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B8D2036E-24D9-42E3-A366-EADEDE7ECEB6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</calcChain>
</file>

<file path=xl/sharedStrings.xml><?xml version="1.0" encoding="utf-8"?>
<sst xmlns="http://schemas.openxmlformats.org/spreadsheetml/2006/main" count="17516" uniqueCount="79">
  <si>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</si>
  <si>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</si>
  <si>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</si>
  <si>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</si>
  <si>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</si>
  <si>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</si>
  <si>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</si>
  <si>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</si>
  <si>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</si>
  <si>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</si>
  <si>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</si>
  <si>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</si>
  <si>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</si>
  <si>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</si>
  <si>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</si>
  <si>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</si>
  <si>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</si>
  <si>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</si>
  <si>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</si>
  <si>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</si>
  <si>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</si>
  <si>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</si>
  <si>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</si>
  <si>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</si>
  <si>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</si>
  <si>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</si>
  <si>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</si>
  <si>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</si>
  <si>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</si>
  <si>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</si>
  <si>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</si>
  <si>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</si>
  <si>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</si>
  <si>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</si>
  <si>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</si>
  <si>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</si>
  <si>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</si>
  <si>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</si>
  <si>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</si>
  <si>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</si>
  <si>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</si>
  <si>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</si>
  <si>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mcp_road_part_02</t>
  </si>
  <si>
    <t>Plane_01</t>
  </si>
  <si>
    <t>mcp_roads_turn_01 (1)</t>
  </si>
  <si>
    <t>mcp_roads_T_cross_01</t>
  </si>
  <si>
    <t>mcp_road_part_01</t>
  </si>
  <si>
    <t>mcp_roads_cross_01</t>
  </si>
  <si>
    <t>Box001</t>
  </si>
  <si>
    <t>Building 15 (31)</t>
  </si>
  <si>
    <t>Building 09 (4)</t>
  </si>
  <si>
    <t>Building 15 (30)</t>
  </si>
  <si>
    <t>Building 07 (15)</t>
  </si>
  <si>
    <t>Building 02 (11)</t>
  </si>
  <si>
    <t>Canopi 01 (8)</t>
  </si>
  <si>
    <t>mcp_building_24_fountain_marble</t>
  </si>
  <si>
    <t>Building 15 (9)</t>
  </si>
  <si>
    <t>Tree 02 (3)</t>
  </si>
  <si>
    <t>Tong (3)</t>
  </si>
  <si>
    <t>Building 11 (3)</t>
  </si>
  <si>
    <t>Building 07 (18)</t>
  </si>
  <si>
    <t>Building 24</t>
  </si>
  <si>
    <t>mcp_roads_cross_02</t>
  </si>
  <si>
    <t>FAR</t>
  </si>
  <si>
    <t>mcp_roads_turn_01</t>
  </si>
  <si>
    <t>Building 13 (1)</t>
  </si>
  <si>
    <t>Building 07 (14)</t>
  </si>
  <si>
    <t>mcp_road_part_02 (1)</t>
  </si>
  <si>
    <t>mcp_road_part_02 (2)</t>
  </si>
  <si>
    <t>mcp_road_part_02 (3)</t>
  </si>
  <si>
    <t>Shurbs (1)</t>
  </si>
  <si>
    <t>Building 01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</si>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</sst>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73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"20190312172055042"</f>
        <v>20190312172055042</v>
      </c>
      <c r="B2" t="str">
        <f>"1552382455031493"</f>
        <v>1552382455031493</v>
      </c>
      <c r="C2" t="s">
        <v>40</v>
      </c>
      <c r="D2">
        <v>3.5351819999999998</v>
      </c>
      <c r="E2">
        <v>0.56608649999999905</v>
      </c>
      <c r="F2" t="s">
        <v>41</v>
      </c>
      <c r="G2">
        <v>-475.92829999999998</v>
      </c>
      <c r="H2">
        <v>0.94772970000000001</v>
      </c>
      <c r="I2">
        <v>367.07170000000002</v>
      </c>
      <c r="J2">
        <v>-476.61239999999998</v>
      </c>
      <c r="K2">
        <v>1.109632</v>
      </c>
      <c r="L2">
        <v>367.21620000000001</v>
      </c>
      <c r="M2">
        <v>0.99996260000000003</v>
      </c>
      <c r="N2">
        <v>0</v>
      </c>
      <c r="O2">
        <v>2.9738060000000002E-4</v>
      </c>
      <c r="P2">
        <v>0.99147249999999998</v>
      </c>
      <c r="Q2">
        <v>0.1204052</v>
      </c>
      <c r="R2">
        <v>-4.9850779999999997E-2</v>
      </c>
      <c r="S2">
        <v>3.080597</v>
      </c>
      <c r="T2">
        <v>-0.72198890000000004</v>
      </c>
      <c r="U2">
        <v>-0.63934329999999995</v>
      </c>
      <c r="V2">
        <v>5.0134440000000002E-2</v>
      </c>
      <c r="W2">
        <v>0.12899720000000001</v>
      </c>
      <c r="X2">
        <v>0.99037679999999995</v>
      </c>
      <c r="Y2">
        <v>0.19833680000000001</v>
      </c>
      <c r="Z2">
        <v>-2.2766700000000001E-2</v>
      </c>
      <c r="AA2">
        <v>0.97986949999999995</v>
      </c>
      <c r="AB2">
        <v>1</v>
      </c>
      <c r="AC2">
        <v>0.68410000000000004</v>
      </c>
      <c r="AD2">
        <v>-0.1619023</v>
      </c>
      <c r="AE2">
        <v>-0.144499999999993</v>
      </c>
      <c r="AF2">
        <v>0.13733957733502999</v>
      </c>
      <c r="AG2">
        <v>-0.1619023</v>
      </c>
      <c r="AH2">
        <v>0.64924579029352403</v>
      </c>
      <c r="AI2">
        <v>103.710665788841</v>
      </c>
      <c r="AJ2">
        <v>78.055897001780096</v>
      </c>
      <c r="AK2">
        <v>0.683077309286231</v>
      </c>
      <c r="AL2">
        <v>82.588351603762106</v>
      </c>
      <c r="AM2">
        <v>87.102070690179403</v>
      </c>
      <c r="AN2">
        <v>0.99999997283009601</v>
      </c>
    </row>
    <row r="3" spans="1:40" x14ac:dyDescent="0.25">
      <c r="A3" t="str">
        <f>"20190312172055053"</f>
        <v>20190312172055053</v>
      </c>
      <c r="B3" t="str">
        <f>"1552382455041250"</f>
        <v>1552382455041250</v>
      </c>
      <c r="C3" t="s">
        <v>40</v>
      </c>
      <c r="D3">
        <v>3.7512780000000001</v>
      </c>
      <c r="E3">
        <v>0.56608649999999905</v>
      </c>
      <c r="F3" t="s">
        <v>41</v>
      </c>
      <c r="G3">
        <v>-475.91930000000002</v>
      </c>
      <c r="H3">
        <v>0.94765390000000005</v>
      </c>
      <c r="I3">
        <v>367.0718</v>
      </c>
      <c r="J3">
        <v>-476.60660000000001</v>
      </c>
      <c r="K3">
        <v>1.109572</v>
      </c>
      <c r="L3">
        <v>367.21620000000001</v>
      </c>
      <c r="M3">
        <v>0.99996669999999999</v>
      </c>
      <c r="N3">
        <v>0</v>
      </c>
      <c r="O3">
        <v>3.5349820000000001E-4</v>
      </c>
      <c r="P3">
        <v>0.99141939999999995</v>
      </c>
      <c r="Q3">
        <v>0.1207684</v>
      </c>
      <c r="R3">
        <v>-5.0026920000000002E-2</v>
      </c>
      <c r="S3">
        <v>3.0811160000000002</v>
      </c>
      <c r="T3">
        <v>-0.72023760000000003</v>
      </c>
      <c r="U3">
        <v>-0.63946530000000001</v>
      </c>
      <c r="V3">
        <v>5.0364649999999997E-2</v>
      </c>
      <c r="W3">
        <v>0.12885439999999901</v>
      </c>
      <c r="X3">
        <v>0.99038369999999998</v>
      </c>
      <c r="Y3">
        <v>0.19841890000000001</v>
      </c>
      <c r="Z3">
        <v>-2.2731339999999999E-2</v>
      </c>
      <c r="AA3">
        <v>0.97985370000000005</v>
      </c>
      <c r="AB3">
        <v>1</v>
      </c>
      <c r="AC3">
        <v>0.68729999999999303</v>
      </c>
      <c r="AD3">
        <v>-0.16191809999999901</v>
      </c>
      <c r="AE3">
        <v>-0.14440000000001799</v>
      </c>
      <c r="AF3">
        <v>0.13734259895145601</v>
      </c>
      <c r="AG3">
        <v>-0.16191809999999901</v>
      </c>
      <c r="AH3">
        <v>0.65256236820857405</v>
      </c>
      <c r="AI3">
        <v>103.647715870818</v>
      </c>
      <c r="AJ3">
        <v>78.114616907078101</v>
      </c>
      <c r="AK3">
        <v>0.68623473024638804</v>
      </c>
      <c r="AL3">
        <v>82.596602232363097</v>
      </c>
      <c r="AM3">
        <v>87.088806909817606</v>
      </c>
      <c r="AN3">
        <v>0.99999996379733502</v>
      </c>
    </row>
    <row r="4" spans="1:40" x14ac:dyDescent="0.25">
      <c r="A4" t="str">
        <f>"20190312172055074"</f>
        <v>20190312172055074</v>
      </c>
      <c r="B4" t="str">
        <f>"1552382455071125"</f>
        <v>1552382455071125</v>
      </c>
      <c r="C4" t="s">
        <v>40</v>
      </c>
      <c r="D4">
        <v>3.5032869999999998</v>
      </c>
      <c r="E4">
        <v>0.56594549999999999</v>
      </c>
      <c r="F4" t="s">
        <v>41</v>
      </c>
      <c r="G4">
        <v>-475.91860000000003</v>
      </c>
      <c r="H4">
        <v>0.94907580000000002</v>
      </c>
      <c r="I4">
        <v>367.07279999999997</v>
      </c>
      <c r="J4">
        <v>-476.59949999999998</v>
      </c>
      <c r="K4">
        <v>1.1097379999999999</v>
      </c>
      <c r="L4">
        <v>367.21629999999999</v>
      </c>
      <c r="M4">
        <v>0.9999654</v>
      </c>
      <c r="N4">
        <v>0</v>
      </c>
      <c r="O4">
        <v>4.0188419999999999E-4</v>
      </c>
      <c r="P4">
        <v>0.99147790000000002</v>
      </c>
      <c r="Q4">
        <v>0.1201015</v>
      </c>
      <c r="R4">
        <v>-5.0471490000000001E-2</v>
      </c>
      <c r="S4">
        <v>3.0812379999999999</v>
      </c>
      <c r="T4">
        <v>-0.71904429999999997</v>
      </c>
      <c r="U4">
        <v>-0.64019780000000004</v>
      </c>
      <c r="V4">
        <v>5.0860959999999997E-2</v>
      </c>
      <c r="W4">
        <v>0.12834889999999999</v>
      </c>
      <c r="X4">
        <v>0.99042399999999997</v>
      </c>
      <c r="Y4">
        <v>0.19869110000000001</v>
      </c>
      <c r="Z4">
        <v>-2.27353E-2</v>
      </c>
      <c r="AA4">
        <v>0.97979839999999996</v>
      </c>
      <c r="AB4">
        <v>1</v>
      </c>
      <c r="AC4">
        <v>0.68089999999995099</v>
      </c>
      <c r="AD4">
        <v>-0.16066219999999901</v>
      </c>
      <c r="AE4">
        <v>-0.143500000000017</v>
      </c>
      <c r="AF4">
        <v>0.136497326066914</v>
      </c>
      <c r="AG4">
        <v>-0.16066219999999901</v>
      </c>
      <c r="AH4">
        <v>0.64638517300761</v>
      </c>
      <c r="AI4">
        <v>103.668520210916</v>
      </c>
      <c r="AJ4">
        <v>78.076017025865795</v>
      </c>
      <c r="AK4">
        <v>0.67989532607331205</v>
      </c>
      <c r="AL4">
        <v>82.625807947090394</v>
      </c>
      <c r="AM4">
        <v>87.060288535847704</v>
      </c>
      <c r="AN4">
        <v>0.99999998857966499</v>
      </c>
    </row>
    <row r="5" spans="1:40" x14ac:dyDescent="0.25">
      <c r="A5" t="str">
        <f>"20190312172055087"</f>
        <v>20190312172055087</v>
      </c>
      <c r="B5" t="str">
        <f>"1552382455081862"</f>
        <v>1552382455081862</v>
      </c>
      <c r="C5" t="s">
        <v>40</v>
      </c>
      <c r="D5">
        <v>3.4927069999999998</v>
      </c>
      <c r="E5">
        <v>0.56589400000000001</v>
      </c>
      <c r="F5" t="s">
        <v>41</v>
      </c>
      <c r="G5">
        <v>-475.91239999999999</v>
      </c>
      <c r="H5">
        <v>0.94886740000000003</v>
      </c>
      <c r="I5">
        <v>367.07279999999997</v>
      </c>
      <c r="J5">
        <v>-476.59649999999999</v>
      </c>
      <c r="K5">
        <v>1.1099410000000001</v>
      </c>
      <c r="L5">
        <v>367.21640000000002</v>
      </c>
      <c r="M5">
        <v>0.99996050000000003</v>
      </c>
      <c r="N5">
        <v>0</v>
      </c>
      <c r="O5">
        <v>4.1058940000000002E-4</v>
      </c>
      <c r="P5">
        <v>0.99156529999999998</v>
      </c>
      <c r="Q5">
        <v>0.11927599999999999</v>
      </c>
      <c r="R5">
        <v>-5.0711649999999997E-2</v>
      </c>
      <c r="S5">
        <v>3.0805660000000001</v>
      </c>
      <c r="T5">
        <v>-0.72156609999999999</v>
      </c>
      <c r="U5">
        <v>-0.64065550000000004</v>
      </c>
      <c r="V5">
        <v>5.1115250000000001E-2</v>
      </c>
      <c r="W5">
        <v>0.12808549999999999</v>
      </c>
      <c r="X5">
        <v>0.99044500000000002</v>
      </c>
      <c r="Y5">
        <v>0.19883999999999999</v>
      </c>
      <c r="Z5">
        <v>-2.2836450000000001E-2</v>
      </c>
      <c r="AA5">
        <v>0.97976580000000002</v>
      </c>
      <c r="AB5">
        <v>1</v>
      </c>
      <c r="AC5">
        <v>0.68410000000000004</v>
      </c>
      <c r="AD5">
        <v>-0.16107359999999901</v>
      </c>
      <c r="AE5">
        <v>-0.14360000000004899</v>
      </c>
      <c r="AF5">
        <v>0.13662622272698199</v>
      </c>
      <c r="AG5">
        <v>-0.16107359999999901</v>
      </c>
      <c r="AH5">
        <v>0.64955074739179197</v>
      </c>
      <c r="AI5">
        <v>103.64012581512</v>
      </c>
      <c r="AJ5">
        <v>78.121588174479896</v>
      </c>
      <c r="AK5">
        <v>0.68302825914513898</v>
      </c>
      <c r="AL5">
        <v>82.641025201969299</v>
      </c>
      <c r="AM5">
        <v>87.045679337452</v>
      </c>
      <c r="AN5">
        <v>0.99999998105890597</v>
      </c>
    </row>
    <row r="6" spans="1:40" x14ac:dyDescent="0.25">
      <c r="A6" t="str">
        <f>"20190312172055099"</f>
        <v>20190312172055099</v>
      </c>
      <c r="B6" t="str">
        <f>"1552382455091622"</f>
        <v>1552382455091622</v>
      </c>
      <c r="C6" t="s">
        <v>40</v>
      </c>
      <c r="D6">
        <v>3.615059</v>
      </c>
      <c r="E6">
        <v>0.56589400000000001</v>
      </c>
      <c r="F6" t="s">
        <v>41</v>
      </c>
      <c r="G6">
        <v>-475.90910000000002</v>
      </c>
      <c r="H6">
        <v>0.94829790000000003</v>
      </c>
      <c r="I6">
        <v>367.07310000000001</v>
      </c>
      <c r="J6">
        <v>-476.59410000000003</v>
      </c>
      <c r="K6">
        <v>1.1101810000000001</v>
      </c>
      <c r="L6">
        <v>367.21640000000002</v>
      </c>
      <c r="M6">
        <v>0.99995319999999999</v>
      </c>
      <c r="N6">
        <v>0</v>
      </c>
      <c r="O6">
        <v>4.090934E-4</v>
      </c>
      <c r="P6">
        <v>0.99165820000000005</v>
      </c>
      <c r="Q6">
        <v>0.118467</v>
      </c>
      <c r="R6">
        <v>-5.0790830000000002E-2</v>
      </c>
      <c r="S6">
        <v>3.079895</v>
      </c>
      <c r="T6">
        <v>-0.72438349999999996</v>
      </c>
      <c r="U6">
        <v>-0.6414185</v>
      </c>
      <c r="V6">
        <v>5.1199880000000003E-2</v>
      </c>
      <c r="W6">
        <v>0.12804860000000001</v>
      </c>
      <c r="X6">
        <v>0.99044540000000003</v>
      </c>
      <c r="Y6">
        <v>0.1990661</v>
      </c>
      <c r="Z6">
        <v>-2.2953149999999999E-2</v>
      </c>
      <c r="AA6">
        <v>0.97971730000000001</v>
      </c>
      <c r="AB6">
        <v>1</v>
      </c>
      <c r="AC6">
        <v>0.68500000000000205</v>
      </c>
      <c r="AD6">
        <v>-0.161883099999999</v>
      </c>
      <c r="AE6">
        <v>-0.14330000000001</v>
      </c>
      <c r="AF6">
        <v>0.136287727998503</v>
      </c>
      <c r="AG6">
        <v>-0.161883099999999</v>
      </c>
      <c r="AH6">
        <v>0.65015285067392303</v>
      </c>
      <c r="AI6">
        <v>103.695778231098</v>
      </c>
      <c r="AJ6">
        <v>78.160848394044905</v>
      </c>
      <c r="AK6">
        <v>0.683724514777723</v>
      </c>
      <c r="AL6">
        <v>82.643156970063103</v>
      </c>
      <c r="AM6">
        <v>87.040797836225494</v>
      </c>
      <c r="AN6">
        <v>0.99999998102756604</v>
      </c>
    </row>
    <row r="7" spans="1:40" x14ac:dyDescent="0.25">
      <c r="A7" t="str">
        <f>"20190312172055119"</f>
        <v>20190312172055119</v>
      </c>
      <c r="B7" t="str">
        <f>"1552382455111141"</f>
        <v>1552382455111141</v>
      </c>
      <c r="C7" t="s">
        <v>40</v>
      </c>
      <c r="D7">
        <v>3.4672710000000002</v>
      </c>
      <c r="E7">
        <v>0.53044579999999997</v>
      </c>
      <c r="F7" t="s">
        <v>41</v>
      </c>
      <c r="G7">
        <v>-475.90899999999999</v>
      </c>
      <c r="H7">
        <v>0.94850749999999995</v>
      </c>
      <c r="I7">
        <v>367.07350000000002</v>
      </c>
      <c r="J7">
        <v>-476.58589999999998</v>
      </c>
      <c r="K7">
        <v>1.1100460000000001</v>
      </c>
      <c r="L7">
        <v>367.2165</v>
      </c>
      <c r="M7">
        <v>0.99995789999999996</v>
      </c>
      <c r="N7">
        <v>0</v>
      </c>
      <c r="O7">
        <v>4.3835389999999998E-4</v>
      </c>
      <c r="P7">
        <v>0.99172229999999995</v>
      </c>
      <c r="Q7">
        <v>0.117802</v>
      </c>
      <c r="R7">
        <v>-5.1087599999999997E-2</v>
      </c>
      <c r="S7">
        <v>3.079132</v>
      </c>
      <c r="T7">
        <v>-0.72672879999999995</v>
      </c>
      <c r="U7">
        <v>-0.64208980000000004</v>
      </c>
      <c r="V7">
        <v>5.1525960000000003E-2</v>
      </c>
      <c r="W7">
        <v>0.1268965</v>
      </c>
      <c r="X7">
        <v>0.99057680000000004</v>
      </c>
      <c r="Y7">
        <v>0.19930519999999999</v>
      </c>
      <c r="Z7">
        <v>-2.3064790000000002E-2</v>
      </c>
      <c r="AA7">
        <v>0.97966600000000004</v>
      </c>
      <c r="AB7">
        <v>1</v>
      </c>
      <c r="AC7">
        <v>0.67689999999998895</v>
      </c>
      <c r="AD7">
        <v>-0.161538499999999</v>
      </c>
      <c r="AE7">
        <v>-0.14299999999997201</v>
      </c>
      <c r="AF7">
        <v>0.13588834568882699</v>
      </c>
      <c r="AG7">
        <v>-0.161538499999999</v>
      </c>
      <c r="AH7">
        <v>0.64184507214036701</v>
      </c>
      <c r="AI7">
        <v>103.832257771206</v>
      </c>
      <c r="AJ7">
        <v>78.046131557945401</v>
      </c>
      <c r="AK7">
        <v>0.67566665309690199</v>
      </c>
      <c r="AL7">
        <v>82.709710675468799</v>
      </c>
      <c r="AM7">
        <v>87.022379513343296</v>
      </c>
      <c r="AN7">
        <v>1.0000000214822</v>
      </c>
    </row>
    <row r="8" spans="1:40" x14ac:dyDescent="0.25">
      <c r="A8" t="str">
        <f>"20190312172055145"</f>
        <v>20190312172055145</v>
      </c>
      <c r="B8" t="str">
        <f>"1552382455141397"</f>
        <v>1552382455141397</v>
      </c>
      <c r="C8" t="s">
        <v>40</v>
      </c>
      <c r="D8">
        <v>3.5480019999999999</v>
      </c>
      <c r="E8">
        <v>0.51861299999999999</v>
      </c>
      <c r="F8" t="s">
        <v>41</v>
      </c>
      <c r="G8">
        <v>-475.88459999999998</v>
      </c>
      <c r="H8">
        <v>0.96106970000000003</v>
      </c>
      <c r="I8">
        <v>367.1447</v>
      </c>
      <c r="J8">
        <v>-476.57060000000001</v>
      </c>
      <c r="K8">
        <v>1.109667</v>
      </c>
      <c r="L8">
        <v>367.21660000000003</v>
      </c>
      <c r="M8">
        <v>0.99997040000000004</v>
      </c>
      <c r="N8">
        <v>0</v>
      </c>
      <c r="O8">
        <v>5.4495460000000004E-4</v>
      </c>
      <c r="P8">
        <v>0.99164010000000002</v>
      </c>
      <c r="Q8">
        <v>0.1185268</v>
      </c>
      <c r="R8">
        <v>-5.1003659999999999E-2</v>
      </c>
      <c r="S8">
        <v>3.0877080000000001</v>
      </c>
      <c r="T8">
        <v>-0.66231509999999905</v>
      </c>
      <c r="U8">
        <v>-0.31851200000000002</v>
      </c>
      <c r="V8">
        <v>5.1544300000000001E-2</v>
      </c>
      <c r="W8">
        <v>0.1261321</v>
      </c>
      <c r="X8">
        <v>0.99067340000000004</v>
      </c>
      <c r="Y8">
        <v>0.1008696</v>
      </c>
      <c r="Z8">
        <v>-1.078456E-2</v>
      </c>
      <c r="AA8">
        <v>0.99484119999999998</v>
      </c>
      <c r="AB8">
        <v>1</v>
      </c>
      <c r="AC8">
        <v>0.68600000000003503</v>
      </c>
      <c r="AD8">
        <v>-0.14859729999999899</v>
      </c>
      <c r="AE8">
        <v>-7.1900000000027803E-2</v>
      </c>
      <c r="AF8">
        <v>6.9068254388596095E-2</v>
      </c>
      <c r="AG8">
        <v>-0.14859729999999899</v>
      </c>
      <c r="AH8">
        <v>0.65553607886185505</v>
      </c>
      <c r="AI8">
        <v>102.70398219051199</v>
      </c>
      <c r="AJ8">
        <v>83.985422141278093</v>
      </c>
      <c r="AK8">
        <v>0.67570639483517903</v>
      </c>
      <c r="AL8">
        <v>82.753861842346396</v>
      </c>
      <c r="AM8">
        <v>87.021611502327005</v>
      </c>
      <c r="AN8">
        <v>0.99999995349022897</v>
      </c>
    </row>
    <row r="9" spans="1:40" x14ac:dyDescent="0.25">
      <c r="A9" t="str">
        <f>"20190312172055164"</f>
        <v>20190312172055164</v>
      </c>
      <c r="B9" t="str">
        <f>"1552382455161284"</f>
        <v>1552382455161284</v>
      </c>
      <c r="C9" t="s">
        <v>40</v>
      </c>
      <c r="D9">
        <v>3.4890400000000001</v>
      </c>
      <c r="E9">
        <v>0.51551999999999998</v>
      </c>
      <c r="F9" t="s">
        <v>41</v>
      </c>
      <c r="G9">
        <v>-475.87139999999999</v>
      </c>
      <c r="H9">
        <v>0.95888980000000001</v>
      </c>
      <c r="I9">
        <v>367.15499999999997</v>
      </c>
      <c r="J9">
        <v>-476.55709999999999</v>
      </c>
      <c r="K9">
        <v>1.10951</v>
      </c>
      <c r="L9">
        <v>367.2167</v>
      </c>
      <c r="M9">
        <v>0.99997670000000005</v>
      </c>
      <c r="N9">
        <v>0</v>
      </c>
      <c r="O9">
        <v>6.4616010000000004E-4</v>
      </c>
      <c r="P9">
        <v>0.9914963</v>
      </c>
      <c r="Q9">
        <v>0.119965</v>
      </c>
      <c r="R9">
        <v>-5.0438829999999997E-2</v>
      </c>
      <c r="S9">
        <v>3.0912169999999999</v>
      </c>
      <c r="T9">
        <v>-0.66711009999999904</v>
      </c>
      <c r="U9">
        <v>-0.26931759999999999</v>
      </c>
      <c r="V9">
        <v>5.1076679999999999E-2</v>
      </c>
      <c r="W9">
        <v>0.1267286</v>
      </c>
      <c r="X9">
        <v>0.99062159999999999</v>
      </c>
      <c r="Y9">
        <v>8.5470619999999997E-2</v>
      </c>
      <c r="Z9">
        <v>-9.2386329999999996E-3</v>
      </c>
      <c r="AA9">
        <v>0.99629780000000001</v>
      </c>
      <c r="AB9">
        <v>1</v>
      </c>
      <c r="AC9">
        <v>0.68569999999999698</v>
      </c>
      <c r="AD9">
        <v>-0.15062019999999901</v>
      </c>
      <c r="AE9">
        <v>-6.1700000000030203E-2</v>
      </c>
      <c r="AF9">
        <v>5.9304598932688697E-2</v>
      </c>
      <c r="AG9">
        <v>-0.15062019999999901</v>
      </c>
      <c r="AH9">
        <v>0.65434152225462805</v>
      </c>
      <c r="AI9">
        <v>102.911743294769</v>
      </c>
      <c r="AJ9">
        <v>84.821289866978603</v>
      </c>
      <c r="AK9">
        <v>0.67406699062415998</v>
      </c>
      <c r="AL9">
        <v>82.719409214399505</v>
      </c>
      <c r="AM9">
        <v>87.048429977524293</v>
      </c>
      <c r="AN9">
        <v>1.0000000598421599</v>
      </c>
    </row>
    <row r="10" spans="1:40" x14ac:dyDescent="0.25">
      <c r="A10" t="str">
        <f>"20190312172055188"</f>
        <v>20190312172055188</v>
      </c>
      <c r="B10" t="str">
        <f>"1552382455181780"</f>
        <v>1552382455181780</v>
      </c>
      <c r="C10" t="s">
        <v>40</v>
      </c>
      <c r="D10">
        <v>3.5347409999999999</v>
      </c>
      <c r="E10">
        <v>0.51382929999999905</v>
      </c>
      <c r="F10" t="s">
        <v>41</v>
      </c>
      <c r="G10">
        <v>-475.85930000000002</v>
      </c>
      <c r="H10">
        <v>0.95939280000000005</v>
      </c>
      <c r="I10">
        <v>367.1617</v>
      </c>
      <c r="J10">
        <v>-476.5446</v>
      </c>
      <c r="K10">
        <v>1.109801</v>
      </c>
      <c r="L10">
        <v>367.2167</v>
      </c>
      <c r="M10">
        <v>0.9999711</v>
      </c>
      <c r="N10">
        <v>0</v>
      </c>
      <c r="O10">
        <v>7.1408820000000005E-4</v>
      </c>
      <c r="P10">
        <v>0.99178999999999995</v>
      </c>
      <c r="Q10">
        <v>0.11776880000000001</v>
      </c>
      <c r="R10">
        <v>-4.9835200000000003E-2</v>
      </c>
      <c r="S10">
        <v>3.0939030000000001</v>
      </c>
      <c r="T10">
        <v>-0.66564820000000002</v>
      </c>
      <c r="U10">
        <v>-0.24389649999999999</v>
      </c>
      <c r="V10">
        <v>5.0545239999999998E-2</v>
      </c>
      <c r="W10">
        <v>0.12529009999999999</v>
      </c>
      <c r="X10">
        <v>0.99083169999999998</v>
      </c>
      <c r="Y10">
        <v>7.7520110000000003E-2</v>
      </c>
      <c r="Z10">
        <v>-8.3841639999999995E-3</v>
      </c>
      <c r="AA10">
        <v>0.99695549999999999</v>
      </c>
      <c r="AB10">
        <v>2</v>
      </c>
      <c r="AC10">
        <v>0.68529999999998303</v>
      </c>
      <c r="AD10">
        <v>-0.15040819999999999</v>
      </c>
      <c r="AE10">
        <v>-5.50000000000068E-2</v>
      </c>
      <c r="AF10">
        <v>5.2954827087479998E-2</v>
      </c>
      <c r="AG10">
        <v>-0.15040819999999999</v>
      </c>
      <c r="AH10">
        <v>0.65396052260035997</v>
      </c>
      <c r="AI10">
        <v>102.911699069861</v>
      </c>
      <c r="AJ10">
        <v>85.370542392283795</v>
      </c>
      <c r="AK10">
        <v>0.67312049846876698</v>
      </c>
      <c r="AL10">
        <v>82.802490602155402</v>
      </c>
      <c r="AM10">
        <v>87.079705150681306</v>
      </c>
      <c r="AN10">
        <v>0.99999994408477699</v>
      </c>
    </row>
    <row r="11" spans="1:40" x14ac:dyDescent="0.25">
      <c r="A11" t="str">
        <f>"20190312172055209"</f>
        <v>20190312172055209</v>
      </c>
      <c r="B11" t="str">
        <f>"1552382455201301"</f>
        <v>1552382455201301</v>
      </c>
      <c r="C11" t="s">
        <v>40</v>
      </c>
      <c r="D11">
        <v>3.4731550000000002</v>
      </c>
      <c r="E11">
        <v>0.5123219</v>
      </c>
      <c r="F11" t="s">
        <v>41</v>
      </c>
      <c r="G11">
        <v>-475.85120000000001</v>
      </c>
      <c r="H11">
        <v>0.95910700000000004</v>
      </c>
      <c r="I11">
        <v>367.16460000000001</v>
      </c>
      <c r="J11">
        <v>-476.5369</v>
      </c>
      <c r="K11">
        <v>1.1102510000000001</v>
      </c>
      <c r="L11">
        <v>367.21679999999998</v>
      </c>
      <c r="M11">
        <v>0.99995730000000005</v>
      </c>
      <c r="N11">
        <v>0</v>
      </c>
      <c r="O11">
        <v>7.2799240000000003E-4</v>
      </c>
      <c r="P11">
        <v>0.99221550000000003</v>
      </c>
      <c r="Q11">
        <v>0.114506</v>
      </c>
      <c r="R11">
        <v>-4.8955319999999997E-2</v>
      </c>
      <c r="S11">
        <v>3.0931700000000002</v>
      </c>
      <c r="T11">
        <v>-0.67267860000000002</v>
      </c>
      <c r="U11">
        <v>-0.22961429999999999</v>
      </c>
      <c r="V11">
        <v>4.9687130000000003E-2</v>
      </c>
      <c r="W11">
        <v>0.12364029999999999</v>
      </c>
      <c r="X11">
        <v>0.99108240000000003</v>
      </c>
      <c r="Y11">
        <v>7.3040060000000004E-2</v>
      </c>
      <c r="Z11">
        <v>-7.9962169999999999E-3</v>
      </c>
      <c r="AA11">
        <v>0.99729690000000004</v>
      </c>
      <c r="AB11">
        <v>1</v>
      </c>
      <c r="AC11">
        <v>0.68569999999999698</v>
      </c>
      <c r="AD11">
        <v>-0.151144</v>
      </c>
      <c r="AE11">
        <v>-5.21999999999707E-2</v>
      </c>
      <c r="AF11">
        <v>5.0270794716104503E-2</v>
      </c>
      <c r="AG11">
        <v>-0.151144</v>
      </c>
      <c r="AH11">
        <v>0.65406628133432398</v>
      </c>
      <c r="AI11">
        <v>102.974751686563</v>
      </c>
      <c r="AJ11">
        <v>85.604951858591207</v>
      </c>
      <c r="AK11">
        <v>0.67318226500398803</v>
      </c>
      <c r="AL11">
        <v>82.897758604870901</v>
      </c>
      <c r="AM11">
        <v>87.129924517674795</v>
      </c>
      <c r="AN11">
        <v>1.00000002913074</v>
      </c>
    </row>
    <row r="12" spans="1:40" x14ac:dyDescent="0.25">
      <c r="A12" t="str">
        <f>"20190312172055231"</f>
        <v>20190312172055231</v>
      </c>
      <c r="B12" t="str">
        <f>"1552382455221796"</f>
        <v>1552382455221796</v>
      </c>
      <c r="C12" t="s">
        <v>40</v>
      </c>
      <c r="D12">
        <v>3.527339</v>
      </c>
      <c r="E12">
        <v>0.51124979999999998</v>
      </c>
      <c r="F12" t="s">
        <v>41</v>
      </c>
      <c r="G12">
        <v>-475.84609999999998</v>
      </c>
      <c r="H12">
        <v>0.9575205</v>
      </c>
      <c r="I12">
        <v>367.16849999999999</v>
      </c>
      <c r="J12">
        <v>-476.53050000000002</v>
      </c>
      <c r="K12">
        <v>1.1105609999999999</v>
      </c>
      <c r="L12">
        <v>367.21690000000001</v>
      </c>
      <c r="M12">
        <v>0.99994320000000003</v>
      </c>
      <c r="N12">
        <v>0</v>
      </c>
      <c r="O12">
        <v>7.1923619999999903E-4</v>
      </c>
      <c r="P12">
        <v>0.99257470000000003</v>
      </c>
      <c r="Q12">
        <v>0.1117339</v>
      </c>
      <c r="R12">
        <v>-4.8077149999999999E-2</v>
      </c>
      <c r="S12">
        <v>3.0918269999999999</v>
      </c>
      <c r="T12">
        <v>-0.68375989999999998</v>
      </c>
      <c r="U12">
        <v>-0.21575929999999999</v>
      </c>
      <c r="V12">
        <v>4.8806420000000003E-2</v>
      </c>
      <c r="W12">
        <v>0.1222892</v>
      </c>
      <c r="X12">
        <v>0.99129370000000006</v>
      </c>
      <c r="Y12">
        <v>6.8663539999999995E-2</v>
      </c>
      <c r="Z12">
        <v>-7.6500639999999998E-3</v>
      </c>
      <c r="AA12">
        <v>0.99761060000000001</v>
      </c>
      <c r="AB12">
        <v>1</v>
      </c>
      <c r="AC12">
        <v>0.68440000000003898</v>
      </c>
      <c r="AD12">
        <v>-0.1530405</v>
      </c>
      <c r="AE12">
        <v>-4.8400000000015098E-2</v>
      </c>
      <c r="AF12">
        <v>4.6574978758315497E-2</v>
      </c>
      <c r="AG12">
        <v>-0.1530405</v>
      </c>
      <c r="AH12">
        <v>0.65192906670406603</v>
      </c>
      <c r="AI12">
        <v>103.178576779011</v>
      </c>
      <c r="AJ12">
        <v>85.913629759849897</v>
      </c>
      <c r="AK12">
        <v>0.67126904539105803</v>
      </c>
      <c r="AL12">
        <v>82.975762401511403</v>
      </c>
      <c r="AM12">
        <v>87.181314094050904</v>
      </c>
      <c r="AN12">
        <v>0.99999995736477199</v>
      </c>
    </row>
    <row r="13" spans="1:40" x14ac:dyDescent="0.25">
      <c r="A13" t="str">
        <f>"20190312172055245"</f>
        <v>20190312172055245</v>
      </c>
      <c r="B13" t="str">
        <f>"1552382455241316"</f>
        <v>1552382455241316</v>
      </c>
      <c r="C13" t="s">
        <v>40</v>
      </c>
      <c r="D13">
        <v>3.5287790000000001</v>
      </c>
      <c r="E13">
        <v>0.51032230000000001</v>
      </c>
      <c r="F13" t="s">
        <v>41</v>
      </c>
      <c r="G13">
        <v>-475.84120000000001</v>
      </c>
      <c r="H13">
        <v>0.9551364</v>
      </c>
      <c r="I13">
        <v>367.1703</v>
      </c>
      <c r="J13">
        <v>-476.5258</v>
      </c>
      <c r="K13">
        <v>1.1105640000000001</v>
      </c>
      <c r="L13">
        <v>367.21690000000001</v>
      </c>
      <c r="M13">
        <v>0.9999403</v>
      </c>
      <c r="N13">
        <v>0</v>
      </c>
      <c r="O13">
        <v>7.2047319999999997E-4</v>
      </c>
      <c r="P13">
        <v>0.99265210000000004</v>
      </c>
      <c r="Q13">
        <v>0.11124149999999999</v>
      </c>
      <c r="R13">
        <v>-4.7618460000000001E-2</v>
      </c>
      <c r="S13">
        <v>3.0910340000000001</v>
      </c>
      <c r="T13">
        <v>-0.69753489999999996</v>
      </c>
      <c r="U13">
        <v>-0.20513919999999999</v>
      </c>
      <c r="V13">
        <v>4.8349209999999997E-2</v>
      </c>
      <c r="W13">
        <v>0.12205779999999999</v>
      </c>
      <c r="X13">
        <v>0.99134469999999997</v>
      </c>
      <c r="Y13">
        <v>6.5286479999999994E-2</v>
      </c>
      <c r="Z13">
        <v>-7.4276400000000001E-3</v>
      </c>
      <c r="AA13">
        <v>0.99783889999999997</v>
      </c>
      <c r="AB13">
        <v>1</v>
      </c>
      <c r="AC13">
        <v>0.684599999999989</v>
      </c>
      <c r="AD13">
        <v>-0.155427599999999</v>
      </c>
      <c r="AE13">
        <v>-4.6600000000012097E-2</v>
      </c>
      <c r="AF13">
        <v>4.4794966980269399E-2</v>
      </c>
      <c r="AG13">
        <v>-0.155427599999999</v>
      </c>
      <c r="AH13">
        <v>0.65115744460457403</v>
      </c>
      <c r="AI13">
        <v>103.394465946312</v>
      </c>
      <c r="AJ13">
        <v>86.064660986579497</v>
      </c>
      <c r="AK13">
        <v>0.67094734932964895</v>
      </c>
      <c r="AL13">
        <v>82.989121251838199</v>
      </c>
      <c r="AM13">
        <v>87.207820487513402</v>
      </c>
      <c r="AN13">
        <v>1.0000000334332699</v>
      </c>
    </row>
    <row r="14" spans="1:40" x14ac:dyDescent="0.25">
      <c r="A14" t="str">
        <f>"20190312172055264"</f>
        <v>20190312172055264</v>
      </c>
      <c r="B14" t="str">
        <f>"1552382455261813"</f>
        <v>1552382455261813</v>
      </c>
      <c r="C14" t="s">
        <v>40</v>
      </c>
      <c r="D14">
        <v>3.630188</v>
      </c>
      <c r="E14">
        <v>0.50955969999999995</v>
      </c>
      <c r="F14" t="s">
        <v>41</v>
      </c>
      <c r="G14">
        <v>-475.83179999999999</v>
      </c>
      <c r="H14">
        <v>0.95264020000000005</v>
      </c>
      <c r="I14">
        <v>367.17250000000001</v>
      </c>
      <c r="J14">
        <v>-476.5145</v>
      </c>
      <c r="K14">
        <v>1.11022</v>
      </c>
      <c r="L14">
        <v>367.21690000000001</v>
      </c>
      <c r="M14">
        <v>0.99994930000000004</v>
      </c>
      <c r="N14">
        <v>0</v>
      </c>
      <c r="O14">
        <v>7.5624809999999998E-4</v>
      </c>
      <c r="P14">
        <v>0.99267700000000003</v>
      </c>
      <c r="Q14">
        <v>0.1114646</v>
      </c>
      <c r="R14">
        <v>-4.6561890000000002E-2</v>
      </c>
      <c r="S14">
        <v>3.0917050000000001</v>
      </c>
      <c r="T14">
        <v>-0.70369939999999997</v>
      </c>
      <c r="U14">
        <v>-0.19668579999999999</v>
      </c>
      <c r="V14">
        <v>4.7322320000000001E-2</v>
      </c>
      <c r="W14">
        <v>0.1214373</v>
      </c>
      <c r="X14">
        <v>0.99147039999999997</v>
      </c>
      <c r="Y14">
        <v>6.2628970000000006E-2</v>
      </c>
      <c r="Z14">
        <v>-7.2004159999999899E-3</v>
      </c>
      <c r="AA14">
        <v>0.99801090000000003</v>
      </c>
      <c r="AB14">
        <v>1</v>
      </c>
      <c r="AC14">
        <v>0.68270000000001096</v>
      </c>
      <c r="AD14">
        <v>-0.15757979999999899</v>
      </c>
      <c r="AE14">
        <v>-4.4399999999995998E-2</v>
      </c>
      <c r="AF14">
        <v>4.2653420881192297E-2</v>
      </c>
      <c r="AG14">
        <v>-0.15757979999999899</v>
      </c>
      <c r="AH14">
        <v>0.648273506709798</v>
      </c>
      <c r="AI14">
        <v>103.633890246844</v>
      </c>
      <c r="AJ14">
        <v>86.235626500265298</v>
      </c>
      <c r="AK14">
        <v>0.66851271280561797</v>
      </c>
      <c r="AL14">
        <v>83.024939406664799</v>
      </c>
      <c r="AM14">
        <v>87.267378733483</v>
      </c>
      <c r="AN14">
        <v>0.99999998693881598</v>
      </c>
    </row>
    <row r="15" spans="1:40" x14ac:dyDescent="0.25">
      <c r="A15" t="str">
        <f>"20190312172055277"</f>
        <v>20190312172055277</v>
      </c>
      <c r="B15" t="str">
        <f>"1552382455271572"</f>
        <v>1552382455271572</v>
      </c>
      <c r="C15" t="s">
        <v>40</v>
      </c>
      <c r="D15">
        <v>3.4653520000000002</v>
      </c>
      <c r="E15">
        <v>0.50941539999999996</v>
      </c>
      <c r="F15" t="s">
        <v>41</v>
      </c>
      <c r="G15">
        <v>-475.81869999999998</v>
      </c>
      <c r="H15">
        <v>0.95141659999999995</v>
      </c>
      <c r="I15">
        <v>367.17399999999998</v>
      </c>
      <c r="J15">
        <v>-476.50560000000002</v>
      </c>
      <c r="K15">
        <v>1.109961</v>
      </c>
      <c r="L15">
        <v>367.21690000000001</v>
      </c>
      <c r="M15">
        <v>0.99995719999999999</v>
      </c>
      <c r="N15">
        <v>0</v>
      </c>
      <c r="O15">
        <v>8.041236E-4</v>
      </c>
      <c r="P15">
        <v>0.99271830000000005</v>
      </c>
      <c r="Q15">
        <v>0.1113006</v>
      </c>
      <c r="R15">
        <v>-4.6074200000000003E-2</v>
      </c>
      <c r="S15">
        <v>3.0925600000000002</v>
      </c>
      <c r="T15">
        <v>-0.70613709999999996</v>
      </c>
      <c r="U15">
        <v>-0.18850710000000001</v>
      </c>
      <c r="V15">
        <v>4.6877340000000003E-2</v>
      </c>
      <c r="W15">
        <v>0.1204476</v>
      </c>
      <c r="X15">
        <v>0.9916123</v>
      </c>
      <c r="Y15">
        <v>6.0083409999999997E-2</v>
      </c>
      <c r="Z15">
        <v>-6.9474749999999998E-3</v>
      </c>
      <c r="AA15">
        <v>0.99816919999999998</v>
      </c>
      <c r="AB15">
        <v>1</v>
      </c>
      <c r="AC15">
        <v>0.68690000000003604</v>
      </c>
      <c r="AD15">
        <v>-0.1585444</v>
      </c>
      <c r="AE15">
        <v>-4.2899999999974597E-2</v>
      </c>
      <c r="AF15">
        <v>4.1262677859164001E-2</v>
      </c>
      <c r="AG15">
        <v>-0.1585444</v>
      </c>
      <c r="AH15">
        <v>0.65225224583825803</v>
      </c>
      <c r="AI15">
        <v>103.635817276965</v>
      </c>
      <c r="AJ15">
        <v>86.380187267764796</v>
      </c>
      <c r="AK15">
        <v>0.67251165607483698</v>
      </c>
      <c r="AL15">
        <v>83.082064676753504</v>
      </c>
      <c r="AM15">
        <v>87.293422436734801</v>
      </c>
      <c r="AN15">
        <v>1.00000003143126</v>
      </c>
    </row>
    <row r="16" spans="1:40" x14ac:dyDescent="0.25">
      <c r="A16" t="str">
        <f>"20190312172055290"</f>
        <v>20190312172055290</v>
      </c>
      <c r="B16" t="str">
        <f>"1552382455281332"</f>
        <v>1552382455281332</v>
      </c>
      <c r="C16" t="s">
        <v>40</v>
      </c>
      <c r="D16">
        <v>3.534888</v>
      </c>
      <c r="E16">
        <v>0.50919219999999998</v>
      </c>
      <c r="F16" t="s">
        <v>41</v>
      </c>
      <c r="G16">
        <v>-475.81799999999998</v>
      </c>
      <c r="H16">
        <v>0.95287259999999996</v>
      </c>
      <c r="I16">
        <v>367.17500000000001</v>
      </c>
      <c r="J16">
        <v>-476.49610000000001</v>
      </c>
      <c r="K16">
        <v>1.109777</v>
      </c>
      <c r="L16">
        <v>367.21699999999998</v>
      </c>
      <c r="M16">
        <v>0.99996339999999995</v>
      </c>
      <c r="N16">
        <v>0</v>
      </c>
      <c r="O16">
        <v>8.6572410000000004E-4</v>
      </c>
      <c r="P16">
        <v>0.99274030000000002</v>
      </c>
      <c r="Q16">
        <v>0.111289</v>
      </c>
      <c r="R16">
        <v>-4.5629509999999998E-2</v>
      </c>
      <c r="S16">
        <v>3.09259</v>
      </c>
      <c r="T16">
        <v>-0.70691139999999997</v>
      </c>
      <c r="U16">
        <v>-0.18594359999999999</v>
      </c>
      <c r="V16">
        <v>4.6489080000000002E-2</v>
      </c>
      <c r="W16">
        <v>0.1197522</v>
      </c>
      <c r="X16">
        <v>0.99171480000000001</v>
      </c>
      <c r="Y16">
        <v>5.9334119999999997E-2</v>
      </c>
      <c r="Z16">
        <v>-6.8844199999999996E-3</v>
      </c>
      <c r="AA16">
        <v>0.99821439999999995</v>
      </c>
      <c r="AB16">
        <v>1</v>
      </c>
      <c r="AC16">
        <v>0.67809999999997195</v>
      </c>
      <c r="AD16">
        <v>-0.156904399999999</v>
      </c>
      <c r="AE16">
        <v>-4.1999999999973101E-2</v>
      </c>
      <c r="AF16">
        <v>4.0430646917510998E-2</v>
      </c>
      <c r="AG16">
        <v>-0.156904399999999</v>
      </c>
      <c r="AH16">
        <v>0.64372947447197104</v>
      </c>
      <c r="AI16">
        <v>103.672399283221</v>
      </c>
      <c r="AJ16">
        <v>86.406150821330897</v>
      </c>
      <c r="AK16">
        <v>0.66380815319901598</v>
      </c>
      <c r="AL16">
        <v>83.122198678231697</v>
      </c>
      <c r="AM16">
        <v>87.316083675534003</v>
      </c>
      <c r="AN16">
        <v>1.00000003425156</v>
      </c>
    </row>
    <row r="17" spans="1:40" x14ac:dyDescent="0.25">
      <c r="A17" t="str">
        <f>"20190312172055309"</f>
        <v>20190312172055309</v>
      </c>
      <c r="B17" t="str">
        <f>"1552382455301828"</f>
        <v>1552382455301828</v>
      </c>
      <c r="C17" t="s">
        <v>40</v>
      </c>
      <c r="D17">
        <v>3.5325099999999998</v>
      </c>
      <c r="E17">
        <v>0.50894430000000002</v>
      </c>
      <c r="F17" t="s">
        <v>41</v>
      </c>
      <c r="G17">
        <v>-475.80329999999998</v>
      </c>
      <c r="H17">
        <v>0.95138370000000005</v>
      </c>
      <c r="I17">
        <v>367.17579999999998</v>
      </c>
      <c r="J17">
        <v>-476.47989999999999</v>
      </c>
      <c r="K17">
        <v>1.1095649999999999</v>
      </c>
      <c r="L17">
        <v>367.21710000000002</v>
      </c>
      <c r="M17">
        <v>0.99997100000000005</v>
      </c>
      <c r="N17">
        <v>0</v>
      </c>
      <c r="O17">
        <v>9.8609809999999996E-4</v>
      </c>
      <c r="P17">
        <v>0.99272009999999999</v>
      </c>
      <c r="Q17">
        <v>0.1119052</v>
      </c>
      <c r="R17">
        <v>-4.4545349999999997E-2</v>
      </c>
      <c r="S17">
        <v>3.0928339999999999</v>
      </c>
      <c r="T17">
        <v>-0.7071847</v>
      </c>
      <c r="U17">
        <v>-0.18298339999999999</v>
      </c>
      <c r="V17">
        <v>4.5517219999999997E-2</v>
      </c>
      <c r="W17">
        <v>0.1194042</v>
      </c>
      <c r="X17">
        <v>0.99180179999999996</v>
      </c>
      <c r="Y17">
        <v>5.8514429999999999E-2</v>
      </c>
      <c r="Z17">
        <v>-6.8213839999999998E-3</v>
      </c>
      <c r="AA17">
        <v>0.99826320000000002</v>
      </c>
      <c r="AB17">
        <v>2</v>
      </c>
      <c r="AC17">
        <v>0.67660000000000697</v>
      </c>
      <c r="AD17">
        <v>-0.158181299999999</v>
      </c>
      <c r="AE17">
        <v>-4.1300000000035197E-2</v>
      </c>
      <c r="AF17">
        <v>3.9799921231144397E-2</v>
      </c>
      <c r="AG17">
        <v>-0.158181299999999</v>
      </c>
      <c r="AH17">
        <v>0.64162005622393803</v>
      </c>
      <c r="AI17">
        <v>103.823650284948</v>
      </c>
      <c r="AJ17">
        <v>86.450470258396507</v>
      </c>
      <c r="AK17">
        <v>0.66202843892729002</v>
      </c>
      <c r="AL17">
        <v>83.142281441185105</v>
      </c>
      <c r="AM17">
        <v>87.372341982196602</v>
      </c>
      <c r="AN17">
        <v>0.99999999538870399</v>
      </c>
    </row>
    <row r="18" spans="1:40" x14ac:dyDescent="0.25">
      <c r="A18" t="str">
        <f>"20190312172055322"</f>
        <v>20190312172055322</v>
      </c>
      <c r="B18" t="str">
        <f>"1552382455311588"</f>
        <v>1552382455311588</v>
      </c>
      <c r="C18" t="s">
        <v>40</v>
      </c>
      <c r="D18">
        <v>3.5887069999999999</v>
      </c>
      <c r="E18">
        <v>0.50876080000000001</v>
      </c>
      <c r="F18" t="s">
        <v>41</v>
      </c>
      <c r="G18">
        <v>-475.786</v>
      </c>
      <c r="H18">
        <v>0.95167849999999998</v>
      </c>
      <c r="I18">
        <v>367.17660000000001</v>
      </c>
      <c r="J18">
        <v>-476.4692</v>
      </c>
      <c r="K18">
        <v>1.1094889999999999</v>
      </c>
      <c r="L18">
        <v>367.21719999999999</v>
      </c>
      <c r="M18">
        <v>0.99997429999999998</v>
      </c>
      <c r="N18">
        <v>0</v>
      </c>
      <c r="O18">
        <v>1.0639779999999999E-3</v>
      </c>
      <c r="P18">
        <v>0.99262859999999997</v>
      </c>
      <c r="Q18">
        <v>0.1128733</v>
      </c>
      <c r="R18">
        <v>-4.4142670000000002E-2</v>
      </c>
      <c r="S18">
        <v>3.0933839999999999</v>
      </c>
      <c r="T18">
        <v>-0.70431659999999996</v>
      </c>
      <c r="U18">
        <v>-0.1784973</v>
      </c>
      <c r="V18">
        <v>4.5188140000000002E-2</v>
      </c>
      <c r="W18">
        <v>0.11993769999999999</v>
      </c>
      <c r="X18">
        <v>0.99175250000000004</v>
      </c>
      <c r="Y18">
        <v>5.718347E-2</v>
      </c>
      <c r="Z18">
        <v>-6.6615190000000003E-3</v>
      </c>
      <c r="AA18">
        <v>0.99834140000000005</v>
      </c>
      <c r="AB18">
        <v>2</v>
      </c>
      <c r="AC18">
        <v>0.68319999999999903</v>
      </c>
      <c r="AD18">
        <v>-0.15781049999999899</v>
      </c>
      <c r="AE18">
        <v>-4.0599999999983503E-2</v>
      </c>
      <c r="AF18">
        <v>3.9240586747324502E-2</v>
      </c>
      <c r="AG18">
        <v>-0.15781049999999899</v>
      </c>
      <c r="AH18">
        <v>0.64866842833627703</v>
      </c>
      <c r="AI18">
        <v>103.649482676804</v>
      </c>
      <c r="AJ18">
        <v>86.538164468483004</v>
      </c>
      <c r="AK18">
        <v>0.66874113637399402</v>
      </c>
      <c r="AL18">
        <v>83.111493057981093</v>
      </c>
      <c r="AM18">
        <v>87.391183563719096</v>
      </c>
      <c r="AN18">
        <v>1.00000002056709</v>
      </c>
    </row>
    <row r="19" spans="1:40" x14ac:dyDescent="0.25">
      <c r="A19" t="str">
        <f>"20190312172055334"</f>
        <v>20190312172055334</v>
      </c>
      <c r="B19" t="str">
        <f>"1552382455331109"</f>
        <v>1552382455331109</v>
      </c>
      <c r="C19" t="s">
        <v>40</v>
      </c>
      <c r="D19">
        <v>3.4792390000000002</v>
      </c>
      <c r="E19">
        <v>0.50854409999999906</v>
      </c>
      <c r="F19" t="s">
        <v>41</v>
      </c>
      <c r="G19">
        <v>-475.7704</v>
      </c>
      <c r="H19">
        <v>0.95097730000000003</v>
      </c>
      <c r="I19">
        <v>367.17689999999999</v>
      </c>
      <c r="J19">
        <v>-476.45940000000002</v>
      </c>
      <c r="K19">
        <v>1.109551</v>
      </c>
      <c r="L19">
        <v>367.21730000000002</v>
      </c>
      <c r="M19">
        <v>0.99997369999999997</v>
      </c>
      <c r="N19">
        <v>0</v>
      </c>
      <c r="O19">
        <v>1.1114709999999999E-3</v>
      </c>
      <c r="P19">
        <v>0.99257430000000002</v>
      </c>
      <c r="Q19">
        <v>0.1135876</v>
      </c>
      <c r="R19">
        <v>-4.3521940000000002E-2</v>
      </c>
      <c r="S19">
        <v>3.0942690000000002</v>
      </c>
      <c r="T19">
        <v>-0.70211599999999996</v>
      </c>
      <c r="U19">
        <v>-0.17648320000000001</v>
      </c>
      <c r="V19">
        <v>4.4613930000000003E-2</v>
      </c>
      <c r="W19">
        <v>0.12070980000000001</v>
      </c>
      <c r="X19">
        <v>0.99168480000000003</v>
      </c>
      <c r="Y19">
        <v>5.6590469999999997E-2</v>
      </c>
      <c r="Z19">
        <v>-6.5837430000000004E-3</v>
      </c>
      <c r="AA19">
        <v>0.99837580000000004</v>
      </c>
      <c r="AB19">
        <v>2</v>
      </c>
      <c r="AC19">
        <v>0.68900000000002104</v>
      </c>
      <c r="AD19">
        <v>-0.15857369999999901</v>
      </c>
      <c r="AE19">
        <v>-4.0400000000033701E-2</v>
      </c>
      <c r="AF19">
        <v>3.9101706561860801E-2</v>
      </c>
      <c r="AG19">
        <v>-0.15857369999999901</v>
      </c>
      <c r="AH19">
        <v>0.65440983755443105</v>
      </c>
      <c r="AI19">
        <v>103.597765478139</v>
      </c>
      <c r="AJ19">
        <v>86.580579707546505</v>
      </c>
      <c r="AK19">
        <v>0.67448261450963798</v>
      </c>
      <c r="AL19">
        <v>83.0669310921772</v>
      </c>
      <c r="AM19">
        <v>87.424113510201494</v>
      </c>
      <c r="AN19">
        <v>1.0000000005585601</v>
      </c>
    </row>
    <row r="20" spans="1:40" x14ac:dyDescent="0.25">
      <c r="A20" t="str">
        <f>"20190312172055353"</f>
        <v>20190312172055353</v>
      </c>
      <c r="B20" t="str">
        <f>"1552382455351604"</f>
        <v>1552382455351604</v>
      </c>
      <c r="C20" t="s">
        <v>40</v>
      </c>
      <c r="D20">
        <v>3.5893259999999998</v>
      </c>
      <c r="E20">
        <v>0.50831510000000002</v>
      </c>
      <c r="F20" t="s">
        <v>41</v>
      </c>
      <c r="G20">
        <v>-475.76909999999998</v>
      </c>
      <c r="H20">
        <v>0.95348370000000005</v>
      </c>
      <c r="I20">
        <v>367.1782</v>
      </c>
      <c r="J20">
        <v>-476.44639999999998</v>
      </c>
      <c r="K20">
        <v>1.1098300000000001</v>
      </c>
      <c r="L20">
        <v>367.21749999999997</v>
      </c>
      <c r="M20">
        <v>0.99996750000000001</v>
      </c>
      <c r="N20">
        <v>0</v>
      </c>
      <c r="O20">
        <v>1.154553E-3</v>
      </c>
      <c r="P20">
        <v>0.99262589999999995</v>
      </c>
      <c r="Q20">
        <v>0.1135116</v>
      </c>
      <c r="R20">
        <v>-4.2536789999999998E-2</v>
      </c>
      <c r="S20">
        <v>3.09491</v>
      </c>
      <c r="T20">
        <v>-0.70006429999999997</v>
      </c>
      <c r="U20">
        <v>-0.17343140000000001</v>
      </c>
      <c r="V20">
        <v>4.3675760000000001E-2</v>
      </c>
      <c r="W20">
        <v>0.1214496</v>
      </c>
      <c r="X20">
        <v>0.99163619999999997</v>
      </c>
      <c r="Y20">
        <v>5.5671379999999999E-2</v>
      </c>
      <c r="Z20">
        <v>-6.4708730000000002E-3</v>
      </c>
      <c r="AA20">
        <v>0.99842819999999999</v>
      </c>
      <c r="AB20">
        <v>2</v>
      </c>
      <c r="AC20">
        <v>0.67730000000000201</v>
      </c>
      <c r="AD20">
        <v>-0.15634629999999899</v>
      </c>
      <c r="AE20">
        <v>-3.9299999999968797E-2</v>
      </c>
      <c r="AF20">
        <v>3.8060681612870198E-2</v>
      </c>
      <c r="AG20">
        <v>-0.15634629999999899</v>
      </c>
      <c r="AH20">
        <v>0.64310089219267597</v>
      </c>
      <c r="AI20">
        <v>103.641295613591</v>
      </c>
      <c r="AJ20">
        <v>86.613010958224393</v>
      </c>
      <c r="AK20">
        <v>0.66292649558419503</v>
      </c>
      <c r="AL20">
        <v>83.024229261407001</v>
      </c>
      <c r="AM20">
        <v>87.478086773595706</v>
      </c>
      <c r="AN20">
        <v>0.99999996525108803</v>
      </c>
    </row>
    <row r="21" spans="1:40" x14ac:dyDescent="0.25">
      <c r="A21" t="str">
        <f>"20190312172055377"</f>
        <v>20190312172055377</v>
      </c>
      <c r="B21" t="str">
        <f>"1552382455372100"</f>
        <v>1552382455372100</v>
      </c>
      <c r="C21" t="s">
        <v>40</v>
      </c>
      <c r="D21">
        <v>3.4636</v>
      </c>
      <c r="E21">
        <v>0.50834769999999996</v>
      </c>
      <c r="F21" t="s">
        <v>41</v>
      </c>
      <c r="G21">
        <v>-475.75630000000001</v>
      </c>
      <c r="H21">
        <v>0.95349059999999997</v>
      </c>
      <c r="I21">
        <v>367.1789</v>
      </c>
      <c r="J21">
        <v>-476.43329999999997</v>
      </c>
      <c r="K21">
        <v>1.110284</v>
      </c>
      <c r="L21">
        <v>367.2176</v>
      </c>
      <c r="M21">
        <v>0.99995259999999997</v>
      </c>
      <c r="N21">
        <v>0</v>
      </c>
      <c r="O21">
        <v>1.1742289999999999E-3</v>
      </c>
      <c r="P21">
        <v>0.99272229999999995</v>
      </c>
      <c r="Q21">
        <v>0.1129883</v>
      </c>
      <c r="R21">
        <v>-4.1666519999999999E-2</v>
      </c>
      <c r="S21">
        <v>3.095215</v>
      </c>
      <c r="T21">
        <v>-0.70157019999999903</v>
      </c>
      <c r="U21">
        <v>-0.17053219999999999</v>
      </c>
      <c r="V21">
        <v>4.2836319999999997E-2</v>
      </c>
      <c r="W21">
        <v>0.1225855</v>
      </c>
      <c r="X21">
        <v>0.99153309999999995</v>
      </c>
      <c r="Y21">
        <v>5.4769610000000003E-2</v>
      </c>
      <c r="Z21">
        <v>-6.3875470000000004E-3</v>
      </c>
      <c r="AA21">
        <v>0.99847859999999999</v>
      </c>
      <c r="AB21">
        <v>2</v>
      </c>
      <c r="AC21">
        <v>0.67699999999996396</v>
      </c>
      <c r="AD21">
        <v>-0.1567934</v>
      </c>
      <c r="AE21">
        <v>-3.8700000000005702E-2</v>
      </c>
      <c r="AF21">
        <v>3.7490568069218903E-2</v>
      </c>
      <c r="AG21">
        <v>-0.1567934</v>
      </c>
      <c r="AH21">
        <v>0.642598222484843</v>
      </c>
      <c r="AI21">
        <v>103.68978833868</v>
      </c>
      <c r="AJ21">
        <v>86.661025462367505</v>
      </c>
      <c r="AK21">
        <v>0.66251202896128003</v>
      </c>
      <c r="AL21">
        <v>82.958657419822103</v>
      </c>
      <c r="AM21">
        <v>87.526239811353605</v>
      </c>
      <c r="AN21">
        <v>1.0000000217584999</v>
      </c>
    </row>
    <row r="22" spans="1:40" x14ac:dyDescent="0.25">
      <c r="A22" t="str">
        <f>"20190312172055402"</f>
        <v>20190312172055402</v>
      </c>
      <c r="B22" t="str">
        <f>"1552382455391621"</f>
        <v>1552382455391621</v>
      </c>
      <c r="C22" t="s">
        <v>40</v>
      </c>
      <c r="D22">
        <v>3.4604339999999998</v>
      </c>
      <c r="E22">
        <v>0.50838930000000004</v>
      </c>
      <c r="F22" t="s">
        <v>41</v>
      </c>
      <c r="G22">
        <v>-475.74529999999999</v>
      </c>
      <c r="H22">
        <v>0.95445720000000001</v>
      </c>
      <c r="I22">
        <v>367.17970000000003</v>
      </c>
      <c r="J22">
        <v>-476.41559999999998</v>
      </c>
      <c r="K22">
        <v>1.110141</v>
      </c>
      <c r="L22">
        <v>367.21769999999998</v>
      </c>
      <c r="M22">
        <v>0.99995540000000005</v>
      </c>
      <c r="N22">
        <v>0</v>
      </c>
      <c r="O22">
        <v>1.231546E-3</v>
      </c>
      <c r="P22">
        <v>0.99258109999999999</v>
      </c>
      <c r="Q22">
        <v>0.11458400000000001</v>
      </c>
      <c r="R22">
        <v>-4.0666679999999997E-2</v>
      </c>
      <c r="S22">
        <v>3.0946660000000001</v>
      </c>
      <c r="T22">
        <v>-0.70119200000000004</v>
      </c>
      <c r="U22">
        <v>-0.16906740000000001</v>
      </c>
      <c r="V22">
        <v>4.1893989999999999E-2</v>
      </c>
      <c r="W22">
        <v>0.123892</v>
      </c>
      <c r="X22">
        <v>0.99141100000000004</v>
      </c>
      <c r="Y22">
        <v>5.4374850000000002E-2</v>
      </c>
      <c r="Z22">
        <v>-6.3540569999999998E-3</v>
      </c>
      <c r="AA22">
        <v>0.99850030000000001</v>
      </c>
      <c r="AB22">
        <v>1</v>
      </c>
      <c r="AC22">
        <v>0.67029999999999701</v>
      </c>
      <c r="AD22">
        <v>-0.15568380000000001</v>
      </c>
      <c r="AE22">
        <v>-3.7999999999954001E-2</v>
      </c>
      <c r="AF22">
        <v>3.6844325563569397E-2</v>
      </c>
      <c r="AG22">
        <v>-0.15568380000000001</v>
      </c>
      <c r="AH22">
        <v>0.63605105666206896</v>
      </c>
      <c r="AI22">
        <v>103.731517466466</v>
      </c>
      <c r="AJ22">
        <v>86.684750550678601</v>
      </c>
      <c r="AK22">
        <v>0.65586271169323895</v>
      </c>
      <c r="AL22">
        <v>82.883225685767997</v>
      </c>
      <c r="AM22">
        <v>87.580295542127303</v>
      </c>
      <c r="AN22">
        <v>1.00000005249155</v>
      </c>
    </row>
    <row r="23" spans="1:40" x14ac:dyDescent="0.25">
      <c r="A23" t="str">
        <f>"20190312172055421"</f>
        <v>20190312172055421</v>
      </c>
      <c r="B23" t="str">
        <f>"1552382455411143"</f>
        <v>1552382455411143</v>
      </c>
      <c r="C23" t="s">
        <v>40</v>
      </c>
      <c r="D23">
        <v>3.454882</v>
      </c>
      <c r="E23">
        <v>0.50846359999999902</v>
      </c>
      <c r="F23" t="s">
        <v>41</v>
      </c>
      <c r="G23">
        <v>-475.71210000000002</v>
      </c>
      <c r="H23">
        <v>0.95232810000000001</v>
      </c>
      <c r="I23">
        <v>367.17930000000001</v>
      </c>
      <c r="J23">
        <v>-476.39580000000001</v>
      </c>
      <c r="K23">
        <v>1.1097669999999999</v>
      </c>
      <c r="L23">
        <v>367.21789999999999</v>
      </c>
      <c r="M23">
        <v>0.99996629999999997</v>
      </c>
      <c r="N23">
        <v>0</v>
      </c>
      <c r="O23">
        <v>1.3488040000000001E-3</v>
      </c>
      <c r="P23">
        <v>0.99233839999999995</v>
      </c>
      <c r="Q23">
        <v>0.1170469</v>
      </c>
      <c r="R23">
        <v>-3.9554680000000002E-2</v>
      </c>
      <c r="S23">
        <v>3.0957029999999999</v>
      </c>
      <c r="T23">
        <v>-0.69463359999999996</v>
      </c>
      <c r="U23">
        <v>-0.16793820000000001</v>
      </c>
      <c r="V23">
        <v>4.089595E-2</v>
      </c>
      <c r="W23">
        <v>0.1250762</v>
      </c>
      <c r="X23">
        <v>0.99130390000000002</v>
      </c>
      <c r="Y23">
        <v>5.4140189999999998E-2</v>
      </c>
      <c r="Z23">
        <v>-6.2940590000000003E-3</v>
      </c>
      <c r="AA23">
        <v>0.99851350000000005</v>
      </c>
      <c r="AB23">
        <v>2</v>
      </c>
      <c r="AC23">
        <v>0.68369999999998698</v>
      </c>
      <c r="AD23">
        <v>-0.15743889999999999</v>
      </c>
      <c r="AE23">
        <v>-3.8599999999973898E-2</v>
      </c>
      <c r="AF23">
        <v>3.7537988872217397E-2</v>
      </c>
      <c r="AG23">
        <v>-0.15743889999999999</v>
      </c>
      <c r="AH23">
        <v>0.64932526826709702</v>
      </c>
      <c r="AI23">
        <v>103.607348439367</v>
      </c>
      <c r="AJ23">
        <v>86.691369925644295</v>
      </c>
      <c r="AK23">
        <v>0.66919310505407803</v>
      </c>
      <c r="AL23">
        <v>82.814843588541905</v>
      </c>
      <c r="AM23">
        <v>87.637619126984902</v>
      </c>
      <c r="AN23">
        <v>0.99999997834402599</v>
      </c>
    </row>
    <row r="24" spans="1:40" x14ac:dyDescent="0.25">
      <c r="A24" t="str">
        <f>"20190312172055443"</f>
        <v>20190312172055443</v>
      </c>
      <c r="B24" t="str">
        <f>"1552382455431640"</f>
        <v>1552382455431640</v>
      </c>
      <c r="C24" t="s">
        <v>40</v>
      </c>
      <c r="D24">
        <v>3.4775659999999999</v>
      </c>
      <c r="E24">
        <v>0.50850810000000002</v>
      </c>
      <c r="F24" t="s">
        <v>41</v>
      </c>
      <c r="G24">
        <v>-475.69029999999998</v>
      </c>
      <c r="H24">
        <v>0.95361839999999998</v>
      </c>
      <c r="I24">
        <v>367.17950000000002</v>
      </c>
      <c r="J24">
        <v>-476.37270000000001</v>
      </c>
      <c r="K24">
        <v>1.1094930000000001</v>
      </c>
      <c r="L24">
        <v>367.21800000000002</v>
      </c>
      <c r="M24">
        <v>0.99997499999999995</v>
      </c>
      <c r="N24">
        <v>0</v>
      </c>
      <c r="O24">
        <v>1.5069079999999999E-3</v>
      </c>
      <c r="P24">
        <v>0.99206810000000001</v>
      </c>
      <c r="Q24">
        <v>0.11977359999999999</v>
      </c>
      <c r="R24">
        <v>-3.8147479999999998E-2</v>
      </c>
      <c r="S24">
        <v>3.0974430000000002</v>
      </c>
      <c r="T24">
        <v>-0.68596550000000001</v>
      </c>
      <c r="U24">
        <v>-0.16699220000000001</v>
      </c>
      <c r="V24">
        <v>3.9639750000000001E-2</v>
      </c>
      <c r="W24">
        <v>0.12662499999999999</v>
      </c>
      <c r="X24">
        <v>0.99115830000000005</v>
      </c>
      <c r="Y24">
        <v>5.399843E-2</v>
      </c>
      <c r="Z24">
        <v>-6.2331009999999996E-3</v>
      </c>
      <c r="AA24">
        <v>0.99852160000000001</v>
      </c>
      <c r="AB24">
        <v>2</v>
      </c>
      <c r="AC24">
        <v>0.68240000000002898</v>
      </c>
      <c r="AD24">
        <v>-0.155874599999999</v>
      </c>
      <c r="AE24">
        <v>-3.8499999999999E-2</v>
      </c>
      <c r="AF24">
        <v>3.75740435154822E-2</v>
      </c>
      <c r="AG24">
        <v>-0.155874599999999</v>
      </c>
      <c r="AH24">
        <v>0.64860673438240901</v>
      </c>
      <c r="AI24">
        <v>103.491397224954</v>
      </c>
      <c r="AJ24">
        <v>86.684538438550007</v>
      </c>
      <c r="AK24">
        <v>0.66813127120160798</v>
      </c>
      <c r="AL24">
        <v>82.725392738817504</v>
      </c>
      <c r="AM24">
        <v>87.709769834613297</v>
      </c>
      <c r="AN24">
        <v>0.99999998803197598</v>
      </c>
    </row>
    <row r="25" spans="1:40" x14ac:dyDescent="0.25">
      <c r="A25" t="str">
        <f>"20190312172055456"</f>
        <v>20190312172055456</v>
      </c>
      <c r="B25" t="str">
        <f>"1552382455451156"</f>
        <v>1552382455451156</v>
      </c>
      <c r="C25" t="s">
        <v>40</v>
      </c>
      <c r="D25">
        <v>3.7005309999999998</v>
      </c>
      <c r="E25">
        <v>0.50864290000000001</v>
      </c>
      <c r="F25" t="s">
        <v>41</v>
      </c>
      <c r="G25">
        <v>-475.66680000000002</v>
      </c>
      <c r="H25">
        <v>0.95563290000000001</v>
      </c>
      <c r="I25">
        <v>367.18020000000001</v>
      </c>
      <c r="J25">
        <v>-476.35809999999998</v>
      </c>
      <c r="K25">
        <v>1.1094059999999999</v>
      </c>
      <c r="L25">
        <v>367.21809999999999</v>
      </c>
      <c r="M25">
        <v>0.99997829999999999</v>
      </c>
      <c r="N25">
        <v>0</v>
      </c>
      <c r="O25">
        <v>1.6141910000000001E-3</v>
      </c>
      <c r="P25">
        <v>0.99194499999999997</v>
      </c>
      <c r="Q25">
        <v>0.1210164</v>
      </c>
      <c r="R25">
        <v>-3.7416669999999999E-2</v>
      </c>
      <c r="S25">
        <v>3.0992739999999999</v>
      </c>
      <c r="T25">
        <v>-0.67580430000000002</v>
      </c>
      <c r="U25">
        <v>-0.16436770000000001</v>
      </c>
      <c r="V25">
        <v>3.9011150000000001E-2</v>
      </c>
      <c r="W25">
        <v>0.12734719999999999</v>
      </c>
      <c r="X25">
        <v>0.99109069999999999</v>
      </c>
      <c r="Y25">
        <v>5.3285270000000003E-2</v>
      </c>
      <c r="Z25">
        <v>-6.0858020000000004E-3</v>
      </c>
      <c r="AA25">
        <v>0.99856080000000003</v>
      </c>
      <c r="AB25">
        <v>2</v>
      </c>
      <c r="AC25">
        <v>0.69129999999995495</v>
      </c>
      <c r="AD25">
        <v>-0.153773099999999</v>
      </c>
      <c r="AE25">
        <v>-3.7899999999979103E-2</v>
      </c>
      <c r="AF25">
        <v>3.7181638047923002E-2</v>
      </c>
      <c r="AG25">
        <v>-0.153773099999999</v>
      </c>
      <c r="AH25">
        <v>0.65874123420722797</v>
      </c>
      <c r="AI25">
        <v>103.119375551527</v>
      </c>
      <c r="AJ25">
        <v>86.769455435565206</v>
      </c>
      <c r="AK25">
        <v>0.67747225340702999</v>
      </c>
      <c r="AL25">
        <v>82.683675929233402</v>
      </c>
      <c r="AM25">
        <v>87.745896554142206</v>
      </c>
      <c r="AN25">
        <v>0.999999977399326</v>
      </c>
    </row>
    <row r="26" spans="1:40" x14ac:dyDescent="0.25">
      <c r="A26" t="str">
        <f>"20190312172055468"</f>
        <v>20190312172055468</v>
      </c>
      <c r="B26" t="str">
        <f>"1552382455461893"</f>
        <v>1552382455461893</v>
      </c>
      <c r="C26" t="s">
        <v>40</v>
      </c>
      <c r="D26">
        <v>3.5059179999999999</v>
      </c>
      <c r="E26">
        <v>0.50872659999999903</v>
      </c>
      <c r="F26" t="s">
        <v>41</v>
      </c>
      <c r="G26">
        <v>-475.66489999999999</v>
      </c>
      <c r="H26">
        <v>0.95950930000000001</v>
      </c>
      <c r="I26">
        <v>367.18119999999999</v>
      </c>
      <c r="J26">
        <v>-476.34320000000002</v>
      </c>
      <c r="K26">
        <v>1.1093440000000001</v>
      </c>
      <c r="L26">
        <v>367.2183</v>
      </c>
      <c r="M26">
        <v>0.99998100000000001</v>
      </c>
      <c r="N26">
        <v>0</v>
      </c>
      <c r="O26">
        <v>1.724326E-3</v>
      </c>
      <c r="P26">
        <v>0.99184090000000003</v>
      </c>
      <c r="Q26">
        <v>0.1220436</v>
      </c>
      <c r="R26">
        <v>-3.6836760000000003E-2</v>
      </c>
      <c r="S26">
        <v>3.0999759999999998</v>
      </c>
      <c r="T26">
        <v>-0.67067739999999998</v>
      </c>
      <c r="U26">
        <v>-0.1639099</v>
      </c>
      <c r="V26">
        <v>3.8536309999999997E-2</v>
      </c>
      <c r="W26">
        <v>0.12792609999999999</v>
      </c>
      <c r="X26">
        <v>0.99103470000000005</v>
      </c>
      <c r="Y26">
        <v>5.325419E-2</v>
      </c>
      <c r="Z26">
        <v>-6.0595850000000001E-3</v>
      </c>
      <c r="AA26">
        <v>0.99856259999999997</v>
      </c>
      <c r="AB26">
        <v>2</v>
      </c>
      <c r="AC26">
        <v>0.67830000000003499</v>
      </c>
      <c r="AD26">
        <v>-0.14983469999999999</v>
      </c>
      <c r="AE26">
        <v>-3.7100000000009403E-2</v>
      </c>
      <c r="AF26">
        <v>3.6494131929327003E-2</v>
      </c>
      <c r="AG26">
        <v>-0.14983469999999999</v>
      </c>
      <c r="AH26">
        <v>0.64676960227059899</v>
      </c>
      <c r="AI26">
        <v>103.023397220863</v>
      </c>
      <c r="AJ26">
        <v>86.770496190328302</v>
      </c>
      <c r="AK26">
        <v>0.66490087788378904</v>
      </c>
      <c r="AL26">
        <v>82.650233716123594</v>
      </c>
      <c r="AM26">
        <v>87.773179802723703</v>
      </c>
      <c r="AN26">
        <v>0.99999995542685705</v>
      </c>
    </row>
    <row r="27" spans="1:40" x14ac:dyDescent="0.25">
      <c r="A27" t="str">
        <f>"20190312172055489"</f>
        <v>20190312172055489</v>
      </c>
      <c r="B27" t="str">
        <f>"1552382455481413"</f>
        <v>1552382455481413</v>
      </c>
      <c r="C27" t="s">
        <v>40</v>
      </c>
      <c r="D27">
        <v>3.5480580000000002</v>
      </c>
      <c r="E27">
        <v>0.50881279999999995</v>
      </c>
      <c r="F27" t="s">
        <v>41</v>
      </c>
      <c r="G27">
        <v>-475.64089999999999</v>
      </c>
      <c r="H27">
        <v>0.95851430000000004</v>
      </c>
      <c r="I27">
        <v>367.18060000000003</v>
      </c>
      <c r="J27">
        <v>-476.31920000000002</v>
      </c>
      <c r="K27">
        <v>1.1093599999999999</v>
      </c>
      <c r="L27">
        <v>367.21839999999997</v>
      </c>
      <c r="M27">
        <v>0.9999825</v>
      </c>
      <c r="N27">
        <v>0</v>
      </c>
      <c r="O27">
        <v>1.88153E-3</v>
      </c>
      <c r="P27">
        <v>0.99178650000000002</v>
      </c>
      <c r="Q27">
        <v>0.12281739999999999</v>
      </c>
      <c r="R27">
        <v>-3.5717270000000002E-2</v>
      </c>
      <c r="S27">
        <v>3.100616</v>
      </c>
      <c r="T27">
        <v>-0.666390699999999</v>
      </c>
      <c r="U27">
        <v>-0.1631775</v>
      </c>
      <c r="V27">
        <v>3.7569489999999997E-2</v>
      </c>
      <c r="W27">
        <v>0.1284033</v>
      </c>
      <c r="X27">
        <v>0.99101019999999895</v>
      </c>
      <c r="Y27">
        <v>5.3179659999999997E-2</v>
      </c>
      <c r="Z27">
        <v>-6.0460130000000003E-3</v>
      </c>
      <c r="AA27">
        <v>0.99856670000000003</v>
      </c>
      <c r="AB27">
        <v>3</v>
      </c>
      <c r="AC27">
        <v>0.67830000000003499</v>
      </c>
      <c r="AD27">
        <v>-0.1508457</v>
      </c>
      <c r="AE27">
        <v>-3.7799999999947403E-2</v>
      </c>
      <c r="AF27">
        <v>3.7240135065915003E-2</v>
      </c>
      <c r="AG27">
        <v>-0.1508457</v>
      </c>
      <c r="AH27">
        <v>0.64636002294952999</v>
      </c>
      <c r="AI27">
        <v>103.115409878169</v>
      </c>
      <c r="AJ27">
        <v>86.702540013628294</v>
      </c>
      <c r="AK27">
        <v>0.66477254165280797</v>
      </c>
      <c r="AL27">
        <v>82.622665471454795</v>
      </c>
      <c r="AM27">
        <v>87.828939717780798</v>
      </c>
      <c r="AN27">
        <v>1.00000004526689</v>
      </c>
    </row>
    <row r="28" spans="1:40" x14ac:dyDescent="0.25">
      <c r="A28" t="str">
        <f>"20190312172055501"</f>
        <v>20190312172055501</v>
      </c>
      <c r="B28" t="str">
        <f>"1552382455491172"</f>
        <v>1552382455491172</v>
      </c>
      <c r="C28" t="s">
        <v>40</v>
      </c>
      <c r="D28">
        <v>3.4893399999999999</v>
      </c>
      <c r="E28">
        <v>0.50886569999999998</v>
      </c>
      <c r="F28" t="s">
        <v>41</v>
      </c>
      <c r="G28">
        <v>-475.61720000000003</v>
      </c>
      <c r="H28">
        <v>0.95942269999999996</v>
      </c>
      <c r="I28">
        <v>367.1816</v>
      </c>
      <c r="J28">
        <v>-476.30380000000002</v>
      </c>
      <c r="K28">
        <v>1.1094409999999999</v>
      </c>
      <c r="L28">
        <v>367.21859999999998</v>
      </c>
      <c r="M28">
        <v>0.99998180000000003</v>
      </c>
      <c r="N28">
        <v>0</v>
      </c>
      <c r="O28">
        <v>1.9634790000000002E-3</v>
      </c>
      <c r="P28">
        <v>0.99180409999999997</v>
      </c>
      <c r="Q28">
        <v>0.12282659999999999</v>
      </c>
      <c r="R28">
        <v>-3.5190390000000002E-2</v>
      </c>
      <c r="S28">
        <v>3.1010439999999999</v>
      </c>
      <c r="T28">
        <v>-0.66265850000000004</v>
      </c>
      <c r="U28">
        <v>-0.1613464</v>
      </c>
      <c r="V28">
        <v>3.7124539999999998E-2</v>
      </c>
      <c r="W28">
        <v>0.128495</v>
      </c>
      <c r="X28">
        <v>0.99101499999999998</v>
      </c>
      <c r="Y28">
        <v>5.268958E-2</v>
      </c>
      <c r="Z28">
        <v>-5.977741E-3</v>
      </c>
      <c r="AA28">
        <v>0.99859299999999995</v>
      </c>
      <c r="AB28">
        <v>3</v>
      </c>
      <c r="AC28">
        <v>0.68659999999999799</v>
      </c>
      <c r="AD28">
        <v>-0.15001829999999999</v>
      </c>
      <c r="AE28">
        <v>-3.6999999999977697E-2</v>
      </c>
      <c r="AF28">
        <v>3.660559072926E-2</v>
      </c>
      <c r="AG28">
        <v>-0.15001829999999999</v>
      </c>
      <c r="AH28">
        <v>0.65533121440167497</v>
      </c>
      <c r="AI28">
        <v>102.87457081189601</v>
      </c>
      <c r="AJ28">
        <v>86.802886004686101</v>
      </c>
      <c r="AK28">
        <v>0.67327888736889796</v>
      </c>
      <c r="AL28">
        <v>82.617366953279998</v>
      </c>
      <c r="AM28">
        <v>87.854638635302905</v>
      </c>
      <c r="AN28">
        <v>0.99999996336010499</v>
      </c>
    </row>
    <row r="29" spans="1:40" x14ac:dyDescent="0.25">
      <c r="A29" t="str">
        <f>"20190312172055513"</f>
        <v>20190312172055513</v>
      </c>
      <c r="B29" t="str">
        <f>"1552382455501909"</f>
        <v>1552382455501909</v>
      </c>
      <c r="C29" t="s">
        <v>40</v>
      </c>
      <c r="D29">
        <v>3.6330659999999999</v>
      </c>
      <c r="E29">
        <v>0.50894209999999995</v>
      </c>
      <c r="F29" t="s">
        <v>41</v>
      </c>
      <c r="G29">
        <v>-475.5915</v>
      </c>
      <c r="H29">
        <v>0.95741370000000003</v>
      </c>
      <c r="I29">
        <v>367.18130000000002</v>
      </c>
      <c r="J29">
        <v>-476.28730000000002</v>
      </c>
      <c r="K29">
        <v>1.109386</v>
      </c>
      <c r="L29">
        <v>367.21879999999999</v>
      </c>
      <c r="M29">
        <v>0.99998350000000003</v>
      </c>
      <c r="N29">
        <v>0</v>
      </c>
      <c r="O29">
        <v>2.0582959999999998E-3</v>
      </c>
      <c r="P29">
        <v>0.99175630000000004</v>
      </c>
      <c r="Q29">
        <v>0.1233843</v>
      </c>
      <c r="R29">
        <v>-3.4575059999999998E-2</v>
      </c>
      <c r="S29">
        <v>3.1010439999999999</v>
      </c>
      <c r="T29">
        <v>-0.66210400000000003</v>
      </c>
      <c r="U29">
        <v>-0.160553</v>
      </c>
      <c r="V29">
        <v>3.6601830000000002E-2</v>
      </c>
      <c r="W29">
        <v>0.1286988</v>
      </c>
      <c r="X29">
        <v>0.991008</v>
      </c>
      <c r="Y29">
        <v>5.2532839999999997E-2</v>
      </c>
      <c r="Z29">
        <v>-5.9763580000000002E-3</v>
      </c>
      <c r="AA29">
        <v>0.99860130000000003</v>
      </c>
      <c r="AB29">
        <v>3</v>
      </c>
      <c r="AC29">
        <v>0.69580000000001896</v>
      </c>
      <c r="AD29">
        <v>-0.1519723</v>
      </c>
      <c r="AE29">
        <v>-3.7499999999965797E-2</v>
      </c>
      <c r="AF29">
        <v>3.7164329752261797E-2</v>
      </c>
      <c r="AG29">
        <v>-0.1519723</v>
      </c>
      <c r="AH29">
        <v>0.66413101059105595</v>
      </c>
      <c r="AI29">
        <v>102.86955224410001</v>
      </c>
      <c r="AJ29">
        <v>86.797106719287299</v>
      </c>
      <c r="AK29">
        <v>0.682309875790995</v>
      </c>
      <c r="AL29">
        <v>82.6055923239159</v>
      </c>
      <c r="AM29">
        <v>87.884802559763898</v>
      </c>
      <c r="AN29">
        <v>0.99999996557239301</v>
      </c>
    </row>
    <row r="30" spans="1:40" x14ac:dyDescent="0.25">
      <c r="A30" t="str">
        <f>"20190312172055533"</f>
        <v>20190312172055533</v>
      </c>
      <c r="B30" t="str">
        <f>"1552382455521432"</f>
        <v>1552382455521432</v>
      </c>
      <c r="C30" t="s">
        <v>40</v>
      </c>
      <c r="D30">
        <v>3.5028090000000001</v>
      </c>
      <c r="E30">
        <v>0.50909219999999999</v>
      </c>
      <c r="F30" t="s">
        <v>41</v>
      </c>
      <c r="G30">
        <v>-475.58969999999999</v>
      </c>
      <c r="H30">
        <v>0.96115519999999999</v>
      </c>
      <c r="I30">
        <v>367.18239999999997</v>
      </c>
      <c r="J30">
        <v>-476.26010000000002</v>
      </c>
      <c r="K30">
        <v>1.1092390000000001</v>
      </c>
      <c r="L30">
        <v>367.21899999999999</v>
      </c>
      <c r="M30">
        <v>0.99998719999999996</v>
      </c>
      <c r="N30">
        <v>0</v>
      </c>
      <c r="O30">
        <v>2.2269619999999999E-3</v>
      </c>
      <c r="P30">
        <v>0.99168250000000002</v>
      </c>
      <c r="Q30">
        <v>0.1243601</v>
      </c>
      <c r="R30">
        <v>-3.3174799999999997E-2</v>
      </c>
      <c r="S30">
        <v>3.10141</v>
      </c>
      <c r="T30">
        <v>-0.65929059999999995</v>
      </c>
      <c r="U30">
        <v>-0.15969849999999999</v>
      </c>
      <c r="V30">
        <v>3.5366370000000001E-2</v>
      </c>
      <c r="W30">
        <v>0.1288927</v>
      </c>
      <c r="X30">
        <v>0.99102769999999996</v>
      </c>
      <c r="Y30">
        <v>5.2429860000000002E-2</v>
      </c>
      <c r="Z30">
        <v>-5.97549E-3</v>
      </c>
      <c r="AA30">
        <v>0.99860669999999996</v>
      </c>
      <c r="AB30">
        <v>3</v>
      </c>
      <c r="AC30">
        <v>0.67040000000002897</v>
      </c>
      <c r="AD30">
        <v>-0.14808379999999899</v>
      </c>
      <c r="AE30">
        <v>-3.6600000000021199E-2</v>
      </c>
      <c r="AF30">
        <v>3.6325747356710701E-2</v>
      </c>
      <c r="AG30">
        <v>-0.14808379999999899</v>
      </c>
      <c r="AH30">
        <v>0.63922076329060196</v>
      </c>
      <c r="AI30">
        <v>103.022933701675</v>
      </c>
      <c r="AJ30">
        <v>86.747483857841104</v>
      </c>
      <c r="AK30">
        <v>0.657154134100428</v>
      </c>
      <c r="AL30">
        <v>82.594389659143602</v>
      </c>
      <c r="AM30">
        <v>87.956178025284999</v>
      </c>
      <c r="AN30">
        <v>1.0000000052037701</v>
      </c>
    </row>
    <row r="31" spans="1:40" x14ac:dyDescent="0.25">
      <c r="A31" t="str">
        <f>"20190312172055545"</f>
        <v>20190312172055545</v>
      </c>
      <c r="B31" t="str">
        <f>"1552382455541924"</f>
        <v>1552382455541924</v>
      </c>
      <c r="C31" t="s">
        <v>40</v>
      </c>
      <c r="D31">
        <v>3.687443</v>
      </c>
      <c r="E31">
        <v>0.50930120000000001</v>
      </c>
      <c r="F31" t="s">
        <v>41</v>
      </c>
      <c r="G31">
        <v>-475.5598</v>
      </c>
      <c r="H31">
        <v>0.96105739999999995</v>
      </c>
      <c r="I31">
        <v>367.18299999999999</v>
      </c>
      <c r="J31">
        <v>-476.2398</v>
      </c>
      <c r="K31">
        <v>1.1091249999999999</v>
      </c>
      <c r="L31">
        <v>367.2192</v>
      </c>
      <c r="M31">
        <v>0.99998940000000003</v>
      </c>
      <c r="N31">
        <v>0</v>
      </c>
      <c r="O31">
        <v>2.3623239999999998E-3</v>
      </c>
      <c r="P31">
        <v>0.99160510000000002</v>
      </c>
      <c r="Q31">
        <v>0.12514130000000001</v>
      </c>
      <c r="R31">
        <v>-3.2548180000000003E-2</v>
      </c>
      <c r="S31">
        <v>3.1022340000000002</v>
      </c>
      <c r="T31">
        <v>-0.65664630000000002</v>
      </c>
      <c r="U31">
        <v>-0.15780640000000001</v>
      </c>
      <c r="V31">
        <v>3.4872180000000003E-2</v>
      </c>
      <c r="W31">
        <v>0.12905539999999999</v>
      </c>
      <c r="X31">
        <v>0.99102400000000002</v>
      </c>
      <c r="Y31">
        <v>5.1961510000000002E-2</v>
      </c>
      <c r="Z31">
        <v>-5.9299139999999997E-3</v>
      </c>
      <c r="AA31">
        <v>0.99863150000000001</v>
      </c>
      <c r="AB31">
        <v>3</v>
      </c>
      <c r="AC31">
        <v>0.68000000000000604</v>
      </c>
      <c r="AD31">
        <v>-0.14806759999999899</v>
      </c>
      <c r="AE31">
        <v>-3.6199999999951098E-2</v>
      </c>
      <c r="AF31">
        <v>3.60995231710661E-2</v>
      </c>
      <c r="AG31">
        <v>-0.14806759999999899</v>
      </c>
      <c r="AH31">
        <v>0.64921786665771297</v>
      </c>
      <c r="AI31">
        <v>102.828575945629</v>
      </c>
      <c r="AJ31">
        <v>86.817366437101697</v>
      </c>
      <c r="AK31">
        <v>0.66686657445888697</v>
      </c>
      <c r="AL31">
        <v>82.584988836597603</v>
      </c>
      <c r="AM31">
        <v>87.984706024003202</v>
      </c>
      <c r="AN31">
        <v>0.99999996689155501</v>
      </c>
    </row>
    <row r="32" spans="1:40" x14ac:dyDescent="0.25">
      <c r="A32" t="str">
        <f>"20190312172055558"</f>
        <v>20190312172055558</v>
      </c>
      <c r="B32" t="str">
        <f>"1552382455551684"</f>
        <v>1552382455551684</v>
      </c>
      <c r="C32" t="s">
        <v>40</v>
      </c>
      <c r="D32">
        <v>3.4929169999999998</v>
      </c>
      <c r="E32">
        <v>0.50935870000000005</v>
      </c>
      <c r="F32" t="s">
        <v>41</v>
      </c>
      <c r="G32">
        <v>-475.52820000000003</v>
      </c>
      <c r="H32">
        <v>0.95926369999999905</v>
      </c>
      <c r="I32">
        <v>367.18259999999998</v>
      </c>
      <c r="J32">
        <v>-476.21890000000002</v>
      </c>
      <c r="K32">
        <v>1.109022</v>
      </c>
      <c r="L32">
        <v>367.21940000000001</v>
      </c>
      <c r="M32">
        <v>0.99999139999999997</v>
      </c>
      <c r="N32">
        <v>0</v>
      </c>
      <c r="O32">
        <v>2.506865E-3</v>
      </c>
      <c r="P32">
        <v>0.99146500000000004</v>
      </c>
      <c r="Q32">
        <v>0.12641369999999999</v>
      </c>
      <c r="R32">
        <v>-3.1894209999999999E-2</v>
      </c>
      <c r="S32">
        <v>3.1026609999999999</v>
      </c>
      <c r="T32">
        <v>-0.65363629999999995</v>
      </c>
      <c r="U32">
        <v>-0.1580811</v>
      </c>
      <c r="V32">
        <v>3.4359630000000002E-2</v>
      </c>
      <c r="W32">
        <v>0.12973100000000001</v>
      </c>
      <c r="X32">
        <v>0.99095370000000005</v>
      </c>
      <c r="Y32">
        <v>5.2190069999999998E-2</v>
      </c>
      <c r="Z32">
        <v>-5.9564099999999997E-3</v>
      </c>
      <c r="AA32">
        <v>0.99861940000000005</v>
      </c>
      <c r="AB32">
        <v>3</v>
      </c>
      <c r="AC32">
        <v>0.69069999999999199</v>
      </c>
      <c r="AD32">
        <v>-0.14975830000000001</v>
      </c>
      <c r="AE32">
        <v>-3.6800000000027901E-2</v>
      </c>
      <c r="AF32">
        <v>3.6805983687372902E-2</v>
      </c>
      <c r="AG32">
        <v>-0.14975830000000001</v>
      </c>
      <c r="AH32">
        <v>0.65968086205333898</v>
      </c>
      <c r="AI32">
        <v>102.77108455923199</v>
      </c>
      <c r="AJ32">
        <v>86.806571911072197</v>
      </c>
      <c r="AK32">
        <v>0.67746665498275405</v>
      </c>
      <c r="AL32">
        <v>82.545951702897895</v>
      </c>
      <c r="AM32">
        <v>88.014162094253606</v>
      </c>
      <c r="AN32">
        <v>0.99999997603921298</v>
      </c>
    </row>
    <row r="33" spans="1:40" x14ac:dyDescent="0.25">
      <c r="A33" t="str">
        <f>"20190312172055579"</f>
        <v>20190312172055579</v>
      </c>
      <c r="B33" t="str">
        <f>"1552382455572183"</f>
        <v>1552382455572183</v>
      </c>
      <c r="C33" t="s">
        <v>40</v>
      </c>
      <c r="D33">
        <v>3.6386569999999998</v>
      </c>
      <c r="E33">
        <v>0.50944069999999997</v>
      </c>
      <c r="F33" t="s">
        <v>41</v>
      </c>
      <c r="G33">
        <v>-475.52589999999998</v>
      </c>
      <c r="H33">
        <v>0.96397880000000002</v>
      </c>
      <c r="I33">
        <v>367.18389999999999</v>
      </c>
      <c r="J33">
        <v>-476.18520000000001</v>
      </c>
      <c r="K33">
        <v>1.10894</v>
      </c>
      <c r="L33">
        <v>367.21980000000002</v>
      </c>
      <c r="M33">
        <v>0.99999280000000002</v>
      </c>
      <c r="N33">
        <v>0</v>
      </c>
      <c r="O33">
        <v>2.748683E-3</v>
      </c>
      <c r="P33">
        <v>0.99120719999999995</v>
      </c>
      <c r="Q33">
        <v>0.128718</v>
      </c>
      <c r="R33">
        <v>-3.0663880000000001E-2</v>
      </c>
      <c r="S33">
        <v>3.103577</v>
      </c>
      <c r="T33">
        <v>-0.64986769999999905</v>
      </c>
      <c r="U33">
        <v>-0.15740970000000001</v>
      </c>
      <c r="V33">
        <v>3.3366069999999998E-2</v>
      </c>
      <c r="W33">
        <v>0.13129440000000001</v>
      </c>
      <c r="X33">
        <v>0.99078169999999999</v>
      </c>
      <c r="Y33">
        <v>5.2209730000000003E-2</v>
      </c>
      <c r="Z33">
        <v>-5.9732159999999999E-3</v>
      </c>
      <c r="AA33">
        <v>0.99861829999999996</v>
      </c>
      <c r="AB33">
        <v>3</v>
      </c>
      <c r="AC33">
        <v>0.65930000000002997</v>
      </c>
      <c r="AD33">
        <v>-0.14496120000000001</v>
      </c>
      <c r="AE33">
        <v>-3.5900000000026397E-2</v>
      </c>
      <c r="AF33">
        <v>3.5977923069684198E-2</v>
      </c>
      <c r="AG33">
        <v>-0.14496120000000001</v>
      </c>
      <c r="AH33">
        <v>0.62888619636163101</v>
      </c>
      <c r="AI33">
        <v>102.959750380957</v>
      </c>
      <c r="AJ33">
        <v>86.725737201318395</v>
      </c>
      <c r="AK33">
        <v>0.64637915222263198</v>
      </c>
      <c r="AL33">
        <v>82.455602450174794</v>
      </c>
      <c r="AM33">
        <v>88.0712070306828</v>
      </c>
      <c r="AN33">
        <v>0.99999994557674499</v>
      </c>
    </row>
    <row r="34" spans="1:40" x14ac:dyDescent="0.25">
      <c r="A34" t="str">
        <f>"20190312172055602"</f>
        <v>20190312172055602</v>
      </c>
      <c r="B34" t="str">
        <f>"1552382455591700"</f>
        <v>1552382455591700</v>
      </c>
      <c r="C34" t="s">
        <v>40</v>
      </c>
      <c r="D34">
        <v>3.645311</v>
      </c>
      <c r="E34">
        <v>0.50948230000000005</v>
      </c>
      <c r="F34" t="s">
        <v>41</v>
      </c>
      <c r="G34">
        <v>-475.49079999999998</v>
      </c>
      <c r="H34">
        <v>0.96531880000000003</v>
      </c>
      <c r="I34">
        <v>367.18450000000001</v>
      </c>
      <c r="J34">
        <v>-476.142</v>
      </c>
      <c r="K34">
        <v>1.1088830000000001</v>
      </c>
      <c r="L34">
        <v>367.22019999999998</v>
      </c>
      <c r="M34">
        <v>0.99999360000000004</v>
      </c>
      <c r="N34">
        <v>0</v>
      </c>
      <c r="O34">
        <v>3.0637500000000001E-3</v>
      </c>
      <c r="P34">
        <v>0.99088880000000001</v>
      </c>
      <c r="Q34">
        <v>0.13155059999999999</v>
      </c>
      <c r="R34">
        <v>-2.8877130000000001E-2</v>
      </c>
      <c r="S34">
        <v>3.1052550000000001</v>
      </c>
      <c r="T34">
        <v>-0.64266480000000004</v>
      </c>
      <c r="U34">
        <v>-0.15554809999999999</v>
      </c>
      <c r="V34">
        <v>3.1887810000000003E-2</v>
      </c>
      <c r="W34">
        <v>0.13340050000000001</v>
      </c>
      <c r="X34">
        <v>0.99054909999999996</v>
      </c>
      <c r="Y34">
        <v>5.1926359999999998E-2</v>
      </c>
      <c r="Z34">
        <v>-5.9408409999999997E-3</v>
      </c>
      <c r="AA34">
        <v>0.99863329999999995</v>
      </c>
      <c r="AB34">
        <v>4</v>
      </c>
      <c r="AC34">
        <v>0.65120000000001699</v>
      </c>
      <c r="AD34">
        <v>-0.1435642</v>
      </c>
      <c r="AE34">
        <v>-3.56999999999629E-2</v>
      </c>
      <c r="AF34">
        <v>3.5952771497933002E-2</v>
      </c>
      <c r="AG34">
        <v>-0.1435642</v>
      </c>
      <c r="AH34">
        <v>0.62099572053534002</v>
      </c>
      <c r="AI34">
        <v>102.996149241591</v>
      </c>
      <c r="AJ34">
        <v>86.686538950880404</v>
      </c>
      <c r="AK34">
        <v>0.63838778671214302</v>
      </c>
      <c r="AL34">
        <v>82.333861459162605</v>
      </c>
      <c r="AM34">
        <v>88.156167941244505</v>
      </c>
      <c r="AN34">
        <v>1.0000000226688199</v>
      </c>
    </row>
    <row r="35" spans="1:40" x14ac:dyDescent="0.25">
      <c r="A35" t="str">
        <f>"20190312172055622"</f>
        <v>20190312172055622</v>
      </c>
      <c r="B35" t="str">
        <f>"1552382455611224"</f>
        <v>1552382455611224</v>
      </c>
      <c r="C35" t="s">
        <v>40</v>
      </c>
      <c r="D35">
        <v>3.5356010000000002</v>
      </c>
      <c r="E35">
        <v>0.50958099999999995</v>
      </c>
      <c r="F35" t="s">
        <v>41</v>
      </c>
      <c r="G35">
        <v>-475.41739999999999</v>
      </c>
      <c r="H35">
        <v>0.96106829999999999</v>
      </c>
      <c r="I35">
        <v>367.18470000000002</v>
      </c>
      <c r="J35">
        <v>-476.10129999999998</v>
      </c>
      <c r="K35">
        <v>1.1088579999999999</v>
      </c>
      <c r="L35">
        <v>367.22070000000002</v>
      </c>
      <c r="M35">
        <v>0.99999349999999998</v>
      </c>
      <c r="N35">
        <v>0</v>
      </c>
      <c r="O35">
        <v>3.3622460000000002E-3</v>
      </c>
      <c r="P35">
        <v>0.99062479999999997</v>
      </c>
      <c r="Q35">
        <v>0.13379099999999999</v>
      </c>
      <c r="R35">
        <v>-2.7608290000000001E-2</v>
      </c>
      <c r="S35">
        <v>3.1073</v>
      </c>
      <c r="T35">
        <v>-0.63404539999999998</v>
      </c>
      <c r="U35">
        <v>-0.1515503</v>
      </c>
      <c r="V35">
        <v>3.0911850000000001E-2</v>
      </c>
      <c r="W35">
        <v>0.13506099999999999</v>
      </c>
      <c r="X35">
        <v>0.99035499999999999</v>
      </c>
      <c r="Y35">
        <v>5.0955729999999998E-2</v>
      </c>
      <c r="Z35">
        <v>-5.8214779999999997E-3</v>
      </c>
      <c r="AA35">
        <v>0.99868389999999996</v>
      </c>
      <c r="AB35">
        <v>4</v>
      </c>
      <c r="AC35">
        <v>0.68389999999999396</v>
      </c>
      <c r="AD35">
        <v>-0.147789699999999</v>
      </c>
      <c r="AE35">
        <v>-3.6000000000001302E-2</v>
      </c>
      <c r="AF35">
        <v>3.6595027046069102E-2</v>
      </c>
      <c r="AG35">
        <v>-0.147789699999999</v>
      </c>
      <c r="AH35">
        <v>0.65334897021001204</v>
      </c>
      <c r="AI35">
        <v>102.726692208789</v>
      </c>
      <c r="AJ35">
        <v>86.794129745430695</v>
      </c>
      <c r="AK35">
        <v>0.67085458059483805</v>
      </c>
      <c r="AL35">
        <v>82.237852928297698</v>
      </c>
      <c r="AM35">
        <v>88.212213085095897</v>
      </c>
      <c r="AN35">
        <v>1.0000000211082101</v>
      </c>
    </row>
    <row r="36" spans="1:40" x14ac:dyDescent="0.25">
      <c r="A36" t="str">
        <f>"20190312172055635"</f>
        <v>20190312172055635</v>
      </c>
      <c r="B36" t="str">
        <f>"1552382455631717"</f>
        <v>1552382455631717</v>
      </c>
      <c r="C36" t="s">
        <v>40</v>
      </c>
      <c r="D36">
        <v>3.5811700000000002</v>
      </c>
      <c r="E36">
        <v>0.50968720000000001</v>
      </c>
      <c r="F36" t="s">
        <v>41</v>
      </c>
      <c r="G36">
        <v>-475.37529999999998</v>
      </c>
      <c r="H36">
        <v>0.96248339999999999</v>
      </c>
      <c r="I36">
        <v>367.18529999999998</v>
      </c>
      <c r="J36">
        <v>-476.07429999999999</v>
      </c>
      <c r="K36">
        <v>1.108838</v>
      </c>
      <c r="L36">
        <v>367.22089999999997</v>
      </c>
      <c r="M36">
        <v>0.99999329999999997</v>
      </c>
      <c r="N36">
        <v>0</v>
      </c>
      <c r="O36">
        <v>3.559993E-3</v>
      </c>
      <c r="P36">
        <v>0.99047629999999998</v>
      </c>
      <c r="Q36">
        <v>0.1350295</v>
      </c>
      <c r="R36">
        <v>-2.6905479999999999E-2</v>
      </c>
      <c r="S36">
        <v>3.1090089999999999</v>
      </c>
      <c r="T36">
        <v>-0.62737690000000002</v>
      </c>
      <c r="U36">
        <v>-0.14895630000000001</v>
      </c>
      <c r="V36">
        <v>3.0402930000000002E-2</v>
      </c>
      <c r="W36">
        <v>0.1359629</v>
      </c>
      <c r="X36">
        <v>0.99024730000000005</v>
      </c>
      <c r="Y36">
        <v>5.0328089999999999E-2</v>
      </c>
      <c r="Z36">
        <v>-5.7353019999999899E-3</v>
      </c>
      <c r="AA36">
        <v>0.9987163</v>
      </c>
      <c r="AB36">
        <v>4</v>
      </c>
      <c r="AC36">
        <v>0.69900000000001195</v>
      </c>
      <c r="AD36">
        <v>-0.146354599999999</v>
      </c>
      <c r="AE36">
        <v>-3.5599999999988002E-2</v>
      </c>
      <c r="AF36">
        <v>3.6492560196987697E-2</v>
      </c>
      <c r="AG36">
        <v>-0.146354599999999</v>
      </c>
      <c r="AH36">
        <v>0.66959074058090495</v>
      </c>
      <c r="AI36">
        <v>102.31170807529099</v>
      </c>
      <c r="AJ36">
        <v>86.880477703977803</v>
      </c>
      <c r="AK36">
        <v>0.68636953295041903</v>
      </c>
      <c r="AL36">
        <v>82.185696450934302</v>
      </c>
      <c r="AM36">
        <v>88.241436720716393</v>
      </c>
      <c r="AN36">
        <v>0.99999998174314197</v>
      </c>
    </row>
    <row r="37" spans="1:40" x14ac:dyDescent="0.25">
      <c r="A37" t="str">
        <f>"20190312172055648"</f>
        <v>20190312172055648</v>
      </c>
      <c r="B37" t="str">
        <f>"1552382455641477"</f>
        <v>1552382455641477</v>
      </c>
      <c r="C37" t="s">
        <v>40</v>
      </c>
      <c r="D37">
        <v>3.5581239999999998</v>
      </c>
      <c r="E37">
        <v>0.50983480000000003</v>
      </c>
      <c r="F37" t="s">
        <v>41</v>
      </c>
      <c r="G37">
        <v>-475.37270000000001</v>
      </c>
      <c r="H37">
        <v>0.96798439999999997</v>
      </c>
      <c r="I37">
        <v>367.18700000000001</v>
      </c>
      <c r="J37">
        <v>-476.04660000000001</v>
      </c>
      <c r="K37">
        <v>1.1088629999999999</v>
      </c>
      <c r="L37">
        <v>367.22120000000001</v>
      </c>
      <c r="M37">
        <v>0.99999280000000002</v>
      </c>
      <c r="N37">
        <v>0</v>
      </c>
      <c r="O37">
        <v>3.7235889999999998E-3</v>
      </c>
      <c r="P37">
        <v>0.99038890000000002</v>
      </c>
      <c r="Q37">
        <v>0.13578219999999999</v>
      </c>
      <c r="R37">
        <v>-2.6329330000000001E-2</v>
      </c>
      <c r="S37">
        <v>3.1100460000000001</v>
      </c>
      <c r="T37">
        <v>-0.62483789999999995</v>
      </c>
      <c r="U37">
        <v>-0.1475525</v>
      </c>
      <c r="V37">
        <v>2.999069E-2</v>
      </c>
      <c r="W37">
        <v>0.13657739999999999</v>
      </c>
      <c r="X37">
        <v>0.99017529999999998</v>
      </c>
      <c r="Y37">
        <v>5.0037650000000003E-2</v>
      </c>
      <c r="Z37">
        <v>-5.7143949999999997E-3</v>
      </c>
      <c r="AA37">
        <v>0.99873100000000004</v>
      </c>
      <c r="AB37">
        <v>4</v>
      </c>
      <c r="AC37">
        <v>0.67390000000000305</v>
      </c>
      <c r="AD37">
        <v>-0.14087859999999899</v>
      </c>
      <c r="AE37">
        <v>-3.4200000000055297E-2</v>
      </c>
      <c r="AF37">
        <v>3.51757943265898E-2</v>
      </c>
      <c r="AG37">
        <v>-0.14087859999999899</v>
      </c>
      <c r="AH37">
        <v>0.64562547871249998</v>
      </c>
      <c r="AI37">
        <v>102.291600104324</v>
      </c>
      <c r="AJ37">
        <v>86.881421269056304</v>
      </c>
      <c r="AK37">
        <v>0.66175250298522603</v>
      </c>
      <c r="AL37">
        <v>82.150156624177797</v>
      </c>
      <c r="AM37">
        <v>88.265140733709202</v>
      </c>
      <c r="AN37">
        <v>0.99999997620376202</v>
      </c>
    </row>
    <row r="38" spans="1:40" x14ac:dyDescent="0.25">
      <c r="A38" t="str">
        <f>"20190312172055667"</f>
        <v>20190312172055667</v>
      </c>
      <c r="B38" t="str">
        <f>"1552382455661972"</f>
        <v>1552382455661972</v>
      </c>
      <c r="C38" t="s">
        <v>40</v>
      </c>
      <c r="D38">
        <v>3.6571210000000001</v>
      </c>
      <c r="E38">
        <v>0.50996719999999995</v>
      </c>
      <c r="F38" t="s">
        <v>41</v>
      </c>
      <c r="G38">
        <v>-475.3313</v>
      </c>
      <c r="H38">
        <v>0.96563880000000002</v>
      </c>
      <c r="I38">
        <v>367.1875</v>
      </c>
      <c r="J38">
        <v>-476.00909999999999</v>
      </c>
      <c r="K38">
        <v>1.109049</v>
      </c>
      <c r="L38">
        <v>367.2217</v>
      </c>
      <c r="M38">
        <v>0.99999170000000004</v>
      </c>
      <c r="N38">
        <v>0</v>
      </c>
      <c r="O38">
        <v>3.9086299999999997E-3</v>
      </c>
      <c r="P38">
        <v>0.99030580000000001</v>
      </c>
      <c r="Q38">
        <v>0.1366164</v>
      </c>
      <c r="R38">
        <v>-2.510925E-2</v>
      </c>
      <c r="S38">
        <v>3.1105960000000001</v>
      </c>
      <c r="T38">
        <v>-0.62285380000000001</v>
      </c>
      <c r="U38">
        <v>-0.1468506</v>
      </c>
      <c r="V38">
        <v>2.8961549999999999E-2</v>
      </c>
      <c r="W38">
        <v>0.13783860000000001</v>
      </c>
      <c r="X38">
        <v>0.9900312</v>
      </c>
      <c r="Y38">
        <v>4.9993530000000001E-2</v>
      </c>
      <c r="Z38">
        <v>-5.7279430000000001E-3</v>
      </c>
      <c r="AA38">
        <v>0.99873310000000004</v>
      </c>
      <c r="AB38">
        <v>5</v>
      </c>
      <c r="AC38">
        <v>0.67779999999998997</v>
      </c>
      <c r="AD38">
        <v>-0.14341019999999899</v>
      </c>
      <c r="AE38">
        <v>-3.4199999999998398E-2</v>
      </c>
      <c r="AF38">
        <v>3.52739163819717E-2</v>
      </c>
      <c r="AG38">
        <v>-0.14341019999999899</v>
      </c>
      <c r="AH38">
        <v>0.64869484129670096</v>
      </c>
      <c r="AI38">
        <v>102.44833801139001</v>
      </c>
      <c r="AJ38">
        <v>86.887507084492</v>
      </c>
      <c r="AK38">
        <v>0.66529371841759799</v>
      </c>
      <c r="AL38">
        <v>82.0772055260027</v>
      </c>
      <c r="AM38">
        <v>88.324394735634499</v>
      </c>
      <c r="AN38">
        <v>1.0000000140009</v>
      </c>
    </row>
    <row r="39" spans="1:40" x14ac:dyDescent="0.25">
      <c r="A39" t="str">
        <f>"20190312172055680"</f>
        <v>20190312172055680</v>
      </c>
      <c r="B39" t="str">
        <f>"1552382455671733"</f>
        <v>1552382455671733</v>
      </c>
      <c r="C39" t="s">
        <v>40</v>
      </c>
      <c r="D39">
        <v>3.5374210000000001</v>
      </c>
      <c r="E39">
        <v>0.5100595</v>
      </c>
      <c r="F39" t="s">
        <v>41</v>
      </c>
      <c r="G39">
        <v>-475.2921</v>
      </c>
      <c r="H39">
        <v>0.96559569999999995</v>
      </c>
      <c r="I39">
        <v>367.18790000000001</v>
      </c>
      <c r="J39">
        <v>-475.98270000000002</v>
      </c>
      <c r="K39">
        <v>1.1093189999999999</v>
      </c>
      <c r="L39">
        <v>367.22199999999998</v>
      </c>
      <c r="M39">
        <v>0.99998980000000004</v>
      </c>
      <c r="N39">
        <v>0</v>
      </c>
      <c r="O39">
        <v>4.0260119999999998E-3</v>
      </c>
      <c r="P39">
        <v>0.99035419999999996</v>
      </c>
      <c r="Q39">
        <v>0.1363346</v>
      </c>
      <c r="R39">
        <v>-2.4737769999999999E-2</v>
      </c>
      <c r="S39">
        <v>3.1115719999999998</v>
      </c>
      <c r="T39">
        <v>-0.62282819999999905</v>
      </c>
      <c r="U39">
        <v>-0.1448364</v>
      </c>
      <c r="V39">
        <v>2.8715230000000001E-2</v>
      </c>
      <c r="W39">
        <v>0.138436</v>
      </c>
      <c r="X39">
        <v>0.98995500000000003</v>
      </c>
      <c r="Y39">
        <v>4.9459870000000003E-2</v>
      </c>
      <c r="Z39">
        <v>-5.6964340000000002E-3</v>
      </c>
      <c r="AA39">
        <v>0.99875990000000003</v>
      </c>
      <c r="AB39">
        <v>5</v>
      </c>
      <c r="AC39">
        <v>0.69060000000001698</v>
      </c>
      <c r="AD39">
        <v>-0.143723299999999</v>
      </c>
      <c r="AE39">
        <v>-3.4099999999966699E-2</v>
      </c>
      <c r="AF39">
        <v>3.5352648316958099E-2</v>
      </c>
      <c r="AG39">
        <v>-0.143723299999999</v>
      </c>
      <c r="AH39">
        <v>0.66186078649166102</v>
      </c>
      <c r="AI39">
        <v>102.23467602840999</v>
      </c>
      <c r="AJ39">
        <v>86.942507350559495</v>
      </c>
      <c r="AK39">
        <v>0.67820785707721798</v>
      </c>
      <c r="AL39">
        <v>82.042645563381598</v>
      </c>
      <c r="AM39">
        <v>88.338510045492697</v>
      </c>
      <c r="AN39">
        <v>0.99999999627747604</v>
      </c>
    </row>
    <row r="40" spans="1:40" x14ac:dyDescent="0.25">
      <c r="A40" t="str">
        <f>"20190312172055692"</f>
        <v>20190312172055692</v>
      </c>
      <c r="B40" t="str">
        <f>"1552382455681492"</f>
        <v>1552382455681492</v>
      </c>
      <c r="C40" t="s">
        <v>40</v>
      </c>
      <c r="D40">
        <v>3.7036359999999999</v>
      </c>
      <c r="E40">
        <v>0.51011010000000001</v>
      </c>
      <c r="F40" t="s">
        <v>41</v>
      </c>
      <c r="G40">
        <v>-475.25080000000003</v>
      </c>
      <c r="H40">
        <v>0.96249589999999996</v>
      </c>
      <c r="I40">
        <v>367.18770000000001</v>
      </c>
      <c r="J40">
        <v>-475.95639999999997</v>
      </c>
      <c r="K40">
        <v>1.109337</v>
      </c>
      <c r="L40">
        <v>367.22230000000002</v>
      </c>
      <c r="M40">
        <v>0.99998900000000002</v>
      </c>
      <c r="N40">
        <v>0</v>
      </c>
      <c r="O40">
        <v>4.1392410000000001E-3</v>
      </c>
      <c r="P40">
        <v>0.99034880000000003</v>
      </c>
      <c r="Q40">
        <v>0.136462</v>
      </c>
      <c r="R40">
        <v>-2.4243299999999999E-2</v>
      </c>
      <c r="S40">
        <v>3.1115719999999998</v>
      </c>
      <c r="T40">
        <v>-0.62449429999999995</v>
      </c>
      <c r="U40">
        <v>-0.14431759999999999</v>
      </c>
      <c r="V40">
        <v>2.8336400000000001E-2</v>
      </c>
      <c r="W40">
        <v>0.13866500000000001</v>
      </c>
      <c r="X40">
        <v>0.98993379999999997</v>
      </c>
      <c r="Y40">
        <v>4.9400109999999997E-2</v>
      </c>
      <c r="Z40">
        <v>-5.7279519999999997E-3</v>
      </c>
      <c r="AA40">
        <v>0.9987627</v>
      </c>
      <c r="AB40">
        <v>4</v>
      </c>
      <c r="AC40">
        <v>0.70559999999994705</v>
      </c>
      <c r="AD40">
        <v>-0.146841099999999</v>
      </c>
      <c r="AE40">
        <v>-3.4600000000011698E-2</v>
      </c>
      <c r="AF40">
        <v>3.5966425880125198E-2</v>
      </c>
      <c r="AG40">
        <v>-0.146841099999999</v>
      </c>
      <c r="AH40">
        <v>0.67623397614113701</v>
      </c>
      <c r="AI40">
        <v>102.23454945617</v>
      </c>
      <c r="AJ40">
        <v>86.955514433236104</v>
      </c>
      <c r="AK40">
        <v>0.69292732874916496</v>
      </c>
      <c r="AL40">
        <v>82.0293965298183</v>
      </c>
      <c r="AM40">
        <v>88.360382364474702</v>
      </c>
      <c r="AN40">
        <v>0.999999931086197</v>
      </c>
    </row>
    <row r="41" spans="1:40" x14ac:dyDescent="0.25">
      <c r="A41" t="str">
        <f>"20190312172055711"</f>
        <v>20190312172055711</v>
      </c>
      <c r="B41" t="str">
        <f>"1552382455701012"</f>
        <v>1552382455701012</v>
      </c>
      <c r="C41" t="s">
        <v>40</v>
      </c>
      <c r="D41">
        <v>3.5573640000000002</v>
      </c>
      <c r="E41">
        <v>0.51035299999999995</v>
      </c>
      <c r="F41" t="s">
        <v>41</v>
      </c>
      <c r="G41">
        <v>-475.24860000000001</v>
      </c>
      <c r="H41">
        <v>0.96708669999999997</v>
      </c>
      <c r="I41">
        <v>367.18939999999998</v>
      </c>
      <c r="J41">
        <v>-475.91410000000002</v>
      </c>
      <c r="K41">
        <v>1.109245</v>
      </c>
      <c r="L41">
        <v>367.22269999999997</v>
      </c>
      <c r="M41">
        <v>0.99998869999999895</v>
      </c>
      <c r="N41">
        <v>0</v>
      </c>
      <c r="O41">
        <v>4.33433E-3</v>
      </c>
      <c r="P41">
        <v>0.99023539999999999</v>
      </c>
      <c r="Q41">
        <v>0.1373559</v>
      </c>
      <c r="R41">
        <v>-2.3816710000000001E-2</v>
      </c>
      <c r="S41">
        <v>3.1119379999999999</v>
      </c>
      <c r="T41">
        <v>-0.62566549999999999</v>
      </c>
      <c r="U41">
        <v>-0.14312739999999999</v>
      </c>
      <c r="V41">
        <v>2.8104879999999999E-2</v>
      </c>
      <c r="W41">
        <v>0.13931289999999999</v>
      </c>
      <c r="X41">
        <v>0.98984950000000005</v>
      </c>
      <c r="Y41">
        <v>4.9204600000000001E-2</v>
      </c>
      <c r="Z41">
        <v>-5.7572379999999996E-3</v>
      </c>
      <c r="AA41">
        <v>0.99877210000000005</v>
      </c>
      <c r="AB41">
        <v>4</v>
      </c>
      <c r="AC41">
        <v>0.66550000000000797</v>
      </c>
      <c r="AD41">
        <v>-0.14215829999999999</v>
      </c>
      <c r="AE41">
        <v>-3.3299999999996999E-2</v>
      </c>
      <c r="AF41">
        <v>3.4608935450801799E-2</v>
      </c>
      <c r="AG41">
        <v>-0.14215829999999999</v>
      </c>
      <c r="AH41">
        <v>0.63638388478920005</v>
      </c>
      <c r="AI41">
        <v>102.574263337031</v>
      </c>
      <c r="AJ41">
        <v>86.887107719920493</v>
      </c>
      <c r="AK41">
        <v>0.65298637772263002</v>
      </c>
      <c r="AL41">
        <v>81.991911311115601</v>
      </c>
      <c r="AM41">
        <v>88.373633066810498</v>
      </c>
      <c r="AN41">
        <v>1.0000000005182299</v>
      </c>
    </row>
    <row r="42" spans="1:40" x14ac:dyDescent="0.25">
      <c r="A42" t="str">
        <f>"20190312172055734"</f>
        <v>20190312172055734</v>
      </c>
      <c r="B42" t="str">
        <f>"1552382455721511"</f>
        <v>1552382455721511</v>
      </c>
      <c r="C42" t="s">
        <v>40</v>
      </c>
      <c r="D42">
        <v>3.5729899999999999</v>
      </c>
      <c r="E42">
        <v>0.51054109999999997</v>
      </c>
      <c r="F42" t="s">
        <v>41</v>
      </c>
      <c r="G42">
        <v>-475.20229999999998</v>
      </c>
      <c r="H42">
        <v>0.96661870000000005</v>
      </c>
      <c r="I42">
        <v>367.18939999999998</v>
      </c>
      <c r="J42">
        <v>-475.8612</v>
      </c>
      <c r="K42">
        <v>1.109064</v>
      </c>
      <c r="L42">
        <v>367.22320000000002</v>
      </c>
      <c r="M42">
        <v>0.99998860000000001</v>
      </c>
      <c r="N42">
        <v>0</v>
      </c>
      <c r="O42">
        <v>4.5994470000000004E-3</v>
      </c>
      <c r="P42">
        <v>0.99006740000000004</v>
      </c>
      <c r="Q42">
        <v>0.13865620000000001</v>
      </c>
      <c r="R42">
        <v>-2.326278E-2</v>
      </c>
      <c r="S42">
        <v>3.1127319999999998</v>
      </c>
      <c r="T42">
        <v>-0.62406490000000003</v>
      </c>
      <c r="U42">
        <v>-0.1431885</v>
      </c>
      <c r="V42">
        <v>2.7810379999999999E-2</v>
      </c>
      <c r="W42">
        <v>0.13998239999999901</v>
      </c>
      <c r="X42">
        <v>0.98976339999999996</v>
      </c>
      <c r="Y42">
        <v>4.9472599999999999E-2</v>
      </c>
      <c r="Z42">
        <v>-5.8205519999999997E-3</v>
      </c>
      <c r="AA42">
        <v>0.99875849999999999</v>
      </c>
      <c r="AB42">
        <v>5</v>
      </c>
      <c r="AC42">
        <v>0.65890000000001603</v>
      </c>
      <c r="AD42">
        <v>-0.1424453</v>
      </c>
      <c r="AE42">
        <v>-3.3800000000041998E-2</v>
      </c>
      <c r="AF42">
        <v>3.5189881214081599E-2</v>
      </c>
      <c r="AG42">
        <v>-0.1424453</v>
      </c>
      <c r="AH42">
        <v>0.62939880422883199</v>
      </c>
      <c r="AI42">
        <v>102.73309240853401</v>
      </c>
      <c r="AJ42">
        <v>86.799906982747103</v>
      </c>
      <c r="AK42">
        <v>0.64627536390971496</v>
      </c>
      <c r="AL42">
        <v>81.953172501171807</v>
      </c>
      <c r="AM42">
        <v>88.390526194576793</v>
      </c>
      <c r="AN42">
        <v>1.0000000387625301</v>
      </c>
    </row>
    <row r="43" spans="1:40" x14ac:dyDescent="0.25">
      <c r="A43" t="str">
        <f>"20190312172055747"</f>
        <v>20190312172055747</v>
      </c>
      <c r="B43" t="str">
        <f>"1552382455741028"</f>
        <v>1552382455741028</v>
      </c>
      <c r="C43" t="s">
        <v>40</v>
      </c>
      <c r="D43">
        <v>3.7470129999999999</v>
      </c>
      <c r="E43">
        <v>0.51078869999999998</v>
      </c>
      <c r="F43" t="s">
        <v>41</v>
      </c>
      <c r="G43">
        <v>-475.15300000000002</v>
      </c>
      <c r="H43">
        <v>0.96773580000000003</v>
      </c>
      <c r="I43">
        <v>367.19040000000001</v>
      </c>
      <c r="J43">
        <v>-475.82650000000001</v>
      </c>
      <c r="K43">
        <v>1.108981</v>
      </c>
      <c r="L43">
        <v>367.2235</v>
      </c>
      <c r="M43">
        <v>0.99998810000000005</v>
      </c>
      <c r="N43">
        <v>0</v>
      </c>
      <c r="O43">
        <v>4.7824649999999996E-3</v>
      </c>
      <c r="P43">
        <v>0.98997520000000006</v>
      </c>
      <c r="Q43">
        <v>0.13938249999999999</v>
      </c>
      <c r="R43">
        <v>-2.2840240000000001E-2</v>
      </c>
      <c r="S43">
        <v>3.1138309999999998</v>
      </c>
      <c r="T43">
        <v>-0.62147269999999999</v>
      </c>
      <c r="U43">
        <v>-0.14303589999999999</v>
      </c>
      <c r="V43">
        <v>2.7565739999999998E-2</v>
      </c>
      <c r="W43">
        <v>0.1403549</v>
      </c>
      <c r="X43">
        <v>0.98971739999999997</v>
      </c>
      <c r="Y43">
        <v>4.9593930000000001E-2</v>
      </c>
      <c r="Z43">
        <v>-5.8429830000000004E-3</v>
      </c>
      <c r="AA43">
        <v>0.99875239999999998</v>
      </c>
      <c r="AB43">
        <v>5</v>
      </c>
      <c r="AC43">
        <v>0.67349999999999</v>
      </c>
      <c r="AD43">
        <v>-0.14124519999999899</v>
      </c>
      <c r="AE43">
        <v>-3.3099999999990297E-2</v>
      </c>
      <c r="AF43">
        <v>3.47940005082229E-2</v>
      </c>
      <c r="AG43">
        <v>-0.14124519999999899</v>
      </c>
      <c r="AH43">
        <v>0.64503270868803597</v>
      </c>
      <c r="AI43">
        <v>102.333937678382</v>
      </c>
      <c r="AJ43">
        <v>86.912374841041199</v>
      </c>
      <c r="AK43">
        <v>0.66123220147829398</v>
      </c>
      <c r="AL43">
        <v>81.931616299017904</v>
      </c>
      <c r="AM43">
        <v>88.404602819886094</v>
      </c>
      <c r="AN43">
        <v>0.999999949919257</v>
      </c>
    </row>
    <row r="44" spans="1:40" x14ac:dyDescent="0.25">
      <c r="A44" t="str">
        <f>"20190312172055761"</f>
        <v>20190312172055761</v>
      </c>
      <c r="B44" t="str">
        <f>"1552382455751765"</f>
        <v>1552382455751765</v>
      </c>
      <c r="C44" t="s">
        <v>40</v>
      </c>
      <c r="D44">
        <v>3.6860840000000001</v>
      </c>
      <c r="E44">
        <v>0.51083999999999996</v>
      </c>
      <c r="F44" t="s">
        <v>41</v>
      </c>
      <c r="G44">
        <v>-475.10340000000002</v>
      </c>
      <c r="H44">
        <v>0.96518780000000004</v>
      </c>
      <c r="I44">
        <v>367.18979999999999</v>
      </c>
      <c r="J44">
        <v>-475.79079999999999</v>
      </c>
      <c r="K44">
        <v>1.1089279999999999</v>
      </c>
      <c r="L44">
        <v>367.22390000000001</v>
      </c>
      <c r="M44">
        <v>0.99998739999999997</v>
      </c>
      <c r="N44">
        <v>0</v>
      </c>
      <c r="O44">
        <v>4.9755290000000002E-3</v>
      </c>
      <c r="P44">
        <v>0.98989490000000002</v>
      </c>
      <c r="Q44">
        <v>0.13997119999999999</v>
      </c>
      <c r="R44">
        <v>-2.272652E-2</v>
      </c>
      <c r="S44">
        <v>3.114258</v>
      </c>
      <c r="T44">
        <v>-0.61952700000000005</v>
      </c>
      <c r="U44">
        <v>-0.14361570000000001</v>
      </c>
      <c r="V44">
        <v>2.7638969999999999E-2</v>
      </c>
      <c r="W44">
        <v>0.14064670000000001</v>
      </c>
      <c r="X44">
        <v>0.98967400000000005</v>
      </c>
      <c r="Y44">
        <v>4.9961980000000003E-2</v>
      </c>
      <c r="Z44">
        <v>-5.8984850000000002E-3</v>
      </c>
      <c r="AA44">
        <v>0.99873369999999995</v>
      </c>
      <c r="AB44">
        <v>6</v>
      </c>
      <c r="AC44">
        <v>0.68739999999996804</v>
      </c>
      <c r="AD44">
        <v>-0.14374020000000001</v>
      </c>
      <c r="AE44">
        <v>-3.41000000000235E-2</v>
      </c>
      <c r="AF44">
        <v>3.5951604843102399E-2</v>
      </c>
      <c r="AG44">
        <v>-0.14374020000000001</v>
      </c>
      <c r="AH44">
        <v>0.65849912940435595</v>
      </c>
      <c r="AI44">
        <v>102.29588189334299</v>
      </c>
      <c r="AJ44">
        <v>86.874965927210496</v>
      </c>
      <c r="AK44">
        <v>0.67496286298812702</v>
      </c>
      <c r="AL44">
        <v>81.914730428535606</v>
      </c>
      <c r="AM44">
        <v>88.400296641135299</v>
      </c>
      <c r="AN44">
        <v>1.00000001657977</v>
      </c>
    </row>
    <row r="45" spans="1:40" x14ac:dyDescent="0.25">
      <c r="A45" t="str">
        <f>"20190312172055780"</f>
        <v>20190312172055780</v>
      </c>
      <c r="B45" t="str">
        <f>"1552382455771285"</f>
        <v>1552382455771285</v>
      </c>
      <c r="C45" t="s">
        <v>40</v>
      </c>
      <c r="D45">
        <v>3.5047130000000002</v>
      </c>
      <c r="E45">
        <v>0.51105820000000002</v>
      </c>
      <c r="F45" t="s">
        <v>41</v>
      </c>
      <c r="G45">
        <v>-475.0521</v>
      </c>
      <c r="H45">
        <v>0.96209069999999997</v>
      </c>
      <c r="I45">
        <v>367.18970000000002</v>
      </c>
      <c r="J45">
        <v>-475.74220000000003</v>
      </c>
      <c r="K45">
        <v>1.1088849999999999</v>
      </c>
      <c r="L45">
        <v>367.2244</v>
      </c>
      <c r="M45">
        <v>0.99998640000000005</v>
      </c>
      <c r="N45">
        <v>0</v>
      </c>
      <c r="O45">
        <v>5.2444789999999998E-3</v>
      </c>
      <c r="P45">
        <v>0.98973630000000001</v>
      </c>
      <c r="Q45">
        <v>0.14113970000000001</v>
      </c>
      <c r="R45">
        <v>-2.2412140000000001E-2</v>
      </c>
      <c r="S45">
        <v>3.114868</v>
      </c>
      <c r="T45">
        <v>-0.61930669999999899</v>
      </c>
      <c r="U45">
        <v>-0.14300539999999901</v>
      </c>
      <c r="V45">
        <v>2.7584850000000001E-2</v>
      </c>
      <c r="W45">
        <v>0.1415025</v>
      </c>
      <c r="X45">
        <v>0.98955349999999997</v>
      </c>
      <c r="Y45">
        <v>5.0021019999999999E-2</v>
      </c>
      <c r="Z45">
        <v>-5.9540610000000001E-3</v>
      </c>
      <c r="AA45">
        <v>0.99873040000000002</v>
      </c>
      <c r="AB45">
        <v>6</v>
      </c>
      <c r="AC45">
        <v>0.69010000000002902</v>
      </c>
      <c r="AD45">
        <v>-0.14679429999999999</v>
      </c>
      <c r="AE45">
        <v>-3.4699999999986603E-2</v>
      </c>
      <c r="AF45">
        <v>3.6663969058949003E-2</v>
      </c>
      <c r="AG45">
        <v>-0.14679429999999999</v>
      </c>
      <c r="AH45">
        <v>0.66011530397789098</v>
      </c>
      <c r="AI45">
        <v>102.51856016790801</v>
      </c>
      <c r="AJ45">
        <v>86.8209575925449</v>
      </c>
      <c r="AK45">
        <v>0.677233362797101</v>
      </c>
      <c r="AL45">
        <v>81.8652012663444</v>
      </c>
      <c r="AM45">
        <v>88.403233087795599</v>
      </c>
      <c r="AN45">
        <v>1.0000000054090099</v>
      </c>
    </row>
    <row r="46" spans="1:40" x14ac:dyDescent="0.25">
      <c r="A46" t="str">
        <f>"20190312172055804"</f>
        <v>20190312172055804</v>
      </c>
      <c r="B46" t="str">
        <f>"1552382455791781"</f>
        <v>1552382455791781</v>
      </c>
      <c r="C46" t="s">
        <v>40</v>
      </c>
      <c r="D46">
        <v>3.6508039999999999</v>
      </c>
      <c r="E46">
        <v>0.51117990000000002</v>
      </c>
      <c r="F46" t="s">
        <v>41</v>
      </c>
      <c r="G46">
        <v>-475.04759999999999</v>
      </c>
      <c r="H46">
        <v>0.97141279999999997</v>
      </c>
      <c r="I46">
        <v>367.19209999999998</v>
      </c>
      <c r="J46">
        <v>-475.67649999999998</v>
      </c>
      <c r="K46">
        <v>1.108822</v>
      </c>
      <c r="L46">
        <v>367.2251</v>
      </c>
      <c r="M46">
        <v>0.99998430000000005</v>
      </c>
      <c r="N46">
        <v>0</v>
      </c>
      <c r="O46">
        <v>5.6178410000000002E-3</v>
      </c>
      <c r="P46">
        <v>0.98960440000000005</v>
      </c>
      <c r="Q46">
        <v>0.14216770000000001</v>
      </c>
      <c r="R46">
        <v>-2.171826E-2</v>
      </c>
      <c r="S46">
        <v>3.1158450000000002</v>
      </c>
      <c r="T46">
        <v>-0.61690310000000004</v>
      </c>
      <c r="U46">
        <v>-0.1436462</v>
      </c>
      <c r="V46">
        <v>2.725381E-2</v>
      </c>
      <c r="W46">
        <v>0.14208589999999999</v>
      </c>
      <c r="X46">
        <v>0.98947909999999994</v>
      </c>
      <c r="Y46">
        <v>5.0575519999999999E-2</v>
      </c>
      <c r="Z46">
        <v>-6.0570579999999997E-3</v>
      </c>
      <c r="AA46">
        <v>0.99870190000000003</v>
      </c>
      <c r="AB46">
        <v>6</v>
      </c>
      <c r="AC46">
        <v>0.62889999999998702</v>
      </c>
      <c r="AD46">
        <v>-0.13740919999999901</v>
      </c>
      <c r="AE46">
        <v>-3.3000000000015399E-2</v>
      </c>
      <c r="AF46">
        <v>3.4872357519400099E-2</v>
      </c>
      <c r="AG46">
        <v>-0.13740919999999901</v>
      </c>
      <c r="AH46">
        <v>0.60013388386359001</v>
      </c>
      <c r="AI46">
        <v>102.875395859036</v>
      </c>
      <c r="AJ46">
        <v>86.674417633284094</v>
      </c>
      <c r="AK46">
        <v>0.61665066944324198</v>
      </c>
      <c r="AL46">
        <v>81.831433938803201</v>
      </c>
      <c r="AM46">
        <v>88.422267247419697</v>
      </c>
      <c r="AN46">
        <v>1.0000000312375601</v>
      </c>
    </row>
    <row r="47" spans="1:40" x14ac:dyDescent="0.25">
      <c r="A47" t="str">
        <f>"20190312172055823"</f>
        <v>20190312172055823</v>
      </c>
      <c r="B47" t="str">
        <f>"1552382455821061"</f>
        <v>1552382455821061</v>
      </c>
      <c r="C47" t="s">
        <v>40</v>
      </c>
      <c r="D47">
        <v>3.4965449999999998</v>
      </c>
      <c r="E47">
        <v>0.51130909999999996</v>
      </c>
      <c r="F47" t="s">
        <v>41</v>
      </c>
      <c r="G47">
        <v>-474.93869999999998</v>
      </c>
      <c r="H47">
        <v>0.96316190000000002</v>
      </c>
      <c r="I47">
        <v>367.19110000000001</v>
      </c>
      <c r="J47">
        <v>-475.61790000000002</v>
      </c>
      <c r="K47">
        <v>1.108751</v>
      </c>
      <c r="L47">
        <v>367.22579999999999</v>
      </c>
      <c r="M47">
        <v>0.99998220000000004</v>
      </c>
      <c r="N47">
        <v>0</v>
      </c>
      <c r="O47">
        <v>5.9580029999999999E-3</v>
      </c>
      <c r="P47">
        <v>0.98946210000000001</v>
      </c>
      <c r="Q47">
        <v>0.1432737</v>
      </c>
      <c r="R47">
        <v>-2.0928309999999999E-2</v>
      </c>
      <c r="S47">
        <v>3.1168209999999998</v>
      </c>
      <c r="T47">
        <v>-0.61557589999999995</v>
      </c>
      <c r="U47">
        <v>-0.14273069999999999</v>
      </c>
      <c r="V47">
        <v>2.67949E-2</v>
      </c>
      <c r="W47">
        <v>0.14274149999999999</v>
      </c>
      <c r="X47">
        <v>0.98939719999999998</v>
      </c>
      <c r="Y47">
        <v>5.0606249999999998E-2</v>
      </c>
      <c r="Z47">
        <v>-6.1119709999999999E-3</v>
      </c>
      <c r="AA47">
        <v>0.99870000000000003</v>
      </c>
      <c r="AB47">
        <v>6</v>
      </c>
      <c r="AC47">
        <v>0.679200000000037</v>
      </c>
      <c r="AD47">
        <v>-0.1455891</v>
      </c>
      <c r="AE47">
        <v>-3.4699999999986603E-2</v>
      </c>
      <c r="AF47">
        <v>3.7048216731217498E-2</v>
      </c>
      <c r="AG47">
        <v>-0.1455891</v>
      </c>
      <c r="AH47">
        <v>0.64922840578615204</v>
      </c>
      <c r="AI47">
        <v>102.61957316174799</v>
      </c>
      <c r="AJ47">
        <v>86.733958660946698</v>
      </c>
      <c r="AK47">
        <v>0.66638298243682803</v>
      </c>
      <c r="AL47">
        <v>81.793483430085104</v>
      </c>
      <c r="AM47">
        <v>88.448692279681296</v>
      </c>
      <c r="AN47">
        <v>0.99999996092804899</v>
      </c>
    </row>
    <row r="48" spans="1:40" x14ac:dyDescent="0.25">
      <c r="A48" t="str">
        <f>"20190312172055836"</f>
        <v>20190312172055836</v>
      </c>
      <c r="B48" t="str">
        <f>"1552382455831797"</f>
        <v>1552382455831797</v>
      </c>
      <c r="C48" t="s">
        <v>40</v>
      </c>
      <c r="D48">
        <v>3.4923989999999998</v>
      </c>
      <c r="E48">
        <v>0.49894149999999998</v>
      </c>
      <c r="F48" t="s">
        <v>41</v>
      </c>
      <c r="G48">
        <v>-474.87810000000002</v>
      </c>
      <c r="H48">
        <v>0.96345130000000001</v>
      </c>
      <c r="I48">
        <v>367.19209999999998</v>
      </c>
      <c r="J48">
        <v>-475.57760000000002</v>
      </c>
      <c r="K48">
        <v>1.108697</v>
      </c>
      <c r="L48">
        <v>367.22629999999998</v>
      </c>
      <c r="M48">
        <v>0.99998050000000005</v>
      </c>
      <c r="N48">
        <v>0</v>
      </c>
      <c r="O48">
        <v>6.194654E-3</v>
      </c>
      <c r="P48">
        <v>0.98927209999999999</v>
      </c>
      <c r="Q48">
        <v>0.1446363</v>
      </c>
      <c r="R48">
        <v>-2.0525149999999999E-2</v>
      </c>
      <c r="S48">
        <v>3.117645</v>
      </c>
      <c r="T48">
        <v>-0.61244860000000001</v>
      </c>
      <c r="U48">
        <v>-0.14089969999999999</v>
      </c>
      <c r="V48">
        <v>2.6622099999999999E-2</v>
      </c>
      <c r="W48">
        <v>0.1437821</v>
      </c>
      <c r="X48">
        <v>0.9892512</v>
      </c>
      <c r="Y48">
        <v>5.0258770000000001E-2</v>
      </c>
      <c r="Z48">
        <v>-6.0922449999999996E-3</v>
      </c>
      <c r="AA48">
        <v>0.99871770000000004</v>
      </c>
      <c r="AB48">
        <v>7</v>
      </c>
      <c r="AC48">
        <v>0.69950000000000001</v>
      </c>
      <c r="AD48">
        <v>-0.14524569999999901</v>
      </c>
      <c r="AE48">
        <v>-3.4199999999998398E-2</v>
      </c>
      <c r="AF48">
        <v>3.69434760819028E-2</v>
      </c>
      <c r="AG48">
        <v>-0.14524569999999901</v>
      </c>
      <c r="AH48">
        <v>0.67043755712113595</v>
      </c>
      <c r="AI48">
        <v>102.205874815692</v>
      </c>
      <c r="AJ48">
        <v>86.845989988250096</v>
      </c>
      <c r="AK48">
        <v>0.68698446255505696</v>
      </c>
      <c r="AL48">
        <v>81.733240195747399</v>
      </c>
      <c r="AM48">
        <v>88.458464437428603</v>
      </c>
      <c r="AN48">
        <v>0.99999998259512901</v>
      </c>
    </row>
    <row r="49" spans="1:40" x14ac:dyDescent="0.25">
      <c r="A49" t="str">
        <f>"20190312172055857"</f>
        <v>20190312172055857</v>
      </c>
      <c r="B49" t="str">
        <f>"1552382455851317"</f>
        <v>1552382455851317</v>
      </c>
      <c r="C49" t="s">
        <v>40</v>
      </c>
      <c r="D49">
        <v>3.4681350000000002</v>
      </c>
      <c r="E49">
        <v>0.49571959999999998</v>
      </c>
      <c r="F49" t="s">
        <v>41</v>
      </c>
      <c r="G49">
        <v>-474.85169999999999</v>
      </c>
      <c r="H49">
        <v>1.018894</v>
      </c>
      <c r="I49">
        <v>367.21589999999998</v>
      </c>
      <c r="J49">
        <v>-475.51679999999999</v>
      </c>
      <c r="K49">
        <v>1.1086320000000001</v>
      </c>
      <c r="L49">
        <v>367.22699999999998</v>
      </c>
      <c r="M49">
        <v>0.99997780000000003</v>
      </c>
      <c r="N49">
        <v>0</v>
      </c>
      <c r="O49">
        <v>6.5557769999999996E-3</v>
      </c>
      <c r="P49">
        <v>0.98908300000000005</v>
      </c>
      <c r="Q49">
        <v>0.14602509999999999</v>
      </c>
      <c r="R49">
        <v>-1.9793310000000001E-2</v>
      </c>
      <c r="S49">
        <v>3.0874630000000001</v>
      </c>
      <c r="T49">
        <v>-0.3820653</v>
      </c>
      <c r="U49">
        <v>-4.3273930000000002E-2</v>
      </c>
      <c r="V49">
        <v>2.6242789999999998E-2</v>
      </c>
      <c r="W49">
        <v>0.14471829999999999</v>
      </c>
      <c r="X49">
        <v>0.98912480000000003</v>
      </c>
      <c r="Y49">
        <v>2.0364170000000001E-2</v>
      </c>
      <c r="Z49">
        <v>-2.0633019999999999E-3</v>
      </c>
      <c r="AA49">
        <v>0.99979050000000003</v>
      </c>
      <c r="AB49">
        <v>7</v>
      </c>
      <c r="AC49">
        <v>0.66509999999999503</v>
      </c>
      <c r="AD49">
        <v>-8.9738000000000095E-2</v>
      </c>
      <c r="AE49">
        <v>-1.1099999999999E-2</v>
      </c>
      <c r="AF49">
        <v>1.51836774827506E-2</v>
      </c>
      <c r="AG49">
        <v>-8.9738000000000095E-2</v>
      </c>
      <c r="AH49">
        <v>0.65312640601987804</v>
      </c>
      <c r="AI49">
        <v>97.821231088972795</v>
      </c>
      <c r="AJ49">
        <v>88.668245602679704</v>
      </c>
      <c r="AK49">
        <v>0.659437301755325</v>
      </c>
      <c r="AL49">
        <v>81.679032839581595</v>
      </c>
      <c r="AM49">
        <v>88.480223670398601</v>
      </c>
      <c r="AN49">
        <v>0.99999997017845599</v>
      </c>
    </row>
    <row r="50" spans="1:40" x14ac:dyDescent="0.25">
      <c r="A50" t="str">
        <f>"20190312172055869"</f>
        <v>20190312172055869</v>
      </c>
      <c r="B50" t="str">
        <f>"1552382455861078"</f>
        <v>1552382455861078</v>
      </c>
      <c r="C50" t="s">
        <v>40</v>
      </c>
      <c r="D50">
        <v>3.4627829999999999</v>
      </c>
      <c r="E50">
        <v>0.4947976</v>
      </c>
      <c r="F50" t="s">
        <v>41</v>
      </c>
      <c r="G50">
        <v>-474.77800000000002</v>
      </c>
      <c r="H50">
        <v>1.04147099999999</v>
      </c>
      <c r="I50">
        <v>367.22289999999998</v>
      </c>
      <c r="J50">
        <v>-475.47340000000003</v>
      </c>
      <c r="K50">
        <v>1.1085959999999999</v>
      </c>
      <c r="L50">
        <v>367.22750000000002</v>
      </c>
      <c r="M50">
        <v>0.99997559999999996</v>
      </c>
      <c r="N50">
        <v>0</v>
      </c>
      <c r="O50">
        <v>6.8119419999999997E-3</v>
      </c>
      <c r="P50">
        <v>0.98900279999999996</v>
      </c>
      <c r="Q50">
        <v>0.14663779999999901</v>
      </c>
      <c r="R50">
        <v>-1.9271110000000001E-2</v>
      </c>
      <c r="S50">
        <v>3.0740660000000002</v>
      </c>
      <c r="T50">
        <v>-0.2795994</v>
      </c>
      <c r="U50">
        <v>-1.61438E-2</v>
      </c>
      <c r="V50">
        <v>2.5971299999999999E-2</v>
      </c>
      <c r="W50">
        <v>0.1450523</v>
      </c>
      <c r="X50">
        <v>0.98908309999999999</v>
      </c>
      <c r="Y50">
        <v>1.198568E-2</v>
      </c>
      <c r="Z50">
        <v>-1.1622430000000001E-3</v>
      </c>
      <c r="AA50">
        <v>0.99992749999999997</v>
      </c>
      <c r="AB50">
        <v>7</v>
      </c>
      <c r="AC50">
        <v>0.69540000000000601</v>
      </c>
      <c r="AD50">
        <v>-6.7125000000000101E-2</v>
      </c>
      <c r="AE50">
        <v>-4.6000000000390104E-3</v>
      </c>
      <c r="AF50">
        <v>9.2507335134119802E-3</v>
      </c>
      <c r="AG50">
        <v>-6.7125000000000101E-2</v>
      </c>
      <c r="AH50">
        <v>0.68893367460322097</v>
      </c>
      <c r="AI50">
        <v>95.564446240807499</v>
      </c>
      <c r="AJ50">
        <v>89.230700783124803</v>
      </c>
      <c r="AK50">
        <v>0.69225786358685204</v>
      </c>
      <c r="AL50">
        <v>81.659692461878194</v>
      </c>
      <c r="AM50">
        <v>88.495875597165906</v>
      </c>
      <c r="AN50">
        <v>1.0000000284322901</v>
      </c>
    </row>
    <row r="51" spans="1:40" x14ac:dyDescent="0.25">
      <c r="A51" t="str">
        <f>"20190312172055890"</f>
        <v>20190312172055890</v>
      </c>
      <c r="B51" t="str">
        <f>"1552382455881576"</f>
        <v>1552382455881576</v>
      </c>
      <c r="C51" t="s">
        <v>40</v>
      </c>
      <c r="D51">
        <v>3.4811169999999998</v>
      </c>
      <c r="E51">
        <v>0.49417230000000001</v>
      </c>
      <c r="F51" t="s">
        <v>41</v>
      </c>
      <c r="G51">
        <v>-474.7099</v>
      </c>
      <c r="H51">
        <v>1.0452170000000001</v>
      </c>
      <c r="I51">
        <v>367.22500000000002</v>
      </c>
      <c r="J51">
        <v>-475.4042</v>
      </c>
      <c r="K51">
        <v>1.1085510000000001</v>
      </c>
      <c r="L51">
        <v>367.22840000000002</v>
      </c>
      <c r="M51">
        <v>0.99997219999999998</v>
      </c>
      <c r="N51">
        <v>0</v>
      </c>
      <c r="O51">
        <v>7.2135619999999998E-3</v>
      </c>
      <c r="P51">
        <v>0.9888671</v>
      </c>
      <c r="Q51">
        <v>0.1476615</v>
      </c>
      <c r="R51">
        <v>-1.8401959999999998E-2</v>
      </c>
      <c r="S51">
        <v>3.0711059999999999</v>
      </c>
      <c r="T51">
        <v>-0.25563449999999999</v>
      </c>
      <c r="U51">
        <v>-7.2937009999999997E-3</v>
      </c>
      <c r="V51">
        <v>2.5495509999999999E-2</v>
      </c>
      <c r="W51">
        <v>0.14569960000000001</v>
      </c>
      <c r="X51">
        <v>0.98900030000000005</v>
      </c>
      <c r="Y51">
        <v>9.5305230000000008E-3</v>
      </c>
      <c r="Z51">
        <v>-9.9537639999999999E-4</v>
      </c>
      <c r="AA51">
        <v>0.99995409999999996</v>
      </c>
      <c r="AB51">
        <v>7</v>
      </c>
      <c r="AC51">
        <v>0.69429999999999803</v>
      </c>
      <c r="AD51">
        <v>-6.3334000000000001E-2</v>
      </c>
      <c r="AE51">
        <v>-3.3999999999991802E-3</v>
      </c>
      <c r="AF51">
        <v>8.3389095206183594E-3</v>
      </c>
      <c r="AG51">
        <v>-6.3334000000000001E-2</v>
      </c>
      <c r="AH51">
        <v>0.68852825070260704</v>
      </c>
      <c r="AI51">
        <v>95.255157098516705</v>
      </c>
      <c r="AJ51">
        <v>89.306112767119103</v>
      </c>
      <c r="AK51">
        <v>0.69148527459634701</v>
      </c>
      <c r="AL51">
        <v>81.622206382326794</v>
      </c>
      <c r="AM51">
        <v>88.523295033267104</v>
      </c>
      <c r="AN51">
        <v>0.999999993935205</v>
      </c>
    </row>
    <row r="52" spans="1:40" x14ac:dyDescent="0.25">
      <c r="A52" t="str">
        <f>"20190312172055903"</f>
        <v>20190312172055903</v>
      </c>
      <c r="B52" t="str">
        <f>"1552382455891333"</f>
        <v>1552382455891333</v>
      </c>
      <c r="C52" t="s">
        <v>40</v>
      </c>
      <c r="D52">
        <v>3.4950879999999902</v>
      </c>
      <c r="E52">
        <v>0.49409140000000001</v>
      </c>
      <c r="F52" t="s">
        <v>41</v>
      </c>
      <c r="G52">
        <v>-474.6361</v>
      </c>
      <c r="H52">
        <v>1.0520860000000001</v>
      </c>
      <c r="I52">
        <v>367.22840000000002</v>
      </c>
      <c r="J52">
        <v>-475.3621</v>
      </c>
      <c r="K52">
        <v>1.1085339999999999</v>
      </c>
      <c r="L52">
        <v>367.22899999999998</v>
      </c>
      <c r="M52">
        <v>0.99996989999999997</v>
      </c>
      <c r="N52">
        <v>0</v>
      </c>
      <c r="O52">
        <v>7.452991E-3</v>
      </c>
      <c r="P52">
        <v>0.98881799999999997</v>
      </c>
      <c r="Q52">
        <v>0.14805270000000001</v>
      </c>
      <c r="R52">
        <v>-1.7867910000000001E-2</v>
      </c>
      <c r="S52">
        <v>3.0674739999999998</v>
      </c>
      <c r="T52">
        <v>-0.22580420000000001</v>
      </c>
      <c r="U52">
        <v>8.8500979999999905E-4</v>
      </c>
      <c r="V52">
        <v>2.5197000000000001E-2</v>
      </c>
      <c r="W52">
        <v>0.14589820000000001</v>
      </c>
      <c r="X52">
        <v>0.98897869999999999</v>
      </c>
      <c r="Y52">
        <v>7.1250580000000001E-3</v>
      </c>
      <c r="Z52">
        <v>-8.0978059999999995E-4</v>
      </c>
      <c r="AA52">
        <v>0.99997429999999998</v>
      </c>
      <c r="AB52">
        <v>7</v>
      </c>
      <c r="AC52">
        <v>0.72599999999999898</v>
      </c>
      <c r="AD52">
        <v>-5.6447999999999797E-2</v>
      </c>
      <c r="AE52">
        <v>-6.0000000001991696E-4</v>
      </c>
      <c r="AF52">
        <v>5.97474776875915E-3</v>
      </c>
      <c r="AG52">
        <v>-5.6447999999999797E-2</v>
      </c>
      <c r="AH52">
        <v>0.72161294004561705</v>
      </c>
      <c r="AI52">
        <v>94.472687559669396</v>
      </c>
      <c r="AJ52">
        <v>89.525618251110103</v>
      </c>
      <c r="AK52">
        <v>0.72384204738062796</v>
      </c>
      <c r="AL52">
        <v>81.610704765864099</v>
      </c>
      <c r="AM52">
        <v>88.540545408490104</v>
      </c>
      <c r="AN52">
        <v>1.0000000213129601</v>
      </c>
    </row>
    <row r="53" spans="1:40" x14ac:dyDescent="0.25">
      <c r="A53" t="str">
        <f>"20190312172055915"</f>
        <v>20190312172055915</v>
      </c>
      <c r="B53" t="str">
        <f>"1552382455911829"</f>
        <v>1552382455911829</v>
      </c>
      <c r="C53" t="s">
        <v>40</v>
      </c>
      <c r="D53">
        <v>3.4861710000000001</v>
      </c>
      <c r="E53">
        <v>0.49390719999999999</v>
      </c>
      <c r="F53" t="s">
        <v>41</v>
      </c>
      <c r="G53">
        <v>-474.5659</v>
      </c>
      <c r="H53">
        <v>1.052319</v>
      </c>
      <c r="I53">
        <v>367.22910000000002</v>
      </c>
      <c r="J53">
        <v>-475.31619999999998</v>
      </c>
      <c r="K53">
        <v>1.1085210000000001</v>
      </c>
      <c r="L53">
        <v>367.2296</v>
      </c>
      <c r="M53">
        <v>0.99996750000000001</v>
      </c>
      <c r="N53">
        <v>0</v>
      </c>
      <c r="O53">
        <v>7.7058430000000004E-3</v>
      </c>
      <c r="P53">
        <v>0.98875159999999995</v>
      </c>
      <c r="Q53">
        <v>0.14854909999999999</v>
      </c>
      <c r="R53">
        <v>-1.7412520000000001E-2</v>
      </c>
      <c r="S53">
        <v>3.0664980000000002</v>
      </c>
      <c r="T53">
        <v>-0.21714169999999999</v>
      </c>
      <c r="U53">
        <v>3.0822750000000002E-3</v>
      </c>
      <c r="V53">
        <v>2.499024E-2</v>
      </c>
      <c r="W53">
        <v>0.14622270000000001</v>
      </c>
      <c r="X53">
        <v>0.98893600000000004</v>
      </c>
      <c r="Y53">
        <v>6.6647640000000001E-3</v>
      </c>
      <c r="Z53">
        <v>-7.8064699999999998E-4</v>
      </c>
      <c r="AA53">
        <v>0.99997749999999996</v>
      </c>
      <c r="AB53">
        <v>8</v>
      </c>
      <c r="AC53">
        <v>0.75029999999998098</v>
      </c>
      <c r="AD53">
        <v>-5.6201999999999801E-2</v>
      </c>
      <c r="AE53">
        <v>-4.9999999998817603E-4</v>
      </c>
      <c r="AF53">
        <v>6.2466460201504098E-3</v>
      </c>
      <c r="AG53">
        <v>-5.6201999999999801E-2</v>
      </c>
      <c r="AH53">
        <v>0.74608763813548296</v>
      </c>
      <c r="AI53">
        <v>94.307744600107</v>
      </c>
      <c r="AJ53">
        <v>89.520300200513304</v>
      </c>
      <c r="AK53">
        <v>0.74822753836589295</v>
      </c>
      <c r="AL53">
        <v>81.591910561009797</v>
      </c>
      <c r="AM53">
        <v>88.552453723112905</v>
      </c>
      <c r="AN53">
        <v>1.0000000010932699</v>
      </c>
    </row>
    <row r="54" spans="1:40" x14ac:dyDescent="0.25">
      <c r="A54" t="str">
        <f>"20190312172055935"</f>
        <v>20190312172055935</v>
      </c>
      <c r="B54" t="str">
        <f>"1552382455931349"</f>
        <v>1552382455931349</v>
      </c>
      <c r="C54" t="s">
        <v>40</v>
      </c>
      <c r="D54">
        <v>3.4717829999999998</v>
      </c>
      <c r="E54">
        <v>0.4938708</v>
      </c>
      <c r="F54" t="s">
        <v>42</v>
      </c>
      <c r="G54">
        <v>-458.72199999999998</v>
      </c>
      <c r="H54" s="1">
        <v>-1.0473089999999999E-6</v>
      </c>
      <c r="I54">
        <v>367.26229999999998</v>
      </c>
      <c r="J54">
        <v>-475.24740000000003</v>
      </c>
      <c r="K54">
        <v>1.1085130000000001</v>
      </c>
      <c r="L54">
        <v>367.23059999999998</v>
      </c>
      <c r="M54">
        <v>0.99996430000000003</v>
      </c>
      <c r="N54">
        <v>0</v>
      </c>
      <c r="O54">
        <v>8.065104E-3</v>
      </c>
      <c r="P54">
        <v>0.98872380000000004</v>
      </c>
      <c r="Q54">
        <v>0.14879400000000001</v>
      </c>
      <c r="R54">
        <v>-1.691339E-2</v>
      </c>
      <c r="S54">
        <v>3.0650019999999998</v>
      </c>
      <c r="T54">
        <v>-0.2047477</v>
      </c>
      <c r="U54">
        <v>6.0424800000000002E-3</v>
      </c>
      <c r="V54">
        <v>2.4845809999999999E-2</v>
      </c>
      <c r="W54">
        <v>0.14627179999999901</v>
      </c>
      <c r="X54">
        <v>0.98893240000000004</v>
      </c>
      <c r="Y54">
        <v>6.0622519999999997E-3</v>
      </c>
      <c r="Z54">
        <v>-7.4041869999999998E-4</v>
      </c>
      <c r="AA54">
        <v>0.99998129999999996</v>
      </c>
      <c r="AB54">
        <v>8</v>
      </c>
      <c r="AC54">
        <v>16.525400000000001</v>
      </c>
      <c r="AD54">
        <v>-1.1085140473089901</v>
      </c>
      <c r="AE54">
        <v>3.17000000000007E-2</v>
      </c>
      <c r="AF54">
        <v>0.10112549663409499</v>
      </c>
      <c r="AG54">
        <v>-1.1085140473089901</v>
      </c>
      <c r="AH54">
        <v>16.451094353297801</v>
      </c>
      <c r="AI54">
        <v>93.854826725362599</v>
      </c>
      <c r="AJ54">
        <v>89.647805121214702</v>
      </c>
      <c r="AK54">
        <v>16.4887093242696</v>
      </c>
      <c r="AL54">
        <v>81.589066945462505</v>
      </c>
      <c r="AM54">
        <v>88.560810987975501</v>
      </c>
      <c r="AN54">
        <v>1.0000000227597701</v>
      </c>
    </row>
    <row r="55" spans="1:40" x14ac:dyDescent="0.25">
      <c r="A55" t="str">
        <f>"20190312172055947"</f>
        <v>20190312172055947</v>
      </c>
      <c r="B55" t="str">
        <f>"1552382455941109"</f>
        <v>1552382455941109</v>
      </c>
      <c r="C55" t="s">
        <v>40</v>
      </c>
      <c r="D55">
        <v>3.4448620000000001</v>
      </c>
      <c r="E55">
        <v>0.4938089</v>
      </c>
      <c r="F55" t="s">
        <v>42</v>
      </c>
      <c r="G55">
        <v>-458.03609999999998</v>
      </c>
      <c r="H55" s="1">
        <v>-1.2755450000000001E-6</v>
      </c>
      <c r="I55">
        <v>367.2817</v>
      </c>
      <c r="J55">
        <v>-475.19850000000002</v>
      </c>
      <c r="K55">
        <v>1.108519</v>
      </c>
      <c r="L55">
        <v>367.23129999999998</v>
      </c>
      <c r="M55">
        <v>0.99996220000000002</v>
      </c>
      <c r="N55">
        <v>0</v>
      </c>
      <c r="O55">
        <v>8.3034059999999993E-3</v>
      </c>
      <c r="P55">
        <v>0.98874569999999995</v>
      </c>
      <c r="Q55">
        <v>0.14866070000000001</v>
      </c>
      <c r="R55">
        <v>-1.6794010000000002E-2</v>
      </c>
      <c r="S55">
        <v>3.0640869999999998</v>
      </c>
      <c r="T55">
        <v>-0.19734560000000001</v>
      </c>
      <c r="U55">
        <v>9.1247559999999995E-3</v>
      </c>
      <c r="V55">
        <v>2.4963329999999999E-2</v>
      </c>
      <c r="W55">
        <v>0.1460543</v>
      </c>
      <c r="X55">
        <v>0.9889616</v>
      </c>
      <c r="Y55">
        <v>5.2973650000000001E-3</v>
      </c>
      <c r="Z55">
        <v>-7.046442E-4</v>
      </c>
      <c r="AA55">
        <v>0.99998569999999998</v>
      </c>
      <c r="AB55">
        <v>8</v>
      </c>
      <c r="AC55">
        <v>17.162400000000002</v>
      </c>
      <c r="AD55">
        <v>-1.1085202755449901</v>
      </c>
      <c r="AE55">
        <v>5.0400000000024599E-2</v>
      </c>
      <c r="AF55">
        <v>9.1725920872372205E-2</v>
      </c>
      <c r="AG55">
        <v>-1.1085202755449901</v>
      </c>
      <c r="AH55">
        <v>17.0909262490744</v>
      </c>
      <c r="AI55">
        <v>93.710962288179502</v>
      </c>
      <c r="AJ55">
        <v>89.692500125369705</v>
      </c>
      <c r="AK55">
        <v>17.1270835490797</v>
      </c>
      <c r="AL55">
        <v>81.601664178654303</v>
      </c>
      <c r="AM55">
        <v>88.5540492229036</v>
      </c>
      <c r="AN55">
        <v>1.0000000363338599</v>
      </c>
    </row>
    <row r="56" spans="1:40" x14ac:dyDescent="0.25">
      <c r="A56" t="str">
        <f>"20190312172055960"</f>
        <v>20190312172055960</v>
      </c>
      <c r="B56" t="str">
        <f>"1552382455951845"</f>
        <v>1552382455951845</v>
      </c>
      <c r="C56" t="s">
        <v>40</v>
      </c>
      <c r="D56">
        <v>3.4873910000000001</v>
      </c>
      <c r="E56">
        <v>0.4937259</v>
      </c>
      <c r="F56" t="s">
        <v>42</v>
      </c>
      <c r="G56">
        <v>-457.87040000000002</v>
      </c>
      <c r="H56" s="1">
        <v>-1.330577E-6</v>
      </c>
      <c r="I56">
        <v>367.2869</v>
      </c>
      <c r="J56">
        <v>-475.15320000000003</v>
      </c>
      <c r="K56">
        <v>1.1085229999999999</v>
      </c>
      <c r="L56">
        <v>367.2319</v>
      </c>
      <c r="M56">
        <v>0.99996019999999997</v>
      </c>
      <c r="N56">
        <v>0</v>
      </c>
      <c r="O56">
        <v>8.5160099999999992E-3</v>
      </c>
      <c r="P56">
        <v>0.9887399</v>
      </c>
      <c r="Q56">
        <v>0.14874760000000001</v>
      </c>
      <c r="R56">
        <v>-1.636897E-2</v>
      </c>
      <c r="S56">
        <v>3.0637819999999998</v>
      </c>
      <c r="T56">
        <v>-0.19599630000000001</v>
      </c>
      <c r="U56">
        <v>9.8571779999999994E-3</v>
      </c>
      <c r="V56">
        <v>2.474908E-2</v>
      </c>
      <c r="W56">
        <v>0.14609159999999999</v>
      </c>
      <c r="X56">
        <v>0.98896150000000005</v>
      </c>
      <c r="Y56">
        <v>5.2706250000000001E-3</v>
      </c>
      <c r="Z56">
        <v>-7.1263740000000004E-4</v>
      </c>
      <c r="AA56">
        <v>0.99998589999999998</v>
      </c>
      <c r="AB56">
        <v>8</v>
      </c>
      <c r="AC56">
        <v>17.282800000000002</v>
      </c>
      <c r="AD56">
        <v>-1.1085243305769901</v>
      </c>
      <c r="AE56">
        <v>5.50000000000068E-2</v>
      </c>
      <c r="AF56">
        <v>9.1805331234770901E-2</v>
      </c>
      <c r="AG56">
        <v>-1.1085243305769901</v>
      </c>
      <c r="AH56">
        <v>17.211833238298201</v>
      </c>
      <c r="AI56">
        <v>93.684980273967497</v>
      </c>
      <c r="AJ56">
        <v>89.694395822816801</v>
      </c>
      <c r="AK56">
        <v>17.247737759871899</v>
      </c>
      <c r="AL56">
        <v>81.5995040789645</v>
      </c>
      <c r="AM56">
        <v>88.566453878256695</v>
      </c>
      <c r="AN56">
        <v>1.00000006051682</v>
      </c>
    </row>
    <row r="57" spans="1:40" x14ac:dyDescent="0.25">
      <c r="A57" t="str">
        <f>"20190312172055981"</f>
        <v>20190312172055981</v>
      </c>
      <c r="B57" t="str">
        <f>"1552382455971368"</f>
        <v>1552382455971368</v>
      </c>
      <c r="C57" t="s">
        <v>40</v>
      </c>
      <c r="D57">
        <v>3.4570539999999998</v>
      </c>
      <c r="E57">
        <v>0.49373820000000002</v>
      </c>
      <c r="F57" t="s">
        <v>42</v>
      </c>
      <c r="G57">
        <v>-457.64409999999998</v>
      </c>
      <c r="H57" s="1">
        <v>-1.404154E-6</v>
      </c>
      <c r="I57">
        <v>367.2998</v>
      </c>
      <c r="J57">
        <v>-475.07530000000003</v>
      </c>
      <c r="K57">
        <v>1.108557</v>
      </c>
      <c r="L57">
        <v>367.233</v>
      </c>
      <c r="M57">
        <v>0.99995730000000005</v>
      </c>
      <c r="N57">
        <v>0</v>
      </c>
      <c r="O57">
        <v>8.8453290000000007E-3</v>
      </c>
      <c r="P57">
        <v>0.98880900000000005</v>
      </c>
      <c r="Q57">
        <v>0.14830989999999999</v>
      </c>
      <c r="R57">
        <v>-1.6144189999999999E-2</v>
      </c>
      <c r="S57">
        <v>3.0635680000000001</v>
      </c>
      <c r="T57">
        <v>-0.19395789999999999</v>
      </c>
      <c r="U57">
        <v>1.190186E-2</v>
      </c>
      <c r="V57">
        <v>2.485395E-2</v>
      </c>
      <c r="W57">
        <v>0.1457137</v>
      </c>
      <c r="X57">
        <v>0.98901459999999997</v>
      </c>
      <c r="Y57">
        <v>4.9329270000000001E-3</v>
      </c>
      <c r="Z57">
        <v>-7.1543729999999997E-4</v>
      </c>
      <c r="AA57">
        <v>0.99998759999999998</v>
      </c>
      <c r="AB57">
        <v>8</v>
      </c>
      <c r="AC57">
        <v>17.4312</v>
      </c>
      <c r="AD57">
        <v>-1.108558404154</v>
      </c>
      <c r="AE57">
        <v>6.6800000000000595E-2</v>
      </c>
      <c r="AF57">
        <v>8.7035854484052599E-2</v>
      </c>
      <c r="AG57">
        <v>-1.108558404154</v>
      </c>
      <c r="AH57">
        <v>17.3608942036511</v>
      </c>
      <c r="AI57">
        <v>93.653545060784495</v>
      </c>
      <c r="AJ57">
        <v>89.712759879071498</v>
      </c>
      <c r="AK57">
        <v>17.396468737239498</v>
      </c>
      <c r="AL57">
        <v>81.621390186727297</v>
      </c>
      <c r="AM57">
        <v>88.560459282543505</v>
      </c>
      <c r="AN57">
        <v>1.0000000401057201</v>
      </c>
    </row>
    <row r="58" spans="1:40" x14ac:dyDescent="0.25">
      <c r="A58" t="str">
        <f>"20190312172056003"</f>
        <v>20190312172056003</v>
      </c>
      <c r="B58" t="str">
        <f>"1552382455991861"</f>
        <v>1552382455991861</v>
      </c>
      <c r="C58" t="s">
        <v>40</v>
      </c>
      <c r="D58">
        <v>3.4610539999999999</v>
      </c>
      <c r="E58">
        <v>0.49383290000000002</v>
      </c>
      <c r="F58" t="s">
        <v>42</v>
      </c>
      <c r="G58">
        <v>-457.3535</v>
      </c>
      <c r="H58" s="1">
        <v>-1.5273800000000001E-6</v>
      </c>
      <c r="I58">
        <v>367.30650000000003</v>
      </c>
      <c r="J58">
        <v>-474.98919999999998</v>
      </c>
      <c r="K58">
        <v>1.108625</v>
      </c>
      <c r="L58">
        <v>367.23419999999999</v>
      </c>
      <c r="M58">
        <v>0.99995509999999999</v>
      </c>
      <c r="N58">
        <v>0</v>
      </c>
      <c r="O58">
        <v>9.1788530000000007E-3</v>
      </c>
      <c r="P58">
        <v>0.98893489999999995</v>
      </c>
      <c r="Q58">
        <v>0.14746999999999999</v>
      </c>
      <c r="R58">
        <v>-1.6141619999999999E-2</v>
      </c>
      <c r="S58">
        <v>3.0629270000000002</v>
      </c>
      <c r="T58">
        <v>-0.19159570000000001</v>
      </c>
      <c r="U58">
        <v>1.272583E-2</v>
      </c>
      <c r="V58">
        <v>2.518726E-2</v>
      </c>
      <c r="W58">
        <v>0.14512159999999999</v>
      </c>
      <c r="X58">
        <v>0.98909320000000001</v>
      </c>
      <c r="Y58">
        <v>4.9965119999999998E-3</v>
      </c>
      <c r="Z58">
        <v>-7.2971649999999902E-4</v>
      </c>
      <c r="AA58">
        <v>0.99998719999999996</v>
      </c>
      <c r="AB58">
        <v>9</v>
      </c>
      <c r="AC58">
        <v>17.6356999999999</v>
      </c>
      <c r="AD58">
        <v>-1.10862652738</v>
      </c>
      <c r="AE58">
        <v>7.2300000000041095E-2</v>
      </c>
      <c r="AF58">
        <v>8.9226401566346702E-2</v>
      </c>
      <c r="AG58">
        <v>-1.10862652738</v>
      </c>
      <c r="AH58">
        <v>17.566205305097501</v>
      </c>
      <c r="AI58">
        <v>93.611176749044503</v>
      </c>
      <c r="AJ58">
        <v>89.7089723035849</v>
      </c>
      <c r="AK58">
        <v>17.601380143295099</v>
      </c>
      <c r="AL58">
        <v>81.655679310630106</v>
      </c>
      <c r="AM58">
        <v>88.5412781345794</v>
      </c>
      <c r="AN58">
        <v>1.00000001756955</v>
      </c>
    </row>
    <row r="59" spans="1:40" x14ac:dyDescent="0.25">
      <c r="A59" t="str">
        <f>"20190312172056024"</f>
        <v>20190312172056024</v>
      </c>
      <c r="B59" t="str">
        <f>"1552382456021141"</f>
        <v>1552382456021141</v>
      </c>
      <c r="C59" t="s">
        <v>40</v>
      </c>
      <c r="D59">
        <v>3.4928889999999999</v>
      </c>
      <c r="E59">
        <v>0.49395679999999997</v>
      </c>
      <c r="F59" t="s">
        <v>42</v>
      </c>
      <c r="G59">
        <v>-457.29390000000001</v>
      </c>
      <c r="H59" s="1">
        <v>-1.5536E-6</v>
      </c>
      <c r="I59">
        <v>367.30270000000002</v>
      </c>
      <c r="J59">
        <v>-474.9051</v>
      </c>
      <c r="K59">
        <v>1.1087100000000001</v>
      </c>
      <c r="L59">
        <v>367.2355</v>
      </c>
      <c r="M59">
        <v>0.99995299999999998</v>
      </c>
      <c r="N59">
        <v>0</v>
      </c>
      <c r="O59">
        <v>9.4994740000000008E-3</v>
      </c>
      <c r="P59">
        <v>0.98903070000000004</v>
      </c>
      <c r="Q59">
        <v>0.14682779999999901</v>
      </c>
      <c r="R59">
        <v>-1.6125649999999998E-2</v>
      </c>
      <c r="S59">
        <v>3.0623779999999998</v>
      </c>
      <c r="T59">
        <v>-0.19186059999999999</v>
      </c>
      <c r="U59">
        <v>1.1871339999999999E-2</v>
      </c>
      <c r="V59">
        <v>2.5493930000000001E-2</v>
      </c>
      <c r="W59">
        <v>0.14484659999999999</v>
      </c>
      <c r="X59">
        <v>0.98912560000000005</v>
      </c>
      <c r="Y59">
        <v>5.5935250000000002E-3</v>
      </c>
      <c r="Z59">
        <v>-7.6960389999999998E-4</v>
      </c>
      <c r="AA59">
        <v>0.99998410000000004</v>
      </c>
      <c r="AB59">
        <v>9</v>
      </c>
      <c r="AC59">
        <v>17.611199999999901</v>
      </c>
      <c r="AD59">
        <v>-1.1087115536000001</v>
      </c>
      <c r="AE59">
        <v>6.7200000000013901E-2</v>
      </c>
      <c r="AF59">
        <v>9.9705324534181197E-2</v>
      </c>
      <c r="AG59">
        <v>-1.1087115536000001</v>
      </c>
      <c r="AH59">
        <v>17.541522057072299</v>
      </c>
      <c r="AI59">
        <v>93.616509557040601</v>
      </c>
      <c r="AJ59">
        <v>89.674336539747799</v>
      </c>
      <c r="AK59">
        <v>17.576807973565</v>
      </c>
      <c r="AL59">
        <v>81.671603470791695</v>
      </c>
      <c r="AM59">
        <v>88.523573477630904</v>
      </c>
      <c r="AN59">
        <v>0.99999996528688195</v>
      </c>
    </row>
    <row r="60" spans="1:40" x14ac:dyDescent="0.25">
      <c r="A60" t="str">
        <f>"20190312172056036"</f>
        <v>20190312172056036</v>
      </c>
      <c r="B60" t="str">
        <f>"1552382456031877"</f>
        <v>1552382456031877</v>
      </c>
      <c r="C60" t="s">
        <v>40</v>
      </c>
      <c r="D60">
        <v>3.4764170000000001</v>
      </c>
      <c r="E60">
        <v>0.49399999999999999</v>
      </c>
      <c r="F60" t="s">
        <v>42</v>
      </c>
      <c r="G60">
        <v>-457.17230000000001</v>
      </c>
      <c r="H60" s="1">
        <v>-1.606294E-6</v>
      </c>
      <c r="I60">
        <v>367.29989999999998</v>
      </c>
      <c r="J60">
        <v>-474.85129999999998</v>
      </c>
      <c r="K60">
        <v>1.108765</v>
      </c>
      <c r="L60">
        <v>367.2362</v>
      </c>
      <c r="M60">
        <v>0.99995140000000005</v>
      </c>
      <c r="N60">
        <v>0</v>
      </c>
      <c r="O60">
        <v>9.7108290000000007E-3</v>
      </c>
      <c r="P60">
        <v>0.98906919999999998</v>
      </c>
      <c r="Q60">
        <v>0.14658070000000001</v>
      </c>
      <c r="R60">
        <v>-1.6020309999999999E-2</v>
      </c>
      <c r="S60">
        <v>3.0619200000000002</v>
      </c>
      <c r="T60">
        <v>-0.19144</v>
      </c>
      <c r="U60">
        <v>1.113892E-2</v>
      </c>
      <c r="V60">
        <v>2.560026E-2</v>
      </c>
      <c r="W60">
        <v>0.14486550000000001</v>
      </c>
      <c r="X60">
        <v>0.98912009999999995</v>
      </c>
      <c r="Y60">
        <v>6.0423300000000003E-3</v>
      </c>
      <c r="Z60">
        <v>-7.9525250000000004E-4</v>
      </c>
      <c r="AA60">
        <v>0.99998140000000002</v>
      </c>
      <c r="AB60">
        <v>9</v>
      </c>
      <c r="AC60">
        <v>17.678999999999899</v>
      </c>
      <c r="AD60">
        <v>-1.108766606294</v>
      </c>
      <c r="AE60">
        <v>6.3699999999982895E-2</v>
      </c>
      <c r="AF60">
        <v>0.107557938389541</v>
      </c>
      <c r="AG60">
        <v>-1.108766606294</v>
      </c>
      <c r="AH60">
        <v>17.6095211160719</v>
      </c>
      <c r="AI60">
        <v>93.602750708443693</v>
      </c>
      <c r="AJ60">
        <v>89.650045038261297</v>
      </c>
      <c r="AK60">
        <v>17.6447206278458</v>
      </c>
      <c r="AL60">
        <v>81.670509154907293</v>
      </c>
      <c r="AM60">
        <v>88.517410105155193</v>
      </c>
      <c r="AN60">
        <v>0.99999997931316298</v>
      </c>
    </row>
    <row r="61" spans="1:40" x14ac:dyDescent="0.25">
      <c r="A61" t="str">
        <f>"20190312172056050"</f>
        <v>20190312172056050</v>
      </c>
      <c r="B61" t="str">
        <f>"1552382456041638"</f>
        <v>1552382456041638</v>
      </c>
      <c r="C61" t="s">
        <v>40</v>
      </c>
      <c r="D61">
        <v>3.4500549999999999</v>
      </c>
      <c r="E61">
        <v>0.49406840000000002</v>
      </c>
      <c r="F61" t="s">
        <v>42</v>
      </c>
      <c r="G61">
        <v>-457.1318</v>
      </c>
      <c r="H61" s="1">
        <v>-1.6238929999999901E-6</v>
      </c>
      <c r="I61">
        <v>367.29849999999999</v>
      </c>
      <c r="J61">
        <v>-474.79989999999998</v>
      </c>
      <c r="K61">
        <v>1.108816</v>
      </c>
      <c r="L61">
        <v>367.23700000000002</v>
      </c>
      <c r="M61">
        <v>0.9999498</v>
      </c>
      <c r="N61">
        <v>0</v>
      </c>
      <c r="O61">
        <v>9.922485E-3</v>
      </c>
      <c r="P61">
        <v>0.98915010000000003</v>
      </c>
      <c r="Q61">
        <v>0.1460409</v>
      </c>
      <c r="R61">
        <v>-1.5947670000000001E-2</v>
      </c>
      <c r="S61">
        <v>3.0617369999999999</v>
      </c>
      <c r="T61">
        <v>-0.1915819</v>
      </c>
      <c r="U61">
        <v>1.077271E-2</v>
      </c>
      <c r="V61">
        <v>2.5739120000000001E-2</v>
      </c>
      <c r="W61">
        <v>0.14458089999999901</v>
      </c>
      <c r="X61">
        <v>0.98915819999999999</v>
      </c>
      <c r="Y61">
        <v>6.3722659999999997E-3</v>
      </c>
      <c r="Z61">
        <v>-8.1943130000000002E-4</v>
      </c>
      <c r="AA61">
        <v>0.99997939999999996</v>
      </c>
      <c r="AB61">
        <v>9</v>
      </c>
      <c r="AC61">
        <v>17.6680999999999</v>
      </c>
      <c r="AD61">
        <v>-1.1088176238930001</v>
      </c>
      <c r="AE61">
        <v>6.1500000000023598E-2</v>
      </c>
      <c r="AF61">
        <v>0.113368150015036</v>
      </c>
      <c r="AG61">
        <v>-1.1088176238930001</v>
      </c>
      <c r="AH61">
        <v>17.598527938191001</v>
      </c>
      <c r="AI61">
        <v>93.6051531904359</v>
      </c>
      <c r="AJ61">
        <v>89.630910795418004</v>
      </c>
      <c r="AK61">
        <v>17.633788998731401</v>
      </c>
      <c r="AL61">
        <v>81.686989554336293</v>
      </c>
      <c r="AM61">
        <v>88.509429302906497</v>
      </c>
      <c r="AN61">
        <v>1.00000004178521</v>
      </c>
    </row>
    <row r="62" spans="1:40" x14ac:dyDescent="0.25">
      <c r="A62" t="str">
        <f>"20190312172056069"</f>
        <v>20190312172056069</v>
      </c>
      <c r="B62" t="str">
        <f>"1552382456061156"</f>
        <v>1552382456061156</v>
      </c>
      <c r="C62" t="s">
        <v>40</v>
      </c>
      <c r="D62">
        <v>3.491514</v>
      </c>
      <c r="E62">
        <v>0.49416060000000001</v>
      </c>
      <c r="F62" t="s">
        <v>42</v>
      </c>
      <c r="G62">
        <v>-457.19459999999998</v>
      </c>
      <c r="H62" s="1">
        <v>-1.5974440000000001E-6</v>
      </c>
      <c r="I62">
        <v>367.29590000000002</v>
      </c>
      <c r="J62">
        <v>-474.71809999999999</v>
      </c>
      <c r="K62">
        <v>1.1088849999999999</v>
      </c>
      <c r="L62">
        <v>367.23820000000001</v>
      </c>
      <c r="M62">
        <v>0.99994680000000002</v>
      </c>
      <c r="N62">
        <v>0</v>
      </c>
      <c r="O62">
        <v>1.027015E-2</v>
      </c>
      <c r="P62">
        <v>0.98922200000000005</v>
      </c>
      <c r="Q62">
        <v>0.14556459999999999</v>
      </c>
      <c r="R62">
        <v>-1.5845629999999999E-2</v>
      </c>
      <c r="S62">
        <v>3.0615540000000001</v>
      </c>
      <c r="T62">
        <v>-0.1928214</v>
      </c>
      <c r="U62">
        <v>1.025391E-2</v>
      </c>
      <c r="V62">
        <v>2.598224E-2</v>
      </c>
      <c r="W62">
        <v>0.1444984</v>
      </c>
      <c r="X62">
        <v>0.98916389999999998</v>
      </c>
      <c r="Y62">
        <v>6.8870519999999899E-3</v>
      </c>
      <c r="Z62">
        <v>-8.6284030000000002E-4</v>
      </c>
      <c r="AA62">
        <v>0.99997590000000003</v>
      </c>
      <c r="AB62">
        <v>9</v>
      </c>
      <c r="AC62">
        <v>17.523499999999999</v>
      </c>
      <c r="AD62">
        <v>-1.1088865974439901</v>
      </c>
      <c r="AE62">
        <v>5.7700000000011097E-2</v>
      </c>
      <c r="AF62">
        <v>0.12178443666258799</v>
      </c>
      <c r="AG62">
        <v>-1.1088865974439901</v>
      </c>
      <c r="AH62">
        <v>17.4532800385577</v>
      </c>
      <c r="AI62">
        <v>93.635287990654007</v>
      </c>
      <c r="AJ62">
        <v>89.600211480415197</v>
      </c>
      <c r="AK62">
        <v>17.488894906177499</v>
      </c>
      <c r="AL62">
        <v>81.691766627776104</v>
      </c>
      <c r="AM62">
        <v>88.495365159605001</v>
      </c>
      <c r="AN62">
        <v>1.00000004273059</v>
      </c>
    </row>
    <row r="63" spans="1:40" x14ac:dyDescent="0.25">
      <c r="A63" t="str">
        <f>"20190312172056091"</f>
        <v>20190312172056091</v>
      </c>
      <c r="B63" t="str">
        <f>"1552382456081653"</f>
        <v>1552382456081653</v>
      </c>
      <c r="C63" t="s">
        <v>40</v>
      </c>
      <c r="D63">
        <v>3.4670169999999998</v>
      </c>
      <c r="E63">
        <v>0.49423270000000002</v>
      </c>
      <c r="F63" t="s">
        <v>42</v>
      </c>
      <c r="G63">
        <v>-457.12709999999998</v>
      </c>
      <c r="H63" s="1">
        <v>-1.6267250000000001E-6</v>
      </c>
      <c r="I63">
        <v>367.29390000000001</v>
      </c>
      <c r="J63">
        <v>-474.6293</v>
      </c>
      <c r="K63">
        <v>1.1089450000000001</v>
      </c>
      <c r="L63">
        <v>367.23950000000002</v>
      </c>
      <c r="M63">
        <v>0.99994300000000003</v>
      </c>
      <c r="N63">
        <v>0</v>
      </c>
      <c r="O63">
        <v>1.066023E-2</v>
      </c>
      <c r="P63">
        <v>0.98928099999999997</v>
      </c>
      <c r="Q63">
        <v>0.14520079999999999</v>
      </c>
      <c r="R63">
        <v>-1.5496599999999999E-2</v>
      </c>
      <c r="S63">
        <v>3.0612180000000002</v>
      </c>
      <c r="T63">
        <v>-0.19296959999999999</v>
      </c>
      <c r="U63">
        <v>9.7045900000000008E-3</v>
      </c>
      <c r="V63">
        <v>2.6018340000000001E-2</v>
      </c>
      <c r="W63">
        <v>0.14452619999999999</v>
      </c>
      <c r="X63">
        <v>0.98915889999999995</v>
      </c>
      <c r="Y63">
        <v>7.4542480000000001E-3</v>
      </c>
      <c r="Z63">
        <v>-9.0601959999999997E-4</v>
      </c>
      <c r="AA63">
        <v>0.99997179999999997</v>
      </c>
      <c r="AB63">
        <v>9</v>
      </c>
      <c r="AC63">
        <v>17.502199999999998</v>
      </c>
      <c r="AD63">
        <v>-1.1089466267249899</v>
      </c>
      <c r="AE63">
        <v>5.4399999999986903E-2</v>
      </c>
      <c r="AF63">
        <v>0.13165208413771501</v>
      </c>
      <c r="AG63">
        <v>-1.1089466267249899</v>
      </c>
      <c r="AH63">
        <v>17.431805370189</v>
      </c>
      <c r="AI63">
        <v>93.639935712020105</v>
      </c>
      <c r="AJ63">
        <v>89.567287196410703</v>
      </c>
      <c r="AK63">
        <v>17.467539419057601</v>
      </c>
      <c r="AL63">
        <v>81.690156993692497</v>
      </c>
      <c r="AM63">
        <v>88.493267954321993</v>
      </c>
      <c r="AN63">
        <v>1.000000052976</v>
      </c>
    </row>
    <row r="64" spans="1:40" x14ac:dyDescent="0.25">
      <c r="A64" t="str">
        <f>"20190312172056103"</f>
        <v>20190312172056103</v>
      </c>
      <c r="B64" t="str">
        <f>"1552382456091413"</f>
        <v>1552382456091413</v>
      </c>
      <c r="C64" t="s">
        <v>40</v>
      </c>
      <c r="D64">
        <v>3.4828800000000002</v>
      </c>
      <c r="E64">
        <v>0.49426700000000001</v>
      </c>
      <c r="F64" t="s">
        <v>42</v>
      </c>
      <c r="G64">
        <v>-457.05869999999999</v>
      </c>
      <c r="H64" s="1">
        <v>-1.655376E-6</v>
      </c>
      <c r="I64">
        <v>367.298</v>
      </c>
      <c r="J64">
        <v>-474.577</v>
      </c>
      <c r="K64">
        <v>1.108975</v>
      </c>
      <c r="L64">
        <v>367.24040000000002</v>
      </c>
      <c r="M64">
        <v>0.99994059999999996</v>
      </c>
      <c r="N64">
        <v>0</v>
      </c>
      <c r="O64">
        <v>1.089187E-2</v>
      </c>
      <c r="P64">
        <v>0.98930580000000001</v>
      </c>
      <c r="Q64">
        <v>0.14503650000000001</v>
      </c>
      <c r="R64">
        <v>-1.5457230000000001E-2</v>
      </c>
      <c r="S64">
        <v>3.0610659999999998</v>
      </c>
      <c r="T64">
        <v>-0.19319439999999999</v>
      </c>
      <c r="U64">
        <v>1.019287E-2</v>
      </c>
      <c r="V64">
        <v>2.6206989999999999E-2</v>
      </c>
      <c r="W64">
        <v>0.14457529999999999</v>
      </c>
      <c r="X64">
        <v>0.98914669999999905</v>
      </c>
      <c r="Y64">
        <v>7.5255399999999998E-3</v>
      </c>
      <c r="Z64">
        <v>-9.2396980000000002E-4</v>
      </c>
      <c r="AA64">
        <v>0.99997130000000001</v>
      </c>
      <c r="AB64">
        <v>9</v>
      </c>
      <c r="AC64">
        <v>17.5183</v>
      </c>
      <c r="AD64">
        <v>-1.1089766553759901</v>
      </c>
      <c r="AE64">
        <v>5.7599999999979397E-2</v>
      </c>
      <c r="AF64">
        <v>0.13267878953614201</v>
      </c>
      <c r="AG64">
        <v>-1.1089766553759901</v>
      </c>
      <c r="AH64">
        <v>17.447968276326598</v>
      </c>
      <c r="AI64">
        <v>93.636669697869493</v>
      </c>
      <c r="AJ64">
        <v>89.564316714156803</v>
      </c>
      <c r="AK64">
        <v>17.483678956531399</v>
      </c>
      <c r="AL64">
        <v>81.687313542362304</v>
      </c>
      <c r="AM64">
        <v>88.482329541640993</v>
      </c>
      <c r="AN64">
        <v>1.00000000890791</v>
      </c>
    </row>
    <row r="65" spans="1:40" x14ac:dyDescent="0.25">
      <c r="A65" t="str">
        <f>"20190312172056115"</f>
        <v>20190312172056115</v>
      </c>
      <c r="B65" t="str">
        <f>"1552382456111910"</f>
        <v>1552382456111910</v>
      </c>
      <c r="C65" t="s">
        <v>40</v>
      </c>
      <c r="D65">
        <v>3.4884620000000002</v>
      </c>
      <c r="E65">
        <v>0.49429600000000001</v>
      </c>
      <c r="F65" t="s">
        <v>42</v>
      </c>
      <c r="G65">
        <v>-457.0034</v>
      </c>
      <c r="H65" s="1">
        <v>-1.6791740000000001E-6</v>
      </c>
      <c r="I65">
        <v>367.29739999999998</v>
      </c>
      <c r="J65">
        <v>-474.52370000000002</v>
      </c>
      <c r="K65">
        <v>1.108997</v>
      </c>
      <c r="L65">
        <v>367.24110000000002</v>
      </c>
      <c r="M65">
        <v>0.9999382</v>
      </c>
      <c r="N65">
        <v>0</v>
      </c>
      <c r="O65">
        <v>1.1128020000000001E-2</v>
      </c>
      <c r="P65">
        <v>0.98930300000000004</v>
      </c>
      <c r="Q65">
        <v>0.1450806</v>
      </c>
      <c r="R65">
        <v>-1.521554E-2</v>
      </c>
      <c r="S65">
        <v>3.0609739999999999</v>
      </c>
      <c r="T65">
        <v>-0.1931609</v>
      </c>
      <c r="U65">
        <v>9.9487299999999994E-3</v>
      </c>
      <c r="V65">
        <v>2.619722E-2</v>
      </c>
      <c r="W65">
        <v>0.1448188</v>
      </c>
      <c r="X65">
        <v>0.98911139999999997</v>
      </c>
      <c r="Y65">
        <v>7.8402630000000001E-3</v>
      </c>
      <c r="Z65">
        <v>-9.4864400000000001E-4</v>
      </c>
      <c r="AA65">
        <v>0.99996879999999999</v>
      </c>
      <c r="AB65">
        <v>9</v>
      </c>
      <c r="AC65">
        <v>17.520299999999999</v>
      </c>
      <c r="AD65">
        <v>-1.1089986791740001</v>
      </c>
      <c r="AE65">
        <v>5.6299999999964698E-2</v>
      </c>
      <c r="AF65">
        <v>0.13811633672194801</v>
      </c>
      <c r="AG65">
        <v>-1.1089986791740001</v>
      </c>
      <c r="AH65">
        <v>17.4499270421517</v>
      </c>
      <c r="AI65">
        <v>93.636325851072201</v>
      </c>
      <c r="AJ65">
        <v>89.546512835836396</v>
      </c>
      <c r="AK65">
        <v>17.4856772236393</v>
      </c>
      <c r="AL65">
        <v>81.6732141483362</v>
      </c>
      <c r="AM65">
        <v>88.482840948653703</v>
      </c>
      <c r="AN65">
        <v>1.00000007038956</v>
      </c>
    </row>
    <row r="66" spans="1:40" x14ac:dyDescent="0.25">
      <c r="A66" t="str">
        <f>"20190312172056128"</f>
        <v>20190312172056128</v>
      </c>
      <c r="B66" t="str">
        <f>"1552382456121669"</f>
        <v>1552382456121669</v>
      </c>
      <c r="C66" t="s">
        <v>40</v>
      </c>
      <c r="D66">
        <v>3.482504</v>
      </c>
      <c r="E66">
        <v>0.49429770000000001</v>
      </c>
      <c r="F66" t="s">
        <v>42</v>
      </c>
      <c r="G66">
        <v>-456.78269999999998</v>
      </c>
      <c r="H66" s="1">
        <v>-1.773113E-6</v>
      </c>
      <c r="I66">
        <v>367.30180000000001</v>
      </c>
      <c r="J66">
        <v>-474.46960000000001</v>
      </c>
      <c r="K66">
        <v>1.1090120000000001</v>
      </c>
      <c r="L66">
        <v>367.24200000000002</v>
      </c>
      <c r="M66">
        <v>0.99993560000000004</v>
      </c>
      <c r="N66">
        <v>0</v>
      </c>
      <c r="O66">
        <v>1.1365220000000001E-2</v>
      </c>
      <c r="P66">
        <v>0.98932469999999995</v>
      </c>
      <c r="Q66">
        <v>0.14497260000000001</v>
      </c>
      <c r="R66">
        <v>-1.4828920000000001E-2</v>
      </c>
      <c r="S66">
        <v>3.0606990000000001</v>
      </c>
      <c r="T66">
        <v>-0.19132460000000001</v>
      </c>
      <c r="U66">
        <v>1.0467529999999999E-2</v>
      </c>
      <c r="V66">
        <v>2.6043920000000002E-2</v>
      </c>
      <c r="W66">
        <v>0.14489749999999901</v>
      </c>
      <c r="X66">
        <v>0.98910390000000004</v>
      </c>
      <c r="Y66">
        <v>7.9077939999999992E-3</v>
      </c>
      <c r="Z66">
        <v>-9.5664770000000005E-4</v>
      </c>
      <c r="AA66">
        <v>0.99996830000000003</v>
      </c>
      <c r="AB66">
        <v>9</v>
      </c>
      <c r="AC66">
        <v>17.686900000000001</v>
      </c>
      <c r="AD66">
        <v>-1.1090137731129901</v>
      </c>
      <c r="AE66">
        <v>5.9800000000052402E-2</v>
      </c>
      <c r="AF66">
        <v>0.140666295741844</v>
      </c>
      <c r="AG66">
        <v>-1.1090137731129901</v>
      </c>
      <c r="AH66">
        <v>17.6171742429194</v>
      </c>
      <c r="AI66">
        <v>93.601942909605796</v>
      </c>
      <c r="AJ66">
        <v>89.542525169804406</v>
      </c>
      <c r="AK66">
        <v>17.6526068007277</v>
      </c>
      <c r="AL66">
        <v>81.668656716232206</v>
      </c>
      <c r="AM66">
        <v>88.491703463814801</v>
      </c>
      <c r="AN66">
        <v>1.00000004813521</v>
      </c>
    </row>
    <row r="67" spans="1:40" x14ac:dyDescent="0.25">
      <c r="A67" t="str">
        <f>"20190312172056147"</f>
        <v>20190312172056147</v>
      </c>
      <c r="B67" t="str">
        <f>"1552382456141189"</f>
        <v>1552382456141189</v>
      </c>
      <c r="C67" t="s">
        <v>40</v>
      </c>
      <c r="D67">
        <v>3.4723440000000001</v>
      </c>
      <c r="E67">
        <v>0.4943748</v>
      </c>
      <c r="F67" t="s">
        <v>42</v>
      </c>
      <c r="G67">
        <v>-456.69799999999998</v>
      </c>
      <c r="H67" s="1">
        <v>-1.8080169999999999E-6</v>
      </c>
      <c r="I67">
        <v>367.3098</v>
      </c>
      <c r="J67">
        <v>-474.38580000000002</v>
      </c>
      <c r="K67">
        <v>1.1090329999999999</v>
      </c>
      <c r="L67">
        <v>367.24329999999998</v>
      </c>
      <c r="M67">
        <v>0.99993129999999997</v>
      </c>
      <c r="N67">
        <v>0</v>
      </c>
      <c r="O67">
        <v>1.172662E-2</v>
      </c>
      <c r="P67">
        <v>0.98933700000000002</v>
      </c>
      <c r="Q67">
        <v>0.14495629999999901</v>
      </c>
      <c r="R67">
        <v>-1.4150380000000001E-2</v>
      </c>
      <c r="S67">
        <v>3.0605470000000001</v>
      </c>
      <c r="T67">
        <v>-0.19098860000000001</v>
      </c>
      <c r="U67">
        <v>1.1688230000000001E-2</v>
      </c>
      <c r="V67">
        <v>2.5720369999999999E-2</v>
      </c>
      <c r="W67">
        <v>0.1451424</v>
      </c>
      <c r="X67">
        <v>0.98907639999999997</v>
      </c>
      <c r="Y67">
        <v>7.8697049999999994E-3</v>
      </c>
      <c r="Z67">
        <v>-9.7635959999999998E-4</v>
      </c>
      <c r="AA67">
        <v>0.99996850000000004</v>
      </c>
      <c r="AB67">
        <v>10</v>
      </c>
      <c r="AC67">
        <v>17.6877999999999</v>
      </c>
      <c r="AD67">
        <v>-1.1090348080169901</v>
      </c>
      <c r="AE67">
        <v>6.6500000000019099E-2</v>
      </c>
      <c r="AF67">
        <v>0.14037082911028301</v>
      </c>
      <c r="AG67">
        <v>-1.1090348080169901</v>
      </c>
      <c r="AH67">
        <v>17.618101516958301</v>
      </c>
      <c r="AI67">
        <v>93.601822459520804</v>
      </c>
      <c r="AJ67">
        <v>89.543510071646494</v>
      </c>
      <c r="AK67">
        <v>17.653531183219599</v>
      </c>
      <c r="AL67">
        <v>81.654474568514104</v>
      </c>
      <c r="AM67">
        <v>88.510391509351606</v>
      </c>
      <c r="AN67">
        <v>0.99999998937382795</v>
      </c>
    </row>
    <row r="68" spans="1:40" x14ac:dyDescent="0.25">
      <c r="A68" t="str">
        <f>"20190312172056159"</f>
        <v>20190312172056159</v>
      </c>
      <c r="B68" t="str">
        <f>"1552382456151925"</f>
        <v>1552382456151925</v>
      </c>
      <c r="C68" t="s">
        <v>40</v>
      </c>
      <c r="D68">
        <v>3.4692259999999999</v>
      </c>
      <c r="E68">
        <v>0.49441829999999998</v>
      </c>
      <c r="F68" t="s">
        <v>42</v>
      </c>
      <c r="G68">
        <v>-456.5659</v>
      </c>
      <c r="H68" s="1">
        <v>-1.8628030000000001E-6</v>
      </c>
      <c r="I68">
        <v>367.3202</v>
      </c>
      <c r="J68">
        <v>-474.32859999999999</v>
      </c>
      <c r="K68">
        <v>1.1090409999999999</v>
      </c>
      <c r="L68">
        <v>367.24419999999998</v>
      </c>
      <c r="M68">
        <v>0.99992840000000005</v>
      </c>
      <c r="N68">
        <v>0</v>
      </c>
      <c r="O68">
        <v>1.1968970000000001E-2</v>
      </c>
      <c r="P68">
        <v>0.98936020000000002</v>
      </c>
      <c r="Q68">
        <v>0.14484240000000001</v>
      </c>
      <c r="R68">
        <v>-1.3679470000000001E-2</v>
      </c>
      <c r="S68">
        <v>3.0603940000000001</v>
      </c>
      <c r="T68">
        <v>-0.19046560000000001</v>
      </c>
      <c r="U68">
        <v>1.3214109999999999E-2</v>
      </c>
      <c r="V68">
        <v>2.548831E-2</v>
      </c>
      <c r="W68">
        <v>0.14519099999999999</v>
      </c>
      <c r="X68">
        <v>0.98907529999999999</v>
      </c>
      <c r="Y68">
        <v>7.6135380000000004E-3</v>
      </c>
      <c r="Z68">
        <v>-9.8084160000000008E-4</v>
      </c>
      <c r="AA68">
        <v>0.99997060000000004</v>
      </c>
      <c r="AB68">
        <v>10</v>
      </c>
      <c r="AC68">
        <v>17.762699999999899</v>
      </c>
      <c r="AD68">
        <v>-1.109042862803</v>
      </c>
      <c r="AE68">
        <v>7.60000000000218E-2</v>
      </c>
      <c r="AF68">
        <v>0.13607620048063701</v>
      </c>
      <c r="AG68">
        <v>-1.109042862803</v>
      </c>
      <c r="AH68">
        <v>17.693363962517299</v>
      </c>
      <c r="AI68">
        <v>93.586575153508093</v>
      </c>
      <c r="AJ68">
        <v>89.559358057469694</v>
      </c>
      <c r="AK68">
        <v>17.728610242034701</v>
      </c>
      <c r="AL68">
        <v>81.651660394741796</v>
      </c>
      <c r="AM68">
        <v>88.523823769148805</v>
      </c>
      <c r="AN68">
        <v>1.0000000147488699</v>
      </c>
    </row>
    <row r="69" spans="1:40" x14ac:dyDescent="0.25">
      <c r="A69" t="str">
        <f>"20190312172056171"</f>
        <v>20190312172056171</v>
      </c>
      <c r="B69" t="str">
        <f>"1552382456161685"</f>
        <v>1552382456161685</v>
      </c>
      <c r="C69" t="s">
        <v>40</v>
      </c>
      <c r="D69">
        <v>3.4632559999999999</v>
      </c>
      <c r="E69">
        <v>0.4944614</v>
      </c>
      <c r="F69" t="s">
        <v>42</v>
      </c>
      <c r="G69">
        <v>-456.50880000000001</v>
      </c>
      <c r="H69" s="1">
        <v>-1.886099E-6</v>
      </c>
      <c r="I69">
        <v>367.32709999999997</v>
      </c>
      <c r="J69">
        <v>-474.27420000000001</v>
      </c>
      <c r="K69">
        <v>1.1090450000000001</v>
      </c>
      <c r="L69">
        <v>367.24509999999998</v>
      </c>
      <c r="M69">
        <v>0.99992570000000003</v>
      </c>
      <c r="N69">
        <v>0</v>
      </c>
      <c r="O69">
        <v>1.2191810000000001E-2</v>
      </c>
      <c r="P69">
        <v>0.9893864</v>
      </c>
      <c r="Q69">
        <v>0.14467669999999999</v>
      </c>
      <c r="R69">
        <v>-1.35511E-2</v>
      </c>
      <c r="S69">
        <v>3.0603030000000002</v>
      </c>
      <c r="T69">
        <v>-0.1904613</v>
      </c>
      <c r="U69">
        <v>1.4251710000000001E-2</v>
      </c>
      <c r="V69">
        <v>2.5579950000000001E-2</v>
      </c>
      <c r="W69">
        <v>0.14515980000000001</v>
      </c>
      <c r="X69">
        <v>0.98907750000000005</v>
      </c>
      <c r="Y69">
        <v>7.49702599999999E-3</v>
      </c>
      <c r="Z69">
        <v>-9.9108029999999997E-4</v>
      </c>
      <c r="AA69">
        <v>0.99997139999999995</v>
      </c>
      <c r="AB69">
        <v>10</v>
      </c>
      <c r="AC69">
        <v>17.7654</v>
      </c>
      <c r="AD69">
        <v>-1.1090468860989999</v>
      </c>
      <c r="AE69">
        <v>8.1999999999993606E-2</v>
      </c>
      <c r="AF69">
        <v>0.13407596461979901</v>
      </c>
      <c r="AG69">
        <v>-1.1090468860989999</v>
      </c>
      <c r="AH69">
        <v>17.696115973219701</v>
      </c>
      <c r="AI69">
        <v>93.586034936751702</v>
      </c>
      <c r="AJ69">
        <v>89.565902487867604</v>
      </c>
      <c r="AK69">
        <v>17.731341796308001</v>
      </c>
      <c r="AL69">
        <v>81.653467050109398</v>
      </c>
      <c r="AM69">
        <v>88.518522018733805</v>
      </c>
      <c r="AN69">
        <v>1.0000000011921399</v>
      </c>
    </row>
    <row r="70" spans="1:40" x14ac:dyDescent="0.25">
      <c r="A70" t="str">
        <f>"20190312172056193"</f>
        <v>20190312172056193</v>
      </c>
      <c r="B70" t="str">
        <f>"1552382456181204"</f>
        <v>1552382456181204</v>
      </c>
      <c r="C70" t="s">
        <v>40</v>
      </c>
      <c r="D70">
        <v>3.4251619999999998</v>
      </c>
      <c r="E70">
        <v>0.49456290000000003</v>
      </c>
      <c r="F70" t="s">
        <v>42</v>
      </c>
      <c r="G70">
        <v>-456.47550000000001</v>
      </c>
      <c r="H70" s="1">
        <v>-1.900213E-6</v>
      </c>
      <c r="I70">
        <v>367.32799999999997</v>
      </c>
      <c r="J70">
        <v>-474.1782</v>
      </c>
      <c r="K70">
        <v>1.109049</v>
      </c>
      <c r="L70">
        <v>367.24669999999998</v>
      </c>
      <c r="M70">
        <v>0.99992080000000005</v>
      </c>
      <c r="N70">
        <v>0</v>
      </c>
      <c r="O70">
        <v>1.2575569999999999E-2</v>
      </c>
      <c r="P70">
        <v>0.98940300000000003</v>
      </c>
      <c r="Q70">
        <v>0.14462369999999999</v>
      </c>
      <c r="R70">
        <v>-1.288402E-2</v>
      </c>
      <c r="S70">
        <v>3.0603030000000002</v>
      </c>
      <c r="T70">
        <v>-0.19068889999999999</v>
      </c>
      <c r="U70">
        <v>1.4251710000000001E-2</v>
      </c>
      <c r="V70">
        <v>2.5292209999999999E-2</v>
      </c>
      <c r="W70">
        <v>0.14532590000000001</v>
      </c>
      <c r="X70">
        <v>0.98906050000000001</v>
      </c>
      <c r="Y70">
        <v>7.8792229999999994E-3</v>
      </c>
      <c r="Z70">
        <v>-1.028045E-3</v>
      </c>
      <c r="AA70">
        <v>0.99996839999999998</v>
      </c>
      <c r="AB70">
        <v>10</v>
      </c>
      <c r="AC70">
        <v>17.702699999999901</v>
      </c>
      <c r="AD70">
        <v>-1.109050900213</v>
      </c>
      <c r="AE70">
        <v>8.1300000000055606E-2</v>
      </c>
      <c r="AF70">
        <v>0.14077548744636001</v>
      </c>
      <c r="AG70">
        <v>-1.109050900213</v>
      </c>
      <c r="AH70">
        <v>17.633116524750701</v>
      </c>
      <c r="AI70">
        <v>93.598815106211504</v>
      </c>
      <c r="AJ70">
        <v>89.542583982875001</v>
      </c>
      <c r="AK70">
        <v>17.668520311915401</v>
      </c>
      <c r="AL70">
        <v>81.643848153468994</v>
      </c>
      <c r="AM70">
        <v>88.5351541832934</v>
      </c>
      <c r="AN70">
        <v>0.99999999287887198</v>
      </c>
    </row>
    <row r="71" spans="1:40" x14ac:dyDescent="0.25">
      <c r="A71" t="str">
        <f>"20190312172056215"</f>
        <v>20190312172056215</v>
      </c>
      <c r="B71" t="str">
        <f>"1552382456211461"</f>
        <v>1552382456211461</v>
      </c>
      <c r="C71" t="s">
        <v>40</v>
      </c>
      <c r="D71">
        <v>3.4349080000000001</v>
      </c>
      <c r="E71">
        <v>0.49464629999999998</v>
      </c>
      <c r="F71" t="s">
        <v>42</v>
      </c>
      <c r="G71">
        <v>-456.30689999999998</v>
      </c>
      <c r="H71" s="1">
        <v>-1.9703980000000002E-6</v>
      </c>
      <c r="I71">
        <v>367.34019999999998</v>
      </c>
      <c r="J71">
        <v>-474.0797</v>
      </c>
      <c r="K71">
        <v>1.109046</v>
      </c>
      <c r="L71">
        <v>367.2484</v>
      </c>
      <c r="M71">
        <v>0.99991580000000002</v>
      </c>
      <c r="N71">
        <v>0</v>
      </c>
      <c r="O71">
        <v>1.2952740000000001E-2</v>
      </c>
      <c r="P71">
        <v>0.98947850000000004</v>
      </c>
      <c r="Q71">
        <v>0.1441171</v>
      </c>
      <c r="R71">
        <v>-1.276917E-2</v>
      </c>
      <c r="S71">
        <v>3.06012</v>
      </c>
      <c r="T71">
        <v>-0.18990219999999999</v>
      </c>
      <c r="U71">
        <v>1.6021730000000001E-2</v>
      </c>
      <c r="V71">
        <v>2.555226E-2</v>
      </c>
      <c r="W71">
        <v>0.1450216</v>
      </c>
      <c r="X71">
        <v>0.98909849999999999</v>
      </c>
      <c r="Y71">
        <v>7.6777429999999999E-3</v>
      </c>
      <c r="Z71">
        <v>-1.041008E-3</v>
      </c>
      <c r="AA71">
        <v>0.99997000000000003</v>
      </c>
      <c r="AB71">
        <v>10</v>
      </c>
      <c r="AC71">
        <v>17.7728</v>
      </c>
      <c r="AD71">
        <v>-1.1090479703980001</v>
      </c>
      <c r="AE71">
        <v>9.1799999999977899E-2</v>
      </c>
      <c r="AF71">
        <v>0.13787735843465701</v>
      </c>
      <c r="AG71">
        <v>-1.1090479703980001</v>
      </c>
      <c r="AH71">
        <v>17.7035633694552</v>
      </c>
      <c r="AI71">
        <v>93.584528011417703</v>
      </c>
      <c r="AJ71">
        <v>89.553782995556503</v>
      </c>
      <c r="AK71">
        <v>17.738803610811299</v>
      </c>
      <c r="AL71">
        <v>81.661470106932796</v>
      </c>
      <c r="AM71">
        <v>88.5201563939154</v>
      </c>
      <c r="AN71">
        <v>1.00000001257995</v>
      </c>
    </row>
    <row r="72" spans="1:40" x14ac:dyDescent="0.25">
      <c r="A72" t="str">
        <f>"20190312172056237"</f>
        <v>20190312172056237</v>
      </c>
      <c r="B72" t="str">
        <f>"1552382456231958"</f>
        <v>1552382456231958</v>
      </c>
      <c r="C72" t="s">
        <v>40</v>
      </c>
      <c r="D72">
        <v>3.4338299999999999</v>
      </c>
      <c r="E72">
        <v>0.4947242</v>
      </c>
      <c r="F72" t="s">
        <v>42</v>
      </c>
      <c r="G72">
        <v>-456.25830000000002</v>
      </c>
      <c r="H72" s="1">
        <v>-1.9910570000000002E-6</v>
      </c>
      <c r="I72">
        <v>367.34129999999999</v>
      </c>
      <c r="J72">
        <v>-473.9744</v>
      </c>
      <c r="K72">
        <v>1.1090469999999999</v>
      </c>
      <c r="L72">
        <v>367.25020000000001</v>
      </c>
      <c r="M72">
        <v>0.99991039999999998</v>
      </c>
      <c r="N72">
        <v>0</v>
      </c>
      <c r="O72">
        <v>1.333669E-2</v>
      </c>
      <c r="P72">
        <v>0.98952759999999995</v>
      </c>
      <c r="Q72">
        <v>0.14379020000000001</v>
      </c>
      <c r="R72">
        <v>-1.2631420000000001E-2</v>
      </c>
      <c r="S72">
        <v>3.0598749999999999</v>
      </c>
      <c r="T72">
        <v>-0.19041849999999999</v>
      </c>
      <c r="U72">
        <v>1.596069E-2</v>
      </c>
      <c r="V72">
        <v>2.579671E-2</v>
      </c>
      <c r="W72">
        <v>0.14490039999999901</v>
      </c>
      <c r="X72">
        <v>0.98910989999999999</v>
      </c>
      <c r="Y72">
        <v>8.0794990000000004E-3</v>
      </c>
      <c r="Z72">
        <v>-1.080272E-3</v>
      </c>
      <c r="AA72">
        <v>0.99996680000000004</v>
      </c>
      <c r="AB72">
        <v>10</v>
      </c>
      <c r="AC72">
        <v>17.716099999999901</v>
      </c>
      <c r="AD72">
        <v>-1.1090489910569901</v>
      </c>
      <c r="AE72">
        <v>9.1099999999983E-2</v>
      </c>
      <c r="AF72">
        <v>0.14461567170815101</v>
      </c>
      <c r="AG72">
        <v>-1.1090489910569901</v>
      </c>
      <c r="AH72">
        <v>17.646585802424301</v>
      </c>
      <c r="AI72">
        <v>93.596063104416999</v>
      </c>
      <c r="AJ72">
        <v>89.530465425539504</v>
      </c>
      <c r="AK72">
        <v>17.681993491667999</v>
      </c>
      <c r="AL72">
        <v>81.668488342246903</v>
      </c>
      <c r="AM72">
        <v>88.506022817839295</v>
      </c>
      <c r="AN72">
        <v>0.99999999522249705</v>
      </c>
    </row>
    <row r="73" spans="1:40" x14ac:dyDescent="0.25">
      <c r="A73" t="str">
        <f>"20190312172056259"</f>
        <v>20190312172056259</v>
      </c>
      <c r="B73" t="str">
        <f>"1552382456251477"</f>
        <v>1552382456251477</v>
      </c>
      <c r="C73" t="s">
        <v>40</v>
      </c>
      <c r="D73">
        <v>3.455714</v>
      </c>
      <c r="E73">
        <v>0.49479410000000001</v>
      </c>
      <c r="F73" t="s">
        <v>42</v>
      </c>
      <c r="G73">
        <v>-456.2</v>
      </c>
      <c r="H73" s="1">
        <v>-2.0160560000000001E-6</v>
      </c>
      <c r="I73">
        <v>367.34140000000002</v>
      </c>
      <c r="J73">
        <v>-473.86989999999997</v>
      </c>
      <c r="K73">
        <v>1.109051</v>
      </c>
      <c r="L73">
        <v>367.25200000000001</v>
      </c>
      <c r="M73">
        <v>0.99990540000000006</v>
      </c>
      <c r="N73">
        <v>0</v>
      </c>
      <c r="O73">
        <v>1.369927E-2</v>
      </c>
      <c r="P73">
        <v>0.9895642</v>
      </c>
      <c r="Q73">
        <v>0.14353829999999901</v>
      </c>
      <c r="R73">
        <v>-1.262306E-2</v>
      </c>
      <c r="S73">
        <v>3.0596619999999999</v>
      </c>
      <c r="T73">
        <v>-0.19090879999999999</v>
      </c>
      <c r="U73">
        <v>1.5716549999999999E-2</v>
      </c>
      <c r="V73">
        <v>2.614973E-2</v>
      </c>
      <c r="W73">
        <v>0.14485509999999999</v>
      </c>
      <c r="X73">
        <v>0.98910730000000002</v>
      </c>
      <c r="Y73">
        <v>8.5197459999999999E-3</v>
      </c>
      <c r="Z73">
        <v>-1.1194449999999999E-3</v>
      </c>
      <c r="AA73">
        <v>0.99996309999999999</v>
      </c>
      <c r="AB73">
        <v>10</v>
      </c>
      <c r="AC73">
        <v>17.669899999999899</v>
      </c>
      <c r="AD73">
        <v>-1.1090530160559999</v>
      </c>
      <c r="AE73">
        <v>8.9400000000068702E-2</v>
      </c>
      <c r="AF73">
        <v>0.15207422967960901</v>
      </c>
      <c r="AG73">
        <v>-1.1090530160559999</v>
      </c>
      <c r="AH73">
        <v>17.600133375822899</v>
      </c>
      <c r="AI73">
        <v>93.605528839447103</v>
      </c>
      <c r="AJ73">
        <v>89.504947234288693</v>
      </c>
      <c r="AK73">
        <v>17.635697321356801</v>
      </c>
      <c r="AL73">
        <v>81.671111805439907</v>
      </c>
      <c r="AM73">
        <v>88.4855836795671</v>
      </c>
      <c r="AN73">
        <v>1.00000002964418</v>
      </c>
    </row>
    <row r="74" spans="1:40" x14ac:dyDescent="0.25">
      <c r="A74" t="str">
        <f>"20190312172056270"</f>
        <v>20190312172056270</v>
      </c>
      <c r="B74" t="str">
        <f>"1552382456261237"</f>
        <v>1552382456261237</v>
      </c>
      <c r="C74" t="s">
        <v>40</v>
      </c>
      <c r="D74">
        <v>3.4053789999999999</v>
      </c>
      <c r="E74">
        <v>0.4948359</v>
      </c>
      <c r="F74" t="s">
        <v>42</v>
      </c>
      <c r="G74">
        <v>-456.12889999999999</v>
      </c>
      <c r="H74" s="1">
        <v>-2.0467790000000001E-6</v>
      </c>
      <c r="I74">
        <v>367.34010000000001</v>
      </c>
      <c r="J74">
        <v>-473.80970000000002</v>
      </c>
      <c r="K74">
        <v>1.1090580000000001</v>
      </c>
      <c r="L74">
        <v>367.25310000000002</v>
      </c>
      <c r="M74">
        <v>0.99990239999999997</v>
      </c>
      <c r="N74">
        <v>0</v>
      </c>
      <c r="O74">
        <v>1.389993E-2</v>
      </c>
      <c r="P74">
        <v>0.98961730000000003</v>
      </c>
      <c r="Q74">
        <v>0.14319119999999999</v>
      </c>
      <c r="R74">
        <v>-1.241767E-2</v>
      </c>
      <c r="S74">
        <v>3.0595400000000001</v>
      </c>
      <c r="T74">
        <v>-0.19126180000000001</v>
      </c>
      <c r="U74">
        <v>1.5197749999999999E-2</v>
      </c>
      <c r="V74">
        <v>2.6144669999999998E-2</v>
      </c>
      <c r="W74">
        <v>0.14463329999999999</v>
      </c>
      <c r="X74">
        <v>0.98913989999999996</v>
      </c>
      <c r="Y74">
        <v>8.8885019999999995E-3</v>
      </c>
      <c r="Z74">
        <v>-1.1456019999999999E-3</v>
      </c>
      <c r="AA74">
        <v>0.99995979999999995</v>
      </c>
      <c r="AB74">
        <v>11</v>
      </c>
      <c r="AC74">
        <v>17.680800000000001</v>
      </c>
      <c r="AD74">
        <v>-1.1090600467789999</v>
      </c>
      <c r="AE74">
        <v>8.6999999999989003E-2</v>
      </c>
      <c r="AF74">
        <v>0.158148287551484</v>
      </c>
      <c r="AG74">
        <v>-1.1090600467789999</v>
      </c>
      <c r="AH74">
        <v>17.611009660777398</v>
      </c>
      <c r="AI74">
        <v>93.603320021367907</v>
      </c>
      <c r="AJ74">
        <v>89.485493107504496</v>
      </c>
      <c r="AK74">
        <v>17.646605518915301</v>
      </c>
      <c r="AL74">
        <v>81.683955336238</v>
      </c>
      <c r="AM74">
        <v>88.485926463416604</v>
      </c>
      <c r="AN74">
        <v>1.00000003850515</v>
      </c>
    </row>
    <row r="75" spans="1:40" x14ac:dyDescent="0.25">
      <c r="A75" t="str">
        <f>"20190312172056283"</f>
        <v>20190312172056283</v>
      </c>
      <c r="B75" t="str">
        <f>"1552382456281733"</f>
        <v>1552382456281733</v>
      </c>
      <c r="C75" t="s">
        <v>40</v>
      </c>
      <c r="D75">
        <v>3.3895189999999999</v>
      </c>
      <c r="E75">
        <v>0.49489860000000002</v>
      </c>
      <c r="F75" t="s">
        <v>42</v>
      </c>
      <c r="G75">
        <v>-456.15370000000001</v>
      </c>
      <c r="H75" s="1">
        <v>-2.035492E-6</v>
      </c>
      <c r="I75">
        <v>367.34350000000001</v>
      </c>
      <c r="J75">
        <v>-473.75119999999998</v>
      </c>
      <c r="K75">
        <v>1.109064</v>
      </c>
      <c r="L75">
        <v>367.25409999999999</v>
      </c>
      <c r="M75">
        <v>0.9998996</v>
      </c>
      <c r="N75">
        <v>0</v>
      </c>
      <c r="O75">
        <v>1.4092189999999999E-2</v>
      </c>
      <c r="P75">
        <v>0.98963080000000003</v>
      </c>
      <c r="Q75">
        <v>0.14310880000000001</v>
      </c>
      <c r="R75">
        <v>-1.229416E-2</v>
      </c>
      <c r="S75">
        <v>3.0595089999999998</v>
      </c>
      <c r="T75">
        <v>-0.19218299999999999</v>
      </c>
      <c r="U75">
        <v>1.5686039999999998E-2</v>
      </c>
      <c r="V75">
        <v>2.6212679999999999E-2</v>
      </c>
      <c r="W75">
        <v>0.14467430000000001</v>
      </c>
      <c r="X75">
        <v>0.98913200000000001</v>
      </c>
      <c r="Y75">
        <v>8.9202669999999904E-3</v>
      </c>
      <c r="Z75">
        <v>-1.1641799999999999E-3</v>
      </c>
      <c r="AA75">
        <v>0.9999595</v>
      </c>
      <c r="AB75">
        <v>11</v>
      </c>
      <c r="AC75">
        <v>17.597499999999901</v>
      </c>
      <c r="AD75">
        <v>-1.1090660354919999</v>
      </c>
      <c r="AE75">
        <v>8.9400000000011901E-2</v>
      </c>
      <c r="AF75">
        <v>0.15796902175355301</v>
      </c>
      <c r="AG75">
        <v>-1.1090660354919999</v>
      </c>
      <c r="AH75">
        <v>17.527394814121902</v>
      </c>
      <c r="AI75">
        <v>93.620482569531305</v>
      </c>
      <c r="AJ75">
        <v>89.483624732450195</v>
      </c>
      <c r="AK75">
        <v>17.563158903028299</v>
      </c>
      <c r="AL75">
        <v>81.681580376895099</v>
      </c>
      <c r="AM75">
        <v>88.481977633541106</v>
      </c>
      <c r="AN75">
        <v>0.99999993554863398</v>
      </c>
    </row>
    <row r="76" spans="1:40" x14ac:dyDescent="0.25">
      <c r="A76" t="str">
        <f>"20190312172056303"</f>
        <v>20190312172056303</v>
      </c>
      <c r="B76" t="str">
        <f>"1552382456291496"</f>
        <v>1552382456291496</v>
      </c>
      <c r="C76" t="s">
        <v>40</v>
      </c>
      <c r="D76">
        <v>3.41309</v>
      </c>
      <c r="E76">
        <v>0.49493769999999998</v>
      </c>
      <c r="F76" t="s">
        <v>42</v>
      </c>
      <c r="G76">
        <v>-456.09410000000003</v>
      </c>
      <c r="H76" s="1">
        <v>-2.0613259999999999E-6</v>
      </c>
      <c r="I76">
        <v>367.34210000000002</v>
      </c>
      <c r="J76">
        <v>-473.65699999999998</v>
      </c>
      <c r="K76">
        <v>1.1090770000000001</v>
      </c>
      <c r="L76">
        <v>367.25580000000002</v>
      </c>
      <c r="M76">
        <v>0.99989479999999997</v>
      </c>
      <c r="N76">
        <v>0</v>
      </c>
      <c r="O76">
        <v>1.4394809999999999E-2</v>
      </c>
      <c r="P76">
        <v>0.98969269999999998</v>
      </c>
      <c r="Q76">
        <v>0.14266329999999999</v>
      </c>
      <c r="R76">
        <v>-1.245567E-2</v>
      </c>
      <c r="S76">
        <v>3.059418</v>
      </c>
      <c r="T76">
        <v>-0.1921659</v>
      </c>
      <c r="U76">
        <v>1.525879E-2</v>
      </c>
      <c r="V76">
        <v>2.6676209999999999E-2</v>
      </c>
      <c r="W76">
        <v>0.14443610000000001</v>
      </c>
      <c r="X76">
        <v>0.98915450000000005</v>
      </c>
      <c r="Y76">
        <v>9.360943E-3</v>
      </c>
      <c r="Z76">
        <v>-1.1969260000000001E-3</v>
      </c>
      <c r="AA76">
        <v>0.9999555</v>
      </c>
      <c r="AB76">
        <v>11</v>
      </c>
      <c r="AC76">
        <v>17.5628999999999</v>
      </c>
      <c r="AD76">
        <v>-1.109079061326</v>
      </c>
      <c r="AE76">
        <v>8.6299999999994201E-2</v>
      </c>
      <c r="AF76">
        <v>0.16586254250936799</v>
      </c>
      <c r="AG76">
        <v>-1.109079061326</v>
      </c>
      <c r="AH76">
        <v>17.4925675190912</v>
      </c>
      <c r="AI76">
        <v>93.627698432670599</v>
      </c>
      <c r="AJ76">
        <v>89.456744193178494</v>
      </c>
      <c r="AK76">
        <v>17.528476407185099</v>
      </c>
      <c r="AL76">
        <v>81.695373774083905</v>
      </c>
      <c r="AM76">
        <v>88.455181815228102</v>
      </c>
      <c r="AN76">
        <v>1.00000001601671</v>
      </c>
    </row>
    <row r="77" spans="1:40" x14ac:dyDescent="0.25">
      <c r="A77" t="str">
        <f>"20190312172056314"</f>
        <v>20190312172056314</v>
      </c>
      <c r="B77" t="str">
        <f>"1552382456311989"</f>
        <v>1552382456311989</v>
      </c>
      <c r="C77" t="s">
        <v>40</v>
      </c>
      <c r="D77">
        <v>3.4127399999999999</v>
      </c>
      <c r="E77">
        <v>0.49499029999999999</v>
      </c>
      <c r="F77" t="s">
        <v>42</v>
      </c>
      <c r="G77">
        <v>-456.10700000000003</v>
      </c>
      <c r="H77" s="1">
        <v>-2.0558350000000002E-6</v>
      </c>
      <c r="I77">
        <v>367.34190000000001</v>
      </c>
      <c r="J77">
        <v>-473.59550000000002</v>
      </c>
      <c r="K77">
        <v>1.1090899999999999</v>
      </c>
      <c r="L77">
        <v>367.25689999999997</v>
      </c>
      <c r="M77">
        <v>0.9998918</v>
      </c>
      <c r="N77">
        <v>0</v>
      </c>
      <c r="O77">
        <v>1.4588820000000001E-2</v>
      </c>
      <c r="P77">
        <v>0.98970630000000004</v>
      </c>
      <c r="Q77">
        <v>0.14257649999999999</v>
      </c>
      <c r="R77">
        <v>-1.238421E-2</v>
      </c>
      <c r="S77">
        <v>3.0592959999999998</v>
      </c>
      <c r="T77">
        <v>-0.19333210000000001</v>
      </c>
      <c r="U77">
        <v>1.5014649999999999E-2</v>
      </c>
      <c r="V77">
        <v>2.679718E-2</v>
      </c>
      <c r="W77">
        <v>0.14448659999999999</v>
      </c>
      <c r="X77">
        <v>0.98914380000000002</v>
      </c>
      <c r="Y77">
        <v>9.6330610000000001E-3</v>
      </c>
      <c r="Z77">
        <v>-1.22506E-3</v>
      </c>
      <c r="AA77">
        <v>0.99995290000000003</v>
      </c>
      <c r="AB77">
        <v>11</v>
      </c>
      <c r="AC77">
        <v>17.488499999999998</v>
      </c>
      <c r="AD77">
        <v>-1.1090920558349999</v>
      </c>
      <c r="AE77">
        <v>8.5000000000036297E-2</v>
      </c>
      <c r="AF77">
        <v>0.16946452657962999</v>
      </c>
      <c r="AG77">
        <v>-1.1090920558349999</v>
      </c>
      <c r="AH77">
        <v>17.417827961812801</v>
      </c>
      <c r="AI77">
        <v>93.643256913620803</v>
      </c>
      <c r="AJ77">
        <v>89.442565639276395</v>
      </c>
      <c r="AK77">
        <v>17.4539260431971</v>
      </c>
      <c r="AL77">
        <v>81.692449210704098</v>
      </c>
      <c r="AM77">
        <v>88.448163086865506</v>
      </c>
      <c r="AN77">
        <v>0.99999996175697503</v>
      </c>
    </row>
    <row r="78" spans="1:40" x14ac:dyDescent="0.25">
      <c r="A78" t="str">
        <f>"20190312172056326"</f>
        <v>20190312172056326</v>
      </c>
      <c r="B78" t="str">
        <f>"1552382456321749"</f>
        <v>1552382456321749</v>
      </c>
      <c r="C78" t="s">
        <v>40</v>
      </c>
      <c r="D78">
        <v>3.406323</v>
      </c>
      <c r="E78">
        <v>0.49502269999999998</v>
      </c>
      <c r="F78" t="s">
        <v>42</v>
      </c>
      <c r="G78">
        <v>-456.01190000000003</v>
      </c>
      <c r="H78" s="1">
        <v>-2.0965230000000002E-6</v>
      </c>
      <c r="I78">
        <v>367.3426</v>
      </c>
      <c r="J78">
        <v>-473.54</v>
      </c>
      <c r="K78">
        <v>1.109108</v>
      </c>
      <c r="L78">
        <v>367.25790000000001</v>
      </c>
      <c r="M78">
        <v>0.99988900000000003</v>
      </c>
      <c r="N78">
        <v>0</v>
      </c>
      <c r="O78">
        <v>1.4761740000000001E-2</v>
      </c>
      <c r="P78">
        <v>0.98976319999999995</v>
      </c>
      <c r="Q78">
        <v>0.1421992</v>
      </c>
      <c r="R78">
        <v>-1.2182200000000001E-2</v>
      </c>
      <c r="S78">
        <v>3.0591430000000002</v>
      </c>
      <c r="T78">
        <v>-0.19295590000000001</v>
      </c>
      <c r="U78">
        <v>1.49231E-2</v>
      </c>
      <c r="V78">
        <v>2.676709E-2</v>
      </c>
      <c r="W78">
        <v>0.14423039999999901</v>
      </c>
      <c r="X78">
        <v>0.98918209999999995</v>
      </c>
      <c r="Y78">
        <v>9.8351140000000007E-3</v>
      </c>
      <c r="Z78">
        <v>-1.2400029999999999E-3</v>
      </c>
      <c r="AA78">
        <v>0.99995089999999998</v>
      </c>
      <c r="AB78">
        <v>11</v>
      </c>
      <c r="AC78">
        <v>17.528099999999899</v>
      </c>
      <c r="AD78">
        <v>-1.1091100965230001</v>
      </c>
      <c r="AE78">
        <v>8.4699999999997999E-2</v>
      </c>
      <c r="AF78">
        <v>0.17336091373575799</v>
      </c>
      <c r="AG78">
        <v>-1.1091100965230001</v>
      </c>
      <c r="AH78">
        <v>17.457544392761299</v>
      </c>
      <c r="AI78">
        <v>93.635042448713094</v>
      </c>
      <c r="AJ78">
        <v>89.431047002868596</v>
      </c>
      <c r="AK78">
        <v>17.493599842166599</v>
      </c>
      <c r="AL78">
        <v>81.707284563869294</v>
      </c>
      <c r="AM78">
        <v>88.449964750493606</v>
      </c>
      <c r="AN78">
        <v>1.00000005617581</v>
      </c>
    </row>
    <row r="79" spans="1:40" x14ac:dyDescent="0.25">
      <c r="A79" t="str">
        <f>"20190312172056339"</f>
        <v>20190312172056339</v>
      </c>
      <c r="B79" t="str">
        <f>"1552382456331510"</f>
        <v>1552382456331510</v>
      </c>
      <c r="C79" t="s">
        <v>40</v>
      </c>
      <c r="D79">
        <v>3.3809499999999999</v>
      </c>
      <c r="E79">
        <v>0.49505510000000003</v>
      </c>
      <c r="F79" t="s">
        <v>42</v>
      </c>
      <c r="G79">
        <v>-456.0498</v>
      </c>
      <c r="H79" s="1">
        <v>-2.0797339999999998E-6</v>
      </c>
      <c r="I79">
        <v>367.34539999999998</v>
      </c>
      <c r="J79">
        <v>-473.47329999999999</v>
      </c>
      <c r="K79">
        <v>1.1091249999999999</v>
      </c>
      <c r="L79">
        <v>367.25920000000002</v>
      </c>
      <c r="M79">
        <v>0.99988569999999999</v>
      </c>
      <c r="N79">
        <v>0</v>
      </c>
      <c r="O79">
        <v>1.4968550000000001E-2</v>
      </c>
      <c r="P79">
        <v>0.98977459999999995</v>
      </c>
      <c r="Q79">
        <v>0.14211840000000001</v>
      </c>
      <c r="R79">
        <v>-1.2199979999999999E-2</v>
      </c>
      <c r="S79">
        <v>3.0590519999999999</v>
      </c>
      <c r="T79">
        <v>-0.19398380000000001</v>
      </c>
      <c r="U79">
        <v>1.531982E-2</v>
      </c>
      <c r="V79">
        <v>2.6989389999999999E-2</v>
      </c>
      <c r="W79">
        <v>0.14429449999999999</v>
      </c>
      <c r="X79">
        <v>0.98916669999999995</v>
      </c>
      <c r="Y79">
        <v>9.9110169999999994E-3</v>
      </c>
      <c r="Z79">
        <v>-1.262137E-3</v>
      </c>
      <c r="AA79">
        <v>0.99995009999999995</v>
      </c>
      <c r="AB79">
        <v>11</v>
      </c>
      <c r="AC79">
        <v>17.423499999999901</v>
      </c>
      <c r="AD79">
        <v>-1.1091270797339901</v>
      </c>
      <c r="AE79">
        <v>8.6199999999962501E-2</v>
      </c>
      <c r="AF79">
        <v>0.173910076341419</v>
      </c>
      <c r="AG79">
        <v>-1.1091270797339901</v>
      </c>
      <c r="AH79">
        <v>17.3525239113543</v>
      </c>
      <c r="AI79">
        <v>93.657035341556707</v>
      </c>
      <c r="AJ79">
        <v>89.425790747125603</v>
      </c>
      <c r="AK79">
        <v>17.3888036876542</v>
      </c>
      <c r="AL79">
        <v>81.703572988342898</v>
      </c>
      <c r="AM79">
        <v>88.437073785497404</v>
      </c>
      <c r="AN79">
        <v>1.0000000451458499</v>
      </c>
    </row>
    <row r="80" spans="1:40" x14ac:dyDescent="0.25">
      <c r="A80" t="str">
        <f>"20190312172056351"</f>
        <v>20190312172056351</v>
      </c>
      <c r="B80" t="str">
        <f>"1552382456341269"</f>
        <v>1552382456341269</v>
      </c>
      <c r="C80" t="s">
        <v>40</v>
      </c>
      <c r="D80">
        <v>3.392693</v>
      </c>
      <c r="E80">
        <v>0.49509419999999998</v>
      </c>
      <c r="F80" t="s">
        <v>42</v>
      </c>
      <c r="G80">
        <v>-455.99860000000001</v>
      </c>
      <c r="H80" s="1">
        <v>-2.101901E-6</v>
      </c>
      <c r="I80">
        <v>367.34429999999998</v>
      </c>
      <c r="J80">
        <v>-473.4151</v>
      </c>
      <c r="K80">
        <v>1.1091420000000001</v>
      </c>
      <c r="L80">
        <v>367.2602</v>
      </c>
      <c r="M80">
        <v>0.99988270000000001</v>
      </c>
      <c r="N80">
        <v>0</v>
      </c>
      <c r="O80">
        <v>1.5148129999999999E-2</v>
      </c>
      <c r="P80">
        <v>0.98980389999999996</v>
      </c>
      <c r="Q80">
        <v>0.1419087</v>
      </c>
      <c r="R80">
        <v>-1.225879E-2</v>
      </c>
      <c r="S80">
        <v>3.059021</v>
      </c>
      <c r="T80">
        <v>-0.19415650000000001</v>
      </c>
      <c r="U80">
        <v>1.49231E-2</v>
      </c>
      <c r="V80">
        <v>2.7225630000000001E-2</v>
      </c>
      <c r="W80">
        <v>0.14420439999999901</v>
      </c>
      <c r="X80">
        <v>0.98917330000000003</v>
      </c>
      <c r="Y80">
        <v>1.021918E-2</v>
      </c>
      <c r="Z80">
        <v>-1.2844270000000001E-3</v>
      </c>
      <c r="AA80">
        <v>0.99994700000000003</v>
      </c>
      <c r="AB80">
        <v>11</v>
      </c>
      <c r="AC80">
        <v>17.4164999999999</v>
      </c>
      <c r="AD80">
        <v>-1.109144101901</v>
      </c>
      <c r="AE80">
        <v>8.4099999999977998E-2</v>
      </c>
      <c r="AF80">
        <v>0.17901174967765701</v>
      </c>
      <c r="AG80">
        <v>-1.109144101901</v>
      </c>
      <c r="AH80">
        <v>17.345431250777199</v>
      </c>
      <c r="AI80">
        <v>93.658571596714694</v>
      </c>
      <c r="AJ80">
        <v>89.408705758388706</v>
      </c>
      <c r="AK80">
        <v>17.381778709923299</v>
      </c>
      <c r="AL80">
        <v>81.708789361315496</v>
      </c>
      <c r="AM80">
        <v>88.423410772913599</v>
      </c>
      <c r="AN80">
        <v>0.99999998067057305</v>
      </c>
    </row>
    <row r="81" spans="1:40" x14ac:dyDescent="0.25">
      <c r="A81" t="str">
        <f>"20190312172056370"</f>
        <v>20190312172056370</v>
      </c>
      <c r="B81" t="str">
        <f>"1552382456361768"</f>
        <v>1552382456361768</v>
      </c>
      <c r="C81" t="s">
        <v>40</v>
      </c>
      <c r="D81">
        <v>3.402161</v>
      </c>
      <c r="E81">
        <v>0.49517549999999999</v>
      </c>
      <c r="F81" t="s">
        <v>42</v>
      </c>
      <c r="G81">
        <v>-455.98849999999999</v>
      </c>
      <c r="H81" s="1">
        <v>-2.106227E-6</v>
      </c>
      <c r="I81">
        <v>367.34449999999998</v>
      </c>
      <c r="J81">
        <v>-473.3159</v>
      </c>
      <c r="K81">
        <v>1.1091709999999999</v>
      </c>
      <c r="L81">
        <v>367.262</v>
      </c>
      <c r="M81">
        <v>0.99987749999999997</v>
      </c>
      <c r="N81">
        <v>0</v>
      </c>
      <c r="O81">
        <v>1.545405E-2</v>
      </c>
      <c r="P81">
        <v>0.98980049999999997</v>
      </c>
      <c r="Q81">
        <v>0.1419272</v>
      </c>
      <c r="R81">
        <v>-1.2327970000000001E-2</v>
      </c>
      <c r="S81">
        <v>3.0589900000000001</v>
      </c>
      <c r="T81">
        <v>-0.1946929</v>
      </c>
      <c r="U81">
        <v>1.480103E-2</v>
      </c>
      <c r="V81">
        <v>2.759559E-2</v>
      </c>
      <c r="W81">
        <v>0.14441770000000001</v>
      </c>
      <c r="X81">
        <v>0.98913189999999995</v>
      </c>
      <c r="Y81">
        <v>1.0563380000000001E-2</v>
      </c>
      <c r="Z81">
        <v>-1.3183730000000001E-3</v>
      </c>
      <c r="AA81">
        <v>0.99994329999999998</v>
      </c>
      <c r="AB81">
        <v>11</v>
      </c>
      <c r="AC81">
        <v>17.327400000000001</v>
      </c>
      <c r="AD81">
        <v>-1.1091731062269901</v>
      </c>
      <c r="AE81">
        <v>8.2500000000038598E-2</v>
      </c>
      <c r="AF81">
        <v>0.18453305316524601</v>
      </c>
      <c r="AG81">
        <v>-1.1091731062269901</v>
      </c>
      <c r="AH81">
        <v>17.2558991518688</v>
      </c>
      <c r="AI81">
        <v>93.677583621453905</v>
      </c>
      <c r="AJ81">
        <v>89.387307376965197</v>
      </c>
      <c r="AK81">
        <v>17.2924947004981</v>
      </c>
      <c r="AL81">
        <v>81.696438652518495</v>
      </c>
      <c r="AM81">
        <v>88.401931212419001</v>
      </c>
      <c r="AN81">
        <v>0.99999995212917203</v>
      </c>
    </row>
    <row r="82" spans="1:40" x14ac:dyDescent="0.25">
      <c r="A82" t="str">
        <f>"20190312172056382"</f>
        <v>20190312172056382</v>
      </c>
      <c r="B82" t="str">
        <f>"1552382456371525"</f>
        <v>1552382456371525</v>
      </c>
      <c r="C82" t="s">
        <v>40</v>
      </c>
      <c r="D82">
        <v>3.4010790000000002</v>
      </c>
      <c r="E82">
        <v>0.49520720000000001</v>
      </c>
      <c r="F82" t="s">
        <v>42</v>
      </c>
      <c r="G82">
        <v>-455.89190000000002</v>
      </c>
      <c r="H82" s="1">
        <v>-2.147977E-6</v>
      </c>
      <c r="I82">
        <v>367.3426</v>
      </c>
      <c r="J82">
        <v>-473.25599999999997</v>
      </c>
      <c r="K82">
        <v>1.1091879999999901</v>
      </c>
      <c r="L82">
        <v>367.26310000000001</v>
      </c>
      <c r="M82">
        <v>0.99987429999999999</v>
      </c>
      <c r="N82">
        <v>0</v>
      </c>
      <c r="O82">
        <v>1.5638639999999999E-2</v>
      </c>
      <c r="P82">
        <v>0.98980270000000004</v>
      </c>
      <c r="Q82">
        <v>0.14189979999999999</v>
      </c>
      <c r="R82">
        <v>-1.24642E-2</v>
      </c>
      <c r="S82">
        <v>3.0589900000000001</v>
      </c>
      <c r="T82">
        <v>-0.19472790000000001</v>
      </c>
      <c r="U82">
        <v>1.416016E-2</v>
      </c>
      <c r="V82">
        <v>2.791298E-2</v>
      </c>
      <c r="W82">
        <v>0.14450170000000001</v>
      </c>
      <c r="X82">
        <v>0.98911079999999996</v>
      </c>
      <c r="Y82">
        <v>1.095629E-2</v>
      </c>
      <c r="Z82">
        <v>-1.342841E-3</v>
      </c>
      <c r="AA82">
        <v>0.99993909999999997</v>
      </c>
      <c r="AB82">
        <v>11</v>
      </c>
      <c r="AC82">
        <v>17.364099999999901</v>
      </c>
      <c r="AD82">
        <v>-1.1091901479770001</v>
      </c>
      <c r="AE82">
        <v>7.9499999999995893E-2</v>
      </c>
      <c r="AF82">
        <v>0.19128106128109301</v>
      </c>
      <c r="AG82">
        <v>-1.1091901479770001</v>
      </c>
      <c r="AH82">
        <v>17.292659533975801</v>
      </c>
      <c r="AI82">
        <v>93.669828877167703</v>
      </c>
      <c r="AJ82">
        <v>89.366254187929698</v>
      </c>
      <c r="AK82">
        <v>17.3292517145657</v>
      </c>
      <c r="AL82">
        <v>81.691575399724798</v>
      </c>
      <c r="AM82">
        <v>88.383526295384101</v>
      </c>
      <c r="AN82">
        <v>1.000000025216</v>
      </c>
    </row>
    <row r="83" spans="1:40" x14ac:dyDescent="0.25">
      <c r="A83" t="str">
        <f>"20190312172056397"</f>
        <v>20190312172056397</v>
      </c>
      <c r="B83" t="str">
        <f>"1552382456392022"</f>
        <v>1552382456392022</v>
      </c>
      <c r="C83" t="s">
        <v>40</v>
      </c>
      <c r="D83">
        <v>3.3736969999999999</v>
      </c>
      <c r="E83">
        <v>0.49527019999999999</v>
      </c>
      <c r="F83" t="s">
        <v>42</v>
      </c>
      <c r="G83">
        <v>-455.84129999999999</v>
      </c>
      <c r="H83" s="1">
        <v>-2.1703589999999999E-6</v>
      </c>
      <c r="I83">
        <v>367.339</v>
      </c>
      <c r="J83">
        <v>-473.17959999999999</v>
      </c>
      <c r="K83">
        <v>1.1092089999999999</v>
      </c>
      <c r="L83">
        <v>367.26459999999997</v>
      </c>
      <c r="M83">
        <v>0.99987029999999999</v>
      </c>
      <c r="N83">
        <v>0</v>
      </c>
      <c r="O83">
        <v>1.5874470000000002E-2</v>
      </c>
      <c r="P83">
        <v>0.98982380000000003</v>
      </c>
      <c r="Q83">
        <v>0.1417784</v>
      </c>
      <c r="R83">
        <v>-1.2171100000000001E-2</v>
      </c>
      <c r="S83">
        <v>3.0590519999999999</v>
      </c>
      <c r="T83">
        <v>-0.1948375</v>
      </c>
      <c r="U83">
        <v>1.333618E-2</v>
      </c>
      <c r="V83">
        <v>2.7851689999999998E-2</v>
      </c>
      <c r="W83">
        <v>0.1445111</v>
      </c>
      <c r="X83">
        <v>0.98911110000000002</v>
      </c>
      <c r="Y83">
        <v>1.146E-2</v>
      </c>
      <c r="Z83">
        <v>-1.374599E-3</v>
      </c>
      <c r="AA83">
        <v>0.99993339999999997</v>
      </c>
      <c r="AB83">
        <v>11</v>
      </c>
      <c r="AC83">
        <v>17.3383</v>
      </c>
      <c r="AD83">
        <v>-1.109211170359</v>
      </c>
      <c r="AE83">
        <v>7.4400000000025501E-2</v>
      </c>
      <c r="AF83">
        <v>0.20002806423566799</v>
      </c>
      <c r="AG83">
        <v>-1.109211170359</v>
      </c>
      <c r="AH83">
        <v>17.266629562144001</v>
      </c>
      <c r="AI83">
        <v>93.675393857401204</v>
      </c>
      <c r="AJ83">
        <v>89.336277461100906</v>
      </c>
      <c r="AK83">
        <v>17.3033770427405</v>
      </c>
      <c r="AL83">
        <v>81.691030656128603</v>
      </c>
      <c r="AM83">
        <v>88.387074283811501</v>
      </c>
      <c r="AN83">
        <v>0.99999997140113694</v>
      </c>
    </row>
    <row r="84" spans="1:40" x14ac:dyDescent="0.25">
      <c r="A84" t="str">
        <f>"20190312172056416"</f>
        <v>20190312172056416</v>
      </c>
      <c r="B84" t="str">
        <f>"1552382456411542"</f>
        <v>1552382456411542</v>
      </c>
      <c r="C84" t="s">
        <v>40</v>
      </c>
      <c r="D84">
        <v>3.3904909999999999</v>
      </c>
      <c r="E84">
        <v>0.49533820000000001</v>
      </c>
      <c r="F84" t="s">
        <v>42</v>
      </c>
      <c r="G84">
        <v>-455.80779999999999</v>
      </c>
      <c r="H84" s="1">
        <v>-2.1841049999999999E-6</v>
      </c>
      <c r="I84">
        <v>367.34230000000002</v>
      </c>
      <c r="J84">
        <v>-473.08150000000001</v>
      </c>
      <c r="K84">
        <v>1.1092299999999999</v>
      </c>
      <c r="L84">
        <v>367.26650000000001</v>
      </c>
      <c r="M84">
        <v>0.999865</v>
      </c>
      <c r="N84">
        <v>0</v>
      </c>
      <c r="O84">
        <v>1.6178809999999998E-2</v>
      </c>
      <c r="P84">
        <v>0.98985250000000002</v>
      </c>
      <c r="Q84">
        <v>0.1416055</v>
      </c>
      <c r="R84">
        <v>-1.1837530000000001E-2</v>
      </c>
      <c r="S84">
        <v>3.0589599999999999</v>
      </c>
      <c r="T84">
        <v>-0.1953182</v>
      </c>
      <c r="U84">
        <v>1.370239E-2</v>
      </c>
      <c r="V84">
        <v>2.7817310000000001E-2</v>
      </c>
      <c r="W84">
        <v>0.1444889</v>
      </c>
      <c r="X84">
        <v>0.98911539999999998</v>
      </c>
      <c r="Y84">
        <v>1.1643260000000001E-2</v>
      </c>
      <c r="Z84">
        <v>-1.4032789999999999E-3</v>
      </c>
      <c r="AA84">
        <v>0.99993120000000002</v>
      </c>
      <c r="AB84">
        <v>11</v>
      </c>
      <c r="AC84">
        <v>17.273700000000002</v>
      </c>
      <c r="AD84">
        <v>-1.1092321841049999</v>
      </c>
      <c r="AE84">
        <v>7.5800000000015105E-2</v>
      </c>
      <c r="AF84">
        <v>0.202842560277222</v>
      </c>
      <c r="AG84">
        <v>-1.1092321841049999</v>
      </c>
      <c r="AH84">
        <v>17.201734142328501</v>
      </c>
      <c r="AI84">
        <v>93.689282244958505</v>
      </c>
      <c r="AJ84">
        <v>89.324400442758602</v>
      </c>
      <c r="AK84">
        <v>17.238654200542001</v>
      </c>
      <c r="AL84">
        <v>81.692316852665002</v>
      </c>
      <c r="AM84">
        <v>88.389071221817005</v>
      </c>
      <c r="AN84">
        <v>1.0000000597380001</v>
      </c>
    </row>
    <row r="85" spans="1:40" x14ac:dyDescent="0.25">
      <c r="A85" t="str">
        <f>"20190312172056437"</f>
        <v>20190312172056437</v>
      </c>
      <c r="B85" t="str">
        <f>"1552382456432037"</f>
        <v>1552382456432037</v>
      </c>
      <c r="C85" t="s">
        <v>40</v>
      </c>
      <c r="D85">
        <v>3.3901629999999998</v>
      </c>
      <c r="E85">
        <v>0.49542049999999999</v>
      </c>
      <c r="F85" t="s">
        <v>42</v>
      </c>
      <c r="G85">
        <v>-455.74630000000002</v>
      </c>
      <c r="H85" s="1">
        <v>-2.2101260000000001E-6</v>
      </c>
      <c r="I85">
        <v>367.34440000000001</v>
      </c>
      <c r="J85">
        <v>-472.96910000000003</v>
      </c>
      <c r="K85">
        <v>1.109251</v>
      </c>
      <c r="L85">
        <v>367.26870000000002</v>
      </c>
      <c r="M85">
        <v>0.99985880000000005</v>
      </c>
      <c r="N85">
        <v>0</v>
      </c>
      <c r="O85">
        <v>1.652909E-2</v>
      </c>
      <c r="P85">
        <v>0.98989559999999999</v>
      </c>
      <c r="Q85">
        <v>0.14134659999999999</v>
      </c>
      <c r="R85">
        <v>-1.131039E-2</v>
      </c>
      <c r="S85">
        <v>3.0588989999999998</v>
      </c>
      <c r="T85">
        <v>-0.1957304</v>
      </c>
      <c r="U85">
        <v>1.376343E-2</v>
      </c>
      <c r="V85">
        <v>2.763523E-2</v>
      </c>
      <c r="W85">
        <v>0.14438139999999999</v>
      </c>
      <c r="X85">
        <v>0.98913620000000002</v>
      </c>
      <c r="Y85">
        <v>1.1971910000000001E-2</v>
      </c>
      <c r="Z85">
        <v>-1.4391549999999999E-3</v>
      </c>
      <c r="AA85">
        <v>0.99992729999999996</v>
      </c>
      <c r="AB85">
        <v>12</v>
      </c>
      <c r="AC85">
        <v>17.222799999999999</v>
      </c>
      <c r="AD85">
        <v>-1.109253210126</v>
      </c>
      <c r="AE85">
        <v>7.5699999999983406E-2</v>
      </c>
      <c r="AF85">
        <v>0.20812554010297499</v>
      </c>
      <c r="AG85">
        <v>-1.109253210126</v>
      </c>
      <c r="AH85">
        <v>17.150556735516499</v>
      </c>
      <c r="AI85">
        <v>93.700315350341199</v>
      </c>
      <c r="AJ85">
        <v>89.304738036493802</v>
      </c>
      <c r="AK85">
        <v>17.187651243343002</v>
      </c>
      <c r="AL85">
        <v>81.698541406328303</v>
      </c>
      <c r="AM85">
        <v>88.399643794725705</v>
      </c>
      <c r="AN85">
        <v>1.0000000583767701</v>
      </c>
    </row>
    <row r="86" spans="1:40" x14ac:dyDescent="0.25">
      <c r="A86" t="str">
        <f>"20190312172056450"</f>
        <v>20190312172056450</v>
      </c>
      <c r="B86" t="str">
        <f>"1552382456441797"</f>
        <v>1552382456441797</v>
      </c>
      <c r="C86" t="s">
        <v>40</v>
      </c>
      <c r="D86">
        <v>3.395419</v>
      </c>
      <c r="E86">
        <v>0.49546679999999999</v>
      </c>
      <c r="F86" t="s">
        <v>42</v>
      </c>
      <c r="G86">
        <v>-455.67180000000002</v>
      </c>
      <c r="H86" s="1">
        <v>-2.2406210000000001E-6</v>
      </c>
      <c r="I86">
        <v>367.35270000000003</v>
      </c>
      <c r="J86">
        <v>-472.89870000000002</v>
      </c>
      <c r="K86">
        <v>1.109262</v>
      </c>
      <c r="L86">
        <v>367.27010000000001</v>
      </c>
      <c r="M86">
        <v>0.99985480000000004</v>
      </c>
      <c r="N86">
        <v>0</v>
      </c>
      <c r="O86">
        <v>1.674983E-2</v>
      </c>
      <c r="P86">
        <v>0.98993399999999998</v>
      </c>
      <c r="Q86">
        <v>0.1410843</v>
      </c>
      <c r="R86">
        <v>-1.1215259999999999E-2</v>
      </c>
      <c r="S86">
        <v>3.0588380000000002</v>
      </c>
      <c r="T86">
        <v>-0.1961591</v>
      </c>
      <c r="U86">
        <v>1.486206E-2</v>
      </c>
      <c r="V86">
        <v>2.7757819999999999E-2</v>
      </c>
      <c r="W86">
        <v>0.1442002</v>
      </c>
      <c r="X86">
        <v>0.98915920000000002</v>
      </c>
      <c r="Y86">
        <v>1.183301E-2</v>
      </c>
      <c r="Z86">
        <v>-1.4520170000000001E-3</v>
      </c>
      <c r="AA86">
        <v>0.99992899999999996</v>
      </c>
      <c r="AB86">
        <v>12</v>
      </c>
      <c r="AC86">
        <v>17.226900000000001</v>
      </c>
      <c r="AD86">
        <v>-1.109264240621</v>
      </c>
      <c r="AE86">
        <v>8.2600000000013496E-2</v>
      </c>
      <c r="AF86">
        <v>0.20511023214513899</v>
      </c>
      <c r="AG86">
        <v>-1.109264240621</v>
      </c>
      <c r="AH86">
        <v>17.154740534591799</v>
      </c>
      <c r="AI86">
        <v>93.699460028646996</v>
      </c>
      <c r="AJ86">
        <v>89.314977067001095</v>
      </c>
      <c r="AK86">
        <v>17.1917904876723</v>
      </c>
      <c r="AL86">
        <v>81.709033195938304</v>
      </c>
      <c r="AM86">
        <v>88.392585681019398</v>
      </c>
      <c r="AN86">
        <v>1.0000000585979101</v>
      </c>
    </row>
    <row r="87" spans="1:40" x14ac:dyDescent="0.25">
      <c r="A87" t="str">
        <f>"20190312172056463"</f>
        <v>20190312172056463</v>
      </c>
      <c r="B87" t="str">
        <f>"1552382456451558"</f>
        <v>1552382456451558</v>
      </c>
      <c r="C87" t="s">
        <v>40</v>
      </c>
      <c r="D87">
        <v>3.368859</v>
      </c>
      <c r="E87">
        <v>0.4954906</v>
      </c>
      <c r="F87" t="s">
        <v>42</v>
      </c>
      <c r="G87">
        <v>-455.66340000000002</v>
      </c>
      <c r="H87" s="1">
        <v>-2.2440539999999998E-6</v>
      </c>
      <c r="I87">
        <v>367.35359999999997</v>
      </c>
      <c r="J87">
        <v>-472.83229999999998</v>
      </c>
      <c r="K87">
        <v>1.109262</v>
      </c>
      <c r="L87">
        <v>367.2715</v>
      </c>
      <c r="M87">
        <v>0.99985119999999905</v>
      </c>
      <c r="N87">
        <v>0</v>
      </c>
      <c r="O87">
        <v>1.6958350000000001E-2</v>
      </c>
      <c r="P87">
        <v>0.98995529999999998</v>
      </c>
      <c r="Q87">
        <v>0.14094470000000001</v>
      </c>
      <c r="R87">
        <v>-1.111443E-2</v>
      </c>
      <c r="S87">
        <v>3.058716</v>
      </c>
      <c r="T87">
        <v>-0.19685859999999999</v>
      </c>
      <c r="U87">
        <v>1.4831540000000001E-2</v>
      </c>
      <c r="V87">
        <v>2.7862350000000001E-2</v>
      </c>
      <c r="W87">
        <v>0.14413219999999999</v>
      </c>
      <c r="X87">
        <v>0.98916610000000005</v>
      </c>
      <c r="Y87">
        <v>1.205003E-2</v>
      </c>
      <c r="Z87">
        <v>-1.4776240000000001E-3</v>
      </c>
      <c r="AA87">
        <v>0.99992630000000005</v>
      </c>
      <c r="AB87">
        <v>12</v>
      </c>
      <c r="AC87">
        <v>17.168899999999901</v>
      </c>
      <c r="AD87">
        <v>-1.1092642440539999</v>
      </c>
      <c r="AE87">
        <v>8.2099999999968504E-2</v>
      </c>
      <c r="AF87">
        <v>0.20820040240681001</v>
      </c>
      <c r="AG87">
        <v>-1.1092642440539999</v>
      </c>
      <c r="AH87">
        <v>17.096458969267601</v>
      </c>
      <c r="AI87">
        <v>93.7120263485821</v>
      </c>
      <c r="AJ87">
        <v>89.302287408099801</v>
      </c>
      <c r="AK87">
        <v>17.1336722233895</v>
      </c>
      <c r="AL87">
        <v>81.712969845892104</v>
      </c>
      <c r="AM87">
        <v>88.386546945756095</v>
      </c>
      <c r="AN87">
        <v>0.99999998750678598</v>
      </c>
    </row>
    <row r="88" spans="1:40" x14ac:dyDescent="0.25">
      <c r="A88" t="str">
        <f>"20190312172056482"</f>
        <v>20190312172056482</v>
      </c>
      <c r="B88" t="str">
        <f>"1552382456471077"</f>
        <v>1552382456471077</v>
      </c>
      <c r="C88" t="s">
        <v>40</v>
      </c>
      <c r="D88">
        <v>3.4091939999999998</v>
      </c>
      <c r="E88">
        <v>0.50852719999999996</v>
      </c>
      <c r="F88" t="s">
        <v>42</v>
      </c>
      <c r="G88">
        <v>-455.6327</v>
      </c>
      <c r="H88" s="1">
        <v>-2.256987E-6</v>
      </c>
      <c r="I88">
        <v>367.35509999999999</v>
      </c>
      <c r="J88">
        <v>-472.73009999999999</v>
      </c>
      <c r="K88">
        <v>1.10927</v>
      </c>
      <c r="L88">
        <v>367.27359999999999</v>
      </c>
      <c r="M88">
        <v>0.99984530000000005</v>
      </c>
      <c r="N88">
        <v>0</v>
      </c>
      <c r="O88">
        <v>1.728145E-2</v>
      </c>
      <c r="P88">
        <v>0.98999729999999997</v>
      </c>
      <c r="Q88">
        <v>0.140653799999999</v>
      </c>
      <c r="R88">
        <v>-1.105765E-2</v>
      </c>
      <c r="S88">
        <v>3.0586850000000001</v>
      </c>
      <c r="T88">
        <v>-0.19726379999999999</v>
      </c>
      <c r="U88">
        <v>1.4892580000000001E-2</v>
      </c>
      <c r="V88">
        <v>2.8124699999999999E-2</v>
      </c>
      <c r="W88">
        <v>0.14393689999999901</v>
      </c>
      <c r="X88">
        <v>0.98918709999999999</v>
      </c>
      <c r="Y88">
        <v>1.2351620000000001E-2</v>
      </c>
      <c r="Z88">
        <v>-1.5112029999999901E-3</v>
      </c>
      <c r="AA88">
        <v>0.99992259999999999</v>
      </c>
      <c r="AB88">
        <v>12</v>
      </c>
      <c r="AC88">
        <v>17.097399999999901</v>
      </c>
      <c r="AD88">
        <v>-1.1092722569869999</v>
      </c>
      <c r="AE88">
        <v>8.1500000000005401E-2</v>
      </c>
      <c r="AF88">
        <v>0.213084689063927</v>
      </c>
      <c r="AG88">
        <v>-1.1092722569869999</v>
      </c>
      <c r="AH88">
        <v>17.024594139286599</v>
      </c>
      <c r="AI88">
        <v>93.727662928092599</v>
      </c>
      <c r="AJ88">
        <v>89.282907082162694</v>
      </c>
      <c r="AK88">
        <v>17.062024956969999</v>
      </c>
      <c r="AL88">
        <v>81.724277512336499</v>
      </c>
      <c r="AM88">
        <v>88.371397481632002</v>
      </c>
      <c r="AN88">
        <v>0.99999997436905397</v>
      </c>
    </row>
    <row r="89" spans="1:40" x14ac:dyDescent="0.25">
      <c r="A89" t="str">
        <f>"20190312172056494"</f>
        <v>20190312172056494</v>
      </c>
      <c r="B89" t="str">
        <f>"1552382456491573"</f>
        <v>1552382456491573</v>
      </c>
      <c r="C89" t="s">
        <v>40</v>
      </c>
      <c r="D89">
        <v>3.44285</v>
      </c>
      <c r="E89">
        <v>0.52470660000000002</v>
      </c>
      <c r="F89" t="s">
        <v>41</v>
      </c>
      <c r="G89">
        <v>-471.9074</v>
      </c>
      <c r="H89">
        <v>1.0346500000000001</v>
      </c>
      <c r="I89">
        <v>367.25020000000001</v>
      </c>
      <c r="J89">
        <v>-472.66239999999999</v>
      </c>
      <c r="K89">
        <v>1.1092770000000001</v>
      </c>
      <c r="L89">
        <v>367.27499999999998</v>
      </c>
      <c r="M89">
        <v>0.99984139999999999</v>
      </c>
      <c r="N89">
        <v>0</v>
      </c>
      <c r="O89">
        <v>1.7496129999999999E-2</v>
      </c>
      <c r="P89">
        <v>0.99001150000000004</v>
      </c>
      <c r="Q89">
        <v>0.14056109999999999</v>
      </c>
      <c r="R89">
        <v>-1.095671E-2</v>
      </c>
      <c r="S89">
        <v>3.068848</v>
      </c>
      <c r="T89">
        <v>-0.27840540000000003</v>
      </c>
      <c r="U89">
        <v>-8.7310789999999999E-2</v>
      </c>
      <c r="V89">
        <v>2.8235739999999999E-2</v>
      </c>
      <c r="W89">
        <v>0.14389869999999999</v>
      </c>
      <c r="X89">
        <v>0.98918950000000005</v>
      </c>
      <c r="Y89">
        <v>4.566477E-2</v>
      </c>
      <c r="Z89">
        <v>-3.650412E-3</v>
      </c>
      <c r="AA89">
        <v>0.99895009999999995</v>
      </c>
      <c r="AB89">
        <v>12</v>
      </c>
      <c r="AC89">
        <v>0.75499999999999501</v>
      </c>
      <c r="AD89">
        <v>-7.4626999999999999E-2</v>
      </c>
      <c r="AE89">
        <v>-2.4799999999970599E-2</v>
      </c>
      <c r="AF89">
        <v>3.7638520087161301E-2</v>
      </c>
      <c r="AG89">
        <v>-7.4626999999999999E-2</v>
      </c>
      <c r="AH89">
        <v>0.74715859468574397</v>
      </c>
      <c r="AI89">
        <v>95.696670320664694</v>
      </c>
      <c r="AJ89">
        <v>87.116131793187293</v>
      </c>
      <c r="AK89">
        <v>0.75181900277668401</v>
      </c>
      <c r="AL89">
        <v>81.726489282018093</v>
      </c>
      <c r="AM89">
        <v>88.364974993682907</v>
      </c>
      <c r="AN89">
        <v>0.999999979892643</v>
      </c>
    </row>
    <row r="90" spans="1:40" x14ac:dyDescent="0.25">
      <c r="A90" t="str">
        <f>"20190312172056507"</f>
        <v>20190312172056507</v>
      </c>
      <c r="B90" t="str">
        <f>"1552382456501333"</f>
        <v>1552382456501333</v>
      </c>
      <c r="C90" t="s">
        <v>40</v>
      </c>
      <c r="D90">
        <v>3.564864</v>
      </c>
      <c r="E90">
        <v>0.53035779999999999</v>
      </c>
      <c r="F90" t="s">
        <v>41</v>
      </c>
      <c r="G90">
        <v>-471.91640000000001</v>
      </c>
      <c r="H90">
        <v>1.0154030000000001</v>
      </c>
      <c r="I90">
        <v>367.22320000000002</v>
      </c>
      <c r="J90">
        <v>-472.59460000000001</v>
      </c>
      <c r="K90">
        <v>1.109281</v>
      </c>
      <c r="L90">
        <v>367.27640000000002</v>
      </c>
      <c r="M90">
        <v>0.99983730000000004</v>
      </c>
      <c r="N90">
        <v>0</v>
      </c>
      <c r="O90">
        <v>1.7711290000000001E-2</v>
      </c>
      <c r="P90">
        <v>0.99002590000000001</v>
      </c>
      <c r="Q90">
        <v>0.140461</v>
      </c>
      <c r="R90">
        <v>-1.093509E-2</v>
      </c>
      <c r="S90">
        <v>3.083008</v>
      </c>
      <c r="T90">
        <v>-0.38794060000000002</v>
      </c>
      <c r="U90">
        <v>-0.2139587</v>
      </c>
      <c r="V90">
        <v>2.8426650000000001E-2</v>
      </c>
      <c r="W90">
        <v>0.14384859999999999</v>
      </c>
      <c r="X90">
        <v>0.98919140000000005</v>
      </c>
      <c r="Y90">
        <v>8.6076089999999994E-2</v>
      </c>
      <c r="Z90">
        <v>-7.6054059999999899E-3</v>
      </c>
      <c r="AA90">
        <v>0.99625949999999996</v>
      </c>
      <c r="AB90">
        <v>12</v>
      </c>
      <c r="AC90">
        <v>0.67820000000000302</v>
      </c>
      <c r="AD90">
        <v>-9.3877999999999906E-2</v>
      </c>
      <c r="AE90">
        <v>-5.3200000000003897E-2</v>
      </c>
      <c r="AF90">
        <v>6.3985020155779199E-2</v>
      </c>
      <c r="AG90">
        <v>-9.3877999999999906E-2</v>
      </c>
      <c r="AH90">
        <v>0.66449698976749705</v>
      </c>
      <c r="AI90">
        <v>98.004804829285405</v>
      </c>
      <c r="AJ90">
        <v>84.499894279304698</v>
      </c>
      <c r="AK90">
        <v>0.67413901466863702</v>
      </c>
      <c r="AL90">
        <v>81.729390646414799</v>
      </c>
      <c r="AM90">
        <v>88.353929338532595</v>
      </c>
      <c r="AN90">
        <v>1.0000000599930601</v>
      </c>
    </row>
    <row r="91" spans="1:40" x14ac:dyDescent="0.25">
      <c r="A91" t="str">
        <f>"20190312172056526"</f>
        <v>20190312172056526</v>
      </c>
      <c r="B91" t="str">
        <f>"1552382456521829"</f>
        <v>1552382456521829</v>
      </c>
      <c r="C91" t="s">
        <v>40</v>
      </c>
      <c r="D91">
        <v>3.478119</v>
      </c>
      <c r="E91">
        <v>0.53660330000000001</v>
      </c>
      <c r="F91" t="s">
        <v>41</v>
      </c>
      <c r="G91">
        <v>-471.81209999999999</v>
      </c>
      <c r="H91">
        <v>1.0026090000000001</v>
      </c>
      <c r="I91">
        <v>367.2106</v>
      </c>
      <c r="J91">
        <v>-472.48770000000002</v>
      </c>
      <c r="K91">
        <v>1.109289</v>
      </c>
      <c r="L91">
        <v>367.27870000000001</v>
      </c>
      <c r="M91">
        <v>0.99983100000000003</v>
      </c>
      <c r="N91">
        <v>0</v>
      </c>
      <c r="O91">
        <v>1.8051350000000001E-2</v>
      </c>
      <c r="P91">
        <v>0.99004630000000005</v>
      </c>
      <c r="Q91">
        <v>0.14028199999999999</v>
      </c>
      <c r="R91">
        <v>-1.137812E-2</v>
      </c>
      <c r="S91">
        <v>3.087097</v>
      </c>
      <c r="T91">
        <v>-0.42101499999999997</v>
      </c>
      <c r="U91">
        <v>-0.25848389999999999</v>
      </c>
      <c r="V91">
        <v>2.9205450000000001E-2</v>
      </c>
      <c r="W91">
        <v>0.14373820000000001</v>
      </c>
      <c r="X91">
        <v>0.98918470000000003</v>
      </c>
      <c r="Y91">
        <v>0.10032480000000001</v>
      </c>
      <c r="Z91">
        <v>-9.2444799999999994E-3</v>
      </c>
      <c r="AA91">
        <v>0.99491180000000001</v>
      </c>
      <c r="AB91">
        <v>12</v>
      </c>
      <c r="AC91">
        <v>0.67560000000003095</v>
      </c>
      <c r="AD91">
        <v>-0.106679999999999</v>
      </c>
      <c r="AE91">
        <v>-6.8100000000015301E-2</v>
      </c>
      <c r="AF91">
        <v>7.8350550153322499E-2</v>
      </c>
      <c r="AG91">
        <v>-0.106679999999999</v>
      </c>
      <c r="AH91">
        <v>0.65801879440111999</v>
      </c>
      <c r="AI91">
        <v>99.1453427973685</v>
      </c>
      <c r="AJ91">
        <v>83.209739352683897</v>
      </c>
      <c r="AK91">
        <v>0.67119905012926795</v>
      </c>
      <c r="AL91">
        <v>81.735782023488099</v>
      </c>
      <c r="AM91">
        <v>88.308846617026006</v>
      </c>
      <c r="AN91">
        <v>0.99999999958151597</v>
      </c>
    </row>
    <row r="92" spans="1:40" x14ac:dyDescent="0.25">
      <c r="A92" t="str">
        <f>"20190312172056538"</f>
        <v>20190312172056538</v>
      </c>
      <c r="B92" t="str">
        <f>"1552382456531590"</f>
        <v>1552382456531590</v>
      </c>
      <c r="C92" t="s">
        <v>40</v>
      </c>
      <c r="D92">
        <v>3.377383</v>
      </c>
      <c r="E92">
        <v>0.53886219999999996</v>
      </c>
      <c r="F92" t="s">
        <v>41</v>
      </c>
      <c r="G92">
        <v>-471.70650000000001</v>
      </c>
      <c r="H92">
        <v>0.9901721</v>
      </c>
      <c r="I92">
        <v>367.20049999999998</v>
      </c>
      <c r="J92">
        <v>-472.41770000000002</v>
      </c>
      <c r="K92">
        <v>1.1092959999999901</v>
      </c>
      <c r="L92">
        <v>367.28019999999998</v>
      </c>
      <c r="M92">
        <v>0.99982689999999996</v>
      </c>
      <c r="N92">
        <v>0</v>
      </c>
      <c r="O92">
        <v>1.82738E-2</v>
      </c>
      <c r="P92">
        <v>0.99007290000000003</v>
      </c>
      <c r="Q92">
        <v>0.14011979999999999</v>
      </c>
      <c r="R92">
        <v>-1.1067769999999999E-2</v>
      </c>
      <c r="S92">
        <v>3.0934750000000002</v>
      </c>
      <c r="T92">
        <v>-0.47174880000000002</v>
      </c>
      <c r="U92">
        <v>-0.3088379</v>
      </c>
      <c r="V92">
        <v>2.9115240000000001E-2</v>
      </c>
      <c r="W92">
        <v>0.14361550000000001</v>
      </c>
      <c r="X92">
        <v>0.98920520000000001</v>
      </c>
      <c r="Y92">
        <v>0.1159709</v>
      </c>
      <c r="Z92">
        <v>-1.1534890000000001E-2</v>
      </c>
      <c r="AA92">
        <v>0.9931856</v>
      </c>
      <c r="AB92">
        <v>12</v>
      </c>
      <c r="AC92">
        <v>0.71120000000001904</v>
      </c>
      <c r="AD92">
        <v>-0.11912389999999901</v>
      </c>
      <c r="AE92">
        <v>-7.9700000000002505E-2</v>
      </c>
      <c r="AF92">
        <v>9.0184333046241696E-2</v>
      </c>
      <c r="AG92">
        <v>-0.11912389999999901</v>
      </c>
      <c r="AH92">
        <v>0.69049311032253602</v>
      </c>
      <c r="AI92">
        <v>99.707459389297298</v>
      </c>
      <c r="AJ92">
        <v>82.558800285489397</v>
      </c>
      <c r="AK92">
        <v>0.70647324994021898</v>
      </c>
      <c r="AL92">
        <v>81.742886077264899</v>
      </c>
      <c r="AM92">
        <v>88.314102162786199</v>
      </c>
      <c r="AN92">
        <v>1.0000000183737701</v>
      </c>
    </row>
    <row r="93" spans="1:40" x14ac:dyDescent="0.25">
      <c r="A93" t="str">
        <f>"20190312172056551"</f>
        <v>20190312172056551</v>
      </c>
      <c r="B93" t="str">
        <f>"1552382456541349"</f>
        <v>1552382456541349</v>
      </c>
      <c r="C93" t="s">
        <v>40</v>
      </c>
      <c r="D93">
        <v>3.5407030000000002</v>
      </c>
      <c r="E93">
        <v>0.54067049999999905</v>
      </c>
      <c r="F93" t="s">
        <v>41</v>
      </c>
      <c r="G93">
        <v>-471.70310000000001</v>
      </c>
      <c r="H93">
        <v>0.99735130000000005</v>
      </c>
      <c r="I93">
        <v>367.20479999999998</v>
      </c>
      <c r="J93">
        <v>-472.34969999999998</v>
      </c>
      <c r="K93">
        <v>1.1093010000000001</v>
      </c>
      <c r="L93">
        <v>367.2817</v>
      </c>
      <c r="M93">
        <v>0.99982269999999895</v>
      </c>
      <c r="N93">
        <v>0</v>
      </c>
      <c r="O93">
        <v>1.8489869999999999E-2</v>
      </c>
      <c r="P93">
        <v>0.99005940000000003</v>
      </c>
      <c r="Q93">
        <v>0.1402206</v>
      </c>
      <c r="R93">
        <v>-1.0984290000000001E-2</v>
      </c>
      <c r="S93">
        <v>3.095154</v>
      </c>
      <c r="T93">
        <v>-0.48502519999999999</v>
      </c>
      <c r="U93">
        <v>-0.32571409999999901</v>
      </c>
      <c r="V93">
        <v>2.9244820000000001E-2</v>
      </c>
      <c r="W93">
        <v>0.14374909999999999</v>
      </c>
      <c r="X93">
        <v>0.98918189999999995</v>
      </c>
      <c r="Y93">
        <v>0.1213376</v>
      </c>
      <c r="Z93">
        <v>-1.229656E-2</v>
      </c>
      <c r="AA93">
        <v>0.9925351</v>
      </c>
      <c r="AB93">
        <v>12</v>
      </c>
      <c r="AC93">
        <v>0.64659999999997797</v>
      </c>
      <c r="AD93">
        <v>-0.1119497</v>
      </c>
      <c r="AE93">
        <v>-7.69000000000232E-2</v>
      </c>
      <c r="AF93">
        <v>8.6291866368866502E-2</v>
      </c>
      <c r="AG93">
        <v>-0.1119497</v>
      </c>
      <c r="AH93">
        <v>0.62654808651351002</v>
      </c>
      <c r="AI93">
        <v>100.037731461352</v>
      </c>
      <c r="AJ93">
        <v>82.158223864154394</v>
      </c>
      <c r="AK93">
        <v>0.64229395625776597</v>
      </c>
      <c r="AL93">
        <v>81.735150510330897</v>
      </c>
      <c r="AM93">
        <v>88.306563417118895</v>
      </c>
      <c r="AN93">
        <v>0.99999994726762398</v>
      </c>
    </row>
    <row r="94" spans="1:40" x14ac:dyDescent="0.25">
      <c r="A94" t="str">
        <f>"20190312172056562"</f>
        <v>20190312172056562</v>
      </c>
      <c r="B94" t="str">
        <f>"1552382456551109"</f>
        <v>1552382456551109</v>
      </c>
      <c r="C94" t="s">
        <v>40</v>
      </c>
      <c r="D94">
        <v>3.5184120000000001</v>
      </c>
      <c r="E94">
        <v>0.54226319999999995</v>
      </c>
      <c r="F94" t="s">
        <v>41</v>
      </c>
      <c r="G94">
        <v>-471.59460000000001</v>
      </c>
      <c r="H94">
        <v>0.98849279999999995</v>
      </c>
      <c r="I94">
        <v>367.19869999999997</v>
      </c>
      <c r="J94">
        <v>-472.28500000000003</v>
      </c>
      <c r="K94">
        <v>1.1093040000000001</v>
      </c>
      <c r="L94">
        <v>367.28309999999999</v>
      </c>
      <c r="M94">
        <v>0.99981889999999995</v>
      </c>
      <c r="N94">
        <v>0</v>
      </c>
      <c r="O94">
        <v>1.8695110000000001E-2</v>
      </c>
      <c r="P94">
        <v>0.99003719999999995</v>
      </c>
      <c r="Q94">
        <v>0.14036279999999901</v>
      </c>
      <c r="R94">
        <v>-1.118621E-2</v>
      </c>
      <c r="S94">
        <v>3.0965579999999999</v>
      </c>
      <c r="T94">
        <v>-0.4955676</v>
      </c>
      <c r="U94">
        <v>-0.33999629999999997</v>
      </c>
      <c r="V94">
        <v>2.964893E-2</v>
      </c>
      <c r="W94">
        <v>0.1439204</v>
      </c>
      <c r="X94">
        <v>0.98914500000000005</v>
      </c>
      <c r="Y94">
        <v>0.12588779999999999</v>
      </c>
      <c r="Z94">
        <v>-1.294523E-2</v>
      </c>
      <c r="AA94">
        <v>0.99195999999999995</v>
      </c>
      <c r="AB94">
        <v>12</v>
      </c>
      <c r="AC94">
        <v>0.690400000000011</v>
      </c>
      <c r="AD94">
        <v>-0.12081119999999999</v>
      </c>
      <c r="AE94">
        <v>-8.4400000000016406E-2</v>
      </c>
      <c r="AF94">
        <v>9.4443117618958697E-2</v>
      </c>
      <c r="AG94">
        <v>-0.12081119999999999</v>
      </c>
      <c r="AH94">
        <v>0.66853207123311897</v>
      </c>
      <c r="AI94">
        <v>100.14482834887301</v>
      </c>
      <c r="AJ94">
        <v>81.959069525828198</v>
      </c>
      <c r="AK94">
        <v>0.68589356228081899</v>
      </c>
      <c r="AL94">
        <v>81.725232934823893</v>
      </c>
      <c r="AM94">
        <v>88.283113117545</v>
      </c>
      <c r="AN94">
        <v>0.99999998580565197</v>
      </c>
    </row>
    <row r="95" spans="1:40" x14ac:dyDescent="0.25">
      <c r="A95" t="str">
        <f>"20190312172056575"</f>
        <v>20190312172056575</v>
      </c>
      <c r="B95" t="str">
        <f>"1552382456571307"</f>
        <v>1552382456571307</v>
      </c>
      <c r="C95" t="s">
        <v>40</v>
      </c>
      <c r="D95">
        <v>3.3794979999999999</v>
      </c>
      <c r="E95">
        <v>0.54461749999999998</v>
      </c>
      <c r="F95" t="s">
        <v>41</v>
      </c>
      <c r="G95">
        <v>-471.48520000000002</v>
      </c>
      <c r="H95">
        <v>0.97908600000000001</v>
      </c>
      <c r="I95">
        <v>367.19200000000001</v>
      </c>
      <c r="J95">
        <v>-472.21370000000002</v>
      </c>
      <c r="K95">
        <v>1.1093059999999999</v>
      </c>
      <c r="L95">
        <v>367.28469999999999</v>
      </c>
      <c r="M95">
        <v>0.99981450000000005</v>
      </c>
      <c r="N95">
        <v>0</v>
      </c>
      <c r="O95">
        <v>1.8922520000000002E-2</v>
      </c>
      <c r="P95">
        <v>0.9900293</v>
      </c>
      <c r="Q95">
        <v>0.14044809999999999</v>
      </c>
      <c r="R95">
        <v>-1.080328E-2</v>
      </c>
      <c r="S95">
        <v>3.0977169999999998</v>
      </c>
      <c r="T95">
        <v>-0.50434049999999997</v>
      </c>
      <c r="U95">
        <v>-0.35278320000000002</v>
      </c>
      <c r="V95">
        <v>2.9490619999999999E-2</v>
      </c>
      <c r="W95">
        <v>0.1440331</v>
      </c>
      <c r="X95">
        <v>0.98913340000000005</v>
      </c>
      <c r="Y95">
        <v>0.12999740000000001</v>
      </c>
      <c r="Z95">
        <v>-1.3531700000000001E-2</v>
      </c>
      <c r="AA95">
        <v>0.99142200000000003</v>
      </c>
      <c r="AB95">
        <v>13</v>
      </c>
      <c r="AC95">
        <v>0.72849999999999604</v>
      </c>
      <c r="AD95">
        <v>-0.130219999999999</v>
      </c>
      <c r="AE95">
        <v>-9.2700000000036198E-2</v>
      </c>
      <c r="AF95">
        <v>0.10322293415140001</v>
      </c>
      <c r="AG95">
        <v>-0.130219999999999</v>
      </c>
      <c r="AH95">
        <v>0.704465114379354</v>
      </c>
      <c r="AI95">
        <v>100.364640710776</v>
      </c>
      <c r="AJ95">
        <v>81.663960337819006</v>
      </c>
      <c r="AK95">
        <v>0.72379784464471797</v>
      </c>
      <c r="AL95">
        <v>81.718708306449997</v>
      </c>
      <c r="AM95">
        <v>88.292254950088605</v>
      </c>
      <c r="AN95">
        <v>1.0000000567795699</v>
      </c>
    </row>
    <row r="96" spans="1:40" x14ac:dyDescent="0.25">
      <c r="A96" t="str">
        <f>"20190312172056594"</f>
        <v>20190312172056594</v>
      </c>
      <c r="B96" t="str">
        <f>"1552382456591803"</f>
        <v>1552382456591803</v>
      </c>
      <c r="C96" t="s">
        <v>40</v>
      </c>
      <c r="D96">
        <v>3.545296</v>
      </c>
      <c r="E96">
        <v>0.54634819999999995</v>
      </c>
      <c r="F96" t="s">
        <v>41</v>
      </c>
      <c r="G96">
        <v>-471.48160000000001</v>
      </c>
      <c r="H96">
        <v>0.98697650000000003</v>
      </c>
      <c r="I96">
        <v>367.19729999999998</v>
      </c>
      <c r="J96">
        <v>-472.10390000000001</v>
      </c>
      <c r="K96">
        <v>1.109316</v>
      </c>
      <c r="L96">
        <v>367.28719999999998</v>
      </c>
      <c r="M96">
        <v>0.99980769999999997</v>
      </c>
      <c r="N96">
        <v>0</v>
      </c>
      <c r="O96">
        <v>1.9271569999999998E-2</v>
      </c>
      <c r="P96">
        <v>0.98999890000000001</v>
      </c>
      <c r="Q96">
        <v>0.14068079999999999</v>
      </c>
      <c r="R96">
        <v>-1.054982E-2</v>
      </c>
      <c r="S96">
        <v>3.0996700000000001</v>
      </c>
      <c r="T96">
        <v>-0.51799629999999997</v>
      </c>
      <c r="U96">
        <v>-0.37002560000000001</v>
      </c>
      <c r="V96">
        <v>2.958121E-2</v>
      </c>
      <c r="W96">
        <v>0.1443016</v>
      </c>
      <c r="X96">
        <v>0.98909150000000001</v>
      </c>
      <c r="Y96">
        <v>0.13553009999999999</v>
      </c>
      <c r="Z96">
        <v>-1.439554E-2</v>
      </c>
      <c r="AA96">
        <v>0.99066869999999996</v>
      </c>
      <c r="AB96">
        <v>13</v>
      </c>
      <c r="AC96">
        <v>0.62229999999999497</v>
      </c>
      <c r="AD96">
        <v>-0.1223395</v>
      </c>
      <c r="AE96">
        <v>-8.9899999999999994E-2</v>
      </c>
      <c r="AF96">
        <v>9.8159894614914298E-2</v>
      </c>
      <c r="AG96">
        <v>-0.1223395</v>
      </c>
      <c r="AH96">
        <v>0.59781935839429101</v>
      </c>
      <c r="AI96">
        <v>101.41670720655</v>
      </c>
      <c r="AJ96">
        <v>80.675433184145703</v>
      </c>
      <c r="AK96">
        <v>0.61805364123352802</v>
      </c>
      <c r="AL96">
        <v>81.703161488243893</v>
      </c>
      <c r="AM96">
        <v>88.286939655668803</v>
      </c>
      <c r="AN96">
        <v>0.99999999755993696</v>
      </c>
    </row>
    <row r="97" spans="1:40" x14ac:dyDescent="0.25">
      <c r="A97" t="str">
        <f>"20190312172056609"</f>
        <v>20190312172056609</v>
      </c>
      <c r="B97" t="str">
        <f>"1552382456601562"</f>
        <v>1552382456601562</v>
      </c>
      <c r="C97" t="s">
        <v>40</v>
      </c>
      <c r="D97">
        <v>3.5314700000000001</v>
      </c>
      <c r="E97">
        <v>0.54718290000000003</v>
      </c>
      <c r="F97" t="s">
        <v>41</v>
      </c>
      <c r="G97">
        <v>-471.36799999999999</v>
      </c>
      <c r="H97">
        <v>0.9842883</v>
      </c>
      <c r="I97">
        <v>367.19589999999999</v>
      </c>
      <c r="J97">
        <v>-472.0163</v>
      </c>
      <c r="K97">
        <v>1.109321</v>
      </c>
      <c r="L97">
        <v>367.28919999999999</v>
      </c>
      <c r="M97">
        <v>0.99980230000000003</v>
      </c>
      <c r="N97">
        <v>0</v>
      </c>
      <c r="O97">
        <v>1.9549830000000001E-2</v>
      </c>
      <c r="P97">
        <v>0.99000949999999999</v>
      </c>
      <c r="Q97">
        <v>0.14062189999999999</v>
      </c>
      <c r="R97">
        <v>-1.0333820000000001E-2</v>
      </c>
      <c r="S97">
        <v>3.1010740000000001</v>
      </c>
      <c r="T97">
        <v>-0.52715400000000001</v>
      </c>
      <c r="U97">
        <v>-0.38275150000000002</v>
      </c>
      <c r="V97">
        <v>2.964027E-2</v>
      </c>
      <c r="W97">
        <v>0.14426620000000001</v>
      </c>
      <c r="X97">
        <v>0.9890949</v>
      </c>
      <c r="Y97">
        <v>0.13962449999999901</v>
      </c>
      <c r="Z97">
        <v>-1.502758E-2</v>
      </c>
      <c r="AA97">
        <v>0.99009049999999998</v>
      </c>
      <c r="AB97">
        <v>13</v>
      </c>
      <c r="AC97">
        <v>0.64829999999994903</v>
      </c>
      <c r="AD97">
        <v>-0.1250327</v>
      </c>
      <c r="AE97">
        <v>-9.3299999999999203E-2</v>
      </c>
      <c r="AF97">
        <v>0.102230991098992</v>
      </c>
      <c r="AG97">
        <v>-0.1250327</v>
      </c>
      <c r="AH97">
        <v>0.62362641751259595</v>
      </c>
      <c r="AI97">
        <v>101.19155329148199</v>
      </c>
      <c r="AJ97">
        <v>80.690314623170394</v>
      </c>
      <c r="AK97">
        <v>0.64420048139532404</v>
      </c>
      <c r="AL97">
        <v>81.705211240467406</v>
      </c>
      <c r="AM97">
        <v>88.283527407002296</v>
      </c>
      <c r="AN97">
        <v>1.00000000163706</v>
      </c>
    </row>
    <row r="98" spans="1:40" x14ac:dyDescent="0.25">
      <c r="A98" t="str">
        <f>"20190312172056628"</f>
        <v>20190312172056628</v>
      </c>
      <c r="B98" t="str">
        <f>"1552382456621083"</f>
        <v>1552382456621083</v>
      </c>
      <c r="C98" t="s">
        <v>40</v>
      </c>
      <c r="D98">
        <v>3.3783110000000001</v>
      </c>
      <c r="E98">
        <v>0.54845410000000006</v>
      </c>
      <c r="F98" t="s">
        <v>41</v>
      </c>
      <c r="G98">
        <v>-471.25450000000001</v>
      </c>
      <c r="H98">
        <v>0.97865740000000001</v>
      </c>
      <c r="I98">
        <v>367.19389999999999</v>
      </c>
      <c r="J98">
        <v>-471.90300000000002</v>
      </c>
      <c r="K98">
        <v>1.1093280000000001</v>
      </c>
      <c r="L98">
        <v>367.29180000000002</v>
      </c>
      <c r="M98">
        <v>0.99979510000000005</v>
      </c>
      <c r="N98">
        <v>0</v>
      </c>
      <c r="O98">
        <v>1.990915E-2</v>
      </c>
      <c r="P98">
        <v>0.98995739999999999</v>
      </c>
      <c r="Q98">
        <v>0.14101169999999999</v>
      </c>
      <c r="R98">
        <v>-1.001312E-2</v>
      </c>
      <c r="S98">
        <v>3.1017459999999999</v>
      </c>
      <c r="T98">
        <v>-0.53194589999999997</v>
      </c>
      <c r="U98">
        <v>-0.38864140000000003</v>
      </c>
      <c r="V98">
        <v>2.967322E-2</v>
      </c>
      <c r="W98">
        <v>0.1446819</v>
      </c>
      <c r="X98">
        <v>0.98903319999999995</v>
      </c>
      <c r="Y98">
        <v>0.14173060000000001</v>
      </c>
      <c r="Z98">
        <v>-1.53969E-2</v>
      </c>
      <c r="AA98">
        <v>0.98978549999999998</v>
      </c>
      <c r="AB98">
        <v>13</v>
      </c>
      <c r="AC98">
        <v>0.64850000000001196</v>
      </c>
      <c r="AD98">
        <v>-0.1306706</v>
      </c>
      <c r="AE98">
        <v>-9.7900000000038206E-2</v>
      </c>
      <c r="AF98">
        <v>0.106561668495987</v>
      </c>
      <c r="AG98">
        <v>-0.1306706</v>
      </c>
      <c r="AH98">
        <v>0.62174154424818195</v>
      </c>
      <c r="AI98">
        <v>101.703194043636</v>
      </c>
      <c r="AJ98">
        <v>80.274444339241995</v>
      </c>
      <c r="AK98">
        <v>0.64419930358633803</v>
      </c>
      <c r="AL98">
        <v>81.681140934564297</v>
      </c>
      <c r="AM98">
        <v>88.281513275441199</v>
      </c>
      <c r="AN98">
        <v>1.0000000114375001</v>
      </c>
    </row>
    <row r="99" spans="1:40" x14ac:dyDescent="0.25">
      <c r="A99" t="str">
        <f>"20190312172056650"</f>
        <v>20190312172056650</v>
      </c>
      <c r="B99" t="str">
        <f>"1552382456641582"</f>
        <v>1552382456641582</v>
      </c>
      <c r="C99" t="s">
        <v>40</v>
      </c>
      <c r="D99">
        <v>3.3847260000000001</v>
      </c>
      <c r="E99">
        <v>0.54949009999999998</v>
      </c>
      <c r="F99" t="s">
        <v>41</v>
      </c>
      <c r="G99">
        <v>-471.13799999999998</v>
      </c>
      <c r="H99">
        <v>0.97703720000000005</v>
      </c>
      <c r="I99">
        <v>367.19349999999997</v>
      </c>
      <c r="J99">
        <v>-471.77699999999999</v>
      </c>
      <c r="K99">
        <v>1.109337</v>
      </c>
      <c r="L99">
        <v>367.29480000000001</v>
      </c>
      <c r="M99">
        <v>0.99978690000000003</v>
      </c>
      <c r="N99">
        <v>0</v>
      </c>
      <c r="O99">
        <v>2.0308300000000001E-2</v>
      </c>
      <c r="P99">
        <v>0.98992659999999999</v>
      </c>
      <c r="Q99">
        <v>0.14126129999999901</v>
      </c>
      <c r="R99">
        <v>-9.5078809999999993E-3</v>
      </c>
      <c r="S99">
        <v>3.1028440000000002</v>
      </c>
      <c r="T99">
        <v>-0.53668839999999995</v>
      </c>
      <c r="U99">
        <v>-0.39797969999999999</v>
      </c>
      <c r="V99">
        <v>2.9561649999999998E-2</v>
      </c>
      <c r="W99">
        <v>0.14495279999999999</v>
      </c>
      <c r="X99">
        <v>0.98899689999999996</v>
      </c>
      <c r="Y99">
        <v>0.1449223</v>
      </c>
      <c r="Z99">
        <v>-1.586516E-2</v>
      </c>
      <c r="AA99">
        <v>0.98931579999999997</v>
      </c>
      <c r="AB99">
        <v>13</v>
      </c>
      <c r="AC99">
        <v>0.63899999999995305</v>
      </c>
      <c r="AD99">
        <v>-0.1322998</v>
      </c>
      <c r="AE99">
        <v>-0.101300000000037</v>
      </c>
      <c r="AF99">
        <v>0.109670285034297</v>
      </c>
      <c r="AG99">
        <v>-0.1322998</v>
      </c>
      <c r="AH99">
        <v>0.611251205271644</v>
      </c>
      <c r="AI99">
        <v>102.02645086719799</v>
      </c>
      <c r="AJ99">
        <v>79.828255059613397</v>
      </c>
      <c r="AK99">
        <v>0.63494790687550295</v>
      </c>
      <c r="AL99">
        <v>81.665454357071596</v>
      </c>
      <c r="AM99">
        <v>88.287908056536807</v>
      </c>
      <c r="AN99">
        <v>1.00000003679408</v>
      </c>
    </row>
    <row r="100" spans="1:40" x14ac:dyDescent="0.25">
      <c r="A100" t="str">
        <f>"20190312172056663"</f>
        <v>20190312172056663</v>
      </c>
      <c r="B100" t="str">
        <f>"1552382456651339"</f>
        <v>1552382456651339</v>
      </c>
      <c r="C100" t="s">
        <v>40</v>
      </c>
      <c r="D100">
        <v>3.3798180000000002</v>
      </c>
      <c r="E100">
        <v>0.54993559999999997</v>
      </c>
      <c r="F100" t="s">
        <v>41</v>
      </c>
      <c r="G100">
        <v>-471.01960000000003</v>
      </c>
      <c r="H100">
        <v>0.97719029999999996</v>
      </c>
      <c r="I100">
        <v>367.19589999999999</v>
      </c>
      <c r="J100">
        <v>-471.70249999999999</v>
      </c>
      <c r="K100">
        <v>1.1093309999999901</v>
      </c>
      <c r="L100">
        <v>367.29649999999998</v>
      </c>
      <c r="M100">
        <v>0.99978199999999995</v>
      </c>
      <c r="N100">
        <v>0</v>
      </c>
      <c r="O100">
        <v>2.0544739999999999E-2</v>
      </c>
      <c r="P100">
        <v>0.98995120000000003</v>
      </c>
      <c r="Q100">
        <v>0.14111570000000001</v>
      </c>
      <c r="R100">
        <v>-9.1133189999999999E-3</v>
      </c>
      <c r="S100">
        <v>3.1039430000000001</v>
      </c>
      <c r="T100">
        <v>-0.54160520000000001</v>
      </c>
      <c r="U100">
        <v>-0.40463260000000001</v>
      </c>
      <c r="V100">
        <v>2.9400900000000001E-2</v>
      </c>
      <c r="W100">
        <v>0.1448178</v>
      </c>
      <c r="X100">
        <v>0.98902140000000005</v>
      </c>
      <c r="Y100">
        <v>0.14711939999999901</v>
      </c>
      <c r="Z100">
        <v>-1.6230979999999999E-2</v>
      </c>
      <c r="AA100">
        <v>0.98898549999999996</v>
      </c>
      <c r="AB100">
        <v>13</v>
      </c>
      <c r="AC100">
        <v>0.68289999999996098</v>
      </c>
      <c r="AD100">
        <v>-0.132140699999999</v>
      </c>
      <c r="AE100">
        <v>-0.10059999999998499</v>
      </c>
      <c r="AF100">
        <v>0.110557304078816</v>
      </c>
      <c r="AG100">
        <v>-0.132140699999999</v>
      </c>
      <c r="AH100">
        <v>0.65662586158065095</v>
      </c>
      <c r="AI100">
        <v>101.224444681112</v>
      </c>
      <c r="AJ100">
        <v>80.442645477752905</v>
      </c>
      <c r="AK100">
        <v>0.67885315361880605</v>
      </c>
      <c r="AL100">
        <v>81.673271203365005</v>
      </c>
      <c r="AM100">
        <v>88.297254711012599</v>
      </c>
      <c r="AN100">
        <v>0.99999996888780396</v>
      </c>
    </row>
    <row r="101" spans="1:40" x14ac:dyDescent="0.25">
      <c r="A101" t="str">
        <f>"20190312172056675"</f>
        <v>20190312172056675</v>
      </c>
      <c r="B101" t="str">
        <f>"1552382456671795"</f>
        <v>1552382456671795</v>
      </c>
      <c r="C101" t="s">
        <v>40</v>
      </c>
      <c r="D101">
        <v>3.3709120000000001</v>
      </c>
      <c r="E101">
        <v>0.5506375</v>
      </c>
      <c r="F101" t="s">
        <v>41</v>
      </c>
      <c r="G101">
        <v>-470.90359999999998</v>
      </c>
      <c r="H101">
        <v>0.96918130000000002</v>
      </c>
      <c r="I101">
        <v>367.19150000000002</v>
      </c>
      <c r="J101">
        <v>-471.62689999999998</v>
      </c>
      <c r="K101">
        <v>1.109332</v>
      </c>
      <c r="L101">
        <v>367.29840000000002</v>
      </c>
      <c r="M101">
        <v>0.99977709999999997</v>
      </c>
      <c r="N101">
        <v>0</v>
      </c>
      <c r="O101">
        <v>2.07835E-2</v>
      </c>
      <c r="P101">
        <v>0.9899462</v>
      </c>
      <c r="Q101">
        <v>0.1411732</v>
      </c>
      <c r="R101">
        <v>-8.7887959999999998E-3</v>
      </c>
      <c r="S101">
        <v>3.1043699999999999</v>
      </c>
      <c r="T101">
        <v>-0.54473559999999999</v>
      </c>
      <c r="U101">
        <v>-0.40667720000000002</v>
      </c>
      <c r="V101">
        <v>2.931189E-2</v>
      </c>
      <c r="W101">
        <v>0.14488290000000001</v>
      </c>
      <c r="X101">
        <v>0.98901459999999997</v>
      </c>
      <c r="Y101">
        <v>0.14793489999999901</v>
      </c>
      <c r="Z101">
        <v>-1.643267E-2</v>
      </c>
      <c r="AA101">
        <v>0.98886059999999998</v>
      </c>
      <c r="AB101">
        <v>13</v>
      </c>
      <c r="AC101">
        <v>0.72329999999999395</v>
      </c>
      <c r="AD101">
        <v>-0.14015069999999899</v>
      </c>
      <c r="AE101">
        <v>-0.106899999999996</v>
      </c>
      <c r="AF101">
        <v>0.117589191632524</v>
      </c>
      <c r="AG101">
        <v>-0.14015069999999899</v>
      </c>
      <c r="AH101">
        <v>0.69537224326456903</v>
      </c>
      <c r="AI101">
        <v>101.239750310799</v>
      </c>
      <c r="AJ101">
        <v>80.401940114741194</v>
      </c>
      <c r="AK101">
        <v>0.71903546046219402</v>
      </c>
      <c r="AL101">
        <v>81.669502258017701</v>
      </c>
      <c r="AM101">
        <v>88.302395015488798</v>
      </c>
      <c r="AN101">
        <v>1.00000006031046</v>
      </c>
    </row>
    <row r="102" spans="1:40" x14ac:dyDescent="0.25">
      <c r="A102" t="str">
        <f>"20190312172056693"</f>
        <v>20190312172056693</v>
      </c>
      <c r="B102" t="str">
        <f>"1552382456681557"</f>
        <v>1552382456681557</v>
      </c>
      <c r="C102" t="s">
        <v>40</v>
      </c>
      <c r="D102">
        <v>3.3669660000000001</v>
      </c>
      <c r="E102">
        <v>0.5510562</v>
      </c>
      <c r="F102" t="s">
        <v>41</v>
      </c>
      <c r="G102">
        <v>-470.89859999999999</v>
      </c>
      <c r="H102">
        <v>0.98073900000000003</v>
      </c>
      <c r="I102">
        <v>367.20150000000001</v>
      </c>
      <c r="J102">
        <v>-471.5188</v>
      </c>
      <c r="K102">
        <v>1.1093409999999999</v>
      </c>
      <c r="L102">
        <v>367.30099999999999</v>
      </c>
      <c r="M102">
        <v>0.99976989999999999</v>
      </c>
      <c r="N102">
        <v>0</v>
      </c>
      <c r="O102">
        <v>2.1124440000000001E-2</v>
      </c>
      <c r="P102">
        <v>0.98999029999999999</v>
      </c>
      <c r="Q102">
        <v>0.1408922</v>
      </c>
      <c r="R102">
        <v>-8.2925669999999903E-3</v>
      </c>
      <c r="S102">
        <v>3.1050110000000002</v>
      </c>
      <c r="T102">
        <v>-0.54840029999999995</v>
      </c>
      <c r="U102">
        <v>-0.4111938</v>
      </c>
      <c r="V102">
        <v>2.915353E-2</v>
      </c>
      <c r="W102">
        <v>0.14461160000000001</v>
      </c>
      <c r="X102">
        <v>0.98905889999999996</v>
      </c>
      <c r="Y102">
        <v>0.14959649999999999</v>
      </c>
      <c r="Z102">
        <v>-1.6741229999999999E-2</v>
      </c>
      <c r="AA102">
        <v>0.98860539999999997</v>
      </c>
      <c r="AB102">
        <v>13</v>
      </c>
      <c r="AC102">
        <v>0.62020000000001096</v>
      </c>
      <c r="AD102">
        <v>-0.12860199999999999</v>
      </c>
      <c r="AE102">
        <v>-9.9499999999977704E-2</v>
      </c>
      <c r="AF102">
        <v>0.10805007730752</v>
      </c>
      <c r="AG102">
        <v>-0.12860199999999999</v>
      </c>
      <c r="AH102">
        <v>0.59309850533441999</v>
      </c>
      <c r="AI102">
        <v>102.041828131961</v>
      </c>
      <c r="AJ102">
        <v>79.6751444214663</v>
      </c>
      <c r="AK102">
        <v>0.61642447277836399</v>
      </c>
      <c r="AL102">
        <v>81.685211336325906</v>
      </c>
      <c r="AM102">
        <v>88.311636730311903</v>
      </c>
      <c r="AN102">
        <v>0.99999997541761498</v>
      </c>
    </row>
    <row r="103" spans="1:40" x14ac:dyDescent="0.25">
      <c r="A103" t="str">
        <f>"20190312172056706"</f>
        <v>20190312172056706</v>
      </c>
      <c r="B103" t="str">
        <f>"1552382456702049"</f>
        <v>1552382456702049</v>
      </c>
      <c r="C103" t="s">
        <v>40</v>
      </c>
      <c r="D103">
        <v>3.37412</v>
      </c>
      <c r="E103">
        <v>0.55173190000000005</v>
      </c>
      <c r="F103" t="s">
        <v>41</v>
      </c>
      <c r="G103">
        <v>-470.77910000000003</v>
      </c>
      <c r="H103">
        <v>0.97777709999999995</v>
      </c>
      <c r="I103">
        <v>367.20240000000001</v>
      </c>
      <c r="J103">
        <v>-471.43900000000002</v>
      </c>
      <c r="K103">
        <v>1.1093459999999999</v>
      </c>
      <c r="L103">
        <v>367.303</v>
      </c>
      <c r="M103">
        <v>0.9997644</v>
      </c>
      <c r="N103">
        <v>0</v>
      </c>
      <c r="O103">
        <v>2.137495E-2</v>
      </c>
      <c r="P103">
        <v>0.99001130000000004</v>
      </c>
      <c r="Q103">
        <v>0.14077439999999999</v>
      </c>
      <c r="R103">
        <v>-7.7464359999999998E-3</v>
      </c>
      <c r="S103">
        <v>3.1055299999999999</v>
      </c>
      <c r="T103">
        <v>-0.55252889999999999</v>
      </c>
      <c r="U103">
        <v>-0.41299439999999998</v>
      </c>
      <c r="V103">
        <v>2.885542E-2</v>
      </c>
      <c r="W103">
        <v>0.14450170000000001</v>
      </c>
      <c r="X103">
        <v>0.98908370000000001</v>
      </c>
      <c r="Y103">
        <v>0.15033279999999999</v>
      </c>
      <c r="Z103">
        <v>-1.6970740000000002E-2</v>
      </c>
      <c r="AA103">
        <v>0.98848979999999997</v>
      </c>
      <c r="AB103">
        <v>13</v>
      </c>
      <c r="AC103">
        <v>0.65989999999999305</v>
      </c>
      <c r="AD103">
        <v>-0.13156889999999899</v>
      </c>
      <c r="AE103">
        <v>-0.100600000000042</v>
      </c>
      <c r="AF103">
        <v>0.11039382695939801</v>
      </c>
      <c r="AG103">
        <v>-0.13156889999999899</v>
      </c>
      <c r="AH103">
        <v>0.633007590983793</v>
      </c>
      <c r="AI103">
        <v>101.571756937806</v>
      </c>
      <c r="AJ103">
        <v>80.107350731739203</v>
      </c>
      <c r="AK103">
        <v>0.65589311836690101</v>
      </c>
      <c r="AL103">
        <v>81.691574946810505</v>
      </c>
      <c r="AM103">
        <v>88.328933159807406</v>
      </c>
      <c r="AN103">
        <v>0.99999997108597705</v>
      </c>
    </row>
    <row r="104" spans="1:40" x14ac:dyDescent="0.25">
      <c r="A104" t="str">
        <f>"20190312172056718"</f>
        <v>20190312172056718</v>
      </c>
      <c r="B104" t="str">
        <f>"1552382456711810"</f>
        <v>1552382456711810</v>
      </c>
      <c r="C104" t="s">
        <v>40</v>
      </c>
      <c r="D104">
        <v>3.3715060000000001</v>
      </c>
      <c r="E104">
        <v>0.55204909999999996</v>
      </c>
      <c r="F104" t="s">
        <v>41</v>
      </c>
      <c r="G104">
        <v>-470.66090000000003</v>
      </c>
      <c r="H104">
        <v>0.96943179999999995</v>
      </c>
      <c r="I104">
        <v>367.19810000000001</v>
      </c>
      <c r="J104">
        <v>-471.36250000000001</v>
      </c>
      <c r="K104">
        <v>1.1093519999999999</v>
      </c>
      <c r="L104">
        <v>367.30489999999998</v>
      </c>
      <c r="M104">
        <v>0.99975930000000002</v>
      </c>
      <c r="N104">
        <v>0</v>
      </c>
      <c r="O104">
        <v>2.1614729999999999E-2</v>
      </c>
      <c r="P104">
        <v>0.9900177</v>
      </c>
      <c r="Q104">
        <v>0.14074529999999999</v>
      </c>
      <c r="R104">
        <v>-7.459561E-3</v>
      </c>
      <c r="S104">
        <v>3.1065369999999999</v>
      </c>
      <c r="T104">
        <v>-0.55888130000000003</v>
      </c>
      <c r="U104">
        <v>-0.4169312</v>
      </c>
      <c r="V104">
        <v>2.8805560000000001E-2</v>
      </c>
      <c r="W104">
        <v>0.1444809</v>
      </c>
      <c r="X104">
        <v>0.98908819999999997</v>
      </c>
      <c r="Y104">
        <v>0.1516749</v>
      </c>
      <c r="Z104">
        <v>-1.7317880000000001E-2</v>
      </c>
      <c r="AA104">
        <v>0.98827869999999995</v>
      </c>
      <c r="AB104">
        <v>14</v>
      </c>
      <c r="AC104">
        <v>0.70159999999998401</v>
      </c>
      <c r="AD104">
        <v>-0.13992019999999999</v>
      </c>
      <c r="AE104">
        <v>-0.10679999999996399</v>
      </c>
      <c r="AF104">
        <v>0.117377396603793</v>
      </c>
      <c r="AG104">
        <v>-0.13992019999999999</v>
      </c>
      <c r="AH104">
        <v>0.67296822775255305</v>
      </c>
      <c r="AI104">
        <v>101.57538548386</v>
      </c>
      <c r="AJ104">
        <v>80.106143997406804</v>
      </c>
      <c r="AK104">
        <v>0.69731008250701199</v>
      </c>
      <c r="AL104">
        <v>81.692779404609794</v>
      </c>
      <c r="AM104">
        <v>88.331826590286994</v>
      </c>
      <c r="AN104">
        <v>0.99999997906548099</v>
      </c>
    </row>
    <row r="105" spans="1:40" x14ac:dyDescent="0.25">
      <c r="A105" t="str">
        <f>"20190312172056731"</f>
        <v>20190312172056731</v>
      </c>
      <c r="B105" t="str">
        <f>"1552382456721570"</f>
        <v>1552382456721570</v>
      </c>
      <c r="C105" t="s">
        <v>40</v>
      </c>
      <c r="D105">
        <v>3.3299599999999998</v>
      </c>
      <c r="E105">
        <v>0.55204909999999996</v>
      </c>
      <c r="F105" t="s">
        <v>41</v>
      </c>
      <c r="G105">
        <v>-470.65570000000002</v>
      </c>
      <c r="H105">
        <v>0.98161920000000003</v>
      </c>
      <c r="I105">
        <v>367.20920000000001</v>
      </c>
      <c r="J105">
        <v>-471.28739999999999</v>
      </c>
      <c r="K105">
        <v>1.109354</v>
      </c>
      <c r="L105">
        <v>367.30669999999998</v>
      </c>
      <c r="M105">
        <v>0.99975429999999998</v>
      </c>
      <c r="N105">
        <v>0</v>
      </c>
      <c r="O105">
        <v>2.184763E-2</v>
      </c>
      <c r="P105">
        <v>0.99002429999999997</v>
      </c>
      <c r="Q105">
        <v>0.1407119</v>
      </c>
      <c r="R105">
        <v>-7.2358119999999899E-3</v>
      </c>
      <c r="S105">
        <v>3.1069640000000001</v>
      </c>
      <c r="T105">
        <v>-0.56178289999999997</v>
      </c>
      <c r="U105">
        <v>-0.41873169999999998</v>
      </c>
      <c r="V105">
        <v>2.8812399999999998E-2</v>
      </c>
      <c r="W105">
        <v>0.14446539999999999</v>
      </c>
      <c r="X105">
        <v>0.98909029999999998</v>
      </c>
      <c r="Y105">
        <v>0.15240699999999999</v>
      </c>
      <c r="Z105">
        <v>-1.7510379999999999E-2</v>
      </c>
      <c r="AA105">
        <v>0.98816269999999995</v>
      </c>
      <c r="AB105">
        <v>14</v>
      </c>
      <c r="AC105">
        <v>0.63169999999996596</v>
      </c>
      <c r="AD105">
        <v>-0.12773480000000001</v>
      </c>
      <c r="AE105">
        <v>-9.7499999999968098E-2</v>
      </c>
      <c r="AF105">
        <v>0.107004564391396</v>
      </c>
      <c r="AG105">
        <v>-0.12773480000000001</v>
      </c>
      <c r="AH105">
        <v>0.60524748047000998</v>
      </c>
      <c r="AI105">
        <v>101.74024427419501</v>
      </c>
      <c r="AJ105">
        <v>79.974010187164794</v>
      </c>
      <c r="AK105">
        <v>0.62776641240745501</v>
      </c>
      <c r="AL105">
        <v>81.693677196300698</v>
      </c>
      <c r="AM105">
        <v>88.331434240113097</v>
      </c>
      <c r="AN105">
        <v>1.0000000138725</v>
      </c>
    </row>
    <row r="106" spans="1:40" x14ac:dyDescent="0.25">
      <c r="A106" t="str">
        <f>"20190312172056750"</f>
        <v>20190312172056750</v>
      </c>
      <c r="B106" t="str">
        <f>"1552382456741089"</f>
        <v>1552382456741089</v>
      </c>
      <c r="C106" t="s">
        <v>40</v>
      </c>
      <c r="D106">
        <v>3.3796409999999999</v>
      </c>
      <c r="E106">
        <v>0.56699440000000001</v>
      </c>
      <c r="F106" t="s">
        <v>41</v>
      </c>
      <c r="G106">
        <v>-470.53620000000001</v>
      </c>
      <c r="H106">
        <v>0.97353630000000002</v>
      </c>
      <c r="I106">
        <v>367.20530000000002</v>
      </c>
      <c r="J106">
        <v>-471.16680000000002</v>
      </c>
      <c r="K106">
        <v>1.109367</v>
      </c>
      <c r="L106">
        <v>367.3098</v>
      </c>
      <c r="M106">
        <v>0.99974600000000002</v>
      </c>
      <c r="N106">
        <v>0</v>
      </c>
      <c r="O106">
        <v>2.2218999999999999E-2</v>
      </c>
      <c r="P106">
        <v>0.99002570000000001</v>
      </c>
      <c r="Q106">
        <v>0.140739</v>
      </c>
      <c r="R106">
        <v>-6.496946E-3</v>
      </c>
      <c r="S106">
        <v>3.1070859999999998</v>
      </c>
      <c r="T106">
        <v>-0.5619383</v>
      </c>
      <c r="U106">
        <v>-0.41793819999999998</v>
      </c>
      <c r="V106">
        <v>2.84412E-2</v>
      </c>
      <c r="W106">
        <v>0.14454040000000001</v>
      </c>
      <c r="X106">
        <v>0.98909009999999997</v>
      </c>
      <c r="Y106">
        <v>0.15251189999999901</v>
      </c>
      <c r="Z106">
        <v>-1.759051E-2</v>
      </c>
      <c r="AA106">
        <v>0.9881451</v>
      </c>
      <c r="AB106">
        <v>14</v>
      </c>
      <c r="AC106">
        <v>0.63060000000001504</v>
      </c>
      <c r="AD106">
        <v>-0.135830699999999</v>
      </c>
      <c r="AE106">
        <v>-0.104499999999973</v>
      </c>
      <c r="AF106">
        <v>0.11336635030744301</v>
      </c>
      <c r="AG106">
        <v>-0.135830699999999</v>
      </c>
      <c r="AH106">
        <v>0.60098395456167497</v>
      </c>
      <c r="AI106">
        <v>102.521968024079</v>
      </c>
      <c r="AJ106">
        <v>79.317559290151294</v>
      </c>
      <c r="AK106">
        <v>0.62648513317165699</v>
      </c>
      <c r="AL106">
        <v>81.689334546975402</v>
      </c>
      <c r="AM106">
        <v>88.352918692063199</v>
      </c>
      <c r="AN106">
        <v>1.0000000275037999</v>
      </c>
    </row>
    <row r="107" spans="1:40" x14ac:dyDescent="0.25">
      <c r="A107" t="str">
        <f>"20190312172056765"</f>
        <v>20190312172056765</v>
      </c>
      <c r="B107" t="str">
        <f>"1552382456761586"</f>
        <v>1552382456761586</v>
      </c>
      <c r="C107" t="s">
        <v>40</v>
      </c>
      <c r="D107">
        <v>3.3473470000000001</v>
      </c>
      <c r="E107">
        <v>0.56720859999999995</v>
      </c>
      <c r="F107" t="s">
        <v>41</v>
      </c>
      <c r="G107">
        <v>-470.42290000000003</v>
      </c>
      <c r="H107">
        <v>0.94763359999999996</v>
      </c>
      <c r="I107">
        <v>367.18270000000001</v>
      </c>
      <c r="J107">
        <v>-471.08139999999997</v>
      </c>
      <c r="K107">
        <v>1.109381</v>
      </c>
      <c r="L107">
        <v>367.31200000000001</v>
      </c>
      <c r="M107">
        <v>0.99973990000000001</v>
      </c>
      <c r="N107">
        <v>0</v>
      </c>
      <c r="O107">
        <v>2.2478959999999999E-2</v>
      </c>
      <c r="P107">
        <v>0.99000500000000002</v>
      </c>
      <c r="Q107">
        <v>0.14089380000000001</v>
      </c>
      <c r="R107">
        <v>-6.2726559999999997E-3</v>
      </c>
      <c r="S107">
        <v>3.1233219999999999</v>
      </c>
      <c r="T107">
        <v>-0.67922749999999998</v>
      </c>
      <c r="U107">
        <v>-0.5329895</v>
      </c>
      <c r="V107">
        <v>2.847386E-2</v>
      </c>
      <c r="W107">
        <v>0.14474890000000001</v>
      </c>
      <c r="X107">
        <v>0.98905860000000001</v>
      </c>
      <c r="Y107">
        <v>0.18560090000000001</v>
      </c>
      <c r="Z107">
        <v>-2.461031E-2</v>
      </c>
      <c r="AA107">
        <v>0.982317</v>
      </c>
      <c r="AB107">
        <v>14</v>
      </c>
      <c r="AC107">
        <v>0.65849999999994602</v>
      </c>
      <c r="AD107">
        <v>-0.16174740000000001</v>
      </c>
      <c r="AE107">
        <v>-0.12929999999994299</v>
      </c>
      <c r="AF107">
        <v>0.136159730784158</v>
      </c>
      <c r="AG107">
        <v>-0.16174740000000001</v>
      </c>
      <c r="AH107">
        <v>0.61944107070461796</v>
      </c>
      <c r="AI107">
        <v>104.30715899748699</v>
      </c>
      <c r="AJ107">
        <v>77.602931191453393</v>
      </c>
      <c r="AK107">
        <v>0.65452955148691105</v>
      </c>
      <c r="AL107">
        <v>81.6772608420994</v>
      </c>
      <c r="AM107">
        <v>88.350975847841099</v>
      </c>
      <c r="AN107">
        <v>0.99999995949423304</v>
      </c>
    </row>
    <row r="108" spans="1:40" x14ac:dyDescent="0.25">
      <c r="A108" t="str">
        <f>"20190312172056785"</f>
        <v>20190312172056785</v>
      </c>
      <c r="B108" t="str">
        <f>"1552382456781106"</f>
        <v>1552382456781106</v>
      </c>
      <c r="C108" t="s">
        <v>40</v>
      </c>
      <c r="D108">
        <v>3.3636529999999998</v>
      </c>
      <c r="E108">
        <v>0.56717569999999995</v>
      </c>
      <c r="F108" t="s">
        <v>41</v>
      </c>
      <c r="G108">
        <v>-470.30160000000001</v>
      </c>
      <c r="H108">
        <v>0.93813729999999995</v>
      </c>
      <c r="I108">
        <v>367.17860000000002</v>
      </c>
      <c r="J108">
        <v>-470.95920000000001</v>
      </c>
      <c r="K108">
        <v>1.1094139999999999</v>
      </c>
      <c r="L108">
        <v>367.3152</v>
      </c>
      <c r="M108">
        <v>0.99973100000000004</v>
      </c>
      <c r="N108">
        <v>0</v>
      </c>
      <c r="O108">
        <v>2.2845910000000001E-2</v>
      </c>
      <c r="P108">
        <v>0.99000299999999997</v>
      </c>
      <c r="Q108">
        <v>0.14091719999999999</v>
      </c>
      <c r="R108">
        <v>-6.0493910000000003E-3</v>
      </c>
      <c r="S108">
        <v>3.1245419999999999</v>
      </c>
      <c r="T108">
        <v>-0.68631549999999997</v>
      </c>
      <c r="U108">
        <v>-0.53363039999999995</v>
      </c>
      <c r="V108">
        <v>2.8614649999999998E-2</v>
      </c>
      <c r="W108">
        <v>0.14488239999999999</v>
      </c>
      <c r="X108">
        <v>0.989035</v>
      </c>
      <c r="Y108">
        <v>0.1859816</v>
      </c>
      <c r="Z108">
        <v>-2.4971719999999999E-2</v>
      </c>
      <c r="AA108">
        <v>0.98223579999999999</v>
      </c>
      <c r="AB108">
        <v>14</v>
      </c>
      <c r="AC108">
        <v>0.65760000000000196</v>
      </c>
      <c r="AD108">
        <v>-0.171276699999999</v>
      </c>
      <c r="AE108">
        <v>-0.13659999999998701</v>
      </c>
      <c r="AF108">
        <v>0.14233183024364501</v>
      </c>
      <c r="AG108">
        <v>-0.171276699999999</v>
      </c>
      <c r="AH108">
        <v>0.614354928570226</v>
      </c>
      <c r="AI108">
        <v>105.194851764562</v>
      </c>
      <c r="AJ108">
        <v>76.9560182563241</v>
      </c>
      <c r="AK108">
        <v>0.65347229177825406</v>
      </c>
      <c r="AL108">
        <v>81.669530450573504</v>
      </c>
      <c r="AM108">
        <v>88.3427872045703</v>
      </c>
      <c r="AN108">
        <v>0.99999996962468995</v>
      </c>
    </row>
    <row r="109" spans="1:40" x14ac:dyDescent="0.25">
      <c r="A109" t="str">
        <f>"20190312172056799"</f>
        <v>20190312172056799</v>
      </c>
      <c r="B109" t="str">
        <f>"1552382456791843"</f>
        <v>1552382456791843</v>
      </c>
      <c r="C109" t="s">
        <v>40</v>
      </c>
      <c r="D109">
        <v>3.3488120000000001</v>
      </c>
      <c r="E109">
        <v>0.56712719999999905</v>
      </c>
      <c r="F109" t="s">
        <v>41</v>
      </c>
      <c r="G109">
        <v>-470.17579999999998</v>
      </c>
      <c r="H109">
        <v>0.93818679999999999</v>
      </c>
      <c r="I109">
        <v>367.18119999999999</v>
      </c>
      <c r="J109">
        <v>-470.86149999999998</v>
      </c>
      <c r="K109">
        <v>1.109442</v>
      </c>
      <c r="L109">
        <v>367.3177</v>
      </c>
      <c r="M109">
        <v>0.9997239</v>
      </c>
      <c r="N109">
        <v>0</v>
      </c>
      <c r="O109">
        <v>2.3135119999999999E-2</v>
      </c>
      <c r="P109">
        <v>0.98997120000000005</v>
      </c>
      <c r="Q109">
        <v>0.14115829999999999</v>
      </c>
      <c r="R109">
        <v>-5.622223E-3</v>
      </c>
      <c r="S109">
        <v>3.124298</v>
      </c>
      <c r="T109">
        <v>-0.68309229999999999</v>
      </c>
      <c r="U109">
        <v>-0.53280640000000001</v>
      </c>
      <c r="V109">
        <v>2.8473680000000001E-2</v>
      </c>
      <c r="W109">
        <v>0.1452339</v>
      </c>
      <c r="X109">
        <v>0.98898759999999997</v>
      </c>
      <c r="Y109">
        <v>0.18606200000000001</v>
      </c>
      <c r="Z109">
        <v>-2.4930239999999999E-2</v>
      </c>
      <c r="AA109">
        <v>0.98222169999999998</v>
      </c>
      <c r="AB109">
        <v>14</v>
      </c>
      <c r="AC109">
        <v>0.68569999999999698</v>
      </c>
      <c r="AD109">
        <v>-0.1712552</v>
      </c>
      <c r="AE109">
        <v>-0.136500000000012</v>
      </c>
      <c r="AF109">
        <v>0.14370523097226101</v>
      </c>
      <c r="AG109">
        <v>-0.1712552</v>
      </c>
      <c r="AH109">
        <v>0.64373525208431703</v>
      </c>
      <c r="AI109">
        <v>104.555036664227</v>
      </c>
      <c r="AJ109">
        <v>77.415822897446105</v>
      </c>
      <c r="AK109">
        <v>0.68145037362370697</v>
      </c>
      <c r="AL109">
        <v>81.649176408077693</v>
      </c>
      <c r="AM109">
        <v>88.350867948242794</v>
      </c>
      <c r="AN109">
        <v>1.00000005455785</v>
      </c>
    </row>
    <row r="110" spans="1:40" x14ac:dyDescent="0.25">
      <c r="A110" t="str">
        <f>"20190312172056819"</f>
        <v>20190312172056819</v>
      </c>
      <c r="B110" t="str">
        <f>"1552382456811362"</f>
        <v>1552382456811362</v>
      </c>
      <c r="C110" t="s">
        <v>40</v>
      </c>
      <c r="D110">
        <v>3.324379</v>
      </c>
      <c r="E110">
        <v>0.56685280000000005</v>
      </c>
      <c r="F110" t="s">
        <v>41</v>
      </c>
      <c r="G110">
        <v>-470.1678</v>
      </c>
      <c r="H110">
        <v>0.95843279999999997</v>
      </c>
      <c r="I110">
        <v>367.19940000000003</v>
      </c>
      <c r="J110">
        <v>-470.74270000000001</v>
      </c>
      <c r="K110">
        <v>1.1094759999999999</v>
      </c>
      <c r="L110">
        <v>367.32089999999999</v>
      </c>
      <c r="M110">
        <v>0.99971520000000003</v>
      </c>
      <c r="N110">
        <v>0</v>
      </c>
      <c r="O110">
        <v>2.3481040000000002E-2</v>
      </c>
      <c r="P110">
        <v>0.99000969999999999</v>
      </c>
      <c r="Q110">
        <v>0.14090349999999999</v>
      </c>
      <c r="R110">
        <v>-5.2095889999999997E-3</v>
      </c>
      <c r="S110">
        <v>3.1244200000000002</v>
      </c>
      <c r="T110">
        <v>-0.68035040000000002</v>
      </c>
      <c r="U110">
        <v>-0.53121949999999996</v>
      </c>
      <c r="V110">
        <v>2.8405730000000001E-2</v>
      </c>
      <c r="W110">
        <v>0.14513679999999901</v>
      </c>
      <c r="X110">
        <v>0.98900379999999999</v>
      </c>
      <c r="Y110">
        <v>0.1859432</v>
      </c>
      <c r="Z110">
        <v>-2.4893800000000001E-2</v>
      </c>
      <c r="AA110">
        <v>0.98224509999999998</v>
      </c>
      <c r="AB110">
        <v>14</v>
      </c>
      <c r="AC110">
        <v>0.57490000000001296</v>
      </c>
      <c r="AD110">
        <v>-0.15104319999999999</v>
      </c>
      <c r="AE110">
        <v>-0.12149999999996899</v>
      </c>
      <c r="AF110">
        <v>0.12660066582158599</v>
      </c>
      <c r="AG110">
        <v>-0.15104319999999999</v>
      </c>
      <c r="AH110">
        <v>0.53644277316377398</v>
      </c>
      <c r="AI110">
        <v>105.324912016882</v>
      </c>
      <c r="AJ110">
        <v>76.721146361305799</v>
      </c>
      <c r="AK110">
        <v>0.57150032872461998</v>
      </c>
      <c r="AL110">
        <v>81.654799337287102</v>
      </c>
      <c r="AM110">
        <v>88.354828229009001</v>
      </c>
      <c r="AN110">
        <v>1.0000000463127501</v>
      </c>
    </row>
    <row r="111" spans="1:40" x14ac:dyDescent="0.25">
      <c r="A111" t="str">
        <f>"20190312172056840"</f>
        <v>20190312172056840</v>
      </c>
      <c r="B111" t="str">
        <f>"1552382456831859"</f>
        <v>1552382456831859</v>
      </c>
      <c r="C111" t="s">
        <v>40</v>
      </c>
      <c r="D111">
        <v>3.3516979999999998</v>
      </c>
      <c r="E111">
        <v>0.56645290000000004</v>
      </c>
      <c r="F111" t="s">
        <v>41</v>
      </c>
      <c r="G111">
        <v>-470.04180000000002</v>
      </c>
      <c r="H111">
        <v>0.95693099999999998</v>
      </c>
      <c r="I111">
        <v>367.20240000000001</v>
      </c>
      <c r="J111">
        <v>-470.60309999999998</v>
      </c>
      <c r="K111">
        <v>1.1095109999999999</v>
      </c>
      <c r="L111">
        <v>367.32459999999998</v>
      </c>
      <c r="M111">
        <v>0.99970499999999995</v>
      </c>
      <c r="N111">
        <v>0</v>
      </c>
      <c r="O111">
        <v>2.387937E-2</v>
      </c>
      <c r="P111">
        <v>0.98999630000000005</v>
      </c>
      <c r="Q111">
        <v>0.14102039999999999</v>
      </c>
      <c r="R111">
        <v>-4.6116100000000004E-3</v>
      </c>
      <c r="S111">
        <v>3.1242679999999998</v>
      </c>
      <c r="T111">
        <v>-0.68002489999999904</v>
      </c>
      <c r="U111">
        <v>-0.52767940000000002</v>
      </c>
      <c r="V111">
        <v>2.8202910000000001E-2</v>
      </c>
      <c r="W111">
        <v>0.1454472</v>
      </c>
      <c r="X111">
        <v>0.98896399999999995</v>
      </c>
      <c r="Y111">
        <v>0.1852695</v>
      </c>
      <c r="Z111">
        <v>-2.4898770000000001E-2</v>
      </c>
      <c r="AA111">
        <v>0.98237229999999998</v>
      </c>
      <c r="AB111">
        <v>14</v>
      </c>
      <c r="AC111">
        <v>0.56129999999996005</v>
      </c>
      <c r="AD111">
        <v>-0.15257999999999999</v>
      </c>
      <c r="AE111">
        <v>-0.122199999999963</v>
      </c>
      <c r="AF111">
        <v>0.12663476093304199</v>
      </c>
      <c r="AG111">
        <v>-0.15257999999999999</v>
      </c>
      <c r="AH111">
        <v>0.52143489807778498</v>
      </c>
      <c r="AI111">
        <v>105.87311470729</v>
      </c>
      <c r="AJ111">
        <v>76.349521576127202</v>
      </c>
      <c r="AK111">
        <v>0.55786321980388598</v>
      </c>
      <c r="AL111">
        <v>81.636823958043706</v>
      </c>
      <c r="AM111">
        <v>88.366502847291201</v>
      </c>
      <c r="AN111">
        <v>1.0000000427081499</v>
      </c>
    </row>
    <row r="112" spans="1:40" x14ac:dyDescent="0.25">
      <c r="A112" t="str">
        <f>"20190312172056853"</f>
        <v>20190312172056853</v>
      </c>
      <c r="B112" t="str">
        <f>"1552382456841617"</f>
        <v>1552382456841617</v>
      </c>
      <c r="C112" t="s">
        <v>40</v>
      </c>
      <c r="D112">
        <v>3.3351500000000001</v>
      </c>
      <c r="E112">
        <v>0.56641129999999995</v>
      </c>
      <c r="F112" t="s">
        <v>41</v>
      </c>
      <c r="G112">
        <v>-469.7953</v>
      </c>
      <c r="H112">
        <v>0.93354800000000004</v>
      </c>
      <c r="I112">
        <v>367.18939999999998</v>
      </c>
      <c r="J112">
        <v>-470.51839999999999</v>
      </c>
      <c r="K112">
        <v>1.109529</v>
      </c>
      <c r="L112">
        <v>367.32690000000002</v>
      </c>
      <c r="M112">
        <v>0.9996988</v>
      </c>
      <c r="N112">
        <v>0</v>
      </c>
      <c r="O112">
        <v>2.4115620000000001E-2</v>
      </c>
      <c r="P112">
        <v>0.98997999999999997</v>
      </c>
      <c r="Q112">
        <v>0.1411414</v>
      </c>
      <c r="R112">
        <v>-4.3619949999999996E-3</v>
      </c>
      <c r="S112">
        <v>3.1248779999999998</v>
      </c>
      <c r="T112">
        <v>-0.6807628</v>
      </c>
      <c r="U112">
        <v>-0.52313229999999999</v>
      </c>
      <c r="V112">
        <v>2.81877E-2</v>
      </c>
      <c r="W112">
        <v>0.14568210000000001</v>
      </c>
      <c r="X112">
        <v>0.98892979999999997</v>
      </c>
      <c r="Y112">
        <v>0.18409139999999999</v>
      </c>
      <c r="Z112">
        <v>-2.4847939999999999E-2</v>
      </c>
      <c r="AA112">
        <v>0.982595</v>
      </c>
      <c r="AB112">
        <v>14</v>
      </c>
      <c r="AC112">
        <v>0.72309999999998797</v>
      </c>
      <c r="AD112">
        <v>-0.175981</v>
      </c>
      <c r="AE112">
        <v>-0.137500000000045</v>
      </c>
      <c r="AF112">
        <v>0.14652264432407699</v>
      </c>
      <c r="AG112">
        <v>-0.175981</v>
      </c>
      <c r="AH112">
        <v>0.68066545446459403</v>
      </c>
      <c r="AI112">
        <v>104.184592720219</v>
      </c>
      <c r="AJ112">
        <v>77.851672819738795</v>
      </c>
      <c r="AK112">
        <v>0.71815294928184503</v>
      </c>
      <c r="AL112">
        <v>81.623219796941399</v>
      </c>
      <c r="AM112">
        <v>88.367326895322293</v>
      </c>
      <c r="AN112">
        <v>0.99999998500986897</v>
      </c>
    </row>
    <row r="113" spans="1:40" x14ac:dyDescent="0.25">
      <c r="A113" t="str">
        <f>"20190312172056873"</f>
        <v>20190312172056873</v>
      </c>
      <c r="B113" t="str">
        <f>"1552382456861138"</f>
        <v>1552382456861138</v>
      </c>
      <c r="C113" t="s">
        <v>40</v>
      </c>
      <c r="D113">
        <v>3.4452609999999999</v>
      </c>
      <c r="E113">
        <v>0.56648889999999996</v>
      </c>
      <c r="F113" t="s">
        <v>41</v>
      </c>
      <c r="G113">
        <v>-469.78890000000001</v>
      </c>
      <c r="H113">
        <v>0.95072690000000004</v>
      </c>
      <c r="I113">
        <v>367.20510000000002</v>
      </c>
      <c r="J113">
        <v>-470.39240000000001</v>
      </c>
      <c r="K113">
        <v>1.1095549999999901</v>
      </c>
      <c r="L113">
        <v>367.3304</v>
      </c>
      <c r="M113">
        <v>0.99968950000000001</v>
      </c>
      <c r="N113">
        <v>0</v>
      </c>
      <c r="O113">
        <v>2.4463269999999999E-2</v>
      </c>
      <c r="P113">
        <v>0.98997190000000002</v>
      </c>
      <c r="Q113">
        <v>0.14121400000000001</v>
      </c>
      <c r="R113">
        <v>-3.8041640000000001E-3</v>
      </c>
      <c r="S113">
        <v>3.125</v>
      </c>
      <c r="T113">
        <v>-0.68027209999999905</v>
      </c>
      <c r="U113">
        <v>-0.521698</v>
      </c>
      <c r="V113">
        <v>2.7974800000000001E-2</v>
      </c>
      <c r="W113">
        <v>0.14591609999999999</v>
      </c>
      <c r="X113">
        <v>0.98890140000000004</v>
      </c>
      <c r="Y113">
        <v>0.18398900000000001</v>
      </c>
      <c r="Z113">
        <v>-2.4893809999999999E-2</v>
      </c>
      <c r="AA113">
        <v>0.98261299999999996</v>
      </c>
      <c r="AB113">
        <v>14</v>
      </c>
      <c r="AC113">
        <v>0.60349999999999604</v>
      </c>
      <c r="AD113">
        <v>-0.158828099999999</v>
      </c>
      <c r="AE113">
        <v>-0.12529999999998101</v>
      </c>
      <c r="AF113">
        <v>0.13130737571456899</v>
      </c>
      <c r="AG113">
        <v>-0.158828099999999</v>
      </c>
      <c r="AH113">
        <v>0.56287868386516704</v>
      </c>
      <c r="AI113">
        <v>105.36523478612899</v>
      </c>
      <c r="AJ113">
        <v>76.868968751736702</v>
      </c>
      <c r="AK113">
        <v>0.59941672066805096</v>
      </c>
      <c r="AL113">
        <v>81.609668220627398</v>
      </c>
      <c r="AM113">
        <v>88.379605268440997</v>
      </c>
      <c r="AN113">
        <v>1.0000000382981</v>
      </c>
    </row>
    <row r="114" spans="1:40" x14ac:dyDescent="0.25">
      <c r="A114" t="str">
        <f>"20190312172056885"</f>
        <v>20190312172056885</v>
      </c>
      <c r="B114" t="str">
        <f>"1552382456881633"</f>
        <v>1552382456881633</v>
      </c>
      <c r="C114" t="s">
        <v>40</v>
      </c>
      <c r="D114">
        <v>3.3488730000000002</v>
      </c>
      <c r="E114">
        <v>0.56613340000000001</v>
      </c>
      <c r="F114" t="s">
        <v>41</v>
      </c>
      <c r="G114">
        <v>-469.65980000000002</v>
      </c>
      <c r="H114">
        <v>0.95075330000000002</v>
      </c>
      <c r="I114">
        <v>367.2079</v>
      </c>
      <c r="J114">
        <v>-470.31299999999999</v>
      </c>
      <c r="K114">
        <v>1.109567</v>
      </c>
      <c r="L114">
        <v>367.33260000000001</v>
      </c>
      <c r="M114">
        <v>0.99968369999999995</v>
      </c>
      <c r="N114">
        <v>0</v>
      </c>
      <c r="O114">
        <v>2.4679039999999999E-2</v>
      </c>
      <c r="P114">
        <v>0.98997040000000003</v>
      </c>
      <c r="Q114">
        <v>0.141234</v>
      </c>
      <c r="R114">
        <v>-3.4527080000000001E-3</v>
      </c>
      <c r="S114">
        <v>3.125092</v>
      </c>
      <c r="T114">
        <v>-0.67765690000000001</v>
      </c>
      <c r="U114">
        <v>-0.52059940000000005</v>
      </c>
      <c r="V114">
        <v>2.7837400000000002E-2</v>
      </c>
      <c r="W114">
        <v>0.14603070000000001</v>
      </c>
      <c r="X114">
        <v>0.98888830000000005</v>
      </c>
      <c r="Y114">
        <v>0.18389349999999999</v>
      </c>
      <c r="Z114">
        <v>-2.4836049999999998E-2</v>
      </c>
      <c r="AA114">
        <v>0.98263230000000001</v>
      </c>
      <c r="AB114">
        <v>14</v>
      </c>
      <c r="AC114">
        <v>0.65320000000002598</v>
      </c>
      <c r="AD114">
        <v>-0.158813699999999</v>
      </c>
      <c r="AE114">
        <v>-0.124700000000018</v>
      </c>
      <c r="AF114">
        <v>0.133186347187706</v>
      </c>
      <c r="AG114">
        <v>-0.158813699999999</v>
      </c>
      <c r="AH114">
        <v>0.61485558779667604</v>
      </c>
      <c r="AI114">
        <v>104.16773266606501</v>
      </c>
      <c r="AJ114">
        <v>77.777757945155201</v>
      </c>
      <c r="AK114">
        <v>0.64885112948170998</v>
      </c>
      <c r="AL114">
        <v>81.603030520654599</v>
      </c>
      <c r="AM114">
        <v>88.387538378795199</v>
      </c>
      <c r="AN114">
        <v>0.99999997802906904</v>
      </c>
    </row>
    <row r="115" spans="1:40" x14ac:dyDescent="0.25">
      <c r="A115" t="str">
        <f>"20190312172056897"</f>
        <v>20190312172056897</v>
      </c>
      <c r="B115" t="str">
        <f>"1552382456891394"</f>
        <v>1552382456891394</v>
      </c>
      <c r="C115" t="s">
        <v>40</v>
      </c>
      <c r="D115">
        <v>3.365532</v>
      </c>
      <c r="E115">
        <v>0.56594460000000002</v>
      </c>
      <c r="F115" t="s">
        <v>41</v>
      </c>
      <c r="G115">
        <v>-469.53339999999997</v>
      </c>
      <c r="H115">
        <v>0.94182370000000004</v>
      </c>
      <c r="I115">
        <v>367.20359999999999</v>
      </c>
      <c r="J115">
        <v>-470.23110000000003</v>
      </c>
      <c r="K115">
        <v>1.1095759999999999</v>
      </c>
      <c r="L115">
        <v>367.33479999999997</v>
      </c>
      <c r="M115">
        <v>0.99967790000000001</v>
      </c>
      <c r="N115">
        <v>0</v>
      </c>
      <c r="O115">
        <v>2.4898880000000002E-2</v>
      </c>
      <c r="P115">
        <v>0.98993339999999996</v>
      </c>
      <c r="Q115">
        <v>0.14150380000000001</v>
      </c>
      <c r="R115">
        <v>-2.9941989999999999E-3</v>
      </c>
      <c r="S115">
        <v>3.1245120000000002</v>
      </c>
      <c r="T115">
        <v>-0.67235</v>
      </c>
      <c r="U115">
        <v>-0.51675420000000005</v>
      </c>
      <c r="V115">
        <v>2.759611E-2</v>
      </c>
      <c r="W115">
        <v>0.146394</v>
      </c>
      <c r="X115">
        <v>0.98884139999999998</v>
      </c>
      <c r="Y115">
        <v>0.18304619999999999</v>
      </c>
      <c r="Z115">
        <v>-2.4609579999999999E-2</v>
      </c>
      <c r="AA115">
        <v>0.98279629999999996</v>
      </c>
      <c r="AB115">
        <v>14</v>
      </c>
      <c r="AC115">
        <v>0.69770000000005405</v>
      </c>
      <c r="AD115">
        <v>-0.16775229999999999</v>
      </c>
      <c r="AE115">
        <v>-0.131199999999978</v>
      </c>
      <c r="AF115">
        <v>0.140676776040805</v>
      </c>
      <c r="AG115">
        <v>-0.16775229999999999</v>
      </c>
      <c r="AH115">
        <v>0.65750503899088297</v>
      </c>
      <c r="AI115">
        <v>104.00863677133999</v>
      </c>
      <c r="AJ115">
        <v>77.923337012552594</v>
      </c>
      <c r="AK115">
        <v>0.69299615133918802</v>
      </c>
      <c r="AL115">
        <v>81.581989286007797</v>
      </c>
      <c r="AM115">
        <v>88.401431871708496</v>
      </c>
      <c r="AN115">
        <v>1.00000003143854</v>
      </c>
    </row>
    <row r="116" spans="1:40" x14ac:dyDescent="0.25">
      <c r="A116" t="str">
        <f>"20190312172056918"</f>
        <v>20190312172056918</v>
      </c>
      <c r="B116" t="str">
        <f>"1552382456911890"</f>
        <v>1552382456911890</v>
      </c>
      <c r="C116" t="s">
        <v>40</v>
      </c>
      <c r="D116">
        <v>3.3479800000000002</v>
      </c>
      <c r="E116">
        <v>0.56572999999999996</v>
      </c>
      <c r="F116" t="s">
        <v>41</v>
      </c>
      <c r="G116">
        <v>-469.52659999999997</v>
      </c>
      <c r="H116">
        <v>0.95870290000000002</v>
      </c>
      <c r="I116">
        <v>367.21879999999999</v>
      </c>
      <c r="J116">
        <v>-470.09800000000001</v>
      </c>
      <c r="K116">
        <v>1.1095900000000001</v>
      </c>
      <c r="L116">
        <v>367.33850000000001</v>
      </c>
      <c r="M116">
        <v>0.99966829999999995</v>
      </c>
      <c r="N116">
        <v>0</v>
      </c>
      <c r="O116">
        <v>2.5249239999999999E-2</v>
      </c>
      <c r="P116">
        <v>0.98994760000000004</v>
      </c>
      <c r="Q116">
        <v>0.1414146</v>
      </c>
      <c r="R116">
        <v>-2.3639070000000002E-3</v>
      </c>
      <c r="S116">
        <v>3.124603</v>
      </c>
      <c r="T116">
        <v>-0.66927799999999904</v>
      </c>
      <c r="U116">
        <v>-0.51434329999999995</v>
      </c>
      <c r="V116">
        <v>2.731391E-2</v>
      </c>
      <c r="W116">
        <v>0.1464425</v>
      </c>
      <c r="X116">
        <v>0.988842</v>
      </c>
      <c r="Y116">
        <v>0.18268909999999999</v>
      </c>
      <c r="Z116">
        <v>-2.4536579999999999E-2</v>
      </c>
      <c r="AA116">
        <v>0.98286450000000003</v>
      </c>
      <c r="AB116">
        <v>14</v>
      </c>
      <c r="AC116">
        <v>0.57140000000003899</v>
      </c>
      <c r="AD116">
        <v>-0.150887099999999</v>
      </c>
      <c r="AE116">
        <v>-0.119700000000023</v>
      </c>
      <c r="AF116">
        <v>0.125693228144726</v>
      </c>
      <c r="AG116">
        <v>-0.150887099999999</v>
      </c>
      <c r="AH116">
        <v>0.53261704533073095</v>
      </c>
      <c r="AI116">
        <v>105.41460159462</v>
      </c>
      <c r="AJ116">
        <v>76.721611497777403</v>
      </c>
      <c r="AK116">
        <v>0.56766770343634099</v>
      </c>
      <c r="AL116">
        <v>81.579179714914105</v>
      </c>
      <c r="AM116">
        <v>88.417771562761899</v>
      </c>
      <c r="AN116">
        <v>0.99999997822486797</v>
      </c>
    </row>
    <row r="117" spans="1:40" x14ac:dyDescent="0.25">
      <c r="A117" t="str">
        <f>"20190312172056930"</f>
        <v>20190312172056930</v>
      </c>
      <c r="B117" t="str">
        <f>"1552382456921650"</f>
        <v>1552382456921650</v>
      </c>
      <c r="C117" t="s">
        <v>40</v>
      </c>
      <c r="D117">
        <v>3.389113</v>
      </c>
      <c r="E117">
        <v>0.565639</v>
      </c>
      <c r="F117" t="s">
        <v>41</v>
      </c>
      <c r="G117">
        <v>-469.39550000000003</v>
      </c>
      <c r="H117">
        <v>0.95977429999999997</v>
      </c>
      <c r="I117">
        <v>367.2235</v>
      </c>
      <c r="J117">
        <v>-470.01740000000001</v>
      </c>
      <c r="K117">
        <v>1.1095969999999999</v>
      </c>
      <c r="L117">
        <v>367.3408</v>
      </c>
      <c r="M117">
        <v>0.99966279999999996</v>
      </c>
      <c r="N117">
        <v>0</v>
      </c>
      <c r="O117">
        <v>2.5456289999999999E-2</v>
      </c>
      <c r="P117">
        <v>0.98996729999999999</v>
      </c>
      <c r="Q117">
        <v>0.14128569999999999</v>
      </c>
      <c r="R117">
        <v>-1.8872050000000001E-3</v>
      </c>
      <c r="S117">
        <v>3.1244510000000001</v>
      </c>
      <c r="T117">
        <v>-0.66658640000000002</v>
      </c>
      <c r="U117">
        <v>-0.51013180000000002</v>
      </c>
      <c r="V117">
        <v>2.704312E-2</v>
      </c>
      <c r="W117">
        <v>0.1463874</v>
      </c>
      <c r="X117">
        <v>0.9888576</v>
      </c>
      <c r="Y117">
        <v>0.18166289999999999</v>
      </c>
      <c r="Z117">
        <v>-2.4379600000000001E-2</v>
      </c>
      <c r="AA117">
        <v>0.9830586</v>
      </c>
      <c r="AB117">
        <v>15</v>
      </c>
      <c r="AC117">
        <v>0.62189999999998202</v>
      </c>
      <c r="AD117">
        <v>-0.149822699999999</v>
      </c>
      <c r="AE117">
        <v>-0.1173</v>
      </c>
      <c r="AF117">
        <v>0.12603017539803199</v>
      </c>
      <c r="AG117">
        <v>-0.149822699999999</v>
      </c>
      <c r="AH117">
        <v>0.58587725797143198</v>
      </c>
      <c r="AI117">
        <v>104.03650053609201</v>
      </c>
      <c r="AJ117">
        <v>77.859897882988506</v>
      </c>
      <c r="AK117">
        <v>0.61772373109204104</v>
      </c>
      <c r="AL117">
        <v>81.582371096081403</v>
      </c>
      <c r="AM117">
        <v>88.433474615243497</v>
      </c>
      <c r="AN117">
        <v>0.99999997714792599</v>
      </c>
    </row>
    <row r="118" spans="1:40" x14ac:dyDescent="0.25">
      <c r="A118" t="str">
        <f>"20190312172056943"</f>
        <v>20190312172056943</v>
      </c>
      <c r="B118" t="str">
        <f>"1552382456931410"</f>
        <v>1552382456931410</v>
      </c>
      <c r="C118" t="s">
        <v>40</v>
      </c>
      <c r="D118">
        <v>3.3415780000000002</v>
      </c>
      <c r="E118">
        <v>0.56555730000000004</v>
      </c>
      <c r="F118" t="s">
        <v>41</v>
      </c>
      <c r="G118">
        <v>-469.26799999999997</v>
      </c>
      <c r="H118">
        <v>0.9498974</v>
      </c>
      <c r="I118">
        <v>367.21879999999999</v>
      </c>
      <c r="J118">
        <v>-469.9393</v>
      </c>
      <c r="K118">
        <v>1.109607</v>
      </c>
      <c r="L118">
        <v>367.34300000000002</v>
      </c>
      <c r="M118">
        <v>0.99965720000000002</v>
      </c>
      <c r="N118">
        <v>0</v>
      </c>
      <c r="O118">
        <v>2.5655130000000002E-2</v>
      </c>
      <c r="P118">
        <v>0.98995230000000001</v>
      </c>
      <c r="Q118">
        <v>0.14139389999999999</v>
      </c>
      <c r="R118">
        <v>-1.4794729999999901E-3</v>
      </c>
      <c r="S118">
        <v>3.1244809999999998</v>
      </c>
      <c r="T118">
        <v>-0.66591690000000003</v>
      </c>
      <c r="U118">
        <v>-0.50802609999999904</v>
      </c>
      <c r="V118">
        <v>2.683261E-2</v>
      </c>
      <c r="W118">
        <v>0.14656420000000001</v>
      </c>
      <c r="X118">
        <v>0.98883719999999997</v>
      </c>
      <c r="Y118">
        <v>0.1812251</v>
      </c>
      <c r="Z118">
        <v>-2.4352499999999999E-2</v>
      </c>
      <c r="AA118">
        <v>0.98314009999999996</v>
      </c>
      <c r="AB118">
        <v>15</v>
      </c>
      <c r="AC118">
        <v>0.67129999999997303</v>
      </c>
      <c r="AD118">
        <v>-0.15970960000000001</v>
      </c>
      <c r="AE118">
        <v>-0.12420000000002999</v>
      </c>
      <c r="AF118">
        <v>0.13404556421753899</v>
      </c>
      <c r="AG118">
        <v>-0.15970960000000001</v>
      </c>
      <c r="AH118">
        <v>0.63323669419636397</v>
      </c>
      <c r="AI118">
        <v>103.860520033575</v>
      </c>
      <c r="AJ118">
        <v>78.047885823825098</v>
      </c>
      <c r="AK118">
        <v>0.66668139354214595</v>
      </c>
      <c r="AL118">
        <v>81.572131208510697</v>
      </c>
      <c r="AM118">
        <v>88.445630760797599</v>
      </c>
      <c r="AN118">
        <v>1.0000000308924399</v>
      </c>
    </row>
    <row r="119" spans="1:40" x14ac:dyDescent="0.25">
      <c r="A119" t="str">
        <f>"20190312172056954"</f>
        <v>20190312172056954</v>
      </c>
      <c r="B119" t="str">
        <f>"1552382456951905"</f>
        <v>1552382456951905</v>
      </c>
      <c r="C119" t="s">
        <v>40</v>
      </c>
      <c r="D119">
        <v>3.3078859999999999</v>
      </c>
      <c r="E119">
        <v>0.56547590000000003</v>
      </c>
      <c r="F119" t="s">
        <v>41</v>
      </c>
      <c r="G119">
        <v>-469.1395</v>
      </c>
      <c r="H119">
        <v>0.93981899999999996</v>
      </c>
      <c r="I119">
        <v>367.21300000000002</v>
      </c>
      <c r="J119">
        <v>-469.85520000000002</v>
      </c>
      <c r="K119">
        <v>1.109612</v>
      </c>
      <c r="L119">
        <v>367.34539999999998</v>
      </c>
      <c r="M119">
        <v>0.99965150000000003</v>
      </c>
      <c r="N119">
        <v>0</v>
      </c>
      <c r="O119">
        <v>2.5864809999999998E-2</v>
      </c>
      <c r="P119">
        <v>0.98995180000000005</v>
      </c>
      <c r="Q119">
        <v>0.14140220000000001</v>
      </c>
      <c r="R119">
        <v>-8.7971849999999999E-4</v>
      </c>
      <c r="S119">
        <v>3.1244809999999998</v>
      </c>
      <c r="T119">
        <v>-0.66345980000000004</v>
      </c>
      <c r="U119">
        <v>-0.50653079999999995</v>
      </c>
      <c r="V119">
        <v>2.6441220000000001E-2</v>
      </c>
      <c r="W119">
        <v>0.146638299999999</v>
      </c>
      <c r="X119">
        <v>0.98883670000000001</v>
      </c>
      <c r="Y119">
        <v>0.18100559999999999</v>
      </c>
      <c r="Z119">
        <v>-2.4286350000000002E-2</v>
      </c>
      <c r="AA119">
        <v>0.98318209999999995</v>
      </c>
      <c r="AB119">
        <v>15</v>
      </c>
      <c r="AC119">
        <v>0.71570000000002598</v>
      </c>
      <c r="AD119">
        <v>-0.169792999999999</v>
      </c>
      <c r="AE119">
        <v>-0.13239999999996099</v>
      </c>
      <c r="AF119">
        <v>0.14308085817292099</v>
      </c>
      <c r="AG119">
        <v>-0.169792999999999</v>
      </c>
      <c r="AH119">
        <v>0.67528649818636499</v>
      </c>
      <c r="AI119">
        <v>103.819131384928</v>
      </c>
      <c r="AJ119">
        <v>78.036999777047697</v>
      </c>
      <c r="AK119">
        <v>0.71085416891040498</v>
      </c>
      <c r="AL119">
        <v>81.5678387378304</v>
      </c>
      <c r="AM119">
        <v>88.468291689006406</v>
      </c>
      <c r="AN119">
        <v>0.99999997420443398</v>
      </c>
    </row>
    <row r="120" spans="1:40" x14ac:dyDescent="0.25">
      <c r="A120" t="str">
        <f>"20190312172056972"</f>
        <v>20190312172056972</v>
      </c>
      <c r="B120" t="str">
        <f>"1552382456961669"</f>
        <v>1552382456961669</v>
      </c>
      <c r="C120" t="s">
        <v>40</v>
      </c>
      <c r="D120">
        <v>3.4650029999999998</v>
      </c>
      <c r="E120">
        <v>0.546037199999999</v>
      </c>
      <c r="F120" t="s">
        <v>41</v>
      </c>
      <c r="G120">
        <v>-469.13279999999997</v>
      </c>
      <c r="H120">
        <v>0.95657179999999997</v>
      </c>
      <c r="I120">
        <v>367.22840000000002</v>
      </c>
      <c r="J120">
        <v>-469.74160000000001</v>
      </c>
      <c r="K120">
        <v>1.109615</v>
      </c>
      <c r="L120">
        <v>367.34870000000001</v>
      </c>
      <c r="M120">
        <v>0.99964370000000002</v>
      </c>
      <c r="N120">
        <v>0</v>
      </c>
      <c r="O120">
        <v>2.6142410000000001E-2</v>
      </c>
      <c r="P120">
        <v>0.98990089999999997</v>
      </c>
      <c r="Q120">
        <v>0.14176069999999999</v>
      </c>
      <c r="R120" s="1">
        <v>-5.1566400000000001E-5</v>
      </c>
      <c r="S120">
        <v>3.1245419999999999</v>
      </c>
      <c r="T120">
        <v>-0.66215119999999905</v>
      </c>
      <c r="U120">
        <v>-0.50460819999999995</v>
      </c>
      <c r="V120">
        <v>2.588793E-2</v>
      </c>
      <c r="W120">
        <v>0.14707310000000001</v>
      </c>
      <c r="X120">
        <v>0.98878679999999997</v>
      </c>
      <c r="Y120">
        <v>0.18070359999999999</v>
      </c>
      <c r="Z120">
        <v>-2.4266570000000001E-2</v>
      </c>
      <c r="AA120">
        <v>0.98323819999999995</v>
      </c>
      <c r="AB120">
        <v>15</v>
      </c>
      <c r="AC120">
        <v>0.60880000000002998</v>
      </c>
      <c r="AD120">
        <v>-0.15304319999999899</v>
      </c>
      <c r="AE120">
        <v>-0.120299999999986</v>
      </c>
      <c r="AF120">
        <v>0.128367358216778</v>
      </c>
      <c r="AG120">
        <v>-0.15304319999999899</v>
      </c>
      <c r="AH120">
        <v>0.57073504867876801</v>
      </c>
      <c r="AI120">
        <v>104.660881882132</v>
      </c>
      <c r="AJ120">
        <v>77.324205743193801</v>
      </c>
      <c r="AK120">
        <v>0.604680821187633</v>
      </c>
      <c r="AL120">
        <v>81.542653765895807</v>
      </c>
      <c r="AM120">
        <v>88.500252677521701</v>
      </c>
      <c r="AN120">
        <v>1.0000000087587599</v>
      </c>
    </row>
    <row r="121" spans="1:40" x14ac:dyDescent="0.25">
      <c r="A121" t="str">
        <f>"20190312172056986"</f>
        <v>20190312172056986</v>
      </c>
      <c r="B121" t="str">
        <f>"1552382456981186"</f>
        <v>1552382456981186</v>
      </c>
      <c r="C121" t="s">
        <v>40</v>
      </c>
      <c r="D121">
        <v>3.3357260000000002</v>
      </c>
      <c r="E121">
        <v>0.50705920000000004</v>
      </c>
      <c r="F121" t="s">
        <v>41</v>
      </c>
      <c r="G121">
        <v>-469.0016</v>
      </c>
      <c r="H121">
        <v>0.95656629999999998</v>
      </c>
      <c r="I121">
        <v>367.26620000000003</v>
      </c>
      <c r="J121">
        <v>-469.65230000000003</v>
      </c>
      <c r="K121">
        <v>1.1096159999999999</v>
      </c>
      <c r="L121">
        <v>367.35129999999998</v>
      </c>
      <c r="M121">
        <v>0.99963800000000003</v>
      </c>
      <c r="N121">
        <v>0</v>
      </c>
      <c r="O121">
        <v>2.6356060000000001E-2</v>
      </c>
      <c r="P121">
        <v>0.98987259999999999</v>
      </c>
      <c r="Q121">
        <v>0.14195769999999999</v>
      </c>
      <c r="R121">
        <v>5.6059239999999998E-4</v>
      </c>
      <c r="S121">
        <v>3.1230769999999999</v>
      </c>
      <c r="T121">
        <v>-0.64592329999999998</v>
      </c>
      <c r="U121">
        <v>-0.34780879999999997</v>
      </c>
      <c r="V121">
        <v>2.548748E-2</v>
      </c>
      <c r="W121">
        <v>0.14732129999999999</v>
      </c>
      <c r="X121">
        <v>0.98876019999999998</v>
      </c>
      <c r="Y121">
        <v>0.13349469999999999</v>
      </c>
      <c r="Z121">
        <v>-1.8998910000000001E-2</v>
      </c>
      <c r="AA121">
        <v>0.99086739999999995</v>
      </c>
      <c r="AB121">
        <v>15</v>
      </c>
      <c r="AC121">
        <v>0.65070000000002803</v>
      </c>
      <c r="AD121">
        <v>-0.15304969999999901</v>
      </c>
      <c r="AE121">
        <v>-8.5099999999954407E-2</v>
      </c>
      <c r="AF121">
        <v>9.6947378073941506E-2</v>
      </c>
      <c r="AG121">
        <v>-0.15304969999999901</v>
      </c>
      <c r="AH121">
        <v>0.61479107452432102</v>
      </c>
      <c r="AI121">
        <v>103.81532597771201</v>
      </c>
      <c r="AJ121">
        <v>81.038730437552601</v>
      </c>
      <c r="AK121">
        <v>0.64092984803351905</v>
      </c>
      <c r="AL121">
        <v>81.528275884578804</v>
      </c>
      <c r="AM121">
        <v>88.523401610871304</v>
      </c>
      <c r="AN121">
        <v>0.99999995508723905</v>
      </c>
    </row>
    <row r="122" spans="1:40" x14ac:dyDescent="0.25">
      <c r="A122" t="str">
        <f>"20190312172057001"</f>
        <v>20190312172057001</v>
      </c>
      <c r="B122" t="str">
        <f>"1552382456991922"</f>
        <v>1552382456991922</v>
      </c>
      <c r="C122" t="s">
        <v>40</v>
      </c>
      <c r="D122">
        <v>3.3335029999999999</v>
      </c>
      <c r="E122">
        <v>0.50051159999999995</v>
      </c>
      <c r="F122" t="s">
        <v>41</v>
      </c>
      <c r="G122">
        <v>-468.83409999999998</v>
      </c>
      <c r="H122">
        <v>1.0297130000000001</v>
      </c>
      <c r="I122">
        <v>367.33949999999999</v>
      </c>
      <c r="J122">
        <v>-469.54649999999998</v>
      </c>
      <c r="K122">
        <v>1.109612</v>
      </c>
      <c r="L122">
        <v>367.3544</v>
      </c>
      <c r="M122">
        <v>0.99963120000000005</v>
      </c>
      <c r="N122">
        <v>0</v>
      </c>
      <c r="O122">
        <v>2.6603910000000001E-2</v>
      </c>
      <c r="P122">
        <v>0.98980820000000003</v>
      </c>
      <c r="Q122">
        <v>0.14240549999999999</v>
      </c>
      <c r="R122">
        <v>9.1200180000000001E-4</v>
      </c>
      <c r="S122">
        <v>3.0738530000000002</v>
      </c>
      <c r="T122">
        <v>-0.30068400000000001</v>
      </c>
      <c r="U122">
        <v>-4.1564940000000002E-2</v>
      </c>
      <c r="V122">
        <v>2.5380639999999999E-2</v>
      </c>
      <c r="W122">
        <v>0.1478207</v>
      </c>
      <c r="X122">
        <v>0.98868849999999997</v>
      </c>
      <c r="Y122">
        <v>3.9801049999999998E-2</v>
      </c>
      <c r="Z122">
        <v>-4.537948E-3</v>
      </c>
      <c r="AA122">
        <v>0.99919729999999995</v>
      </c>
      <c r="AB122">
        <v>15</v>
      </c>
      <c r="AC122">
        <v>0.71240000000000203</v>
      </c>
      <c r="AD122">
        <v>-7.9899000000000095E-2</v>
      </c>
      <c r="AE122">
        <v>-1.4900000000011401E-2</v>
      </c>
      <c r="AF122">
        <v>3.3427345109057399E-2</v>
      </c>
      <c r="AG122">
        <v>-7.9899000000000095E-2</v>
      </c>
      <c r="AH122">
        <v>0.70291358197123199</v>
      </c>
      <c r="AI122">
        <v>96.477622661279597</v>
      </c>
      <c r="AJ122">
        <v>87.277326810899893</v>
      </c>
      <c r="AK122">
        <v>0.70822929995988404</v>
      </c>
      <c r="AL122">
        <v>81.499346380698</v>
      </c>
      <c r="AM122">
        <v>88.5294819966212</v>
      </c>
      <c r="AN122">
        <v>1.0000000431337699</v>
      </c>
    </row>
    <row r="123" spans="1:40" x14ac:dyDescent="0.25">
      <c r="A123" t="str">
        <f>"20190312172057019"</f>
        <v>20190312172057019</v>
      </c>
      <c r="B123" t="str">
        <f>"1552382457011667"</f>
        <v>1552382457011667</v>
      </c>
      <c r="C123" t="s">
        <v>40</v>
      </c>
      <c r="D123">
        <v>3.3447249999999999</v>
      </c>
      <c r="E123">
        <v>0.49561929999999998</v>
      </c>
      <c r="F123" t="s">
        <v>41</v>
      </c>
      <c r="G123">
        <v>-468.69479999999999</v>
      </c>
      <c r="H123">
        <v>1.038864</v>
      </c>
      <c r="I123">
        <v>367.35719999999998</v>
      </c>
      <c r="J123">
        <v>-469.42599999999999</v>
      </c>
      <c r="K123">
        <v>1.1096090000000001</v>
      </c>
      <c r="L123">
        <v>367.35789999999997</v>
      </c>
      <c r="M123">
        <v>0.9996235</v>
      </c>
      <c r="N123">
        <v>0</v>
      </c>
      <c r="O123">
        <v>2.687734E-2</v>
      </c>
      <c r="P123">
        <v>0.98971620000000005</v>
      </c>
      <c r="Q123">
        <v>0.14302670000000001</v>
      </c>
      <c r="R123">
        <v>2.2376039999999998E-3</v>
      </c>
      <c r="S123">
        <v>3.067596</v>
      </c>
      <c r="T123">
        <v>-0.25496239999999998</v>
      </c>
      <c r="U123">
        <v>1.074219E-2</v>
      </c>
      <c r="V123">
        <v>2.4324990000000001E-2</v>
      </c>
      <c r="W123">
        <v>0.14848939999999999</v>
      </c>
      <c r="X123">
        <v>0.98861480000000002</v>
      </c>
      <c r="Y123">
        <v>2.320438E-2</v>
      </c>
      <c r="Z123">
        <v>-3.1925069999999998E-3</v>
      </c>
      <c r="AA123">
        <v>0.99972559999999999</v>
      </c>
      <c r="AB123">
        <v>15</v>
      </c>
      <c r="AC123">
        <v>0.73120000000000096</v>
      </c>
      <c r="AD123">
        <v>-7.0745000000000002E-2</v>
      </c>
      <c r="AE123">
        <v>-6.9999999999481501E-4</v>
      </c>
      <c r="AF123">
        <v>2.0164003787199101E-2</v>
      </c>
      <c r="AG123">
        <v>-7.0745000000000002E-2</v>
      </c>
      <c r="AH123">
        <v>0.72413841851452299</v>
      </c>
      <c r="AI123">
        <v>95.577679300135799</v>
      </c>
      <c r="AJ123">
        <v>88.404981940898594</v>
      </c>
      <c r="AK123">
        <v>0.72786529745719097</v>
      </c>
      <c r="AL123">
        <v>81.460604908506795</v>
      </c>
      <c r="AM123">
        <v>88.590514619412104</v>
      </c>
      <c r="AN123">
        <v>1.0000000149149499</v>
      </c>
    </row>
    <row r="124" spans="1:40" x14ac:dyDescent="0.25">
      <c r="A124" t="str">
        <f>"20190312172057041"</f>
        <v>20190312172057041</v>
      </c>
      <c r="B124" t="str">
        <f>"1552382457031937"</f>
        <v>1552382457031937</v>
      </c>
      <c r="C124" t="s">
        <v>40</v>
      </c>
      <c r="D124">
        <v>3.4155269999999902</v>
      </c>
      <c r="E124">
        <v>0.49399910000000002</v>
      </c>
      <c r="F124" t="s">
        <v>42</v>
      </c>
      <c r="G124">
        <v>-452.91890000000001</v>
      </c>
      <c r="H124" s="1">
        <v>-3.3702739999999999E-6</v>
      </c>
      <c r="I124">
        <v>367.642</v>
      </c>
      <c r="J124">
        <v>-469.27659999999997</v>
      </c>
      <c r="K124">
        <v>1.1096010000000001</v>
      </c>
      <c r="L124">
        <v>367.3623</v>
      </c>
      <c r="M124">
        <v>0.99961440000000001</v>
      </c>
      <c r="N124">
        <v>0</v>
      </c>
      <c r="O124">
        <v>2.7203740000000001E-2</v>
      </c>
      <c r="P124">
        <v>0.98961779999999999</v>
      </c>
      <c r="Q124">
        <v>0.14368739999999999</v>
      </c>
      <c r="R124">
        <v>3.264421E-3</v>
      </c>
      <c r="S124">
        <v>3.0607600000000001</v>
      </c>
      <c r="T124">
        <v>-0.2057446</v>
      </c>
      <c r="U124">
        <v>5.2703859999999998E-2</v>
      </c>
      <c r="V124">
        <v>2.362069E-2</v>
      </c>
      <c r="W124">
        <v>0.1492</v>
      </c>
      <c r="X124">
        <v>0.98852490000000004</v>
      </c>
      <c r="Y124">
        <v>9.9061489999999995E-3</v>
      </c>
      <c r="Z124">
        <v>-2.158741E-3</v>
      </c>
      <c r="AA124">
        <v>0.99994859999999997</v>
      </c>
      <c r="AB124">
        <v>15</v>
      </c>
      <c r="AC124">
        <v>16.357699999999902</v>
      </c>
      <c r="AD124">
        <v>-1.1096043702739999</v>
      </c>
      <c r="AE124">
        <v>0.27969999999999101</v>
      </c>
      <c r="AF124">
        <v>0.16464366136716399</v>
      </c>
      <c r="AG124">
        <v>-1.1096043702739999</v>
      </c>
      <c r="AH124">
        <v>16.284345785050402</v>
      </c>
      <c r="AI124">
        <v>93.897871855650706</v>
      </c>
      <c r="AJ124">
        <v>89.420728003003504</v>
      </c>
      <c r="AK124">
        <v>16.3229362260853</v>
      </c>
      <c r="AL124">
        <v>81.419431992273601</v>
      </c>
      <c r="AM124">
        <v>88.631184344185399</v>
      </c>
      <c r="AN124">
        <v>1.0000000274580401</v>
      </c>
    </row>
    <row r="125" spans="1:40" x14ac:dyDescent="0.25">
      <c r="A125" t="str">
        <f>"20190312172057054"</f>
        <v>20190312172057054</v>
      </c>
      <c r="B125" t="str">
        <f>"1552382457051458"</f>
        <v>1552382457051458</v>
      </c>
      <c r="C125" t="s">
        <v>40</v>
      </c>
      <c r="D125">
        <v>3.3340550000000002</v>
      </c>
      <c r="E125">
        <v>0.49333640000000001</v>
      </c>
      <c r="F125" t="s">
        <v>42</v>
      </c>
      <c r="G125">
        <v>-450.90039999999999</v>
      </c>
      <c r="H125" s="1">
        <v>-4.2133059999999997E-6</v>
      </c>
      <c r="I125">
        <v>367.77109999999999</v>
      </c>
      <c r="J125">
        <v>-469.18579999999997</v>
      </c>
      <c r="K125">
        <v>1.1095969999999999</v>
      </c>
      <c r="L125">
        <v>367.36500000000001</v>
      </c>
      <c r="M125">
        <v>0.99960919999999998</v>
      </c>
      <c r="N125">
        <v>0</v>
      </c>
      <c r="O125">
        <v>2.7393359999999999E-2</v>
      </c>
      <c r="P125">
        <v>0.98954030000000004</v>
      </c>
      <c r="Q125">
        <v>0.1442012</v>
      </c>
      <c r="R125">
        <v>4.0569350000000002E-3</v>
      </c>
      <c r="S125">
        <v>3.0581049999999999</v>
      </c>
      <c r="T125">
        <v>-0.1846566</v>
      </c>
      <c r="U125">
        <v>6.8054199999999995E-2</v>
      </c>
      <c r="V125">
        <v>2.3015009999999999E-2</v>
      </c>
      <c r="W125">
        <v>0.14973979999999901</v>
      </c>
      <c r="X125">
        <v>0.98845760000000005</v>
      </c>
      <c r="Y125">
        <v>5.0880370000000001E-3</v>
      </c>
      <c r="Z125">
        <v>-1.8055759999999999E-3</v>
      </c>
      <c r="AA125">
        <v>0.99998540000000002</v>
      </c>
      <c r="AB125">
        <v>15</v>
      </c>
      <c r="AC125">
        <v>18.2853999999999</v>
      </c>
      <c r="AD125">
        <v>-1.109601213306</v>
      </c>
      <c r="AE125">
        <v>0.40609999999997998</v>
      </c>
      <c r="AF125">
        <v>9.4610505999161806E-2</v>
      </c>
      <c r="AG125">
        <v>-1.109601213306</v>
      </c>
      <c r="AH125">
        <v>18.222593604940801</v>
      </c>
      <c r="AI125">
        <v>93.484477235417202</v>
      </c>
      <c r="AJ125">
        <v>89.702526758715393</v>
      </c>
      <c r="AK125">
        <v>18.256590144143701</v>
      </c>
      <c r="AL125">
        <v>81.388152649771101</v>
      </c>
      <c r="AM125">
        <v>88.666179794848205</v>
      </c>
      <c r="AN125">
        <v>1.0000000626935399</v>
      </c>
    </row>
    <row r="126" spans="1:40" x14ac:dyDescent="0.25">
      <c r="A126" t="str">
        <f>"20190312172057073"</f>
        <v>20190312172057073</v>
      </c>
      <c r="B126" t="str">
        <f>"1552382457061218"</f>
        <v>1552382457061218</v>
      </c>
      <c r="C126" t="s">
        <v>40</v>
      </c>
      <c r="D126">
        <v>3.3117589999999901</v>
      </c>
      <c r="E126">
        <v>0.49303849999999999</v>
      </c>
      <c r="F126" t="s">
        <v>42</v>
      </c>
      <c r="G126">
        <v>-450.02390000000003</v>
      </c>
      <c r="H126" s="1">
        <v>-4.5772799999999997E-6</v>
      </c>
      <c r="I126">
        <v>367.83909999999997</v>
      </c>
      <c r="J126">
        <v>-469.05849999999998</v>
      </c>
      <c r="K126">
        <v>1.109599</v>
      </c>
      <c r="L126">
        <v>367.36880000000002</v>
      </c>
      <c r="M126">
        <v>0.99960179999999998</v>
      </c>
      <c r="N126">
        <v>0</v>
      </c>
      <c r="O126">
        <v>2.7651080000000001E-2</v>
      </c>
      <c r="P126">
        <v>0.98938280000000001</v>
      </c>
      <c r="Q126">
        <v>0.14524670000000001</v>
      </c>
      <c r="R126">
        <v>5.0284350000000004E-3</v>
      </c>
      <c r="S126">
        <v>3.0571899999999999</v>
      </c>
      <c r="T126">
        <v>-0.1770312</v>
      </c>
      <c r="U126">
        <v>7.5653079999999998E-2</v>
      </c>
      <c r="V126">
        <v>2.2296239999999998E-2</v>
      </c>
      <c r="W126">
        <v>0.15081839999999999</v>
      </c>
      <c r="X126">
        <v>0.98831000000000002</v>
      </c>
      <c r="Y126">
        <v>2.8630690000000002E-3</v>
      </c>
      <c r="Z126">
        <v>-1.682142E-3</v>
      </c>
      <c r="AA126">
        <v>0.99999450000000001</v>
      </c>
      <c r="AB126">
        <v>15</v>
      </c>
      <c r="AC126">
        <v>19.034599999999902</v>
      </c>
      <c r="AD126">
        <v>-1.1096035772799999</v>
      </c>
      <c r="AE126">
        <v>0.47029999999995198</v>
      </c>
      <c r="AF126">
        <v>5.6025142544242901E-2</v>
      </c>
      <c r="AG126">
        <v>-1.1096035772799999</v>
      </c>
      <c r="AH126">
        <v>18.975881739496199</v>
      </c>
      <c r="AI126">
        <v>93.346511876904302</v>
      </c>
      <c r="AJ126">
        <v>89.830838169660495</v>
      </c>
      <c r="AK126">
        <v>19.008378329217201</v>
      </c>
      <c r="AL126">
        <v>81.325642858025802</v>
      </c>
      <c r="AM126">
        <v>88.707628384079698</v>
      </c>
      <c r="AN126">
        <v>0.999999984098348</v>
      </c>
    </row>
    <row r="127" spans="1:40" x14ac:dyDescent="0.25">
      <c r="A127" t="str">
        <f>"20190312172057087"</f>
        <v>20190312172057087</v>
      </c>
      <c r="B127" t="str">
        <f>"1552382457081714"</f>
        <v>1552382457081714</v>
      </c>
      <c r="C127" t="s">
        <v>40</v>
      </c>
      <c r="D127">
        <v>3.3077390000000002</v>
      </c>
      <c r="E127">
        <v>0.49262210000000001</v>
      </c>
      <c r="F127" t="s">
        <v>42</v>
      </c>
      <c r="G127">
        <v>-449.4502</v>
      </c>
      <c r="H127" s="1">
        <v>-6.5587429999999999E-7</v>
      </c>
      <c r="I127">
        <v>367.88549999999998</v>
      </c>
      <c r="J127">
        <v>-468.96230000000003</v>
      </c>
      <c r="K127">
        <v>1.1095980000000001</v>
      </c>
      <c r="L127">
        <v>367.3716</v>
      </c>
      <c r="M127">
        <v>0.99959659999999995</v>
      </c>
      <c r="N127">
        <v>0</v>
      </c>
      <c r="O127">
        <v>2.7838870000000002E-2</v>
      </c>
      <c r="P127">
        <v>0.98927830000000005</v>
      </c>
      <c r="Q127">
        <v>0.14593490000000001</v>
      </c>
      <c r="R127">
        <v>5.6208179999999996E-3</v>
      </c>
      <c r="S127">
        <v>3.0571899999999999</v>
      </c>
      <c r="T127">
        <v>-0.17300079999999901</v>
      </c>
      <c r="U127">
        <v>8.0566410000000005E-2</v>
      </c>
      <c r="V127">
        <v>2.1888230000000002E-2</v>
      </c>
      <c r="W127">
        <v>0.15152869999999999</v>
      </c>
      <c r="X127">
        <v>0.98821049999999999</v>
      </c>
      <c r="Y127">
        <v>1.4491020000000001E-3</v>
      </c>
      <c r="Z127">
        <v>-1.614508E-3</v>
      </c>
      <c r="AA127">
        <v>0.99999769999999999</v>
      </c>
      <c r="AB127">
        <v>15</v>
      </c>
      <c r="AC127">
        <v>19.5121</v>
      </c>
      <c r="AD127">
        <v>-1.1095986558742901</v>
      </c>
      <c r="AE127">
        <v>0.51389999999997804</v>
      </c>
      <c r="AF127">
        <v>2.9407554679042502E-2</v>
      </c>
      <c r="AG127">
        <v>-1.1095986558742901</v>
      </c>
      <c r="AH127">
        <v>19.455969307696702</v>
      </c>
      <c r="AI127">
        <v>93.264111548939994</v>
      </c>
      <c r="AJ127">
        <v>89.913397916129</v>
      </c>
      <c r="AK127">
        <v>19.487606720257499</v>
      </c>
      <c r="AL127">
        <v>81.284472791423795</v>
      </c>
      <c r="AM127">
        <v>88.731142630916693</v>
      </c>
      <c r="AN127">
        <v>1.0000000169232299</v>
      </c>
    </row>
    <row r="128" spans="1:40" x14ac:dyDescent="0.25">
      <c r="A128" t="str">
        <f>"20190312172057099"</f>
        <v>20190312172057099</v>
      </c>
      <c r="B128" t="str">
        <f>"1552382457091474"</f>
        <v>1552382457091474</v>
      </c>
      <c r="C128" t="s">
        <v>40</v>
      </c>
      <c r="D128">
        <v>3.3755190000000002</v>
      </c>
      <c r="E128">
        <v>0.49230550000000001</v>
      </c>
      <c r="F128" t="s">
        <v>42</v>
      </c>
      <c r="G128">
        <v>-448.916</v>
      </c>
      <c r="H128" s="1">
        <v>-8.4824209999999897E-7</v>
      </c>
      <c r="I128">
        <v>367.93360000000001</v>
      </c>
      <c r="J128">
        <v>-468.87380000000002</v>
      </c>
      <c r="K128">
        <v>1.1095999999999999</v>
      </c>
      <c r="L128">
        <v>367.37430000000001</v>
      </c>
      <c r="M128">
        <v>0.99959169999999997</v>
      </c>
      <c r="N128">
        <v>0</v>
      </c>
      <c r="O128">
        <v>2.8007830000000001E-2</v>
      </c>
      <c r="P128">
        <v>0.98919409999999997</v>
      </c>
      <c r="Q128">
        <v>0.14648729999999999</v>
      </c>
      <c r="R128">
        <v>6.0813050000000004E-3</v>
      </c>
      <c r="S128">
        <v>3.0569760000000001</v>
      </c>
      <c r="T128">
        <v>-0.16920839999999901</v>
      </c>
      <c r="U128">
        <v>8.5693359999999996E-2</v>
      </c>
      <c r="V128">
        <v>2.1593580000000001E-2</v>
      </c>
      <c r="W128">
        <v>0.15210000000000001</v>
      </c>
      <c r="X128">
        <v>0.98812920000000004</v>
      </c>
      <c r="Y128" s="1">
        <v>-5.5527459999999997E-5</v>
      </c>
      <c r="Z128">
        <v>-1.5469730000000001E-3</v>
      </c>
      <c r="AA128">
        <v>0.99999879999999997</v>
      </c>
      <c r="AB128">
        <v>15</v>
      </c>
      <c r="AC128">
        <v>19.957799999999999</v>
      </c>
      <c r="AD128">
        <v>-1.10960084824209</v>
      </c>
      <c r="AE128">
        <v>0.55930000000000701</v>
      </c>
      <c r="AF128" s="1">
        <v>-9.6671204734333202E-5</v>
      </c>
      <c r="AG128">
        <v>-1.10960084824209</v>
      </c>
      <c r="AH128">
        <v>19.904158629934901</v>
      </c>
      <c r="AI128">
        <v>93.190775878614005</v>
      </c>
      <c r="AJ128">
        <v>90.000278276119801</v>
      </c>
      <c r="AK128">
        <v>19.935063200737002</v>
      </c>
      <c r="AL128">
        <v>81.251355743779897</v>
      </c>
      <c r="AM128">
        <v>88.748115015046196</v>
      </c>
      <c r="AN128">
        <v>1.00000000429492</v>
      </c>
    </row>
    <row r="129" spans="1:40" x14ac:dyDescent="0.25">
      <c r="A129" t="str">
        <f>"20190312172057118"</f>
        <v>20190312172057118</v>
      </c>
      <c r="B129" t="str">
        <f>"1552382457111970"</f>
        <v>1552382457111970</v>
      </c>
      <c r="C129" t="s">
        <v>40</v>
      </c>
      <c r="D129">
        <v>3.3262230000000002</v>
      </c>
      <c r="E129">
        <v>0.49215609999999999</v>
      </c>
      <c r="F129" t="s">
        <v>42</v>
      </c>
      <c r="G129">
        <v>-448.45870000000002</v>
      </c>
      <c r="H129" s="1">
        <v>-1.0137379999999999E-6</v>
      </c>
      <c r="I129">
        <v>367.97149999999999</v>
      </c>
      <c r="J129">
        <v>-468.74630000000002</v>
      </c>
      <c r="K129">
        <v>1.109548</v>
      </c>
      <c r="L129">
        <v>367.37810000000002</v>
      </c>
      <c r="M129">
        <v>0.99957680000000004</v>
      </c>
      <c r="N129">
        <v>0</v>
      </c>
      <c r="O129">
        <v>2.855568E-2</v>
      </c>
      <c r="P129">
        <v>0.98896600000000001</v>
      </c>
      <c r="Q129">
        <v>0.14796409999999999</v>
      </c>
      <c r="R129">
        <v>7.2883499999999999E-3</v>
      </c>
      <c r="S129">
        <v>3.0568240000000002</v>
      </c>
      <c r="T129">
        <v>-0.1661444</v>
      </c>
      <c r="U129">
        <v>8.9416499999999996E-2</v>
      </c>
      <c r="V129">
        <v>2.093074E-2</v>
      </c>
      <c r="W129">
        <v>0.15346889999999999</v>
      </c>
      <c r="X129">
        <v>0.98793180000000003</v>
      </c>
      <c r="Y129">
        <v>-7.2413179999999998E-4</v>
      </c>
      <c r="Z129">
        <v>-1.5306250000000001E-3</v>
      </c>
      <c r="AA129">
        <v>0.99999859999999896</v>
      </c>
      <c r="AB129">
        <v>15</v>
      </c>
      <c r="AC129">
        <v>20.287600000000001</v>
      </c>
      <c r="AD129">
        <v>-1.109549013738</v>
      </c>
      <c r="AE129">
        <v>0.59339999999997395</v>
      </c>
      <c r="AF129">
        <v>-1.37816851562024E-2</v>
      </c>
      <c r="AG129">
        <v>-1.109549013738</v>
      </c>
      <c r="AH129">
        <v>20.2357960835486</v>
      </c>
      <c r="AI129">
        <v>93.138441721855699</v>
      </c>
      <c r="AJ129">
        <v>90.039021557080403</v>
      </c>
      <c r="AK129">
        <v>20.266196783898401</v>
      </c>
      <c r="AL129">
        <v>81.171991917467096</v>
      </c>
      <c r="AM129">
        <v>88.786289013211103</v>
      </c>
      <c r="AN129">
        <v>1.00000002029769</v>
      </c>
    </row>
    <row r="130" spans="1:40" x14ac:dyDescent="0.25">
      <c r="A130" t="str">
        <f>"20190312172057130"</f>
        <v>20190312172057130</v>
      </c>
      <c r="B130" t="str">
        <f>"1552382457121730"</f>
        <v>1552382457121730</v>
      </c>
      <c r="C130" t="s">
        <v>40</v>
      </c>
      <c r="D130">
        <v>3.3288899999999999</v>
      </c>
      <c r="E130">
        <v>0.49211899999999997</v>
      </c>
      <c r="F130" t="s">
        <v>42</v>
      </c>
      <c r="G130">
        <v>-447.9264</v>
      </c>
      <c r="H130" s="1">
        <v>-1.2440019999999999E-6</v>
      </c>
      <c r="I130">
        <v>368.01909999999998</v>
      </c>
      <c r="J130">
        <v>-468.6585</v>
      </c>
      <c r="K130">
        <v>1.1095539999999999</v>
      </c>
      <c r="L130">
        <v>367.38069999999999</v>
      </c>
      <c r="M130">
        <v>0.99957019999999996</v>
      </c>
      <c r="N130">
        <v>0</v>
      </c>
      <c r="O130">
        <v>2.879044E-2</v>
      </c>
      <c r="P130">
        <v>0.98886030000000003</v>
      </c>
      <c r="Q130">
        <v>0.148647</v>
      </c>
      <c r="R130">
        <v>7.7009790000000002E-3</v>
      </c>
      <c r="S130">
        <v>3.0571290000000002</v>
      </c>
      <c r="T130">
        <v>-0.1629225</v>
      </c>
      <c r="U130">
        <v>9.4116210000000006E-2</v>
      </c>
      <c r="V130">
        <v>2.0734510000000001E-2</v>
      </c>
      <c r="W130">
        <v>0.1541352</v>
      </c>
      <c r="X130">
        <v>0.98783220000000005</v>
      </c>
      <c r="Y130">
        <v>-2.019177E-3</v>
      </c>
      <c r="Z130">
        <v>-1.478811E-3</v>
      </c>
      <c r="AA130">
        <v>0.99999680000000002</v>
      </c>
      <c r="AB130">
        <v>16</v>
      </c>
      <c r="AC130">
        <v>20.732099999999999</v>
      </c>
      <c r="AD130">
        <v>-1.109555244002</v>
      </c>
      <c r="AE130">
        <v>0.63839999999998998</v>
      </c>
      <c r="AF130">
        <v>-4.1122290963830799E-2</v>
      </c>
      <c r="AG130">
        <v>-1.109555244002</v>
      </c>
      <c r="AH130">
        <v>20.6827013878925</v>
      </c>
      <c r="AI130">
        <v>93.070770337732299</v>
      </c>
      <c r="AJ130">
        <v>90.113917933990393</v>
      </c>
      <c r="AK130">
        <v>20.712482723783602</v>
      </c>
      <c r="AL130">
        <v>81.133356013143697</v>
      </c>
      <c r="AM130">
        <v>88.797543255677098</v>
      </c>
      <c r="AN130">
        <v>1.00000001757041</v>
      </c>
    </row>
    <row r="131" spans="1:40" x14ac:dyDescent="0.25">
      <c r="A131" t="str">
        <f>"20190312172057142"</f>
        <v>20190312172057142</v>
      </c>
      <c r="B131" t="str">
        <f>"1552382457131490"</f>
        <v>1552382457131490</v>
      </c>
      <c r="C131" t="s">
        <v>40</v>
      </c>
      <c r="D131">
        <v>3.3102619999999998</v>
      </c>
      <c r="E131">
        <v>0.49204969999999998</v>
      </c>
      <c r="F131" t="s">
        <v>42</v>
      </c>
      <c r="G131">
        <v>-447.66090000000003</v>
      </c>
      <c r="H131" s="1">
        <v>-1.366416E-6</v>
      </c>
      <c r="I131">
        <v>368.03649999999999</v>
      </c>
      <c r="J131">
        <v>-468.57580000000002</v>
      </c>
      <c r="K131">
        <v>1.109578</v>
      </c>
      <c r="L131">
        <v>367.38319999999999</v>
      </c>
      <c r="M131">
        <v>0.9995657</v>
      </c>
      <c r="N131">
        <v>0</v>
      </c>
      <c r="O131">
        <v>2.8943859999999998E-2</v>
      </c>
      <c r="P131">
        <v>0.98878189999999999</v>
      </c>
      <c r="Q131">
        <v>0.14915129999999999</v>
      </c>
      <c r="R131">
        <v>8.0208280000000007E-3</v>
      </c>
      <c r="S131">
        <v>3.0573429999999999</v>
      </c>
      <c r="T131">
        <v>-0.16155600000000001</v>
      </c>
      <c r="U131">
        <v>9.5489500000000005E-2</v>
      </c>
      <c r="V131">
        <v>2.054568E-2</v>
      </c>
      <c r="W131">
        <v>0.15464720000000001</v>
      </c>
      <c r="X131">
        <v>0.98775610000000003</v>
      </c>
      <c r="Y131">
        <v>-2.311455E-3</v>
      </c>
      <c r="Z131">
        <v>-1.4666900000000001E-3</v>
      </c>
      <c r="AA131">
        <v>0.9999962</v>
      </c>
      <c r="AB131">
        <v>16</v>
      </c>
      <c r="AC131">
        <v>20.9148999999999</v>
      </c>
      <c r="AD131">
        <v>-1.1095793664160001</v>
      </c>
      <c r="AE131">
        <v>0.65330000000000099</v>
      </c>
      <c r="AF131">
        <v>-4.75254338651937E-2</v>
      </c>
      <c r="AG131">
        <v>-1.1095793664160001</v>
      </c>
      <c r="AH131">
        <v>20.8663748170985</v>
      </c>
      <c r="AI131">
        <v>93.043855525460003</v>
      </c>
      <c r="AJ131">
        <v>90.130497132125399</v>
      </c>
      <c r="AK131">
        <v>20.895909241879899</v>
      </c>
      <c r="AL131">
        <v>81.103664385579904</v>
      </c>
      <c r="AM131">
        <v>88.8083991338668</v>
      </c>
      <c r="AN131">
        <v>0.99999999726085598</v>
      </c>
    </row>
    <row r="132" spans="1:40" x14ac:dyDescent="0.25">
      <c r="A132" t="str">
        <f>"20190312172057153"</f>
        <v>20190312172057153</v>
      </c>
      <c r="B132" t="str">
        <f>"1552382457151986"</f>
        <v>1552382457151986</v>
      </c>
      <c r="C132" t="s">
        <v>40</v>
      </c>
      <c r="D132">
        <v>3.3306870000000002</v>
      </c>
      <c r="E132">
        <v>0.49205670000000001</v>
      </c>
      <c r="F132" t="s">
        <v>42</v>
      </c>
      <c r="G132">
        <v>-447.5206</v>
      </c>
      <c r="H132" s="1">
        <v>-1.43051899999999E-6</v>
      </c>
      <c r="I132">
        <v>368.04899999999998</v>
      </c>
      <c r="J132">
        <v>-468.49270000000001</v>
      </c>
      <c r="K132">
        <v>1.10964</v>
      </c>
      <c r="L132">
        <v>367.38569999999999</v>
      </c>
      <c r="M132">
        <v>0.99956560000000005</v>
      </c>
      <c r="N132">
        <v>0</v>
      </c>
      <c r="O132">
        <v>2.893126E-2</v>
      </c>
      <c r="P132">
        <v>0.98867179999999999</v>
      </c>
      <c r="Q132">
        <v>0.1498681</v>
      </c>
      <c r="R132">
        <v>8.2304739999999998E-3</v>
      </c>
      <c r="S132">
        <v>3.0575559999999999</v>
      </c>
      <c r="T132">
        <v>-0.16112889999999999</v>
      </c>
      <c r="U132">
        <v>9.6679689999999999E-2</v>
      </c>
      <c r="V132">
        <v>2.0290430000000002E-2</v>
      </c>
      <c r="W132">
        <v>0.15542500000000001</v>
      </c>
      <c r="X132">
        <v>0.9876393</v>
      </c>
      <c r="Y132">
        <v>-2.7099680000000001E-3</v>
      </c>
      <c r="Z132">
        <v>-1.4515520000000001E-3</v>
      </c>
      <c r="AA132">
        <v>0.99999530000000003</v>
      </c>
      <c r="AB132">
        <v>16</v>
      </c>
      <c r="AC132">
        <v>20.972100000000001</v>
      </c>
      <c r="AD132">
        <v>-1.1096414305190001</v>
      </c>
      <c r="AE132">
        <v>0.66330000000004896</v>
      </c>
      <c r="AF132">
        <v>-5.6106559702592602E-2</v>
      </c>
      <c r="AG132">
        <v>-1.1096414305190001</v>
      </c>
      <c r="AH132">
        <v>20.923992963920998</v>
      </c>
      <c r="AI132">
        <v>93.035655832085894</v>
      </c>
      <c r="AJ132">
        <v>90.153635177323906</v>
      </c>
      <c r="AK132">
        <v>20.953470681597899</v>
      </c>
      <c r="AL132">
        <v>81.058554402680599</v>
      </c>
      <c r="AM132">
        <v>88.823059709730799</v>
      </c>
      <c r="AN132">
        <v>1.0000000095395301</v>
      </c>
    </row>
    <row r="133" spans="1:40" x14ac:dyDescent="0.25">
      <c r="A133" t="str">
        <f>"20190312172057165"</f>
        <v>20190312172057165</v>
      </c>
      <c r="B133" t="str">
        <f>"1552382457161745"</f>
        <v>1552382457161745</v>
      </c>
      <c r="C133" t="s">
        <v>40</v>
      </c>
      <c r="D133">
        <v>3.3150309999999998</v>
      </c>
      <c r="E133">
        <v>0.4920175</v>
      </c>
      <c r="F133" t="s">
        <v>42</v>
      </c>
      <c r="G133">
        <v>-447.25060000000002</v>
      </c>
      <c r="H133" s="1">
        <v>-1.555883E-6</v>
      </c>
      <c r="I133">
        <v>368.06169999999997</v>
      </c>
      <c r="J133">
        <v>-468.41140000000001</v>
      </c>
      <c r="K133">
        <v>1.109688</v>
      </c>
      <c r="L133">
        <v>367.38819999999998</v>
      </c>
      <c r="M133">
        <v>0.99956710000000004</v>
      </c>
      <c r="N133">
        <v>0</v>
      </c>
      <c r="O133">
        <v>2.8876490000000001E-2</v>
      </c>
      <c r="P133">
        <v>0.98856619999999995</v>
      </c>
      <c r="Q133">
        <v>0.15055270000000001</v>
      </c>
      <c r="R133">
        <v>8.4564250000000001E-3</v>
      </c>
      <c r="S133">
        <v>3.0577700000000001</v>
      </c>
      <c r="T133">
        <v>-0.1597316</v>
      </c>
      <c r="U133">
        <v>9.732056E-2</v>
      </c>
      <c r="V133">
        <v>1.9983219999999999E-2</v>
      </c>
      <c r="W133">
        <v>0.15616259999999901</v>
      </c>
      <c r="X133">
        <v>0.9875292</v>
      </c>
      <c r="Y133">
        <v>-2.9708619999999999E-3</v>
      </c>
      <c r="Z133">
        <v>-1.4292109999999999E-3</v>
      </c>
      <c r="AA133">
        <v>0.99999459999999996</v>
      </c>
      <c r="AB133">
        <v>16</v>
      </c>
      <c r="AC133">
        <v>21.160799999999899</v>
      </c>
      <c r="AD133">
        <v>-1.109689555883</v>
      </c>
      <c r="AE133">
        <v>0.67349999999999</v>
      </c>
      <c r="AF133">
        <v>-6.1989498377684998E-2</v>
      </c>
      <c r="AG133">
        <v>-1.109689555883</v>
      </c>
      <c r="AH133">
        <v>21.113420052781802</v>
      </c>
      <c r="AI133">
        <v>93.008598638856796</v>
      </c>
      <c r="AJ133">
        <v>90.168221274277101</v>
      </c>
      <c r="AK133">
        <v>21.1426526229221</v>
      </c>
      <c r="AL133">
        <v>81.015770575910196</v>
      </c>
      <c r="AM133">
        <v>88.840745238269704</v>
      </c>
      <c r="AN133">
        <v>1.00000000378648</v>
      </c>
    </row>
    <row r="134" spans="1:40" x14ac:dyDescent="0.25">
      <c r="A134" t="str">
        <f>"20190312172057185"</f>
        <v>20190312172057185</v>
      </c>
      <c r="B134" t="str">
        <f>"1552382457181267"</f>
        <v>1552382457181267</v>
      </c>
      <c r="C134" t="s">
        <v>40</v>
      </c>
      <c r="D134">
        <v>3.349936</v>
      </c>
      <c r="E134">
        <v>0.49207430000000002</v>
      </c>
      <c r="F134" t="s">
        <v>42</v>
      </c>
      <c r="G134">
        <v>-446.96809999999999</v>
      </c>
      <c r="H134" s="1">
        <v>-1.6865080000000001E-6</v>
      </c>
      <c r="I134">
        <v>368.07810000000001</v>
      </c>
      <c r="J134">
        <v>-468.27530000000002</v>
      </c>
      <c r="K134">
        <v>1.1097159999999999</v>
      </c>
      <c r="L134">
        <v>367.39240000000001</v>
      </c>
      <c r="M134">
        <v>0.99957010000000002</v>
      </c>
      <c r="N134">
        <v>0</v>
      </c>
      <c r="O134">
        <v>2.8755470000000002E-2</v>
      </c>
      <c r="P134">
        <v>0.98835519999999999</v>
      </c>
      <c r="Q134">
        <v>0.15190879999999901</v>
      </c>
      <c r="R134">
        <v>8.811859E-3</v>
      </c>
      <c r="S134">
        <v>3.058014</v>
      </c>
      <c r="T134">
        <v>-0.15825239999999999</v>
      </c>
      <c r="U134">
        <v>9.8388669999999998E-2</v>
      </c>
      <c r="V134">
        <v>1.9478970000000002E-2</v>
      </c>
      <c r="W134">
        <v>0.15757119999999999</v>
      </c>
      <c r="X134">
        <v>0.98731550000000001</v>
      </c>
      <c r="Y134">
        <v>-3.4368620000000002E-3</v>
      </c>
      <c r="Z134">
        <v>-1.397571E-3</v>
      </c>
      <c r="AA134">
        <v>0.99999309999999997</v>
      </c>
      <c r="AB134">
        <v>16</v>
      </c>
      <c r="AC134">
        <v>21.307200000000002</v>
      </c>
      <c r="AD134">
        <v>-1.1097176865079901</v>
      </c>
      <c r="AE134">
        <v>0.68569999999999698</v>
      </c>
      <c r="AF134">
        <v>-7.2511372613792299E-2</v>
      </c>
      <c r="AG134">
        <v>-1.1097176865079901</v>
      </c>
      <c r="AH134">
        <v>21.260496854526298</v>
      </c>
      <c r="AI134">
        <v>92.987894577380004</v>
      </c>
      <c r="AJ134">
        <v>90.195413095792105</v>
      </c>
      <c r="AK134">
        <v>21.289562178312401</v>
      </c>
      <c r="AL134">
        <v>80.934052048681195</v>
      </c>
      <c r="AM134">
        <v>88.869745286305005</v>
      </c>
      <c r="AN134">
        <v>1.0000000049409701</v>
      </c>
    </row>
    <row r="135" spans="1:40" x14ac:dyDescent="0.25">
      <c r="A135" t="str">
        <f>"20190312172057196"</f>
        <v>20190312172057196</v>
      </c>
      <c r="B135" t="str">
        <f>"1552382457191026"</f>
        <v>1552382457191026</v>
      </c>
      <c r="C135" t="s">
        <v>40</v>
      </c>
      <c r="D135">
        <v>3.3191130000000002</v>
      </c>
      <c r="E135">
        <v>0.49208420000000003</v>
      </c>
      <c r="F135" t="s">
        <v>42</v>
      </c>
      <c r="G135">
        <v>-446.4092</v>
      </c>
      <c r="H135" s="1">
        <v>-1.946918E-6</v>
      </c>
      <c r="I135">
        <v>368.09949999999998</v>
      </c>
      <c r="J135">
        <v>-468.18819999999999</v>
      </c>
      <c r="K135">
        <v>1.109677</v>
      </c>
      <c r="L135">
        <v>367.39510000000001</v>
      </c>
      <c r="M135">
        <v>0.99957039999999997</v>
      </c>
      <c r="N135">
        <v>0</v>
      </c>
      <c r="O135">
        <v>2.8748340000000001E-2</v>
      </c>
      <c r="P135">
        <v>0.98821400000000004</v>
      </c>
      <c r="Q135">
        <v>0.15281900000000001</v>
      </c>
      <c r="R135">
        <v>8.9218509999999997E-3</v>
      </c>
      <c r="S135">
        <v>3.058319</v>
      </c>
      <c r="T135">
        <v>-0.15521170000000001</v>
      </c>
      <c r="U135">
        <v>9.8907469999999997E-2</v>
      </c>
      <c r="V135">
        <v>1.935798E-2</v>
      </c>
      <c r="W135">
        <v>0.15846950000000001</v>
      </c>
      <c r="X135">
        <v>0.98717410000000005</v>
      </c>
      <c r="Y135">
        <v>-3.6087319999999999E-3</v>
      </c>
      <c r="Z135">
        <v>-1.3658920000000001E-3</v>
      </c>
      <c r="AA135">
        <v>0.99999249999999995</v>
      </c>
      <c r="AB135">
        <v>16</v>
      </c>
      <c r="AC135">
        <v>21.779</v>
      </c>
      <c r="AD135">
        <v>-1.109678946918</v>
      </c>
      <c r="AE135">
        <v>0.70439999999996405</v>
      </c>
      <c r="AF135">
        <v>-7.7786831947961196E-2</v>
      </c>
      <c r="AG135">
        <v>-1.109678946918</v>
      </c>
      <c r="AH135">
        <v>21.733884654000398</v>
      </c>
      <c r="AI135">
        <v>92.922825491656198</v>
      </c>
      <c r="AJ135">
        <v>90.205064037706094</v>
      </c>
      <c r="AK135">
        <v>21.762333981212802</v>
      </c>
      <c r="AL135">
        <v>80.881928393897098</v>
      </c>
      <c r="AM135">
        <v>88.876603001166202</v>
      </c>
      <c r="AN135">
        <v>1.00000000876537</v>
      </c>
    </row>
    <row r="136" spans="1:40" x14ac:dyDescent="0.25">
      <c r="A136" t="str">
        <f>"20190312172057210"</f>
        <v>20190312172057210</v>
      </c>
      <c r="B136" t="str">
        <f>"1552382457201762"</f>
        <v>1552382457201762</v>
      </c>
      <c r="C136" t="s">
        <v>40</v>
      </c>
      <c r="D136">
        <v>3.3321749999999999</v>
      </c>
      <c r="E136">
        <v>0.49208190000000002</v>
      </c>
      <c r="F136" t="s">
        <v>42</v>
      </c>
      <c r="G136">
        <v>-446.0138</v>
      </c>
      <c r="H136" s="1">
        <v>-2.1315030000000001E-6</v>
      </c>
      <c r="I136">
        <v>368.11259999999999</v>
      </c>
      <c r="J136">
        <v>-468.09140000000002</v>
      </c>
      <c r="K136">
        <v>1.109607</v>
      </c>
      <c r="L136">
        <v>367.3981</v>
      </c>
      <c r="M136">
        <v>0.99956670000000003</v>
      </c>
      <c r="N136">
        <v>0</v>
      </c>
      <c r="O136">
        <v>2.8890280000000001E-2</v>
      </c>
      <c r="P136">
        <v>0.98808090000000004</v>
      </c>
      <c r="Q136">
        <v>0.15364749999999999</v>
      </c>
      <c r="R136">
        <v>9.4311180000000005E-3</v>
      </c>
      <c r="S136">
        <v>3.0585629999999999</v>
      </c>
      <c r="T136">
        <v>-0.15306049999999999</v>
      </c>
      <c r="U136">
        <v>9.8968509999999996E-2</v>
      </c>
      <c r="V136">
        <v>1.8998299999999999E-2</v>
      </c>
      <c r="W136">
        <v>0.159252</v>
      </c>
      <c r="X136">
        <v>0.98705509999999996</v>
      </c>
      <c r="Y136">
        <v>-3.4835399999999998E-3</v>
      </c>
      <c r="Z136">
        <v>-1.3571E-3</v>
      </c>
      <c r="AA136">
        <v>0.99999300000000002</v>
      </c>
      <c r="AB136">
        <v>16</v>
      </c>
      <c r="AC136">
        <v>22.0776</v>
      </c>
      <c r="AD136">
        <v>-1.1096091315029999</v>
      </c>
      <c r="AE136">
        <v>0.71449999999998604</v>
      </c>
      <c r="AF136">
        <v>-7.6171365363189303E-2</v>
      </c>
      <c r="AG136">
        <v>-1.1096091315029999</v>
      </c>
      <c r="AH136">
        <v>22.033428112855098</v>
      </c>
      <c r="AI136">
        <v>92.882977463480699</v>
      </c>
      <c r="AJ136">
        <v>90.198075412791795</v>
      </c>
      <c r="AK136">
        <v>22.061482019709601</v>
      </c>
      <c r="AL136">
        <v>80.836517257630007</v>
      </c>
      <c r="AM136">
        <v>88.897338134285107</v>
      </c>
      <c r="AN136">
        <v>0.99999995267144803</v>
      </c>
    </row>
    <row r="137" spans="1:40" x14ac:dyDescent="0.25">
      <c r="A137" t="str">
        <f>"20190312172057224"</f>
        <v>20190312172057224</v>
      </c>
      <c r="B137" t="str">
        <f>"1552382457221282"</f>
        <v>1552382457221282</v>
      </c>
      <c r="C137" t="s">
        <v>40</v>
      </c>
      <c r="D137">
        <v>3.3366210000000001</v>
      </c>
      <c r="E137">
        <v>0.49213869999999998</v>
      </c>
      <c r="F137" t="s">
        <v>42</v>
      </c>
      <c r="G137">
        <v>-445.66969999999998</v>
      </c>
      <c r="H137" s="1">
        <v>-2.2904410000000002E-6</v>
      </c>
      <c r="I137">
        <v>368.13369999999998</v>
      </c>
      <c r="J137">
        <v>-467.9941</v>
      </c>
      <c r="K137">
        <v>1.109534</v>
      </c>
      <c r="L137">
        <v>367.40109999999999</v>
      </c>
      <c r="M137">
        <v>0.99956049999999996</v>
      </c>
      <c r="N137">
        <v>0</v>
      </c>
      <c r="O137">
        <v>2.9109240000000002E-2</v>
      </c>
      <c r="P137">
        <v>0.98792089999999999</v>
      </c>
      <c r="Q137">
        <v>0.15465139999999999</v>
      </c>
      <c r="R137">
        <v>9.7808240000000005E-3</v>
      </c>
      <c r="S137">
        <v>3.0587770000000001</v>
      </c>
      <c r="T137">
        <v>-0.15137339999999999</v>
      </c>
      <c r="U137">
        <v>0.10034179999999999</v>
      </c>
      <c r="V137">
        <v>1.8877140000000001E-2</v>
      </c>
      <c r="W137">
        <v>0.16020519999999999</v>
      </c>
      <c r="X137">
        <v>0.98690319999999998</v>
      </c>
      <c r="Y137">
        <v>-3.710011E-3</v>
      </c>
      <c r="Z137">
        <v>-1.347275E-3</v>
      </c>
      <c r="AA137">
        <v>0.9999922</v>
      </c>
      <c r="AB137">
        <v>16</v>
      </c>
      <c r="AC137">
        <v>22.324400000000001</v>
      </c>
      <c r="AD137">
        <v>-1.109536290441</v>
      </c>
      <c r="AE137">
        <v>0.73259999999999004</v>
      </c>
      <c r="AF137">
        <v>-8.2230099259230693E-2</v>
      </c>
      <c r="AG137">
        <v>-1.109536290441</v>
      </c>
      <c r="AH137">
        <v>22.281286270291801</v>
      </c>
      <c r="AI137">
        <v>92.850771063424105</v>
      </c>
      <c r="AJ137">
        <v>90.211451717346606</v>
      </c>
      <c r="AK137">
        <v>22.3090463809577</v>
      </c>
      <c r="AL137">
        <v>80.781192941590504</v>
      </c>
      <c r="AM137">
        <v>88.904199950563793</v>
      </c>
      <c r="AN137">
        <v>0.99999998934592904</v>
      </c>
    </row>
    <row r="138" spans="1:40" x14ac:dyDescent="0.25">
      <c r="A138" t="str">
        <f>"20190312172057242"</f>
        <v>20190312172057242</v>
      </c>
      <c r="B138" t="str">
        <f>"1552382457232017"</f>
        <v>1552382457232017</v>
      </c>
      <c r="C138" t="s">
        <v>40</v>
      </c>
      <c r="D138">
        <v>3.322781</v>
      </c>
      <c r="E138">
        <v>0.49217899999999998</v>
      </c>
      <c r="F138" t="s">
        <v>42</v>
      </c>
      <c r="G138">
        <v>-445.34449999999998</v>
      </c>
      <c r="H138" s="1">
        <v>-2.4413089999999999E-6</v>
      </c>
      <c r="I138">
        <v>368.1497</v>
      </c>
      <c r="J138">
        <v>-467.86290000000002</v>
      </c>
      <c r="K138">
        <v>1.109461</v>
      </c>
      <c r="L138">
        <v>367.40519999999998</v>
      </c>
      <c r="M138">
        <v>0.99954900000000002</v>
      </c>
      <c r="N138">
        <v>0</v>
      </c>
      <c r="O138">
        <v>2.9514120000000001E-2</v>
      </c>
      <c r="P138">
        <v>0.98770250000000004</v>
      </c>
      <c r="Q138">
        <v>0.15597739999999999</v>
      </c>
      <c r="R138">
        <v>1.072328E-2</v>
      </c>
      <c r="S138">
        <v>3.0591430000000002</v>
      </c>
      <c r="T138">
        <v>-0.1498582</v>
      </c>
      <c r="U138">
        <v>0.10110470000000001</v>
      </c>
      <c r="V138">
        <v>1.8351490000000002E-2</v>
      </c>
      <c r="W138">
        <v>0.1614806</v>
      </c>
      <c r="X138">
        <v>0.98670519999999995</v>
      </c>
      <c r="Y138">
        <v>-3.5502099999999998E-3</v>
      </c>
      <c r="Z138">
        <v>-1.3573560000000001E-3</v>
      </c>
      <c r="AA138">
        <v>0.99999280000000002</v>
      </c>
      <c r="AB138">
        <v>16</v>
      </c>
      <c r="AC138">
        <v>22.5184</v>
      </c>
      <c r="AD138">
        <v>-1.1094634413089901</v>
      </c>
      <c r="AE138">
        <v>0.74450000000001604</v>
      </c>
      <c r="AF138">
        <v>-7.9362254558018402E-2</v>
      </c>
      <c r="AG138">
        <v>-1.1094634413089901</v>
      </c>
      <c r="AH138">
        <v>22.476063433398199</v>
      </c>
      <c r="AI138">
        <v>92.825922929630295</v>
      </c>
      <c r="AJ138">
        <v>90.202308707438704</v>
      </c>
      <c r="AK138">
        <v>22.503569382593302</v>
      </c>
      <c r="AL138">
        <v>80.707153603865706</v>
      </c>
      <c r="AM138">
        <v>88.934492580521706</v>
      </c>
      <c r="AN138">
        <v>0.99999995653430895</v>
      </c>
    </row>
    <row r="139" spans="1:40" x14ac:dyDescent="0.25">
      <c r="A139" t="str">
        <f>"20190312172057263"</f>
        <v>20190312172057263</v>
      </c>
      <c r="B139" t="str">
        <f>"1552382457251540"</f>
        <v>1552382457251540</v>
      </c>
      <c r="C139" t="s">
        <v>40</v>
      </c>
      <c r="D139">
        <v>3.3172039999999998</v>
      </c>
      <c r="E139">
        <v>0.49227660000000001</v>
      </c>
      <c r="F139" t="s">
        <v>42</v>
      </c>
      <c r="G139">
        <v>-444.726</v>
      </c>
      <c r="H139" s="1">
        <v>-2.7272989999999999E-6</v>
      </c>
      <c r="I139">
        <v>368.1857</v>
      </c>
      <c r="J139">
        <v>-467.7124</v>
      </c>
      <c r="K139">
        <v>1.1094349999999999</v>
      </c>
      <c r="L139">
        <v>367.40969999999999</v>
      </c>
      <c r="M139">
        <v>0.99953590000000003</v>
      </c>
      <c r="N139">
        <v>0</v>
      </c>
      <c r="O139">
        <v>2.9954789999999999E-2</v>
      </c>
      <c r="P139">
        <v>0.98740329999999998</v>
      </c>
      <c r="Q139">
        <v>0.15780379999999899</v>
      </c>
      <c r="R139">
        <v>1.153523E-2</v>
      </c>
      <c r="S139">
        <v>3.0593569999999999</v>
      </c>
      <c r="T139">
        <v>-0.14670259999999999</v>
      </c>
      <c r="U139">
        <v>0.10321039999999999</v>
      </c>
      <c r="V139">
        <v>1.7978859999999999E-2</v>
      </c>
      <c r="W139">
        <v>0.16330610000000001</v>
      </c>
      <c r="X139">
        <v>0.98641160000000006</v>
      </c>
      <c r="Y139">
        <v>-3.7934760000000001E-3</v>
      </c>
      <c r="Z139">
        <v>-1.3439680000000001E-3</v>
      </c>
      <c r="AA139">
        <v>0.99999190000000004</v>
      </c>
      <c r="AB139">
        <v>16</v>
      </c>
      <c r="AC139">
        <v>22.9864</v>
      </c>
      <c r="AD139">
        <v>-1.1094377272989999</v>
      </c>
      <c r="AE139">
        <v>0.77600000000001002</v>
      </c>
      <c r="AF139">
        <v>-8.6886238497145205E-2</v>
      </c>
      <c r="AG139">
        <v>-1.1094377272989999</v>
      </c>
      <c r="AH139">
        <v>22.9459380514858</v>
      </c>
      <c r="AI139">
        <v>92.768079498048607</v>
      </c>
      <c r="AJ139">
        <v>90.2169530380515</v>
      </c>
      <c r="AK139">
        <v>22.972907398756</v>
      </c>
      <c r="AL139">
        <v>80.601153350146205</v>
      </c>
      <c r="AM139">
        <v>88.955812410178495</v>
      </c>
      <c r="AN139">
        <v>0.99999998315933403</v>
      </c>
    </row>
    <row r="140" spans="1:40" x14ac:dyDescent="0.25">
      <c r="A140" t="str">
        <f>"20190312172057274"</f>
        <v>20190312172057274</v>
      </c>
      <c r="B140" t="str">
        <f>"1552382457272034"</f>
        <v>1552382457272034</v>
      </c>
      <c r="C140" t="s">
        <v>40</v>
      </c>
      <c r="D140">
        <v>3.3229299999999999</v>
      </c>
      <c r="E140">
        <v>0.49238209999999999</v>
      </c>
      <c r="F140" t="s">
        <v>42</v>
      </c>
      <c r="G140">
        <v>-443.87670000000003</v>
      </c>
      <c r="H140" s="1">
        <v>-3.1216619999999999E-6</v>
      </c>
      <c r="I140">
        <v>368.22590000000002</v>
      </c>
      <c r="J140">
        <v>-467.62189999999998</v>
      </c>
      <c r="K140">
        <v>1.1094489999999999</v>
      </c>
      <c r="L140">
        <v>367.4126</v>
      </c>
      <c r="M140">
        <v>0.99952969999999997</v>
      </c>
      <c r="N140">
        <v>0</v>
      </c>
      <c r="O140">
        <v>3.015495E-2</v>
      </c>
      <c r="P140">
        <v>0.98724020000000001</v>
      </c>
      <c r="Q140">
        <v>0.15878010000000001</v>
      </c>
      <c r="R140">
        <v>1.209379E-2</v>
      </c>
      <c r="S140">
        <v>3.0598139999999998</v>
      </c>
      <c r="T140">
        <v>-0.14241960000000001</v>
      </c>
      <c r="U140">
        <v>0.10476679999999999</v>
      </c>
      <c r="V140">
        <v>1.7612880000000001E-2</v>
      </c>
      <c r="W140">
        <v>0.164301</v>
      </c>
      <c r="X140">
        <v>0.98625300000000005</v>
      </c>
      <c r="Y140">
        <v>-4.0944010000000001E-3</v>
      </c>
      <c r="Z140">
        <v>-1.306871E-3</v>
      </c>
      <c r="AA140">
        <v>0.99999079999999996</v>
      </c>
      <c r="AB140">
        <v>16</v>
      </c>
      <c r="AC140">
        <v>23.745199999999901</v>
      </c>
      <c r="AD140">
        <v>-1.1094521216619999</v>
      </c>
      <c r="AE140">
        <v>0.813300000000026</v>
      </c>
      <c r="AF140">
        <v>-9.6672895440670203E-2</v>
      </c>
      <c r="AG140">
        <v>-1.1094521216619999</v>
      </c>
      <c r="AH140">
        <v>23.7072329626683</v>
      </c>
      <c r="AI140">
        <v>92.679353289456799</v>
      </c>
      <c r="AJ140">
        <v>90.233638325062898</v>
      </c>
      <c r="AK140">
        <v>23.733375748198998</v>
      </c>
      <c r="AL140">
        <v>80.543369503609497</v>
      </c>
      <c r="AM140">
        <v>88.976899000237793</v>
      </c>
      <c r="AN140">
        <v>1.00000000607594</v>
      </c>
    </row>
    <row r="141" spans="1:40" x14ac:dyDescent="0.25">
      <c r="A141" t="str">
        <f>"20190312172057287"</f>
        <v>20190312172057287</v>
      </c>
      <c r="B141" t="str">
        <f>"1552382457281794"</f>
        <v>1552382457281794</v>
      </c>
      <c r="C141" t="s">
        <v>40</v>
      </c>
      <c r="D141">
        <v>3.378898</v>
      </c>
      <c r="E141">
        <v>0.49235000000000001</v>
      </c>
      <c r="F141" t="s">
        <v>42</v>
      </c>
      <c r="G141">
        <v>-443.6379</v>
      </c>
      <c r="H141" s="1">
        <v>-3.2323029999999998E-6</v>
      </c>
      <c r="I141">
        <v>368.23840000000001</v>
      </c>
      <c r="J141">
        <v>-467.52800000000002</v>
      </c>
      <c r="K141">
        <v>1.1094729999999999</v>
      </c>
      <c r="L141">
        <v>367.41559999999998</v>
      </c>
      <c r="M141">
        <v>0.99952479999999999</v>
      </c>
      <c r="N141">
        <v>0</v>
      </c>
      <c r="O141">
        <v>3.0311999999999999E-2</v>
      </c>
      <c r="P141">
        <v>0.98708340000000006</v>
      </c>
      <c r="Q141">
        <v>0.15972239999999999</v>
      </c>
      <c r="R141">
        <v>1.246763E-2</v>
      </c>
      <c r="S141">
        <v>3.0602719999999999</v>
      </c>
      <c r="T141">
        <v>-0.14156170000000001</v>
      </c>
      <c r="U141">
        <v>0.1053772</v>
      </c>
      <c r="V141">
        <v>1.7385970000000001E-2</v>
      </c>
      <c r="W141">
        <v>0.1652652</v>
      </c>
      <c r="X141">
        <v>0.98609590000000003</v>
      </c>
      <c r="Y141">
        <v>-4.1311500000000001E-3</v>
      </c>
      <c r="Z141">
        <v>-1.3052140000000001E-3</v>
      </c>
      <c r="AA141">
        <v>0.99999059999999995</v>
      </c>
      <c r="AB141">
        <v>16</v>
      </c>
      <c r="AC141">
        <v>23.8901</v>
      </c>
      <c r="AD141">
        <v>-1.1094762323030001</v>
      </c>
      <c r="AE141">
        <v>0.82280000000002895</v>
      </c>
      <c r="AF141">
        <v>-9.8042631668631697E-2</v>
      </c>
      <c r="AG141">
        <v>-1.1094762323030001</v>
      </c>
      <c r="AH141">
        <v>23.852679571209599</v>
      </c>
      <c r="AI141">
        <v>92.663096409812098</v>
      </c>
      <c r="AJ141">
        <v>90.235503829044504</v>
      </c>
      <c r="AK141">
        <v>23.878669824646298</v>
      </c>
      <c r="AL141">
        <v>80.487359097654206</v>
      </c>
      <c r="AM141">
        <v>88.989916189753302</v>
      </c>
      <c r="AN141">
        <v>0.99999999114034499</v>
      </c>
    </row>
    <row r="142" spans="1:40" x14ac:dyDescent="0.25">
      <c r="A142" t="str">
        <f>"20190312172057299"</f>
        <v>20190312172057299</v>
      </c>
      <c r="B142" t="str">
        <f>"1552382457291554"</f>
        <v>1552382457291554</v>
      </c>
      <c r="C142" t="s">
        <v>40</v>
      </c>
      <c r="D142">
        <v>3.3156810000000001</v>
      </c>
      <c r="E142">
        <v>0.4924441</v>
      </c>
      <c r="F142" t="s">
        <v>42</v>
      </c>
      <c r="G142">
        <v>-443.00740000000002</v>
      </c>
      <c r="H142" s="1">
        <v>-3.5242449999999998E-6</v>
      </c>
      <c r="I142">
        <v>368.27289999999999</v>
      </c>
      <c r="J142">
        <v>-467.4409</v>
      </c>
      <c r="K142">
        <v>1.109502</v>
      </c>
      <c r="L142">
        <v>367.41829999999999</v>
      </c>
      <c r="M142">
        <v>0.99952110000000005</v>
      </c>
      <c r="N142">
        <v>0</v>
      </c>
      <c r="O142">
        <v>3.0430570000000001E-2</v>
      </c>
      <c r="P142">
        <v>0.9869483</v>
      </c>
      <c r="Q142">
        <v>0.16051089999999901</v>
      </c>
      <c r="R142">
        <v>1.3017280000000001E-2</v>
      </c>
      <c r="S142">
        <v>3.0602719999999999</v>
      </c>
      <c r="T142">
        <v>-0.13846739999999999</v>
      </c>
      <c r="U142">
        <v>0.1069946</v>
      </c>
      <c r="V142">
        <v>1.6944569999999999E-2</v>
      </c>
      <c r="W142">
        <v>0.166074</v>
      </c>
      <c r="X142">
        <v>0.9859677</v>
      </c>
      <c r="Y142">
        <v>-4.5389050000000002E-3</v>
      </c>
      <c r="Z142">
        <v>-1.272839E-3</v>
      </c>
      <c r="AA142">
        <v>0.99998889999999996</v>
      </c>
      <c r="AB142">
        <v>16</v>
      </c>
      <c r="AC142">
        <v>24.433499999999899</v>
      </c>
      <c r="AD142">
        <v>-1.109505524245</v>
      </c>
      <c r="AE142">
        <v>0.85460000000000402</v>
      </c>
      <c r="AF142">
        <v>-0.110439697975733</v>
      </c>
      <c r="AG142">
        <v>-1.109505524245</v>
      </c>
      <c r="AH142">
        <v>24.3979434849164</v>
      </c>
      <c r="AI142">
        <v>92.603726301274804</v>
      </c>
      <c r="AJ142">
        <v>90.259353226658803</v>
      </c>
      <c r="AK142">
        <v>24.4234077419265</v>
      </c>
      <c r="AL142">
        <v>80.440368999737601</v>
      </c>
      <c r="AM142">
        <v>89.015427398423995</v>
      </c>
      <c r="AN142">
        <v>0.99999999868588696</v>
      </c>
    </row>
    <row r="143" spans="1:40" x14ac:dyDescent="0.25">
      <c r="A143" t="str">
        <f>"20190312172057312"</f>
        <v>20190312172057312</v>
      </c>
      <c r="B143" t="str">
        <f>"1552382457301315"</f>
        <v>1552382457301315</v>
      </c>
      <c r="C143" t="s">
        <v>40</v>
      </c>
      <c r="D143">
        <v>3.3006570000000002</v>
      </c>
      <c r="E143">
        <v>0.49252059999999998</v>
      </c>
      <c r="F143" t="s">
        <v>42</v>
      </c>
      <c r="G143">
        <v>-442.67149999999998</v>
      </c>
      <c r="H143" s="1">
        <v>-3.6797250000000002E-6</v>
      </c>
      <c r="I143">
        <v>368.29140000000001</v>
      </c>
      <c r="J143">
        <v>-467.35309999999998</v>
      </c>
      <c r="K143">
        <v>1.1095269999999999</v>
      </c>
      <c r="L143">
        <v>367.4212</v>
      </c>
      <c r="M143">
        <v>0.99951829999999997</v>
      </c>
      <c r="N143">
        <v>0</v>
      </c>
      <c r="O143">
        <v>3.0517389999999998E-2</v>
      </c>
      <c r="P143">
        <v>0.9867747</v>
      </c>
      <c r="Q143">
        <v>0.1615318</v>
      </c>
      <c r="R143">
        <v>1.353704E-2</v>
      </c>
      <c r="S143">
        <v>3.0605470000000001</v>
      </c>
      <c r="T143">
        <v>-0.13709250000000001</v>
      </c>
      <c r="U143">
        <v>0.10787960000000001</v>
      </c>
      <c r="V143">
        <v>1.6500480000000001E-2</v>
      </c>
      <c r="W143">
        <v>0.16710739999999999</v>
      </c>
      <c r="X143">
        <v>0.98580060000000003</v>
      </c>
      <c r="Y143">
        <v>-4.7370750000000003E-3</v>
      </c>
      <c r="Z143">
        <v>-1.2595410000000001E-3</v>
      </c>
      <c r="AA143">
        <v>0.99998799999999999</v>
      </c>
      <c r="AB143">
        <v>16</v>
      </c>
      <c r="AC143">
        <v>24.6816</v>
      </c>
      <c r="AD143">
        <v>-1.109530679725</v>
      </c>
      <c r="AE143">
        <v>0.87020000000001096</v>
      </c>
      <c r="AF143">
        <v>-0.11632987609303599</v>
      </c>
      <c r="AG143">
        <v>-1.109530679725</v>
      </c>
      <c r="AH143">
        <v>24.6469148443284</v>
      </c>
      <c r="AI143">
        <v>92.577516411396402</v>
      </c>
      <c r="AJ143">
        <v>90.270425790832405</v>
      </c>
      <c r="AK143">
        <v>24.6721503382437</v>
      </c>
      <c r="AL143">
        <v>80.380320304010496</v>
      </c>
      <c r="AM143">
        <v>89.041064097053507</v>
      </c>
      <c r="AN143">
        <v>0.99999998596767503</v>
      </c>
    </row>
    <row r="144" spans="1:40" x14ac:dyDescent="0.25">
      <c r="A144" t="str">
        <f>"20190312172057323"</f>
        <v>20190312172057323</v>
      </c>
      <c r="B144" t="str">
        <f>"1552382457321810"</f>
        <v>1552382457321810</v>
      </c>
      <c r="C144" t="s">
        <v>40</v>
      </c>
      <c r="D144">
        <v>3.309088</v>
      </c>
      <c r="E144">
        <v>0.49267319999999998</v>
      </c>
      <c r="F144" t="s">
        <v>42</v>
      </c>
      <c r="G144">
        <v>-442.16370000000001</v>
      </c>
      <c r="H144" s="1">
        <v>-3.9154980000000004E-6</v>
      </c>
      <c r="I144">
        <v>368.31549999999999</v>
      </c>
      <c r="J144">
        <v>-467.26350000000002</v>
      </c>
      <c r="K144">
        <v>1.10955</v>
      </c>
      <c r="L144">
        <v>367.42410000000001</v>
      </c>
      <c r="M144">
        <v>0.9995155</v>
      </c>
      <c r="N144">
        <v>0</v>
      </c>
      <c r="O144">
        <v>3.0609549999999999E-2</v>
      </c>
      <c r="P144">
        <v>0.98665700000000001</v>
      </c>
      <c r="Q144">
        <v>0.16220190000000001</v>
      </c>
      <c r="R144">
        <v>1.4097459999999999E-2</v>
      </c>
      <c r="S144">
        <v>3.0608219999999999</v>
      </c>
      <c r="T144">
        <v>-0.13482169999999999</v>
      </c>
      <c r="U144">
        <v>0.10867309999999999</v>
      </c>
      <c r="V144">
        <v>1.6024070000000001E-2</v>
      </c>
      <c r="W144">
        <v>0.1677891</v>
      </c>
      <c r="X144">
        <v>0.98569269999999998</v>
      </c>
      <c r="Y144">
        <v>-4.8996899999999999E-3</v>
      </c>
      <c r="Z144">
        <v>-1.2390560000000001E-3</v>
      </c>
      <c r="AA144">
        <v>0.99998719999999996</v>
      </c>
      <c r="AB144">
        <v>16</v>
      </c>
      <c r="AC144">
        <v>25.099799999999998</v>
      </c>
      <c r="AD144">
        <v>-1.1095539154979901</v>
      </c>
      <c r="AE144">
        <v>0.89139999999997599</v>
      </c>
      <c r="AF144">
        <v>-0.122437526429595</v>
      </c>
      <c r="AG144">
        <v>-1.1095539154979901</v>
      </c>
      <c r="AH144">
        <v>25.066402469435101</v>
      </c>
      <c r="AI144">
        <v>92.534489260584607</v>
      </c>
      <c r="AJ144">
        <v>90.279860571822894</v>
      </c>
      <c r="AK144">
        <v>25.091246154764299</v>
      </c>
      <c r="AL144">
        <v>80.340702788313706</v>
      </c>
      <c r="AM144">
        <v>89.068644096427093</v>
      </c>
      <c r="AN144">
        <v>1.00000002586573</v>
      </c>
    </row>
    <row r="145" spans="1:40" x14ac:dyDescent="0.25">
      <c r="A145" t="str">
        <f>"20190312172057342"</f>
        <v>20190312172057342</v>
      </c>
      <c r="B145" t="str">
        <f>"1552382457331572"</f>
        <v>1552382457331572</v>
      </c>
      <c r="C145" t="s">
        <v>40</v>
      </c>
      <c r="D145">
        <v>3.313275</v>
      </c>
      <c r="E145">
        <v>0.49276130000000001</v>
      </c>
      <c r="F145" t="s">
        <v>42</v>
      </c>
      <c r="G145">
        <v>-441.98480000000001</v>
      </c>
      <c r="H145" s="1">
        <v>-3.9982439999999996E-6</v>
      </c>
      <c r="I145">
        <v>368.32580000000002</v>
      </c>
      <c r="J145">
        <v>-467.1293</v>
      </c>
      <c r="K145">
        <v>1.1095759999999999</v>
      </c>
      <c r="L145">
        <v>367.42849999999999</v>
      </c>
      <c r="M145">
        <v>0.99951069999999997</v>
      </c>
      <c r="N145">
        <v>0</v>
      </c>
      <c r="O145">
        <v>3.0764730000000001E-2</v>
      </c>
      <c r="P145">
        <v>0.98643630000000004</v>
      </c>
      <c r="Q145">
        <v>0.16347</v>
      </c>
      <c r="R145">
        <v>1.487746E-2</v>
      </c>
      <c r="S145">
        <v>3.0610659999999998</v>
      </c>
      <c r="T145">
        <v>-0.13435849999999999</v>
      </c>
      <c r="U145">
        <v>0.109191899999999</v>
      </c>
      <c r="V145">
        <v>1.538984E-2</v>
      </c>
      <c r="W145">
        <v>0.1690671</v>
      </c>
      <c r="X145">
        <v>0.98548440000000004</v>
      </c>
      <c r="Y145">
        <v>-4.9108340000000002E-3</v>
      </c>
      <c r="Z145">
        <v>-1.2412580000000001E-3</v>
      </c>
      <c r="AA145">
        <v>0.99998719999999996</v>
      </c>
      <c r="AB145">
        <v>17</v>
      </c>
      <c r="AC145">
        <v>25.144499999999901</v>
      </c>
      <c r="AD145">
        <v>-1.109579998244</v>
      </c>
      <c r="AE145">
        <v>0.89730000000002896</v>
      </c>
      <c r="AF145">
        <v>-0.12305983503038</v>
      </c>
      <c r="AG145">
        <v>-1.109579998244</v>
      </c>
      <c r="AH145">
        <v>25.111366208848899</v>
      </c>
      <c r="AI145">
        <v>92.530016171169194</v>
      </c>
      <c r="AJ145">
        <v>90.280779336099897</v>
      </c>
      <c r="AK145">
        <v>25.136169643969598</v>
      </c>
      <c r="AL145">
        <v>80.266417448477497</v>
      </c>
      <c r="AM145">
        <v>89.105311855928605</v>
      </c>
      <c r="AN145">
        <v>1.0000000170604899</v>
      </c>
    </row>
    <row r="146" spans="1:40" x14ac:dyDescent="0.25">
      <c r="A146" t="str">
        <f>"20190312172057354"</f>
        <v>20190312172057354</v>
      </c>
      <c r="B146" t="str">
        <f>"1552382457341331"</f>
        <v>1552382457341331</v>
      </c>
      <c r="C146" t="s">
        <v>40</v>
      </c>
      <c r="D146">
        <v>3.293526</v>
      </c>
      <c r="E146">
        <v>0.49285430000000002</v>
      </c>
      <c r="F146" t="s">
        <v>42</v>
      </c>
      <c r="G146">
        <v>-441.23880000000003</v>
      </c>
      <c r="H146" s="1">
        <v>-4.3437049999999999E-6</v>
      </c>
      <c r="I146">
        <v>368.36619999999999</v>
      </c>
      <c r="J146">
        <v>-467.03789999999998</v>
      </c>
      <c r="K146">
        <v>1.10958</v>
      </c>
      <c r="L146">
        <v>367.43150000000003</v>
      </c>
      <c r="M146">
        <v>0.99950640000000002</v>
      </c>
      <c r="N146">
        <v>0</v>
      </c>
      <c r="O146">
        <v>3.0898229999999999E-2</v>
      </c>
      <c r="P146">
        <v>0.98629080000000002</v>
      </c>
      <c r="Q146">
        <v>0.1643075</v>
      </c>
      <c r="R146">
        <v>1.527975E-2</v>
      </c>
      <c r="S146">
        <v>3.0612789999999999</v>
      </c>
      <c r="T146">
        <v>-0.13119620000000001</v>
      </c>
      <c r="U146">
        <v>0.11087039999999999</v>
      </c>
      <c r="V146">
        <v>1.511852E-2</v>
      </c>
      <c r="W146">
        <v>0.1699116</v>
      </c>
      <c r="X146">
        <v>0.98534330000000003</v>
      </c>
      <c r="Y146">
        <v>-5.3209449999999997E-3</v>
      </c>
      <c r="Z146">
        <v>-1.2089030000000001E-3</v>
      </c>
      <c r="AA146">
        <v>0.99998509999999996</v>
      </c>
      <c r="AB146">
        <v>17</v>
      </c>
      <c r="AC146">
        <v>25.7990999999999</v>
      </c>
      <c r="AD146">
        <v>-1.1095843437049999</v>
      </c>
      <c r="AE146">
        <v>0.934699999999964</v>
      </c>
      <c r="AF146">
        <v>-0.13684152762142801</v>
      </c>
      <c r="AG146">
        <v>-1.1095843437049999</v>
      </c>
      <c r="AH146">
        <v>25.7680606726409</v>
      </c>
      <c r="AI146">
        <v>92.465624257433205</v>
      </c>
      <c r="AJ146">
        <v>90.304266913664193</v>
      </c>
      <c r="AK146">
        <v>25.7923022207864</v>
      </c>
      <c r="AL146">
        <v>80.217320369670006</v>
      </c>
      <c r="AM146">
        <v>89.120956703797304</v>
      </c>
      <c r="AN146">
        <v>0.99999997015821895</v>
      </c>
    </row>
    <row r="147" spans="1:40" x14ac:dyDescent="0.25">
      <c r="A147" t="str">
        <f>"20190312172057365"</f>
        <v>20190312172057365</v>
      </c>
      <c r="B147" t="str">
        <f>"1552382457361826"</f>
        <v>1552382457361826</v>
      </c>
      <c r="C147" t="s">
        <v>40</v>
      </c>
      <c r="D147">
        <v>3.2800310000000001</v>
      </c>
      <c r="E147">
        <v>0.49305359999999998</v>
      </c>
      <c r="F147" t="s">
        <v>42</v>
      </c>
      <c r="G147">
        <v>-440.82100000000003</v>
      </c>
      <c r="H147" s="1">
        <v>-4.5378659999999997E-6</v>
      </c>
      <c r="I147">
        <v>368.38510000000002</v>
      </c>
      <c r="J147">
        <v>-466.94900000000001</v>
      </c>
      <c r="K147">
        <v>1.1095809999999999</v>
      </c>
      <c r="L147">
        <v>367.43439999999998</v>
      </c>
      <c r="M147">
        <v>0.99950209999999995</v>
      </c>
      <c r="N147">
        <v>0</v>
      </c>
      <c r="O147">
        <v>3.1038860000000001E-2</v>
      </c>
      <c r="P147">
        <v>0.98620459999999999</v>
      </c>
      <c r="Q147">
        <v>0.1647941</v>
      </c>
      <c r="R147">
        <v>1.560926E-2</v>
      </c>
      <c r="S147">
        <v>3.0615540000000001</v>
      </c>
      <c r="T147">
        <v>-0.12957479999999999</v>
      </c>
      <c r="U147">
        <v>0.1113586</v>
      </c>
      <c r="V147">
        <v>1.492957E-2</v>
      </c>
      <c r="W147">
        <v>0.17040640000000001</v>
      </c>
      <c r="X147">
        <v>0.98526080000000005</v>
      </c>
      <c r="Y147">
        <v>-5.335813E-3</v>
      </c>
      <c r="Z147">
        <v>-1.199494E-3</v>
      </c>
      <c r="AA147">
        <v>0.99998500000000001</v>
      </c>
      <c r="AB147">
        <v>17</v>
      </c>
      <c r="AC147">
        <v>26.128</v>
      </c>
      <c r="AD147">
        <v>-1.109585537866</v>
      </c>
      <c r="AE147">
        <v>0.95070000000003996</v>
      </c>
      <c r="AF147">
        <v>-0.138995207744463</v>
      </c>
      <c r="AG147">
        <v>-1.109585537866</v>
      </c>
      <c r="AH147">
        <v>26.097915072614398</v>
      </c>
      <c r="AI147">
        <v>92.434501114939394</v>
      </c>
      <c r="AJ147">
        <v>90.305149413522898</v>
      </c>
      <c r="AK147">
        <v>26.121861933464999</v>
      </c>
      <c r="AL147">
        <v>80.188551538419603</v>
      </c>
      <c r="AM147">
        <v>89.1318685466982</v>
      </c>
      <c r="AN147">
        <v>1.00000003861899</v>
      </c>
    </row>
    <row r="148" spans="1:40" x14ac:dyDescent="0.25">
      <c r="A148" t="str">
        <f>"20190312172057377"</f>
        <v>20190312172057377</v>
      </c>
      <c r="B148" t="str">
        <f>"1552382457371587"</f>
        <v>1552382457371587</v>
      </c>
      <c r="C148" t="s">
        <v>40</v>
      </c>
      <c r="D148">
        <v>3.3127300000000002</v>
      </c>
      <c r="E148">
        <v>0.49315389999999998</v>
      </c>
      <c r="F148" t="s">
        <v>42</v>
      </c>
      <c r="G148">
        <v>-440.76389999999998</v>
      </c>
      <c r="H148" s="1">
        <v>-4.5653059999999999E-6</v>
      </c>
      <c r="I148">
        <v>368.38260000000002</v>
      </c>
      <c r="J148">
        <v>-466.858</v>
      </c>
      <c r="K148">
        <v>1.1095790000000001</v>
      </c>
      <c r="L148">
        <v>367.4375</v>
      </c>
      <c r="M148">
        <v>0.99949719999999997</v>
      </c>
      <c r="N148">
        <v>0</v>
      </c>
      <c r="O148">
        <v>3.1195190000000001E-2</v>
      </c>
      <c r="P148">
        <v>0.98609880000000005</v>
      </c>
      <c r="Q148">
        <v>0.1653886</v>
      </c>
      <c r="R148">
        <v>1.600422E-2</v>
      </c>
      <c r="S148">
        <v>3.06189</v>
      </c>
      <c r="T148">
        <v>-0.12974630000000001</v>
      </c>
      <c r="U148">
        <v>0.11087039999999999</v>
      </c>
      <c r="V148">
        <v>1.469171E-2</v>
      </c>
      <c r="W148">
        <v>0.1710101</v>
      </c>
      <c r="X148">
        <v>0.98515980000000003</v>
      </c>
      <c r="Y148">
        <v>-5.0166439999999998E-3</v>
      </c>
      <c r="Z148">
        <v>-1.2143259999999999E-3</v>
      </c>
      <c r="AA148">
        <v>0.99998670000000001</v>
      </c>
      <c r="AB148">
        <v>17</v>
      </c>
      <c r="AC148">
        <v>26.094100000000001</v>
      </c>
      <c r="AD148">
        <v>-1.109583565306</v>
      </c>
      <c r="AE148">
        <v>0.94510000000002403</v>
      </c>
      <c r="AF148">
        <v>-0.130381059595892</v>
      </c>
      <c r="AG148">
        <v>-1.109583565306</v>
      </c>
      <c r="AH148">
        <v>26.0638172936311</v>
      </c>
      <c r="AI148">
        <v>92.437681931358597</v>
      </c>
      <c r="AJ148">
        <v>90.286612741659098</v>
      </c>
      <c r="AK148">
        <v>26.087750896251698</v>
      </c>
      <c r="AL148">
        <v>80.153447069537194</v>
      </c>
      <c r="AM148">
        <v>89.145610100802699</v>
      </c>
      <c r="AN148">
        <v>1.0000000660903801</v>
      </c>
    </row>
    <row r="149" spans="1:40" x14ac:dyDescent="0.25">
      <c r="A149" t="str">
        <f>"20190312172057397"</f>
        <v>20190312172057397</v>
      </c>
      <c r="B149" t="str">
        <f>"1552382457391106"</f>
        <v>1552382457391106</v>
      </c>
      <c r="C149" t="s">
        <v>40</v>
      </c>
      <c r="D149">
        <v>3.2815699999999999</v>
      </c>
      <c r="E149">
        <v>0.49333120000000003</v>
      </c>
      <c r="F149" t="s">
        <v>42</v>
      </c>
      <c r="G149">
        <v>-440.45800000000003</v>
      </c>
      <c r="H149" s="1">
        <v>-4.7078419999999999E-6</v>
      </c>
      <c r="I149">
        <v>368.39409999999998</v>
      </c>
      <c r="J149">
        <v>-466.70830000000001</v>
      </c>
      <c r="K149">
        <v>1.109575</v>
      </c>
      <c r="L149">
        <v>367.44240000000002</v>
      </c>
      <c r="M149">
        <v>0.99948879999999996</v>
      </c>
      <c r="N149">
        <v>0</v>
      </c>
      <c r="O149">
        <v>3.1459319999999999E-2</v>
      </c>
      <c r="P149">
        <v>0.98592449999999998</v>
      </c>
      <c r="Q149">
        <v>0.16636600000000001</v>
      </c>
      <c r="R149">
        <v>1.659977E-2</v>
      </c>
      <c r="S149">
        <v>3.062103</v>
      </c>
      <c r="T149">
        <v>-0.12869939999999999</v>
      </c>
      <c r="U149">
        <v>0.1109619</v>
      </c>
      <c r="V149">
        <v>1.4361830000000001E-2</v>
      </c>
      <c r="W149">
        <v>0.17200509999999999</v>
      </c>
      <c r="X149">
        <v>0.98499139999999996</v>
      </c>
      <c r="Y149">
        <v>-4.7797839999999996E-3</v>
      </c>
      <c r="Z149">
        <v>-1.2205110000000001E-3</v>
      </c>
      <c r="AA149">
        <v>0.99998779999999998</v>
      </c>
      <c r="AB149">
        <v>17</v>
      </c>
      <c r="AC149">
        <v>26.2502999999999</v>
      </c>
      <c r="AD149">
        <v>-1.109579707842</v>
      </c>
      <c r="AE149">
        <v>0.95169999999995902</v>
      </c>
      <c r="AF149">
        <v>-0.12517558177086999</v>
      </c>
      <c r="AG149">
        <v>-1.109579707842</v>
      </c>
      <c r="AH149">
        <v>26.220460610393101</v>
      </c>
      <c r="AI149">
        <v>92.423130705822203</v>
      </c>
      <c r="AJ149">
        <v>90.273526012969199</v>
      </c>
      <c r="AK149">
        <v>26.244225853995001</v>
      </c>
      <c r="AL149">
        <v>80.0955800594555</v>
      </c>
      <c r="AM149">
        <v>89.164648605602295</v>
      </c>
      <c r="AN149">
        <v>1.0000000373304501</v>
      </c>
    </row>
    <row r="150" spans="1:40" x14ac:dyDescent="0.25">
      <c r="A150" t="str">
        <f>"20190312172057409"</f>
        <v>20190312172057409</v>
      </c>
      <c r="B150" t="str">
        <f>"1552382457401842"</f>
        <v>1552382457401842</v>
      </c>
      <c r="C150" t="s">
        <v>40</v>
      </c>
      <c r="D150">
        <v>3.2931710000000001</v>
      </c>
      <c r="E150">
        <v>0.49341190000000001</v>
      </c>
      <c r="F150" t="s">
        <v>42</v>
      </c>
      <c r="G150">
        <v>-440.05369999999999</v>
      </c>
      <c r="H150" s="1">
        <v>-4.8957749999999997E-6</v>
      </c>
      <c r="I150">
        <v>368.41199999999998</v>
      </c>
      <c r="J150">
        <v>-466.61529999999999</v>
      </c>
      <c r="K150">
        <v>1.1095729999999999</v>
      </c>
      <c r="L150">
        <v>367.44560000000001</v>
      </c>
      <c r="M150">
        <v>0.99948380000000003</v>
      </c>
      <c r="N150">
        <v>0</v>
      </c>
      <c r="O150">
        <v>3.1615959999999999E-2</v>
      </c>
      <c r="P150">
        <v>0.98590710000000004</v>
      </c>
      <c r="Q150">
        <v>0.1664408</v>
      </c>
      <c r="R150">
        <v>1.687489E-2</v>
      </c>
      <c r="S150">
        <v>3.0624389999999999</v>
      </c>
      <c r="T150">
        <v>-0.12748370000000001</v>
      </c>
      <c r="U150">
        <v>0.11138919999999999</v>
      </c>
      <c r="V150">
        <v>1.424622E-2</v>
      </c>
      <c r="W150">
        <v>0.1720911</v>
      </c>
      <c r="X150">
        <v>0.98497800000000002</v>
      </c>
      <c r="Y150">
        <v>-4.758122E-3</v>
      </c>
      <c r="Z150">
        <v>-1.215818E-3</v>
      </c>
      <c r="AA150">
        <v>0.99998799999999999</v>
      </c>
      <c r="AB150">
        <v>17</v>
      </c>
      <c r="AC150">
        <v>26.561599999999999</v>
      </c>
      <c r="AD150">
        <v>-1.109577895775</v>
      </c>
      <c r="AE150">
        <v>0.96639999999996395</v>
      </c>
      <c r="AF150">
        <v>-0.125913280814657</v>
      </c>
      <c r="AG150">
        <v>-1.109577895775</v>
      </c>
      <c r="AH150">
        <v>26.5326358475658</v>
      </c>
      <c r="AI150">
        <v>92.394650661081698</v>
      </c>
      <c r="AJ150">
        <v>90.271900819067795</v>
      </c>
      <c r="AK150">
        <v>26.5561251367855</v>
      </c>
      <c r="AL150">
        <v>80.090577471171997</v>
      </c>
      <c r="AM150">
        <v>89.171360812658705</v>
      </c>
      <c r="AN150">
        <v>0.99999998098374898</v>
      </c>
    </row>
    <row r="151" spans="1:40" x14ac:dyDescent="0.25">
      <c r="A151" t="str">
        <f>"20190312172057424"</f>
        <v>20190312172057424</v>
      </c>
      <c r="B151" t="str">
        <f>"1552382457411602"</f>
        <v>1552382457411602</v>
      </c>
      <c r="C151" t="s">
        <v>40</v>
      </c>
      <c r="D151">
        <v>3.295248</v>
      </c>
      <c r="E151">
        <v>0.49348409999999898</v>
      </c>
      <c r="F151" t="s">
        <v>42</v>
      </c>
      <c r="G151">
        <v>-440.11689999999999</v>
      </c>
      <c r="H151" s="1">
        <v>-4.8661300000000003E-6</v>
      </c>
      <c r="I151">
        <v>368.41059999999999</v>
      </c>
      <c r="J151">
        <v>-466.51229999999998</v>
      </c>
      <c r="K151">
        <v>1.109575</v>
      </c>
      <c r="L151">
        <v>367.44900000000001</v>
      </c>
      <c r="M151">
        <v>0.99947830000000004</v>
      </c>
      <c r="N151">
        <v>0</v>
      </c>
      <c r="O151">
        <v>3.1784109999999997E-2</v>
      </c>
      <c r="P151">
        <v>0.98589689999999996</v>
      </c>
      <c r="Q151">
        <v>0.16645660000000001</v>
      </c>
      <c r="R151">
        <v>1.7311119999999999E-2</v>
      </c>
      <c r="S151">
        <v>3.0626220000000002</v>
      </c>
      <c r="T151">
        <v>-0.12824279999999999</v>
      </c>
      <c r="U151">
        <v>0.11154169999999999</v>
      </c>
      <c r="V151">
        <v>1.398069E-2</v>
      </c>
      <c r="W151">
        <v>0.17211969999999999</v>
      </c>
      <c r="X151">
        <v>0.98497679999999999</v>
      </c>
      <c r="Y151">
        <v>-4.6379919999999996E-3</v>
      </c>
      <c r="Z151">
        <v>-1.2325210000000001E-3</v>
      </c>
      <c r="AA151">
        <v>0.99998849999999995</v>
      </c>
      <c r="AB151">
        <v>17</v>
      </c>
      <c r="AC151">
        <v>26.395399999999899</v>
      </c>
      <c r="AD151">
        <v>-1.10957986612999</v>
      </c>
      <c r="AE151">
        <v>0.96159999999997503</v>
      </c>
      <c r="AF151">
        <v>-0.121930867182009</v>
      </c>
      <c r="AG151">
        <v>-1.10957986612999</v>
      </c>
      <c r="AH151">
        <v>26.366097861678099</v>
      </c>
      <c r="AI151">
        <v>92.409764021282697</v>
      </c>
      <c r="AJ151">
        <v>90.264964285452706</v>
      </c>
      <c r="AK151">
        <v>26.389716767469899</v>
      </c>
      <c r="AL151">
        <v>80.088913917160497</v>
      </c>
      <c r="AM151">
        <v>89.186802426194504</v>
      </c>
      <c r="AN151">
        <v>0.99999997367960203</v>
      </c>
    </row>
    <row r="152" spans="1:40" x14ac:dyDescent="0.25">
      <c r="A152" t="str">
        <f>"20190312172057443"</f>
        <v>20190312172057443</v>
      </c>
      <c r="B152" t="str">
        <f>"1552382457431122"</f>
        <v>1552382457431122</v>
      </c>
      <c r="C152" t="s">
        <v>40</v>
      </c>
      <c r="D152">
        <v>3.2741929999999999</v>
      </c>
      <c r="E152">
        <v>0.49364580000000002</v>
      </c>
      <c r="F152" t="s">
        <v>42</v>
      </c>
      <c r="G152">
        <v>-440.19560000000001</v>
      </c>
      <c r="H152" s="1">
        <v>-4.8284479999999999E-6</v>
      </c>
      <c r="I152">
        <v>368.4135</v>
      </c>
      <c r="J152">
        <v>-466.35860000000002</v>
      </c>
      <c r="K152">
        <v>1.109583</v>
      </c>
      <c r="L152">
        <v>367.45420000000001</v>
      </c>
      <c r="M152">
        <v>0.99947079999999999</v>
      </c>
      <c r="N152">
        <v>0</v>
      </c>
      <c r="O152">
        <v>3.2017339999999998E-2</v>
      </c>
      <c r="P152">
        <v>0.98598019999999997</v>
      </c>
      <c r="Q152">
        <v>0.165939</v>
      </c>
      <c r="R152">
        <v>1.7531629999999999E-2</v>
      </c>
      <c r="S152">
        <v>3.0627749999999998</v>
      </c>
      <c r="T152">
        <v>-0.12913430000000001</v>
      </c>
      <c r="U152">
        <v>0.1122437</v>
      </c>
      <c r="V152">
        <v>1.3998149999999999E-2</v>
      </c>
      <c r="W152">
        <v>0.17161899999999999</v>
      </c>
      <c r="X152">
        <v>0.98506400000000005</v>
      </c>
      <c r="Y152">
        <v>-4.632242E-3</v>
      </c>
      <c r="Z152">
        <v>-1.2509540000000001E-3</v>
      </c>
      <c r="AA152">
        <v>0.99998849999999995</v>
      </c>
      <c r="AB152">
        <v>17</v>
      </c>
      <c r="AC152">
        <v>26.163</v>
      </c>
      <c r="AD152">
        <v>-1.1095878284479901</v>
      </c>
      <c r="AE152">
        <v>0.95929999999998405</v>
      </c>
      <c r="AF152">
        <v>-0.120907492097688</v>
      </c>
      <c r="AG152">
        <v>-1.1095878284479901</v>
      </c>
      <c r="AH152">
        <v>26.133359049977901</v>
      </c>
      <c r="AI152">
        <v>92.431216694152198</v>
      </c>
      <c r="AJ152">
        <v>90.265080335381995</v>
      </c>
      <c r="AK152">
        <v>26.1571836979012</v>
      </c>
      <c r="AL152">
        <v>80.118036076625899</v>
      </c>
      <c r="AM152">
        <v>89.185859054715394</v>
      </c>
      <c r="AN152">
        <v>1.0000000567302001</v>
      </c>
    </row>
    <row r="153" spans="1:40" x14ac:dyDescent="0.25">
      <c r="A153" t="str">
        <f>"20190312172057465"</f>
        <v>20190312172057465</v>
      </c>
      <c r="B153" t="str">
        <f>"1552382457461379"</f>
        <v>1552382457461379</v>
      </c>
      <c r="C153" t="s">
        <v>40</v>
      </c>
      <c r="D153">
        <v>3.297914</v>
      </c>
      <c r="E153">
        <v>0.49760769999999999</v>
      </c>
      <c r="F153" t="s">
        <v>42</v>
      </c>
      <c r="G153">
        <v>-440.81540000000001</v>
      </c>
      <c r="H153" s="1">
        <v>-4.5406360000000003E-6</v>
      </c>
      <c r="I153">
        <v>368.3843</v>
      </c>
      <c r="J153">
        <v>-466.19349999999997</v>
      </c>
      <c r="K153">
        <v>1.109594</v>
      </c>
      <c r="L153">
        <v>367.45979999999997</v>
      </c>
      <c r="M153">
        <v>0.99946290000000004</v>
      </c>
      <c r="N153">
        <v>0</v>
      </c>
      <c r="O153">
        <v>3.2254940000000003E-2</v>
      </c>
      <c r="P153">
        <v>0.98611000000000004</v>
      </c>
      <c r="Q153">
        <v>0.16515949999999999</v>
      </c>
      <c r="R153">
        <v>1.7591409999999998E-2</v>
      </c>
      <c r="S153">
        <v>3.0630799999999998</v>
      </c>
      <c r="T153">
        <v>-0.13305929999999999</v>
      </c>
      <c r="U153">
        <v>0.11154169999999999</v>
      </c>
      <c r="V153">
        <v>1.417962E-2</v>
      </c>
      <c r="W153">
        <v>0.17085699999999901</v>
      </c>
      <c r="X153">
        <v>0.98519380000000001</v>
      </c>
      <c r="Y153">
        <v>-4.1641730000000002E-3</v>
      </c>
      <c r="Z153">
        <v>-1.309284E-3</v>
      </c>
      <c r="AA153">
        <v>0.9999905</v>
      </c>
      <c r="AB153">
        <v>17</v>
      </c>
      <c r="AC153">
        <v>25.3780999999999</v>
      </c>
      <c r="AD153">
        <v>-1.1095985406360001</v>
      </c>
      <c r="AE153">
        <v>0.92450000000002297</v>
      </c>
      <c r="AF153">
        <v>-0.105235217232879</v>
      </c>
      <c r="AG153">
        <v>-1.1095985406360001</v>
      </c>
      <c r="AH153">
        <v>25.346325203200902</v>
      </c>
      <c r="AI153">
        <v>92.506643435877706</v>
      </c>
      <c r="AJ153">
        <v>90.237884549712007</v>
      </c>
      <c r="AK153">
        <v>25.3708195507899</v>
      </c>
      <c r="AL153">
        <v>80.162349423883398</v>
      </c>
      <c r="AM153">
        <v>89.175414736168904</v>
      </c>
      <c r="AN153">
        <v>0.999999999815392</v>
      </c>
    </row>
    <row r="154" spans="1:40" x14ac:dyDescent="0.25">
      <c r="A154" t="str">
        <f>"20190312172057476"</f>
        <v>20190312172057476</v>
      </c>
      <c r="B154" t="str">
        <f>"1552382457471138"</f>
        <v>1552382457471138</v>
      </c>
      <c r="C154" t="s">
        <v>40</v>
      </c>
      <c r="D154">
        <v>3.2968389999999999</v>
      </c>
      <c r="E154">
        <v>0.49755569999999999</v>
      </c>
      <c r="F154" t="s">
        <v>42</v>
      </c>
      <c r="G154">
        <v>-448.02080000000001</v>
      </c>
      <c r="H154" s="1">
        <v>-1.2141890000000001E-6</v>
      </c>
      <c r="I154">
        <v>367.93540000000002</v>
      </c>
      <c r="J154">
        <v>-466.09949999999998</v>
      </c>
      <c r="K154">
        <v>1.1095980000000001</v>
      </c>
      <c r="L154">
        <v>367.46300000000002</v>
      </c>
      <c r="M154">
        <v>0.99945870000000003</v>
      </c>
      <c r="N154">
        <v>0</v>
      </c>
      <c r="O154">
        <v>3.2388710000000001E-2</v>
      </c>
      <c r="P154">
        <v>0.98611420000000005</v>
      </c>
      <c r="Q154">
        <v>0.1651069</v>
      </c>
      <c r="R154">
        <v>1.7851780000000001E-2</v>
      </c>
      <c r="S154">
        <v>3.072235</v>
      </c>
      <c r="T154">
        <v>-0.1875858</v>
      </c>
      <c r="U154">
        <v>8.0413819999999997E-2</v>
      </c>
      <c r="V154">
        <v>1.405265E-2</v>
      </c>
      <c r="W154">
        <v>0.17081370000000001</v>
      </c>
      <c r="X154">
        <v>0.9852031</v>
      </c>
      <c r="Y154">
        <v>6.1547759999999998E-3</v>
      </c>
      <c r="Z154">
        <v>-2.1626839999999998E-3</v>
      </c>
      <c r="AA154">
        <v>0.9999787</v>
      </c>
      <c r="AB154">
        <v>17</v>
      </c>
      <c r="AC154">
        <v>18.078699999999898</v>
      </c>
      <c r="AD154">
        <v>-1.1095992141890001</v>
      </c>
      <c r="AE154">
        <v>0.47239999999999299</v>
      </c>
      <c r="AF154">
        <v>0.112978068344241</v>
      </c>
      <c r="AG154">
        <v>-1.1095992141890001</v>
      </c>
      <c r="AH154">
        <v>18.0166924155928</v>
      </c>
      <c r="AI154">
        <v>93.524171217617607</v>
      </c>
      <c r="AJ154">
        <v>89.640717535721805</v>
      </c>
      <c r="AK154">
        <v>18.051182234361701</v>
      </c>
      <c r="AL154">
        <v>80.164867075932307</v>
      </c>
      <c r="AM154">
        <v>89.182805110306205</v>
      </c>
      <c r="AN154">
        <v>0.99999997266466001</v>
      </c>
    </row>
    <row r="155" spans="1:40" x14ac:dyDescent="0.25">
      <c r="A155" t="str">
        <f>"20190312172057488"</f>
        <v>20190312172057488</v>
      </c>
      <c r="B155" t="str">
        <f>"1552382457481874"</f>
        <v>1552382457481874</v>
      </c>
      <c r="C155" t="s">
        <v>40</v>
      </c>
      <c r="D155">
        <v>3.2725420000000001</v>
      </c>
      <c r="E155">
        <v>0.49765860000000001</v>
      </c>
      <c r="F155" t="s">
        <v>42</v>
      </c>
      <c r="G155">
        <v>-447.83569999999997</v>
      </c>
      <c r="H155" s="1">
        <v>-1.2996569999999999E-6</v>
      </c>
      <c r="I155">
        <v>367.94709999999998</v>
      </c>
      <c r="J155">
        <v>-466.00420000000003</v>
      </c>
      <c r="K155">
        <v>1.109605</v>
      </c>
      <c r="L155">
        <v>367.46620000000001</v>
      </c>
      <c r="M155">
        <v>0.99945430000000002</v>
      </c>
      <c r="N155">
        <v>0</v>
      </c>
      <c r="O155">
        <v>3.2524989999999997E-2</v>
      </c>
      <c r="P155">
        <v>0.98617290000000002</v>
      </c>
      <c r="Q155">
        <v>0.16474330000000001</v>
      </c>
      <c r="R155">
        <v>1.7975689999999999E-2</v>
      </c>
      <c r="S155">
        <v>3.0720209999999999</v>
      </c>
      <c r="T155">
        <v>-0.1866372</v>
      </c>
      <c r="U155">
        <v>8.1420899999999893E-2</v>
      </c>
      <c r="V155">
        <v>1.406584E-2</v>
      </c>
      <c r="W155">
        <v>0.17046040000000001</v>
      </c>
      <c r="X155">
        <v>0.98526409999999998</v>
      </c>
      <c r="Y155">
        <v>5.9625390000000002E-3</v>
      </c>
      <c r="Z155">
        <v>-2.154338E-3</v>
      </c>
      <c r="AA155">
        <v>0.99997990000000003</v>
      </c>
      <c r="AB155">
        <v>17</v>
      </c>
      <c r="AC155">
        <v>18.168500000000002</v>
      </c>
      <c r="AD155">
        <v>-1.109606299657</v>
      </c>
      <c r="AE155">
        <v>0.48089999999996202</v>
      </c>
      <c r="AF155">
        <v>0.109884965017586</v>
      </c>
      <c r="AG155">
        <v>-1.109606299657</v>
      </c>
      <c r="AH155">
        <v>18.107038119336998</v>
      </c>
      <c r="AI155">
        <v>93.506657925457205</v>
      </c>
      <c r="AJ155">
        <v>89.652297222880406</v>
      </c>
      <c r="AK155">
        <v>18.141337610575999</v>
      </c>
      <c r="AL155">
        <v>80.185410959639697</v>
      </c>
      <c r="AM155">
        <v>89.1820888197676</v>
      </c>
      <c r="AN155">
        <v>0.99999997128593698</v>
      </c>
    </row>
    <row r="156" spans="1:40" x14ac:dyDescent="0.25">
      <c r="A156" t="str">
        <f>"20190312172057501"</f>
        <v>20190312172057501</v>
      </c>
      <c r="B156" t="str">
        <f>"1552382457491634"</f>
        <v>1552382457491634</v>
      </c>
      <c r="C156" t="s">
        <v>40</v>
      </c>
      <c r="D156">
        <v>3.3082699999999998</v>
      </c>
      <c r="E156">
        <v>0.49767139999999999</v>
      </c>
      <c r="F156" t="s">
        <v>42</v>
      </c>
      <c r="G156">
        <v>-447.95089999999999</v>
      </c>
      <c r="H156" s="1">
        <v>-1.2458969999999999E-6</v>
      </c>
      <c r="I156">
        <v>367.94310000000002</v>
      </c>
      <c r="J156">
        <v>-465.91199999999998</v>
      </c>
      <c r="K156">
        <v>1.109607</v>
      </c>
      <c r="L156">
        <v>367.46940000000001</v>
      </c>
      <c r="M156">
        <v>0.99944980000000005</v>
      </c>
      <c r="N156">
        <v>0</v>
      </c>
      <c r="O156">
        <v>3.2656919999999999E-2</v>
      </c>
      <c r="P156">
        <v>0.9861664</v>
      </c>
      <c r="Q156">
        <v>0.1647544</v>
      </c>
      <c r="R156">
        <v>1.8227179999999999E-2</v>
      </c>
      <c r="S156">
        <v>3.0721129999999999</v>
      </c>
      <c r="T156">
        <v>-0.18882109999999999</v>
      </c>
      <c r="U156">
        <v>8.1146239999999994E-2</v>
      </c>
      <c r="V156">
        <v>1.39448E-2</v>
      </c>
      <c r="W156">
        <v>0.17048060000000001</v>
      </c>
      <c r="X156">
        <v>0.98526230000000004</v>
      </c>
      <c r="Y156">
        <v>6.1823370000000004E-3</v>
      </c>
      <c r="Z156">
        <v>-2.1942789999999999E-3</v>
      </c>
      <c r="AA156">
        <v>0.99997849999999999</v>
      </c>
      <c r="AB156">
        <v>17</v>
      </c>
      <c r="AC156">
        <v>17.961099999999899</v>
      </c>
      <c r="AD156">
        <v>-1.109608245897</v>
      </c>
      <c r="AE156">
        <v>0.473700000000007</v>
      </c>
      <c r="AF156">
        <v>0.112686958244498</v>
      </c>
      <c r="AG156">
        <v>-1.109608245897</v>
      </c>
      <c r="AH156">
        <v>17.898725143822599</v>
      </c>
      <c r="AI156">
        <v>93.547367520778806</v>
      </c>
      <c r="AJ156">
        <v>89.639281470718899</v>
      </c>
      <c r="AK156">
        <v>17.933440567387699</v>
      </c>
      <c r="AL156">
        <v>80.184236142917101</v>
      </c>
      <c r="AM156">
        <v>89.189124720844504</v>
      </c>
      <c r="AN156">
        <v>0.999999946112343</v>
      </c>
    </row>
    <row r="157" spans="1:40" x14ac:dyDescent="0.25">
      <c r="A157" t="str">
        <f>"20190312172057513"</f>
        <v>20190312172057513</v>
      </c>
      <c r="B157" t="str">
        <f>"1552382457501394"</f>
        <v>1552382457501394</v>
      </c>
      <c r="C157" t="s">
        <v>40</v>
      </c>
      <c r="D157">
        <v>3.29501</v>
      </c>
      <c r="E157">
        <v>0.49766339999999998</v>
      </c>
      <c r="F157" t="s">
        <v>42</v>
      </c>
      <c r="G157">
        <v>-447.8922</v>
      </c>
      <c r="H157" s="1">
        <v>-1.272742E-6</v>
      </c>
      <c r="I157">
        <v>367.94819999999999</v>
      </c>
      <c r="J157">
        <v>-465.81509999999997</v>
      </c>
      <c r="K157">
        <v>1.109613</v>
      </c>
      <c r="L157">
        <v>367.47269999999997</v>
      </c>
      <c r="M157">
        <v>0.99944529999999998</v>
      </c>
      <c r="N157">
        <v>0</v>
      </c>
      <c r="O157">
        <v>3.2794860000000002E-2</v>
      </c>
      <c r="P157">
        <v>0.98619800000000002</v>
      </c>
      <c r="Q157">
        <v>0.16455620000000001</v>
      </c>
      <c r="R157">
        <v>1.8296389999999999E-2</v>
      </c>
      <c r="S157">
        <v>3.0721440000000002</v>
      </c>
      <c r="T157">
        <v>-0.18917390000000001</v>
      </c>
      <c r="U157">
        <v>8.1634520000000002E-2</v>
      </c>
      <c r="V157">
        <v>1.401341E-2</v>
      </c>
      <c r="W157">
        <v>0.17029259999999999</v>
      </c>
      <c r="X157">
        <v>0.98529389999999994</v>
      </c>
      <c r="Y157">
        <v>6.1613070000000004E-3</v>
      </c>
      <c r="Z157">
        <v>-2.206178E-3</v>
      </c>
      <c r="AA157">
        <v>0.99997860000000005</v>
      </c>
      <c r="AB157">
        <v>17</v>
      </c>
      <c r="AC157">
        <v>17.922899999999899</v>
      </c>
      <c r="AD157">
        <v>-1.109614272742</v>
      </c>
      <c r="AE157">
        <v>0.47550000000001003</v>
      </c>
      <c r="AF157">
        <v>0.11211522211904799</v>
      </c>
      <c r="AG157">
        <v>-1.109614272742</v>
      </c>
      <c r="AH157">
        <v>17.8604440876232</v>
      </c>
      <c r="AI157">
        <v>93.5549709403614</v>
      </c>
      <c r="AJ157">
        <v>89.640342387754202</v>
      </c>
      <c r="AK157">
        <v>17.8952305563359</v>
      </c>
      <c r="AL157">
        <v>80.195168203673006</v>
      </c>
      <c r="AM157">
        <v>89.185161789520507</v>
      </c>
      <c r="AN157">
        <v>1.0000000073258899</v>
      </c>
    </row>
    <row r="158" spans="1:40" x14ac:dyDescent="0.25">
      <c r="A158" t="str">
        <f>"20190312172057531"</f>
        <v>20190312172057531</v>
      </c>
      <c r="B158" t="str">
        <f>"1552382457521890"</f>
        <v>1552382457521890</v>
      </c>
      <c r="C158" t="s">
        <v>40</v>
      </c>
      <c r="D158">
        <v>3.2565010000000001</v>
      </c>
      <c r="E158">
        <v>0.49783729999999998</v>
      </c>
      <c r="F158" t="s">
        <v>42</v>
      </c>
      <c r="G158">
        <v>-447.91050000000001</v>
      </c>
      <c r="H158" s="1">
        <v>-1.2633719999999999E-6</v>
      </c>
      <c r="I158">
        <v>367.9522</v>
      </c>
      <c r="J158">
        <v>-465.66860000000003</v>
      </c>
      <c r="K158">
        <v>1.1096200000000001</v>
      </c>
      <c r="L158">
        <v>367.4778</v>
      </c>
      <c r="M158">
        <v>0.9994383</v>
      </c>
      <c r="N158">
        <v>0</v>
      </c>
      <c r="O158">
        <v>3.3000199999999903E-2</v>
      </c>
      <c r="P158">
        <v>0.98621650000000005</v>
      </c>
      <c r="Q158">
        <v>0.16442010000000001</v>
      </c>
      <c r="R158">
        <v>1.852902E-2</v>
      </c>
      <c r="S158">
        <v>3.0722049999999999</v>
      </c>
      <c r="T158">
        <v>-0.1903956</v>
      </c>
      <c r="U158">
        <v>8.2275390000000004E-2</v>
      </c>
      <c r="V158">
        <v>1.398486E-2</v>
      </c>
      <c r="W158">
        <v>0.17017099999999999</v>
      </c>
      <c r="X158">
        <v>0.98531530000000001</v>
      </c>
      <c r="Y158">
        <v>6.1575019999999996E-3</v>
      </c>
      <c r="Z158">
        <v>-2.2329310000000001E-3</v>
      </c>
      <c r="AA158">
        <v>0.99997849999999999</v>
      </c>
      <c r="AB158">
        <v>17</v>
      </c>
      <c r="AC158">
        <v>17.758099999999999</v>
      </c>
      <c r="AD158">
        <v>-1.109621263372</v>
      </c>
      <c r="AE158">
        <v>0.47440000000000199</v>
      </c>
      <c r="AF158">
        <v>0.111454373859358</v>
      </c>
      <c r="AG158">
        <v>-1.109621263372</v>
      </c>
      <c r="AH158">
        <v>17.6950435818563</v>
      </c>
      <c r="AI158">
        <v>93.588135900131505</v>
      </c>
      <c r="AJ158">
        <v>89.639120369787804</v>
      </c>
      <c r="AK158">
        <v>17.730150839442199</v>
      </c>
      <c r="AL158">
        <v>80.2022384272192</v>
      </c>
      <c r="AM158">
        <v>89.186839323154203</v>
      </c>
      <c r="AN158">
        <v>0.99999999298215403</v>
      </c>
    </row>
    <row r="159" spans="1:40" x14ac:dyDescent="0.25">
      <c r="A159" t="str">
        <f>"20190312172057544"</f>
        <v>20190312172057544</v>
      </c>
      <c r="B159" t="str">
        <f>"1552382457541410"</f>
        <v>1552382457541410</v>
      </c>
      <c r="C159" t="s">
        <v>40</v>
      </c>
      <c r="D159">
        <v>3.2632599999999998</v>
      </c>
      <c r="E159">
        <v>0.49781170000000002</v>
      </c>
      <c r="F159" t="s">
        <v>42</v>
      </c>
      <c r="G159">
        <v>-447.7568</v>
      </c>
      <c r="H159" s="1">
        <v>-1.3363879999999999E-6</v>
      </c>
      <c r="I159">
        <v>367.9502</v>
      </c>
      <c r="J159">
        <v>-465.57260000000002</v>
      </c>
      <c r="K159">
        <v>1.109626</v>
      </c>
      <c r="L159">
        <v>367.48110000000003</v>
      </c>
      <c r="M159">
        <v>0.99943400000000004</v>
      </c>
      <c r="N159">
        <v>0</v>
      </c>
      <c r="O159">
        <v>3.3131470000000003E-2</v>
      </c>
      <c r="P159">
        <v>0.9862322</v>
      </c>
      <c r="Q159">
        <v>0.1643068</v>
      </c>
      <c r="R159">
        <v>1.8693109999999999E-2</v>
      </c>
      <c r="S159">
        <v>3.0721440000000002</v>
      </c>
      <c r="T159">
        <v>-0.19031680000000001</v>
      </c>
      <c r="U159">
        <v>8.1024170000000006E-2</v>
      </c>
      <c r="V159">
        <v>1.395188E-2</v>
      </c>
      <c r="W159">
        <v>0.1700671</v>
      </c>
      <c r="X159">
        <v>0.98533369999999998</v>
      </c>
      <c r="Y159">
        <v>6.6940740000000004E-3</v>
      </c>
      <c r="Z159">
        <v>-2.256788E-3</v>
      </c>
      <c r="AA159">
        <v>0.99997499999999995</v>
      </c>
      <c r="AB159">
        <v>18</v>
      </c>
      <c r="AC159">
        <v>17.815799999999999</v>
      </c>
      <c r="AD159">
        <v>-1.109627336388</v>
      </c>
      <c r="AE159">
        <v>0.46909999999996899</v>
      </c>
      <c r="AF159">
        <v>0.120962303827919</v>
      </c>
      <c r="AG159">
        <v>-1.109627336388</v>
      </c>
      <c r="AH159">
        <v>17.752742110634301</v>
      </c>
      <c r="AI159">
        <v>93.576511826778201</v>
      </c>
      <c r="AJ159">
        <v>89.609608352695403</v>
      </c>
      <c r="AK159">
        <v>17.7877979848911</v>
      </c>
      <c r="AL159">
        <v>80.208279456516095</v>
      </c>
      <c r="AM159">
        <v>89.188771861624801</v>
      </c>
      <c r="AN159">
        <v>0.99999998690681702</v>
      </c>
    </row>
    <row r="160" spans="1:40" x14ac:dyDescent="0.25">
      <c r="A160" t="str">
        <f>"20190312172057556"</f>
        <v>20190312172057556</v>
      </c>
      <c r="B160" t="str">
        <f>"1552382457551170"</f>
        <v>1552382457551170</v>
      </c>
      <c r="C160" t="s">
        <v>40</v>
      </c>
      <c r="D160">
        <v>3.2652389999999998</v>
      </c>
      <c r="E160">
        <v>0.49781239999999999</v>
      </c>
      <c r="F160" t="s">
        <v>42</v>
      </c>
      <c r="G160">
        <v>-447.75729999999999</v>
      </c>
      <c r="H160" s="1">
        <v>-1.3352269999999901E-6</v>
      </c>
      <c r="I160">
        <v>367.9554</v>
      </c>
      <c r="J160">
        <v>-465.47239999999999</v>
      </c>
      <c r="K160">
        <v>1.1096299999999999</v>
      </c>
      <c r="L160">
        <v>367.4846</v>
      </c>
      <c r="M160">
        <v>0.99942949999999997</v>
      </c>
      <c r="N160">
        <v>0</v>
      </c>
      <c r="O160">
        <v>3.3263510000000003E-2</v>
      </c>
      <c r="P160">
        <v>0.986236</v>
      </c>
      <c r="Q160">
        <v>0.16424820000000001</v>
      </c>
      <c r="R160">
        <v>1.900017E-2</v>
      </c>
      <c r="S160">
        <v>3.072235</v>
      </c>
      <c r="T160">
        <v>-0.1913543</v>
      </c>
      <c r="U160">
        <v>8.1787109999999996E-2</v>
      </c>
      <c r="V160">
        <v>1.377636E-2</v>
      </c>
      <c r="W160">
        <v>0.1700178</v>
      </c>
      <c r="X160">
        <v>0.98534469999999996</v>
      </c>
      <c r="Y160">
        <v>6.5779640000000004E-3</v>
      </c>
      <c r="Z160">
        <v>-2.273588E-3</v>
      </c>
      <c r="AA160">
        <v>0.99997579999999997</v>
      </c>
      <c r="AB160">
        <v>18</v>
      </c>
      <c r="AC160">
        <v>17.7151</v>
      </c>
      <c r="AD160">
        <v>-1.109631335227</v>
      </c>
      <c r="AE160">
        <v>0.470799999999997</v>
      </c>
      <c r="AF160">
        <v>0.118273314473123</v>
      </c>
      <c r="AG160">
        <v>-1.109631335227</v>
      </c>
      <c r="AH160">
        <v>17.6517499356566</v>
      </c>
      <c r="AI160">
        <v>93.596936478105306</v>
      </c>
      <c r="AJ160">
        <v>89.6161026320612</v>
      </c>
      <c r="AK160">
        <v>17.686988043982701</v>
      </c>
      <c r="AL160">
        <v>80.211146102535295</v>
      </c>
      <c r="AM160">
        <v>89.198985025574203</v>
      </c>
      <c r="AN160">
        <v>1.00000000911488</v>
      </c>
    </row>
    <row r="161" spans="1:40" x14ac:dyDescent="0.25">
      <c r="A161" t="str">
        <f>"20190312172057568"</f>
        <v>20190312172057568</v>
      </c>
      <c r="B161" t="str">
        <f>"1552382457561906"</f>
        <v>1552382457561906</v>
      </c>
      <c r="C161" t="s">
        <v>40</v>
      </c>
      <c r="D161">
        <v>3.269444</v>
      </c>
      <c r="E161">
        <v>0.4978206</v>
      </c>
      <c r="F161" t="s">
        <v>42</v>
      </c>
      <c r="G161">
        <v>-447.67079999999999</v>
      </c>
      <c r="H161" s="1">
        <v>-1.3748909999999999E-6</v>
      </c>
      <c r="I161">
        <v>367.9622</v>
      </c>
      <c r="J161">
        <v>-465.37529999999998</v>
      </c>
      <c r="K161">
        <v>1.109634</v>
      </c>
      <c r="L161">
        <v>367.48790000000002</v>
      </c>
      <c r="M161">
        <v>0.99942549999999997</v>
      </c>
      <c r="N161">
        <v>0</v>
      </c>
      <c r="O161">
        <v>3.3385829999999998E-2</v>
      </c>
      <c r="P161">
        <v>0.98621009999999998</v>
      </c>
      <c r="Q161">
        <v>0.16438529999999901</v>
      </c>
      <c r="R161">
        <v>1.916667E-2</v>
      </c>
      <c r="S161">
        <v>3.072174</v>
      </c>
      <c r="T161">
        <v>-0.1914989</v>
      </c>
      <c r="U161">
        <v>8.2427979999999998E-2</v>
      </c>
      <c r="V161">
        <v>1.373136E-2</v>
      </c>
      <c r="W161">
        <v>0.1701616</v>
      </c>
      <c r="X161">
        <v>0.98532050000000004</v>
      </c>
      <c r="Y161">
        <v>6.4911880000000002E-3</v>
      </c>
      <c r="Z161">
        <v>-2.2802500000000002E-3</v>
      </c>
      <c r="AA161">
        <v>0.99997630000000004</v>
      </c>
      <c r="AB161">
        <v>18</v>
      </c>
      <c r="AC161">
        <v>17.7044999999999</v>
      </c>
      <c r="AD161">
        <v>-1.1096353748909999</v>
      </c>
      <c r="AE161">
        <v>0.47429999999997102</v>
      </c>
      <c r="AF161">
        <v>0.116596221369141</v>
      </c>
      <c r="AG161">
        <v>-1.1096353748909999</v>
      </c>
      <c r="AH161">
        <v>17.641216768175401</v>
      </c>
      <c r="AI161">
        <v>93.599093726840493</v>
      </c>
      <c r="AJ161">
        <v>89.621320104630698</v>
      </c>
      <c r="AK161">
        <v>17.676464986127701</v>
      </c>
      <c r="AL161">
        <v>80.202785088224701</v>
      </c>
      <c r="AM161">
        <v>89.201581567270495</v>
      </c>
      <c r="AN161">
        <v>1.0000000040411201</v>
      </c>
    </row>
    <row r="162" spans="1:40" x14ac:dyDescent="0.25">
      <c r="A162" t="str">
        <f>"20190312172057580"</f>
        <v>20190312172057580</v>
      </c>
      <c r="B162" t="str">
        <f>"1552382457571666"</f>
        <v>1552382457571666</v>
      </c>
      <c r="C162" t="s">
        <v>40</v>
      </c>
      <c r="D162">
        <v>3.2739050000000001</v>
      </c>
      <c r="E162">
        <v>0.49784820000000002</v>
      </c>
      <c r="F162" t="s">
        <v>42</v>
      </c>
      <c r="G162">
        <v>-447.55290000000002</v>
      </c>
      <c r="H162" s="1">
        <v>-1.4295849999999901E-6</v>
      </c>
      <c r="I162">
        <v>367.96820000000002</v>
      </c>
      <c r="J162">
        <v>-465.27749999999997</v>
      </c>
      <c r="K162">
        <v>1.109634</v>
      </c>
      <c r="L162">
        <v>367.49130000000002</v>
      </c>
      <c r="M162">
        <v>0.99942140000000002</v>
      </c>
      <c r="N162">
        <v>0</v>
      </c>
      <c r="O162">
        <v>3.350624E-2</v>
      </c>
      <c r="P162">
        <v>0.9861721</v>
      </c>
      <c r="Q162">
        <v>0.16461210000000001</v>
      </c>
      <c r="R162">
        <v>1.9175689999999999E-2</v>
      </c>
      <c r="S162">
        <v>3.0722659999999999</v>
      </c>
      <c r="T162">
        <v>-0.19128129999999999</v>
      </c>
      <c r="U162">
        <v>8.2794190000000004E-2</v>
      </c>
      <c r="V162">
        <v>1.384145E-2</v>
      </c>
      <c r="W162">
        <v>0.17039460000000001</v>
      </c>
      <c r="X162">
        <v>0.98527869999999995</v>
      </c>
      <c r="Y162">
        <v>6.4932990000000001E-3</v>
      </c>
      <c r="Z162">
        <v>-2.2851400000000002E-3</v>
      </c>
      <c r="AA162">
        <v>0.99997630000000004</v>
      </c>
      <c r="AB162">
        <v>18</v>
      </c>
      <c r="AC162">
        <v>17.724599999999899</v>
      </c>
      <c r="AD162">
        <v>-1.1096354295849999</v>
      </c>
      <c r="AE162">
        <v>0.47689999999999999</v>
      </c>
      <c r="AF162">
        <v>0.116805178326958</v>
      </c>
      <c r="AG162">
        <v>-1.1096354295849999</v>
      </c>
      <c r="AH162">
        <v>17.661456493315001</v>
      </c>
      <c r="AI162">
        <v>93.5949801258528</v>
      </c>
      <c r="AJ162">
        <v>89.621076202045799</v>
      </c>
      <c r="AK162">
        <v>17.696665779223299</v>
      </c>
      <c r="AL162">
        <v>80.189237390199693</v>
      </c>
      <c r="AM162">
        <v>89.195147015090001</v>
      </c>
      <c r="AN162">
        <v>1.0000000110604701</v>
      </c>
    </row>
    <row r="163" spans="1:40" x14ac:dyDescent="0.25">
      <c r="A163" t="str">
        <f>"20190312172057598"</f>
        <v>20190312172057598</v>
      </c>
      <c r="B163" t="str">
        <f>"1552382457591186"</f>
        <v>1552382457591186</v>
      </c>
      <c r="C163" t="s">
        <v>40</v>
      </c>
      <c r="D163">
        <v>3.2678470000000002</v>
      </c>
      <c r="E163">
        <v>0.49789600000000001</v>
      </c>
      <c r="F163" t="s">
        <v>42</v>
      </c>
      <c r="G163">
        <v>-447.41210000000001</v>
      </c>
      <c r="H163" s="1">
        <v>-1.495788E-6</v>
      </c>
      <c r="I163">
        <v>367.9701</v>
      </c>
      <c r="J163">
        <v>-465.1354</v>
      </c>
      <c r="K163">
        <v>1.1096360000000001</v>
      </c>
      <c r="L163">
        <v>367.49630000000002</v>
      </c>
      <c r="M163">
        <v>0.99941579999999997</v>
      </c>
      <c r="N163">
        <v>0</v>
      </c>
      <c r="O163">
        <v>3.3669070000000002E-2</v>
      </c>
      <c r="P163">
        <v>0.98613099999999998</v>
      </c>
      <c r="Q163">
        <v>0.1648433</v>
      </c>
      <c r="R163">
        <v>1.9299440000000001E-2</v>
      </c>
      <c r="S163">
        <v>3.072327</v>
      </c>
      <c r="T163">
        <v>-0.1908252</v>
      </c>
      <c r="U163">
        <v>8.2336430000000002E-2</v>
      </c>
      <c r="V163">
        <v>1.3880490000000001E-2</v>
      </c>
      <c r="W163">
        <v>0.17063139999999999</v>
      </c>
      <c r="X163">
        <v>0.98523720000000004</v>
      </c>
      <c r="Y163">
        <v>6.8050920000000004E-3</v>
      </c>
      <c r="Z163">
        <v>-2.2994299999999999E-3</v>
      </c>
      <c r="AA163">
        <v>0.99997420000000004</v>
      </c>
      <c r="AB163">
        <v>18</v>
      </c>
      <c r="AC163">
        <v>17.723299999999899</v>
      </c>
      <c r="AD163">
        <v>-1.109637495788</v>
      </c>
      <c r="AE163">
        <v>0.47379999999998201</v>
      </c>
      <c r="AF163">
        <v>0.12272521977376399</v>
      </c>
      <c r="AG163">
        <v>-1.109637495788</v>
      </c>
      <c r="AH163">
        <v>17.660028062391699</v>
      </c>
      <c r="AI163">
        <v>93.595268655797895</v>
      </c>
      <c r="AJ163">
        <v>89.601839594016297</v>
      </c>
      <c r="AK163">
        <v>17.695280388173799</v>
      </c>
      <c r="AL163">
        <v>80.1754684060991</v>
      </c>
      <c r="AM163">
        <v>89.192843223074107</v>
      </c>
      <c r="AN163">
        <v>1.00000004146621</v>
      </c>
    </row>
    <row r="164" spans="1:40" x14ac:dyDescent="0.25">
      <c r="A164" t="str">
        <f>"20190312172057610"</f>
        <v>20190312172057610</v>
      </c>
      <c r="B164" t="str">
        <f>"1552382457601922"</f>
        <v>1552382457601922</v>
      </c>
      <c r="C164" t="s">
        <v>40</v>
      </c>
      <c r="D164">
        <v>3.288465</v>
      </c>
      <c r="E164">
        <v>0.49784469999999997</v>
      </c>
      <c r="F164" t="s">
        <v>42</v>
      </c>
      <c r="G164">
        <v>-447.29790000000003</v>
      </c>
      <c r="H164" s="1">
        <v>-1.54935E-6</v>
      </c>
      <c r="I164">
        <v>367.97250000000003</v>
      </c>
      <c r="J164">
        <v>-465.04140000000001</v>
      </c>
      <c r="K164">
        <v>1.1096349999999999</v>
      </c>
      <c r="L164">
        <v>367.49959999999999</v>
      </c>
      <c r="M164">
        <v>0.99941239999999998</v>
      </c>
      <c r="N164">
        <v>0</v>
      </c>
      <c r="O164">
        <v>3.3768609999999998E-2</v>
      </c>
      <c r="P164">
        <v>0.98605529999999997</v>
      </c>
      <c r="Q164">
        <v>0.16528689999999999</v>
      </c>
      <c r="R164">
        <v>1.9378719999999999E-2</v>
      </c>
      <c r="S164">
        <v>3.07254</v>
      </c>
      <c r="T164">
        <v>-0.1911371</v>
      </c>
      <c r="U164">
        <v>8.203125E-2</v>
      </c>
      <c r="V164">
        <v>1.3899440000000001E-2</v>
      </c>
      <c r="W164">
        <v>0.171076799999999</v>
      </c>
      <c r="X164">
        <v>0.98515960000000002</v>
      </c>
      <c r="Y164">
        <v>7.0049869999999998E-3</v>
      </c>
      <c r="Z164">
        <v>-2.3154180000000001E-3</v>
      </c>
      <c r="AA164">
        <v>0.9999728</v>
      </c>
      <c r="AB164">
        <v>18</v>
      </c>
      <c r="AC164">
        <v>17.743499999999901</v>
      </c>
      <c r="AD164">
        <v>-1.10963654935</v>
      </c>
      <c r="AE164">
        <v>0.47290000000003801</v>
      </c>
      <c r="AF164">
        <v>0.126060724913542</v>
      </c>
      <c r="AG164">
        <v>-1.10963654935</v>
      </c>
      <c r="AH164">
        <v>17.6802519862228</v>
      </c>
      <c r="AI164">
        <v>93.5911592901397</v>
      </c>
      <c r="AJ164">
        <v>89.591486302671996</v>
      </c>
      <c r="AK164">
        <v>17.715487429770398</v>
      </c>
      <c r="AL164">
        <v>80.149567143475593</v>
      </c>
      <c r="AM164">
        <v>89.191677760840093</v>
      </c>
      <c r="AN164">
        <v>0.99999995170135503</v>
      </c>
    </row>
    <row r="165" spans="1:40" x14ac:dyDescent="0.25">
      <c r="A165" t="str">
        <f>"20190312172057623"</f>
        <v>20190312172057623</v>
      </c>
      <c r="B165" t="str">
        <f>"1552382457611683"</f>
        <v>1552382457611683</v>
      </c>
      <c r="C165" t="s">
        <v>40</v>
      </c>
      <c r="D165">
        <v>3.277031</v>
      </c>
      <c r="E165">
        <v>0.49786920000000001</v>
      </c>
      <c r="F165" t="s">
        <v>42</v>
      </c>
      <c r="G165">
        <v>-447.0933</v>
      </c>
      <c r="H165" s="1">
        <v>-1.6444169999999999E-6</v>
      </c>
      <c r="I165">
        <v>367.98200000000003</v>
      </c>
      <c r="J165">
        <v>-464.93849999999998</v>
      </c>
      <c r="K165">
        <v>1.1096349999999999</v>
      </c>
      <c r="L165">
        <v>367.50310000000002</v>
      </c>
      <c r="M165">
        <v>0.99940890000000004</v>
      </c>
      <c r="N165">
        <v>0</v>
      </c>
      <c r="O165">
        <v>3.3873449999999999E-2</v>
      </c>
      <c r="P165">
        <v>0.98600180000000004</v>
      </c>
      <c r="Q165">
        <v>0.16562859999999999</v>
      </c>
      <c r="R165">
        <v>1.9182279999999999E-2</v>
      </c>
      <c r="S165">
        <v>3.072632</v>
      </c>
      <c r="T165">
        <v>-0.1899641</v>
      </c>
      <c r="U165">
        <v>8.2580570000000006E-2</v>
      </c>
      <c r="V165">
        <v>1.4200610000000001E-2</v>
      </c>
      <c r="W165">
        <v>0.17142070000000001</v>
      </c>
      <c r="X165">
        <v>0.98509559999999996</v>
      </c>
      <c r="Y165">
        <v>6.9329419999999897E-3</v>
      </c>
      <c r="Z165">
        <v>-2.305405E-3</v>
      </c>
      <c r="AA165">
        <v>0.99997329999999995</v>
      </c>
      <c r="AB165">
        <v>18</v>
      </c>
      <c r="AC165">
        <v>17.845199999999899</v>
      </c>
      <c r="AD165">
        <v>-1.1096366444169901</v>
      </c>
      <c r="AE165">
        <v>0.47889999999995297</v>
      </c>
      <c r="AF165">
        <v>0.12537930411280501</v>
      </c>
      <c r="AG165">
        <v>-1.1096366444169901</v>
      </c>
      <c r="AH165">
        <v>17.782474526272399</v>
      </c>
      <c r="AI165">
        <v>93.570571381307204</v>
      </c>
      <c r="AJ165">
        <v>89.596030017282402</v>
      </c>
      <c r="AK165">
        <v>17.817503016137199</v>
      </c>
      <c r="AL165">
        <v>80.129568443263807</v>
      </c>
      <c r="AM165">
        <v>89.174111967170006</v>
      </c>
      <c r="AN165">
        <v>1.00000002742611</v>
      </c>
    </row>
    <row r="166" spans="1:40" x14ac:dyDescent="0.25">
      <c r="A166" t="str">
        <f>"20190312172057637"</f>
        <v>20190312172057637</v>
      </c>
      <c r="B166" t="str">
        <f>"1552382457631202"</f>
        <v>1552382457631202</v>
      </c>
      <c r="C166" t="s">
        <v>40</v>
      </c>
      <c r="D166">
        <v>3.2791640000000002</v>
      </c>
      <c r="E166">
        <v>0.49788830000000001</v>
      </c>
      <c r="F166" t="s">
        <v>42</v>
      </c>
      <c r="G166">
        <v>-446.90750000000003</v>
      </c>
      <c r="H166" s="1">
        <v>-1.7325379999999999E-6</v>
      </c>
      <c r="I166">
        <v>367.98020000000002</v>
      </c>
      <c r="J166">
        <v>-464.82510000000002</v>
      </c>
      <c r="K166">
        <v>1.109631</v>
      </c>
      <c r="L166">
        <v>367.50709999999998</v>
      </c>
      <c r="M166">
        <v>0.99940530000000005</v>
      </c>
      <c r="N166">
        <v>0</v>
      </c>
      <c r="O166">
        <v>3.3978460000000002E-2</v>
      </c>
      <c r="P166">
        <v>0.98595900000000003</v>
      </c>
      <c r="Q166">
        <v>0.1658734</v>
      </c>
      <c r="R166">
        <v>1.9254609999999998E-2</v>
      </c>
      <c r="S166">
        <v>3.072784</v>
      </c>
      <c r="T166">
        <v>-0.18910070000000001</v>
      </c>
      <c r="U166">
        <v>8.1298830000000002E-2</v>
      </c>
      <c r="V166">
        <v>1.4234709999999999E-2</v>
      </c>
      <c r="W166">
        <v>0.1716674</v>
      </c>
      <c r="X166">
        <v>0.98505209999999999</v>
      </c>
      <c r="Y166">
        <v>7.45568599999999E-3</v>
      </c>
      <c r="Z166">
        <v>-2.3173669999999999E-3</v>
      </c>
      <c r="AA166">
        <v>0.99996949999999996</v>
      </c>
      <c r="AB166">
        <v>18</v>
      </c>
      <c r="AC166">
        <v>17.917599999999901</v>
      </c>
      <c r="AD166">
        <v>-1.109632732538</v>
      </c>
      <c r="AE166">
        <v>0.47310000000004399</v>
      </c>
      <c r="AF166">
        <v>0.13547692209300699</v>
      </c>
      <c r="AG166">
        <v>-1.109632732538</v>
      </c>
      <c r="AH166">
        <v>17.8548977853266</v>
      </c>
      <c r="AI166">
        <v>93.556099182927298</v>
      </c>
      <c r="AJ166">
        <v>89.565267357372505</v>
      </c>
      <c r="AK166">
        <v>17.889857845215001</v>
      </c>
      <c r="AL166">
        <v>80.115220434203394</v>
      </c>
      <c r="AM166">
        <v>89.172092479774705</v>
      </c>
      <c r="AN166">
        <v>0.99999998145297597</v>
      </c>
    </row>
    <row r="167" spans="1:40" x14ac:dyDescent="0.25">
      <c r="A167" t="str">
        <f>"20190312172057655"</f>
        <v>20190312172057655</v>
      </c>
      <c r="B167" t="str">
        <f>"1552382457651698"</f>
        <v>1552382457651698</v>
      </c>
      <c r="C167" t="s">
        <v>40</v>
      </c>
      <c r="D167">
        <v>3.2750750000000002</v>
      </c>
      <c r="E167">
        <v>0.49785760000000001</v>
      </c>
      <c r="F167" t="s">
        <v>42</v>
      </c>
      <c r="G167">
        <v>-446.76600000000002</v>
      </c>
      <c r="H167" s="1">
        <v>-1.7988560000000001E-6</v>
      </c>
      <c r="I167">
        <v>367.98349999999999</v>
      </c>
      <c r="J167">
        <v>-464.67739999999998</v>
      </c>
      <c r="K167">
        <v>1.1096189999999999</v>
      </c>
      <c r="L167">
        <v>367.51229999999998</v>
      </c>
      <c r="M167">
        <v>0.99940130000000005</v>
      </c>
      <c r="N167">
        <v>0</v>
      </c>
      <c r="O167">
        <v>3.4098450000000002E-2</v>
      </c>
      <c r="P167">
        <v>0.98586739999999995</v>
      </c>
      <c r="Q167">
        <v>0.16640929999999901</v>
      </c>
      <c r="R167">
        <v>1.933663E-2</v>
      </c>
      <c r="S167">
        <v>3.072937</v>
      </c>
      <c r="T167">
        <v>-0.1888145</v>
      </c>
      <c r="U167">
        <v>8.1054689999999999E-2</v>
      </c>
      <c r="V167">
        <v>1.427351E-2</v>
      </c>
      <c r="W167">
        <v>0.1722061</v>
      </c>
      <c r="X167">
        <v>0.98495750000000004</v>
      </c>
      <c r="Y167">
        <v>7.6560880000000001E-3</v>
      </c>
      <c r="Z167">
        <v>-2.3272649999999998E-3</v>
      </c>
      <c r="AA167">
        <v>0.99996799999999997</v>
      </c>
      <c r="AB167">
        <v>18</v>
      </c>
      <c r="AC167">
        <v>17.9114</v>
      </c>
      <c r="AD167">
        <v>-1.1096207988560001</v>
      </c>
      <c r="AE167">
        <v>0.47120000000001</v>
      </c>
      <c r="AF167">
        <v>0.13930123546414899</v>
      </c>
      <c r="AG167">
        <v>-1.1096207988560001</v>
      </c>
      <c r="AH167">
        <v>17.848598047307998</v>
      </c>
      <c r="AI167">
        <v>93.557307017138697</v>
      </c>
      <c r="AJ167">
        <v>89.552838222674197</v>
      </c>
      <c r="AK167">
        <v>17.8835990618729</v>
      </c>
      <c r="AL167">
        <v>80.083888542083898</v>
      </c>
      <c r="AM167">
        <v>89.169756419685697</v>
      </c>
      <c r="AN167">
        <v>0.99999997538558905</v>
      </c>
    </row>
    <row r="168" spans="1:40" x14ac:dyDescent="0.25">
      <c r="A168" t="str">
        <f>"20190312172057669"</f>
        <v>20190312172057669</v>
      </c>
      <c r="B168" t="str">
        <f>"1552382457661458"</f>
        <v>1552382457661458</v>
      </c>
      <c r="C168" t="s">
        <v>40</v>
      </c>
      <c r="D168">
        <v>3.2764760000000002</v>
      </c>
      <c r="E168">
        <v>0.49788729999999998</v>
      </c>
      <c r="F168" t="s">
        <v>42</v>
      </c>
      <c r="G168">
        <v>-446.46370000000002</v>
      </c>
      <c r="H168" s="1">
        <v>-1.9404819999999998E-6</v>
      </c>
      <c r="I168">
        <v>367.9905</v>
      </c>
      <c r="J168">
        <v>-464.56360000000001</v>
      </c>
      <c r="K168">
        <v>1.1096109999999999</v>
      </c>
      <c r="L168">
        <v>367.5163</v>
      </c>
      <c r="M168">
        <v>0.99939860000000003</v>
      </c>
      <c r="N168">
        <v>0</v>
      </c>
      <c r="O168">
        <v>3.417692E-2</v>
      </c>
      <c r="P168">
        <v>0.985869</v>
      </c>
      <c r="Q168">
        <v>0.16639709999999999</v>
      </c>
      <c r="R168">
        <v>1.9348669999999998E-2</v>
      </c>
      <c r="S168">
        <v>3.0730590000000002</v>
      </c>
      <c r="T168">
        <v>-0.1872181</v>
      </c>
      <c r="U168">
        <v>8.0688480000000007E-2</v>
      </c>
      <c r="V168">
        <v>1.434381E-2</v>
      </c>
      <c r="W168">
        <v>0.17219719999999999</v>
      </c>
      <c r="X168">
        <v>0.98495809999999995</v>
      </c>
      <c r="Y168">
        <v>7.8555480000000004E-3</v>
      </c>
      <c r="Z168">
        <v>-2.3183800000000001E-3</v>
      </c>
      <c r="AA168">
        <v>0.99996640000000003</v>
      </c>
      <c r="AB168">
        <v>18</v>
      </c>
      <c r="AC168">
        <v>18.099899999999899</v>
      </c>
      <c r="AD168">
        <v>-1.1096129404819901</v>
      </c>
      <c r="AE168">
        <v>0.47419999999999601</v>
      </c>
      <c r="AF168">
        <v>0.14414513699456299</v>
      </c>
      <c r="AG168">
        <v>-1.1096129404819901</v>
      </c>
      <c r="AH168">
        <v>18.0377878217203</v>
      </c>
      <c r="AI168">
        <v>93.520060384603795</v>
      </c>
      <c r="AJ168">
        <v>89.5421427356263</v>
      </c>
      <c r="AK168">
        <v>18.072459937695399</v>
      </c>
      <c r="AL168">
        <v>80.084406851368996</v>
      </c>
      <c r="AM168">
        <v>89.165668382479794</v>
      </c>
      <c r="AN168">
        <v>1.00000003966438</v>
      </c>
    </row>
    <row r="169" spans="1:40" x14ac:dyDescent="0.25">
      <c r="A169" t="str">
        <f>"20190312172057681"</f>
        <v>20190312172057681</v>
      </c>
      <c r="B169" t="str">
        <f>"1552382457671218"</f>
        <v>1552382457671218</v>
      </c>
      <c r="C169" t="s">
        <v>40</v>
      </c>
      <c r="D169">
        <v>3.2758829999999999</v>
      </c>
      <c r="E169">
        <v>0.49793470000000001</v>
      </c>
      <c r="F169" t="s">
        <v>42</v>
      </c>
      <c r="G169">
        <v>-446.34289999999999</v>
      </c>
      <c r="H169" s="1">
        <v>-1.9973290000000001E-6</v>
      </c>
      <c r="I169">
        <v>367.99200000000002</v>
      </c>
      <c r="J169">
        <v>-464.45699999999999</v>
      </c>
      <c r="K169">
        <v>1.1095999999999999</v>
      </c>
      <c r="L169">
        <v>367.52</v>
      </c>
      <c r="M169">
        <v>0.99939630000000002</v>
      </c>
      <c r="N169">
        <v>0</v>
      </c>
      <c r="O169">
        <v>3.424174E-2</v>
      </c>
      <c r="P169">
        <v>0.9858209</v>
      </c>
      <c r="Q169">
        <v>0.1666619</v>
      </c>
      <c r="R169">
        <v>1.9513019999999999E-2</v>
      </c>
      <c r="S169">
        <v>3.0729679999999999</v>
      </c>
      <c r="T169">
        <v>-0.187139</v>
      </c>
      <c r="U169">
        <v>8.0230709999999997E-2</v>
      </c>
      <c r="V169">
        <v>1.424637E-2</v>
      </c>
      <c r="W169">
        <v>0.17246489999999901</v>
      </c>
      <c r="X169">
        <v>0.98491260000000003</v>
      </c>
      <c r="Y169">
        <v>8.0680290000000009E-3</v>
      </c>
      <c r="Z169">
        <v>-2.3278800000000001E-3</v>
      </c>
      <c r="AA169">
        <v>0.99996470000000004</v>
      </c>
      <c r="AB169">
        <v>18</v>
      </c>
      <c r="AC169">
        <v>18.114100000000001</v>
      </c>
      <c r="AD169">
        <v>-1.1096019973289999</v>
      </c>
      <c r="AE169">
        <v>0.47199999999997899</v>
      </c>
      <c r="AF169">
        <v>0.14799088052724901</v>
      </c>
      <c r="AG169">
        <v>-1.1096019973289999</v>
      </c>
      <c r="AH169">
        <v>18.051948642337699</v>
      </c>
      <c r="AI169">
        <v>93.517265541244001</v>
      </c>
      <c r="AJ169">
        <v>89.530296530414205</v>
      </c>
      <c r="AK169">
        <v>18.086623998933401</v>
      </c>
      <c r="AL169">
        <v>80.068835068027596</v>
      </c>
      <c r="AM169">
        <v>89.171297072977893</v>
      </c>
      <c r="AN169">
        <v>0.99999996521447199</v>
      </c>
    </row>
    <row r="170" spans="1:40" x14ac:dyDescent="0.25">
      <c r="A170" t="str">
        <f>"20190312172057699"</f>
        <v>20190312172057699</v>
      </c>
      <c r="B170" t="str">
        <f>"1552382457691714"</f>
        <v>1552382457691714</v>
      </c>
      <c r="C170" t="s">
        <v>40</v>
      </c>
      <c r="D170">
        <v>3.2910910000000002</v>
      </c>
      <c r="E170">
        <v>0.49789050000000001</v>
      </c>
      <c r="F170" t="s">
        <v>42</v>
      </c>
      <c r="G170">
        <v>-446.17989999999998</v>
      </c>
      <c r="H170" s="1">
        <v>-2.0736770000000002E-6</v>
      </c>
      <c r="I170">
        <v>367.99590000000001</v>
      </c>
      <c r="J170">
        <v>-464.31209999999999</v>
      </c>
      <c r="K170">
        <v>1.109591</v>
      </c>
      <c r="L170">
        <v>367.52510000000001</v>
      </c>
      <c r="M170">
        <v>0.99939389999999995</v>
      </c>
      <c r="N170">
        <v>0</v>
      </c>
      <c r="O170">
        <v>3.4310399999999998E-2</v>
      </c>
      <c r="P170">
        <v>0.98572470000000001</v>
      </c>
      <c r="Q170">
        <v>0.1672207</v>
      </c>
      <c r="R170">
        <v>1.9603590000000001E-2</v>
      </c>
      <c r="S170">
        <v>3.0731510000000002</v>
      </c>
      <c r="T170">
        <v>-0.18657170000000001</v>
      </c>
      <c r="U170">
        <v>8.0017089999999999E-2</v>
      </c>
      <c r="V170">
        <v>1.4226620000000001E-2</v>
      </c>
      <c r="W170">
        <v>0.17302809999999999</v>
      </c>
      <c r="X170">
        <v>0.98481419999999997</v>
      </c>
      <c r="Y170">
        <v>8.2078459999999995E-3</v>
      </c>
      <c r="Z170">
        <v>-2.329102E-3</v>
      </c>
      <c r="AA170">
        <v>0.99996359999999995</v>
      </c>
      <c r="AB170">
        <v>18</v>
      </c>
      <c r="AC170">
        <v>18.132200000000001</v>
      </c>
      <c r="AD170">
        <v>-1.1095930736770001</v>
      </c>
      <c r="AE170">
        <v>0.470799999999997</v>
      </c>
      <c r="AF170">
        <v>0.15104575958375299</v>
      </c>
      <c r="AG170">
        <v>-1.1095930736770001</v>
      </c>
      <c r="AH170">
        <v>18.0700546430302</v>
      </c>
      <c r="AI170">
        <v>93.513717258949299</v>
      </c>
      <c r="AJ170">
        <v>89.521081526581696</v>
      </c>
      <c r="AK170">
        <v>18.10472000371</v>
      </c>
      <c r="AL170">
        <v>80.036074554714602</v>
      </c>
      <c r="AM170">
        <v>89.172363083423605</v>
      </c>
      <c r="AN170">
        <v>1.00000006431393</v>
      </c>
    </row>
    <row r="171" spans="1:40" x14ac:dyDescent="0.25">
      <c r="A171" t="str">
        <f>"20190312172057711"</f>
        <v>20190312172057711</v>
      </c>
      <c r="B171" t="str">
        <f>"1552382457701475"</f>
        <v>1552382457701475</v>
      </c>
      <c r="C171" t="s">
        <v>40</v>
      </c>
      <c r="D171">
        <v>3.275299</v>
      </c>
      <c r="E171">
        <v>0.49789850000000002</v>
      </c>
      <c r="F171" t="s">
        <v>42</v>
      </c>
      <c r="G171">
        <v>-445.90179999999998</v>
      </c>
      <c r="H171" s="1">
        <v>-2.2041900000000002E-6</v>
      </c>
      <c r="I171">
        <v>368.00130000000001</v>
      </c>
      <c r="J171">
        <v>-464.21609999999998</v>
      </c>
      <c r="K171">
        <v>1.109585</v>
      </c>
      <c r="L171">
        <v>367.52839999999998</v>
      </c>
      <c r="M171">
        <v>0.99939270000000002</v>
      </c>
      <c r="N171">
        <v>0</v>
      </c>
      <c r="O171">
        <v>3.4341429999999999E-2</v>
      </c>
      <c r="P171">
        <v>0.98569899999999999</v>
      </c>
      <c r="Q171">
        <v>0.16735</v>
      </c>
      <c r="R171">
        <v>1.9784380000000001E-2</v>
      </c>
      <c r="S171">
        <v>3.0733030000000001</v>
      </c>
      <c r="T171">
        <v>-0.18522920000000001</v>
      </c>
      <c r="U171">
        <v>7.9498289999999999E-2</v>
      </c>
      <c r="V171">
        <v>1.4079990000000001E-2</v>
      </c>
      <c r="W171">
        <v>0.17316099999999901</v>
      </c>
      <c r="X171">
        <v>0.98479289999999997</v>
      </c>
      <c r="Y171">
        <v>8.4095790000000004E-3</v>
      </c>
      <c r="Z171">
        <v>-2.3202050000000001E-3</v>
      </c>
      <c r="AA171">
        <v>0.99996200000000002</v>
      </c>
      <c r="AB171">
        <v>18</v>
      </c>
      <c r="AC171">
        <v>18.314299999999999</v>
      </c>
      <c r="AD171">
        <v>-1.1095872041899999</v>
      </c>
      <c r="AE171">
        <v>0.47290000000003801</v>
      </c>
      <c r="AF171">
        <v>0.155757820859729</v>
      </c>
      <c r="AG171">
        <v>-1.1095872041899999</v>
      </c>
      <c r="AH171">
        <v>18.2527826258913</v>
      </c>
      <c r="AI171">
        <v>93.478604899192007</v>
      </c>
      <c r="AJ171">
        <v>89.511085551356402</v>
      </c>
      <c r="AK171">
        <v>18.287140778440499</v>
      </c>
      <c r="AL171">
        <v>80.028342766640606</v>
      </c>
      <c r="AM171">
        <v>89.180874435395694</v>
      </c>
      <c r="AN171">
        <v>1.0000000169648999</v>
      </c>
    </row>
    <row r="172" spans="1:40" x14ac:dyDescent="0.25">
      <c r="A172" t="str">
        <f>"20190312172057723"</f>
        <v>20190312172057723</v>
      </c>
      <c r="B172" t="str">
        <f>"1552382457711235"</f>
        <v>1552382457711235</v>
      </c>
      <c r="C172" t="s">
        <v>40</v>
      </c>
      <c r="D172">
        <v>3.3062649999999998</v>
      </c>
      <c r="E172">
        <v>0.4978902</v>
      </c>
      <c r="F172" t="s">
        <v>42</v>
      </c>
      <c r="G172">
        <v>-445.77409999999998</v>
      </c>
      <c r="H172" s="1">
        <v>-2.2635929999999998E-6</v>
      </c>
      <c r="I172">
        <v>368.00670000000002</v>
      </c>
      <c r="J172">
        <v>-464.11380000000003</v>
      </c>
      <c r="K172">
        <v>1.109572</v>
      </c>
      <c r="L172">
        <v>367.53199999999998</v>
      </c>
      <c r="M172">
        <v>0.9993919</v>
      </c>
      <c r="N172">
        <v>0</v>
      </c>
      <c r="O172">
        <v>3.4369179999999999E-2</v>
      </c>
      <c r="P172">
        <v>0.98568080000000002</v>
      </c>
      <c r="Q172">
        <v>0.1674668</v>
      </c>
      <c r="R172">
        <v>1.9709649999999999E-2</v>
      </c>
      <c r="S172">
        <v>3.0733030000000001</v>
      </c>
      <c r="T172">
        <v>-0.18490980000000001</v>
      </c>
      <c r="U172">
        <v>7.9711909999999997E-2</v>
      </c>
      <c r="V172">
        <v>1.4185680000000001E-2</v>
      </c>
      <c r="W172">
        <v>0.17328170000000001</v>
      </c>
      <c r="X172">
        <v>0.98477009999999998</v>
      </c>
      <c r="Y172">
        <v>8.3681709999999902E-3</v>
      </c>
      <c r="Z172">
        <v>-2.3166300000000001E-3</v>
      </c>
      <c r="AA172">
        <v>0.99996229999999997</v>
      </c>
      <c r="AB172">
        <v>18</v>
      </c>
      <c r="AC172">
        <v>18.339700000000001</v>
      </c>
      <c r="AD172">
        <v>-1.1095742635929999</v>
      </c>
      <c r="AE172">
        <v>0.47470000000004098</v>
      </c>
      <c r="AF172">
        <v>0.15534357342397501</v>
      </c>
      <c r="AG172">
        <v>-1.1095742635929999</v>
      </c>
      <c r="AH172">
        <v>18.2783188331811</v>
      </c>
      <c r="AI172">
        <v>93.473717538303106</v>
      </c>
      <c r="AJ172">
        <v>89.513066987789699</v>
      </c>
      <c r="AK172">
        <v>18.312624771988698</v>
      </c>
      <c r="AL172">
        <v>80.021320498641998</v>
      </c>
      <c r="AM172">
        <v>89.174707496046906</v>
      </c>
      <c r="AN172">
        <v>0.99999996546297998</v>
      </c>
    </row>
    <row r="173" spans="1:40" x14ac:dyDescent="0.25">
      <c r="A173" t="str">
        <f>"20190312172057736"</f>
        <v>20190312172057736</v>
      </c>
      <c r="B173" t="str">
        <f>"1552382457731730"</f>
        <v>1552382457731730</v>
      </c>
      <c r="C173" t="s">
        <v>40</v>
      </c>
      <c r="D173">
        <v>3.3026420000000001</v>
      </c>
      <c r="E173">
        <v>0.49790980000000001</v>
      </c>
      <c r="F173" t="s">
        <v>42</v>
      </c>
      <c r="G173">
        <v>-445.65629999999999</v>
      </c>
      <c r="H173" s="1">
        <v>-2.3188900000000001E-6</v>
      </c>
      <c r="I173">
        <v>368.00900000000001</v>
      </c>
      <c r="J173">
        <v>-464.00380000000001</v>
      </c>
      <c r="K173">
        <v>1.109564</v>
      </c>
      <c r="L173">
        <v>367.53579999999999</v>
      </c>
      <c r="M173">
        <v>0.99939129999999998</v>
      </c>
      <c r="N173">
        <v>0</v>
      </c>
      <c r="O173">
        <v>3.4387149999999998E-2</v>
      </c>
      <c r="P173">
        <v>0.98571600000000004</v>
      </c>
      <c r="Q173">
        <v>0.167261299999999</v>
      </c>
      <c r="R173">
        <v>1.9692580000000001E-2</v>
      </c>
      <c r="S173">
        <v>3.0733950000000001</v>
      </c>
      <c r="T173">
        <v>-0.1847569</v>
      </c>
      <c r="U173">
        <v>7.9437259999999996E-2</v>
      </c>
      <c r="V173">
        <v>1.4226010000000001E-2</v>
      </c>
      <c r="W173">
        <v>0.1730807</v>
      </c>
      <c r="X173">
        <v>0.98480489999999998</v>
      </c>
      <c r="Y173">
        <v>8.4761330000000003E-3</v>
      </c>
      <c r="Z173">
        <v>-2.3189740000000001E-3</v>
      </c>
      <c r="AA173">
        <v>0.9999614</v>
      </c>
      <c r="AB173">
        <v>19</v>
      </c>
      <c r="AC173">
        <v>18.3475</v>
      </c>
      <c r="AD173">
        <v>-1.10956631889</v>
      </c>
      <c r="AE173">
        <v>0.47320000000001899</v>
      </c>
      <c r="AF173">
        <v>0.157433612550677</v>
      </c>
      <c r="AG173">
        <v>-1.10956631889</v>
      </c>
      <c r="AH173">
        <v>18.2860889073702</v>
      </c>
      <c r="AI173">
        <v>93.472217027752606</v>
      </c>
      <c r="AJ173">
        <v>89.506725646036102</v>
      </c>
      <c r="AK173">
        <v>18.3203976563453</v>
      </c>
      <c r="AL173">
        <v>80.033013977673903</v>
      </c>
      <c r="AM173">
        <v>89.172390751016295</v>
      </c>
      <c r="AN173">
        <v>0.99999999956851005</v>
      </c>
    </row>
    <row r="174" spans="1:40" x14ac:dyDescent="0.25">
      <c r="A174" t="str">
        <f>"20190312172057755"</f>
        <v>20190312172057755</v>
      </c>
      <c r="B174" t="str">
        <f>"1552382457751251"</f>
        <v>1552382457751251</v>
      </c>
      <c r="C174" t="s">
        <v>40</v>
      </c>
      <c r="D174">
        <v>3.2929080000000002</v>
      </c>
      <c r="E174">
        <v>0.49791000000000002</v>
      </c>
      <c r="F174" t="s">
        <v>42</v>
      </c>
      <c r="G174">
        <v>-445.68680000000001</v>
      </c>
      <c r="H174" s="1">
        <v>-2.305356E-6</v>
      </c>
      <c r="I174">
        <v>368.00389999999999</v>
      </c>
      <c r="J174">
        <v>-463.84949999999998</v>
      </c>
      <c r="K174">
        <v>1.109551</v>
      </c>
      <c r="L174">
        <v>367.54109999999997</v>
      </c>
      <c r="M174">
        <v>0.99939080000000002</v>
      </c>
      <c r="N174">
        <v>0</v>
      </c>
      <c r="O174">
        <v>3.4397169999999998E-2</v>
      </c>
      <c r="P174">
        <v>0.985761</v>
      </c>
      <c r="Q174">
        <v>0.16703509999999999</v>
      </c>
      <c r="R174">
        <v>1.9353950000000002E-2</v>
      </c>
      <c r="S174">
        <v>3.0734859999999999</v>
      </c>
      <c r="T174">
        <v>-0.18617900000000001</v>
      </c>
      <c r="U174">
        <v>7.8552250000000004E-2</v>
      </c>
      <c r="V174">
        <v>1.4581119999999999E-2</v>
      </c>
      <c r="W174">
        <v>0.17286179999999901</v>
      </c>
      <c r="X174">
        <v>0.98483810000000005</v>
      </c>
      <c r="Y174">
        <v>8.7729260000000003E-3</v>
      </c>
      <c r="Z174">
        <v>-2.3463170000000001E-3</v>
      </c>
      <c r="AA174">
        <v>0.99995880000000004</v>
      </c>
      <c r="AB174">
        <v>19</v>
      </c>
      <c r="AC174">
        <v>18.162699999999901</v>
      </c>
      <c r="AD174">
        <v>-1.1095533053560001</v>
      </c>
      <c r="AE174">
        <v>0.46280000000001498</v>
      </c>
      <c r="AF174">
        <v>0.16162745152169</v>
      </c>
      <c r="AG174">
        <v>-1.1095533053560001</v>
      </c>
      <c r="AH174">
        <v>18.100365211734101</v>
      </c>
      <c r="AI174">
        <v>93.507705285212595</v>
      </c>
      <c r="AJ174">
        <v>89.488390173632794</v>
      </c>
      <c r="AK174">
        <v>18.135061421695401</v>
      </c>
      <c r="AL174">
        <v>80.045747437090895</v>
      </c>
      <c r="AM174">
        <v>89.151763522948897</v>
      </c>
      <c r="AN174">
        <v>0.99999994708564999</v>
      </c>
    </row>
    <row r="175" spans="1:40" x14ac:dyDescent="0.25">
      <c r="A175" t="str">
        <f>"20190312172057769"</f>
        <v>20190312172057769</v>
      </c>
      <c r="B175" t="str">
        <f>"1552382457761987"</f>
        <v>1552382457761987</v>
      </c>
      <c r="C175" t="s">
        <v>40</v>
      </c>
      <c r="D175">
        <v>3.3103229999999999</v>
      </c>
      <c r="E175">
        <v>0.49793579999999998</v>
      </c>
      <c r="F175" t="s">
        <v>42</v>
      </c>
      <c r="G175">
        <v>-445.6567</v>
      </c>
      <c r="H175" s="1">
        <v>-2.3210080000000001E-6</v>
      </c>
      <c r="I175">
        <v>367.99590000000001</v>
      </c>
      <c r="J175">
        <v>-463.73</v>
      </c>
      <c r="K175">
        <v>1.1095489999999999</v>
      </c>
      <c r="L175">
        <v>367.54520000000002</v>
      </c>
      <c r="M175">
        <v>0.99939080000000002</v>
      </c>
      <c r="N175">
        <v>0</v>
      </c>
      <c r="O175">
        <v>3.439561E-2</v>
      </c>
      <c r="P175">
        <v>0.98575480000000004</v>
      </c>
      <c r="Q175">
        <v>0.1671115</v>
      </c>
      <c r="R175">
        <v>1.90057E-2</v>
      </c>
      <c r="S175">
        <v>3.0735779999999999</v>
      </c>
      <c r="T175">
        <v>-0.18745329999999999</v>
      </c>
      <c r="U175">
        <v>7.6843259999999997E-2</v>
      </c>
      <c r="V175">
        <v>1.4930290000000001E-2</v>
      </c>
      <c r="W175">
        <v>0.1729435</v>
      </c>
      <c r="X175">
        <v>0.98481859999999999</v>
      </c>
      <c r="Y175">
        <v>9.3256729999999996E-3</v>
      </c>
      <c r="Z175">
        <v>-2.3790399999999998E-3</v>
      </c>
      <c r="AA175">
        <v>0.99995369999999995</v>
      </c>
      <c r="AB175">
        <v>19</v>
      </c>
      <c r="AC175">
        <v>18.0733</v>
      </c>
      <c r="AD175">
        <v>-1.1095513210079999</v>
      </c>
      <c r="AE175">
        <v>0.450699999999983</v>
      </c>
      <c r="AF175">
        <v>0.170577241729471</v>
      </c>
      <c r="AG175">
        <v>-1.1095513210079999</v>
      </c>
      <c r="AH175">
        <v>18.0102704094828</v>
      </c>
      <c r="AI175">
        <v>93.525184326009494</v>
      </c>
      <c r="AJ175">
        <v>89.457361627780799</v>
      </c>
      <c r="AK175">
        <v>18.0452221086923</v>
      </c>
      <c r="AL175">
        <v>80.0409955385947</v>
      </c>
      <c r="AM175">
        <v>89.131436921605001</v>
      </c>
      <c r="AN175">
        <v>1.00000002132884</v>
      </c>
    </row>
    <row r="176" spans="1:40" x14ac:dyDescent="0.25">
      <c r="A176" t="str">
        <f>"20190312172057783"</f>
        <v>20190312172057783</v>
      </c>
      <c r="B176" t="str">
        <f>"1552382457771747"</f>
        <v>1552382457771747</v>
      </c>
      <c r="C176" t="s">
        <v>40</v>
      </c>
      <c r="D176">
        <v>3.3152270000000001</v>
      </c>
      <c r="E176">
        <v>0.49792360000000002</v>
      </c>
      <c r="F176" t="s">
        <v>42</v>
      </c>
      <c r="G176">
        <v>-445.51799999999997</v>
      </c>
      <c r="H176" s="1">
        <v>-2.3876190000000001E-6</v>
      </c>
      <c r="I176">
        <v>367.99009999999998</v>
      </c>
      <c r="J176">
        <v>-463.61290000000002</v>
      </c>
      <c r="K176">
        <v>1.1095469999999901</v>
      </c>
      <c r="L176">
        <v>367.54930000000002</v>
      </c>
      <c r="M176">
        <v>0.99939109999999998</v>
      </c>
      <c r="N176">
        <v>0</v>
      </c>
      <c r="O176">
        <v>3.4389059999999999E-2</v>
      </c>
      <c r="P176">
        <v>0.98572839999999995</v>
      </c>
      <c r="Q176">
        <v>0.16728309999999999</v>
      </c>
      <c r="R176">
        <v>1.887316E-2</v>
      </c>
      <c r="S176">
        <v>3.0735779999999999</v>
      </c>
      <c r="T176">
        <v>-0.1872548</v>
      </c>
      <c r="U176">
        <v>7.5073239999999999E-2</v>
      </c>
      <c r="V176">
        <v>1.505737E-2</v>
      </c>
      <c r="W176">
        <v>0.1731211</v>
      </c>
      <c r="X176">
        <v>0.98478540000000003</v>
      </c>
      <c r="Y176">
        <v>9.8937450000000007E-3</v>
      </c>
      <c r="Z176">
        <v>-2.3934350000000002E-3</v>
      </c>
      <c r="AA176">
        <v>0.99994819999999995</v>
      </c>
      <c r="AB176">
        <v>19</v>
      </c>
      <c r="AC176">
        <v>18.094899999999999</v>
      </c>
      <c r="AD176">
        <v>-1.1095493876189999</v>
      </c>
      <c r="AE176">
        <v>0.440799999999967</v>
      </c>
      <c r="AF176">
        <v>0.181057806446867</v>
      </c>
      <c r="AG176">
        <v>-1.1095493876189999</v>
      </c>
      <c r="AH176">
        <v>18.031598325514299</v>
      </c>
      <c r="AI176">
        <v>93.520999556192805</v>
      </c>
      <c r="AJ176">
        <v>89.424704380326105</v>
      </c>
      <c r="AK176">
        <v>18.066610638012101</v>
      </c>
      <c r="AL176">
        <v>80.030663369538402</v>
      </c>
      <c r="AM176">
        <v>89.124015718937798</v>
      </c>
      <c r="AN176">
        <v>0.99999996185484197</v>
      </c>
    </row>
    <row r="177" spans="1:40" x14ac:dyDescent="0.25">
      <c r="A177" t="str">
        <f>"20190312172057801"</f>
        <v>20190312172057801</v>
      </c>
      <c r="B177" t="str">
        <f>"1552382457792243"</f>
        <v>1552382457792243</v>
      </c>
      <c r="C177" t="s">
        <v>40</v>
      </c>
      <c r="D177">
        <v>3.3061310000000002</v>
      </c>
      <c r="E177">
        <v>0.49786900000000001</v>
      </c>
      <c r="F177" t="s">
        <v>42</v>
      </c>
      <c r="G177">
        <v>-445.3707</v>
      </c>
      <c r="H177" s="1">
        <v>-2.457349E-6</v>
      </c>
      <c r="I177">
        <v>367.9896</v>
      </c>
      <c r="J177">
        <v>-463.46409999999997</v>
      </c>
      <c r="K177">
        <v>1.1095459999999999</v>
      </c>
      <c r="L177">
        <v>367.55439999999999</v>
      </c>
      <c r="M177">
        <v>0.99939149999999999</v>
      </c>
      <c r="N177">
        <v>0</v>
      </c>
      <c r="O177">
        <v>3.437345E-2</v>
      </c>
      <c r="P177">
        <v>0.98566469999999995</v>
      </c>
      <c r="Q177">
        <v>0.1676985</v>
      </c>
      <c r="R177">
        <v>1.8503349999999998E-2</v>
      </c>
      <c r="S177">
        <v>3.0737299999999999</v>
      </c>
      <c r="T177">
        <v>-0.18695400000000001</v>
      </c>
      <c r="U177">
        <v>7.4188229999999994E-2</v>
      </c>
      <c r="V177">
        <v>1.541064E-2</v>
      </c>
      <c r="W177">
        <v>0.17354420000000001</v>
      </c>
      <c r="X177">
        <v>0.98470550000000001</v>
      </c>
      <c r="Y177">
        <v>1.016689E-2</v>
      </c>
      <c r="Z177">
        <v>-2.3968409999999998E-3</v>
      </c>
      <c r="AA177">
        <v>0.99994550000000004</v>
      </c>
      <c r="AB177">
        <v>19</v>
      </c>
      <c r="AC177">
        <v>18.0933999999999</v>
      </c>
      <c r="AD177">
        <v>-1.109548457349</v>
      </c>
      <c r="AE177">
        <v>0.43520000000000802</v>
      </c>
      <c r="AF177">
        <v>0.186300492380234</v>
      </c>
      <c r="AG177">
        <v>-1.109548457349</v>
      </c>
      <c r="AH177">
        <v>18.029903791861699</v>
      </c>
      <c r="AI177">
        <v>93.521316261325495</v>
      </c>
      <c r="AJ177">
        <v>89.407991734549299</v>
      </c>
      <c r="AK177">
        <v>18.0649726375784</v>
      </c>
      <c r="AL177">
        <v>80.006049323428002</v>
      </c>
      <c r="AM177">
        <v>89.103394308015297</v>
      </c>
      <c r="AN177">
        <v>0.99999999945454898</v>
      </c>
    </row>
    <row r="178" spans="1:40" x14ac:dyDescent="0.25">
      <c r="A178" t="str">
        <f>"20190312172057813"</f>
        <v>20190312172057813</v>
      </c>
      <c r="B178" t="str">
        <f>"1552382457802002"</f>
        <v>1552382457802002</v>
      </c>
      <c r="C178" t="s">
        <v>40</v>
      </c>
      <c r="D178">
        <v>3.2935680000000001</v>
      </c>
      <c r="E178">
        <v>0.49785629999999997</v>
      </c>
      <c r="F178" t="s">
        <v>42</v>
      </c>
      <c r="G178">
        <v>-445.15410000000003</v>
      </c>
      <c r="H178" s="1">
        <v>-2.5602539999999999E-6</v>
      </c>
      <c r="I178">
        <v>367.98669999999998</v>
      </c>
      <c r="J178">
        <v>-463.35050000000001</v>
      </c>
      <c r="K178">
        <v>1.1095469999999901</v>
      </c>
      <c r="L178">
        <v>367.55829999999997</v>
      </c>
      <c r="M178">
        <v>0.99939199999999995</v>
      </c>
      <c r="N178">
        <v>0</v>
      </c>
      <c r="O178">
        <v>3.4354889999999999E-2</v>
      </c>
      <c r="P178">
        <v>0.98568009999999995</v>
      </c>
      <c r="Q178">
        <v>0.16764509999999999</v>
      </c>
      <c r="R178">
        <v>1.816626E-2</v>
      </c>
      <c r="S178">
        <v>3.0739749999999999</v>
      </c>
      <c r="T178">
        <v>-0.18627669999999999</v>
      </c>
      <c r="U178">
        <v>7.2570800000000005E-2</v>
      </c>
      <c r="V178">
        <v>1.5730129999999998E-2</v>
      </c>
      <c r="W178">
        <v>0.17349719999999999</v>
      </c>
      <c r="X178">
        <v>0.98470869999999999</v>
      </c>
      <c r="Y178">
        <v>1.0675779999999999E-2</v>
      </c>
      <c r="Z178">
        <v>-2.4022829999999998E-3</v>
      </c>
      <c r="AA178">
        <v>0.9999401</v>
      </c>
      <c r="AB178">
        <v>19</v>
      </c>
      <c r="AC178">
        <v>18.196399999999901</v>
      </c>
      <c r="AD178">
        <v>-1.10954956025399</v>
      </c>
      <c r="AE178">
        <v>0.42840000000001</v>
      </c>
      <c r="AF178">
        <v>0.196269922462915</v>
      </c>
      <c r="AG178">
        <v>-1.10954956025399</v>
      </c>
      <c r="AH178">
        <v>18.1329929684977</v>
      </c>
      <c r="AI178">
        <v>93.501332250409803</v>
      </c>
      <c r="AJ178">
        <v>89.379859734572705</v>
      </c>
      <c r="AK178">
        <v>18.167967858423498</v>
      </c>
      <c r="AL178">
        <v>80.008783403953302</v>
      </c>
      <c r="AM178">
        <v>89.084812179007301</v>
      </c>
      <c r="AN178">
        <v>0.99999996962667304</v>
      </c>
    </row>
    <row r="179" spans="1:40" x14ac:dyDescent="0.25">
      <c r="A179" t="str">
        <f>"20190312172057828"</f>
        <v>20190312172057828</v>
      </c>
      <c r="B179" t="str">
        <f>"1552382457821523"</f>
        <v>1552382457821523</v>
      </c>
      <c r="C179" t="s">
        <v>40</v>
      </c>
      <c r="D179">
        <v>3.2894220000000001</v>
      </c>
      <c r="E179">
        <v>0.4978148</v>
      </c>
      <c r="F179" t="s">
        <v>42</v>
      </c>
      <c r="G179">
        <v>-445.10320000000002</v>
      </c>
      <c r="H179" s="1">
        <v>-2.5852720000000001E-6</v>
      </c>
      <c r="I179">
        <v>367.9812</v>
      </c>
      <c r="J179">
        <v>-463.2407</v>
      </c>
      <c r="K179">
        <v>1.109548</v>
      </c>
      <c r="L179">
        <v>367.56200000000001</v>
      </c>
      <c r="M179">
        <v>0.99939270000000002</v>
      </c>
      <c r="N179">
        <v>0</v>
      </c>
      <c r="O179">
        <v>3.4333339999999997E-2</v>
      </c>
      <c r="P179">
        <v>0.98564549999999995</v>
      </c>
      <c r="Q179">
        <v>0.16789309999999999</v>
      </c>
      <c r="R179">
        <v>1.775063E-2</v>
      </c>
      <c r="S179">
        <v>3.0740660000000002</v>
      </c>
      <c r="T179">
        <v>-0.1869218</v>
      </c>
      <c r="U179">
        <v>7.1258539999999995E-2</v>
      </c>
      <c r="V179">
        <v>1.612332E-2</v>
      </c>
      <c r="W179">
        <v>0.17375079999999901</v>
      </c>
      <c r="X179">
        <v>0.98465760000000002</v>
      </c>
      <c r="Y179">
        <v>1.108027E-2</v>
      </c>
      <c r="Z179">
        <v>-2.4215090000000001E-3</v>
      </c>
      <c r="AA179">
        <v>0.99993569999999998</v>
      </c>
      <c r="AB179">
        <v>19</v>
      </c>
      <c r="AC179">
        <v>18.1374999999999</v>
      </c>
      <c r="AD179">
        <v>-1.109550585272</v>
      </c>
      <c r="AE179">
        <v>0.41920000000004598</v>
      </c>
      <c r="AF179">
        <v>0.20301979006575399</v>
      </c>
      <c r="AG179">
        <v>-1.109550585272</v>
      </c>
      <c r="AH179">
        <v>18.073598379698399</v>
      </c>
      <c r="AI179">
        <v>93.512797214081999</v>
      </c>
      <c r="AJ179">
        <v>89.356426557948495</v>
      </c>
      <c r="AK179">
        <v>18.108762462605601</v>
      </c>
      <c r="AL179">
        <v>79.994028862768602</v>
      </c>
      <c r="AM179">
        <v>89.061891528248097</v>
      </c>
      <c r="AN179">
        <v>0.99999994559310901</v>
      </c>
    </row>
    <row r="180" spans="1:40" x14ac:dyDescent="0.25">
      <c r="A180" t="str">
        <f>"20190312172057846"</f>
        <v>20190312172057846</v>
      </c>
      <c r="B180" t="str">
        <f>"1552382457842019"</f>
        <v>1552382457842019</v>
      </c>
      <c r="C180" t="s">
        <v>40</v>
      </c>
      <c r="D180">
        <v>3.3827750000000001</v>
      </c>
      <c r="E180">
        <v>0.49777169999999998</v>
      </c>
      <c r="F180" t="s">
        <v>42</v>
      </c>
      <c r="G180">
        <v>-445.01839999999999</v>
      </c>
      <c r="H180" s="1">
        <v>-2.6264719999999998E-6</v>
      </c>
      <c r="I180">
        <v>367.97500000000002</v>
      </c>
      <c r="J180">
        <v>-463.07859999999999</v>
      </c>
      <c r="K180">
        <v>1.1095469999999901</v>
      </c>
      <c r="L180">
        <v>367.56760000000003</v>
      </c>
      <c r="M180">
        <v>0.99939409999999895</v>
      </c>
      <c r="N180">
        <v>0</v>
      </c>
      <c r="O180">
        <v>3.429252E-2</v>
      </c>
      <c r="P180">
        <v>0.98554759999999997</v>
      </c>
      <c r="Q180">
        <v>0.16851429999999901</v>
      </c>
      <c r="R180">
        <v>1.7288319999999999E-2</v>
      </c>
      <c r="S180">
        <v>3.0743100000000001</v>
      </c>
      <c r="T180">
        <v>-0.187194</v>
      </c>
      <c r="U180">
        <v>6.9671629999999998E-2</v>
      </c>
      <c r="V180">
        <v>1.6543240000000001E-2</v>
      </c>
      <c r="W180">
        <v>0.17438139999999999</v>
      </c>
      <c r="X180">
        <v>0.98453919999999995</v>
      </c>
      <c r="Y180">
        <v>1.155611E-2</v>
      </c>
      <c r="Z180">
        <v>-2.4368459999999999E-3</v>
      </c>
      <c r="AA180">
        <v>0.99993030000000005</v>
      </c>
      <c r="AB180">
        <v>19</v>
      </c>
      <c r="AC180">
        <v>18.060199999999998</v>
      </c>
      <c r="AD180">
        <v>-1.10954962647199</v>
      </c>
      <c r="AE180">
        <v>0.40739999999999499</v>
      </c>
      <c r="AF180">
        <v>0.211382936167991</v>
      </c>
      <c r="AG180">
        <v>-1.10954962647199</v>
      </c>
      <c r="AH180">
        <v>17.9956599899369</v>
      </c>
      <c r="AI180">
        <v>93.527948841338201</v>
      </c>
      <c r="AJ180">
        <v>89.327015895486795</v>
      </c>
      <c r="AK180">
        <v>18.031072114345399</v>
      </c>
      <c r="AL180">
        <v>79.957338508110297</v>
      </c>
      <c r="AM180">
        <v>89.037347989835894</v>
      </c>
      <c r="AN180">
        <v>0.99999999389614802</v>
      </c>
    </row>
    <row r="181" spans="1:40" x14ac:dyDescent="0.25">
      <c r="A181" t="str">
        <f>"20190312172057867"</f>
        <v>20190312172057867</v>
      </c>
      <c r="B181" t="str">
        <f>"1552382457861539"</f>
        <v>1552382457861539</v>
      </c>
      <c r="C181" t="s">
        <v>40</v>
      </c>
      <c r="D181">
        <v>3.3367960000000001</v>
      </c>
      <c r="E181">
        <v>0.49612469999999997</v>
      </c>
      <c r="F181" t="s">
        <v>42</v>
      </c>
      <c r="G181">
        <v>-444.70389999999998</v>
      </c>
      <c r="H181" s="1">
        <v>-2.7744839999999998E-6</v>
      </c>
      <c r="I181">
        <v>367.9785</v>
      </c>
      <c r="J181">
        <v>-462.89589999999998</v>
      </c>
      <c r="K181">
        <v>1.10954</v>
      </c>
      <c r="L181">
        <v>367.57380000000001</v>
      </c>
      <c r="M181">
        <v>0.99939630000000002</v>
      </c>
      <c r="N181">
        <v>0</v>
      </c>
      <c r="O181">
        <v>3.4228660000000001E-2</v>
      </c>
      <c r="P181">
        <v>0.98548570000000002</v>
      </c>
      <c r="Q181">
        <v>0.16894029999999999</v>
      </c>
      <c r="R181">
        <v>1.6649799999999999E-2</v>
      </c>
      <c r="S181">
        <v>3.074554</v>
      </c>
      <c r="T181">
        <v>-0.1856564</v>
      </c>
      <c r="U181">
        <v>6.8756100000000001E-2</v>
      </c>
      <c r="V181">
        <v>1.7119329999999999E-2</v>
      </c>
      <c r="W181">
        <v>0.17481759999999999</v>
      </c>
      <c r="X181">
        <v>0.98445199999999999</v>
      </c>
      <c r="Y181">
        <v>1.17927E-2</v>
      </c>
      <c r="Z181">
        <v>-2.4199709999999999E-3</v>
      </c>
      <c r="AA181">
        <v>0.99992749999999997</v>
      </c>
      <c r="AB181">
        <v>19</v>
      </c>
      <c r="AC181">
        <v>18.192</v>
      </c>
      <c r="AD181">
        <v>-1.1095427744840001</v>
      </c>
      <c r="AE181">
        <v>0.40469999999999101</v>
      </c>
      <c r="AF181">
        <v>0.217427565500665</v>
      </c>
      <c r="AG181">
        <v>-1.1095427744840001</v>
      </c>
      <c r="AH181">
        <v>18.127792608763698</v>
      </c>
      <c r="AI181">
        <v>93.502266181419401</v>
      </c>
      <c r="AJ181">
        <v>89.312818455782704</v>
      </c>
      <c r="AK181">
        <v>18.163018052652902</v>
      </c>
      <c r="AL181">
        <v>79.931956292428893</v>
      </c>
      <c r="AM181">
        <v>89.003743703912306</v>
      </c>
      <c r="AN181">
        <v>1.0000000025167</v>
      </c>
    </row>
    <row r="182" spans="1:40" x14ac:dyDescent="0.25">
      <c r="A182" t="str">
        <f>"20190312172057880"</f>
        <v>20190312172057880</v>
      </c>
      <c r="B182" t="str">
        <f>"1552382457871299"</f>
        <v>1552382457871299</v>
      </c>
      <c r="C182" t="s">
        <v>40</v>
      </c>
      <c r="D182">
        <v>3.3556699999999999</v>
      </c>
      <c r="E182">
        <v>0.4961197</v>
      </c>
      <c r="F182" t="s">
        <v>42</v>
      </c>
      <c r="G182">
        <v>-445.98790000000002</v>
      </c>
      <c r="H182" s="1">
        <v>-2.1612530000000001E-6</v>
      </c>
      <c r="I182">
        <v>368.01389999999998</v>
      </c>
      <c r="J182">
        <v>-462.7842</v>
      </c>
      <c r="K182">
        <v>1.109531</v>
      </c>
      <c r="L182">
        <v>367.57749999999999</v>
      </c>
      <c r="M182">
        <v>0.9993978</v>
      </c>
      <c r="N182">
        <v>0</v>
      </c>
      <c r="O182">
        <v>3.4182329999999997E-2</v>
      </c>
      <c r="P182">
        <v>0.98544489999999996</v>
      </c>
      <c r="Q182">
        <v>0.16919229999999999</v>
      </c>
      <c r="R182">
        <v>1.6508109999999999E-2</v>
      </c>
      <c r="S182">
        <v>3.0774539999999999</v>
      </c>
      <c r="T182">
        <v>-0.20194980000000001</v>
      </c>
      <c r="U182">
        <v>8.0108639999999995E-2</v>
      </c>
      <c r="V182">
        <v>1.721696E-2</v>
      </c>
      <c r="W182">
        <v>0.175075799999999</v>
      </c>
      <c r="X182">
        <v>0.98440439999999996</v>
      </c>
      <c r="Y182">
        <v>8.0737829999999993E-3</v>
      </c>
      <c r="Z182">
        <v>-2.5043830000000002E-3</v>
      </c>
      <c r="AA182">
        <v>0.99996430000000003</v>
      </c>
      <c r="AB182">
        <v>19</v>
      </c>
      <c r="AC182">
        <v>16.796299999999899</v>
      </c>
      <c r="AD182">
        <v>-1.1095331612529999</v>
      </c>
      <c r="AE182">
        <v>0.43639999999999102</v>
      </c>
      <c r="AF182">
        <v>0.13740274856444801</v>
      </c>
      <c r="AG182">
        <v>-1.1095331612529999</v>
      </c>
      <c r="AH182">
        <v>16.728453107827299</v>
      </c>
      <c r="AI182">
        <v>93.794520448189701</v>
      </c>
      <c r="AJ182">
        <v>89.529399371193605</v>
      </c>
      <c r="AK182">
        <v>16.765771283541</v>
      </c>
      <c r="AL182">
        <v>79.916930681214097</v>
      </c>
      <c r="AM182">
        <v>88.998014860856301</v>
      </c>
      <c r="AN182">
        <v>0.99999999109832005</v>
      </c>
    </row>
    <row r="183" spans="1:40" x14ac:dyDescent="0.25">
      <c r="A183" t="str">
        <f>"20190312172057891"</f>
        <v>20190312172057891</v>
      </c>
      <c r="B183" t="str">
        <f>"1552382457882035"</f>
        <v>1552382457882035</v>
      </c>
      <c r="C183" t="s">
        <v>40</v>
      </c>
      <c r="D183">
        <v>3.3716390000000001</v>
      </c>
      <c r="E183">
        <v>0.49585469999999998</v>
      </c>
      <c r="F183" t="s">
        <v>42</v>
      </c>
      <c r="G183">
        <v>-445.68509999999998</v>
      </c>
      <c r="H183" s="1">
        <v>-2.303367E-6</v>
      </c>
      <c r="I183">
        <v>368.01979999999998</v>
      </c>
      <c r="J183">
        <v>-462.67689999999999</v>
      </c>
      <c r="K183">
        <v>1.1095269999999999</v>
      </c>
      <c r="L183">
        <v>367.58120000000002</v>
      </c>
      <c r="M183">
        <v>0.99939960000000005</v>
      </c>
      <c r="N183">
        <v>0</v>
      </c>
      <c r="O183">
        <v>3.412639E-2</v>
      </c>
      <c r="P183">
        <v>0.98541699999999999</v>
      </c>
      <c r="Q183">
        <v>0.16936699999999999</v>
      </c>
      <c r="R183">
        <v>1.638013E-2</v>
      </c>
      <c r="S183">
        <v>3.0773320000000002</v>
      </c>
      <c r="T183">
        <v>-0.19968240000000001</v>
      </c>
      <c r="U183">
        <v>7.9589839999999995E-2</v>
      </c>
      <c r="V183">
        <v>1.7292579999999998E-2</v>
      </c>
      <c r="W183">
        <v>0.17525750000000001</v>
      </c>
      <c r="X183">
        <v>0.98437079999999999</v>
      </c>
      <c r="Y183">
        <v>8.1871419999999997E-3</v>
      </c>
      <c r="Z183">
        <v>-2.4764779999999998E-3</v>
      </c>
      <c r="AA183">
        <v>0.99996339999999995</v>
      </c>
      <c r="AB183">
        <v>19</v>
      </c>
      <c r="AC183">
        <v>16.991800000000001</v>
      </c>
      <c r="AD183">
        <v>-1.109529303367</v>
      </c>
      <c r="AE183">
        <v>0.43859999999995097</v>
      </c>
      <c r="AF183">
        <v>0.140934146985638</v>
      </c>
      <c r="AG183">
        <v>-1.109529303367</v>
      </c>
      <c r="AH183">
        <v>16.9247544086255</v>
      </c>
      <c r="AI183">
        <v>93.750619649541306</v>
      </c>
      <c r="AJ183">
        <v>89.5229032584988</v>
      </c>
      <c r="AK183">
        <v>16.961669419638699</v>
      </c>
      <c r="AL183">
        <v>79.906357132196405</v>
      </c>
      <c r="AM183">
        <v>88.993580519814998</v>
      </c>
      <c r="AN183">
        <v>1.0000000482609701</v>
      </c>
    </row>
    <row r="184" spans="1:40" x14ac:dyDescent="0.25">
      <c r="A184" t="str">
        <f>"20190312172057904"</f>
        <v>20190312172057904</v>
      </c>
      <c r="B184" t="str">
        <f>"1552382457901554"</f>
        <v>1552382457901554</v>
      </c>
      <c r="C184" t="s">
        <v>40</v>
      </c>
      <c r="D184">
        <v>3.3340079999999999</v>
      </c>
      <c r="E184">
        <v>0.49581019999999998</v>
      </c>
      <c r="F184" t="s">
        <v>42</v>
      </c>
      <c r="G184">
        <v>-445.52980000000002</v>
      </c>
      <c r="H184" s="1">
        <v>-2.3744850000000001E-6</v>
      </c>
      <c r="I184">
        <v>368.03269999999998</v>
      </c>
      <c r="J184">
        <v>-462.57709999999997</v>
      </c>
      <c r="K184">
        <v>1.1095189999999999</v>
      </c>
      <c r="L184">
        <v>367.58449999999999</v>
      </c>
      <c r="M184">
        <v>0.9994016</v>
      </c>
      <c r="N184">
        <v>0</v>
      </c>
      <c r="O184">
        <v>3.4069799999999997E-2</v>
      </c>
      <c r="P184">
        <v>0.98538179999999997</v>
      </c>
      <c r="Q184">
        <v>0.1695651</v>
      </c>
      <c r="R184">
        <v>1.644634E-2</v>
      </c>
      <c r="S184">
        <v>3.0773009999999998</v>
      </c>
      <c r="T184">
        <v>-0.19912170000000001</v>
      </c>
      <c r="U184">
        <v>8.1024170000000006E-2</v>
      </c>
      <c r="V184">
        <v>1.7173589999999999E-2</v>
      </c>
      <c r="W184">
        <v>0.1754608</v>
      </c>
      <c r="X184">
        <v>0.98433660000000001</v>
      </c>
      <c r="Y184">
        <v>7.6661990000000003E-3</v>
      </c>
      <c r="Z184">
        <v>-2.4490549999999999E-3</v>
      </c>
      <c r="AA184">
        <v>0.99996759999999996</v>
      </c>
      <c r="AB184">
        <v>19</v>
      </c>
      <c r="AC184">
        <v>17.0472999999999</v>
      </c>
      <c r="AD184">
        <v>-1.1095213744850001</v>
      </c>
      <c r="AE184">
        <v>0.448199999999985</v>
      </c>
      <c r="AF184">
        <v>0.132308598052127</v>
      </c>
      <c r="AG184">
        <v>-1.1095213744850001</v>
      </c>
      <c r="AH184">
        <v>16.980791654176802</v>
      </c>
      <c r="AI184">
        <v>93.738267065125399</v>
      </c>
      <c r="AJ184">
        <v>89.553579655586901</v>
      </c>
      <c r="AK184">
        <v>17.017515342966998</v>
      </c>
      <c r="AL184">
        <v>79.894524901876196</v>
      </c>
      <c r="AM184">
        <v>89.000469548758801</v>
      </c>
      <c r="AN184">
        <v>0.99999998331484397</v>
      </c>
    </row>
    <row r="185" spans="1:40" x14ac:dyDescent="0.25">
      <c r="A185" t="str">
        <f>"20190312172057923"</f>
        <v>20190312172057923</v>
      </c>
      <c r="B185" t="str">
        <f>"1552382457911314"</f>
        <v>1552382457911314</v>
      </c>
      <c r="C185" t="s">
        <v>40</v>
      </c>
      <c r="D185">
        <v>3.333952</v>
      </c>
      <c r="E185">
        <v>0.49533569999999999</v>
      </c>
      <c r="F185" t="s">
        <v>43</v>
      </c>
      <c r="G185">
        <v>-438.52010000000001</v>
      </c>
      <c r="H185">
        <v>-0.05</v>
      </c>
      <c r="I185">
        <v>368.2235</v>
      </c>
      <c r="J185">
        <v>-462.41239999999999</v>
      </c>
      <c r="K185">
        <v>1.1095060000000001</v>
      </c>
      <c r="L185">
        <v>367.59</v>
      </c>
      <c r="M185">
        <v>0.99940530000000005</v>
      </c>
      <c r="N185">
        <v>0</v>
      </c>
      <c r="O185">
        <v>3.3957979999999999E-2</v>
      </c>
      <c r="P185">
        <v>0.98534390000000005</v>
      </c>
      <c r="Q185">
        <v>0.16976959999999999</v>
      </c>
      <c r="R185">
        <v>1.6605599999999901E-2</v>
      </c>
      <c r="S185">
        <v>3.0685730000000002</v>
      </c>
      <c r="T185">
        <v>-0.14790120000000001</v>
      </c>
      <c r="U185">
        <v>8.151245E-2</v>
      </c>
      <c r="V185">
        <v>1.6910439999999999E-2</v>
      </c>
      <c r="W185">
        <v>0.17567530000000001</v>
      </c>
      <c r="X185">
        <v>0.98430289999999998</v>
      </c>
      <c r="Y185">
        <v>7.3597609999999898E-3</v>
      </c>
      <c r="Z185">
        <v>-1.812333E-3</v>
      </c>
      <c r="AA185">
        <v>0.99997130000000001</v>
      </c>
      <c r="AB185">
        <v>19</v>
      </c>
      <c r="AC185">
        <v>23.892299999999899</v>
      </c>
      <c r="AD185">
        <v>-1.1595059999999999</v>
      </c>
      <c r="AE185">
        <v>0.63350000000002604</v>
      </c>
      <c r="AF185">
        <v>0.17779573461442399</v>
      </c>
      <c r="AG185">
        <v>-1.1595059999999999</v>
      </c>
      <c r="AH185">
        <v>23.843914631174901</v>
      </c>
      <c r="AI185">
        <v>92.783966681000393</v>
      </c>
      <c r="AJ185">
        <v>89.572773323126498</v>
      </c>
      <c r="AK185">
        <v>23.8727528874665</v>
      </c>
      <c r="AL185">
        <v>79.882041081318306</v>
      </c>
      <c r="AM185">
        <v>89.015748573735394</v>
      </c>
      <c r="AN185">
        <v>0.99999998647974597</v>
      </c>
    </row>
    <row r="186" spans="1:40" x14ac:dyDescent="0.25">
      <c r="A186" t="str">
        <f>"20190312172057944"</f>
        <v>20190312172057944</v>
      </c>
      <c r="B186" t="str">
        <f>"1552382457941572"</f>
        <v>1552382457941572</v>
      </c>
      <c r="C186" t="s">
        <v>40</v>
      </c>
      <c r="D186">
        <v>3.3452929999999999</v>
      </c>
      <c r="E186">
        <v>0.49509019999999998</v>
      </c>
      <c r="F186" t="s">
        <v>43</v>
      </c>
      <c r="G186">
        <v>-436.68299999999999</v>
      </c>
      <c r="H186">
        <v>-0.05</v>
      </c>
      <c r="I186">
        <v>368.30790000000002</v>
      </c>
      <c r="J186">
        <v>-462.22219999999999</v>
      </c>
      <c r="K186">
        <v>1.10948</v>
      </c>
      <c r="L186">
        <v>367.59629999999999</v>
      </c>
      <c r="M186">
        <v>0.99941060000000004</v>
      </c>
      <c r="N186">
        <v>0</v>
      </c>
      <c r="O186">
        <v>3.3797010000000002E-2</v>
      </c>
      <c r="P186">
        <v>0.98525379999999996</v>
      </c>
      <c r="Q186">
        <v>0.1702767</v>
      </c>
      <c r="R186">
        <v>1.676364E-2</v>
      </c>
      <c r="S186">
        <v>3.066986</v>
      </c>
      <c r="T186">
        <v>-0.13821530000000001</v>
      </c>
      <c r="U186">
        <v>8.5571289999999994E-2</v>
      </c>
      <c r="V186">
        <v>1.6600859999999999E-2</v>
      </c>
      <c r="W186">
        <v>0.17619399999999999</v>
      </c>
      <c r="X186">
        <v>0.98421539999999996</v>
      </c>
      <c r="Y186">
        <v>5.8702759999999998E-3</v>
      </c>
      <c r="Z186">
        <v>-1.65382299999999E-3</v>
      </c>
      <c r="AA186">
        <v>0.99998140000000002</v>
      </c>
      <c r="AB186">
        <v>20</v>
      </c>
      <c r="AC186">
        <v>25.539199999999902</v>
      </c>
      <c r="AD186">
        <v>-1.1594799999999901</v>
      </c>
      <c r="AE186">
        <v>0.71160000000003198</v>
      </c>
      <c r="AF186">
        <v>0.15165841670448299</v>
      </c>
      <c r="AG186">
        <v>-1.1594799999999901</v>
      </c>
      <c r="AH186">
        <v>25.496148866450799</v>
      </c>
      <c r="AI186">
        <v>92.603781346769296</v>
      </c>
      <c r="AJ186">
        <v>89.659192265878602</v>
      </c>
      <c r="AK186">
        <v>25.522950479244699</v>
      </c>
      <c r="AL186">
        <v>79.851850308541799</v>
      </c>
      <c r="AM186">
        <v>89.033677964828001</v>
      </c>
      <c r="AN186">
        <v>0.99999993389294695</v>
      </c>
    </row>
    <row r="187" spans="1:40" x14ac:dyDescent="0.25">
      <c r="A187" t="str">
        <f>"20190312172057956"</f>
        <v>20190312172057956</v>
      </c>
      <c r="B187" t="str">
        <f>"1552382457951330"</f>
        <v>1552382457951330</v>
      </c>
      <c r="C187" t="s">
        <v>40</v>
      </c>
      <c r="D187">
        <v>3.3365010000000002</v>
      </c>
      <c r="E187">
        <v>0.49500450000000001</v>
      </c>
      <c r="F187" t="s">
        <v>43</v>
      </c>
      <c r="G187">
        <v>-435.37880000000001</v>
      </c>
      <c r="H187">
        <v>-0.05</v>
      </c>
      <c r="I187">
        <v>368.36700000000002</v>
      </c>
      <c r="J187">
        <v>-462.1157</v>
      </c>
      <c r="K187">
        <v>1.1094679999999999</v>
      </c>
      <c r="L187">
        <v>367.59980000000002</v>
      </c>
      <c r="M187">
        <v>0.99941409999999997</v>
      </c>
      <c r="N187">
        <v>0</v>
      </c>
      <c r="O187">
        <v>3.3693000000000001E-2</v>
      </c>
      <c r="P187">
        <v>0.98520090000000005</v>
      </c>
      <c r="Q187">
        <v>0.17057610000000001</v>
      </c>
      <c r="R187">
        <v>1.6832340000000001E-2</v>
      </c>
      <c r="S187">
        <v>3.066284</v>
      </c>
      <c r="T187">
        <v>-0.13244549999999999</v>
      </c>
      <c r="U187">
        <v>8.8043209999999997E-2</v>
      </c>
      <c r="V187">
        <v>1.6433739999999999E-2</v>
      </c>
      <c r="W187">
        <v>0.17649999999999999</v>
      </c>
      <c r="X187">
        <v>0.98416349999999997</v>
      </c>
      <c r="Y187">
        <v>4.9585310000000004E-3</v>
      </c>
      <c r="Z187">
        <v>-1.561024E-3</v>
      </c>
      <c r="AA187">
        <v>0.9999865</v>
      </c>
      <c r="AB187">
        <v>20</v>
      </c>
      <c r="AC187">
        <v>26.736899999999899</v>
      </c>
      <c r="AD187">
        <v>-1.1594679999999999</v>
      </c>
      <c r="AE187">
        <v>0.76719999999994504</v>
      </c>
      <c r="AF187">
        <v>0.13384679933164401</v>
      </c>
      <c r="AG187">
        <v>-1.1594679999999999</v>
      </c>
      <c r="AH187">
        <v>26.6974030542845</v>
      </c>
      <c r="AI187">
        <v>92.486761316665493</v>
      </c>
      <c r="AJ187">
        <v>89.712751369999694</v>
      </c>
      <c r="AK187">
        <v>26.722904236845899</v>
      </c>
      <c r="AL187">
        <v>79.834039912950203</v>
      </c>
      <c r="AM187">
        <v>89.043353625143098</v>
      </c>
      <c r="AN187">
        <v>1.0000000562713101</v>
      </c>
    </row>
    <row r="188" spans="1:40" x14ac:dyDescent="0.25">
      <c r="A188" t="str">
        <f>"20190312172057967"</f>
        <v>20190312172057967</v>
      </c>
      <c r="B188" t="str">
        <f>"1552382457962067"</f>
        <v>1552382457962067</v>
      </c>
      <c r="C188" t="s">
        <v>40</v>
      </c>
      <c r="D188">
        <v>3.3383419999999999</v>
      </c>
      <c r="E188">
        <v>0.4949865</v>
      </c>
      <c r="F188" t="s">
        <v>43</v>
      </c>
      <c r="G188">
        <v>-435.0301</v>
      </c>
      <c r="H188">
        <v>-0.05</v>
      </c>
      <c r="I188">
        <v>368.38240000000002</v>
      </c>
      <c r="J188">
        <v>-462.01440000000002</v>
      </c>
      <c r="K188">
        <v>1.1094580000000001</v>
      </c>
      <c r="L188">
        <v>367.60309999999998</v>
      </c>
      <c r="M188">
        <v>0.99941780000000002</v>
      </c>
      <c r="N188">
        <v>0</v>
      </c>
      <c r="O188">
        <v>3.3583509999999997E-2</v>
      </c>
      <c r="P188">
        <v>0.98511729999999997</v>
      </c>
      <c r="Q188">
        <v>0.17103789999999999</v>
      </c>
      <c r="R188">
        <v>1.7035850000000002E-2</v>
      </c>
      <c r="S188">
        <v>3.066284</v>
      </c>
      <c r="T188">
        <v>-0.13126019999999999</v>
      </c>
      <c r="U188">
        <v>8.8592530000000003E-2</v>
      </c>
      <c r="V188">
        <v>1.6124739999999999E-2</v>
      </c>
      <c r="W188">
        <v>0.17696799999999999</v>
      </c>
      <c r="X188">
        <v>0.98408450000000003</v>
      </c>
      <c r="Y188">
        <v>4.6709899999999999E-3</v>
      </c>
      <c r="Z188">
        <v>-1.5362310000000001E-3</v>
      </c>
      <c r="AA188">
        <v>0.99998790000000004</v>
      </c>
      <c r="AB188">
        <v>20</v>
      </c>
      <c r="AC188">
        <v>26.984300000000001</v>
      </c>
      <c r="AD188">
        <v>-1.1594580000000001</v>
      </c>
      <c r="AE188">
        <v>0.77930000000003397</v>
      </c>
      <c r="AF188">
        <v>0.12714897192037899</v>
      </c>
      <c r="AG188">
        <v>-1.1594580000000001</v>
      </c>
      <c r="AH188">
        <v>26.9455436738819</v>
      </c>
      <c r="AI188">
        <v>92.463871472409807</v>
      </c>
      <c r="AJ188">
        <v>89.729638211121099</v>
      </c>
      <c r="AK188">
        <v>26.970777400659099</v>
      </c>
      <c r="AL188">
        <v>79.8067959784252</v>
      </c>
      <c r="AM188">
        <v>89.061262647321001</v>
      </c>
      <c r="AN188">
        <v>0.99999999170215803</v>
      </c>
    </row>
    <row r="189" spans="1:40" x14ac:dyDescent="0.25">
      <c r="A189" t="str">
        <f>"20190312172057980"</f>
        <v>20190312172057980</v>
      </c>
      <c r="B189" t="str">
        <f>"1552382457971827"</f>
        <v>1552382457971827</v>
      </c>
      <c r="C189" t="s">
        <v>40</v>
      </c>
      <c r="D189">
        <v>3.3326699999999998</v>
      </c>
      <c r="E189">
        <v>0.49502590000000002</v>
      </c>
      <c r="F189" t="s">
        <v>43</v>
      </c>
      <c r="G189">
        <v>-434.7577</v>
      </c>
      <c r="H189">
        <v>-0.05</v>
      </c>
      <c r="I189">
        <v>368.39789999999999</v>
      </c>
      <c r="J189">
        <v>-461.90410000000003</v>
      </c>
      <c r="K189">
        <v>1.10945</v>
      </c>
      <c r="L189">
        <v>367.60669999999999</v>
      </c>
      <c r="M189">
        <v>0.99942189999999997</v>
      </c>
      <c r="N189">
        <v>0</v>
      </c>
      <c r="O189">
        <v>3.3458750000000002E-2</v>
      </c>
      <c r="P189">
        <v>0.98505540000000003</v>
      </c>
      <c r="Q189">
        <v>0.17138680000000001</v>
      </c>
      <c r="R189">
        <v>1.7097350000000001E-2</v>
      </c>
      <c r="S189">
        <v>3.0664370000000001</v>
      </c>
      <c r="T189">
        <v>-0.1304419</v>
      </c>
      <c r="U189">
        <v>8.9416499999999996E-2</v>
      </c>
      <c r="V189">
        <v>1.594367E-2</v>
      </c>
      <c r="W189">
        <v>0.17732410000000001</v>
      </c>
      <c r="X189">
        <v>0.98402330000000005</v>
      </c>
      <c r="Y189">
        <v>4.2800269999999996E-3</v>
      </c>
      <c r="Z189">
        <v>-1.5129690000000001E-3</v>
      </c>
      <c r="AA189">
        <v>0.99998969999999998</v>
      </c>
      <c r="AB189">
        <v>20</v>
      </c>
      <c r="AC189">
        <v>27.1464</v>
      </c>
      <c r="AD189">
        <v>-1.1594500000000001</v>
      </c>
      <c r="AE189">
        <v>0.79120000000000301</v>
      </c>
      <c r="AF189">
        <v>0.11733028599312199</v>
      </c>
      <c r="AG189">
        <v>-1.1594500000000001</v>
      </c>
      <c r="AH189">
        <v>27.108263470769099</v>
      </c>
      <c r="AI189">
        <v>92.449087367664802</v>
      </c>
      <c r="AJ189">
        <v>89.752013321489599</v>
      </c>
      <c r="AK189">
        <v>27.133301293781901</v>
      </c>
      <c r="AL189">
        <v>79.786064611292304</v>
      </c>
      <c r="AM189">
        <v>89.071744464659901</v>
      </c>
      <c r="AN189">
        <v>0.99999994599838304</v>
      </c>
    </row>
    <row r="190" spans="1:40" x14ac:dyDescent="0.25">
      <c r="A190" t="str">
        <f>"20190312172057994"</f>
        <v>20190312172057994</v>
      </c>
      <c r="B190" t="str">
        <f>"1552382457991347"</f>
        <v>1552382457991347</v>
      </c>
      <c r="C190" t="s">
        <v>40</v>
      </c>
      <c r="D190">
        <v>3.3641909999999999</v>
      </c>
      <c r="E190">
        <v>0.49505339999999998</v>
      </c>
      <c r="F190" t="s">
        <v>43</v>
      </c>
      <c r="G190">
        <v>-434.41149999999999</v>
      </c>
      <c r="H190">
        <v>-0.05</v>
      </c>
      <c r="I190">
        <v>368.40640000000002</v>
      </c>
      <c r="J190">
        <v>-461.78129999999999</v>
      </c>
      <c r="K190">
        <v>1.109442</v>
      </c>
      <c r="L190">
        <v>367.61059999999998</v>
      </c>
      <c r="M190">
        <v>0.99942710000000001</v>
      </c>
      <c r="N190">
        <v>0</v>
      </c>
      <c r="O190">
        <v>3.3301339999999999E-2</v>
      </c>
      <c r="P190">
        <v>0.98496119999999998</v>
      </c>
      <c r="Q190">
        <v>0.17190559999999999</v>
      </c>
      <c r="R190">
        <v>1.7316620000000001E-2</v>
      </c>
      <c r="S190">
        <v>3.0664669999999998</v>
      </c>
      <c r="T190">
        <v>-0.12932260000000001</v>
      </c>
      <c r="U190">
        <v>8.9202879999999998E-2</v>
      </c>
      <c r="V190">
        <v>1.5571730000000001E-2</v>
      </c>
      <c r="W190">
        <v>0.1778507</v>
      </c>
      <c r="X190">
        <v>0.98393430000000004</v>
      </c>
      <c r="Y190">
        <v>4.1932219999999999E-3</v>
      </c>
      <c r="Z190">
        <v>-1.491526E-3</v>
      </c>
      <c r="AA190">
        <v>0.99999009999999999</v>
      </c>
      <c r="AB190">
        <v>20</v>
      </c>
      <c r="AC190">
        <v>27.369800000000001</v>
      </c>
      <c r="AD190">
        <v>-1.1594420000000001</v>
      </c>
      <c r="AE190">
        <v>0.79580000000004203</v>
      </c>
      <c r="AF190">
        <v>0.11590123341847899</v>
      </c>
      <c r="AG190">
        <v>-1.1594420000000001</v>
      </c>
      <c r="AH190">
        <v>27.332113328067202</v>
      </c>
      <c r="AI190">
        <v>92.429037651923196</v>
      </c>
      <c r="AJ190">
        <v>89.757039946649599</v>
      </c>
      <c r="AK190">
        <v>27.356939847606899</v>
      </c>
      <c r="AL190">
        <v>79.755406177570407</v>
      </c>
      <c r="AM190">
        <v>89.0933135138891</v>
      </c>
      <c r="AN190">
        <v>1.0000000284910799</v>
      </c>
    </row>
    <row r="191" spans="1:40" x14ac:dyDescent="0.25">
      <c r="A191" t="str">
        <f>"20190312172058011"</f>
        <v>20190312172058011</v>
      </c>
      <c r="B191" t="str">
        <f>"1552382458002086"</f>
        <v>1552382458002086</v>
      </c>
      <c r="C191" t="s">
        <v>40</v>
      </c>
      <c r="D191">
        <v>3.3702640000000001</v>
      </c>
      <c r="E191">
        <v>0.49505830000000001</v>
      </c>
      <c r="F191" t="s">
        <v>43</v>
      </c>
      <c r="G191">
        <v>-434.14949999999999</v>
      </c>
      <c r="H191">
        <v>-0.05</v>
      </c>
      <c r="I191">
        <v>368.41739999999999</v>
      </c>
      <c r="J191">
        <v>-461.62400000000002</v>
      </c>
      <c r="K191">
        <v>1.109432</v>
      </c>
      <c r="L191">
        <v>367.61559999999997</v>
      </c>
      <c r="M191">
        <v>0.9994343</v>
      </c>
      <c r="N191">
        <v>0</v>
      </c>
      <c r="O191">
        <v>3.3085370000000003E-2</v>
      </c>
      <c r="P191">
        <v>0.98482199999999998</v>
      </c>
      <c r="Q191">
        <v>0.1726704</v>
      </c>
      <c r="R191">
        <v>1.7631359999999999E-2</v>
      </c>
      <c r="S191">
        <v>3.066681</v>
      </c>
      <c r="T191">
        <v>-0.1286794</v>
      </c>
      <c r="U191">
        <v>8.9538569999999998E-2</v>
      </c>
      <c r="V191">
        <v>1.504572E-2</v>
      </c>
      <c r="W191">
        <v>0.17862529999999999</v>
      </c>
      <c r="X191">
        <v>0.98380210000000001</v>
      </c>
      <c r="Y191">
        <v>3.8705889999999998E-3</v>
      </c>
      <c r="Z191">
        <v>-1.46819299999999E-3</v>
      </c>
      <c r="AA191">
        <v>0.99999139999999997</v>
      </c>
      <c r="AB191">
        <v>20</v>
      </c>
      <c r="AC191">
        <v>27.474499999999999</v>
      </c>
      <c r="AD191">
        <v>-1.159432</v>
      </c>
      <c r="AE191">
        <v>0.80180000000001395</v>
      </c>
      <c r="AF191">
        <v>0.10746831412008501</v>
      </c>
      <c r="AG191">
        <v>-1.159432</v>
      </c>
      <c r="AH191">
        <v>27.437165994047302</v>
      </c>
      <c r="AI191">
        <v>92.419730662992507</v>
      </c>
      <c r="AJ191">
        <v>89.775579979991093</v>
      </c>
      <c r="AK191">
        <v>27.461862824398299</v>
      </c>
      <c r="AL191">
        <v>79.710302051769006</v>
      </c>
      <c r="AM191">
        <v>89.123818645466201</v>
      </c>
      <c r="AN191">
        <v>0.99999997172740795</v>
      </c>
    </row>
    <row r="192" spans="1:40" x14ac:dyDescent="0.25">
      <c r="A192" t="str">
        <f>"20190312172058023"</f>
        <v>20190312172058023</v>
      </c>
      <c r="B192" t="str">
        <f>"1552382458011843"</f>
        <v>1552382458011843</v>
      </c>
      <c r="C192" t="s">
        <v>40</v>
      </c>
      <c r="D192">
        <v>3.3309389999999999</v>
      </c>
      <c r="E192">
        <v>0.49513059999999998</v>
      </c>
      <c r="F192" t="s">
        <v>43</v>
      </c>
      <c r="G192">
        <v>-433.50409999999999</v>
      </c>
      <c r="H192">
        <v>-0.05</v>
      </c>
      <c r="I192">
        <v>368.44299999999998</v>
      </c>
      <c r="J192">
        <v>-461.51850000000002</v>
      </c>
      <c r="K192">
        <v>1.109426</v>
      </c>
      <c r="L192">
        <v>367.61900000000003</v>
      </c>
      <c r="M192">
        <v>0.99943910000000002</v>
      </c>
      <c r="N192">
        <v>0</v>
      </c>
      <c r="O192">
        <v>3.2932749999999997E-2</v>
      </c>
      <c r="P192">
        <v>0.98472630000000005</v>
      </c>
      <c r="Q192">
        <v>0.17320949999999999</v>
      </c>
      <c r="R192">
        <v>1.7680930000000001E-2</v>
      </c>
      <c r="S192">
        <v>3.0667719999999998</v>
      </c>
      <c r="T192">
        <v>-0.12644849999999999</v>
      </c>
      <c r="U192">
        <v>9.0240479999999998E-2</v>
      </c>
      <c r="V192">
        <v>1.484626E-2</v>
      </c>
      <c r="W192">
        <v>0.17917139999999901</v>
      </c>
      <c r="X192">
        <v>0.98370590000000002</v>
      </c>
      <c r="Y192">
        <v>3.4916639999999998E-3</v>
      </c>
      <c r="Z192">
        <v>-1.4286209999999999E-3</v>
      </c>
      <c r="AA192">
        <v>0.99999289999999996</v>
      </c>
      <c r="AB192">
        <v>20</v>
      </c>
      <c r="AC192">
        <v>28.014399999999998</v>
      </c>
      <c r="AD192">
        <v>-1.1594260000000001</v>
      </c>
      <c r="AE192">
        <v>0.82400000000001195</v>
      </c>
      <c r="AF192">
        <v>9.8886009660804394E-2</v>
      </c>
      <c r="AG192">
        <v>-1.1594260000000001</v>
      </c>
      <c r="AH192">
        <v>27.978458742197599</v>
      </c>
      <c r="AI192">
        <v>92.372961849160006</v>
      </c>
      <c r="AJ192">
        <v>89.797496800406904</v>
      </c>
      <c r="AK192">
        <v>28.002646315682998</v>
      </c>
      <c r="AL192">
        <v>79.678500592233902</v>
      </c>
      <c r="AM192">
        <v>89.135347805869401</v>
      </c>
      <c r="AN192">
        <v>1.00000004985437</v>
      </c>
    </row>
    <row r="193" spans="1:40" x14ac:dyDescent="0.25">
      <c r="A193" t="str">
        <f>"20190312172058037"</f>
        <v>20190312172058037</v>
      </c>
      <c r="B193" t="str">
        <f>"1552382458031362"</f>
        <v>1552382458031362</v>
      </c>
      <c r="C193" t="s">
        <v>40</v>
      </c>
      <c r="D193">
        <v>3.3568739999999999</v>
      </c>
      <c r="E193">
        <v>0.49520130000000001</v>
      </c>
      <c r="F193" t="s">
        <v>43</v>
      </c>
      <c r="G193">
        <v>-433.20639999999997</v>
      </c>
      <c r="H193">
        <v>-0.05</v>
      </c>
      <c r="I193">
        <v>368.44749999999999</v>
      </c>
      <c r="J193">
        <v>-461.40010000000001</v>
      </c>
      <c r="K193">
        <v>1.1094200000000001</v>
      </c>
      <c r="L193">
        <v>367.62270000000001</v>
      </c>
      <c r="M193">
        <v>0.99944509999999998</v>
      </c>
      <c r="N193">
        <v>0</v>
      </c>
      <c r="O193">
        <v>3.27526E-2</v>
      </c>
      <c r="P193">
        <v>0.98464810000000003</v>
      </c>
      <c r="Q193">
        <v>0.1736597</v>
      </c>
      <c r="R193">
        <v>1.763207E-2</v>
      </c>
      <c r="S193">
        <v>3.066986</v>
      </c>
      <c r="T193">
        <v>-0.1255983</v>
      </c>
      <c r="U193">
        <v>8.9752199999999893E-2</v>
      </c>
      <c r="V193">
        <v>1.471831E-2</v>
      </c>
      <c r="W193">
        <v>0.1796297</v>
      </c>
      <c r="X193">
        <v>0.98362419999999995</v>
      </c>
      <c r="Y193">
        <v>3.4731060000000001E-3</v>
      </c>
      <c r="Z193">
        <v>-1.4111799999999999E-3</v>
      </c>
      <c r="AA193">
        <v>0.99999300000000002</v>
      </c>
      <c r="AB193">
        <v>20</v>
      </c>
      <c r="AC193">
        <v>28.1937</v>
      </c>
      <c r="AD193">
        <v>-1.1594199999999999</v>
      </c>
      <c r="AE193">
        <v>0.82479999999998199</v>
      </c>
      <c r="AF193">
        <v>9.8909355434786003E-2</v>
      </c>
      <c r="AG193">
        <v>-1.1594199999999999</v>
      </c>
      <c r="AH193">
        <v>28.158009890276698</v>
      </c>
      <c r="AI193">
        <v>92.357835647589098</v>
      </c>
      <c r="AJ193">
        <v>89.798740559621095</v>
      </c>
      <c r="AK193">
        <v>28.182043197360901</v>
      </c>
      <c r="AL193">
        <v>79.651808501599007</v>
      </c>
      <c r="AM193">
        <v>89.142727360247207</v>
      </c>
      <c r="AN193">
        <v>1.00000001229849</v>
      </c>
    </row>
    <row r="194" spans="1:40" x14ac:dyDescent="0.25">
      <c r="A194" t="str">
        <f>"20190312172058051"</f>
        <v>20190312172058051</v>
      </c>
      <c r="B194" t="str">
        <f>"1552382458042099"</f>
        <v>1552382458042099</v>
      </c>
      <c r="C194" t="s">
        <v>40</v>
      </c>
      <c r="D194">
        <v>3.3682889999999999</v>
      </c>
      <c r="E194">
        <v>0.4952743</v>
      </c>
      <c r="F194" t="s">
        <v>43</v>
      </c>
      <c r="G194">
        <v>-433.05720000000002</v>
      </c>
      <c r="H194">
        <v>-0.05</v>
      </c>
      <c r="I194">
        <v>368.44490000000002</v>
      </c>
      <c r="J194">
        <v>-461.27019999999999</v>
      </c>
      <c r="K194">
        <v>1.1094139999999999</v>
      </c>
      <c r="L194">
        <v>367.62670000000003</v>
      </c>
      <c r="M194">
        <v>0.9994518</v>
      </c>
      <c r="N194">
        <v>0</v>
      </c>
      <c r="O194">
        <v>3.2546770000000003E-2</v>
      </c>
      <c r="P194">
        <v>0.98461160000000003</v>
      </c>
      <c r="Q194">
        <v>0.17387549999999999</v>
      </c>
      <c r="R194">
        <v>1.7540150000000001E-2</v>
      </c>
      <c r="S194">
        <v>3.0673520000000001</v>
      </c>
      <c r="T194">
        <v>-0.12547559999999999</v>
      </c>
      <c r="U194">
        <v>8.8989260000000001E-2</v>
      </c>
      <c r="V194">
        <v>1.4608940000000001E-2</v>
      </c>
      <c r="W194">
        <v>0.1798544</v>
      </c>
      <c r="X194">
        <v>0.98358480000000004</v>
      </c>
      <c r="Y194">
        <v>3.51937E-3</v>
      </c>
      <c r="Z194">
        <v>-1.40217799999999E-3</v>
      </c>
      <c r="AA194">
        <v>0.99999280000000002</v>
      </c>
      <c r="AB194">
        <v>20</v>
      </c>
      <c r="AC194">
        <v>28.212999999999901</v>
      </c>
      <c r="AD194">
        <v>-1.1594139999999999</v>
      </c>
      <c r="AE194">
        <v>0.81819999999999005</v>
      </c>
      <c r="AF194">
        <v>0.100323125246795</v>
      </c>
      <c r="AG194">
        <v>-1.1594139999999999</v>
      </c>
      <c r="AH194">
        <v>28.177137245114501</v>
      </c>
      <c r="AI194">
        <v>92.356224316005793</v>
      </c>
      <c r="AJ194">
        <v>89.796002435402798</v>
      </c>
      <c r="AK194">
        <v>28.201158998928999</v>
      </c>
      <c r="AL194">
        <v>79.6387213110132</v>
      </c>
      <c r="AM194">
        <v>89.149062630409801</v>
      </c>
      <c r="AN194">
        <v>1.00000004255916</v>
      </c>
    </row>
    <row r="195" spans="1:40" x14ac:dyDescent="0.25">
      <c r="A195" t="str">
        <f>"20190312172058069"</f>
        <v>20190312172058069</v>
      </c>
      <c r="B195" t="str">
        <f>"1552382458061618"</f>
        <v>1552382458061618</v>
      </c>
      <c r="C195" t="s">
        <v>40</v>
      </c>
      <c r="D195">
        <v>3.353634</v>
      </c>
      <c r="E195">
        <v>0.4953863</v>
      </c>
      <c r="F195" t="s">
        <v>43</v>
      </c>
      <c r="G195">
        <v>-432.8836</v>
      </c>
      <c r="H195">
        <v>-0.05</v>
      </c>
      <c r="I195">
        <v>368.44260000000003</v>
      </c>
      <c r="J195">
        <v>-461.11439999999999</v>
      </c>
      <c r="K195">
        <v>1.1094139999999999</v>
      </c>
      <c r="L195">
        <v>367.63150000000002</v>
      </c>
      <c r="M195">
        <v>0.99945989999999996</v>
      </c>
      <c r="N195">
        <v>0</v>
      </c>
      <c r="O195">
        <v>3.229278E-2</v>
      </c>
      <c r="P195">
        <v>0.98445479999999996</v>
      </c>
      <c r="Q195">
        <v>0.1747803</v>
      </c>
      <c r="R195">
        <v>1.735225E-2</v>
      </c>
      <c r="S195">
        <v>3.0674739999999998</v>
      </c>
      <c r="T195">
        <v>-0.12528739999999999</v>
      </c>
      <c r="U195">
        <v>8.8165279999999999E-2</v>
      </c>
      <c r="V195">
        <v>1.4544110000000001E-2</v>
      </c>
      <c r="W195">
        <v>0.1807694</v>
      </c>
      <c r="X195">
        <v>0.98341789999999996</v>
      </c>
      <c r="Y195">
        <v>3.5350809999999998E-3</v>
      </c>
      <c r="Z195">
        <v>-1.389986E-3</v>
      </c>
      <c r="AA195">
        <v>0.99999280000000002</v>
      </c>
      <c r="AB195">
        <v>20</v>
      </c>
      <c r="AC195">
        <v>28.230799999999899</v>
      </c>
      <c r="AD195">
        <v>-1.1594139999999999</v>
      </c>
      <c r="AE195">
        <v>0.81110000000001004</v>
      </c>
      <c r="AF195">
        <v>0.100821049545717</v>
      </c>
      <c r="AG195">
        <v>-1.1594139999999999</v>
      </c>
      <c r="AH195">
        <v>28.194752815920999</v>
      </c>
      <c r="AI195">
        <v>92.354753717824295</v>
      </c>
      <c r="AJ195">
        <v>89.795118047629998</v>
      </c>
      <c r="AK195">
        <v>28.218761348760701</v>
      </c>
      <c r="AL195">
        <v>79.585420954897202</v>
      </c>
      <c r="AM195">
        <v>89.152694523757901</v>
      </c>
      <c r="AN195">
        <v>0.99999993657622899</v>
      </c>
    </row>
    <row r="196" spans="1:40" x14ac:dyDescent="0.25">
      <c r="A196" t="str">
        <f>"20190312172058082"</f>
        <v>20190312172058082</v>
      </c>
      <c r="B196" t="str">
        <f>"1552382458071379"</f>
        <v>1552382458071379</v>
      </c>
      <c r="C196" t="s">
        <v>40</v>
      </c>
      <c r="D196">
        <v>3.3527239999999998</v>
      </c>
      <c r="E196">
        <v>0.49546050000000003</v>
      </c>
      <c r="F196" t="s">
        <v>43</v>
      </c>
      <c r="G196">
        <v>-432.37909999999999</v>
      </c>
      <c r="H196">
        <v>-0.05</v>
      </c>
      <c r="I196">
        <v>368.4427</v>
      </c>
      <c r="J196">
        <v>-460.9914</v>
      </c>
      <c r="K196">
        <v>1.109416</v>
      </c>
      <c r="L196">
        <v>367.63529999999997</v>
      </c>
      <c r="M196">
        <v>0.99946650000000004</v>
      </c>
      <c r="N196">
        <v>0</v>
      </c>
      <c r="O196">
        <v>3.2088400000000003E-2</v>
      </c>
      <c r="P196">
        <v>0.98439549999999998</v>
      </c>
      <c r="Q196">
        <v>0.17514560000000001</v>
      </c>
      <c r="R196">
        <v>1.7025450000000001E-2</v>
      </c>
      <c r="S196">
        <v>3.0678100000000001</v>
      </c>
      <c r="T196">
        <v>-0.1237803</v>
      </c>
      <c r="U196">
        <v>8.6608889999999994E-2</v>
      </c>
      <c r="V196">
        <v>1.466903E-2</v>
      </c>
      <c r="W196">
        <v>0.1811432</v>
      </c>
      <c r="X196">
        <v>0.98334730000000004</v>
      </c>
      <c r="Y196">
        <v>3.841293E-3</v>
      </c>
      <c r="Z196">
        <v>-1.3710809999999999E-3</v>
      </c>
      <c r="AA196">
        <v>0.99999170000000004</v>
      </c>
      <c r="AB196">
        <v>20</v>
      </c>
      <c r="AC196">
        <v>28.612300000000001</v>
      </c>
      <c r="AD196">
        <v>-1.159416</v>
      </c>
      <c r="AE196">
        <v>0.80740000000002898</v>
      </c>
      <c r="AF196">
        <v>0.110973660677691</v>
      </c>
      <c r="AG196">
        <v>-1.159416</v>
      </c>
      <c r="AH196">
        <v>28.576588355028399</v>
      </c>
      <c r="AI196">
        <v>92.323325950667197</v>
      </c>
      <c r="AJ196">
        <v>89.777500016699904</v>
      </c>
      <c r="AK196">
        <v>28.600314030219401</v>
      </c>
      <c r="AL196">
        <v>79.563644697694599</v>
      </c>
      <c r="AM196">
        <v>89.145356708359699</v>
      </c>
      <c r="AN196">
        <v>0.99999997588233502</v>
      </c>
    </row>
    <row r="197" spans="1:40" x14ac:dyDescent="0.25">
      <c r="A197" t="str">
        <f>"20190312172058101"</f>
        <v>20190312172058101</v>
      </c>
      <c r="B197" t="str">
        <f>"1552382458091874"</f>
        <v>1552382458091874</v>
      </c>
      <c r="C197" t="s">
        <v>40</v>
      </c>
      <c r="D197">
        <v>3.3670499999999999</v>
      </c>
      <c r="E197">
        <v>0.49561820000000001</v>
      </c>
      <c r="F197" t="s">
        <v>43</v>
      </c>
      <c r="G197">
        <v>-432.03660000000002</v>
      </c>
      <c r="H197">
        <v>-0.05</v>
      </c>
      <c r="I197">
        <v>368.43740000000003</v>
      </c>
      <c r="J197">
        <v>-460.81529999999998</v>
      </c>
      <c r="K197">
        <v>1.109421</v>
      </c>
      <c r="L197">
        <v>367.64060000000001</v>
      </c>
      <c r="M197">
        <v>0.99947589999999997</v>
      </c>
      <c r="N197">
        <v>0</v>
      </c>
      <c r="O197">
        <v>3.1792099999999997E-2</v>
      </c>
      <c r="P197">
        <v>0.98423780000000005</v>
      </c>
      <c r="Q197">
        <v>0.176055399999999</v>
      </c>
      <c r="R197">
        <v>1.6754660000000001E-2</v>
      </c>
      <c r="S197">
        <v>3.0679319999999999</v>
      </c>
      <c r="T197">
        <v>-0.12284680000000001</v>
      </c>
      <c r="U197">
        <v>8.4991460000000005E-2</v>
      </c>
      <c r="V197">
        <v>1.4644229999999999E-2</v>
      </c>
      <c r="W197">
        <v>0.18206459999999999</v>
      </c>
      <c r="X197">
        <v>0.98317750000000004</v>
      </c>
      <c r="Y197">
        <v>4.0732499999999996E-3</v>
      </c>
      <c r="Z197">
        <v>-1.353499E-3</v>
      </c>
      <c r="AA197">
        <v>0.99999079999999996</v>
      </c>
      <c r="AB197">
        <v>20</v>
      </c>
      <c r="AC197">
        <v>28.778699999999901</v>
      </c>
      <c r="AD197">
        <v>-1.15942099999999</v>
      </c>
      <c r="AE197">
        <v>0.79680000000001805</v>
      </c>
      <c r="AF197">
        <v>0.11836314983775199</v>
      </c>
      <c r="AG197">
        <v>-1.15942099999999</v>
      </c>
      <c r="AH197">
        <v>28.742868095696998</v>
      </c>
      <c r="AI197">
        <v>92.309907714300394</v>
      </c>
      <c r="AJ197">
        <v>89.764057275745401</v>
      </c>
      <c r="AK197">
        <v>28.766486286251901</v>
      </c>
      <c r="AL197">
        <v>79.509959764761803</v>
      </c>
      <c r="AM197">
        <v>89.146654055711096</v>
      </c>
      <c r="AN197">
        <v>0.99999998427585102</v>
      </c>
    </row>
    <row r="198" spans="1:40" x14ac:dyDescent="0.25">
      <c r="A198" t="str">
        <f>"20190312172058113"</f>
        <v>20190312172058113</v>
      </c>
      <c r="B198" t="str">
        <f>"1552382458101635"</f>
        <v>1552382458101635</v>
      </c>
      <c r="C198" t="s">
        <v>40</v>
      </c>
      <c r="D198">
        <v>3.2632910000000002</v>
      </c>
      <c r="E198">
        <v>0.49570249999999999</v>
      </c>
      <c r="F198" t="s">
        <v>43</v>
      </c>
      <c r="G198">
        <v>-431.32659999999998</v>
      </c>
      <c r="H198">
        <v>-0.05</v>
      </c>
      <c r="I198">
        <v>368.4348</v>
      </c>
      <c r="J198">
        <v>-460.70479999999998</v>
      </c>
      <c r="K198">
        <v>1.109423</v>
      </c>
      <c r="L198">
        <v>367.64389999999997</v>
      </c>
      <c r="M198">
        <v>0.99948170000000003</v>
      </c>
      <c r="N198">
        <v>0</v>
      </c>
      <c r="O198">
        <v>3.1604630000000002E-2</v>
      </c>
      <c r="P198">
        <v>0.9841801</v>
      </c>
      <c r="Q198">
        <v>0.176374</v>
      </c>
      <c r="R198">
        <v>1.6790059999999999E-2</v>
      </c>
      <c r="S198">
        <v>3.0682070000000001</v>
      </c>
      <c r="T198">
        <v>-0.12063409999999999</v>
      </c>
      <c r="U198">
        <v>8.2641599999999996E-2</v>
      </c>
      <c r="V198">
        <v>1.442245E-2</v>
      </c>
      <c r="W198">
        <v>0.1823919</v>
      </c>
      <c r="X198">
        <v>0.98312010000000005</v>
      </c>
      <c r="Y198">
        <v>4.6541730000000002E-3</v>
      </c>
      <c r="Z198">
        <v>-1.3330880000000001E-3</v>
      </c>
      <c r="AA198">
        <v>0.99998830000000005</v>
      </c>
      <c r="AB198">
        <v>20</v>
      </c>
      <c r="AC198">
        <v>29.3782</v>
      </c>
      <c r="AD198">
        <v>-1.1594229999999901</v>
      </c>
      <c r="AE198">
        <v>0.79090000000002103</v>
      </c>
      <c r="AF198">
        <v>0.13778520288596499</v>
      </c>
      <c r="AG198">
        <v>-1.1594229999999901</v>
      </c>
      <c r="AH198">
        <v>29.3428511480063</v>
      </c>
      <c r="AI198">
        <v>92.262724011428205</v>
      </c>
      <c r="AJ198">
        <v>89.730958230947195</v>
      </c>
      <c r="AK198">
        <v>29.366071578423998</v>
      </c>
      <c r="AL198">
        <v>79.490887380521201</v>
      </c>
      <c r="AM198">
        <v>89.159526650630099</v>
      </c>
      <c r="AN198">
        <v>0.99999997163680998</v>
      </c>
    </row>
    <row r="199" spans="1:40" x14ac:dyDescent="0.25">
      <c r="A199" t="str">
        <f>"20190312172058125"</f>
        <v>20190312172058125</v>
      </c>
      <c r="B199" t="str">
        <f>"1552382458121155"</f>
        <v>1552382458121155</v>
      </c>
      <c r="C199" t="s">
        <v>40</v>
      </c>
      <c r="D199">
        <v>3.2712829999999999</v>
      </c>
      <c r="E199">
        <v>0.49576170000000003</v>
      </c>
      <c r="F199" t="s">
        <v>43</v>
      </c>
      <c r="G199">
        <v>-431.10879999999997</v>
      </c>
      <c r="H199">
        <v>-0.05</v>
      </c>
      <c r="I199">
        <v>368.43509999999998</v>
      </c>
      <c r="J199">
        <v>-460.6019</v>
      </c>
      <c r="K199">
        <v>1.1094280000000001</v>
      </c>
      <c r="L199">
        <v>367.64690000000002</v>
      </c>
      <c r="M199">
        <v>0.99948709999999996</v>
      </c>
      <c r="N199">
        <v>0</v>
      </c>
      <c r="O199">
        <v>3.1430560000000003E-2</v>
      </c>
      <c r="P199">
        <v>0.98409579999999997</v>
      </c>
      <c r="Q199">
        <v>0.17684720000000001</v>
      </c>
      <c r="R199">
        <v>1.6749670000000001E-2</v>
      </c>
      <c r="S199">
        <v>3.0683590000000001</v>
      </c>
      <c r="T199">
        <v>-0.120203</v>
      </c>
      <c r="U199">
        <v>8.203125E-2</v>
      </c>
      <c r="V199">
        <v>1.4288769999999999E-2</v>
      </c>
      <c r="W199">
        <v>0.18287200000000001</v>
      </c>
      <c r="X199">
        <v>0.98303289999999999</v>
      </c>
      <c r="Y199">
        <v>4.6804439999999998E-3</v>
      </c>
      <c r="Z199">
        <v>-1.3219690000000001E-3</v>
      </c>
      <c r="AA199">
        <v>0.99998819999999999</v>
      </c>
      <c r="AB199">
        <v>20</v>
      </c>
      <c r="AC199">
        <v>29.493099999999998</v>
      </c>
      <c r="AD199">
        <v>-1.1594279999999999</v>
      </c>
      <c r="AE199">
        <v>0.78819999999996004</v>
      </c>
      <c r="AF199">
        <v>0.138976913189086</v>
      </c>
      <c r="AG199">
        <v>-1.1594279999999999</v>
      </c>
      <c r="AH199">
        <v>29.457809844744698</v>
      </c>
      <c r="AI199">
        <v>92.253912362310203</v>
      </c>
      <c r="AJ199">
        <v>89.729690308278705</v>
      </c>
      <c r="AK199">
        <v>29.480945519415101</v>
      </c>
      <c r="AL199">
        <v>79.462909527005095</v>
      </c>
      <c r="AM199">
        <v>89.167241944763504</v>
      </c>
      <c r="AN199">
        <v>1.0000000099072599</v>
      </c>
    </row>
    <row r="200" spans="1:40" x14ac:dyDescent="0.25">
      <c r="A200" t="str">
        <f>"20190312172058215"</f>
        <v>20190312172058215</v>
      </c>
      <c r="B200" t="str">
        <f>"1552382458211607"</f>
        <v>1552382458211607</v>
      </c>
      <c r="C200" t="s">
        <v>40</v>
      </c>
      <c r="D200">
        <v>3.4700099999999998</v>
      </c>
      <c r="E200">
        <v>0.49607099999999998</v>
      </c>
      <c r="F200" t="s">
        <v>43</v>
      </c>
      <c r="G200">
        <v>-434.65949999999998</v>
      </c>
      <c r="H200">
        <v>-0.05</v>
      </c>
      <c r="I200">
        <v>368.33120000000002</v>
      </c>
      <c r="J200">
        <v>-459.75670000000002</v>
      </c>
      <c r="K200">
        <v>1.1094520000000001</v>
      </c>
      <c r="L200">
        <v>367.67140000000001</v>
      </c>
      <c r="M200">
        <v>0.99953020000000004</v>
      </c>
      <c r="N200">
        <v>0</v>
      </c>
      <c r="O200">
        <v>3.0020640000000001E-2</v>
      </c>
      <c r="P200">
        <v>0.98345830000000001</v>
      </c>
      <c r="Q200">
        <v>0.18030199999999999</v>
      </c>
      <c r="R200">
        <v>1.7361069999999999E-2</v>
      </c>
      <c r="S200">
        <v>3.071777</v>
      </c>
      <c r="T200">
        <v>-0.13728509999999999</v>
      </c>
      <c r="U200">
        <v>8.1024170000000006E-2</v>
      </c>
      <c r="V200">
        <v>1.2268879999999999E-2</v>
      </c>
      <c r="W200">
        <v>0.18638769999999999</v>
      </c>
      <c r="X200">
        <v>0.98239960000000004</v>
      </c>
      <c r="Y200">
        <v>3.6213159999999999E-3</v>
      </c>
      <c r="Z200">
        <v>-1.421402E-3</v>
      </c>
      <c r="AA200">
        <v>0.9999924</v>
      </c>
      <c r="AB200">
        <v>21</v>
      </c>
      <c r="AC200">
        <v>25.097200000000001</v>
      </c>
      <c r="AD200">
        <v>-1.1594519999999999</v>
      </c>
      <c r="AE200">
        <v>0.65980000000001804</v>
      </c>
      <c r="AF200">
        <v>9.3745828513898302E-2</v>
      </c>
      <c r="AG200">
        <v>-1.1594519999999999</v>
      </c>
      <c r="AH200">
        <v>25.052263669629099</v>
      </c>
      <c r="AI200">
        <v>92.649815298061</v>
      </c>
      <c r="AJ200">
        <v>89.785599604038595</v>
      </c>
      <c r="AK200">
        <v>25.079255016712199</v>
      </c>
      <c r="AL200">
        <v>79.257950226673501</v>
      </c>
      <c r="AM200">
        <v>89.284488205432893</v>
      </c>
      <c r="AN200">
        <v>0.99999993710394997</v>
      </c>
    </row>
    <row r="201" spans="1:40" x14ac:dyDescent="0.25">
      <c r="A201" t="str">
        <f>"20190312172058228"</f>
        <v>20190312172058228</v>
      </c>
      <c r="B201" t="str">
        <f>"1552382458221368"</f>
        <v>1552382458221368</v>
      </c>
      <c r="C201" t="s">
        <v>40</v>
      </c>
      <c r="D201">
        <v>3.474237</v>
      </c>
      <c r="E201">
        <v>0.49631930000000002</v>
      </c>
      <c r="F201" t="s">
        <v>43</v>
      </c>
      <c r="G201">
        <v>-432.62650000000002</v>
      </c>
      <c r="H201">
        <v>-0.05</v>
      </c>
      <c r="I201">
        <v>368.38380000000001</v>
      </c>
      <c r="J201">
        <v>-459.6379</v>
      </c>
      <c r="K201">
        <v>1.109453</v>
      </c>
      <c r="L201">
        <v>367.6748</v>
      </c>
      <c r="M201">
        <v>0.99953590000000003</v>
      </c>
      <c r="N201">
        <v>0</v>
      </c>
      <c r="O201">
        <v>2.9826479999999999E-2</v>
      </c>
      <c r="P201">
        <v>0.98337359999999896</v>
      </c>
      <c r="Q201">
        <v>0.1807407</v>
      </c>
      <c r="R201">
        <v>1.758991E-2</v>
      </c>
      <c r="S201">
        <v>3.0731510000000002</v>
      </c>
      <c r="T201">
        <v>-0.13133590000000001</v>
      </c>
      <c r="U201">
        <v>8.0688480000000007E-2</v>
      </c>
      <c r="V201">
        <v>1.184694E-2</v>
      </c>
      <c r="W201">
        <v>0.1868351</v>
      </c>
      <c r="X201">
        <v>0.98231990000000002</v>
      </c>
      <c r="Y201">
        <v>3.5511140000000002E-3</v>
      </c>
      <c r="Z201">
        <v>-1.349472E-3</v>
      </c>
      <c r="AA201">
        <v>0.99999280000000002</v>
      </c>
      <c r="AB201">
        <v>21</v>
      </c>
      <c r="AC201">
        <v>27.011399999999899</v>
      </c>
      <c r="AD201">
        <v>-1.1594530000000001</v>
      </c>
      <c r="AE201">
        <v>0.70900000000000296</v>
      </c>
      <c r="AF201">
        <v>9.6807642087251802E-2</v>
      </c>
      <c r="AG201">
        <v>-1.1594530000000001</v>
      </c>
      <c r="AH201">
        <v>26.9708691793108</v>
      </c>
      <c r="AI201">
        <v>92.461561689152006</v>
      </c>
      <c r="AJ201">
        <v>89.794346802114703</v>
      </c>
      <c r="AK201">
        <v>26.995953164618399</v>
      </c>
      <c r="AL201">
        <v>79.231858926004705</v>
      </c>
      <c r="AM201">
        <v>89.309036948081996</v>
      </c>
      <c r="AN201">
        <v>1.00000004525769</v>
      </c>
    </row>
    <row r="202" spans="1:40" x14ac:dyDescent="0.25">
      <c r="A202" t="str">
        <f>"20190312172058241"</f>
        <v>20190312172058241</v>
      </c>
      <c r="B202" t="str">
        <f>"1552382458232104"</f>
        <v>1552382458232104</v>
      </c>
      <c r="C202" t="s">
        <v>40</v>
      </c>
      <c r="D202">
        <v>3.9709279999999998</v>
      </c>
      <c r="E202">
        <v>0.4963629</v>
      </c>
      <c r="F202" t="s">
        <v>43</v>
      </c>
      <c r="G202">
        <v>-432.11829999999998</v>
      </c>
      <c r="H202">
        <v>-0.05</v>
      </c>
      <c r="I202">
        <v>368.38209999999998</v>
      </c>
      <c r="J202">
        <v>-459.51740000000001</v>
      </c>
      <c r="K202">
        <v>1.1094550000000001</v>
      </c>
      <c r="L202">
        <v>367.6782</v>
      </c>
      <c r="M202">
        <v>0.99954160000000003</v>
      </c>
      <c r="N202">
        <v>0</v>
      </c>
      <c r="O202">
        <v>2.9629989999999998E-2</v>
      </c>
      <c r="P202">
        <v>0.98335709999999998</v>
      </c>
      <c r="Q202">
        <v>0.18082819999999999</v>
      </c>
      <c r="R202">
        <v>1.761691E-2</v>
      </c>
      <c r="S202">
        <v>3.0730900000000001</v>
      </c>
      <c r="T202">
        <v>-0.12947500000000001</v>
      </c>
      <c r="U202">
        <v>7.8979489999999999E-2</v>
      </c>
      <c r="V202">
        <v>1.162591E-2</v>
      </c>
      <c r="W202">
        <v>0.1869316</v>
      </c>
      <c r="X202">
        <v>0.98230419999999996</v>
      </c>
      <c r="Y202">
        <v>3.9104669999999999E-3</v>
      </c>
      <c r="Z202">
        <v>-1.32970299999999E-3</v>
      </c>
      <c r="AA202">
        <v>0.99999150000000003</v>
      </c>
      <c r="AB202">
        <v>21</v>
      </c>
      <c r="AC202">
        <v>27.399100000000001</v>
      </c>
      <c r="AD202">
        <v>-1.1594549999999999</v>
      </c>
      <c r="AE202">
        <v>0.70389999999997599</v>
      </c>
      <c r="AF202">
        <v>0.108066426682766</v>
      </c>
      <c r="AG202">
        <v>-1.1594549999999999</v>
      </c>
      <c r="AH202">
        <v>27.358965734098302</v>
      </c>
      <c r="AI202">
        <v>92.426686499634897</v>
      </c>
      <c r="AJ202">
        <v>89.773685964042301</v>
      </c>
      <c r="AK202">
        <v>27.383736419436399</v>
      </c>
      <c r="AL202">
        <v>79.226230921073906</v>
      </c>
      <c r="AM202">
        <v>89.321916289806595</v>
      </c>
      <c r="AN202">
        <v>1.0000000630997601</v>
      </c>
    </row>
    <row r="203" spans="1:40" x14ac:dyDescent="0.25">
      <c r="A203" t="str">
        <f>"20190312172058257"</f>
        <v>20190312172058257</v>
      </c>
      <c r="B203" t="str">
        <f>"1552382458251624"</f>
        <v>1552382458251624</v>
      </c>
      <c r="C203" t="s">
        <v>40</v>
      </c>
      <c r="D203">
        <v>3.260888</v>
      </c>
      <c r="E203">
        <v>0.49645519999999999</v>
      </c>
      <c r="F203" t="s">
        <v>43</v>
      </c>
      <c r="G203">
        <v>-432.79219999999998</v>
      </c>
      <c r="H203">
        <v>-0.05</v>
      </c>
      <c r="I203">
        <v>368.36009999999999</v>
      </c>
      <c r="J203">
        <v>-459.36329999999998</v>
      </c>
      <c r="K203">
        <v>1.1094550000000001</v>
      </c>
      <c r="L203">
        <v>367.6825</v>
      </c>
      <c r="M203">
        <v>0.99954900000000002</v>
      </c>
      <c r="N203">
        <v>0</v>
      </c>
      <c r="O203">
        <v>2.9379490000000001E-2</v>
      </c>
      <c r="P203">
        <v>0.98325289999999999</v>
      </c>
      <c r="Q203">
        <v>0.18138080000000001</v>
      </c>
      <c r="R203">
        <v>1.7761389999999998E-2</v>
      </c>
      <c r="S203">
        <v>3.0738530000000002</v>
      </c>
      <c r="T203">
        <v>-0.13335659999999999</v>
      </c>
      <c r="U203">
        <v>7.8430180000000002E-2</v>
      </c>
      <c r="V203">
        <v>1.123238E-2</v>
      </c>
      <c r="W203">
        <v>0.18749550000000001</v>
      </c>
      <c r="X203">
        <v>0.9822012</v>
      </c>
      <c r="Y203">
        <v>3.843324E-3</v>
      </c>
      <c r="Z203">
        <v>-1.356884E-3</v>
      </c>
      <c r="AA203">
        <v>0.99999170000000004</v>
      </c>
      <c r="AB203">
        <v>21</v>
      </c>
      <c r="AC203">
        <v>26.571100000000001</v>
      </c>
      <c r="AD203">
        <v>-1.1594549999999999</v>
      </c>
      <c r="AE203">
        <v>0.67759999999998399</v>
      </c>
      <c r="AF203">
        <v>0.10315666875330801</v>
      </c>
      <c r="AG203">
        <v>-1.1594549999999999</v>
      </c>
      <c r="AH203">
        <v>26.5290564983809</v>
      </c>
      <c r="AI203">
        <v>92.502506156805097</v>
      </c>
      <c r="AJ203">
        <v>89.777209869478298</v>
      </c>
      <c r="AK203">
        <v>26.554581824792901</v>
      </c>
      <c r="AL203">
        <v>79.193339207561905</v>
      </c>
      <c r="AM203">
        <v>89.344798280912201</v>
      </c>
      <c r="AN203">
        <v>0.99999996308107597</v>
      </c>
    </row>
    <row r="204" spans="1:40" x14ac:dyDescent="0.25">
      <c r="A204" t="str">
        <f>"20190312172058271"</f>
        <v>20190312172058271</v>
      </c>
      <c r="B204" t="str">
        <f>"1552382458261383"</f>
        <v>1552382458261383</v>
      </c>
      <c r="C204" t="s">
        <v>40</v>
      </c>
      <c r="D204">
        <v>3.2761939999999998</v>
      </c>
      <c r="E204">
        <v>0.49655440000000001</v>
      </c>
      <c r="F204" t="s">
        <v>43</v>
      </c>
      <c r="G204">
        <v>-433.12169999999998</v>
      </c>
      <c r="H204">
        <v>-0.05</v>
      </c>
      <c r="I204">
        <v>368.34899999999999</v>
      </c>
      <c r="J204">
        <v>-459.23329999999999</v>
      </c>
      <c r="K204">
        <v>1.1094569999999999</v>
      </c>
      <c r="L204">
        <v>367.68610000000001</v>
      </c>
      <c r="M204">
        <v>0.99955519999999998</v>
      </c>
      <c r="N204">
        <v>0</v>
      </c>
      <c r="O204">
        <v>2.916852E-2</v>
      </c>
      <c r="P204">
        <v>0.98320070000000004</v>
      </c>
      <c r="Q204">
        <v>0.18164649999999999</v>
      </c>
      <c r="R204">
        <v>1.792384E-2</v>
      </c>
      <c r="S204">
        <v>3.074738</v>
      </c>
      <c r="T204">
        <v>-0.135853799999999</v>
      </c>
      <c r="U204">
        <v>7.8094479999999994E-2</v>
      </c>
      <c r="V204">
        <v>1.086114E-2</v>
      </c>
      <c r="W204">
        <v>0.1877714</v>
      </c>
      <c r="X204">
        <v>0.98215269999999999</v>
      </c>
      <c r="Y204">
        <v>3.7478390000000002E-3</v>
      </c>
      <c r="Z204">
        <v>-1.3704539999999999E-3</v>
      </c>
      <c r="AA204">
        <v>0.99999199999999999</v>
      </c>
      <c r="AB204">
        <v>21</v>
      </c>
      <c r="AC204">
        <v>26.111599999999999</v>
      </c>
      <c r="AD204">
        <v>-1.159457</v>
      </c>
      <c r="AE204">
        <v>0.66289999999997895</v>
      </c>
      <c r="AF204">
        <v>9.8838740605570505E-2</v>
      </c>
      <c r="AG204">
        <v>-1.159457</v>
      </c>
      <c r="AH204">
        <v>26.068459233158801</v>
      </c>
      <c r="AI204">
        <v>92.546669954884194</v>
      </c>
      <c r="AJ204">
        <v>89.782763702976496</v>
      </c>
      <c r="AK204">
        <v>26.0944184917456</v>
      </c>
      <c r="AL204">
        <v>79.177245807143393</v>
      </c>
      <c r="AM204">
        <v>89.366420193586805</v>
      </c>
      <c r="AN204">
        <v>0.99999999456867406</v>
      </c>
    </row>
    <row r="205" spans="1:40" x14ac:dyDescent="0.25">
      <c r="A205" t="str">
        <f>"20190312172058285"</f>
        <v>20190312172058285</v>
      </c>
      <c r="B205" t="str">
        <f>"1552382458281355"</f>
        <v>1552382458281355</v>
      </c>
      <c r="C205" t="s">
        <v>40</v>
      </c>
      <c r="D205">
        <v>3.2506370000000002</v>
      </c>
      <c r="E205">
        <v>0.49661309999999897</v>
      </c>
      <c r="F205" t="s">
        <v>43</v>
      </c>
      <c r="G205">
        <v>-433.2527</v>
      </c>
      <c r="H205">
        <v>-0.05</v>
      </c>
      <c r="I205">
        <v>368.33710000000002</v>
      </c>
      <c r="J205">
        <v>-459.10500000000002</v>
      </c>
      <c r="K205">
        <v>1.1094569999999999</v>
      </c>
      <c r="L205">
        <v>367.68959999999998</v>
      </c>
      <c r="M205">
        <v>0.99956100000000003</v>
      </c>
      <c r="N205">
        <v>0</v>
      </c>
      <c r="O205">
        <v>2.896052E-2</v>
      </c>
      <c r="P205">
        <v>0.98311950000000004</v>
      </c>
      <c r="Q205">
        <v>0.18207899999999999</v>
      </c>
      <c r="R205">
        <v>1.7979459999999999E-2</v>
      </c>
      <c r="S205">
        <v>3.075256</v>
      </c>
      <c r="T205">
        <v>-0.13724169999999999</v>
      </c>
      <c r="U205">
        <v>7.7056879999999994E-2</v>
      </c>
      <c r="V205">
        <v>1.059892E-2</v>
      </c>
      <c r="W205">
        <v>0.18821350000000001</v>
      </c>
      <c r="X205">
        <v>0.98207089999999997</v>
      </c>
      <c r="Y205">
        <v>3.8806520000000001E-3</v>
      </c>
      <c r="Z205">
        <v>-1.3779059999999999E-3</v>
      </c>
      <c r="AA205">
        <v>0.99999150000000003</v>
      </c>
      <c r="AB205">
        <v>21</v>
      </c>
      <c r="AC205">
        <v>25.8523</v>
      </c>
      <c r="AD205">
        <v>-1.159457</v>
      </c>
      <c r="AE205">
        <v>0.64750000000003605</v>
      </c>
      <c r="AF205">
        <v>0.101278697359554</v>
      </c>
      <c r="AG205">
        <v>-1.159457</v>
      </c>
      <c r="AH205">
        <v>25.808328473340801</v>
      </c>
      <c r="AI205">
        <v>92.572303070027303</v>
      </c>
      <c r="AJ205">
        <v>89.775157382550901</v>
      </c>
      <c r="AK205">
        <v>25.834558569815801</v>
      </c>
      <c r="AL205">
        <v>79.151455086668804</v>
      </c>
      <c r="AM205">
        <v>89.381663984348293</v>
      </c>
      <c r="AN205">
        <v>0.99999995565711197</v>
      </c>
    </row>
    <row r="206" spans="1:40" x14ac:dyDescent="0.25">
      <c r="A206" t="str">
        <f>"20190312172058302"</f>
        <v>20190312172058302</v>
      </c>
      <c r="B206" t="str">
        <f>"1552382458292094"</f>
        <v>1552382458292094</v>
      </c>
      <c r="C206" t="s">
        <v>40</v>
      </c>
      <c r="D206">
        <v>3.2834539999999999</v>
      </c>
      <c r="E206">
        <v>0.49662810000000002</v>
      </c>
      <c r="F206" t="s">
        <v>43</v>
      </c>
      <c r="G206">
        <v>-433.8272</v>
      </c>
      <c r="H206">
        <v>-0.05</v>
      </c>
      <c r="I206">
        <v>368.32150000000001</v>
      </c>
      <c r="J206">
        <v>-458.93619999999999</v>
      </c>
      <c r="K206">
        <v>1.1094599999999999</v>
      </c>
      <c r="L206">
        <v>367.69420000000002</v>
      </c>
      <c r="M206">
        <v>0.99956889999999998</v>
      </c>
      <c r="N206">
        <v>0</v>
      </c>
      <c r="O206">
        <v>2.8686349999999999E-2</v>
      </c>
      <c r="P206">
        <v>0.98306059999999995</v>
      </c>
      <c r="Q206">
        <v>0.18237829999999999</v>
      </c>
      <c r="R206">
        <v>1.8171179999999999E-2</v>
      </c>
      <c r="S206">
        <v>3.0762330000000002</v>
      </c>
      <c r="T206">
        <v>-0.14110220000000001</v>
      </c>
      <c r="U206">
        <v>7.6904299999999995E-2</v>
      </c>
      <c r="V206">
        <v>1.013638E-2</v>
      </c>
      <c r="W206">
        <v>0.1885259</v>
      </c>
      <c r="X206">
        <v>0.98201590000000005</v>
      </c>
      <c r="Y206">
        <v>3.6625659999999999E-3</v>
      </c>
      <c r="Z206">
        <v>-1.398617E-3</v>
      </c>
      <c r="AA206">
        <v>0.99999229999999995</v>
      </c>
      <c r="AB206">
        <v>21</v>
      </c>
      <c r="AC206">
        <v>25.108999999999899</v>
      </c>
      <c r="AD206">
        <v>-1.1594599999999999</v>
      </c>
      <c r="AE206">
        <v>0.62729999999999098</v>
      </c>
      <c r="AF206">
        <v>9.3059505717267899E-2</v>
      </c>
      <c r="AG206">
        <v>-1.1594599999999999</v>
      </c>
      <c r="AH206">
        <v>25.063252008868901</v>
      </c>
      <c r="AI206">
        <v>92.648673744682299</v>
      </c>
      <c r="AJ206">
        <v>89.787262546094098</v>
      </c>
      <c r="AK206">
        <v>25.090229349754399</v>
      </c>
      <c r="AL206">
        <v>79.133230042688297</v>
      </c>
      <c r="AM206">
        <v>89.408613273007603</v>
      </c>
      <c r="AN206">
        <v>0.99999999451156196</v>
      </c>
    </row>
    <row r="207" spans="1:40" x14ac:dyDescent="0.25">
      <c r="A207" t="str">
        <f>"20190312172058316"</f>
        <v>20190312172058316</v>
      </c>
      <c r="B207" t="str">
        <f>"1552382458311611"</f>
        <v>1552382458311611</v>
      </c>
      <c r="C207" t="s">
        <v>40</v>
      </c>
      <c r="D207">
        <v>3.2984979999999999</v>
      </c>
      <c r="E207">
        <v>0.49669259999999898</v>
      </c>
      <c r="F207" t="s">
        <v>43</v>
      </c>
      <c r="G207">
        <v>-433.96069999999997</v>
      </c>
      <c r="H207">
        <v>-0.05</v>
      </c>
      <c r="I207">
        <v>368.32319999999999</v>
      </c>
      <c r="J207">
        <v>-458.80919999999998</v>
      </c>
      <c r="K207">
        <v>1.1094580000000001</v>
      </c>
      <c r="L207">
        <v>367.69760000000002</v>
      </c>
      <c r="M207">
        <v>0.99957470000000004</v>
      </c>
      <c r="N207">
        <v>0</v>
      </c>
      <c r="O207">
        <v>2.8479959999999999E-2</v>
      </c>
      <c r="P207">
        <v>0.98304570000000002</v>
      </c>
      <c r="Q207">
        <v>0.1824568</v>
      </c>
      <c r="R207">
        <v>1.8196170000000001E-2</v>
      </c>
      <c r="S207">
        <v>3.0767519999999999</v>
      </c>
      <c r="T207">
        <v>-0.14283479999999901</v>
      </c>
      <c r="U207">
        <v>7.7484129999999998E-2</v>
      </c>
      <c r="V207">
        <v>9.9080469999999997E-3</v>
      </c>
      <c r="W207">
        <v>0.18861439999999999</v>
      </c>
      <c r="X207">
        <v>0.98200120000000002</v>
      </c>
      <c r="Y207">
        <v>3.2717810000000001E-3</v>
      </c>
      <c r="Z207">
        <v>-1.396895E-3</v>
      </c>
      <c r="AA207">
        <v>0.99999369999999999</v>
      </c>
      <c r="AB207">
        <v>21</v>
      </c>
      <c r="AC207">
        <v>24.848500000000001</v>
      </c>
      <c r="AD207">
        <v>-1.1594580000000001</v>
      </c>
      <c r="AE207">
        <v>0.62559999999996296</v>
      </c>
      <c r="AF207">
        <v>8.2173173643860994E-2</v>
      </c>
      <c r="AG207">
        <v>-1.1594580000000001</v>
      </c>
      <c r="AH207">
        <v>24.802270852874798</v>
      </c>
      <c r="AI207">
        <v>92.6765031617971</v>
      </c>
      <c r="AJ207">
        <v>89.810172268496302</v>
      </c>
      <c r="AK207">
        <v>24.829493243793699</v>
      </c>
      <c r="AL207">
        <v>79.128066344680093</v>
      </c>
      <c r="AM207">
        <v>89.421925336024401</v>
      </c>
      <c r="AN207">
        <v>0.99999995904207595</v>
      </c>
    </row>
    <row r="208" spans="1:40" x14ac:dyDescent="0.25">
      <c r="A208" t="str">
        <f>"20190312172058328"</f>
        <v>20190312172058328</v>
      </c>
      <c r="B208" t="str">
        <f>"1552382458321371"</f>
        <v>1552382458321371</v>
      </c>
      <c r="C208" t="s">
        <v>40</v>
      </c>
      <c r="D208">
        <v>3.3343400000000001</v>
      </c>
      <c r="E208">
        <v>0.49661480000000002</v>
      </c>
      <c r="F208" t="s">
        <v>43</v>
      </c>
      <c r="G208">
        <v>-434.5496</v>
      </c>
      <c r="H208">
        <v>-0.05</v>
      </c>
      <c r="I208">
        <v>368.30470000000003</v>
      </c>
      <c r="J208">
        <v>-458.69369999999998</v>
      </c>
      <c r="K208">
        <v>1.1094520000000001</v>
      </c>
      <c r="L208">
        <v>367.70069999999998</v>
      </c>
      <c r="M208">
        <v>0.99958009999999997</v>
      </c>
      <c r="N208">
        <v>0</v>
      </c>
      <c r="O208">
        <v>2.8291460000000001E-2</v>
      </c>
      <c r="P208">
        <v>0.98300960000000004</v>
      </c>
      <c r="Q208">
        <v>0.18266180000000001</v>
      </c>
      <c r="R208">
        <v>1.808835E-2</v>
      </c>
      <c r="S208">
        <v>3.0776059999999998</v>
      </c>
      <c r="T208">
        <v>-0.14709040000000001</v>
      </c>
      <c r="U208">
        <v>7.7026369999999997E-2</v>
      </c>
      <c r="V208">
        <v>9.8300780000000008E-3</v>
      </c>
      <c r="W208">
        <v>0.18882740000000001</v>
      </c>
      <c r="X208">
        <v>0.98196110000000003</v>
      </c>
      <c r="Y208">
        <v>3.2370379999999998E-3</v>
      </c>
      <c r="Z208">
        <v>-1.4282429999999901E-3</v>
      </c>
      <c r="AA208">
        <v>0.99999369999999999</v>
      </c>
      <c r="AB208">
        <v>21</v>
      </c>
      <c r="AC208">
        <v>24.144099999999899</v>
      </c>
      <c r="AD208">
        <v>-1.1594519999999999</v>
      </c>
      <c r="AE208">
        <v>0.60400000000004095</v>
      </c>
      <c r="AF208">
        <v>7.9144610992197995E-2</v>
      </c>
      <c r="AG208">
        <v>-1.1594519999999999</v>
      </c>
      <c r="AH208">
        <v>24.0959898188264</v>
      </c>
      <c r="AI208">
        <v>92.754821421977397</v>
      </c>
      <c r="AJ208">
        <v>89.811809520663303</v>
      </c>
      <c r="AK208">
        <v>24.123998801167598</v>
      </c>
      <c r="AL208">
        <v>79.115639591584596</v>
      </c>
      <c r="AM208">
        <v>89.426450631593596</v>
      </c>
      <c r="AN208">
        <v>1.00000000966872</v>
      </c>
    </row>
    <row r="209" spans="1:40" x14ac:dyDescent="0.25">
      <c r="A209" t="str">
        <f>"20190312172058346"</f>
        <v>20190312172058346</v>
      </c>
      <c r="B209" t="str">
        <f>"1552382458341866"</f>
        <v>1552382458341866</v>
      </c>
      <c r="C209" t="s">
        <v>40</v>
      </c>
      <c r="D209">
        <v>3.3244859999999998</v>
      </c>
      <c r="E209">
        <v>0.49655450000000001</v>
      </c>
      <c r="F209" t="s">
        <v>43</v>
      </c>
      <c r="G209">
        <v>-434.66500000000002</v>
      </c>
      <c r="H209">
        <v>-0.05</v>
      </c>
      <c r="I209">
        <v>368.30290000000002</v>
      </c>
      <c r="J209">
        <v>-458.51589999999999</v>
      </c>
      <c r="K209">
        <v>1.1094539999999999</v>
      </c>
      <c r="L209">
        <v>367.7054</v>
      </c>
      <c r="M209">
        <v>0.99958809999999998</v>
      </c>
      <c r="N209">
        <v>0</v>
      </c>
      <c r="O209">
        <v>2.7998729999999999E-2</v>
      </c>
      <c r="P209">
        <v>0.98297020000000002</v>
      </c>
      <c r="Q209">
        <v>0.18286469999999999</v>
      </c>
      <c r="R209">
        <v>1.8170660000000002E-2</v>
      </c>
      <c r="S209">
        <v>3.0780639999999999</v>
      </c>
      <c r="T209">
        <v>-0.14852509999999999</v>
      </c>
      <c r="U209">
        <v>7.7148439999999999E-2</v>
      </c>
      <c r="V209">
        <v>9.4601070000000006E-3</v>
      </c>
      <c r="W209">
        <v>0.1890442</v>
      </c>
      <c r="X209">
        <v>0.98192299999999999</v>
      </c>
      <c r="Y209">
        <v>2.9083109999999998E-3</v>
      </c>
      <c r="Z209">
        <v>-1.4199099999999999E-3</v>
      </c>
      <c r="AA209">
        <v>0.99999479999999996</v>
      </c>
      <c r="AB209">
        <v>21</v>
      </c>
      <c r="AC209">
        <v>23.8508999999999</v>
      </c>
      <c r="AD209">
        <v>-1.159454</v>
      </c>
      <c r="AE209">
        <v>0.59750000000002501</v>
      </c>
      <c r="AF209">
        <v>7.0376212321381595E-2</v>
      </c>
      <c r="AG209">
        <v>-1.159454</v>
      </c>
      <c r="AH209">
        <v>23.802065287124599</v>
      </c>
      <c r="AI209">
        <v>92.788794156194399</v>
      </c>
      <c r="AJ209">
        <v>89.830592507615194</v>
      </c>
      <c r="AK209">
        <v>23.830392324129299</v>
      </c>
      <c r="AL209">
        <v>79.102989830370703</v>
      </c>
      <c r="AM209">
        <v>89.448014319132497</v>
      </c>
      <c r="AN209">
        <v>0.99999999055354505</v>
      </c>
    </row>
    <row r="210" spans="1:40" x14ac:dyDescent="0.25">
      <c r="A210" t="str">
        <f>"20190312172058360"</f>
        <v>20190312172058360</v>
      </c>
      <c r="B210" t="str">
        <f>"1552382458351627"</f>
        <v>1552382458351627</v>
      </c>
      <c r="C210" t="s">
        <v>40</v>
      </c>
      <c r="D210">
        <v>3.3266740000000001</v>
      </c>
      <c r="E210">
        <v>0.49659360000000002</v>
      </c>
      <c r="F210" t="s">
        <v>43</v>
      </c>
      <c r="G210">
        <v>-434.8879</v>
      </c>
      <c r="H210">
        <v>-0.05</v>
      </c>
      <c r="I210">
        <v>368.30380000000002</v>
      </c>
      <c r="J210">
        <v>-458.38369999999998</v>
      </c>
      <c r="K210">
        <v>1.109453</v>
      </c>
      <c r="L210">
        <v>367.70890000000003</v>
      </c>
      <c r="M210">
        <v>0.99959430000000005</v>
      </c>
      <c r="N210">
        <v>0</v>
      </c>
      <c r="O210">
        <v>2.7778250000000001E-2</v>
      </c>
      <c r="P210">
        <v>0.98295710000000003</v>
      </c>
      <c r="Q210">
        <v>0.1829334</v>
      </c>
      <c r="R210">
        <v>1.818937E-2</v>
      </c>
      <c r="S210">
        <v>3.0786440000000002</v>
      </c>
      <c r="T210">
        <v>-0.1510727</v>
      </c>
      <c r="U210">
        <v>7.7972410000000006E-2</v>
      </c>
      <c r="V210">
        <v>9.2256520000000009E-3</v>
      </c>
      <c r="W210">
        <v>0.18912329999999999</v>
      </c>
      <c r="X210">
        <v>0.98190999999999995</v>
      </c>
      <c r="Y210">
        <v>2.4246110000000001E-3</v>
      </c>
      <c r="Z210">
        <v>-1.421294E-3</v>
      </c>
      <c r="AA210">
        <v>0.99999610000000005</v>
      </c>
      <c r="AB210">
        <v>21</v>
      </c>
      <c r="AC210">
        <v>23.4957999999999</v>
      </c>
      <c r="AD210">
        <v>-1.1594530000000001</v>
      </c>
      <c r="AE210">
        <v>0.59489999999999499</v>
      </c>
      <c r="AF210">
        <v>5.78738648186988E-2</v>
      </c>
      <c r="AG210">
        <v>-1.1594530000000001</v>
      </c>
      <c r="AH210">
        <v>23.446200004537101</v>
      </c>
      <c r="AI210">
        <v>92.831055296408493</v>
      </c>
      <c r="AJ210">
        <v>89.858573181874704</v>
      </c>
      <c r="AK210">
        <v>23.474922263900901</v>
      </c>
      <c r="AL210">
        <v>79.098374490071194</v>
      </c>
      <c r="AM210">
        <v>89.461686540084997</v>
      </c>
      <c r="AN210">
        <v>0.999999991678857</v>
      </c>
    </row>
    <row r="211" spans="1:40" x14ac:dyDescent="0.25">
      <c r="A211" t="str">
        <f>"20190312172058372"</f>
        <v>20190312172058372</v>
      </c>
      <c r="B211" t="str">
        <f>"1552382458361387"</f>
        <v>1552382458361387</v>
      </c>
      <c r="C211" t="s">
        <v>40</v>
      </c>
      <c r="D211">
        <v>3.313234</v>
      </c>
      <c r="E211">
        <v>0.49663030000000002</v>
      </c>
      <c r="F211" t="s">
        <v>43</v>
      </c>
      <c r="G211">
        <v>-434.9307</v>
      </c>
      <c r="H211">
        <v>-0.05</v>
      </c>
      <c r="I211">
        <v>368.30189999999999</v>
      </c>
      <c r="J211">
        <v>-458.26769999999999</v>
      </c>
      <c r="K211">
        <v>1.1094489999999999</v>
      </c>
      <c r="L211">
        <v>367.71190000000001</v>
      </c>
      <c r="M211">
        <v>0.99959969999999998</v>
      </c>
      <c r="N211">
        <v>0</v>
      </c>
      <c r="O211">
        <v>2.7579349999999999E-2</v>
      </c>
      <c r="P211">
        <v>0.9829367</v>
      </c>
      <c r="Q211">
        <v>0.18305060000000001</v>
      </c>
      <c r="R211">
        <v>1.8119159999999999E-2</v>
      </c>
      <c r="S211">
        <v>3.0789179999999998</v>
      </c>
      <c r="T211">
        <v>-0.1522135</v>
      </c>
      <c r="U211">
        <v>7.7850340000000004E-2</v>
      </c>
      <c r="V211">
        <v>9.1014500000000005E-3</v>
      </c>
      <c r="W211">
        <v>0.18924930000000001</v>
      </c>
      <c r="X211">
        <v>0.98188690000000001</v>
      </c>
      <c r="Y211">
        <v>2.2673979999999999E-3</v>
      </c>
      <c r="Z211">
        <v>-1.418182E-3</v>
      </c>
      <c r="AA211">
        <v>0.99999640000000001</v>
      </c>
      <c r="AB211">
        <v>22</v>
      </c>
      <c r="AC211">
        <v>23.3369999999999</v>
      </c>
      <c r="AD211">
        <v>-1.159449</v>
      </c>
      <c r="AE211">
        <v>0.58999999999997499</v>
      </c>
      <c r="AF211">
        <v>5.3724013274741703E-2</v>
      </c>
      <c r="AG211">
        <v>-1.159449</v>
      </c>
      <c r="AH211">
        <v>23.286950309219499</v>
      </c>
      <c r="AI211">
        <v>92.850375156404297</v>
      </c>
      <c r="AJ211">
        <v>89.867816364222193</v>
      </c>
      <c r="AK211">
        <v>23.3158586150556</v>
      </c>
      <c r="AL211">
        <v>79.091022646022495</v>
      </c>
      <c r="AM211">
        <v>89.468920770764996</v>
      </c>
      <c r="AN211">
        <v>1.0000000091671</v>
      </c>
    </row>
    <row r="212" spans="1:40" x14ac:dyDescent="0.25">
      <c r="A212" t="str">
        <f>"20190312172058383"</f>
        <v>20190312172058383</v>
      </c>
      <c r="B212" t="str">
        <f>"1552382458372124"</f>
        <v>1552382458372124</v>
      </c>
      <c r="C212" t="s">
        <v>40</v>
      </c>
      <c r="D212">
        <v>3.272691</v>
      </c>
      <c r="E212">
        <v>0.49665920000000002</v>
      </c>
      <c r="F212" t="s">
        <v>43</v>
      </c>
      <c r="G212">
        <v>-435.01209999999998</v>
      </c>
      <c r="H212">
        <v>-0.05</v>
      </c>
      <c r="I212">
        <v>368.29430000000002</v>
      </c>
      <c r="J212">
        <v>-458.15679999999998</v>
      </c>
      <c r="K212">
        <v>1.109443</v>
      </c>
      <c r="L212">
        <v>367.71469999999999</v>
      </c>
      <c r="M212">
        <v>0.99960510000000002</v>
      </c>
      <c r="N212">
        <v>0</v>
      </c>
      <c r="O212">
        <v>2.7387290000000002E-2</v>
      </c>
      <c r="P212">
        <v>0.98289159999999998</v>
      </c>
      <c r="Q212">
        <v>0.18331</v>
      </c>
      <c r="R212">
        <v>1.7946150000000001E-2</v>
      </c>
      <c r="S212">
        <v>3.079285</v>
      </c>
      <c r="T212">
        <v>-0.15352360000000001</v>
      </c>
      <c r="U212">
        <v>7.7117920000000006E-2</v>
      </c>
      <c r="V212">
        <v>9.0865689999999992E-3</v>
      </c>
      <c r="W212">
        <v>0.18951709999999999</v>
      </c>
      <c r="X212">
        <v>0.98183540000000002</v>
      </c>
      <c r="Y212">
        <v>2.3155340000000002E-3</v>
      </c>
      <c r="Z212">
        <v>-1.4218449999999999E-3</v>
      </c>
      <c r="AA212">
        <v>0.99999629999999995</v>
      </c>
      <c r="AB212">
        <v>22</v>
      </c>
      <c r="AC212">
        <v>23.1447</v>
      </c>
      <c r="AD212">
        <v>-1.159443</v>
      </c>
      <c r="AE212">
        <v>0.57960000000002698</v>
      </c>
      <c r="AF212">
        <v>5.4364229293939199E-2</v>
      </c>
      <c r="AG212">
        <v>-1.159443</v>
      </c>
      <c r="AH212">
        <v>23.093972880418601</v>
      </c>
      <c r="AI212">
        <v>92.8741384739061</v>
      </c>
      <c r="AJ212">
        <v>89.865123460674397</v>
      </c>
      <c r="AK212">
        <v>23.123123641523499</v>
      </c>
      <c r="AL212">
        <v>79.075396218776703</v>
      </c>
      <c r="AM212">
        <v>89.469761233781497</v>
      </c>
      <c r="AN212">
        <v>1.00000002481088</v>
      </c>
    </row>
    <row r="213" spans="1:40" x14ac:dyDescent="0.25">
      <c r="A213" t="str">
        <f>"20190312172058403"</f>
        <v>20190312172058403</v>
      </c>
      <c r="B213" t="str">
        <f>"1552382458391646"</f>
        <v>1552382458391646</v>
      </c>
      <c r="C213" t="s">
        <v>40</v>
      </c>
      <c r="D213">
        <v>3.301021</v>
      </c>
      <c r="E213">
        <v>0.49675150000000001</v>
      </c>
      <c r="F213" t="s">
        <v>43</v>
      </c>
      <c r="G213">
        <v>-435.00470000000001</v>
      </c>
      <c r="H213">
        <v>-0.05</v>
      </c>
      <c r="I213">
        <v>368.28739999999999</v>
      </c>
      <c r="J213">
        <v>-457.96859999999998</v>
      </c>
      <c r="K213">
        <v>1.109434</v>
      </c>
      <c r="L213">
        <v>367.71949999999998</v>
      </c>
      <c r="M213">
        <v>0.99961409999999995</v>
      </c>
      <c r="N213">
        <v>0</v>
      </c>
      <c r="O213">
        <v>2.705128E-2</v>
      </c>
      <c r="P213">
        <v>0.98289170000000003</v>
      </c>
      <c r="Q213">
        <v>0.1833533</v>
      </c>
      <c r="R213">
        <v>1.7481340000000001E-2</v>
      </c>
      <c r="S213">
        <v>3.07959</v>
      </c>
      <c r="T213">
        <v>-0.15422420000000001</v>
      </c>
      <c r="U213">
        <v>7.6171879999999997E-2</v>
      </c>
      <c r="V213">
        <v>9.2259569999999999E-3</v>
      </c>
      <c r="W213">
        <v>0.1895742</v>
      </c>
      <c r="X213">
        <v>0.981823</v>
      </c>
      <c r="Y213">
        <v>2.289003E-3</v>
      </c>
      <c r="Z213">
        <v>-1.4107200000000001E-3</v>
      </c>
      <c r="AA213">
        <v>0.99999640000000001</v>
      </c>
      <c r="AB213">
        <v>22</v>
      </c>
      <c r="AC213">
        <v>22.963899999999899</v>
      </c>
      <c r="AD213">
        <v>-1.1594340000000001</v>
      </c>
      <c r="AE213">
        <v>0.56790000000000795</v>
      </c>
      <c r="AF213">
        <v>5.33870984192766E-2</v>
      </c>
      <c r="AG213">
        <v>-1.1594340000000001</v>
      </c>
      <c r="AH213">
        <v>22.912486300290599</v>
      </c>
      <c r="AI213">
        <v>92.896843209342904</v>
      </c>
      <c r="AJ213">
        <v>89.866498561343903</v>
      </c>
      <c r="AK213">
        <v>22.941864916428202</v>
      </c>
      <c r="AL213">
        <v>79.072063393628</v>
      </c>
      <c r="AM213">
        <v>89.461621045403604</v>
      </c>
      <c r="AN213">
        <v>0.99999994945860105</v>
      </c>
    </row>
    <row r="214" spans="1:40" x14ac:dyDescent="0.25">
      <c r="A214" t="str">
        <f>"20190312172058415"</f>
        <v>20190312172058415</v>
      </c>
      <c r="B214" t="str">
        <f>"1552382458412139"</f>
        <v>1552382458412139</v>
      </c>
      <c r="C214" t="s">
        <v>40</v>
      </c>
      <c r="D214">
        <v>3.3159830000000001</v>
      </c>
      <c r="E214">
        <v>0.49682409999999999</v>
      </c>
      <c r="F214" t="s">
        <v>43</v>
      </c>
      <c r="G214">
        <v>-435.25040000000001</v>
      </c>
      <c r="H214">
        <v>-0.05</v>
      </c>
      <c r="I214">
        <v>368.26420000000002</v>
      </c>
      <c r="J214">
        <v>-457.84769999999997</v>
      </c>
      <c r="K214">
        <v>1.109426</v>
      </c>
      <c r="L214">
        <v>367.7226</v>
      </c>
      <c r="M214">
        <v>0.99961999999999995</v>
      </c>
      <c r="N214">
        <v>0</v>
      </c>
      <c r="O214">
        <v>2.6826160000000002E-2</v>
      </c>
      <c r="P214">
        <v>0.98286910000000005</v>
      </c>
      <c r="Q214">
        <v>0.1834768</v>
      </c>
      <c r="R214">
        <v>1.7452570000000001E-2</v>
      </c>
      <c r="S214">
        <v>3.0802</v>
      </c>
      <c r="T214">
        <v>-0.15720000000000001</v>
      </c>
      <c r="U214">
        <v>7.3852539999999994E-2</v>
      </c>
      <c r="V214">
        <v>9.0370079999999992E-3</v>
      </c>
      <c r="W214">
        <v>0.18970719999999999</v>
      </c>
      <c r="X214">
        <v>0.98179910000000004</v>
      </c>
      <c r="Y214">
        <v>2.8194209999999999E-3</v>
      </c>
      <c r="Z214">
        <v>-1.439687E-3</v>
      </c>
      <c r="AA214">
        <v>0.99999499999999997</v>
      </c>
      <c r="AB214">
        <v>22</v>
      </c>
      <c r="AC214">
        <v>22.597299999999901</v>
      </c>
      <c r="AD214">
        <v>-1.1594260000000001</v>
      </c>
      <c r="AE214">
        <v>0.54160000000001596</v>
      </c>
      <c r="AF214">
        <v>6.4635838438209595E-2</v>
      </c>
      <c r="AG214">
        <v>-1.1594260000000001</v>
      </c>
      <c r="AH214">
        <v>22.544381917427</v>
      </c>
      <c r="AI214">
        <v>92.944035904370807</v>
      </c>
      <c r="AJ214">
        <v>89.835730666103601</v>
      </c>
      <c r="AK214">
        <v>22.574268592357502</v>
      </c>
      <c r="AL214">
        <v>79.064302565995902</v>
      </c>
      <c r="AM214">
        <v>89.472633662239602</v>
      </c>
      <c r="AN214">
        <v>0.99999998100312004</v>
      </c>
    </row>
    <row r="215" spans="1:40" x14ac:dyDescent="0.25">
      <c r="A215" t="str">
        <f>"20190312172058427"</f>
        <v>20190312172058427</v>
      </c>
      <c r="B215" t="str">
        <f>"1552382458421899"</f>
        <v>1552382458421899</v>
      </c>
      <c r="C215" t="s">
        <v>40</v>
      </c>
      <c r="D215">
        <v>3.2979210000000001</v>
      </c>
      <c r="E215">
        <v>0.49683939999999999</v>
      </c>
      <c r="F215" t="s">
        <v>43</v>
      </c>
      <c r="G215">
        <v>-435.52229999999997</v>
      </c>
      <c r="H215">
        <v>-0.05</v>
      </c>
      <c r="I215">
        <v>368.2509</v>
      </c>
      <c r="J215">
        <v>-457.72669999999999</v>
      </c>
      <c r="K215">
        <v>1.109418</v>
      </c>
      <c r="L215">
        <v>367.72559999999999</v>
      </c>
      <c r="M215">
        <v>0.99962609999999996</v>
      </c>
      <c r="N215">
        <v>0</v>
      </c>
      <c r="O215">
        <v>2.659365E-2</v>
      </c>
      <c r="P215">
        <v>0.98286779999999996</v>
      </c>
      <c r="Q215">
        <v>0.18350639999999999</v>
      </c>
      <c r="R215">
        <v>1.721833E-2</v>
      </c>
      <c r="S215">
        <v>3.080902</v>
      </c>
      <c r="T215">
        <v>-0.1600009</v>
      </c>
      <c r="U215">
        <v>7.2906490000000004E-2</v>
      </c>
      <c r="V215">
        <v>9.0470380000000003E-3</v>
      </c>
      <c r="W215">
        <v>0.1897461</v>
      </c>
      <c r="X215">
        <v>0.98179150000000004</v>
      </c>
      <c r="Y215">
        <v>2.898014E-3</v>
      </c>
      <c r="Z215">
        <v>-1.454957E-3</v>
      </c>
      <c r="AA215">
        <v>0.99999479999999996</v>
      </c>
      <c r="AB215">
        <v>22</v>
      </c>
      <c r="AC215">
        <v>22.2044</v>
      </c>
      <c r="AD215">
        <v>-1.1594180000000001</v>
      </c>
      <c r="AE215">
        <v>0.52530000000001498</v>
      </c>
      <c r="AF215">
        <v>6.5216063240271696E-2</v>
      </c>
      <c r="AG215">
        <v>-1.1594180000000001</v>
      </c>
      <c r="AH215">
        <v>22.1501583601903</v>
      </c>
      <c r="AI215">
        <v>92.996317239456104</v>
      </c>
      <c r="AJ215">
        <v>89.831306200063494</v>
      </c>
      <c r="AK215">
        <v>22.180577508602799</v>
      </c>
      <c r="AL215">
        <v>79.062032633579904</v>
      </c>
      <c r="AM215">
        <v>89.4720442950603</v>
      </c>
      <c r="AN215">
        <v>0.99999999041701604</v>
      </c>
    </row>
    <row r="216" spans="1:40" x14ac:dyDescent="0.25">
      <c r="A216" t="str">
        <f>"20190312172058439"</f>
        <v>20190312172058439</v>
      </c>
      <c r="B216" t="str">
        <f>"1552382458431658"</f>
        <v>1552382458431658</v>
      </c>
      <c r="C216" t="s">
        <v>40</v>
      </c>
      <c r="D216">
        <v>3.3062019999999999</v>
      </c>
      <c r="E216">
        <v>0.4968458</v>
      </c>
      <c r="F216" t="s">
        <v>43</v>
      </c>
      <c r="G216">
        <v>-435.5865</v>
      </c>
      <c r="H216">
        <v>-0.05</v>
      </c>
      <c r="I216">
        <v>368.24270000000001</v>
      </c>
      <c r="J216">
        <v>-457.60559999999998</v>
      </c>
      <c r="K216">
        <v>1.109407</v>
      </c>
      <c r="L216">
        <v>367.7285</v>
      </c>
      <c r="M216">
        <v>0.99963239999999998</v>
      </c>
      <c r="N216">
        <v>0</v>
      </c>
      <c r="O216">
        <v>2.635618E-2</v>
      </c>
      <c r="P216">
        <v>0.98285599999999995</v>
      </c>
      <c r="Q216">
        <v>0.1835765</v>
      </c>
      <c r="R216">
        <v>1.713777E-2</v>
      </c>
      <c r="S216">
        <v>3.0811459999999999</v>
      </c>
      <c r="T216">
        <v>-0.16135099999999999</v>
      </c>
      <c r="U216">
        <v>7.1960449999999995E-2</v>
      </c>
      <c r="V216">
        <v>8.8987289999999993E-3</v>
      </c>
      <c r="W216">
        <v>0.18982560000000001</v>
      </c>
      <c r="X216">
        <v>0.98177749999999997</v>
      </c>
      <c r="Y216">
        <v>2.968769E-3</v>
      </c>
      <c r="Z216">
        <v>-1.4565379999999901E-3</v>
      </c>
      <c r="AA216">
        <v>0.99999450000000001</v>
      </c>
      <c r="AB216">
        <v>22</v>
      </c>
      <c r="AC216">
        <v>22.019099999999899</v>
      </c>
      <c r="AD216">
        <v>-1.1594070000000001</v>
      </c>
      <c r="AE216">
        <v>0.51420000000001598</v>
      </c>
      <c r="AF216">
        <v>6.6146431870081901E-2</v>
      </c>
      <c r="AG216">
        <v>-1.1594070000000001</v>
      </c>
      <c r="AH216">
        <v>21.964140668292899</v>
      </c>
      <c r="AI216">
        <v>93.021617463664498</v>
      </c>
      <c r="AJ216">
        <v>89.827450571559197</v>
      </c>
      <c r="AK216">
        <v>21.994819281791301</v>
      </c>
      <c r="AL216">
        <v>79.057393437075604</v>
      </c>
      <c r="AM216">
        <v>89.480691243129897</v>
      </c>
      <c r="AN216">
        <v>1.00000000264971</v>
      </c>
    </row>
    <row r="217" spans="1:40" x14ac:dyDescent="0.25">
      <c r="A217" t="str">
        <f>"20190312172058453"</f>
        <v>20190312172058453</v>
      </c>
      <c r="B217" t="str">
        <f>"1552382458441419"</f>
        <v>1552382458441419</v>
      </c>
      <c r="C217" t="s">
        <v>40</v>
      </c>
      <c r="D217">
        <v>3.29827</v>
      </c>
      <c r="E217">
        <v>0.49686550000000002</v>
      </c>
      <c r="F217" t="s">
        <v>43</v>
      </c>
      <c r="G217">
        <v>-435.62549999999999</v>
      </c>
      <c r="H217">
        <v>-0.05</v>
      </c>
      <c r="I217">
        <v>368.23809999999997</v>
      </c>
      <c r="J217">
        <v>-457.47730000000001</v>
      </c>
      <c r="K217">
        <v>1.1093949999999999</v>
      </c>
      <c r="L217">
        <v>367.73160000000001</v>
      </c>
      <c r="M217">
        <v>0.99963930000000001</v>
      </c>
      <c r="N217">
        <v>0</v>
      </c>
      <c r="O217">
        <v>2.6089009999999999E-2</v>
      </c>
      <c r="P217">
        <v>0.98283960000000004</v>
      </c>
      <c r="Q217">
        <v>0.18369160000000001</v>
      </c>
      <c r="R217">
        <v>1.685453E-2</v>
      </c>
      <c r="S217">
        <v>3.0814509999999999</v>
      </c>
      <c r="T217">
        <v>-0.16254080000000001</v>
      </c>
      <c r="U217">
        <v>7.1441649999999995E-2</v>
      </c>
      <c r="V217">
        <v>8.9248299999999999E-3</v>
      </c>
      <c r="W217">
        <v>0.1899497</v>
      </c>
      <c r="X217">
        <v>0.98175319999999999</v>
      </c>
      <c r="Y217">
        <v>2.8719990000000001E-3</v>
      </c>
      <c r="Z217">
        <v>-1.4504959999999999E-3</v>
      </c>
      <c r="AA217">
        <v>0.99999479999999996</v>
      </c>
      <c r="AB217">
        <v>22</v>
      </c>
      <c r="AC217">
        <v>21.851800000000001</v>
      </c>
      <c r="AD217">
        <v>-1.159395</v>
      </c>
      <c r="AE217">
        <v>0.50649999999995998</v>
      </c>
      <c r="AF217">
        <v>6.3596885769619804E-2</v>
      </c>
      <c r="AG217">
        <v>-1.159395</v>
      </c>
      <c r="AH217">
        <v>21.796251303558801</v>
      </c>
      <c r="AI217">
        <v>93.044817751472095</v>
      </c>
      <c r="AJ217">
        <v>89.832823417500094</v>
      </c>
      <c r="AK217">
        <v>21.827157676110499</v>
      </c>
      <c r="AL217">
        <v>79.050150608904502</v>
      </c>
      <c r="AM217">
        <v>89.479155243617697</v>
      </c>
      <c r="AN217">
        <v>0.99999994341542697</v>
      </c>
    </row>
    <row r="218" spans="1:40" x14ac:dyDescent="0.25">
      <c r="A218" t="str">
        <f>"20190312172058471"</f>
        <v>20190312172058471</v>
      </c>
      <c r="B218" t="str">
        <f>"1552382458461915"</f>
        <v>1552382458461915</v>
      </c>
      <c r="C218" t="s">
        <v>40</v>
      </c>
      <c r="D218">
        <v>3.313043</v>
      </c>
      <c r="E218">
        <v>0.49693769999999998</v>
      </c>
      <c r="F218" t="s">
        <v>43</v>
      </c>
      <c r="G218">
        <v>-435.61520000000002</v>
      </c>
      <c r="H218">
        <v>-0.05</v>
      </c>
      <c r="I218">
        <v>368.23129999999998</v>
      </c>
      <c r="J218">
        <v>-457.29489999999998</v>
      </c>
      <c r="K218">
        <v>1.1093770000000001</v>
      </c>
      <c r="L218">
        <v>367.73599999999999</v>
      </c>
      <c r="M218">
        <v>0.99964940000000002</v>
      </c>
      <c r="N218">
        <v>0</v>
      </c>
      <c r="O218">
        <v>2.5694140000000001E-2</v>
      </c>
      <c r="P218">
        <v>0.9828112</v>
      </c>
      <c r="Q218">
        <v>0.18388389999999999</v>
      </c>
      <c r="R218">
        <v>1.6396270000000001E-2</v>
      </c>
      <c r="S218">
        <v>3.0817260000000002</v>
      </c>
      <c r="T218">
        <v>-0.1634303</v>
      </c>
      <c r="U218">
        <v>7.0434570000000002E-2</v>
      </c>
      <c r="V218">
        <v>9.0032229999999994E-3</v>
      </c>
      <c r="W218">
        <v>0.19015660000000001</v>
      </c>
      <c r="X218">
        <v>0.98171249999999999</v>
      </c>
      <c r="Y218">
        <v>2.8058969999999999E-3</v>
      </c>
      <c r="Z218">
        <v>-1.435635E-3</v>
      </c>
      <c r="AA218">
        <v>0.99999510000000003</v>
      </c>
      <c r="AB218">
        <v>22</v>
      </c>
      <c r="AC218">
        <v>21.679699999999901</v>
      </c>
      <c r="AD218">
        <v>-1.1593770000000001</v>
      </c>
      <c r="AE218">
        <v>0.49529999999998597</v>
      </c>
      <c r="AF218">
        <v>6.1739691003226502E-2</v>
      </c>
      <c r="AG218">
        <v>-1.1593770000000001</v>
      </c>
      <c r="AH218">
        <v>21.623461211850302</v>
      </c>
      <c r="AI218">
        <v>93.0690551339801</v>
      </c>
      <c r="AJ218">
        <v>89.836408515933599</v>
      </c>
      <c r="AK218">
        <v>21.654607860637199</v>
      </c>
      <c r="AL218">
        <v>79.038076794605004</v>
      </c>
      <c r="AM218">
        <v>89.474558774897801</v>
      </c>
      <c r="AN218">
        <v>1.00000001160209</v>
      </c>
    </row>
    <row r="219" spans="1:40" x14ac:dyDescent="0.25">
      <c r="A219" t="str">
        <f>"20190312172058492"</f>
        <v>20190312172058492</v>
      </c>
      <c r="B219" t="str">
        <f>"1552382458481438"</f>
        <v>1552382458481438</v>
      </c>
      <c r="C219" t="s">
        <v>40</v>
      </c>
      <c r="D219">
        <v>3.3282319999999999</v>
      </c>
      <c r="E219">
        <v>0.49699939999999998</v>
      </c>
      <c r="F219" t="s">
        <v>43</v>
      </c>
      <c r="G219">
        <v>-435.65859999999998</v>
      </c>
      <c r="H219">
        <v>-0.05</v>
      </c>
      <c r="I219">
        <v>368.22120000000001</v>
      </c>
      <c r="J219">
        <v>-457.09309999999999</v>
      </c>
      <c r="K219">
        <v>1.1093519999999999</v>
      </c>
      <c r="L219">
        <v>367.7407</v>
      </c>
      <c r="M219">
        <v>0.99966109999999997</v>
      </c>
      <c r="N219">
        <v>0</v>
      </c>
      <c r="O219">
        <v>2.5233209999999999E-2</v>
      </c>
      <c r="P219">
        <v>0.98283670000000001</v>
      </c>
      <c r="Q219">
        <v>0.18377370000000001</v>
      </c>
      <c r="R219">
        <v>1.610727E-2</v>
      </c>
      <c r="S219">
        <v>3.0821839999999998</v>
      </c>
      <c r="T219">
        <v>-0.1651581</v>
      </c>
      <c r="U219">
        <v>6.9122310000000006E-2</v>
      </c>
      <c r="V219">
        <v>8.8497079999999995E-3</v>
      </c>
      <c r="W219">
        <v>0.19006210000000001</v>
      </c>
      <c r="X219">
        <v>0.98173220000000005</v>
      </c>
      <c r="Y219">
        <v>2.7736039999999998E-3</v>
      </c>
      <c r="Z219">
        <v>-1.4250510000000001E-3</v>
      </c>
      <c r="AA219">
        <v>0.99999510000000003</v>
      </c>
      <c r="AB219">
        <v>22</v>
      </c>
      <c r="AC219">
        <v>21.4345</v>
      </c>
      <c r="AD219">
        <v>-1.1593519999999999</v>
      </c>
      <c r="AE219">
        <v>0.48050000000000598</v>
      </c>
      <c r="AF219">
        <v>6.03488576210095E-2</v>
      </c>
      <c r="AG219">
        <v>-1.1593519999999999</v>
      </c>
      <c r="AH219">
        <v>21.377291204468399</v>
      </c>
      <c r="AI219">
        <v>93.104261553528104</v>
      </c>
      <c r="AJ219">
        <v>89.838252394955703</v>
      </c>
      <c r="AK219">
        <v>21.408790677783799</v>
      </c>
      <c r="AL219">
        <v>79.043591870867104</v>
      </c>
      <c r="AM219">
        <v>89.483528008114703</v>
      </c>
      <c r="AN219">
        <v>1.00000001585246</v>
      </c>
    </row>
    <row r="220" spans="1:40" x14ac:dyDescent="0.25">
      <c r="A220" t="str">
        <f>"20190312172058504"</f>
        <v>20190312172058504</v>
      </c>
      <c r="B220" t="str">
        <f>"1552382458501932"</f>
        <v>1552382458501932</v>
      </c>
      <c r="C220" t="s">
        <v>40</v>
      </c>
      <c r="D220">
        <v>3.3246869999999999</v>
      </c>
      <c r="E220">
        <v>0.49704680000000001</v>
      </c>
      <c r="F220" t="s">
        <v>43</v>
      </c>
      <c r="G220">
        <v>-435.79239999999999</v>
      </c>
      <c r="H220">
        <v>-0.05</v>
      </c>
      <c r="I220">
        <v>368.2079</v>
      </c>
      <c r="J220">
        <v>-456.96969999999999</v>
      </c>
      <c r="K220">
        <v>1.10934</v>
      </c>
      <c r="L220">
        <v>367.74340000000001</v>
      </c>
      <c r="M220">
        <v>0.99966820000000001</v>
      </c>
      <c r="N220">
        <v>0</v>
      </c>
      <c r="O220">
        <v>2.494095E-2</v>
      </c>
      <c r="P220">
        <v>0.98287939999999996</v>
      </c>
      <c r="Q220">
        <v>0.18357100000000001</v>
      </c>
      <c r="R220">
        <v>1.580018E-2</v>
      </c>
      <c r="S220">
        <v>3.0826419999999999</v>
      </c>
      <c r="T220">
        <v>-0.16778109999999999</v>
      </c>
      <c r="U220">
        <v>6.7626950000000005E-2</v>
      </c>
      <c r="V220">
        <v>8.8758940000000005E-3</v>
      </c>
      <c r="W220">
        <v>0.1898687</v>
      </c>
      <c r="X220">
        <v>0.98176940000000001</v>
      </c>
      <c r="Y220">
        <v>2.9683019999999999E-3</v>
      </c>
      <c r="Z220">
        <v>-1.4368510000000001E-3</v>
      </c>
      <c r="AA220">
        <v>0.99999459999999996</v>
      </c>
      <c r="AB220">
        <v>22</v>
      </c>
      <c r="AC220">
        <v>21.177299999999999</v>
      </c>
      <c r="AD220">
        <v>-1.15934</v>
      </c>
      <c r="AE220">
        <v>0.46449999999998598</v>
      </c>
      <c r="AF220">
        <v>6.3646769339339201E-2</v>
      </c>
      <c r="AG220">
        <v>-1.15934</v>
      </c>
      <c r="AH220">
        <v>21.1190349361998</v>
      </c>
      <c r="AI220">
        <v>93.142112521008201</v>
      </c>
      <c r="AJ220">
        <v>89.827327326578697</v>
      </c>
      <c r="AK220">
        <v>21.1509280359817</v>
      </c>
      <c r="AL220">
        <v>79.054878547211501</v>
      </c>
      <c r="AM220">
        <v>89.482019493685399</v>
      </c>
      <c r="AN220">
        <v>1.0000000297551701</v>
      </c>
    </row>
    <row r="221" spans="1:40" x14ac:dyDescent="0.25">
      <c r="A221" t="str">
        <f>"20190312172058516"</f>
        <v>20190312172058516</v>
      </c>
      <c r="B221" t="str">
        <f>"1552382458511692"</f>
        <v>1552382458511692</v>
      </c>
      <c r="C221" t="s">
        <v>40</v>
      </c>
      <c r="D221">
        <v>3.2925260000000001</v>
      </c>
      <c r="E221">
        <v>0.49707129999999999</v>
      </c>
      <c r="F221" t="s">
        <v>43</v>
      </c>
      <c r="G221">
        <v>-435.99759999999998</v>
      </c>
      <c r="H221">
        <v>-0.05</v>
      </c>
      <c r="I221">
        <v>368.19349999999997</v>
      </c>
      <c r="J221">
        <v>-456.8424</v>
      </c>
      <c r="K221">
        <v>1.1093280000000001</v>
      </c>
      <c r="L221">
        <v>367.74630000000002</v>
      </c>
      <c r="M221">
        <v>0.99967600000000001</v>
      </c>
      <c r="N221">
        <v>0</v>
      </c>
      <c r="O221">
        <v>2.4631170000000001E-2</v>
      </c>
      <c r="P221">
        <v>0.98283670000000001</v>
      </c>
      <c r="Q221">
        <v>0.1838224</v>
      </c>
      <c r="R221">
        <v>1.5548070000000001E-2</v>
      </c>
      <c r="S221">
        <v>3.0830380000000002</v>
      </c>
      <c r="T221">
        <v>-0.170431</v>
      </c>
      <c r="U221">
        <v>6.6162109999999996E-2</v>
      </c>
      <c r="V221">
        <v>8.8276229999999997E-3</v>
      </c>
      <c r="W221">
        <v>0.19012989999999999</v>
      </c>
      <c r="X221">
        <v>0.98171929999999996</v>
      </c>
      <c r="Y221">
        <v>3.1350549999999999E-3</v>
      </c>
      <c r="Z221">
        <v>-1.44683299999999E-3</v>
      </c>
      <c r="AA221">
        <v>0.99999400000000005</v>
      </c>
      <c r="AB221">
        <v>22</v>
      </c>
      <c r="AC221">
        <v>20.844799999999999</v>
      </c>
      <c r="AD221">
        <v>-1.1593279999999999</v>
      </c>
      <c r="AE221">
        <v>0.44719999999995202</v>
      </c>
      <c r="AF221">
        <v>6.6173474683743405E-2</v>
      </c>
      <c r="AG221">
        <v>-1.1593279999999999</v>
      </c>
      <c r="AH221">
        <v>20.7852262105806</v>
      </c>
      <c r="AI221">
        <v>93.192436334193204</v>
      </c>
      <c r="AJ221">
        <v>89.817589283516995</v>
      </c>
      <c r="AK221">
        <v>20.817637929538101</v>
      </c>
      <c r="AL221">
        <v>79.039635389043696</v>
      </c>
      <c r="AM221">
        <v>89.484810057475897</v>
      </c>
      <c r="AN221">
        <v>1.00000004489716</v>
      </c>
    </row>
    <row r="222" spans="1:40" x14ac:dyDescent="0.25">
      <c r="A222" t="str">
        <f>"20190312172058529"</f>
        <v>20190312172058529</v>
      </c>
      <c r="B222" t="str">
        <f>"1552382458521451"</f>
        <v>1552382458521451</v>
      </c>
      <c r="C222" t="s">
        <v>40</v>
      </c>
      <c r="D222">
        <v>3.313307</v>
      </c>
      <c r="E222">
        <v>0.49710300000000002</v>
      </c>
      <c r="F222" t="s">
        <v>43</v>
      </c>
      <c r="G222">
        <v>-435.8956</v>
      </c>
      <c r="H222">
        <v>-0.05</v>
      </c>
      <c r="I222">
        <v>368.18959999999998</v>
      </c>
      <c r="J222">
        <v>-456.72550000000001</v>
      </c>
      <c r="K222">
        <v>1.1093150000000001</v>
      </c>
      <c r="L222">
        <v>367.74889999999999</v>
      </c>
      <c r="M222">
        <v>0.99968310000000005</v>
      </c>
      <c r="N222">
        <v>0</v>
      </c>
      <c r="O222">
        <v>2.4340669999999998E-2</v>
      </c>
      <c r="P222">
        <v>0.98281399999999997</v>
      </c>
      <c r="Q222">
        <v>0.1839674</v>
      </c>
      <c r="R222">
        <v>1.525571E-2</v>
      </c>
      <c r="S222">
        <v>3.0832820000000001</v>
      </c>
      <c r="T222">
        <v>-0.17064779999999999</v>
      </c>
      <c r="U222">
        <v>6.5246579999999998E-2</v>
      </c>
      <c r="V222">
        <v>8.8375380000000007E-3</v>
      </c>
      <c r="W222">
        <v>0.19028400000000001</v>
      </c>
      <c r="X222">
        <v>0.98168929999999999</v>
      </c>
      <c r="Y222">
        <v>3.143294E-3</v>
      </c>
      <c r="Z222">
        <v>-1.4327319999999999E-3</v>
      </c>
      <c r="AA222">
        <v>0.99999400000000005</v>
      </c>
      <c r="AB222">
        <v>22</v>
      </c>
      <c r="AC222">
        <v>20.829899999999999</v>
      </c>
      <c r="AD222">
        <v>-1.1593149999999901</v>
      </c>
      <c r="AE222">
        <v>0.44069999999999199</v>
      </c>
      <c r="AF222">
        <v>6.6249625351518807E-2</v>
      </c>
      <c r="AG222">
        <v>-1.1593149999999901</v>
      </c>
      <c r="AH222">
        <v>20.770146165612001</v>
      </c>
      <c r="AI222">
        <v>93.194713574205394</v>
      </c>
      <c r="AJ222">
        <v>89.817246781799597</v>
      </c>
      <c r="AK222">
        <v>20.802580898123399</v>
      </c>
      <c r="AL222">
        <v>79.030641340464598</v>
      </c>
      <c r="AM222">
        <v>89.484215677426107</v>
      </c>
      <c r="AN222">
        <v>0.999999992234195</v>
      </c>
    </row>
    <row r="223" spans="1:40" x14ac:dyDescent="0.25">
      <c r="A223" t="str">
        <f>"20190312172058540"</f>
        <v>20190312172058540</v>
      </c>
      <c r="B223" t="str">
        <f>"1552382458531211"</f>
        <v>1552382458531211</v>
      </c>
      <c r="C223" t="s">
        <v>40</v>
      </c>
      <c r="D223">
        <v>3.4343810000000001</v>
      </c>
      <c r="E223">
        <v>0.49703419999999998</v>
      </c>
      <c r="F223" t="s">
        <v>43</v>
      </c>
      <c r="G223">
        <v>-435.83030000000002</v>
      </c>
      <c r="H223">
        <v>-0.05</v>
      </c>
      <c r="I223">
        <v>368.1866</v>
      </c>
      <c r="J223">
        <v>-456.60210000000001</v>
      </c>
      <c r="K223">
        <v>1.109307</v>
      </c>
      <c r="L223">
        <v>367.75150000000002</v>
      </c>
      <c r="M223">
        <v>0.99969050000000004</v>
      </c>
      <c r="N223">
        <v>0</v>
      </c>
      <c r="O223">
        <v>2.4031159999999999E-2</v>
      </c>
      <c r="P223">
        <v>0.98280599999999996</v>
      </c>
      <c r="Q223">
        <v>0.18405189999999999</v>
      </c>
      <c r="R223">
        <v>1.4748549999999999E-2</v>
      </c>
      <c r="S223">
        <v>3.0835270000000001</v>
      </c>
      <c r="T223">
        <v>-0.1710816</v>
      </c>
      <c r="U223">
        <v>6.4605709999999997E-2</v>
      </c>
      <c r="V223">
        <v>9.0437169999999997E-3</v>
      </c>
      <c r="W223">
        <v>0.19037809999999999</v>
      </c>
      <c r="X223">
        <v>0.98166920000000002</v>
      </c>
      <c r="Y223">
        <v>3.0435280000000002E-3</v>
      </c>
      <c r="Z223">
        <v>-1.4163419999999999E-3</v>
      </c>
      <c r="AA223">
        <v>0.9999943</v>
      </c>
      <c r="AB223">
        <v>22</v>
      </c>
      <c r="AC223">
        <v>20.771799999999899</v>
      </c>
      <c r="AD223">
        <v>-1.1593069999999901</v>
      </c>
      <c r="AE223">
        <v>0.43509999999997701</v>
      </c>
      <c r="AF223">
        <v>6.4007151547164798E-2</v>
      </c>
      <c r="AG223">
        <v>-1.1593069999999901</v>
      </c>
      <c r="AH223">
        <v>20.711769765325901</v>
      </c>
      <c r="AI223">
        <v>93.203678122281701</v>
      </c>
      <c r="AJ223">
        <v>89.822935074643695</v>
      </c>
      <c r="AK223">
        <v>20.744288284912699</v>
      </c>
      <c r="AL223">
        <v>79.025149656853102</v>
      </c>
      <c r="AM223">
        <v>89.472172340029701</v>
      </c>
      <c r="AN223">
        <v>1.0000000140027101</v>
      </c>
    </row>
    <row r="224" spans="1:40" x14ac:dyDescent="0.25">
      <c r="A224" t="str">
        <f>"20190312172058559"</f>
        <v>20190312172058559</v>
      </c>
      <c r="B224" t="str">
        <f>"1552382458551710"</f>
        <v>1552382458551710</v>
      </c>
      <c r="C224" t="s">
        <v>40</v>
      </c>
      <c r="D224">
        <v>3.2521879999999999</v>
      </c>
      <c r="E224">
        <v>0.49703000000000003</v>
      </c>
      <c r="F224" t="s">
        <v>43</v>
      </c>
      <c r="G224">
        <v>-435.84460000000001</v>
      </c>
      <c r="H224">
        <v>-0.05</v>
      </c>
      <c r="I224">
        <v>368.18079999999998</v>
      </c>
      <c r="J224">
        <v>-456.41520000000003</v>
      </c>
      <c r="K224">
        <v>1.1092979999999999</v>
      </c>
      <c r="L224">
        <v>367.75549999999998</v>
      </c>
      <c r="M224">
        <v>0.99970170000000003</v>
      </c>
      <c r="N224">
        <v>0</v>
      </c>
      <c r="O224">
        <v>2.355397E-2</v>
      </c>
      <c r="P224">
        <v>0.98275460000000003</v>
      </c>
      <c r="Q224">
        <v>0.1843756</v>
      </c>
      <c r="R224">
        <v>1.4110660000000001E-2</v>
      </c>
      <c r="S224">
        <v>3.0838009999999998</v>
      </c>
      <c r="T224">
        <v>-0.17223060000000001</v>
      </c>
      <c r="U224">
        <v>6.3781740000000003E-2</v>
      </c>
      <c r="V224">
        <v>9.2148249999999994E-3</v>
      </c>
      <c r="W224">
        <v>0.190716</v>
      </c>
      <c r="X224">
        <v>0.98160199999999997</v>
      </c>
      <c r="Y224">
        <v>2.835654E-3</v>
      </c>
      <c r="Z224">
        <v>-1.393299E-3</v>
      </c>
      <c r="AA224">
        <v>0.99999499999999997</v>
      </c>
      <c r="AB224">
        <v>22</v>
      </c>
      <c r="AC224">
        <v>20.570599999999999</v>
      </c>
      <c r="AD224">
        <v>-1.1592979999999999</v>
      </c>
      <c r="AE224">
        <v>0.42529999999999202</v>
      </c>
      <c r="AF224">
        <v>5.9159582947028E-2</v>
      </c>
      <c r="AG224">
        <v>-1.1592979999999999</v>
      </c>
      <c r="AH224">
        <v>20.509796860895001</v>
      </c>
      <c r="AI224">
        <v>93.2351369977644</v>
      </c>
      <c r="AJ224">
        <v>89.834733369467699</v>
      </c>
      <c r="AK224">
        <v>20.542620061331899</v>
      </c>
      <c r="AL224">
        <v>79.005427875519501</v>
      </c>
      <c r="AM224">
        <v>89.462149554517595</v>
      </c>
      <c r="AN224">
        <v>0.99999999602988998</v>
      </c>
    </row>
    <row r="225" spans="1:40" x14ac:dyDescent="0.25">
      <c r="A225" t="str">
        <f>"20190312172058571"</f>
        <v>20190312172058571</v>
      </c>
      <c r="B225" t="str">
        <f>"1552382458561467"</f>
        <v>1552382458561467</v>
      </c>
      <c r="C225" t="s">
        <v>40</v>
      </c>
      <c r="D225">
        <v>3.2847840000000001</v>
      </c>
      <c r="E225">
        <v>0.49704140000000002</v>
      </c>
      <c r="F225" t="s">
        <v>43</v>
      </c>
      <c r="G225">
        <v>-435.7149</v>
      </c>
      <c r="H225">
        <v>-0.05</v>
      </c>
      <c r="I225">
        <v>368.16800000000001</v>
      </c>
      <c r="J225">
        <v>-456.30149999999998</v>
      </c>
      <c r="K225">
        <v>1.1092959999999901</v>
      </c>
      <c r="L225">
        <v>367.75790000000001</v>
      </c>
      <c r="M225">
        <v>0.9997085</v>
      </c>
      <c r="N225">
        <v>0</v>
      </c>
      <c r="O225">
        <v>2.3260369999999999E-2</v>
      </c>
      <c r="P225">
        <v>0.98274839999999997</v>
      </c>
      <c r="Q225">
        <v>0.1844288</v>
      </c>
      <c r="R225">
        <v>1.3847949999999999E-2</v>
      </c>
      <c r="S225">
        <v>3.0841370000000001</v>
      </c>
      <c r="T225">
        <v>-0.17272390000000001</v>
      </c>
      <c r="U225">
        <v>6.14624E-2</v>
      </c>
      <c r="V225">
        <v>9.1894339999999998E-3</v>
      </c>
      <c r="W225">
        <v>0.1907778</v>
      </c>
      <c r="X225">
        <v>0.98159019999999997</v>
      </c>
      <c r="Y225">
        <v>3.2954379999999999E-3</v>
      </c>
      <c r="Z225">
        <v>-1.3935849999999999E-3</v>
      </c>
      <c r="AA225">
        <v>0.99999360000000004</v>
      </c>
      <c r="AB225">
        <v>22</v>
      </c>
      <c r="AC225">
        <v>20.586599999999901</v>
      </c>
      <c r="AD225">
        <v>-1.1592960000000001</v>
      </c>
      <c r="AE225">
        <v>0.41009999999999902</v>
      </c>
      <c r="AF225">
        <v>6.8655287894586095E-2</v>
      </c>
      <c r="AG225">
        <v>-1.1592960000000001</v>
      </c>
      <c r="AH225">
        <v>20.525505123031099</v>
      </c>
      <c r="AI225">
        <v>93.232656194617107</v>
      </c>
      <c r="AJ225">
        <v>89.808353385509903</v>
      </c>
      <c r="AK225">
        <v>20.558332649311598</v>
      </c>
      <c r="AL225">
        <v>79.001820451693106</v>
      </c>
      <c r="AM225">
        <v>89.463625040958902</v>
      </c>
      <c r="AN225">
        <v>0.99999996770305899</v>
      </c>
    </row>
    <row r="226" spans="1:40" x14ac:dyDescent="0.25">
      <c r="A226" t="str">
        <f>"20190312172058582"</f>
        <v>20190312172058582</v>
      </c>
      <c r="B226" t="str">
        <f>"1552382458571227"</f>
        <v>1552382458571227</v>
      </c>
      <c r="C226" t="s">
        <v>40</v>
      </c>
      <c r="D226">
        <v>3.27006</v>
      </c>
      <c r="E226">
        <v>0.49703399999999998</v>
      </c>
      <c r="F226" t="s">
        <v>43</v>
      </c>
      <c r="G226">
        <v>-435.6687</v>
      </c>
      <c r="H226">
        <v>-0.05</v>
      </c>
      <c r="I226">
        <v>368.16390000000001</v>
      </c>
      <c r="J226">
        <v>-456.18009999999998</v>
      </c>
      <c r="K226">
        <v>1.1092949999999999</v>
      </c>
      <c r="L226">
        <v>367.76029999999997</v>
      </c>
      <c r="M226">
        <v>0.99971569999999998</v>
      </c>
      <c r="N226">
        <v>0</v>
      </c>
      <c r="O226">
        <v>2.2946089999999999E-2</v>
      </c>
      <c r="P226">
        <v>0.98275900000000005</v>
      </c>
      <c r="Q226">
        <v>0.18438969999999999</v>
      </c>
      <c r="R226">
        <v>1.361158E-2</v>
      </c>
      <c r="S226">
        <v>3.08432</v>
      </c>
      <c r="T226">
        <v>-0.17329810000000001</v>
      </c>
      <c r="U226">
        <v>6.0699459999999997E-2</v>
      </c>
      <c r="V226">
        <v>9.1176009999999995E-3</v>
      </c>
      <c r="W226">
        <v>0.19074830000000001</v>
      </c>
      <c r="X226">
        <v>0.98159660000000004</v>
      </c>
      <c r="Y226">
        <v>3.229843E-3</v>
      </c>
      <c r="Z226">
        <v>-1.3786530000000001E-3</v>
      </c>
      <c r="AA226">
        <v>0.99999389999999999</v>
      </c>
      <c r="AB226">
        <v>22</v>
      </c>
      <c r="AC226">
        <v>20.511399999999899</v>
      </c>
      <c r="AD226">
        <v>-1.159295</v>
      </c>
      <c r="AE226">
        <v>0.40360000000003898</v>
      </c>
      <c r="AF226">
        <v>6.6958770153876995E-2</v>
      </c>
      <c r="AG226">
        <v>-1.159295</v>
      </c>
      <c r="AH226">
        <v>20.449959163493901</v>
      </c>
      <c r="AI226">
        <v>93.244570725493205</v>
      </c>
      <c r="AJ226">
        <v>89.812398587665797</v>
      </c>
      <c r="AK226">
        <v>20.482902093270202</v>
      </c>
      <c r="AL226">
        <v>79.003542265434206</v>
      </c>
      <c r="AM226">
        <v>89.467821064521402</v>
      </c>
      <c r="AN226">
        <v>0.999999964866222</v>
      </c>
    </row>
    <row r="227" spans="1:40" x14ac:dyDescent="0.25">
      <c r="A227" t="str">
        <f>"20190312172058595"</f>
        <v>20190312172058595</v>
      </c>
      <c r="B227" t="str">
        <f>"1552382458591723"</f>
        <v>1552382458591723</v>
      </c>
      <c r="C227" t="s">
        <v>40</v>
      </c>
      <c r="D227">
        <v>3.2658999999999998</v>
      </c>
      <c r="E227">
        <v>0.49702410000000002</v>
      </c>
      <c r="F227" t="s">
        <v>43</v>
      </c>
      <c r="G227">
        <v>-435.65010000000001</v>
      </c>
      <c r="H227">
        <v>-0.05</v>
      </c>
      <c r="I227">
        <v>368.15890000000002</v>
      </c>
      <c r="J227">
        <v>-456.05110000000002</v>
      </c>
      <c r="K227">
        <v>1.1092979999999999</v>
      </c>
      <c r="L227">
        <v>367.7629</v>
      </c>
      <c r="M227">
        <v>0.99972329999999998</v>
      </c>
      <c r="N227">
        <v>0</v>
      </c>
      <c r="O227">
        <v>2.2611369999999999E-2</v>
      </c>
      <c r="P227">
        <v>0.98271050000000004</v>
      </c>
      <c r="Q227">
        <v>0.18466869999999999</v>
      </c>
      <c r="R227">
        <v>1.332274E-2</v>
      </c>
      <c r="S227">
        <v>3.084473</v>
      </c>
      <c r="T227">
        <v>-0.17417449999999901</v>
      </c>
      <c r="U227">
        <v>5.9875490000000003E-2</v>
      </c>
      <c r="V227">
        <v>9.0767550000000006E-3</v>
      </c>
      <c r="W227">
        <v>0.1910376</v>
      </c>
      <c r="X227">
        <v>0.98154070000000004</v>
      </c>
      <c r="Y227">
        <v>3.1632660000000001E-3</v>
      </c>
      <c r="Z227">
        <v>-1.3647939999999999E-3</v>
      </c>
      <c r="AA227">
        <v>0.99999400000000005</v>
      </c>
      <c r="AB227">
        <v>23</v>
      </c>
      <c r="AC227">
        <v>20.401</v>
      </c>
      <c r="AD227">
        <v>-1.1592979999999999</v>
      </c>
      <c r="AE227">
        <v>0.39600000000001501</v>
      </c>
      <c r="AF227">
        <v>6.51950628335453E-2</v>
      </c>
      <c r="AG227">
        <v>-1.1592979999999999</v>
      </c>
      <c r="AH227">
        <v>20.339085078658901</v>
      </c>
      <c r="AI227">
        <v>93.262228847994294</v>
      </c>
      <c r="AJ227">
        <v>89.816344287966601</v>
      </c>
      <c r="AK227">
        <v>20.3722017486071</v>
      </c>
      <c r="AL227">
        <v>78.986655895454902</v>
      </c>
      <c r="AM227">
        <v>89.470174869413896</v>
      </c>
      <c r="AN227">
        <v>0.99999994892578803</v>
      </c>
    </row>
    <row r="228" spans="1:40" x14ac:dyDescent="0.25">
      <c r="A228" t="str">
        <f>"20190312172058607"</f>
        <v>20190312172058607</v>
      </c>
      <c r="B228" t="str">
        <f>"1552382458601484"</f>
        <v>1552382458601484</v>
      </c>
      <c r="C228" t="s">
        <v>40</v>
      </c>
      <c r="D228">
        <v>3.2430949999999998</v>
      </c>
      <c r="E228">
        <v>0.49701909999999999</v>
      </c>
      <c r="F228" t="s">
        <v>43</v>
      </c>
      <c r="G228">
        <v>-435.55220000000003</v>
      </c>
      <c r="H228">
        <v>-0.05</v>
      </c>
      <c r="I228">
        <v>368.15879999999999</v>
      </c>
      <c r="J228">
        <v>-455.92939999999999</v>
      </c>
      <c r="K228">
        <v>1.1093</v>
      </c>
      <c r="L228">
        <v>367.7654</v>
      </c>
      <c r="M228">
        <v>0.99973029999999996</v>
      </c>
      <c r="N228">
        <v>0</v>
      </c>
      <c r="O228">
        <v>2.2295789999999999E-2</v>
      </c>
      <c r="P228">
        <v>0.98272859999999995</v>
      </c>
      <c r="Q228">
        <v>0.1845852</v>
      </c>
      <c r="R228">
        <v>1.3142320000000001E-2</v>
      </c>
      <c r="S228">
        <v>3.0847169999999999</v>
      </c>
      <c r="T228">
        <v>-0.17445269999999999</v>
      </c>
      <c r="U228">
        <v>5.9570310000000001E-2</v>
      </c>
      <c r="V228">
        <v>8.9471680000000001E-3</v>
      </c>
      <c r="W228">
        <v>0.19096360000000001</v>
      </c>
      <c r="X228">
        <v>0.9815564</v>
      </c>
      <c r="Y228">
        <v>2.9487519999999998E-3</v>
      </c>
      <c r="Z228">
        <v>-1.342977E-3</v>
      </c>
      <c r="AA228">
        <v>0.99999479999999996</v>
      </c>
      <c r="AB228">
        <v>23</v>
      </c>
      <c r="AC228">
        <v>20.377199999999899</v>
      </c>
      <c r="AD228">
        <v>-1.1593</v>
      </c>
      <c r="AE228">
        <v>0.39339999999998498</v>
      </c>
      <c r="AF228">
        <v>6.0836324881623098E-2</v>
      </c>
      <c r="AG228">
        <v>-1.1593</v>
      </c>
      <c r="AH228">
        <v>20.315176066210899</v>
      </c>
      <c r="AI228">
        <v>93.266067623372393</v>
      </c>
      <c r="AJ228">
        <v>89.828421165243796</v>
      </c>
      <c r="AK228">
        <v>20.348318263423401</v>
      </c>
      <c r="AL228">
        <v>78.9909765126948</v>
      </c>
      <c r="AM228">
        <v>89.477747007011402</v>
      </c>
      <c r="AN228">
        <v>1.0000000573605601</v>
      </c>
    </row>
    <row r="229" spans="1:40" x14ac:dyDescent="0.25">
      <c r="A229" t="str">
        <f>"20190312172058625"</f>
        <v>20190312172058625</v>
      </c>
      <c r="B229" t="str">
        <f>"1552382458621979"</f>
        <v>1552382458621979</v>
      </c>
      <c r="C229" t="s">
        <v>40</v>
      </c>
      <c r="D229">
        <v>3.2336960000000001</v>
      </c>
      <c r="E229">
        <v>0.49703320000000001</v>
      </c>
      <c r="F229" t="s">
        <v>43</v>
      </c>
      <c r="G229">
        <v>-435.51049999999998</v>
      </c>
      <c r="H229">
        <v>-0.05</v>
      </c>
      <c r="I229">
        <v>368.15339999999998</v>
      </c>
      <c r="J229">
        <v>-455.74970000000002</v>
      </c>
      <c r="K229">
        <v>1.1093040000000001</v>
      </c>
      <c r="L229">
        <v>367.76889999999997</v>
      </c>
      <c r="M229">
        <v>0.99974039999999997</v>
      </c>
      <c r="N229">
        <v>0</v>
      </c>
      <c r="O229">
        <v>2.1830949999999998E-2</v>
      </c>
      <c r="P229">
        <v>0.98263789999999995</v>
      </c>
      <c r="Q229">
        <v>0.18509629999999999</v>
      </c>
      <c r="R229">
        <v>1.2737760000000001E-2</v>
      </c>
      <c r="S229">
        <v>3.0848390000000001</v>
      </c>
      <c r="T229">
        <v>-0.17514399999999999</v>
      </c>
      <c r="U229">
        <v>5.8624269999999999E-2</v>
      </c>
      <c r="V229">
        <v>8.8928210000000004E-3</v>
      </c>
      <c r="W229">
        <v>0.19148879999999999</v>
      </c>
      <c r="X229">
        <v>0.98145450000000001</v>
      </c>
      <c r="Y229">
        <v>2.7918019999999999E-3</v>
      </c>
      <c r="Z229">
        <v>-1.3174300000000001E-3</v>
      </c>
      <c r="AA229">
        <v>0.99999519999999997</v>
      </c>
      <c r="AB229">
        <v>23</v>
      </c>
      <c r="AC229">
        <v>20.2392</v>
      </c>
      <c r="AD229">
        <v>-1.1593039999999999</v>
      </c>
      <c r="AE229">
        <v>0.38450000000000201</v>
      </c>
      <c r="AF229">
        <v>5.72542172371375E-2</v>
      </c>
      <c r="AG229">
        <v>-1.1593039999999999</v>
      </c>
      <c r="AH229">
        <v>20.176594704109998</v>
      </c>
      <c r="AI229">
        <v>93.288464112618001</v>
      </c>
      <c r="AJ229">
        <v>89.837414774386403</v>
      </c>
      <c r="AK229">
        <v>20.2099539253242</v>
      </c>
      <c r="AL229">
        <v>78.960318254970502</v>
      </c>
      <c r="AM229">
        <v>89.480865217695893</v>
      </c>
      <c r="AN229">
        <v>0.99999998918051303</v>
      </c>
    </row>
    <row r="230" spans="1:40" x14ac:dyDescent="0.25">
      <c r="A230" t="str">
        <f>"20190312172058637"</f>
        <v>20190312172058637</v>
      </c>
      <c r="B230" t="str">
        <f>"1552382458631739"</f>
        <v>1552382458631739</v>
      </c>
      <c r="C230" t="s">
        <v>40</v>
      </c>
      <c r="D230">
        <v>3.2416670000000001</v>
      </c>
      <c r="E230">
        <v>0.49704229999999999</v>
      </c>
      <c r="F230" t="s">
        <v>43</v>
      </c>
      <c r="G230">
        <v>-435.28559999999999</v>
      </c>
      <c r="H230">
        <v>-0.05</v>
      </c>
      <c r="I230">
        <v>368.14800000000002</v>
      </c>
      <c r="J230">
        <v>-455.62240000000003</v>
      </c>
      <c r="K230">
        <v>1.1093059999999999</v>
      </c>
      <c r="L230">
        <v>367.77140000000003</v>
      </c>
      <c r="M230">
        <v>0.99974750000000001</v>
      </c>
      <c r="N230">
        <v>0</v>
      </c>
      <c r="O230">
        <v>2.1503629999999999E-2</v>
      </c>
      <c r="P230">
        <v>0.98260000000000003</v>
      </c>
      <c r="Q230">
        <v>0.18532009999999999</v>
      </c>
      <c r="R230">
        <v>1.241041E-2</v>
      </c>
      <c r="S230">
        <v>3.085175</v>
      </c>
      <c r="T230">
        <v>-0.17477770000000001</v>
      </c>
      <c r="U230">
        <v>5.7159420000000002E-2</v>
      </c>
      <c r="V230">
        <v>8.8975719999999994E-3</v>
      </c>
      <c r="W230">
        <v>0.1917218</v>
      </c>
      <c r="X230">
        <v>0.98140899999999998</v>
      </c>
      <c r="Y230">
        <v>2.9415550000000002E-3</v>
      </c>
      <c r="Z230">
        <v>-1.3002599999999999E-3</v>
      </c>
      <c r="AA230">
        <v>0.99999479999999996</v>
      </c>
      <c r="AB230">
        <v>23</v>
      </c>
      <c r="AC230">
        <v>20.3368</v>
      </c>
      <c r="AD230">
        <v>-1.1593059999999999</v>
      </c>
      <c r="AE230">
        <v>0.37659999999999599</v>
      </c>
      <c r="AF230">
        <v>6.0614501430846603E-2</v>
      </c>
      <c r="AG230">
        <v>-1.1593059999999999</v>
      </c>
      <c r="AH230">
        <v>20.2743347168404</v>
      </c>
      <c r="AI230">
        <v>93.272649570049197</v>
      </c>
      <c r="AJ230">
        <v>89.828702405761604</v>
      </c>
      <c r="AK230">
        <v>20.307543247027699</v>
      </c>
      <c r="AL230">
        <v>78.946716671060202</v>
      </c>
      <c r="AM230">
        <v>89.480563804902999</v>
      </c>
      <c r="AN230">
        <v>1.00000002033186</v>
      </c>
    </row>
    <row r="231" spans="1:40" x14ac:dyDescent="0.25">
      <c r="A231" t="str">
        <f>"20190312172058650"</f>
        <v>20190312172058650</v>
      </c>
      <c r="B231" t="str">
        <f>"1552382458641498"</f>
        <v>1552382458641498</v>
      </c>
      <c r="C231" t="s">
        <v>40</v>
      </c>
      <c r="D231">
        <v>3.201298</v>
      </c>
      <c r="E231">
        <v>0.49706099999999998</v>
      </c>
      <c r="F231" t="s">
        <v>43</v>
      </c>
      <c r="G231">
        <v>-435.14569999999998</v>
      </c>
      <c r="H231">
        <v>-0.05</v>
      </c>
      <c r="I231">
        <v>368.14569999999998</v>
      </c>
      <c r="J231">
        <v>-455.50209999999998</v>
      </c>
      <c r="K231">
        <v>1.109308</v>
      </c>
      <c r="L231">
        <v>367.77359999999999</v>
      </c>
      <c r="M231">
        <v>0.99975400000000003</v>
      </c>
      <c r="N231">
        <v>0</v>
      </c>
      <c r="O231">
        <v>2.119538E-2</v>
      </c>
      <c r="P231">
        <v>0.98259680000000005</v>
      </c>
      <c r="Q231">
        <v>0.1853524</v>
      </c>
      <c r="R231">
        <v>1.218173E-2</v>
      </c>
      <c r="S231">
        <v>3.085388</v>
      </c>
      <c r="T231">
        <v>-0.1746817</v>
      </c>
      <c r="U231">
        <v>5.6396479999999999E-2</v>
      </c>
      <c r="V231">
        <v>8.8229889999999998E-3</v>
      </c>
      <c r="W231">
        <v>0.1917644</v>
      </c>
      <c r="X231">
        <v>0.98140130000000003</v>
      </c>
      <c r="Y231">
        <v>2.8823400000000002E-3</v>
      </c>
      <c r="Z231">
        <v>-1.280354E-3</v>
      </c>
      <c r="AA231">
        <v>0.99999510000000003</v>
      </c>
      <c r="AB231">
        <v>23</v>
      </c>
      <c r="AC231">
        <v>20.356400000000001</v>
      </c>
      <c r="AD231">
        <v>-1.159308</v>
      </c>
      <c r="AE231">
        <v>0.372099999999989</v>
      </c>
      <c r="AF231">
        <v>5.9262294260050301E-2</v>
      </c>
      <c r="AG231">
        <v>-1.159308</v>
      </c>
      <c r="AH231">
        <v>20.293915191862599</v>
      </c>
      <c r="AI231">
        <v>93.269505123492095</v>
      </c>
      <c r="AJ231">
        <v>89.832685331460993</v>
      </c>
      <c r="AK231">
        <v>20.327087860116599</v>
      </c>
      <c r="AL231">
        <v>78.944229173090605</v>
      </c>
      <c r="AM231">
        <v>89.484913649764195</v>
      </c>
      <c r="AN231">
        <v>0.99999997094197102</v>
      </c>
    </row>
    <row r="232" spans="1:40" x14ac:dyDescent="0.25">
      <c r="A232" t="str">
        <f>"20190312172058663"</f>
        <v>20190312172058663</v>
      </c>
      <c r="B232" t="str">
        <f>"1552382458651258"</f>
        <v>1552382458651258</v>
      </c>
      <c r="C232" t="s">
        <v>40</v>
      </c>
      <c r="D232">
        <v>3.2356159999999998</v>
      </c>
      <c r="E232">
        <v>0.4970793</v>
      </c>
      <c r="F232" t="s">
        <v>43</v>
      </c>
      <c r="G232">
        <v>-435.08049999999997</v>
      </c>
      <c r="H232">
        <v>-0.05</v>
      </c>
      <c r="I232">
        <v>368.14179999999999</v>
      </c>
      <c r="J232">
        <v>-455.36380000000003</v>
      </c>
      <c r="K232">
        <v>1.109307</v>
      </c>
      <c r="L232">
        <v>367.77620000000002</v>
      </c>
      <c r="M232">
        <v>0.99976129999999996</v>
      </c>
      <c r="N232">
        <v>0</v>
      </c>
      <c r="O232">
        <v>2.0842360000000001E-2</v>
      </c>
      <c r="P232">
        <v>0.98252479999999998</v>
      </c>
      <c r="Q232">
        <v>0.18575</v>
      </c>
      <c r="R232">
        <v>1.1934480000000001E-2</v>
      </c>
      <c r="S232">
        <v>3.0854490000000001</v>
      </c>
      <c r="T232">
        <v>-0.17515720000000001</v>
      </c>
      <c r="U232">
        <v>5.5633540000000002E-2</v>
      </c>
      <c r="V232">
        <v>8.722179E-3</v>
      </c>
      <c r="W232">
        <v>0.19217210000000001</v>
      </c>
      <c r="X232">
        <v>0.98132249999999999</v>
      </c>
      <c r="Y232">
        <v>2.777318E-3</v>
      </c>
      <c r="Z232">
        <v>-1.2608160000000001E-3</v>
      </c>
      <c r="AA232">
        <v>0.99999539999999998</v>
      </c>
      <c r="AB232">
        <v>23</v>
      </c>
      <c r="AC232">
        <v>20.283300000000001</v>
      </c>
      <c r="AD232">
        <v>-1.1593069999999901</v>
      </c>
      <c r="AE232">
        <v>0.365599999999972</v>
      </c>
      <c r="AF232">
        <v>5.7054015945843702E-2</v>
      </c>
      <c r="AG232">
        <v>-1.1593069999999901</v>
      </c>
      <c r="AH232">
        <v>20.220479515809899</v>
      </c>
      <c r="AI232">
        <v>93.281351343249796</v>
      </c>
      <c r="AJ232">
        <v>89.838334909896602</v>
      </c>
      <c r="AK232">
        <v>20.253766062889898</v>
      </c>
      <c r="AL232">
        <v>78.9204275477762</v>
      </c>
      <c r="AM232">
        <v>89.490757742155594</v>
      </c>
      <c r="AN232">
        <v>1.0000000207155799</v>
      </c>
    </row>
    <row r="233" spans="1:40" x14ac:dyDescent="0.25">
      <c r="A233" t="str">
        <f>"20190312172058684"</f>
        <v>20190312172058684</v>
      </c>
      <c r="B233" t="str">
        <f>"1552382458671755"</f>
        <v>1552382458671755</v>
      </c>
      <c r="C233" t="s">
        <v>40</v>
      </c>
      <c r="D233">
        <v>3.2257470000000001</v>
      </c>
      <c r="E233">
        <v>0.49710100000000002</v>
      </c>
      <c r="F233" t="s">
        <v>43</v>
      </c>
      <c r="G233">
        <v>-434.8657</v>
      </c>
      <c r="H233">
        <v>-0.05</v>
      </c>
      <c r="I233">
        <v>368.14109999999999</v>
      </c>
      <c r="J233">
        <v>-455.15129999999999</v>
      </c>
      <c r="K233">
        <v>1.1093059999999999</v>
      </c>
      <c r="L233">
        <v>367.78</v>
      </c>
      <c r="M233">
        <v>0.99977229999999995</v>
      </c>
      <c r="N233">
        <v>0</v>
      </c>
      <c r="O233">
        <v>2.030388E-2</v>
      </c>
      <c r="P233">
        <v>0.9823847</v>
      </c>
      <c r="Q233">
        <v>0.18651329999999999</v>
      </c>
      <c r="R233">
        <v>1.1547399999999999E-2</v>
      </c>
      <c r="S233">
        <v>3.085693</v>
      </c>
      <c r="T233">
        <v>-0.17451759999999999</v>
      </c>
      <c r="U233">
        <v>5.4931639999999997E-2</v>
      </c>
      <c r="V233">
        <v>8.5784709999999903E-3</v>
      </c>
      <c r="W233">
        <v>0.19295109999999999</v>
      </c>
      <c r="X233">
        <v>0.98117089999999996</v>
      </c>
      <c r="Y233">
        <v>2.469176E-3</v>
      </c>
      <c r="Z233">
        <v>-1.216997E-3</v>
      </c>
      <c r="AA233">
        <v>0.9999962</v>
      </c>
      <c r="AB233">
        <v>23</v>
      </c>
      <c r="AC233">
        <v>20.285599999999899</v>
      </c>
      <c r="AD233">
        <v>-1.1593059999999999</v>
      </c>
      <c r="AE233">
        <v>0.36110000000002102</v>
      </c>
      <c r="AF233">
        <v>5.0694190245157998E-2</v>
      </c>
      <c r="AG233">
        <v>-1.1593059999999999</v>
      </c>
      <c r="AH233">
        <v>20.222722793086</v>
      </c>
      <c r="AI233">
        <v>93.280988064734501</v>
      </c>
      <c r="AJ233">
        <v>89.856371612640004</v>
      </c>
      <c r="AK233">
        <v>20.255988681586501</v>
      </c>
      <c r="AL233">
        <v>78.874942945050705</v>
      </c>
      <c r="AM233">
        <v>89.499070284709504</v>
      </c>
      <c r="AN233">
        <v>1.00000002608135</v>
      </c>
    </row>
    <row r="234" spans="1:40" x14ac:dyDescent="0.25">
      <c r="A234" t="str">
        <f>"20190312172058703"</f>
        <v>20190312172058703</v>
      </c>
      <c r="B234" t="str">
        <f>"1552382458691275"</f>
        <v>1552382458691275</v>
      </c>
      <c r="C234" t="s">
        <v>40</v>
      </c>
      <c r="D234">
        <v>3.2281309999999999</v>
      </c>
      <c r="E234">
        <v>0.49710490000000002</v>
      </c>
      <c r="F234" t="s">
        <v>43</v>
      </c>
      <c r="G234">
        <v>-434.51440000000002</v>
      </c>
      <c r="H234">
        <v>-0.05</v>
      </c>
      <c r="I234">
        <v>368.1386</v>
      </c>
      <c r="J234">
        <v>-454.9479</v>
      </c>
      <c r="K234">
        <v>1.1093109999999999</v>
      </c>
      <c r="L234">
        <v>367.78359999999998</v>
      </c>
      <c r="M234">
        <v>0.99978239999999996</v>
      </c>
      <c r="N234">
        <v>0</v>
      </c>
      <c r="O234">
        <v>1.979115E-2</v>
      </c>
      <c r="P234">
        <v>0.98224710000000004</v>
      </c>
      <c r="Q234">
        <v>0.18724299999999999</v>
      </c>
      <c r="R234">
        <v>1.143745E-2</v>
      </c>
      <c r="S234">
        <v>3.08609</v>
      </c>
      <c r="T234">
        <v>-0.1733652</v>
      </c>
      <c r="U234">
        <v>5.3619380000000001E-2</v>
      </c>
      <c r="V234">
        <v>8.1831739999999997E-3</v>
      </c>
      <c r="W234">
        <v>0.1936968</v>
      </c>
      <c r="X234">
        <v>0.98102730000000005</v>
      </c>
      <c r="Y234">
        <v>2.3851359999999999E-3</v>
      </c>
      <c r="Z234">
        <v>-1.1776930000000001E-3</v>
      </c>
      <c r="AA234">
        <v>0.99999649999999995</v>
      </c>
      <c r="AB234">
        <v>23</v>
      </c>
      <c r="AC234">
        <v>20.433499999999899</v>
      </c>
      <c r="AD234">
        <v>-1.159311</v>
      </c>
      <c r="AE234">
        <v>0.35500000000001802</v>
      </c>
      <c r="AF234">
        <v>4.9322069402707898E-2</v>
      </c>
      <c r="AG234">
        <v>-1.159311</v>
      </c>
      <c r="AH234">
        <v>20.370970277836701</v>
      </c>
      <c r="AI234">
        <v>93.257177336986402</v>
      </c>
      <c r="AJ234">
        <v>89.861276078015194</v>
      </c>
      <c r="AK234">
        <v>20.403991391925199</v>
      </c>
      <c r="AL234">
        <v>78.831395548305096</v>
      </c>
      <c r="AM234">
        <v>89.522082148688298</v>
      </c>
      <c r="AN234">
        <v>0.99999998900612197</v>
      </c>
    </row>
    <row r="235" spans="1:40" x14ac:dyDescent="0.25">
      <c r="A235" t="str">
        <f>"20190312172058715"</f>
        <v>20190312172058715</v>
      </c>
      <c r="B235" t="str">
        <f>"1552382458711771"</f>
        <v>1552382458711771</v>
      </c>
      <c r="C235" t="s">
        <v>40</v>
      </c>
      <c r="D235">
        <v>3.1936810000000002</v>
      </c>
      <c r="E235">
        <v>0.4971334</v>
      </c>
      <c r="F235" t="s">
        <v>43</v>
      </c>
      <c r="G235">
        <v>-434.19380000000001</v>
      </c>
      <c r="H235">
        <v>-0.05</v>
      </c>
      <c r="I235">
        <v>368.14179999999999</v>
      </c>
      <c r="J235">
        <v>-454.81979999999999</v>
      </c>
      <c r="K235">
        <v>1.1093109999999999</v>
      </c>
      <c r="L235">
        <v>367.78579999999999</v>
      </c>
      <c r="M235">
        <v>0.99978880000000003</v>
      </c>
      <c r="N235">
        <v>0</v>
      </c>
      <c r="O235">
        <v>1.9468940000000001E-2</v>
      </c>
      <c r="P235">
        <v>0.98221360000000002</v>
      </c>
      <c r="Q235">
        <v>0.18742120000000001</v>
      </c>
      <c r="R235">
        <v>1.140475E-2</v>
      </c>
      <c r="S235">
        <v>3.0864259999999999</v>
      </c>
      <c r="T235">
        <v>-0.1724057</v>
      </c>
      <c r="U235">
        <v>5.3283690000000002E-2</v>
      </c>
      <c r="V235">
        <v>7.8992609999999994E-3</v>
      </c>
      <c r="W235">
        <v>0.1938849</v>
      </c>
      <c r="X235">
        <v>0.98099250000000005</v>
      </c>
      <c r="Y235">
        <v>2.1747009999999998E-3</v>
      </c>
      <c r="Z235">
        <v>-1.147208E-3</v>
      </c>
      <c r="AA235">
        <v>0.99999700000000002</v>
      </c>
      <c r="AB235">
        <v>23</v>
      </c>
      <c r="AC235">
        <v>20.625999999999902</v>
      </c>
      <c r="AD235">
        <v>-1.159311</v>
      </c>
      <c r="AE235">
        <v>0.35599999999999399</v>
      </c>
      <c r="AF235">
        <v>4.5498837445100797E-2</v>
      </c>
      <c r="AG235">
        <v>-1.159311</v>
      </c>
      <c r="AH235">
        <v>20.564075918046601</v>
      </c>
      <c r="AI235">
        <v>93.226657511218804</v>
      </c>
      <c r="AJ235">
        <v>89.873231011454493</v>
      </c>
      <c r="AK235">
        <v>20.596778643810101</v>
      </c>
      <c r="AL235">
        <v>78.820410295383894</v>
      </c>
      <c r="AM235">
        <v>89.538646284335698</v>
      </c>
      <c r="AN235">
        <v>1.0000000189142999</v>
      </c>
    </row>
    <row r="236" spans="1:40" x14ac:dyDescent="0.25">
      <c r="A236" t="str">
        <f>"20190312172058727"</f>
        <v>20190312172058727</v>
      </c>
      <c r="B236" t="str">
        <f>"1552382458721531"</f>
        <v>1552382458721531</v>
      </c>
      <c r="C236" t="s">
        <v>40</v>
      </c>
      <c r="D236">
        <v>3.2232530000000001</v>
      </c>
      <c r="E236">
        <v>0.49715100000000001</v>
      </c>
      <c r="F236" t="s">
        <v>43</v>
      </c>
      <c r="G236">
        <v>-434.14429999999999</v>
      </c>
      <c r="H236">
        <v>-0.05</v>
      </c>
      <c r="I236">
        <v>368.1388</v>
      </c>
      <c r="J236">
        <v>-454.70269999999999</v>
      </c>
      <c r="K236">
        <v>1.1093120000000001</v>
      </c>
      <c r="L236">
        <v>367.78769999999997</v>
      </c>
      <c r="M236">
        <v>0.99979439999999997</v>
      </c>
      <c r="N236">
        <v>0</v>
      </c>
      <c r="O236">
        <v>1.917487E-2</v>
      </c>
      <c r="P236">
        <v>0.98220220000000003</v>
      </c>
      <c r="Q236">
        <v>0.1874855</v>
      </c>
      <c r="R236">
        <v>1.1304929999999999E-2</v>
      </c>
      <c r="S236">
        <v>3.0867309999999999</v>
      </c>
      <c r="T236">
        <v>-0.17307809999999901</v>
      </c>
      <c r="U236">
        <v>5.2703859999999998E-2</v>
      </c>
      <c r="V236">
        <v>7.7107069999999998E-3</v>
      </c>
      <c r="W236">
        <v>0.19395879999999999</v>
      </c>
      <c r="X236">
        <v>0.98097939999999995</v>
      </c>
      <c r="Y236">
        <v>2.0704370000000001E-3</v>
      </c>
      <c r="Z236">
        <v>-1.1321720000000001E-3</v>
      </c>
      <c r="AA236">
        <v>0.99999720000000003</v>
      </c>
      <c r="AB236">
        <v>23</v>
      </c>
      <c r="AC236">
        <v>20.558399999999999</v>
      </c>
      <c r="AD236">
        <v>-1.1593119999999999</v>
      </c>
      <c r="AE236">
        <v>0.35110000000003</v>
      </c>
      <c r="AF236">
        <v>4.3040943616667403E-2</v>
      </c>
      <c r="AG236">
        <v>-1.1593119999999999</v>
      </c>
      <c r="AH236">
        <v>20.496194388635001</v>
      </c>
      <c r="AI236">
        <v>93.237324785786598</v>
      </c>
      <c r="AJ236">
        <v>89.879682015899604</v>
      </c>
      <c r="AK236">
        <v>20.529000006159201</v>
      </c>
      <c r="AL236">
        <v>78.816094298363396</v>
      </c>
      <c r="AM236">
        <v>89.549652245382006</v>
      </c>
      <c r="AN236">
        <v>1.0000000271621099</v>
      </c>
    </row>
    <row r="237" spans="1:40" x14ac:dyDescent="0.25">
      <c r="A237" t="str">
        <f>"20190312172058740"</f>
        <v>20190312172058740</v>
      </c>
      <c r="B237" t="str">
        <f>"1552382458731291"</f>
        <v>1552382458731291</v>
      </c>
      <c r="C237" t="s">
        <v>40</v>
      </c>
      <c r="D237">
        <v>3.200831</v>
      </c>
      <c r="E237">
        <v>0.49716569999999999</v>
      </c>
      <c r="F237" t="s">
        <v>43</v>
      </c>
      <c r="G237">
        <v>-434.08420000000001</v>
      </c>
      <c r="H237">
        <v>-0.05</v>
      </c>
      <c r="I237">
        <v>368.1379</v>
      </c>
      <c r="J237">
        <v>-454.56760000000003</v>
      </c>
      <c r="K237">
        <v>1.10931</v>
      </c>
      <c r="L237">
        <v>367.79</v>
      </c>
      <c r="M237">
        <v>0.99980069999999999</v>
      </c>
      <c r="N237">
        <v>0</v>
      </c>
      <c r="O237">
        <v>1.8835729999999998E-2</v>
      </c>
      <c r="P237">
        <v>0.98221329999999996</v>
      </c>
      <c r="Q237">
        <v>0.18743789999999999</v>
      </c>
      <c r="R237">
        <v>1.114596E-2</v>
      </c>
      <c r="S237">
        <v>3.0868530000000001</v>
      </c>
      <c r="T237">
        <v>-0.17356379999999999</v>
      </c>
      <c r="U237">
        <v>5.2429199999999898E-2</v>
      </c>
      <c r="V237">
        <v>7.5370200000000002E-3</v>
      </c>
      <c r="W237">
        <v>0.19392229999999999</v>
      </c>
      <c r="X237">
        <v>0.98098799999999997</v>
      </c>
      <c r="Y237">
        <v>1.821598E-3</v>
      </c>
      <c r="Z237">
        <v>-1.109262E-3</v>
      </c>
      <c r="AA237">
        <v>0.99999769999999999</v>
      </c>
      <c r="AB237">
        <v>23</v>
      </c>
      <c r="AC237">
        <v>20.4834</v>
      </c>
      <c r="AD237">
        <v>-1.1593100000000001</v>
      </c>
      <c r="AE237">
        <v>0.347899999999981</v>
      </c>
      <c r="AF237">
        <v>3.7868690792433997E-2</v>
      </c>
      <c r="AG237">
        <v>-1.1593100000000001</v>
      </c>
      <c r="AH237">
        <v>20.420923915697301</v>
      </c>
      <c r="AI237">
        <v>93.249227858394406</v>
      </c>
      <c r="AJ237">
        <v>89.893750464965905</v>
      </c>
      <c r="AK237">
        <v>20.453839915393399</v>
      </c>
      <c r="AL237">
        <v>78.8182264486002</v>
      </c>
      <c r="AM237">
        <v>89.559799977917706</v>
      </c>
      <c r="AN237">
        <v>1.0000000606258801</v>
      </c>
    </row>
    <row r="238" spans="1:40" x14ac:dyDescent="0.25">
      <c r="A238" t="str">
        <f>"20190312172058752"</f>
        <v>20190312172058752</v>
      </c>
      <c r="B238" t="str">
        <f>"1552382458742027"</f>
        <v>1552382458742027</v>
      </c>
      <c r="C238" t="s">
        <v>40</v>
      </c>
      <c r="D238">
        <v>3.2260230000000001</v>
      </c>
      <c r="E238">
        <v>0.4971642</v>
      </c>
      <c r="F238" t="s">
        <v>43</v>
      </c>
      <c r="G238">
        <v>-434.0437</v>
      </c>
      <c r="H238">
        <v>-0.05</v>
      </c>
      <c r="I238">
        <v>368.13350000000003</v>
      </c>
      <c r="J238">
        <v>-454.43279999999999</v>
      </c>
      <c r="K238">
        <v>1.1093090000000001</v>
      </c>
      <c r="L238">
        <v>367.79219999999998</v>
      </c>
      <c r="M238">
        <v>0.99980709999999995</v>
      </c>
      <c r="N238">
        <v>0</v>
      </c>
      <c r="O238">
        <v>1.8497659999999999E-2</v>
      </c>
      <c r="P238">
        <v>0.98222619999999905</v>
      </c>
      <c r="Q238">
        <v>0.18738099999999999</v>
      </c>
      <c r="R238">
        <v>1.0965910000000001E-2</v>
      </c>
      <c r="S238">
        <v>3.0870060000000001</v>
      </c>
      <c r="T238">
        <v>-0.17437259999999999</v>
      </c>
      <c r="U238">
        <v>5.1666259999999999E-2</v>
      </c>
      <c r="V238">
        <v>7.3857339999999997E-3</v>
      </c>
      <c r="W238">
        <v>0.19387599999999999</v>
      </c>
      <c r="X238">
        <v>0.98099820000000004</v>
      </c>
      <c r="Y238">
        <v>1.7317599999999999E-3</v>
      </c>
      <c r="Z238">
        <v>-1.092759E-3</v>
      </c>
      <c r="AA238">
        <v>0.9999979</v>
      </c>
      <c r="AB238">
        <v>23</v>
      </c>
      <c r="AC238">
        <v>20.3890999999999</v>
      </c>
      <c r="AD238">
        <v>-1.1593089999999999</v>
      </c>
      <c r="AE238">
        <v>0.34130000000004601</v>
      </c>
      <c r="AF238">
        <v>3.5801546200455801E-2</v>
      </c>
      <c r="AG238">
        <v>-1.1593089999999999</v>
      </c>
      <c r="AH238">
        <v>20.326228961074499</v>
      </c>
      <c r="AI238">
        <v>93.264330298688904</v>
      </c>
      <c r="AJ238">
        <v>89.899082344294897</v>
      </c>
      <c r="AK238">
        <v>20.359294262970302</v>
      </c>
      <c r="AL238">
        <v>78.820929428541206</v>
      </c>
      <c r="AM238">
        <v>89.568639991824199</v>
      </c>
      <c r="AN238">
        <v>0.99999996042297801</v>
      </c>
    </row>
    <row r="239" spans="1:40" x14ac:dyDescent="0.25">
      <c r="A239" t="str">
        <f>"20190312172058772"</f>
        <v>20190312172058772</v>
      </c>
      <c r="B239" t="str">
        <f>"1552382458761547"</f>
        <v>1552382458761547</v>
      </c>
      <c r="C239" t="s">
        <v>40</v>
      </c>
      <c r="D239">
        <v>3.2436229999999999</v>
      </c>
      <c r="E239">
        <v>0.4972646</v>
      </c>
      <c r="F239" t="s">
        <v>43</v>
      </c>
      <c r="G239">
        <v>-434.01249999999999</v>
      </c>
      <c r="H239">
        <v>-0.05</v>
      </c>
      <c r="I239">
        <v>368.12889999999999</v>
      </c>
      <c r="J239">
        <v>-454.23140000000001</v>
      </c>
      <c r="K239">
        <v>1.1093</v>
      </c>
      <c r="L239">
        <v>367.7953</v>
      </c>
      <c r="M239">
        <v>0.99981609999999999</v>
      </c>
      <c r="N239">
        <v>0</v>
      </c>
      <c r="O239">
        <v>1.7992979999999999E-2</v>
      </c>
      <c r="P239">
        <v>0.9823134</v>
      </c>
      <c r="Q239">
        <v>0.1869546</v>
      </c>
      <c r="R239">
        <v>1.042744E-2</v>
      </c>
      <c r="S239">
        <v>3.087189</v>
      </c>
      <c r="T239">
        <v>-0.175266899999999</v>
      </c>
      <c r="U239">
        <v>5.0903320000000002E-2</v>
      </c>
      <c r="V239">
        <v>7.4301740000000003E-3</v>
      </c>
      <c r="W239">
        <v>0.1934662</v>
      </c>
      <c r="X239">
        <v>0.98107880000000003</v>
      </c>
      <c r="Y239">
        <v>1.47593299999999E-3</v>
      </c>
      <c r="Z239">
        <v>-1.0624149999999999E-3</v>
      </c>
      <c r="AA239">
        <v>0.99999830000000001</v>
      </c>
      <c r="AB239">
        <v>23</v>
      </c>
      <c r="AC239">
        <v>20.218900000000001</v>
      </c>
      <c r="AD239">
        <v>-1.1593</v>
      </c>
      <c r="AE239">
        <v>0.33359999999998902</v>
      </c>
      <c r="AF239">
        <v>3.0161148112695199E-2</v>
      </c>
      <c r="AG239">
        <v>-1.1593</v>
      </c>
      <c r="AH239">
        <v>20.1553848227387</v>
      </c>
      <c r="AI239">
        <v>93.291915230757496</v>
      </c>
      <c r="AJ239">
        <v>89.914260867881893</v>
      </c>
      <c r="AK239">
        <v>20.188720205538999</v>
      </c>
      <c r="AL239">
        <v>78.844862763974703</v>
      </c>
      <c r="AM239">
        <v>89.566080245376298</v>
      </c>
      <c r="AN239">
        <v>0.999999994918775</v>
      </c>
    </row>
    <row r="240" spans="1:40" x14ac:dyDescent="0.25">
      <c r="A240" t="str">
        <f>"20190312172058785"</f>
        <v>20190312172058785</v>
      </c>
      <c r="B240" t="str">
        <f>"1552382458782043"</f>
        <v>1552382458782043</v>
      </c>
      <c r="C240" t="s">
        <v>40</v>
      </c>
      <c r="D240">
        <v>3.2024550000000001</v>
      </c>
      <c r="E240">
        <v>0.52342889999999997</v>
      </c>
      <c r="F240" t="s">
        <v>43</v>
      </c>
      <c r="G240">
        <v>-434.2056</v>
      </c>
      <c r="H240">
        <v>-0.05</v>
      </c>
      <c r="I240">
        <v>368.11110000000002</v>
      </c>
      <c r="J240">
        <v>-454.09219999999999</v>
      </c>
      <c r="K240">
        <v>1.1092979999999999</v>
      </c>
      <c r="L240">
        <v>367.79750000000001</v>
      </c>
      <c r="M240">
        <v>0.99982219999999999</v>
      </c>
      <c r="N240">
        <v>0</v>
      </c>
      <c r="O240">
        <v>1.764371E-2</v>
      </c>
      <c r="P240">
        <v>0.98233159999999997</v>
      </c>
      <c r="Q240">
        <v>0.1868823</v>
      </c>
      <c r="R240">
        <v>9.9834720000000002E-3</v>
      </c>
      <c r="S240">
        <v>3.087555</v>
      </c>
      <c r="T240">
        <v>-0.17873929999999999</v>
      </c>
      <c r="U240">
        <v>4.8675540000000003E-2</v>
      </c>
      <c r="V240">
        <v>7.5318479999999998E-3</v>
      </c>
      <c r="W240">
        <v>0.19340399999999999</v>
      </c>
      <c r="X240">
        <v>0.98109029999999997</v>
      </c>
      <c r="Y240">
        <v>1.848618E-3</v>
      </c>
      <c r="Z240">
        <v>-1.073889E-3</v>
      </c>
      <c r="AA240">
        <v>0.99999769999999999</v>
      </c>
      <c r="AB240">
        <v>23</v>
      </c>
      <c r="AC240">
        <v>19.886599999999898</v>
      </c>
      <c r="AD240">
        <v>-1.1592979999999999</v>
      </c>
      <c r="AE240">
        <v>0.31360000000000798</v>
      </c>
      <c r="AF240">
        <v>3.72035879655917E-2</v>
      </c>
      <c r="AG240">
        <v>-1.1592979999999999</v>
      </c>
      <c r="AH240">
        <v>19.8216930003613</v>
      </c>
      <c r="AI240">
        <v>93.347200694480506</v>
      </c>
      <c r="AJ240">
        <v>89.892460948211493</v>
      </c>
      <c r="AK240">
        <v>19.855600453280999</v>
      </c>
      <c r="AL240">
        <v>78.848495295533695</v>
      </c>
      <c r="AM240">
        <v>89.560147904083394</v>
      </c>
      <c r="AN240">
        <v>1.0000000063521901</v>
      </c>
    </row>
    <row r="241" spans="1:40" x14ac:dyDescent="0.25">
      <c r="A241" t="str">
        <f>"20190312172058799"</f>
        <v>20190312172058799</v>
      </c>
      <c r="B241" t="str">
        <f>"1552382458791804"</f>
        <v>1552382458791804</v>
      </c>
      <c r="C241" t="s">
        <v>40</v>
      </c>
      <c r="D241">
        <v>3.2611479999999999</v>
      </c>
      <c r="E241">
        <v>0.53142089999999997</v>
      </c>
      <c r="F241" t="s">
        <v>41</v>
      </c>
      <c r="G241">
        <v>-453.23570000000001</v>
      </c>
      <c r="H241">
        <v>0.99085199999999996</v>
      </c>
      <c r="I241">
        <v>367.75259999999997</v>
      </c>
      <c r="J241">
        <v>-453.94670000000002</v>
      </c>
      <c r="K241">
        <v>1.1092879999999901</v>
      </c>
      <c r="L241">
        <v>367.79969999999997</v>
      </c>
      <c r="M241">
        <v>0.99982850000000001</v>
      </c>
      <c r="N241">
        <v>0</v>
      </c>
      <c r="O241">
        <v>1.727853E-2</v>
      </c>
      <c r="P241">
        <v>0.98245009999999999</v>
      </c>
      <c r="Q241">
        <v>0.18628800000000001</v>
      </c>
      <c r="R241">
        <v>9.4157760000000007E-3</v>
      </c>
      <c r="S241">
        <v>3.1382140000000001</v>
      </c>
      <c r="T241">
        <v>-0.43408819999999998</v>
      </c>
      <c r="U241">
        <v>-0.16259770000000001</v>
      </c>
      <c r="V241">
        <v>7.7425829999999999E-3</v>
      </c>
      <c r="W241">
        <v>0.19281909999999999</v>
      </c>
      <c r="X241">
        <v>0.98120379999999996</v>
      </c>
      <c r="Y241">
        <v>6.8179119999999996E-2</v>
      </c>
      <c r="Z241">
        <v>-7.0672950000000003E-3</v>
      </c>
      <c r="AA241">
        <v>0.99764810000000004</v>
      </c>
      <c r="AB241">
        <v>23</v>
      </c>
      <c r="AC241">
        <v>0.71100000000001196</v>
      </c>
      <c r="AD241">
        <v>-0.118435999999999</v>
      </c>
      <c r="AE241">
        <v>-4.7100000000000301E-2</v>
      </c>
      <c r="AF241">
        <v>5.7781960104116903E-2</v>
      </c>
      <c r="AG241">
        <v>-0.118435999999999</v>
      </c>
      <c r="AH241">
        <v>0.69099034051838204</v>
      </c>
      <c r="AI241">
        <v>99.692823777886005</v>
      </c>
      <c r="AJ241">
        <v>85.219936197181696</v>
      </c>
      <c r="AK241">
        <v>0.70344402172396303</v>
      </c>
      <c r="AL241">
        <v>78.882650717643799</v>
      </c>
      <c r="AM241">
        <v>89.547894003978698</v>
      </c>
      <c r="AN241">
        <v>1.00000002502538</v>
      </c>
    </row>
    <row r="242" spans="1:40" x14ac:dyDescent="0.25">
      <c r="A242" t="str">
        <f>"20190312172058817"</f>
        <v>20190312172058817</v>
      </c>
      <c r="B242" t="str">
        <f>"1552382458811324"</f>
        <v>1552382458811324</v>
      </c>
      <c r="C242" t="s">
        <v>40</v>
      </c>
      <c r="D242">
        <v>3.2064550000000001</v>
      </c>
      <c r="E242">
        <v>0.54064319999999999</v>
      </c>
      <c r="F242" t="s">
        <v>41</v>
      </c>
      <c r="G242">
        <v>-453.233</v>
      </c>
      <c r="H242">
        <v>0.99619329999999995</v>
      </c>
      <c r="I242">
        <v>367.7475</v>
      </c>
      <c r="J242">
        <v>-453.76490000000001</v>
      </c>
      <c r="K242">
        <v>1.1092820000000001</v>
      </c>
      <c r="L242">
        <v>367.8023</v>
      </c>
      <c r="M242">
        <v>0.99983630000000001</v>
      </c>
      <c r="N242">
        <v>0</v>
      </c>
      <c r="O242">
        <v>1.6822030000000002E-2</v>
      </c>
      <c r="P242">
        <v>0.9825528</v>
      </c>
      <c r="Q242">
        <v>0.18578600000000001</v>
      </c>
      <c r="R242">
        <v>8.5820469999999902E-3</v>
      </c>
      <c r="S242">
        <v>3.1504819999999998</v>
      </c>
      <c r="T242">
        <v>-0.49930590000000002</v>
      </c>
      <c r="U242">
        <v>-0.2283936</v>
      </c>
      <c r="V242">
        <v>8.1297419999999902E-3</v>
      </c>
      <c r="W242">
        <v>0.192326</v>
      </c>
      <c r="X242">
        <v>0.98129739999999999</v>
      </c>
      <c r="Y242">
        <v>8.777414E-2</v>
      </c>
      <c r="Z242">
        <v>-9.5499090000000005E-3</v>
      </c>
      <c r="AA242">
        <v>0.99609460000000005</v>
      </c>
      <c r="AB242">
        <v>23</v>
      </c>
      <c r="AC242">
        <v>0.53190000000000703</v>
      </c>
      <c r="AD242">
        <v>-0.113088699999999</v>
      </c>
      <c r="AE242">
        <v>-5.4800000000000099E-2</v>
      </c>
      <c r="AF242">
        <v>6.10110932862762E-2</v>
      </c>
      <c r="AG242">
        <v>-0.113088699999999</v>
      </c>
      <c r="AH242">
        <v>0.50817261761295995</v>
      </c>
      <c r="AI242">
        <v>102.45950012599999</v>
      </c>
      <c r="AJ242">
        <v>83.153850023232707</v>
      </c>
      <c r="AK242">
        <v>0.52416678344138201</v>
      </c>
      <c r="AL242">
        <v>78.9114417149611</v>
      </c>
      <c r="AM242">
        <v>89.525333248939802</v>
      </c>
      <c r="AN242">
        <v>0.999999985113873</v>
      </c>
    </row>
    <row r="243" spans="1:40" x14ac:dyDescent="0.25">
      <c r="A243" t="str">
        <f>"20190312172058829"</f>
        <v>20190312172058829</v>
      </c>
      <c r="B243" t="str">
        <f>"1552382458822060"</f>
        <v>1552382458822060</v>
      </c>
      <c r="C243" t="s">
        <v>40</v>
      </c>
      <c r="D243">
        <v>3.287601</v>
      </c>
      <c r="E243">
        <v>0.54258909999999905</v>
      </c>
      <c r="F243" t="s">
        <v>41</v>
      </c>
      <c r="G243">
        <v>-453.02960000000002</v>
      </c>
      <c r="H243">
        <v>0.98003600000000002</v>
      </c>
      <c r="I243">
        <v>367.73110000000003</v>
      </c>
      <c r="J243">
        <v>-453.62779999999998</v>
      </c>
      <c r="K243">
        <v>1.109278</v>
      </c>
      <c r="L243">
        <v>367.80419999999998</v>
      </c>
      <c r="M243">
        <v>0.99984200000000001</v>
      </c>
      <c r="N243">
        <v>0</v>
      </c>
      <c r="O243">
        <v>1.647815E-2</v>
      </c>
      <c r="P243">
        <v>0.98260780000000003</v>
      </c>
      <c r="Q243">
        <v>0.18551400000000001</v>
      </c>
      <c r="R243">
        <v>8.1772210000000001E-3</v>
      </c>
      <c r="S243">
        <v>3.1610109999999998</v>
      </c>
      <c r="T243">
        <v>-0.55571870000000001</v>
      </c>
      <c r="U243">
        <v>-0.30487059999999999</v>
      </c>
      <c r="V243">
        <v>8.1977890000000005E-3</v>
      </c>
      <c r="W243">
        <v>0.19205829999999999</v>
      </c>
      <c r="X243">
        <v>0.98134929999999998</v>
      </c>
      <c r="Y243">
        <v>0.1104614</v>
      </c>
      <c r="Z243">
        <v>-1.2482999999999999E-2</v>
      </c>
      <c r="AA243">
        <v>0.99380199999999996</v>
      </c>
      <c r="AB243">
        <v>23</v>
      </c>
      <c r="AC243">
        <v>0.59819999999996298</v>
      </c>
      <c r="AD243">
        <v>-0.129241999999999</v>
      </c>
      <c r="AE243">
        <v>-7.3099999999953896E-2</v>
      </c>
      <c r="AF243">
        <v>7.9300382281566995E-2</v>
      </c>
      <c r="AG243">
        <v>-0.129241999999999</v>
      </c>
      <c r="AH243">
        <v>0.57066832571770898</v>
      </c>
      <c r="AI243">
        <v>102.64325927916801</v>
      </c>
      <c r="AJ243">
        <v>82.088809370737806</v>
      </c>
      <c r="AK243">
        <v>0.59046962933876301</v>
      </c>
      <c r="AL243">
        <v>78.9270715781946</v>
      </c>
      <c r="AM243">
        <v>89.521385722779797</v>
      </c>
      <c r="AN243">
        <v>1.00000002147693</v>
      </c>
    </row>
    <row r="244" spans="1:40" x14ac:dyDescent="0.25">
      <c r="A244" t="str">
        <f>"20190312172058841"</f>
        <v>20190312172058841</v>
      </c>
      <c r="B244" t="str">
        <f>"1552382458831820"</f>
        <v>1552382458831820</v>
      </c>
      <c r="C244" t="s">
        <v>40</v>
      </c>
      <c r="D244">
        <v>3.2118220000000002</v>
      </c>
      <c r="E244">
        <v>0.54420449999999998</v>
      </c>
      <c r="F244" t="s">
        <v>41</v>
      </c>
      <c r="G244">
        <v>-452.82420000000002</v>
      </c>
      <c r="H244">
        <v>0.96611860000000005</v>
      </c>
      <c r="I244">
        <v>367.72190000000001</v>
      </c>
      <c r="J244">
        <v>-453.50299999999999</v>
      </c>
      <c r="K244">
        <v>1.109273</v>
      </c>
      <c r="L244">
        <v>367.80599999999998</v>
      </c>
      <c r="M244">
        <v>0.99984720000000005</v>
      </c>
      <c r="N244">
        <v>0</v>
      </c>
      <c r="O244">
        <v>1.6164789999999998E-2</v>
      </c>
      <c r="P244">
        <v>0.98258659999999998</v>
      </c>
      <c r="Q244">
        <v>0.18564820000000001</v>
      </c>
      <c r="R244">
        <v>7.6552139999999996E-3</v>
      </c>
      <c r="S244">
        <v>3.1621700000000001</v>
      </c>
      <c r="T244">
        <v>-0.56347009999999997</v>
      </c>
      <c r="U244">
        <v>-0.32220460000000001</v>
      </c>
      <c r="V244">
        <v>8.4121530000000003E-3</v>
      </c>
      <c r="W244">
        <v>0.192195</v>
      </c>
      <c r="X244">
        <v>0.98132070000000005</v>
      </c>
      <c r="Y244">
        <v>0.1153854</v>
      </c>
      <c r="Z244">
        <v>-1.3025500000000001E-2</v>
      </c>
      <c r="AA244">
        <v>0.99323539999999999</v>
      </c>
      <c r="AB244">
        <v>24</v>
      </c>
      <c r="AC244">
        <v>0.67880000000002305</v>
      </c>
      <c r="AD244">
        <v>-0.14315439999999999</v>
      </c>
      <c r="AE244">
        <v>-8.4099999999977998E-2</v>
      </c>
      <c r="AF244">
        <v>9.1072604113007605E-2</v>
      </c>
      <c r="AG244">
        <v>-0.14315439999999999</v>
      </c>
      <c r="AH244">
        <v>0.64892648926591501</v>
      </c>
      <c r="AI244">
        <v>102.323280185782</v>
      </c>
      <c r="AJ244">
        <v>82.011088671454999</v>
      </c>
      <c r="AK244">
        <v>0.67074062791087097</v>
      </c>
      <c r="AL244">
        <v>78.919090311148494</v>
      </c>
      <c r="AM244">
        <v>89.508856729417104</v>
      </c>
      <c r="AN244">
        <v>0.99999999929579197</v>
      </c>
    </row>
    <row r="245" spans="1:40" x14ac:dyDescent="0.25">
      <c r="A245" t="str">
        <f>"20190312172058853"</f>
        <v>20190312172058853</v>
      </c>
      <c r="B245" t="str">
        <f>"1552382458841581"</f>
        <v>1552382458841581</v>
      </c>
      <c r="C245" t="s">
        <v>40</v>
      </c>
      <c r="D245">
        <v>3.2374589999999999</v>
      </c>
      <c r="E245">
        <v>0.5459581</v>
      </c>
      <c r="F245" t="s">
        <v>41</v>
      </c>
      <c r="G245">
        <v>-452.61810000000003</v>
      </c>
      <c r="H245">
        <v>0.95182990000000001</v>
      </c>
      <c r="I245">
        <v>367.71170000000001</v>
      </c>
      <c r="J245">
        <v>-453.37520000000001</v>
      </c>
      <c r="K245">
        <v>1.1092679999999999</v>
      </c>
      <c r="L245">
        <v>367.80770000000001</v>
      </c>
      <c r="M245">
        <v>0.99985230000000003</v>
      </c>
      <c r="N245">
        <v>0</v>
      </c>
      <c r="O245">
        <v>1.5843989999999999E-2</v>
      </c>
      <c r="P245">
        <v>0.98264070000000003</v>
      </c>
      <c r="Q245">
        <v>0.1853862</v>
      </c>
      <c r="R245">
        <v>7.0301189999999996E-3</v>
      </c>
      <c r="S245">
        <v>3.1620789999999999</v>
      </c>
      <c r="T245">
        <v>-0.56252159999999995</v>
      </c>
      <c r="U245">
        <v>-0.33636470000000002</v>
      </c>
      <c r="V245">
        <v>8.7232049999999995E-3</v>
      </c>
      <c r="W245">
        <v>0.19193289999999999</v>
      </c>
      <c r="X245">
        <v>0.9813693</v>
      </c>
      <c r="Y245">
        <v>0.119419</v>
      </c>
      <c r="Z245">
        <v>-1.329989E-2</v>
      </c>
      <c r="AA245">
        <v>0.9927549</v>
      </c>
      <c r="AB245">
        <v>24</v>
      </c>
      <c r="AC245">
        <v>0.75709999999997901</v>
      </c>
      <c r="AD245">
        <v>-0.157438099999999</v>
      </c>
      <c r="AE245">
        <v>-9.6000000000003596E-2</v>
      </c>
      <c r="AF245">
        <v>0.103575676932841</v>
      </c>
      <c r="AG245">
        <v>-0.157438099999999</v>
      </c>
      <c r="AH245">
        <v>0.72464415341834398</v>
      </c>
      <c r="AI245">
        <v>102.138083182267</v>
      </c>
      <c r="AJ245">
        <v>81.865629477806294</v>
      </c>
      <c r="AK245">
        <v>0.74874817212938405</v>
      </c>
      <c r="AL245">
        <v>78.9343926296078</v>
      </c>
      <c r="AM245">
        <v>89.490722129116406</v>
      </c>
      <c r="AN245">
        <v>1.00000001769518</v>
      </c>
    </row>
    <row r="246" spans="1:40" x14ac:dyDescent="0.25">
      <c r="A246" t="str">
        <f>"20190312172058873"</f>
        <v>20190312172058873</v>
      </c>
      <c r="B246" t="str">
        <f>"1552382458862075"</f>
        <v>1552382458862075</v>
      </c>
      <c r="C246" t="s">
        <v>40</v>
      </c>
      <c r="D246">
        <v>3.2161780000000002</v>
      </c>
      <c r="E246">
        <v>0.54857429999999996</v>
      </c>
      <c r="F246" t="s">
        <v>41</v>
      </c>
      <c r="G246">
        <v>-452.60860000000002</v>
      </c>
      <c r="H246">
        <v>0.97248849999999998</v>
      </c>
      <c r="I246">
        <v>367.72199999999998</v>
      </c>
      <c r="J246">
        <v>-453.16579999999999</v>
      </c>
      <c r="K246">
        <v>1.1092599999999999</v>
      </c>
      <c r="L246">
        <v>367.81049999999999</v>
      </c>
      <c r="M246">
        <v>0.99986039999999998</v>
      </c>
      <c r="N246">
        <v>0</v>
      </c>
      <c r="O246">
        <v>1.531863E-2</v>
      </c>
      <c r="P246">
        <v>0.98267590000000005</v>
      </c>
      <c r="Q246">
        <v>0.18523020000000001</v>
      </c>
      <c r="R246">
        <v>6.1623169999999996E-3</v>
      </c>
      <c r="S246">
        <v>3.1619570000000001</v>
      </c>
      <c r="T246">
        <v>-0.56414619999999904</v>
      </c>
      <c r="U246">
        <v>-0.35253909999999899</v>
      </c>
      <c r="V246">
        <v>9.0759540000000007E-3</v>
      </c>
      <c r="W246">
        <v>0.19177420000000001</v>
      </c>
      <c r="X246">
        <v>0.98139710000000002</v>
      </c>
      <c r="Y246">
        <v>0.1238472</v>
      </c>
      <c r="Z246">
        <v>-1.363264E-2</v>
      </c>
      <c r="AA246">
        <v>0.99220759999999997</v>
      </c>
      <c r="AB246">
        <v>24</v>
      </c>
      <c r="AC246">
        <v>0.55719999999996594</v>
      </c>
      <c r="AD246">
        <v>-0.13677149999999999</v>
      </c>
      <c r="AE246">
        <v>-8.8500000000010404E-2</v>
      </c>
      <c r="AF246">
        <v>9.1639760107371807E-2</v>
      </c>
      <c r="AG246">
        <v>-0.13677149999999999</v>
      </c>
      <c r="AH246">
        <v>0.52492926994274303</v>
      </c>
      <c r="AI246">
        <v>104.395378352813</v>
      </c>
      <c r="AJ246">
        <v>80.097358663496706</v>
      </c>
      <c r="AK246">
        <v>0.55014091584557501</v>
      </c>
      <c r="AL246">
        <v>78.943657295159895</v>
      </c>
      <c r="AM246">
        <v>89.470144108617504</v>
      </c>
      <c r="AN246">
        <v>0.99999999230753001</v>
      </c>
    </row>
    <row r="247" spans="1:40" x14ac:dyDescent="0.25">
      <c r="A247" t="str">
        <f>"20190312172058887"</f>
        <v>20190312172058887</v>
      </c>
      <c r="B247" t="str">
        <f>"1552382458881595"</f>
        <v>1552382458881595</v>
      </c>
      <c r="C247" t="s">
        <v>40</v>
      </c>
      <c r="D247">
        <v>3.2376779999999998</v>
      </c>
      <c r="E247">
        <v>0.55045239999999995</v>
      </c>
      <c r="F247" t="s">
        <v>41</v>
      </c>
      <c r="G247">
        <v>-452.39569999999998</v>
      </c>
      <c r="H247">
        <v>0.97125519999999999</v>
      </c>
      <c r="I247">
        <v>367.7183</v>
      </c>
      <c r="J247">
        <v>-453.01389999999998</v>
      </c>
      <c r="K247">
        <v>1.1092550000000001</v>
      </c>
      <c r="L247">
        <v>367.81229999999999</v>
      </c>
      <c r="M247">
        <v>0.99986629999999999</v>
      </c>
      <c r="N247">
        <v>0</v>
      </c>
      <c r="O247">
        <v>1.4937519999999999E-2</v>
      </c>
      <c r="P247">
        <v>0.98271169999999997</v>
      </c>
      <c r="Q247">
        <v>0.18505559999999999</v>
      </c>
      <c r="R247">
        <v>5.6894819999999896E-3</v>
      </c>
      <c r="S247">
        <v>3.162048</v>
      </c>
      <c r="T247">
        <v>-0.56672009999999995</v>
      </c>
      <c r="U247">
        <v>-0.375946</v>
      </c>
      <c r="V247">
        <v>9.1753449999999997E-3</v>
      </c>
      <c r="W247">
        <v>0.19159499999999999</v>
      </c>
      <c r="X247">
        <v>0.98143119999999995</v>
      </c>
      <c r="Y247">
        <v>0.13059409999999999</v>
      </c>
      <c r="Z247">
        <v>-1.4218099999999999E-2</v>
      </c>
      <c r="AA247">
        <v>0.99133400000000005</v>
      </c>
      <c r="AB247">
        <v>24</v>
      </c>
      <c r="AC247">
        <v>0.61820000000000097</v>
      </c>
      <c r="AD247">
        <v>-0.13799979999999901</v>
      </c>
      <c r="AE247">
        <v>-9.3999999999994005E-2</v>
      </c>
      <c r="AF247">
        <v>9.8430070298651695E-2</v>
      </c>
      <c r="AG247">
        <v>-0.13799979999999901</v>
      </c>
      <c r="AH247">
        <v>0.58808431380608805</v>
      </c>
      <c r="AI247">
        <v>103.031126809988</v>
      </c>
      <c r="AJ247">
        <v>80.498246042402499</v>
      </c>
      <c r="AK247">
        <v>0.612025803119292</v>
      </c>
      <c r="AL247">
        <v>78.954118950149805</v>
      </c>
      <c r="AM247">
        <v>89.464360590170898</v>
      </c>
      <c r="AN247">
        <v>1.00000001565715</v>
      </c>
    </row>
    <row r="248" spans="1:40" x14ac:dyDescent="0.25">
      <c r="A248" t="str">
        <f>"20190312172058905"</f>
        <v>20190312172058905</v>
      </c>
      <c r="B248" t="str">
        <f>"1552382458902093"</f>
        <v>1552382458902093</v>
      </c>
      <c r="C248" t="s">
        <v>40</v>
      </c>
      <c r="D248">
        <v>3.5224389999999999</v>
      </c>
      <c r="E248">
        <v>0.55174569999999901</v>
      </c>
      <c r="F248" t="s">
        <v>41</v>
      </c>
      <c r="G248">
        <v>-452.1866</v>
      </c>
      <c r="H248">
        <v>0.95973929999999996</v>
      </c>
      <c r="I248">
        <v>367.70929999999998</v>
      </c>
      <c r="J248">
        <v>-452.82709999999997</v>
      </c>
      <c r="K248">
        <v>1.109254</v>
      </c>
      <c r="L248">
        <v>367.81470000000002</v>
      </c>
      <c r="M248">
        <v>0.99987329999999996</v>
      </c>
      <c r="N248">
        <v>0</v>
      </c>
      <c r="O248">
        <v>1.44691E-2</v>
      </c>
      <c r="P248">
        <v>0.98271249999999999</v>
      </c>
      <c r="Q248">
        <v>0.18507129999999999</v>
      </c>
      <c r="R248">
        <v>5.0371050000000001E-3</v>
      </c>
      <c r="S248">
        <v>3.1626590000000001</v>
      </c>
      <c r="T248">
        <v>-0.57160029999999995</v>
      </c>
      <c r="U248">
        <v>-0.39273069999999999</v>
      </c>
      <c r="V248">
        <v>9.3682520000000005E-3</v>
      </c>
      <c r="W248">
        <v>0.19160250000000001</v>
      </c>
      <c r="X248">
        <v>0.98142790000000002</v>
      </c>
      <c r="Y248">
        <v>0.135188</v>
      </c>
      <c r="Z248">
        <v>-1.4658030000000001E-2</v>
      </c>
      <c r="AA248">
        <v>0.99071149999999997</v>
      </c>
      <c r="AB248">
        <v>24</v>
      </c>
      <c r="AC248">
        <v>0.64049999999997398</v>
      </c>
      <c r="AD248">
        <v>-0.1495147</v>
      </c>
      <c r="AE248">
        <v>-0.105400000000031</v>
      </c>
      <c r="AF248">
        <v>0.108880011744987</v>
      </c>
      <c r="AG248">
        <v>-0.1495147</v>
      </c>
      <c r="AH248">
        <v>0.60671848975612097</v>
      </c>
      <c r="AI248">
        <v>103.634175681241</v>
      </c>
      <c r="AJ248">
        <v>79.826152303906994</v>
      </c>
      <c r="AK248">
        <v>0.63428450106054701</v>
      </c>
      <c r="AL248">
        <v>78.953680973400495</v>
      </c>
      <c r="AM248">
        <v>89.453097879957696</v>
      </c>
      <c r="AN248">
        <v>1.0000000025250899</v>
      </c>
    </row>
    <row r="249" spans="1:40" x14ac:dyDescent="0.25">
      <c r="A249" t="str">
        <f>"20190312172058916"</f>
        <v>20190312172058916</v>
      </c>
      <c r="B249" t="str">
        <f>"1552382458911851"</f>
        <v>1552382458911851</v>
      </c>
      <c r="C249" t="s">
        <v>40</v>
      </c>
      <c r="D249">
        <v>3.23733</v>
      </c>
      <c r="E249">
        <v>0.5522686</v>
      </c>
      <c r="F249" t="s">
        <v>41</v>
      </c>
      <c r="G249">
        <v>-451.97379999999998</v>
      </c>
      <c r="H249">
        <v>0.95454810000000001</v>
      </c>
      <c r="I249">
        <v>367.70490000000001</v>
      </c>
      <c r="J249">
        <v>-452.69760000000002</v>
      </c>
      <c r="K249">
        <v>1.1092500000000001</v>
      </c>
      <c r="L249">
        <v>367.81619999999998</v>
      </c>
      <c r="M249">
        <v>0.99987789999999999</v>
      </c>
      <c r="N249">
        <v>0</v>
      </c>
      <c r="O249">
        <v>1.4145100000000001E-2</v>
      </c>
      <c r="P249">
        <v>0.98271589999999998</v>
      </c>
      <c r="Q249">
        <v>0.18506329999999999</v>
      </c>
      <c r="R249">
        <v>4.5956800000000004E-3</v>
      </c>
      <c r="S249">
        <v>3.1628720000000001</v>
      </c>
      <c r="T249">
        <v>-0.57359959999999999</v>
      </c>
      <c r="U249">
        <v>-0.40502929999999998</v>
      </c>
      <c r="V249">
        <v>9.4920739999999997E-3</v>
      </c>
      <c r="W249">
        <v>0.19158849999999999</v>
      </c>
      <c r="X249">
        <v>0.98142949999999995</v>
      </c>
      <c r="Y249">
        <v>0.13858579999999901</v>
      </c>
      <c r="Z249">
        <v>-1.4950379999999999E-2</v>
      </c>
      <c r="AA249">
        <v>0.99023760000000005</v>
      </c>
      <c r="AB249">
        <v>24</v>
      </c>
      <c r="AC249">
        <v>0.72380000000003897</v>
      </c>
      <c r="AD249">
        <v>-0.1547019</v>
      </c>
      <c r="AE249">
        <v>-0.11129999999997101</v>
      </c>
      <c r="AF249">
        <v>0.11633552710740799</v>
      </c>
      <c r="AG249">
        <v>-0.1547019</v>
      </c>
      <c r="AH249">
        <v>0.69130198492963901</v>
      </c>
      <c r="AI249">
        <v>102.44459745413801</v>
      </c>
      <c r="AJ249">
        <v>80.447502241799597</v>
      </c>
      <c r="AK249">
        <v>0.71788931396046596</v>
      </c>
      <c r="AL249">
        <v>78.954498877266801</v>
      </c>
      <c r="AM249">
        <v>89.445870719909294</v>
      </c>
      <c r="AN249">
        <v>1.0000000581356501</v>
      </c>
    </row>
    <row r="250" spans="1:40" x14ac:dyDescent="0.25">
      <c r="A250" t="str">
        <f>"20190312172058928"</f>
        <v>20190312172058928</v>
      </c>
      <c r="B250" t="str">
        <f>"1552382458921612"</f>
        <v>1552382458921612</v>
      </c>
      <c r="C250" t="s">
        <v>40</v>
      </c>
      <c r="D250">
        <v>3.2070959999999999</v>
      </c>
      <c r="E250">
        <v>0.55276939999999997</v>
      </c>
      <c r="F250" t="s">
        <v>41</v>
      </c>
      <c r="G250">
        <v>-451.96440000000001</v>
      </c>
      <c r="H250">
        <v>0.97593079999999999</v>
      </c>
      <c r="I250">
        <v>367.72050000000002</v>
      </c>
      <c r="J250">
        <v>-452.56900000000002</v>
      </c>
      <c r="K250">
        <v>1.109248</v>
      </c>
      <c r="L250">
        <v>367.8177</v>
      </c>
      <c r="M250">
        <v>0.99988250000000001</v>
      </c>
      <c r="N250">
        <v>0</v>
      </c>
      <c r="O250">
        <v>1.3822360000000001E-2</v>
      </c>
      <c r="P250">
        <v>0.98267329999999997</v>
      </c>
      <c r="Q250">
        <v>0.18529290000000001</v>
      </c>
      <c r="R250">
        <v>4.4748399999999999E-3</v>
      </c>
      <c r="S250">
        <v>3.1629640000000001</v>
      </c>
      <c r="T250">
        <v>-0.57516119999999904</v>
      </c>
      <c r="U250">
        <v>-0.410553</v>
      </c>
      <c r="V250">
        <v>9.2962510000000002E-3</v>
      </c>
      <c r="W250">
        <v>0.19181219999999999</v>
      </c>
      <c r="X250">
        <v>0.98138760000000003</v>
      </c>
      <c r="Y250">
        <v>0.13993449999999999</v>
      </c>
      <c r="Z250">
        <v>-1.505153E-2</v>
      </c>
      <c r="AA250">
        <v>0.99004630000000005</v>
      </c>
      <c r="AB250">
        <v>24</v>
      </c>
      <c r="AC250">
        <v>0.60460000000000402</v>
      </c>
      <c r="AD250">
        <v>-0.133317199999999</v>
      </c>
      <c r="AE250">
        <v>-9.7199999999986603E-2</v>
      </c>
      <c r="AF250">
        <v>0.100771592176051</v>
      </c>
      <c r="AG250">
        <v>-0.133317199999999</v>
      </c>
      <c r="AH250">
        <v>0.57590243950562703</v>
      </c>
      <c r="AI250">
        <v>102.845413628253</v>
      </c>
      <c r="AJ250">
        <v>80.074848666254894</v>
      </c>
      <c r="AK250">
        <v>0.59965991147822195</v>
      </c>
      <c r="AL250">
        <v>78.941438743459599</v>
      </c>
      <c r="AM250">
        <v>89.457278635449299</v>
      </c>
      <c r="AN250">
        <v>0.99999998089262698</v>
      </c>
    </row>
    <row r="251" spans="1:40" x14ac:dyDescent="0.25">
      <c r="A251" t="str">
        <f>"20190312172058950"</f>
        <v>20190312172058950</v>
      </c>
      <c r="B251" t="str">
        <f>"1552382458942110"</f>
        <v>1552382458942110</v>
      </c>
      <c r="C251" t="s">
        <v>40</v>
      </c>
      <c r="D251">
        <v>3.2279520000000002</v>
      </c>
      <c r="E251">
        <v>0.55338080000000001</v>
      </c>
      <c r="F251" t="s">
        <v>41</v>
      </c>
      <c r="G251">
        <v>-451.7552</v>
      </c>
      <c r="H251">
        <v>0.96113219999999999</v>
      </c>
      <c r="I251">
        <v>367.7106</v>
      </c>
      <c r="J251">
        <v>-452.33260000000001</v>
      </c>
      <c r="K251">
        <v>1.109243</v>
      </c>
      <c r="L251">
        <v>367.82029999999997</v>
      </c>
      <c r="M251">
        <v>0.99989050000000002</v>
      </c>
      <c r="N251">
        <v>0</v>
      </c>
      <c r="O251">
        <v>1.323015E-2</v>
      </c>
      <c r="P251">
        <v>0.98264390000000001</v>
      </c>
      <c r="Q251">
        <v>0.18545819999999999</v>
      </c>
      <c r="R251">
        <v>4.0242139999999999E-3</v>
      </c>
      <c r="S251">
        <v>3.1633300000000002</v>
      </c>
      <c r="T251">
        <v>-0.57582529999999998</v>
      </c>
      <c r="U251">
        <v>-0.41516110000000001</v>
      </c>
      <c r="V251">
        <v>9.1657530000000004E-3</v>
      </c>
      <c r="W251">
        <v>0.19196659999999999</v>
      </c>
      <c r="X251">
        <v>0.98135859999999997</v>
      </c>
      <c r="Y251">
        <v>0.1407437</v>
      </c>
      <c r="Z251">
        <v>-1.503178E-2</v>
      </c>
      <c r="AA251">
        <v>0.98993189999999998</v>
      </c>
      <c r="AB251">
        <v>24</v>
      </c>
      <c r="AC251">
        <v>0.57740000000001102</v>
      </c>
      <c r="AD251">
        <v>-0.14811079999999999</v>
      </c>
      <c r="AE251">
        <v>-0.109699999999975</v>
      </c>
      <c r="AF251">
        <v>0.11032337598160701</v>
      </c>
      <c r="AG251">
        <v>-0.14811079999999999</v>
      </c>
      <c r="AH251">
        <v>0.54150863065230703</v>
      </c>
      <c r="AI251">
        <v>105.00322386926599</v>
      </c>
      <c r="AJ251">
        <v>78.484537018974507</v>
      </c>
      <c r="AK251">
        <v>0.57213604451699696</v>
      </c>
      <c r="AL251">
        <v>78.932424352569697</v>
      </c>
      <c r="AM251">
        <v>89.464880938160206</v>
      </c>
      <c r="AN251">
        <v>0.99999994416878601</v>
      </c>
    </row>
    <row r="252" spans="1:40" x14ac:dyDescent="0.25">
      <c r="A252" t="str">
        <f>"20190312172058962"</f>
        <v>20190312172058962</v>
      </c>
      <c r="B252" t="str">
        <f>"1552382458951867"</f>
        <v>1552382458951867</v>
      </c>
      <c r="C252" t="s">
        <v>40</v>
      </c>
      <c r="D252">
        <v>3.2187809999999999</v>
      </c>
      <c r="E252">
        <v>0.55368609999999996</v>
      </c>
      <c r="F252" t="s">
        <v>41</v>
      </c>
      <c r="G252">
        <v>-451.53769999999997</v>
      </c>
      <c r="H252">
        <v>0.96329710000000002</v>
      </c>
      <c r="I252">
        <v>367.71370000000002</v>
      </c>
      <c r="J252">
        <v>-452.2038</v>
      </c>
      <c r="K252">
        <v>1.10924</v>
      </c>
      <c r="L252">
        <v>367.82170000000002</v>
      </c>
      <c r="M252">
        <v>0.99989470000000003</v>
      </c>
      <c r="N252">
        <v>0</v>
      </c>
      <c r="O252">
        <v>1.2907409999999999E-2</v>
      </c>
      <c r="P252">
        <v>0.98262969999999905</v>
      </c>
      <c r="Q252">
        <v>0.18553620000000001</v>
      </c>
      <c r="R252">
        <v>3.8980220000000001E-3</v>
      </c>
      <c r="S252">
        <v>3.1643979999999998</v>
      </c>
      <c r="T252">
        <v>-0.58112010000000003</v>
      </c>
      <c r="U252">
        <v>-0.42214970000000002</v>
      </c>
      <c r="V252">
        <v>8.9754589999999999E-3</v>
      </c>
      <c r="W252">
        <v>0.19203770000000001</v>
      </c>
      <c r="X252">
        <v>0.98134650000000001</v>
      </c>
      <c r="Y252">
        <v>0.1424636</v>
      </c>
      <c r="Z252">
        <v>-1.5258030000000001E-2</v>
      </c>
      <c r="AA252">
        <v>0.98968239999999996</v>
      </c>
      <c r="AB252">
        <v>24</v>
      </c>
      <c r="AC252">
        <v>0.666100000000028</v>
      </c>
      <c r="AD252">
        <v>-0.14594289999999999</v>
      </c>
      <c r="AE252">
        <v>-0.108000000000004</v>
      </c>
      <c r="AF252">
        <v>0.11137901912179</v>
      </c>
      <c r="AG252">
        <v>-0.14594289999999999</v>
      </c>
      <c r="AH252">
        <v>0.63495041595866197</v>
      </c>
      <c r="AI252">
        <v>102.756307667839</v>
      </c>
      <c r="AJ252">
        <v>80.050755669894102</v>
      </c>
      <c r="AK252">
        <v>0.66095888426362803</v>
      </c>
      <c r="AL252">
        <v>78.928273962456998</v>
      </c>
      <c r="AM252">
        <v>89.475983680222797</v>
      </c>
      <c r="AN252">
        <v>0.99999999507390003</v>
      </c>
    </row>
    <row r="253" spans="1:40" x14ac:dyDescent="0.25">
      <c r="A253" t="str">
        <f>"20190312172058974"</f>
        <v>20190312172058974</v>
      </c>
      <c r="B253" t="str">
        <f>"1552382458961629"</f>
        <v>1552382458961629</v>
      </c>
      <c r="C253" t="s">
        <v>40</v>
      </c>
      <c r="D253">
        <v>3.233266</v>
      </c>
      <c r="E253">
        <v>0.55395660000000002</v>
      </c>
      <c r="F253" t="s">
        <v>41</v>
      </c>
      <c r="G253">
        <v>-451.32749999999999</v>
      </c>
      <c r="H253">
        <v>0.94707509999999995</v>
      </c>
      <c r="I253">
        <v>367.70409999999998</v>
      </c>
      <c r="J253">
        <v>-452.07560000000001</v>
      </c>
      <c r="K253">
        <v>1.1092360000000001</v>
      </c>
      <c r="L253">
        <v>367.82299999999998</v>
      </c>
      <c r="M253">
        <v>0.99989890000000003</v>
      </c>
      <c r="N253">
        <v>0</v>
      </c>
      <c r="O253">
        <v>1.2586450000000001E-2</v>
      </c>
      <c r="P253">
        <v>0.98261080000000001</v>
      </c>
      <c r="Q253">
        <v>0.18563650000000001</v>
      </c>
      <c r="R253">
        <v>3.9382920000000004E-3</v>
      </c>
      <c r="S253">
        <v>3.165314</v>
      </c>
      <c r="T253">
        <v>-0.58570230000000001</v>
      </c>
      <c r="U253">
        <v>-0.42517090000000002</v>
      </c>
      <c r="V253">
        <v>8.6200949999999995E-3</v>
      </c>
      <c r="W253">
        <v>0.1921313</v>
      </c>
      <c r="X253">
        <v>0.98133130000000002</v>
      </c>
      <c r="Y253">
        <v>0.1429947</v>
      </c>
      <c r="Z253">
        <v>-1.536095E-2</v>
      </c>
      <c r="AA253">
        <v>0.98960420000000004</v>
      </c>
      <c r="AB253">
        <v>24</v>
      </c>
      <c r="AC253">
        <v>0.74810000000002197</v>
      </c>
      <c r="AD253">
        <v>-0.1621609</v>
      </c>
      <c r="AE253">
        <v>-0.118900000000053</v>
      </c>
      <c r="AF253">
        <v>0.122684236481321</v>
      </c>
      <c r="AG253">
        <v>-0.1621609</v>
      </c>
      <c r="AH253">
        <v>0.71383018043324598</v>
      </c>
      <c r="AI253">
        <v>102.619701957765</v>
      </c>
      <c r="AJ253">
        <v>80.247990268427202</v>
      </c>
      <c r="AK253">
        <v>0.74222712552639503</v>
      </c>
      <c r="AL253">
        <v>78.922808602928498</v>
      </c>
      <c r="AM253">
        <v>89.496722095696001</v>
      </c>
      <c r="AN253">
        <v>0.999999931418592</v>
      </c>
    </row>
    <row r="254" spans="1:40" x14ac:dyDescent="0.25">
      <c r="A254" t="str">
        <f>"20190312172058994"</f>
        <v>20190312172058994</v>
      </c>
      <c r="B254" t="str">
        <f>"1552382458991883"</f>
        <v>1552382458991883</v>
      </c>
      <c r="C254" t="s">
        <v>40</v>
      </c>
      <c r="D254">
        <v>3.2029359999999998</v>
      </c>
      <c r="E254">
        <v>0.55464009999999997</v>
      </c>
      <c r="F254" t="s">
        <v>41</v>
      </c>
      <c r="G254">
        <v>-451.31819999999999</v>
      </c>
      <c r="H254">
        <v>0.96832799999999997</v>
      </c>
      <c r="I254">
        <v>367.72089999999997</v>
      </c>
      <c r="J254">
        <v>-451.85430000000002</v>
      </c>
      <c r="K254">
        <v>1.1092280000000001</v>
      </c>
      <c r="L254">
        <v>367.8252</v>
      </c>
      <c r="M254">
        <v>0.99990590000000001</v>
      </c>
      <c r="N254">
        <v>0</v>
      </c>
      <c r="O254">
        <v>1.2033769999999999E-2</v>
      </c>
      <c r="P254">
        <v>0.98267070000000001</v>
      </c>
      <c r="Q254">
        <v>0.18532850000000001</v>
      </c>
      <c r="R254">
        <v>3.440781E-3</v>
      </c>
      <c r="S254">
        <v>3.166077</v>
      </c>
      <c r="T254">
        <v>-0.58898309999999998</v>
      </c>
      <c r="U254">
        <v>-0.4274597</v>
      </c>
      <c r="V254">
        <v>8.5761520000000001E-3</v>
      </c>
      <c r="W254">
        <v>0.1918107</v>
      </c>
      <c r="X254">
        <v>0.98139449999999995</v>
      </c>
      <c r="Y254">
        <v>0.14309929999999901</v>
      </c>
      <c r="Z254">
        <v>-1.534929E-2</v>
      </c>
      <c r="AA254">
        <v>0.98958930000000001</v>
      </c>
      <c r="AB254">
        <v>24</v>
      </c>
      <c r="AC254">
        <v>0.53610000000003299</v>
      </c>
      <c r="AD254">
        <v>-0.1409</v>
      </c>
      <c r="AE254">
        <v>-0.104300000000023</v>
      </c>
      <c r="AF254">
        <v>0.1038330491771</v>
      </c>
      <c r="AG254">
        <v>-0.1409</v>
      </c>
      <c r="AH254">
        <v>0.50143208925552696</v>
      </c>
      <c r="AI254">
        <v>105.384657607591</v>
      </c>
      <c r="AJ254">
        <v>78.300936181096603</v>
      </c>
      <c r="AK254">
        <v>0.53110098120468296</v>
      </c>
      <c r="AL254">
        <v>78.941526861068596</v>
      </c>
      <c r="AM254">
        <v>89.499319787781602</v>
      </c>
      <c r="AN254">
        <v>1.00000002982393</v>
      </c>
    </row>
    <row r="255" spans="1:40" x14ac:dyDescent="0.25">
      <c r="A255" t="str">
        <f>"20190312172059007"</f>
        <v>20190312172059007</v>
      </c>
      <c r="B255" t="str">
        <f>"1552382459001643"</f>
        <v>1552382459001643</v>
      </c>
      <c r="C255" t="s">
        <v>40</v>
      </c>
      <c r="D255">
        <v>3.2351139999999998</v>
      </c>
      <c r="E255">
        <v>0.55464009999999997</v>
      </c>
      <c r="F255" t="s">
        <v>41</v>
      </c>
      <c r="G255">
        <v>-451.10090000000002</v>
      </c>
      <c r="H255">
        <v>0.96645700000000001</v>
      </c>
      <c r="I255">
        <v>367.72129999999999</v>
      </c>
      <c r="J255">
        <v>-451.71839999999997</v>
      </c>
      <c r="K255">
        <v>1.1092249999999999</v>
      </c>
      <c r="L255">
        <v>367.82650000000001</v>
      </c>
      <c r="M255">
        <v>0.99990990000000002</v>
      </c>
      <c r="N255">
        <v>0</v>
      </c>
      <c r="O255">
        <v>1.169596E-2</v>
      </c>
      <c r="P255">
        <v>0.98267190000000004</v>
      </c>
      <c r="Q255">
        <v>0.18533040000000001</v>
      </c>
      <c r="R255">
        <v>3.0166680000000001E-3</v>
      </c>
      <c r="S255">
        <v>3.1676030000000002</v>
      </c>
      <c r="T255">
        <v>-0.60029309999999902</v>
      </c>
      <c r="U255">
        <v>-0.43402099999999999</v>
      </c>
      <c r="V255">
        <v>8.6683750000000007E-3</v>
      </c>
      <c r="W255">
        <v>0.19180510000000001</v>
      </c>
      <c r="X255">
        <v>0.98139480000000001</v>
      </c>
      <c r="Y255">
        <v>0.144597</v>
      </c>
      <c r="Z255">
        <v>-1.5706370000000001E-2</v>
      </c>
      <c r="AA255">
        <v>0.98936599999999997</v>
      </c>
      <c r="AB255">
        <v>24</v>
      </c>
      <c r="AC255">
        <v>0.61749999999994998</v>
      </c>
      <c r="AD255">
        <v>-0.14276799999999901</v>
      </c>
      <c r="AE255">
        <v>-0.105200000000024</v>
      </c>
      <c r="AF255">
        <v>0.10686393178381</v>
      </c>
      <c r="AG255">
        <v>-0.14276799999999901</v>
      </c>
      <c r="AH255">
        <v>0.58579680368301301</v>
      </c>
      <c r="AI255">
        <v>103.482681992742</v>
      </c>
      <c r="AJ255">
        <v>79.661506333275995</v>
      </c>
      <c r="AK255">
        <v>0.61234018073741403</v>
      </c>
      <c r="AL255">
        <v>78.941853960808302</v>
      </c>
      <c r="AM255">
        <v>89.493936194308603</v>
      </c>
      <c r="AN255">
        <v>1.00000004528909</v>
      </c>
    </row>
    <row r="256" spans="1:40" x14ac:dyDescent="0.25">
      <c r="A256" t="str">
        <f>"20190312172059019"</f>
        <v>20190312172059019</v>
      </c>
      <c r="B256" t="str">
        <f>"1552382459011404"</f>
        <v>1552382459011404</v>
      </c>
      <c r="C256" t="s">
        <v>40</v>
      </c>
      <c r="D256">
        <v>3.2472799999999999</v>
      </c>
      <c r="E256">
        <v>0.57021080000000002</v>
      </c>
      <c r="F256" t="s">
        <v>41</v>
      </c>
      <c r="G256">
        <v>-450.88839999999999</v>
      </c>
      <c r="H256">
        <v>0.95191159999999997</v>
      </c>
      <c r="I256">
        <v>367.71230000000003</v>
      </c>
      <c r="J256">
        <v>-451.58269999999999</v>
      </c>
      <c r="K256">
        <v>1.1092219999999999</v>
      </c>
      <c r="L256">
        <v>367.82780000000002</v>
      </c>
      <c r="M256">
        <v>0.99991379999999996</v>
      </c>
      <c r="N256">
        <v>0</v>
      </c>
      <c r="O256">
        <v>1.1359279999999999E-2</v>
      </c>
      <c r="P256">
        <v>0.98269079999999998</v>
      </c>
      <c r="Q256">
        <v>0.18523770000000001</v>
      </c>
      <c r="R256">
        <v>2.4719009999999999E-3</v>
      </c>
      <c r="S256">
        <v>3.1675110000000002</v>
      </c>
      <c r="T256">
        <v>-0.600365699999999</v>
      </c>
      <c r="U256">
        <v>-0.43508910000000001</v>
      </c>
      <c r="V256">
        <v>8.8827279999999995E-3</v>
      </c>
      <c r="W256">
        <v>0.1917055</v>
      </c>
      <c r="X256">
        <v>0.98141230000000002</v>
      </c>
      <c r="Y256">
        <v>0.14460039999999999</v>
      </c>
      <c r="Z256">
        <v>-1.564567E-2</v>
      </c>
      <c r="AA256">
        <v>0.98936639999999998</v>
      </c>
      <c r="AB256">
        <v>24</v>
      </c>
      <c r="AC256">
        <v>0.69429999999999803</v>
      </c>
      <c r="AD256">
        <v>-0.15731039999999899</v>
      </c>
      <c r="AE256">
        <v>-0.11549999999999699</v>
      </c>
      <c r="AF256">
        <v>0.11750946701732901</v>
      </c>
      <c r="AG256">
        <v>-0.15731039999999899</v>
      </c>
      <c r="AH256">
        <v>0.65997516059550798</v>
      </c>
      <c r="AI256">
        <v>103.20648730638599</v>
      </c>
      <c r="AJ256">
        <v>79.904208519698102</v>
      </c>
      <c r="AK256">
        <v>0.68856535593211698</v>
      </c>
      <c r="AL256">
        <v>78.947668038883606</v>
      </c>
      <c r="AM256">
        <v>89.481432087084698</v>
      </c>
      <c r="AN256">
        <v>1.00000000208913</v>
      </c>
    </row>
    <row r="257" spans="1:40" x14ac:dyDescent="0.25">
      <c r="A257" t="str">
        <f>"20190312172059030"</f>
        <v>20190312172059030</v>
      </c>
      <c r="B257" t="str">
        <f>"1552382459022140"</f>
        <v>1552382459022140</v>
      </c>
      <c r="C257" t="s">
        <v>40</v>
      </c>
      <c r="D257">
        <v>3.2379099999999998</v>
      </c>
      <c r="E257">
        <v>0.57070540000000003</v>
      </c>
      <c r="F257" t="s">
        <v>41</v>
      </c>
      <c r="G257">
        <v>-450.88549999999998</v>
      </c>
      <c r="H257">
        <v>0.95731949999999999</v>
      </c>
      <c r="I257">
        <v>367.7047</v>
      </c>
      <c r="J257">
        <v>-451.45460000000003</v>
      </c>
      <c r="K257">
        <v>1.1092200000000001</v>
      </c>
      <c r="L257">
        <v>367.82889999999998</v>
      </c>
      <c r="M257">
        <v>0.99991730000000001</v>
      </c>
      <c r="N257">
        <v>0</v>
      </c>
      <c r="O257">
        <v>1.1045309999999999E-2</v>
      </c>
      <c r="P257">
        <v>0.98270990000000003</v>
      </c>
      <c r="Q257">
        <v>0.1851391</v>
      </c>
      <c r="R257">
        <v>2.2011119999999999E-3</v>
      </c>
      <c r="S257">
        <v>3.1850589999999999</v>
      </c>
      <c r="T257">
        <v>-0.69399880000000003</v>
      </c>
      <c r="U257">
        <v>-0.56109619999999905</v>
      </c>
      <c r="V257">
        <v>8.8448520000000003E-3</v>
      </c>
      <c r="W257">
        <v>0.1916021</v>
      </c>
      <c r="X257">
        <v>0.98143290000000005</v>
      </c>
      <c r="Y257">
        <v>0.18000959999999999</v>
      </c>
      <c r="Z257">
        <v>-2.16026E-2</v>
      </c>
      <c r="AA257">
        <v>0.98342759999999996</v>
      </c>
      <c r="AB257">
        <v>24</v>
      </c>
      <c r="AC257">
        <v>0.56910000000004801</v>
      </c>
      <c r="AD257">
        <v>-0.15190049999999999</v>
      </c>
      <c r="AE257">
        <v>-0.124199999999973</v>
      </c>
      <c r="AF257">
        <v>0.12217038039890001</v>
      </c>
      <c r="AG257">
        <v>-0.15190049999999999</v>
      </c>
      <c r="AH257">
        <v>0.53154619829590799</v>
      </c>
      <c r="AI257">
        <v>105.563018917302</v>
      </c>
      <c r="AJ257">
        <v>77.055962782148995</v>
      </c>
      <c r="AK257">
        <v>0.56616316082017804</v>
      </c>
      <c r="AL257">
        <v>78.953705041783294</v>
      </c>
      <c r="AM257">
        <v>89.483653981074596</v>
      </c>
      <c r="AN257">
        <v>1.00000006666685</v>
      </c>
    </row>
    <row r="258" spans="1:40" x14ac:dyDescent="0.25">
      <c r="A258" t="str">
        <f>"20190312172059042"</f>
        <v>20190312172059042</v>
      </c>
      <c r="B258" t="str">
        <f>"1552382459031900"</f>
        <v>1552382459031900</v>
      </c>
      <c r="C258" t="s">
        <v>40</v>
      </c>
      <c r="D258">
        <v>3.1801439999999999</v>
      </c>
      <c r="E258">
        <v>0.57107619999999903</v>
      </c>
      <c r="F258" t="s">
        <v>41</v>
      </c>
      <c r="G258">
        <v>-450.67270000000002</v>
      </c>
      <c r="H258">
        <v>0.94048690000000001</v>
      </c>
      <c r="I258">
        <v>367.68950000000001</v>
      </c>
      <c r="J258">
        <v>-451.32530000000003</v>
      </c>
      <c r="K258">
        <v>1.109219</v>
      </c>
      <c r="L258">
        <v>367.82990000000001</v>
      </c>
      <c r="M258">
        <v>0.99992080000000005</v>
      </c>
      <c r="N258">
        <v>0</v>
      </c>
      <c r="O258">
        <v>1.073027E-2</v>
      </c>
      <c r="P258">
        <v>0.98273690000000002</v>
      </c>
      <c r="Q258">
        <v>0.18500220000000001</v>
      </c>
      <c r="R258">
        <v>1.6711229999999901E-3</v>
      </c>
      <c r="S258">
        <v>3.1835330000000002</v>
      </c>
      <c r="T258">
        <v>-0.6870733</v>
      </c>
      <c r="U258">
        <v>-0.56561280000000003</v>
      </c>
      <c r="V258">
        <v>9.0647999999999996E-3</v>
      </c>
      <c r="W258">
        <v>0.19145970000000001</v>
      </c>
      <c r="X258">
        <v>0.98145859999999996</v>
      </c>
      <c r="Y258">
        <v>0.18119650000000001</v>
      </c>
      <c r="Z258">
        <v>-2.1458060000000001E-2</v>
      </c>
      <c r="AA258">
        <v>0.9832128</v>
      </c>
      <c r="AB258">
        <v>24</v>
      </c>
      <c r="AC258">
        <v>0.65260000000000595</v>
      </c>
      <c r="AD258">
        <v>-0.168732099999999</v>
      </c>
      <c r="AE258">
        <v>-0.140399999999999</v>
      </c>
      <c r="AF258">
        <v>0.138542769644418</v>
      </c>
      <c r="AG258">
        <v>-0.168732099999999</v>
      </c>
      <c r="AH258">
        <v>0.61195631881067403</v>
      </c>
      <c r="AI258">
        <v>105.05189697756801</v>
      </c>
      <c r="AJ258">
        <v>77.243659311804393</v>
      </c>
      <c r="AK258">
        <v>0.64973468179208904</v>
      </c>
      <c r="AL258">
        <v>78.962016950791707</v>
      </c>
      <c r="AM258">
        <v>89.470828403223194</v>
      </c>
      <c r="AN258">
        <v>0.99999998541854496</v>
      </c>
    </row>
    <row r="259" spans="1:40" x14ac:dyDescent="0.25">
      <c r="A259" t="str">
        <f>"20190312172059063"</f>
        <v>20190312172059063</v>
      </c>
      <c r="B259" t="str">
        <f>"1552382459051422"</f>
        <v>1552382459051422</v>
      </c>
      <c r="C259" t="s">
        <v>40</v>
      </c>
      <c r="D259">
        <v>3.210988</v>
      </c>
      <c r="E259">
        <v>0.57197549999999997</v>
      </c>
      <c r="F259" t="s">
        <v>41</v>
      </c>
      <c r="G259">
        <v>-450.45929999999998</v>
      </c>
      <c r="H259">
        <v>0.92183329999999997</v>
      </c>
      <c r="I259">
        <v>367.67469999999997</v>
      </c>
      <c r="J259">
        <v>-451.1105</v>
      </c>
      <c r="K259">
        <v>1.109221</v>
      </c>
      <c r="L259">
        <v>367.83170000000001</v>
      </c>
      <c r="M259">
        <v>0.99992610000000004</v>
      </c>
      <c r="N259">
        <v>0</v>
      </c>
      <c r="O259">
        <v>1.0216670000000001E-2</v>
      </c>
      <c r="P259">
        <v>0.98279499999999997</v>
      </c>
      <c r="Q259">
        <v>0.18469720000000001</v>
      </c>
      <c r="R259">
        <v>9.3817339999999996E-4</v>
      </c>
      <c r="S259">
        <v>3.183411</v>
      </c>
      <c r="T259">
        <v>-0.68882010000000005</v>
      </c>
      <c r="U259">
        <v>-0.569824199999999</v>
      </c>
      <c r="V259">
        <v>9.2909140000000008E-3</v>
      </c>
      <c r="W259">
        <v>0.1911494</v>
      </c>
      <c r="X259">
        <v>0.98151699999999997</v>
      </c>
      <c r="Y259">
        <v>0.18193329999999999</v>
      </c>
      <c r="Z259">
        <v>-2.147893E-2</v>
      </c>
      <c r="AA259">
        <v>0.98307630000000001</v>
      </c>
      <c r="AB259">
        <v>25</v>
      </c>
      <c r="AC259">
        <v>0.65120000000001699</v>
      </c>
      <c r="AD259">
        <v>-0.18738769999999999</v>
      </c>
      <c r="AE259">
        <v>-0.157000000000039</v>
      </c>
      <c r="AF259">
        <v>0.15176830998576299</v>
      </c>
      <c r="AG259">
        <v>-0.18738769999999999</v>
      </c>
      <c r="AH259">
        <v>0.60241922085198796</v>
      </c>
      <c r="AI259">
        <v>106.785077088807</v>
      </c>
      <c r="AJ259">
        <v>75.8596530521544</v>
      </c>
      <c r="AK259">
        <v>0.64888880995062703</v>
      </c>
      <c r="AL259">
        <v>78.980130733965296</v>
      </c>
      <c r="AM259">
        <v>89.457661699733805</v>
      </c>
      <c r="AN259">
        <v>1.0000000177461501</v>
      </c>
    </row>
    <row r="260" spans="1:40" x14ac:dyDescent="0.25">
      <c r="A260" t="str">
        <f>"20190312172059086"</f>
        <v>20190312172059086</v>
      </c>
      <c r="B260" t="str">
        <f>"1552382459081677"</f>
        <v>1552382459081677</v>
      </c>
      <c r="C260" t="s">
        <v>40</v>
      </c>
      <c r="D260">
        <v>3.2187869999999998</v>
      </c>
      <c r="E260">
        <v>0.57245519999999905</v>
      </c>
      <c r="F260" t="s">
        <v>41</v>
      </c>
      <c r="G260">
        <v>-450.23840000000001</v>
      </c>
      <c r="H260">
        <v>0.9203095</v>
      </c>
      <c r="I260">
        <v>367.67230000000001</v>
      </c>
      <c r="J260">
        <v>-450.85120000000001</v>
      </c>
      <c r="K260">
        <v>1.109229</v>
      </c>
      <c r="L260">
        <v>367.83359999999999</v>
      </c>
      <c r="M260">
        <v>0.99993220000000005</v>
      </c>
      <c r="N260">
        <v>0</v>
      </c>
      <c r="O260">
        <v>9.6154410000000006E-3</v>
      </c>
      <c r="P260">
        <v>0.98285679999999997</v>
      </c>
      <c r="Q260">
        <v>0.18437110000000001</v>
      </c>
      <c r="R260">
        <v>3.5388949999999998E-4</v>
      </c>
      <c r="S260">
        <v>3.1825869999999998</v>
      </c>
      <c r="T260">
        <v>-0.68940389999999996</v>
      </c>
      <c r="U260">
        <v>-0.57925419999999905</v>
      </c>
      <c r="V260">
        <v>9.2796430000000006E-3</v>
      </c>
      <c r="W260">
        <v>0.19081989999999999</v>
      </c>
      <c r="X260">
        <v>0.98158120000000004</v>
      </c>
      <c r="Y260">
        <v>0.18416389999999999</v>
      </c>
      <c r="Z260">
        <v>-2.1605829999999999E-2</v>
      </c>
      <c r="AA260">
        <v>0.98265800000000003</v>
      </c>
      <c r="AB260">
        <v>25</v>
      </c>
      <c r="AC260">
        <v>0.61279999999999202</v>
      </c>
      <c r="AD260">
        <v>-0.18891949999999999</v>
      </c>
      <c r="AE260">
        <v>-0.16129999999998201</v>
      </c>
      <c r="AF260">
        <v>0.15353795947182799</v>
      </c>
      <c r="AG260">
        <v>-0.18891949999999999</v>
      </c>
      <c r="AH260">
        <v>0.561327672221552</v>
      </c>
      <c r="AI260">
        <v>107.985158844393</v>
      </c>
      <c r="AJ260">
        <v>74.702271075196904</v>
      </c>
      <c r="AK260">
        <v>0.61184412890922601</v>
      </c>
      <c r="AL260">
        <v>78.9993635064247</v>
      </c>
      <c r="AM260">
        <v>89.458355008641306</v>
      </c>
      <c r="AN260">
        <v>0.99999999910182802</v>
      </c>
    </row>
    <row r="261" spans="1:40" x14ac:dyDescent="0.25">
      <c r="A261" t="str">
        <f>"20190312172059106"</f>
        <v>20190312172059106</v>
      </c>
      <c r="B261" t="str">
        <f>"1552382459102172"</f>
        <v>1552382459102172</v>
      </c>
      <c r="C261" t="s">
        <v>40</v>
      </c>
      <c r="D261">
        <v>3.2287210000000002</v>
      </c>
      <c r="E261">
        <v>0.57254959999999999</v>
      </c>
      <c r="F261" t="s">
        <v>41</v>
      </c>
      <c r="G261">
        <v>-450.01389999999998</v>
      </c>
      <c r="H261">
        <v>0.92686550000000001</v>
      </c>
      <c r="I261">
        <v>367.67939999999999</v>
      </c>
      <c r="J261">
        <v>-450.62810000000002</v>
      </c>
      <c r="K261">
        <v>1.109235</v>
      </c>
      <c r="L261">
        <v>367.83530000000002</v>
      </c>
      <c r="M261">
        <v>0.99993690000000002</v>
      </c>
      <c r="N261">
        <v>0</v>
      </c>
      <c r="O261">
        <v>9.1149930000000001E-3</v>
      </c>
      <c r="P261">
        <v>0.98288410000000004</v>
      </c>
      <c r="Q261">
        <v>0.18422559999999999</v>
      </c>
      <c r="R261" s="1">
        <v>-8.4497969999999906E-5</v>
      </c>
      <c r="S261">
        <v>3.182617</v>
      </c>
      <c r="T261">
        <v>-0.69320150000000003</v>
      </c>
      <c r="U261">
        <v>-0.58471680000000004</v>
      </c>
      <c r="V261">
        <v>9.2211110000000006E-3</v>
      </c>
      <c r="W261">
        <v>0.19067339999999999</v>
      </c>
      <c r="X261">
        <v>0.98161019999999999</v>
      </c>
      <c r="Y261">
        <v>0.18524379999999999</v>
      </c>
      <c r="Z261">
        <v>-2.1727170000000001E-2</v>
      </c>
      <c r="AA261">
        <v>0.9824524</v>
      </c>
      <c r="AB261">
        <v>25</v>
      </c>
      <c r="AC261">
        <v>0.61420000000003905</v>
      </c>
      <c r="AD261">
        <v>-0.18236949999999899</v>
      </c>
      <c r="AE261">
        <v>-0.15590000000003101</v>
      </c>
      <c r="AF261">
        <v>0.14913939781559099</v>
      </c>
      <c r="AG261">
        <v>-0.18236949999999899</v>
      </c>
      <c r="AH261">
        <v>0.56588336128634098</v>
      </c>
      <c r="AI261">
        <v>107.30874611663999</v>
      </c>
      <c r="AJ261">
        <v>75.235348933387002</v>
      </c>
      <c r="AK261">
        <v>0.61296425107160601</v>
      </c>
      <c r="AL261">
        <v>79.0079141197875</v>
      </c>
      <c r="AM261">
        <v>89.4617871709588</v>
      </c>
      <c r="AN261">
        <v>0.99999997954983599</v>
      </c>
    </row>
    <row r="262" spans="1:40" x14ac:dyDescent="0.25">
      <c r="A262" t="str">
        <f>"20190312172059118"</f>
        <v>20190312172059118</v>
      </c>
      <c r="B262" t="str">
        <f>"1552382459111932"</f>
        <v>1552382459111932</v>
      </c>
      <c r="C262" t="s">
        <v>40</v>
      </c>
      <c r="D262">
        <v>3.2215959999999999</v>
      </c>
      <c r="E262">
        <v>0.57264689999999996</v>
      </c>
      <c r="F262" t="s">
        <v>41</v>
      </c>
      <c r="G262">
        <v>-449.791</v>
      </c>
      <c r="H262">
        <v>0.92694779999999999</v>
      </c>
      <c r="I262">
        <v>367.68079999999998</v>
      </c>
      <c r="J262">
        <v>-450.48140000000001</v>
      </c>
      <c r="K262">
        <v>1.1092420000000001</v>
      </c>
      <c r="L262">
        <v>367.83620000000002</v>
      </c>
      <c r="M262">
        <v>0.99993989999999999</v>
      </c>
      <c r="N262">
        <v>0</v>
      </c>
      <c r="O262">
        <v>8.794517E-3</v>
      </c>
      <c r="P262">
        <v>0.98291620000000002</v>
      </c>
      <c r="Q262">
        <v>0.1840532</v>
      </c>
      <c r="R262">
        <v>-2.8375820000000002E-4</v>
      </c>
      <c r="S262">
        <v>3.1820680000000001</v>
      </c>
      <c r="T262">
        <v>-0.6930482</v>
      </c>
      <c r="U262">
        <v>-0.58654790000000001</v>
      </c>
      <c r="V262">
        <v>9.1017689999999991E-3</v>
      </c>
      <c r="W262">
        <v>0.19050210000000001</v>
      </c>
      <c r="X262">
        <v>0.98164459999999998</v>
      </c>
      <c r="Y262">
        <v>0.18550839999999999</v>
      </c>
      <c r="Z262">
        <v>-2.1684789999999999E-2</v>
      </c>
      <c r="AA262">
        <v>0.98240340000000004</v>
      </c>
      <c r="AB262">
        <v>25</v>
      </c>
      <c r="AC262">
        <v>0.690400000000011</v>
      </c>
      <c r="AD262">
        <v>-0.18229419999999999</v>
      </c>
      <c r="AE262">
        <v>-0.155400000000042</v>
      </c>
      <c r="AF262">
        <v>0.15141833850472999</v>
      </c>
      <c r="AG262">
        <v>-0.18229419999999999</v>
      </c>
      <c r="AH262">
        <v>0.64613187181756004</v>
      </c>
      <c r="AI262">
        <v>105.359719803324</v>
      </c>
      <c r="AJ262">
        <v>76.810971174608994</v>
      </c>
      <c r="AK262">
        <v>0.68821877652940999</v>
      </c>
      <c r="AL262">
        <v>79.017912449005294</v>
      </c>
      <c r="AM262">
        <v>89.468771074116404</v>
      </c>
      <c r="AN262">
        <v>1.00000000650624</v>
      </c>
    </row>
    <row r="263" spans="1:40" x14ac:dyDescent="0.25">
      <c r="A263" t="str">
        <f>"20190312172059131"</f>
        <v>20190312172059131</v>
      </c>
      <c r="B263" t="str">
        <f>"1552382459121691"</f>
        <v>1552382459121691</v>
      </c>
      <c r="C263" t="s">
        <v>40</v>
      </c>
      <c r="D263">
        <v>3.2256589999999998</v>
      </c>
      <c r="E263">
        <v>0.57283219999999901</v>
      </c>
      <c r="F263" t="s">
        <v>41</v>
      </c>
      <c r="G263">
        <v>-449.779</v>
      </c>
      <c r="H263">
        <v>0.95663370000000003</v>
      </c>
      <c r="I263">
        <v>367.7063</v>
      </c>
      <c r="J263">
        <v>-450.34530000000001</v>
      </c>
      <c r="K263">
        <v>1.1092390000000001</v>
      </c>
      <c r="L263">
        <v>367.8372</v>
      </c>
      <c r="M263">
        <v>0.99994209999999994</v>
      </c>
      <c r="N263">
        <v>0</v>
      </c>
      <c r="O263">
        <v>8.5109350000000007E-3</v>
      </c>
      <c r="P263">
        <v>0.98294870000000001</v>
      </c>
      <c r="Q263">
        <v>0.18388009999999999</v>
      </c>
      <c r="R263">
        <v>-3.0685309999999998E-4</v>
      </c>
      <c r="S263">
        <v>3.1814269999999998</v>
      </c>
      <c r="T263">
        <v>-0.6913435</v>
      </c>
      <c r="U263">
        <v>-0.58770749999999905</v>
      </c>
      <c r="V263">
        <v>8.8420919999999993E-3</v>
      </c>
      <c r="W263">
        <v>0.19033120000000001</v>
      </c>
      <c r="X263">
        <v>0.98168010000000006</v>
      </c>
      <c r="Y263">
        <v>0.1856352</v>
      </c>
      <c r="Z263">
        <v>-2.1589219999999999E-2</v>
      </c>
      <c r="AA263">
        <v>0.98238150000000002</v>
      </c>
      <c r="AB263">
        <v>25</v>
      </c>
      <c r="AC263">
        <v>0.56630000000001202</v>
      </c>
      <c r="AD263">
        <v>-0.152605299999999</v>
      </c>
      <c r="AE263">
        <v>-0.13089999999999599</v>
      </c>
      <c r="AF263">
        <v>0.126962905795136</v>
      </c>
      <c r="AG263">
        <v>-0.152605299999999</v>
      </c>
      <c r="AH263">
        <v>0.52871814726243904</v>
      </c>
      <c r="AI263">
        <v>105.676997713124</v>
      </c>
      <c r="AJ263">
        <v>76.497037962270397</v>
      </c>
      <c r="AK263">
        <v>0.56475732512350896</v>
      </c>
      <c r="AL263">
        <v>79.027886539174204</v>
      </c>
      <c r="AM263">
        <v>89.483945071162793</v>
      </c>
      <c r="AN263">
        <v>0.99999998351019304</v>
      </c>
    </row>
    <row r="264" spans="1:40" x14ac:dyDescent="0.25">
      <c r="A264" t="str">
        <f>"20190312172059143"</f>
        <v>20190312172059143</v>
      </c>
      <c r="B264" t="str">
        <f>"1552382459131452"</f>
        <v>1552382459131452</v>
      </c>
      <c r="C264" t="s">
        <v>40</v>
      </c>
      <c r="D264">
        <v>3.2640509999999998</v>
      </c>
      <c r="E264">
        <v>0.57288519999999998</v>
      </c>
      <c r="F264" t="s">
        <v>41</v>
      </c>
      <c r="G264">
        <v>-449.56270000000001</v>
      </c>
      <c r="H264">
        <v>0.9389286</v>
      </c>
      <c r="I264">
        <v>367.69200000000001</v>
      </c>
      <c r="J264">
        <v>-450.21350000000001</v>
      </c>
      <c r="K264">
        <v>1.1092489999999999</v>
      </c>
      <c r="L264">
        <v>367.83800000000002</v>
      </c>
      <c r="M264">
        <v>0.99994439999999996</v>
      </c>
      <c r="N264">
        <v>0</v>
      </c>
      <c r="O264">
        <v>8.2412419999999993E-3</v>
      </c>
      <c r="P264">
        <v>0.98301439999999995</v>
      </c>
      <c r="Q264">
        <v>0.18352850000000001</v>
      </c>
      <c r="R264">
        <v>-4.8079060000000002E-4</v>
      </c>
      <c r="S264">
        <v>3.181305</v>
      </c>
      <c r="T264">
        <v>-0.69233120000000004</v>
      </c>
      <c r="U264">
        <v>-0.58920289999999997</v>
      </c>
      <c r="V264">
        <v>8.7468749999999994E-3</v>
      </c>
      <c r="W264">
        <v>0.18998200000000001</v>
      </c>
      <c r="X264">
        <v>0.98174859999999997</v>
      </c>
      <c r="Y264">
        <v>0.18581349999999999</v>
      </c>
      <c r="Z264">
        <v>-2.1580740000000001E-2</v>
      </c>
      <c r="AA264">
        <v>0.982348</v>
      </c>
      <c r="AB264">
        <v>25</v>
      </c>
      <c r="AC264">
        <v>0.65080000000000304</v>
      </c>
      <c r="AD264">
        <v>-0.17032039999999901</v>
      </c>
      <c r="AE264">
        <v>-0.14600000000007099</v>
      </c>
      <c r="AF264">
        <v>0.14209271234005399</v>
      </c>
      <c r="AG264">
        <v>-0.17032039999999901</v>
      </c>
      <c r="AH264">
        <v>0.609809086374558</v>
      </c>
      <c r="AI264">
        <v>105.217091975617</v>
      </c>
      <c r="AJ264">
        <v>76.883450272077496</v>
      </c>
      <c r="AK264">
        <v>0.64889637029443004</v>
      </c>
      <c r="AL264">
        <v>79.048266157165102</v>
      </c>
      <c r="AM264">
        <v>89.489537584702902</v>
      </c>
      <c r="AN264">
        <v>0.99999999087411195</v>
      </c>
    </row>
    <row r="265" spans="1:40" x14ac:dyDescent="0.25">
      <c r="A265" t="str">
        <f>"20190312172059154"</f>
        <v>20190312172059154</v>
      </c>
      <c r="B265" t="str">
        <f>"1552382459151947"</f>
        <v>1552382459151947</v>
      </c>
      <c r="C265" t="s">
        <v>40</v>
      </c>
      <c r="D265">
        <v>3.3353709999999999</v>
      </c>
      <c r="E265">
        <v>0.57287559999999904</v>
      </c>
      <c r="F265" t="s">
        <v>41</v>
      </c>
      <c r="G265">
        <v>-449.34530000000001</v>
      </c>
      <c r="H265">
        <v>0.92003100000000004</v>
      </c>
      <c r="I265">
        <v>367.6764</v>
      </c>
      <c r="J265">
        <v>-450.08080000000001</v>
      </c>
      <c r="K265">
        <v>1.109259</v>
      </c>
      <c r="L265">
        <v>367.83890000000002</v>
      </c>
      <c r="M265">
        <v>0.99994649999999996</v>
      </c>
      <c r="N265">
        <v>0</v>
      </c>
      <c r="O265">
        <v>7.9824049999999997E-3</v>
      </c>
      <c r="P265">
        <v>0.98304309999999995</v>
      </c>
      <c r="Q265">
        <v>0.18337390000000001</v>
      </c>
      <c r="R265">
        <v>-6.237533E-4</v>
      </c>
      <c r="S265">
        <v>3.1810299999999998</v>
      </c>
      <c r="T265">
        <v>-0.69344629999999996</v>
      </c>
      <c r="U265">
        <v>-0.58956909999999996</v>
      </c>
      <c r="V265">
        <v>8.6308240000000005E-3</v>
      </c>
      <c r="W265">
        <v>0.18983079999999999</v>
      </c>
      <c r="X265">
        <v>0.98177890000000001</v>
      </c>
      <c r="Y265">
        <v>0.18567819999999999</v>
      </c>
      <c r="Z265">
        <v>-2.1546510000000001E-2</v>
      </c>
      <c r="AA265">
        <v>0.98237439999999998</v>
      </c>
      <c r="AB265">
        <v>25</v>
      </c>
      <c r="AC265">
        <v>0.73550000000000104</v>
      </c>
      <c r="AD265">
        <v>-0.18922800000000001</v>
      </c>
      <c r="AE265">
        <v>-0.16250000000002199</v>
      </c>
      <c r="AF265">
        <v>0.15837100862456799</v>
      </c>
      <c r="AG265">
        <v>-0.18922800000000001</v>
      </c>
      <c r="AH265">
        <v>0.69059504762889701</v>
      </c>
      <c r="AI265">
        <v>104.953226268829</v>
      </c>
      <c r="AJ265">
        <v>77.0839488573707</v>
      </c>
      <c r="AK265">
        <v>0.73335539281191797</v>
      </c>
      <c r="AL265">
        <v>79.057090130591007</v>
      </c>
      <c r="AM265">
        <v>89.496325444919606</v>
      </c>
      <c r="AN265">
        <v>1.00000001611838</v>
      </c>
    </row>
    <row r="266" spans="1:40" x14ac:dyDescent="0.25">
      <c r="A266" t="str">
        <f>"20190312172059173"</f>
        <v>20190312172059173</v>
      </c>
      <c r="B266" t="str">
        <f>"1552382459161707"</f>
        <v>1552382459161707</v>
      </c>
      <c r="C266" t="s">
        <v>40</v>
      </c>
      <c r="D266">
        <v>3.2233960000000002</v>
      </c>
      <c r="E266">
        <v>0.57298369999999998</v>
      </c>
      <c r="F266" t="s">
        <v>41</v>
      </c>
      <c r="G266">
        <v>-449.3347</v>
      </c>
      <c r="H266">
        <v>0.94713970000000003</v>
      </c>
      <c r="I266">
        <v>367.69959999999998</v>
      </c>
      <c r="J266">
        <v>-449.8741</v>
      </c>
      <c r="K266">
        <v>1.109275</v>
      </c>
      <c r="L266">
        <v>367.84010000000001</v>
      </c>
      <c r="M266">
        <v>0.99994959999999999</v>
      </c>
      <c r="N266">
        <v>0</v>
      </c>
      <c r="O266">
        <v>7.5971340000000002E-3</v>
      </c>
      <c r="P266">
        <v>0.98305039999999999</v>
      </c>
      <c r="Q266">
        <v>0.1833359</v>
      </c>
      <c r="R266">
        <v>-5.6251700000000001E-4</v>
      </c>
      <c r="S266">
        <v>3.1802980000000001</v>
      </c>
      <c r="T266">
        <v>-0.69121769999999905</v>
      </c>
      <c r="U266">
        <v>-0.59048459999999903</v>
      </c>
      <c r="V266">
        <v>8.1831839999999996E-3</v>
      </c>
      <c r="W266">
        <v>0.189799</v>
      </c>
      <c r="X266">
        <v>0.98178889999999996</v>
      </c>
      <c r="Y266">
        <v>0.1856496</v>
      </c>
      <c r="Z266">
        <v>-2.139785E-2</v>
      </c>
      <c r="AA266">
        <v>0.98238300000000001</v>
      </c>
      <c r="AB266">
        <v>25</v>
      </c>
      <c r="AC266">
        <v>0.53939999999999999</v>
      </c>
      <c r="AD266">
        <v>-0.16213530000000001</v>
      </c>
      <c r="AE266">
        <v>-0.14050000000003099</v>
      </c>
      <c r="AF266">
        <v>0.13331415122240201</v>
      </c>
      <c r="AG266">
        <v>-0.16213530000000001</v>
      </c>
      <c r="AH266">
        <v>0.49632288749852899</v>
      </c>
      <c r="AI266">
        <v>107.509976589495</v>
      </c>
      <c r="AJ266">
        <v>74.965018639004001</v>
      </c>
      <c r="AK266">
        <v>0.53888489223313396</v>
      </c>
      <c r="AL266">
        <v>79.058946077913504</v>
      </c>
      <c r="AM266">
        <v>89.522452281671505</v>
      </c>
      <c r="AN266">
        <v>1.0000000345322899</v>
      </c>
    </row>
    <row r="267" spans="1:40" x14ac:dyDescent="0.25">
      <c r="A267" t="str">
        <f>"20190312172059186"</f>
        <v>20190312172059186</v>
      </c>
      <c r="B267" t="str">
        <f>"1552382459181228"</f>
        <v>1552382459181228</v>
      </c>
      <c r="C267" t="s">
        <v>40</v>
      </c>
      <c r="D267">
        <v>3.2087349999999999</v>
      </c>
      <c r="E267">
        <v>0.57328849999999998</v>
      </c>
      <c r="F267" t="s">
        <v>41</v>
      </c>
      <c r="G267">
        <v>-449.11110000000002</v>
      </c>
      <c r="H267">
        <v>0.94330199999999997</v>
      </c>
      <c r="I267">
        <v>367.69779999999997</v>
      </c>
      <c r="J267">
        <v>-449.73469999999998</v>
      </c>
      <c r="K267">
        <v>1.1092869999999999</v>
      </c>
      <c r="L267">
        <v>367.84089999999998</v>
      </c>
      <c r="M267">
        <v>0.99995140000000005</v>
      </c>
      <c r="N267">
        <v>0</v>
      </c>
      <c r="O267">
        <v>7.3490279999999996E-3</v>
      </c>
      <c r="P267">
        <v>0.98310070000000005</v>
      </c>
      <c r="Q267">
        <v>0.1830659</v>
      </c>
      <c r="R267">
        <v>-5.2242070000000002E-4</v>
      </c>
      <c r="S267">
        <v>3.18045</v>
      </c>
      <c r="T267">
        <v>-0.69199909999999998</v>
      </c>
      <c r="U267">
        <v>-0.59173580000000003</v>
      </c>
      <c r="V267">
        <v>7.8942230000000006E-3</v>
      </c>
      <c r="W267">
        <v>0.18953349999999999</v>
      </c>
      <c r="X267">
        <v>0.98184249999999995</v>
      </c>
      <c r="Y267">
        <v>0.18576519999999999</v>
      </c>
      <c r="Z267">
        <v>-2.1379160000000001E-2</v>
      </c>
      <c r="AA267">
        <v>0.98236159999999995</v>
      </c>
      <c r="AB267">
        <v>25</v>
      </c>
      <c r="AC267">
        <v>0.62359999999995297</v>
      </c>
      <c r="AD267">
        <v>-0.16598499999999999</v>
      </c>
      <c r="AE267">
        <v>-0.143100000000004</v>
      </c>
      <c r="AF267">
        <v>0.138366528263485</v>
      </c>
      <c r="AG267">
        <v>-0.16598499999999999</v>
      </c>
      <c r="AH267">
        <v>0.58327500580210201</v>
      </c>
      <c r="AI267">
        <v>105.476868067113</v>
      </c>
      <c r="AJ267">
        <v>76.654779816909198</v>
      </c>
      <c r="AK267">
        <v>0.62201772383279497</v>
      </c>
      <c r="AL267">
        <v>79.074438734224003</v>
      </c>
      <c r="AM267">
        <v>89.539339645232502</v>
      </c>
      <c r="AN267">
        <v>0.99999998059263595</v>
      </c>
    </row>
    <row r="268" spans="1:40" x14ac:dyDescent="0.25">
      <c r="A268" t="str">
        <f>"20190312172059197"</f>
        <v>20190312172059197</v>
      </c>
      <c r="B268" t="str">
        <f>"1552382459191964"</f>
        <v>1552382459191964</v>
      </c>
      <c r="C268" t="s">
        <v>40</v>
      </c>
      <c r="D268">
        <v>3.221419</v>
      </c>
      <c r="E268">
        <v>0.57352460000000005</v>
      </c>
      <c r="F268" t="s">
        <v>41</v>
      </c>
      <c r="G268">
        <v>-448.892</v>
      </c>
      <c r="H268">
        <v>0.92545949999999999</v>
      </c>
      <c r="I268">
        <v>367.68329999999997</v>
      </c>
      <c r="J268">
        <v>-449.58769999999998</v>
      </c>
      <c r="K268">
        <v>1.109297</v>
      </c>
      <c r="L268">
        <v>367.8417</v>
      </c>
      <c r="M268">
        <v>0.99995299999999998</v>
      </c>
      <c r="N268">
        <v>0</v>
      </c>
      <c r="O268">
        <v>7.0966309999999999E-3</v>
      </c>
      <c r="P268">
        <v>0.98311020000000005</v>
      </c>
      <c r="Q268">
        <v>0.18301300000000001</v>
      </c>
      <c r="R268">
        <v>-6.6989289999999895E-4</v>
      </c>
      <c r="S268">
        <v>3.18045</v>
      </c>
      <c r="T268">
        <v>-0.69380679999999995</v>
      </c>
      <c r="U268">
        <v>-0.59399409999999997</v>
      </c>
      <c r="V268">
        <v>7.7882059999999998E-3</v>
      </c>
      <c r="W268">
        <v>0.18948619999999999</v>
      </c>
      <c r="X268">
        <v>0.98185250000000002</v>
      </c>
      <c r="Y268">
        <v>0.1861662</v>
      </c>
      <c r="Z268">
        <v>-2.1421320000000001E-2</v>
      </c>
      <c r="AA268">
        <v>0.98228470000000001</v>
      </c>
      <c r="AB268">
        <v>25</v>
      </c>
      <c r="AC268">
        <v>0.695699999999987</v>
      </c>
      <c r="AD268">
        <v>-0.18383749999999999</v>
      </c>
      <c r="AE268">
        <v>-0.15840000000002799</v>
      </c>
      <c r="AF268">
        <v>0.153165263719308</v>
      </c>
      <c r="AG268">
        <v>-0.18383749999999999</v>
      </c>
      <c r="AH268">
        <v>0.65132002241253995</v>
      </c>
      <c r="AI268">
        <v>105.36339978961099</v>
      </c>
      <c r="AJ268">
        <v>76.766690937137696</v>
      </c>
      <c r="AK268">
        <v>0.69388298437987805</v>
      </c>
      <c r="AL268">
        <v>79.077199099303598</v>
      </c>
      <c r="AM268">
        <v>89.545530540167505</v>
      </c>
      <c r="AN268">
        <v>1.0000000039496899</v>
      </c>
    </row>
    <row r="269" spans="1:40" x14ac:dyDescent="0.25">
      <c r="A269" t="str">
        <f>"20190312172059211"</f>
        <v>20190312172059211</v>
      </c>
      <c r="B269" t="str">
        <f>"1552382459201724"</f>
        <v>1552382459201724</v>
      </c>
      <c r="C269" t="s">
        <v>40</v>
      </c>
      <c r="D269">
        <v>3.2111459999999998</v>
      </c>
      <c r="E269">
        <v>0.57386199999999998</v>
      </c>
      <c r="F269" t="s">
        <v>41</v>
      </c>
      <c r="G269">
        <v>-448.8802</v>
      </c>
      <c r="H269">
        <v>0.95481499999999997</v>
      </c>
      <c r="I269">
        <v>367.70870000000002</v>
      </c>
      <c r="J269">
        <v>-449.44529999999997</v>
      </c>
      <c r="K269">
        <v>1.1093059999999999</v>
      </c>
      <c r="L269">
        <v>367.84249999999997</v>
      </c>
      <c r="M269">
        <v>0.99995480000000003</v>
      </c>
      <c r="N269">
        <v>0</v>
      </c>
      <c r="O269">
        <v>6.86317E-3</v>
      </c>
      <c r="P269">
        <v>0.98317030000000005</v>
      </c>
      <c r="Q269">
        <v>0.18269060000000001</v>
      </c>
      <c r="R269">
        <v>-7.8170279999999995E-4</v>
      </c>
      <c r="S269">
        <v>3.18045</v>
      </c>
      <c r="T269">
        <v>-0.69446459999999999</v>
      </c>
      <c r="U269">
        <v>-0.59664919999999899</v>
      </c>
      <c r="V269">
        <v>7.6659340000000001E-3</v>
      </c>
      <c r="W269">
        <v>0.18917020000000001</v>
      </c>
      <c r="X269">
        <v>0.98191439999999997</v>
      </c>
      <c r="Y269">
        <v>0.18671470000000001</v>
      </c>
      <c r="Z269">
        <v>-2.1448310000000002E-2</v>
      </c>
      <c r="AA269">
        <v>0.98218000000000005</v>
      </c>
      <c r="AB269">
        <v>25</v>
      </c>
      <c r="AC269">
        <v>0.56509999999997196</v>
      </c>
      <c r="AD269">
        <v>-0.15449099999999899</v>
      </c>
      <c r="AE269">
        <v>-0.13379999999995101</v>
      </c>
      <c r="AF269">
        <v>0.12857564464781501</v>
      </c>
      <c r="AG269">
        <v>-0.15449099999999899</v>
      </c>
      <c r="AH269">
        <v>0.52687960497904396</v>
      </c>
      <c r="AI269">
        <v>105.90010631012299</v>
      </c>
      <c r="AJ269">
        <v>76.286016200587</v>
      </c>
      <c r="AK269">
        <v>0.563916025326887</v>
      </c>
      <c r="AL269">
        <v>79.0956381221404</v>
      </c>
      <c r="AM269">
        <v>89.5526934519322</v>
      </c>
      <c r="AN269">
        <v>1.0000000100197399</v>
      </c>
    </row>
    <row r="270" spans="1:40" x14ac:dyDescent="0.25">
      <c r="A270" t="str">
        <f>"20190312172059230"</f>
        <v>20190312172059230</v>
      </c>
      <c r="B270" t="str">
        <f>"1552382459221243"</f>
        <v>1552382459221243</v>
      </c>
      <c r="C270" t="s">
        <v>40</v>
      </c>
      <c r="D270">
        <v>3.3573129999999902</v>
      </c>
      <c r="E270">
        <v>0.57395019999999997</v>
      </c>
      <c r="F270" t="s">
        <v>41</v>
      </c>
      <c r="G270">
        <v>-448.66059999999999</v>
      </c>
      <c r="H270">
        <v>0.93770070000000005</v>
      </c>
      <c r="I270">
        <v>367.69400000000002</v>
      </c>
      <c r="J270">
        <v>-449.23430000000002</v>
      </c>
      <c r="K270">
        <v>1.109321</v>
      </c>
      <c r="L270">
        <v>367.84350000000001</v>
      </c>
      <c r="M270">
        <v>0.99995690000000004</v>
      </c>
      <c r="N270">
        <v>0</v>
      </c>
      <c r="O270">
        <v>6.5285730000000002E-3</v>
      </c>
      <c r="P270">
        <v>0.98330439999999997</v>
      </c>
      <c r="Q270">
        <v>0.18196780000000001</v>
      </c>
      <c r="R270">
        <v>-5.2921519999999896E-4</v>
      </c>
      <c r="S270">
        <v>3.180145</v>
      </c>
      <c r="T270">
        <v>-0.69553199999999904</v>
      </c>
      <c r="U270">
        <v>-0.60031129999999999</v>
      </c>
      <c r="V270">
        <v>7.0790760000000001E-3</v>
      </c>
      <c r="W270">
        <v>0.1884584</v>
      </c>
      <c r="X270">
        <v>0.98205569999999998</v>
      </c>
      <c r="Y270">
        <v>0.1874729</v>
      </c>
      <c r="Z270">
        <v>-2.148984E-2</v>
      </c>
      <c r="AA270">
        <v>0.98203470000000004</v>
      </c>
      <c r="AB270">
        <v>25</v>
      </c>
      <c r="AC270">
        <v>0.57370000000002996</v>
      </c>
      <c r="AD270">
        <v>-0.1716203</v>
      </c>
      <c r="AE270">
        <v>-0.149499999999989</v>
      </c>
      <c r="AF270">
        <v>0.14139380230058199</v>
      </c>
      <c r="AG270">
        <v>-0.1716203</v>
      </c>
      <c r="AH270">
        <v>0.52843026506243496</v>
      </c>
      <c r="AI270">
        <v>107.41856381798399</v>
      </c>
      <c r="AJ270">
        <v>75.020099015521097</v>
      </c>
      <c r="AK270">
        <v>0.57330993339995595</v>
      </c>
      <c r="AL270">
        <v>79.137168597443505</v>
      </c>
      <c r="AM270">
        <v>89.586994757355697</v>
      </c>
      <c r="AN270">
        <v>1.0000000398750299</v>
      </c>
    </row>
    <row r="271" spans="1:40" x14ac:dyDescent="0.25">
      <c r="A271" t="str">
        <f>"20190312172059386"</f>
        <v>20190312172059386</v>
      </c>
      <c r="B271" t="str">
        <f>"1552382459381308"</f>
        <v>1552382459381308</v>
      </c>
      <c r="C271" t="s">
        <v>40</v>
      </c>
      <c r="D271">
        <v>3.2277200000000001</v>
      </c>
      <c r="E271">
        <v>0.57349150000000004</v>
      </c>
      <c r="F271" t="s">
        <v>41</v>
      </c>
      <c r="G271">
        <v>-446.81990000000002</v>
      </c>
      <c r="H271">
        <v>0.93560540000000003</v>
      </c>
      <c r="I271">
        <v>367.70760000000001</v>
      </c>
      <c r="J271">
        <v>-447.43610000000001</v>
      </c>
      <c r="K271">
        <v>1.109353</v>
      </c>
      <c r="L271">
        <v>367.85070000000002</v>
      </c>
      <c r="M271">
        <v>0.99996870000000004</v>
      </c>
      <c r="N271">
        <v>0</v>
      </c>
      <c r="O271">
        <v>4.1477399999999996E-3</v>
      </c>
      <c r="P271">
        <v>0.98520180000000002</v>
      </c>
      <c r="Q271">
        <v>0.1713942</v>
      </c>
      <c r="R271">
        <v>-1.2040359999999999E-3</v>
      </c>
      <c r="S271">
        <v>3.1722410000000001</v>
      </c>
      <c r="T271">
        <v>-0.73242010000000002</v>
      </c>
      <c r="U271">
        <v>-0.59991459999999996</v>
      </c>
      <c r="V271">
        <v>5.3855860000000004E-3</v>
      </c>
      <c r="W271">
        <v>0.17802379999999901</v>
      </c>
      <c r="X271">
        <v>0.98401150000000004</v>
      </c>
      <c r="Y271">
        <v>0.18508469999999999</v>
      </c>
      <c r="Z271">
        <v>-2.1848179999999998E-2</v>
      </c>
      <c r="AA271">
        <v>0.98247969999999896</v>
      </c>
      <c r="AB271">
        <v>26</v>
      </c>
      <c r="AC271">
        <v>0.61619999999999198</v>
      </c>
      <c r="AD271">
        <v>-0.1737476</v>
      </c>
      <c r="AE271">
        <v>-0.143100000000004</v>
      </c>
      <c r="AF271">
        <v>0.13543770254064699</v>
      </c>
      <c r="AG271">
        <v>-0.1737476</v>
      </c>
      <c r="AH271">
        <v>0.57241973669527102</v>
      </c>
      <c r="AI271">
        <v>106.455901196442</v>
      </c>
      <c r="AJ271">
        <v>76.688301631891306</v>
      </c>
      <c r="AK271">
        <v>0.61334815132478604</v>
      </c>
      <c r="AL271">
        <v>79.745327715235206</v>
      </c>
      <c r="AM271">
        <v>89.686418027632996</v>
      </c>
      <c r="AN271">
        <v>1.00000005501762</v>
      </c>
    </row>
    <row r="272" spans="1:40" x14ac:dyDescent="0.25">
      <c r="A272" t="str">
        <f>"20190312172059398"</f>
        <v>20190312172059398</v>
      </c>
      <c r="B272" t="str">
        <f>"1552382459392044"</f>
        <v>1552382459392044</v>
      </c>
      <c r="C272" t="s">
        <v>40</v>
      </c>
      <c r="D272">
        <v>3.429087</v>
      </c>
      <c r="E272">
        <v>0.57325509999999902</v>
      </c>
      <c r="F272" t="s">
        <v>41</v>
      </c>
      <c r="G272">
        <v>-446.5942</v>
      </c>
      <c r="H272">
        <v>0.91453459999999998</v>
      </c>
      <c r="I272">
        <v>367.69130000000001</v>
      </c>
      <c r="J272">
        <v>-447.27600000000001</v>
      </c>
      <c r="K272">
        <v>1.1093649999999999</v>
      </c>
      <c r="L272">
        <v>367.85120000000001</v>
      </c>
      <c r="M272">
        <v>0.9999692</v>
      </c>
      <c r="N272">
        <v>0</v>
      </c>
      <c r="O272">
        <v>3.9774750000000003E-3</v>
      </c>
      <c r="P272">
        <v>0.98522160000000003</v>
      </c>
      <c r="Q272">
        <v>0.17127979999999901</v>
      </c>
      <c r="R272">
        <v>-1.349322E-3</v>
      </c>
      <c r="S272">
        <v>3.1720890000000002</v>
      </c>
      <c r="T272">
        <v>-0.73417010000000005</v>
      </c>
      <c r="U272">
        <v>-0.59869380000000005</v>
      </c>
      <c r="V272">
        <v>5.3586900000000002E-3</v>
      </c>
      <c r="W272">
        <v>0.17792669999999999</v>
      </c>
      <c r="X272">
        <v>0.98402920000000005</v>
      </c>
      <c r="Y272">
        <v>0.18455540000000001</v>
      </c>
      <c r="Z272">
        <v>-2.1802309999999998E-2</v>
      </c>
      <c r="AA272">
        <v>0.98258020000000001</v>
      </c>
      <c r="AB272">
        <v>26</v>
      </c>
      <c r="AC272">
        <v>0.68180000000000895</v>
      </c>
      <c r="AD272">
        <v>-0.19483039999999999</v>
      </c>
      <c r="AE272">
        <v>-0.15989999999999299</v>
      </c>
      <c r="AF272">
        <v>0.15092862986549799</v>
      </c>
      <c r="AG272">
        <v>-0.19483039999999999</v>
      </c>
      <c r="AH272">
        <v>0.632223903135122</v>
      </c>
      <c r="AI272">
        <v>106.685779325837</v>
      </c>
      <c r="AJ272">
        <v>76.573276259148201</v>
      </c>
      <c r="AK272">
        <v>0.67856127193691596</v>
      </c>
      <c r="AL272">
        <v>79.750981305939504</v>
      </c>
      <c r="AM272">
        <v>89.687989659499195</v>
      </c>
      <c r="AN272">
        <v>1.00000004629202</v>
      </c>
    </row>
    <row r="273" spans="1:40" x14ac:dyDescent="0.25">
      <c r="A273" t="str">
        <f>"20190312172059419"</f>
        <v>20190312172059419</v>
      </c>
      <c r="B273" t="str">
        <f>"1552382459411581"</f>
        <v>1552382459411581</v>
      </c>
      <c r="C273" t="s">
        <v>40</v>
      </c>
      <c r="D273">
        <v>3.187217</v>
      </c>
      <c r="E273">
        <v>0.57305600000000001</v>
      </c>
      <c r="F273" t="s">
        <v>41</v>
      </c>
      <c r="G273">
        <v>-446.58069999999998</v>
      </c>
      <c r="H273">
        <v>0.94875240000000005</v>
      </c>
      <c r="I273">
        <v>367.7199</v>
      </c>
      <c r="J273">
        <v>-447.03890000000001</v>
      </c>
      <c r="K273">
        <v>1.10938</v>
      </c>
      <c r="L273">
        <v>367.8519</v>
      </c>
      <c r="M273">
        <v>0.99997000000000003</v>
      </c>
      <c r="N273">
        <v>0</v>
      </c>
      <c r="O273">
        <v>3.7451810000000002E-3</v>
      </c>
      <c r="P273">
        <v>0.98526139999999995</v>
      </c>
      <c r="Q273">
        <v>0.17104649999999999</v>
      </c>
      <c r="R273">
        <v>-1.744694E-3</v>
      </c>
      <c r="S273">
        <v>3.1715390000000001</v>
      </c>
      <c r="T273">
        <v>-0.73270539999999995</v>
      </c>
      <c r="U273">
        <v>-0.59628300000000001</v>
      </c>
      <c r="V273">
        <v>5.5183259999999996E-3</v>
      </c>
      <c r="W273">
        <v>0.17772109999999999</v>
      </c>
      <c r="X273">
        <v>0.98406539999999998</v>
      </c>
      <c r="Y273">
        <v>0.1836816</v>
      </c>
      <c r="Z273">
        <v>-2.161366E-2</v>
      </c>
      <c r="AA273">
        <v>0.98274819999999996</v>
      </c>
      <c r="AB273">
        <v>26</v>
      </c>
      <c r="AC273">
        <v>0.45820000000003303</v>
      </c>
      <c r="AD273">
        <v>-0.16062760000000001</v>
      </c>
      <c r="AE273">
        <v>-0.132000000000005</v>
      </c>
      <c r="AF273">
        <v>0.12008802232247</v>
      </c>
      <c r="AG273">
        <v>-0.16062760000000001</v>
      </c>
      <c r="AH273">
        <v>0.411057199327378</v>
      </c>
      <c r="AI273">
        <v>110.560473154615</v>
      </c>
      <c r="AJ273">
        <v>73.714577094266005</v>
      </c>
      <c r="AK273">
        <v>0.45737334870535501</v>
      </c>
      <c r="AL273">
        <v>79.762951381074103</v>
      </c>
      <c r="AM273">
        <v>89.678706846451206</v>
      </c>
      <c r="AN273">
        <v>0.99999997639210503</v>
      </c>
    </row>
    <row r="274" spans="1:40" x14ac:dyDescent="0.25">
      <c r="A274" t="str">
        <f>"20190312172059431"</f>
        <v>20190312172059431</v>
      </c>
      <c r="B274" t="str">
        <f>"1552382459421323"</f>
        <v>1552382459421323</v>
      </c>
      <c r="C274" t="s">
        <v>40</v>
      </c>
      <c r="D274">
        <v>3.1725020000000002</v>
      </c>
      <c r="E274">
        <v>0.57301780000000002</v>
      </c>
      <c r="F274" t="s">
        <v>41</v>
      </c>
      <c r="G274">
        <v>-446.3458</v>
      </c>
      <c r="H274">
        <v>0.95007129999999995</v>
      </c>
      <c r="I274">
        <v>367.72179999999997</v>
      </c>
      <c r="J274">
        <v>-446.90010000000001</v>
      </c>
      <c r="K274">
        <v>1.1093949999999999</v>
      </c>
      <c r="L274">
        <v>367.85230000000001</v>
      </c>
      <c r="M274">
        <v>0.99997040000000004</v>
      </c>
      <c r="N274">
        <v>0</v>
      </c>
      <c r="O274">
        <v>3.6213489999999998E-3</v>
      </c>
      <c r="P274">
        <v>0.98533020000000004</v>
      </c>
      <c r="Q274">
        <v>0.1706511</v>
      </c>
      <c r="R274">
        <v>-1.7929059999999999E-3</v>
      </c>
      <c r="S274">
        <v>3.1703489999999999</v>
      </c>
      <c r="T274">
        <v>-0.72856779999999999</v>
      </c>
      <c r="U274">
        <v>-0.59530640000000001</v>
      </c>
      <c r="V274">
        <v>5.4402570000000004E-3</v>
      </c>
      <c r="W274">
        <v>0.17734240000000001</v>
      </c>
      <c r="X274">
        <v>0.98413419999999896</v>
      </c>
      <c r="Y274">
        <v>0.18339430000000001</v>
      </c>
      <c r="Z274">
        <v>-2.1442780000000002E-2</v>
      </c>
      <c r="AA274">
        <v>0.98280559999999995</v>
      </c>
      <c r="AB274">
        <v>26</v>
      </c>
      <c r="AC274">
        <v>0.55430000000001201</v>
      </c>
      <c r="AD274">
        <v>-0.15932370000000001</v>
      </c>
      <c r="AE274">
        <v>-0.13050000000004</v>
      </c>
      <c r="AF274">
        <v>0.122887091599422</v>
      </c>
      <c r="AG274">
        <v>-0.15932370000000001</v>
      </c>
      <c r="AH274">
        <v>0.51361850138833298</v>
      </c>
      <c r="AI274">
        <v>106.787715150072</v>
      </c>
      <c r="AJ274">
        <v>76.544497267194302</v>
      </c>
      <c r="AK274">
        <v>0.55162418695326598</v>
      </c>
      <c r="AL274">
        <v>79.785000012188803</v>
      </c>
      <c r="AM274">
        <v>89.6832743028626</v>
      </c>
      <c r="AN274">
        <v>1.00000002342181</v>
      </c>
    </row>
    <row r="275" spans="1:40" x14ac:dyDescent="0.25">
      <c r="A275" t="str">
        <f>"20190312172059442"</f>
        <v>20190312172059442</v>
      </c>
      <c r="B275" t="str">
        <f>"1552382459432060"</f>
        <v>1552382459432060</v>
      </c>
      <c r="C275" t="s">
        <v>40</v>
      </c>
      <c r="D275">
        <v>3.2002130000000002</v>
      </c>
      <c r="E275">
        <v>0.5729727</v>
      </c>
      <c r="F275" t="s">
        <v>41</v>
      </c>
      <c r="G275">
        <v>-446.11900000000003</v>
      </c>
      <c r="H275">
        <v>0.93022890000000003</v>
      </c>
      <c r="I275">
        <v>367.70530000000002</v>
      </c>
      <c r="J275">
        <v>-446.76100000000002</v>
      </c>
      <c r="K275">
        <v>1.109405</v>
      </c>
      <c r="L275">
        <v>367.85270000000003</v>
      </c>
      <c r="M275">
        <v>0.99997069999999999</v>
      </c>
      <c r="N275">
        <v>0</v>
      </c>
      <c r="O275">
        <v>3.50103E-3</v>
      </c>
      <c r="P275">
        <v>0.9853807</v>
      </c>
      <c r="Q275">
        <v>0.17035539999999999</v>
      </c>
      <c r="R275">
        <v>-2.080101E-3</v>
      </c>
      <c r="S275">
        <v>3.169495</v>
      </c>
      <c r="T275">
        <v>-0.727074</v>
      </c>
      <c r="U275">
        <v>-0.59497069999999996</v>
      </c>
      <c r="V275">
        <v>5.6051119999999998E-3</v>
      </c>
      <c r="W275">
        <v>0.17706369999999999</v>
      </c>
      <c r="X275">
        <v>0.98418340000000004</v>
      </c>
      <c r="Y275">
        <v>0.18324689999999999</v>
      </c>
      <c r="Z275">
        <v>-2.136205E-2</v>
      </c>
      <c r="AA275">
        <v>0.98283480000000001</v>
      </c>
      <c r="AB275">
        <v>26</v>
      </c>
      <c r="AC275">
        <v>0.64199999999993895</v>
      </c>
      <c r="AD275">
        <v>-0.17917609999999901</v>
      </c>
      <c r="AE275">
        <v>-0.147400000000004</v>
      </c>
      <c r="AF275">
        <v>0.13933709828193699</v>
      </c>
      <c r="AG275">
        <v>-0.17917609999999901</v>
      </c>
      <c r="AH275">
        <v>0.59728611685460398</v>
      </c>
      <c r="AI275">
        <v>106.285179515447</v>
      </c>
      <c r="AJ275">
        <v>76.868676218071897</v>
      </c>
      <c r="AK275">
        <v>0.63895978524167796</v>
      </c>
      <c r="AL275">
        <v>79.801224547652595</v>
      </c>
      <c r="AM275">
        <v>89.673693145824203</v>
      </c>
      <c r="AN275">
        <v>0.99999996798688995</v>
      </c>
    </row>
    <row r="276" spans="1:40" x14ac:dyDescent="0.25">
      <c r="A276" t="str">
        <f>"20190312172059454"</f>
        <v>20190312172059454</v>
      </c>
      <c r="B276" t="str">
        <f>"1552382459451580"</f>
        <v>1552382459451580</v>
      </c>
      <c r="C276" t="s">
        <v>40</v>
      </c>
      <c r="D276">
        <v>3.1846809999999999</v>
      </c>
      <c r="E276">
        <v>0.57300130000000005</v>
      </c>
      <c r="F276" t="s">
        <v>41</v>
      </c>
      <c r="G276">
        <v>-445.89060000000001</v>
      </c>
      <c r="H276">
        <v>0.91030140000000004</v>
      </c>
      <c r="I276">
        <v>367.68889999999999</v>
      </c>
      <c r="J276">
        <v>-446.62209999999999</v>
      </c>
      <c r="K276">
        <v>1.109413</v>
      </c>
      <c r="L276">
        <v>367.85300000000001</v>
      </c>
      <c r="M276">
        <v>0.99997100000000005</v>
      </c>
      <c r="N276">
        <v>0</v>
      </c>
      <c r="O276">
        <v>3.3896450000000002E-3</v>
      </c>
      <c r="P276">
        <v>0.98541599999999996</v>
      </c>
      <c r="Q276">
        <v>0.1701503</v>
      </c>
      <c r="R276">
        <v>-2.0981680000000001E-3</v>
      </c>
      <c r="S276">
        <v>3.1686100000000001</v>
      </c>
      <c r="T276">
        <v>-0.72502089999999997</v>
      </c>
      <c r="U276">
        <v>-0.59512330000000002</v>
      </c>
      <c r="V276">
        <v>5.50987E-3</v>
      </c>
      <c r="W276">
        <v>0.176875</v>
      </c>
      <c r="X276">
        <v>0.98421789999999998</v>
      </c>
      <c r="Y276">
        <v>0.18325910000000001</v>
      </c>
      <c r="Z276">
        <v>-2.128524E-2</v>
      </c>
      <c r="AA276">
        <v>0.98283419999999999</v>
      </c>
      <c r="AB276">
        <v>26</v>
      </c>
      <c r="AC276">
        <v>0.73149999999998205</v>
      </c>
      <c r="AD276">
        <v>-0.199111599999999</v>
      </c>
      <c r="AE276">
        <v>-0.16410000000001901</v>
      </c>
      <c r="AF276">
        <v>0.15560232390039799</v>
      </c>
      <c r="AG276">
        <v>-0.199111599999999</v>
      </c>
      <c r="AH276">
        <v>0.68277596395168705</v>
      </c>
      <c r="AI276">
        <v>105.872069653414</v>
      </c>
      <c r="AJ276">
        <v>77.161748656698194</v>
      </c>
      <c r="AK276">
        <v>0.72803882410756104</v>
      </c>
      <c r="AL276">
        <v>79.8122099707698</v>
      </c>
      <c r="AM276">
        <v>89.679248874881694</v>
      </c>
      <c r="AN276">
        <v>0.99999999948641305</v>
      </c>
    </row>
    <row r="277" spans="1:40" x14ac:dyDescent="0.25">
      <c r="A277" t="str">
        <f>"20190312172059468"</f>
        <v>20190312172059468</v>
      </c>
      <c r="B277" t="str">
        <f>"1552382459461341"</f>
        <v>1552382459461341</v>
      </c>
      <c r="C277" t="s">
        <v>40</v>
      </c>
      <c r="D277">
        <v>3.1928640000000001</v>
      </c>
      <c r="E277">
        <v>0.57303559999999998</v>
      </c>
      <c r="F277" t="s">
        <v>41</v>
      </c>
      <c r="G277">
        <v>-445.87900000000002</v>
      </c>
      <c r="H277">
        <v>0.94032450000000001</v>
      </c>
      <c r="I277">
        <v>367.71300000000002</v>
      </c>
      <c r="J277">
        <v>-446.47059999999999</v>
      </c>
      <c r="K277">
        <v>1.1094200000000001</v>
      </c>
      <c r="L277">
        <v>367.85340000000002</v>
      </c>
      <c r="M277">
        <v>0.99997130000000001</v>
      </c>
      <c r="N277">
        <v>0</v>
      </c>
      <c r="O277">
        <v>3.2735440000000002E-3</v>
      </c>
      <c r="P277">
        <v>0.98541350000000005</v>
      </c>
      <c r="Q277">
        <v>0.17016039999999999</v>
      </c>
      <c r="R277">
        <v>-2.3826379999999999E-3</v>
      </c>
      <c r="S277">
        <v>3.1676329999999999</v>
      </c>
      <c r="T277">
        <v>-0.72095379999999998</v>
      </c>
      <c r="U277">
        <v>-0.59558109999999997</v>
      </c>
      <c r="V277">
        <v>5.6765540000000003E-3</v>
      </c>
      <c r="W277">
        <v>0.17690220000000001</v>
      </c>
      <c r="X277">
        <v>0.98421199999999998</v>
      </c>
      <c r="Y277">
        <v>0.18338599999999999</v>
      </c>
      <c r="Z277">
        <v>-2.116299E-2</v>
      </c>
      <c r="AA277">
        <v>0.98281320000000005</v>
      </c>
      <c r="AB277">
        <v>26</v>
      </c>
      <c r="AC277">
        <v>0.59159999999997104</v>
      </c>
      <c r="AD277">
        <v>-0.16909549999999901</v>
      </c>
      <c r="AE277">
        <v>-0.140399999999999</v>
      </c>
      <c r="AF277">
        <v>0.13211776234314301</v>
      </c>
      <c r="AG277">
        <v>-0.16909549999999901</v>
      </c>
      <c r="AH277">
        <v>0.54870004054577304</v>
      </c>
      <c r="AI277">
        <v>106.678840754798</v>
      </c>
      <c r="AJ277">
        <v>76.461843124877902</v>
      </c>
      <c r="AK277">
        <v>0.58916901288318202</v>
      </c>
      <c r="AL277">
        <v>79.810625905677796</v>
      </c>
      <c r="AM277">
        <v>89.669543777140703</v>
      </c>
      <c r="AN277">
        <v>0.99999993628707495</v>
      </c>
    </row>
    <row r="278" spans="1:40" x14ac:dyDescent="0.25">
      <c r="A278" t="str">
        <f>"20190312172059481"</f>
        <v>20190312172059481</v>
      </c>
      <c r="B278" t="str">
        <f>"1552382459472076"</f>
        <v>1552382459472076</v>
      </c>
      <c r="C278" t="s">
        <v>40</v>
      </c>
      <c r="D278">
        <v>3.1713369999999999</v>
      </c>
      <c r="E278">
        <v>0.57301099999999905</v>
      </c>
      <c r="F278" t="s">
        <v>41</v>
      </c>
      <c r="G278">
        <v>-445.64920000000001</v>
      </c>
      <c r="H278">
        <v>0.92310049999999999</v>
      </c>
      <c r="I278">
        <v>367.69830000000002</v>
      </c>
      <c r="J278">
        <v>-446.30399999999997</v>
      </c>
      <c r="K278">
        <v>1.109429</v>
      </c>
      <c r="L278">
        <v>367.85379999999998</v>
      </c>
      <c r="M278">
        <v>0.99997150000000001</v>
      </c>
      <c r="N278">
        <v>0</v>
      </c>
      <c r="O278">
        <v>3.151175E-3</v>
      </c>
      <c r="P278">
        <v>0.98549180000000003</v>
      </c>
      <c r="Q278">
        <v>0.16970759999999999</v>
      </c>
      <c r="R278">
        <v>-2.326065E-3</v>
      </c>
      <c r="S278">
        <v>3.1670229999999999</v>
      </c>
      <c r="T278">
        <v>-0.71846309999999902</v>
      </c>
      <c r="U278">
        <v>-0.59661869999999995</v>
      </c>
      <c r="V278">
        <v>5.4960900000000004E-3</v>
      </c>
      <c r="W278">
        <v>0.17646909999999999</v>
      </c>
      <c r="X278">
        <v>0.98429080000000002</v>
      </c>
      <c r="Y278">
        <v>0.183638</v>
      </c>
      <c r="Z278">
        <v>-2.109575E-2</v>
      </c>
      <c r="AA278">
        <v>0.98276750000000002</v>
      </c>
      <c r="AB278">
        <v>26</v>
      </c>
      <c r="AC278">
        <v>0.65480000000002203</v>
      </c>
      <c r="AD278">
        <v>-0.18632850000000001</v>
      </c>
      <c r="AE278">
        <v>-0.15549999999996</v>
      </c>
      <c r="AF278">
        <v>0.14634523667782801</v>
      </c>
      <c r="AG278">
        <v>-0.18632850000000001</v>
      </c>
      <c r="AH278">
        <v>0.60772437854820405</v>
      </c>
      <c r="AI278">
        <v>106.59823971730501</v>
      </c>
      <c r="AJ278">
        <v>76.460470422159403</v>
      </c>
      <c r="AK278">
        <v>0.65227613668778395</v>
      </c>
      <c r="AL278">
        <v>79.835837643924805</v>
      </c>
      <c r="AM278">
        <v>89.680074742026207</v>
      </c>
      <c r="AN278">
        <v>0.99999996461236795</v>
      </c>
    </row>
    <row r="279" spans="1:40" x14ac:dyDescent="0.25">
      <c r="A279" t="str">
        <f>"20190312172059497"</f>
        <v>20190312172059497</v>
      </c>
      <c r="B279" t="str">
        <f>"1552382459491597"</f>
        <v>1552382459491597</v>
      </c>
      <c r="C279" t="s">
        <v>40</v>
      </c>
      <c r="D279">
        <v>3.1932580000000002</v>
      </c>
      <c r="E279">
        <v>0.57301230000000003</v>
      </c>
      <c r="F279" t="s">
        <v>41</v>
      </c>
      <c r="G279">
        <v>-445.41739999999999</v>
      </c>
      <c r="H279">
        <v>0.90851090000000001</v>
      </c>
      <c r="I279">
        <v>367.68680000000001</v>
      </c>
      <c r="J279">
        <v>-446.11059999999998</v>
      </c>
      <c r="K279">
        <v>1.1094310000000001</v>
      </c>
      <c r="L279">
        <v>367.85430000000002</v>
      </c>
      <c r="M279">
        <v>0.99997179999999997</v>
      </c>
      <c r="N279">
        <v>0</v>
      </c>
      <c r="O279">
        <v>3.017638E-3</v>
      </c>
      <c r="P279">
        <v>0.98560389999999998</v>
      </c>
      <c r="Q279">
        <v>0.16905049999999999</v>
      </c>
      <c r="R279">
        <v>-2.6482889999999999E-3</v>
      </c>
      <c r="S279">
        <v>3.16629</v>
      </c>
      <c r="T279">
        <v>-0.71748819999999902</v>
      </c>
      <c r="U279">
        <v>-0.59671019999999997</v>
      </c>
      <c r="V279">
        <v>5.6842079999999996E-3</v>
      </c>
      <c r="W279">
        <v>0.1758344</v>
      </c>
      <c r="X279">
        <v>0.98440340000000004</v>
      </c>
      <c r="Y279">
        <v>0.18359039999999999</v>
      </c>
      <c r="Z279">
        <v>-2.1037520000000001E-2</v>
      </c>
      <c r="AA279">
        <v>0.98277769999999998</v>
      </c>
      <c r="AB279">
        <v>26</v>
      </c>
      <c r="AC279">
        <v>0.69319999999999005</v>
      </c>
      <c r="AD279">
        <v>-0.20092009999999999</v>
      </c>
      <c r="AE279">
        <v>-0.167500000000018</v>
      </c>
      <c r="AF279">
        <v>0.15711969117817401</v>
      </c>
      <c r="AG279">
        <v>-0.20092009999999999</v>
      </c>
      <c r="AH279">
        <v>0.64175211232793405</v>
      </c>
      <c r="AI279">
        <v>106.91447020032599</v>
      </c>
      <c r="AJ279">
        <v>76.242928707806598</v>
      </c>
      <c r="AK279">
        <v>0.69058037737637801</v>
      </c>
      <c r="AL279">
        <v>79.872781834749404</v>
      </c>
      <c r="AM279">
        <v>89.669162551948006</v>
      </c>
      <c r="AN279">
        <v>1.00000005018775</v>
      </c>
    </row>
    <row r="280" spans="1:40" x14ac:dyDescent="0.25">
      <c r="A280" t="str">
        <f>"20190312172059512"</f>
        <v>20190312172059512</v>
      </c>
      <c r="B280" t="str">
        <f>"1552382459501356"</f>
        <v>1552382459501356</v>
      </c>
      <c r="C280" t="s">
        <v>40</v>
      </c>
      <c r="D280">
        <v>3.186353</v>
      </c>
      <c r="E280">
        <v>0.57307209999999997</v>
      </c>
      <c r="F280" t="s">
        <v>41</v>
      </c>
      <c r="G280">
        <v>-445.40140000000002</v>
      </c>
      <c r="H280">
        <v>0.9491079</v>
      </c>
      <c r="I280">
        <v>367.72019999999998</v>
      </c>
      <c r="J280">
        <v>-445.95049999999998</v>
      </c>
      <c r="K280">
        <v>1.1094329999999999</v>
      </c>
      <c r="L280">
        <v>367.8546</v>
      </c>
      <c r="M280">
        <v>0.99997190000000002</v>
      </c>
      <c r="N280">
        <v>0</v>
      </c>
      <c r="O280">
        <v>2.912399E-3</v>
      </c>
      <c r="P280">
        <v>0.98561540000000003</v>
      </c>
      <c r="Q280">
        <v>0.16898579999999999</v>
      </c>
      <c r="R280">
        <v>-2.482302E-3</v>
      </c>
      <c r="S280">
        <v>3.164917</v>
      </c>
      <c r="T280">
        <v>-0.71538310000000005</v>
      </c>
      <c r="U280">
        <v>-0.59808349999999999</v>
      </c>
      <c r="V280">
        <v>5.4131240000000001E-3</v>
      </c>
      <c r="W280">
        <v>0.17578750000000001</v>
      </c>
      <c r="X280">
        <v>0.98441330000000005</v>
      </c>
      <c r="Y280">
        <v>0.1839924</v>
      </c>
      <c r="Z280">
        <v>-2.1006380000000002E-2</v>
      </c>
      <c r="AA280">
        <v>0.9827032</v>
      </c>
      <c r="AB280">
        <v>26</v>
      </c>
      <c r="AC280">
        <v>0.54909999999995296</v>
      </c>
      <c r="AD280">
        <v>-0.160325099999999</v>
      </c>
      <c r="AE280">
        <v>-0.134400000000027</v>
      </c>
      <c r="AF280">
        <v>0.125874287423865</v>
      </c>
      <c r="AG280">
        <v>-0.160325099999999</v>
      </c>
      <c r="AH280">
        <v>0.50785796800987304</v>
      </c>
      <c r="AI280">
        <v>107.035971606845</v>
      </c>
      <c r="AJ280">
        <v>76.079575115925493</v>
      </c>
      <c r="AK280">
        <v>0.547236867906022</v>
      </c>
      <c r="AL280">
        <v>79.875511483067896</v>
      </c>
      <c r="AM280">
        <v>89.684943272070996</v>
      </c>
      <c r="AN280">
        <v>1.00000004614228</v>
      </c>
    </row>
    <row r="281" spans="1:40" x14ac:dyDescent="0.25">
      <c r="A281" t="str">
        <f>"20190312172059524"</f>
        <v>20190312172059524</v>
      </c>
      <c r="B281" t="str">
        <f>"1552382459521851"</f>
        <v>1552382459521851</v>
      </c>
      <c r="C281" t="s">
        <v>40</v>
      </c>
      <c r="D281">
        <v>3.2361110000000002</v>
      </c>
      <c r="E281">
        <v>0.57317669999999998</v>
      </c>
      <c r="F281" t="s">
        <v>41</v>
      </c>
      <c r="G281">
        <v>-445.17009999999999</v>
      </c>
      <c r="H281">
        <v>0.93325080000000005</v>
      </c>
      <c r="I281">
        <v>367.70699999999999</v>
      </c>
      <c r="J281">
        <v>-445.79820000000001</v>
      </c>
      <c r="K281">
        <v>1.109434</v>
      </c>
      <c r="L281">
        <v>367.85500000000002</v>
      </c>
      <c r="M281">
        <v>0.99997219999999998</v>
      </c>
      <c r="N281">
        <v>0</v>
      </c>
      <c r="O281">
        <v>2.8138899999999999E-3</v>
      </c>
      <c r="P281">
        <v>0.98569099999999998</v>
      </c>
      <c r="Q281">
        <v>0.16854439999999901</v>
      </c>
      <c r="R281">
        <v>-2.5305589999999999E-3</v>
      </c>
      <c r="S281">
        <v>3.1647639999999999</v>
      </c>
      <c r="T281">
        <v>-0.71447899999999998</v>
      </c>
      <c r="U281">
        <v>-0.59805299999999995</v>
      </c>
      <c r="V281">
        <v>5.3634900000000003E-3</v>
      </c>
      <c r="W281">
        <v>0.17536309999999999</v>
      </c>
      <c r="X281">
        <v>0.98448919999999995</v>
      </c>
      <c r="Y281">
        <v>0.1839104</v>
      </c>
      <c r="Z281">
        <v>-2.095062E-2</v>
      </c>
      <c r="AA281">
        <v>0.98271969999999997</v>
      </c>
      <c r="AB281">
        <v>27</v>
      </c>
      <c r="AC281">
        <v>0.62810000000001698</v>
      </c>
      <c r="AD281">
        <v>-0.17618320000000001</v>
      </c>
      <c r="AE281">
        <v>-0.148000000000024</v>
      </c>
      <c r="AF281">
        <v>0.139377323523841</v>
      </c>
      <c r="AG281">
        <v>-0.17618320000000001</v>
      </c>
      <c r="AH281">
        <v>0.58413793381753099</v>
      </c>
      <c r="AI281">
        <v>106.350460184046</v>
      </c>
      <c r="AJ281">
        <v>76.579949408264497</v>
      </c>
      <c r="AK281">
        <v>0.62584637412029798</v>
      </c>
      <c r="AL281">
        <v>79.900210870697904</v>
      </c>
      <c r="AM281">
        <v>89.687856098191205</v>
      </c>
      <c r="AN281">
        <v>0.99999998439161497</v>
      </c>
    </row>
    <row r="282" spans="1:40" x14ac:dyDescent="0.25">
      <c r="A282" t="str">
        <f>"20190312172059541"</f>
        <v>20190312172059541</v>
      </c>
      <c r="B282" t="str">
        <f>"1552382459531614"</f>
        <v>1552382459531614</v>
      </c>
      <c r="C282" t="s">
        <v>40</v>
      </c>
      <c r="D282">
        <v>3.183109</v>
      </c>
      <c r="E282">
        <v>0.57317640000000003</v>
      </c>
      <c r="F282" t="s">
        <v>41</v>
      </c>
      <c r="G282">
        <v>-444.93819999999999</v>
      </c>
      <c r="H282">
        <v>0.91535040000000001</v>
      </c>
      <c r="I282">
        <v>367.69220000000001</v>
      </c>
      <c r="J282">
        <v>-445.58980000000003</v>
      </c>
      <c r="K282">
        <v>1.109437</v>
      </c>
      <c r="L282">
        <v>367.85539999999997</v>
      </c>
      <c r="M282">
        <v>0.99997230000000004</v>
      </c>
      <c r="N282">
        <v>0</v>
      </c>
      <c r="O282">
        <v>2.6825109999999998E-3</v>
      </c>
      <c r="P282">
        <v>0.98575279999999998</v>
      </c>
      <c r="Q282">
        <v>0.16818420000000001</v>
      </c>
      <c r="R282">
        <v>-2.3248320000000002E-3</v>
      </c>
      <c r="S282">
        <v>3.1640929999999998</v>
      </c>
      <c r="T282">
        <v>-0.7141113</v>
      </c>
      <c r="U282">
        <v>-0.59912109999999996</v>
      </c>
      <c r="V282">
        <v>5.0279160000000003E-3</v>
      </c>
      <c r="W282">
        <v>0.1750256</v>
      </c>
      <c r="X282">
        <v>0.98455110000000001</v>
      </c>
      <c r="Y282">
        <v>0.18414040000000001</v>
      </c>
      <c r="Z282">
        <v>-2.0940110000000001E-2</v>
      </c>
      <c r="AA282">
        <v>0.98267689999999996</v>
      </c>
      <c r="AB282">
        <v>27</v>
      </c>
      <c r="AC282">
        <v>0.65160000000003004</v>
      </c>
      <c r="AD282">
        <v>-0.194086599999999</v>
      </c>
      <c r="AE282">
        <v>-0.16319999999995999</v>
      </c>
      <c r="AF282">
        <v>0.15223787631569999</v>
      </c>
      <c r="AG282">
        <v>-0.194086599999999</v>
      </c>
      <c r="AH282">
        <v>0.60098677920674104</v>
      </c>
      <c r="AI282">
        <v>107.383177399822</v>
      </c>
      <c r="AJ282">
        <v>75.785231224868895</v>
      </c>
      <c r="AK282">
        <v>0.64963919837550399</v>
      </c>
      <c r="AL282">
        <v>79.919852683109497</v>
      </c>
      <c r="AM282">
        <v>89.707403849052795</v>
      </c>
      <c r="AN282">
        <v>1.00000005455293</v>
      </c>
    </row>
    <row r="283" spans="1:40" x14ac:dyDescent="0.25">
      <c r="A283" t="str">
        <f>"20190312172059553"</f>
        <v>20190312172059553</v>
      </c>
      <c r="B283" t="str">
        <f>"1552382459541372"</f>
        <v>1552382459541372</v>
      </c>
      <c r="C283" t="s">
        <v>40</v>
      </c>
      <c r="D283">
        <v>3.2441710000000001</v>
      </c>
      <c r="E283">
        <v>0.57325109999999901</v>
      </c>
      <c r="F283" t="s">
        <v>41</v>
      </c>
      <c r="G283">
        <v>-444.7013</v>
      </c>
      <c r="H283">
        <v>0.9088619</v>
      </c>
      <c r="I283">
        <v>367.68720000000002</v>
      </c>
      <c r="J283">
        <v>-445.44639999999998</v>
      </c>
      <c r="K283">
        <v>1.1094379999999999</v>
      </c>
      <c r="L283">
        <v>367.85570000000001</v>
      </c>
      <c r="M283">
        <v>0.99997250000000004</v>
      </c>
      <c r="N283">
        <v>0</v>
      </c>
      <c r="O283">
        <v>2.5925150000000001E-3</v>
      </c>
      <c r="P283">
        <v>0.98577340000000002</v>
      </c>
      <c r="Q283">
        <v>0.16806750000000001</v>
      </c>
      <c r="R283">
        <v>-2.0168970000000001E-3</v>
      </c>
      <c r="S283">
        <v>3.163818</v>
      </c>
      <c r="T283">
        <v>-0.71429240000000005</v>
      </c>
      <c r="U283">
        <v>-0.59832759999999996</v>
      </c>
      <c r="V283">
        <v>4.6311570000000003E-3</v>
      </c>
      <c r="W283">
        <v>0.1749242</v>
      </c>
      <c r="X283">
        <v>0.98457099999999997</v>
      </c>
      <c r="Y283">
        <v>0.183836</v>
      </c>
      <c r="Z283">
        <v>-2.089396E-2</v>
      </c>
      <c r="AA283">
        <v>0.98273489999999997</v>
      </c>
      <c r="AB283">
        <v>27</v>
      </c>
      <c r="AC283">
        <v>0.745099999999979</v>
      </c>
      <c r="AD283">
        <v>-0.20057609999999901</v>
      </c>
      <c r="AE283">
        <v>-0.16849999999999399</v>
      </c>
      <c r="AF283">
        <v>0.15943948344438999</v>
      </c>
      <c r="AG283">
        <v>-0.20057609999999901</v>
      </c>
      <c r="AH283">
        <v>0.69663497305261002</v>
      </c>
      <c r="AI283">
        <v>105.677536593882</v>
      </c>
      <c r="AJ283">
        <v>77.108692188481598</v>
      </c>
      <c r="AK283">
        <v>0.742261413824156</v>
      </c>
      <c r="AL283">
        <v>79.925752837136699</v>
      </c>
      <c r="AM283">
        <v>89.730498061128998</v>
      </c>
      <c r="AN283">
        <v>0.99999998870089901</v>
      </c>
    </row>
    <row r="284" spans="1:40" x14ac:dyDescent="0.25">
      <c r="A284" t="str">
        <f>"20190312172059565"</f>
        <v>20190312172059565</v>
      </c>
      <c r="B284" t="str">
        <f>"1552382459561868"</f>
        <v>1552382459561868</v>
      </c>
      <c r="C284" t="s">
        <v>40</v>
      </c>
      <c r="D284">
        <v>3.2160880000000001</v>
      </c>
      <c r="E284">
        <v>0.57347340000000002</v>
      </c>
      <c r="F284" t="s">
        <v>41</v>
      </c>
      <c r="G284">
        <v>-444.68990000000002</v>
      </c>
      <c r="H284">
        <v>0.93869720000000001</v>
      </c>
      <c r="I284">
        <v>367.71260000000001</v>
      </c>
      <c r="J284">
        <v>-445.30099999999999</v>
      </c>
      <c r="K284">
        <v>1.10944</v>
      </c>
      <c r="L284">
        <v>367.85599999999999</v>
      </c>
      <c r="M284">
        <v>0.99997259999999999</v>
      </c>
      <c r="N284">
        <v>0</v>
      </c>
      <c r="O284">
        <v>2.501559E-3</v>
      </c>
      <c r="P284">
        <v>0.98574609999999996</v>
      </c>
      <c r="Q284">
        <v>0.16822619999999999</v>
      </c>
      <c r="R284">
        <v>-2.0826640000000001E-3</v>
      </c>
      <c r="S284">
        <v>3.163818</v>
      </c>
      <c r="T284">
        <v>-0.71412330000000002</v>
      </c>
      <c r="U284">
        <v>-0.59814449999999997</v>
      </c>
      <c r="V284">
        <v>4.6074610000000002E-3</v>
      </c>
      <c r="W284">
        <v>0.175098799999999</v>
      </c>
      <c r="X284">
        <v>0.98454010000000003</v>
      </c>
      <c r="Y284">
        <v>0.18369940000000001</v>
      </c>
      <c r="Z284">
        <v>-2.0854029999999999E-2</v>
      </c>
      <c r="AA284">
        <v>0.98276129999999995</v>
      </c>
      <c r="AB284">
        <v>27</v>
      </c>
      <c r="AC284">
        <v>0.61109999999996401</v>
      </c>
      <c r="AD284">
        <v>-0.170742799999999</v>
      </c>
      <c r="AE284">
        <v>-0.14339999999998501</v>
      </c>
      <c r="AF284">
        <v>0.13494362627673001</v>
      </c>
      <c r="AG284">
        <v>-0.170742799999999</v>
      </c>
      <c r="AH284">
        <v>0.56866318317283204</v>
      </c>
      <c r="AI284">
        <v>106.28520692881899</v>
      </c>
      <c r="AJ284">
        <v>76.650643373282506</v>
      </c>
      <c r="AK284">
        <v>0.60888480184745197</v>
      </c>
      <c r="AL284">
        <v>79.915592430776101</v>
      </c>
      <c r="AM284">
        <v>89.731868572515694</v>
      </c>
      <c r="AN284">
        <v>1.0000000134831499</v>
      </c>
    </row>
    <row r="285" spans="1:40" x14ac:dyDescent="0.25">
      <c r="A285" t="str">
        <f>"20190312172059578"</f>
        <v>20190312172059578</v>
      </c>
      <c r="B285" t="str">
        <f>"1552382459571628"</f>
        <v>1552382459571628</v>
      </c>
      <c r="C285" t="s">
        <v>40</v>
      </c>
      <c r="D285">
        <v>3.222429</v>
      </c>
      <c r="E285">
        <v>0.57357769999999997</v>
      </c>
      <c r="F285" t="s">
        <v>41</v>
      </c>
      <c r="G285">
        <v>-444.4572</v>
      </c>
      <c r="H285">
        <v>0.9193441</v>
      </c>
      <c r="I285">
        <v>367.6961</v>
      </c>
      <c r="J285">
        <v>-445.1497</v>
      </c>
      <c r="K285">
        <v>1.1094389999999901</v>
      </c>
      <c r="L285">
        <v>367.85629999999998</v>
      </c>
      <c r="M285">
        <v>0.99997259999999999</v>
      </c>
      <c r="N285">
        <v>0</v>
      </c>
      <c r="O285">
        <v>2.4070179999999999E-3</v>
      </c>
      <c r="P285">
        <v>0.98573650000000002</v>
      </c>
      <c r="Q285">
        <v>0.16828189999999901</v>
      </c>
      <c r="R285">
        <v>-2.189566E-3</v>
      </c>
      <c r="S285">
        <v>3.1637569999999999</v>
      </c>
      <c r="T285">
        <v>-0.71281399999999995</v>
      </c>
      <c r="U285">
        <v>-0.59957890000000003</v>
      </c>
      <c r="V285">
        <v>4.6211689999999996E-3</v>
      </c>
      <c r="W285">
        <v>0.17517160000000001</v>
      </c>
      <c r="X285">
        <v>0.98452709999999999</v>
      </c>
      <c r="Y285">
        <v>0.18405060000000001</v>
      </c>
      <c r="Z285">
        <v>-2.0834140000000001E-2</v>
      </c>
      <c r="AA285">
        <v>0.98269589999999996</v>
      </c>
      <c r="AB285">
        <v>27</v>
      </c>
      <c r="AC285">
        <v>0.69249999999999501</v>
      </c>
      <c r="AD285">
        <v>-0.19009490000000001</v>
      </c>
      <c r="AE285">
        <v>-0.160199999999974</v>
      </c>
      <c r="AF285">
        <v>0.15106169241765099</v>
      </c>
      <c r="AG285">
        <v>-0.19009490000000001</v>
      </c>
      <c r="AH285">
        <v>0.64591319612387299</v>
      </c>
      <c r="AI285">
        <v>105.990777421978</v>
      </c>
      <c r="AJ285">
        <v>76.836654123241402</v>
      </c>
      <c r="AK285">
        <v>0.69004316013496703</v>
      </c>
      <c r="AL285">
        <v>79.911355963010394</v>
      </c>
      <c r="AM285">
        <v>89.731067295485403</v>
      </c>
      <c r="AN285">
        <v>1.0000000276419401</v>
      </c>
    </row>
    <row r="286" spans="1:40" x14ac:dyDescent="0.25">
      <c r="A286" t="str">
        <f>"20190312172059590"</f>
        <v>20190312172059590</v>
      </c>
      <c r="B286" t="str">
        <f>"1552382459581388"</f>
        <v>1552382459581388</v>
      </c>
      <c r="C286" t="s">
        <v>40</v>
      </c>
      <c r="D286">
        <v>3.219157</v>
      </c>
      <c r="E286">
        <v>0.57364130000000002</v>
      </c>
      <c r="F286" t="s">
        <v>41</v>
      </c>
      <c r="G286">
        <v>-444.44459999999998</v>
      </c>
      <c r="H286">
        <v>0.95074740000000002</v>
      </c>
      <c r="I286">
        <v>367.72230000000002</v>
      </c>
      <c r="J286">
        <v>-445.00940000000003</v>
      </c>
      <c r="K286">
        <v>1.10944</v>
      </c>
      <c r="L286">
        <v>367.85649999999998</v>
      </c>
      <c r="M286">
        <v>0.99997270000000005</v>
      </c>
      <c r="N286">
        <v>0</v>
      </c>
      <c r="O286">
        <v>2.3187339999999998E-3</v>
      </c>
      <c r="P286">
        <v>0.98571039999999999</v>
      </c>
      <c r="Q286">
        <v>0.168436999999999</v>
      </c>
      <c r="R286">
        <v>-1.9765519999999999E-3</v>
      </c>
      <c r="S286">
        <v>3.1635740000000001</v>
      </c>
      <c r="T286">
        <v>-0.71209840000000002</v>
      </c>
      <c r="U286">
        <v>-0.60086059999999997</v>
      </c>
      <c r="V286">
        <v>4.3214849999999999E-3</v>
      </c>
      <c r="W286">
        <v>0.17534430000000001</v>
      </c>
      <c r="X286">
        <v>0.98449770000000003</v>
      </c>
      <c r="Y286">
        <v>0.1843621</v>
      </c>
      <c r="Z286">
        <v>-2.0829E-2</v>
      </c>
      <c r="AA286">
        <v>0.9826376</v>
      </c>
      <c r="AB286">
        <v>27</v>
      </c>
      <c r="AC286">
        <v>0.56480000000004704</v>
      </c>
      <c r="AD286">
        <v>-0.15869259999999899</v>
      </c>
      <c r="AE286">
        <v>-0.13419999999996399</v>
      </c>
      <c r="AF286">
        <v>0.126087282653217</v>
      </c>
      <c r="AG286">
        <v>-0.15869259999999899</v>
      </c>
      <c r="AH286">
        <v>0.52523829517989995</v>
      </c>
      <c r="AI286">
        <v>106.372150599433</v>
      </c>
      <c r="AJ286">
        <v>76.501162963918702</v>
      </c>
      <c r="AK286">
        <v>0.562988997108398</v>
      </c>
      <c r="AL286">
        <v>79.901305245843304</v>
      </c>
      <c r="AM286">
        <v>89.748499908656896</v>
      </c>
      <c r="AN286">
        <v>1.00000001004019</v>
      </c>
    </row>
    <row r="287" spans="1:40" x14ac:dyDescent="0.25">
      <c r="A287" t="str">
        <f>"20190312172059601"</f>
        <v>20190312172059601</v>
      </c>
      <c r="B287" t="str">
        <f>"1552382459591148"</f>
        <v>1552382459591148</v>
      </c>
      <c r="C287" t="s">
        <v>40</v>
      </c>
      <c r="D287">
        <v>3.2188699999999999</v>
      </c>
      <c r="E287">
        <v>0.57371439999999996</v>
      </c>
      <c r="F287" t="s">
        <v>41</v>
      </c>
      <c r="G287">
        <v>-444.2122</v>
      </c>
      <c r="H287">
        <v>0.93042349999999996</v>
      </c>
      <c r="I287">
        <v>367.70479999999998</v>
      </c>
      <c r="J287">
        <v>-444.86360000000002</v>
      </c>
      <c r="K287">
        <v>1.109442</v>
      </c>
      <c r="L287">
        <v>367.85680000000002</v>
      </c>
      <c r="M287">
        <v>0.999973</v>
      </c>
      <c r="N287">
        <v>0</v>
      </c>
      <c r="O287">
        <v>2.2262139999999998E-3</v>
      </c>
      <c r="P287">
        <v>0.98568310000000003</v>
      </c>
      <c r="Q287">
        <v>0.16859679999999999</v>
      </c>
      <c r="R287">
        <v>-2.1180019999999999E-3</v>
      </c>
      <c r="S287">
        <v>3.1636660000000001</v>
      </c>
      <c r="T287">
        <v>-0.71053429999999995</v>
      </c>
      <c r="U287">
        <v>-0.60073849999999995</v>
      </c>
      <c r="V287">
        <v>4.3718519999999999E-3</v>
      </c>
      <c r="W287">
        <v>0.17552229999999999</v>
      </c>
      <c r="X287">
        <v>0.98446579999999995</v>
      </c>
      <c r="Y287">
        <v>0.184254</v>
      </c>
      <c r="Z287">
        <v>-2.0751579999999999E-2</v>
      </c>
      <c r="AA287">
        <v>0.98265959999999997</v>
      </c>
      <c r="AB287">
        <v>27</v>
      </c>
      <c r="AC287">
        <v>0.65140000000002296</v>
      </c>
      <c r="AD287">
        <v>-0.179018499999999</v>
      </c>
      <c r="AE287">
        <v>-0.15200000000004299</v>
      </c>
      <c r="AF287">
        <v>0.14319335419528501</v>
      </c>
      <c r="AG287">
        <v>-0.179018499999999</v>
      </c>
      <c r="AH287">
        <v>0.60754367386976005</v>
      </c>
      <c r="AI287">
        <v>106.002950243908</v>
      </c>
      <c r="AJ287">
        <v>76.737865686096299</v>
      </c>
      <c r="AK287">
        <v>0.64935450694294194</v>
      </c>
      <c r="AL287">
        <v>79.890946357707193</v>
      </c>
      <c r="AM287">
        <v>89.745560463711698</v>
      </c>
      <c r="AN287">
        <v>1.00000005112841</v>
      </c>
    </row>
    <row r="288" spans="1:40" x14ac:dyDescent="0.25">
      <c r="A288" t="str">
        <f>"20190312172059620"</f>
        <v>20190312172059620</v>
      </c>
      <c r="B288" t="str">
        <f>"1552382459611644"</f>
        <v>1552382459611644</v>
      </c>
      <c r="C288" t="s">
        <v>40</v>
      </c>
      <c r="D288">
        <v>3.1899039999999999</v>
      </c>
      <c r="E288">
        <v>0.57372250000000002</v>
      </c>
      <c r="F288" t="s">
        <v>41</v>
      </c>
      <c r="G288">
        <v>-443.97820000000002</v>
      </c>
      <c r="H288">
        <v>0.91084549999999997</v>
      </c>
      <c r="I288">
        <v>367.68830000000003</v>
      </c>
      <c r="J288">
        <v>-444.64150000000001</v>
      </c>
      <c r="K288">
        <v>1.109445</v>
      </c>
      <c r="L288">
        <v>367.8571</v>
      </c>
      <c r="M288">
        <v>0.99997290000000005</v>
      </c>
      <c r="N288">
        <v>0</v>
      </c>
      <c r="O288">
        <v>2.0851329999999999E-3</v>
      </c>
      <c r="P288">
        <v>0.98564169999999995</v>
      </c>
      <c r="Q288">
        <v>0.16883819999999999</v>
      </c>
      <c r="R288">
        <v>-2.1118199999999999E-3</v>
      </c>
      <c r="S288">
        <v>3.1636959999999998</v>
      </c>
      <c r="T288">
        <v>-0.70967780000000003</v>
      </c>
      <c r="U288">
        <v>-0.60168459999999901</v>
      </c>
      <c r="V288">
        <v>4.2269050000000004E-3</v>
      </c>
      <c r="W288">
        <v>0.1757927</v>
      </c>
      <c r="X288">
        <v>0.98441820000000002</v>
      </c>
      <c r="Y288">
        <v>0.18440819999999999</v>
      </c>
      <c r="Z288">
        <v>-2.0712350000000001E-2</v>
      </c>
      <c r="AA288">
        <v>0.98263149999999999</v>
      </c>
      <c r="AB288">
        <v>27</v>
      </c>
      <c r="AC288">
        <v>0.66329999999999201</v>
      </c>
      <c r="AD288">
        <v>-0.19859950000000001</v>
      </c>
      <c r="AE288">
        <v>-0.168799999999976</v>
      </c>
      <c r="AF288">
        <v>0.15696698659279601</v>
      </c>
      <c r="AG288">
        <v>-0.19859950000000001</v>
      </c>
      <c r="AH288">
        <v>0.61146464705985504</v>
      </c>
      <c r="AI288">
        <v>107.46320544112599</v>
      </c>
      <c r="AJ288">
        <v>75.602676870188901</v>
      </c>
      <c r="AK288">
        <v>0.66179257391142299</v>
      </c>
      <c r="AL288">
        <v>79.875209038242303</v>
      </c>
      <c r="AM288">
        <v>89.753984304075402</v>
      </c>
      <c r="AN288">
        <v>1.0000000662952</v>
      </c>
    </row>
    <row r="289" spans="1:40" x14ac:dyDescent="0.25">
      <c r="A289" t="str">
        <f>"20190312172059632"</f>
        <v>20190312172059632</v>
      </c>
      <c r="B289" t="str">
        <f>"1552382459621404"</f>
        <v>1552382459621404</v>
      </c>
      <c r="C289" t="s">
        <v>40</v>
      </c>
      <c r="D289">
        <v>3.208593</v>
      </c>
      <c r="E289">
        <v>0.57380940000000002</v>
      </c>
      <c r="F289" t="s">
        <v>41</v>
      </c>
      <c r="G289">
        <v>-443.73739999999998</v>
      </c>
      <c r="H289">
        <v>0.90721209999999997</v>
      </c>
      <c r="I289">
        <v>367.6848</v>
      </c>
      <c r="J289">
        <v>-444.4957</v>
      </c>
      <c r="K289">
        <v>1.109445</v>
      </c>
      <c r="L289">
        <v>367.85739999999998</v>
      </c>
      <c r="M289">
        <v>0.99997290000000005</v>
      </c>
      <c r="N289">
        <v>0</v>
      </c>
      <c r="O289">
        <v>1.9922479999999998E-3</v>
      </c>
      <c r="P289">
        <v>0.98561469999999995</v>
      </c>
      <c r="Q289">
        <v>0.16899330000000001</v>
      </c>
      <c r="R289">
        <v>-2.307627E-3</v>
      </c>
      <c r="S289">
        <v>3.1636350000000002</v>
      </c>
      <c r="T289">
        <v>-0.70772659999999998</v>
      </c>
      <c r="U289">
        <v>-0.60195919999999903</v>
      </c>
      <c r="V289">
        <v>4.3315460000000004E-3</v>
      </c>
      <c r="W289">
        <v>0.17596679999999901</v>
      </c>
      <c r="X289">
        <v>0.9843866</v>
      </c>
      <c r="Y289">
        <v>0.1844287</v>
      </c>
      <c r="Z289">
        <v>-2.063887E-2</v>
      </c>
      <c r="AA289">
        <v>0.98262919999999998</v>
      </c>
      <c r="AB289">
        <v>27</v>
      </c>
      <c r="AC289">
        <v>0.75830000000001896</v>
      </c>
      <c r="AD289">
        <v>-0.20223289999999999</v>
      </c>
      <c r="AE289">
        <v>-0.17259999999998801</v>
      </c>
      <c r="AF289">
        <v>0.163082529091992</v>
      </c>
      <c r="AG289">
        <v>-0.20223289999999999</v>
      </c>
      <c r="AH289">
        <v>0.709946935843635</v>
      </c>
      <c r="AI289">
        <v>105.51602500625501</v>
      </c>
      <c r="AJ289">
        <v>77.062970038478895</v>
      </c>
      <c r="AK289">
        <v>0.75598856396854097</v>
      </c>
      <c r="AL289">
        <v>79.865075488593305</v>
      </c>
      <c r="AM289">
        <v>89.747885939507398</v>
      </c>
      <c r="AN289">
        <v>1.0000000276262699</v>
      </c>
    </row>
    <row r="290" spans="1:40" x14ac:dyDescent="0.25">
      <c r="A290" t="str">
        <f>"20190312172059644"</f>
        <v>20190312172059644</v>
      </c>
      <c r="B290" t="str">
        <f>"1552382459641899"</f>
        <v>1552382459641899</v>
      </c>
      <c r="C290" t="s">
        <v>40</v>
      </c>
      <c r="D290">
        <v>3.1869930000000002</v>
      </c>
      <c r="E290">
        <v>0.57389509999999999</v>
      </c>
      <c r="F290" t="s">
        <v>41</v>
      </c>
      <c r="G290">
        <v>-443.726</v>
      </c>
      <c r="H290">
        <v>0.93738350000000004</v>
      </c>
      <c r="I290">
        <v>367.71039999999999</v>
      </c>
      <c r="J290">
        <v>-444.35419999999999</v>
      </c>
      <c r="K290">
        <v>1.109448</v>
      </c>
      <c r="L290">
        <v>367.85750000000002</v>
      </c>
      <c r="M290">
        <v>0.99997309999999995</v>
      </c>
      <c r="N290">
        <v>0</v>
      </c>
      <c r="O290">
        <v>1.9017509999999999E-3</v>
      </c>
      <c r="P290">
        <v>0.98560610000000004</v>
      </c>
      <c r="Q290">
        <v>0.16904050000000001</v>
      </c>
      <c r="R290">
        <v>-2.4894930000000002E-3</v>
      </c>
      <c r="S290">
        <v>3.1636350000000002</v>
      </c>
      <c r="T290">
        <v>-0.70729940000000002</v>
      </c>
      <c r="U290">
        <v>-0.60311890000000001</v>
      </c>
      <c r="V290">
        <v>4.4246670000000002E-3</v>
      </c>
      <c r="W290">
        <v>0.176033</v>
      </c>
      <c r="X290">
        <v>0.98437430000000004</v>
      </c>
      <c r="Y290">
        <v>0.18468899999999999</v>
      </c>
      <c r="Z290">
        <v>-2.0634710000000001E-2</v>
      </c>
      <c r="AA290">
        <v>0.98258040000000002</v>
      </c>
      <c r="AB290">
        <v>27</v>
      </c>
      <c r="AC290">
        <v>0.62819999999999199</v>
      </c>
      <c r="AD290">
        <v>-0.17206450000000001</v>
      </c>
      <c r="AE290">
        <v>-0.14710000000002299</v>
      </c>
      <c r="AF290">
        <v>0.13844776914153101</v>
      </c>
      <c r="AG290">
        <v>-0.17206450000000001</v>
      </c>
      <c r="AH290">
        <v>0.58622560349665398</v>
      </c>
      <c r="AI290">
        <v>105.942217198572</v>
      </c>
      <c r="AJ290">
        <v>76.712042399256802</v>
      </c>
      <c r="AK290">
        <v>0.62644587566327903</v>
      </c>
      <c r="AL290">
        <v>79.861221859519006</v>
      </c>
      <c r="AM290">
        <v>89.742462762872506</v>
      </c>
      <c r="AN290">
        <v>0.99999997863377499</v>
      </c>
    </row>
    <row r="291" spans="1:40" x14ac:dyDescent="0.25">
      <c r="A291" t="str">
        <f>"20190312172059656"</f>
        <v>20190312172059656</v>
      </c>
      <c r="B291" t="str">
        <f>"1552382459651660"</f>
        <v>1552382459651660</v>
      </c>
      <c r="C291" t="s">
        <v>40</v>
      </c>
      <c r="D291">
        <v>3.173962</v>
      </c>
      <c r="E291">
        <v>0.57394709999999904</v>
      </c>
      <c r="F291" t="s">
        <v>41</v>
      </c>
      <c r="G291">
        <v>-443.49110000000002</v>
      </c>
      <c r="H291">
        <v>0.91655980000000004</v>
      </c>
      <c r="I291">
        <v>367.69260000000003</v>
      </c>
      <c r="J291">
        <v>-444.20569999999998</v>
      </c>
      <c r="K291">
        <v>1.109448</v>
      </c>
      <c r="L291">
        <v>367.85770000000002</v>
      </c>
      <c r="M291">
        <v>0.99997309999999995</v>
      </c>
      <c r="N291">
        <v>0</v>
      </c>
      <c r="O291">
        <v>1.8064820000000001E-3</v>
      </c>
      <c r="P291">
        <v>0.98553489999999999</v>
      </c>
      <c r="Q291">
        <v>0.16944699999999999</v>
      </c>
      <c r="R291">
        <v>-2.9692249999999998E-3</v>
      </c>
      <c r="S291">
        <v>3.1635740000000001</v>
      </c>
      <c r="T291">
        <v>-0.70694069999999998</v>
      </c>
      <c r="U291">
        <v>-0.60403439999999997</v>
      </c>
      <c r="V291">
        <v>4.8108489999999999E-3</v>
      </c>
      <c r="W291">
        <v>0.1764578</v>
      </c>
      <c r="X291">
        <v>0.98429639999999996</v>
      </c>
      <c r="Y291">
        <v>0.18487580000000001</v>
      </c>
      <c r="Z291">
        <v>-2.062392E-2</v>
      </c>
      <c r="AA291">
        <v>0.98254549999999996</v>
      </c>
      <c r="AB291">
        <v>27</v>
      </c>
      <c r="AC291">
        <v>0.71459999999996104</v>
      </c>
      <c r="AD291">
        <v>-0.19288819999999901</v>
      </c>
      <c r="AE291">
        <v>-0.165099999999995</v>
      </c>
      <c r="AF291">
        <v>0.155626417739163</v>
      </c>
      <c r="AG291">
        <v>-0.19288819999999901</v>
      </c>
      <c r="AH291">
        <v>0.66809056275674705</v>
      </c>
      <c r="AI291">
        <v>105.70532038156399</v>
      </c>
      <c r="AJ291">
        <v>76.887238215488196</v>
      </c>
      <c r="AK291">
        <v>0.71258012857656405</v>
      </c>
      <c r="AL291">
        <v>79.836495271186806</v>
      </c>
      <c r="AM291">
        <v>89.719963266444793</v>
      </c>
      <c r="AN291">
        <v>0.99999995125094898</v>
      </c>
    </row>
    <row r="292" spans="1:40" x14ac:dyDescent="0.25">
      <c r="A292" t="str">
        <f>"20190312172059668"</f>
        <v>20190312172059668</v>
      </c>
      <c r="B292" t="str">
        <f>"1552382459661420"</f>
        <v>1552382459661420</v>
      </c>
      <c r="C292" t="s">
        <v>40</v>
      </c>
      <c r="D292">
        <v>3.2017159999999998</v>
      </c>
      <c r="E292">
        <v>0.5740113</v>
      </c>
      <c r="F292" t="s">
        <v>41</v>
      </c>
      <c r="G292">
        <v>-443.47890000000001</v>
      </c>
      <c r="H292">
        <v>0.94739879999999999</v>
      </c>
      <c r="I292">
        <v>367.71839999999997</v>
      </c>
      <c r="J292">
        <v>-444.06450000000001</v>
      </c>
      <c r="K292">
        <v>1.1094409999999999</v>
      </c>
      <c r="L292">
        <v>367.85789999999997</v>
      </c>
      <c r="M292">
        <v>0.99997309999999995</v>
      </c>
      <c r="N292">
        <v>0</v>
      </c>
      <c r="O292">
        <v>1.7156280000000001E-3</v>
      </c>
      <c r="P292">
        <v>0.98550800000000005</v>
      </c>
      <c r="Q292">
        <v>0.16960500000000001</v>
      </c>
      <c r="R292">
        <v>-2.924205E-3</v>
      </c>
      <c r="S292">
        <v>3.1634519999999999</v>
      </c>
      <c r="T292">
        <v>-0.70522649999999998</v>
      </c>
      <c r="U292">
        <v>-0.60552980000000001</v>
      </c>
      <c r="V292">
        <v>4.6764550000000004E-3</v>
      </c>
      <c r="W292">
        <v>0.17663519999999999</v>
      </c>
      <c r="X292">
        <v>0.98426530000000001</v>
      </c>
      <c r="Y292">
        <v>0.18525620000000001</v>
      </c>
      <c r="Z292">
        <v>-2.0596659999999999E-2</v>
      </c>
      <c r="AA292">
        <v>0.98247439999999997</v>
      </c>
      <c r="AB292">
        <v>27</v>
      </c>
      <c r="AC292">
        <v>0.58559999999999901</v>
      </c>
      <c r="AD292">
        <v>-0.162042199999999</v>
      </c>
      <c r="AE292">
        <v>-0.13949999999999799</v>
      </c>
      <c r="AF292">
        <v>0.13101171960081001</v>
      </c>
      <c r="AG292">
        <v>-0.162042199999999</v>
      </c>
      <c r="AH292">
        <v>0.54581169007277197</v>
      </c>
      <c r="AI292">
        <v>106.10254073082901</v>
      </c>
      <c r="AJ292">
        <v>76.502587910540896</v>
      </c>
      <c r="AK292">
        <v>0.58423637876607504</v>
      </c>
      <c r="AL292">
        <v>79.826169521087706</v>
      </c>
      <c r="AM292">
        <v>89.727777542864303</v>
      </c>
      <c r="AN292">
        <v>1.00000002194724</v>
      </c>
    </row>
    <row r="293" spans="1:40" x14ac:dyDescent="0.25">
      <c r="A293" t="str">
        <f>"20190312172059680"</f>
        <v>20190312172059680</v>
      </c>
      <c r="B293" t="str">
        <f>"1552382459671180"</f>
        <v>1552382459671180</v>
      </c>
      <c r="C293" t="s">
        <v>40</v>
      </c>
      <c r="D293">
        <v>3.2046250000000001</v>
      </c>
      <c r="E293">
        <v>0.57405969999999995</v>
      </c>
      <c r="F293" t="s">
        <v>41</v>
      </c>
      <c r="G293">
        <v>-443.24369999999999</v>
      </c>
      <c r="H293">
        <v>0.92668220000000001</v>
      </c>
      <c r="I293">
        <v>367.7002</v>
      </c>
      <c r="J293">
        <v>-443.91149999999999</v>
      </c>
      <c r="K293">
        <v>1.1094440000000001</v>
      </c>
      <c r="L293">
        <v>367.858</v>
      </c>
      <c r="M293">
        <v>0.99997309999999995</v>
      </c>
      <c r="N293">
        <v>0</v>
      </c>
      <c r="O293">
        <v>1.617315E-3</v>
      </c>
      <c r="P293">
        <v>0.98550649999999995</v>
      </c>
      <c r="Q293">
        <v>0.16960790000000001</v>
      </c>
      <c r="R293">
        <v>-3.1961139999999999E-3</v>
      </c>
      <c r="S293">
        <v>3.1635439999999999</v>
      </c>
      <c r="T293">
        <v>-0.70453889999999997</v>
      </c>
      <c r="U293">
        <v>-0.60577389999999998</v>
      </c>
      <c r="V293">
        <v>4.8517719999999999E-3</v>
      </c>
      <c r="W293">
        <v>0.17665919999999999</v>
      </c>
      <c r="X293">
        <v>0.98426009999999997</v>
      </c>
      <c r="Y293">
        <v>0.18523909999999999</v>
      </c>
      <c r="Z293">
        <v>-2.0553020000000002E-2</v>
      </c>
      <c r="AA293">
        <v>0.98247850000000003</v>
      </c>
      <c r="AB293">
        <v>27</v>
      </c>
      <c r="AC293">
        <v>0.66779999999999895</v>
      </c>
      <c r="AD293">
        <v>-0.1827618</v>
      </c>
      <c r="AE293">
        <v>-0.15780000000000799</v>
      </c>
      <c r="AF293">
        <v>0.14835574941125801</v>
      </c>
      <c r="AG293">
        <v>-0.1827618</v>
      </c>
      <c r="AH293">
        <v>0.62332616653415696</v>
      </c>
      <c r="AI293">
        <v>105.920082846733</v>
      </c>
      <c r="AJ293">
        <v>76.612307793938001</v>
      </c>
      <c r="AK293">
        <v>0.66629333915985101</v>
      </c>
      <c r="AL293">
        <v>79.824772006095898</v>
      </c>
      <c r="AM293">
        <v>89.717570785164895</v>
      </c>
      <c r="AN293">
        <v>0.99999997854409395</v>
      </c>
    </row>
    <row r="294" spans="1:40" x14ac:dyDescent="0.25">
      <c r="A294" t="str">
        <f>"20190312172059699"</f>
        <v>20190312172059699</v>
      </c>
      <c r="B294" t="str">
        <f>"1552382459691227"</f>
        <v>1552382459691227</v>
      </c>
      <c r="C294" t="s">
        <v>40</v>
      </c>
      <c r="D294">
        <v>3.1780930000000001</v>
      </c>
      <c r="E294">
        <v>0.57405340000000005</v>
      </c>
      <c r="F294" t="s">
        <v>41</v>
      </c>
      <c r="G294">
        <v>-443.00670000000002</v>
      </c>
      <c r="H294">
        <v>0.90791639999999996</v>
      </c>
      <c r="I294">
        <v>367.68430000000001</v>
      </c>
      <c r="J294">
        <v>-443.68079999999998</v>
      </c>
      <c r="K294">
        <v>1.1094489999999999</v>
      </c>
      <c r="L294">
        <v>367.85820000000001</v>
      </c>
      <c r="M294">
        <v>0.99997309999999995</v>
      </c>
      <c r="N294">
        <v>0</v>
      </c>
      <c r="O294">
        <v>1.46948E-3</v>
      </c>
      <c r="P294">
        <v>0.9854813</v>
      </c>
      <c r="Q294">
        <v>0.16975109999999999</v>
      </c>
      <c r="R294">
        <v>-3.3488110000000001E-3</v>
      </c>
      <c r="S294">
        <v>3.1633909999999998</v>
      </c>
      <c r="T294">
        <v>-0.70461010000000002</v>
      </c>
      <c r="U294">
        <v>-0.60662839999999996</v>
      </c>
      <c r="V294">
        <v>4.8590270000000001E-3</v>
      </c>
      <c r="W294">
        <v>0.17683699999999999</v>
      </c>
      <c r="X294">
        <v>0.98422810000000005</v>
      </c>
      <c r="Y294">
        <v>0.18535840000000001</v>
      </c>
      <c r="Z294">
        <v>-2.0536269999999999E-2</v>
      </c>
      <c r="AA294">
        <v>0.98245640000000001</v>
      </c>
      <c r="AB294">
        <v>27</v>
      </c>
      <c r="AC294">
        <v>0.67409999999995296</v>
      </c>
      <c r="AD294">
        <v>-0.20153259999999901</v>
      </c>
      <c r="AE294">
        <v>-0.173900000000003</v>
      </c>
      <c r="AF294">
        <v>0.16136731715797201</v>
      </c>
      <c r="AG294">
        <v>-0.20153259999999901</v>
      </c>
      <c r="AH294">
        <v>0.62173992902290398</v>
      </c>
      <c r="AI294">
        <v>107.419135744066</v>
      </c>
      <c r="AJ294">
        <v>75.450392959327303</v>
      </c>
      <c r="AK294">
        <v>0.67321269985861598</v>
      </c>
      <c r="AL294">
        <v>79.814421506910094</v>
      </c>
      <c r="AM294">
        <v>89.717139271014005</v>
      </c>
      <c r="AN294">
        <v>0.99999994377099599</v>
      </c>
    </row>
    <row r="295" spans="1:40" x14ac:dyDescent="0.25">
      <c r="A295" t="str">
        <f>"20190312172059713"</f>
        <v>20190312172059713</v>
      </c>
      <c r="B295" t="str">
        <f>"1552382459701964"</f>
        <v>1552382459701964</v>
      </c>
      <c r="C295" t="s">
        <v>40</v>
      </c>
      <c r="D295">
        <v>3.2422300000000002</v>
      </c>
      <c r="E295">
        <v>0.57404869999999997</v>
      </c>
      <c r="F295" t="s">
        <v>41</v>
      </c>
      <c r="G295">
        <v>-442.98770000000002</v>
      </c>
      <c r="H295">
        <v>0.95553960000000004</v>
      </c>
      <c r="I295">
        <v>367.72500000000002</v>
      </c>
      <c r="J295">
        <v>-443.51429999999999</v>
      </c>
      <c r="K295">
        <v>1.1094520000000001</v>
      </c>
      <c r="L295">
        <v>367.85840000000002</v>
      </c>
      <c r="M295">
        <v>0.99997309999999995</v>
      </c>
      <c r="N295">
        <v>0</v>
      </c>
      <c r="O295">
        <v>1.3627429999999901E-3</v>
      </c>
      <c r="P295">
        <v>0.98551409999999995</v>
      </c>
      <c r="Q295">
        <v>0.16955770000000001</v>
      </c>
      <c r="R295">
        <v>-3.5434860000000002E-3</v>
      </c>
      <c r="S295">
        <v>3.1631469999999999</v>
      </c>
      <c r="T295">
        <v>-0.70246850000000005</v>
      </c>
      <c r="U295">
        <v>-0.60678100000000001</v>
      </c>
      <c r="V295">
        <v>4.9483330000000001E-3</v>
      </c>
      <c r="W295">
        <v>0.1766713</v>
      </c>
      <c r="X295">
        <v>0.98425750000000001</v>
      </c>
      <c r="Y295">
        <v>0.18534220000000001</v>
      </c>
      <c r="Z295">
        <v>-2.045174E-2</v>
      </c>
      <c r="AA295">
        <v>0.98246120000000003</v>
      </c>
      <c r="AB295">
        <v>27</v>
      </c>
      <c r="AC295">
        <v>0.52659999999997298</v>
      </c>
      <c r="AD295">
        <v>-0.1539124</v>
      </c>
      <c r="AE295">
        <v>-0.133399999999994</v>
      </c>
      <c r="AF295">
        <v>0.124151418342137</v>
      </c>
      <c r="AG295">
        <v>-0.1539124</v>
      </c>
      <c r="AH295">
        <v>0.48730030537966401</v>
      </c>
      <c r="AI295">
        <v>107.01776906972999</v>
      </c>
      <c r="AJ295">
        <v>75.706610341600197</v>
      </c>
      <c r="AK295">
        <v>0.52589370520404499</v>
      </c>
      <c r="AL295">
        <v>79.824068180313205</v>
      </c>
      <c r="AM295">
        <v>89.711949151653101</v>
      </c>
      <c r="AN295">
        <v>1.0000000302747001</v>
      </c>
    </row>
    <row r="296" spans="1:40" x14ac:dyDescent="0.25">
      <c r="A296" t="str">
        <f>"20190312172059733"</f>
        <v>20190312172059733</v>
      </c>
      <c r="B296" t="str">
        <f>"1552382459721483"</f>
        <v>1552382459721483</v>
      </c>
      <c r="C296" t="s">
        <v>40</v>
      </c>
      <c r="D296">
        <v>3.2044009999999998</v>
      </c>
      <c r="E296">
        <v>0.5740883</v>
      </c>
      <c r="F296" t="s">
        <v>41</v>
      </c>
      <c r="G296">
        <v>-442.74979999999999</v>
      </c>
      <c r="H296">
        <v>0.9397278</v>
      </c>
      <c r="I296">
        <v>367.71100000000001</v>
      </c>
      <c r="J296">
        <v>-443.27859999999998</v>
      </c>
      <c r="K296">
        <v>1.109459</v>
      </c>
      <c r="L296">
        <v>367.85860000000002</v>
      </c>
      <c r="M296">
        <v>0.999973</v>
      </c>
      <c r="N296">
        <v>0</v>
      </c>
      <c r="O296">
        <v>1.213637E-3</v>
      </c>
      <c r="P296">
        <v>0.98550879999999996</v>
      </c>
      <c r="Q296">
        <v>0.1695834</v>
      </c>
      <c r="R296">
        <v>-3.7962159999999998E-3</v>
      </c>
      <c r="S296">
        <v>3.1627200000000002</v>
      </c>
      <c r="T296">
        <v>-0.70217869999999905</v>
      </c>
      <c r="U296">
        <v>-0.60760499999999995</v>
      </c>
      <c r="V296">
        <v>5.0539829999999997E-3</v>
      </c>
      <c r="W296">
        <v>0.17673749999999999</v>
      </c>
      <c r="X296">
        <v>0.98424509999999998</v>
      </c>
      <c r="Y296">
        <v>0.18547040000000001</v>
      </c>
      <c r="Z296">
        <v>-2.042718E-2</v>
      </c>
      <c r="AA296">
        <v>0.98243749999999996</v>
      </c>
      <c r="AB296">
        <v>27</v>
      </c>
      <c r="AC296">
        <v>0.52879999999998895</v>
      </c>
      <c r="AD296">
        <v>-0.169731199999999</v>
      </c>
      <c r="AE296">
        <v>-0.147600000000011</v>
      </c>
      <c r="AF296">
        <v>0.135309098205425</v>
      </c>
      <c r="AG296">
        <v>-0.169731199999999</v>
      </c>
      <c r="AH296">
        <v>0.48250370468527898</v>
      </c>
      <c r="AI296">
        <v>108.711530567418</v>
      </c>
      <c r="AJ296">
        <v>74.334845714682004</v>
      </c>
      <c r="AK296">
        <v>0.52908133339367003</v>
      </c>
      <c r="AL296">
        <v>79.820214780182596</v>
      </c>
      <c r="AM296">
        <v>89.705795486691301</v>
      </c>
      <c r="AN296">
        <v>1.0000000517622101</v>
      </c>
    </row>
    <row r="297" spans="1:40" x14ac:dyDescent="0.25">
      <c r="A297" t="str">
        <f>"20190312172059745"</f>
        <v>20190312172059745</v>
      </c>
      <c r="B297" t="str">
        <f>"1552382459741981"</f>
        <v>1552382459741981</v>
      </c>
      <c r="C297" t="s">
        <v>40</v>
      </c>
      <c r="D297">
        <v>3.2827579999999998</v>
      </c>
      <c r="E297">
        <v>0.57411400000000001</v>
      </c>
      <c r="F297" t="s">
        <v>41</v>
      </c>
      <c r="G297">
        <v>-442.50510000000003</v>
      </c>
      <c r="H297">
        <v>0.93808749999999996</v>
      </c>
      <c r="I297">
        <v>367.70979999999997</v>
      </c>
      <c r="J297">
        <v>-443.12049999999999</v>
      </c>
      <c r="K297">
        <v>1.109464</v>
      </c>
      <c r="L297">
        <v>367.8587</v>
      </c>
      <c r="M297">
        <v>0.9999728</v>
      </c>
      <c r="N297">
        <v>0</v>
      </c>
      <c r="O297">
        <v>1.1154839999999999E-3</v>
      </c>
      <c r="P297">
        <v>0.98550280000000001</v>
      </c>
      <c r="Q297">
        <v>0.1696192</v>
      </c>
      <c r="R297">
        <v>-3.7120719999999999E-3</v>
      </c>
      <c r="S297">
        <v>3.1623839999999999</v>
      </c>
      <c r="T297">
        <v>-0.70063189999999997</v>
      </c>
      <c r="U297">
        <v>-0.60760499999999995</v>
      </c>
      <c r="V297">
        <v>4.8729460000000004E-3</v>
      </c>
      <c r="W297">
        <v>0.17680179999999901</v>
      </c>
      <c r="X297">
        <v>0.98423439999999995</v>
      </c>
      <c r="Y297">
        <v>0.1854152</v>
      </c>
      <c r="Z297">
        <v>-2.0358009999999999E-2</v>
      </c>
      <c r="AA297">
        <v>0.98244940000000003</v>
      </c>
      <c r="AB297">
        <v>27</v>
      </c>
      <c r="AC297">
        <v>0.61539999999996498</v>
      </c>
      <c r="AD297">
        <v>-0.17137649999999999</v>
      </c>
      <c r="AE297">
        <v>-0.14890000000002601</v>
      </c>
      <c r="AF297">
        <v>0.13937546205703299</v>
      </c>
      <c r="AG297">
        <v>-0.17137649999999999</v>
      </c>
      <c r="AH297">
        <v>0.57323699815314</v>
      </c>
      <c r="AI297">
        <v>106.198551926809</v>
      </c>
      <c r="AJ297">
        <v>76.334408347504507</v>
      </c>
      <c r="AK297">
        <v>0.614325711839806</v>
      </c>
      <c r="AL297">
        <v>79.816471061861094</v>
      </c>
      <c r="AM297">
        <v>89.7163308269391</v>
      </c>
      <c r="AN297">
        <v>0.99999998811465896</v>
      </c>
    </row>
    <row r="298" spans="1:40" x14ac:dyDescent="0.25">
      <c r="A298" t="str">
        <f>"20190312172059765"</f>
        <v>20190312172059765</v>
      </c>
      <c r="B298" t="str">
        <f>"1552382459761500"</f>
        <v>1552382459761500</v>
      </c>
      <c r="C298" t="s">
        <v>40</v>
      </c>
      <c r="D298">
        <v>3.2142360000000001</v>
      </c>
      <c r="E298">
        <v>0.57421489999999997</v>
      </c>
      <c r="F298" t="s">
        <v>41</v>
      </c>
      <c r="G298">
        <v>-442.26569999999998</v>
      </c>
      <c r="H298">
        <v>0.92042579999999996</v>
      </c>
      <c r="I298">
        <v>367.69400000000002</v>
      </c>
      <c r="J298">
        <v>-442.87360000000001</v>
      </c>
      <c r="K298">
        <v>1.1094710000000001</v>
      </c>
      <c r="L298">
        <v>367.85879999999997</v>
      </c>
      <c r="M298">
        <v>0.99997259999999999</v>
      </c>
      <c r="N298">
        <v>0</v>
      </c>
      <c r="O298">
        <v>9.658402E-4</v>
      </c>
      <c r="P298">
        <v>0.98548639999999998</v>
      </c>
      <c r="Q298">
        <v>0.16971449999999999</v>
      </c>
      <c r="R298">
        <v>-3.6612099999999998E-3</v>
      </c>
      <c r="S298">
        <v>3.162201</v>
      </c>
      <c r="T298">
        <v>-0.69942369999999898</v>
      </c>
      <c r="U298">
        <v>-0.60723879999999997</v>
      </c>
      <c r="V298">
        <v>4.673997E-3</v>
      </c>
      <c r="W298">
        <v>0.17694260000000001</v>
      </c>
      <c r="X298">
        <v>0.98421009999999998</v>
      </c>
      <c r="Y298">
        <v>0.185192</v>
      </c>
      <c r="Z298">
        <v>-2.0268459999999999E-2</v>
      </c>
      <c r="AA298">
        <v>0.98249330000000001</v>
      </c>
      <c r="AB298">
        <v>27</v>
      </c>
      <c r="AC298">
        <v>0.60790000000002897</v>
      </c>
      <c r="AD298">
        <v>-0.189045199999999</v>
      </c>
      <c r="AE298">
        <v>-0.16479999999995601</v>
      </c>
      <c r="AF298">
        <v>0.151718994307531</v>
      </c>
      <c r="AG298">
        <v>-0.189045199999999</v>
      </c>
      <c r="AH298">
        <v>0.55751505846967297</v>
      </c>
      <c r="AI298">
        <v>108.117397301613</v>
      </c>
      <c r="AJ298">
        <v>74.776506476135907</v>
      </c>
      <c r="AK298">
        <v>0.60793073725316105</v>
      </c>
      <c r="AL298">
        <v>79.808274973481801</v>
      </c>
      <c r="AM298">
        <v>89.727905364550693</v>
      </c>
      <c r="AN298">
        <v>1.00000002544236</v>
      </c>
    </row>
    <row r="299" spans="1:40" x14ac:dyDescent="0.25">
      <c r="A299" t="str">
        <f>"20190312172059779"</f>
        <v>20190312172059779</v>
      </c>
      <c r="B299" t="str">
        <f>"1552382459771260"</f>
        <v>1552382459771260</v>
      </c>
      <c r="C299" t="s">
        <v>40</v>
      </c>
      <c r="D299">
        <v>3.2015120000000001</v>
      </c>
      <c r="E299">
        <v>0.57428570000000001</v>
      </c>
      <c r="F299" t="s">
        <v>41</v>
      </c>
      <c r="G299">
        <v>-442.01900000000001</v>
      </c>
      <c r="H299">
        <v>0.92079520000000004</v>
      </c>
      <c r="I299">
        <v>367.69459999999998</v>
      </c>
      <c r="J299">
        <v>-442.6995</v>
      </c>
      <c r="K299">
        <v>1.109477</v>
      </c>
      <c r="L299">
        <v>367.85890000000001</v>
      </c>
      <c r="M299">
        <v>0.99997250000000004</v>
      </c>
      <c r="N299">
        <v>0</v>
      </c>
      <c r="O299">
        <v>8.6398669999999999E-4</v>
      </c>
      <c r="P299">
        <v>0.98550979999999999</v>
      </c>
      <c r="Q299">
        <v>0.16958110000000001</v>
      </c>
      <c r="R299">
        <v>-3.5957340000000002E-3</v>
      </c>
      <c r="S299">
        <v>3.1621090000000001</v>
      </c>
      <c r="T299">
        <v>-0.69813970000000003</v>
      </c>
      <c r="U299">
        <v>-0.60748290000000005</v>
      </c>
      <c r="V299">
        <v>4.5070930000000002E-3</v>
      </c>
      <c r="W299">
        <v>0.1768422</v>
      </c>
      <c r="X299">
        <v>0.98422889999999996</v>
      </c>
      <c r="Y299">
        <v>0.18518850000000001</v>
      </c>
      <c r="Z299">
        <v>-2.0210120000000002E-2</v>
      </c>
      <c r="AA299">
        <v>0.98249520000000001</v>
      </c>
      <c r="AB299">
        <v>28</v>
      </c>
      <c r="AC299">
        <v>0.680499999999994</v>
      </c>
      <c r="AD299">
        <v>-0.18868180000000001</v>
      </c>
      <c r="AE299">
        <v>-0.16430000000002501</v>
      </c>
      <c r="AF299">
        <v>0.153721039034522</v>
      </c>
      <c r="AG299">
        <v>-0.18868180000000001</v>
      </c>
      <c r="AH299">
        <v>0.63428127716080296</v>
      </c>
      <c r="AI299">
        <v>106.12480092291101</v>
      </c>
      <c r="AJ299">
        <v>76.376769338716201</v>
      </c>
      <c r="AK299">
        <v>0.67937008916336095</v>
      </c>
      <c r="AL299">
        <v>79.814119403585295</v>
      </c>
      <c r="AM299">
        <v>89.737626479260697</v>
      </c>
      <c r="AN299">
        <v>1.00000000259168</v>
      </c>
    </row>
    <row r="300" spans="1:40" x14ac:dyDescent="0.25">
      <c r="A300" t="str">
        <f>"20190312172059792"</f>
        <v>20190312172059792</v>
      </c>
      <c r="B300" t="str">
        <f>"1552382459781996"</f>
        <v>1552382459781996</v>
      </c>
      <c r="C300" t="s">
        <v>40</v>
      </c>
      <c r="D300">
        <v>3.3077209999999999</v>
      </c>
      <c r="E300">
        <v>0.57429619999999904</v>
      </c>
      <c r="F300" t="s">
        <v>41</v>
      </c>
      <c r="G300">
        <v>-442.00479999999999</v>
      </c>
      <c r="H300">
        <v>0.95593439999999996</v>
      </c>
      <c r="I300">
        <v>367.72539999999998</v>
      </c>
      <c r="J300">
        <v>-442.53870000000001</v>
      </c>
      <c r="K300">
        <v>1.109483</v>
      </c>
      <c r="L300">
        <v>367.85890000000001</v>
      </c>
      <c r="M300">
        <v>0.99997230000000004</v>
      </c>
      <c r="N300">
        <v>0</v>
      </c>
      <c r="O300">
        <v>7.7353070000000005E-4</v>
      </c>
      <c r="P300">
        <v>0.98553480000000004</v>
      </c>
      <c r="Q300">
        <v>0.1694398</v>
      </c>
      <c r="R300">
        <v>-3.3922990000000001E-3</v>
      </c>
      <c r="S300">
        <v>3.1621090000000001</v>
      </c>
      <c r="T300">
        <v>-0.69876280000000002</v>
      </c>
      <c r="U300">
        <v>-0.60775760000000001</v>
      </c>
      <c r="V300">
        <v>4.2133450000000003E-3</v>
      </c>
      <c r="W300">
        <v>0.1767328</v>
      </c>
      <c r="X300">
        <v>0.98424979999999995</v>
      </c>
      <c r="Y300">
        <v>0.1851768</v>
      </c>
      <c r="Z300">
        <v>-2.0206749999999999E-2</v>
      </c>
      <c r="AA300">
        <v>0.98249750000000002</v>
      </c>
      <c r="AB300">
        <v>28</v>
      </c>
      <c r="AC300">
        <v>0.53390000000001603</v>
      </c>
      <c r="AD300">
        <v>-0.15354859999999901</v>
      </c>
      <c r="AE300">
        <v>-0.13350000000002599</v>
      </c>
      <c r="AF300">
        <v>0.12424133381326199</v>
      </c>
      <c r="AG300">
        <v>-0.15354859999999901</v>
      </c>
      <c r="AH300">
        <v>0.49524406200849702</v>
      </c>
      <c r="AI300">
        <v>106.737479173336</v>
      </c>
      <c r="AJ300">
        <v>75.916910224511</v>
      </c>
      <c r="AK300">
        <v>0.53317892169921199</v>
      </c>
      <c r="AL300">
        <v>79.820487349134197</v>
      </c>
      <c r="AM300">
        <v>89.754731561482501</v>
      </c>
      <c r="AN300">
        <v>0.999999951835983</v>
      </c>
    </row>
    <row r="301" spans="1:40" x14ac:dyDescent="0.25">
      <c r="A301" t="str">
        <f>"20190312172059811"</f>
        <v>20190312172059811</v>
      </c>
      <c r="B301" t="str">
        <f>"1552382459801507"</f>
        <v>1552382459801507</v>
      </c>
      <c r="C301" t="s">
        <v>40</v>
      </c>
      <c r="D301">
        <v>3.2326359999999998</v>
      </c>
      <c r="E301">
        <v>0.57437269999999996</v>
      </c>
      <c r="F301" t="s">
        <v>41</v>
      </c>
      <c r="G301">
        <v>-441.76510000000002</v>
      </c>
      <c r="H301">
        <v>0.93835250000000003</v>
      </c>
      <c r="I301">
        <v>367.71010000000001</v>
      </c>
      <c r="J301">
        <v>-442.30599999999998</v>
      </c>
      <c r="K301">
        <v>1.10949599999999</v>
      </c>
      <c r="L301">
        <v>367.85890000000001</v>
      </c>
      <c r="M301">
        <v>0.99997199999999997</v>
      </c>
      <c r="N301">
        <v>0</v>
      </c>
      <c r="O301">
        <v>6.4936620000000003E-4</v>
      </c>
      <c r="P301">
        <v>0.98552220000000001</v>
      </c>
      <c r="Q301">
        <v>0.1695226</v>
      </c>
      <c r="R301">
        <v>-2.9146929999999999E-3</v>
      </c>
      <c r="S301">
        <v>3.1622309999999998</v>
      </c>
      <c r="T301">
        <v>-0.69960580000000006</v>
      </c>
      <c r="U301">
        <v>-0.60723879999999997</v>
      </c>
      <c r="V301">
        <v>3.6108249999999998E-3</v>
      </c>
      <c r="W301">
        <v>0.17686189999999999</v>
      </c>
      <c r="X301">
        <v>0.98422909999999997</v>
      </c>
      <c r="Y301">
        <v>0.1848918</v>
      </c>
      <c r="Z301">
        <v>-2.0172329999999999E-2</v>
      </c>
      <c r="AA301">
        <v>0.98255179999999998</v>
      </c>
      <c r="AB301">
        <v>28</v>
      </c>
      <c r="AC301">
        <v>0.54089999999996496</v>
      </c>
      <c r="AD301">
        <v>-0.171143499999999</v>
      </c>
      <c r="AE301">
        <v>-0.14879999999999399</v>
      </c>
      <c r="AF301">
        <v>0.13645180604534299</v>
      </c>
      <c r="AG301">
        <v>-0.171143499999999</v>
      </c>
      <c r="AH301">
        <v>0.49475680408302503</v>
      </c>
      <c r="AI301">
        <v>108.441717167047</v>
      </c>
      <c r="AJ301">
        <v>74.581371739305297</v>
      </c>
      <c r="AK301">
        <v>0.54101154160677101</v>
      </c>
      <c r="AL301">
        <v>79.812973042036106</v>
      </c>
      <c r="AM301">
        <v>89.789800865574705</v>
      </c>
      <c r="AN301">
        <v>1.00000004550779</v>
      </c>
    </row>
    <row r="302" spans="1:40" x14ac:dyDescent="0.25">
      <c r="A302" t="str">
        <f>"20190312172059823"</f>
        <v>20190312172059823</v>
      </c>
      <c r="B302" t="str">
        <f>"1552382459822003"</f>
        <v>1552382459822003</v>
      </c>
      <c r="C302" t="s">
        <v>40</v>
      </c>
      <c r="D302">
        <v>3.20126</v>
      </c>
      <c r="E302">
        <v>0.57443580000000005</v>
      </c>
      <c r="F302" t="s">
        <v>41</v>
      </c>
      <c r="G302">
        <v>-441.51839999999999</v>
      </c>
      <c r="H302">
        <v>0.93531810000000004</v>
      </c>
      <c r="I302">
        <v>367.7079</v>
      </c>
      <c r="J302">
        <v>-442.14980000000003</v>
      </c>
      <c r="K302">
        <v>1.1095029999999999</v>
      </c>
      <c r="L302">
        <v>367.85890000000001</v>
      </c>
      <c r="M302">
        <v>0.99997190000000002</v>
      </c>
      <c r="N302">
        <v>0</v>
      </c>
      <c r="O302">
        <v>5.7078809999999995E-4</v>
      </c>
      <c r="P302">
        <v>0.98546180000000005</v>
      </c>
      <c r="Q302">
        <v>0.16987629999999901</v>
      </c>
      <c r="R302">
        <v>-2.7604729999999998E-3</v>
      </c>
      <c r="S302">
        <v>3.162598</v>
      </c>
      <c r="T302">
        <v>-0.69940599999999997</v>
      </c>
      <c r="U302">
        <v>-0.60595699999999997</v>
      </c>
      <c r="V302">
        <v>3.3772429999999998E-3</v>
      </c>
      <c r="W302">
        <v>0.17724619999999999</v>
      </c>
      <c r="X302">
        <v>0.9841607</v>
      </c>
      <c r="Y302">
        <v>0.18442529999999999</v>
      </c>
      <c r="Z302">
        <v>-2.009764E-2</v>
      </c>
      <c r="AA302">
        <v>0.98264099999999999</v>
      </c>
      <c r="AB302">
        <v>28</v>
      </c>
      <c r="AC302">
        <v>0.63140000000004104</v>
      </c>
      <c r="AD302">
        <v>-0.1741849</v>
      </c>
      <c r="AE302">
        <v>-0.15100000000000999</v>
      </c>
      <c r="AF302">
        <v>0.14119602342645399</v>
      </c>
      <c r="AG302">
        <v>-0.1741849</v>
      </c>
      <c r="AH302">
        <v>0.58891887130504506</v>
      </c>
      <c r="AI302">
        <v>106.04627269203699</v>
      </c>
      <c r="AJ302">
        <v>76.517560693447393</v>
      </c>
      <c r="AK302">
        <v>0.63016040291235498</v>
      </c>
      <c r="AL302">
        <v>79.7905998572474</v>
      </c>
      <c r="AM302">
        <v>89.803384741185397</v>
      </c>
      <c r="AN302">
        <v>0.99999995230460403</v>
      </c>
    </row>
    <row r="303" spans="1:40" x14ac:dyDescent="0.25">
      <c r="A303" t="str">
        <f>"20190312172059836"</f>
        <v>20190312172059836</v>
      </c>
      <c r="B303" t="str">
        <f>"1552382459831763"</f>
        <v>1552382459831763</v>
      </c>
      <c r="C303" t="s">
        <v>40</v>
      </c>
      <c r="D303">
        <v>3.2441390000000001</v>
      </c>
      <c r="E303">
        <v>0.57446589999999997</v>
      </c>
      <c r="F303" t="s">
        <v>41</v>
      </c>
      <c r="G303">
        <v>-441.27699999999999</v>
      </c>
      <c r="H303">
        <v>0.91668559999999999</v>
      </c>
      <c r="I303">
        <v>367.69170000000003</v>
      </c>
      <c r="J303">
        <v>-441.99439999999998</v>
      </c>
      <c r="K303">
        <v>1.1095120000000001</v>
      </c>
      <c r="L303">
        <v>367.85899999999998</v>
      </c>
      <c r="M303">
        <v>0.99997170000000002</v>
      </c>
      <c r="N303">
        <v>0</v>
      </c>
      <c r="O303">
        <v>4.9722169999999997E-4</v>
      </c>
      <c r="P303">
        <v>0.98549399999999998</v>
      </c>
      <c r="Q303">
        <v>0.16969519999999999</v>
      </c>
      <c r="R303">
        <v>-2.3398519999999999E-3</v>
      </c>
      <c r="S303">
        <v>3.1630250000000002</v>
      </c>
      <c r="T303">
        <v>-0.69888689999999998</v>
      </c>
      <c r="U303">
        <v>-0.60446169999999899</v>
      </c>
      <c r="V303">
        <v>2.8817600000000001E-3</v>
      </c>
      <c r="W303">
        <v>0.17709749999999999</v>
      </c>
      <c r="X303">
        <v>0.98418910000000004</v>
      </c>
      <c r="Y303">
        <v>0.18390119999999999</v>
      </c>
      <c r="Z303">
        <v>-2.0008680000000001E-2</v>
      </c>
      <c r="AA303">
        <v>0.98274110000000003</v>
      </c>
      <c r="AB303">
        <v>28</v>
      </c>
      <c r="AC303">
        <v>0.71739999999999704</v>
      </c>
      <c r="AD303">
        <v>-0.19282640000000001</v>
      </c>
      <c r="AE303">
        <v>-0.167300000000011</v>
      </c>
      <c r="AF303">
        <v>0.156905664087579</v>
      </c>
      <c r="AG303">
        <v>-0.19282640000000001</v>
      </c>
      <c r="AH303">
        <v>0.67131858998513305</v>
      </c>
      <c r="AI303">
        <v>105.626155026391</v>
      </c>
      <c r="AJ303">
        <v>76.844557654460004</v>
      </c>
      <c r="AK303">
        <v>0.71587013991320503</v>
      </c>
      <c r="AL303">
        <v>79.799257253686093</v>
      </c>
      <c r="AM303">
        <v>89.832235275002404</v>
      </c>
      <c r="AN303">
        <v>1.00000000680287</v>
      </c>
    </row>
    <row r="304" spans="1:40" x14ac:dyDescent="0.25">
      <c r="A304" t="str">
        <f>"20190312172059854"</f>
        <v>20190312172059854</v>
      </c>
      <c r="B304" t="str">
        <f>"1552382459851283"</f>
        <v>1552382459851283</v>
      </c>
      <c r="C304" t="s">
        <v>40</v>
      </c>
      <c r="D304">
        <v>3.2105800000000002</v>
      </c>
      <c r="E304">
        <v>0.57451949999999996</v>
      </c>
      <c r="F304" t="s">
        <v>41</v>
      </c>
      <c r="G304">
        <v>-441.26459999999997</v>
      </c>
      <c r="H304">
        <v>0.94805399999999995</v>
      </c>
      <c r="I304">
        <v>367.71949999999998</v>
      </c>
      <c r="J304">
        <v>-441.77530000000002</v>
      </c>
      <c r="K304">
        <v>1.1095250000000001</v>
      </c>
      <c r="L304">
        <v>367.85899999999998</v>
      </c>
      <c r="M304">
        <v>0.99997130000000001</v>
      </c>
      <c r="N304">
        <v>0</v>
      </c>
      <c r="O304">
        <v>4.0223320000000001E-4</v>
      </c>
      <c r="P304">
        <v>0.98549819999999999</v>
      </c>
      <c r="Q304">
        <v>0.1696829</v>
      </c>
      <c r="R304">
        <v>-1.004979E-3</v>
      </c>
      <c r="S304">
        <v>3.163208</v>
      </c>
      <c r="T304">
        <v>-0.69993339999999904</v>
      </c>
      <c r="U304">
        <v>-0.60284419999999905</v>
      </c>
      <c r="V304">
        <v>1.449627E-3</v>
      </c>
      <c r="W304">
        <v>0.1771317</v>
      </c>
      <c r="X304">
        <v>0.98418609999999895</v>
      </c>
      <c r="Y304">
        <v>0.1833157</v>
      </c>
      <c r="Z304">
        <v>-1.9953720000000001E-2</v>
      </c>
      <c r="AA304">
        <v>0.98285160000000005</v>
      </c>
      <c r="AB304">
        <v>28</v>
      </c>
      <c r="AC304">
        <v>0.51070000000004201</v>
      </c>
      <c r="AD304">
        <v>-0.161471</v>
      </c>
      <c r="AE304">
        <v>-0.139500000000055</v>
      </c>
      <c r="AF304">
        <v>0.127815252488887</v>
      </c>
      <c r="AG304">
        <v>-0.161471</v>
      </c>
      <c r="AH304">
        <v>0.46718355196886202</v>
      </c>
      <c r="AI304">
        <v>108.437100743087</v>
      </c>
      <c r="AJ304">
        <v>74.699053505954694</v>
      </c>
      <c r="AK304">
        <v>0.51055860960328503</v>
      </c>
      <c r="AL304">
        <v>79.797266293863004</v>
      </c>
      <c r="AM304">
        <v>89.915607984197194</v>
      </c>
      <c r="AN304">
        <v>1.00000000999826</v>
      </c>
    </row>
    <row r="305" spans="1:40" x14ac:dyDescent="0.25">
      <c r="A305" t="str">
        <f>"20190312172059865"</f>
        <v>20190312172059865</v>
      </c>
      <c r="B305" t="str">
        <f>"1552382459862019"</f>
        <v>1552382459862019</v>
      </c>
      <c r="C305" t="s">
        <v>40</v>
      </c>
      <c r="D305">
        <v>3.2462089999999999</v>
      </c>
      <c r="E305">
        <v>0.57455480000000003</v>
      </c>
      <c r="F305" t="s">
        <v>41</v>
      </c>
      <c r="G305">
        <v>-441.01830000000001</v>
      </c>
      <c r="H305">
        <v>0.9419208</v>
      </c>
      <c r="I305">
        <v>367.71570000000003</v>
      </c>
      <c r="J305">
        <v>-441.62709999999998</v>
      </c>
      <c r="K305">
        <v>1.1095349999999999</v>
      </c>
      <c r="L305">
        <v>367.85899999999998</v>
      </c>
      <c r="M305">
        <v>0.9999711</v>
      </c>
      <c r="N305">
        <v>0</v>
      </c>
      <c r="O305">
        <v>3.4369959999999998E-4</v>
      </c>
      <c r="P305">
        <v>0.98553349999999995</v>
      </c>
      <c r="Q305">
        <v>0.16948009999999999</v>
      </c>
      <c r="R305">
        <v>-3.4436820000000002E-4</v>
      </c>
      <c r="S305">
        <v>3.1641539999999999</v>
      </c>
      <c r="T305">
        <v>-0.70055199999999995</v>
      </c>
      <c r="U305">
        <v>-0.59771730000000001</v>
      </c>
      <c r="V305">
        <v>7.2860869999999997E-4</v>
      </c>
      <c r="W305">
        <v>0.17695949999999999</v>
      </c>
      <c r="X305">
        <v>0.98421789999999998</v>
      </c>
      <c r="Y305">
        <v>0.18169930000000001</v>
      </c>
      <c r="Z305">
        <v>-1.9780099999999998E-2</v>
      </c>
      <c r="AA305">
        <v>0.98315520000000001</v>
      </c>
      <c r="AB305">
        <v>28</v>
      </c>
      <c r="AC305">
        <v>0.60879999999997303</v>
      </c>
      <c r="AD305">
        <v>-0.16761419999999899</v>
      </c>
      <c r="AE305">
        <v>-0.14330000000001</v>
      </c>
      <c r="AF305">
        <v>0.13389287638623801</v>
      </c>
      <c r="AG305">
        <v>-0.16761419999999899</v>
      </c>
      <c r="AH305">
        <v>0.56795912621885203</v>
      </c>
      <c r="AI305">
        <v>106.02633070076099</v>
      </c>
      <c r="AJ305">
        <v>76.735066010840995</v>
      </c>
      <c r="AK305">
        <v>0.60712386828710896</v>
      </c>
      <c r="AL305">
        <v>79.8072912491983</v>
      </c>
      <c r="AM305">
        <v>89.957584396909994</v>
      </c>
      <c r="AN305">
        <v>1.0000000350956399</v>
      </c>
    </row>
    <row r="306" spans="1:40" x14ac:dyDescent="0.25">
      <c r="A306" t="str">
        <f>"20190312172059877"</f>
        <v>20190312172059877</v>
      </c>
      <c r="B306" t="str">
        <f>"1552382459871779"</f>
        <v>1552382459871779</v>
      </c>
      <c r="C306" t="s">
        <v>40</v>
      </c>
      <c r="D306">
        <v>3.203573</v>
      </c>
      <c r="E306">
        <v>0.57459399999999905</v>
      </c>
      <c r="F306" t="s">
        <v>41</v>
      </c>
      <c r="G306">
        <v>-440.77690000000001</v>
      </c>
      <c r="H306">
        <v>0.9211878</v>
      </c>
      <c r="I306">
        <v>367.69850000000002</v>
      </c>
      <c r="J306">
        <v>-441.4819</v>
      </c>
      <c r="K306">
        <v>1.1095459999999999</v>
      </c>
      <c r="L306">
        <v>367.85899999999998</v>
      </c>
      <c r="M306">
        <v>0.9999709</v>
      </c>
      <c r="N306">
        <v>0</v>
      </c>
      <c r="O306">
        <v>2.9035680000000003E-4</v>
      </c>
      <c r="P306">
        <v>0.98553659999999998</v>
      </c>
      <c r="Q306">
        <v>0.16946249999999999</v>
      </c>
      <c r="R306">
        <v>4.1679940000000001E-4</v>
      </c>
      <c r="S306">
        <v>3.1643680000000001</v>
      </c>
      <c r="T306">
        <v>-0.70108530000000002</v>
      </c>
      <c r="U306">
        <v>-0.59588619999999903</v>
      </c>
      <c r="V306" s="1">
        <v>-8.7936949999999897E-5</v>
      </c>
      <c r="W306">
        <v>0.17697260000000001</v>
      </c>
      <c r="X306">
        <v>0.98421579999999997</v>
      </c>
      <c r="Y306">
        <v>0.18109439999999999</v>
      </c>
      <c r="Z306">
        <v>-1.971732E-2</v>
      </c>
      <c r="AA306">
        <v>0.98326800000000003</v>
      </c>
      <c r="AB306">
        <v>28</v>
      </c>
      <c r="AC306">
        <v>0.70499999999998397</v>
      </c>
      <c r="AD306">
        <v>-0.188358199999999</v>
      </c>
      <c r="AE306">
        <v>-0.16050000000001299</v>
      </c>
      <c r="AF306">
        <v>0.150491591592992</v>
      </c>
      <c r="AG306">
        <v>-0.188358199999999</v>
      </c>
      <c r="AH306">
        <v>0.66015215278657602</v>
      </c>
      <c r="AI306">
        <v>105.545957007147</v>
      </c>
      <c r="AJ306">
        <v>77.158022923102905</v>
      </c>
      <c r="AK306">
        <v>0.70279968374792401</v>
      </c>
      <c r="AL306">
        <v>79.806528533426004</v>
      </c>
      <c r="AM306">
        <v>90.005119218859093</v>
      </c>
      <c r="AN306">
        <v>1.0000000249266501</v>
      </c>
    </row>
    <row r="307" spans="1:40" x14ac:dyDescent="0.25">
      <c r="A307" t="str">
        <f>"20190312172059890"</f>
        <v>20190312172059890</v>
      </c>
      <c r="B307" t="str">
        <f>"1552382459881539"</f>
        <v>1552382459881539</v>
      </c>
      <c r="C307" t="s">
        <v>40</v>
      </c>
      <c r="D307">
        <v>3.2402540000000002</v>
      </c>
      <c r="E307">
        <v>0.57463409999999904</v>
      </c>
      <c r="F307" t="s">
        <v>41</v>
      </c>
      <c r="G307">
        <v>-440.76490000000001</v>
      </c>
      <c r="H307">
        <v>0.95072440000000003</v>
      </c>
      <c r="I307">
        <v>367.72410000000002</v>
      </c>
      <c r="J307">
        <v>-441.32350000000002</v>
      </c>
      <c r="K307">
        <v>1.109553</v>
      </c>
      <c r="L307">
        <v>367.85890000000001</v>
      </c>
      <c r="M307">
        <v>0.99997069999999999</v>
      </c>
      <c r="N307">
        <v>0</v>
      </c>
      <c r="O307">
        <v>2.3885679999999999E-4</v>
      </c>
      <c r="P307">
        <v>0.98559339999999995</v>
      </c>
      <c r="Q307">
        <v>0.1691299</v>
      </c>
      <c r="R307">
        <v>1.0291549999999999E-3</v>
      </c>
      <c r="S307">
        <v>3.164825</v>
      </c>
      <c r="T307">
        <v>-0.70108119999999996</v>
      </c>
      <c r="U307">
        <v>-0.59381099999999998</v>
      </c>
      <c r="V307">
        <v>-7.5452050000000001E-4</v>
      </c>
      <c r="W307">
        <v>0.1766741</v>
      </c>
      <c r="X307">
        <v>0.98426910000000001</v>
      </c>
      <c r="Y307">
        <v>0.18041289999999999</v>
      </c>
      <c r="Z307">
        <v>-1.9630470000000001E-2</v>
      </c>
      <c r="AA307">
        <v>0.98339500000000002</v>
      </c>
      <c r="AB307">
        <v>28</v>
      </c>
      <c r="AC307">
        <v>0.55860000000001198</v>
      </c>
      <c r="AD307">
        <v>-0.15882859999999999</v>
      </c>
      <c r="AE307">
        <v>-0.13479999999998399</v>
      </c>
      <c r="AF307">
        <v>0.12535661224731501</v>
      </c>
      <c r="AG307">
        <v>-0.15882859999999999</v>
      </c>
      <c r="AH307">
        <v>0.51892379536915501</v>
      </c>
      <c r="AI307">
        <v>106.56854263932701</v>
      </c>
      <c r="AJ307">
        <v>76.4192219535053</v>
      </c>
      <c r="AK307">
        <v>0.55697639969069801</v>
      </c>
      <c r="AL307">
        <v>79.823904712955496</v>
      </c>
      <c r="AM307">
        <v>90.043921760561204</v>
      </c>
      <c r="AN307">
        <v>0.99999998406340196</v>
      </c>
    </row>
    <row r="308" spans="1:40" x14ac:dyDescent="0.25">
      <c r="A308" t="str">
        <f>"20190312172059912"</f>
        <v>20190312172059912</v>
      </c>
      <c r="B308" t="str">
        <f>"1552382459902035"</f>
        <v>1552382459902035</v>
      </c>
      <c r="C308" t="s">
        <v>40</v>
      </c>
      <c r="D308">
        <v>3.2110460000000001</v>
      </c>
      <c r="E308">
        <v>0.57472409999999996</v>
      </c>
      <c r="F308" t="s">
        <v>41</v>
      </c>
      <c r="G308">
        <v>-440.52280000000002</v>
      </c>
      <c r="H308">
        <v>0.93195309999999998</v>
      </c>
      <c r="I308">
        <v>367.70940000000002</v>
      </c>
      <c r="J308">
        <v>-441.03989999999999</v>
      </c>
      <c r="K308">
        <v>1.10947</v>
      </c>
      <c r="L308">
        <v>367.85899999999998</v>
      </c>
      <c r="M308">
        <v>0.99997290000000005</v>
      </c>
      <c r="N308">
        <v>0</v>
      </c>
      <c r="O308">
        <v>1.5753690000000001E-4</v>
      </c>
      <c r="P308">
        <v>0.98551650000000002</v>
      </c>
      <c r="Q308">
        <v>0.169567299999999</v>
      </c>
      <c r="R308">
        <v>2.0937070000000002E-3</v>
      </c>
      <c r="S308">
        <v>3.164917</v>
      </c>
      <c r="T308">
        <v>-0.70197860000000001</v>
      </c>
      <c r="U308">
        <v>-0.59179689999999996</v>
      </c>
      <c r="V308">
        <v>-1.9038709999999999E-3</v>
      </c>
      <c r="W308">
        <v>0.17682579999999901</v>
      </c>
      <c r="X308">
        <v>0.98424040000000002</v>
      </c>
      <c r="Y308">
        <v>0.1797301</v>
      </c>
      <c r="Z308">
        <v>-1.95637E-2</v>
      </c>
      <c r="AA308">
        <v>0.98352139999999999</v>
      </c>
      <c r="AB308">
        <v>28</v>
      </c>
      <c r="AC308">
        <v>0.51709999999997003</v>
      </c>
      <c r="AD308">
        <v>-0.17751690000000001</v>
      </c>
      <c r="AE308">
        <v>-0.14960000000001999</v>
      </c>
      <c r="AF308">
        <v>0.13500040914300199</v>
      </c>
      <c r="AG308">
        <v>-0.17751690000000001</v>
      </c>
      <c r="AH308">
        <v>0.466360548193965</v>
      </c>
      <c r="AI308">
        <v>110.084021200129</v>
      </c>
      <c r="AJ308">
        <v>73.855513503995198</v>
      </c>
      <c r="AK308">
        <v>0.51694247374941404</v>
      </c>
      <c r="AL308">
        <v>79.815074861851201</v>
      </c>
      <c r="AM308">
        <v>90.110830277830004</v>
      </c>
      <c r="AN308">
        <v>1.00000007663128</v>
      </c>
    </row>
    <row r="309" spans="1:40" x14ac:dyDescent="0.25">
      <c r="A309" t="str">
        <f>"20190312172059933"</f>
        <v>20190312172059933</v>
      </c>
      <c r="B309" t="str">
        <f>"1552382459921555"</f>
        <v>1552382459921555</v>
      </c>
      <c r="C309" t="s">
        <v>40</v>
      </c>
      <c r="D309">
        <v>3.235033</v>
      </c>
      <c r="E309">
        <v>0.57482250000000001</v>
      </c>
      <c r="F309" t="s">
        <v>41</v>
      </c>
      <c r="G309">
        <v>-440.26740000000001</v>
      </c>
      <c r="H309">
        <v>0.93859720000000002</v>
      </c>
      <c r="I309">
        <v>367.7149</v>
      </c>
      <c r="J309">
        <v>-440.78579999999999</v>
      </c>
      <c r="K309">
        <v>1.1092770000000001</v>
      </c>
      <c r="L309">
        <v>367.85890000000001</v>
      </c>
      <c r="M309">
        <v>0.99997639999999999</v>
      </c>
      <c r="N309">
        <v>0</v>
      </c>
      <c r="O309" s="1">
        <v>9.6799330000000002E-5</v>
      </c>
      <c r="P309">
        <v>0.98542989999999997</v>
      </c>
      <c r="Q309">
        <v>0.17005490000000001</v>
      </c>
      <c r="R309">
        <v>3.0440810000000001E-3</v>
      </c>
      <c r="S309">
        <v>3.1657709999999999</v>
      </c>
      <c r="T309">
        <v>-0.70032139999999998</v>
      </c>
      <c r="U309">
        <v>-0.58917240000000004</v>
      </c>
      <c r="V309">
        <v>-2.91807E-3</v>
      </c>
      <c r="W309">
        <v>0.1768361</v>
      </c>
      <c r="X309">
        <v>0.984236</v>
      </c>
      <c r="Y309">
        <v>0.17887690000000001</v>
      </c>
      <c r="Z309">
        <v>-1.9409309999999999E-2</v>
      </c>
      <c r="AA309">
        <v>0.98368</v>
      </c>
      <c r="AB309">
        <v>28</v>
      </c>
      <c r="AC309">
        <v>0.51839999999998498</v>
      </c>
      <c r="AD309">
        <v>-0.17067979999999999</v>
      </c>
      <c r="AE309">
        <v>-0.14400000000000501</v>
      </c>
      <c r="AF309">
        <v>0.13087902510440999</v>
      </c>
      <c r="AG309">
        <v>-0.17067979999999999</v>
      </c>
      <c r="AH309">
        <v>0.47098768854769901</v>
      </c>
      <c r="AI309">
        <v>109.24700272163901</v>
      </c>
      <c r="AJ309">
        <v>74.470342679300103</v>
      </c>
      <c r="AK309">
        <v>0.51777438726131098</v>
      </c>
      <c r="AL309">
        <v>79.814474606780607</v>
      </c>
      <c r="AM309">
        <v>90.169870443111193</v>
      </c>
      <c r="AN309">
        <v>1.0000000125458599</v>
      </c>
    </row>
    <row r="310" spans="1:40" x14ac:dyDescent="0.25">
      <c r="A310" t="str">
        <f>"20190312172059944"</f>
        <v>20190312172059944</v>
      </c>
      <c r="B310" t="str">
        <f>"1552382459942051"</f>
        <v>1552382459942051</v>
      </c>
      <c r="C310" t="s">
        <v>40</v>
      </c>
      <c r="D310">
        <v>3.2121110000000002</v>
      </c>
      <c r="E310">
        <v>0.57482619999999995</v>
      </c>
      <c r="F310" t="s">
        <v>41</v>
      </c>
      <c r="G310">
        <v>-440.01280000000003</v>
      </c>
      <c r="H310">
        <v>0.93875090000000005</v>
      </c>
      <c r="I310">
        <v>367.71550000000002</v>
      </c>
      <c r="J310">
        <v>-440.63889999999998</v>
      </c>
      <c r="K310">
        <v>1.1091340000000001</v>
      </c>
      <c r="L310">
        <v>367.85890000000001</v>
      </c>
      <c r="M310">
        <v>0.99997780000000003</v>
      </c>
      <c r="N310">
        <v>0</v>
      </c>
      <c r="O310" s="1">
        <v>6.5725779999999999E-5</v>
      </c>
      <c r="P310">
        <v>0.98543760000000002</v>
      </c>
      <c r="Q310">
        <v>0.16999990000000001</v>
      </c>
      <c r="R310">
        <v>3.6449630000000002E-3</v>
      </c>
      <c r="S310">
        <v>3.166687</v>
      </c>
      <c r="T310">
        <v>-0.69851809999999903</v>
      </c>
      <c r="U310">
        <v>-0.58679199999999998</v>
      </c>
      <c r="V310">
        <v>-3.5518189999999999E-3</v>
      </c>
      <c r="W310">
        <v>0.1765784</v>
      </c>
      <c r="X310">
        <v>0.98428020000000005</v>
      </c>
      <c r="Y310">
        <v>0.17812159999999999</v>
      </c>
      <c r="Z310">
        <v>-1.9268E-2</v>
      </c>
      <c r="AA310">
        <v>0.98381980000000002</v>
      </c>
      <c r="AB310">
        <v>28</v>
      </c>
      <c r="AC310">
        <v>0.62609999999995103</v>
      </c>
      <c r="AD310">
        <v>-0.17038310000000001</v>
      </c>
      <c r="AE310">
        <v>-0.14339999999998501</v>
      </c>
      <c r="AF310">
        <v>0.13401135157466701</v>
      </c>
      <c r="AG310">
        <v>-0.17038310000000001</v>
      </c>
      <c r="AH310">
        <v>0.58493147230350095</v>
      </c>
      <c r="AI310">
        <v>105.850881420983</v>
      </c>
      <c r="AJ310">
        <v>77.095889998286196</v>
      </c>
      <c r="AK310">
        <v>0.62380627634516495</v>
      </c>
      <c r="AL310">
        <v>79.829475969545499</v>
      </c>
      <c r="AM310">
        <v>90.206753478313104</v>
      </c>
      <c r="AN310">
        <v>1.0000000294383999</v>
      </c>
    </row>
    <row r="311" spans="1:40" x14ac:dyDescent="0.25">
      <c r="A311" t="str">
        <f>"20190312172059956"</f>
        <v>20190312172059956</v>
      </c>
      <c r="B311" t="str">
        <f>"1552382459951811"</f>
        <v>1552382459951811</v>
      </c>
      <c r="C311" t="s">
        <v>40</v>
      </c>
      <c r="D311">
        <v>3.241546</v>
      </c>
      <c r="E311">
        <v>0.57482140000000004</v>
      </c>
      <c r="F311" t="s">
        <v>41</v>
      </c>
      <c r="G311">
        <v>-439.76549999999997</v>
      </c>
      <c r="H311">
        <v>0.91679929999999998</v>
      </c>
      <c r="I311">
        <v>367.69690000000003</v>
      </c>
      <c r="J311">
        <v>-440.48160000000001</v>
      </c>
      <c r="K311">
        <v>1.108949</v>
      </c>
      <c r="L311">
        <v>367.85890000000001</v>
      </c>
      <c r="M311">
        <v>0.99997829999999999</v>
      </c>
      <c r="N311">
        <v>0</v>
      </c>
      <c r="O311" s="1">
        <v>3.6048850000000003E-5</v>
      </c>
      <c r="P311">
        <v>0.98546</v>
      </c>
      <c r="Q311">
        <v>0.16986039999999999</v>
      </c>
      <c r="R311">
        <v>4.0459049999999998E-3</v>
      </c>
      <c r="S311">
        <v>3.1668699999999999</v>
      </c>
      <c r="T311">
        <v>-0.69752219999999998</v>
      </c>
      <c r="U311">
        <v>-0.58471680000000004</v>
      </c>
      <c r="V311">
        <v>-3.9842499999999999E-3</v>
      </c>
      <c r="W311">
        <v>0.17634659999999999</v>
      </c>
      <c r="X311">
        <v>0.98432010000000003</v>
      </c>
      <c r="Y311">
        <v>0.1774858</v>
      </c>
      <c r="Z311">
        <v>-1.916615E-2</v>
      </c>
      <c r="AA311">
        <v>0.9839367</v>
      </c>
      <c r="AB311">
        <v>28</v>
      </c>
      <c r="AC311">
        <v>0.71610000000003904</v>
      </c>
      <c r="AD311">
        <v>-0.19214969999999901</v>
      </c>
      <c r="AE311">
        <v>-0.161999999999977</v>
      </c>
      <c r="AF311">
        <v>0.15163935017257801</v>
      </c>
      <c r="AG311">
        <v>-0.19214969999999901</v>
      </c>
      <c r="AH311">
        <v>0.67018982736621702</v>
      </c>
      <c r="AI311">
        <v>105.623149475112</v>
      </c>
      <c r="AJ311">
        <v>77.250742134949206</v>
      </c>
      <c r="AK311">
        <v>0.71349169892579101</v>
      </c>
      <c r="AL311">
        <v>79.842968859612895</v>
      </c>
      <c r="AM311">
        <v>90.231915880635498</v>
      </c>
      <c r="AN311">
        <v>1.00000002842181</v>
      </c>
    </row>
    <row r="312" spans="1:40" x14ac:dyDescent="0.25">
      <c r="A312" t="str">
        <f>"20190312172059969"</f>
        <v>20190312172059969</v>
      </c>
      <c r="B312" t="str">
        <f>"1552382459961572"</f>
        <v>1552382459961572</v>
      </c>
      <c r="C312" t="s">
        <v>40</v>
      </c>
      <c r="D312">
        <v>3.2161629999999999</v>
      </c>
      <c r="E312">
        <v>0.57484690000000005</v>
      </c>
      <c r="F312" t="s">
        <v>41</v>
      </c>
      <c r="G312">
        <v>-439.75279999999998</v>
      </c>
      <c r="H312">
        <v>0.94850789999999996</v>
      </c>
      <c r="I312">
        <v>367.72390000000001</v>
      </c>
      <c r="J312">
        <v>-440.32069999999999</v>
      </c>
      <c r="K312">
        <v>1.108708</v>
      </c>
      <c r="L312">
        <v>367.85890000000001</v>
      </c>
      <c r="M312">
        <v>0.99997780000000003</v>
      </c>
      <c r="N312">
        <v>0</v>
      </c>
      <c r="O312" s="1">
        <v>9.9170000000000001E-6</v>
      </c>
      <c r="P312">
        <v>0.98545400000000005</v>
      </c>
      <c r="Q312">
        <v>0.16988510000000001</v>
      </c>
      <c r="R312">
        <v>4.4347950000000001E-3</v>
      </c>
      <c r="S312">
        <v>3.1668699999999999</v>
      </c>
      <c r="T312">
        <v>-0.69728080000000003</v>
      </c>
      <c r="U312">
        <v>-0.58358759999999998</v>
      </c>
      <c r="V312">
        <v>-4.4009660000000001E-3</v>
      </c>
      <c r="W312">
        <v>0.176442299999999</v>
      </c>
      <c r="X312">
        <v>0.98430110000000004</v>
      </c>
      <c r="Y312">
        <v>0.17713209999999999</v>
      </c>
      <c r="Z312">
        <v>-1.9116459999999998E-2</v>
      </c>
      <c r="AA312">
        <v>0.98400140000000003</v>
      </c>
      <c r="AB312">
        <v>28</v>
      </c>
      <c r="AC312">
        <v>0.56790000000000795</v>
      </c>
      <c r="AD312">
        <v>-0.16020010000000001</v>
      </c>
      <c r="AE312">
        <v>-0.13499999999998999</v>
      </c>
      <c r="AF312">
        <v>0.125549302389311</v>
      </c>
      <c r="AG312">
        <v>-0.16020010000000001</v>
      </c>
      <c r="AH312">
        <v>0.52812078790921102</v>
      </c>
      <c r="AI312">
        <v>106.442136538239</v>
      </c>
      <c r="AJ312">
        <v>76.627395347395193</v>
      </c>
      <c r="AK312">
        <v>0.56598433369864498</v>
      </c>
      <c r="AL312">
        <v>79.837397546699194</v>
      </c>
      <c r="AM312">
        <v>90.256176791116502</v>
      </c>
      <c r="AN312">
        <v>0.99999995459611501</v>
      </c>
    </row>
    <row r="313" spans="1:40" x14ac:dyDescent="0.25">
      <c r="A313" t="str">
        <f>"20190312172059982"</f>
        <v>20190312172059982</v>
      </c>
      <c r="B313" t="str">
        <f>"1552382459972307"</f>
        <v>1552382459972307</v>
      </c>
      <c r="C313" t="s">
        <v>40</v>
      </c>
      <c r="D313">
        <v>3.2090990000000001</v>
      </c>
      <c r="E313">
        <v>0.57484690000000005</v>
      </c>
      <c r="F313" t="s">
        <v>41</v>
      </c>
      <c r="G313">
        <v>-439.50409999999999</v>
      </c>
      <c r="H313">
        <v>0.9290851</v>
      </c>
      <c r="I313">
        <v>367.70870000000002</v>
      </c>
      <c r="J313">
        <v>-440.15390000000002</v>
      </c>
      <c r="K313">
        <v>1.108422</v>
      </c>
      <c r="L313">
        <v>367.85890000000001</v>
      </c>
      <c r="M313">
        <v>0.99997659999999999</v>
      </c>
      <c r="N313">
        <v>0</v>
      </c>
      <c r="O313" s="1">
        <v>-1.472269E-5</v>
      </c>
      <c r="P313">
        <v>0.98551650000000002</v>
      </c>
      <c r="Q313">
        <v>0.169511299999999</v>
      </c>
      <c r="R313">
        <v>4.8301079999999996E-3</v>
      </c>
      <c r="S313">
        <v>3.166992</v>
      </c>
      <c r="T313">
        <v>-0.69655749999999905</v>
      </c>
      <c r="U313">
        <v>-0.58291630000000005</v>
      </c>
      <c r="V313">
        <v>-4.8226190000000002E-3</v>
      </c>
      <c r="W313">
        <v>0.17624049999999999</v>
      </c>
      <c r="X313">
        <v>0.98433530000000002</v>
      </c>
      <c r="Y313">
        <v>0.1769135</v>
      </c>
      <c r="Z313">
        <v>-1.9067839999999999E-2</v>
      </c>
      <c r="AA313">
        <v>0.98404170000000002</v>
      </c>
      <c r="AB313">
        <v>29</v>
      </c>
      <c r="AC313">
        <v>0.64980000000002702</v>
      </c>
      <c r="AD313">
        <v>-0.17933689999999899</v>
      </c>
      <c r="AE313">
        <v>-0.15019999999998301</v>
      </c>
      <c r="AF313">
        <v>0.14006303245993601</v>
      </c>
      <c r="AG313">
        <v>-0.17933689999999899</v>
      </c>
      <c r="AH313">
        <v>0.60598579035127098</v>
      </c>
      <c r="AI313">
        <v>106.084425370429</v>
      </c>
      <c r="AJ313">
        <v>76.985621416582603</v>
      </c>
      <c r="AK313">
        <v>0.64730066806016695</v>
      </c>
      <c r="AL313">
        <v>79.849144143554298</v>
      </c>
      <c r="AM313">
        <v>90.280710753801898</v>
      </c>
      <c r="AN313">
        <v>0.99999997716017897</v>
      </c>
    </row>
    <row r="314" spans="1:40" x14ac:dyDescent="0.25">
      <c r="A314" t="str">
        <f>"20190312172100000"</f>
        <v>20190312172100000</v>
      </c>
      <c r="B314" t="str">
        <f>"1552382459992332"</f>
        <v>1552382459992332</v>
      </c>
      <c r="C314" t="s">
        <v>40</v>
      </c>
      <c r="D314">
        <v>3.0684800000000001</v>
      </c>
      <c r="E314">
        <v>0.57421509999999998</v>
      </c>
      <c r="F314" t="s">
        <v>41</v>
      </c>
      <c r="G314">
        <v>-439.25360000000001</v>
      </c>
      <c r="H314">
        <v>0.91010639999999998</v>
      </c>
      <c r="I314">
        <v>367.69310000000002</v>
      </c>
      <c r="J314">
        <v>-439.92230000000001</v>
      </c>
      <c r="K314">
        <v>1.1079019999999999</v>
      </c>
      <c r="L314">
        <v>367.85890000000001</v>
      </c>
      <c r="M314">
        <v>0.99997329999999995</v>
      </c>
      <c r="N314">
        <v>0</v>
      </c>
      <c r="O314" s="1">
        <v>-4.168648E-5</v>
      </c>
      <c r="P314">
        <v>0.98556080000000001</v>
      </c>
      <c r="Q314">
        <v>0.1692341</v>
      </c>
      <c r="R314">
        <v>5.4414019999999997E-3</v>
      </c>
      <c r="S314">
        <v>3.1669010000000002</v>
      </c>
      <c r="T314">
        <v>-0.69769490000000001</v>
      </c>
      <c r="U314">
        <v>-0.58154300000000003</v>
      </c>
      <c r="V314">
        <v>-5.4631059999999997E-3</v>
      </c>
      <c r="W314">
        <v>0.17644089999999901</v>
      </c>
      <c r="X314">
        <v>0.98429610000000001</v>
      </c>
      <c r="Y314">
        <v>0.1764762</v>
      </c>
      <c r="Z314">
        <v>-1.9046480000000001E-2</v>
      </c>
      <c r="AA314">
        <v>0.98412060000000001</v>
      </c>
      <c r="AB314">
        <v>29</v>
      </c>
      <c r="AC314">
        <v>0.66870000000000096</v>
      </c>
      <c r="AD314">
        <v>-0.19779559999999999</v>
      </c>
      <c r="AE314">
        <v>-0.16579999999999001</v>
      </c>
      <c r="AF314">
        <v>0.153148792709104</v>
      </c>
      <c r="AG314">
        <v>-0.19779559999999999</v>
      </c>
      <c r="AH314">
        <v>0.61778575343416797</v>
      </c>
      <c r="AI314">
        <v>107.26326684828</v>
      </c>
      <c r="AJ314">
        <v>76.077081615633105</v>
      </c>
      <c r="AK314">
        <v>0.66651098208044501</v>
      </c>
      <c r="AL314">
        <v>79.837479758269794</v>
      </c>
      <c r="AM314">
        <v>90.318003599448204</v>
      </c>
      <c r="AN314">
        <v>1.00000002459759</v>
      </c>
    </row>
    <row r="315" spans="1:40" x14ac:dyDescent="0.25">
      <c r="A315" t="str">
        <f>"20190312172100014"</f>
        <v>20190312172100014</v>
      </c>
      <c r="B315" t="str">
        <f>"1552382460011852"</f>
        <v>1552382460011852</v>
      </c>
      <c r="C315" t="s">
        <v>40</v>
      </c>
      <c r="D315">
        <v>3.2870819999999998</v>
      </c>
      <c r="E315">
        <v>0.50526749999999998</v>
      </c>
      <c r="F315" t="s">
        <v>41</v>
      </c>
      <c r="G315">
        <v>-438.99720000000002</v>
      </c>
      <c r="H315">
        <v>0.90463079999999996</v>
      </c>
      <c r="I315">
        <v>367.69130000000001</v>
      </c>
      <c r="J315">
        <v>-439.72890000000001</v>
      </c>
      <c r="K315">
        <v>1.107324</v>
      </c>
      <c r="L315">
        <v>367.85879999999997</v>
      </c>
      <c r="M315">
        <v>0.99996870000000004</v>
      </c>
      <c r="N315">
        <v>0</v>
      </c>
      <c r="O315" s="1">
        <v>-5.8543979999999999E-5</v>
      </c>
      <c r="P315">
        <v>0.98563630000000002</v>
      </c>
      <c r="Q315">
        <v>0.16878119999999999</v>
      </c>
      <c r="R315">
        <v>5.8297030000000003E-3</v>
      </c>
      <c r="S315">
        <v>3.166595</v>
      </c>
      <c r="T315">
        <v>-0.69581510000000002</v>
      </c>
      <c r="U315">
        <v>-0.57427980000000001</v>
      </c>
      <c r="V315">
        <v>-5.8698759999999996E-3</v>
      </c>
      <c r="W315">
        <v>0.176587299999999</v>
      </c>
      <c r="X315">
        <v>0.98426749999999996</v>
      </c>
      <c r="Y315">
        <v>0.17435980000000001</v>
      </c>
      <c r="Z315">
        <v>-1.8770220000000001E-2</v>
      </c>
      <c r="AA315">
        <v>0.98450309999999996</v>
      </c>
      <c r="AB315">
        <v>29</v>
      </c>
      <c r="AC315">
        <v>0.73169999999998903</v>
      </c>
      <c r="AD315">
        <v>-0.20269319999999899</v>
      </c>
      <c r="AE315">
        <v>-0.16749999999996101</v>
      </c>
      <c r="AF315">
        <v>0.15607650473124801</v>
      </c>
      <c r="AG315">
        <v>-0.20269319999999899</v>
      </c>
      <c r="AH315">
        <v>0.68198163446969096</v>
      </c>
      <c r="AI315">
        <v>106.15745204485501</v>
      </c>
      <c r="AJ315">
        <v>77.109431091725895</v>
      </c>
      <c r="AK315">
        <v>0.72838407341821698</v>
      </c>
      <c r="AL315">
        <v>79.828957806803601</v>
      </c>
      <c r="AM315">
        <v>90.341690784270199</v>
      </c>
      <c r="AN315">
        <v>1.0000000207608899</v>
      </c>
    </row>
    <row r="316" spans="1:40" x14ac:dyDescent="0.25">
      <c r="A316" t="str">
        <f>"20190312172100034"</f>
        <v>20190312172100034</v>
      </c>
      <c r="B316" t="str">
        <f>"1552382460021612"</f>
        <v>1552382460021612</v>
      </c>
      <c r="C316" t="s">
        <v>40</v>
      </c>
      <c r="D316">
        <v>3.25075</v>
      </c>
      <c r="E316">
        <v>0.50238490000000002</v>
      </c>
      <c r="F316" t="s">
        <v>43</v>
      </c>
      <c r="G316">
        <v>-424.33409999999998</v>
      </c>
      <c r="H316">
        <v>-0.05</v>
      </c>
      <c r="I316">
        <v>367.74</v>
      </c>
      <c r="J316">
        <v>-439.48950000000002</v>
      </c>
      <c r="K316">
        <v>1.106525</v>
      </c>
      <c r="L316">
        <v>367.85879999999997</v>
      </c>
      <c r="M316">
        <v>0.99995909999999999</v>
      </c>
      <c r="N316">
        <v>0</v>
      </c>
      <c r="O316" s="1">
        <v>-7.127716E-5</v>
      </c>
      <c r="P316">
        <v>0.98578200000000005</v>
      </c>
      <c r="Q316">
        <v>0.16791929999999999</v>
      </c>
      <c r="R316">
        <v>6.0864169999999898E-3</v>
      </c>
      <c r="S316">
        <v>3.0835880000000002</v>
      </c>
      <c r="T316">
        <v>-0.2318123</v>
      </c>
      <c r="U316">
        <v>-2.3803709999999999E-2</v>
      </c>
      <c r="V316">
        <v>-6.1404140000000003E-3</v>
      </c>
      <c r="W316">
        <v>0.17682579999999901</v>
      </c>
      <c r="X316">
        <v>0.98422299999999996</v>
      </c>
      <c r="Y316">
        <v>7.6266609999999999E-3</v>
      </c>
      <c r="Z316">
        <v>-2.8091249999999998E-4</v>
      </c>
      <c r="AA316">
        <v>0.9999709</v>
      </c>
      <c r="AB316">
        <v>29</v>
      </c>
      <c r="AC316">
        <v>15.1554</v>
      </c>
      <c r="AD316">
        <v>-1.156525</v>
      </c>
      <c r="AE316">
        <v>-0.118799999999964</v>
      </c>
      <c r="AF316">
        <v>0.117038205401681</v>
      </c>
      <c r="AG316">
        <v>-1.156525</v>
      </c>
      <c r="AH316">
        <v>15.0676690355031</v>
      </c>
      <c r="AI316">
        <v>94.389022817345094</v>
      </c>
      <c r="AJ316">
        <v>89.554963655123004</v>
      </c>
      <c r="AK316">
        <v>15.112441833820499</v>
      </c>
      <c r="AL316">
        <v>79.815073980186597</v>
      </c>
      <c r="AM316">
        <v>90.357454806605105</v>
      </c>
      <c r="AN316">
        <v>0.99999999097936498</v>
      </c>
    </row>
    <row r="317" spans="1:40" x14ac:dyDescent="0.25">
      <c r="A317" t="str">
        <f>"20190312172100046"</f>
        <v>20190312172100046</v>
      </c>
      <c r="B317" t="str">
        <f>"1552382460042108"</f>
        <v>1552382460042108</v>
      </c>
      <c r="C317" t="s">
        <v>40</v>
      </c>
      <c r="D317">
        <v>3.2666900000000001</v>
      </c>
      <c r="E317">
        <v>0.49971320000000002</v>
      </c>
      <c r="F317" t="s">
        <v>43</v>
      </c>
      <c r="G317">
        <v>-423.14490000000001</v>
      </c>
      <c r="H317">
        <v>-0.05</v>
      </c>
      <c r="I317">
        <v>367.8596</v>
      </c>
      <c r="J317">
        <v>-439.31799999999998</v>
      </c>
      <c r="K317">
        <v>1.105888</v>
      </c>
      <c r="L317">
        <v>367.85879999999997</v>
      </c>
      <c r="M317">
        <v>0.99994930000000004</v>
      </c>
      <c r="N317">
        <v>0</v>
      </c>
      <c r="O317" s="1">
        <v>-7.6030240000000005E-5</v>
      </c>
      <c r="P317">
        <v>0.9859523</v>
      </c>
      <c r="Q317">
        <v>0.16691929999999999</v>
      </c>
      <c r="R317">
        <v>6.0328789999999997E-3</v>
      </c>
      <c r="S317">
        <v>3.0803530000000001</v>
      </c>
      <c r="T317">
        <v>-0.21796199999999999</v>
      </c>
      <c r="U317">
        <v>1.5258789999999999E-4</v>
      </c>
      <c r="V317">
        <v>-6.0925140000000003E-3</v>
      </c>
      <c r="W317">
        <v>0.17685149999999999</v>
      </c>
      <c r="X317">
        <v>0.9842187</v>
      </c>
      <c r="Y317">
        <v>-1.25067099999999E-4</v>
      </c>
      <c r="Z317" s="1">
        <v>9.7926350000000008E-6</v>
      </c>
      <c r="AA317">
        <v>1</v>
      </c>
      <c r="AB317">
        <v>29</v>
      </c>
      <c r="AC317">
        <v>16.173100000000002</v>
      </c>
      <c r="AD317">
        <v>-1.155888</v>
      </c>
      <c r="AE317">
        <v>8.0000000002655703E-4</v>
      </c>
      <c r="AF317">
        <v>-2.01939210068189E-3</v>
      </c>
      <c r="AG317">
        <v>-1.155888</v>
      </c>
      <c r="AH317">
        <v>16.0909086520156</v>
      </c>
      <c r="AI317">
        <v>94.108775929340496</v>
      </c>
      <c r="AJ317">
        <v>90.007190559989198</v>
      </c>
      <c r="AK317">
        <v>16.132371877501502</v>
      </c>
      <c r="AL317">
        <v>79.813578102243696</v>
      </c>
      <c r="AM317">
        <v>90.354668002377807</v>
      </c>
      <c r="AN317">
        <v>1.00000001060439</v>
      </c>
    </row>
    <row r="318" spans="1:40" x14ac:dyDescent="0.25">
      <c r="A318" t="str">
        <f>"20190312172100059"</f>
        <v>20190312172100059</v>
      </c>
      <c r="B318" t="str">
        <f>"1552382460051868"</f>
        <v>1552382460051868</v>
      </c>
      <c r="C318" t="s">
        <v>40</v>
      </c>
      <c r="D318">
        <v>3.268767</v>
      </c>
      <c r="E318">
        <v>0.4991603</v>
      </c>
      <c r="F318" t="s">
        <v>43</v>
      </c>
      <c r="G318">
        <v>-422.07760000000002</v>
      </c>
      <c r="H318">
        <v>-0.05</v>
      </c>
      <c r="I318">
        <v>367.97980000000001</v>
      </c>
      <c r="J318">
        <v>-439.15379999999999</v>
      </c>
      <c r="K318">
        <v>1.105243</v>
      </c>
      <c r="L318">
        <v>367.8587</v>
      </c>
      <c r="M318">
        <v>0.99993730000000003</v>
      </c>
      <c r="N318">
        <v>0</v>
      </c>
      <c r="O318" s="1">
        <v>-7.8464919999999996E-5</v>
      </c>
      <c r="P318">
        <v>0.98615640000000004</v>
      </c>
      <c r="Q318">
        <v>0.1657024</v>
      </c>
      <c r="R318">
        <v>6.2076329999999997E-3</v>
      </c>
      <c r="S318">
        <v>3.0775450000000002</v>
      </c>
      <c r="T318">
        <v>-0.20633489999999999</v>
      </c>
      <c r="U318">
        <v>2.1606449999999999E-2</v>
      </c>
      <c r="V318">
        <v>-6.270973E-3</v>
      </c>
      <c r="W318">
        <v>0.1767465</v>
      </c>
      <c r="X318">
        <v>0.98423640000000001</v>
      </c>
      <c r="Y318">
        <v>-7.0828940000000002E-3</v>
      </c>
      <c r="Z318">
        <v>2.4242329999999999E-4</v>
      </c>
      <c r="AA318">
        <v>0.9999749</v>
      </c>
      <c r="AB318">
        <v>29</v>
      </c>
      <c r="AC318">
        <v>17.076199999999901</v>
      </c>
      <c r="AD318">
        <v>-1.155243</v>
      </c>
      <c r="AE318">
        <v>0.121100000000012</v>
      </c>
      <c r="AF318">
        <v>-0.12188216114145201</v>
      </c>
      <c r="AG318">
        <v>-1.155243</v>
      </c>
      <c r="AH318">
        <v>16.998395689421798</v>
      </c>
      <c r="AI318">
        <v>93.887850944360196</v>
      </c>
      <c r="AJ318">
        <v>90.410816049168901</v>
      </c>
      <c r="AK318">
        <v>17.038042659425699</v>
      </c>
      <c r="AL318">
        <v>79.819690036616706</v>
      </c>
      <c r="AM318">
        <v>90.365049925550693</v>
      </c>
      <c r="AN318">
        <v>0.99999997072478797</v>
      </c>
    </row>
    <row r="319" spans="1:40" x14ac:dyDescent="0.25">
      <c r="A319" t="str">
        <f>"20190312172100078"</f>
        <v>20190312172100078</v>
      </c>
      <c r="B319" t="str">
        <f>"1552382460071388"</f>
        <v>1552382460071388</v>
      </c>
      <c r="C319" t="s">
        <v>40</v>
      </c>
      <c r="D319">
        <v>3.2584149999999998</v>
      </c>
      <c r="E319">
        <v>0.4983226</v>
      </c>
      <c r="F319" t="s">
        <v>43</v>
      </c>
      <c r="G319">
        <v>-421.94229999999999</v>
      </c>
      <c r="H319">
        <v>-0.05</v>
      </c>
      <c r="I319">
        <v>368.00659999999999</v>
      </c>
      <c r="J319">
        <v>-438.91649999999998</v>
      </c>
      <c r="K319">
        <v>1.1041829999999999</v>
      </c>
      <c r="L319">
        <v>367.8587</v>
      </c>
      <c r="M319">
        <v>0.99991600000000003</v>
      </c>
      <c r="N319">
        <v>0</v>
      </c>
      <c r="O319" s="1">
        <v>-8.0213129999999995E-5</v>
      </c>
      <c r="P319">
        <v>0.98647169999999895</v>
      </c>
      <c r="Q319">
        <v>0.163799</v>
      </c>
      <c r="R319">
        <v>6.6290630000000001E-3</v>
      </c>
      <c r="S319">
        <v>3.0766300000000002</v>
      </c>
      <c r="T319">
        <v>-0.20650389999999999</v>
      </c>
      <c r="U319">
        <v>2.6428219999999999E-2</v>
      </c>
      <c r="V319">
        <v>-6.6959029999999996E-3</v>
      </c>
      <c r="W319">
        <v>0.1765864</v>
      </c>
      <c r="X319">
        <v>0.98426230000000003</v>
      </c>
      <c r="Y319">
        <v>-8.6502509999999994E-3</v>
      </c>
      <c r="Z319">
        <v>2.9534979999999998E-4</v>
      </c>
      <c r="AA319">
        <v>0.99996260000000003</v>
      </c>
      <c r="AB319">
        <v>29</v>
      </c>
      <c r="AC319">
        <v>16.9741999999999</v>
      </c>
      <c r="AD319">
        <v>-1.154183</v>
      </c>
      <c r="AE319">
        <v>0.14789999999999201</v>
      </c>
      <c r="AF319">
        <v>-0.148574784473362</v>
      </c>
      <c r="AG319">
        <v>-1.154183</v>
      </c>
      <c r="AH319">
        <v>16.8960750344547</v>
      </c>
      <c r="AI319">
        <v>93.907694252359505</v>
      </c>
      <c r="AJ319">
        <v>90.503814564675494</v>
      </c>
      <c r="AK319">
        <v>16.936102397954301</v>
      </c>
      <c r="AL319">
        <v>79.829009299244007</v>
      </c>
      <c r="AM319">
        <v>90.389775229280701</v>
      </c>
      <c r="AN319">
        <v>0.99999993349161498</v>
      </c>
    </row>
    <row r="320" spans="1:40" x14ac:dyDescent="0.25">
      <c r="A320" t="str">
        <f>"20190312172100090"</f>
        <v>20190312172100090</v>
      </c>
      <c r="B320" t="str">
        <f>"1552382460082124"</f>
        <v>1552382460082124</v>
      </c>
      <c r="C320" t="s">
        <v>40</v>
      </c>
      <c r="D320">
        <v>3.2722769999999999</v>
      </c>
      <c r="E320">
        <v>0.49796829999999997</v>
      </c>
      <c r="F320" t="s">
        <v>43</v>
      </c>
      <c r="G320">
        <v>-421.95440000000002</v>
      </c>
      <c r="H320">
        <v>-0.05</v>
      </c>
      <c r="I320">
        <v>368.04790000000003</v>
      </c>
      <c r="J320">
        <v>-438.75119999999998</v>
      </c>
      <c r="K320">
        <v>1.10337</v>
      </c>
      <c r="L320">
        <v>367.8587</v>
      </c>
      <c r="M320">
        <v>0.99989969999999995</v>
      </c>
      <c r="N320">
        <v>0</v>
      </c>
      <c r="O320" s="1">
        <v>-8.1614100000000002E-5</v>
      </c>
      <c r="P320">
        <v>0.98667950000000004</v>
      </c>
      <c r="Q320">
        <v>0.16252829999999999</v>
      </c>
      <c r="R320">
        <v>6.9481469999999896E-3</v>
      </c>
      <c r="S320">
        <v>3.0756230000000002</v>
      </c>
      <c r="T320">
        <v>-0.2092794</v>
      </c>
      <c r="U320">
        <v>3.4301760000000001E-2</v>
      </c>
      <c r="V320">
        <v>-7.0179880000000002E-3</v>
      </c>
      <c r="W320">
        <v>0.17649110000000001</v>
      </c>
      <c r="X320">
        <v>0.98427719999999996</v>
      </c>
      <c r="Y320">
        <v>-1.120761E-2</v>
      </c>
      <c r="Z320">
        <v>3.8640350000000001E-4</v>
      </c>
      <c r="AA320">
        <v>0.99993710000000002</v>
      </c>
      <c r="AB320">
        <v>29</v>
      </c>
      <c r="AC320">
        <v>16.796799999999902</v>
      </c>
      <c r="AD320">
        <v>-1.15337</v>
      </c>
      <c r="AE320">
        <v>0.18920000000002801</v>
      </c>
      <c r="AF320">
        <v>-0.189676774900916</v>
      </c>
      <c r="AG320">
        <v>-1.15337</v>
      </c>
      <c r="AH320">
        <v>16.717968823927499</v>
      </c>
      <c r="AI320">
        <v>93.946320057406595</v>
      </c>
      <c r="AJ320">
        <v>90.6500318616268</v>
      </c>
      <c r="AK320">
        <v>16.758780422025001</v>
      </c>
      <c r="AL320">
        <v>79.834557230494298</v>
      </c>
      <c r="AM320">
        <v>90.408517315290595</v>
      </c>
      <c r="AN320">
        <v>0.99999998348730901</v>
      </c>
    </row>
    <row r="321" spans="1:40" x14ac:dyDescent="0.25">
      <c r="A321" t="str">
        <f>"20190312172100104"</f>
        <v>20190312172100104</v>
      </c>
      <c r="B321" t="str">
        <f>"1552382460101643"</f>
        <v>1552382460101643</v>
      </c>
      <c r="C321" t="s">
        <v>40</v>
      </c>
      <c r="D321">
        <v>3.2352789999999998</v>
      </c>
      <c r="E321">
        <v>0.49763380000000002</v>
      </c>
      <c r="F321" t="s">
        <v>43</v>
      </c>
      <c r="G321">
        <v>-422.00310000000002</v>
      </c>
      <c r="H321">
        <v>-0.05</v>
      </c>
      <c r="I321">
        <v>368.06529999999998</v>
      </c>
      <c r="J321">
        <v>-438.57510000000002</v>
      </c>
      <c r="K321">
        <v>1.1024529999999999</v>
      </c>
      <c r="L321">
        <v>367.85860000000002</v>
      </c>
      <c r="M321">
        <v>0.99988299999999997</v>
      </c>
      <c r="N321">
        <v>0</v>
      </c>
      <c r="O321" s="1">
        <v>-8.2902559999999999E-5</v>
      </c>
      <c r="P321">
        <v>0.98684749999999999</v>
      </c>
      <c r="Q321">
        <v>0.16149330000000001</v>
      </c>
      <c r="R321">
        <v>7.2312519999999996E-3</v>
      </c>
      <c r="S321">
        <v>3.0751040000000001</v>
      </c>
      <c r="T321">
        <v>-0.21176990000000001</v>
      </c>
      <c r="U321">
        <v>3.7933349999999998E-2</v>
      </c>
      <c r="V321">
        <v>-7.3027680000000003E-3</v>
      </c>
      <c r="W321">
        <v>0.176572799999999</v>
      </c>
      <c r="X321">
        <v>0.98426049999999998</v>
      </c>
      <c r="Y321">
        <v>-1.2388069999999999E-2</v>
      </c>
      <c r="Z321">
        <v>4.3174020000000002E-4</v>
      </c>
      <c r="AA321">
        <v>0.99992320000000001</v>
      </c>
      <c r="AB321">
        <v>29</v>
      </c>
      <c r="AC321">
        <v>16.571999999999999</v>
      </c>
      <c r="AD321">
        <v>-1.1524529999999999</v>
      </c>
      <c r="AE321">
        <v>0.206699999999955</v>
      </c>
      <c r="AF321">
        <v>-0.20707274946330401</v>
      </c>
      <c r="AG321">
        <v>-1.1524529999999999</v>
      </c>
      <c r="AH321">
        <v>16.4922368615069</v>
      </c>
      <c r="AI321">
        <v>93.996932153248807</v>
      </c>
      <c r="AJ321">
        <v>90.719354887479</v>
      </c>
      <c r="AK321">
        <v>16.533750443768799</v>
      </c>
      <c r="AL321">
        <v>79.829801727521897</v>
      </c>
      <c r="AM321">
        <v>90.425100984437904</v>
      </c>
      <c r="AN321">
        <v>1.00000000799027</v>
      </c>
    </row>
    <row r="322" spans="1:40" x14ac:dyDescent="0.25">
      <c r="A322" t="str">
        <f>"20190312172100124"</f>
        <v>20190312172100124</v>
      </c>
      <c r="B322" t="str">
        <f>"1552382460111404"</f>
        <v>1552382460111404</v>
      </c>
      <c r="C322" t="s">
        <v>40</v>
      </c>
      <c r="D322">
        <v>3.235007</v>
      </c>
      <c r="E322">
        <v>0.49749949999999998</v>
      </c>
      <c r="F322" t="s">
        <v>43</v>
      </c>
      <c r="G322">
        <v>-421.9452</v>
      </c>
      <c r="H322">
        <v>-0.05</v>
      </c>
      <c r="I322">
        <v>368.08580000000001</v>
      </c>
      <c r="J322">
        <v>-438.3322</v>
      </c>
      <c r="K322">
        <v>1.1010530000000001</v>
      </c>
      <c r="L322">
        <v>367.85860000000002</v>
      </c>
      <c r="M322">
        <v>0.99986459999999999</v>
      </c>
      <c r="N322">
        <v>0</v>
      </c>
      <c r="O322" s="1">
        <v>-8.4555919999999894E-5</v>
      </c>
      <c r="P322">
        <v>0.98705830000000006</v>
      </c>
      <c r="Q322">
        <v>0.1601892</v>
      </c>
      <c r="R322">
        <v>7.4575269999999898E-3</v>
      </c>
      <c r="S322">
        <v>3.074554</v>
      </c>
      <c r="T322">
        <v>-0.2130669</v>
      </c>
      <c r="U322">
        <v>4.1992189999999999E-2</v>
      </c>
      <c r="V322">
        <v>-7.5329619999999998E-3</v>
      </c>
      <c r="W322">
        <v>0.17641129999999999</v>
      </c>
      <c r="X322">
        <v>0.98428769999999999</v>
      </c>
      <c r="Y322">
        <v>-1.370819E-2</v>
      </c>
      <c r="Z322">
        <v>4.8025159999999999E-4</v>
      </c>
      <c r="AA322">
        <v>0.99990590000000001</v>
      </c>
      <c r="AB322">
        <v>29</v>
      </c>
      <c r="AC322">
        <v>16.387</v>
      </c>
      <c r="AD322">
        <v>-1.1510530000000001</v>
      </c>
      <c r="AE322">
        <v>0.227199999999982</v>
      </c>
      <c r="AF322">
        <v>-0.22746373346465701</v>
      </c>
      <c r="AG322">
        <v>-1.1510530000000001</v>
      </c>
      <c r="AH322">
        <v>16.306541089572601</v>
      </c>
      <c r="AI322">
        <v>94.037329776293305</v>
      </c>
      <c r="AJ322">
        <v>90.799180319141897</v>
      </c>
      <c r="AK322">
        <v>16.348698574038501</v>
      </c>
      <c r="AL322">
        <v>79.839202326668797</v>
      </c>
      <c r="AM322">
        <v>90.438488161017901</v>
      </c>
      <c r="AN322">
        <v>0.99999998432773596</v>
      </c>
    </row>
    <row r="323" spans="1:40" x14ac:dyDescent="0.25">
      <c r="A323" t="str">
        <f>"20190312172100137"</f>
        <v>20190312172100137</v>
      </c>
      <c r="B323" t="str">
        <f>"1552382460131900"</f>
        <v>1552382460131900</v>
      </c>
      <c r="C323" t="s">
        <v>40</v>
      </c>
      <c r="D323">
        <v>3.2343679999999999</v>
      </c>
      <c r="E323">
        <v>0.49713439999999998</v>
      </c>
      <c r="F323" t="s">
        <v>43</v>
      </c>
      <c r="G323">
        <v>-421.96899999999999</v>
      </c>
      <c r="H323">
        <v>-0.05</v>
      </c>
      <c r="I323">
        <v>368.09480000000002</v>
      </c>
      <c r="J323">
        <v>-438.1454</v>
      </c>
      <c r="K323">
        <v>1.099893</v>
      </c>
      <c r="L323">
        <v>367.85860000000002</v>
      </c>
      <c r="M323">
        <v>0.99985329999999994</v>
      </c>
      <c r="N323">
        <v>0</v>
      </c>
      <c r="O323" s="1">
        <v>-8.5717279999999999E-5</v>
      </c>
      <c r="P323">
        <v>0.98713830000000002</v>
      </c>
      <c r="Q323">
        <v>0.15970190000000001</v>
      </c>
      <c r="R323">
        <v>7.3376469999999897E-3</v>
      </c>
      <c r="S323">
        <v>3.0740970000000001</v>
      </c>
      <c r="T323">
        <v>-0.21624460000000001</v>
      </c>
      <c r="U323">
        <v>4.4372559999999998E-2</v>
      </c>
      <c r="V323">
        <v>-7.4144409999999999E-3</v>
      </c>
      <c r="W323">
        <v>0.1765939</v>
      </c>
      <c r="X323">
        <v>0.98425589999999996</v>
      </c>
      <c r="Y323">
        <v>-1.448257E-2</v>
      </c>
      <c r="Z323">
        <v>5.1474959999999999E-4</v>
      </c>
      <c r="AA323">
        <v>0.99989499999999998</v>
      </c>
      <c r="AB323">
        <v>29</v>
      </c>
      <c r="AC323">
        <v>16.176400000000001</v>
      </c>
      <c r="AD323">
        <v>-1.1498930000000001</v>
      </c>
      <c r="AE323">
        <v>0.236199999999996</v>
      </c>
      <c r="AF323">
        <v>-0.23639255763123901</v>
      </c>
      <c r="AG323">
        <v>-1.1498930000000001</v>
      </c>
      <c r="AH323">
        <v>16.095068308459801</v>
      </c>
      <c r="AI323">
        <v>94.086046249479693</v>
      </c>
      <c r="AJ323">
        <v>90.841457881436398</v>
      </c>
      <c r="AK323">
        <v>16.137823868376501</v>
      </c>
      <c r="AL323">
        <v>79.8285736920093</v>
      </c>
      <c r="AM323">
        <v>90.431603347646302</v>
      </c>
      <c r="AN323">
        <v>1.00000002806868</v>
      </c>
    </row>
    <row r="324" spans="1:40" x14ac:dyDescent="0.25">
      <c r="A324" t="str">
        <f>"20190312172100156"</f>
        <v>20190312172100156</v>
      </c>
      <c r="B324" t="str">
        <f>"1552382460151420"</f>
        <v>1552382460151420</v>
      </c>
      <c r="C324" t="s">
        <v>40</v>
      </c>
      <c r="D324">
        <v>3.2279550000000001</v>
      </c>
      <c r="E324">
        <v>0.49697520000000001</v>
      </c>
      <c r="F324" t="s">
        <v>43</v>
      </c>
      <c r="G324">
        <v>-421.84449999999998</v>
      </c>
      <c r="H324">
        <v>-0.05</v>
      </c>
      <c r="I324">
        <v>368.10750000000002</v>
      </c>
      <c r="J324">
        <v>-437.90910000000002</v>
      </c>
      <c r="K324">
        <v>1.0983540000000001</v>
      </c>
      <c r="L324">
        <v>367.85860000000002</v>
      </c>
      <c r="M324">
        <v>0.99983979999999995</v>
      </c>
      <c r="N324">
        <v>0</v>
      </c>
      <c r="O324" s="1">
        <v>-8.6006580000000003E-5</v>
      </c>
      <c r="P324">
        <v>0.9873381</v>
      </c>
      <c r="Q324">
        <v>0.1584527</v>
      </c>
      <c r="R324">
        <v>7.5168589999999999E-3</v>
      </c>
      <c r="S324">
        <v>3.0738219999999998</v>
      </c>
      <c r="T324">
        <v>-0.2168321</v>
      </c>
      <c r="U324">
        <v>4.6936039999999998E-2</v>
      </c>
      <c r="V324">
        <v>-7.5939319999999899E-3</v>
      </c>
      <c r="W324">
        <v>0.17610439999999999</v>
      </c>
      <c r="X324">
        <v>0.98434219999999895</v>
      </c>
      <c r="Y324">
        <v>-1.5315570000000001E-2</v>
      </c>
      <c r="Z324">
        <v>5.455503E-4</v>
      </c>
      <c r="AA324">
        <v>0.99988259999999995</v>
      </c>
      <c r="AB324">
        <v>29</v>
      </c>
      <c r="AC324">
        <v>16.064599999999999</v>
      </c>
      <c r="AD324">
        <v>-1.1483540000000001</v>
      </c>
      <c r="AE324">
        <v>0.24889999999999099</v>
      </c>
      <c r="AF324">
        <v>-0.24900977401784999</v>
      </c>
      <c r="AG324">
        <v>-1.1483540000000001</v>
      </c>
      <c r="AH324">
        <v>15.982927095619401</v>
      </c>
      <c r="AI324">
        <v>94.109073739725005</v>
      </c>
      <c r="AJ324">
        <v>90.892580867094097</v>
      </c>
      <c r="AK324">
        <v>16.0260625644841</v>
      </c>
      <c r="AL324">
        <v>79.857066207016601</v>
      </c>
      <c r="AM324">
        <v>90.442012566219603</v>
      </c>
      <c r="AN324">
        <v>0.99999999710170995</v>
      </c>
    </row>
    <row r="325" spans="1:40" x14ac:dyDescent="0.25">
      <c r="A325" t="str">
        <f>"20190312172100168"</f>
        <v>20190312172100168</v>
      </c>
      <c r="B325" t="str">
        <f>"1552382460162156"</f>
        <v>1552382460162156</v>
      </c>
      <c r="C325" t="s">
        <v>40</v>
      </c>
      <c r="D325">
        <v>3.2455820000000002</v>
      </c>
      <c r="E325">
        <v>0.49700339999999998</v>
      </c>
      <c r="F325" t="s">
        <v>43</v>
      </c>
      <c r="G325">
        <v>-421.87240000000003</v>
      </c>
      <c r="H325">
        <v>-0.05</v>
      </c>
      <c r="I325">
        <v>368.11489999999998</v>
      </c>
      <c r="J325">
        <v>-437.7457</v>
      </c>
      <c r="K325">
        <v>1.0972299999999999</v>
      </c>
      <c r="L325">
        <v>367.85860000000002</v>
      </c>
      <c r="M325">
        <v>0.99983129999999998</v>
      </c>
      <c r="N325">
        <v>0</v>
      </c>
      <c r="O325" s="1">
        <v>-8.3008419999999896E-5</v>
      </c>
      <c r="P325">
        <v>0.98741250000000003</v>
      </c>
      <c r="Q325">
        <v>0.1579826</v>
      </c>
      <c r="R325">
        <v>7.6518519999999998E-3</v>
      </c>
      <c r="S325">
        <v>3.0734249999999999</v>
      </c>
      <c r="T325">
        <v>-0.22008169999999999</v>
      </c>
      <c r="U325">
        <v>4.9133299999999998E-2</v>
      </c>
      <c r="V325">
        <v>-7.7267759999999899E-3</v>
      </c>
      <c r="W325">
        <v>0.17609540000000001</v>
      </c>
      <c r="X325">
        <v>0.98434279999999996</v>
      </c>
      <c r="Y325">
        <v>-1.6026229999999999E-2</v>
      </c>
      <c r="Z325">
        <v>5.7896949999999999E-4</v>
      </c>
      <c r="AA325">
        <v>0.99987139999999997</v>
      </c>
      <c r="AB325">
        <v>29</v>
      </c>
      <c r="AC325">
        <v>15.873299999999899</v>
      </c>
      <c r="AD325">
        <v>-1.14723</v>
      </c>
      <c r="AE325">
        <v>0.25629999999995301</v>
      </c>
      <c r="AF325">
        <v>-0.256279496721322</v>
      </c>
      <c r="AG325">
        <v>-1.14723</v>
      </c>
      <c r="AH325">
        <v>15.790815900153399</v>
      </c>
      <c r="AI325">
        <v>94.154791190013199</v>
      </c>
      <c r="AJ325">
        <v>90.929809111464806</v>
      </c>
      <c r="AK325">
        <v>15.834509232871</v>
      </c>
      <c r="AL325">
        <v>79.857590294794093</v>
      </c>
      <c r="AM325">
        <v>90.449744297874801</v>
      </c>
      <c r="AN325">
        <v>1.00000002044017</v>
      </c>
    </row>
    <row r="326" spans="1:40" x14ac:dyDescent="0.25">
      <c r="A326" t="str">
        <f>"20190312172100180"</f>
        <v>20190312172100180</v>
      </c>
      <c r="B326" t="str">
        <f>"1552382460171916"</f>
        <v>1552382460171916</v>
      </c>
      <c r="C326" t="s">
        <v>40</v>
      </c>
      <c r="D326">
        <v>3.2531180000000002</v>
      </c>
      <c r="E326">
        <v>0.49698399999999998</v>
      </c>
      <c r="F326" t="s">
        <v>43</v>
      </c>
      <c r="G326">
        <v>-421.83980000000003</v>
      </c>
      <c r="H326">
        <v>-0.05</v>
      </c>
      <c r="I326">
        <v>368.11380000000003</v>
      </c>
      <c r="J326">
        <v>-437.59140000000002</v>
      </c>
      <c r="K326">
        <v>1.0961459999999901</v>
      </c>
      <c r="L326">
        <v>367.85860000000002</v>
      </c>
      <c r="M326">
        <v>0.99982360000000003</v>
      </c>
      <c r="N326">
        <v>0</v>
      </c>
      <c r="O326" s="1">
        <v>-7.8213940000000003E-5</v>
      </c>
      <c r="P326">
        <v>0.98746999999999996</v>
      </c>
      <c r="Q326">
        <v>0.15761979999999901</v>
      </c>
      <c r="R326">
        <v>7.6804380000000004E-3</v>
      </c>
      <c r="S326">
        <v>3.073334</v>
      </c>
      <c r="T326">
        <v>-0.22166820000000001</v>
      </c>
      <c r="U326">
        <v>4.9316409999999998E-2</v>
      </c>
      <c r="V326">
        <v>-7.75159099999999E-3</v>
      </c>
      <c r="W326">
        <v>0.17613909999999999</v>
      </c>
      <c r="X326">
        <v>0.98433479999999995</v>
      </c>
      <c r="Y326">
        <v>-1.608074E-2</v>
      </c>
      <c r="Z326">
        <v>5.8476749999999999E-4</v>
      </c>
      <c r="AA326">
        <v>0.9998705</v>
      </c>
      <c r="AB326">
        <v>29</v>
      </c>
      <c r="AC326">
        <v>15.7515999999999</v>
      </c>
      <c r="AD326">
        <v>-1.1461460000000001</v>
      </c>
      <c r="AE326">
        <v>0.25520000000000198</v>
      </c>
      <c r="AF326">
        <v>-0.25508201658490298</v>
      </c>
      <c r="AG326">
        <v>-1.1461460000000001</v>
      </c>
      <c r="AH326">
        <v>15.668643060804399</v>
      </c>
      <c r="AI326">
        <v>94.183126853691604</v>
      </c>
      <c r="AJ326">
        <v>90.932680128988807</v>
      </c>
      <c r="AK326">
        <v>15.7125775369732</v>
      </c>
      <c r="AL326">
        <v>79.855046851082506</v>
      </c>
      <c r="AM326">
        <v>90.451192285581996</v>
      </c>
      <c r="AN326">
        <v>1.0000000341014399</v>
      </c>
    </row>
    <row r="327" spans="1:40" x14ac:dyDescent="0.25">
      <c r="A327" t="str">
        <f>"20190312172100192"</f>
        <v>20190312172100192</v>
      </c>
      <c r="B327" t="str">
        <f>"1552382460181676"</f>
        <v>1552382460181676</v>
      </c>
      <c r="C327" t="s">
        <v>40</v>
      </c>
      <c r="D327">
        <v>3.233924</v>
      </c>
      <c r="E327">
        <v>0.49695830000000002</v>
      </c>
      <c r="F327" t="s">
        <v>43</v>
      </c>
      <c r="G327">
        <v>-421.75330000000002</v>
      </c>
      <c r="H327">
        <v>-0.05</v>
      </c>
      <c r="I327">
        <v>368.11380000000003</v>
      </c>
      <c r="J327">
        <v>-437.42939999999999</v>
      </c>
      <c r="K327">
        <v>1.094916</v>
      </c>
      <c r="L327">
        <v>367.85860000000002</v>
      </c>
      <c r="M327">
        <v>0.99981830000000005</v>
      </c>
      <c r="N327">
        <v>0</v>
      </c>
      <c r="O327" s="1">
        <v>-6.5056730000000006E-5</v>
      </c>
      <c r="P327">
        <v>0.98745629999999995</v>
      </c>
      <c r="Q327">
        <v>0.1576979</v>
      </c>
      <c r="R327">
        <v>7.8313129999999995E-3</v>
      </c>
      <c r="S327">
        <v>3.0731510000000002</v>
      </c>
      <c r="T327">
        <v>-0.22239200000000001</v>
      </c>
      <c r="U327">
        <v>4.9530030000000003E-2</v>
      </c>
      <c r="V327">
        <v>-7.8918949999999995E-3</v>
      </c>
      <c r="W327">
        <v>0.17649110000000001</v>
      </c>
      <c r="X327">
        <v>0.9842706</v>
      </c>
      <c r="Y327">
        <v>-1.613763E-2</v>
      </c>
      <c r="Z327">
        <v>5.8781079999999997E-4</v>
      </c>
      <c r="AA327">
        <v>0.99986960000000003</v>
      </c>
      <c r="AB327">
        <v>29</v>
      </c>
      <c r="AC327">
        <v>15.6760999999999</v>
      </c>
      <c r="AD327">
        <v>-1.144916</v>
      </c>
      <c r="AE327">
        <v>0.25520000000000198</v>
      </c>
      <c r="AF327">
        <v>-0.254860895851586</v>
      </c>
      <c r="AG327">
        <v>-1.144916</v>
      </c>
      <c r="AH327">
        <v>15.592929231467201</v>
      </c>
      <c r="AI327">
        <v>94.198866857819695</v>
      </c>
      <c r="AJ327">
        <v>90.936395808054201</v>
      </c>
      <c r="AK327">
        <v>15.636982724964399</v>
      </c>
      <c r="AL327">
        <v>79.834557422791207</v>
      </c>
      <c r="AM327">
        <v>90.459388491744093</v>
      </c>
      <c r="AN327">
        <v>1.0000000022051301</v>
      </c>
    </row>
    <row r="328" spans="1:40" x14ac:dyDescent="0.25">
      <c r="A328" t="str">
        <f>"20190312172100204"</f>
        <v>20190312172100204</v>
      </c>
      <c r="B328" t="str">
        <f>"1552382460202172"</f>
        <v>1552382460202172</v>
      </c>
      <c r="C328" t="s">
        <v>40</v>
      </c>
      <c r="D328">
        <v>3.2586020000000002</v>
      </c>
      <c r="E328">
        <v>0.49694339999999998</v>
      </c>
      <c r="F328" t="s">
        <v>43</v>
      </c>
      <c r="G328">
        <v>-421.58600000000001</v>
      </c>
      <c r="H328">
        <v>-0.05</v>
      </c>
      <c r="I328">
        <v>368.11770000000001</v>
      </c>
      <c r="J328">
        <v>-437.28300000000002</v>
      </c>
      <c r="K328">
        <v>1.093772</v>
      </c>
      <c r="L328">
        <v>367.85860000000002</v>
      </c>
      <c r="M328">
        <v>0.99981489999999995</v>
      </c>
      <c r="N328">
        <v>0</v>
      </c>
      <c r="O328" s="1">
        <v>-4.9860859999999898E-5</v>
      </c>
      <c r="P328">
        <v>0.98744799999999999</v>
      </c>
      <c r="Q328">
        <v>0.15775539999999999</v>
      </c>
      <c r="R328">
        <v>7.7554249999999998E-3</v>
      </c>
      <c r="S328">
        <v>3.0731510000000002</v>
      </c>
      <c r="T328">
        <v>-0.22207940000000001</v>
      </c>
      <c r="U328">
        <v>5.026245E-2</v>
      </c>
      <c r="V328">
        <v>-7.8033159999999898E-3</v>
      </c>
      <c r="W328">
        <v>0.17673369999999999</v>
      </c>
      <c r="X328">
        <v>0.98422779999999999</v>
      </c>
      <c r="Y328">
        <v>-1.6360240000000002E-2</v>
      </c>
      <c r="Z328">
        <v>5.9392150000000003E-4</v>
      </c>
      <c r="AA328">
        <v>0.99986600000000003</v>
      </c>
      <c r="AB328">
        <v>29</v>
      </c>
      <c r="AC328">
        <v>15.696999999999999</v>
      </c>
      <c r="AD328">
        <v>-1.143772</v>
      </c>
      <c r="AE328">
        <v>0.25909999999998901</v>
      </c>
      <c r="AF328">
        <v>-0.25851064741833801</v>
      </c>
      <c r="AG328">
        <v>-1.143772</v>
      </c>
      <c r="AH328">
        <v>15.6141080645311</v>
      </c>
      <c r="AI328">
        <v>94.189002442511295</v>
      </c>
      <c r="AJ328">
        <v>90.948515015517401</v>
      </c>
      <c r="AK328">
        <v>15.658078196051701</v>
      </c>
      <c r="AL328">
        <v>79.820435735377799</v>
      </c>
      <c r="AM328">
        <v>90.454252262883102</v>
      </c>
      <c r="AN328">
        <v>1.00000002737456</v>
      </c>
    </row>
    <row r="329" spans="1:40" x14ac:dyDescent="0.25">
      <c r="A329" t="str">
        <f>"20190312172100222"</f>
        <v>20190312172100222</v>
      </c>
      <c r="B329" t="str">
        <f>"1552382460211932"</f>
        <v>1552382460211932</v>
      </c>
      <c r="C329" t="s">
        <v>40</v>
      </c>
      <c r="D329">
        <v>3.2501030000000002</v>
      </c>
      <c r="E329">
        <v>0.4969556</v>
      </c>
      <c r="F329" t="s">
        <v>43</v>
      </c>
      <c r="G329">
        <v>-421.45769999999999</v>
      </c>
      <c r="H329">
        <v>-0.05</v>
      </c>
      <c r="I329">
        <v>368.11630000000002</v>
      </c>
      <c r="J329">
        <v>-437.03809999999999</v>
      </c>
      <c r="K329">
        <v>1.09175</v>
      </c>
      <c r="L329">
        <v>367.85860000000002</v>
      </c>
      <c r="M329">
        <v>0.99981319999999996</v>
      </c>
      <c r="N329">
        <v>0</v>
      </c>
      <c r="O329" s="1">
        <v>-1.12667E-5</v>
      </c>
      <c r="P329">
        <v>0.98746650000000002</v>
      </c>
      <c r="Q329">
        <v>0.1576487</v>
      </c>
      <c r="R329">
        <v>7.5759349999999998E-3</v>
      </c>
      <c r="S329">
        <v>3.0732729999999999</v>
      </c>
      <c r="T329">
        <v>-0.2221206</v>
      </c>
      <c r="U329">
        <v>5.0048830000000002E-2</v>
      </c>
      <c r="V329">
        <v>-7.5916839999999996E-3</v>
      </c>
      <c r="W329">
        <v>0.17671120000000001</v>
      </c>
      <c r="X329">
        <v>0.98423340000000004</v>
      </c>
      <c r="Y329">
        <v>-1.6251890000000001E-2</v>
      </c>
      <c r="Z329">
        <v>5.8731180000000003E-4</v>
      </c>
      <c r="AA329">
        <v>0.99986770000000003</v>
      </c>
      <c r="AB329">
        <v>29</v>
      </c>
      <c r="AC329">
        <v>15.5803999999999</v>
      </c>
      <c r="AD329">
        <v>-1.14175</v>
      </c>
      <c r="AE329">
        <v>0.25769999999999899</v>
      </c>
      <c r="AF329">
        <v>-0.256498518695852</v>
      </c>
      <c r="AG329">
        <v>-1.14175</v>
      </c>
      <c r="AH329">
        <v>15.4971978820732</v>
      </c>
      <c r="AI329">
        <v>94.213056430954197</v>
      </c>
      <c r="AJ329">
        <v>90.948232120024699</v>
      </c>
      <c r="AK329">
        <v>15.54131676367</v>
      </c>
      <c r="AL329">
        <v>79.821744542361998</v>
      </c>
      <c r="AM329">
        <v>90.441930569217007</v>
      </c>
      <c r="AN329">
        <v>0.99999993377347496</v>
      </c>
    </row>
    <row r="330" spans="1:40" x14ac:dyDescent="0.25">
      <c r="A330" t="str">
        <f>"20190312172100234"</f>
        <v>20190312172100234</v>
      </c>
      <c r="B330" t="str">
        <f>"1552382460221692"</f>
        <v>1552382460221692</v>
      </c>
      <c r="C330" t="s">
        <v>40</v>
      </c>
      <c r="D330">
        <v>3.2365590000000002</v>
      </c>
      <c r="E330">
        <v>0.49705579999999999</v>
      </c>
      <c r="F330" t="s">
        <v>43</v>
      </c>
      <c r="G330">
        <v>-421.2604</v>
      </c>
      <c r="H330">
        <v>-0.05</v>
      </c>
      <c r="I330">
        <v>368.1155</v>
      </c>
      <c r="J330">
        <v>-436.88839999999999</v>
      </c>
      <c r="K330">
        <v>1.09044599999999</v>
      </c>
      <c r="L330">
        <v>367.85860000000002</v>
      </c>
      <c r="M330">
        <v>0.99981489999999995</v>
      </c>
      <c r="N330">
        <v>0</v>
      </c>
      <c r="O330" s="1">
        <v>2.2047549999999999E-5</v>
      </c>
      <c r="P330">
        <v>0.98743930000000002</v>
      </c>
      <c r="Q330">
        <v>0.15781729999999899</v>
      </c>
      <c r="R330">
        <v>7.5891500000000002E-3</v>
      </c>
      <c r="S330">
        <v>3.073242</v>
      </c>
      <c r="T330">
        <v>-0.2223936</v>
      </c>
      <c r="U330">
        <v>5.0048830000000002E-2</v>
      </c>
      <c r="V330">
        <v>-7.5770250000000003E-3</v>
      </c>
      <c r="W330">
        <v>0.176791</v>
      </c>
      <c r="X330">
        <v>0.98421930000000002</v>
      </c>
      <c r="Y330">
        <v>-1.6218799999999998E-2</v>
      </c>
      <c r="Z330">
        <v>5.8443389999999996E-4</v>
      </c>
      <c r="AA330">
        <v>0.99986830000000004</v>
      </c>
      <c r="AB330">
        <v>29</v>
      </c>
      <c r="AC330">
        <v>15.627999999999901</v>
      </c>
      <c r="AD330">
        <v>-1.1404459999999901</v>
      </c>
      <c r="AE330">
        <v>0.25689999999997298</v>
      </c>
      <c r="AF330">
        <v>-0.25519674939718401</v>
      </c>
      <c r="AG330">
        <v>-1.1404459999999901</v>
      </c>
      <c r="AH330">
        <v>15.545245203526299</v>
      </c>
      <c r="AI330">
        <v>94.195310856516002</v>
      </c>
      <c r="AJ330">
        <v>90.940505164256095</v>
      </c>
      <c r="AK330">
        <v>15.5891112927445</v>
      </c>
      <c r="AL330">
        <v>79.817100394110895</v>
      </c>
      <c r="AM330">
        <v>90.441083585230601</v>
      </c>
      <c r="AN330">
        <v>1.00000004974066</v>
      </c>
    </row>
    <row r="331" spans="1:40" x14ac:dyDescent="0.25">
      <c r="A331" t="str">
        <f>"20190312172100246"</f>
        <v>20190312172100246</v>
      </c>
      <c r="B331" t="str">
        <f>"1552382460242188"</f>
        <v>1552382460242188</v>
      </c>
      <c r="C331" t="s">
        <v>40</v>
      </c>
      <c r="D331">
        <v>3.2135560000000001</v>
      </c>
      <c r="E331">
        <v>0.49707190000000001</v>
      </c>
      <c r="F331" t="s">
        <v>43</v>
      </c>
      <c r="G331">
        <v>-421.17340000000002</v>
      </c>
      <c r="H331">
        <v>-0.05</v>
      </c>
      <c r="I331">
        <v>368.11079999999998</v>
      </c>
      <c r="J331">
        <v>-436.74579999999997</v>
      </c>
      <c r="K331">
        <v>1.089186</v>
      </c>
      <c r="L331">
        <v>367.8587</v>
      </c>
      <c r="M331">
        <v>0.99981679999999995</v>
      </c>
      <c r="N331">
        <v>0</v>
      </c>
      <c r="O331" s="1">
        <v>5.9067880000000003E-5</v>
      </c>
      <c r="P331">
        <v>0.98742189999999996</v>
      </c>
      <c r="Q331">
        <v>0.1579187</v>
      </c>
      <c r="R331">
        <v>7.7232969999999996E-3</v>
      </c>
      <c r="S331">
        <v>3.0734249999999999</v>
      </c>
      <c r="T331">
        <v>-0.22303979999999901</v>
      </c>
      <c r="U331">
        <v>4.9316409999999998E-2</v>
      </c>
      <c r="V331">
        <v>-7.6788689999999996E-3</v>
      </c>
      <c r="W331">
        <v>0.1767891</v>
      </c>
      <c r="X331">
        <v>0.98421879999999995</v>
      </c>
      <c r="Y331">
        <v>-1.5943180000000001E-2</v>
      </c>
      <c r="Z331">
        <v>5.7342349999999897E-4</v>
      </c>
      <c r="AA331">
        <v>0.99987269999999995</v>
      </c>
      <c r="AB331">
        <v>29</v>
      </c>
      <c r="AC331">
        <v>15.572399999999901</v>
      </c>
      <c r="AD331">
        <v>-1.139186</v>
      </c>
      <c r="AE331">
        <v>0.252099999999984</v>
      </c>
      <c r="AF331">
        <v>-0.24984330807265201</v>
      </c>
      <c r="AG331">
        <v>-1.139186</v>
      </c>
      <c r="AH331">
        <v>15.4895437866495</v>
      </c>
      <c r="AI331">
        <v>94.205727834915393</v>
      </c>
      <c r="AJ331">
        <v>90.924089568977493</v>
      </c>
      <c r="AK331">
        <v>15.533387690382099</v>
      </c>
      <c r="AL331">
        <v>79.817210471854693</v>
      </c>
      <c r="AM331">
        <v>90.447012248060403</v>
      </c>
      <c r="AN331">
        <v>0.999999998590684</v>
      </c>
    </row>
    <row r="332" spans="1:40" x14ac:dyDescent="0.25">
      <c r="A332" t="str">
        <f>"20190312172100256"</f>
        <v>20190312172100256</v>
      </c>
      <c r="B332" t="str">
        <f>"1552382460251948"</f>
        <v>1552382460251948</v>
      </c>
      <c r="C332" t="s">
        <v>40</v>
      </c>
      <c r="D332">
        <v>3.222699</v>
      </c>
      <c r="E332">
        <v>0.49710120000000002</v>
      </c>
      <c r="F332" t="s">
        <v>43</v>
      </c>
      <c r="G332">
        <v>-421.02600000000001</v>
      </c>
      <c r="H332">
        <v>-0.05</v>
      </c>
      <c r="I332">
        <v>368.11360000000002</v>
      </c>
      <c r="J332">
        <v>-436.59160000000003</v>
      </c>
      <c r="K332">
        <v>1.087796</v>
      </c>
      <c r="L332">
        <v>367.8587</v>
      </c>
      <c r="M332">
        <v>0.99981949999999997</v>
      </c>
      <c r="N332">
        <v>0</v>
      </c>
      <c r="O332">
        <v>1.0546730000000001E-4</v>
      </c>
      <c r="P332">
        <v>0.98738740000000003</v>
      </c>
      <c r="Q332">
        <v>0.15813550000000001</v>
      </c>
      <c r="R332">
        <v>7.7203219999999999E-3</v>
      </c>
      <c r="S332">
        <v>3.0734560000000002</v>
      </c>
      <c r="T332">
        <v>-0.2227276</v>
      </c>
      <c r="U332">
        <v>4.9835209999999998E-2</v>
      </c>
      <c r="V332">
        <v>-7.6360450000000002E-3</v>
      </c>
      <c r="W332">
        <v>0.17687269999999999</v>
      </c>
      <c r="X332">
        <v>0.98420410000000003</v>
      </c>
      <c r="Y332">
        <v>-1.606527E-2</v>
      </c>
      <c r="Z332">
        <v>5.736758E-4</v>
      </c>
      <c r="AA332">
        <v>0.99987079999999995</v>
      </c>
      <c r="AB332">
        <v>29</v>
      </c>
      <c r="AC332">
        <v>15.5656</v>
      </c>
      <c r="AD332">
        <v>-1.13779599999999</v>
      </c>
      <c r="AE332">
        <v>0.25490000000002</v>
      </c>
      <c r="AF332">
        <v>-0.25191239645887797</v>
      </c>
      <c r="AG332">
        <v>-1.13779599999999</v>
      </c>
      <c r="AH332">
        <v>15.4829214648178</v>
      </c>
      <c r="AI332">
        <v>94.202395225897902</v>
      </c>
      <c r="AJ332">
        <v>90.9321395659438</v>
      </c>
      <c r="AK332">
        <v>15.5267155792467</v>
      </c>
      <c r="AL332">
        <v>79.812343721368407</v>
      </c>
      <c r="AM332">
        <v>90.4445260613752</v>
      </c>
      <c r="AN332">
        <v>0.99999998582267102</v>
      </c>
    </row>
    <row r="333" spans="1:40" x14ac:dyDescent="0.25">
      <c r="A333" t="str">
        <f>"20190312172100268"</f>
        <v>20190312172100268</v>
      </c>
      <c r="B333" t="str">
        <f>"1552382460261709"</f>
        <v>1552382460261709</v>
      </c>
      <c r="C333" t="s">
        <v>40</v>
      </c>
      <c r="D333">
        <v>3.2249789999999998</v>
      </c>
      <c r="E333">
        <v>0.49711139999999998</v>
      </c>
      <c r="F333" t="s">
        <v>43</v>
      </c>
      <c r="G333">
        <v>-420.83620000000002</v>
      </c>
      <c r="H333">
        <v>-0.05</v>
      </c>
      <c r="I333">
        <v>368.11320000000001</v>
      </c>
      <c r="J333">
        <v>-436.44159999999999</v>
      </c>
      <c r="K333">
        <v>1.0864339999999999</v>
      </c>
      <c r="L333">
        <v>367.8587</v>
      </c>
      <c r="M333">
        <v>0.9998224</v>
      </c>
      <c r="N333">
        <v>0</v>
      </c>
      <c r="O333">
        <v>1.612262E-4</v>
      </c>
      <c r="P333">
        <v>0.98732140000000002</v>
      </c>
      <c r="Q333">
        <v>0.15854840000000001</v>
      </c>
      <c r="R333">
        <v>7.6852589999999998E-3</v>
      </c>
      <c r="S333">
        <v>3.0734859999999999</v>
      </c>
      <c r="T333">
        <v>-0.2219563</v>
      </c>
      <c r="U333">
        <v>4.9652099999999998E-2</v>
      </c>
      <c r="V333">
        <v>-7.5516899999999998E-3</v>
      </c>
      <c r="W333">
        <v>0.17712610000000001</v>
      </c>
      <c r="X333">
        <v>0.98415920000000001</v>
      </c>
      <c r="Y333">
        <v>-1.5950530000000001E-2</v>
      </c>
      <c r="Z333">
        <v>5.6352949999999996E-4</v>
      </c>
      <c r="AA333">
        <v>0.9998726</v>
      </c>
      <c r="AB333">
        <v>29</v>
      </c>
      <c r="AC333">
        <v>15.6053999999999</v>
      </c>
      <c r="AD333">
        <v>-1.1364339999999999</v>
      </c>
      <c r="AE333">
        <v>0.254500000000007</v>
      </c>
      <c r="AF333">
        <v>-0.25065463037235602</v>
      </c>
      <c r="AG333">
        <v>-1.1364339999999999</v>
      </c>
      <c r="AH333">
        <v>15.5231402902971</v>
      </c>
      <c r="AI333">
        <v>94.186554799720994</v>
      </c>
      <c r="AJ333">
        <v>90.925083726931007</v>
      </c>
      <c r="AK333">
        <v>15.566701463454899</v>
      </c>
      <c r="AL333">
        <v>79.797592275690306</v>
      </c>
      <c r="AM333">
        <v>90.439635654094602</v>
      </c>
      <c r="AN333">
        <v>1.00000000713385</v>
      </c>
    </row>
    <row r="334" spans="1:40" x14ac:dyDescent="0.25">
      <c r="A334" t="str">
        <f>"20190312172100280"</f>
        <v>20190312172100280</v>
      </c>
      <c r="B334" t="str">
        <f>"1552382460271469"</f>
        <v>1552382460271469</v>
      </c>
      <c r="C334" t="s">
        <v>40</v>
      </c>
      <c r="D334">
        <v>3.1958380000000002</v>
      </c>
      <c r="E334">
        <v>0.49711050000000001</v>
      </c>
      <c r="F334" t="s">
        <v>43</v>
      </c>
      <c r="G334">
        <v>-420.61689999999999</v>
      </c>
      <c r="H334">
        <v>-0.05</v>
      </c>
      <c r="I334">
        <v>368.11399999999998</v>
      </c>
      <c r="J334">
        <v>-436.28969999999998</v>
      </c>
      <c r="K334">
        <v>1.0850500000000001</v>
      </c>
      <c r="L334">
        <v>367.85879999999997</v>
      </c>
      <c r="M334">
        <v>0.99982579999999999</v>
      </c>
      <c r="N334">
        <v>0</v>
      </c>
      <c r="O334">
        <v>2.2151270000000001E-4</v>
      </c>
      <c r="P334">
        <v>0.98727730000000002</v>
      </c>
      <c r="Q334">
        <v>0.15881979999999901</v>
      </c>
      <c r="R334">
        <v>7.775578E-3</v>
      </c>
      <c r="S334">
        <v>3.0735779999999999</v>
      </c>
      <c r="T334">
        <v>-0.2207257</v>
      </c>
      <c r="U334">
        <v>4.9591059999999999E-2</v>
      </c>
      <c r="V334">
        <v>-7.5895650000000004E-3</v>
      </c>
      <c r="W334">
        <v>0.1772251</v>
      </c>
      <c r="X334">
        <v>0.98414109999999999</v>
      </c>
      <c r="Y334">
        <v>-1.5870720000000001E-2</v>
      </c>
      <c r="Z334">
        <v>5.5321069999999996E-4</v>
      </c>
      <c r="AA334">
        <v>0.99987389999999998</v>
      </c>
      <c r="AB334">
        <v>29</v>
      </c>
      <c r="AC334">
        <v>15.672799999999899</v>
      </c>
      <c r="AD334">
        <v>-1.1350499999999999</v>
      </c>
      <c r="AE334">
        <v>0.25520000000005799</v>
      </c>
      <c r="AF334">
        <v>-0.250414614461129</v>
      </c>
      <c r="AG334">
        <v>-1.1350499999999999</v>
      </c>
      <c r="AH334">
        <v>15.591104125688901</v>
      </c>
      <c r="AI334">
        <v>94.163316644792602</v>
      </c>
      <c r="AJ334">
        <v>90.920170044645999</v>
      </c>
      <c r="AK334">
        <v>15.6343715524389</v>
      </c>
      <c r="AL334">
        <v>79.791828955748301</v>
      </c>
      <c r="AM334">
        <v>90.441848656205593</v>
      </c>
      <c r="AN334">
        <v>1.00000002113805</v>
      </c>
    </row>
    <row r="335" spans="1:40" x14ac:dyDescent="0.25">
      <c r="A335" t="str">
        <f>"20190312172100293"</f>
        <v>20190312172100293</v>
      </c>
      <c r="B335" t="str">
        <f>"1552382460282204"</f>
        <v>1552382460282204</v>
      </c>
      <c r="C335" t="s">
        <v>40</v>
      </c>
      <c r="D335">
        <v>3.2021489999999999</v>
      </c>
      <c r="E335">
        <v>0.49716870000000002</v>
      </c>
      <c r="F335" t="s">
        <v>43</v>
      </c>
      <c r="G335">
        <v>-420.40019999999998</v>
      </c>
      <c r="H335">
        <v>-0.05</v>
      </c>
      <c r="I335">
        <v>368.11720000000003</v>
      </c>
      <c r="J335">
        <v>-436.11599999999999</v>
      </c>
      <c r="K335">
        <v>1.0834729999999999</v>
      </c>
      <c r="L335">
        <v>367.85890000000001</v>
      </c>
      <c r="M335">
        <v>0.99983089999999997</v>
      </c>
      <c r="N335">
        <v>0</v>
      </c>
      <c r="O335">
        <v>3.0857159999999998E-4</v>
      </c>
      <c r="P335">
        <v>0.98720669999999999</v>
      </c>
      <c r="Q335">
        <v>0.15925549999999999</v>
      </c>
      <c r="R335">
        <v>7.7893179999999999E-3</v>
      </c>
      <c r="S335">
        <v>3.0735779999999999</v>
      </c>
      <c r="T335">
        <v>-0.21955759999999999</v>
      </c>
      <c r="U335">
        <v>4.9987789999999997E-2</v>
      </c>
      <c r="V335">
        <v>-7.5236540000000003E-3</v>
      </c>
      <c r="W335">
        <v>0.1773795</v>
      </c>
      <c r="X335">
        <v>0.98411380000000004</v>
      </c>
      <c r="Y335">
        <v>-1.591323E-2</v>
      </c>
      <c r="Z335">
        <v>5.455948E-4</v>
      </c>
      <c r="AA335">
        <v>0.99987320000000002</v>
      </c>
      <c r="AB335">
        <v>29</v>
      </c>
      <c r="AC335">
        <v>15.7158</v>
      </c>
      <c r="AD335">
        <v>-1.133473</v>
      </c>
      <c r="AE335">
        <v>0.25830000000001901</v>
      </c>
      <c r="AF335">
        <v>-0.25213851120881298</v>
      </c>
      <c r="AG335">
        <v>-1.133473</v>
      </c>
      <c r="AH335">
        <v>15.6345738072846</v>
      </c>
      <c r="AI335">
        <v>94.1460290992582</v>
      </c>
      <c r="AJ335">
        <v>90.923927988542502</v>
      </c>
      <c r="AK335">
        <v>15.6776348026733</v>
      </c>
      <c r="AL335">
        <v>79.782840182459793</v>
      </c>
      <c r="AM335">
        <v>90.438023755585107</v>
      </c>
      <c r="AN335">
        <v>1.0000000318700999</v>
      </c>
    </row>
    <row r="336" spans="1:40" x14ac:dyDescent="0.25">
      <c r="A336" t="str">
        <f>"20190312172100314"</f>
        <v>20190312172100314</v>
      </c>
      <c r="B336" t="str">
        <f>"1552382460301724"</f>
        <v>1552382460301724</v>
      </c>
      <c r="C336" t="s">
        <v>40</v>
      </c>
      <c r="D336">
        <v>3.3259750000000001</v>
      </c>
      <c r="E336">
        <v>0.49716860000000002</v>
      </c>
      <c r="F336" t="s">
        <v>43</v>
      </c>
      <c r="G336">
        <v>-420.16860000000003</v>
      </c>
      <c r="H336">
        <v>-0.05</v>
      </c>
      <c r="I336">
        <v>368.11709999999999</v>
      </c>
      <c r="J336">
        <v>-435.84519999999998</v>
      </c>
      <c r="K336">
        <v>1.081045</v>
      </c>
      <c r="L336">
        <v>367.85919999999999</v>
      </c>
      <c r="M336">
        <v>0.99984059999999997</v>
      </c>
      <c r="N336">
        <v>0</v>
      </c>
      <c r="O336">
        <v>4.6154509999999998E-4</v>
      </c>
      <c r="P336">
        <v>0.98707029999999996</v>
      </c>
      <c r="Q336">
        <v>0.16008749999999999</v>
      </c>
      <c r="R336">
        <v>8.0129480000000006E-3</v>
      </c>
      <c r="S336">
        <v>3.0737299999999999</v>
      </c>
      <c r="T336">
        <v>-0.2184682</v>
      </c>
      <c r="U336">
        <v>4.977417E-2</v>
      </c>
      <c r="V336">
        <v>-7.60676699999999E-3</v>
      </c>
      <c r="W336">
        <v>0.177677</v>
      </c>
      <c r="X336">
        <v>0.98405949999999998</v>
      </c>
      <c r="Y336">
        <v>-1.5691320000000002E-2</v>
      </c>
      <c r="Z336">
        <v>5.2413199999999996E-4</v>
      </c>
      <c r="AA336">
        <v>0.99987669999999995</v>
      </c>
      <c r="AB336">
        <v>29</v>
      </c>
      <c r="AC336">
        <v>15.676599999999899</v>
      </c>
      <c r="AD336">
        <v>-1.1310450000000001</v>
      </c>
      <c r="AE336">
        <v>0.25790000000000601</v>
      </c>
      <c r="AF336">
        <v>-0.24936565937688299</v>
      </c>
      <c r="AG336">
        <v>-1.1310450000000001</v>
      </c>
      <c r="AH336">
        <v>15.595557873220599</v>
      </c>
      <c r="AI336">
        <v>94.147501974155105</v>
      </c>
      <c r="AJ336">
        <v>90.916054592409495</v>
      </c>
      <c r="AK336">
        <v>15.6385060476081</v>
      </c>
      <c r="AL336">
        <v>79.765519640464802</v>
      </c>
      <c r="AM336">
        <v>90.442886801423597</v>
      </c>
      <c r="AN336">
        <v>1.0000000393867201</v>
      </c>
    </row>
    <row r="337" spans="1:40" x14ac:dyDescent="0.25">
      <c r="A337" t="str">
        <f>"20190312172100328"</f>
        <v>20190312172100328</v>
      </c>
      <c r="B337" t="str">
        <f>"1552382460322220"</f>
        <v>1552382460322220</v>
      </c>
      <c r="C337" t="s">
        <v>40</v>
      </c>
      <c r="D337">
        <v>3.1817410000000002</v>
      </c>
      <c r="E337">
        <v>0.49715239999999999</v>
      </c>
      <c r="F337" t="s">
        <v>43</v>
      </c>
      <c r="G337">
        <v>-419.69639999999998</v>
      </c>
      <c r="H337">
        <v>-0.05</v>
      </c>
      <c r="I337">
        <v>368.1232</v>
      </c>
      <c r="J337">
        <v>-435.67189999999999</v>
      </c>
      <c r="K337">
        <v>1.079534</v>
      </c>
      <c r="L337">
        <v>367.85930000000002</v>
      </c>
      <c r="M337">
        <v>0.99984790000000001</v>
      </c>
      <c r="N337">
        <v>0</v>
      </c>
      <c r="O337">
        <v>5.7289929999999997E-4</v>
      </c>
      <c r="P337">
        <v>0.98695089999999996</v>
      </c>
      <c r="Q337">
        <v>0.16081519999999999</v>
      </c>
      <c r="R337">
        <v>8.1690830000000006E-3</v>
      </c>
      <c r="S337">
        <v>3.0738530000000002</v>
      </c>
      <c r="T337">
        <v>-0.21528910000000001</v>
      </c>
      <c r="U337">
        <v>5.026245E-2</v>
      </c>
      <c r="V337">
        <v>-7.6584000000000001E-3</v>
      </c>
      <c r="W337">
        <v>0.177998499999999</v>
      </c>
      <c r="X337">
        <v>0.98400100000000001</v>
      </c>
      <c r="Y337">
        <v>-1.5739369999999999E-2</v>
      </c>
      <c r="Z337">
        <v>5.103932E-4</v>
      </c>
      <c r="AA337">
        <v>0.99987599999999999</v>
      </c>
      <c r="AB337">
        <v>29</v>
      </c>
      <c r="AC337">
        <v>15.9755</v>
      </c>
      <c r="AD337">
        <v>-1.129534</v>
      </c>
      <c r="AE337">
        <v>0.26389999999997799</v>
      </c>
      <c r="AF337">
        <v>-0.25347939617464399</v>
      </c>
      <c r="AG337">
        <v>-1.129534</v>
      </c>
      <c r="AH337">
        <v>15.896203943472599</v>
      </c>
      <c r="AI337">
        <v>94.063910716482795</v>
      </c>
      <c r="AJ337">
        <v>90.913555769526496</v>
      </c>
      <c r="AK337">
        <v>15.938299742253401</v>
      </c>
      <c r="AL337">
        <v>79.746800696962794</v>
      </c>
      <c r="AM337">
        <v>90.445919402860696</v>
      </c>
      <c r="AN337">
        <v>1.0000000425469</v>
      </c>
    </row>
    <row r="338" spans="1:40" x14ac:dyDescent="0.25">
      <c r="A338" t="str">
        <f>"20190312172100346"</f>
        <v>20190312172100346</v>
      </c>
      <c r="B338" t="str">
        <f>"1552382460341740"</f>
        <v>1552382460341740</v>
      </c>
      <c r="C338" t="s">
        <v>40</v>
      </c>
      <c r="D338">
        <v>3.2649840000000001</v>
      </c>
      <c r="E338">
        <v>0.49718390000000001</v>
      </c>
      <c r="F338" t="s">
        <v>43</v>
      </c>
      <c r="G338">
        <v>-419.33429999999998</v>
      </c>
      <c r="H338">
        <v>-0.05</v>
      </c>
      <c r="I338">
        <v>368.12920000000003</v>
      </c>
      <c r="J338">
        <v>-435.42869999999999</v>
      </c>
      <c r="K338">
        <v>1.077501</v>
      </c>
      <c r="L338">
        <v>367.85969999999998</v>
      </c>
      <c r="M338">
        <v>0.99985840000000004</v>
      </c>
      <c r="N338">
        <v>0</v>
      </c>
      <c r="O338">
        <v>7.4309339999999895E-4</v>
      </c>
      <c r="P338">
        <v>0.98681929999999995</v>
      </c>
      <c r="Q338">
        <v>0.16161139999999999</v>
      </c>
      <c r="R338">
        <v>8.3426909999999993E-3</v>
      </c>
      <c r="S338">
        <v>3.0739139999999998</v>
      </c>
      <c r="T338">
        <v>-0.21252070000000001</v>
      </c>
      <c r="U338">
        <v>5.078125E-2</v>
      </c>
      <c r="V338">
        <v>-7.6712859999999898E-3</v>
      </c>
      <c r="W338">
        <v>0.178176799999999</v>
      </c>
      <c r="X338">
        <v>0.98396859999999997</v>
      </c>
      <c r="Y338">
        <v>-1.573892E-2</v>
      </c>
      <c r="Z338">
        <v>4.9206670000000001E-4</v>
      </c>
      <c r="AA338">
        <v>0.99987599999999999</v>
      </c>
      <c r="AB338">
        <v>29</v>
      </c>
      <c r="AC338">
        <v>16.0944</v>
      </c>
      <c r="AD338">
        <v>-1.1275010000000001</v>
      </c>
      <c r="AE338">
        <v>0.26950000000004998</v>
      </c>
      <c r="AF338">
        <v>-0.25628117598163802</v>
      </c>
      <c r="AG338">
        <v>-1.1275010000000001</v>
      </c>
      <c r="AH338">
        <v>16.016014947070399</v>
      </c>
      <c r="AI338">
        <v>94.026370952696794</v>
      </c>
      <c r="AJ338">
        <v>90.916743442698106</v>
      </c>
      <c r="AK338">
        <v>16.0576982575631</v>
      </c>
      <c r="AL338">
        <v>79.736418598987299</v>
      </c>
      <c r="AM338">
        <v>90.446684382375395</v>
      </c>
      <c r="AN338">
        <v>1.0000000132365401</v>
      </c>
    </row>
    <row r="339" spans="1:40" x14ac:dyDescent="0.25">
      <c r="A339" t="str">
        <f>"20190312172100357"</f>
        <v>20190312172100357</v>
      </c>
      <c r="B339" t="str">
        <f>"1552382460351501"</f>
        <v>1552382460351501</v>
      </c>
      <c r="C339" t="s">
        <v>40</v>
      </c>
      <c r="D339">
        <v>3.1587399999999999</v>
      </c>
      <c r="E339">
        <v>0.49719039999999998</v>
      </c>
      <c r="F339" t="s">
        <v>43</v>
      </c>
      <c r="G339">
        <v>-418.87130000000002</v>
      </c>
      <c r="H339">
        <v>-0.05</v>
      </c>
      <c r="I339">
        <v>368.13189999999997</v>
      </c>
      <c r="J339">
        <v>-435.27409999999998</v>
      </c>
      <c r="K339">
        <v>1.076257</v>
      </c>
      <c r="L339">
        <v>367.85989999999998</v>
      </c>
      <c r="M339">
        <v>0.99986529999999996</v>
      </c>
      <c r="N339">
        <v>0</v>
      </c>
      <c r="O339">
        <v>8.5718559999999999E-4</v>
      </c>
      <c r="P339">
        <v>0.98673060000000001</v>
      </c>
      <c r="Q339">
        <v>0.16214489999999901</v>
      </c>
      <c r="R339">
        <v>8.5029349999999997E-3</v>
      </c>
      <c r="S339">
        <v>3.073944</v>
      </c>
      <c r="T339">
        <v>-0.20932509999999999</v>
      </c>
      <c r="U339">
        <v>5.0537110000000003E-2</v>
      </c>
      <c r="V339">
        <v>-7.7231899999999996E-3</v>
      </c>
      <c r="W339">
        <v>0.17830199999999999</v>
      </c>
      <c r="X339">
        <v>0.98394550000000003</v>
      </c>
      <c r="Y339">
        <v>-1.554706E-2</v>
      </c>
      <c r="Z339">
        <v>4.7039510000000001E-4</v>
      </c>
      <c r="AA339">
        <v>0.99987899999999996</v>
      </c>
      <c r="AB339">
        <v>29</v>
      </c>
      <c r="AC339">
        <v>16.4027999999999</v>
      </c>
      <c r="AD339">
        <v>-1.1262570000000001</v>
      </c>
      <c r="AE339">
        <v>0.27199999999999103</v>
      </c>
      <c r="AF339">
        <v>-0.25672774740905802</v>
      </c>
      <c r="AG339">
        <v>-1.1262570000000001</v>
      </c>
      <c r="AH339">
        <v>16.3260784204213</v>
      </c>
      <c r="AI339">
        <v>93.945819604319695</v>
      </c>
      <c r="AJ339">
        <v>90.900902456993506</v>
      </c>
      <c r="AK339">
        <v>16.3668934302172</v>
      </c>
      <c r="AL339">
        <v>79.729128282489796</v>
      </c>
      <c r="AM339">
        <v>90.449717087083002</v>
      </c>
      <c r="AN339">
        <v>0.99999999891901303</v>
      </c>
    </row>
    <row r="340" spans="1:40" x14ac:dyDescent="0.25">
      <c r="A340" t="str">
        <f>"20190312172100370"</f>
        <v>20190312172100370</v>
      </c>
      <c r="B340" t="str">
        <f>"1552382460362236"</f>
        <v>1552382460362236</v>
      </c>
      <c r="C340" t="s">
        <v>40</v>
      </c>
      <c r="D340">
        <v>3.1462129999999999</v>
      </c>
      <c r="E340">
        <v>0.49721219999999999</v>
      </c>
      <c r="F340" t="s">
        <v>43</v>
      </c>
      <c r="G340">
        <v>-418.57650000000001</v>
      </c>
      <c r="H340">
        <v>-0.05</v>
      </c>
      <c r="I340">
        <v>368.13690000000003</v>
      </c>
      <c r="J340">
        <v>-435.11970000000002</v>
      </c>
      <c r="K340">
        <v>1.0750980000000001</v>
      </c>
      <c r="L340">
        <v>367.86020000000002</v>
      </c>
      <c r="M340">
        <v>0.99987170000000003</v>
      </c>
      <c r="N340">
        <v>0</v>
      </c>
      <c r="O340">
        <v>9.7704379999999998E-4</v>
      </c>
      <c r="P340">
        <v>0.98660559999999997</v>
      </c>
      <c r="Q340">
        <v>0.1628946</v>
      </c>
      <c r="R340">
        <v>8.6320730000000005E-3</v>
      </c>
      <c r="S340">
        <v>3.0739749999999999</v>
      </c>
      <c r="T340">
        <v>-0.20733979999999999</v>
      </c>
      <c r="U340">
        <v>5.0994869999999998E-2</v>
      </c>
      <c r="V340">
        <v>-7.7367779999999997E-3</v>
      </c>
      <c r="W340">
        <v>0.1786431</v>
      </c>
      <c r="X340">
        <v>0.98388350000000002</v>
      </c>
      <c r="Y340">
        <v>-1.557674E-2</v>
      </c>
      <c r="Z340">
        <v>4.5886339999999997E-4</v>
      </c>
      <c r="AA340">
        <v>0.99987859999999995</v>
      </c>
      <c r="AB340">
        <v>29</v>
      </c>
      <c r="AC340">
        <v>16.543199999999999</v>
      </c>
      <c r="AD340">
        <v>-1.1250979999999999</v>
      </c>
      <c r="AE340">
        <v>0.276700000000005</v>
      </c>
      <c r="AF340">
        <v>-0.25933519811403999</v>
      </c>
      <c r="AG340">
        <v>-1.1250979999999999</v>
      </c>
      <c r="AH340">
        <v>16.467317195864201</v>
      </c>
      <c r="AI340">
        <v>93.908067410778898</v>
      </c>
      <c r="AJ340">
        <v>90.902246792019895</v>
      </c>
      <c r="AK340">
        <v>16.507744724334302</v>
      </c>
      <c r="AL340">
        <v>79.709265582511307</v>
      </c>
      <c r="AM340">
        <v>90.450536664109194</v>
      </c>
      <c r="AN340">
        <v>0.99999997824183995</v>
      </c>
    </row>
    <row r="341" spans="1:40" x14ac:dyDescent="0.25">
      <c r="A341" t="str">
        <f>"20190312172100380"</f>
        <v>20190312172100380</v>
      </c>
      <c r="B341" t="str">
        <f>"1552382460371996"</f>
        <v>1552382460371996</v>
      </c>
      <c r="C341" t="s">
        <v>40</v>
      </c>
      <c r="D341">
        <v>3.265711</v>
      </c>
      <c r="E341">
        <v>0.49722559999999899</v>
      </c>
      <c r="F341" t="s">
        <v>43</v>
      </c>
      <c r="G341">
        <v>-418.21449999999999</v>
      </c>
      <c r="H341">
        <v>-0.05</v>
      </c>
      <c r="I341">
        <v>368.14249999999998</v>
      </c>
      <c r="J341">
        <v>-434.96730000000002</v>
      </c>
      <c r="K341">
        <v>1.073985</v>
      </c>
      <c r="L341">
        <v>367.86040000000003</v>
      </c>
      <c r="M341">
        <v>0.99987800000000004</v>
      </c>
      <c r="N341">
        <v>0</v>
      </c>
      <c r="O341">
        <v>1.0966820000000001E-3</v>
      </c>
      <c r="P341">
        <v>0.98654869999999995</v>
      </c>
      <c r="Q341">
        <v>0.16322210000000001</v>
      </c>
      <c r="R341">
        <v>8.9433700000000008E-3</v>
      </c>
      <c r="S341">
        <v>3.0740970000000001</v>
      </c>
      <c r="T341">
        <v>-0.2045922</v>
      </c>
      <c r="U341">
        <v>5.1330569999999999E-2</v>
      </c>
      <c r="V341">
        <v>-7.9329910000000003E-3</v>
      </c>
      <c r="W341">
        <v>0.178569899999999</v>
      </c>
      <c r="X341">
        <v>0.98389519999999997</v>
      </c>
      <c r="Y341">
        <v>-1.5566770000000001E-2</v>
      </c>
      <c r="Z341">
        <v>4.4449289999999998E-4</v>
      </c>
      <c r="AA341">
        <v>0.99987870000000001</v>
      </c>
      <c r="AB341">
        <v>29</v>
      </c>
      <c r="AC341">
        <v>16.752800000000001</v>
      </c>
      <c r="AD341">
        <v>-1.123985</v>
      </c>
      <c r="AE341">
        <v>0.282099999999957</v>
      </c>
      <c r="AF341">
        <v>-0.26254363031660399</v>
      </c>
      <c r="AG341">
        <v>-1.123985</v>
      </c>
      <c r="AH341">
        <v>16.6780462976016</v>
      </c>
      <c r="AI341">
        <v>93.855033218708201</v>
      </c>
      <c r="AJ341">
        <v>90.901868199481399</v>
      </c>
      <c r="AK341">
        <v>16.717939458646999</v>
      </c>
      <c r="AL341">
        <v>79.713527911761105</v>
      </c>
      <c r="AM341">
        <v>90.461956775569703</v>
      </c>
      <c r="AN341">
        <v>0.99999995305762601</v>
      </c>
    </row>
    <row r="342" spans="1:40" x14ac:dyDescent="0.25">
      <c r="A342" t="str">
        <f>"20190312172100392"</f>
        <v>20190312172100392</v>
      </c>
      <c r="B342" t="str">
        <f>"1552382460381756"</f>
        <v>1552382460381756</v>
      </c>
      <c r="C342" t="s">
        <v>40</v>
      </c>
      <c r="D342">
        <v>3.1500810000000001</v>
      </c>
      <c r="E342">
        <v>0.49723780000000001</v>
      </c>
      <c r="F342" t="s">
        <v>43</v>
      </c>
      <c r="G342">
        <v>-417.9622</v>
      </c>
      <c r="H342">
        <v>-0.05</v>
      </c>
      <c r="I342">
        <v>368.14690000000002</v>
      </c>
      <c r="J342">
        <v>-434.81560000000002</v>
      </c>
      <c r="K342">
        <v>1.072962</v>
      </c>
      <c r="L342">
        <v>367.86070000000001</v>
      </c>
      <c r="M342">
        <v>0.99988390000000005</v>
      </c>
      <c r="N342">
        <v>0</v>
      </c>
      <c r="O342">
        <v>1.2196069999999999E-3</v>
      </c>
      <c r="P342">
        <v>0.9864714</v>
      </c>
      <c r="Q342">
        <v>0.1636802</v>
      </c>
      <c r="R342">
        <v>9.1171129999999996E-3</v>
      </c>
      <c r="S342">
        <v>3.074036</v>
      </c>
      <c r="T342">
        <v>-0.20318369999999999</v>
      </c>
      <c r="U342">
        <v>5.178833E-2</v>
      </c>
      <c r="V342">
        <v>-7.9873040000000006E-3</v>
      </c>
      <c r="W342">
        <v>0.1786422</v>
      </c>
      <c r="X342">
        <v>0.98388169999999997</v>
      </c>
      <c r="Y342">
        <v>-1.559369E-2</v>
      </c>
      <c r="Z342">
        <v>4.3422030000000002E-4</v>
      </c>
      <c r="AA342">
        <v>0.9998783</v>
      </c>
      <c r="AB342">
        <v>29</v>
      </c>
      <c r="AC342">
        <v>16.853400000000001</v>
      </c>
      <c r="AD342">
        <v>-1.122962</v>
      </c>
      <c r="AE342">
        <v>0.286200000000008</v>
      </c>
      <c r="AF342">
        <v>-0.26446906244016599</v>
      </c>
      <c r="AG342">
        <v>-1.122962</v>
      </c>
      <c r="AH342">
        <v>16.779262891072001</v>
      </c>
      <c r="AI342">
        <v>93.828369821048</v>
      </c>
      <c r="AJ342">
        <v>90.903001911251593</v>
      </c>
      <c r="AK342">
        <v>16.8188778075749</v>
      </c>
      <c r="AL342">
        <v>79.709318385811201</v>
      </c>
      <c r="AM342">
        <v>90.465125792876606</v>
      </c>
      <c r="AN342">
        <v>1.0000000161204501</v>
      </c>
    </row>
    <row r="343" spans="1:40" x14ac:dyDescent="0.25">
      <c r="A343" t="str">
        <f>"20190312172100404"</f>
        <v>20190312172100404</v>
      </c>
      <c r="B343" t="str">
        <f>"1552382460391516"</f>
        <v>1552382460391516</v>
      </c>
      <c r="C343" t="s">
        <v>40</v>
      </c>
      <c r="D343">
        <v>3.137553</v>
      </c>
      <c r="E343">
        <v>0.4972512</v>
      </c>
      <c r="F343" t="s">
        <v>43</v>
      </c>
      <c r="G343">
        <v>-417.66829999999999</v>
      </c>
      <c r="H343">
        <v>-0.05</v>
      </c>
      <c r="I343">
        <v>368.15219999999999</v>
      </c>
      <c r="J343">
        <v>-434.67070000000001</v>
      </c>
      <c r="K343">
        <v>1.0720190000000001</v>
      </c>
      <c r="L343">
        <v>367.86099999999999</v>
      </c>
      <c r="M343">
        <v>0.99988929999999998</v>
      </c>
      <c r="N343">
        <v>0</v>
      </c>
      <c r="O343">
        <v>1.3379679999999999E-3</v>
      </c>
      <c r="P343">
        <v>0.98640260000000002</v>
      </c>
      <c r="Q343">
        <v>0.16408229999999999</v>
      </c>
      <c r="R343">
        <v>9.3339849999999995E-3</v>
      </c>
      <c r="S343">
        <v>3.0740970000000001</v>
      </c>
      <c r="T343">
        <v>-0.2013202</v>
      </c>
      <c r="U343">
        <v>5.2246090000000002E-2</v>
      </c>
      <c r="V343">
        <v>-8.0890519999999994E-3</v>
      </c>
      <c r="W343">
        <v>0.17868249999999999</v>
      </c>
      <c r="X343">
        <v>0.98387349999999996</v>
      </c>
      <c r="Y343">
        <v>-1.5624610000000001E-2</v>
      </c>
      <c r="Z343">
        <v>4.2350580000000002E-4</v>
      </c>
      <c r="AA343">
        <v>0.99987780000000004</v>
      </c>
      <c r="AB343">
        <v>29</v>
      </c>
      <c r="AC343">
        <v>17.002400000000002</v>
      </c>
      <c r="AD343">
        <v>-1.1220190000000001</v>
      </c>
      <c r="AE343">
        <v>0.29120000000000301</v>
      </c>
      <c r="AF343">
        <v>-0.26728491150227202</v>
      </c>
      <c r="AG343">
        <v>-1.1220190000000001</v>
      </c>
      <c r="AH343">
        <v>16.929071342376599</v>
      </c>
      <c r="AI343">
        <v>93.791412504831897</v>
      </c>
      <c r="AJ343">
        <v>90.904540168525003</v>
      </c>
      <c r="AK343">
        <v>16.968318254192301</v>
      </c>
      <c r="AL343">
        <v>79.706971088770203</v>
      </c>
      <c r="AM343">
        <v>90.471054558858299</v>
      </c>
      <c r="AN343">
        <v>0.99999996628537802</v>
      </c>
    </row>
    <row r="344" spans="1:40" x14ac:dyDescent="0.25">
      <c r="A344" t="str">
        <f>"20190312172100415"</f>
        <v>20190312172100415</v>
      </c>
      <c r="B344" t="str">
        <f>"1552382460412013"</f>
        <v>1552382460412013</v>
      </c>
      <c r="C344" t="s">
        <v>40</v>
      </c>
      <c r="D344">
        <v>3.1266430000000001</v>
      </c>
      <c r="E344">
        <v>0.49733319999999998</v>
      </c>
      <c r="F344" t="s">
        <v>43</v>
      </c>
      <c r="G344">
        <v>-417.41579999999999</v>
      </c>
      <c r="H344">
        <v>-0.05</v>
      </c>
      <c r="I344">
        <v>368.15839999999997</v>
      </c>
      <c r="J344">
        <v>-434.51429999999999</v>
      </c>
      <c r="K344">
        <v>1.0710710000000001</v>
      </c>
      <c r="L344">
        <v>367.8614</v>
      </c>
      <c r="M344">
        <v>0.99989470000000003</v>
      </c>
      <c r="N344">
        <v>0</v>
      </c>
      <c r="O344">
        <v>1.46737E-3</v>
      </c>
      <c r="P344">
        <v>0.98634149999999998</v>
      </c>
      <c r="Q344">
        <v>0.16444610000000001</v>
      </c>
      <c r="R344">
        <v>9.3698180000000002E-3</v>
      </c>
      <c r="S344">
        <v>3.0740970000000001</v>
      </c>
      <c r="T344">
        <v>-0.19989670000000001</v>
      </c>
      <c r="U344">
        <v>5.2978520000000001E-2</v>
      </c>
      <c r="V344">
        <v>-7.9980539999999992E-3</v>
      </c>
      <c r="W344">
        <v>0.17867130000000001</v>
      </c>
      <c r="X344">
        <v>0.98387630000000004</v>
      </c>
      <c r="Y344">
        <v>-1.5733850000000001E-2</v>
      </c>
      <c r="Z344">
        <v>4.1565910000000001E-4</v>
      </c>
      <c r="AA344">
        <v>0.99987610000000005</v>
      </c>
      <c r="AB344">
        <v>29</v>
      </c>
      <c r="AC344">
        <v>17.098500000000001</v>
      </c>
      <c r="AD344">
        <v>-1.1210709999999999</v>
      </c>
      <c r="AE344">
        <v>0.29699999999996801</v>
      </c>
      <c r="AF344">
        <v>-0.27074370906043599</v>
      </c>
      <c r="AG344">
        <v>-1.1210709999999999</v>
      </c>
      <c r="AH344">
        <v>17.025748729198899</v>
      </c>
      <c r="AI344">
        <v>93.766763142822896</v>
      </c>
      <c r="AJ344">
        <v>90.911041548692793</v>
      </c>
      <c r="AK344">
        <v>17.064765516491999</v>
      </c>
      <c r="AL344">
        <v>79.707623522984903</v>
      </c>
      <c r="AM344">
        <v>90.465754327737898</v>
      </c>
      <c r="AN344">
        <v>0.99999998800658296</v>
      </c>
    </row>
    <row r="345" spans="1:40" x14ac:dyDescent="0.25">
      <c r="A345" t="str">
        <f>"20190312172100435"</f>
        <v>20190312172100435</v>
      </c>
      <c r="B345" t="str">
        <f>"1552382460431532"</f>
        <v>1552382460431532</v>
      </c>
      <c r="C345" t="s">
        <v>40</v>
      </c>
      <c r="D345">
        <v>3.0754809999999999</v>
      </c>
      <c r="E345">
        <v>0.4973516</v>
      </c>
      <c r="F345" t="s">
        <v>43</v>
      </c>
      <c r="G345">
        <v>-417.23950000000002</v>
      </c>
      <c r="H345">
        <v>-0.05</v>
      </c>
      <c r="I345">
        <v>368.15649999999999</v>
      </c>
      <c r="J345">
        <v>-434.25749999999999</v>
      </c>
      <c r="K345">
        <v>1.06965</v>
      </c>
      <c r="L345">
        <v>367.86200000000002</v>
      </c>
      <c r="M345">
        <v>0.99990270000000003</v>
      </c>
      <c r="N345">
        <v>0</v>
      </c>
      <c r="O345">
        <v>1.6804879999999999E-3</v>
      </c>
      <c r="P345">
        <v>0.98620810000000003</v>
      </c>
      <c r="Q345">
        <v>0.16524949999999999</v>
      </c>
      <c r="R345">
        <v>9.3082210000000002E-3</v>
      </c>
      <c r="S345">
        <v>3.0743100000000001</v>
      </c>
      <c r="T345">
        <v>-0.19951150000000001</v>
      </c>
      <c r="U345">
        <v>5.2520749999999998E-2</v>
      </c>
      <c r="V345">
        <v>-7.7279779999999999E-3</v>
      </c>
      <c r="W345">
        <v>0.17889179999999999</v>
      </c>
      <c r="X345">
        <v>0.9838384</v>
      </c>
      <c r="Y345">
        <v>-1.537204E-2</v>
      </c>
      <c r="Z345">
        <v>3.8928919999999998E-4</v>
      </c>
      <c r="AA345">
        <v>0.99988169999999998</v>
      </c>
      <c r="AB345">
        <v>29</v>
      </c>
      <c r="AC345">
        <v>17.017999999999901</v>
      </c>
      <c r="AD345">
        <v>-1.11965</v>
      </c>
      <c r="AE345">
        <v>0.29450000000002702</v>
      </c>
      <c r="AF345">
        <v>-0.26475263143427302</v>
      </c>
      <c r="AG345">
        <v>-1.11965</v>
      </c>
      <c r="AH345">
        <v>16.945144112491999</v>
      </c>
      <c r="AI345">
        <v>93.779862182539503</v>
      </c>
      <c r="AJ345">
        <v>90.895122174532602</v>
      </c>
      <c r="AK345">
        <v>16.984157885260998</v>
      </c>
      <c r="AL345">
        <v>79.694783025144702</v>
      </c>
      <c r="AM345">
        <v>90.450044862456593</v>
      </c>
      <c r="AN345">
        <v>0.99999999753288404</v>
      </c>
    </row>
    <row r="346" spans="1:40" x14ac:dyDescent="0.25">
      <c r="A346" t="str">
        <f>"20190312172100448"</f>
        <v>20190312172100448</v>
      </c>
      <c r="B346" t="str">
        <f>"1552382460441293"</f>
        <v>1552382460441293</v>
      </c>
      <c r="C346" t="s">
        <v>40</v>
      </c>
      <c r="D346">
        <v>3.085604</v>
      </c>
      <c r="E346">
        <v>0.49737500000000001</v>
      </c>
      <c r="F346" t="s">
        <v>43</v>
      </c>
      <c r="G346">
        <v>-416.7604</v>
      </c>
      <c r="H346">
        <v>-0.05</v>
      </c>
      <c r="I346">
        <v>368.15969999999999</v>
      </c>
      <c r="J346">
        <v>-434.09690000000001</v>
      </c>
      <c r="K346">
        <v>1.06884</v>
      </c>
      <c r="L346">
        <v>367.86239999999998</v>
      </c>
      <c r="M346">
        <v>0.99990730000000005</v>
      </c>
      <c r="N346">
        <v>0</v>
      </c>
      <c r="O346">
        <v>1.814036E-3</v>
      </c>
      <c r="P346">
        <v>0.98614590000000002</v>
      </c>
      <c r="Q346">
        <v>0.16562479999999999</v>
      </c>
      <c r="R346">
        <v>9.2238509999999999E-3</v>
      </c>
      <c r="S346">
        <v>3.0744319999999998</v>
      </c>
      <c r="T346">
        <v>-0.19673460000000001</v>
      </c>
      <c r="U346">
        <v>5.230713E-2</v>
      </c>
      <c r="V346">
        <v>-7.5121279999999999E-3</v>
      </c>
      <c r="W346">
        <v>0.178927</v>
      </c>
      <c r="X346">
        <v>0.98383370000000003</v>
      </c>
      <c r="Y346">
        <v>-1.516985E-2</v>
      </c>
      <c r="Z346">
        <v>3.688683E-4</v>
      </c>
      <c r="AA346">
        <v>0.99988480000000002</v>
      </c>
      <c r="AB346">
        <v>30</v>
      </c>
      <c r="AC346">
        <v>17.336500000000001</v>
      </c>
      <c r="AD346">
        <v>-1.1188400000000001</v>
      </c>
      <c r="AE346">
        <v>0.297300000000007</v>
      </c>
      <c r="AF346">
        <v>-0.26474527667655101</v>
      </c>
      <c r="AG346">
        <v>-1.1188400000000001</v>
      </c>
      <c r="AH346">
        <v>17.265123047315399</v>
      </c>
      <c r="AI346">
        <v>93.707346629118106</v>
      </c>
      <c r="AJ346">
        <v>90.878510869688697</v>
      </c>
      <c r="AK346">
        <v>17.3033628767955</v>
      </c>
      <c r="AL346">
        <v>79.692733439957195</v>
      </c>
      <c r="AM346">
        <v>90.437477253748199</v>
      </c>
      <c r="AN346">
        <v>1.0000000263258799</v>
      </c>
    </row>
    <row r="347" spans="1:40" x14ac:dyDescent="0.25">
      <c r="A347" t="str">
        <f>"20190312172100458"</f>
        <v>20190312172100458</v>
      </c>
      <c r="B347" t="str">
        <f>"1552382460452028"</f>
        <v>1552382460452028</v>
      </c>
      <c r="C347" t="s">
        <v>40</v>
      </c>
      <c r="D347">
        <v>3.1110899999999999</v>
      </c>
      <c r="E347">
        <v>0.49737769999999998</v>
      </c>
      <c r="F347" t="s">
        <v>43</v>
      </c>
      <c r="G347">
        <v>-416.50279999999998</v>
      </c>
      <c r="H347">
        <v>-0.05</v>
      </c>
      <c r="I347">
        <v>368.1601</v>
      </c>
      <c r="J347">
        <v>-433.93900000000002</v>
      </c>
      <c r="K347">
        <v>1.0680829999999999</v>
      </c>
      <c r="L347">
        <v>367.86279999999999</v>
      </c>
      <c r="M347">
        <v>0.99991129999999995</v>
      </c>
      <c r="N347">
        <v>0</v>
      </c>
      <c r="O347">
        <v>1.9459760000000001E-3</v>
      </c>
      <c r="P347">
        <v>0.98607959999999995</v>
      </c>
      <c r="Q347">
        <v>0.1660199</v>
      </c>
      <c r="R347">
        <v>9.1900249999999992E-3</v>
      </c>
      <c r="S347">
        <v>3.0744630000000002</v>
      </c>
      <c r="T347">
        <v>-0.19551109999999999</v>
      </c>
      <c r="U347">
        <v>5.2032469999999997E-2</v>
      </c>
      <c r="V347">
        <v>-7.3483050000000003E-3</v>
      </c>
      <c r="W347">
        <v>0.1789992</v>
      </c>
      <c r="X347">
        <v>0.98382170000000002</v>
      </c>
      <c r="Y347">
        <v>-1.4949499999999999E-2</v>
      </c>
      <c r="Z347">
        <v>3.5119570000000002E-4</v>
      </c>
      <c r="AA347">
        <v>0.9998882</v>
      </c>
      <c r="AB347">
        <v>30</v>
      </c>
      <c r="AC347">
        <v>17.436199999999999</v>
      </c>
      <c r="AD347">
        <v>-1.1180829999999999</v>
      </c>
      <c r="AE347">
        <v>0.297300000000007</v>
      </c>
      <c r="AF347">
        <v>-0.26228787196402198</v>
      </c>
      <c r="AG347">
        <v>-1.1180829999999999</v>
      </c>
      <c r="AH347">
        <v>17.365361387194401</v>
      </c>
      <c r="AI347">
        <v>93.683531620334804</v>
      </c>
      <c r="AJ347">
        <v>90.865334449844795</v>
      </c>
      <c r="AK347">
        <v>17.403295108413499</v>
      </c>
      <c r="AL347">
        <v>79.688527740592306</v>
      </c>
      <c r="AM347">
        <v>90.427942414675002</v>
      </c>
      <c r="AN347">
        <v>0.99999992428894802</v>
      </c>
    </row>
    <row r="348" spans="1:40" x14ac:dyDescent="0.25">
      <c r="A348" t="str">
        <f>"20190312172100471"</f>
        <v>20190312172100471</v>
      </c>
      <c r="B348" t="str">
        <f>"1552382460461789"</f>
        <v>1552382460461789</v>
      </c>
      <c r="C348" t="s">
        <v>40</v>
      </c>
      <c r="D348">
        <v>3.0692740000000001</v>
      </c>
      <c r="E348">
        <v>0.4973899</v>
      </c>
      <c r="F348" t="s">
        <v>43</v>
      </c>
      <c r="G348">
        <v>-416.22930000000002</v>
      </c>
      <c r="H348">
        <v>-0.05</v>
      </c>
      <c r="I348">
        <v>368.16070000000002</v>
      </c>
      <c r="J348">
        <v>-433.77859999999998</v>
      </c>
      <c r="K348">
        <v>1.067401</v>
      </c>
      <c r="L348">
        <v>367.86320000000001</v>
      </c>
      <c r="M348">
        <v>0.99991509999999995</v>
      </c>
      <c r="N348">
        <v>0</v>
      </c>
      <c r="O348">
        <v>2.0788040000000001E-3</v>
      </c>
      <c r="P348">
        <v>0.98605799999999999</v>
      </c>
      <c r="Q348">
        <v>0.1661494</v>
      </c>
      <c r="R348">
        <v>9.165879E-3</v>
      </c>
      <c r="S348">
        <v>3.0745239999999998</v>
      </c>
      <c r="T348">
        <v>-0.19410730000000001</v>
      </c>
      <c r="U348">
        <v>5.1727290000000002E-2</v>
      </c>
      <c r="V348">
        <v>-7.1937219999999996E-3</v>
      </c>
      <c r="W348">
        <v>0.17882700000000001</v>
      </c>
      <c r="X348">
        <v>0.98385420000000001</v>
      </c>
      <c r="Y348">
        <v>-1.4718230000000001E-2</v>
      </c>
      <c r="Z348">
        <v>3.330025E-4</v>
      </c>
      <c r="AA348">
        <v>0.99989159999999999</v>
      </c>
      <c r="AB348">
        <v>30</v>
      </c>
      <c r="AC348">
        <v>17.549299999999899</v>
      </c>
      <c r="AD348">
        <v>-1.1174010000000001</v>
      </c>
      <c r="AE348">
        <v>0.29750000000001298</v>
      </c>
      <c r="AF348">
        <v>-0.25996116771127498</v>
      </c>
      <c r="AG348">
        <v>-1.1174010000000001</v>
      </c>
      <c r="AH348">
        <v>17.479038496429801</v>
      </c>
      <c r="AI348">
        <v>93.657427053646302</v>
      </c>
      <c r="AJ348">
        <v>90.852082319624301</v>
      </c>
      <c r="AK348">
        <v>17.5166478403601</v>
      </c>
      <c r="AL348">
        <v>79.6985563164138</v>
      </c>
      <c r="AM348">
        <v>90.418926467634194</v>
      </c>
      <c r="AN348">
        <v>0.99999996621142595</v>
      </c>
    </row>
    <row r="349" spans="1:40" x14ac:dyDescent="0.25">
      <c r="A349" t="str">
        <f>"20190312172100483"</f>
        <v>20190312172100483</v>
      </c>
      <c r="B349" t="str">
        <f>"1552382460471550"</f>
        <v>1552382460471550</v>
      </c>
      <c r="C349" t="s">
        <v>40</v>
      </c>
      <c r="D349">
        <v>3.1305510000000001</v>
      </c>
      <c r="E349">
        <v>0.4974034</v>
      </c>
      <c r="F349" t="s">
        <v>43</v>
      </c>
      <c r="G349">
        <v>-416.03300000000002</v>
      </c>
      <c r="H349">
        <v>-0.05</v>
      </c>
      <c r="I349">
        <v>368.16160000000002</v>
      </c>
      <c r="J349">
        <v>-433.62209999999999</v>
      </c>
      <c r="K349">
        <v>1.066762</v>
      </c>
      <c r="L349">
        <v>367.86360000000002</v>
      </c>
      <c r="M349">
        <v>0.99991850000000004</v>
      </c>
      <c r="N349">
        <v>0</v>
      </c>
      <c r="O349">
        <v>2.2077300000000002E-3</v>
      </c>
      <c r="P349">
        <v>0.98598430000000004</v>
      </c>
      <c r="Q349">
        <v>0.16659209999999999</v>
      </c>
      <c r="R349">
        <v>9.0782120000000004E-3</v>
      </c>
      <c r="S349">
        <v>3.0745239999999998</v>
      </c>
      <c r="T349">
        <v>-0.19359660000000001</v>
      </c>
      <c r="U349">
        <v>5.1696779999999998E-2</v>
      </c>
      <c r="V349">
        <v>-6.9795940000000004E-3</v>
      </c>
      <c r="W349">
        <v>0.1789837</v>
      </c>
      <c r="X349">
        <v>0.98382729999999996</v>
      </c>
      <c r="Y349">
        <v>-1.4580060000000001E-2</v>
      </c>
      <c r="Z349">
        <v>3.196726E-4</v>
      </c>
      <c r="AA349">
        <v>0.9998937</v>
      </c>
      <c r="AB349">
        <v>30</v>
      </c>
      <c r="AC349">
        <v>17.589099999999899</v>
      </c>
      <c r="AD349">
        <v>-1.116762</v>
      </c>
      <c r="AE349">
        <v>0.29800000000000099</v>
      </c>
      <c r="AF349">
        <v>-0.25812396952755701</v>
      </c>
      <c r="AG349">
        <v>-1.116762</v>
      </c>
      <c r="AH349">
        <v>17.519112356643401</v>
      </c>
      <c r="AI349">
        <v>93.647009886635999</v>
      </c>
      <c r="AJ349">
        <v>90.844126328447004</v>
      </c>
      <c r="AK349">
        <v>17.5565680904038</v>
      </c>
      <c r="AL349">
        <v>79.689431378529093</v>
      </c>
      <c r="AM349">
        <v>90.406468259392796</v>
      </c>
      <c r="AN349">
        <v>1.0000000179116899</v>
      </c>
    </row>
    <row r="350" spans="1:40" x14ac:dyDescent="0.25">
      <c r="A350" t="str">
        <f>"20190312172100494"</f>
        <v>20190312172100494</v>
      </c>
      <c r="B350" t="str">
        <f>"1552382460492046"</f>
        <v>1552382460492046</v>
      </c>
      <c r="C350" t="s">
        <v>40</v>
      </c>
      <c r="D350">
        <v>3.091996</v>
      </c>
      <c r="E350">
        <v>0.49745420000000001</v>
      </c>
      <c r="F350" t="s">
        <v>43</v>
      </c>
      <c r="G350">
        <v>-415.7509</v>
      </c>
      <c r="H350">
        <v>-0.05</v>
      </c>
      <c r="I350">
        <v>368.16090000000003</v>
      </c>
      <c r="J350">
        <v>-433.46260000000001</v>
      </c>
      <c r="K350">
        <v>1.0661719999999999</v>
      </c>
      <c r="L350">
        <v>367.86410000000001</v>
      </c>
      <c r="M350">
        <v>0.99992159999999997</v>
      </c>
      <c r="N350">
        <v>0</v>
      </c>
      <c r="O350">
        <v>2.3386739999999998E-3</v>
      </c>
      <c r="P350">
        <v>0.98594159999999997</v>
      </c>
      <c r="Q350">
        <v>0.16684309999999999</v>
      </c>
      <c r="R350">
        <v>9.0963160000000001E-3</v>
      </c>
      <c r="S350">
        <v>3.074646</v>
      </c>
      <c r="T350">
        <v>-0.1921331</v>
      </c>
      <c r="U350">
        <v>5.1147459999999999E-2</v>
      </c>
      <c r="V350">
        <v>-6.8689049999999998E-3</v>
      </c>
      <c r="W350">
        <v>0.17896409999999999</v>
      </c>
      <c r="X350">
        <v>0.98383160000000003</v>
      </c>
      <c r="Y350">
        <v>-1.42711E-2</v>
      </c>
      <c r="Z350">
        <v>2.9943130000000001E-4</v>
      </c>
      <c r="AA350">
        <v>0.99989810000000001</v>
      </c>
      <c r="AB350">
        <v>30</v>
      </c>
      <c r="AC350">
        <v>17.7117</v>
      </c>
      <c r="AD350">
        <v>-1.1161719999999999</v>
      </c>
      <c r="AE350">
        <v>0.29680000000001799</v>
      </c>
      <c r="AF350">
        <v>-0.25436426720849098</v>
      </c>
      <c r="AG350">
        <v>-1.1161719999999999</v>
      </c>
      <c r="AH350">
        <v>17.642301065127398</v>
      </c>
      <c r="AI350">
        <v>93.619720742402194</v>
      </c>
      <c r="AJ350">
        <v>90.826025425291405</v>
      </c>
      <c r="AK350">
        <v>17.679404061975902</v>
      </c>
      <c r="AL350">
        <v>79.690572348353399</v>
      </c>
      <c r="AM350">
        <v>90.4000205643231</v>
      </c>
      <c r="AN350">
        <v>0.99999997405163399</v>
      </c>
    </row>
    <row r="351" spans="1:40" x14ac:dyDescent="0.25">
      <c r="A351" t="str">
        <f>"20190312172100514"</f>
        <v>20190312172100514</v>
      </c>
      <c r="B351" t="str">
        <f>"1552382460511564"</f>
        <v>1552382460511564</v>
      </c>
      <c r="C351" t="s">
        <v>40</v>
      </c>
      <c r="D351">
        <v>3.129448</v>
      </c>
      <c r="E351">
        <v>0.49753039999999998</v>
      </c>
      <c r="F351" t="s">
        <v>43</v>
      </c>
      <c r="G351">
        <v>-415.52289999999999</v>
      </c>
      <c r="H351">
        <v>-0.05</v>
      </c>
      <c r="I351">
        <v>368.16160000000002</v>
      </c>
      <c r="J351">
        <v>-433.20909999999998</v>
      </c>
      <c r="K351">
        <v>1.0653269999999999</v>
      </c>
      <c r="L351">
        <v>367.86489999999998</v>
      </c>
      <c r="M351">
        <v>0.99992590000000003</v>
      </c>
      <c r="N351">
        <v>0</v>
      </c>
      <c r="O351">
        <v>2.546333E-3</v>
      </c>
      <c r="P351">
        <v>0.98585929999999999</v>
      </c>
      <c r="Q351">
        <v>0.16734250000000001</v>
      </c>
      <c r="R351">
        <v>8.8528930000000006E-3</v>
      </c>
      <c r="S351">
        <v>3.0746769999999999</v>
      </c>
      <c r="T351">
        <v>-0.19129940000000001</v>
      </c>
      <c r="U351">
        <v>5.0994869999999998E-2</v>
      </c>
      <c r="V351">
        <v>-6.4212389999999996E-3</v>
      </c>
      <c r="W351">
        <v>0.179063</v>
      </c>
      <c r="X351">
        <v>0.98381660000000004</v>
      </c>
      <c r="Y351">
        <v>-1.4014779999999999E-2</v>
      </c>
      <c r="Z351">
        <v>2.7725949999999998E-4</v>
      </c>
      <c r="AA351">
        <v>0.99990179999999995</v>
      </c>
      <c r="AB351">
        <v>30</v>
      </c>
      <c r="AC351">
        <v>17.6861999999999</v>
      </c>
      <c r="AD351">
        <v>-1.115327</v>
      </c>
      <c r="AE351">
        <v>0.29670000000004298</v>
      </c>
      <c r="AF351">
        <v>-0.25066432682965001</v>
      </c>
      <c r="AG351">
        <v>-1.115327</v>
      </c>
      <c r="AH351">
        <v>17.6168589307016</v>
      </c>
      <c r="AI351">
        <v>93.622207220971802</v>
      </c>
      <c r="AJ351">
        <v>90.815187256525604</v>
      </c>
      <c r="AK351">
        <v>17.6539090715318</v>
      </c>
      <c r="AL351">
        <v>79.684812469900095</v>
      </c>
      <c r="AM351">
        <v>90.373956558326498</v>
      </c>
      <c r="AN351">
        <v>0.99999994635742595</v>
      </c>
    </row>
    <row r="352" spans="1:40" x14ac:dyDescent="0.25">
      <c r="A352" t="str">
        <f>"20190312172100528"</f>
        <v>20190312172100528</v>
      </c>
      <c r="B352" t="str">
        <f>"1552382460521325"</f>
        <v>1552382460521325</v>
      </c>
      <c r="C352" t="s">
        <v>40</v>
      </c>
      <c r="D352">
        <v>3.0823510000000001</v>
      </c>
      <c r="E352">
        <v>0.49754330000000002</v>
      </c>
      <c r="F352" t="s">
        <v>43</v>
      </c>
      <c r="G352">
        <v>-415.17079999999999</v>
      </c>
      <c r="H352">
        <v>-0.05</v>
      </c>
      <c r="I352">
        <v>368.15690000000001</v>
      </c>
      <c r="J352">
        <v>-433.0301</v>
      </c>
      <c r="K352">
        <v>1.064797</v>
      </c>
      <c r="L352">
        <v>367.8655</v>
      </c>
      <c r="M352">
        <v>0.9999287</v>
      </c>
      <c r="N352">
        <v>0</v>
      </c>
      <c r="O352">
        <v>2.6921330000000002E-3</v>
      </c>
      <c r="P352">
        <v>0.98581890000000005</v>
      </c>
      <c r="Q352">
        <v>0.16757459999999999</v>
      </c>
      <c r="R352">
        <v>8.9420449999999992E-3</v>
      </c>
      <c r="S352">
        <v>3.0748600000000001</v>
      </c>
      <c r="T352">
        <v>-0.1901216</v>
      </c>
      <c r="U352">
        <v>4.977417E-2</v>
      </c>
      <c r="V352">
        <v>-6.3668529999999996E-3</v>
      </c>
      <c r="W352">
        <v>0.17903579999999999</v>
      </c>
      <c r="X352">
        <v>0.98382190000000003</v>
      </c>
      <c r="Y352">
        <v>-1.347274E-2</v>
      </c>
      <c r="Z352">
        <v>2.4979400000000001E-4</v>
      </c>
      <c r="AA352">
        <v>0.99990919999999905</v>
      </c>
      <c r="AB352">
        <v>30</v>
      </c>
      <c r="AC352">
        <v>17.859300000000001</v>
      </c>
      <c r="AD352">
        <v>-1.114797</v>
      </c>
      <c r="AE352">
        <v>0.29140000000000998</v>
      </c>
      <c r="AF352">
        <v>-0.24237195398788999</v>
      </c>
      <c r="AG352">
        <v>-1.114797</v>
      </c>
      <c r="AH352">
        <v>17.790718637525199</v>
      </c>
      <c r="AI352">
        <v>93.585232179621499</v>
      </c>
      <c r="AJ352">
        <v>90.780521084014396</v>
      </c>
      <c r="AK352">
        <v>17.827259636715699</v>
      </c>
      <c r="AL352">
        <v>79.6863964751564</v>
      </c>
      <c r="AM352">
        <v>90.3707873479634</v>
      </c>
      <c r="AN352">
        <v>0.99999994270918502</v>
      </c>
    </row>
    <row r="353" spans="1:40" x14ac:dyDescent="0.25">
      <c r="A353" t="str">
        <f>"20190312172100541"</f>
        <v>20190312172100541</v>
      </c>
      <c r="B353" t="str">
        <f>"1552382460532060"</f>
        <v>1552382460532060</v>
      </c>
      <c r="C353" t="s">
        <v>40</v>
      </c>
      <c r="D353">
        <v>3.171262</v>
      </c>
      <c r="E353">
        <v>0.49754330000000002</v>
      </c>
      <c r="F353" t="s">
        <v>43</v>
      </c>
      <c r="G353">
        <v>-414.93130000000002</v>
      </c>
      <c r="H353">
        <v>-0.05</v>
      </c>
      <c r="I353">
        <v>368.15940000000001</v>
      </c>
      <c r="J353">
        <v>-432.83859999999999</v>
      </c>
      <c r="K353">
        <v>1.064271</v>
      </c>
      <c r="L353">
        <v>367.86610000000002</v>
      </c>
      <c r="M353">
        <v>0.99993140000000003</v>
      </c>
      <c r="N353">
        <v>0</v>
      </c>
      <c r="O353">
        <v>2.8478039999999998E-3</v>
      </c>
      <c r="P353">
        <v>0.98577950000000003</v>
      </c>
      <c r="Q353">
        <v>0.16779859999999999</v>
      </c>
      <c r="R353">
        <v>9.0947100000000006E-3</v>
      </c>
      <c r="S353">
        <v>3.0748899999999999</v>
      </c>
      <c r="T353">
        <v>-0.18939800000000001</v>
      </c>
      <c r="U353">
        <v>4.9926760000000001E-2</v>
      </c>
      <c r="V353">
        <v>-6.3664259999999997E-3</v>
      </c>
      <c r="W353">
        <v>0.1789992</v>
      </c>
      <c r="X353">
        <v>0.98382860000000005</v>
      </c>
      <c r="Y353">
        <v>-1.3367179999999999E-2</v>
      </c>
      <c r="Z353">
        <v>2.36016E-4</v>
      </c>
      <c r="AA353">
        <v>0.99991070000000004</v>
      </c>
      <c r="AB353">
        <v>30</v>
      </c>
      <c r="AC353">
        <v>17.9072999999999</v>
      </c>
      <c r="AD353">
        <v>-1.114271</v>
      </c>
      <c r="AE353">
        <v>0.29329999999998702</v>
      </c>
      <c r="AF353">
        <v>-0.241364754421593</v>
      </c>
      <c r="AG353">
        <v>-1.114271</v>
      </c>
      <c r="AH353">
        <v>17.839010778389198</v>
      </c>
      <c r="AI353">
        <v>93.573873599661596</v>
      </c>
      <c r="AJ353">
        <v>90.775174034853507</v>
      </c>
      <c r="AK353">
        <v>17.875406634748401</v>
      </c>
      <c r="AL353">
        <v>79.688528316953295</v>
      </c>
      <c r="AM353">
        <v>90.3707599565263</v>
      </c>
      <c r="AN353">
        <v>0.99999997957930598</v>
      </c>
    </row>
    <row r="354" spans="1:40" x14ac:dyDescent="0.25">
      <c r="A354" t="str">
        <f>"20190312172100558"</f>
        <v>20190312172100558</v>
      </c>
      <c r="B354" t="str">
        <f>"1552382460551581"</f>
        <v>1552382460551581</v>
      </c>
      <c r="C354" t="s">
        <v>40</v>
      </c>
      <c r="D354">
        <v>3.130039</v>
      </c>
      <c r="E354">
        <v>0.4976023</v>
      </c>
      <c r="F354" t="s">
        <v>43</v>
      </c>
      <c r="G354">
        <v>-414.68189999999998</v>
      </c>
      <c r="H354">
        <v>-0.05</v>
      </c>
      <c r="I354">
        <v>368.16559999999998</v>
      </c>
      <c r="J354">
        <v>-432.61520000000002</v>
      </c>
      <c r="K354">
        <v>1.0637350000000001</v>
      </c>
      <c r="L354">
        <v>367.86700000000002</v>
      </c>
      <c r="M354">
        <v>0.99993399999999999</v>
      </c>
      <c r="N354">
        <v>0</v>
      </c>
      <c r="O354">
        <v>3.0294559999999998E-3</v>
      </c>
      <c r="P354">
        <v>0.9857245</v>
      </c>
      <c r="Q354">
        <v>0.16810449999999999</v>
      </c>
      <c r="R354">
        <v>9.4042829999999994E-3</v>
      </c>
      <c r="S354">
        <v>3.0749209999999998</v>
      </c>
      <c r="T354">
        <v>-0.1887076</v>
      </c>
      <c r="U354">
        <v>5.0720210000000002E-2</v>
      </c>
      <c r="V354">
        <v>-6.4977489999999997E-3</v>
      </c>
      <c r="W354">
        <v>0.1790264</v>
      </c>
      <c r="X354">
        <v>0.9838228</v>
      </c>
      <c r="Y354">
        <v>-1.344367E-2</v>
      </c>
      <c r="Z354">
        <v>2.2636250000000001E-4</v>
      </c>
      <c r="AA354">
        <v>0.99990959999999995</v>
      </c>
      <c r="AB354">
        <v>30</v>
      </c>
      <c r="AC354">
        <v>17.933299999999999</v>
      </c>
      <c r="AD354">
        <v>-1.1137349999999999</v>
      </c>
      <c r="AE354">
        <v>0.29860000000002102</v>
      </c>
      <c r="AF354">
        <v>-0.24332890400075999</v>
      </c>
      <c r="AG354">
        <v>-1.1137349999999999</v>
      </c>
      <c r="AH354">
        <v>17.865236234828402</v>
      </c>
      <c r="AI354">
        <v>93.5669243156877</v>
      </c>
      <c r="AJ354">
        <v>90.780334333729797</v>
      </c>
      <c r="AK354">
        <v>17.9015720072839</v>
      </c>
      <c r="AL354">
        <v>79.686944364091502</v>
      </c>
      <c r="AM354">
        <v>90.378409791832397</v>
      </c>
      <c r="AN354">
        <v>0.99999998721943295</v>
      </c>
    </row>
    <row r="355" spans="1:40" x14ac:dyDescent="0.25">
      <c r="A355" t="str">
        <f>"20190312172100570"</f>
        <v>20190312172100570</v>
      </c>
      <c r="B355" t="str">
        <f>"1552382460562316"</f>
        <v>1552382460562316</v>
      </c>
      <c r="C355" t="s">
        <v>40</v>
      </c>
      <c r="D355">
        <v>3.1210979999999999</v>
      </c>
      <c r="E355">
        <v>0.51342670000000001</v>
      </c>
      <c r="F355" t="s">
        <v>43</v>
      </c>
      <c r="G355">
        <v>-414.36290000000002</v>
      </c>
      <c r="H355">
        <v>-0.05</v>
      </c>
      <c r="I355">
        <v>368.16969999999998</v>
      </c>
      <c r="J355">
        <v>-432.45609999999999</v>
      </c>
      <c r="K355">
        <v>1.063396</v>
      </c>
      <c r="L355">
        <v>367.86759999999998</v>
      </c>
      <c r="M355">
        <v>0.99993560000000004</v>
      </c>
      <c r="N355">
        <v>0</v>
      </c>
      <c r="O355">
        <v>3.1586980000000001E-3</v>
      </c>
      <c r="P355">
        <v>0.98565950000000002</v>
      </c>
      <c r="Q355">
        <v>0.16846610000000001</v>
      </c>
      <c r="R355">
        <v>9.7273770000000006E-3</v>
      </c>
      <c r="S355">
        <v>3.0749209999999998</v>
      </c>
      <c r="T355">
        <v>-0.18762809999999999</v>
      </c>
      <c r="U355">
        <v>5.0994869999999998E-2</v>
      </c>
      <c r="V355">
        <v>-6.6936189999999996E-3</v>
      </c>
      <c r="W355">
        <v>0.17920700000000001</v>
      </c>
      <c r="X355">
        <v>0.98378860000000001</v>
      </c>
      <c r="Y355">
        <v>-1.3404259999999999E-2</v>
      </c>
      <c r="Z355">
        <v>2.1599060000000001E-4</v>
      </c>
      <c r="AA355">
        <v>0.99991010000000002</v>
      </c>
      <c r="AB355">
        <v>30</v>
      </c>
      <c r="AC355">
        <v>18.0931999999999</v>
      </c>
      <c r="AD355">
        <v>-1.1133959999999901</v>
      </c>
      <c r="AE355">
        <v>0.30209999999999498</v>
      </c>
      <c r="AF355">
        <v>-0.24402035188878099</v>
      </c>
      <c r="AG355">
        <v>-1.1133959999999901</v>
      </c>
      <c r="AH355">
        <v>18.0258234641462</v>
      </c>
      <c r="AI355">
        <v>93.534159135153203</v>
      </c>
      <c r="AJ355">
        <v>90.775580784890394</v>
      </c>
      <c r="AK355">
        <v>18.061824607318002</v>
      </c>
      <c r="AL355">
        <v>79.676426591628498</v>
      </c>
      <c r="AM355">
        <v>90.389829888711603</v>
      </c>
      <c r="AN355">
        <v>0.99999998143713797</v>
      </c>
    </row>
    <row r="356" spans="1:40" x14ac:dyDescent="0.25">
      <c r="A356" t="str">
        <f>"20190312172100582"</f>
        <v>20190312172100582</v>
      </c>
      <c r="B356" t="str">
        <f>"1552382460572076"</f>
        <v>1552382460572076</v>
      </c>
      <c r="C356" t="s">
        <v>40</v>
      </c>
      <c r="D356">
        <v>3.1137009999999998</v>
      </c>
      <c r="E356">
        <v>0.51419789999999999</v>
      </c>
      <c r="F356" t="s">
        <v>42</v>
      </c>
      <c r="G356">
        <v>-399.04109999999997</v>
      </c>
      <c r="H356" s="1">
        <v>-9.9466680000000004E-7</v>
      </c>
      <c r="I356">
        <v>367.05200000000002</v>
      </c>
      <c r="J356">
        <v>-432.28960000000001</v>
      </c>
      <c r="K356">
        <v>1.063062</v>
      </c>
      <c r="L356">
        <v>367.8682</v>
      </c>
      <c r="M356">
        <v>0.99993710000000002</v>
      </c>
      <c r="N356">
        <v>0</v>
      </c>
      <c r="O356">
        <v>3.2941289999999998E-3</v>
      </c>
      <c r="P356">
        <v>0.98563089999999998</v>
      </c>
      <c r="Q356">
        <v>0.16862439999999901</v>
      </c>
      <c r="R356">
        <v>9.8825019999999996E-3</v>
      </c>
      <c r="S356">
        <v>3.0610659999999998</v>
      </c>
      <c r="T356">
        <v>-9.7414790000000001E-2</v>
      </c>
      <c r="U356">
        <v>-7.4707029999999994E-2</v>
      </c>
      <c r="V356">
        <v>-6.7156969999999996E-3</v>
      </c>
      <c r="W356">
        <v>0.17918310000000001</v>
      </c>
      <c r="X356">
        <v>0.98379280000000002</v>
      </c>
      <c r="Y356">
        <v>2.7675829999999998E-2</v>
      </c>
      <c r="Z356">
        <v>-5.4499500000000005E-4</v>
      </c>
      <c r="AA356">
        <v>0.99961679999999997</v>
      </c>
      <c r="AB356">
        <v>30</v>
      </c>
      <c r="AC356">
        <v>33.2485</v>
      </c>
      <c r="AD356">
        <v>-1.0630629946668</v>
      </c>
      <c r="AE356">
        <v>-0.81620000000003701</v>
      </c>
      <c r="AF356">
        <v>0.92478188891318902</v>
      </c>
      <c r="AG356">
        <v>-1.0630629946668</v>
      </c>
      <c r="AH356">
        <v>33.211699239331502</v>
      </c>
      <c r="AI356">
        <v>91.832627073724296</v>
      </c>
      <c r="AJ356">
        <v>88.405007495233207</v>
      </c>
      <c r="AK356">
        <v>33.241574734607603</v>
      </c>
      <c r="AL356">
        <v>79.677818461287401</v>
      </c>
      <c r="AM356">
        <v>90.391113980478593</v>
      </c>
      <c r="AN356">
        <v>0.99999997862182199</v>
      </c>
    </row>
    <row r="357" spans="1:40" x14ac:dyDescent="0.25">
      <c r="A357" t="str">
        <f>"20190312172100594"</f>
        <v>20190312172100594</v>
      </c>
      <c r="B357" t="str">
        <f>"1552382460591597"</f>
        <v>1552382460591597</v>
      </c>
      <c r="C357" t="s">
        <v>40</v>
      </c>
      <c r="D357">
        <v>3.1123539999999998</v>
      </c>
      <c r="E357">
        <v>0.51477589999999995</v>
      </c>
      <c r="F357" t="s">
        <v>42</v>
      </c>
      <c r="G357">
        <v>-396.89089999999999</v>
      </c>
      <c r="H357" s="1">
        <v>-1.7911849999999999E-6</v>
      </c>
      <c r="I357">
        <v>366.93799999999999</v>
      </c>
      <c r="J357">
        <v>-432.13529999999997</v>
      </c>
      <c r="K357">
        <v>1.0627799999999901</v>
      </c>
      <c r="L357">
        <v>367.8689</v>
      </c>
      <c r="M357">
        <v>0.99993849999999995</v>
      </c>
      <c r="N357">
        <v>0</v>
      </c>
      <c r="O357">
        <v>3.4193280000000001E-3</v>
      </c>
      <c r="P357">
        <v>0.98558900000000005</v>
      </c>
      <c r="Q357">
        <v>0.16883889999999999</v>
      </c>
      <c r="R357">
        <v>1.0390160000000001E-2</v>
      </c>
      <c r="S357">
        <v>3.0603030000000002</v>
      </c>
      <c r="T357">
        <v>-9.1904280000000005E-2</v>
      </c>
      <c r="U357">
        <v>-8.0413819999999997E-2</v>
      </c>
      <c r="V357">
        <v>-7.1002879999999997E-3</v>
      </c>
      <c r="W357">
        <v>0.17924219999999999</v>
      </c>
      <c r="X357">
        <v>0.98377939999999997</v>
      </c>
      <c r="Y357">
        <v>2.9670640000000002E-2</v>
      </c>
      <c r="Z357">
        <v>-5.4799579999999996E-4</v>
      </c>
      <c r="AA357">
        <v>0.99955959999999999</v>
      </c>
      <c r="AB357">
        <v>30</v>
      </c>
      <c r="AC357">
        <v>35.244399999999899</v>
      </c>
      <c r="AD357">
        <v>-1.0627817911849999</v>
      </c>
      <c r="AE357">
        <v>-0.93089999999995099</v>
      </c>
      <c r="AF357">
        <v>1.05045891042715</v>
      </c>
      <c r="AG357">
        <v>-1.0627817911849999</v>
      </c>
      <c r="AH357">
        <v>35.2090174143569</v>
      </c>
      <c r="AI357">
        <v>91.728175722425306</v>
      </c>
      <c r="AJ357">
        <v>88.291090801350194</v>
      </c>
      <c r="AK357">
        <v>35.240713334759</v>
      </c>
      <c r="AL357">
        <v>79.674377241058295</v>
      </c>
      <c r="AM357">
        <v>90.413516965513296</v>
      </c>
      <c r="AN357">
        <v>1.0000000441074399</v>
      </c>
    </row>
    <row r="358" spans="1:40" x14ac:dyDescent="0.25">
      <c r="A358" t="str">
        <f>"20190312172100607"</f>
        <v>20190312172100607</v>
      </c>
      <c r="B358" t="str">
        <f>"1552382460601357"</f>
        <v>1552382460601357</v>
      </c>
      <c r="C358" t="s">
        <v>40</v>
      </c>
      <c r="D358">
        <v>3.1183999999999998</v>
      </c>
      <c r="E358">
        <v>0.5150766</v>
      </c>
      <c r="F358" t="s">
        <v>42</v>
      </c>
      <c r="G358">
        <v>-394.56700000000001</v>
      </c>
      <c r="H358" s="1">
        <v>-2.80519E-6</v>
      </c>
      <c r="I358">
        <v>366.8417</v>
      </c>
      <c r="J358">
        <v>-431.96839999999997</v>
      </c>
      <c r="K358">
        <v>1.062503</v>
      </c>
      <c r="L358">
        <v>367.86959999999999</v>
      </c>
      <c r="M358">
        <v>0.99993949999999998</v>
      </c>
      <c r="N358">
        <v>0</v>
      </c>
      <c r="O358">
        <v>3.5548989999999998E-3</v>
      </c>
      <c r="P358">
        <v>0.98551580000000005</v>
      </c>
      <c r="Q358">
        <v>0.1692572</v>
      </c>
      <c r="R358">
        <v>1.0531789999999999E-2</v>
      </c>
      <c r="S358">
        <v>3.0595400000000001</v>
      </c>
      <c r="T358">
        <v>-8.6552439999999994E-2</v>
      </c>
      <c r="U358">
        <v>-8.3648680000000003E-2</v>
      </c>
      <c r="V358">
        <v>-7.1088590000000004E-3</v>
      </c>
      <c r="W358">
        <v>0.1795021</v>
      </c>
      <c r="X358">
        <v>0.98373189999999999</v>
      </c>
      <c r="Y358">
        <v>3.0869899999999999E-2</v>
      </c>
      <c r="Z358">
        <v>-5.3700949999999905E-4</v>
      </c>
      <c r="AA358">
        <v>0.9995233</v>
      </c>
      <c r="AB358">
        <v>30</v>
      </c>
      <c r="AC358">
        <v>37.401400000000002</v>
      </c>
      <c r="AD358">
        <v>-1.06250580519</v>
      </c>
      <c r="AE358">
        <v>-1.0278999999999801</v>
      </c>
      <c r="AF358">
        <v>1.15992352738491</v>
      </c>
      <c r="AG358">
        <v>-1.06250580519</v>
      </c>
      <c r="AH358">
        <v>37.367375728141099</v>
      </c>
      <c r="AI358">
        <v>91.627928498131098</v>
      </c>
      <c r="AJ358">
        <v>88.222048289005997</v>
      </c>
      <c r="AK358">
        <v>37.400469381860802</v>
      </c>
      <c r="AL358">
        <v>79.659240062470204</v>
      </c>
      <c r="AM358">
        <v>90.414036108876701</v>
      </c>
      <c r="AN358">
        <v>0.99999999542914997</v>
      </c>
    </row>
    <row r="359" spans="1:40" x14ac:dyDescent="0.25">
      <c r="A359" t="str">
        <f>"20190312172100624"</f>
        <v>20190312172100624</v>
      </c>
      <c r="B359" t="str">
        <f>"1552382460621853"</f>
        <v>1552382460621853</v>
      </c>
      <c r="C359" t="s">
        <v>40</v>
      </c>
      <c r="D359">
        <v>3.0234049999999999</v>
      </c>
      <c r="E359">
        <v>0.51523069999999904</v>
      </c>
      <c r="F359" t="s">
        <v>42</v>
      </c>
      <c r="G359">
        <v>-393.5265</v>
      </c>
      <c r="H359" s="1">
        <v>-3.2602050000000001E-6</v>
      </c>
      <c r="I359">
        <v>366.79320000000001</v>
      </c>
      <c r="J359">
        <v>-431.72629999999998</v>
      </c>
      <c r="K359">
        <v>1.062147</v>
      </c>
      <c r="L359">
        <v>367.87060000000002</v>
      </c>
      <c r="M359">
        <v>0.99994110000000003</v>
      </c>
      <c r="N359">
        <v>0</v>
      </c>
      <c r="O359">
        <v>3.750682E-3</v>
      </c>
      <c r="P359">
        <v>0.98545459999999996</v>
      </c>
      <c r="Q359">
        <v>0.1695612</v>
      </c>
      <c r="R359">
        <v>1.133757E-2</v>
      </c>
      <c r="S359">
        <v>3.0595400000000001</v>
      </c>
      <c r="T359">
        <v>-8.4563139999999995E-2</v>
      </c>
      <c r="U359">
        <v>-8.5662840000000004E-2</v>
      </c>
      <c r="V359">
        <v>-7.7218109999999899E-3</v>
      </c>
      <c r="W359">
        <v>0.17959549999999999</v>
      </c>
      <c r="X359">
        <v>0.98371019999999998</v>
      </c>
      <c r="Y359">
        <v>3.1723309999999998E-2</v>
      </c>
      <c r="Z359">
        <v>-5.4186580000000005E-4</v>
      </c>
      <c r="AA359">
        <v>0.99949650000000001</v>
      </c>
      <c r="AB359">
        <v>30</v>
      </c>
      <c r="AC359">
        <v>38.199799999999897</v>
      </c>
      <c r="AD359">
        <v>-1.0621502602049999</v>
      </c>
      <c r="AE359">
        <v>-1.0774000000000099</v>
      </c>
      <c r="AF359">
        <v>1.21973289820079</v>
      </c>
      <c r="AG359">
        <v>-1.0621502602049999</v>
      </c>
      <c r="AH359">
        <v>38.166006445132297</v>
      </c>
      <c r="AI359">
        <v>91.593302488300495</v>
      </c>
      <c r="AJ359">
        <v>88.169528969273898</v>
      </c>
      <c r="AK359">
        <v>38.200261248950703</v>
      </c>
      <c r="AL359">
        <v>79.653799903353104</v>
      </c>
      <c r="AM359">
        <v>90.449744339084702</v>
      </c>
      <c r="AN359">
        <v>0.99999996378470402</v>
      </c>
    </row>
    <row r="360" spans="1:40" x14ac:dyDescent="0.25">
      <c r="A360" t="str">
        <f>"20190312172100636"</f>
        <v>20190312172100636</v>
      </c>
      <c r="B360" t="str">
        <f>"1552382460631613"</f>
        <v>1552382460631613</v>
      </c>
      <c r="C360" t="s">
        <v>40</v>
      </c>
      <c r="D360">
        <v>3.1320100000000002</v>
      </c>
      <c r="E360">
        <v>0.51536930000000003</v>
      </c>
      <c r="F360" t="s">
        <v>42</v>
      </c>
      <c r="G360">
        <v>-393.142</v>
      </c>
      <c r="H360" s="1">
        <v>-3.4233080000000001E-6</v>
      </c>
      <c r="I360">
        <v>366.80340000000001</v>
      </c>
      <c r="J360">
        <v>-431.57100000000003</v>
      </c>
      <c r="K360">
        <v>1.0619419999999999</v>
      </c>
      <c r="L360">
        <v>367.87130000000002</v>
      </c>
      <c r="M360">
        <v>0.99994190000000005</v>
      </c>
      <c r="N360">
        <v>0</v>
      </c>
      <c r="O360">
        <v>3.8754420000000002E-3</v>
      </c>
      <c r="P360">
        <v>0.98542070000000004</v>
      </c>
      <c r="Q360">
        <v>0.16974610000000001</v>
      </c>
      <c r="R360">
        <v>1.1514959999999999E-2</v>
      </c>
      <c r="S360">
        <v>3.0597840000000001</v>
      </c>
      <c r="T360">
        <v>-8.4229830000000006E-2</v>
      </c>
      <c r="U360">
        <v>-8.4625240000000004E-2</v>
      </c>
      <c r="V360">
        <v>-7.7761339999999997E-3</v>
      </c>
      <c r="W360">
        <v>0.17965690000000001</v>
      </c>
      <c r="X360">
        <v>0.98369859999999998</v>
      </c>
      <c r="Y360">
        <v>3.1507239999999999E-2</v>
      </c>
      <c r="Z360">
        <v>-5.4015059999999997E-4</v>
      </c>
      <c r="AA360">
        <v>0.99950340000000004</v>
      </c>
      <c r="AB360">
        <v>30</v>
      </c>
      <c r="AC360">
        <v>38.428999999999903</v>
      </c>
      <c r="AD360">
        <v>-1.0619454233079999</v>
      </c>
      <c r="AE360">
        <v>-1.0679000000000001</v>
      </c>
      <c r="AF360">
        <v>1.21590108605483</v>
      </c>
      <c r="AG360">
        <v>-1.0619454233079999</v>
      </c>
      <c r="AH360">
        <v>38.395275213203099</v>
      </c>
      <c r="AI360">
        <v>91.583502638280805</v>
      </c>
      <c r="AJ360">
        <v>88.186164164610801</v>
      </c>
      <c r="AK360">
        <v>38.429198563471999</v>
      </c>
      <c r="AL360">
        <v>79.650224184784605</v>
      </c>
      <c r="AM360">
        <v>90.452913503219307</v>
      </c>
      <c r="AN360">
        <v>1.00000000280977</v>
      </c>
    </row>
    <row r="361" spans="1:40" x14ac:dyDescent="0.25">
      <c r="A361" t="str">
        <f>"20190312172100658"</f>
        <v>20190312172100658</v>
      </c>
      <c r="B361" t="str">
        <f>"1552382460652108"</f>
        <v>1552382460652108</v>
      </c>
      <c r="C361" t="s">
        <v>40</v>
      </c>
      <c r="D361">
        <v>3.116765</v>
      </c>
      <c r="E361">
        <v>0.51572010000000001</v>
      </c>
      <c r="F361" t="s">
        <v>42</v>
      </c>
      <c r="G361">
        <v>-392.24590000000001</v>
      </c>
      <c r="H361" s="1">
        <v>-3.8137559999999999E-6</v>
      </c>
      <c r="I361">
        <v>366.76949999999999</v>
      </c>
      <c r="J361">
        <v>-431.26780000000002</v>
      </c>
      <c r="K361">
        <v>1.06159</v>
      </c>
      <c r="L361">
        <v>367.87279999999998</v>
      </c>
      <c r="M361">
        <v>0.99994309999999997</v>
      </c>
      <c r="N361">
        <v>0</v>
      </c>
      <c r="O361">
        <v>4.1160809999999997E-3</v>
      </c>
      <c r="P361">
        <v>0.98538289999999995</v>
      </c>
      <c r="Q361">
        <v>0.16991779999999901</v>
      </c>
      <c r="R361">
        <v>1.219252E-2</v>
      </c>
      <c r="S361">
        <v>3.059631</v>
      </c>
      <c r="T361">
        <v>-8.2623000000000002E-2</v>
      </c>
      <c r="U361">
        <v>-8.5723880000000002E-2</v>
      </c>
      <c r="V361">
        <v>-8.2161850000000008E-3</v>
      </c>
      <c r="W361">
        <v>0.17961050000000001</v>
      </c>
      <c r="X361">
        <v>0.98370349999999995</v>
      </c>
      <c r="Y361">
        <v>3.2107959999999998E-2</v>
      </c>
      <c r="Z361">
        <v>-5.4447769999999896E-4</v>
      </c>
      <c r="AA361">
        <v>0.99948419999999905</v>
      </c>
      <c r="AB361">
        <v>30</v>
      </c>
      <c r="AC361">
        <v>39.021900000000002</v>
      </c>
      <c r="AD361">
        <v>-1.0615938137559999</v>
      </c>
      <c r="AE361">
        <v>-1.10329999999999</v>
      </c>
      <c r="AF361">
        <v>1.26298172630429</v>
      </c>
      <c r="AG361">
        <v>-1.0615938137559999</v>
      </c>
      <c r="AH361">
        <v>38.988195170309197</v>
      </c>
      <c r="AI361">
        <v>91.558880953810004</v>
      </c>
      <c r="AJ361">
        <v>88.144612077144401</v>
      </c>
      <c r="AK361">
        <v>39.023088894967103</v>
      </c>
      <c r="AL361">
        <v>79.652926708985603</v>
      </c>
      <c r="AM361">
        <v>90.478540310111597</v>
      </c>
      <c r="AN361">
        <v>1.0000000066592201</v>
      </c>
    </row>
    <row r="362" spans="1:40" x14ac:dyDescent="0.25">
      <c r="A362" t="str">
        <f>"20190312172100670"</f>
        <v>20190312172100670</v>
      </c>
      <c r="B362" t="str">
        <f>"1552382460661869"</f>
        <v>1552382460661869</v>
      </c>
      <c r="C362" t="s">
        <v>40</v>
      </c>
      <c r="D362">
        <v>3.0881530000000001</v>
      </c>
      <c r="E362">
        <v>0.5158218</v>
      </c>
      <c r="F362" t="s">
        <v>42</v>
      </c>
      <c r="G362">
        <v>-391.50799999999998</v>
      </c>
      <c r="H362" s="1">
        <v>-4.1344240000000004E-6</v>
      </c>
      <c r="I362">
        <v>366.74650000000003</v>
      </c>
      <c r="J362">
        <v>-431.10210000000001</v>
      </c>
      <c r="K362">
        <v>1.0614239999999999</v>
      </c>
      <c r="L362">
        <v>367.87360000000001</v>
      </c>
      <c r="M362">
        <v>0.99994369999999999</v>
      </c>
      <c r="N362">
        <v>0</v>
      </c>
      <c r="O362">
        <v>4.243864E-3</v>
      </c>
      <c r="P362">
        <v>0.98530320000000005</v>
      </c>
      <c r="Q362">
        <v>0.17035320000000001</v>
      </c>
      <c r="R362">
        <v>1.2558720000000001E-2</v>
      </c>
      <c r="S362">
        <v>3.059631</v>
      </c>
      <c r="T362">
        <v>-8.1692580000000001E-2</v>
      </c>
      <c r="U362">
        <v>-8.6669919999999998E-2</v>
      </c>
      <c r="V362">
        <v>-8.4558289999999998E-3</v>
      </c>
      <c r="W362">
        <v>0.17994109999999999</v>
      </c>
      <c r="X362">
        <v>0.98364099999999999</v>
      </c>
      <c r="Y362">
        <v>3.254456E-2</v>
      </c>
      <c r="Z362">
        <v>-5.4758330000000003E-4</v>
      </c>
      <c r="AA362">
        <v>0.99947010000000003</v>
      </c>
      <c r="AB362">
        <v>30</v>
      </c>
      <c r="AC362">
        <v>39.594099999999898</v>
      </c>
      <c r="AD362">
        <v>-1.061428134424</v>
      </c>
      <c r="AE362">
        <v>-1.12709999999998</v>
      </c>
      <c r="AF362">
        <v>1.2942004420883799</v>
      </c>
      <c r="AG362">
        <v>-1.061428134424</v>
      </c>
      <c r="AH362">
        <v>39.560552571359302</v>
      </c>
      <c r="AI362">
        <v>91.536082479985296</v>
      </c>
      <c r="AJ362">
        <v>88.126270187273903</v>
      </c>
      <c r="AK362">
        <v>39.5959455527979</v>
      </c>
      <c r="AL362">
        <v>79.633670500146295</v>
      </c>
      <c r="AM362">
        <v>90.492528656511993</v>
      </c>
      <c r="AN362">
        <v>0.99999995869714198</v>
      </c>
    </row>
    <row r="363" spans="1:40" x14ac:dyDescent="0.25">
      <c r="A363" t="str">
        <f>"20190312172100683"</f>
        <v>20190312172100683</v>
      </c>
      <c r="B363" t="str">
        <f>"1552382460671629"</f>
        <v>1552382460671629</v>
      </c>
      <c r="C363" t="s">
        <v>40</v>
      </c>
      <c r="D363">
        <v>3.1184129999999999</v>
      </c>
      <c r="E363">
        <v>0.51596549999999997</v>
      </c>
      <c r="F363" t="s">
        <v>42</v>
      </c>
      <c r="G363">
        <v>-390.73500000000001</v>
      </c>
      <c r="H363" s="1">
        <v>-4.4689440000000001E-6</v>
      </c>
      <c r="I363">
        <v>366.73009999999999</v>
      </c>
      <c r="J363">
        <v>-430.9393</v>
      </c>
      <c r="K363">
        <v>1.0612710000000001</v>
      </c>
      <c r="L363">
        <v>367.87439999999998</v>
      </c>
      <c r="M363">
        <v>0.99994400000000006</v>
      </c>
      <c r="N363">
        <v>0</v>
      </c>
      <c r="O363">
        <v>4.3679729999999998E-3</v>
      </c>
      <c r="P363">
        <v>0.98527120000000001</v>
      </c>
      <c r="Q363">
        <v>0.17051910000000001</v>
      </c>
      <c r="R363">
        <v>1.2817490000000001E-2</v>
      </c>
      <c r="S363">
        <v>3.0597840000000001</v>
      </c>
      <c r="T363">
        <v>-8.0454890000000001E-2</v>
      </c>
      <c r="U363">
        <v>-8.6669919999999998E-2</v>
      </c>
      <c r="V363">
        <v>-8.5912719999999901E-3</v>
      </c>
      <c r="W363">
        <v>0.18000869999999999</v>
      </c>
      <c r="X363">
        <v>0.98362749999999999</v>
      </c>
      <c r="Y363">
        <v>3.2667509999999997E-2</v>
      </c>
      <c r="Z363">
        <v>-5.4414109999999997E-4</v>
      </c>
      <c r="AA363">
        <v>0.99946610000000002</v>
      </c>
      <c r="AB363">
        <v>30</v>
      </c>
      <c r="AC363">
        <v>40.204299999999897</v>
      </c>
      <c r="AD363">
        <v>-1.0612754689439901</v>
      </c>
      <c r="AE363">
        <v>-1.1442999999999801</v>
      </c>
      <c r="AF363">
        <v>1.3189902039283701</v>
      </c>
      <c r="AG363">
        <v>-1.0612754689439901</v>
      </c>
      <c r="AH363">
        <v>40.170949266083497</v>
      </c>
      <c r="AI363">
        <v>91.512529250879993</v>
      </c>
      <c r="AJ363">
        <v>88.119401393764704</v>
      </c>
      <c r="AK363">
        <v>40.206606493427103</v>
      </c>
      <c r="AL363">
        <v>79.629733448004998</v>
      </c>
      <c r="AM363">
        <v>90.500424306426893</v>
      </c>
      <c r="AN363">
        <v>1.0000000003932501</v>
      </c>
    </row>
    <row r="364" spans="1:40" x14ac:dyDescent="0.25">
      <c r="A364" t="str">
        <f>"20190312172100694"</f>
        <v>20190312172100694</v>
      </c>
      <c r="B364" t="str">
        <f>"1552382460692124"</f>
        <v>1552382460692124</v>
      </c>
      <c r="C364" t="s">
        <v>40</v>
      </c>
      <c r="D364">
        <v>3.1125080000000001</v>
      </c>
      <c r="E364">
        <v>0.51625219999999905</v>
      </c>
      <c r="F364" t="s">
        <v>42</v>
      </c>
      <c r="G364">
        <v>-390.23090000000002</v>
      </c>
      <c r="H364" s="1">
        <v>-4.68776E-6</v>
      </c>
      <c r="I364">
        <v>366.71559999999999</v>
      </c>
      <c r="J364">
        <v>-430.78</v>
      </c>
      <c r="K364">
        <v>1.061137</v>
      </c>
      <c r="L364">
        <v>367.87520000000001</v>
      </c>
      <c r="M364">
        <v>0.99994430000000001</v>
      </c>
      <c r="N364">
        <v>0</v>
      </c>
      <c r="O364">
        <v>4.4853949999999997E-3</v>
      </c>
      <c r="P364">
        <v>0.98522200000000004</v>
      </c>
      <c r="Q364">
        <v>0.170765</v>
      </c>
      <c r="R364">
        <v>1.3294E-2</v>
      </c>
      <c r="S364">
        <v>3.0597840000000001</v>
      </c>
      <c r="T364">
        <v>-7.9769019999999996E-2</v>
      </c>
      <c r="U364">
        <v>-8.7097170000000002E-2</v>
      </c>
      <c r="V364">
        <v>-8.9502829999999999E-3</v>
      </c>
      <c r="W364">
        <v>0.18016769999999999</v>
      </c>
      <c r="X364">
        <v>0.9835952</v>
      </c>
      <c r="Y364">
        <v>3.2924410000000001E-2</v>
      </c>
      <c r="Z364">
        <v>-5.4591060000000002E-4</v>
      </c>
      <c r="AA364">
        <v>0.9994577</v>
      </c>
      <c r="AB364">
        <v>30</v>
      </c>
      <c r="AC364">
        <v>40.549099999999903</v>
      </c>
      <c r="AD364">
        <v>-1.06114168776</v>
      </c>
      <c r="AE364">
        <v>-1.15960000000001</v>
      </c>
      <c r="AF364">
        <v>1.3405580583138399</v>
      </c>
      <c r="AG364">
        <v>-1.06114168776</v>
      </c>
      <c r="AH364">
        <v>40.515766722477501</v>
      </c>
      <c r="AI364">
        <v>91.499461038724903</v>
      </c>
      <c r="AJ364">
        <v>88.104927676847495</v>
      </c>
      <c r="AK364">
        <v>40.551824505186303</v>
      </c>
      <c r="AL364">
        <v>79.620472126532405</v>
      </c>
      <c r="AM364">
        <v>90.521351962739303</v>
      </c>
      <c r="AN364">
        <v>1.00000001257605</v>
      </c>
    </row>
    <row r="365" spans="1:40" x14ac:dyDescent="0.25">
      <c r="A365" t="str">
        <f>"20190312172100706"</f>
        <v>20190312172100706</v>
      </c>
      <c r="B365" t="str">
        <f>"1552382460701884"</f>
        <v>1552382460701884</v>
      </c>
      <c r="C365" t="s">
        <v>40</v>
      </c>
      <c r="D365">
        <v>3.0979540000000001</v>
      </c>
      <c r="E365">
        <v>0.51633580000000001</v>
      </c>
      <c r="F365" t="s">
        <v>42</v>
      </c>
      <c r="G365">
        <v>-389.96080000000001</v>
      </c>
      <c r="H365" s="1">
        <v>-4.8056939999999998E-6</v>
      </c>
      <c r="I365">
        <v>366.70389999999998</v>
      </c>
      <c r="J365">
        <v>-430.61649999999997</v>
      </c>
      <c r="K365">
        <v>1.0610109999999999</v>
      </c>
      <c r="L365">
        <v>367.87610000000001</v>
      </c>
      <c r="M365">
        <v>0.99994459999999996</v>
      </c>
      <c r="N365">
        <v>0</v>
      </c>
      <c r="O365">
        <v>4.6027949999999998E-3</v>
      </c>
      <c r="P365">
        <v>0.98518930000000005</v>
      </c>
      <c r="Q365">
        <v>0.1709446</v>
      </c>
      <c r="R365">
        <v>1.342057E-2</v>
      </c>
      <c r="S365">
        <v>3.0599669999999999</v>
      </c>
      <c r="T365">
        <v>-7.9547229999999997E-2</v>
      </c>
      <c r="U365">
        <v>-8.7799070000000007E-2</v>
      </c>
      <c r="V365">
        <v>-8.9599699999999994E-3</v>
      </c>
      <c r="W365">
        <v>0.18026429999999999</v>
      </c>
      <c r="X365">
        <v>0.98357740000000005</v>
      </c>
      <c r="Y365">
        <v>3.326904E-2</v>
      </c>
      <c r="Z365">
        <v>-5.5188769999999995E-4</v>
      </c>
      <c r="AA365">
        <v>0.99944630000000001</v>
      </c>
      <c r="AB365">
        <v>30</v>
      </c>
      <c r="AC365">
        <v>40.655699999999896</v>
      </c>
      <c r="AD365">
        <v>-1.061015805694</v>
      </c>
      <c r="AE365">
        <v>-1.1722000000000301</v>
      </c>
      <c r="AF365">
        <v>1.3584014022888</v>
      </c>
      <c r="AG365">
        <v>-1.061015805694</v>
      </c>
      <c r="AH365">
        <v>40.622229481986601</v>
      </c>
      <c r="AI365">
        <v>91.495338196655993</v>
      </c>
      <c r="AJ365">
        <v>88.084751207032696</v>
      </c>
      <c r="AK365">
        <v>40.658781794304304</v>
      </c>
      <c r="AL365">
        <v>79.614845097048303</v>
      </c>
      <c r="AM365">
        <v>90.521925641805296</v>
      </c>
      <c r="AN365">
        <v>1.0000000003538201</v>
      </c>
    </row>
    <row r="366" spans="1:40" x14ac:dyDescent="0.25">
      <c r="A366" t="str">
        <f>"20190312172100726"</f>
        <v>20190312172100726</v>
      </c>
      <c r="B366" t="str">
        <f>"1552382460721405"</f>
        <v>1552382460721405</v>
      </c>
      <c r="C366" t="s">
        <v>40</v>
      </c>
      <c r="D366">
        <v>3.1050330000000002</v>
      </c>
      <c r="E366">
        <v>0.51655569999999995</v>
      </c>
      <c r="F366" t="s">
        <v>42</v>
      </c>
      <c r="G366">
        <v>-389.6542</v>
      </c>
      <c r="H366" s="1">
        <v>-8.8163759999999997E-7</v>
      </c>
      <c r="I366">
        <v>366.69260000000003</v>
      </c>
      <c r="J366">
        <v>-430.3492</v>
      </c>
      <c r="K366">
        <v>1.060826</v>
      </c>
      <c r="L366">
        <v>367.8775</v>
      </c>
      <c r="M366">
        <v>0.99994499999999997</v>
      </c>
      <c r="N366">
        <v>0</v>
      </c>
      <c r="O366">
        <v>4.7872690000000002E-3</v>
      </c>
      <c r="P366">
        <v>0.98515739999999996</v>
      </c>
      <c r="Q366">
        <v>0.17109639999999901</v>
      </c>
      <c r="R366">
        <v>1.384202E-2</v>
      </c>
      <c r="S366">
        <v>3.0600890000000001</v>
      </c>
      <c r="T366">
        <v>-7.926279E-2</v>
      </c>
      <c r="U366">
        <v>-8.8409420000000002E-2</v>
      </c>
      <c r="V366">
        <v>-9.1963010000000005E-3</v>
      </c>
      <c r="W366">
        <v>0.18029390000000001</v>
      </c>
      <c r="X366">
        <v>0.98356980000000005</v>
      </c>
      <c r="Y366">
        <v>3.3651340000000002E-2</v>
      </c>
      <c r="Z366">
        <v>-5.5961750000000005E-4</v>
      </c>
      <c r="AA366">
        <v>0.99943349999999997</v>
      </c>
      <c r="AB366">
        <v>30</v>
      </c>
      <c r="AC366">
        <v>40.694999999999901</v>
      </c>
      <c r="AD366">
        <v>-1.0608268816375901</v>
      </c>
      <c r="AE366">
        <v>-1.1848999999999701</v>
      </c>
      <c r="AF366">
        <v>1.3787766929707701</v>
      </c>
      <c r="AG366">
        <v>-1.0608268816375901</v>
      </c>
      <c r="AH366">
        <v>40.661253923169802</v>
      </c>
      <c r="AI366">
        <v>91.493614268254305</v>
      </c>
      <c r="AJ366">
        <v>88.057909655104197</v>
      </c>
      <c r="AK366">
        <v>40.6984514379402</v>
      </c>
      <c r="AL366">
        <v>79.613120960484295</v>
      </c>
      <c r="AM366">
        <v>90.535695464540396</v>
      </c>
      <c r="AN366">
        <v>1.00000000690066</v>
      </c>
    </row>
    <row r="367" spans="1:40" x14ac:dyDescent="0.25">
      <c r="A367" t="str">
        <f>"20190312172100749"</f>
        <v>20190312172100749</v>
      </c>
      <c r="B367" t="str">
        <f>"1552382460741901"</f>
        <v>1552382460741901</v>
      </c>
      <c r="C367" t="s">
        <v>40</v>
      </c>
      <c r="D367">
        <v>3.101032</v>
      </c>
      <c r="E367">
        <v>0.51662779999999997</v>
      </c>
      <c r="F367" t="s">
        <v>42</v>
      </c>
      <c r="G367">
        <v>-389.58030000000002</v>
      </c>
      <c r="H367" s="1">
        <v>-9.0557799999999998E-7</v>
      </c>
      <c r="I367">
        <v>366.69720000000001</v>
      </c>
      <c r="J367">
        <v>-430.03230000000002</v>
      </c>
      <c r="K367">
        <v>1.060643</v>
      </c>
      <c r="L367">
        <v>367.87920000000003</v>
      </c>
      <c r="M367">
        <v>0.99994499999999997</v>
      </c>
      <c r="N367">
        <v>0</v>
      </c>
      <c r="O367">
        <v>4.9927010000000004E-3</v>
      </c>
      <c r="P367">
        <v>0.98516459999999995</v>
      </c>
      <c r="Q367">
        <v>0.17099919999999999</v>
      </c>
      <c r="R367">
        <v>1.447712E-2</v>
      </c>
      <c r="S367">
        <v>3.0603030000000002</v>
      </c>
      <c r="T367">
        <v>-7.9630489999999998E-2</v>
      </c>
      <c r="U367">
        <v>-8.8592530000000003E-2</v>
      </c>
      <c r="V367">
        <v>-9.6244280000000008E-3</v>
      </c>
      <c r="W367">
        <v>0.18007200000000001</v>
      </c>
      <c r="X367">
        <v>0.98360630000000004</v>
      </c>
      <c r="Y367">
        <v>3.3914119999999999E-2</v>
      </c>
      <c r="Z367">
        <v>-5.7093430000000004E-4</v>
      </c>
      <c r="AA367">
        <v>0.9994246</v>
      </c>
      <c r="AB367">
        <v>30</v>
      </c>
      <c r="AC367">
        <v>40.451999999999998</v>
      </c>
      <c r="AD367">
        <v>-1.0606439055779999</v>
      </c>
      <c r="AE367">
        <v>-1.1820000000000099</v>
      </c>
      <c r="AF367">
        <v>1.38300862093488</v>
      </c>
      <c r="AG367">
        <v>-1.0606439055779999</v>
      </c>
      <c r="AH367">
        <v>40.417831463775798</v>
      </c>
      <c r="AI367">
        <v>91.502330831988601</v>
      </c>
      <c r="AJ367">
        <v>88.0402300320753</v>
      </c>
      <c r="AK367">
        <v>40.455392453592701</v>
      </c>
      <c r="AL367">
        <v>79.626045889971607</v>
      </c>
      <c r="AM367">
        <v>90.560612011958497</v>
      </c>
      <c r="AN367">
        <v>0.99999995409900699</v>
      </c>
    </row>
    <row r="368" spans="1:40" x14ac:dyDescent="0.25">
      <c r="A368" t="str">
        <f>"20190312172100763"</f>
        <v>20190312172100763</v>
      </c>
      <c r="B368" t="str">
        <f>"1552382460751661"</f>
        <v>1552382460751661</v>
      </c>
      <c r="C368" t="s">
        <v>40</v>
      </c>
      <c r="D368">
        <v>3.090141</v>
      </c>
      <c r="E368">
        <v>0.52023599999999903</v>
      </c>
      <c r="F368" t="s">
        <v>42</v>
      </c>
      <c r="G368">
        <v>-389.53969999999998</v>
      </c>
      <c r="H368" s="1">
        <v>-9.1324750000000004E-7</v>
      </c>
      <c r="I368">
        <v>366.72030000000001</v>
      </c>
      <c r="J368">
        <v>-429.84550000000002</v>
      </c>
      <c r="K368">
        <v>1.060548</v>
      </c>
      <c r="L368">
        <v>367.88029999999998</v>
      </c>
      <c r="M368">
        <v>0.99994510000000003</v>
      </c>
      <c r="N368">
        <v>0</v>
      </c>
      <c r="O368">
        <v>5.107131E-3</v>
      </c>
      <c r="P368">
        <v>0.98517319999999997</v>
      </c>
      <c r="Q368">
        <v>0.17094770000000001</v>
      </c>
      <c r="R368">
        <v>1.4519010000000001E-2</v>
      </c>
      <c r="S368">
        <v>3.0603639999999999</v>
      </c>
      <c r="T368">
        <v>-8.0161510000000005E-2</v>
      </c>
      <c r="U368">
        <v>-8.7585449999999995E-2</v>
      </c>
      <c r="V368">
        <v>-9.5514680000000005E-3</v>
      </c>
      <c r="W368">
        <v>0.17995529999999901</v>
      </c>
      <c r="X368">
        <v>0.98362850000000002</v>
      </c>
      <c r="Y368">
        <v>3.3699170000000001E-2</v>
      </c>
      <c r="Z368">
        <v>-5.7491360000000002E-4</v>
      </c>
      <c r="AA368">
        <v>0.99943179999999998</v>
      </c>
      <c r="AB368">
        <v>31</v>
      </c>
      <c r="AC368">
        <v>40.305799999999998</v>
      </c>
      <c r="AD368">
        <v>-1.0605489132474999</v>
      </c>
      <c r="AE368">
        <v>-1.15999999999996</v>
      </c>
      <c r="AF368">
        <v>1.36489628276244</v>
      </c>
      <c r="AG368">
        <v>-1.0605489132474999</v>
      </c>
      <c r="AH368">
        <v>40.271490857581597</v>
      </c>
      <c r="AI368">
        <v>91.507669267360399</v>
      </c>
      <c r="AJ368">
        <v>88.058853254022495</v>
      </c>
      <c r="AK368">
        <v>40.308568341636303</v>
      </c>
      <c r="AL368">
        <v>79.632844704314294</v>
      </c>
      <c r="AM368">
        <v>90.556349886864496</v>
      </c>
      <c r="AN368">
        <v>1.0000000832756399</v>
      </c>
    </row>
    <row r="369" spans="1:40" x14ac:dyDescent="0.25">
      <c r="A369" t="str">
        <f>"20190312172100776"</f>
        <v>20190312172100776</v>
      </c>
      <c r="B369" t="str">
        <f>"1552382460772157"</f>
        <v>1552382460772157</v>
      </c>
      <c r="C369" t="s">
        <v>40</v>
      </c>
      <c r="D369">
        <v>3.2794110000000001</v>
      </c>
      <c r="E369">
        <v>0.52049309999999904</v>
      </c>
      <c r="F369" t="s">
        <v>42</v>
      </c>
      <c r="G369">
        <v>-397.82029999999997</v>
      </c>
      <c r="H369" s="1">
        <v>-1.5133179999999901E-6</v>
      </c>
      <c r="I369">
        <v>366.66419999999999</v>
      </c>
      <c r="J369">
        <v>-429.67039999999997</v>
      </c>
      <c r="K369">
        <v>1.060468</v>
      </c>
      <c r="L369">
        <v>367.88130000000001</v>
      </c>
      <c r="M369">
        <v>0.99994499999999997</v>
      </c>
      <c r="N369">
        <v>0</v>
      </c>
      <c r="O369">
        <v>5.2086999999999897E-3</v>
      </c>
      <c r="P369">
        <v>0.98516680000000001</v>
      </c>
      <c r="Q369">
        <v>0.17095350000000001</v>
      </c>
      <c r="R369">
        <v>1.4875930000000001E-2</v>
      </c>
      <c r="S369">
        <v>3.0644529999999999</v>
      </c>
      <c r="T369">
        <v>-0.1014824</v>
      </c>
      <c r="U369">
        <v>-0.11636349999999999</v>
      </c>
      <c r="V369">
        <v>-9.8053020000000001E-3</v>
      </c>
      <c r="W369">
        <v>0.1799065</v>
      </c>
      <c r="X369">
        <v>0.98363480000000003</v>
      </c>
      <c r="Y369">
        <v>4.3122880000000002E-2</v>
      </c>
      <c r="Z369">
        <v>-8.8596859999999999E-4</v>
      </c>
      <c r="AA369">
        <v>0.9990694</v>
      </c>
      <c r="AB369">
        <v>31</v>
      </c>
      <c r="AC369">
        <v>31.850100000000001</v>
      </c>
      <c r="AD369">
        <v>-1.060469513318</v>
      </c>
      <c r="AE369">
        <v>-1.2171000000000101</v>
      </c>
      <c r="AF369">
        <v>1.3814587265021201</v>
      </c>
      <c r="AG369">
        <v>-1.060469513318</v>
      </c>
      <c r="AH369">
        <v>31.808117081184399</v>
      </c>
      <c r="AI369">
        <v>91.907713355277593</v>
      </c>
      <c r="AJ369">
        <v>87.513149115193102</v>
      </c>
      <c r="AK369">
        <v>31.8557582871926</v>
      </c>
      <c r="AL369">
        <v>79.635685797313897</v>
      </c>
      <c r="AM369">
        <v>90.571130478343505</v>
      </c>
      <c r="AN369">
        <v>0.99999995623029903</v>
      </c>
    </row>
    <row r="370" spans="1:40" x14ac:dyDescent="0.25">
      <c r="A370" t="str">
        <f>"20190312172100793"</f>
        <v>20190312172100793</v>
      </c>
      <c r="B370" t="str">
        <f>"1552382460781916"</f>
        <v>1552382460781916</v>
      </c>
      <c r="C370" t="s">
        <v>40</v>
      </c>
      <c r="D370">
        <v>3.1358579999999998</v>
      </c>
      <c r="E370">
        <v>0.52047849999999996</v>
      </c>
      <c r="F370" t="s">
        <v>42</v>
      </c>
      <c r="G370">
        <v>-397.40800000000002</v>
      </c>
      <c r="H370" s="1">
        <v>-1.6595040000000001E-6</v>
      </c>
      <c r="I370">
        <v>366.642</v>
      </c>
      <c r="J370">
        <v>-429.4348</v>
      </c>
      <c r="K370">
        <v>1.060373</v>
      </c>
      <c r="L370">
        <v>367.88260000000002</v>
      </c>
      <c r="M370">
        <v>0.99994499999999997</v>
      </c>
      <c r="N370">
        <v>0</v>
      </c>
      <c r="O370">
        <v>5.3368749999999996E-3</v>
      </c>
      <c r="P370">
        <v>0.98521239999999999</v>
      </c>
      <c r="Q370">
        <v>0.1706741</v>
      </c>
      <c r="R370">
        <v>1.5067870000000001E-2</v>
      </c>
      <c r="S370">
        <v>3.0643919999999998</v>
      </c>
      <c r="T370">
        <v>-0.1007267</v>
      </c>
      <c r="U370">
        <v>-0.1177063</v>
      </c>
      <c r="V370">
        <v>-9.8669069999999994E-3</v>
      </c>
      <c r="W370">
        <v>0.17956169999999999</v>
      </c>
      <c r="X370">
        <v>0.98369720000000005</v>
      </c>
      <c r="Y370">
        <v>4.368884E-2</v>
      </c>
      <c r="Z370">
        <v>-8.9289139999999996E-4</v>
      </c>
      <c r="AA370">
        <v>0.99904479999999996</v>
      </c>
      <c r="AB370">
        <v>31</v>
      </c>
      <c r="AC370">
        <v>32.026799999999902</v>
      </c>
      <c r="AD370">
        <v>-1.060374659504</v>
      </c>
      <c r="AE370">
        <v>-1.2406000000000199</v>
      </c>
      <c r="AF370">
        <v>1.4099690272641501</v>
      </c>
      <c r="AG370">
        <v>-1.060374659504</v>
      </c>
      <c r="AH370">
        <v>31.984713409419498</v>
      </c>
      <c r="AI370">
        <v>91.896964555619206</v>
      </c>
      <c r="AJ370">
        <v>87.475887775722398</v>
      </c>
      <c r="AK370">
        <v>32.033331062489601</v>
      </c>
      <c r="AL370">
        <v>79.655768574590198</v>
      </c>
      <c r="AM370">
        <v>90.5746820971153</v>
      </c>
      <c r="AN370">
        <v>0.99999997062423795</v>
      </c>
    </row>
    <row r="371" spans="1:40" x14ac:dyDescent="0.25">
      <c r="A371" t="str">
        <f>"20190312172100816"</f>
        <v>20190312172100816</v>
      </c>
      <c r="B371" t="str">
        <f>"1552382460812173"</f>
        <v>1552382460812173</v>
      </c>
      <c r="C371" t="s">
        <v>40</v>
      </c>
      <c r="D371">
        <v>3.0931570000000002</v>
      </c>
      <c r="E371">
        <v>0.52061429999999997</v>
      </c>
      <c r="F371" t="s">
        <v>42</v>
      </c>
      <c r="G371">
        <v>-397.09300000000002</v>
      </c>
      <c r="H371" s="1">
        <v>-1.7657249999999999E-6</v>
      </c>
      <c r="I371">
        <v>366.64569999999998</v>
      </c>
      <c r="J371">
        <v>-429.12349999999998</v>
      </c>
      <c r="K371">
        <v>1.0602579999999999</v>
      </c>
      <c r="L371">
        <v>367.88440000000003</v>
      </c>
      <c r="M371">
        <v>0.99994490000000003</v>
      </c>
      <c r="N371">
        <v>0</v>
      </c>
      <c r="O371">
        <v>5.4900840000000001E-3</v>
      </c>
      <c r="P371">
        <v>0.98522080000000001</v>
      </c>
      <c r="Q371">
        <v>0.17061179999999901</v>
      </c>
      <c r="R371">
        <v>1.522661E-2</v>
      </c>
      <c r="S371">
        <v>3.06427</v>
      </c>
      <c r="T371">
        <v>-0.1004665</v>
      </c>
      <c r="U371">
        <v>-0.1171875</v>
      </c>
      <c r="V371">
        <v>-9.869035E-3</v>
      </c>
      <c r="W371">
        <v>0.17942420000000001</v>
      </c>
      <c r="X371">
        <v>0.98372230000000005</v>
      </c>
      <c r="Y371">
        <v>4.3674600000000001E-2</v>
      </c>
      <c r="Z371">
        <v>-8.954112E-4</v>
      </c>
      <c r="AA371">
        <v>0.99904539999999997</v>
      </c>
      <c r="AB371">
        <v>31</v>
      </c>
      <c r="AC371">
        <v>32.030499999999897</v>
      </c>
      <c r="AD371">
        <v>-1.0602597657249999</v>
      </c>
      <c r="AE371">
        <v>-1.2387000000000501</v>
      </c>
      <c r="AF371">
        <v>1.41299258200441</v>
      </c>
      <c r="AG371">
        <v>-1.0602597657249999</v>
      </c>
      <c r="AH371">
        <v>31.9882188111613</v>
      </c>
      <c r="AI371">
        <v>91.896543976721802</v>
      </c>
      <c r="AJ371">
        <v>87.470758896839001</v>
      </c>
      <c r="AK371">
        <v>32.0369605536847</v>
      </c>
      <c r="AL371">
        <v>79.663777136746603</v>
      </c>
      <c r="AM371">
        <v>90.574791365348702</v>
      </c>
      <c r="AN371">
        <v>1.0000000024573801</v>
      </c>
    </row>
    <row r="372" spans="1:40" x14ac:dyDescent="0.25">
      <c r="A372" t="str">
        <f>"20190312172100837"</f>
        <v>20190312172100837</v>
      </c>
      <c r="B372" t="str">
        <f>"1552382460831693"</f>
        <v>1552382460831693</v>
      </c>
      <c r="C372" t="s">
        <v>40</v>
      </c>
      <c r="D372">
        <v>3.1154739999999999</v>
      </c>
      <c r="E372">
        <v>0.52957200000000004</v>
      </c>
      <c r="F372" t="s">
        <v>42</v>
      </c>
      <c r="G372">
        <v>-396.48540000000003</v>
      </c>
      <c r="H372" s="1">
        <v>-2.0185400000000001E-6</v>
      </c>
      <c r="I372">
        <v>366.63709999999998</v>
      </c>
      <c r="J372">
        <v>-428.8254</v>
      </c>
      <c r="K372">
        <v>1.060157</v>
      </c>
      <c r="L372">
        <v>367.88619999999997</v>
      </c>
      <c r="M372">
        <v>0.99994490000000003</v>
      </c>
      <c r="N372">
        <v>0</v>
      </c>
      <c r="O372">
        <v>5.618779E-3</v>
      </c>
      <c r="P372">
        <v>0.98521259999999999</v>
      </c>
      <c r="Q372">
        <v>0.17064789999999999</v>
      </c>
      <c r="R372">
        <v>1.5349659999999999E-2</v>
      </c>
      <c r="S372">
        <v>3.0640869999999998</v>
      </c>
      <c r="T372">
        <v>-9.9537490000000006E-2</v>
      </c>
      <c r="U372">
        <v>-0.1170959</v>
      </c>
      <c r="V372">
        <v>-9.8597000000000008E-3</v>
      </c>
      <c r="W372">
        <v>0.17939939999999999</v>
      </c>
      <c r="X372">
        <v>0.98372689999999996</v>
      </c>
      <c r="Y372">
        <v>4.3776019999999999E-2</v>
      </c>
      <c r="Z372">
        <v>-8.9301369999999895E-4</v>
      </c>
      <c r="AA372">
        <v>0.99904099999999996</v>
      </c>
      <c r="AB372">
        <v>31</v>
      </c>
      <c r="AC372">
        <v>32.339999999999897</v>
      </c>
      <c r="AD372">
        <v>-1.0601590185400001</v>
      </c>
      <c r="AE372">
        <v>-1.2490999999999901</v>
      </c>
      <c r="AF372">
        <v>1.42926508381369</v>
      </c>
      <c r="AG372">
        <v>-1.0601590185400001</v>
      </c>
      <c r="AH372">
        <v>32.297814024311698</v>
      </c>
      <c r="AI372">
        <v>91.878192458339896</v>
      </c>
      <c r="AJ372">
        <v>87.466160894494095</v>
      </c>
      <c r="AK372">
        <v>32.346800870772803</v>
      </c>
      <c r="AL372">
        <v>79.665221337388701</v>
      </c>
      <c r="AM372">
        <v>90.574245028566295</v>
      </c>
      <c r="AN372">
        <v>0.99999998609402996</v>
      </c>
    </row>
    <row r="373" spans="1:40" x14ac:dyDescent="0.25">
      <c r="A373" t="str">
        <f>"20190312172100849"</f>
        <v>20190312172100849</v>
      </c>
      <c r="B373" t="str">
        <f>"1552382460841453"</f>
        <v>1552382460841453</v>
      </c>
      <c r="C373" t="s">
        <v>40</v>
      </c>
      <c r="D373">
        <v>3.1429019999999999</v>
      </c>
      <c r="E373">
        <v>0.52972330000000001</v>
      </c>
      <c r="F373" t="s">
        <v>42</v>
      </c>
      <c r="G373">
        <v>-393.589</v>
      </c>
      <c r="H373" s="1">
        <v>-3.423373E-6</v>
      </c>
      <c r="I373">
        <v>365.72199999999998</v>
      </c>
      <c r="J373">
        <v>-428.66129999999998</v>
      </c>
      <c r="K373">
        <v>1.0601119999999999</v>
      </c>
      <c r="L373">
        <v>367.88720000000001</v>
      </c>
      <c r="M373">
        <v>0.99994470000000002</v>
      </c>
      <c r="N373">
        <v>0</v>
      </c>
      <c r="O373">
        <v>5.6806879999999997E-3</v>
      </c>
      <c r="P373">
        <v>0.98521590000000003</v>
      </c>
      <c r="Q373">
        <v>0.17061409999999999</v>
      </c>
      <c r="R373">
        <v>1.551722E-2</v>
      </c>
      <c r="S373">
        <v>3.063904</v>
      </c>
      <c r="T373">
        <v>-9.2183710000000002E-2</v>
      </c>
      <c r="U373">
        <v>-0.18817139999999999</v>
      </c>
      <c r="V373">
        <v>-9.9625440000000003E-3</v>
      </c>
      <c r="W373">
        <v>0.179337</v>
      </c>
      <c r="X373">
        <v>0.98373719999999998</v>
      </c>
      <c r="Y373">
        <v>6.6936570000000001E-2</v>
      </c>
      <c r="Z373">
        <v>-1.1765149999999999E-3</v>
      </c>
      <c r="AA373">
        <v>0.99775650000000005</v>
      </c>
      <c r="AB373">
        <v>31</v>
      </c>
      <c r="AC373">
        <v>35.072299999999899</v>
      </c>
      <c r="AD373">
        <v>-1.0601154233729999</v>
      </c>
      <c r="AE373">
        <v>-2.16520000000002</v>
      </c>
      <c r="AF373">
        <v>2.3622575861450099</v>
      </c>
      <c r="AG373">
        <v>-1.0601154233729999</v>
      </c>
      <c r="AH373">
        <v>35.027552483397898</v>
      </c>
      <c r="AI373">
        <v>91.7296118979488</v>
      </c>
      <c r="AJ373">
        <v>86.141815659708598</v>
      </c>
      <c r="AK373">
        <v>35.123119716098202</v>
      </c>
      <c r="AL373">
        <v>79.668855106910499</v>
      </c>
      <c r="AM373">
        <v>90.580228348862406</v>
      </c>
      <c r="AN373">
        <v>0.99999994525789404</v>
      </c>
    </row>
    <row r="374" spans="1:40" x14ac:dyDescent="0.25">
      <c r="A374" t="str">
        <f>"20190312172100860"</f>
        <v>20190312172100860</v>
      </c>
      <c r="B374" t="str">
        <f>"1552382460852189"</f>
        <v>1552382460852189</v>
      </c>
      <c r="C374" t="s">
        <v>40</v>
      </c>
      <c r="D374">
        <v>3.121445</v>
      </c>
      <c r="E374">
        <v>0.52960209999999996</v>
      </c>
      <c r="F374" t="s">
        <v>42</v>
      </c>
      <c r="G374">
        <v>-391.93770000000001</v>
      </c>
      <c r="H374" s="1">
        <v>-4.1493290000000004E-6</v>
      </c>
      <c r="I374">
        <v>365.62329999999997</v>
      </c>
      <c r="J374">
        <v>-428.49400000000003</v>
      </c>
      <c r="K374">
        <v>1.060073</v>
      </c>
      <c r="L374">
        <v>367.88819999999998</v>
      </c>
      <c r="M374">
        <v>0.99994459999999996</v>
      </c>
      <c r="N374">
        <v>0</v>
      </c>
      <c r="O374">
        <v>5.7404429999999996E-3</v>
      </c>
      <c r="P374">
        <v>0.98520410000000003</v>
      </c>
      <c r="Q374">
        <v>0.1706744</v>
      </c>
      <c r="R374">
        <v>1.559632E-2</v>
      </c>
      <c r="S374">
        <v>3.0632929999999998</v>
      </c>
      <c r="T374">
        <v>-8.8429090000000002E-2</v>
      </c>
      <c r="U374">
        <v>-0.18884280000000001</v>
      </c>
      <c r="V374">
        <v>-9.9793680000000006E-3</v>
      </c>
      <c r="W374">
        <v>0.17937030000000001</v>
      </c>
      <c r="X374">
        <v>0.98373100000000002</v>
      </c>
      <c r="Y374">
        <v>6.7228670000000004E-2</v>
      </c>
      <c r="Z374">
        <v>-1.1347670000000001E-3</v>
      </c>
      <c r="AA374">
        <v>0.99773690000000004</v>
      </c>
      <c r="AB374">
        <v>31</v>
      </c>
      <c r="AC374">
        <v>36.5563</v>
      </c>
      <c r="AD374">
        <v>-1.060077149329</v>
      </c>
      <c r="AE374">
        <v>-2.2649000000000101</v>
      </c>
      <c r="AF374">
        <v>2.4726488754548499</v>
      </c>
      <c r="AG374">
        <v>-1.060077149329</v>
      </c>
      <c r="AH374">
        <v>36.512109540264603</v>
      </c>
      <c r="AI374">
        <v>91.659235962967401</v>
      </c>
      <c r="AJ374">
        <v>86.125768620054998</v>
      </c>
      <c r="AK374">
        <v>36.611089837699403</v>
      </c>
      <c r="AL374">
        <v>79.666916138474093</v>
      </c>
      <c r="AM374">
        <v>90.581211790822806</v>
      </c>
      <c r="AN374">
        <v>0.99999998633438403</v>
      </c>
    </row>
    <row r="375" spans="1:40" x14ac:dyDescent="0.25">
      <c r="A375" t="str">
        <f>"20190312172100871"</f>
        <v>20190312172100871</v>
      </c>
      <c r="B375" t="str">
        <f>"1552382460861949"</f>
        <v>1552382460861949</v>
      </c>
      <c r="C375" t="s">
        <v>40</v>
      </c>
      <c r="D375">
        <v>3.115551</v>
      </c>
      <c r="E375">
        <v>0.52935810000000005</v>
      </c>
      <c r="F375" t="s">
        <v>42</v>
      </c>
      <c r="G375">
        <v>-391.80889999999999</v>
      </c>
      <c r="H375" s="1">
        <v>-4.2015789999999998E-6</v>
      </c>
      <c r="I375">
        <v>365.64010000000002</v>
      </c>
      <c r="J375">
        <v>-428.33949999999999</v>
      </c>
      <c r="K375">
        <v>1.0600369999999999</v>
      </c>
      <c r="L375">
        <v>367.88909999999998</v>
      </c>
      <c r="M375">
        <v>0.99994439999999996</v>
      </c>
      <c r="N375">
        <v>0</v>
      </c>
      <c r="O375">
        <v>5.787001E-3</v>
      </c>
      <c r="P375">
        <v>0.98519330000000005</v>
      </c>
      <c r="Q375">
        <v>0.17074600000000001</v>
      </c>
      <c r="R375">
        <v>1.549765E-2</v>
      </c>
      <c r="S375">
        <v>3.0633539999999999</v>
      </c>
      <c r="T375">
        <v>-8.8520589999999996E-2</v>
      </c>
      <c r="U375">
        <v>-0.18771360000000001</v>
      </c>
      <c r="V375">
        <v>-9.8315179999999992E-3</v>
      </c>
      <c r="W375">
        <v>0.17942</v>
      </c>
      <c r="X375">
        <v>0.98372349999999997</v>
      </c>
      <c r="Y375">
        <v>6.690757E-2</v>
      </c>
      <c r="Z375">
        <v>-1.132641E-3</v>
      </c>
      <c r="AA375">
        <v>0.99775849999999999</v>
      </c>
      <c r="AB375">
        <v>31</v>
      </c>
      <c r="AC375">
        <v>36.5305999999999</v>
      </c>
      <c r="AD375">
        <v>-1.0600412015789999</v>
      </c>
      <c r="AE375">
        <v>-2.2489999999999601</v>
      </c>
      <c r="AF375">
        <v>2.4583109948858799</v>
      </c>
      <c r="AG375">
        <v>-1.0600412015789999</v>
      </c>
      <c r="AH375">
        <v>36.486365870009102</v>
      </c>
      <c r="AI375">
        <v>91.660388257518505</v>
      </c>
      <c r="AJ375">
        <v>86.145456335333506</v>
      </c>
      <c r="AK375">
        <v>36.584448536185199</v>
      </c>
      <c r="AL375">
        <v>79.664022347732995</v>
      </c>
      <c r="AM375">
        <v>90.572605751242904</v>
      </c>
      <c r="AN375">
        <v>1.00000005979921</v>
      </c>
    </row>
    <row r="376" spans="1:40" x14ac:dyDescent="0.25">
      <c r="A376" t="str">
        <f>"20190312172100884"</f>
        <v>20190312172100884</v>
      </c>
      <c r="B376" t="str">
        <f>"1552382460881469"</f>
        <v>1552382460881469</v>
      </c>
      <c r="C376" t="s">
        <v>40</v>
      </c>
      <c r="D376">
        <v>3.1681499999999998</v>
      </c>
      <c r="E376">
        <v>0.52950520000000001</v>
      </c>
      <c r="F376" t="s">
        <v>42</v>
      </c>
      <c r="G376">
        <v>-391.53140000000002</v>
      </c>
      <c r="H376" s="1">
        <v>-4.3189890000000004E-6</v>
      </c>
      <c r="I376">
        <v>365.64929999999998</v>
      </c>
      <c r="J376">
        <v>-428.17320000000001</v>
      </c>
      <c r="K376">
        <v>1.0599989999999999</v>
      </c>
      <c r="L376">
        <v>367.89010000000002</v>
      </c>
      <c r="M376">
        <v>0.99994430000000001</v>
      </c>
      <c r="N376">
        <v>0</v>
      </c>
      <c r="O376">
        <v>5.8331950000000002E-3</v>
      </c>
      <c r="P376">
        <v>0.98515330000000001</v>
      </c>
      <c r="Q376">
        <v>0.1709685</v>
      </c>
      <c r="R376">
        <v>1.5571079999999999E-2</v>
      </c>
      <c r="S376">
        <v>3.0633240000000002</v>
      </c>
      <c r="T376">
        <v>-8.822083E-2</v>
      </c>
      <c r="U376">
        <v>-0.18640139999999999</v>
      </c>
      <c r="V376">
        <v>-9.8550719999999994E-3</v>
      </c>
      <c r="W376">
        <v>0.1796208</v>
      </c>
      <c r="X376">
        <v>0.98368659999999997</v>
      </c>
      <c r="Y376">
        <v>6.6528770000000001E-2</v>
      </c>
      <c r="Z376">
        <v>-1.124714E-3</v>
      </c>
      <c r="AA376">
        <v>0.99778389999999995</v>
      </c>
      <c r="AB376">
        <v>31</v>
      </c>
      <c r="AC376">
        <v>36.641799999999897</v>
      </c>
      <c r="AD376">
        <v>-1.0600033189889999</v>
      </c>
      <c r="AE376">
        <v>-2.2408000000000299</v>
      </c>
      <c r="AF376">
        <v>2.4524641473298501</v>
      </c>
      <c r="AG376">
        <v>-1.0600033189889999</v>
      </c>
      <c r="AH376">
        <v>36.597591515555102</v>
      </c>
      <c r="AI376">
        <v>91.655326113309798</v>
      </c>
      <c r="AJ376">
        <v>86.166248307408694</v>
      </c>
      <c r="AK376">
        <v>36.6949845642377</v>
      </c>
      <c r="AL376">
        <v>79.652327161531105</v>
      </c>
      <c r="AM376">
        <v>90.573999017572305</v>
      </c>
      <c r="AN376">
        <v>1.0000000406281599</v>
      </c>
    </row>
    <row r="377" spans="1:40" x14ac:dyDescent="0.25">
      <c r="A377" t="str">
        <f>"20190312172100903"</f>
        <v>20190312172100903</v>
      </c>
      <c r="B377" t="str">
        <f>"1552382460892205"</f>
        <v>1552382460892205</v>
      </c>
      <c r="C377" t="s">
        <v>40</v>
      </c>
      <c r="D377">
        <v>3.123793</v>
      </c>
      <c r="E377">
        <v>0.52981060000000002</v>
      </c>
      <c r="F377" t="s">
        <v>42</v>
      </c>
      <c r="G377">
        <v>-390.82150000000001</v>
      </c>
      <c r="H377" s="1">
        <v>-4.6304590000000003E-6</v>
      </c>
      <c r="I377">
        <v>365.61009999999999</v>
      </c>
      <c r="J377">
        <v>-427.90839999999997</v>
      </c>
      <c r="K377">
        <v>1.0599479999999999</v>
      </c>
      <c r="L377">
        <v>367.89179999999999</v>
      </c>
      <c r="M377">
        <v>0.99994439999999996</v>
      </c>
      <c r="N377">
        <v>0</v>
      </c>
      <c r="O377">
        <v>5.8925389999999996E-3</v>
      </c>
      <c r="P377">
        <v>0.98513309999999998</v>
      </c>
      <c r="Q377">
        <v>0.17112559999999999</v>
      </c>
      <c r="R377">
        <v>1.513143E-2</v>
      </c>
      <c r="S377">
        <v>3.0632929999999998</v>
      </c>
      <c r="T377">
        <v>-8.6933079999999996E-2</v>
      </c>
      <c r="U377">
        <v>-0.18698119999999999</v>
      </c>
      <c r="V377">
        <v>-9.3510840000000008E-3</v>
      </c>
      <c r="W377">
        <v>0.17974789999999999</v>
      </c>
      <c r="X377">
        <v>0.98366830000000005</v>
      </c>
      <c r="Y377">
        <v>6.6777500000000004E-2</v>
      </c>
      <c r="Z377">
        <v>-1.113515E-3</v>
      </c>
      <c r="AA377">
        <v>0.99776730000000002</v>
      </c>
      <c r="AB377">
        <v>31</v>
      </c>
      <c r="AC377">
        <v>37.086899999999901</v>
      </c>
      <c r="AD377">
        <v>-1.0599526304589999</v>
      </c>
      <c r="AE377">
        <v>-2.2816999999999998</v>
      </c>
      <c r="AF377">
        <v>2.4981718575462599</v>
      </c>
      <c r="AG377">
        <v>-1.0599526304589999</v>
      </c>
      <c r="AH377">
        <v>37.042667081133402</v>
      </c>
      <c r="AI377">
        <v>91.635322820239097</v>
      </c>
      <c r="AJ377">
        <v>86.141792602349</v>
      </c>
      <c r="AK377">
        <v>37.141937842448897</v>
      </c>
      <c r="AL377">
        <v>79.644924348936001</v>
      </c>
      <c r="AM377">
        <v>90.544656677920699</v>
      </c>
      <c r="AN377">
        <v>1.0000000373756299</v>
      </c>
    </row>
    <row r="378" spans="1:40" x14ac:dyDescent="0.25">
      <c r="A378" t="str">
        <f>"20190312172100916"</f>
        <v>20190312172100916</v>
      </c>
      <c r="B378" t="str">
        <f>"1552382460911726"</f>
        <v>1552382460911726</v>
      </c>
      <c r="C378" t="s">
        <v>40</v>
      </c>
      <c r="D378">
        <v>3.13578</v>
      </c>
      <c r="E378">
        <v>0.52985700000000002</v>
      </c>
      <c r="F378" t="s">
        <v>42</v>
      </c>
      <c r="G378">
        <v>-391.14069999999998</v>
      </c>
      <c r="H378" s="1">
        <v>-4.4948120000000001E-6</v>
      </c>
      <c r="I378">
        <v>365.60289999999998</v>
      </c>
      <c r="J378">
        <v>-427.72890000000001</v>
      </c>
      <c r="K378">
        <v>1.0599160000000001</v>
      </c>
      <c r="L378">
        <v>367.8929</v>
      </c>
      <c r="M378">
        <v>0.99994430000000001</v>
      </c>
      <c r="N378">
        <v>0</v>
      </c>
      <c r="O378">
        <v>5.922905E-3</v>
      </c>
      <c r="P378">
        <v>0.9851316</v>
      </c>
      <c r="Q378">
        <v>0.1711415</v>
      </c>
      <c r="R378">
        <v>1.5054329999999999E-2</v>
      </c>
      <c r="S378">
        <v>3.063507</v>
      </c>
      <c r="T378">
        <v>-8.8315900000000003E-2</v>
      </c>
      <c r="U378">
        <v>-0.19070429999999999</v>
      </c>
      <c r="V378">
        <v>-9.2394499999999997E-3</v>
      </c>
      <c r="W378">
        <v>0.17974699999999999</v>
      </c>
      <c r="X378">
        <v>0.98366949999999997</v>
      </c>
      <c r="Y378">
        <v>6.8010070000000006E-2</v>
      </c>
      <c r="Z378">
        <v>-1.1497199999999999E-3</v>
      </c>
      <c r="AA378">
        <v>0.99768400000000002</v>
      </c>
      <c r="AB378">
        <v>31</v>
      </c>
      <c r="AC378">
        <v>36.588200000000001</v>
      </c>
      <c r="AD378">
        <v>-1.059920494812</v>
      </c>
      <c r="AE378">
        <v>-2.29000000000002</v>
      </c>
      <c r="AF378">
        <v>2.5045828916811899</v>
      </c>
      <c r="AG378">
        <v>-1.059920494812</v>
      </c>
      <c r="AH378">
        <v>36.543446677066299</v>
      </c>
      <c r="AI378">
        <v>91.657477414734103</v>
      </c>
      <c r="AJ378">
        <v>86.079243180096995</v>
      </c>
      <c r="AK378">
        <v>36.644506572693999</v>
      </c>
      <c r="AL378">
        <v>79.644976569598498</v>
      </c>
      <c r="AM378">
        <v>90.538154250529701</v>
      </c>
      <c r="AN378">
        <v>1.00000001833777</v>
      </c>
    </row>
    <row r="379" spans="1:40" x14ac:dyDescent="0.25">
      <c r="A379" t="str">
        <f>"20190312172100930"</f>
        <v>20190312172100930</v>
      </c>
      <c r="B379" t="str">
        <f>"1552382460921485"</f>
        <v>1552382460921485</v>
      </c>
      <c r="C379" t="s">
        <v>40</v>
      </c>
      <c r="D379">
        <v>3.119847</v>
      </c>
      <c r="E379">
        <v>0.53006149999999996</v>
      </c>
      <c r="F379" t="s">
        <v>42</v>
      </c>
      <c r="G379">
        <v>-391.43990000000002</v>
      </c>
      <c r="H379" s="1">
        <v>-4.3620020000000004E-6</v>
      </c>
      <c r="I379">
        <v>365.62819999999999</v>
      </c>
      <c r="J379">
        <v>-427.54390000000001</v>
      </c>
      <c r="K379">
        <v>1.059882</v>
      </c>
      <c r="L379">
        <v>367.89400000000001</v>
      </c>
      <c r="M379">
        <v>0.99994439999999996</v>
      </c>
      <c r="N379">
        <v>0</v>
      </c>
      <c r="O379">
        <v>5.9464089999999997E-3</v>
      </c>
      <c r="P379">
        <v>0.98510500000000001</v>
      </c>
      <c r="Q379">
        <v>0.17131640000000001</v>
      </c>
      <c r="R379">
        <v>1.4803210000000001E-2</v>
      </c>
      <c r="S379">
        <v>3.0637509999999999</v>
      </c>
      <c r="T379">
        <v>-8.9485049999999997E-2</v>
      </c>
      <c r="U379">
        <v>-0.19119259999999999</v>
      </c>
      <c r="V379">
        <v>-8.9610369999999998E-3</v>
      </c>
      <c r="W379">
        <v>0.17990639999999999</v>
      </c>
      <c r="X379">
        <v>0.98364289999999999</v>
      </c>
      <c r="Y379">
        <v>6.8186079999999996E-2</v>
      </c>
      <c r="Z379">
        <v>-1.1680880000000001E-3</v>
      </c>
      <c r="AA379">
        <v>0.997672</v>
      </c>
      <c r="AB379">
        <v>31</v>
      </c>
      <c r="AC379">
        <v>36.1039999999999</v>
      </c>
      <c r="AD379">
        <v>-1.059886362002</v>
      </c>
      <c r="AE379">
        <v>-2.2658000000000098</v>
      </c>
      <c r="AF379">
        <v>2.4783297763557202</v>
      </c>
      <c r="AG379">
        <v>-1.059886362002</v>
      </c>
      <c r="AH379">
        <v>36.058933963719397</v>
      </c>
      <c r="AI379">
        <v>91.679659573317295</v>
      </c>
      <c r="AJ379">
        <v>86.068245448127797</v>
      </c>
      <c r="AK379">
        <v>36.159538107954297</v>
      </c>
      <c r="AL379">
        <v>79.635691911170099</v>
      </c>
      <c r="AM379">
        <v>90.521953035166604</v>
      </c>
      <c r="AN379">
        <v>0.99999998383274202</v>
      </c>
    </row>
    <row r="380" spans="1:40" x14ac:dyDescent="0.25">
      <c r="A380" t="str">
        <f>"20190312172100950"</f>
        <v>20190312172100950</v>
      </c>
      <c r="B380" t="str">
        <f>"1552382460941980"</f>
        <v>1552382460941980</v>
      </c>
      <c r="C380" t="s">
        <v>40</v>
      </c>
      <c r="D380">
        <v>3.1653660000000001</v>
      </c>
      <c r="E380">
        <v>0.53020080000000003</v>
      </c>
      <c r="F380" t="s">
        <v>42</v>
      </c>
      <c r="G380">
        <v>-391.6687</v>
      </c>
      <c r="H380" s="1">
        <v>-4.26296999999999E-6</v>
      </c>
      <c r="I380">
        <v>365.63310000000001</v>
      </c>
      <c r="J380">
        <v>-427.25740000000002</v>
      </c>
      <c r="K380">
        <v>1.0598399999999999</v>
      </c>
      <c r="L380">
        <v>367.89569999999998</v>
      </c>
      <c r="M380">
        <v>0.99994430000000001</v>
      </c>
      <c r="N380">
        <v>0</v>
      </c>
      <c r="O380">
        <v>5.9723939999999998E-3</v>
      </c>
      <c r="P380">
        <v>0.98514539999999995</v>
      </c>
      <c r="Q380">
        <v>0.17110929999999999</v>
      </c>
      <c r="R380">
        <v>1.449901E-2</v>
      </c>
      <c r="S380">
        <v>3.0639949999999998</v>
      </c>
      <c r="T380">
        <v>-9.0521340000000006E-2</v>
      </c>
      <c r="U380">
        <v>-0.1930847</v>
      </c>
      <c r="V380">
        <v>-8.6250990000000007E-3</v>
      </c>
      <c r="W380">
        <v>0.1796808</v>
      </c>
      <c r="X380">
        <v>0.98368719999999998</v>
      </c>
      <c r="Y380">
        <v>6.8819720000000001E-2</v>
      </c>
      <c r="Z380">
        <v>-1.191608E-3</v>
      </c>
      <c r="AA380">
        <v>0.99762839999999997</v>
      </c>
      <c r="AB380">
        <v>31</v>
      </c>
      <c r="AC380">
        <v>35.588700000000003</v>
      </c>
      <c r="AD380">
        <v>-1.05984426296999</v>
      </c>
      <c r="AE380">
        <v>-2.26259999999996</v>
      </c>
      <c r="AF380">
        <v>2.4729330897851902</v>
      </c>
      <c r="AG380">
        <v>-1.05984426296999</v>
      </c>
      <c r="AH380">
        <v>35.5431563273359</v>
      </c>
      <c r="AI380">
        <v>91.7038526209965</v>
      </c>
      <c r="AJ380">
        <v>86.020030887321894</v>
      </c>
      <c r="AK380">
        <v>35.644840154470401</v>
      </c>
      <c r="AL380">
        <v>79.648832603284305</v>
      </c>
      <c r="AM380">
        <v>90.502364071539105</v>
      </c>
      <c r="AN380">
        <v>1.0000000448326101</v>
      </c>
    </row>
    <row r="381" spans="1:40" x14ac:dyDescent="0.25">
      <c r="A381" t="str">
        <f>"20190312172100964"</f>
        <v>20190312172100964</v>
      </c>
      <c r="B381" t="str">
        <f>"1552382460961501"</f>
        <v>1552382460961501</v>
      </c>
      <c r="C381" t="s">
        <v>40</v>
      </c>
      <c r="D381">
        <v>3.148809</v>
      </c>
      <c r="E381">
        <v>0.53009669999999998</v>
      </c>
      <c r="F381" t="s">
        <v>42</v>
      </c>
      <c r="G381">
        <v>-392.0145</v>
      </c>
      <c r="H381" s="1">
        <v>-4.1119060000000001E-6</v>
      </c>
      <c r="I381">
        <v>365.64839999999998</v>
      </c>
      <c r="J381">
        <v>-427.06319999999999</v>
      </c>
      <c r="K381">
        <v>1.059815</v>
      </c>
      <c r="L381">
        <v>367.89690000000002</v>
      </c>
      <c r="M381">
        <v>0.99994430000000001</v>
      </c>
      <c r="N381">
        <v>0</v>
      </c>
      <c r="O381">
        <v>5.9841570000000004E-3</v>
      </c>
      <c r="P381">
        <v>0.98514420000000003</v>
      </c>
      <c r="Q381">
        <v>0.17110829999999999</v>
      </c>
      <c r="R381">
        <v>1.4587350000000001E-2</v>
      </c>
      <c r="S381">
        <v>3.0641479999999999</v>
      </c>
      <c r="T381">
        <v>-9.2146279999999997E-2</v>
      </c>
      <c r="U381">
        <v>-0.19537350000000001</v>
      </c>
      <c r="V381">
        <v>-8.6978209999999997E-3</v>
      </c>
      <c r="W381">
        <v>0.1796691</v>
      </c>
      <c r="X381">
        <v>0.98368869999999997</v>
      </c>
      <c r="Y381">
        <v>6.9569010000000001E-2</v>
      </c>
      <c r="Z381">
        <v>-1.2245069999999999E-3</v>
      </c>
      <c r="AA381">
        <v>0.99757640000000003</v>
      </c>
      <c r="AB381">
        <v>31</v>
      </c>
      <c r="AC381">
        <v>35.048699999999997</v>
      </c>
      <c r="AD381">
        <v>-1.0598191119060001</v>
      </c>
      <c r="AE381">
        <v>-2.2485000000000301</v>
      </c>
      <c r="AF381">
        <v>2.4559681404423999</v>
      </c>
      <c r="AG381">
        <v>-1.0598191119060001</v>
      </c>
      <c r="AH381">
        <v>35.0027424078921</v>
      </c>
      <c r="AI381">
        <v>91.730030950697099</v>
      </c>
      <c r="AJ381">
        <v>85.986418289841495</v>
      </c>
      <c r="AK381">
        <v>35.104799844609197</v>
      </c>
      <c r="AL381">
        <v>79.649514087404896</v>
      </c>
      <c r="AM381">
        <v>90.506598731502294</v>
      </c>
      <c r="AN381">
        <v>1.00000004804632</v>
      </c>
    </row>
    <row r="382" spans="1:40" x14ac:dyDescent="0.25">
      <c r="A382" t="str">
        <f>"20190312172100977"</f>
        <v>20190312172100977</v>
      </c>
      <c r="B382" t="str">
        <f>"1552382460972237"</f>
        <v>1552382460972237</v>
      </c>
      <c r="C382" t="s">
        <v>40</v>
      </c>
      <c r="D382">
        <v>3.1647439999999998</v>
      </c>
      <c r="E382">
        <v>0.53009689999999998</v>
      </c>
      <c r="F382" t="s">
        <v>42</v>
      </c>
      <c r="G382">
        <v>-392.07119999999998</v>
      </c>
      <c r="H382" s="1">
        <v>-4.0824549999999997E-6</v>
      </c>
      <c r="I382">
        <v>365.67720000000003</v>
      </c>
      <c r="J382">
        <v>-426.88600000000002</v>
      </c>
      <c r="K382">
        <v>1.059795</v>
      </c>
      <c r="L382">
        <v>367.89789999999999</v>
      </c>
      <c r="M382">
        <v>0.99994439999999996</v>
      </c>
      <c r="N382">
        <v>0</v>
      </c>
      <c r="O382">
        <v>5.9913400000000004E-3</v>
      </c>
      <c r="P382">
        <v>0.98516420000000005</v>
      </c>
      <c r="Q382">
        <v>0.17099149999999999</v>
      </c>
      <c r="R382">
        <v>1.461206E-2</v>
      </c>
      <c r="S382">
        <v>3.064209</v>
      </c>
      <c r="T382">
        <v>-9.2806879999999994E-2</v>
      </c>
      <c r="U382">
        <v>-0.1943665</v>
      </c>
      <c r="V382">
        <v>-8.7130319999999904E-3</v>
      </c>
      <c r="W382">
        <v>0.17954479999999901</v>
      </c>
      <c r="X382">
        <v>0.98371120000000001</v>
      </c>
      <c r="Y382">
        <v>6.9248019999999993E-2</v>
      </c>
      <c r="Z382">
        <v>-1.2286319999999999E-3</v>
      </c>
      <c r="AA382">
        <v>0.99759869999999995</v>
      </c>
      <c r="AB382">
        <v>31</v>
      </c>
      <c r="AC382">
        <v>34.814799999999899</v>
      </c>
      <c r="AD382">
        <v>-1.0597990824549901</v>
      </c>
      <c r="AE382">
        <v>-2.2206999999999599</v>
      </c>
      <c r="AF382">
        <v>2.4270153982640399</v>
      </c>
      <c r="AG382">
        <v>-1.0597990824549901</v>
      </c>
      <c r="AH382">
        <v>34.768781421194099</v>
      </c>
      <c r="AI382">
        <v>91.7416760893516</v>
      </c>
      <c r="AJ382">
        <v>86.006977204122506</v>
      </c>
      <c r="AK382">
        <v>34.869495828780799</v>
      </c>
      <c r="AL382">
        <v>79.656753057463405</v>
      </c>
      <c r="AM382">
        <v>90.507473032797805</v>
      </c>
      <c r="AN382">
        <v>0.99999998856955596</v>
      </c>
    </row>
    <row r="383" spans="1:40" x14ac:dyDescent="0.25">
      <c r="A383" t="str">
        <f>"20190312172100994"</f>
        <v>20190312172100994</v>
      </c>
      <c r="B383" t="str">
        <f>"1552382460991757"</f>
        <v>1552382460991757</v>
      </c>
      <c r="C383" t="s">
        <v>40</v>
      </c>
      <c r="D383">
        <v>3.1240760000000001</v>
      </c>
      <c r="E383">
        <v>0.53020100000000003</v>
      </c>
      <c r="F383" t="s">
        <v>42</v>
      </c>
      <c r="G383">
        <v>-392.03730000000002</v>
      </c>
      <c r="H383" s="1">
        <v>-4.0950279999999997E-6</v>
      </c>
      <c r="I383">
        <v>365.6884</v>
      </c>
      <c r="J383">
        <v>-426.64280000000002</v>
      </c>
      <c r="K383">
        <v>1.059771</v>
      </c>
      <c r="L383">
        <v>367.89940000000001</v>
      </c>
      <c r="M383">
        <v>0.99994439999999996</v>
      </c>
      <c r="N383">
        <v>0</v>
      </c>
      <c r="O383">
        <v>5.9970369999999898E-3</v>
      </c>
      <c r="P383">
        <v>0.98515070000000005</v>
      </c>
      <c r="Q383">
        <v>0.17109489999999999</v>
      </c>
      <c r="R383">
        <v>1.431525E-2</v>
      </c>
      <c r="S383">
        <v>3.0642399999999999</v>
      </c>
      <c r="T383">
        <v>-9.3187510000000001E-2</v>
      </c>
      <c r="U383">
        <v>-0.1942749</v>
      </c>
      <c r="V383">
        <v>-8.4079889999999994E-3</v>
      </c>
      <c r="W383">
        <v>0.17963950000000001</v>
      </c>
      <c r="X383">
        <v>0.98369660000000003</v>
      </c>
      <c r="Y383">
        <v>6.9223119999999999E-2</v>
      </c>
      <c r="Z383">
        <v>-1.2334519999999999E-3</v>
      </c>
      <c r="AA383">
        <v>0.99760040000000005</v>
      </c>
      <c r="AB383">
        <v>31</v>
      </c>
      <c r="AC383">
        <v>34.605499999999999</v>
      </c>
      <c r="AD383">
        <v>-1.059775095028</v>
      </c>
      <c r="AE383">
        <v>-2.2110000000000101</v>
      </c>
      <c r="AF383">
        <v>2.4162416297588099</v>
      </c>
      <c r="AG383">
        <v>-1.059775095028</v>
      </c>
      <c r="AH383">
        <v>34.559337730366401</v>
      </c>
      <c r="AI383">
        <v>91.752171613066295</v>
      </c>
      <c r="AJ383">
        <v>86.000631357853393</v>
      </c>
      <c r="AK383">
        <v>34.659907259352998</v>
      </c>
      <c r="AL383">
        <v>79.651237825476599</v>
      </c>
      <c r="AM383">
        <v>90.489714565299295</v>
      </c>
      <c r="AN383">
        <v>1.00000002254541</v>
      </c>
    </row>
    <row r="384" spans="1:40" x14ac:dyDescent="0.25">
      <c r="A384" t="str">
        <f>"20190312172101007"</f>
        <v>20190312172101007</v>
      </c>
      <c r="B384" t="str">
        <f>"1552382461001517"</f>
        <v>1552382461001517</v>
      </c>
      <c r="C384" t="s">
        <v>40</v>
      </c>
      <c r="D384">
        <v>3.2103449999999998</v>
      </c>
      <c r="E384">
        <v>0.53019329999999998</v>
      </c>
      <c r="F384" t="s">
        <v>42</v>
      </c>
      <c r="G384">
        <v>-392.00990000000002</v>
      </c>
      <c r="H384" s="1">
        <v>-4.1062450000000004E-6</v>
      </c>
      <c r="I384">
        <v>365.69150000000002</v>
      </c>
      <c r="J384">
        <v>-426.471</v>
      </c>
      <c r="K384">
        <v>1.0597559999999999</v>
      </c>
      <c r="L384">
        <v>367.90039999999999</v>
      </c>
      <c r="M384">
        <v>0.99994439999999996</v>
      </c>
      <c r="N384">
        <v>0</v>
      </c>
      <c r="O384">
        <v>5.9988730000000001E-3</v>
      </c>
      <c r="P384">
        <v>0.98516459999999995</v>
      </c>
      <c r="Q384">
        <v>0.17102020000000001</v>
      </c>
      <c r="R384">
        <v>1.425503E-2</v>
      </c>
      <c r="S384">
        <v>3.0643310000000001</v>
      </c>
      <c r="T384">
        <v>-9.3768840000000006E-2</v>
      </c>
      <c r="U384">
        <v>-0.19534299999999999</v>
      </c>
      <c r="V384">
        <v>-8.3447869999999993E-3</v>
      </c>
      <c r="W384">
        <v>0.17956069999999999</v>
      </c>
      <c r="X384">
        <v>0.98371149999999996</v>
      </c>
      <c r="Y384">
        <v>6.9568779999999997E-2</v>
      </c>
      <c r="Z384">
        <v>-1.2464310000000001E-3</v>
      </c>
      <c r="AA384">
        <v>0.99757640000000003</v>
      </c>
      <c r="AB384">
        <v>31</v>
      </c>
      <c r="AC384">
        <v>34.461099999999902</v>
      </c>
      <c r="AD384">
        <v>-1.0597601062449999</v>
      </c>
      <c r="AE384">
        <v>-2.2088999999999701</v>
      </c>
      <c r="AF384">
        <v>2.4133228292390698</v>
      </c>
      <c r="AG384">
        <v>-1.0597601062449999</v>
      </c>
      <c r="AH384">
        <v>34.414815293801098</v>
      </c>
      <c r="AI384">
        <v>91.759474659115796</v>
      </c>
      <c r="AJ384">
        <v>85.988726733337302</v>
      </c>
      <c r="AK384">
        <v>34.515601258957702</v>
      </c>
      <c r="AL384">
        <v>79.655827101656001</v>
      </c>
      <c r="AM384">
        <v>90.486026246412607</v>
      </c>
      <c r="AN384">
        <v>0.99999999784340698</v>
      </c>
    </row>
    <row r="385" spans="1:40" x14ac:dyDescent="0.25">
      <c r="A385" t="str">
        <f>"20190312172101020"</f>
        <v>20190312172101020</v>
      </c>
      <c r="B385" t="str">
        <f>"1552382461011277"</f>
        <v>1552382461011277</v>
      </c>
      <c r="C385" t="s">
        <v>40</v>
      </c>
      <c r="D385">
        <v>3.1329479999999998</v>
      </c>
      <c r="E385">
        <v>0.53021629999999997</v>
      </c>
      <c r="F385" t="s">
        <v>42</v>
      </c>
      <c r="G385">
        <v>-392.1112</v>
      </c>
      <c r="H385" s="1">
        <v>-4.0593049999999998E-6</v>
      </c>
      <c r="I385">
        <v>365.71100000000001</v>
      </c>
      <c r="J385">
        <v>-426.2756</v>
      </c>
      <c r="K385">
        <v>1.059742</v>
      </c>
      <c r="L385">
        <v>367.90159999999997</v>
      </c>
      <c r="M385">
        <v>0.99994439999999996</v>
      </c>
      <c r="N385">
        <v>0</v>
      </c>
      <c r="O385">
        <v>5.9991619999999997E-3</v>
      </c>
      <c r="P385">
        <v>0.98519939999999995</v>
      </c>
      <c r="Q385">
        <v>0.1708267</v>
      </c>
      <c r="R385">
        <v>1.415753E-2</v>
      </c>
      <c r="S385">
        <v>3.0643919999999998</v>
      </c>
      <c r="T385">
        <v>-9.4514849999999997E-2</v>
      </c>
      <c r="U385">
        <v>-0.19525149999999999</v>
      </c>
      <c r="V385">
        <v>-8.2456460000000006E-3</v>
      </c>
      <c r="W385">
        <v>0.17936369999999999</v>
      </c>
      <c r="X385">
        <v>0.98374830000000002</v>
      </c>
      <c r="Y385">
        <v>6.9537589999999996E-2</v>
      </c>
      <c r="Z385">
        <v>-1.255847E-3</v>
      </c>
      <c r="AA385">
        <v>0.99757859999999998</v>
      </c>
      <c r="AB385">
        <v>31</v>
      </c>
      <c r="AC385">
        <v>34.164400000000001</v>
      </c>
      <c r="AD385">
        <v>-1.0597460593050001</v>
      </c>
      <c r="AE385">
        <v>-2.1905999999999599</v>
      </c>
      <c r="AF385">
        <v>2.3932327639740301</v>
      </c>
      <c r="AG385">
        <v>-1.0597460593050001</v>
      </c>
      <c r="AH385">
        <v>34.117949727439701</v>
      </c>
      <c r="AI385">
        <v>91.7747482231958</v>
      </c>
      <c r="AJ385">
        <v>85.987511001072903</v>
      </c>
      <c r="AK385">
        <v>34.218198643074103</v>
      </c>
      <c r="AL385">
        <v>79.667300903912306</v>
      </c>
      <c r="AM385">
        <v>90.480234275114398</v>
      </c>
      <c r="AN385">
        <v>1.00000002265426</v>
      </c>
    </row>
    <row r="386" spans="1:40" x14ac:dyDescent="0.25">
      <c r="A386" t="str">
        <f>"20190312172101038"</f>
        <v>20190312172101038</v>
      </c>
      <c r="B386" t="str">
        <f>"1552382461031773"</f>
        <v>1552382461031773</v>
      </c>
      <c r="C386" t="s">
        <v>40</v>
      </c>
      <c r="D386">
        <v>3.1391200000000001</v>
      </c>
      <c r="E386">
        <v>0.53027309999999905</v>
      </c>
      <c r="F386" t="s">
        <v>42</v>
      </c>
      <c r="G386">
        <v>-392.11529999999999</v>
      </c>
      <c r="H386" s="1">
        <v>-4.0557580000000003E-6</v>
      </c>
      <c r="I386">
        <v>365.72109999999998</v>
      </c>
      <c r="J386">
        <v>-426.00839999999999</v>
      </c>
      <c r="K386">
        <v>1.0597259999999999</v>
      </c>
      <c r="L386">
        <v>367.90320000000003</v>
      </c>
      <c r="M386">
        <v>0.99994459999999996</v>
      </c>
      <c r="N386">
        <v>0</v>
      </c>
      <c r="O386">
        <v>5.9957989999999996E-3</v>
      </c>
      <c r="P386">
        <v>0.98531089999999999</v>
      </c>
      <c r="Q386">
        <v>0.17019799999999999</v>
      </c>
      <c r="R386">
        <v>1.397376E-2</v>
      </c>
      <c r="S386">
        <v>3.064362</v>
      </c>
      <c r="T386">
        <v>-9.5064640000000006E-2</v>
      </c>
      <c r="U386">
        <v>-0.19558719999999999</v>
      </c>
      <c r="V386">
        <v>-8.0627040000000004E-3</v>
      </c>
      <c r="W386">
        <v>0.17873269999999999</v>
      </c>
      <c r="X386">
        <v>0.98386459999999998</v>
      </c>
      <c r="Y386">
        <v>6.9643239999999995E-2</v>
      </c>
      <c r="Z386">
        <v>-1.26469E-3</v>
      </c>
      <c r="AA386">
        <v>0.99757119999999999</v>
      </c>
      <c r="AB386">
        <v>31</v>
      </c>
      <c r="AC386">
        <v>33.893099999999997</v>
      </c>
      <c r="AD386">
        <v>-1.0597300557580001</v>
      </c>
      <c r="AE386">
        <v>-2.1821000000000401</v>
      </c>
      <c r="AF386">
        <v>2.3829645887207498</v>
      </c>
      <c r="AG386">
        <v>-1.0597300557580001</v>
      </c>
      <c r="AH386">
        <v>33.846454585746301</v>
      </c>
      <c r="AI386">
        <v>91.788915517671597</v>
      </c>
      <c r="AJ386">
        <v>85.972727726134096</v>
      </c>
      <c r="AK386">
        <v>33.946782410814102</v>
      </c>
      <c r="AL386">
        <v>79.704047801622906</v>
      </c>
      <c r="AM386">
        <v>90.469524536032907</v>
      </c>
      <c r="AN386">
        <v>0.99999996818911996</v>
      </c>
    </row>
    <row r="387" spans="1:40" x14ac:dyDescent="0.25">
      <c r="A387" t="str">
        <f>"20190312172101051"</f>
        <v>20190312172101051</v>
      </c>
      <c r="B387" t="str">
        <f>"1552382461041533"</f>
        <v>1552382461041533</v>
      </c>
      <c r="C387" t="s">
        <v>40</v>
      </c>
      <c r="D387">
        <v>3.1450680000000002</v>
      </c>
      <c r="E387">
        <v>0.53028209999999998</v>
      </c>
      <c r="F387" t="s">
        <v>42</v>
      </c>
      <c r="G387">
        <v>-392.82740000000001</v>
      </c>
      <c r="H387" s="1">
        <v>-3.7407169999999999E-6</v>
      </c>
      <c r="I387">
        <v>365.77499999999998</v>
      </c>
      <c r="J387">
        <v>-425.84390000000002</v>
      </c>
      <c r="K387">
        <v>1.0597160000000001</v>
      </c>
      <c r="L387">
        <v>367.90410000000003</v>
      </c>
      <c r="M387">
        <v>0.99994459999999996</v>
      </c>
      <c r="N387">
        <v>0</v>
      </c>
      <c r="O387">
        <v>5.9892080000000002E-3</v>
      </c>
      <c r="P387">
        <v>0.98534509999999997</v>
      </c>
      <c r="Q387">
        <v>0.17000499999999999</v>
      </c>
      <c r="R387">
        <v>1.3906760000000001E-2</v>
      </c>
      <c r="S387">
        <v>3.0643919999999998</v>
      </c>
      <c r="T387">
        <v>-9.7869629999999999E-2</v>
      </c>
      <c r="U387">
        <v>-0.19653319999999999</v>
      </c>
      <c r="V387">
        <v>-8.0005930000000003E-3</v>
      </c>
      <c r="W387">
        <v>0.1785399</v>
      </c>
      <c r="X387">
        <v>0.98390010000000006</v>
      </c>
      <c r="Y387">
        <v>6.9940459999999996E-2</v>
      </c>
      <c r="Z387">
        <v>-1.3064909999999999E-3</v>
      </c>
      <c r="AA387">
        <v>0.9975503</v>
      </c>
      <c r="AB387">
        <v>31</v>
      </c>
      <c r="AC387">
        <v>33.016500000000001</v>
      </c>
      <c r="AD387">
        <v>-1.05971974071699</v>
      </c>
      <c r="AE387">
        <v>-2.12910000000005</v>
      </c>
      <c r="AF387">
        <v>2.32442720547769</v>
      </c>
      <c r="AG387">
        <v>-1.05971974071699</v>
      </c>
      <c r="AH387">
        <v>32.969331461576097</v>
      </c>
      <c r="AI387">
        <v>91.836445623648302</v>
      </c>
      <c r="AJ387">
        <v>85.967165367684402</v>
      </c>
      <c r="AK387">
        <v>33.068153634361003</v>
      </c>
      <c r="AL387">
        <v>79.715274890178804</v>
      </c>
      <c r="AM387">
        <v>90.465890906547301</v>
      </c>
      <c r="AN387">
        <v>0.99999995608018399</v>
      </c>
    </row>
    <row r="388" spans="1:40" x14ac:dyDescent="0.25">
      <c r="A388" t="str">
        <f>"20190312172101063"</f>
        <v>20190312172101063</v>
      </c>
      <c r="B388" t="str">
        <f>"1552382461051293"</f>
        <v>1552382461051293</v>
      </c>
      <c r="C388" t="s">
        <v>40</v>
      </c>
      <c r="D388">
        <v>3.1507429999999998</v>
      </c>
      <c r="E388">
        <v>0.53037299999999998</v>
      </c>
      <c r="F388" t="s">
        <v>42</v>
      </c>
      <c r="G388">
        <v>-392.90390000000002</v>
      </c>
      <c r="H388" s="1">
        <v>-3.7050309999999999E-6</v>
      </c>
      <c r="I388">
        <v>365.7912</v>
      </c>
      <c r="J388">
        <v>-425.67669999999998</v>
      </c>
      <c r="K388">
        <v>1.0596989999999999</v>
      </c>
      <c r="L388">
        <v>367.9051</v>
      </c>
      <c r="M388">
        <v>0.99994450000000001</v>
      </c>
      <c r="N388">
        <v>0</v>
      </c>
      <c r="O388">
        <v>5.9803999999999899E-3</v>
      </c>
      <c r="P388">
        <v>0.98535280000000003</v>
      </c>
      <c r="Q388">
        <v>0.1699734</v>
      </c>
      <c r="R388">
        <v>1.373663E-2</v>
      </c>
      <c r="S388">
        <v>3.0644230000000001</v>
      </c>
      <c r="T388">
        <v>-9.8585720000000002E-2</v>
      </c>
      <c r="U388">
        <v>-0.19656370000000001</v>
      </c>
      <c r="V388">
        <v>-7.8369019999999998E-3</v>
      </c>
      <c r="W388">
        <v>0.17850849999999999</v>
      </c>
      <c r="X388">
        <v>0.98390719999999998</v>
      </c>
      <c r="Y388">
        <v>6.9940359999999993E-2</v>
      </c>
      <c r="Z388">
        <v>-1.3157479999999901E-3</v>
      </c>
      <c r="AA388">
        <v>0.9975503</v>
      </c>
      <c r="AB388">
        <v>31</v>
      </c>
      <c r="AC388">
        <v>32.772799999999897</v>
      </c>
      <c r="AD388">
        <v>-1.0597027050309999</v>
      </c>
      <c r="AE388">
        <v>-2.1139000000000001</v>
      </c>
      <c r="AF388">
        <v>2.3074614714203898</v>
      </c>
      <c r="AG388">
        <v>-1.0597027050309999</v>
      </c>
      <c r="AH388">
        <v>32.725497365768803</v>
      </c>
      <c r="AI388">
        <v>91.850088690510105</v>
      </c>
      <c r="AJ388">
        <v>85.966772984995998</v>
      </c>
      <c r="AK388">
        <v>32.823856051690299</v>
      </c>
      <c r="AL388">
        <v>79.717104222381096</v>
      </c>
      <c r="AM388">
        <v>90.456355958908503</v>
      </c>
      <c r="AN388">
        <v>1.00000003990852</v>
      </c>
    </row>
    <row r="389" spans="1:40" x14ac:dyDescent="0.25">
      <c r="A389" t="str">
        <f>"20190312172101074"</f>
        <v>20190312172101074</v>
      </c>
      <c r="B389" t="str">
        <f>"1552382461071789"</f>
        <v>1552382461071789</v>
      </c>
      <c r="C389" t="s">
        <v>40</v>
      </c>
      <c r="D389">
        <v>3.1391019999999998</v>
      </c>
      <c r="E389">
        <v>0.53038260000000004</v>
      </c>
      <c r="F389" t="s">
        <v>42</v>
      </c>
      <c r="G389">
        <v>-392.9776</v>
      </c>
      <c r="H389" s="1">
        <v>-3.6730919999999998E-6</v>
      </c>
      <c r="I389">
        <v>365.79300000000001</v>
      </c>
      <c r="J389">
        <v>-425.50459999999998</v>
      </c>
      <c r="K389">
        <v>1.0596859999999999</v>
      </c>
      <c r="L389">
        <v>367.90609999999998</v>
      </c>
      <c r="M389">
        <v>0.99994479999999997</v>
      </c>
      <c r="N389">
        <v>0</v>
      </c>
      <c r="O389">
        <v>5.9645260000000004E-3</v>
      </c>
      <c r="P389">
        <v>0.98534659999999996</v>
      </c>
      <c r="Q389">
        <v>0.1700141</v>
      </c>
      <c r="R389">
        <v>1.369299E-2</v>
      </c>
      <c r="S389">
        <v>3.0644840000000002</v>
      </c>
      <c r="T389">
        <v>-9.9312419999999998E-2</v>
      </c>
      <c r="U389">
        <v>-0.197937</v>
      </c>
      <c r="V389">
        <v>-7.8058759999999998E-3</v>
      </c>
      <c r="W389">
        <v>0.17855070000000001</v>
      </c>
      <c r="X389">
        <v>0.98389979999999999</v>
      </c>
      <c r="Y389">
        <v>7.0367650000000004E-2</v>
      </c>
      <c r="Z389">
        <v>-1.331797E-3</v>
      </c>
      <c r="AA389">
        <v>0.99752019999999997</v>
      </c>
      <c r="AB389">
        <v>31</v>
      </c>
      <c r="AC389">
        <v>32.526999999999902</v>
      </c>
      <c r="AD389">
        <v>-1.059689673092</v>
      </c>
      <c r="AE389">
        <v>-2.11309999999997</v>
      </c>
      <c r="AF389">
        <v>2.30464199275294</v>
      </c>
      <c r="AG389">
        <v>-1.059689673092</v>
      </c>
      <c r="AH389">
        <v>32.479489174607899</v>
      </c>
      <c r="AI389">
        <v>91.864010356720698</v>
      </c>
      <c r="AJ389">
        <v>85.941275006824299</v>
      </c>
      <c r="AK389">
        <v>32.5783905980865</v>
      </c>
      <c r="AL389">
        <v>79.714646970061693</v>
      </c>
      <c r="AM389">
        <v>90.454552757366997</v>
      </c>
      <c r="AN389">
        <v>1.0000000503053199</v>
      </c>
    </row>
    <row r="390" spans="1:40" x14ac:dyDescent="0.25">
      <c r="A390" t="str">
        <f>"20190312172101087"</f>
        <v>20190312172101087</v>
      </c>
      <c r="B390" t="str">
        <f>"1552382461081549"</f>
        <v>1552382461081549</v>
      </c>
      <c r="C390" t="s">
        <v>40</v>
      </c>
      <c r="D390">
        <v>3.14323</v>
      </c>
      <c r="E390">
        <v>0.53045830000000005</v>
      </c>
      <c r="F390" t="s">
        <v>42</v>
      </c>
      <c r="G390">
        <v>-392.9425</v>
      </c>
      <c r="H390" s="1">
        <v>-3.6868279999999999E-6</v>
      </c>
      <c r="I390">
        <v>365.80029999999999</v>
      </c>
      <c r="J390">
        <v>-425.34230000000002</v>
      </c>
      <c r="K390">
        <v>1.0596730000000001</v>
      </c>
      <c r="L390">
        <v>367.90710000000001</v>
      </c>
      <c r="M390">
        <v>0.99994479999999997</v>
      </c>
      <c r="N390">
        <v>0</v>
      </c>
      <c r="O390">
        <v>5.9437489999999999E-3</v>
      </c>
      <c r="P390">
        <v>0.98536869999999999</v>
      </c>
      <c r="Q390">
        <v>0.16989649999999901</v>
      </c>
      <c r="R390">
        <v>1.3561220000000001E-2</v>
      </c>
      <c r="S390">
        <v>3.064575</v>
      </c>
      <c r="T390">
        <v>-9.973216E-2</v>
      </c>
      <c r="U390">
        <v>-0.1981812</v>
      </c>
      <c r="V390">
        <v>-7.6915639999999997E-3</v>
      </c>
      <c r="W390">
        <v>0.17843529999999999</v>
      </c>
      <c r="X390">
        <v>0.98392159999999995</v>
      </c>
      <c r="Y390">
        <v>7.0423769999999997E-2</v>
      </c>
      <c r="Z390">
        <v>-1.337616E-3</v>
      </c>
      <c r="AA390">
        <v>0.99751630000000002</v>
      </c>
      <c r="AB390">
        <v>31</v>
      </c>
      <c r="AC390">
        <v>32.399799999999999</v>
      </c>
      <c r="AD390">
        <v>-1.0596766868280001</v>
      </c>
      <c r="AE390">
        <v>-2.1068000000000202</v>
      </c>
      <c r="AF390">
        <v>2.2968996406287401</v>
      </c>
      <c r="AG390">
        <v>-1.0596766868280001</v>
      </c>
      <c r="AH390">
        <v>32.352243388114502</v>
      </c>
      <c r="AI390">
        <v>91.871308392874397</v>
      </c>
      <c r="AJ390">
        <v>85.939007848657795</v>
      </c>
      <c r="AK390">
        <v>32.450983265280698</v>
      </c>
      <c r="AL390">
        <v>79.721366455838606</v>
      </c>
      <c r="AM390">
        <v>90.447886476448602</v>
      </c>
      <c r="AN390">
        <v>1.0000000156947</v>
      </c>
    </row>
    <row r="391" spans="1:40" x14ac:dyDescent="0.25">
      <c r="A391" t="str">
        <f>"20190312172101104"</f>
        <v>20190312172101104</v>
      </c>
      <c r="B391" t="str">
        <f>"1552382461102045"</f>
        <v>1552382461102045</v>
      </c>
      <c r="C391" t="s">
        <v>40</v>
      </c>
      <c r="D391">
        <v>3.192679</v>
      </c>
      <c r="E391">
        <v>0.51513699999999996</v>
      </c>
      <c r="F391" t="s">
        <v>42</v>
      </c>
      <c r="G391">
        <v>-393.05739999999997</v>
      </c>
      <c r="H391" s="1">
        <v>-3.6353869999999998E-6</v>
      </c>
      <c r="I391">
        <v>365.8125</v>
      </c>
      <c r="J391">
        <v>-425.089</v>
      </c>
      <c r="K391">
        <v>1.059652</v>
      </c>
      <c r="L391">
        <v>367.90859999999998</v>
      </c>
      <c r="M391">
        <v>0.99994490000000003</v>
      </c>
      <c r="N391">
        <v>0</v>
      </c>
      <c r="O391">
        <v>5.8996989999999996E-3</v>
      </c>
      <c r="P391">
        <v>0.98542799999999997</v>
      </c>
      <c r="Q391">
        <v>0.169576</v>
      </c>
      <c r="R391">
        <v>1.3272249999999999E-2</v>
      </c>
      <c r="S391">
        <v>3.0646360000000001</v>
      </c>
      <c r="T391">
        <v>-0.1005891</v>
      </c>
      <c r="U391">
        <v>-0.198822</v>
      </c>
      <c r="V391">
        <v>-7.4386460000000001E-3</v>
      </c>
      <c r="W391">
        <v>0.178119</v>
      </c>
      <c r="X391">
        <v>0.98398079999999999</v>
      </c>
      <c r="Y391">
        <v>7.0585519999999999E-2</v>
      </c>
      <c r="Z391">
        <v>-1.350274E-3</v>
      </c>
      <c r="AA391">
        <v>0.99750479999999997</v>
      </c>
      <c r="AB391">
        <v>32</v>
      </c>
      <c r="AC391">
        <v>32.031599999999997</v>
      </c>
      <c r="AD391">
        <v>-1.0596556353869999</v>
      </c>
      <c r="AE391">
        <v>-2.0960999999999701</v>
      </c>
      <c r="AF391">
        <v>2.2825600801885599</v>
      </c>
      <c r="AG391">
        <v>-1.0596556353869999</v>
      </c>
      <c r="AH391">
        <v>31.9838221394469</v>
      </c>
      <c r="AI391">
        <v>91.892761311546494</v>
      </c>
      <c r="AJ391">
        <v>85.917945429878998</v>
      </c>
      <c r="AK391">
        <v>32.0826717907511</v>
      </c>
      <c r="AL391">
        <v>79.739783611954394</v>
      </c>
      <c r="AM391">
        <v>90.433133352027298</v>
      </c>
      <c r="AN391">
        <v>0.99999996319197504</v>
      </c>
    </row>
    <row r="392" spans="1:40" x14ac:dyDescent="0.25">
      <c r="A392" t="str">
        <f>"20190312172101117"</f>
        <v>20190312172101117</v>
      </c>
      <c r="B392" t="str">
        <f>"1552382461111806"</f>
        <v>1552382461111806</v>
      </c>
      <c r="C392" t="s">
        <v>40</v>
      </c>
      <c r="D392">
        <v>3.1688670000000001</v>
      </c>
      <c r="E392">
        <v>0.50872550000000005</v>
      </c>
      <c r="F392" t="s">
        <v>42</v>
      </c>
      <c r="G392">
        <v>-399.59179999999998</v>
      </c>
      <c r="H392" s="1">
        <v>-7.497845E-7</v>
      </c>
      <c r="I392">
        <v>367.26799999999997</v>
      </c>
      <c r="J392">
        <v>-424.90660000000003</v>
      </c>
      <c r="K392">
        <v>1.059633</v>
      </c>
      <c r="L392">
        <v>367.90960000000001</v>
      </c>
      <c r="M392">
        <v>0.99994519999999998</v>
      </c>
      <c r="N392">
        <v>0</v>
      </c>
      <c r="O392">
        <v>5.8575229999999999E-3</v>
      </c>
      <c r="P392">
        <v>0.98541460000000003</v>
      </c>
      <c r="Q392">
        <v>0.16965930000000001</v>
      </c>
      <c r="R392">
        <v>1.319386E-2</v>
      </c>
      <c r="S392">
        <v>3.0673520000000001</v>
      </c>
      <c r="T392">
        <v>-0.1274776</v>
      </c>
      <c r="U392">
        <v>-7.7056879999999994E-2</v>
      </c>
      <c r="V392">
        <v>-7.3962990000000003E-3</v>
      </c>
      <c r="W392">
        <v>0.17820629999999901</v>
      </c>
      <c r="X392">
        <v>0.98396530000000004</v>
      </c>
      <c r="Y392">
        <v>3.0937429999999998E-2</v>
      </c>
      <c r="Z392">
        <v>-8.8579869999999995E-4</v>
      </c>
      <c r="AA392">
        <v>0.99952099999999999</v>
      </c>
      <c r="AB392">
        <v>32</v>
      </c>
      <c r="AC392">
        <v>25.314800000000002</v>
      </c>
      <c r="AD392">
        <v>-1.0596337497845001</v>
      </c>
      <c r="AE392">
        <v>-0.64159999999998196</v>
      </c>
      <c r="AF392">
        <v>0.78849594904798403</v>
      </c>
      <c r="AG392">
        <v>-1.0596337497845001</v>
      </c>
      <c r="AH392">
        <v>25.266366196787999</v>
      </c>
      <c r="AI392">
        <v>92.400325148917901</v>
      </c>
      <c r="AJ392">
        <v>88.212531546062706</v>
      </c>
      <c r="AK392">
        <v>25.300865802093401</v>
      </c>
      <c r="AL392">
        <v>79.734700238124802</v>
      </c>
      <c r="AM392">
        <v>90.430674471421895</v>
      </c>
      <c r="AN392">
        <v>0.99999995110133699</v>
      </c>
    </row>
    <row r="393" spans="1:40" x14ac:dyDescent="0.25">
      <c r="A393" t="str">
        <f>"20190312172101132"</f>
        <v>20190312172101132</v>
      </c>
      <c r="B393" t="str">
        <f>"1552382461121566"</f>
        <v>1552382461121566</v>
      </c>
      <c r="C393" t="s">
        <v>40</v>
      </c>
      <c r="D393">
        <v>3.1327600000000002</v>
      </c>
      <c r="E393">
        <v>0.50529659999999998</v>
      </c>
      <c r="F393" t="s">
        <v>42</v>
      </c>
      <c r="G393">
        <v>-399.78789999999998</v>
      </c>
      <c r="H393" s="1">
        <v>-5.6881420000000001E-7</v>
      </c>
      <c r="I393">
        <v>367.69740000000002</v>
      </c>
      <c r="J393">
        <v>-424.70609999999999</v>
      </c>
      <c r="K393">
        <v>1.0596099999999999</v>
      </c>
      <c r="L393">
        <v>367.91079999999999</v>
      </c>
      <c r="M393">
        <v>0.99994550000000004</v>
      </c>
      <c r="N393">
        <v>0</v>
      </c>
      <c r="O393">
        <v>5.7982049999999999E-3</v>
      </c>
      <c r="P393">
        <v>0.98540910000000004</v>
      </c>
      <c r="Q393">
        <v>0.1696955</v>
      </c>
      <c r="R393">
        <v>1.313137E-2</v>
      </c>
      <c r="S393">
        <v>3.0670169999999999</v>
      </c>
      <c r="T393">
        <v>-0.12938189999999999</v>
      </c>
      <c r="U393">
        <v>-2.5909419999999999E-2</v>
      </c>
      <c r="V393">
        <v>-7.3854519999999998E-3</v>
      </c>
      <c r="W393">
        <v>0.17824719999999999</v>
      </c>
      <c r="X393">
        <v>0.983958</v>
      </c>
      <c r="Y393">
        <v>1.4227729999999999E-2</v>
      </c>
      <c r="Z393">
        <v>-5.4445269999999998E-4</v>
      </c>
      <c r="AA393">
        <v>0.99989859999999997</v>
      </c>
      <c r="AB393">
        <v>32</v>
      </c>
      <c r="AC393">
        <v>24.918199999999999</v>
      </c>
      <c r="AD393">
        <v>-1.0596105688141999</v>
      </c>
      <c r="AE393">
        <v>-0.213399999999978</v>
      </c>
      <c r="AF393">
        <v>0.35723676287392703</v>
      </c>
      <c r="AG393">
        <v>-1.0596105688141999</v>
      </c>
      <c r="AH393">
        <v>24.871572914990999</v>
      </c>
      <c r="AI393">
        <v>92.439261579916106</v>
      </c>
      <c r="AJ393">
        <v>89.177102650667194</v>
      </c>
      <c r="AK393">
        <v>24.896697209228499</v>
      </c>
      <c r="AL393">
        <v>79.732318984903898</v>
      </c>
      <c r="AM393">
        <v>90.430046082352106</v>
      </c>
      <c r="AN393">
        <v>0.99999997748654101</v>
      </c>
    </row>
    <row r="394" spans="1:40" x14ac:dyDescent="0.25">
      <c r="A394" t="str">
        <f>"20190312172101151"</f>
        <v>20190312172101151</v>
      </c>
      <c r="B394" t="str">
        <f>"1552382461142061"</f>
        <v>1552382461142061</v>
      </c>
      <c r="C394" t="s">
        <v>40</v>
      </c>
      <c r="D394">
        <v>3.273126</v>
      </c>
      <c r="E394">
        <v>0.50226490000000001</v>
      </c>
      <c r="F394" t="s">
        <v>42</v>
      </c>
      <c r="G394">
        <v>-398.89490000000001</v>
      </c>
      <c r="H394" s="1">
        <v>-8.1292559999999999E-7</v>
      </c>
      <c r="I394">
        <v>367.92200000000003</v>
      </c>
      <c r="J394">
        <v>-424.4237</v>
      </c>
      <c r="K394">
        <v>1.0595810000000001</v>
      </c>
      <c r="L394">
        <v>367.91230000000002</v>
      </c>
      <c r="M394">
        <v>0.99994609999999995</v>
      </c>
      <c r="N394">
        <v>0</v>
      </c>
      <c r="O394">
        <v>5.6928279999999996E-3</v>
      </c>
      <c r="P394">
        <v>0.98539069999999995</v>
      </c>
      <c r="Q394">
        <v>0.16981570000000001</v>
      </c>
      <c r="R394">
        <v>1.2969390000000001E-2</v>
      </c>
      <c r="S394">
        <v>3.0661010000000002</v>
      </c>
      <c r="T394">
        <v>-0.1258705</v>
      </c>
      <c r="U394">
        <v>1.34277299999999E-3</v>
      </c>
      <c r="V394">
        <v>-7.3167769999999896E-3</v>
      </c>
      <c r="W394">
        <v>0.1783757</v>
      </c>
      <c r="X394">
        <v>0.98393520000000001</v>
      </c>
      <c r="Y394">
        <v>5.2458929999999997E-3</v>
      </c>
      <c r="Z394">
        <v>-3.4124559999999999E-4</v>
      </c>
      <c r="AA394">
        <v>0.99998620000000005</v>
      </c>
      <c r="AB394">
        <v>32</v>
      </c>
      <c r="AC394">
        <v>25.528799999999901</v>
      </c>
      <c r="AD394">
        <v>-1.0595818129255901</v>
      </c>
      <c r="AE394">
        <v>9.6999999999525192E-3</v>
      </c>
      <c r="AF394">
        <v>0.13540344442407501</v>
      </c>
      <c r="AG394">
        <v>-1.0595818129255901</v>
      </c>
      <c r="AH394">
        <v>25.484539453907299</v>
      </c>
      <c r="AI394">
        <v>92.3808067763742</v>
      </c>
      <c r="AJ394">
        <v>89.695581200910595</v>
      </c>
      <c r="AK394">
        <v>25.506916687220301</v>
      </c>
      <c r="AL394">
        <v>79.724836296561406</v>
      </c>
      <c r="AM394">
        <v>90.426057239027102</v>
      </c>
      <c r="AN394">
        <v>0.99999995168759703</v>
      </c>
    </row>
    <row r="395" spans="1:40" x14ac:dyDescent="0.25">
      <c r="A395" t="str">
        <f>"20190312172101172"</f>
        <v>20190312172101172</v>
      </c>
      <c r="B395" t="str">
        <f>"1552382461161581"</f>
        <v>1552382461161581</v>
      </c>
      <c r="C395" t="s">
        <v>40</v>
      </c>
      <c r="D395">
        <v>3.1442920000000001</v>
      </c>
      <c r="E395">
        <v>0.50054909999999997</v>
      </c>
      <c r="F395" t="s">
        <v>42</v>
      </c>
      <c r="G395">
        <v>-397.90219999999999</v>
      </c>
      <c r="H395" s="1">
        <v>-1.1460290000000001E-6</v>
      </c>
      <c r="I395">
        <v>368.1293</v>
      </c>
      <c r="J395">
        <v>-424.12549999999999</v>
      </c>
      <c r="K395">
        <v>1.059547</v>
      </c>
      <c r="L395">
        <v>367.91379999999998</v>
      </c>
      <c r="M395">
        <v>0.99994680000000002</v>
      </c>
      <c r="N395">
        <v>0</v>
      </c>
      <c r="O395">
        <v>5.5482379999999996E-3</v>
      </c>
      <c r="P395">
        <v>0.98543899999999995</v>
      </c>
      <c r="Q395">
        <v>0.16956760000000001</v>
      </c>
      <c r="R395">
        <v>1.252527E-2</v>
      </c>
      <c r="S395">
        <v>3.0652469999999998</v>
      </c>
      <c r="T395">
        <v>-0.1224618</v>
      </c>
      <c r="U395">
        <v>2.5085449999999999E-2</v>
      </c>
      <c r="V395">
        <v>-7.0032039999999999E-3</v>
      </c>
      <c r="W395">
        <v>0.178137299999999</v>
      </c>
      <c r="X395">
        <v>0.98398070000000004</v>
      </c>
      <c r="Y395">
        <v>-2.637487E-3</v>
      </c>
      <c r="Z395">
        <v>-1.689115E-4</v>
      </c>
      <c r="AA395">
        <v>0.99999649999999995</v>
      </c>
      <c r="AB395">
        <v>32</v>
      </c>
      <c r="AC395">
        <v>26.223299999999899</v>
      </c>
      <c r="AD395">
        <v>-1.0595481460289999</v>
      </c>
      <c r="AE395">
        <v>0.21550000000002001</v>
      </c>
      <c r="AF395">
        <v>-6.9883990868528298E-2</v>
      </c>
      <c r="AG395">
        <v>-1.0595481460289999</v>
      </c>
      <c r="AH395">
        <v>26.181352539895201</v>
      </c>
      <c r="AI395">
        <v>92.317462836986707</v>
      </c>
      <c r="AJ395">
        <v>90.152935117347198</v>
      </c>
      <c r="AK395">
        <v>26.2028766906271</v>
      </c>
      <c r="AL395">
        <v>79.738718234944699</v>
      </c>
      <c r="AM395">
        <v>90.407779601094504</v>
      </c>
      <c r="AN395">
        <v>0.99999998024502201</v>
      </c>
    </row>
    <row r="396" spans="1:40" x14ac:dyDescent="0.25">
      <c r="A396" t="str">
        <f>"20190312172101186"</f>
        <v>20190312172101186</v>
      </c>
      <c r="B396" t="str">
        <f>"1552382461182077"</f>
        <v>1552382461182077</v>
      </c>
      <c r="C396" t="s">
        <v>40</v>
      </c>
      <c r="D396">
        <v>3.131151</v>
      </c>
      <c r="E396">
        <v>0.4995483</v>
      </c>
      <c r="F396" t="s">
        <v>42</v>
      </c>
      <c r="G396">
        <v>-397.55020000000002</v>
      </c>
      <c r="H396" s="1">
        <v>-1.2778089999999999E-6</v>
      </c>
      <c r="I396">
        <v>368.23759999999999</v>
      </c>
      <c r="J396">
        <v>-423.93430000000001</v>
      </c>
      <c r="K396">
        <v>1.059526</v>
      </c>
      <c r="L396">
        <v>367.91480000000001</v>
      </c>
      <c r="M396">
        <v>0.99994740000000004</v>
      </c>
      <c r="N396">
        <v>0</v>
      </c>
      <c r="O396">
        <v>5.4370180000000001E-3</v>
      </c>
      <c r="P396">
        <v>0.98545640000000001</v>
      </c>
      <c r="Q396">
        <v>0.1694716</v>
      </c>
      <c r="R396">
        <v>1.2470419999999999E-2</v>
      </c>
      <c r="S396">
        <v>3.0649109999999999</v>
      </c>
      <c r="T396">
        <v>-0.1221969</v>
      </c>
      <c r="U396">
        <v>3.7353520000000001E-2</v>
      </c>
      <c r="V396">
        <v>-7.0493020000000003E-3</v>
      </c>
      <c r="W396">
        <v>0.17804919999999999</v>
      </c>
      <c r="X396">
        <v>0.98399630000000005</v>
      </c>
      <c r="Y396">
        <v>-6.7485260000000004E-3</v>
      </c>
      <c r="Z396" s="1">
        <v>-8.2211180000000002E-5</v>
      </c>
      <c r="AA396">
        <v>0.99997720000000001</v>
      </c>
      <c r="AB396">
        <v>32</v>
      </c>
      <c r="AC396">
        <v>26.384099999999901</v>
      </c>
      <c r="AD396">
        <v>-1.0595272778089999</v>
      </c>
      <c r="AE396">
        <v>0.322799999999972</v>
      </c>
      <c r="AF396">
        <v>-0.179050274540897</v>
      </c>
      <c r="AG396">
        <v>-1.0595272778089999</v>
      </c>
      <c r="AH396">
        <v>26.342989506675099</v>
      </c>
      <c r="AI396">
        <v>92.303168303466606</v>
      </c>
      <c r="AJ396">
        <v>90.389426836911099</v>
      </c>
      <c r="AK396">
        <v>26.364896229684401</v>
      </c>
      <c r="AL396">
        <v>79.743847834796398</v>
      </c>
      <c r="AM396">
        <v>90.410457177255196</v>
      </c>
      <c r="AN396">
        <v>0.99999996434650795</v>
      </c>
    </row>
    <row r="397" spans="1:40" x14ac:dyDescent="0.25">
      <c r="A397" t="str">
        <f>"20190312172101198"</f>
        <v>20190312172101198</v>
      </c>
      <c r="B397" t="str">
        <f>"1552382461191838"</f>
        <v>1552382461191838</v>
      </c>
      <c r="C397" t="s">
        <v>40</v>
      </c>
      <c r="D397">
        <v>3.1562739999999998</v>
      </c>
      <c r="E397">
        <v>0.49918800000000002</v>
      </c>
      <c r="F397" t="s">
        <v>42</v>
      </c>
      <c r="G397">
        <v>-397.23739999999998</v>
      </c>
      <c r="H397" s="1">
        <v>-1.398928E-6</v>
      </c>
      <c r="I397">
        <v>368.31139999999999</v>
      </c>
      <c r="J397">
        <v>-423.75709999999998</v>
      </c>
      <c r="K397">
        <v>1.05951</v>
      </c>
      <c r="L397">
        <v>367.91570000000002</v>
      </c>
      <c r="M397">
        <v>0.99994799999999995</v>
      </c>
      <c r="N397">
        <v>0</v>
      </c>
      <c r="O397">
        <v>5.3221719999999896E-3</v>
      </c>
      <c r="P397">
        <v>0.98543879999999995</v>
      </c>
      <c r="Q397">
        <v>0.1695953</v>
      </c>
      <c r="R397">
        <v>1.216473E-2</v>
      </c>
      <c r="S397">
        <v>3.0646059999999999</v>
      </c>
      <c r="T397">
        <v>-0.1216255</v>
      </c>
      <c r="U397">
        <v>4.553223E-2</v>
      </c>
      <c r="V397">
        <v>-6.8492550000000003E-3</v>
      </c>
      <c r="W397">
        <v>0.17817910000000001</v>
      </c>
      <c r="X397">
        <v>0.98397420000000002</v>
      </c>
      <c r="Y397">
        <v>-9.5305010000000003E-3</v>
      </c>
      <c r="Z397" s="1">
        <v>-2.2097900000000001E-5</v>
      </c>
      <c r="AA397">
        <v>0.99995460000000003</v>
      </c>
      <c r="AB397">
        <v>32</v>
      </c>
      <c r="AC397">
        <v>26.5197</v>
      </c>
      <c r="AD397">
        <v>-1.0595113989280001</v>
      </c>
      <c r="AE397">
        <v>0.39569999999997602</v>
      </c>
      <c r="AF397">
        <v>-0.25414109265165002</v>
      </c>
      <c r="AG397">
        <v>-1.0595113989280001</v>
      </c>
      <c r="AH397">
        <v>26.479175078078399</v>
      </c>
      <c r="AI397">
        <v>92.291248640464801</v>
      </c>
      <c r="AJ397">
        <v>90.549894960047098</v>
      </c>
      <c r="AK397">
        <v>26.501582309646398</v>
      </c>
      <c r="AL397">
        <v>79.736284176469397</v>
      </c>
      <c r="AM397">
        <v>90.398818451054893</v>
      </c>
      <c r="AN397">
        <v>0.99999996511825195</v>
      </c>
    </row>
    <row r="398" spans="1:40" x14ac:dyDescent="0.25">
      <c r="A398" t="str">
        <f>"20190312172101217"</f>
        <v>20190312172101217</v>
      </c>
      <c r="B398" t="str">
        <f>"1552382461211357"</f>
        <v>1552382461211357</v>
      </c>
      <c r="C398" t="s">
        <v>40</v>
      </c>
      <c r="D398">
        <v>3.155176</v>
      </c>
      <c r="E398">
        <v>0.4985253</v>
      </c>
      <c r="F398" t="s">
        <v>42</v>
      </c>
      <c r="G398">
        <v>-396.84539999999998</v>
      </c>
      <c r="H398" s="1">
        <v>-1.5638419999999899E-6</v>
      </c>
      <c r="I398">
        <v>368.3297</v>
      </c>
      <c r="J398">
        <v>-423.49450000000002</v>
      </c>
      <c r="K398">
        <v>1.0594809999999999</v>
      </c>
      <c r="L398">
        <v>367.9169</v>
      </c>
      <c r="M398">
        <v>0.99994890000000003</v>
      </c>
      <c r="N398">
        <v>0</v>
      </c>
      <c r="O398">
        <v>5.1240510000000001E-3</v>
      </c>
      <c r="P398">
        <v>0.9854562</v>
      </c>
      <c r="Q398">
        <v>0.16951050000000001</v>
      </c>
      <c r="R398">
        <v>1.192346E-2</v>
      </c>
      <c r="S398">
        <v>3.064514</v>
      </c>
      <c r="T398">
        <v>-0.12064950000000001</v>
      </c>
      <c r="U398">
        <v>4.7149660000000003E-2</v>
      </c>
      <c r="V398">
        <v>-6.7911660000000004E-3</v>
      </c>
      <c r="W398">
        <v>0.17810500000000001</v>
      </c>
      <c r="X398">
        <v>0.98398799999999997</v>
      </c>
      <c r="Y398">
        <v>-1.0256049999999999E-2</v>
      </c>
      <c r="Z398" s="1">
        <v>1.5135450000000001E-7</v>
      </c>
      <c r="AA398">
        <v>0.99994740000000004</v>
      </c>
      <c r="AB398">
        <v>32</v>
      </c>
      <c r="AC398">
        <v>26.649100000000001</v>
      </c>
      <c r="AD398">
        <v>-1.05948256384199</v>
      </c>
      <c r="AE398">
        <v>0.412800000000004</v>
      </c>
      <c r="AF398">
        <v>-0.275802218609286</v>
      </c>
      <c r="AG398">
        <v>-1.05948256384199</v>
      </c>
      <c r="AH398">
        <v>26.6088175499447</v>
      </c>
      <c r="AI398">
        <v>92.280017686444495</v>
      </c>
      <c r="AJ398">
        <v>90.593853417519298</v>
      </c>
      <c r="AK398">
        <v>26.631330075178798</v>
      </c>
      <c r="AL398">
        <v>79.740598625182002</v>
      </c>
      <c r="AM398">
        <v>90.395430606725895</v>
      </c>
      <c r="AN398">
        <v>0.99999994755231802</v>
      </c>
    </row>
    <row r="399" spans="1:40" x14ac:dyDescent="0.25">
      <c r="A399" t="str">
        <f>"20190312172101228"</f>
        <v>20190312172101228</v>
      </c>
      <c r="B399" t="str">
        <f>"1552382461222093"</f>
        <v>1552382461222093</v>
      </c>
      <c r="C399" t="s">
        <v>40</v>
      </c>
      <c r="D399">
        <v>3.1498970000000002</v>
      </c>
      <c r="E399">
        <v>0.49823240000000002</v>
      </c>
      <c r="F399" t="s">
        <v>42</v>
      </c>
      <c r="G399">
        <v>-396.7987</v>
      </c>
      <c r="H399" s="1">
        <v>-1.577373E-6</v>
      </c>
      <c r="I399">
        <v>368.3664</v>
      </c>
      <c r="J399">
        <v>-423.31920000000002</v>
      </c>
      <c r="K399">
        <v>1.059455</v>
      </c>
      <c r="L399">
        <v>367.91759999999999</v>
      </c>
      <c r="M399">
        <v>0.99994950000000005</v>
      </c>
      <c r="N399">
        <v>0</v>
      </c>
      <c r="O399">
        <v>4.9749829999999997E-3</v>
      </c>
      <c r="P399">
        <v>0.98545050000000001</v>
      </c>
      <c r="Q399">
        <v>0.16956099999999999</v>
      </c>
      <c r="R399">
        <v>1.1684089999999999E-2</v>
      </c>
      <c r="S399">
        <v>3.0645449999999999</v>
      </c>
      <c r="T399">
        <v>-0.121623</v>
      </c>
      <c r="U399">
        <v>5.160522E-2</v>
      </c>
      <c r="V399">
        <v>-6.6906869999999998E-3</v>
      </c>
      <c r="W399">
        <v>0.17816319999999999</v>
      </c>
      <c r="X399">
        <v>0.98397820000000003</v>
      </c>
      <c r="Y399">
        <v>-1.185696E-2</v>
      </c>
      <c r="Z399" s="1">
        <v>3.7819260000000003E-5</v>
      </c>
      <c r="AA399">
        <v>0.99992970000000003</v>
      </c>
      <c r="AB399">
        <v>32</v>
      </c>
      <c r="AC399">
        <v>26.520499999999998</v>
      </c>
      <c r="AD399">
        <v>-1.059456577373</v>
      </c>
      <c r="AE399">
        <v>0.44880000000000497</v>
      </c>
      <c r="AF399">
        <v>-0.31634567032284699</v>
      </c>
      <c r="AG399">
        <v>-1.059456577373</v>
      </c>
      <c r="AH399">
        <v>26.480157318174101</v>
      </c>
      <c r="AI399">
        <v>92.290987420497601</v>
      </c>
      <c r="AJ399">
        <v>90.684452488612493</v>
      </c>
      <c r="AK399">
        <v>26.503231018457299</v>
      </c>
      <c r="AL399">
        <v>79.737210298763898</v>
      </c>
      <c r="AM399">
        <v>90.389584057125106</v>
      </c>
      <c r="AN399">
        <v>0.99999999460100597</v>
      </c>
    </row>
    <row r="400" spans="1:40" x14ac:dyDescent="0.25">
      <c r="A400" t="str">
        <f>"20190312172101242"</f>
        <v>20190312172101242</v>
      </c>
      <c r="B400" t="str">
        <f>"1552382461231853"</f>
        <v>1552382461231853</v>
      </c>
      <c r="C400" t="s">
        <v>40</v>
      </c>
      <c r="D400">
        <v>3.2754089999999998</v>
      </c>
      <c r="E400">
        <v>0.4980523</v>
      </c>
      <c r="F400" t="s">
        <v>42</v>
      </c>
      <c r="G400">
        <v>-396.69499999999999</v>
      </c>
      <c r="H400" s="1">
        <v>-1.619425E-6</v>
      </c>
      <c r="I400">
        <v>368.3802</v>
      </c>
      <c r="J400">
        <v>-423.13310000000001</v>
      </c>
      <c r="K400">
        <v>1.0594330000000001</v>
      </c>
      <c r="L400">
        <v>367.91840000000002</v>
      </c>
      <c r="M400">
        <v>0.99995029999999996</v>
      </c>
      <c r="N400">
        <v>0</v>
      </c>
      <c r="O400">
        <v>4.8080789999999998E-3</v>
      </c>
      <c r="P400">
        <v>0.98543599999999998</v>
      </c>
      <c r="Q400">
        <v>0.16964870000000001</v>
      </c>
      <c r="R400">
        <v>1.163935E-2</v>
      </c>
      <c r="S400">
        <v>3.0646360000000001</v>
      </c>
      <c r="T400">
        <v>-0.1219504</v>
      </c>
      <c r="U400">
        <v>5.3253170000000002E-2</v>
      </c>
      <c r="V400">
        <v>-6.8022350000000002E-3</v>
      </c>
      <c r="W400">
        <v>0.17825929999999901</v>
      </c>
      <c r="X400">
        <v>0.98395999999999995</v>
      </c>
      <c r="Y400">
        <v>-1.2560180000000001E-2</v>
      </c>
      <c r="Z400" s="1">
        <v>5.854302E-5</v>
      </c>
      <c r="AA400">
        <v>0.99992110000000001</v>
      </c>
      <c r="AB400">
        <v>32</v>
      </c>
      <c r="AC400">
        <v>26.438099999999999</v>
      </c>
      <c r="AD400">
        <v>-1.0594346194249999</v>
      </c>
      <c r="AE400">
        <v>0.461799999999982</v>
      </c>
      <c r="AF400">
        <v>-0.33413695080342998</v>
      </c>
      <c r="AG400">
        <v>-1.0594346194249999</v>
      </c>
      <c r="AH400">
        <v>26.397638790994201</v>
      </c>
      <c r="AI400">
        <v>92.298073672972095</v>
      </c>
      <c r="AJ400">
        <v>90.725201782402493</v>
      </c>
      <c r="AK400">
        <v>26.421002686395699</v>
      </c>
      <c r="AL400">
        <v>79.731614292719101</v>
      </c>
      <c r="AM400">
        <v>90.396086373657496</v>
      </c>
      <c r="AN400">
        <v>0.999999965018742</v>
      </c>
    </row>
    <row r="401" spans="1:40" x14ac:dyDescent="0.25">
      <c r="A401" t="str">
        <f>"20190312172101254"</f>
        <v>20190312172101254</v>
      </c>
      <c r="B401" t="str">
        <f>"1552382461251373"</f>
        <v>1552382461251373</v>
      </c>
      <c r="C401" t="s">
        <v>40</v>
      </c>
      <c r="D401">
        <v>3.1647099999999999</v>
      </c>
      <c r="E401">
        <v>0.49779289999999998</v>
      </c>
      <c r="F401" t="s">
        <v>42</v>
      </c>
      <c r="G401">
        <v>-396.43060000000003</v>
      </c>
      <c r="H401" s="1">
        <v>-1.730538E-6</v>
      </c>
      <c r="I401">
        <v>368.39319999999998</v>
      </c>
      <c r="J401">
        <v>-422.95359999999999</v>
      </c>
      <c r="K401">
        <v>1.0594140000000001</v>
      </c>
      <c r="L401">
        <v>367.91910000000001</v>
      </c>
      <c r="M401">
        <v>0.99995109999999998</v>
      </c>
      <c r="N401">
        <v>0</v>
      </c>
      <c r="O401">
        <v>4.6317720000000001E-3</v>
      </c>
      <c r="P401">
        <v>0.98544200000000004</v>
      </c>
      <c r="Q401">
        <v>0.1696356</v>
      </c>
      <c r="R401">
        <v>1.132091E-2</v>
      </c>
      <c r="S401">
        <v>3.064667</v>
      </c>
      <c r="T401">
        <v>-0.12159159999999999</v>
      </c>
      <c r="U401">
        <v>5.450439E-2</v>
      </c>
      <c r="V401">
        <v>-6.6497550000000002E-3</v>
      </c>
      <c r="W401">
        <v>0.17825369999999999</v>
      </c>
      <c r="X401">
        <v>0.98396209999999995</v>
      </c>
      <c r="Y401">
        <v>-1.314386E-2</v>
      </c>
      <c r="Z401" s="1">
        <v>7.6935360000000006E-5</v>
      </c>
      <c r="AA401">
        <v>0.99991359999999996</v>
      </c>
      <c r="AB401">
        <v>32</v>
      </c>
      <c r="AC401">
        <v>26.5229999999999</v>
      </c>
      <c r="AD401">
        <v>-1.0594157305380001</v>
      </c>
      <c r="AE401">
        <v>0.47409999999996399</v>
      </c>
      <c r="AF401">
        <v>-0.35068241252178101</v>
      </c>
      <c r="AG401">
        <v>-1.0594157305380001</v>
      </c>
      <c r="AH401">
        <v>26.482672773553499</v>
      </c>
      <c r="AI401">
        <v>92.290644490984704</v>
      </c>
      <c r="AJ401">
        <v>90.7586639034661</v>
      </c>
      <c r="AK401">
        <v>26.506174697146999</v>
      </c>
      <c r="AL401">
        <v>79.731940812703598</v>
      </c>
      <c r="AM401">
        <v>90.387207084507097</v>
      </c>
      <c r="AN401">
        <v>1.00000000752083</v>
      </c>
    </row>
    <row r="402" spans="1:40" x14ac:dyDescent="0.25">
      <c r="A402" t="str">
        <f>"20190312172101272"</f>
        <v>20190312172101272</v>
      </c>
      <c r="B402" t="str">
        <f>"1552382461262112"</f>
        <v>1552382461262112</v>
      </c>
      <c r="C402" t="s">
        <v>40</v>
      </c>
      <c r="D402">
        <v>3.2736320000000001</v>
      </c>
      <c r="E402">
        <v>0.49766680000000002</v>
      </c>
      <c r="F402" t="s">
        <v>42</v>
      </c>
      <c r="G402">
        <v>-396.30200000000002</v>
      </c>
      <c r="H402" s="1">
        <v>-1.7837299999999999E-6</v>
      </c>
      <c r="I402">
        <v>368.4042</v>
      </c>
      <c r="J402">
        <v>-422.69619999999998</v>
      </c>
      <c r="K402">
        <v>1.059391</v>
      </c>
      <c r="L402">
        <v>367.92</v>
      </c>
      <c r="M402">
        <v>0.99995210000000001</v>
      </c>
      <c r="N402">
        <v>0</v>
      </c>
      <c r="O402">
        <v>4.3634720000000002E-3</v>
      </c>
      <c r="P402">
        <v>0.98545970000000005</v>
      </c>
      <c r="Q402">
        <v>0.16954179999999999</v>
      </c>
      <c r="R402">
        <v>1.116835E-2</v>
      </c>
      <c r="S402">
        <v>3.0646360000000001</v>
      </c>
      <c r="T402">
        <v>-0.1218206</v>
      </c>
      <c r="U402">
        <v>5.5786130000000003E-2</v>
      </c>
      <c r="V402">
        <v>-6.7516700000000004E-3</v>
      </c>
      <c r="W402">
        <v>0.17817249999999901</v>
      </c>
      <c r="X402">
        <v>0.98397610000000002</v>
      </c>
      <c r="Y402">
        <v>-1.3829599999999999E-2</v>
      </c>
      <c r="Z402">
        <v>1.0136350000000001E-4</v>
      </c>
      <c r="AA402">
        <v>0.99990429999999997</v>
      </c>
      <c r="AB402">
        <v>32</v>
      </c>
      <c r="AC402">
        <v>26.394200000000001</v>
      </c>
      <c r="AD402">
        <v>-1.0593927837299999</v>
      </c>
      <c r="AE402">
        <v>0.48419999999998697</v>
      </c>
      <c r="AF402">
        <v>-0.36842727835863698</v>
      </c>
      <c r="AG402">
        <v>-1.0593927837299999</v>
      </c>
      <c r="AH402">
        <v>26.3536200396242</v>
      </c>
      <c r="AI402">
        <v>92.301776756398795</v>
      </c>
      <c r="AJ402">
        <v>90.800950799335098</v>
      </c>
      <c r="AK402">
        <v>26.3774779105687</v>
      </c>
      <c r="AL402">
        <v>79.736668788880806</v>
      </c>
      <c r="AM402">
        <v>90.393135691768705</v>
      </c>
      <c r="AN402">
        <v>0.99999999508762405</v>
      </c>
    </row>
    <row r="403" spans="1:40" x14ac:dyDescent="0.25">
      <c r="A403" t="str">
        <f>"20190312172101284"</f>
        <v>20190312172101284</v>
      </c>
      <c r="B403" t="str">
        <f>"1552382461281629"</f>
        <v>1552382461281629</v>
      </c>
      <c r="C403" t="s">
        <v>40</v>
      </c>
      <c r="D403">
        <v>3.1609780000000001</v>
      </c>
      <c r="E403">
        <v>0.49746600000000002</v>
      </c>
      <c r="F403" t="s">
        <v>42</v>
      </c>
      <c r="G403">
        <v>-396.23070000000001</v>
      </c>
      <c r="H403" s="1">
        <v>-1.8140530000000001E-6</v>
      </c>
      <c r="I403">
        <v>368.40589999999997</v>
      </c>
      <c r="J403">
        <v>-422.53</v>
      </c>
      <c r="K403">
        <v>1.0593760000000001</v>
      </c>
      <c r="L403">
        <v>367.92059999999998</v>
      </c>
      <c r="M403">
        <v>0.99995290000000003</v>
      </c>
      <c r="N403">
        <v>0</v>
      </c>
      <c r="O403">
        <v>4.1823229999999999E-3</v>
      </c>
      <c r="P403">
        <v>0.98548480000000005</v>
      </c>
      <c r="Q403">
        <v>0.16942109999999999</v>
      </c>
      <c r="R403">
        <v>1.0776859999999999E-2</v>
      </c>
      <c r="S403">
        <v>3.0647280000000001</v>
      </c>
      <c r="T403">
        <v>-0.12267790000000001</v>
      </c>
      <c r="U403">
        <v>5.6274409999999997E-2</v>
      </c>
      <c r="V403">
        <v>-6.5326899999999999E-3</v>
      </c>
      <c r="W403">
        <v>0.17805989999999999</v>
      </c>
      <c r="X403">
        <v>0.98399789999999998</v>
      </c>
      <c r="Y403">
        <v>-1.416893E-2</v>
      </c>
      <c r="Z403">
        <v>1.161091E-4</v>
      </c>
      <c r="AA403">
        <v>0.9998996</v>
      </c>
      <c r="AB403">
        <v>32</v>
      </c>
      <c r="AC403">
        <v>26.299299999999899</v>
      </c>
      <c r="AD403">
        <v>-1.0593778140529999</v>
      </c>
      <c r="AE403">
        <v>0.48529999999999501</v>
      </c>
      <c r="AF403">
        <v>-0.37469159892940501</v>
      </c>
      <c r="AG403">
        <v>-1.0593778140529999</v>
      </c>
      <c r="AH403">
        <v>26.258506992935398</v>
      </c>
      <c r="AI403">
        <v>92.310063158637504</v>
      </c>
      <c r="AJ403">
        <v>90.817517551250305</v>
      </c>
      <c r="AK403">
        <v>26.2825391590168</v>
      </c>
      <c r="AL403">
        <v>79.7432245165772</v>
      </c>
      <c r="AM403">
        <v>90.380376896072093</v>
      </c>
      <c r="AN403">
        <v>0.99999993561552503</v>
      </c>
    </row>
    <row r="404" spans="1:40" x14ac:dyDescent="0.25">
      <c r="A404" t="str">
        <f>"20190312172101296"</f>
        <v>20190312172101296</v>
      </c>
      <c r="B404" t="str">
        <f>"1552382461291389"</f>
        <v>1552382461291389</v>
      </c>
      <c r="C404" t="s">
        <v>40</v>
      </c>
      <c r="D404">
        <v>3.167357</v>
      </c>
      <c r="E404">
        <v>0.49739070000000002</v>
      </c>
      <c r="F404" t="s">
        <v>42</v>
      </c>
      <c r="G404">
        <v>-396.30329999999998</v>
      </c>
      <c r="H404" s="1">
        <v>-1.7823700000000001E-6</v>
      </c>
      <c r="I404">
        <v>368.40890000000002</v>
      </c>
      <c r="J404">
        <v>-422.35950000000003</v>
      </c>
      <c r="K404">
        <v>1.059369</v>
      </c>
      <c r="L404">
        <v>367.92110000000002</v>
      </c>
      <c r="M404">
        <v>0.9999536</v>
      </c>
      <c r="N404">
        <v>0</v>
      </c>
      <c r="O404">
        <v>3.9891470000000002E-3</v>
      </c>
      <c r="P404">
        <v>0.98545769999999999</v>
      </c>
      <c r="Q404">
        <v>0.16958229999999999</v>
      </c>
      <c r="R404">
        <v>1.07365E-2</v>
      </c>
      <c r="S404">
        <v>3.0648499999999999</v>
      </c>
      <c r="T404">
        <v>-0.1237983</v>
      </c>
      <c r="U404">
        <v>5.706787E-2</v>
      </c>
      <c r="V404">
        <v>-6.6774669999999899E-3</v>
      </c>
      <c r="W404">
        <v>0.17822979999999899</v>
      </c>
      <c r="X404">
        <v>0.98396620000000001</v>
      </c>
      <c r="Y404">
        <v>-1.4619470000000001E-2</v>
      </c>
      <c r="Z404">
        <v>1.340576E-4</v>
      </c>
      <c r="AA404">
        <v>0.99989309999999998</v>
      </c>
      <c r="AB404">
        <v>32</v>
      </c>
      <c r="AC404">
        <v>26.0562</v>
      </c>
      <c r="AD404">
        <v>-1.05937078237</v>
      </c>
      <c r="AE404">
        <v>0.48779999999999202</v>
      </c>
      <c r="AF404">
        <v>-0.38321687340384197</v>
      </c>
      <c r="AG404">
        <v>-1.05937078237</v>
      </c>
      <c r="AH404">
        <v>26.014950900369499</v>
      </c>
      <c r="AI404">
        <v>92.331635541524506</v>
      </c>
      <c r="AJ404">
        <v>90.843942455760995</v>
      </c>
      <c r="AK404">
        <v>26.039331634572299</v>
      </c>
      <c r="AL404">
        <v>79.733332040610804</v>
      </c>
      <c r="AM404">
        <v>90.388819050776505</v>
      </c>
      <c r="AN404">
        <v>0.99999996645800704</v>
      </c>
    </row>
    <row r="405" spans="1:40" x14ac:dyDescent="0.25">
      <c r="A405" t="str">
        <f>"20190312172101320"</f>
        <v>20190312172101320</v>
      </c>
      <c r="B405" t="str">
        <f>"1552382461311887"</f>
        <v>1552382461311887</v>
      </c>
      <c r="C405" t="s">
        <v>40</v>
      </c>
      <c r="D405">
        <v>3.1532369999999998</v>
      </c>
      <c r="E405">
        <v>0.49722919999999998</v>
      </c>
      <c r="F405" t="s">
        <v>42</v>
      </c>
      <c r="G405">
        <v>-396.36130000000003</v>
      </c>
      <c r="H405" s="1">
        <v>-1.7575089999999999E-6</v>
      </c>
      <c r="I405">
        <v>368.40870000000001</v>
      </c>
      <c r="J405">
        <v>-422.01100000000002</v>
      </c>
      <c r="K405">
        <v>1.059345</v>
      </c>
      <c r="L405">
        <v>367.9221</v>
      </c>
      <c r="M405">
        <v>0.99995500000000004</v>
      </c>
      <c r="N405">
        <v>0</v>
      </c>
      <c r="O405">
        <v>3.5807870000000002E-3</v>
      </c>
      <c r="P405">
        <v>0.98542090000000004</v>
      </c>
      <c r="Q405">
        <v>0.16983770000000001</v>
      </c>
      <c r="R405">
        <v>1.0046650000000001E-2</v>
      </c>
      <c r="S405">
        <v>3.0650940000000002</v>
      </c>
      <c r="T405">
        <v>-0.1248956</v>
      </c>
      <c r="U405">
        <v>5.7495119999999997E-2</v>
      </c>
      <c r="V405">
        <v>-6.3810859999999898E-3</v>
      </c>
      <c r="W405">
        <v>0.17850189999999999</v>
      </c>
      <c r="X405">
        <v>0.98391879999999998</v>
      </c>
      <c r="Y405">
        <v>-1.51647E-2</v>
      </c>
      <c r="Z405">
        <v>1.629685E-4</v>
      </c>
      <c r="AA405">
        <v>0.99988500000000002</v>
      </c>
      <c r="AB405">
        <v>32</v>
      </c>
      <c r="AC405">
        <v>25.6496999999999</v>
      </c>
      <c r="AD405">
        <v>-1.0593467575090001</v>
      </c>
      <c r="AE405">
        <v>0.48660000000000903</v>
      </c>
      <c r="AF405">
        <v>-0.39407527709286799</v>
      </c>
      <c r="AG405">
        <v>-1.0593467575090001</v>
      </c>
      <c r="AH405">
        <v>25.607613921258999</v>
      </c>
      <c r="AI405">
        <v>92.368605540970904</v>
      </c>
      <c r="AJ405">
        <v>90.881654500446302</v>
      </c>
      <c r="AK405">
        <v>25.632545749825901</v>
      </c>
      <c r="AL405">
        <v>79.717487360848693</v>
      </c>
      <c r="AM405">
        <v>90.371579616915895</v>
      </c>
      <c r="AN405">
        <v>0.99999992577779195</v>
      </c>
    </row>
    <row r="406" spans="1:40" x14ac:dyDescent="0.25">
      <c r="A406" t="str">
        <f>"20190312172101333"</f>
        <v>20190312172101333</v>
      </c>
      <c r="B406" t="str">
        <f>"1552382461321645"</f>
        <v>1552382461321645</v>
      </c>
      <c r="C406" t="s">
        <v>40</v>
      </c>
      <c r="D406">
        <v>3.1558320000000002</v>
      </c>
      <c r="E406">
        <v>0.49713960000000001</v>
      </c>
      <c r="F406" t="s">
        <v>42</v>
      </c>
      <c r="G406">
        <v>-396.21370000000002</v>
      </c>
      <c r="H406" s="1">
        <v>-1.822527E-6</v>
      </c>
      <c r="I406">
        <v>368.39920000000001</v>
      </c>
      <c r="J406">
        <v>-421.81979999999999</v>
      </c>
      <c r="K406">
        <v>1.059339</v>
      </c>
      <c r="L406">
        <v>367.92259999999999</v>
      </c>
      <c r="M406">
        <v>0.9999557</v>
      </c>
      <c r="N406">
        <v>0</v>
      </c>
      <c r="O406">
        <v>3.3490949999999998E-3</v>
      </c>
      <c r="P406">
        <v>0.98544109999999996</v>
      </c>
      <c r="Q406">
        <v>0.16973729999999901</v>
      </c>
      <c r="R406">
        <v>9.7533020000000002E-3</v>
      </c>
      <c r="S406">
        <v>3.0655519999999998</v>
      </c>
      <c r="T406">
        <v>-0.1258841</v>
      </c>
      <c r="U406">
        <v>5.6701660000000001E-2</v>
      </c>
      <c r="V406">
        <v>-6.3131630000000001E-3</v>
      </c>
      <c r="W406">
        <v>0.17841089999999901</v>
      </c>
      <c r="X406">
        <v>0.98393580000000003</v>
      </c>
      <c r="Y406">
        <v>-1.513455E-2</v>
      </c>
      <c r="Z406">
        <v>1.7312379999999999E-4</v>
      </c>
      <c r="AA406">
        <v>0.99988540000000004</v>
      </c>
      <c r="AB406">
        <v>32</v>
      </c>
      <c r="AC406">
        <v>25.606099999999898</v>
      </c>
      <c r="AD406">
        <v>-1.059340822527</v>
      </c>
      <c r="AE406">
        <v>0.47660000000001901</v>
      </c>
      <c r="AF406">
        <v>-0.390169192165291</v>
      </c>
      <c r="AG406">
        <v>-1.059340822527</v>
      </c>
      <c r="AH406">
        <v>25.563814538521299</v>
      </c>
      <c r="AI406">
        <v>92.3726504356585</v>
      </c>
      <c r="AJ406">
        <v>90.874412243087406</v>
      </c>
      <c r="AK406">
        <v>25.588728939450998</v>
      </c>
      <c r="AL406">
        <v>79.722786920289394</v>
      </c>
      <c r="AM406">
        <v>90.367618122709402</v>
      </c>
      <c r="AN406">
        <v>0.99999998189375705</v>
      </c>
    </row>
    <row r="407" spans="1:40" x14ac:dyDescent="0.25">
      <c r="A407" t="str">
        <f>"20190312172101353"</f>
        <v>20190312172101353</v>
      </c>
      <c r="B407" t="str">
        <f>"1552382461342141"</f>
        <v>1552382461342141</v>
      </c>
      <c r="C407" t="s">
        <v>40</v>
      </c>
      <c r="D407">
        <v>3.1714739999999999</v>
      </c>
      <c r="E407">
        <v>0.49693500000000002</v>
      </c>
      <c r="F407" t="s">
        <v>42</v>
      </c>
      <c r="G407">
        <v>-396.21</v>
      </c>
      <c r="H407" s="1">
        <v>-1.824596E-6</v>
      </c>
      <c r="I407">
        <v>368.3965</v>
      </c>
      <c r="J407">
        <v>-421.53769999999997</v>
      </c>
      <c r="K407">
        <v>1.059331</v>
      </c>
      <c r="L407">
        <v>367.92320000000001</v>
      </c>
      <c r="M407">
        <v>0.99995670000000003</v>
      </c>
      <c r="N407">
        <v>0</v>
      </c>
      <c r="O407">
        <v>3.0040560000000002E-3</v>
      </c>
      <c r="P407">
        <v>0.98543480000000006</v>
      </c>
      <c r="Q407">
        <v>0.1698027</v>
      </c>
      <c r="R407">
        <v>9.2475990000000004E-3</v>
      </c>
      <c r="S407">
        <v>3.065582</v>
      </c>
      <c r="T407">
        <v>-0.12680630000000001</v>
      </c>
      <c r="U407">
        <v>5.673218E-2</v>
      </c>
      <c r="V407">
        <v>-6.1436999999999898E-3</v>
      </c>
      <c r="W407">
        <v>0.1784907</v>
      </c>
      <c r="X407">
        <v>0.98392239999999997</v>
      </c>
      <c r="Y407">
        <v>-1.548858E-2</v>
      </c>
      <c r="Z407">
        <v>1.9597310000000001E-4</v>
      </c>
      <c r="AA407">
        <v>0.99987999999999999</v>
      </c>
      <c r="AB407">
        <v>32</v>
      </c>
      <c r="AC407">
        <v>25.3277</v>
      </c>
      <c r="AD407">
        <v>-1.0593328245960001</v>
      </c>
      <c r="AE407">
        <v>0.473299999999994</v>
      </c>
      <c r="AF407">
        <v>-0.39651568654507002</v>
      </c>
      <c r="AG407">
        <v>-1.0593328245960001</v>
      </c>
      <c r="AH407">
        <v>25.284791415275901</v>
      </c>
      <c r="AI407">
        <v>92.398769091294895</v>
      </c>
      <c r="AJ407">
        <v>90.898437835256004</v>
      </c>
      <c r="AK407">
        <v>25.310078775795098</v>
      </c>
      <c r="AL407">
        <v>79.718140133059194</v>
      </c>
      <c r="AM407">
        <v>90.357755353396897</v>
      </c>
      <c r="AN407">
        <v>0.99999998212896901</v>
      </c>
    </row>
    <row r="408" spans="1:40" x14ac:dyDescent="0.25">
      <c r="A408" t="str">
        <f>"20190312172101373"</f>
        <v>20190312172101373</v>
      </c>
      <c r="B408" t="str">
        <f>"1552382461361661"</f>
        <v>1552382461361661</v>
      </c>
      <c r="C408" t="s">
        <v>40</v>
      </c>
      <c r="D408">
        <v>3.1611470000000002</v>
      </c>
      <c r="E408">
        <v>0.49672149999999998</v>
      </c>
      <c r="F408" t="s">
        <v>42</v>
      </c>
      <c r="G408">
        <v>-396.03609999999998</v>
      </c>
      <c r="H408" s="1">
        <v>-1.8995640000000001E-6</v>
      </c>
      <c r="I408">
        <v>368.39429999999999</v>
      </c>
      <c r="J408">
        <v>-421.2543</v>
      </c>
      <c r="K408">
        <v>1.0593239999999999</v>
      </c>
      <c r="L408">
        <v>367.9237</v>
      </c>
      <c r="M408">
        <v>0.9999576</v>
      </c>
      <c r="N408">
        <v>0</v>
      </c>
      <c r="O408">
        <v>2.6545700000000002E-3</v>
      </c>
      <c r="P408">
        <v>0.98546279999999997</v>
      </c>
      <c r="Q408">
        <v>0.1696511</v>
      </c>
      <c r="R408">
        <v>9.0425330000000002E-3</v>
      </c>
      <c r="S408">
        <v>3.0657960000000002</v>
      </c>
      <c r="T408">
        <v>-0.12735270000000001</v>
      </c>
      <c r="U408">
        <v>5.6640629999999997E-2</v>
      </c>
      <c r="V408">
        <v>-6.2803850000000003E-3</v>
      </c>
      <c r="W408">
        <v>0.1783546</v>
      </c>
      <c r="X408">
        <v>0.98394630000000005</v>
      </c>
      <c r="Y408">
        <v>-1.5806239999999999E-2</v>
      </c>
      <c r="Z408">
        <v>2.17908E-4</v>
      </c>
      <c r="AA408">
        <v>0.99987510000000002</v>
      </c>
      <c r="AB408">
        <v>32</v>
      </c>
      <c r="AC408">
        <v>25.2182</v>
      </c>
      <c r="AD408">
        <v>-1.059325899564</v>
      </c>
      <c r="AE408">
        <v>0.47059999999999003</v>
      </c>
      <c r="AF408">
        <v>-0.40294150389104499</v>
      </c>
      <c r="AG408">
        <v>-1.059325899564</v>
      </c>
      <c r="AH408">
        <v>25.1749537310404</v>
      </c>
      <c r="AI408">
        <v>92.409194486736894</v>
      </c>
      <c r="AJ408">
        <v>90.916977907641396</v>
      </c>
      <c r="AK408">
        <v>25.2004529438872</v>
      </c>
      <c r="AL408">
        <v>79.726066105335093</v>
      </c>
      <c r="AM408">
        <v>90.365705595536497</v>
      </c>
      <c r="AN408">
        <v>1.00000006393029</v>
      </c>
    </row>
    <row r="409" spans="1:40" x14ac:dyDescent="0.25">
      <c r="A409" t="str">
        <f>"20190312172101384"</f>
        <v>20190312172101384</v>
      </c>
      <c r="B409" t="str">
        <f>"1552382461382157"</f>
        <v>1552382461382157</v>
      </c>
      <c r="C409" t="s">
        <v>40</v>
      </c>
      <c r="D409">
        <v>3.1626289999999999</v>
      </c>
      <c r="E409">
        <v>0.49662339999999999</v>
      </c>
      <c r="F409" t="s">
        <v>42</v>
      </c>
      <c r="G409">
        <v>-396.01190000000003</v>
      </c>
      <c r="H409" s="1">
        <v>-1.9093239999999999E-6</v>
      </c>
      <c r="I409">
        <v>368.39780000000002</v>
      </c>
      <c r="J409">
        <v>-421.08420000000001</v>
      </c>
      <c r="K409">
        <v>1.0593220000000001</v>
      </c>
      <c r="L409">
        <v>367.92399999999998</v>
      </c>
      <c r="M409">
        <v>0.99995789999999996</v>
      </c>
      <c r="N409">
        <v>0</v>
      </c>
      <c r="O409">
        <v>2.4438480000000002E-3</v>
      </c>
      <c r="P409">
        <v>0.98549010000000004</v>
      </c>
      <c r="Q409">
        <v>0.1694996</v>
      </c>
      <c r="R409">
        <v>8.8987500000000004E-3</v>
      </c>
      <c r="S409">
        <v>3.065887</v>
      </c>
      <c r="T409">
        <v>-0.1286629</v>
      </c>
      <c r="U409">
        <v>5.758667E-2</v>
      </c>
      <c r="V409">
        <v>-6.3429539999999996E-3</v>
      </c>
      <c r="W409">
        <v>0.17821239999999999</v>
      </c>
      <c r="X409">
        <v>0.98397159999999995</v>
      </c>
      <c r="Y409">
        <v>-1.6323939999999999E-2</v>
      </c>
      <c r="Z409">
        <v>2.3983650000000001E-4</v>
      </c>
      <c r="AA409">
        <v>0.9998667</v>
      </c>
      <c r="AB409">
        <v>32</v>
      </c>
      <c r="AC409">
        <v>25.072299999999899</v>
      </c>
      <c r="AD409">
        <v>-1.0593239093239999</v>
      </c>
      <c r="AE409">
        <v>0.47379999999998201</v>
      </c>
      <c r="AF409">
        <v>-0.41178846568835198</v>
      </c>
      <c r="AG409">
        <v>-1.0593239093239999</v>
      </c>
      <c r="AH409">
        <v>25.028719562259599</v>
      </c>
      <c r="AI409">
        <v>92.423231746791302</v>
      </c>
      <c r="AJ409">
        <v>90.942581683627296</v>
      </c>
      <c r="AK409">
        <v>25.0545113664501</v>
      </c>
      <c r="AL409">
        <v>79.734345566941798</v>
      </c>
      <c r="AM409">
        <v>90.369339379304705</v>
      </c>
      <c r="AN409">
        <v>1.00000000109288</v>
      </c>
    </row>
    <row r="410" spans="1:40" x14ac:dyDescent="0.25">
      <c r="A410" t="str">
        <f>"20190312172101395"</f>
        <v>20190312172101395</v>
      </c>
      <c r="B410" t="str">
        <f>"1552382461391917"</f>
        <v>1552382461391917</v>
      </c>
      <c r="C410" t="s">
        <v>40</v>
      </c>
      <c r="D410">
        <v>3.158795</v>
      </c>
      <c r="E410">
        <v>0.49652420000000003</v>
      </c>
      <c r="F410" t="s">
        <v>42</v>
      </c>
      <c r="G410">
        <v>-396.16430000000003</v>
      </c>
      <c r="H410" s="1">
        <v>-1.8448060000000001E-6</v>
      </c>
      <c r="I410">
        <v>368.3929</v>
      </c>
      <c r="J410">
        <v>-420.91930000000002</v>
      </c>
      <c r="K410">
        <v>1.05932</v>
      </c>
      <c r="L410">
        <v>367.92419999999998</v>
      </c>
      <c r="M410">
        <v>0.99995849999999997</v>
      </c>
      <c r="N410">
        <v>0</v>
      </c>
      <c r="O410">
        <v>2.2392150000000001E-3</v>
      </c>
      <c r="P410">
        <v>0.98548020000000003</v>
      </c>
      <c r="Q410">
        <v>0.16957329999999901</v>
      </c>
      <c r="R410">
        <v>8.6138099999999995E-3</v>
      </c>
      <c r="S410">
        <v>3.066071</v>
      </c>
      <c r="T410">
        <v>-0.1303358</v>
      </c>
      <c r="U410">
        <v>5.7708740000000001E-2</v>
      </c>
      <c r="V410">
        <v>-6.2584030000000001E-3</v>
      </c>
      <c r="W410">
        <v>0.17829449999999999</v>
      </c>
      <c r="X410">
        <v>0.98395730000000003</v>
      </c>
      <c r="Y410">
        <v>-1.656651E-2</v>
      </c>
      <c r="Z410">
        <v>2.5678469999999999E-4</v>
      </c>
      <c r="AA410">
        <v>0.99986269999999999</v>
      </c>
      <c r="AB410">
        <v>32</v>
      </c>
      <c r="AC410">
        <v>24.7549999999999</v>
      </c>
      <c r="AD410">
        <v>-1.059321844806</v>
      </c>
      <c r="AE410">
        <v>0.468700000000012</v>
      </c>
      <c r="AF410">
        <v>-0.41250978883046802</v>
      </c>
      <c r="AG410">
        <v>-1.059321844806</v>
      </c>
      <c r="AH410">
        <v>24.710753979559101</v>
      </c>
      <c r="AI410">
        <v>92.454360226437004</v>
      </c>
      <c r="AJ410">
        <v>90.956380157435404</v>
      </c>
      <c r="AK410">
        <v>24.736889241274099</v>
      </c>
      <c r="AL410">
        <v>79.729565344918598</v>
      </c>
      <c r="AM410">
        <v>90.364421548608803</v>
      </c>
      <c r="AN410">
        <v>1.00000003228082</v>
      </c>
    </row>
    <row r="411" spans="1:40" x14ac:dyDescent="0.25">
      <c r="A411" t="str">
        <f>"20190312172101407"</f>
        <v>20190312172101407</v>
      </c>
      <c r="B411" t="str">
        <f>"1552382461401943"</f>
        <v>1552382461401943</v>
      </c>
      <c r="C411" t="s">
        <v>40</v>
      </c>
      <c r="D411">
        <v>3.234585</v>
      </c>
      <c r="E411">
        <v>0.49652420000000003</v>
      </c>
      <c r="F411" t="s">
        <v>42</v>
      </c>
      <c r="G411">
        <v>-396.0104</v>
      </c>
      <c r="H411" s="1">
        <v>-1.9112270000000001E-6</v>
      </c>
      <c r="I411">
        <v>368.39069999999998</v>
      </c>
      <c r="J411">
        <v>-420.75470000000001</v>
      </c>
      <c r="K411">
        <v>1.059323</v>
      </c>
      <c r="L411">
        <v>367.92439999999999</v>
      </c>
      <c r="M411">
        <v>0.99995849999999997</v>
      </c>
      <c r="N411">
        <v>0</v>
      </c>
      <c r="O411">
        <v>2.0355989999999999E-3</v>
      </c>
      <c r="P411">
        <v>0.98545780000000005</v>
      </c>
      <c r="Q411">
        <v>0.16971229999999901</v>
      </c>
      <c r="R411">
        <v>8.4109040000000003E-3</v>
      </c>
      <c r="S411">
        <v>3.0661320000000001</v>
      </c>
      <c r="T411">
        <v>-0.1303956</v>
      </c>
      <c r="U411">
        <v>5.7434079999999998E-2</v>
      </c>
      <c r="V411">
        <v>-6.2549210000000001E-3</v>
      </c>
      <c r="W411">
        <v>0.17846619999999999</v>
      </c>
      <c r="X411">
        <v>0.98392619999999997</v>
      </c>
      <c r="Y411">
        <v>-1.6679900000000001E-2</v>
      </c>
      <c r="Z411">
        <v>2.6796209999999999E-4</v>
      </c>
      <c r="AA411">
        <v>0.99986079999999999</v>
      </c>
      <c r="AB411">
        <v>32</v>
      </c>
      <c r="AC411">
        <v>24.744299999999999</v>
      </c>
      <c r="AD411">
        <v>-1.059324911227</v>
      </c>
      <c r="AE411">
        <v>0.466299999999989</v>
      </c>
      <c r="AF411">
        <v>-0.41516693994722598</v>
      </c>
      <c r="AG411">
        <v>-1.059324911227</v>
      </c>
      <c r="AH411">
        <v>24.699944713891998</v>
      </c>
      <c r="AI411">
        <v>92.455435377686996</v>
      </c>
      <c r="AJ411">
        <v>90.962960603935997</v>
      </c>
      <c r="AK411">
        <v>24.7261360047398</v>
      </c>
      <c r="AL411">
        <v>79.71956736496</v>
      </c>
      <c r="AM411">
        <v>90.364230312077893</v>
      </c>
      <c r="AN411">
        <v>1.00000003781279</v>
      </c>
    </row>
    <row r="412" spans="1:40" x14ac:dyDescent="0.25">
      <c r="A412" t="str">
        <f>"20190312172101420"</f>
        <v>20190312172101420</v>
      </c>
      <c r="B412" t="str">
        <f>"1552382461411703"</f>
        <v>1552382461411703</v>
      </c>
      <c r="C412" t="s">
        <v>40</v>
      </c>
      <c r="D412">
        <v>3.171926</v>
      </c>
      <c r="E412">
        <v>0.49647590000000003</v>
      </c>
      <c r="F412" t="s">
        <v>42</v>
      </c>
      <c r="G412">
        <v>-395.76549999999997</v>
      </c>
      <c r="H412" s="1">
        <v>-2.0168290000000001E-6</v>
      </c>
      <c r="I412">
        <v>368.3877</v>
      </c>
      <c r="J412">
        <v>-420.5575</v>
      </c>
      <c r="K412">
        <v>1.0593349999999999</v>
      </c>
      <c r="L412">
        <v>367.9246</v>
      </c>
      <c r="M412">
        <v>0.99995860000000003</v>
      </c>
      <c r="N412">
        <v>0</v>
      </c>
      <c r="O412">
        <v>1.7919050000000001E-3</v>
      </c>
      <c r="P412">
        <v>0.98543820000000004</v>
      </c>
      <c r="Q412">
        <v>0.1698335</v>
      </c>
      <c r="R412">
        <v>8.2689649999999996E-3</v>
      </c>
      <c r="S412">
        <v>3.0661320000000001</v>
      </c>
      <c r="T412">
        <v>-0.12997700000000001</v>
      </c>
      <c r="U412">
        <v>5.6854250000000002E-2</v>
      </c>
      <c r="V412">
        <v>-6.3518280000000003E-3</v>
      </c>
      <c r="W412">
        <v>0.1786469</v>
      </c>
      <c r="X412">
        <v>0.98389269999999995</v>
      </c>
      <c r="Y412">
        <v>-1.6734369999999998E-2</v>
      </c>
      <c r="Z412">
        <v>2.785822E-4</v>
      </c>
      <c r="AA412">
        <v>0.99985990000000002</v>
      </c>
      <c r="AB412">
        <v>32</v>
      </c>
      <c r="AC412">
        <v>24.792000000000002</v>
      </c>
      <c r="AD412">
        <v>-1.0593370168289999</v>
      </c>
      <c r="AE412">
        <v>0.46309999999999701</v>
      </c>
      <c r="AF412">
        <v>-0.417909840216454</v>
      </c>
      <c r="AG412">
        <v>-1.0593370168289999</v>
      </c>
      <c r="AH412">
        <v>24.747622444980301</v>
      </c>
      <c r="AI412">
        <v>92.450735349484404</v>
      </c>
      <c r="AJ412">
        <v>90.967454326242205</v>
      </c>
      <c r="AK412">
        <v>24.773809965951301</v>
      </c>
      <c r="AL412">
        <v>79.709044034794999</v>
      </c>
      <c r="AM412">
        <v>90.369885741379406</v>
      </c>
      <c r="AN412">
        <v>0.99999995285591903</v>
      </c>
    </row>
    <row r="413" spans="1:40" x14ac:dyDescent="0.25">
      <c r="A413" t="str">
        <f>"20190312172101432"</f>
        <v>20190312172101432</v>
      </c>
      <c r="B413" t="str">
        <f>"1552382461421463"</f>
        <v>1552382461421463</v>
      </c>
      <c r="C413" t="s">
        <v>40</v>
      </c>
      <c r="D413">
        <v>3.2682380000000002</v>
      </c>
      <c r="E413">
        <v>0.496415</v>
      </c>
      <c r="F413" t="s">
        <v>42</v>
      </c>
      <c r="G413">
        <v>-395.51519999999999</v>
      </c>
      <c r="H413" s="1">
        <v>-2.1235979999999998E-6</v>
      </c>
      <c r="I413">
        <v>368.39109999999999</v>
      </c>
      <c r="J413">
        <v>-420.38159999999999</v>
      </c>
      <c r="K413">
        <v>1.0593570000000001</v>
      </c>
      <c r="L413">
        <v>367.92469999999997</v>
      </c>
      <c r="M413">
        <v>0.99995780000000001</v>
      </c>
      <c r="N413">
        <v>0</v>
      </c>
      <c r="O413">
        <v>1.5727950000000001E-3</v>
      </c>
      <c r="P413">
        <v>0.98546659999999997</v>
      </c>
      <c r="Q413">
        <v>0.16966899999999999</v>
      </c>
      <c r="R413">
        <v>8.2648749999999997E-3</v>
      </c>
      <c r="S413">
        <v>3.0661619999999998</v>
      </c>
      <c r="T413">
        <v>-0.12970419999999999</v>
      </c>
      <c r="U413">
        <v>5.7128909999999998E-2</v>
      </c>
      <c r="V413">
        <v>-6.5611230000000003E-3</v>
      </c>
      <c r="W413">
        <v>0.17860419999999999</v>
      </c>
      <c r="X413">
        <v>0.98389910000000003</v>
      </c>
      <c r="Y413">
        <v>-1.7042379999999999E-2</v>
      </c>
      <c r="Z413">
        <v>2.9377059999999999E-4</v>
      </c>
      <c r="AA413">
        <v>0.99985469999999999</v>
      </c>
      <c r="AB413">
        <v>32</v>
      </c>
      <c r="AC413">
        <v>24.866399999999999</v>
      </c>
      <c r="AD413">
        <v>-1.05935912359799</v>
      </c>
      <c r="AE413">
        <v>0.46640000000002102</v>
      </c>
      <c r="AF413">
        <v>-0.42651424883151101</v>
      </c>
      <c r="AG413">
        <v>-1.05935912359799</v>
      </c>
      <c r="AH413">
        <v>24.8220682760148</v>
      </c>
      <c r="AI413">
        <v>92.443432702777699</v>
      </c>
      <c r="AJ413">
        <v>90.9844087710011</v>
      </c>
      <c r="AK413">
        <v>24.8483244838832</v>
      </c>
      <c r="AL413">
        <v>79.711530772780506</v>
      </c>
      <c r="AM413">
        <v>90.382070767836893</v>
      </c>
      <c r="AN413">
        <v>0.999999973786735</v>
      </c>
    </row>
    <row r="414" spans="1:40" x14ac:dyDescent="0.25">
      <c r="A414" t="str">
        <f>"20190312172101452"</f>
        <v>20190312172101452</v>
      </c>
      <c r="B414" t="str">
        <f>"1552382461441958"</f>
        <v>1552382461441958</v>
      </c>
      <c r="C414" t="s">
        <v>40</v>
      </c>
      <c r="D414">
        <v>3.1843840000000001</v>
      </c>
      <c r="E414">
        <v>0.49631609999999998</v>
      </c>
      <c r="F414" t="s">
        <v>42</v>
      </c>
      <c r="G414">
        <v>-395.44060000000002</v>
      </c>
      <c r="H414" s="1">
        <v>-2.1559840000000002E-6</v>
      </c>
      <c r="I414">
        <v>368.38909999999998</v>
      </c>
      <c r="J414">
        <v>-420.10140000000001</v>
      </c>
      <c r="K414">
        <v>1.0593969999999999</v>
      </c>
      <c r="L414">
        <v>367.9248</v>
      </c>
      <c r="M414">
        <v>0.99995630000000002</v>
      </c>
      <c r="N414">
        <v>0</v>
      </c>
      <c r="O414">
        <v>1.2270650000000001E-3</v>
      </c>
      <c r="P414">
        <v>0.98545799999999995</v>
      </c>
      <c r="Q414">
        <v>0.16972619999999999</v>
      </c>
      <c r="R414">
        <v>8.1182010000000002E-3</v>
      </c>
      <c r="S414">
        <v>3.0661930000000002</v>
      </c>
      <c r="T414">
        <v>-0.13023470000000001</v>
      </c>
      <c r="U414">
        <v>5.7098389999999999E-2</v>
      </c>
      <c r="V414">
        <v>-6.7507950000000004E-3</v>
      </c>
      <c r="W414">
        <v>0.178875799999999</v>
      </c>
      <c r="X414">
        <v>0.98384850000000001</v>
      </c>
      <c r="Y414">
        <v>-1.7377219999999999E-2</v>
      </c>
      <c r="Z414">
        <v>3.167523E-4</v>
      </c>
      <c r="AA414">
        <v>0.99984899999999999</v>
      </c>
      <c r="AB414">
        <v>32</v>
      </c>
      <c r="AC414">
        <v>24.660799999999899</v>
      </c>
      <c r="AD414">
        <v>-1.0593991559839999</v>
      </c>
      <c r="AE414">
        <v>0.46429999999998001</v>
      </c>
      <c r="AF414">
        <v>-0.43323870430167699</v>
      </c>
      <c r="AG414">
        <v>-1.0593991559839999</v>
      </c>
      <c r="AH414">
        <v>24.615939518877401</v>
      </c>
      <c r="AI414">
        <v>92.463943538087406</v>
      </c>
      <c r="AJ414">
        <v>91.008297356494197</v>
      </c>
      <c r="AK414">
        <v>24.6425343815046</v>
      </c>
      <c r="AL414">
        <v>79.695714791663306</v>
      </c>
      <c r="AM414">
        <v>90.393135723372097</v>
      </c>
      <c r="AN414">
        <v>0.99999999800551098</v>
      </c>
    </row>
    <row r="415" spans="1:40" x14ac:dyDescent="0.25">
      <c r="A415" t="str">
        <f>"20190312172101464"</f>
        <v>20190312172101464</v>
      </c>
      <c r="B415" t="str">
        <f>"1552382461461480"</f>
        <v>1552382461461480</v>
      </c>
      <c r="C415" t="s">
        <v>40</v>
      </c>
      <c r="D415">
        <v>3.155243</v>
      </c>
      <c r="E415">
        <v>0.49621949999999998</v>
      </c>
      <c r="F415" t="s">
        <v>42</v>
      </c>
      <c r="G415">
        <v>-395.15940000000001</v>
      </c>
      <c r="H415" s="1">
        <v>-2.2763020000000002E-6</v>
      </c>
      <c r="I415">
        <v>368.39069999999998</v>
      </c>
      <c r="J415">
        <v>-419.92970000000003</v>
      </c>
      <c r="K415">
        <v>1.0594190000000001</v>
      </c>
      <c r="L415">
        <v>367.9248</v>
      </c>
      <c r="M415">
        <v>0.99995520000000004</v>
      </c>
      <c r="N415">
        <v>0</v>
      </c>
      <c r="O415">
        <v>1.0160950000000001E-3</v>
      </c>
      <c r="P415">
        <v>0.98549180000000003</v>
      </c>
      <c r="Q415">
        <v>0.16953360000000001</v>
      </c>
      <c r="R415">
        <v>8.0407099999999995E-3</v>
      </c>
      <c r="S415">
        <v>3.0662229999999999</v>
      </c>
      <c r="T415">
        <v>-0.13023599999999999</v>
      </c>
      <c r="U415">
        <v>5.7281489999999997E-2</v>
      </c>
      <c r="V415">
        <v>-6.8779990000000001E-3</v>
      </c>
      <c r="W415">
        <v>0.17882190000000001</v>
      </c>
      <c r="X415">
        <v>0.98385739999999999</v>
      </c>
      <c r="Y415">
        <v>-1.764723E-2</v>
      </c>
      <c r="Z415">
        <v>3.314398E-4</v>
      </c>
      <c r="AA415">
        <v>0.99984419999999996</v>
      </c>
      <c r="AB415">
        <v>32</v>
      </c>
      <c r="AC415">
        <v>24.770299999999999</v>
      </c>
      <c r="AD415">
        <v>-1.0594212763019999</v>
      </c>
      <c r="AE415">
        <v>0.465899999999976</v>
      </c>
      <c r="AF415">
        <v>-0.43992521495100001</v>
      </c>
      <c r="AG415">
        <v>-1.0594212763019999</v>
      </c>
      <c r="AH415">
        <v>24.725547233539899</v>
      </c>
      <c r="AI415">
        <v>92.453077129195606</v>
      </c>
      <c r="AJ415">
        <v>91.019318140975798</v>
      </c>
      <c r="AK415">
        <v>24.752143212930999</v>
      </c>
      <c r="AL415">
        <v>79.698853467867494</v>
      </c>
      <c r="AM415">
        <v>90.4005396458424</v>
      </c>
      <c r="AN415">
        <v>0.99999998116230604</v>
      </c>
    </row>
    <row r="416" spans="1:40" x14ac:dyDescent="0.25">
      <c r="A416" t="str">
        <f>"20190312172101478"</f>
        <v>20190312172101478</v>
      </c>
      <c r="B416" t="str">
        <f>"1552382461472215"</f>
        <v>1552382461472215</v>
      </c>
      <c r="C416" t="s">
        <v>40</v>
      </c>
      <c r="D416">
        <v>3.2674569999999998</v>
      </c>
      <c r="E416">
        <v>0.49617699999999998</v>
      </c>
      <c r="F416" t="s">
        <v>42</v>
      </c>
      <c r="G416">
        <v>-395.14100000000002</v>
      </c>
      <c r="H416" s="1">
        <v>-2.2841049999999998E-6</v>
      </c>
      <c r="I416">
        <v>368.3913</v>
      </c>
      <c r="J416">
        <v>-419.7285</v>
      </c>
      <c r="K416">
        <v>1.059442</v>
      </c>
      <c r="L416">
        <v>367.9248</v>
      </c>
      <c r="M416">
        <v>0.9999538</v>
      </c>
      <c r="N416">
        <v>0</v>
      </c>
      <c r="O416">
        <v>7.6815360000000003E-4</v>
      </c>
      <c r="P416">
        <v>0.98553489999999999</v>
      </c>
      <c r="Q416">
        <v>0.16928699999999999</v>
      </c>
      <c r="R416">
        <v>7.9547070000000001E-3</v>
      </c>
      <c r="S416">
        <v>3.0662539999999998</v>
      </c>
      <c r="T416">
        <v>-0.1310451</v>
      </c>
      <c r="U416">
        <v>5.7708740000000001E-2</v>
      </c>
      <c r="V416">
        <v>-7.0338639999999999E-3</v>
      </c>
      <c r="W416">
        <v>0.17873739999999999</v>
      </c>
      <c r="X416">
        <v>0.98387159999999996</v>
      </c>
      <c r="Y416">
        <v>-1.8033460000000001E-2</v>
      </c>
      <c r="Z416">
        <v>3.5233299999999998E-4</v>
      </c>
      <c r="AA416">
        <v>0.99983730000000004</v>
      </c>
      <c r="AB416">
        <v>32</v>
      </c>
      <c r="AC416">
        <v>24.587499999999999</v>
      </c>
      <c r="AD416">
        <v>-1.059444284105</v>
      </c>
      <c r="AE416">
        <v>0.46649999999999597</v>
      </c>
      <c r="AF416">
        <v>-0.44678280273591497</v>
      </c>
      <c r="AG416">
        <v>-1.059444284105</v>
      </c>
      <c r="AH416">
        <v>24.542301305391099</v>
      </c>
      <c r="AI416">
        <v>92.471405782960403</v>
      </c>
      <c r="AJ416">
        <v>91.042931603064204</v>
      </c>
      <c r="AK416">
        <v>24.569220387072601</v>
      </c>
      <c r="AL416">
        <v>79.703773699846906</v>
      </c>
      <c r="AM416">
        <v>90.409610212387406</v>
      </c>
      <c r="AN416">
        <v>0.99999992934404203</v>
      </c>
    </row>
    <row r="417" spans="1:40" x14ac:dyDescent="0.25">
      <c r="A417" t="str">
        <f>"20190312172101495"</f>
        <v>20190312172101495</v>
      </c>
      <c r="B417" t="str">
        <f>"1552382461491736"</f>
        <v>1552382461491736</v>
      </c>
      <c r="C417" t="s">
        <v>40</v>
      </c>
      <c r="D417">
        <v>3.269962</v>
      </c>
      <c r="E417">
        <v>0.49608799999999997</v>
      </c>
      <c r="F417" t="s">
        <v>42</v>
      </c>
      <c r="G417">
        <v>-395.1062</v>
      </c>
      <c r="H417" s="1">
        <v>-2.299202E-6</v>
      </c>
      <c r="I417">
        <v>368.3904</v>
      </c>
      <c r="J417">
        <v>-419.47250000000003</v>
      </c>
      <c r="K417">
        <v>1.0594680000000001</v>
      </c>
      <c r="L417">
        <v>367.9246</v>
      </c>
      <c r="M417">
        <v>0.99995199999999995</v>
      </c>
      <c r="N417">
        <v>0</v>
      </c>
      <c r="O417">
        <v>4.4985110000000001E-4</v>
      </c>
      <c r="P417">
        <v>0.98555599999999999</v>
      </c>
      <c r="Q417">
        <v>0.1691685</v>
      </c>
      <c r="R417">
        <v>7.8481339999999997E-3</v>
      </c>
      <c r="S417">
        <v>3.0662229999999999</v>
      </c>
      <c r="T417">
        <v>-0.13193239999999901</v>
      </c>
      <c r="U417">
        <v>5.7983399999999997E-2</v>
      </c>
      <c r="V417">
        <v>-7.2383009999999999E-3</v>
      </c>
      <c r="W417">
        <v>0.17881949999999999</v>
      </c>
      <c r="X417">
        <v>0.98385520000000004</v>
      </c>
      <c r="Y417">
        <v>-1.844055E-2</v>
      </c>
      <c r="Z417">
        <v>3.7716170000000001E-4</v>
      </c>
      <c r="AA417">
        <v>0.99982990000000005</v>
      </c>
      <c r="AB417">
        <v>32</v>
      </c>
      <c r="AC417">
        <v>24.366299999999999</v>
      </c>
      <c r="AD417">
        <v>-1.059470299202</v>
      </c>
      <c r="AE417">
        <v>0.46580000000000099</v>
      </c>
      <c r="AF417">
        <v>-0.45398024192952802</v>
      </c>
      <c r="AG417">
        <v>-1.059470299202</v>
      </c>
      <c r="AH417">
        <v>24.320543595156199</v>
      </c>
      <c r="AI417">
        <v>92.493951998728505</v>
      </c>
      <c r="AJ417">
        <v>91.069389393808606</v>
      </c>
      <c r="AK417">
        <v>24.347842124895799</v>
      </c>
      <c r="AL417">
        <v>79.698992703684297</v>
      </c>
      <c r="AM417">
        <v>90.421522004305501</v>
      </c>
      <c r="AN417">
        <v>0.99999993057432501</v>
      </c>
    </row>
    <row r="418" spans="1:40" x14ac:dyDescent="0.25">
      <c r="A418" t="str">
        <f>"20190312172101508"</f>
        <v>20190312172101508</v>
      </c>
      <c r="B418" t="str">
        <f>"1552382461502000"</f>
        <v>1552382461502000</v>
      </c>
      <c r="C418" t="s">
        <v>40</v>
      </c>
      <c r="D418">
        <v>3.1615329999999999</v>
      </c>
      <c r="E418">
        <v>0.49604369999999998</v>
      </c>
      <c r="F418" t="s">
        <v>42</v>
      </c>
      <c r="G418">
        <v>-394.99489999999997</v>
      </c>
      <c r="H418" s="1">
        <v>-2.3476179999999998E-6</v>
      </c>
      <c r="I418">
        <v>368.38639999999998</v>
      </c>
      <c r="J418">
        <v>-419.30290000000002</v>
      </c>
      <c r="K418">
        <v>1.059485</v>
      </c>
      <c r="L418">
        <v>367.92439999999999</v>
      </c>
      <c r="M418">
        <v>0.99995069999999997</v>
      </c>
      <c r="N418">
        <v>0</v>
      </c>
      <c r="O418">
        <v>2.3871060000000001E-4</v>
      </c>
      <c r="P418">
        <v>0.98558129999999999</v>
      </c>
      <c r="Q418">
        <v>0.16901939999999999</v>
      </c>
      <c r="R418">
        <v>7.8758209999999999E-3</v>
      </c>
      <c r="S418">
        <v>3.066284</v>
      </c>
      <c r="T418">
        <v>-0.1327187</v>
      </c>
      <c r="U418">
        <v>5.7861330000000002E-2</v>
      </c>
      <c r="V418">
        <v>-7.4724279999999997E-3</v>
      </c>
      <c r="W418">
        <v>0.1787994</v>
      </c>
      <c r="X418">
        <v>0.98385719999999999</v>
      </c>
      <c r="Y418">
        <v>-1.8610950000000001E-2</v>
      </c>
      <c r="Z418">
        <v>3.9221980000000002E-4</v>
      </c>
      <c r="AA418">
        <v>0.99982669999999996</v>
      </c>
      <c r="AB418">
        <v>32</v>
      </c>
      <c r="AC418">
        <v>24.308</v>
      </c>
      <c r="AD418">
        <v>-1.059487347618</v>
      </c>
      <c r="AE418">
        <v>0.46199999999998898</v>
      </c>
      <c r="AF418">
        <v>-0.45533242492759701</v>
      </c>
      <c r="AG418">
        <v>-1.059487347618</v>
      </c>
      <c r="AH418">
        <v>24.2620347966505</v>
      </c>
      <c r="AI418">
        <v>92.499994105795494</v>
      </c>
      <c r="AJ418">
        <v>91.075159779078504</v>
      </c>
      <c r="AK418">
        <v>24.2894251379244</v>
      </c>
      <c r="AL418">
        <v>79.700164209973707</v>
      </c>
      <c r="AM418">
        <v>90.435154974803396</v>
      </c>
      <c r="AN418">
        <v>1.0000000263062001</v>
      </c>
    </row>
    <row r="419" spans="1:40" x14ac:dyDescent="0.25">
      <c r="A419" t="str">
        <f>"20190312172101520"</f>
        <v>20190312172101520</v>
      </c>
      <c r="B419" t="str">
        <f>"1552382461511761"</f>
        <v>1552382461511761</v>
      </c>
      <c r="C419" t="s">
        <v>40</v>
      </c>
      <c r="D419">
        <v>3.149289</v>
      </c>
      <c r="E419">
        <v>0.49601830000000002</v>
      </c>
      <c r="F419" t="s">
        <v>42</v>
      </c>
      <c r="G419">
        <v>-394.94080000000002</v>
      </c>
      <c r="H419" s="1">
        <v>-2.3701139999999999E-6</v>
      </c>
      <c r="I419">
        <v>368.39069999999998</v>
      </c>
      <c r="J419">
        <v>-419.11130000000003</v>
      </c>
      <c r="K419">
        <v>1.0595019999999999</v>
      </c>
      <c r="L419">
        <v>367.92430000000002</v>
      </c>
      <c r="M419">
        <v>0.99994950000000005</v>
      </c>
      <c r="N419">
        <v>0</v>
      </c>
      <c r="O419" s="1">
        <v>-6.4779849999999897E-7</v>
      </c>
      <c r="P419">
        <v>0.98559339999999995</v>
      </c>
      <c r="Q419">
        <v>0.1689524</v>
      </c>
      <c r="R419">
        <v>7.8276639999999998E-3</v>
      </c>
      <c r="S419">
        <v>3.0662539999999998</v>
      </c>
      <c r="T419">
        <v>-0.13334789999999999</v>
      </c>
      <c r="U419">
        <v>5.8685300000000003E-2</v>
      </c>
      <c r="V419">
        <v>-7.659506E-3</v>
      </c>
      <c r="W419">
        <v>0.178875799999999</v>
      </c>
      <c r="X419">
        <v>0.98384179999999999</v>
      </c>
      <c r="Y419">
        <v>-1.911817E-2</v>
      </c>
      <c r="Z419">
        <v>4.1550739999999999E-4</v>
      </c>
      <c r="AA419">
        <v>0.99981710000000001</v>
      </c>
      <c r="AB419">
        <v>32</v>
      </c>
      <c r="AC419">
        <v>24.170500000000001</v>
      </c>
      <c r="AD419">
        <v>-1.0595043701139999</v>
      </c>
      <c r="AE419">
        <v>0.46639999999996401</v>
      </c>
      <c r="AF419">
        <v>-0.46552150444047702</v>
      </c>
      <c r="AG419">
        <v>-1.0595043701139999</v>
      </c>
      <c r="AH419">
        <v>24.1241630285644</v>
      </c>
      <c r="AI419">
        <v>92.514278557192895</v>
      </c>
      <c r="AJ419">
        <v>91.105493588037007</v>
      </c>
      <c r="AK419">
        <v>24.151904720128002</v>
      </c>
      <c r="AL419">
        <v>79.695714329541403</v>
      </c>
      <c r="AM419">
        <v>90.446055962207694</v>
      </c>
      <c r="AN419">
        <v>0.99999995364252003</v>
      </c>
    </row>
    <row r="420" spans="1:40" x14ac:dyDescent="0.25">
      <c r="A420" t="str">
        <f>"20190312172101535"</f>
        <v>20190312172101535</v>
      </c>
      <c r="B420" t="str">
        <f>"1552382461532256"</f>
        <v>1552382461532256</v>
      </c>
      <c r="C420" t="s">
        <v>40</v>
      </c>
      <c r="D420">
        <v>3.2694209999999999</v>
      </c>
      <c r="E420">
        <v>0.49585590000000002</v>
      </c>
      <c r="F420" t="s">
        <v>42</v>
      </c>
      <c r="G420">
        <v>-394.92340000000002</v>
      </c>
      <c r="H420" s="1">
        <v>-2.378908E-6</v>
      </c>
      <c r="I420">
        <v>368.38310000000001</v>
      </c>
      <c r="J420">
        <v>-418.90519999999998</v>
      </c>
      <c r="K420">
        <v>1.059523</v>
      </c>
      <c r="L420">
        <v>367.92399999999998</v>
      </c>
      <c r="M420">
        <v>0.99994799999999995</v>
      </c>
      <c r="N420">
        <v>0</v>
      </c>
      <c r="O420">
        <v>-2.583644E-4</v>
      </c>
      <c r="P420">
        <v>0.98558939999999995</v>
      </c>
      <c r="Q420">
        <v>0.1689879</v>
      </c>
      <c r="R420">
        <v>7.5450669999999999E-3</v>
      </c>
      <c r="S420">
        <v>3.0664060000000002</v>
      </c>
      <c r="T420">
        <v>-0.13431779999999999</v>
      </c>
      <c r="U420">
        <v>5.8166500000000003E-2</v>
      </c>
      <c r="V420">
        <v>-7.6301669999999898E-3</v>
      </c>
      <c r="W420">
        <v>0.17905650000000001</v>
      </c>
      <c r="X420">
        <v>0.98380919999999905</v>
      </c>
      <c r="Y420">
        <v>-1.920521E-2</v>
      </c>
      <c r="Z420">
        <v>4.3169490000000003E-4</v>
      </c>
      <c r="AA420">
        <v>0.99981549999999997</v>
      </c>
      <c r="AB420">
        <v>32</v>
      </c>
      <c r="AC420">
        <v>23.9817999999999</v>
      </c>
      <c r="AD420">
        <v>-1.0595253789079999</v>
      </c>
      <c r="AE420">
        <v>0.45909999999997803</v>
      </c>
      <c r="AF420">
        <v>-0.46439023545987002</v>
      </c>
      <c r="AG420">
        <v>-1.0595253789079999</v>
      </c>
      <c r="AH420">
        <v>23.934978835131101</v>
      </c>
      <c r="AI420">
        <v>92.534170862787605</v>
      </c>
      <c r="AJ420">
        <v>91.111522292179103</v>
      </c>
      <c r="AK420">
        <v>23.962918523366799</v>
      </c>
      <c r="AL420">
        <v>79.685191526191801</v>
      </c>
      <c r="AM420">
        <v>90.444362179977901</v>
      </c>
      <c r="AN420">
        <v>0.99999999582266796</v>
      </c>
    </row>
    <row r="421" spans="1:40" x14ac:dyDescent="0.25">
      <c r="A421" t="str">
        <f>"20190312172101553"</f>
        <v>20190312172101553</v>
      </c>
      <c r="B421" t="str">
        <f>"1552382461542016"</f>
        <v>1552382461542016</v>
      </c>
      <c r="C421" t="s">
        <v>40</v>
      </c>
      <c r="D421">
        <v>3.2693249999999998</v>
      </c>
      <c r="E421">
        <v>0.4958206</v>
      </c>
      <c r="F421" t="s">
        <v>42</v>
      </c>
      <c r="G421">
        <v>-394.65530000000001</v>
      </c>
      <c r="H421" s="1">
        <v>-2.493187E-6</v>
      </c>
      <c r="I421">
        <v>368.38729999999998</v>
      </c>
      <c r="J421">
        <v>-418.63920000000002</v>
      </c>
      <c r="K421">
        <v>1.0595429999999999</v>
      </c>
      <c r="L421">
        <v>367.92349999999999</v>
      </c>
      <c r="M421">
        <v>0.9999458</v>
      </c>
      <c r="N421">
        <v>0</v>
      </c>
      <c r="O421">
        <v>-5.9218849999999996E-4</v>
      </c>
      <c r="P421">
        <v>0.98558489999999999</v>
      </c>
      <c r="Q421">
        <v>0.16902420000000001</v>
      </c>
      <c r="R421">
        <v>7.3133989999999999E-3</v>
      </c>
      <c r="S421">
        <v>3.066376</v>
      </c>
      <c r="T421">
        <v>-0.1339756</v>
      </c>
      <c r="U421">
        <v>5.859375E-2</v>
      </c>
      <c r="V421">
        <v>-7.7279059999999997E-3</v>
      </c>
      <c r="W421">
        <v>0.17926989999999901</v>
      </c>
      <c r="X421">
        <v>0.98376960000000002</v>
      </c>
      <c r="Y421">
        <v>-1.9677759999999999E-2</v>
      </c>
      <c r="Z421">
        <v>4.5549540000000002E-4</v>
      </c>
      <c r="AA421">
        <v>0.99980630000000004</v>
      </c>
      <c r="AB421">
        <v>32</v>
      </c>
      <c r="AC421">
        <v>23.983899999999998</v>
      </c>
      <c r="AD421">
        <v>-1.0595454931870001</v>
      </c>
      <c r="AE421">
        <v>0.463799999999992</v>
      </c>
      <c r="AF421">
        <v>-0.47707294940668699</v>
      </c>
      <c r="AG421">
        <v>-1.0595454931870001</v>
      </c>
      <c r="AH421">
        <v>23.936922341566</v>
      </c>
      <c r="AI421">
        <v>92.533987135970193</v>
      </c>
      <c r="AJ421">
        <v>91.141777866788004</v>
      </c>
      <c r="AK421">
        <v>23.9651097731129</v>
      </c>
      <c r="AL421">
        <v>79.672763784154</v>
      </c>
      <c r="AM421">
        <v>90.450072141985501</v>
      </c>
      <c r="AN421">
        <v>1.0000000217306499</v>
      </c>
    </row>
    <row r="422" spans="1:40" x14ac:dyDescent="0.25">
      <c r="A422" t="str">
        <f>"20190312172101568"</f>
        <v>20190312172101568</v>
      </c>
      <c r="B422" t="str">
        <f>"1552382461561536"</f>
        <v>1552382461561536</v>
      </c>
      <c r="C422" t="s">
        <v>40</v>
      </c>
      <c r="D422">
        <v>3.173905</v>
      </c>
      <c r="E422">
        <v>0.49575799999999998</v>
      </c>
      <c r="F422" t="s">
        <v>42</v>
      </c>
      <c r="G422">
        <v>-394.4033</v>
      </c>
      <c r="H422" s="1">
        <v>-2.6017500000000001E-6</v>
      </c>
      <c r="I422">
        <v>368.38459999999998</v>
      </c>
      <c r="J422">
        <v>-418.423</v>
      </c>
      <c r="K422">
        <v>1.0595619999999999</v>
      </c>
      <c r="L422">
        <v>367.92309999999998</v>
      </c>
      <c r="M422">
        <v>0.99994419999999995</v>
      </c>
      <c r="N422">
        <v>0</v>
      </c>
      <c r="O422">
        <v>-8.6484880000000004E-4</v>
      </c>
      <c r="P422">
        <v>0.98559929999999996</v>
      </c>
      <c r="Q422">
        <v>0.16895739999999901</v>
      </c>
      <c r="R422">
        <v>6.9065350000000001E-3</v>
      </c>
      <c r="S422">
        <v>3.0664370000000001</v>
      </c>
      <c r="T422">
        <v>-0.13405810000000001</v>
      </c>
      <c r="U422">
        <v>5.8349610000000003E-2</v>
      </c>
      <c r="V422">
        <v>-7.5903659999999899E-3</v>
      </c>
      <c r="W422">
        <v>0.17933740000000001</v>
      </c>
      <c r="X422">
        <v>0.98375829999999997</v>
      </c>
      <c r="Y422">
        <v>-1.9869970000000001E-2</v>
      </c>
      <c r="Z422">
        <v>4.7187999999999999E-4</v>
      </c>
      <c r="AA422">
        <v>0.99980250000000004</v>
      </c>
      <c r="AB422">
        <v>32</v>
      </c>
      <c r="AC422">
        <v>24.0197</v>
      </c>
      <c r="AD422">
        <v>-1.05956460175</v>
      </c>
      <c r="AE422">
        <v>0.46150000000000002</v>
      </c>
      <c r="AF422">
        <v>-0.481338099101216</v>
      </c>
      <c r="AG422">
        <v>-1.05956460175</v>
      </c>
      <c r="AH422">
        <v>23.972660765032501</v>
      </c>
      <c r="AI422">
        <v>92.530252466497004</v>
      </c>
      <c r="AJ422">
        <v>91.150265990190903</v>
      </c>
      <c r="AK422">
        <v>24.000892226462199</v>
      </c>
      <c r="AL422">
        <v>79.668831910127494</v>
      </c>
      <c r="AM422">
        <v>90.442067230365197</v>
      </c>
      <c r="AN422">
        <v>0.99999995475683001</v>
      </c>
    </row>
    <row r="423" spans="1:40" x14ac:dyDescent="0.25">
      <c r="A423" t="str">
        <f>"20190312172101584"</f>
        <v>20190312172101584</v>
      </c>
      <c r="B423" t="str">
        <f>"1552382461582032"</f>
        <v>1552382461582032</v>
      </c>
      <c r="C423" t="s">
        <v>40</v>
      </c>
      <c r="D423">
        <v>3.1674669999999998</v>
      </c>
      <c r="E423">
        <v>0.49571359999999998</v>
      </c>
      <c r="F423" t="s">
        <v>42</v>
      </c>
      <c r="G423">
        <v>-394.2955</v>
      </c>
      <c r="H423" s="1">
        <v>-2.6490099999999998E-6</v>
      </c>
      <c r="I423">
        <v>368.37900000000002</v>
      </c>
      <c r="J423">
        <v>-418.17739999999998</v>
      </c>
      <c r="K423">
        <v>1.05958</v>
      </c>
      <c r="L423">
        <v>367.92250000000001</v>
      </c>
      <c r="M423">
        <v>0.99994229999999995</v>
      </c>
      <c r="N423">
        <v>0</v>
      </c>
      <c r="O423">
        <v>-1.1756970000000001E-3</v>
      </c>
      <c r="P423">
        <v>0.98567269999999896</v>
      </c>
      <c r="Q423">
        <v>0.16855020000000001</v>
      </c>
      <c r="R423">
        <v>6.3595880000000002E-3</v>
      </c>
      <c r="S423">
        <v>3.0664980000000002</v>
      </c>
      <c r="T423">
        <v>-0.13466500000000001</v>
      </c>
      <c r="U423">
        <v>5.7952879999999998E-2</v>
      </c>
      <c r="V423">
        <v>-7.3514879999999998E-3</v>
      </c>
      <c r="W423">
        <v>0.17907329999999999</v>
      </c>
      <c r="X423">
        <v>0.98380829999999997</v>
      </c>
      <c r="Y423">
        <v>-2.0050439999999999E-2</v>
      </c>
      <c r="Z423">
        <v>4.916098E-4</v>
      </c>
      <c r="AA423">
        <v>0.99979879999999999</v>
      </c>
      <c r="AB423">
        <v>32</v>
      </c>
      <c r="AC423">
        <v>23.881899999999899</v>
      </c>
      <c r="AD423">
        <v>-1.05958264901</v>
      </c>
      <c r="AE423">
        <v>0.45650000000000501</v>
      </c>
      <c r="AF423">
        <v>-0.48362749807313099</v>
      </c>
      <c r="AG423">
        <v>-1.05958264901</v>
      </c>
      <c r="AH423">
        <v>23.834446163007598</v>
      </c>
      <c r="AI423">
        <v>92.544938414907307</v>
      </c>
      <c r="AJ423">
        <v>91.162435756397997</v>
      </c>
      <c r="AK423">
        <v>23.862888233495099</v>
      </c>
      <c r="AL423">
        <v>79.684213512160696</v>
      </c>
      <c r="AM423">
        <v>90.428133606905206</v>
      </c>
      <c r="AN423">
        <v>1.00000003114879</v>
      </c>
    </row>
    <row r="424" spans="1:40" x14ac:dyDescent="0.25">
      <c r="A424" t="str">
        <f>"20190312172101597"</f>
        <v>20190312172101597</v>
      </c>
      <c r="B424" t="str">
        <f>"1552382461591792"</f>
        <v>1552382461591792</v>
      </c>
      <c r="C424" t="s">
        <v>40</v>
      </c>
      <c r="D424">
        <v>3.2674560000000001</v>
      </c>
      <c r="E424">
        <v>0.49568719999999999</v>
      </c>
      <c r="F424" t="s">
        <v>42</v>
      </c>
      <c r="G424">
        <v>-394.37630000000001</v>
      </c>
      <c r="H424" s="1">
        <v>-2.6176729999999998E-6</v>
      </c>
      <c r="I424">
        <v>368.36020000000002</v>
      </c>
      <c r="J424">
        <v>-417.99889999999999</v>
      </c>
      <c r="K424">
        <v>1.0595870000000001</v>
      </c>
      <c r="L424">
        <v>367.9221</v>
      </c>
      <c r="M424">
        <v>0.99994110000000003</v>
      </c>
      <c r="N424">
        <v>0</v>
      </c>
      <c r="O424">
        <v>-1.4020129999999999E-3</v>
      </c>
      <c r="P424">
        <v>0.98572660000000001</v>
      </c>
      <c r="Q424">
        <v>0.16824510000000001</v>
      </c>
      <c r="R424">
        <v>6.0886200000000003E-3</v>
      </c>
      <c r="S424">
        <v>3.0665589999999998</v>
      </c>
      <c r="T424">
        <v>-0.13651729999999901</v>
      </c>
      <c r="U424">
        <v>5.6396479999999999E-2</v>
      </c>
      <c r="V424">
        <v>-7.305326E-3</v>
      </c>
      <c r="W424">
        <v>0.17886550000000001</v>
      </c>
      <c r="X424">
        <v>0.98384640000000001</v>
      </c>
      <c r="Y424">
        <v>-1.9768580000000001E-2</v>
      </c>
      <c r="Z424">
        <v>5.021572E-4</v>
      </c>
      <c r="AA424">
        <v>0.99980440000000004</v>
      </c>
      <c r="AB424">
        <v>32</v>
      </c>
      <c r="AC424">
        <v>23.622599999999899</v>
      </c>
      <c r="AD424">
        <v>-1.059589617673</v>
      </c>
      <c r="AE424">
        <v>0.43810000000001897</v>
      </c>
      <c r="AF424">
        <v>-0.47027482970047102</v>
      </c>
      <c r="AG424">
        <v>-1.059589617673</v>
      </c>
      <c r="AH424">
        <v>23.574547712783801</v>
      </c>
      <c r="AI424">
        <v>92.572992289914694</v>
      </c>
      <c r="AJ424">
        <v>91.142808337557895</v>
      </c>
      <c r="AK424">
        <v>23.6030334583428</v>
      </c>
      <c r="AL424">
        <v>79.696314495384101</v>
      </c>
      <c r="AM424">
        <v>90.425428863240995</v>
      </c>
      <c r="AN424">
        <v>0.999999986835588</v>
      </c>
    </row>
    <row r="425" spans="1:40" x14ac:dyDescent="0.25">
      <c r="A425" t="str">
        <f>"20190312172101609"</f>
        <v>20190312172101609</v>
      </c>
      <c r="B425" t="str">
        <f>"1552382461601960"</f>
        <v>1552382461601960</v>
      </c>
      <c r="C425" t="s">
        <v>40</v>
      </c>
      <c r="D425">
        <v>3.1653169999999999</v>
      </c>
      <c r="E425">
        <v>0.4956644</v>
      </c>
      <c r="F425" t="s">
        <v>42</v>
      </c>
      <c r="G425">
        <v>-394.39620000000002</v>
      </c>
      <c r="H425" s="1">
        <v>-2.6111899999999998E-6</v>
      </c>
      <c r="I425">
        <v>368.34859999999998</v>
      </c>
      <c r="J425">
        <v>-417.83030000000002</v>
      </c>
      <c r="K425">
        <v>1.0595920000000001</v>
      </c>
      <c r="L425">
        <v>367.92160000000001</v>
      </c>
      <c r="M425">
        <v>0.99993969999999999</v>
      </c>
      <c r="N425">
        <v>0</v>
      </c>
      <c r="O425">
        <v>-1.6156279999999901E-3</v>
      </c>
      <c r="P425">
        <v>0.98574410000000001</v>
      </c>
      <c r="Q425">
        <v>0.16815250000000001</v>
      </c>
      <c r="R425">
        <v>5.8057069999999898E-3</v>
      </c>
      <c r="S425">
        <v>3.0665589999999998</v>
      </c>
      <c r="T425">
        <v>-0.13766589999999901</v>
      </c>
      <c r="U425">
        <v>5.5419919999999998E-2</v>
      </c>
      <c r="V425">
        <v>-7.2335589999999996E-3</v>
      </c>
      <c r="W425">
        <v>0.17885709999999999</v>
      </c>
      <c r="X425">
        <v>0.98384850000000001</v>
      </c>
      <c r="Y425">
        <v>-1.9663409999999999E-2</v>
      </c>
      <c r="Z425">
        <v>5.1360469999999999E-4</v>
      </c>
      <c r="AA425">
        <v>0.99980650000000004</v>
      </c>
      <c r="AB425">
        <v>32</v>
      </c>
      <c r="AC425">
        <v>23.434100000000001</v>
      </c>
      <c r="AD425">
        <v>-1.0595946111900001</v>
      </c>
      <c r="AE425">
        <v>0.42699999999996402</v>
      </c>
      <c r="AF425">
        <v>-0.46391431561537799</v>
      </c>
      <c r="AG425">
        <v>-1.0595946111900001</v>
      </c>
      <c r="AH425">
        <v>23.385584001782401</v>
      </c>
      <c r="AI425">
        <v>92.593772603024703</v>
      </c>
      <c r="AJ425">
        <v>91.136462806827794</v>
      </c>
      <c r="AK425">
        <v>23.414172979986201</v>
      </c>
      <c r="AL425">
        <v>79.696804105013996</v>
      </c>
      <c r="AM425">
        <v>90.421248732765093</v>
      </c>
      <c r="AN425">
        <v>1.0000000287742301</v>
      </c>
    </row>
    <row r="426" spans="1:40" x14ac:dyDescent="0.25">
      <c r="A426" t="str">
        <f>"20190312172101621"</f>
        <v>20190312172101621</v>
      </c>
      <c r="B426" t="str">
        <f>"1552382461611720"</f>
        <v>1552382461611720</v>
      </c>
      <c r="C426" t="s">
        <v>40</v>
      </c>
      <c r="D426">
        <v>3.1749399999999999</v>
      </c>
      <c r="E426">
        <v>0.4956392</v>
      </c>
      <c r="F426" t="s">
        <v>42</v>
      </c>
      <c r="G426">
        <v>-394.29989999999998</v>
      </c>
      <c r="H426" s="1">
        <v>-2.654124E-6</v>
      </c>
      <c r="I426">
        <v>368.33960000000002</v>
      </c>
      <c r="J426">
        <v>-417.65480000000002</v>
      </c>
      <c r="K426">
        <v>1.059598</v>
      </c>
      <c r="L426">
        <v>367.92110000000002</v>
      </c>
      <c r="M426">
        <v>0.99993840000000001</v>
      </c>
      <c r="N426">
        <v>0</v>
      </c>
      <c r="O426">
        <v>-1.837832E-3</v>
      </c>
      <c r="P426">
        <v>0.98577029999999999</v>
      </c>
      <c r="Q426">
        <v>0.1680082</v>
      </c>
      <c r="R426">
        <v>5.4938440000000003E-3</v>
      </c>
      <c r="S426">
        <v>3.0666500000000001</v>
      </c>
      <c r="T426">
        <v>-0.13809340000000001</v>
      </c>
      <c r="U426">
        <v>5.4473880000000002E-2</v>
      </c>
      <c r="V426">
        <v>-7.1416860000000004E-3</v>
      </c>
      <c r="W426">
        <v>0.17879790000000001</v>
      </c>
      <c r="X426">
        <v>0.98385990000000001</v>
      </c>
      <c r="Y426">
        <v>-1.9576440000000001E-2</v>
      </c>
      <c r="Z426">
        <v>5.232282E-4</v>
      </c>
      <c r="AA426">
        <v>0.99980829999999998</v>
      </c>
      <c r="AB426">
        <v>32</v>
      </c>
      <c r="AC426">
        <v>23.354900000000001</v>
      </c>
      <c r="AD426">
        <v>-1.059600654124</v>
      </c>
      <c r="AE426">
        <v>0.41849999999999399</v>
      </c>
      <c r="AF426">
        <v>-0.46047670936819202</v>
      </c>
      <c r="AG426">
        <v>-1.059600654124</v>
      </c>
      <c r="AH426">
        <v>23.306133578540798</v>
      </c>
      <c r="AI426">
        <v>92.602621546420806</v>
      </c>
      <c r="AJ426">
        <v>91.131888292232802</v>
      </c>
      <c r="AK426">
        <v>23.334752081967299</v>
      </c>
      <c r="AL426">
        <v>79.700251264182299</v>
      </c>
      <c r="AM426">
        <v>90.415893848106904</v>
      </c>
      <c r="AN426">
        <v>0.99999999777567095</v>
      </c>
    </row>
    <row r="427" spans="1:40" x14ac:dyDescent="0.25">
      <c r="A427" t="str">
        <f>"20190312172101641"</f>
        <v>20190312172101641</v>
      </c>
      <c r="B427" t="str">
        <f>"1552382461632219"</f>
        <v>1552382461632219</v>
      </c>
      <c r="C427" t="s">
        <v>40</v>
      </c>
      <c r="D427">
        <v>3.18859</v>
      </c>
      <c r="E427">
        <v>0.49557600000000002</v>
      </c>
      <c r="F427" t="s">
        <v>42</v>
      </c>
      <c r="G427">
        <v>-394.23779999999999</v>
      </c>
      <c r="H427" s="1">
        <v>-2.6823020000000002E-6</v>
      </c>
      <c r="I427">
        <v>368.33080000000001</v>
      </c>
      <c r="J427">
        <v>-417.3503</v>
      </c>
      <c r="K427">
        <v>1.059606</v>
      </c>
      <c r="L427">
        <v>367.92009999999999</v>
      </c>
      <c r="M427">
        <v>0.9999363</v>
      </c>
      <c r="N427">
        <v>0</v>
      </c>
      <c r="O427">
        <v>-2.222674E-3</v>
      </c>
      <c r="P427">
        <v>0.98581410000000003</v>
      </c>
      <c r="Q427">
        <v>0.16777829999999999</v>
      </c>
      <c r="R427">
        <v>4.6069320000000002E-3</v>
      </c>
      <c r="S427">
        <v>3.0666500000000001</v>
      </c>
      <c r="T427">
        <v>-0.13876279999999999</v>
      </c>
      <c r="U427">
        <v>5.36499E-2</v>
      </c>
      <c r="V427">
        <v>-6.635134E-3</v>
      </c>
      <c r="W427">
        <v>0.17869939999999901</v>
      </c>
      <c r="X427">
        <v>0.98388140000000002</v>
      </c>
      <c r="Y427">
        <v>-1.9691960000000001E-2</v>
      </c>
      <c r="Z427">
        <v>5.4577979999999998E-4</v>
      </c>
      <c r="AA427">
        <v>0.99980590000000003</v>
      </c>
      <c r="AB427">
        <v>32</v>
      </c>
      <c r="AC427">
        <v>23.112500000000001</v>
      </c>
      <c r="AD427">
        <v>-1.0596086823019999</v>
      </c>
      <c r="AE427">
        <v>0.41070000000001899</v>
      </c>
      <c r="AF427">
        <v>-0.46110482677183301</v>
      </c>
      <c r="AG427">
        <v>-1.0596086823019999</v>
      </c>
      <c r="AH427">
        <v>23.0630706880237</v>
      </c>
      <c r="AI427">
        <v>92.630020008673995</v>
      </c>
      <c r="AJ427">
        <v>91.145373983298001</v>
      </c>
      <c r="AK427">
        <v>23.092003329760299</v>
      </c>
      <c r="AL427">
        <v>79.705987872903705</v>
      </c>
      <c r="AM427">
        <v>90.386387436172697</v>
      </c>
      <c r="AN427">
        <v>1.0000000549147501</v>
      </c>
    </row>
    <row r="428" spans="1:40" x14ac:dyDescent="0.25">
      <c r="A428" t="str">
        <f>"20190312172101653"</f>
        <v>20190312172101653</v>
      </c>
      <c r="B428" t="str">
        <f>"1552382461641975"</f>
        <v>1552382461641975</v>
      </c>
      <c r="C428" t="s">
        <v>40</v>
      </c>
      <c r="D428">
        <v>3.151742</v>
      </c>
      <c r="E428">
        <v>0.49554910000000002</v>
      </c>
      <c r="F428" t="s">
        <v>42</v>
      </c>
      <c r="G428">
        <v>-394.13279999999997</v>
      </c>
      <c r="H428" s="1">
        <v>-2.7305259999999998E-6</v>
      </c>
      <c r="I428">
        <v>368.31279999999998</v>
      </c>
      <c r="J428">
        <v>-417.18079999999998</v>
      </c>
      <c r="K428">
        <v>1.0596080000000001</v>
      </c>
      <c r="L428">
        <v>367.91950000000003</v>
      </c>
      <c r="M428">
        <v>0.99993489999999996</v>
      </c>
      <c r="N428">
        <v>0</v>
      </c>
      <c r="O428">
        <v>-2.4362049999999999E-3</v>
      </c>
      <c r="P428">
        <v>0.98580650000000003</v>
      </c>
      <c r="Q428">
        <v>0.1678317</v>
      </c>
      <c r="R428">
        <v>4.2857490000000002E-3</v>
      </c>
      <c r="S428">
        <v>3.0667719999999998</v>
      </c>
      <c r="T428">
        <v>-0.1399619</v>
      </c>
      <c r="U428">
        <v>5.1879880000000003E-2</v>
      </c>
      <c r="V428">
        <v>-6.5247400000000002E-3</v>
      </c>
      <c r="W428">
        <v>0.17881810000000001</v>
      </c>
      <c r="X428">
        <v>0.98386050000000003</v>
      </c>
      <c r="Y428">
        <v>-1.932766E-2</v>
      </c>
      <c r="Z428">
        <v>5.5190410000000001E-4</v>
      </c>
      <c r="AA428">
        <v>0.99981310000000001</v>
      </c>
      <c r="AB428">
        <v>32</v>
      </c>
      <c r="AC428">
        <v>23.047999999999998</v>
      </c>
      <c r="AD428">
        <v>-1.0596107305260001</v>
      </c>
      <c r="AE428">
        <v>0.39329999999995302</v>
      </c>
      <c r="AF428">
        <v>-0.44850428435287898</v>
      </c>
      <c r="AG428">
        <v>-1.0596107305260001</v>
      </c>
      <c r="AH428">
        <v>22.9983777747888</v>
      </c>
      <c r="AI428">
        <v>92.637438300263696</v>
      </c>
      <c r="AJ428">
        <v>91.117215566862598</v>
      </c>
      <c r="AK428">
        <v>23.027142924497301</v>
      </c>
      <c r="AL428">
        <v>79.699074791211004</v>
      </c>
      <c r="AM428">
        <v>90.379967062421102</v>
      </c>
      <c r="AN428">
        <v>0.99999998428996295</v>
      </c>
    </row>
    <row r="429" spans="1:40" x14ac:dyDescent="0.25">
      <c r="A429" t="str">
        <f>"20190312172101666"</f>
        <v>20190312172101666</v>
      </c>
      <c r="B429" t="str">
        <f>"1552382461661496"</f>
        <v>1552382461661496</v>
      </c>
      <c r="C429" t="s">
        <v>40</v>
      </c>
      <c r="D429">
        <v>3.1483490000000001</v>
      </c>
      <c r="E429">
        <v>0.4955329</v>
      </c>
      <c r="F429" t="s">
        <v>42</v>
      </c>
      <c r="G429">
        <v>-393.9436</v>
      </c>
      <c r="H429" s="1">
        <v>-2.8125000000000002E-6</v>
      </c>
      <c r="I429">
        <v>368.30829999999997</v>
      </c>
      <c r="J429">
        <v>-417.00819999999999</v>
      </c>
      <c r="K429">
        <v>1.0596099999999999</v>
      </c>
      <c r="L429">
        <v>367.91890000000001</v>
      </c>
      <c r="M429">
        <v>0.99993370000000004</v>
      </c>
      <c r="N429">
        <v>0</v>
      </c>
      <c r="O429">
        <v>-2.6536569999999998E-3</v>
      </c>
      <c r="P429">
        <v>0.9858751</v>
      </c>
      <c r="Q429">
        <v>0.1674389</v>
      </c>
      <c r="R429">
        <v>3.8346980000000001E-3</v>
      </c>
      <c r="S429">
        <v>3.0667719999999998</v>
      </c>
      <c r="T429">
        <v>-0.13984379999999999</v>
      </c>
      <c r="U429">
        <v>5.1330569999999999E-2</v>
      </c>
      <c r="V429">
        <v>-6.2891429999999996E-3</v>
      </c>
      <c r="W429">
        <v>0.1784897</v>
      </c>
      <c r="X429">
        <v>0.98392170000000001</v>
      </c>
      <c r="Y429">
        <v>-1.9365819999999999E-2</v>
      </c>
      <c r="Z429">
        <v>5.6221999999999999E-4</v>
      </c>
      <c r="AA429">
        <v>0.99981229999999999</v>
      </c>
      <c r="AB429">
        <v>32</v>
      </c>
      <c r="AC429">
        <v>23.064599999999899</v>
      </c>
      <c r="AD429">
        <v>-1.0596128124999999</v>
      </c>
      <c r="AE429">
        <v>0.389399999999966</v>
      </c>
      <c r="AF429">
        <v>-0.44965923571501898</v>
      </c>
      <c r="AG429">
        <v>-1.0596128124999999</v>
      </c>
      <c r="AH429">
        <v>23.014924302673101</v>
      </c>
      <c r="AI429">
        <v>92.635548108647498</v>
      </c>
      <c r="AJ429">
        <v>91.119286714008894</v>
      </c>
      <c r="AK429">
        <v>23.043691401302201</v>
      </c>
      <c r="AL429">
        <v>79.718198747446706</v>
      </c>
      <c r="AM429">
        <v>90.366224714159401</v>
      </c>
      <c r="AN429">
        <v>1.00000001902832</v>
      </c>
    </row>
    <row r="430" spans="1:40" x14ac:dyDescent="0.25">
      <c r="A430" t="str">
        <f>"20190312172101678"</f>
        <v>20190312172101678</v>
      </c>
      <c r="B430" t="str">
        <f>"1552382461672232"</f>
        <v>1552382461672232</v>
      </c>
      <c r="C430" t="s">
        <v>40</v>
      </c>
      <c r="D430">
        <v>3.235617</v>
      </c>
      <c r="E430">
        <v>0.5150169</v>
      </c>
      <c r="F430" t="s">
        <v>42</v>
      </c>
      <c r="G430">
        <v>-394.03550000000001</v>
      </c>
      <c r="H430" s="1">
        <v>-2.7754519999999999E-6</v>
      </c>
      <c r="I430">
        <v>368.29480000000001</v>
      </c>
      <c r="J430">
        <v>-416.82530000000003</v>
      </c>
      <c r="K430">
        <v>1.0596110000000001</v>
      </c>
      <c r="L430">
        <v>367.91809999999998</v>
      </c>
      <c r="M430">
        <v>0.9999323</v>
      </c>
      <c r="N430">
        <v>0</v>
      </c>
      <c r="O430">
        <v>-2.8837480000000002E-3</v>
      </c>
      <c r="P430">
        <v>0.98591459999999997</v>
      </c>
      <c r="Q430">
        <v>0.16721440000000001</v>
      </c>
      <c r="R430">
        <v>3.4822960000000002E-3</v>
      </c>
      <c r="S430">
        <v>3.0668030000000002</v>
      </c>
      <c r="T430">
        <v>-0.14145569999999999</v>
      </c>
      <c r="U430">
        <v>5.0201419999999997E-2</v>
      </c>
      <c r="V430">
        <v>-6.1640569999999997E-3</v>
      </c>
      <c r="W430">
        <v>0.1783293</v>
      </c>
      <c r="X430">
        <v>0.98395160000000004</v>
      </c>
      <c r="Y430">
        <v>-1.9227080000000001E-2</v>
      </c>
      <c r="Z430">
        <v>5.7609939999999998E-4</v>
      </c>
      <c r="AA430">
        <v>0.99981500000000001</v>
      </c>
      <c r="AB430">
        <v>32</v>
      </c>
      <c r="AC430">
        <v>22.7898</v>
      </c>
      <c r="AD430">
        <v>-1.0596137754520001</v>
      </c>
      <c r="AE430">
        <v>0.37670000000002701</v>
      </c>
      <c r="AF430">
        <v>-0.44146854681759001</v>
      </c>
      <c r="AG430">
        <v>-1.0596137754520001</v>
      </c>
      <c r="AH430">
        <v>22.739474235345199</v>
      </c>
      <c r="AI430">
        <v>92.667436284712295</v>
      </c>
      <c r="AJ430">
        <v>91.112211614040504</v>
      </c>
      <c r="AK430">
        <v>22.768429114255699</v>
      </c>
      <c r="AL430">
        <v>79.727539088527905</v>
      </c>
      <c r="AM430">
        <v>90.358930084325905</v>
      </c>
      <c r="AN430">
        <v>1.0000000429898701</v>
      </c>
    </row>
    <row r="431" spans="1:40" x14ac:dyDescent="0.25">
      <c r="A431" t="str">
        <f>"20190312172101697"</f>
        <v>20190312172101697</v>
      </c>
      <c r="B431" t="str">
        <f>"1552382461691751"</f>
        <v>1552382461691751</v>
      </c>
      <c r="C431" t="s">
        <v>40</v>
      </c>
      <c r="D431">
        <v>3.1682969999999999</v>
      </c>
      <c r="E431">
        <v>0.54535480000000003</v>
      </c>
      <c r="F431" t="s">
        <v>41</v>
      </c>
      <c r="G431">
        <v>-416.0847</v>
      </c>
      <c r="H431">
        <v>0.96991130000000003</v>
      </c>
      <c r="I431">
        <v>367.89240000000001</v>
      </c>
      <c r="J431">
        <v>-416.55970000000002</v>
      </c>
      <c r="K431">
        <v>1.0596179999999999</v>
      </c>
      <c r="L431">
        <v>367.91699999999997</v>
      </c>
      <c r="M431">
        <v>0.99993030000000005</v>
      </c>
      <c r="N431">
        <v>0</v>
      </c>
      <c r="O431">
        <v>-3.2179090000000001E-3</v>
      </c>
      <c r="P431">
        <v>0.98597639999999998</v>
      </c>
      <c r="Q431">
        <v>0.16686219999999999</v>
      </c>
      <c r="R431">
        <v>2.784702E-3</v>
      </c>
      <c r="S431">
        <v>3.1071170000000001</v>
      </c>
      <c r="T431">
        <v>-0.37666959999999999</v>
      </c>
      <c r="U431">
        <v>-0.1049194</v>
      </c>
      <c r="V431">
        <v>-5.7969719999999897E-3</v>
      </c>
      <c r="W431">
        <v>0.17806040000000001</v>
      </c>
      <c r="X431">
        <v>0.9840025</v>
      </c>
      <c r="Y431">
        <v>3.0333470000000001E-2</v>
      </c>
      <c r="Z431">
        <v>-1.4428240000000001E-3</v>
      </c>
      <c r="AA431">
        <v>0.99953879999999995</v>
      </c>
      <c r="AB431">
        <v>32</v>
      </c>
      <c r="AC431">
        <v>0.47500000000002202</v>
      </c>
      <c r="AD431">
        <v>-8.9706699999999806E-2</v>
      </c>
      <c r="AE431">
        <v>-2.4599999999963901E-2</v>
      </c>
      <c r="AF431">
        <v>2.2278782819260299E-2</v>
      </c>
      <c r="AG431">
        <v>-8.9706699999999806E-2</v>
      </c>
      <c r="AH431">
        <v>0.45875810195356698</v>
      </c>
      <c r="AI431">
        <v>101.051446597197</v>
      </c>
      <c r="AJ431">
        <v>87.219715223713195</v>
      </c>
      <c r="AK431">
        <v>0.467977170700492</v>
      </c>
      <c r="AL431">
        <v>79.743196231354403</v>
      </c>
      <c r="AM431">
        <v>90.337537950510196</v>
      </c>
      <c r="AN431">
        <v>1.00000001546938</v>
      </c>
    </row>
    <row r="432" spans="1:40" x14ac:dyDescent="0.25">
      <c r="A432" t="str">
        <f>"20190312172101708"</f>
        <v>20190312172101708</v>
      </c>
      <c r="B432" t="str">
        <f>"1552382461702019"</f>
        <v>1552382461702019</v>
      </c>
      <c r="C432" t="s">
        <v>40</v>
      </c>
      <c r="D432">
        <v>3.1790120000000002</v>
      </c>
      <c r="E432">
        <v>0.54823269999999902</v>
      </c>
      <c r="F432" t="s">
        <v>41</v>
      </c>
      <c r="G432">
        <v>-415.81939999999997</v>
      </c>
      <c r="H432">
        <v>0.9224502</v>
      </c>
      <c r="I432">
        <v>367.8349</v>
      </c>
      <c r="J432">
        <v>-416.38459999999998</v>
      </c>
      <c r="K432">
        <v>1.0596219999999901</v>
      </c>
      <c r="L432">
        <v>367.9162</v>
      </c>
      <c r="M432">
        <v>0.99992910000000002</v>
      </c>
      <c r="N432">
        <v>0</v>
      </c>
      <c r="O432">
        <v>-3.4375450000000002E-3</v>
      </c>
      <c r="P432">
        <v>0.98599060000000005</v>
      </c>
      <c r="Q432">
        <v>0.16678389999999901</v>
      </c>
      <c r="R432">
        <v>2.4324170000000001E-3</v>
      </c>
      <c r="S432">
        <v>3.1421809999999999</v>
      </c>
      <c r="T432">
        <v>-0.58224290000000001</v>
      </c>
      <c r="U432">
        <v>-0.34817500000000001</v>
      </c>
      <c r="V432">
        <v>-5.6609310000000001E-3</v>
      </c>
      <c r="W432">
        <v>0.17803179999999999</v>
      </c>
      <c r="X432">
        <v>0.98400840000000001</v>
      </c>
      <c r="Y432">
        <v>0.10500719999999999</v>
      </c>
      <c r="Z432">
        <v>-8.9883250000000001E-3</v>
      </c>
      <c r="AA432">
        <v>0.99443079999999995</v>
      </c>
      <c r="AB432">
        <v>32</v>
      </c>
      <c r="AC432">
        <v>0.56520000000000403</v>
      </c>
      <c r="AD432">
        <v>-0.13717179999999901</v>
      </c>
      <c r="AE432">
        <v>-8.1299999999998804E-2</v>
      </c>
      <c r="AF432">
        <v>7.5026889433746802E-2</v>
      </c>
      <c r="AG432">
        <v>-0.13717179999999901</v>
      </c>
      <c r="AH432">
        <v>0.53462439054370003</v>
      </c>
      <c r="AI432">
        <v>104.256381995346</v>
      </c>
      <c r="AJ432">
        <v>82.011525884048794</v>
      </c>
      <c r="AK432">
        <v>0.55701739274242301</v>
      </c>
      <c r="AL432">
        <v>79.744860815312805</v>
      </c>
      <c r="AM432">
        <v>90.329614946644</v>
      </c>
      <c r="AN432">
        <v>0.99999994961079197</v>
      </c>
    </row>
    <row r="433" spans="1:40" x14ac:dyDescent="0.25">
      <c r="A433" t="str">
        <f>"20190312172101720"</f>
        <v>20190312172101720</v>
      </c>
      <c r="B433" t="str">
        <f>"1552382461711780"</f>
        <v>1552382461711780</v>
      </c>
      <c r="C433" t="s">
        <v>40</v>
      </c>
      <c r="D433">
        <v>3.1646100000000001</v>
      </c>
      <c r="E433">
        <v>0.551373</v>
      </c>
      <c r="F433" t="s">
        <v>41</v>
      </c>
      <c r="G433">
        <v>-415.54090000000002</v>
      </c>
      <c r="H433">
        <v>0.90046630000000005</v>
      </c>
      <c r="I433">
        <v>367.81599999999997</v>
      </c>
      <c r="J433">
        <v>-416.21409999999997</v>
      </c>
      <c r="K433">
        <v>1.059625</v>
      </c>
      <c r="L433">
        <v>367.91539999999998</v>
      </c>
      <c r="M433">
        <v>0.99992760000000003</v>
      </c>
      <c r="N433">
        <v>0</v>
      </c>
      <c r="O433">
        <v>-3.651086E-3</v>
      </c>
      <c r="P433">
        <v>0.98598149999999996</v>
      </c>
      <c r="Q433">
        <v>0.1668451</v>
      </c>
      <c r="R433">
        <v>1.9006579999999999E-3</v>
      </c>
      <c r="S433">
        <v>3.1438899999999999</v>
      </c>
      <c r="T433">
        <v>-0.59316150000000001</v>
      </c>
      <c r="U433">
        <v>-0.37173460000000003</v>
      </c>
      <c r="V433">
        <v>-5.3403540000000003E-3</v>
      </c>
      <c r="W433">
        <v>0.1781392</v>
      </c>
      <c r="X433">
        <v>0.98399080000000005</v>
      </c>
      <c r="Y433">
        <v>0.11191180000000001</v>
      </c>
      <c r="Z433">
        <v>-9.7490330000000007E-3</v>
      </c>
      <c r="AA433">
        <v>0.99367030000000001</v>
      </c>
      <c r="AB433">
        <v>32</v>
      </c>
      <c r="AC433">
        <v>0.67319999999995095</v>
      </c>
      <c r="AD433">
        <v>-0.15915869999999999</v>
      </c>
      <c r="AE433">
        <v>-9.9400000000002806E-2</v>
      </c>
      <c r="AF433">
        <v>9.19133856992779E-2</v>
      </c>
      <c r="AG433">
        <v>-0.15915869999999999</v>
      </c>
      <c r="AH433">
        <v>0.63862420376877005</v>
      </c>
      <c r="AI433">
        <v>103.857041102316</v>
      </c>
      <c r="AJ433">
        <v>81.809999583812996</v>
      </c>
      <c r="AK433">
        <v>0.66454528506015997</v>
      </c>
      <c r="AL433">
        <v>79.7386077484297</v>
      </c>
      <c r="AM433">
        <v>90.310954880019906</v>
      </c>
      <c r="AN433">
        <v>0.99999999422106201</v>
      </c>
    </row>
    <row r="434" spans="1:40" x14ac:dyDescent="0.25">
      <c r="A434" t="str">
        <f>"20190312172101734"</f>
        <v>20190312172101734</v>
      </c>
      <c r="B434" t="str">
        <f>"1552382461731299"</f>
        <v>1552382461731299</v>
      </c>
      <c r="C434" t="s">
        <v>40</v>
      </c>
      <c r="D434">
        <v>3.1759460000000002</v>
      </c>
      <c r="E434">
        <v>0.55561210000000005</v>
      </c>
      <c r="F434" t="s">
        <v>41</v>
      </c>
      <c r="G434">
        <v>-415.26319999999998</v>
      </c>
      <c r="H434">
        <v>0.87549809999999995</v>
      </c>
      <c r="I434">
        <v>367.79489999999998</v>
      </c>
      <c r="J434">
        <v>-416.01650000000001</v>
      </c>
      <c r="K434">
        <v>1.059636</v>
      </c>
      <c r="L434">
        <v>367.9144</v>
      </c>
      <c r="M434">
        <v>0.99992610000000004</v>
      </c>
      <c r="N434">
        <v>0</v>
      </c>
      <c r="O434">
        <v>-3.897719E-3</v>
      </c>
      <c r="P434">
        <v>0.98598589999999997</v>
      </c>
      <c r="Q434">
        <v>0.16682159999999999</v>
      </c>
      <c r="R434">
        <v>1.5769029999999999E-3</v>
      </c>
      <c r="S434">
        <v>3.146515</v>
      </c>
      <c r="T434">
        <v>-0.60931230000000003</v>
      </c>
      <c r="U434">
        <v>-0.39807130000000002</v>
      </c>
      <c r="V434">
        <v>-5.2600850000000003E-3</v>
      </c>
      <c r="W434">
        <v>0.1781749</v>
      </c>
      <c r="X434">
        <v>0.98398479999999999</v>
      </c>
      <c r="Y434">
        <v>0.119529</v>
      </c>
      <c r="Z434">
        <v>-1.067745E-2</v>
      </c>
      <c r="AA434">
        <v>0.99277329999999997</v>
      </c>
      <c r="AB434">
        <v>32</v>
      </c>
      <c r="AC434">
        <v>0.75330000000002395</v>
      </c>
      <c r="AD434">
        <v>-0.18413789999999999</v>
      </c>
      <c r="AE434">
        <v>-0.119500000000016</v>
      </c>
      <c r="AF434">
        <v>0.11014306050143401</v>
      </c>
      <c r="AG434">
        <v>-0.18413789999999999</v>
      </c>
      <c r="AH434">
        <v>0.71224680036482702</v>
      </c>
      <c r="AI434">
        <v>104.3321316923</v>
      </c>
      <c r="AJ434">
        <v>81.209315187141698</v>
      </c>
      <c r="AK434">
        <v>0.74386407671224897</v>
      </c>
      <c r="AL434">
        <v>79.736529353870694</v>
      </c>
      <c r="AM434">
        <v>90.3062829828567</v>
      </c>
      <c r="AN434">
        <v>1.00000002505762</v>
      </c>
    </row>
    <row r="435" spans="1:40" x14ac:dyDescent="0.25">
      <c r="A435" t="str">
        <f>"20190312172101755"</f>
        <v>20190312172101755</v>
      </c>
      <c r="B435" t="str">
        <f>"1552382461751796"</f>
        <v>1552382461751796</v>
      </c>
      <c r="C435" t="s">
        <v>40</v>
      </c>
      <c r="D435">
        <v>3.1705290000000002</v>
      </c>
      <c r="E435">
        <v>0.55751680000000003</v>
      </c>
      <c r="F435" t="s">
        <v>41</v>
      </c>
      <c r="G435">
        <v>-415.24970000000002</v>
      </c>
      <c r="H435">
        <v>0.90475150000000004</v>
      </c>
      <c r="I435">
        <v>367.80889999999999</v>
      </c>
      <c r="J435">
        <v>-415.72190000000001</v>
      </c>
      <c r="K435">
        <v>1.0594709999999901</v>
      </c>
      <c r="L435">
        <v>367.9128</v>
      </c>
      <c r="M435">
        <v>0.99993129999999997</v>
      </c>
      <c r="N435">
        <v>0</v>
      </c>
      <c r="O435">
        <v>-4.2565329999999998E-3</v>
      </c>
      <c r="P435">
        <v>0.98581549999999996</v>
      </c>
      <c r="Q435">
        <v>0.16782920000000001</v>
      </c>
      <c r="R435">
        <v>1.113244E-3</v>
      </c>
      <c r="S435">
        <v>3.1510009999999999</v>
      </c>
      <c r="T435">
        <v>-0.63643879999999997</v>
      </c>
      <c r="U435">
        <v>-0.43283080000000002</v>
      </c>
      <c r="V435">
        <v>-5.1541240000000004E-3</v>
      </c>
      <c r="W435">
        <v>0.17858729999999901</v>
      </c>
      <c r="X435">
        <v>0.98391059999999997</v>
      </c>
      <c r="Y435">
        <v>0.12938649999999999</v>
      </c>
      <c r="Z435">
        <v>-1.203017E-2</v>
      </c>
      <c r="AA435">
        <v>0.99152119999999999</v>
      </c>
      <c r="AB435">
        <v>32</v>
      </c>
      <c r="AC435">
        <v>0.47219999999998602</v>
      </c>
      <c r="AD435">
        <v>-0.15471949999999901</v>
      </c>
      <c r="AE435">
        <v>-0.10390000000001</v>
      </c>
      <c r="AF435">
        <v>9.2424614493515994E-2</v>
      </c>
      <c r="AG435">
        <v>-0.15471949999999901</v>
      </c>
      <c r="AH435">
        <v>0.42873502987461998</v>
      </c>
      <c r="AI435">
        <v>109.431333743034</v>
      </c>
      <c r="AJ435">
        <v>77.834626363666203</v>
      </c>
      <c r="AK435">
        <v>0.46507435844832001</v>
      </c>
      <c r="AL435">
        <v>79.712515465277903</v>
      </c>
      <c r="AM435">
        <v>90.300135857001905</v>
      </c>
      <c r="AN435">
        <v>1.0000000287539199</v>
      </c>
    </row>
    <row r="436" spans="1:40" x14ac:dyDescent="0.25">
      <c r="A436" t="str">
        <f>"20190312172101776"</f>
        <v>20190312172101776</v>
      </c>
      <c r="B436" t="str">
        <f>"1552382461771316"</f>
        <v>1552382461771316</v>
      </c>
      <c r="C436" t="s">
        <v>40</v>
      </c>
      <c r="D436">
        <v>3.1927140000000001</v>
      </c>
      <c r="E436">
        <v>0.55844450000000001</v>
      </c>
      <c r="F436" t="s">
        <v>41</v>
      </c>
      <c r="G436">
        <v>-414.9579</v>
      </c>
      <c r="H436">
        <v>0.90363930000000003</v>
      </c>
      <c r="I436">
        <v>367.80349999999999</v>
      </c>
      <c r="J436">
        <v>-415.41160000000002</v>
      </c>
      <c r="K436">
        <v>1.0592060000000001</v>
      </c>
      <c r="L436">
        <v>367.91109999999998</v>
      </c>
      <c r="M436">
        <v>0.99994130000000003</v>
      </c>
      <c r="N436">
        <v>0</v>
      </c>
      <c r="O436">
        <v>-4.6243150000000004E-3</v>
      </c>
      <c r="P436">
        <v>0.98565760000000002</v>
      </c>
      <c r="Q436">
        <v>0.1687573</v>
      </c>
      <c r="R436">
        <v>5.9647019999999995E-4</v>
      </c>
      <c r="S436">
        <v>3.153168</v>
      </c>
      <c r="T436">
        <v>-0.64315129999999998</v>
      </c>
      <c r="U436">
        <v>-0.44943240000000001</v>
      </c>
      <c r="V436">
        <v>-5.009309E-3</v>
      </c>
      <c r="W436">
        <v>0.17841650000000001</v>
      </c>
      <c r="X436">
        <v>0.98394230000000005</v>
      </c>
      <c r="Y436">
        <v>0.1339185</v>
      </c>
      <c r="Z436">
        <v>-1.252353E-2</v>
      </c>
      <c r="AA436">
        <v>0.99091320000000005</v>
      </c>
      <c r="AB436">
        <v>32</v>
      </c>
      <c r="AC436">
        <v>0.45370000000002603</v>
      </c>
      <c r="AD436">
        <v>-0.155566699999999</v>
      </c>
      <c r="AE436">
        <v>-0.10759999999999</v>
      </c>
      <c r="AF436">
        <v>9.4933706227221096E-2</v>
      </c>
      <c r="AG436">
        <v>-0.155566699999999</v>
      </c>
      <c r="AH436">
        <v>0.408700626745227</v>
      </c>
      <c r="AI436">
        <v>110.34308656395299</v>
      </c>
      <c r="AJ436">
        <v>76.923130035367095</v>
      </c>
      <c r="AK436">
        <v>0.44749257985900398</v>
      </c>
      <c r="AL436">
        <v>79.7224609701437</v>
      </c>
      <c r="AM436">
        <v>90.291693714494997</v>
      </c>
      <c r="AN436">
        <v>0.99999999518909799</v>
      </c>
    </row>
    <row r="437" spans="1:40" x14ac:dyDescent="0.25">
      <c r="A437" t="str">
        <f>"20190312172101788"</f>
        <v>20190312172101788</v>
      </c>
      <c r="B437" t="str">
        <f>"1552382461782052"</f>
        <v>1552382461782052</v>
      </c>
      <c r="C437" t="s">
        <v>40</v>
      </c>
      <c r="D437">
        <v>3.1729219999999998</v>
      </c>
      <c r="E437">
        <v>0.55900969999999905</v>
      </c>
      <c r="F437" t="s">
        <v>41</v>
      </c>
      <c r="G437">
        <v>-414.66199999999998</v>
      </c>
      <c r="H437">
        <v>0.9060068</v>
      </c>
      <c r="I437">
        <v>367.80189999999999</v>
      </c>
      <c r="J437">
        <v>-415.21800000000002</v>
      </c>
      <c r="K437">
        <v>1.0590539999999999</v>
      </c>
      <c r="L437">
        <v>367.91</v>
      </c>
      <c r="M437">
        <v>0.99994720000000004</v>
      </c>
      <c r="N437">
        <v>0</v>
      </c>
      <c r="O437">
        <v>-4.8497999999999996E-3</v>
      </c>
      <c r="P437">
        <v>0.985541</v>
      </c>
      <c r="Q437">
        <v>0.16943659999999999</v>
      </c>
      <c r="R437">
        <v>4.567374E-4</v>
      </c>
      <c r="S437">
        <v>3.1543269999999999</v>
      </c>
      <c r="T437">
        <v>-0.64476659999999997</v>
      </c>
      <c r="U437">
        <v>-0.45834350000000001</v>
      </c>
      <c r="V437">
        <v>-5.0980359999999898E-3</v>
      </c>
      <c r="W437">
        <v>0.17836160000000001</v>
      </c>
      <c r="X437">
        <v>0.98395180000000004</v>
      </c>
      <c r="Y437">
        <v>0.13633229999999999</v>
      </c>
      <c r="Z437">
        <v>-1.2745009999999999E-2</v>
      </c>
      <c r="AA437">
        <v>0.99058120000000005</v>
      </c>
      <c r="AB437">
        <v>33</v>
      </c>
      <c r="AC437">
        <v>0.55600000000004002</v>
      </c>
      <c r="AD437">
        <v>-0.15304719999999999</v>
      </c>
      <c r="AE437">
        <v>-0.108100000000035</v>
      </c>
      <c r="AF437">
        <v>9.8230258455648797E-2</v>
      </c>
      <c r="AG437">
        <v>-0.15304719999999999</v>
      </c>
      <c r="AH437">
        <v>0.51865064239424996</v>
      </c>
      <c r="AI437">
        <v>106.168618970152</v>
      </c>
      <c r="AJ437">
        <v>79.275448003293704</v>
      </c>
      <c r="AK437">
        <v>0.54960996894167702</v>
      </c>
      <c r="AL437">
        <v>79.725657809518097</v>
      </c>
      <c r="AM437">
        <v>90.296857359179199</v>
      </c>
      <c r="AN437">
        <v>0.99999999752442803</v>
      </c>
    </row>
    <row r="438" spans="1:40" x14ac:dyDescent="0.25">
      <c r="A438" t="str">
        <f>"20190312172101803"</f>
        <v>20190312172101803</v>
      </c>
      <c r="B438" t="str">
        <f>"1552382461791812"</f>
        <v>1552382461791812</v>
      </c>
      <c r="C438" t="s">
        <v>40</v>
      </c>
      <c r="D438">
        <v>3.1719080000000002</v>
      </c>
      <c r="E438">
        <v>0.55925599999999998</v>
      </c>
      <c r="F438" t="s">
        <v>41</v>
      </c>
      <c r="G438">
        <v>-414.37380000000002</v>
      </c>
      <c r="H438">
        <v>0.88646569999999902</v>
      </c>
      <c r="I438">
        <v>367.78570000000002</v>
      </c>
      <c r="J438">
        <v>-415.01369999999997</v>
      </c>
      <c r="K438">
        <v>1.0589029999999999</v>
      </c>
      <c r="L438">
        <v>367.90879999999999</v>
      </c>
      <c r="M438">
        <v>0.99995290000000003</v>
      </c>
      <c r="N438">
        <v>0</v>
      </c>
      <c r="O438">
        <v>-5.0858960000000003E-3</v>
      </c>
      <c r="P438">
        <v>0.98542920000000001</v>
      </c>
      <c r="Q438">
        <v>0.1700865</v>
      </c>
      <c r="R438" s="1">
        <v>6.2576960000000005E-5</v>
      </c>
      <c r="S438">
        <v>3.155151</v>
      </c>
      <c r="T438">
        <v>-0.64514320000000003</v>
      </c>
      <c r="U438">
        <v>-0.46340940000000003</v>
      </c>
      <c r="V438">
        <v>-4.9428479999999997E-3</v>
      </c>
      <c r="W438">
        <v>0.17823729999999999</v>
      </c>
      <c r="X438">
        <v>0.98397509999999999</v>
      </c>
      <c r="Y438">
        <v>0.1375971</v>
      </c>
      <c r="Z438">
        <v>-1.2827440000000001E-2</v>
      </c>
      <c r="AA438">
        <v>0.99040519999999999</v>
      </c>
      <c r="AB438">
        <v>33</v>
      </c>
      <c r="AC438">
        <v>0.63989999999995395</v>
      </c>
      <c r="AD438">
        <v>-0.17243729999999999</v>
      </c>
      <c r="AE438">
        <v>-0.123099999999965</v>
      </c>
      <c r="AF438">
        <v>0.11200091163826301</v>
      </c>
      <c r="AG438">
        <v>-0.17243729999999999</v>
      </c>
      <c r="AH438">
        <v>0.59860051663751102</v>
      </c>
      <c r="AI438">
        <v>105.80966626879901</v>
      </c>
      <c r="AJ438">
        <v>79.402231504213702</v>
      </c>
      <c r="AK438">
        <v>0.63293080597944296</v>
      </c>
      <c r="AL438">
        <v>79.732895492469893</v>
      </c>
      <c r="AM438">
        <v>90.287814139893996</v>
      </c>
      <c r="AN438">
        <v>0.99999998213882502</v>
      </c>
    </row>
    <row r="439" spans="1:40" x14ac:dyDescent="0.25">
      <c r="A439" t="str">
        <f>"20190312172101821"</f>
        <v>20190312172101821</v>
      </c>
      <c r="B439" t="str">
        <f>"1552382461811839"</f>
        <v>1552382461811839</v>
      </c>
      <c r="C439" t="s">
        <v>40</v>
      </c>
      <c r="D439">
        <v>3.1897380000000002</v>
      </c>
      <c r="E439">
        <v>0.55982710000000002</v>
      </c>
      <c r="F439" t="s">
        <v>41</v>
      </c>
      <c r="G439">
        <v>-414.0822</v>
      </c>
      <c r="H439">
        <v>0.86840419999999996</v>
      </c>
      <c r="I439">
        <v>367.77080000000001</v>
      </c>
      <c r="J439">
        <v>-414.73230000000001</v>
      </c>
      <c r="K439">
        <v>1.058729</v>
      </c>
      <c r="L439">
        <v>367.90719999999999</v>
      </c>
      <c r="M439">
        <v>0.9999595</v>
      </c>
      <c r="N439">
        <v>0</v>
      </c>
      <c r="O439">
        <v>-5.4020500000000003E-3</v>
      </c>
      <c r="P439">
        <v>0.98520609999999997</v>
      </c>
      <c r="Q439">
        <v>0.17137369999999999</v>
      </c>
      <c r="R439">
        <v>-3.7861060000000002E-4</v>
      </c>
      <c r="S439">
        <v>3.1557620000000002</v>
      </c>
      <c r="T439">
        <v>-0.64547100000000002</v>
      </c>
      <c r="U439">
        <v>-0.46688839999999998</v>
      </c>
      <c r="V439">
        <v>-4.8187680000000002E-3</v>
      </c>
      <c r="W439">
        <v>0.17847750000000001</v>
      </c>
      <c r="X439">
        <v>0.98393220000000003</v>
      </c>
      <c r="Y439">
        <v>0.13831579999999999</v>
      </c>
      <c r="Z439">
        <v>-1.2839160000000001E-2</v>
      </c>
      <c r="AA439">
        <v>0.99030490000000004</v>
      </c>
      <c r="AB439">
        <v>33</v>
      </c>
      <c r="AC439">
        <v>0.650100000000009</v>
      </c>
      <c r="AD439">
        <v>-0.19032479999999999</v>
      </c>
      <c r="AE439">
        <v>-0.13639999999998001</v>
      </c>
      <c r="AF439">
        <v>0.122804328684174</v>
      </c>
      <c r="AG439">
        <v>-0.19032479999999999</v>
      </c>
      <c r="AH439">
        <v>0.60145079934977397</v>
      </c>
      <c r="AI439">
        <v>107.225840339551</v>
      </c>
      <c r="AJ439">
        <v>78.459959213974699</v>
      </c>
      <c r="AK439">
        <v>0.64268771318354401</v>
      </c>
      <c r="AL439">
        <v>79.718909031550595</v>
      </c>
      <c r="AM439">
        <v>90.280601510443901</v>
      </c>
      <c r="AN439">
        <v>1.0000000063640599</v>
      </c>
    </row>
    <row r="440" spans="1:40" x14ac:dyDescent="0.25">
      <c r="A440" t="str">
        <f>"20190312172101833"</f>
        <v>20190312172101833</v>
      </c>
      <c r="B440" t="str">
        <f>"1552382461821599"</f>
        <v>1552382461821599</v>
      </c>
      <c r="C440" t="s">
        <v>40</v>
      </c>
      <c r="D440">
        <v>3.173575</v>
      </c>
      <c r="E440">
        <v>0.55999759999999998</v>
      </c>
      <c r="F440" t="s">
        <v>41</v>
      </c>
      <c r="G440">
        <v>-413.78219999999999</v>
      </c>
      <c r="H440">
        <v>0.86373290000000003</v>
      </c>
      <c r="I440">
        <v>367.76459999999997</v>
      </c>
      <c r="J440">
        <v>-414.54239999999999</v>
      </c>
      <c r="K440">
        <v>1.058624</v>
      </c>
      <c r="L440">
        <v>367.90600000000001</v>
      </c>
      <c r="M440">
        <v>0.99996300000000005</v>
      </c>
      <c r="N440">
        <v>0</v>
      </c>
      <c r="O440">
        <v>-5.6058559999999898E-3</v>
      </c>
      <c r="P440">
        <v>0.98504060000000004</v>
      </c>
      <c r="Q440">
        <v>0.1723211</v>
      </c>
      <c r="R440">
        <v>-5.4334659999999999E-4</v>
      </c>
      <c r="S440">
        <v>3.157654</v>
      </c>
      <c r="T440">
        <v>-0.64821879999999998</v>
      </c>
      <c r="U440">
        <v>-0.47259519999999999</v>
      </c>
      <c r="V440">
        <v>-4.8560679999999998E-3</v>
      </c>
      <c r="W440">
        <v>0.17873889999999901</v>
      </c>
      <c r="X440">
        <v>0.9838846</v>
      </c>
      <c r="Y440">
        <v>0.13973559999999999</v>
      </c>
      <c r="Z440">
        <v>-1.298585E-2</v>
      </c>
      <c r="AA440">
        <v>0.99010370000000003</v>
      </c>
      <c r="AB440">
        <v>34</v>
      </c>
      <c r="AC440">
        <v>0.76019999999999699</v>
      </c>
      <c r="AD440">
        <v>-0.19489110000000001</v>
      </c>
      <c r="AE440">
        <v>-0.141400000000032</v>
      </c>
      <c r="AF440">
        <v>0.128944674361641</v>
      </c>
      <c r="AG440">
        <v>-0.19489110000000001</v>
      </c>
      <c r="AH440">
        <v>0.71552568903821201</v>
      </c>
      <c r="AI440">
        <v>105.005754342971</v>
      </c>
      <c r="AJ440">
        <v>79.784388488969398</v>
      </c>
      <c r="AK440">
        <v>0.75271925814280005</v>
      </c>
      <c r="AL440">
        <v>79.703687511134206</v>
      </c>
      <c r="AM440">
        <v>90.282787170564205</v>
      </c>
      <c r="AN440">
        <v>1.00000004094339</v>
      </c>
    </row>
    <row r="441" spans="1:40" x14ac:dyDescent="0.25">
      <c r="A441" t="str">
        <f>"20190312172101846"</f>
        <v>20190312172101846</v>
      </c>
      <c r="B441" t="str">
        <f>"1552382461842094"</f>
        <v>1552382461842094</v>
      </c>
      <c r="C441" t="s">
        <v>40</v>
      </c>
      <c r="D441">
        <v>3.1960769999999998</v>
      </c>
      <c r="E441">
        <v>0.56010530000000003</v>
      </c>
      <c r="F441" t="s">
        <v>41</v>
      </c>
      <c r="G441">
        <v>-413.76710000000003</v>
      </c>
      <c r="H441">
        <v>0.899277199999999</v>
      </c>
      <c r="I441">
        <v>367.7894</v>
      </c>
      <c r="J441">
        <v>-414.363</v>
      </c>
      <c r="K441">
        <v>1.0585310000000001</v>
      </c>
      <c r="L441">
        <v>367.9049</v>
      </c>
      <c r="M441">
        <v>0.99996600000000002</v>
      </c>
      <c r="N441">
        <v>0</v>
      </c>
      <c r="O441">
        <v>-5.7937930000000002E-3</v>
      </c>
      <c r="P441">
        <v>0.98495480000000002</v>
      </c>
      <c r="Q441">
        <v>0.172809299999999</v>
      </c>
      <c r="R441">
        <v>-1.2622039999999901E-3</v>
      </c>
      <c r="S441">
        <v>3.1588750000000001</v>
      </c>
      <c r="T441">
        <v>-0.64935259999999995</v>
      </c>
      <c r="U441">
        <v>-0.47390749999999998</v>
      </c>
      <c r="V441">
        <v>-4.3227530000000004E-3</v>
      </c>
      <c r="W441">
        <v>0.17859720000000001</v>
      </c>
      <c r="X441">
        <v>0.98391280000000003</v>
      </c>
      <c r="Y441">
        <v>0.1398894</v>
      </c>
      <c r="Z441">
        <v>-1.298039E-2</v>
      </c>
      <c r="AA441">
        <v>0.99008209999999996</v>
      </c>
      <c r="AB441">
        <v>34</v>
      </c>
      <c r="AC441">
        <v>0.59590000000002796</v>
      </c>
      <c r="AD441">
        <v>-0.159253799999999</v>
      </c>
      <c r="AE441">
        <v>-0.11549999999999699</v>
      </c>
      <c r="AF441">
        <v>0.10482943078203601</v>
      </c>
      <c r="AG441">
        <v>-0.159253799999999</v>
      </c>
      <c r="AH441">
        <v>0.55813907182481304</v>
      </c>
      <c r="AI441">
        <v>105.664911411508</v>
      </c>
      <c r="AJ441">
        <v>79.362658546093598</v>
      </c>
      <c r="AK441">
        <v>0.589805227062281</v>
      </c>
      <c r="AL441">
        <v>79.711938898837104</v>
      </c>
      <c r="AM441">
        <v>90.251723434467195</v>
      </c>
      <c r="AN441">
        <v>1.00000002202258</v>
      </c>
    </row>
    <row r="442" spans="1:40" x14ac:dyDescent="0.25">
      <c r="A442" t="str">
        <f>"20190312172101858"</f>
        <v>20190312172101858</v>
      </c>
      <c r="B442" t="str">
        <f>"1552382461851854"</f>
        <v>1552382461851854</v>
      </c>
      <c r="C442" t="s">
        <v>40</v>
      </c>
      <c r="D442">
        <v>3.1739670000000002</v>
      </c>
      <c r="E442">
        <v>0.56007649999999998</v>
      </c>
      <c r="F442" t="s">
        <v>41</v>
      </c>
      <c r="G442">
        <v>-413.47329999999999</v>
      </c>
      <c r="H442">
        <v>0.87562890000000004</v>
      </c>
      <c r="I442">
        <v>367.77069999999998</v>
      </c>
      <c r="J442">
        <v>-414.16390000000001</v>
      </c>
      <c r="K442">
        <v>1.0584359999999999</v>
      </c>
      <c r="L442">
        <v>367.90359999999998</v>
      </c>
      <c r="M442">
        <v>0.99996870000000004</v>
      </c>
      <c r="N442">
        <v>0</v>
      </c>
      <c r="O442">
        <v>-5.9966019999999898E-3</v>
      </c>
      <c r="P442">
        <v>0.98483410000000005</v>
      </c>
      <c r="Q442">
        <v>0.17349249999999999</v>
      </c>
      <c r="R442">
        <v>-1.586259E-3</v>
      </c>
      <c r="S442">
        <v>3.1592099999999999</v>
      </c>
      <c r="T442">
        <v>-0.64947969999999999</v>
      </c>
      <c r="U442">
        <v>-0.47613529999999998</v>
      </c>
      <c r="V442">
        <v>-4.1965409999999998E-3</v>
      </c>
      <c r="W442">
        <v>0.17860509999999999</v>
      </c>
      <c r="X442">
        <v>0.98391189999999995</v>
      </c>
      <c r="Y442">
        <v>0.14035049999999999</v>
      </c>
      <c r="Z442">
        <v>-1.298652E-2</v>
      </c>
      <c r="AA442">
        <v>0.99001669999999997</v>
      </c>
      <c r="AB442">
        <v>34</v>
      </c>
      <c r="AC442">
        <v>0.69060000000001698</v>
      </c>
      <c r="AD442">
        <v>-0.1828071</v>
      </c>
      <c r="AE442">
        <v>-0.13290000000000601</v>
      </c>
      <c r="AF442">
        <v>0.12060713678538799</v>
      </c>
      <c r="AG442">
        <v>-0.1828071</v>
      </c>
      <c r="AH442">
        <v>0.64762585416904295</v>
      </c>
      <c r="AI442">
        <v>105.509421380761</v>
      </c>
      <c r="AJ442">
        <v>79.450674543984107</v>
      </c>
      <c r="AK442">
        <v>0.68365471127036204</v>
      </c>
      <c r="AL442">
        <v>79.711478738781395</v>
      </c>
      <c r="AM442">
        <v>90.244374145540704</v>
      </c>
      <c r="AN442">
        <v>1.0000000098319899</v>
      </c>
    </row>
    <row r="443" spans="1:40" x14ac:dyDescent="0.25">
      <c r="A443" t="str">
        <f>"20190312172101875"</f>
        <v>20190312172101875</v>
      </c>
      <c r="B443" t="str">
        <f>"1552382461871375"</f>
        <v>1552382461871375</v>
      </c>
      <c r="C443" t="s">
        <v>40</v>
      </c>
      <c r="D443">
        <v>3.291776</v>
      </c>
      <c r="E443">
        <v>0.56021269999999901</v>
      </c>
      <c r="F443" t="s">
        <v>41</v>
      </c>
      <c r="G443">
        <v>-413.45650000000001</v>
      </c>
      <c r="H443">
        <v>0.91310559999999996</v>
      </c>
      <c r="I443">
        <v>367.79669999999999</v>
      </c>
      <c r="J443">
        <v>-413.90809999999999</v>
      </c>
      <c r="K443">
        <v>1.0583400000000001</v>
      </c>
      <c r="L443">
        <v>367.90190000000001</v>
      </c>
      <c r="M443">
        <v>0.99997080000000005</v>
      </c>
      <c r="N443">
        <v>0</v>
      </c>
      <c r="O443">
        <v>-6.2433280000000002E-3</v>
      </c>
      <c r="P443">
        <v>0.98479479999999997</v>
      </c>
      <c r="Q443">
        <v>0.17371139999999999</v>
      </c>
      <c r="R443">
        <v>-1.8916040000000001E-3</v>
      </c>
      <c r="S443">
        <v>3.159821</v>
      </c>
      <c r="T443">
        <v>-0.64927380000000001</v>
      </c>
      <c r="U443">
        <v>-0.47674559999999999</v>
      </c>
      <c r="V443">
        <v>-4.1312709999999997E-3</v>
      </c>
      <c r="W443">
        <v>0.17806369999999999</v>
      </c>
      <c r="X443">
        <v>0.9840103</v>
      </c>
      <c r="Y443">
        <v>0.1402746</v>
      </c>
      <c r="Z443">
        <v>-1.2922319999999999E-2</v>
      </c>
      <c r="AA443">
        <v>0.99002829999999997</v>
      </c>
      <c r="AB443">
        <v>34</v>
      </c>
      <c r="AC443">
        <v>0.45159999999998401</v>
      </c>
      <c r="AD443">
        <v>-0.14523440000000001</v>
      </c>
      <c r="AE443">
        <v>-0.105200000000024</v>
      </c>
      <c r="AF443">
        <v>9.3232109875313801E-2</v>
      </c>
      <c r="AG443">
        <v>-0.14523440000000001</v>
      </c>
      <c r="AH443">
        <v>0.41184489042105799</v>
      </c>
      <c r="AI443">
        <v>108.98017781810999</v>
      </c>
      <c r="AJ443">
        <v>77.244557417333198</v>
      </c>
      <c r="AK443">
        <v>0.44654391835641</v>
      </c>
      <c r="AL443">
        <v>79.743004023597393</v>
      </c>
      <c r="AM443">
        <v>90.240549312925296</v>
      </c>
      <c r="AN443">
        <v>1.0000000095819199</v>
      </c>
    </row>
    <row r="444" spans="1:40" x14ac:dyDescent="0.25">
      <c r="A444" t="str">
        <f>"20190312172101887"</f>
        <v>20190312172101887</v>
      </c>
      <c r="B444" t="str">
        <f>"1552382461882111"</f>
        <v>1552382461882111</v>
      </c>
      <c r="C444" t="s">
        <v>40</v>
      </c>
      <c r="D444">
        <v>3.2258110000000002</v>
      </c>
      <c r="E444">
        <v>0.56051680000000004</v>
      </c>
      <c r="F444" t="s">
        <v>41</v>
      </c>
      <c r="G444">
        <v>-413.15460000000002</v>
      </c>
      <c r="H444">
        <v>0.90324260000000001</v>
      </c>
      <c r="I444">
        <v>367.78739999999999</v>
      </c>
      <c r="J444">
        <v>-413.72609999999997</v>
      </c>
      <c r="K444">
        <v>1.0583009999999999</v>
      </c>
      <c r="L444">
        <v>367.90069999999997</v>
      </c>
      <c r="M444">
        <v>0.99997159999999996</v>
      </c>
      <c r="N444">
        <v>0</v>
      </c>
      <c r="O444">
        <v>-6.4098860000000001E-3</v>
      </c>
      <c r="P444">
        <v>0.98473160000000004</v>
      </c>
      <c r="Q444">
        <v>0.17406389999999999</v>
      </c>
      <c r="R444">
        <v>-2.392206E-3</v>
      </c>
      <c r="S444">
        <v>3.1601560000000002</v>
      </c>
      <c r="T444">
        <v>-0.65058530000000003</v>
      </c>
      <c r="U444">
        <v>-0.479126</v>
      </c>
      <c r="V444">
        <v>-3.7911529999999998E-3</v>
      </c>
      <c r="W444">
        <v>0.17797449999999901</v>
      </c>
      <c r="X444">
        <v>0.98402780000000001</v>
      </c>
      <c r="Y444">
        <v>0.14080580000000001</v>
      </c>
      <c r="Z444">
        <v>-1.2965930000000001E-2</v>
      </c>
      <c r="AA444">
        <v>0.98995230000000001</v>
      </c>
      <c r="AB444">
        <v>34</v>
      </c>
      <c r="AC444">
        <v>0.57149999999995704</v>
      </c>
      <c r="AD444">
        <v>-0.15505840000000001</v>
      </c>
      <c r="AE444">
        <v>-0.113299999999981</v>
      </c>
      <c r="AF444">
        <v>0.102382653107042</v>
      </c>
      <c r="AG444">
        <v>-0.15505840000000001</v>
      </c>
      <c r="AH444">
        <v>0.53436551396566501</v>
      </c>
      <c r="AI444">
        <v>105.906978912025</v>
      </c>
      <c r="AJ444">
        <v>79.153763816664494</v>
      </c>
      <c r="AK444">
        <v>0.56574889976347797</v>
      </c>
      <c r="AL444">
        <v>79.748197701805907</v>
      </c>
      <c r="AM444">
        <v>90.220741722606704</v>
      </c>
      <c r="AN444">
        <v>1.00000000333207</v>
      </c>
    </row>
    <row r="445" spans="1:40" x14ac:dyDescent="0.25">
      <c r="A445" t="str">
        <f>"20190312172101909"</f>
        <v>20190312172101909</v>
      </c>
      <c r="B445" t="str">
        <f>"1552382461901637"</f>
        <v>1552382461901637</v>
      </c>
      <c r="C445" t="s">
        <v>40</v>
      </c>
      <c r="D445">
        <v>3.194175</v>
      </c>
      <c r="E445">
        <v>0.57688519999999999</v>
      </c>
      <c r="F445" t="s">
        <v>41</v>
      </c>
      <c r="G445">
        <v>-412.85680000000002</v>
      </c>
      <c r="H445">
        <v>0.87970769999999998</v>
      </c>
      <c r="I445">
        <v>367.76760000000002</v>
      </c>
      <c r="J445">
        <v>-413.37900000000002</v>
      </c>
      <c r="K445">
        <v>1.0583009999999999</v>
      </c>
      <c r="L445">
        <v>367.89819999999997</v>
      </c>
      <c r="M445">
        <v>0.99997170000000002</v>
      </c>
      <c r="N445">
        <v>0</v>
      </c>
      <c r="O445">
        <v>-6.7048569999999998E-3</v>
      </c>
      <c r="P445">
        <v>0.98470740000000001</v>
      </c>
      <c r="Q445">
        <v>0.17419589999999999</v>
      </c>
      <c r="R445">
        <v>-2.7251189999999998E-3</v>
      </c>
      <c r="S445">
        <v>3.160126</v>
      </c>
      <c r="T445">
        <v>-0.64914740000000004</v>
      </c>
      <c r="U445">
        <v>-0.4830933</v>
      </c>
      <c r="V445">
        <v>-3.7421709999999999E-3</v>
      </c>
      <c r="W445">
        <v>0.177558299999999</v>
      </c>
      <c r="X445">
        <v>0.98410310000000001</v>
      </c>
      <c r="Y445">
        <v>0.14172979999999999</v>
      </c>
      <c r="Z445">
        <v>-1.2970580000000001E-2</v>
      </c>
      <c r="AA445">
        <v>0.98982040000000004</v>
      </c>
      <c r="AB445">
        <v>34</v>
      </c>
      <c r="AC445">
        <v>0.522199999999998</v>
      </c>
      <c r="AD445">
        <v>-0.17859329999999901</v>
      </c>
      <c r="AE445">
        <v>-0.130599999999958</v>
      </c>
      <c r="AF445">
        <v>0.11449244881854299</v>
      </c>
      <c r="AG445">
        <v>-0.17859329999999901</v>
      </c>
      <c r="AH445">
        <v>0.47119483482615199</v>
      </c>
      <c r="AI445">
        <v>110.219033177008</v>
      </c>
      <c r="AJ445">
        <v>76.342758478089905</v>
      </c>
      <c r="AK445">
        <v>0.51674815917253303</v>
      </c>
      <c r="AL445">
        <v>79.772429431336505</v>
      </c>
      <c r="AM445">
        <v>90.217873077598696</v>
      </c>
      <c r="AN445">
        <v>0.99999993258614395</v>
      </c>
    </row>
    <row r="446" spans="1:40" x14ac:dyDescent="0.25">
      <c r="A446" t="str">
        <f>"20190312172101922"</f>
        <v>20190312172101922</v>
      </c>
      <c r="B446" t="str">
        <f>"1552382461911390"</f>
        <v>1552382461911390</v>
      </c>
      <c r="C446" t="s">
        <v>40</v>
      </c>
      <c r="D446">
        <v>3.1909329999999998</v>
      </c>
      <c r="E446">
        <v>0.57693169999999905</v>
      </c>
      <c r="F446" t="s">
        <v>41</v>
      </c>
      <c r="G446">
        <v>-412.53899999999999</v>
      </c>
      <c r="H446">
        <v>0.89622959999999996</v>
      </c>
      <c r="I446">
        <v>367.73390000000001</v>
      </c>
      <c r="J446">
        <v>-413.19060000000002</v>
      </c>
      <c r="K446">
        <v>1.0583419999999999</v>
      </c>
      <c r="L446">
        <v>367.89679999999998</v>
      </c>
      <c r="M446">
        <v>0.9999711</v>
      </c>
      <c r="N446">
        <v>0</v>
      </c>
      <c r="O446">
        <v>-6.8550570000000003E-3</v>
      </c>
      <c r="P446">
        <v>0.98471620000000004</v>
      </c>
      <c r="Q446">
        <v>0.17414189999999999</v>
      </c>
      <c r="R446">
        <v>-2.8986350000000001E-3</v>
      </c>
      <c r="S446">
        <v>3.1525270000000001</v>
      </c>
      <c r="T446">
        <v>-0.60848559999999996</v>
      </c>
      <c r="U446">
        <v>-0.61511229999999995</v>
      </c>
      <c r="V446">
        <v>-3.7132039999999999E-3</v>
      </c>
      <c r="W446">
        <v>0.1773701</v>
      </c>
      <c r="X446">
        <v>0.98413720000000005</v>
      </c>
      <c r="Y446">
        <v>0.18166499999999999</v>
      </c>
      <c r="Z446">
        <v>-1.5914890000000001E-2</v>
      </c>
      <c r="AA446">
        <v>0.98323170000000004</v>
      </c>
      <c r="AB446">
        <v>35</v>
      </c>
      <c r="AC446">
        <v>0.65160000000003004</v>
      </c>
      <c r="AD446">
        <v>-0.16211239999999999</v>
      </c>
      <c r="AE446">
        <v>-0.16289999999997901</v>
      </c>
      <c r="AF446">
        <v>0.14970799004308799</v>
      </c>
      <c r="AG446">
        <v>-0.16211239999999999</v>
      </c>
      <c r="AH446">
        <v>0.61677072943276601</v>
      </c>
      <c r="AI446">
        <v>104.328352358891</v>
      </c>
      <c r="AJ446">
        <v>76.356527565139501</v>
      </c>
      <c r="AK446">
        <v>0.65505652061599096</v>
      </c>
      <c r="AL446">
        <v>79.783386949634306</v>
      </c>
      <c r="AM446">
        <v>90.216179114161605</v>
      </c>
      <c r="AN446">
        <v>0.99999998434089699</v>
      </c>
    </row>
    <row r="447" spans="1:40" x14ac:dyDescent="0.25">
      <c r="A447" t="str">
        <f>"20190312172101934"</f>
        <v>20190312172101934</v>
      </c>
      <c r="B447" t="str">
        <f>"1552382461931887"</f>
        <v>1552382461931887</v>
      </c>
      <c r="C447" t="s">
        <v>40</v>
      </c>
      <c r="D447">
        <v>3.1701039999999998</v>
      </c>
      <c r="E447">
        <v>0.57668019999999998</v>
      </c>
      <c r="F447" t="s">
        <v>41</v>
      </c>
      <c r="G447">
        <v>-412.23770000000002</v>
      </c>
      <c r="H447">
        <v>0.87439560000000005</v>
      </c>
      <c r="I447">
        <v>367.71039999999999</v>
      </c>
      <c r="J447">
        <v>-412.9941</v>
      </c>
      <c r="K447">
        <v>1.0584249999999999</v>
      </c>
      <c r="L447">
        <v>367.89530000000002</v>
      </c>
      <c r="M447">
        <v>0.99997000000000003</v>
      </c>
      <c r="N447">
        <v>0</v>
      </c>
      <c r="O447">
        <v>-7.0051269999999999E-3</v>
      </c>
      <c r="P447">
        <v>0.98471540000000002</v>
      </c>
      <c r="Q447">
        <v>0.17413890000000001</v>
      </c>
      <c r="R447">
        <v>-3.3330180000000001E-3</v>
      </c>
      <c r="S447">
        <v>3.152374</v>
      </c>
      <c r="T447">
        <v>-0.60850300000000002</v>
      </c>
      <c r="U447">
        <v>-0.61599729999999997</v>
      </c>
      <c r="V447">
        <v>-3.4250460000000002E-3</v>
      </c>
      <c r="W447">
        <v>0.17740909999999999</v>
      </c>
      <c r="X447">
        <v>0.98413119999999998</v>
      </c>
      <c r="Y447">
        <v>0.1817926</v>
      </c>
      <c r="Z447">
        <v>-1.589931E-2</v>
      </c>
      <c r="AA447">
        <v>0.98320839999999998</v>
      </c>
      <c r="AB447">
        <v>35</v>
      </c>
      <c r="AC447">
        <v>0.75639999999998497</v>
      </c>
      <c r="AD447">
        <v>-0.18402939999999901</v>
      </c>
      <c r="AE447">
        <v>-0.18490000000002699</v>
      </c>
      <c r="AF447">
        <v>0.17009595796795399</v>
      </c>
      <c r="AG447">
        <v>-0.18402939999999901</v>
      </c>
      <c r="AH447">
        <v>0.71759505077934505</v>
      </c>
      <c r="AI447">
        <v>104.011353722089</v>
      </c>
      <c r="AJ447">
        <v>76.664942544387401</v>
      </c>
      <c r="AK447">
        <v>0.76009348891067796</v>
      </c>
      <c r="AL447">
        <v>79.781116249178297</v>
      </c>
      <c r="AM447">
        <v>90.199404193399104</v>
      </c>
      <c r="AN447">
        <v>0.99999996925817503</v>
      </c>
    </row>
    <row r="448" spans="1:40" x14ac:dyDescent="0.25">
      <c r="A448" t="str">
        <f>"20190312172101955"</f>
        <v>20190312172101955</v>
      </c>
      <c r="B448" t="str">
        <f>"1552382461951406"</f>
        <v>1552382461951406</v>
      </c>
      <c r="C448" t="s">
        <v>40</v>
      </c>
      <c r="D448">
        <v>3.244529</v>
      </c>
      <c r="E448">
        <v>0.57665379999999999</v>
      </c>
      <c r="F448" t="s">
        <v>41</v>
      </c>
      <c r="G448">
        <v>-412.22399999999999</v>
      </c>
      <c r="H448">
        <v>0.90883150000000001</v>
      </c>
      <c r="I448">
        <v>367.745</v>
      </c>
      <c r="J448">
        <v>-412.68360000000001</v>
      </c>
      <c r="K448">
        <v>1.0585800000000001</v>
      </c>
      <c r="L448">
        <v>367.89280000000002</v>
      </c>
      <c r="M448">
        <v>0.99996759999999996</v>
      </c>
      <c r="N448">
        <v>0</v>
      </c>
      <c r="O448">
        <v>-7.243981E-3</v>
      </c>
      <c r="P448">
        <v>0.98480559999999995</v>
      </c>
      <c r="Q448">
        <v>0.17362669999999999</v>
      </c>
      <c r="R448">
        <v>-3.4565590000000001E-3</v>
      </c>
      <c r="S448">
        <v>3.1527400000000001</v>
      </c>
      <c r="T448">
        <v>-0.61233130000000002</v>
      </c>
      <c r="U448">
        <v>-0.61492919999999995</v>
      </c>
      <c r="V448">
        <v>-3.538336E-3</v>
      </c>
      <c r="W448">
        <v>0.17710689999999901</v>
      </c>
      <c r="X448">
        <v>0.98418530000000004</v>
      </c>
      <c r="Y448">
        <v>0.18119209999999999</v>
      </c>
      <c r="Z448">
        <v>-1.5893500000000001E-2</v>
      </c>
      <c r="AA448">
        <v>0.98331930000000001</v>
      </c>
      <c r="AB448">
        <v>35</v>
      </c>
      <c r="AC448">
        <v>0.45960000000002299</v>
      </c>
      <c r="AD448">
        <v>-0.14974849999999901</v>
      </c>
      <c r="AE448">
        <v>-0.147800000000017</v>
      </c>
      <c r="AF448">
        <v>0.131787351199884</v>
      </c>
      <c r="AG448">
        <v>-0.14974849999999901</v>
      </c>
      <c r="AH448">
        <v>0.42022797812985802</v>
      </c>
      <c r="AI448">
        <v>108.77916232862501</v>
      </c>
      <c r="AJ448">
        <v>72.588096414883495</v>
      </c>
      <c r="AK448">
        <v>0.46517101456522397</v>
      </c>
      <c r="AL448">
        <v>79.7987103579799</v>
      </c>
      <c r="AM448">
        <v>90.205988492047496</v>
      </c>
      <c r="AN448">
        <v>1.00000003929267</v>
      </c>
    </row>
    <row r="449" spans="1:40" x14ac:dyDescent="0.25">
      <c r="A449" t="str">
        <f>"20190312172101976"</f>
        <v>20190312172101976</v>
      </c>
      <c r="B449" t="str">
        <f>"1552382461971903"</f>
        <v>1552382461971903</v>
      </c>
      <c r="C449" t="s">
        <v>40</v>
      </c>
      <c r="D449">
        <v>3.1564930000000002</v>
      </c>
      <c r="E449">
        <v>0.57829129999999995</v>
      </c>
      <c r="F449" t="s">
        <v>41</v>
      </c>
      <c r="G449">
        <v>-411.91379999999998</v>
      </c>
      <c r="H449">
        <v>0.90849400000000002</v>
      </c>
      <c r="I449">
        <v>367.74239999999998</v>
      </c>
      <c r="J449">
        <v>-412.3519</v>
      </c>
      <c r="K449">
        <v>1.0587530000000001</v>
      </c>
      <c r="L449">
        <v>367.89010000000002</v>
      </c>
      <c r="M449">
        <v>0.99996439999999998</v>
      </c>
      <c r="N449">
        <v>0</v>
      </c>
      <c r="O449">
        <v>-7.5007590000000001E-3</v>
      </c>
      <c r="P449">
        <v>0.98495840000000001</v>
      </c>
      <c r="Q449">
        <v>0.17275380000000001</v>
      </c>
      <c r="R449">
        <v>-3.6069349999999999E-3</v>
      </c>
      <c r="S449">
        <v>3.1525270000000001</v>
      </c>
      <c r="T449">
        <v>-0.61468409999999996</v>
      </c>
      <c r="U449">
        <v>-0.61465449999999999</v>
      </c>
      <c r="V449">
        <v>-3.6480319999999998E-3</v>
      </c>
      <c r="W449">
        <v>0.17658260000000001</v>
      </c>
      <c r="X449">
        <v>0.98427900000000002</v>
      </c>
      <c r="Y449">
        <v>0.18085609999999999</v>
      </c>
      <c r="Z449">
        <v>-1.5873350000000001E-2</v>
      </c>
      <c r="AA449">
        <v>0.98338150000000002</v>
      </c>
      <c r="AB449">
        <v>35</v>
      </c>
      <c r="AC449">
        <v>0.43810000000001897</v>
      </c>
      <c r="AD449">
        <v>-0.150259</v>
      </c>
      <c r="AE449">
        <v>-0.14770000000004299</v>
      </c>
      <c r="AF449">
        <v>0.13061325417477801</v>
      </c>
      <c r="AG449">
        <v>-0.150259</v>
      </c>
      <c r="AH449">
        <v>0.39723608882347999</v>
      </c>
      <c r="AI449">
        <v>109.765151184597</v>
      </c>
      <c r="AJ449">
        <v>71.798871016347803</v>
      </c>
      <c r="AK449">
        <v>0.44433557083684</v>
      </c>
      <c r="AL449">
        <v>79.829230528146098</v>
      </c>
      <c r="AM449">
        <v>90.212354302055402</v>
      </c>
      <c r="AN449">
        <v>0.99999993630061401</v>
      </c>
    </row>
    <row r="450" spans="1:40" x14ac:dyDescent="0.25">
      <c r="A450" t="str">
        <f>"20190312172101990"</f>
        <v>20190312172101990</v>
      </c>
      <c r="B450" t="str">
        <f>"1552382461981663"</f>
        <v>1552382461981663</v>
      </c>
      <c r="C450" t="s">
        <v>40</v>
      </c>
      <c r="D450">
        <v>3.2236150000000001</v>
      </c>
      <c r="E450">
        <v>0.57829129999999995</v>
      </c>
      <c r="F450" t="s">
        <v>41</v>
      </c>
      <c r="G450">
        <v>-411.60649999999998</v>
      </c>
      <c r="H450">
        <v>0.90117860000000005</v>
      </c>
      <c r="I450">
        <v>367.74209999999999</v>
      </c>
      <c r="J450">
        <v>-412.12479999999999</v>
      </c>
      <c r="K450">
        <v>1.0588630000000001</v>
      </c>
      <c r="L450">
        <v>367.88819999999998</v>
      </c>
      <c r="M450">
        <v>0.99996200000000002</v>
      </c>
      <c r="N450">
        <v>0</v>
      </c>
      <c r="O450">
        <v>-7.6744229999999997E-3</v>
      </c>
      <c r="P450">
        <v>0.98502889999999999</v>
      </c>
      <c r="Q450">
        <v>0.17235200000000001</v>
      </c>
      <c r="R450">
        <v>-3.6293279999999998E-3</v>
      </c>
      <c r="S450">
        <v>3.1606749999999999</v>
      </c>
      <c r="T450">
        <v>-0.66804269999999999</v>
      </c>
      <c r="U450">
        <v>-0.62786869999999995</v>
      </c>
      <c r="V450">
        <v>-3.803004E-3</v>
      </c>
      <c r="W450">
        <v>0.1764531</v>
      </c>
      <c r="X450">
        <v>0.98430169999999995</v>
      </c>
      <c r="Y450">
        <v>0.18357119999999999</v>
      </c>
      <c r="Z450">
        <v>-1.7419110000000002E-2</v>
      </c>
      <c r="AA450">
        <v>0.98285199999999995</v>
      </c>
      <c r="AB450">
        <v>35</v>
      </c>
      <c r="AC450">
        <v>0.51830000000000997</v>
      </c>
      <c r="AD450">
        <v>-0.157684399999999</v>
      </c>
      <c r="AE450">
        <v>-0.14609999999998899</v>
      </c>
      <c r="AF450">
        <v>0.13089445322399099</v>
      </c>
      <c r="AG450">
        <v>-0.157684399999999</v>
      </c>
      <c r="AH450">
        <v>0.47838667069096502</v>
      </c>
      <c r="AI450">
        <v>107.63705952448601</v>
      </c>
      <c r="AJ450">
        <v>74.697473982053296</v>
      </c>
      <c r="AK450">
        <v>0.52043398676773001</v>
      </c>
      <c r="AL450">
        <v>79.836769334230397</v>
      </c>
      <c r="AM450">
        <v>90.2213701291398</v>
      </c>
      <c r="AN450">
        <v>0.99999999798096095</v>
      </c>
    </row>
    <row r="451" spans="1:40" x14ac:dyDescent="0.25">
      <c r="A451" t="str">
        <f>"20190312172102010"</f>
        <v>20190312172102010</v>
      </c>
      <c r="B451" t="str">
        <f>"1552382462002162"</f>
        <v>1552382462002162</v>
      </c>
      <c r="C451" t="s">
        <v>40</v>
      </c>
      <c r="D451">
        <v>3.1744330000000001</v>
      </c>
      <c r="E451">
        <v>0.57810629999999996</v>
      </c>
      <c r="F451" t="s">
        <v>41</v>
      </c>
      <c r="G451">
        <v>-411.30189999999999</v>
      </c>
      <c r="H451">
        <v>0.88461089999999998</v>
      </c>
      <c r="I451">
        <v>367.7244</v>
      </c>
      <c r="J451">
        <v>-411.81180000000001</v>
      </c>
      <c r="K451">
        <v>1.058994</v>
      </c>
      <c r="L451">
        <v>367.88560000000001</v>
      </c>
      <c r="M451">
        <v>0.99995829999999997</v>
      </c>
      <c r="N451">
        <v>0</v>
      </c>
      <c r="O451">
        <v>-7.9066729999999995E-3</v>
      </c>
      <c r="P451">
        <v>0.98513609999999896</v>
      </c>
      <c r="Q451">
        <v>0.1717361</v>
      </c>
      <c r="R451">
        <v>-3.711008E-3</v>
      </c>
      <c r="S451">
        <v>3.1604000000000001</v>
      </c>
      <c r="T451">
        <v>-0.66935769999999895</v>
      </c>
      <c r="U451">
        <v>-0.62783809999999995</v>
      </c>
      <c r="V451">
        <v>-3.9608660000000004E-3</v>
      </c>
      <c r="W451">
        <v>0.1762292</v>
      </c>
      <c r="X451">
        <v>0.98434120000000003</v>
      </c>
      <c r="Y451">
        <v>0.18334490000000001</v>
      </c>
      <c r="Z451">
        <v>-1.738249E-2</v>
      </c>
      <c r="AA451">
        <v>0.98289499999999996</v>
      </c>
      <c r="AB451">
        <v>35</v>
      </c>
      <c r="AC451">
        <v>0.50990000000001601</v>
      </c>
      <c r="AD451">
        <v>-0.17438309999999899</v>
      </c>
      <c r="AE451">
        <v>-0.161200000000008</v>
      </c>
      <c r="AF451">
        <v>0.142057872882669</v>
      </c>
      <c r="AG451">
        <v>-0.17438309999999899</v>
      </c>
      <c r="AH451">
        <v>0.46202965154865799</v>
      </c>
      <c r="AI451">
        <v>109.83747544691499</v>
      </c>
      <c r="AJ451">
        <v>72.909177558385593</v>
      </c>
      <c r="AK451">
        <v>0.513868955789054</v>
      </c>
      <c r="AL451">
        <v>79.849802204257799</v>
      </c>
      <c r="AM451">
        <v>90.2305498136068</v>
      </c>
      <c r="AN451">
        <v>1.00000000870477</v>
      </c>
    </row>
    <row r="452" spans="1:40" x14ac:dyDescent="0.25">
      <c r="A452" t="str">
        <f>"20190312172102032"</f>
        <v>20190312172102032</v>
      </c>
      <c r="B452" t="str">
        <f>"1552382462021682"</f>
        <v>1552382462021682</v>
      </c>
      <c r="C452" t="s">
        <v>40</v>
      </c>
      <c r="D452">
        <v>3.5310700000000002</v>
      </c>
      <c r="E452">
        <v>0.57809219999999994</v>
      </c>
      <c r="F452" t="s">
        <v>41</v>
      </c>
      <c r="G452">
        <v>-410.98970000000003</v>
      </c>
      <c r="H452">
        <v>0.88566789999999995</v>
      </c>
      <c r="I452">
        <v>367.72230000000002</v>
      </c>
      <c r="J452">
        <v>-411.48289999999997</v>
      </c>
      <c r="K452">
        <v>1.0591060000000001</v>
      </c>
      <c r="L452">
        <v>367.88279999999997</v>
      </c>
      <c r="M452">
        <v>0.99995449999999997</v>
      </c>
      <c r="N452">
        <v>0</v>
      </c>
      <c r="O452">
        <v>-8.1358379999999994E-3</v>
      </c>
      <c r="P452">
        <v>0.98518519999999998</v>
      </c>
      <c r="Q452">
        <v>0.17144579999999901</v>
      </c>
      <c r="R452">
        <v>-4.090804E-3</v>
      </c>
      <c r="S452">
        <v>3.1589969999999998</v>
      </c>
      <c r="T452">
        <v>-0.66605599999999998</v>
      </c>
      <c r="U452">
        <v>-0.62728879999999998</v>
      </c>
      <c r="V452">
        <v>-3.816678E-3</v>
      </c>
      <c r="W452">
        <v>0.17636109999999999</v>
      </c>
      <c r="X452">
        <v>0.98431809999999997</v>
      </c>
      <c r="Y452">
        <v>0.1830823</v>
      </c>
      <c r="Z452">
        <v>-1.7231759999999999E-2</v>
      </c>
      <c r="AA452">
        <v>0.9829466</v>
      </c>
      <c r="AB452">
        <v>35</v>
      </c>
      <c r="AC452">
        <v>0.49319999999994402</v>
      </c>
      <c r="AD452">
        <v>-0.17343809999999901</v>
      </c>
      <c r="AE452">
        <v>-0.16049999999995601</v>
      </c>
      <c r="AF452">
        <v>0.14074382321486401</v>
      </c>
      <c r="AG452">
        <v>-0.17343809999999901</v>
      </c>
      <c r="AH452">
        <v>0.44475609315741399</v>
      </c>
      <c r="AI452">
        <v>110.394656131754</v>
      </c>
      <c r="AJ452">
        <v>72.439935901869404</v>
      </c>
      <c r="AK452">
        <v>0.49769225501849301</v>
      </c>
      <c r="AL452">
        <v>79.842124173956407</v>
      </c>
      <c r="AM452">
        <v>90.222162373352404</v>
      </c>
      <c r="AN452">
        <v>0.99999996330588703</v>
      </c>
    </row>
    <row r="453" spans="1:40" x14ac:dyDescent="0.25">
      <c r="A453" t="str">
        <f>"20190312172102044"</f>
        <v>20190312172102044</v>
      </c>
      <c r="B453" t="str">
        <f>"1552382462031438"</f>
        <v>1552382462031438</v>
      </c>
      <c r="C453" t="s">
        <v>40</v>
      </c>
      <c r="D453">
        <v>3.1472020000000001</v>
      </c>
      <c r="E453">
        <v>0.5779609</v>
      </c>
      <c r="F453" t="s">
        <v>41</v>
      </c>
      <c r="G453">
        <v>-410.67590000000001</v>
      </c>
      <c r="H453">
        <v>0.88956239999999998</v>
      </c>
      <c r="I453">
        <v>367.72190000000001</v>
      </c>
      <c r="J453">
        <v>-411.29969999999997</v>
      </c>
      <c r="K453">
        <v>1.0591619999999999</v>
      </c>
      <c r="L453">
        <v>367.88119999999998</v>
      </c>
      <c r="M453">
        <v>0.99995230000000002</v>
      </c>
      <c r="N453">
        <v>0</v>
      </c>
      <c r="O453">
        <v>-8.2557589999999997E-3</v>
      </c>
      <c r="P453">
        <v>0.98521449999999999</v>
      </c>
      <c r="Q453">
        <v>0.17127899999999999</v>
      </c>
      <c r="R453">
        <v>-4.0077569999999998E-3</v>
      </c>
      <c r="S453">
        <v>3.1579899999999999</v>
      </c>
      <c r="T453">
        <v>-0.66350900000000002</v>
      </c>
      <c r="U453">
        <v>-0.62823490000000004</v>
      </c>
      <c r="V453">
        <v>-4.0231470000000004E-3</v>
      </c>
      <c r="W453">
        <v>0.17642920000000001</v>
      </c>
      <c r="X453">
        <v>0.98430510000000004</v>
      </c>
      <c r="Y453">
        <v>0.18333089999999999</v>
      </c>
      <c r="Z453">
        <v>-1.7172920000000001E-2</v>
      </c>
      <c r="AA453">
        <v>0.98290129999999998</v>
      </c>
      <c r="AB453">
        <v>35</v>
      </c>
      <c r="AC453">
        <v>0.62379999999996005</v>
      </c>
      <c r="AD453">
        <v>-0.16959959999999999</v>
      </c>
      <c r="AE453">
        <v>-0.15929999999997299</v>
      </c>
      <c r="AF453">
        <v>0.1441419679009</v>
      </c>
      <c r="AG453">
        <v>-0.16959959999999999</v>
      </c>
      <c r="AH453">
        <v>0.58453094908192504</v>
      </c>
      <c r="AI453">
        <v>105.73293875496201</v>
      </c>
      <c r="AJ453">
        <v>76.147560044537002</v>
      </c>
      <c r="AK453">
        <v>0.62547370981130801</v>
      </c>
      <c r="AL453">
        <v>79.83816043841</v>
      </c>
      <c r="AM453">
        <v>90.234183547199194</v>
      </c>
      <c r="AN453">
        <v>0.99999998910521604</v>
      </c>
    </row>
    <row r="454" spans="1:40" x14ac:dyDescent="0.25">
      <c r="A454" t="str">
        <f>"20190312172102055"</f>
        <v>20190312172102055</v>
      </c>
      <c r="B454" t="str">
        <f>"1552382462051935"</f>
        <v>1552382462051935</v>
      </c>
      <c r="C454" t="s">
        <v>40</v>
      </c>
      <c r="D454">
        <v>3.2057220000000002</v>
      </c>
      <c r="E454">
        <v>0.578042099999999</v>
      </c>
      <c r="F454" t="s">
        <v>41</v>
      </c>
      <c r="G454">
        <v>-410.3725</v>
      </c>
      <c r="H454">
        <v>0.86516979999999999</v>
      </c>
      <c r="I454">
        <v>367.69690000000003</v>
      </c>
      <c r="J454">
        <v>-411.11059999999998</v>
      </c>
      <c r="K454">
        <v>1.05921</v>
      </c>
      <c r="L454">
        <v>367.87950000000001</v>
      </c>
      <c r="M454">
        <v>0.99995009999999995</v>
      </c>
      <c r="N454">
        <v>0</v>
      </c>
      <c r="O454">
        <v>-8.3713150000000007E-3</v>
      </c>
      <c r="P454">
        <v>0.98519480000000004</v>
      </c>
      <c r="Q454">
        <v>0.17138900000000001</v>
      </c>
      <c r="R454">
        <v>-4.1338800000000004E-3</v>
      </c>
      <c r="S454">
        <v>3.1572879999999999</v>
      </c>
      <c r="T454">
        <v>-0.66051439999999995</v>
      </c>
      <c r="U454">
        <v>-0.62695310000000004</v>
      </c>
      <c r="V454">
        <v>-4.0153810000000002E-3</v>
      </c>
      <c r="W454">
        <v>0.17677880000000001</v>
      </c>
      <c r="X454">
        <v>0.98424239999999996</v>
      </c>
      <c r="Y454">
        <v>0.1829172</v>
      </c>
      <c r="Z454">
        <v>-1.7035229999999998E-2</v>
      </c>
      <c r="AA454">
        <v>0.98298070000000004</v>
      </c>
      <c r="AB454">
        <v>35</v>
      </c>
      <c r="AC454">
        <v>0.738099999999974</v>
      </c>
      <c r="AD454">
        <v>-0.1940402</v>
      </c>
      <c r="AE454">
        <v>-0.182599999999979</v>
      </c>
      <c r="AF454">
        <v>0.16562795038186601</v>
      </c>
      <c r="AG454">
        <v>-0.1940402</v>
      </c>
      <c r="AH454">
        <v>0.69438051149250002</v>
      </c>
      <c r="AI454">
        <v>105.20662034577001</v>
      </c>
      <c r="AJ454">
        <v>76.584136473398004</v>
      </c>
      <c r="AK454">
        <v>0.73976246992147698</v>
      </c>
      <c r="AL454">
        <v>79.817809919031504</v>
      </c>
      <c r="AM454">
        <v>90.233746390195094</v>
      </c>
      <c r="AN454">
        <v>0.99999998468588702</v>
      </c>
    </row>
    <row r="455" spans="1:40" x14ac:dyDescent="0.25">
      <c r="A455" t="str">
        <f>"20190312172102068"</f>
        <v>20190312172102068</v>
      </c>
      <c r="B455" t="str">
        <f>"1552382462061695"</f>
        <v>1552382462061695</v>
      </c>
      <c r="C455" t="s">
        <v>40</v>
      </c>
      <c r="D455">
        <v>3.1515840000000002</v>
      </c>
      <c r="E455">
        <v>0.57807050000000004</v>
      </c>
      <c r="F455" t="s">
        <v>41</v>
      </c>
      <c r="G455">
        <v>-410.35759999999999</v>
      </c>
      <c r="H455">
        <v>0.90227190000000002</v>
      </c>
      <c r="I455">
        <v>367.7296</v>
      </c>
      <c r="J455">
        <v>-410.92099999999999</v>
      </c>
      <c r="K455">
        <v>1.059253</v>
      </c>
      <c r="L455">
        <v>367.87779999999998</v>
      </c>
      <c r="M455">
        <v>0.99994780000000005</v>
      </c>
      <c r="N455">
        <v>0</v>
      </c>
      <c r="O455">
        <v>-8.4791390000000001E-3</v>
      </c>
      <c r="P455">
        <v>0.98526069999999999</v>
      </c>
      <c r="Q455">
        <v>0.17100989999999999</v>
      </c>
      <c r="R455">
        <v>-4.1583000000000002E-3</v>
      </c>
      <c r="S455">
        <v>3.1569210000000001</v>
      </c>
      <c r="T455">
        <v>-0.65802669999999996</v>
      </c>
      <c r="U455">
        <v>-0.62805180000000005</v>
      </c>
      <c r="V455">
        <v>-4.1023129999999998E-3</v>
      </c>
      <c r="W455">
        <v>0.17663519999999999</v>
      </c>
      <c r="X455">
        <v>0.98426780000000003</v>
      </c>
      <c r="Y455">
        <v>0.1831854</v>
      </c>
      <c r="Z455">
        <v>-1.69791E-2</v>
      </c>
      <c r="AA455">
        <v>0.98293169999999996</v>
      </c>
      <c r="AB455">
        <v>35</v>
      </c>
      <c r="AC455">
        <v>0.56340000000000101</v>
      </c>
      <c r="AD455">
        <v>-0.15698109999999901</v>
      </c>
      <c r="AE455">
        <v>-0.14819999999997399</v>
      </c>
      <c r="AF455">
        <v>0.13370867169008699</v>
      </c>
      <c r="AG455">
        <v>-0.15698109999999901</v>
      </c>
      <c r="AH455">
        <v>0.52641279609821801</v>
      </c>
      <c r="AI455">
        <v>106.120948723341</v>
      </c>
      <c r="AJ455">
        <v>75.748276865344494</v>
      </c>
      <c r="AK455">
        <v>0.56535962584737298</v>
      </c>
      <c r="AL455">
        <v>79.826168909678302</v>
      </c>
      <c r="AM455">
        <v>90.238800720846697</v>
      </c>
      <c r="AN455">
        <v>0.99999996248391398</v>
      </c>
    </row>
    <row r="456" spans="1:40" x14ac:dyDescent="0.25">
      <c r="A456" t="str">
        <f>"20190312172102080"</f>
        <v>20190312172102080</v>
      </c>
      <c r="B456" t="str">
        <f>"1552382462071455"</f>
        <v>1552382462071455</v>
      </c>
      <c r="C456" t="s">
        <v>40</v>
      </c>
      <c r="D456">
        <v>3.2441059999999999</v>
      </c>
      <c r="E456">
        <v>0.57802189999999998</v>
      </c>
      <c r="F456" t="s">
        <v>41</v>
      </c>
      <c r="G456">
        <v>-410.05410000000001</v>
      </c>
      <c r="H456">
        <v>0.87866759999999999</v>
      </c>
      <c r="I456">
        <v>367.7047</v>
      </c>
      <c r="J456">
        <v>-410.73009999999999</v>
      </c>
      <c r="K456">
        <v>1.0592900000000001</v>
      </c>
      <c r="L456">
        <v>367.87619999999998</v>
      </c>
      <c r="M456">
        <v>0.99994559999999999</v>
      </c>
      <c r="N456">
        <v>0</v>
      </c>
      <c r="O456">
        <v>-8.5834099999999997E-3</v>
      </c>
      <c r="P456">
        <v>0.98528360000000004</v>
      </c>
      <c r="Q456">
        <v>0.17087529999999901</v>
      </c>
      <c r="R456">
        <v>-4.2469889999999996E-3</v>
      </c>
      <c r="S456">
        <v>3.156342</v>
      </c>
      <c r="T456">
        <v>-0.65766040000000003</v>
      </c>
      <c r="U456">
        <v>-0.62872309999999998</v>
      </c>
      <c r="V456">
        <v>-4.1200739999999996E-3</v>
      </c>
      <c r="W456">
        <v>0.17673420000000001</v>
      </c>
      <c r="X456">
        <v>0.98424999999999996</v>
      </c>
      <c r="Y456">
        <v>0.18332080000000001</v>
      </c>
      <c r="Z456">
        <v>-1.6965029999999999E-2</v>
      </c>
      <c r="AA456">
        <v>0.98290679999999997</v>
      </c>
      <c r="AB456">
        <v>35</v>
      </c>
      <c r="AC456">
        <v>0.67599999999998694</v>
      </c>
      <c r="AD456">
        <v>-0.18062239999999999</v>
      </c>
      <c r="AE456">
        <v>-0.17149999999998</v>
      </c>
      <c r="AF456">
        <v>0.15527606579030501</v>
      </c>
      <c r="AG456">
        <v>-0.18062239999999999</v>
      </c>
      <c r="AH456">
        <v>0.63486374439832305</v>
      </c>
      <c r="AI456">
        <v>105.448662907721</v>
      </c>
      <c r="AJ456">
        <v>76.256310163301194</v>
      </c>
      <c r="AK456">
        <v>0.67807601486893299</v>
      </c>
      <c r="AL456">
        <v>79.820406424640794</v>
      </c>
      <c r="AM456">
        <v>90.239838935923203</v>
      </c>
      <c r="AN456">
        <v>1.0000000074797</v>
      </c>
    </row>
    <row r="457" spans="1:40" x14ac:dyDescent="0.25">
      <c r="A457" t="str">
        <f>"20190312172102090"</f>
        <v>20190312172102090</v>
      </c>
      <c r="B457" t="str">
        <f>"1552382462082191"</f>
        <v>1552382462082191</v>
      </c>
      <c r="C457" t="s">
        <v>40</v>
      </c>
      <c r="D457">
        <v>3.169394</v>
      </c>
      <c r="E457">
        <v>0.57793240000000001</v>
      </c>
      <c r="F457" t="s">
        <v>41</v>
      </c>
      <c r="G457">
        <v>-410.03859999999997</v>
      </c>
      <c r="H457">
        <v>0.91546320000000003</v>
      </c>
      <c r="I457">
        <v>367.73790000000002</v>
      </c>
      <c r="J457">
        <v>-410.553</v>
      </c>
      <c r="K457">
        <v>1.0593170000000001</v>
      </c>
      <c r="L457">
        <v>367.87450000000001</v>
      </c>
      <c r="M457">
        <v>0.99994349999999999</v>
      </c>
      <c r="N457">
        <v>0</v>
      </c>
      <c r="O457">
        <v>-8.6702250000000002E-3</v>
      </c>
      <c r="P457">
        <v>0.98530720000000005</v>
      </c>
      <c r="Q457">
        <v>0.17074059999999999</v>
      </c>
      <c r="R457">
        <v>-4.2122779999999999E-3</v>
      </c>
      <c r="S457">
        <v>3.1560060000000001</v>
      </c>
      <c r="T457">
        <v>-0.65656490000000001</v>
      </c>
      <c r="U457">
        <v>-0.62887569999999904</v>
      </c>
      <c r="V457">
        <v>-4.24392E-3</v>
      </c>
      <c r="W457">
        <v>0.17680650000000001</v>
      </c>
      <c r="X457">
        <v>0.98423649999999996</v>
      </c>
      <c r="Y457">
        <v>0.18331439999999999</v>
      </c>
      <c r="Z457">
        <v>-1.6920649999999999E-2</v>
      </c>
      <c r="AA457">
        <v>0.98290869999999997</v>
      </c>
      <c r="AB457">
        <v>35</v>
      </c>
      <c r="AC457">
        <v>0.51440000000008002</v>
      </c>
      <c r="AD457">
        <v>-0.1438538</v>
      </c>
      <c r="AE457">
        <v>-0.13659999999998701</v>
      </c>
      <c r="AF457">
        <v>0.123138965028116</v>
      </c>
      <c r="AG457">
        <v>-0.1438538</v>
      </c>
      <c r="AH457">
        <v>0.48046492717931599</v>
      </c>
      <c r="AI457">
        <v>106.173824133228</v>
      </c>
      <c r="AJ457">
        <v>75.625002593376294</v>
      </c>
      <c r="AK457">
        <v>0.51643360341099098</v>
      </c>
      <c r="AL457">
        <v>79.816197775336803</v>
      </c>
      <c r="AM457">
        <v>90.247051595465095</v>
      </c>
      <c r="AN457">
        <v>1.0000000186157301</v>
      </c>
    </row>
    <row r="458" spans="1:40" x14ac:dyDescent="0.25">
      <c r="A458" t="str">
        <f>"20190312172102103"</f>
        <v>20190312172102103</v>
      </c>
      <c r="B458" t="str">
        <f>"1552382462091951"</f>
        <v>1552382462091951</v>
      </c>
      <c r="C458" t="s">
        <v>40</v>
      </c>
      <c r="D458">
        <v>3.1538949999999999</v>
      </c>
      <c r="E458">
        <v>0.57787129999999998</v>
      </c>
      <c r="F458" t="s">
        <v>41</v>
      </c>
      <c r="G458">
        <v>-409.7364</v>
      </c>
      <c r="H458">
        <v>0.88968959999999997</v>
      </c>
      <c r="I458">
        <v>367.71190000000001</v>
      </c>
      <c r="J458">
        <v>-410.36660000000001</v>
      </c>
      <c r="K458">
        <v>1.0593429999999999</v>
      </c>
      <c r="L458">
        <v>367.87279999999998</v>
      </c>
      <c r="M458">
        <v>0.99994139999999998</v>
      </c>
      <c r="N458">
        <v>0</v>
      </c>
      <c r="O458">
        <v>-8.7592280000000008E-3</v>
      </c>
      <c r="P458">
        <v>0.98538170000000003</v>
      </c>
      <c r="Q458">
        <v>0.17031299999999999</v>
      </c>
      <c r="R458">
        <v>-4.1033160000000001E-3</v>
      </c>
      <c r="S458">
        <v>3.1556700000000002</v>
      </c>
      <c r="T458">
        <v>-0.65551349999999997</v>
      </c>
      <c r="U458">
        <v>-0.62838749999999999</v>
      </c>
      <c r="V458">
        <v>-4.4440240000000004E-3</v>
      </c>
      <c r="W458">
        <v>0.17659339999999901</v>
      </c>
      <c r="X458">
        <v>0.98427390000000003</v>
      </c>
      <c r="Y458">
        <v>0.18311720000000001</v>
      </c>
      <c r="Z458">
        <v>-1.685789E-2</v>
      </c>
      <c r="AA458">
        <v>0.9829466</v>
      </c>
      <c r="AB458">
        <v>35</v>
      </c>
      <c r="AC458">
        <v>0.63020000000000198</v>
      </c>
      <c r="AD458">
        <v>-0.16965339999999901</v>
      </c>
      <c r="AE458">
        <v>-0.16089999999996901</v>
      </c>
      <c r="AF458">
        <v>0.14547595542581701</v>
      </c>
      <c r="AG458">
        <v>-0.16965339999999901</v>
      </c>
      <c r="AH458">
        <v>0.59135163541121005</v>
      </c>
      <c r="AI458">
        <v>105.567033814609</v>
      </c>
      <c r="AJ458">
        <v>76.179344994308806</v>
      </c>
      <c r="AK458">
        <v>0.63217267138190003</v>
      </c>
      <c r="AL458">
        <v>79.828602963629194</v>
      </c>
      <c r="AM458">
        <v>90.258690278251507</v>
      </c>
      <c r="AN458">
        <v>1.00000004424704</v>
      </c>
    </row>
    <row r="459" spans="1:40" x14ac:dyDescent="0.25">
      <c r="A459" t="str">
        <f>"20190312172102115"</f>
        <v>20190312172102115</v>
      </c>
      <c r="B459" t="str">
        <f>"1552382462111472"</f>
        <v>1552382462111472</v>
      </c>
      <c r="C459" t="s">
        <v>40</v>
      </c>
      <c r="D459">
        <v>3.1594289999999998</v>
      </c>
      <c r="E459">
        <v>0.5777698</v>
      </c>
      <c r="F459" t="s">
        <v>41</v>
      </c>
      <c r="G459">
        <v>-409.43200000000002</v>
      </c>
      <c r="H459">
        <v>0.86491659999999904</v>
      </c>
      <c r="I459">
        <v>367.68630000000002</v>
      </c>
      <c r="J459">
        <v>-410.17360000000002</v>
      </c>
      <c r="K459">
        <v>1.0593669999999999</v>
      </c>
      <c r="L459">
        <v>367.87110000000001</v>
      </c>
      <c r="M459">
        <v>0.99993929999999998</v>
      </c>
      <c r="N459">
        <v>0</v>
      </c>
      <c r="O459">
        <v>-8.8443140000000007E-3</v>
      </c>
      <c r="P459">
        <v>0.98546210000000001</v>
      </c>
      <c r="Q459">
        <v>0.169845</v>
      </c>
      <c r="R459">
        <v>-4.1783549999999999E-3</v>
      </c>
      <c r="S459">
        <v>3.1553650000000002</v>
      </c>
      <c r="T459">
        <v>-0.65653490000000003</v>
      </c>
      <c r="U459">
        <v>-0.62756350000000005</v>
      </c>
      <c r="V459">
        <v>-4.4564330000000001E-3</v>
      </c>
      <c r="W459">
        <v>0.1763381</v>
      </c>
      <c r="X459">
        <v>0.98431959999999996</v>
      </c>
      <c r="Y459">
        <v>0.1828012</v>
      </c>
      <c r="Z459">
        <v>-1.6836029999999998E-2</v>
      </c>
      <c r="AA459">
        <v>0.98300580000000004</v>
      </c>
      <c r="AB459">
        <v>35</v>
      </c>
      <c r="AC459">
        <v>0.74160000000006199</v>
      </c>
      <c r="AD459">
        <v>-0.1944504</v>
      </c>
      <c r="AE459">
        <v>-0.184799999999995</v>
      </c>
      <c r="AF459">
        <v>0.16739780715427099</v>
      </c>
      <c r="AG459">
        <v>-0.1944504</v>
      </c>
      <c r="AH459">
        <v>0.69802160320783202</v>
      </c>
      <c r="AI459">
        <v>105.15723476417701</v>
      </c>
      <c r="AJ459">
        <v>76.514153238582907</v>
      </c>
      <c r="AK459">
        <v>0.74368484080627195</v>
      </c>
      <c r="AL459">
        <v>79.843463644766302</v>
      </c>
      <c r="AM459">
        <v>90.259400562604597</v>
      </c>
      <c r="AN459">
        <v>1.0000000301254199</v>
      </c>
    </row>
    <row r="460" spans="1:40" x14ac:dyDescent="0.25">
      <c r="A460" t="str">
        <f>"20190312172102132"</f>
        <v>20190312172102132</v>
      </c>
      <c r="B460" t="str">
        <f>"1552382462122210"</f>
        <v>1552382462122210</v>
      </c>
      <c r="C460" t="s">
        <v>40</v>
      </c>
      <c r="D460">
        <v>3.4813230000000002</v>
      </c>
      <c r="E460">
        <v>0.57768549999999996</v>
      </c>
      <c r="F460" t="s">
        <v>41</v>
      </c>
      <c r="G460">
        <v>-409.41719999999998</v>
      </c>
      <c r="H460">
        <v>0.90188999999999997</v>
      </c>
      <c r="I460">
        <v>367.72</v>
      </c>
      <c r="J460">
        <v>-409.90559999999999</v>
      </c>
      <c r="K460">
        <v>1.0593950000000001</v>
      </c>
      <c r="L460">
        <v>367.86860000000001</v>
      </c>
      <c r="M460">
        <v>0.9999363</v>
      </c>
      <c r="N460">
        <v>0</v>
      </c>
      <c r="O460">
        <v>-8.9554070000000003E-3</v>
      </c>
      <c r="P460">
        <v>0.98548899999999995</v>
      </c>
      <c r="Q460">
        <v>0.16969119999999999</v>
      </c>
      <c r="R460">
        <v>-4.0795720000000001E-3</v>
      </c>
      <c r="S460">
        <v>3.154785</v>
      </c>
      <c r="T460">
        <v>-0.65687629999999997</v>
      </c>
      <c r="U460">
        <v>-0.62728879999999998</v>
      </c>
      <c r="V460">
        <v>-4.6684750000000001E-3</v>
      </c>
      <c r="W460">
        <v>0.17646579999999901</v>
      </c>
      <c r="X460">
        <v>0.9842957</v>
      </c>
      <c r="Y460">
        <v>0.18264469999999999</v>
      </c>
      <c r="Z460">
        <v>-1.68090999999999E-2</v>
      </c>
      <c r="AA460">
        <v>0.98303529999999995</v>
      </c>
      <c r="AB460">
        <v>35</v>
      </c>
      <c r="AC460">
        <v>0.48840000000001199</v>
      </c>
      <c r="AD460">
        <v>-0.15750500000000001</v>
      </c>
      <c r="AE460">
        <v>-0.14859999999998699</v>
      </c>
      <c r="AF460">
        <v>0.13168514041531701</v>
      </c>
      <c r="AG460">
        <v>-0.15750500000000001</v>
      </c>
      <c r="AH460">
        <v>0.44714767993024102</v>
      </c>
      <c r="AI460">
        <v>108.669881097122</v>
      </c>
      <c r="AJ460">
        <v>73.590281217966506</v>
      </c>
      <c r="AK460">
        <v>0.49202626850423198</v>
      </c>
      <c r="AL460">
        <v>79.836030089182401</v>
      </c>
      <c r="AM460">
        <v>90.271749544924603</v>
      </c>
      <c r="AN460">
        <v>0.99999999913347704</v>
      </c>
    </row>
    <row r="461" spans="1:40" x14ac:dyDescent="0.25">
      <c r="A461" t="str">
        <f>"20190312172102146"</f>
        <v>20190312172102146</v>
      </c>
      <c r="B461" t="str">
        <f>"1552382462141726"</f>
        <v>1552382462141726</v>
      </c>
      <c r="C461" t="s">
        <v>40</v>
      </c>
      <c r="D461">
        <v>3.148126</v>
      </c>
      <c r="E461">
        <v>0.57788589999999995</v>
      </c>
      <c r="F461" t="s">
        <v>41</v>
      </c>
      <c r="G461">
        <v>-409.1069</v>
      </c>
      <c r="H461">
        <v>0.89302729999999997</v>
      </c>
      <c r="I461">
        <v>367.7097</v>
      </c>
      <c r="J461">
        <v>-409.70949999999999</v>
      </c>
      <c r="K461">
        <v>1.059412</v>
      </c>
      <c r="L461">
        <v>367.86680000000001</v>
      </c>
      <c r="M461">
        <v>0.99993430000000005</v>
      </c>
      <c r="N461">
        <v>0</v>
      </c>
      <c r="O461">
        <v>-9.0325030000000008E-3</v>
      </c>
      <c r="P461">
        <v>0.98553420000000003</v>
      </c>
      <c r="Q461">
        <v>0.16942499999999999</v>
      </c>
      <c r="R461">
        <v>-4.223709E-3</v>
      </c>
      <c r="S461">
        <v>3.1547550000000002</v>
      </c>
      <c r="T461">
        <v>-0.65725769999999994</v>
      </c>
      <c r="U461">
        <v>-0.625946</v>
      </c>
      <c r="V461">
        <v>-4.6032929999999996E-3</v>
      </c>
      <c r="W461">
        <v>0.1763972</v>
      </c>
      <c r="X461">
        <v>0.98430830000000002</v>
      </c>
      <c r="Y461">
        <v>0.182175</v>
      </c>
      <c r="Z461">
        <v>-1.6755780000000001E-2</v>
      </c>
      <c r="AA461">
        <v>0.98312339999999998</v>
      </c>
      <c r="AB461">
        <v>35</v>
      </c>
      <c r="AC461">
        <v>0.60259999999999503</v>
      </c>
      <c r="AD461">
        <v>-0.166384699999999</v>
      </c>
      <c r="AE461">
        <v>-0.15710000000001401</v>
      </c>
      <c r="AF461">
        <v>0.141546107648858</v>
      </c>
      <c r="AG461">
        <v>-0.166384699999999</v>
      </c>
      <c r="AH461">
        <v>0.56375074258008095</v>
      </c>
      <c r="AI461">
        <v>105.97397203549799</v>
      </c>
      <c r="AJ461">
        <v>75.905572869038494</v>
      </c>
      <c r="AK461">
        <v>0.60459413555229302</v>
      </c>
      <c r="AL461">
        <v>79.840023187656399</v>
      </c>
      <c r="AM461">
        <v>90.267951959705499</v>
      </c>
      <c r="AN461">
        <v>0.99999999596158695</v>
      </c>
    </row>
    <row r="462" spans="1:40" x14ac:dyDescent="0.25">
      <c r="A462" t="str">
        <f>"20190312172102167"</f>
        <v>20190312172102167</v>
      </c>
      <c r="B462" t="str">
        <f>"1552382462162223"</f>
        <v>1552382462162223</v>
      </c>
      <c r="C462" t="s">
        <v>40</v>
      </c>
      <c r="D462">
        <v>3.2089150000000002</v>
      </c>
      <c r="E462">
        <v>0.57803230000000005</v>
      </c>
      <c r="F462" t="s">
        <v>41</v>
      </c>
      <c r="G462">
        <v>-408.80169999999998</v>
      </c>
      <c r="H462">
        <v>0.86925799999999998</v>
      </c>
      <c r="I462">
        <v>367.68579999999997</v>
      </c>
      <c r="J462">
        <v>-409.3648</v>
      </c>
      <c r="K462">
        <v>1.059436</v>
      </c>
      <c r="L462">
        <v>367.86360000000002</v>
      </c>
      <c r="M462">
        <v>0.99993069999999895</v>
      </c>
      <c r="N462">
        <v>0</v>
      </c>
      <c r="O462">
        <v>-9.1593130000000005E-3</v>
      </c>
      <c r="P462">
        <v>0.98561180000000004</v>
      </c>
      <c r="Q462">
        <v>0.16897179999999901</v>
      </c>
      <c r="R462">
        <v>-4.2648039999999996E-3</v>
      </c>
      <c r="S462">
        <v>3.1549990000000001</v>
      </c>
      <c r="T462">
        <v>-0.66096149999999998</v>
      </c>
      <c r="U462">
        <v>-0.62808229999999998</v>
      </c>
      <c r="V462">
        <v>-4.6925780000000002E-3</v>
      </c>
      <c r="W462">
        <v>0.1762715</v>
      </c>
      <c r="X462">
        <v>0.98433040000000005</v>
      </c>
      <c r="Y462">
        <v>0.1826304</v>
      </c>
      <c r="Z462">
        <v>-1.686667E-2</v>
      </c>
      <c r="AA462">
        <v>0.98303689999999999</v>
      </c>
      <c r="AB462">
        <v>35</v>
      </c>
      <c r="AC462">
        <v>0.56310000000001903</v>
      </c>
      <c r="AD462">
        <v>-0.19017800000000001</v>
      </c>
      <c r="AE462">
        <v>-0.177800000000047</v>
      </c>
      <c r="AF462">
        <v>0.15641132278372599</v>
      </c>
      <c r="AG462">
        <v>-0.19017800000000001</v>
      </c>
      <c r="AH462">
        <v>0.51163642859453096</v>
      </c>
      <c r="AI462">
        <v>109.568563175753</v>
      </c>
      <c r="AJ462">
        <v>73.001191189067399</v>
      </c>
      <c r="AK462">
        <v>0.56780631261366099</v>
      </c>
      <c r="AL462">
        <v>79.847339950977101</v>
      </c>
      <c r="AM462">
        <v>90.2731429179034</v>
      </c>
      <c r="AN462">
        <v>0.99999999918234805</v>
      </c>
    </row>
    <row r="463" spans="1:40" x14ac:dyDescent="0.25">
      <c r="A463" t="str">
        <f>"20190312172102180"</f>
        <v>20190312172102180</v>
      </c>
      <c r="B463" t="str">
        <f>"1552382462171982"</f>
        <v>1552382462171982</v>
      </c>
      <c r="C463" t="s">
        <v>40</v>
      </c>
      <c r="D463">
        <v>3.2034989999999999</v>
      </c>
      <c r="E463">
        <v>0.57807699999999995</v>
      </c>
      <c r="F463" t="s">
        <v>41</v>
      </c>
      <c r="G463">
        <v>-408.48480000000001</v>
      </c>
      <c r="H463">
        <v>0.87449049999999995</v>
      </c>
      <c r="I463">
        <v>367.68770000000001</v>
      </c>
      <c r="J463">
        <v>-409.14890000000003</v>
      </c>
      <c r="K463">
        <v>1.0594490000000001</v>
      </c>
      <c r="L463">
        <v>367.86149999999998</v>
      </c>
      <c r="M463">
        <v>0.9999285</v>
      </c>
      <c r="N463">
        <v>0</v>
      </c>
      <c r="O463">
        <v>-9.2348870000000007E-3</v>
      </c>
      <c r="P463">
        <v>0.98564479999999999</v>
      </c>
      <c r="Q463">
        <v>0.1687727</v>
      </c>
      <c r="R463">
        <v>-4.5132649999999998E-3</v>
      </c>
      <c r="S463">
        <v>3.1547550000000002</v>
      </c>
      <c r="T463">
        <v>-0.66303230000000002</v>
      </c>
      <c r="U463">
        <v>-0.62890630000000003</v>
      </c>
      <c r="V463">
        <v>-4.521733E-3</v>
      </c>
      <c r="W463">
        <v>0.1762667</v>
      </c>
      <c r="X463">
        <v>0.98433199999999998</v>
      </c>
      <c r="Y463">
        <v>0.18279309999999999</v>
      </c>
      <c r="Z463">
        <v>-1.692045E-2</v>
      </c>
      <c r="AA463">
        <v>0.98300580000000004</v>
      </c>
      <c r="AB463">
        <v>35</v>
      </c>
      <c r="AC463">
        <v>0.66410000000001901</v>
      </c>
      <c r="AD463">
        <v>-0.1849585</v>
      </c>
      <c r="AE463">
        <v>-0.17379999999997101</v>
      </c>
      <c r="AF463">
        <v>0.156311949510961</v>
      </c>
      <c r="AG463">
        <v>-0.1849585</v>
      </c>
      <c r="AH463">
        <v>0.62062225051606701</v>
      </c>
      <c r="AI463">
        <v>106.119069145539</v>
      </c>
      <c r="AJ463">
        <v>75.863323007643004</v>
      </c>
      <c r="AK463">
        <v>0.66619445368285302</v>
      </c>
      <c r="AL463">
        <v>79.847618747611406</v>
      </c>
      <c r="AM463">
        <v>90.263198183797101</v>
      </c>
      <c r="AN463">
        <v>0.999999940911104</v>
      </c>
    </row>
    <row r="464" spans="1:40" x14ac:dyDescent="0.25">
      <c r="A464" t="str">
        <f>"20190312172102201"</f>
        <v>20190312172102201</v>
      </c>
      <c r="B464" t="str">
        <f>"1552382462191503"</f>
        <v>1552382462191503</v>
      </c>
      <c r="C464" t="s">
        <v>40</v>
      </c>
      <c r="D464">
        <v>3.1838470000000001</v>
      </c>
      <c r="E464">
        <v>0.57824409999999904</v>
      </c>
      <c r="F464" t="s">
        <v>41</v>
      </c>
      <c r="G464">
        <v>-408.17720000000003</v>
      </c>
      <c r="H464">
        <v>0.85487139999999995</v>
      </c>
      <c r="I464">
        <v>367.6671</v>
      </c>
      <c r="J464">
        <v>-408.82870000000003</v>
      </c>
      <c r="K464">
        <v>1.0594619999999999</v>
      </c>
      <c r="L464">
        <v>367.85849999999999</v>
      </c>
      <c r="M464">
        <v>0.99992539999999996</v>
      </c>
      <c r="N464">
        <v>0</v>
      </c>
      <c r="O464">
        <v>-9.3381569999999997E-3</v>
      </c>
      <c r="P464">
        <v>0.98565480000000005</v>
      </c>
      <c r="Q464">
        <v>0.16870979999999999</v>
      </c>
      <c r="R464">
        <v>-4.6668170000000002E-3</v>
      </c>
      <c r="S464">
        <v>3.154541</v>
      </c>
      <c r="T464">
        <v>-0.66426109999999905</v>
      </c>
      <c r="U464">
        <v>-0.62994380000000005</v>
      </c>
      <c r="V464">
        <v>-4.4741620000000003E-3</v>
      </c>
      <c r="W464">
        <v>0.1764695</v>
      </c>
      <c r="X464">
        <v>0.9842959</v>
      </c>
      <c r="Y464">
        <v>0.18299960000000001</v>
      </c>
      <c r="Z464">
        <v>-1.6951730000000002E-2</v>
      </c>
      <c r="AA464">
        <v>0.98296680000000003</v>
      </c>
      <c r="AB464">
        <v>35</v>
      </c>
      <c r="AC464">
        <v>0.65149999999999797</v>
      </c>
      <c r="AD464">
        <v>-0.20459060000000001</v>
      </c>
      <c r="AE464">
        <v>-0.191399999999987</v>
      </c>
      <c r="AF464">
        <v>0.16988548595553801</v>
      </c>
      <c r="AG464">
        <v>-0.20459060000000001</v>
      </c>
      <c r="AH464">
        <v>0.59889170197605401</v>
      </c>
      <c r="AI464">
        <v>108.193032805361</v>
      </c>
      <c r="AJ464">
        <v>74.163139494020896</v>
      </c>
      <c r="AK464">
        <v>0.655278309302608</v>
      </c>
      <c r="AL464">
        <v>79.835814319563696</v>
      </c>
      <c r="AM464">
        <v>90.260438790722205</v>
      </c>
      <c r="AN464">
        <v>0.99999996065633001</v>
      </c>
    </row>
    <row r="465" spans="1:40" x14ac:dyDescent="0.25">
      <c r="A465" t="str">
        <f>"20190312172102221"</f>
        <v>20190312172102221</v>
      </c>
      <c r="B465" t="str">
        <f>"1552382462211998"</f>
        <v>1552382462211998</v>
      </c>
      <c r="C465" t="s">
        <v>40</v>
      </c>
      <c r="D465">
        <v>3.2012860000000001</v>
      </c>
      <c r="E465">
        <v>0.57845419999999903</v>
      </c>
      <c r="F465" t="s">
        <v>41</v>
      </c>
      <c r="G465">
        <v>-407.86160000000001</v>
      </c>
      <c r="H465">
        <v>0.85533549999999903</v>
      </c>
      <c r="I465">
        <v>367.6644</v>
      </c>
      <c r="J465">
        <v>-408.49950000000001</v>
      </c>
      <c r="K465">
        <v>1.0594790000000001</v>
      </c>
      <c r="L465">
        <v>367.8553</v>
      </c>
      <c r="M465">
        <v>0.99992250000000005</v>
      </c>
      <c r="N465">
        <v>0</v>
      </c>
      <c r="O465">
        <v>-9.4351839999999992E-3</v>
      </c>
      <c r="P465">
        <v>0.98567110000000002</v>
      </c>
      <c r="Q465">
        <v>0.1685982</v>
      </c>
      <c r="R465">
        <v>-5.2198549999999998E-3</v>
      </c>
      <c r="S465">
        <v>3.1546940000000001</v>
      </c>
      <c r="T465">
        <v>-0.66595340000000003</v>
      </c>
      <c r="U465">
        <v>-0.63192749999999998</v>
      </c>
      <c r="V465">
        <v>-4.021607E-3</v>
      </c>
      <c r="W465">
        <v>0.17660890000000001</v>
      </c>
      <c r="X465">
        <v>0.98427290000000001</v>
      </c>
      <c r="Y465">
        <v>0.18346399999999999</v>
      </c>
      <c r="Z465">
        <v>-1.7020179999999999E-2</v>
      </c>
      <c r="AA465">
        <v>0.98287899999999995</v>
      </c>
      <c r="AB465">
        <v>35</v>
      </c>
      <c r="AC465">
        <v>0.63790000000000102</v>
      </c>
      <c r="AD465">
        <v>-0.20414350000000001</v>
      </c>
      <c r="AE465">
        <v>-0.19089999999999899</v>
      </c>
      <c r="AF465">
        <v>0.16898816844199899</v>
      </c>
      <c r="AG465">
        <v>-0.20414350000000001</v>
      </c>
      <c r="AH465">
        <v>0.58471153547573895</v>
      </c>
      <c r="AI465">
        <v>108.54188537572399</v>
      </c>
      <c r="AJ465">
        <v>73.880115147868906</v>
      </c>
      <c r="AK465">
        <v>0.64196506866341896</v>
      </c>
      <c r="AL465">
        <v>79.827700338221902</v>
      </c>
      <c r="AM465">
        <v>90.234101564447599</v>
      </c>
      <c r="AN465">
        <v>1.00000000927824</v>
      </c>
    </row>
    <row r="466" spans="1:40" x14ac:dyDescent="0.25">
      <c r="A466" t="str">
        <f>"20190312172102233"</f>
        <v>20190312172102233</v>
      </c>
      <c r="B466" t="str">
        <f>"1552382462221759"</f>
        <v>1552382462221759</v>
      </c>
      <c r="C466" t="s">
        <v>40</v>
      </c>
      <c r="D466">
        <v>3.2072150000000001</v>
      </c>
      <c r="E466">
        <v>0.57844079999999998</v>
      </c>
      <c r="F466" t="s">
        <v>41</v>
      </c>
      <c r="G466">
        <v>-407.54509999999999</v>
      </c>
      <c r="H466">
        <v>0.85719299999999998</v>
      </c>
      <c r="I466">
        <v>367.6628</v>
      </c>
      <c r="J466">
        <v>-408.31279999999998</v>
      </c>
      <c r="K466">
        <v>1.0594870000000001</v>
      </c>
      <c r="L466">
        <v>367.8535</v>
      </c>
      <c r="M466">
        <v>0.9999209</v>
      </c>
      <c r="N466">
        <v>0</v>
      </c>
      <c r="O466">
        <v>-9.4847939999999995E-3</v>
      </c>
      <c r="P466">
        <v>0.98568860000000003</v>
      </c>
      <c r="Q466">
        <v>0.16848440000000001</v>
      </c>
      <c r="R466">
        <v>-5.550073E-3</v>
      </c>
      <c r="S466">
        <v>3.1546020000000001</v>
      </c>
      <c r="T466">
        <v>-0.66879169999999999</v>
      </c>
      <c r="U466">
        <v>-0.63482669999999997</v>
      </c>
      <c r="V466">
        <v>-3.7428079999999998E-3</v>
      </c>
      <c r="W466">
        <v>0.17662630000000001</v>
      </c>
      <c r="X466">
        <v>0.98427089999999995</v>
      </c>
      <c r="Y466">
        <v>0.18424289999999999</v>
      </c>
      <c r="Z466">
        <v>-1.7160760000000001E-2</v>
      </c>
      <c r="AA466">
        <v>0.98273089999999996</v>
      </c>
      <c r="AB466">
        <v>35</v>
      </c>
      <c r="AC466">
        <v>0.76769999999998995</v>
      </c>
      <c r="AD466">
        <v>-0.202294</v>
      </c>
      <c r="AE466">
        <v>-0.19069999999999199</v>
      </c>
      <c r="AF466">
        <v>0.17215098510829899</v>
      </c>
      <c r="AG466">
        <v>-0.202294</v>
      </c>
      <c r="AH466">
        <v>0.72223964851066003</v>
      </c>
      <c r="AI466">
        <v>105.24085151268</v>
      </c>
      <c r="AJ466">
        <v>76.593301639236003</v>
      </c>
      <c r="AK466">
        <v>0.76953813030320894</v>
      </c>
      <c r="AL466">
        <v>79.826687697634796</v>
      </c>
      <c r="AM466">
        <v>90.217873014743802</v>
      </c>
      <c r="AN466">
        <v>1.0000000315251101</v>
      </c>
    </row>
    <row r="467" spans="1:40" x14ac:dyDescent="0.25">
      <c r="A467" t="str">
        <f>"20190312172102245"</f>
        <v>20190312172102245</v>
      </c>
      <c r="B467" t="str">
        <f>"1552382462241279"</f>
        <v>1552382462241279</v>
      </c>
      <c r="C467" t="s">
        <v>40</v>
      </c>
      <c r="D467">
        <v>3.2165379999999999</v>
      </c>
      <c r="E467">
        <v>0.57845380000000002</v>
      </c>
      <c r="F467" t="s">
        <v>41</v>
      </c>
      <c r="G467">
        <v>-407.53100000000001</v>
      </c>
      <c r="H467">
        <v>0.89332080000000003</v>
      </c>
      <c r="I467">
        <v>367.69560000000001</v>
      </c>
      <c r="J467">
        <v>-408.13869999999997</v>
      </c>
      <c r="K467">
        <v>1.0594939999999999</v>
      </c>
      <c r="L467">
        <v>367.85180000000003</v>
      </c>
      <c r="M467">
        <v>0.99991960000000002</v>
      </c>
      <c r="N467">
        <v>0</v>
      </c>
      <c r="O467">
        <v>-9.5289959999999996E-3</v>
      </c>
      <c r="P467">
        <v>0.98573409999999995</v>
      </c>
      <c r="Q467">
        <v>0.16821620000000001</v>
      </c>
      <c r="R467">
        <v>-5.6380880000000003E-3</v>
      </c>
      <c r="S467">
        <v>3.1545719999999999</v>
      </c>
      <c r="T467">
        <v>-0.67063799999999996</v>
      </c>
      <c r="U467">
        <v>-0.63507080000000005</v>
      </c>
      <c r="V467">
        <v>-3.7016079999999999E-3</v>
      </c>
      <c r="W467">
        <v>0.17647750000000001</v>
      </c>
      <c r="X467">
        <v>0.98429770000000005</v>
      </c>
      <c r="Y467">
        <v>0.18425469999999999</v>
      </c>
      <c r="Z467">
        <v>-1.719919E-2</v>
      </c>
      <c r="AA467">
        <v>0.98272809999999999</v>
      </c>
      <c r="AB467">
        <v>35</v>
      </c>
      <c r="AC467">
        <v>0.60769999999996505</v>
      </c>
      <c r="AD467">
        <v>-0.16617319999999999</v>
      </c>
      <c r="AE467">
        <v>-0.156200000000012</v>
      </c>
      <c r="AF467">
        <v>0.14054430859943601</v>
      </c>
      <c r="AG467">
        <v>-0.16617319999999999</v>
      </c>
      <c r="AH467">
        <v>0.56923533844942997</v>
      </c>
      <c r="AI467">
        <v>105.823416403216</v>
      </c>
      <c r="AJ467">
        <v>76.131037120651499</v>
      </c>
      <c r="AK467">
        <v>0.60942194382674697</v>
      </c>
      <c r="AL467">
        <v>79.835348905756106</v>
      </c>
      <c r="AM467">
        <v>90.215468872887897</v>
      </c>
      <c r="AN467">
        <v>0.99999998606666196</v>
      </c>
    </row>
    <row r="468" spans="1:40" x14ac:dyDescent="0.25">
      <c r="A468" t="str">
        <f>"20190312172102256"</f>
        <v>20190312172102256</v>
      </c>
      <c r="B468" t="str">
        <f>"1552382462252014"</f>
        <v>1552382462252014</v>
      </c>
      <c r="C468" t="s">
        <v>40</v>
      </c>
      <c r="D468">
        <v>3.2525149999999998</v>
      </c>
      <c r="E468">
        <v>0.57846609999999998</v>
      </c>
      <c r="F468" t="s">
        <v>41</v>
      </c>
      <c r="G468">
        <v>-407.22629999999998</v>
      </c>
      <c r="H468">
        <v>0.86467430000000001</v>
      </c>
      <c r="I468">
        <v>367.66789999999997</v>
      </c>
      <c r="J468">
        <v>-407.94959999999998</v>
      </c>
      <c r="K468">
        <v>1.0595019999999999</v>
      </c>
      <c r="L468">
        <v>367.85</v>
      </c>
      <c r="M468">
        <v>0.99991799999999997</v>
      </c>
      <c r="N468">
        <v>0</v>
      </c>
      <c r="O468">
        <v>-9.5729839999999997E-3</v>
      </c>
      <c r="P468">
        <v>0.98572859999999995</v>
      </c>
      <c r="Q468">
        <v>0.16824159999999999</v>
      </c>
      <c r="R468">
        <v>-5.8692989999999997E-3</v>
      </c>
      <c r="S468">
        <v>3.1546940000000001</v>
      </c>
      <c r="T468">
        <v>-0.67360200000000003</v>
      </c>
      <c r="U468">
        <v>-0.63583369999999995</v>
      </c>
      <c r="V468">
        <v>-3.5165880000000002E-3</v>
      </c>
      <c r="W468">
        <v>0.17662720000000001</v>
      </c>
      <c r="X468">
        <v>0.98427149999999997</v>
      </c>
      <c r="Y468">
        <v>0.18439800000000001</v>
      </c>
      <c r="Z468">
        <v>-1.7278330000000001E-2</v>
      </c>
      <c r="AA468">
        <v>0.98269980000000001</v>
      </c>
      <c r="AB468">
        <v>35</v>
      </c>
      <c r="AC468">
        <v>0.72329999999999395</v>
      </c>
      <c r="AD468">
        <v>-0.19482769999999899</v>
      </c>
      <c r="AE468">
        <v>-0.182100000000048</v>
      </c>
      <c r="AF468">
        <v>0.163979008863467</v>
      </c>
      <c r="AG468">
        <v>-0.19482769999999899</v>
      </c>
      <c r="AH468">
        <v>0.67870242116661805</v>
      </c>
      <c r="AI468">
        <v>105.590726844239</v>
      </c>
      <c r="AJ468">
        <v>76.417258545087293</v>
      </c>
      <c r="AK468">
        <v>0.724902700045023</v>
      </c>
      <c r="AL468">
        <v>79.826634571760394</v>
      </c>
      <c r="AM468">
        <v>90.2047044879249</v>
      </c>
      <c r="AN468">
        <v>0.99999995994162505</v>
      </c>
    </row>
    <row r="469" spans="1:40" x14ac:dyDescent="0.25">
      <c r="A469" t="str">
        <f>"20190312172102268"</f>
        <v>20190312172102268</v>
      </c>
      <c r="B469" t="str">
        <f>"1552382462261775"</f>
        <v>1552382462261775</v>
      </c>
      <c r="C469" t="s">
        <v>40</v>
      </c>
      <c r="D469">
        <v>3.1984330000000001</v>
      </c>
      <c r="E469">
        <v>0.57851260000000004</v>
      </c>
      <c r="F469" t="s">
        <v>41</v>
      </c>
      <c r="G469">
        <v>-407.21129999999999</v>
      </c>
      <c r="H469">
        <v>0.90169120000000003</v>
      </c>
      <c r="I469">
        <v>367.70100000000002</v>
      </c>
      <c r="J469">
        <v>-407.76830000000001</v>
      </c>
      <c r="K469">
        <v>1.0595110000000001</v>
      </c>
      <c r="L469">
        <v>367.84820000000002</v>
      </c>
      <c r="M469">
        <v>0.99991669999999999</v>
      </c>
      <c r="N469">
        <v>0</v>
      </c>
      <c r="O469">
        <v>-9.6100170000000002E-3</v>
      </c>
      <c r="P469">
        <v>0.98576140000000001</v>
      </c>
      <c r="Q469">
        <v>0.1680497</v>
      </c>
      <c r="R469">
        <v>-5.8243280000000001E-3</v>
      </c>
      <c r="S469">
        <v>3.1547239999999999</v>
      </c>
      <c r="T469">
        <v>-0.67436969999999996</v>
      </c>
      <c r="U469">
        <v>-0.63650509999999905</v>
      </c>
      <c r="V469">
        <v>-3.6015869999999998E-3</v>
      </c>
      <c r="W469">
        <v>0.17655119999999999</v>
      </c>
      <c r="X469">
        <v>0.98428490000000002</v>
      </c>
      <c r="Y469">
        <v>0.18454999999999999</v>
      </c>
      <c r="Z469">
        <v>-1.7305250000000001E-2</v>
      </c>
      <c r="AA469">
        <v>0.98267079999999996</v>
      </c>
      <c r="AB469">
        <v>35</v>
      </c>
      <c r="AC469">
        <v>0.55700000000001604</v>
      </c>
      <c r="AD469">
        <v>-0.15781980000000001</v>
      </c>
      <c r="AE469">
        <v>-0.14720000000005401</v>
      </c>
      <c r="AF469">
        <v>0.131939466724149</v>
      </c>
      <c r="AG469">
        <v>-0.15781980000000001</v>
      </c>
      <c r="AH469">
        <v>0.51941215838034005</v>
      </c>
      <c r="AI469">
        <v>106.409208954665</v>
      </c>
      <c r="AJ469">
        <v>75.747348957688899</v>
      </c>
      <c r="AK469">
        <v>0.55866278059739805</v>
      </c>
      <c r="AL469">
        <v>79.831059306366299</v>
      </c>
      <c r="AM469">
        <v>90.2096494761782</v>
      </c>
      <c r="AN469">
        <v>1.0000000310091799</v>
      </c>
    </row>
    <row r="470" spans="1:40" x14ac:dyDescent="0.25">
      <c r="A470" t="str">
        <f>"20190312172102279"</f>
        <v>20190312172102279</v>
      </c>
      <c r="B470" t="str">
        <f>"1552382462271534"</f>
        <v>1552382462271534</v>
      </c>
      <c r="C470" t="s">
        <v>40</v>
      </c>
      <c r="D470">
        <v>3.2240549999999999</v>
      </c>
      <c r="E470">
        <v>0.57849869999999903</v>
      </c>
      <c r="F470" t="s">
        <v>41</v>
      </c>
      <c r="G470">
        <v>-406.90609999999998</v>
      </c>
      <c r="H470">
        <v>0.87485889999999999</v>
      </c>
      <c r="I470">
        <v>367.67399999999998</v>
      </c>
      <c r="J470">
        <v>-407.58109999999999</v>
      </c>
      <c r="K470">
        <v>1.0595209999999999</v>
      </c>
      <c r="L470">
        <v>367.84629999999999</v>
      </c>
      <c r="M470">
        <v>0.99991540000000001</v>
      </c>
      <c r="N470">
        <v>0</v>
      </c>
      <c r="O470">
        <v>-9.6459849999999993E-3</v>
      </c>
      <c r="P470">
        <v>0.98580999999999996</v>
      </c>
      <c r="Q470">
        <v>0.16776429999999901</v>
      </c>
      <c r="R470">
        <v>-5.8380029999999996E-3</v>
      </c>
      <c r="S470">
        <v>3.154785</v>
      </c>
      <c r="T470">
        <v>-0.6756337</v>
      </c>
      <c r="U470">
        <v>-0.63732909999999998</v>
      </c>
      <c r="V470">
        <v>-3.627042E-3</v>
      </c>
      <c r="W470">
        <v>0.1763836</v>
      </c>
      <c r="X470">
        <v>0.98431480000000005</v>
      </c>
      <c r="Y470">
        <v>0.1847404</v>
      </c>
      <c r="Z470">
        <v>-1.7348659999999998E-2</v>
      </c>
      <c r="AA470">
        <v>0.98263420000000001</v>
      </c>
      <c r="AB470">
        <v>35</v>
      </c>
      <c r="AC470">
        <v>0.67500000000001104</v>
      </c>
      <c r="AD470">
        <v>-0.184662099999999</v>
      </c>
      <c r="AE470">
        <v>-0.17229999999994999</v>
      </c>
      <c r="AF470">
        <v>0.15489697960122201</v>
      </c>
      <c r="AG470">
        <v>-0.184662099999999</v>
      </c>
      <c r="AH470">
        <v>0.63220898715366003</v>
      </c>
      <c r="AI470">
        <v>105.838597698901</v>
      </c>
      <c r="AJ470">
        <v>76.233205341113404</v>
      </c>
      <c r="AK470">
        <v>0.67659542483218704</v>
      </c>
      <c r="AL470">
        <v>79.840814634775001</v>
      </c>
      <c r="AM470">
        <v>90.211124792753694</v>
      </c>
      <c r="AN470">
        <v>0.99999997764083404</v>
      </c>
    </row>
    <row r="471" spans="1:40" x14ac:dyDescent="0.25">
      <c r="A471" t="str">
        <f>"20190312172102291"</f>
        <v>20190312172102291</v>
      </c>
      <c r="B471" t="str">
        <f>"1552382462282271"</f>
        <v>1552382462282271</v>
      </c>
      <c r="C471" t="s">
        <v>40</v>
      </c>
      <c r="D471">
        <v>3.242912</v>
      </c>
      <c r="E471">
        <v>0.57850489999999999</v>
      </c>
      <c r="F471" t="s">
        <v>41</v>
      </c>
      <c r="G471">
        <v>-406.89069999999998</v>
      </c>
      <c r="H471">
        <v>0.91134570000000004</v>
      </c>
      <c r="I471">
        <v>367.70679999999999</v>
      </c>
      <c r="J471">
        <v>-407.40620000000001</v>
      </c>
      <c r="K471">
        <v>1.059534</v>
      </c>
      <c r="L471">
        <v>367.84460000000001</v>
      </c>
      <c r="M471">
        <v>0.99991410000000003</v>
      </c>
      <c r="N471">
        <v>0</v>
      </c>
      <c r="O471">
        <v>-9.6720020000000007E-3</v>
      </c>
      <c r="P471">
        <v>0.98580970000000001</v>
      </c>
      <c r="Q471">
        <v>0.16777110000000001</v>
      </c>
      <c r="R471">
        <v>-5.7037829999999996E-3</v>
      </c>
      <c r="S471">
        <v>3.1545719999999999</v>
      </c>
      <c r="T471">
        <v>-0.67710400000000004</v>
      </c>
      <c r="U471">
        <v>-0.63729859999999905</v>
      </c>
      <c r="V471">
        <v>-3.7903020000000002E-3</v>
      </c>
      <c r="W471">
        <v>0.17649489999999901</v>
      </c>
      <c r="X471">
        <v>0.98429420000000001</v>
      </c>
      <c r="Y471">
        <v>0.18470310000000001</v>
      </c>
      <c r="Z471">
        <v>-1.7377360000000001E-2</v>
      </c>
      <c r="AA471">
        <v>0.98264070000000003</v>
      </c>
      <c r="AB471">
        <v>35</v>
      </c>
      <c r="AC471">
        <v>0.51550000000003104</v>
      </c>
      <c r="AD471">
        <v>-0.148188299999999</v>
      </c>
      <c r="AE471">
        <v>-0.13780000000002601</v>
      </c>
      <c r="AF471">
        <v>0.12329806101674699</v>
      </c>
      <c r="AG471">
        <v>-0.148188299999999</v>
      </c>
      <c r="AH471">
        <v>0.47980380202794998</v>
      </c>
      <c r="AI471">
        <v>106.65365353901799</v>
      </c>
      <c r="AJ471">
        <v>75.588194596486701</v>
      </c>
      <c r="AK471">
        <v>0.51708207525290995</v>
      </c>
      <c r="AL471">
        <v>79.834335629866004</v>
      </c>
      <c r="AM471">
        <v>90.220632443289205</v>
      </c>
      <c r="AN471">
        <v>0.99999994413444904</v>
      </c>
    </row>
    <row r="472" spans="1:40" x14ac:dyDescent="0.25">
      <c r="A472" t="str">
        <f>"20190312172102303"</f>
        <v>20190312172102303</v>
      </c>
      <c r="B472" t="str">
        <f>"1552382462292031"</f>
        <v>1552382462292031</v>
      </c>
      <c r="C472" t="s">
        <v>40</v>
      </c>
      <c r="D472">
        <v>3.2814899999999998</v>
      </c>
      <c r="E472">
        <v>0.57850489999999999</v>
      </c>
      <c r="F472" t="s">
        <v>41</v>
      </c>
      <c r="G472">
        <v>-406.58640000000003</v>
      </c>
      <c r="H472">
        <v>0.883401199999999</v>
      </c>
      <c r="I472">
        <v>367.67899999999997</v>
      </c>
      <c r="J472">
        <v>-407.21</v>
      </c>
      <c r="K472">
        <v>1.059547</v>
      </c>
      <c r="L472">
        <v>367.84269999999998</v>
      </c>
      <c r="M472">
        <v>0.99991280000000005</v>
      </c>
      <c r="N472">
        <v>0</v>
      </c>
      <c r="O472">
        <v>-9.6990129999999994E-3</v>
      </c>
      <c r="P472">
        <v>0.98584950000000005</v>
      </c>
      <c r="Q472">
        <v>0.16754069999999999</v>
      </c>
      <c r="R472">
        <v>-5.5938460000000004E-3</v>
      </c>
      <c r="S472">
        <v>3.1548769999999999</v>
      </c>
      <c r="T472">
        <v>-0.67781040000000004</v>
      </c>
      <c r="U472">
        <v>-0.63674929999999996</v>
      </c>
      <c r="V472">
        <v>-3.9311900000000002E-3</v>
      </c>
      <c r="W472">
        <v>0.17637890000000001</v>
      </c>
      <c r="X472">
        <v>0.98431449999999998</v>
      </c>
      <c r="Y472">
        <v>0.18449160000000001</v>
      </c>
      <c r="Z472">
        <v>-1.736584E-2</v>
      </c>
      <c r="AA472">
        <v>0.98268069999999996</v>
      </c>
      <c r="AB472">
        <v>35</v>
      </c>
      <c r="AC472">
        <v>0.62359999999995297</v>
      </c>
      <c r="AD472">
        <v>-0.17614579999999999</v>
      </c>
      <c r="AE472">
        <v>-0.163699999999948</v>
      </c>
      <c r="AF472">
        <v>0.14669402088237499</v>
      </c>
      <c r="AG472">
        <v>-0.17614579999999999</v>
      </c>
      <c r="AH472">
        <v>0.58173575967806301</v>
      </c>
      <c r="AI472">
        <v>106.36237517733601</v>
      </c>
      <c r="AJ472">
        <v>75.847009864135899</v>
      </c>
      <c r="AK472">
        <v>0.62527031970859803</v>
      </c>
      <c r="AL472">
        <v>79.841088472086696</v>
      </c>
      <c r="AM472">
        <v>90.228828690314103</v>
      </c>
      <c r="AN472">
        <v>1.0000000027651299</v>
      </c>
    </row>
    <row r="473" spans="1:40" x14ac:dyDescent="0.25">
      <c r="A473" t="str">
        <f>"20190312172102314"</f>
        <v>20190312172102314</v>
      </c>
      <c r="B473" t="str">
        <f>"1552382462311551"</f>
        <v>1552382462311551</v>
      </c>
      <c r="C473" t="s">
        <v>40</v>
      </c>
      <c r="D473">
        <v>3.2565460000000002</v>
      </c>
      <c r="E473">
        <v>0.57851439999999998</v>
      </c>
      <c r="F473" t="s">
        <v>41</v>
      </c>
      <c r="G473">
        <v>-406.27890000000002</v>
      </c>
      <c r="H473">
        <v>0.85933040000000005</v>
      </c>
      <c r="I473">
        <v>367.6542</v>
      </c>
      <c r="J473">
        <v>-407.02390000000003</v>
      </c>
      <c r="K473">
        <v>1.059561</v>
      </c>
      <c r="L473">
        <v>367.84089999999998</v>
      </c>
      <c r="M473">
        <v>0.99991160000000001</v>
      </c>
      <c r="N473">
        <v>0</v>
      </c>
      <c r="O473">
        <v>-9.7184679999999992E-3</v>
      </c>
      <c r="P473">
        <v>0.98582309999999995</v>
      </c>
      <c r="Q473">
        <v>0.1677005</v>
      </c>
      <c r="R473">
        <v>-5.4451489999999998E-3</v>
      </c>
      <c r="S473">
        <v>3.1547550000000002</v>
      </c>
      <c r="T473">
        <v>-0.67850580000000005</v>
      </c>
      <c r="U473">
        <v>-0.63656619999999997</v>
      </c>
      <c r="V473">
        <v>-4.1023079999999998E-3</v>
      </c>
      <c r="W473">
        <v>0.176641299999999</v>
      </c>
      <c r="X473">
        <v>0.9842668</v>
      </c>
      <c r="Y473">
        <v>0.184419</v>
      </c>
      <c r="Z473">
        <v>-1.7372269999999999E-2</v>
      </c>
      <c r="AA473">
        <v>0.98269410000000001</v>
      </c>
      <c r="AB473">
        <v>35</v>
      </c>
      <c r="AC473">
        <v>0.74500000000000399</v>
      </c>
      <c r="AD473">
        <v>-0.20023059999999901</v>
      </c>
      <c r="AE473">
        <v>-0.186699999999973</v>
      </c>
      <c r="AF473">
        <v>0.16803017800869499</v>
      </c>
      <c r="AG473">
        <v>-0.20023059999999901</v>
      </c>
      <c r="AH473">
        <v>0.69925341783209505</v>
      </c>
      <c r="AI473">
        <v>105.558442580828</v>
      </c>
      <c r="AJ473">
        <v>76.488047644532401</v>
      </c>
      <c r="AK473">
        <v>0.74651307841715697</v>
      </c>
      <c r="AL473">
        <v>79.825814780338206</v>
      </c>
      <c r="AM473">
        <v>90.238800672408601</v>
      </c>
      <c r="AN473">
        <v>1.00000005568942</v>
      </c>
    </row>
    <row r="474" spans="1:40" x14ac:dyDescent="0.25">
      <c r="A474" t="str">
        <f>"20190312172102333"</f>
        <v>20190312172102333</v>
      </c>
      <c r="B474" t="str">
        <f>"1552382462322287"</f>
        <v>1552382462322287</v>
      </c>
      <c r="C474" t="s">
        <v>40</v>
      </c>
      <c r="D474">
        <v>3.2092809999999998</v>
      </c>
      <c r="E474">
        <v>0.57850749999999995</v>
      </c>
      <c r="F474" t="s">
        <v>41</v>
      </c>
      <c r="G474">
        <v>-406.26429999999999</v>
      </c>
      <c r="H474">
        <v>0.89615009999999995</v>
      </c>
      <c r="I474">
        <v>367.68709999999999</v>
      </c>
      <c r="J474">
        <v>-406.73520000000002</v>
      </c>
      <c r="K474">
        <v>1.059579</v>
      </c>
      <c r="L474">
        <v>367.83800000000002</v>
      </c>
      <c r="M474">
        <v>0.99991010000000002</v>
      </c>
      <c r="N474">
        <v>0</v>
      </c>
      <c r="O474">
        <v>-9.7414389999999993E-3</v>
      </c>
      <c r="P474">
        <v>0.98586410000000002</v>
      </c>
      <c r="Q474">
        <v>0.16745889999999999</v>
      </c>
      <c r="R474">
        <v>-5.4756579999999996E-3</v>
      </c>
      <c r="S474">
        <v>3.1550600000000002</v>
      </c>
      <c r="T474">
        <v>-0.67890240000000002</v>
      </c>
      <c r="U474">
        <v>-0.63577269999999997</v>
      </c>
      <c r="V474">
        <v>-4.1005E-3</v>
      </c>
      <c r="W474">
        <v>0.17654929999999999</v>
      </c>
      <c r="X474">
        <v>0.98428329999999997</v>
      </c>
      <c r="Y474">
        <v>0.1841431</v>
      </c>
      <c r="Z474">
        <v>-1.73470999999999E-2</v>
      </c>
      <c r="AA474">
        <v>0.98274640000000002</v>
      </c>
      <c r="AB474">
        <v>35</v>
      </c>
      <c r="AC474">
        <v>0.47090000000002802</v>
      </c>
      <c r="AD474">
        <v>-0.16342889999999999</v>
      </c>
      <c r="AE474">
        <v>-0.15090000000003501</v>
      </c>
      <c r="AF474">
        <v>0.13189799635700999</v>
      </c>
      <c r="AG474">
        <v>-0.16342889999999999</v>
      </c>
      <c r="AH474">
        <v>0.425833323890211</v>
      </c>
      <c r="AI474">
        <v>110.13308457886301</v>
      </c>
      <c r="AJ474">
        <v>72.790108658372006</v>
      </c>
      <c r="AK474">
        <v>0.47480533540977599</v>
      </c>
      <c r="AL474">
        <v>79.8311700190918</v>
      </c>
      <c r="AM474">
        <v>90.238691426283793</v>
      </c>
      <c r="AN474">
        <v>1.0000000420448101</v>
      </c>
    </row>
    <row r="475" spans="1:40" x14ac:dyDescent="0.25">
      <c r="A475" t="str">
        <f>"20190312172102344"</f>
        <v>20190312172102344</v>
      </c>
      <c r="B475" t="str">
        <f>"1552382462341806"</f>
        <v>1552382462341806</v>
      </c>
      <c r="C475" t="s">
        <v>40</v>
      </c>
      <c r="D475">
        <v>3.2156340000000001</v>
      </c>
      <c r="E475">
        <v>0.57849689999999998</v>
      </c>
      <c r="F475" t="s">
        <v>41</v>
      </c>
      <c r="G475">
        <v>-405.95</v>
      </c>
      <c r="H475">
        <v>0.8900633</v>
      </c>
      <c r="I475">
        <v>367.67989999999998</v>
      </c>
      <c r="J475">
        <v>-406.55840000000001</v>
      </c>
      <c r="K475">
        <v>1.0595889999999999</v>
      </c>
      <c r="L475">
        <v>367.83629999999999</v>
      </c>
      <c r="M475">
        <v>0.99990900000000005</v>
      </c>
      <c r="N475">
        <v>0</v>
      </c>
      <c r="O475">
        <v>-9.751539E-3</v>
      </c>
      <c r="P475">
        <v>0.98589130000000003</v>
      </c>
      <c r="Q475">
        <v>0.16730880000000001</v>
      </c>
      <c r="R475">
        <v>-5.1047690000000003E-3</v>
      </c>
      <c r="S475">
        <v>3.1552120000000001</v>
      </c>
      <c r="T475">
        <v>-0.68117289999999997</v>
      </c>
      <c r="U475">
        <v>-0.63522339999999999</v>
      </c>
      <c r="V475">
        <v>-4.4844759999999899E-3</v>
      </c>
      <c r="W475">
        <v>0.17648449999999999</v>
      </c>
      <c r="X475">
        <v>0.98429319999999998</v>
      </c>
      <c r="Y475">
        <v>0.18393909999999999</v>
      </c>
      <c r="Z475">
        <v>-1.7379619999999998E-2</v>
      </c>
      <c r="AA475">
        <v>0.98278399999999999</v>
      </c>
      <c r="AB475">
        <v>35</v>
      </c>
      <c r="AC475">
        <v>0.60840000000001704</v>
      </c>
      <c r="AD475">
        <v>-0.169525699999999</v>
      </c>
      <c r="AE475">
        <v>-0.156400000000019</v>
      </c>
      <c r="AF475">
        <v>0.140245593376257</v>
      </c>
      <c r="AG475">
        <v>-0.169525699999999</v>
      </c>
      <c r="AH475">
        <v>0.56849373379450197</v>
      </c>
      <c r="AI475">
        <v>106.146871729441</v>
      </c>
      <c r="AJ475">
        <v>76.142020219762102</v>
      </c>
      <c r="AK475">
        <v>0.60958421467879498</v>
      </c>
      <c r="AL475">
        <v>79.834941546042799</v>
      </c>
      <c r="AM475">
        <v>90.261039871382707</v>
      </c>
      <c r="AN475">
        <v>0.999999996415742</v>
      </c>
    </row>
    <row r="476" spans="1:40" x14ac:dyDescent="0.25">
      <c r="A476" t="str">
        <f>"20190312172102359"</f>
        <v>20190312172102359</v>
      </c>
      <c r="B476" t="str">
        <f>"1552382462351567"</f>
        <v>1552382462351567</v>
      </c>
      <c r="C476" t="s">
        <v>40</v>
      </c>
      <c r="D476">
        <v>3.1940979999999999</v>
      </c>
      <c r="E476">
        <v>0.57844899999999999</v>
      </c>
      <c r="F476" t="s">
        <v>41</v>
      </c>
      <c r="G476">
        <v>-405.64400000000001</v>
      </c>
      <c r="H476">
        <v>0.86173159999999904</v>
      </c>
      <c r="I476">
        <v>367.65219999999999</v>
      </c>
      <c r="J476">
        <v>-406.33069999999998</v>
      </c>
      <c r="K476">
        <v>1.059604</v>
      </c>
      <c r="L476">
        <v>367.834</v>
      </c>
      <c r="M476">
        <v>0.99990800000000002</v>
      </c>
      <c r="N476">
        <v>0</v>
      </c>
      <c r="O476">
        <v>-9.7613560000000005E-3</v>
      </c>
      <c r="P476">
        <v>0.98589749999999998</v>
      </c>
      <c r="Q476">
        <v>0.16727410000000001</v>
      </c>
      <c r="R476">
        <v>-5.045468E-3</v>
      </c>
      <c r="S476">
        <v>3.1554869999999999</v>
      </c>
      <c r="T476">
        <v>-0.68282010000000004</v>
      </c>
      <c r="U476">
        <v>-0.63409419999999905</v>
      </c>
      <c r="V476">
        <v>-4.5571680000000003E-3</v>
      </c>
      <c r="W476">
        <v>0.17655309999999999</v>
      </c>
      <c r="X476">
        <v>0.98428059999999995</v>
      </c>
      <c r="Y476">
        <v>0.18356520000000001</v>
      </c>
      <c r="Z476">
        <v>-1.7378169999999998E-2</v>
      </c>
      <c r="AA476">
        <v>0.98285389999999995</v>
      </c>
      <c r="AB476">
        <v>35</v>
      </c>
      <c r="AC476">
        <v>0.686699999999973</v>
      </c>
      <c r="AD476">
        <v>-0.1978724</v>
      </c>
      <c r="AE476">
        <v>-0.18180000000000901</v>
      </c>
      <c r="AF476">
        <v>0.16248073379640901</v>
      </c>
      <c r="AG476">
        <v>-0.1978724</v>
      </c>
      <c r="AH476">
        <v>0.63887079620859699</v>
      </c>
      <c r="AI476">
        <v>106.70800254784901</v>
      </c>
      <c r="AJ476">
        <v>75.730774253151907</v>
      </c>
      <c r="AK476">
        <v>0.68826547914666303</v>
      </c>
      <c r="AL476">
        <v>79.830948719439306</v>
      </c>
      <c r="AM476">
        <v>90.2652745845308</v>
      </c>
      <c r="AN476">
        <v>1.00000003221807</v>
      </c>
    </row>
    <row r="477" spans="1:40" x14ac:dyDescent="0.25">
      <c r="A477" t="str">
        <f>"20190312172102379"</f>
        <v>20190312172102379</v>
      </c>
      <c r="B477" t="str">
        <f>"1552382462372063"</f>
        <v>1552382462372063</v>
      </c>
      <c r="C477" t="s">
        <v>40</v>
      </c>
      <c r="D477">
        <v>3.2396020000000001</v>
      </c>
      <c r="E477">
        <v>0.57838849999999997</v>
      </c>
      <c r="F477" t="s">
        <v>41</v>
      </c>
      <c r="G477">
        <v>-405.62540000000001</v>
      </c>
      <c r="H477">
        <v>0.90684629999999999</v>
      </c>
      <c r="I477">
        <v>367.69209999999998</v>
      </c>
      <c r="J477">
        <v>-406.00700000000001</v>
      </c>
      <c r="K477">
        <v>1.05962</v>
      </c>
      <c r="L477">
        <v>367.83080000000001</v>
      </c>
      <c r="M477">
        <v>0.99990670000000004</v>
      </c>
      <c r="N477">
        <v>0</v>
      </c>
      <c r="O477">
        <v>-9.7683300000000004E-3</v>
      </c>
      <c r="P477">
        <v>0.9859329</v>
      </c>
      <c r="Q477">
        <v>0.16707669999999999</v>
      </c>
      <c r="R477">
        <v>-4.6879060000000004E-3</v>
      </c>
      <c r="S477">
        <v>3.15564</v>
      </c>
      <c r="T477">
        <v>-0.683473</v>
      </c>
      <c r="U477">
        <v>-0.6337585</v>
      </c>
      <c r="V477">
        <v>-4.9256589999999998E-3</v>
      </c>
      <c r="W477">
        <v>0.1764878</v>
      </c>
      <c r="X477">
        <v>0.98429049999999996</v>
      </c>
      <c r="Y477">
        <v>0.18344450000000001</v>
      </c>
      <c r="Z477">
        <v>-1.7379510000000001E-2</v>
      </c>
      <c r="AA477">
        <v>0.98287639999999998</v>
      </c>
      <c r="AB477">
        <v>35</v>
      </c>
      <c r="AC477">
        <v>0.38159999999993399</v>
      </c>
      <c r="AD477">
        <v>-0.15277370000000001</v>
      </c>
      <c r="AE477">
        <v>-0.138700000000028</v>
      </c>
      <c r="AF477">
        <v>0.118227375780287</v>
      </c>
      <c r="AG477">
        <v>-0.15277370000000001</v>
      </c>
      <c r="AH477">
        <v>0.33544546042847301</v>
      </c>
      <c r="AI477">
        <v>113.24533203554201</v>
      </c>
      <c r="AJ477">
        <v>70.585051302100794</v>
      </c>
      <c r="AK477">
        <v>0.387093235174232</v>
      </c>
      <c r="AL477">
        <v>79.834749461024401</v>
      </c>
      <c r="AM477">
        <v>90.286721365496206</v>
      </c>
      <c r="AN477">
        <v>0.99999999702783704</v>
      </c>
    </row>
    <row r="478" spans="1:40" x14ac:dyDescent="0.25">
      <c r="A478" t="str">
        <f>"20190312172102402"</f>
        <v>20190312172102402</v>
      </c>
      <c r="B478" t="str">
        <f>"1552382462392558"</f>
        <v>1552382462392558</v>
      </c>
      <c r="C478" t="s">
        <v>40</v>
      </c>
      <c r="D478">
        <v>3.2447240000000002</v>
      </c>
      <c r="E478">
        <v>0.57837340000000004</v>
      </c>
      <c r="F478" t="s">
        <v>41</v>
      </c>
      <c r="G478">
        <v>-405.3075</v>
      </c>
      <c r="H478">
        <v>0.90786659999999997</v>
      </c>
      <c r="I478">
        <v>367.69040000000001</v>
      </c>
      <c r="J478">
        <v>-405.64589999999998</v>
      </c>
      <c r="K478">
        <v>1.0596369999999999</v>
      </c>
      <c r="L478">
        <v>367.82729999999998</v>
      </c>
      <c r="M478">
        <v>0.99990540000000006</v>
      </c>
      <c r="N478">
        <v>0</v>
      </c>
      <c r="O478">
        <v>-9.7706730000000006E-3</v>
      </c>
      <c r="P478">
        <v>0.98595500000000003</v>
      </c>
      <c r="Q478">
        <v>0.16694600000000001</v>
      </c>
      <c r="R478">
        <v>-4.6758379999999999E-3</v>
      </c>
      <c r="S478">
        <v>3.1558229999999998</v>
      </c>
      <c r="T478">
        <v>-0.68477959999999904</v>
      </c>
      <c r="U478">
        <v>-0.6328125</v>
      </c>
      <c r="V478">
        <v>-4.9430239999999999E-3</v>
      </c>
      <c r="W478">
        <v>0.1764878</v>
      </c>
      <c r="X478">
        <v>0.98429040000000001</v>
      </c>
      <c r="Y478">
        <v>0.18314030000000001</v>
      </c>
      <c r="Z478">
        <v>-1.7378709999999999E-2</v>
      </c>
      <c r="AA478">
        <v>0.98293319999999995</v>
      </c>
      <c r="AB478">
        <v>35</v>
      </c>
      <c r="AC478">
        <v>0.338399999999978</v>
      </c>
      <c r="AD478">
        <v>-0.1517704</v>
      </c>
      <c r="AE478">
        <v>-0.13689999999996799</v>
      </c>
      <c r="AF478">
        <v>0.11389872785671</v>
      </c>
      <c r="AG478">
        <v>-0.1517704</v>
      </c>
      <c r="AH478">
        <v>0.28965298351368601</v>
      </c>
      <c r="AI478">
        <v>115.995149720843</v>
      </c>
      <c r="AJ478">
        <v>68.534018689249095</v>
      </c>
      <c r="AK478">
        <v>0.34627449426996099</v>
      </c>
      <c r="AL478">
        <v>79.834749330099797</v>
      </c>
      <c r="AM478">
        <v>90.287732190024798</v>
      </c>
      <c r="AN478">
        <v>0.99999998428363202</v>
      </c>
    </row>
    <row r="479" spans="1:40" x14ac:dyDescent="0.25">
      <c r="A479" t="str">
        <f>"20190312172102414"</f>
        <v>20190312172102414</v>
      </c>
      <c r="B479" t="str">
        <f>"1552382462402319"</f>
        <v>1552382462402319</v>
      </c>
      <c r="C479" t="s">
        <v>40</v>
      </c>
      <c r="D479">
        <v>3.2311990000000002</v>
      </c>
      <c r="E479">
        <v>0.57836299999999996</v>
      </c>
      <c r="F479" t="s">
        <v>41</v>
      </c>
      <c r="G479">
        <v>-404.69450000000001</v>
      </c>
      <c r="H479">
        <v>0.85276989999999997</v>
      </c>
      <c r="I479">
        <v>367.63670000000002</v>
      </c>
      <c r="J479">
        <v>-405.44940000000003</v>
      </c>
      <c r="K479">
        <v>1.059644</v>
      </c>
      <c r="L479">
        <v>367.82530000000003</v>
      </c>
      <c r="M479">
        <v>0.99990489999999999</v>
      </c>
      <c r="N479">
        <v>0</v>
      </c>
      <c r="O479">
        <v>-9.7702399999999995E-3</v>
      </c>
      <c r="P479">
        <v>0.98598010000000003</v>
      </c>
      <c r="Q479">
        <v>0.16679949999999999</v>
      </c>
      <c r="R479">
        <v>-4.656472E-3</v>
      </c>
      <c r="S479">
        <v>3.155945</v>
      </c>
      <c r="T479">
        <v>-0.68623199999999995</v>
      </c>
      <c r="U479">
        <v>-0.632324199999999</v>
      </c>
      <c r="V479">
        <v>-4.9632809999999999E-3</v>
      </c>
      <c r="W479">
        <v>0.1764057</v>
      </c>
      <c r="X479">
        <v>0.98430499999999999</v>
      </c>
      <c r="Y479">
        <v>0.18297469999999999</v>
      </c>
      <c r="Z479">
        <v>-1.7396829999999999E-2</v>
      </c>
      <c r="AA479">
        <v>0.9829637</v>
      </c>
      <c r="AB479">
        <v>36</v>
      </c>
      <c r="AC479">
        <v>0.75490000000002</v>
      </c>
      <c r="AD479">
        <v>-0.20687409999999901</v>
      </c>
      <c r="AE479">
        <v>-0.18860000000000801</v>
      </c>
      <c r="AF479">
        <v>0.16925126444316399</v>
      </c>
      <c r="AG479">
        <v>-0.20687409999999901</v>
      </c>
      <c r="AH479">
        <v>0.70674890544568703</v>
      </c>
      <c r="AI479">
        <v>105.889711885639</v>
      </c>
      <c r="AJ479">
        <v>76.5325150575067</v>
      </c>
      <c r="AK479">
        <v>0.75560366536637202</v>
      </c>
      <c r="AL479">
        <v>79.839528138701695</v>
      </c>
      <c r="AM479">
        <v>90.288907039687004</v>
      </c>
      <c r="AN479">
        <v>0.99999996908788602</v>
      </c>
    </row>
    <row r="480" spans="1:40" x14ac:dyDescent="0.25">
      <c r="A480" t="str">
        <f>"20190312172102426"</f>
        <v>20190312172102426</v>
      </c>
      <c r="B480" t="str">
        <f>"1552382462421839"</f>
        <v>1552382462421839</v>
      </c>
      <c r="C480" t="s">
        <v>40</v>
      </c>
      <c r="D480">
        <v>3.2424979999999999</v>
      </c>
      <c r="E480">
        <v>0.57824569999999997</v>
      </c>
      <c r="F480" t="s">
        <v>41</v>
      </c>
      <c r="G480">
        <v>-404.67899999999997</v>
      </c>
      <c r="H480">
        <v>0.89194379999999995</v>
      </c>
      <c r="I480">
        <v>367.67099999999999</v>
      </c>
      <c r="J480">
        <v>-405.26729999999998</v>
      </c>
      <c r="K480">
        <v>1.0596479999999999</v>
      </c>
      <c r="L480">
        <v>367.8236</v>
      </c>
      <c r="M480">
        <v>0.99990420000000002</v>
      </c>
      <c r="N480">
        <v>0</v>
      </c>
      <c r="O480">
        <v>-9.7694159999999995E-3</v>
      </c>
      <c r="P480">
        <v>0.9859637</v>
      </c>
      <c r="Q480">
        <v>0.16689780000000001</v>
      </c>
      <c r="R480">
        <v>-4.5490979999999997E-3</v>
      </c>
      <c r="S480">
        <v>3.1558839999999999</v>
      </c>
      <c r="T480">
        <v>-0.68705859999999996</v>
      </c>
      <c r="U480">
        <v>-0.63278199999999996</v>
      </c>
      <c r="V480">
        <v>-5.0706199999999996E-3</v>
      </c>
      <c r="W480">
        <v>0.1765592</v>
      </c>
      <c r="X480">
        <v>0.98427699999999996</v>
      </c>
      <c r="Y480">
        <v>0.18310399999999999</v>
      </c>
      <c r="Z480">
        <v>-1.7431350000000002E-2</v>
      </c>
      <c r="AA480">
        <v>0.98293900000000001</v>
      </c>
      <c r="AB480">
        <v>36</v>
      </c>
      <c r="AC480">
        <v>0.58829999999994698</v>
      </c>
      <c r="AD480">
        <v>-0.167704199999999</v>
      </c>
      <c r="AE480">
        <v>-0.15260000000000601</v>
      </c>
      <c r="AF480">
        <v>0.13645543969901699</v>
      </c>
      <c r="AG480">
        <v>-0.167704199999999</v>
      </c>
      <c r="AH480">
        <v>0.54803563000571998</v>
      </c>
      <c r="AI480">
        <v>106.538439905068</v>
      </c>
      <c r="AJ480">
        <v>76.018229412611205</v>
      </c>
      <c r="AK480">
        <v>0.58914161071584303</v>
      </c>
      <c r="AL480">
        <v>79.830593691446296</v>
      </c>
      <c r="AM480">
        <v>90.295163409747701</v>
      </c>
      <c r="AN480">
        <v>1.0000000375104099</v>
      </c>
    </row>
    <row r="481" spans="1:40" x14ac:dyDescent="0.25">
      <c r="A481" t="str">
        <f>"20190312172102438"</f>
        <v>20190312172102438</v>
      </c>
      <c r="B481" t="str">
        <f>"1552382462431599"</f>
        <v>1552382462431599</v>
      </c>
      <c r="C481" t="s">
        <v>40</v>
      </c>
      <c r="D481">
        <v>3.2726829999999998</v>
      </c>
      <c r="E481">
        <v>0.57827910000000005</v>
      </c>
      <c r="F481" t="s">
        <v>41</v>
      </c>
      <c r="G481">
        <v>-404.3716</v>
      </c>
      <c r="H481">
        <v>0.86503280000000005</v>
      </c>
      <c r="I481">
        <v>367.6438</v>
      </c>
      <c r="J481">
        <v>-405.06459999999998</v>
      </c>
      <c r="K481">
        <v>1.0596540000000001</v>
      </c>
      <c r="L481">
        <v>367.82159999999999</v>
      </c>
      <c r="M481">
        <v>0.99990369999999995</v>
      </c>
      <c r="N481">
        <v>0</v>
      </c>
      <c r="O481">
        <v>-9.7682529999999993E-3</v>
      </c>
      <c r="P481">
        <v>0.98599029999999999</v>
      </c>
      <c r="Q481">
        <v>0.16673879999999999</v>
      </c>
      <c r="R481">
        <v>-4.6284350000000002E-3</v>
      </c>
      <c r="S481">
        <v>3.1558839999999999</v>
      </c>
      <c r="T481">
        <v>-0.68574419999999903</v>
      </c>
      <c r="U481">
        <v>-0.63156129999999999</v>
      </c>
      <c r="V481">
        <v>-4.9918619999999997E-3</v>
      </c>
      <c r="W481">
        <v>0.17645920000000001</v>
      </c>
      <c r="X481">
        <v>0.98429529999999998</v>
      </c>
      <c r="Y481">
        <v>0.1827617</v>
      </c>
      <c r="Z481">
        <v>-1.736321E-2</v>
      </c>
      <c r="AA481">
        <v>0.98300390000000004</v>
      </c>
      <c r="AB481">
        <v>36</v>
      </c>
      <c r="AC481">
        <v>0.69299999999998296</v>
      </c>
      <c r="AD481">
        <v>-0.194621199999999</v>
      </c>
      <c r="AE481">
        <v>-0.17779999999998999</v>
      </c>
      <c r="AF481">
        <v>0.159238269498714</v>
      </c>
      <c r="AG481">
        <v>-0.194621199999999</v>
      </c>
      <c r="AH481">
        <v>0.64683824394962597</v>
      </c>
      <c r="AI481">
        <v>106.286144821169</v>
      </c>
      <c r="AJ481">
        <v>76.169966991856001</v>
      </c>
      <c r="AK481">
        <v>0.69399852434873399</v>
      </c>
      <c r="AL481">
        <v>79.836414307558798</v>
      </c>
      <c r="AM481">
        <v>90.290573542766097</v>
      </c>
      <c r="AN481">
        <v>1.0000000027764699</v>
      </c>
    </row>
    <row r="482" spans="1:40" x14ac:dyDescent="0.25">
      <c r="A482" t="str">
        <f>"20190312172102450"</f>
        <v>20190312172102450</v>
      </c>
      <c r="B482" t="str">
        <f>"1552382462442335"</f>
        <v>1552382462442335</v>
      </c>
      <c r="C482" t="s">
        <v>40</v>
      </c>
      <c r="D482">
        <v>3.1933099999999999</v>
      </c>
      <c r="E482">
        <v>0.57824430000000004</v>
      </c>
      <c r="F482" t="s">
        <v>41</v>
      </c>
      <c r="G482">
        <v>-404.35489999999999</v>
      </c>
      <c r="H482">
        <v>0.90528140000000001</v>
      </c>
      <c r="I482">
        <v>367.67899999999997</v>
      </c>
      <c r="J482">
        <v>-404.88600000000002</v>
      </c>
      <c r="K482">
        <v>1.05966</v>
      </c>
      <c r="L482">
        <v>367.81990000000002</v>
      </c>
      <c r="M482">
        <v>0.99990319999999999</v>
      </c>
      <c r="N482">
        <v>0</v>
      </c>
      <c r="O482">
        <v>-9.7671570000000003E-3</v>
      </c>
      <c r="P482">
        <v>0.98603680000000005</v>
      </c>
      <c r="Q482">
        <v>0.1664622</v>
      </c>
      <c r="R482">
        <v>-4.6676360000000002E-3</v>
      </c>
      <c r="S482">
        <v>3.1557309999999998</v>
      </c>
      <c r="T482">
        <v>-0.68652579999999996</v>
      </c>
      <c r="U482">
        <v>-0.63195800000000002</v>
      </c>
      <c r="V482">
        <v>-4.9526429999999996E-3</v>
      </c>
      <c r="W482">
        <v>0.1762301</v>
      </c>
      <c r="X482">
        <v>0.98433660000000001</v>
      </c>
      <c r="Y482">
        <v>0.18287900000000001</v>
      </c>
      <c r="Z482">
        <v>-1.7395890000000001E-2</v>
      </c>
      <c r="AA482">
        <v>0.98298149999999995</v>
      </c>
      <c r="AB482">
        <v>36</v>
      </c>
      <c r="AC482">
        <v>0.53109999999998003</v>
      </c>
      <c r="AD482">
        <v>-0.1543786</v>
      </c>
      <c r="AE482">
        <v>-0.14089999999998701</v>
      </c>
      <c r="AF482">
        <v>0.125777175615995</v>
      </c>
      <c r="AG482">
        <v>-0.1543786</v>
      </c>
      <c r="AH482">
        <v>0.493495704144298</v>
      </c>
      <c r="AI482">
        <v>106.86393923088301</v>
      </c>
      <c r="AJ482">
        <v>75.701450179800602</v>
      </c>
      <c r="AK482">
        <v>0.53215661233585498</v>
      </c>
      <c r="AL482">
        <v>79.849750338793399</v>
      </c>
      <c r="AM482">
        <v>90.288278569357601</v>
      </c>
      <c r="AN482">
        <v>1.0000000594591201</v>
      </c>
    </row>
    <row r="483" spans="1:40" x14ac:dyDescent="0.25">
      <c r="A483" t="str">
        <f>"20190312172102468"</f>
        <v>20190312172102468</v>
      </c>
      <c r="B483" t="str">
        <f>"1552382462461855"</f>
        <v>1552382462461855</v>
      </c>
      <c r="C483" t="s">
        <v>40</v>
      </c>
      <c r="D483">
        <v>3.263598</v>
      </c>
      <c r="E483">
        <v>0.57829770000000003</v>
      </c>
      <c r="F483" t="s">
        <v>41</v>
      </c>
      <c r="G483">
        <v>-404.04849999999999</v>
      </c>
      <c r="H483">
        <v>0.87712259999999997</v>
      </c>
      <c r="I483">
        <v>367.65230000000003</v>
      </c>
      <c r="J483">
        <v>-404.59249999999997</v>
      </c>
      <c r="K483">
        <v>1.0596650000000001</v>
      </c>
      <c r="L483">
        <v>367.81700000000001</v>
      </c>
      <c r="M483">
        <v>0.99990250000000003</v>
      </c>
      <c r="N483">
        <v>0</v>
      </c>
      <c r="O483">
        <v>-9.7652339999999994E-3</v>
      </c>
      <c r="P483">
        <v>0.98600659999999896</v>
      </c>
      <c r="Q483">
        <v>0.16664100000000001</v>
      </c>
      <c r="R483">
        <v>-4.6949690000000002E-3</v>
      </c>
      <c r="S483">
        <v>3.155548</v>
      </c>
      <c r="T483">
        <v>-0.68770609999999999</v>
      </c>
      <c r="U483">
        <v>-0.63174439999999998</v>
      </c>
      <c r="V483">
        <v>-4.9237860000000003E-3</v>
      </c>
      <c r="W483">
        <v>0.17648169999999999</v>
      </c>
      <c r="X483">
        <v>0.98429160000000004</v>
      </c>
      <c r="Y483">
        <v>0.18281549999999999</v>
      </c>
      <c r="Z483">
        <v>-1.7419850000000001E-2</v>
      </c>
      <c r="AA483">
        <v>0.98299289999999995</v>
      </c>
      <c r="AB483">
        <v>36</v>
      </c>
      <c r="AC483">
        <v>0.54399999999998205</v>
      </c>
      <c r="AD483">
        <v>-0.18254239999999899</v>
      </c>
      <c r="AE483">
        <v>-0.16469999999992499</v>
      </c>
      <c r="AF483">
        <v>0.144477673325283</v>
      </c>
      <c r="AG483">
        <v>-0.18254239999999899</v>
      </c>
      <c r="AH483">
        <v>0.494570755528835</v>
      </c>
      <c r="AI483">
        <v>109.508471353888</v>
      </c>
      <c r="AJ483">
        <v>73.715469370079006</v>
      </c>
      <c r="AK483">
        <v>0.54662213467038701</v>
      </c>
      <c r="AL483">
        <v>79.835104507359901</v>
      </c>
      <c r="AM483">
        <v>90.286612020159097</v>
      </c>
      <c r="AN483">
        <v>0.999999993967011</v>
      </c>
    </row>
    <row r="484" spans="1:40" x14ac:dyDescent="0.25">
      <c r="A484" t="str">
        <f>"20190312172102479"</f>
        <v>20190312172102479</v>
      </c>
      <c r="B484" t="str">
        <f>"1552382462471615"</f>
        <v>1552382462471615</v>
      </c>
      <c r="C484" t="s">
        <v>40</v>
      </c>
      <c r="D484">
        <v>3.2902079999999998</v>
      </c>
      <c r="E484">
        <v>0.57829770000000003</v>
      </c>
      <c r="F484" t="s">
        <v>41</v>
      </c>
      <c r="G484">
        <v>-403.73180000000002</v>
      </c>
      <c r="H484">
        <v>0.87212000000000001</v>
      </c>
      <c r="I484">
        <v>367.64420000000001</v>
      </c>
      <c r="J484">
        <v>-404.40980000000002</v>
      </c>
      <c r="K484">
        <v>1.0596680000000001</v>
      </c>
      <c r="L484">
        <v>367.8152</v>
      </c>
      <c r="M484">
        <v>0.99990210000000002</v>
      </c>
      <c r="N484">
        <v>0</v>
      </c>
      <c r="O484">
        <v>-9.764488E-3</v>
      </c>
      <c r="P484">
        <v>0.98601059999999996</v>
      </c>
      <c r="Q484">
        <v>0.16661619999999999</v>
      </c>
      <c r="R484">
        <v>-4.7136690000000002E-3</v>
      </c>
      <c r="S484">
        <v>3.1557919999999999</v>
      </c>
      <c r="T484">
        <v>-0.68772749999999905</v>
      </c>
      <c r="U484">
        <v>-0.63211059999999997</v>
      </c>
      <c r="V484">
        <v>-4.904996E-3</v>
      </c>
      <c r="W484">
        <v>0.17650089999999999</v>
      </c>
      <c r="X484">
        <v>0.9842883</v>
      </c>
      <c r="Y484">
        <v>0.18290960000000001</v>
      </c>
      <c r="Z484">
        <v>-1.7429090000000001E-2</v>
      </c>
      <c r="AA484">
        <v>0.98297520000000005</v>
      </c>
      <c r="AB484">
        <v>36</v>
      </c>
      <c r="AC484">
        <v>0.67799999999999705</v>
      </c>
      <c r="AD484">
        <v>-0.18754799999999899</v>
      </c>
      <c r="AE484">
        <v>-0.17099999999999199</v>
      </c>
      <c r="AF484">
        <v>0.15333962888777999</v>
      </c>
      <c r="AG484">
        <v>-0.18754799999999899</v>
      </c>
      <c r="AH484">
        <v>0.63402448299922698</v>
      </c>
      <c r="AI484">
        <v>106.040810819228</v>
      </c>
      <c r="AJ484">
        <v>76.404015650768798</v>
      </c>
      <c r="AK484">
        <v>0.67872994565871203</v>
      </c>
      <c r="AL484">
        <v>79.833987378699703</v>
      </c>
      <c r="AM484">
        <v>90.285519235599693</v>
      </c>
      <c r="AN484">
        <v>1.0000000421017201</v>
      </c>
    </row>
    <row r="485" spans="1:40" x14ac:dyDescent="0.25">
      <c r="A485" t="str">
        <f>"20190312172102492"</f>
        <v>20190312172102492</v>
      </c>
      <c r="B485" t="str">
        <f>"1552382462482351"</f>
        <v>1552382462482351</v>
      </c>
      <c r="C485" t="s">
        <v>40</v>
      </c>
      <c r="D485">
        <v>3.2914449999999902</v>
      </c>
      <c r="E485">
        <v>0.57829699999999995</v>
      </c>
      <c r="F485" t="s">
        <v>41</v>
      </c>
      <c r="G485">
        <v>-403.71640000000002</v>
      </c>
      <c r="H485">
        <v>0.9085647</v>
      </c>
      <c r="I485">
        <v>367.67590000000001</v>
      </c>
      <c r="J485">
        <v>-404.21980000000002</v>
      </c>
      <c r="K485">
        <v>1.0596719999999999</v>
      </c>
      <c r="L485">
        <v>367.81330000000003</v>
      </c>
      <c r="M485">
        <v>0.99990159999999995</v>
      </c>
      <c r="N485">
        <v>0</v>
      </c>
      <c r="O485">
        <v>-9.7639749999999994E-3</v>
      </c>
      <c r="P485">
        <v>0.98602869999999998</v>
      </c>
      <c r="Q485">
        <v>0.16650490000000001</v>
      </c>
      <c r="R485">
        <v>-4.8529310000000004E-3</v>
      </c>
      <c r="S485">
        <v>3.1558229999999998</v>
      </c>
      <c r="T485">
        <v>-0.68785059999999998</v>
      </c>
      <c r="U485">
        <v>-0.63223269999999998</v>
      </c>
      <c r="V485">
        <v>-4.7656590000000002E-3</v>
      </c>
      <c r="W485">
        <v>0.17643239999999999</v>
      </c>
      <c r="X485">
        <v>0.98430119999999999</v>
      </c>
      <c r="Y485">
        <v>0.18294279999999999</v>
      </c>
      <c r="Z485">
        <v>-1.7435570000000001E-2</v>
      </c>
      <c r="AA485">
        <v>0.98296890000000003</v>
      </c>
      <c r="AB485">
        <v>36</v>
      </c>
      <c r="AC485">
        <v>0.50339999999999896</v>
      </c>
      <c r="AD485">
        <v>-0.1511073</v>
      </c>
      <c r="AE485">
        <v>-0.13740000000001301</v>
      </c>
      <c r="AF485">
        <v>0.12222832920511301</v>
      </c>
      <c r="AG485">
        <v>-0.1511073</v>
      </c>
      <c r="AH485">
        <v>0.46566816121645299</v>
      </c>
      <c r="AI485">
        <v>107.425187027528</v>
      </c>
      <c r="AJ485">
        <v>75.292796899258505</v>
      </c>
      <c r="AK485">
        <v>0.50459886736325099</v>
      </c>
      <c r="AL485">
        <v>79.837974053808594</v>
      </c>
      <c r="AM485">
        <v>90.277404938368903</v>
      </c>
      <c r="AN485">
        <v>0.99999997779845096</v>
      </c>
    </row>
    <row r="486" spans="1:40" x14ac:dyDescent="0.25">
      <c r="A486" t="str">
        <f>"20190312172102503"</f>
        <v>20190312172102503</v>
      </c>
      <c r="B486" t="str">
        <f>"1552382462501870"</f>
        <v>1552382462501870</v>
      </c>
      <c r="C486" t="s">
        <v>40</v>
      </c>
      <c r="D486">
        <v>3.2322229999999998</v>
      </c>
      <c r="E486">
        <v>0.57833679999999998</v>
      </c>
      <c r="F486" t="s">
        <v>41</v>
      </c>
      <c r="G486">
        <v>-403.40890000000002</v>
      </c>
      <c r="H486">
        <v>0.8824651</v>
      </c>
      <c r="I486">
        <v>367.65069999999997</v>
      </c>
      <c r="J486">
        <v>-404.0215</v>
      </c>
      <c r="K486">
        <v>1.0596760000000001</v>
      </c>
      <c r="L486">
        <v>367.81139999999999</v>
      </c>
      <c r="M486">
        <v>0.99990109999999999</v>
      </c>
      <c r="N486">
        <v>0</v>
      </c>
      <c r="O486">
        <v>-9.7634660000000002E-3</v>
      </c>
      <c r="P486">
        <v>0.98604389999999997</v>
      </c>
      <c r="Q486">
        <v>0.16641410000000001</v>
      </c>
      <c r="R486">
        <v>-4.8873270000000003E-3</v>
      </c>
      <c r="S486">
        <v>3.1558229999999998</v>
      </c>
      <c r="T486">
        <v>-0.68963719999999995</v>
      </c>
      <c r="U486">
        <v>-0.63253780000000004</v>
      </c>
      <c r="V486">
        <v>-4.7314380000000001E-3</v>
      </c>
      <c r="W486">
        <v>0.17638499999999999</v>
      </c>
      <c r="X486">
        <v>0.98430989999999996</v>
      </c>
      <c r="Y486">
        <v>0.18301310000000001</v>
      </c>
      <c r="Z486">
        <v>-1.7487309999999999E-2</v>
      </c>
      <c r="AA486">
        <v>0.98295489999999996</v>
      </c>
      <c r="AB486">
        <v>36</v>
      </c>
      <c r="AC486">
        <v>0.61259999999998604</v>
      </c>
      <c r="AD486">
        <v>-0.1772109</v>
      </c>
      <c r="AE486">
        <v>-0.16070000000001899</v>
      </c>
      <c r="AF486">
        <v>0.143477597218581</v>
      </c>
      <c r="AG486">
        <v>-0.1772109</v>
      </c>
      <c r="AH486">
        <v>0.56954806177902695</v>
      </c>
      <c r="AI486">
        <v>106.789436283339</v>
      </c>
      <c r="AJ486">
        <v>75.860545658117402</v>
      </c>
      <c r="AK486">
        <v>0.61349369895596595</v>
      </c>
      <c r="AL486">
        <v>79.840733546945998</v>
      </c>
      <c r="AM486">
        <v>90.275410559744401</v>
      </c>
      <c r="AN486">
        <v>1.00000001698427</v>
      </c>
    </row>
    <row r="487" spans="1:40" x14ac:dyDescent="0.25">
      <c r="A487" t="str">
        <f>"20190312172102515"</f>
        <v>20190312172102515</v>
      </c>
      <c r="B487" t="str">
        <f>"1552382462511632"</f>
        <v>1552382462511632</v>
      </c>
      <c r="C487" t="s">
        <v>40</v>
      </c>
      <c r="D487">
        <v>3.2444829999999998</v>
      </c>
      <c r="E487">
        <v>0.57834490000000005</v>
      </c>
      <c r="F487" t="s">
        <v>41</v>
      </c>
      <c r="G487">
        <v>-403.0994</v>
      </c>
      <c r="H487">
        <v>0.85789439999999995</v>
      </c>
      <c r="I487">
        <v>367.62610000000001</v>
      </c>
      <c r="J487">
        <v>-403.83370000000002</v>
      </c>
      <c r="K487">
        <v>1.05968</v>
      </c>
      <c r="L487">
        <v>367.80950000000001</v>
      </c>
      <c r="M487">
        <v>0.99990080000000003</v>
      </c>
      <c r="N487">
        <v>0</v>
      </c>
      <c r="O487">
        <v>-9.7634139999999998E-3</v>
      </c>
      <c r="P487">
        <v>0.98604320000000001</v>
      </c>
      <c r="Q487">
        <v>0.1664197</v>
      </c>
      <c r="R487">
        <v>-4.8676090000000002E-3</v>
      </c>
      <c r="S487">
        <v>3.1558839999999999</v>
      </c>
      <c r="T487">
        <v>-0.69067939999999906</v>
      </c>
      <c r="U487">
        <v>-0.63235469999999905</v>
      </c>
      <c r="V487">
        <v>-4.7515819999999999E-3</v>
      </c>
      <c r="W487">
        <v>0.17642920000000001</v>
      </c>
      <c r="X487">
        <v>0.98430189999999995</v>
      </c>
      <c r="Y487">
        <v>0.18294460000000001</v>
      </c>
      <c r="Z487">
        <v>-1.750558E-2</v>
      </c>
      <c r="AA487">
        <v>0.98296740000000005</v>
      </c>
      <c r="AB487">
        <v>36</v>
      </c>
      <c r="AC487">
        <v>0.73430000000001805</v>
      </c>
      <c r="AD487">
        <v>-0.20178560000000001</v>
      </c>
      <c r="AE487">
        <v>-0.183400000000006</v>
      </c>
      <c r="AF487">
        <v>0.16452689073201299</v>
      </c>
      <c r="AG487">
        <v>-0.20178560000000001</v>
      </c>
      <c r="AH487">
        <v>0.68720830221796603</v>
      </c>
      <c r="AI487">
        <v>105.937272457039</v>
      </c>
      <c r="AJ487">
        <v>76.536049017496296</v>
      </c>
      <c r="AK487">
        <v>0.73487534778260399</v>
      </c>
      <c r="AL487">
        <v>79.838160912242301</v>
      </c>
      <c r="AM487">
        <v>90.276585344281102</v>
      </c>
      <c r="AN487">
        <v>1.00000003524387</v>
      </c>
    </row>
    <row r="488" spans="1:40" x14ac:dyDescent="0.25">
      <c r="A488" t="str">
        <f>"20190312172102534"</f>
        <v>20190312172102534</v>
      </c>
      <c r="B488" t="str">
        <f>"1552382462532127"</f>
        <v>1552382462532127</v>
      </c>
      <c r="C488" t="s">
        <v>40</v>
      </c>
      <c r="D488">
        <v>3.2521100000000001</v>
      </c>
      <c r="E488">
        <v>0.57838429999999996</v>
      </c>
      <c r="F488" t="s">
        <v>41</v>
      </c>
      <c r="G488">
        <v>-403.08429999999998</v>
      </c>
      <c r="H488">
        <v>0.89558760000000004</v>
      </c>
      <c r="I488">
        <v>367.65890000000002</v>
      </c>
      <c r="J488">
        <v>-403.53980000000001</v>
      </c>
      <c r="K488">
        <v>1.059682</v>
      </c>
      <c r="L488">
        <v>367.80669999999998</v>
      </c>
      <c r="M488">
        <v>0.99990020000000002</v>
      </c>
      <c r="N488">
        <v>0</v>
      </c>
      <c r="O488">
        <v>-9.7631030000000004E-3</v>
      </c>
      <c r="P488">
        <v>0.98604689999999995</v>
      </c>
      <c r="Q488">
        <v>0.16639100000000001</v>
      </c>
      <c r="R488">
        <v>-5.107505E-3</v>
      </c>
      <c r="S488">
        <v>3.155945</v>
      </c>
      <c r="T488">
        <v>-0.69105649999999996</v>
      </c>
      <c r="U488">
        <v>-0.632324199999999</v>
      </c>
      <c r="V488">
        <v>-4.5126569999999998E-3</v>
      </c>
      <c r="W488">
        <v>0.17645920000000001</v>
      </c>
      <c r="X488">
        <v>0.98429759999999999</v>
      </c>
      <c r="Y488">
        <v>0.18292829999999999</v>
      </c>
      <c r="Z488">
        <v>-1.7512940000000001E-2</v>
      </c>
      <c r="AA488">
        <v>0.98297029999999996</v>
      </c>
      <c r="AB488">
        <v>36</v>
      </c>
      <c r="AC488">
        <v>0.45550000000002899</v>
      </c>
      <c r="AD488">
        <v>-0.164094399999999</v>
      </c>
      <c r="AE488">
        <v>-0.14779999999996099</v>
      </c>
      <c r="AF488">
        <v>0.128282867982492</v>
      </c>
      <c r="AG488">
        <v>-0.164094399999999</v>
      </c>
      <c r="AH488">
        <v>0.40890804519495499</v>
      </c>
      <c r="AI488">
        <v>110.95177273889399</v>
      </c>
      <c r="AJ488">
        <v>72.582285476145699</v>
      </c>
      <c r="AK488">
        <v>0.45890004985217903</v>
      </c>
      <c r="AL488">
        <v>79.836414169666597</v>
      </c>
      <c r="AM488">
        <v>90.262679080984398</v>
      </c>
      <c r="AN488">
        <v>0.99999998935179901</v>
      </c>
    </row>
    <row r="489" spans="1:40" x14ac:dyDescent="0.25">
      <c r="A489" t="str">
        <f>"20190312172102545"</f>
        <v>20190312172102545</v>
      </c>
      <c r="B489" t="str">
        <f>"1552382462541887"</f>
        <v>1552382462541887</v>
      </c>
      <c r="C489" t="s">
        <v>40</v>
      </c>
      <c r="D489">
        <v>3.2584339999999998</v>
      </c>
      <c r="E489">
        <v>0.57840649999999905</v>
      </c>
      <c r="F489" t="s">
        <v>41</v>
      </c>
      <c r="G489">
        <v>-402.76729999999998</v>
      </c>
      <c r="H489">
        <v>0.89034880000000005</v>
      </c>
      <c r="I489">
        <v>367.65140000000002</v>
      </c>
      <c r="J489">
        <v>-403.35680000000002</v>
      </c>
      <c r="K489">
        <v>1.059687</v>
      </c>
      <c r="L489">
        <v>367.80489999999998</v>
      </c>
      <c r="M489">
        <v>0.99989980000000001</v>
      </c>
      <c r="N489">
        <v>0</v>
      </c>
      <c r="O489">
        <v>-9.7629239999999992E-3</v>
      </c>
      <c r="P489">
        <v>0.98603039999999997</v>
      </c>
      <c r="Q489">
        <v>0.16647979999999901</v>
      </c>
      <c r="R489">
        <v>-5.3593470000000004E-3</v>
      </c>
      <c r="S489">
        <v>3.1558839999999999</v>
      </c>
      <c r="T489">
        <v>-0.69181669999999995</v>
      </c>
      <c r="U489">
        <v>-0.63342290000000001</v>
      </c>
      <c r="V489">
        <v>-4.2600499999999996E-3</v>
      </c>
      <c r="W489">
        <v>0.17658309999999999</v>
      </c>
      <c r="X489">
        <v>0.9842765</v>
      </c>
      <c r="Y489">
        <v>0.1832454</v>
      </c>
      <c r="Z489">
        <v>-1.7565580000000001E-2</v>
      </c>
      <c r="AA489">
        <v>0.98291030000000001</v>
      </c>
      <c r="AB489">
        <v>36</v>
      </c>
      <c r="AC489">
        <v>0.58950000000004299</v>
      </c>
      <c r="AD489">
        <v>-0.169338199999999</v>
      </c>
      <c r="AE489">
        <v>-0.15349999999995101</v>
      </c>
      <c r="AF489">
        <v>0.13713939564583699</v>
      </c>
      <c r="AG489">
        <v>-0.169338199999999</v>
      </c>
      <c r="AH489">
        <v>0.54857804127788701</v>
      </c>
      <c r="AI489">
        <v>106.671369166765</v>
      </c>
      <c r="AJ489">
        <v>75.964259307627998</v>
      </c>
      <c r="AK489">
        <v>0.59027155376964302</v>
      </c>
      <c r="AL489">
        <v>79.829201911564894</v>
      </c>
      <c r="AM489">
        <v>90.247980482557097</v>
      </c>
      <c r="AN489">
        <v>0.99999998384193101</v>
      </c>
    </row>
    <row r="490" spans="1:40" x14ac:dyDescent="0.25">
      <c r="A490" t="str">
        <f>"20190312172102556"</f>
        <v>20190312172102556</v>
      </c>
      <c r="B490" t="str">
        <f>"1552382462551647"</f>
        <v>1552382462551647</v>
      </c>
      <c r="C490" t="s">
        <v>40</v>
      </c>
      <c r="D490">
        <v>3.2361710000000001</v>
      </c>
      <c r="E490">
        <v>0.57842899999999997</v>
      </c>
      <c r="F490" t="s">
        <v>41</v>
      </c>
      <c r="G490">
        <v>-402.45870000000002</v>
      </c>
      <c r="H490">
        <v>0.86284729999999998</v>
      </c>
      <c r="I490">
        <v>367.62389999999999</v>
      </c>
      <c r="J490">
        <v>-403.178</v>
      </c>
      <c r="K490">
        <v>1.0596920000000001</v>
      </c>
      <c r="L490">
        <v>367.8032</v>
      </c>
      <c r="M490">
        <v>0.9998996</v>
      </c>
      <c r="N490">
        <v>0</v>
      </c>
      <c r="O490">
        <v>-9.7631019999999992E-3</v>
      </c>
      <c r="P490">
        <v>0.98603350000000001</v>
      </c>
      <c r="Q490">
        <v>0.1664678</v>
      </c>
      <c r="R490">
        <v>-5.211439E-3</v>
      </c>
      <c r="S490">
        <v>3.1558229999999998</v>
      </c>
      <c r="T490">
        <v>-0.69182429999999995</v>
      </c>
      <c r="U490">
        <v>-0.63412480000000004</v>
      </c>
      <c r="V490">
        <v>-4.4083430000000003E-3</v>
      </c>
      <c r="W490">
        <v>0.17660709999999999</v>
      </c>
      <c r="X490">
        <v>0.98427160000000002</v>
      </c>
      <c r="Y490">
        <v>0.18345429999999999</v>
      </c>
      <c r="Z490">
        <v>-1.7588099999999999E-2</v>
      </c>
      <c r="AA490">
        <v>0.98287089999999999</v>
      </c>
      <c r="AB490">
        <v>36</v>
      </c>
      <c r="AC490">
        <v>0.71930000000003202</v>
      </c>
      <c r="AD490">
        <v>-0.19684470000000001</v>
      </c>
      <c r="AE490">
        <v>-0.17930000000001201</v>
      </c>
      <c r="AF490">
        <v>0.160921963750563</v>
      </c>
      <c r="AG490">
        <v>-0.19684470000000001</v>
      </c>
      <c r="AH490">
        <v>0.67352635365226998</v>
      </c>
      <c r="AI490">
        <v>105.868276432968</v>
      </c>
      <c r="AJ490">
        <v>76.562545114855695</v>
      </c>
      <c r="AK490">
        <v>0.71991767821019004</v>
      </c>
      <c r="AL490">
        <v>79.827805453117605</v>
      </c>
      <c r="AM490">
        <v>90.256613885528097</v>
      </c>
      <c r="AN490">
        <v>1.0000000419124799</v>
      </c>
    </row>
    <row r="491" spans="1:40" x14ac:dyDescent="0.25">
      <c r="A491" t="str">
        <f>"20190312172102570"</f>
        <v>20190312172102570</v>
      </c>
      <c r="B491" t="str">
        <f>"1552382462562383"</f>
        <v>1552382462562383</v>
      </c>
      <c r="C491" t="s">
        <v>40</v>
      </c>
      <c r="D491">
        <v>3.2635710000000002</v>
      </c>
      <c r="E491">
        <v>0.57847199999999999</v>
      </c>
      <c r="F491" t="s">
        <v>41</v>
      </c>
      <c r="G491">
        <v>-402.44409999999999</v>
      </c>
      <c r="H491">
        <v>0.89874569999999998</v>
      </c>
      <c r="I491">
        <v>367.65530000000001</v>
      </c>
      <c r="J491">
        <v>-402.96949999999998</v>
      </c>
      <c r="K491">
        <v>1.0596989999999999</v>
      </c>
      <c r="L491">
        <v>367.80110000000002</v>
      </c>
      <c r="M491">
        <v>0.99989899999999998</v>
      </c>
      <c r="N491">
        <v>0</v>
      </c>
      <c r="O491">
        <v>-9.7628320000000008E-3</v>
      </c>
      <c r="P491">
        <v>0.98604879999999995</v>
      </c>
      <c r="Q491">
        <v>0.1663741</v>
      </c>
      <c r="R491">
        <v>-5.2519699999999999E-3</v>
      </c>
      <c r="S491">
        <v>3.1560670000000002</v>
      </c>
      <c r="T491">
        <v>-0.69228919999999905</v>
      </c>
      <c r="U491">
        <v>-0.63378909999999999</v>
      </c>
      <c r="V491">
        <v>-4.3680209999999997E-3</v>
      </c>
      <c r="W491">
        <v>0.1765545</v>
      </c>
      <c r="X491">
        <v>0.98428119999999997</v>
      </c>
      <c r="Y491">
        <v>0.18333730000000001</v>
      </c>
      <c r="Z491">
        <v>-1.7586020000000001E-2</v>
      </c>
      <c r="AA491">
        <v>0.98289280000000001</v>
      </c>
      <c r="AB491">
        <v>36</v>
      </c>
      <c r="AC491">
        <v>0.52539999999998999</v>
      </c>
      <c r="AD491">
        <v>-0.16095329999999899</v>
      </c>
      <c r="AE491">
        <v>-0.14580000000000801</v>
      </c>
      <c r="AF491">
        <v>0.12938887445143499</v>
      </c>
      <c r="AG491">
        <v>-0.16095329999999899</v>
      </c>
      <c r="AH491">
        <v>0.48457428366748501</v>
      </c>
      <c r="AI491">
        <v>107.792003732818</v>
      </c>
      <c r="AJ491">
        <v>75.049921391298199</v>
      </c>
      <c r="AK491">
        <v>0.526744418104791</v>
      </c>
      <c r="AL491">
        <v>79.830867159972598</v>
      </c>
      <c r="AM491">
        <v>90.254264254179702</v>
      </c>
      <c r="AN491">
        <v>1.0000000258755699</v>
      </c>
    </row>
    <row r="492" spans="1:40" x14ac:dyDescent="0.25">
      <c r="A492" t="str">
        <f>"20190312172102583"</f>
        <v>20190312172102583</v>
      </c>
      <c r="B492" t="str">
        <f>"1552382462572143"</f>
        <v>1552382462572143</v>
      </c>
      <c r="C492" t="s">
        <v>40</v>
      </c>
      <c r="D492">
        <v>3.2679019999999999</v>
      </c>
      <c r="E492">
        <v>0.57851269999999999</v>
      </c>
      <c r="F492" t="s">
        <v>41</v>
      </c>
      <c r="G492">
        <v>-402.13389999999998</v>
      </c>
      <c r="H492">
        <v>0.87626099999999996</v>
      </c>
      <c r="I492">
        <v>367.63299999999998</v>
      </c>
      <c r="J492">
        <v>-402.75189999999998</v>
      </c>
      <c r="K492">
        <v>1.059707</v>
      </c>
      <c r="L492">
        <v>367.79899999999998</v>
      </c>
      <c r="M492">
        <v>0.99989859999999997</v>
      </c>
      <c r="N492">
        <v>0</v>
      </c>
      <c r="O492">
        <v>-9.7626870000000008E-3</v>
      </c>
      <c r="P492">
        <v>0.98605739999999997</v>
      </c>
      <c r="Q492">
        <v>0.16632849999999999</v>
      </c>
      <c r="R492">
        <v>-5.088647E-3</v>
      </c>
      <c r="S492">
        <v>3.1559140000000001</v>
      </c>
      <c r="T492">
        <v>-0.69276700000000002</v>
      </c>
      <c r="U492">
        <v>-0.63430790000000004</v>
      </c>
      <c r="V492">
        <v>-4.5313559999999899E-3</v>
      </c>
      <c r="W492">
        <v>0.17655029999999999</v>
      </c>
      <c r="X492">
        <v>0.98428119999999997</v>
      </c>
      <c r="Y492">
        <v>0.18349260000000001</v>
      </c>
      <c r="Z492">
        <v>-1.761515E-2</v>
      </c>
      <c r="AA492">
        <v>0.98286320000000005</v>
      </c>
      <c r="AB492">
        <v>36</v>
      </c>
      <c r="AC492">
        <v>0.617999999999995</v>
      </c>
      <c r="AD492">
        <v>-0.183445999999999</v>
      </c>
      <c r="AE492">
        <v>-0.16599999999999601</v>
      </c>
      <c r="AF492">
        <v>0.14781083498816</v>
      </c>
      <c r="AG492">
        <v>-0.183445999999999</v>
      </c>
      <c r="AH492">
        <v>0.57253814060040398</v>
      </c>
      <c r="AI492">
        <v>107.235792247319</v>
      </c>
      <c r="AJ492">
        <v>75.524165047649305</v>
      </c>
      <c r="AK492">
        <v>0.61911259097038696</v>
      </c>
      <c r="AL492">
        <v>79.831111491378294</v>
      </c>
      <c r="AM492">
        <v>90.263771918117399</v>
      </c>
      <c r="AN492">
        <v>1.00000001114536</v>
      </c>
    </row>
    <row r="493" spans="1:40" x14ac:dyDescent="0.25">
      <c r="A493" t="str">
        <f>"20190312172102596"</f>
        <v>20190312172102596</v>
      </c>
      <c r="B493" t="str">
        <f>"1552382462591663"</f>
        <v>1552382462591663</v>
      </c>
      <c r="C493" t="s">
        <v>40</v>
      </c>
      <c r="D493">
        <v>3.255055</v>
      </c>
      <c r="E493">
        <v>0.57862130000000001</v>
      </c>
      <c r="F493" t="s">
        <v>41</v>
      </c>
      <c r="G493">
        <v>-401.82209999999998</v>
      </c>
      <c r="H493">
        <v>0.85557099999999897</v>
      </c>
      <c r="I493">
        <v>367.61169999999998</v>
      </c>
      <c r="J493">
        <v>-402.5471</v>
      </c>
      <c r="K493">
        <v>1.0597190000000001</v>
      </c>
      <c r="L493">
        <v>367.79700000000003</v>
      </c>
      <c r="M493">
        <v>0.99989819999999996</v>
      </c>
      <c r="N493">
        <v>0</v>
      </c>
      <c r="O493">
        <v>-9.7627600000000005E-3</v>
      </c>
      <c r="P493">
        <v>0.98600520000000003</v>
      </c>
      <c r="Q493">
        <v>0.1666328</v>
      </c>
      <c r="R493">
        <v>-5.2267219999999996E-3</v>
      </c>
      <c r="S493">
        <v>3.1560359999999998</v>
      </c>
      <c r="T493">
        <v>-0.69298950000000004</v>
      </c>
      <c r="U493">
        <v>-0.63433839999999997</v>
      </c>
      <c r="V493">
        <v>-4.393096E-3</v>
      </c>
      <c r="W493">
        <v>0.1768914</v>
      </c>
      <c r="X493">
        <v>0.9842206</v>
      </c>
      <c r="Y493">
        <v>0.18349219999999999</v>
      </c>
      <c r="Z493">
        <v>-1.7619940000000001E-2</v>
      </c>
      <c r="AA493">
        <v>0.98286320000000005</v>
      </c>
      <c r="AB493">
        <v>36</v>
      </c>
      <c r="AC493">
        <v>0.72500000000002196</v>
      </c>
      <c r="AD493">
        <v>-0.204148</v>
      </c>
      <c r="AE493">
        <v>-0.18529999999998301</v>
      </c>
      <c r="AF493">
        <v>0.16586769517887101</v>
      </c>
      <c r="AG493">
        <v>-0.204148</v>
      </c>
      <c r="AH493">
        <v>0.67642972739343898</v>
      </c>
      <c r="AI493">
        <v>106.33683775990499</v>
      </c>
      <c r="AJ493">
        <v>76.222320181171</v>
      </c>
      <c r="AK493">
        <v>0.72577246731294098</v>
      </c>
      <c r="AL493">
        <v>79.811255560453205</v>
      </c>
      <c r="AM493">
        <v>90.255739605765598</v>
      </c>
      <c r="AN493">
        <v>1.00000002807539</v>
      </c>
    </row>
    <row r="494" spans="1:40" x14ac:dyDescent="0.25">
      <c r="A494" t="str">
        <f>"20190312172102613"</f>
        <v>20190312172102613</v>
      </c>
      <c r="B494" t="str">
        <f>"1552382462601423"</f>
        <v>1552382462601423</v>
      </c>
      <c r="C494" t="s">
        <v>40</v>
      </c>
      <c r="D494">
        <v>3.2917230000000002</v>
      </c>
      <c r="E494">
        <v>0.57868180000000002</v>
      </c>
      <c r="F494" t="s">
        <v>41</v>
      </c>
      <c r="G494">
        <v>-401.80529999999999</v>
      </c>
      <c r="H494">
        <v>0.89696219999999904</v>
      </c>
      <c r="I494">
        <v>367.64729999999997</v>
      </c>
      <c r="J494">
        <v>-402.28730000000002</v>
      </c>
      <c r="K494">
        <v>1.059725</v>
      </c>
      <c r="L494">
        <v>367.79450000000003</v>
      </c>
      <c r="M494">
        <v>0.9998977</v>
      </c>
      <c r="N494">
        <v>0</v>
      </c>
      <c r="O494">
        <v>-9.7625109999999998E-3</v>
      </c>
      <c r="P494">
        <v>0.98596019999999895</v>
      </c>
      <c r="Q494">
        <v>0.16689200000000001</v>
      </c>
      <c r="R494">
        <v>-5.4117419999999998E-3</v>
      </c>
      <c r="S494">
        <v>3.1562809999999999</v>
      </c>
      <c r="T494">
        <v>-0.69272880000000003</v>
      </c>
      <c r="U494">
        <v>-0.63522339999999999</v>
      </c>
      <c r="V494">
        <v>-4.2074840000000001E-3</v>
      </c>
      <c r="W494">
        <v>0.17719409999999999</v>
      </c>
      <c r="X494">
        <v>0.98416689999999996</v>
      </c>
      <c r="Y494">
        <v>0.18374070000000001</v>
      </c>
      <c r="Z494">
        <v>-1.7638439999999998E-2</v>
      </c>
      <c r="AA494">
        <v>0.98281649999999998</v>
      </c>
      <c r="AB494">
        <v>36</v>
      </c>
      <c r="AC494">
        <v>0.48200000000002702</v>
      </c>
      <c r="AD494">
        <v>-0.16276280000000001</v>
      </c>
      <c r="AE494">
        <v>-0.14720000000005401</v>
      </c>
      <c r="AF494">
        <v>0.129029252865689</v>
      </c>
      <c r="AG494">
        <v>-0.16276280000000001</v>
      </c>
      <c r="AH494">
        <v>0.43775558544017401</v>
      </c>
      <c r="AI494">
        <v>109.62838783987399</v>
      </c>
      <c r="AJ494">
        <v>73.577023245438994</v>
      </c>
      <c r="AK494">
        <v>0.48453093785948098</v>
      </c>
      <c r="AL494">
        <v>79.793633155717302</v>
      </c>
      <c r="AM494">
        <v>90.244947891349497</v>
      </c>
      <c r="AN494">
        <v>0.999999969526014</v>
      </c>
    </row>
    <row r="495" spans="1:40" x14ac:dyDescent="0.25">
      <c r="A495" t="str">
        <f>"20190312172102624"</f>
        <v>20190312172102624</v>
      </c>
      <c r="B495" t="str">
        <f>"1552382462621919"</f>
        <v>1552382462621919</v>
      </c>
      <c r="C495" t="s">
        <v>40</v>
      </c>
      <c r="D495">
        <v>3.2656700000000001</v>
      </c>
      <c r="E495">
        <v>0.57877089999999998</v>
      </c>
      <c r="F495" t="s">
        <v>41</v>
      </c>
      <c r="G495">
        <v>-401.4905</v>
      </c>
      <c r="H495">
        <v>0.88498650000000001</v>
      </c>
      <c r="I495">
        <v>367.63369999999998</v>
      </c>
      <c r="J495">
        <v>-402.09829999999999</v>
      </c>
      <c r="K495">
        <v>1.0597319999999999</v>
      </c>
      <c r="L495">
        <v>367.79259999999999</v>
      </c>
      <c r="M495">
        <v>0.99989749999999999</v>
      </c>
      <c r="N495">
        <v>0</v>
      </c>
      <c r="O495">
        <v>-9.7623109999999992E-3</v>
      </c>
      <c r="P495">
        <v>0.98597400000000002</v>
      </c>
      <c r="Q495">
        <v>0.166815299999999</v>
      </c>
      <c r="R495">
        <v>-5.3274209999999997E-3</v>
      </c>
      <c r="S495">
        <v>3.1564329999999998</v>
      </c>
      <c r="T495">
        <v>-0.69224849999999905</v>
      </c>
      <c r="U495">
        <v>-0.63607789999999997</v>
      </c>
      <c r="V495">
        <v>-4.2915230000000002E-3</v>
      </c>
      <c r="W495">
        <v>0.17714769999999999</v>
      </c>
      <c r="X495">
        <v>0.98417489999999996</v>
      </c>
      <c r="Y495">
        <v>0.18398790000000001</v>
      </c>
      <c r="Z495">
        <v>-1.7651790000000001E-2</v>
      </c>
      <c r="AA495">
        <v>0.98277000000000003</v>
      </c>
      <c r="AB495">
        <v>36</v>
      </c>
      <c r="AC495">
        <v>0.60779999999999701</v>
      </c>
      <c r="AD495">
        <v>-0.174745499999999</v>
      </c>
      <c r="AE495">
        <v>-0.158900000000016</v>
      </c>
      <c r="AF495">
        <v>0.14197391494098499</v>
      </c>
      <c r="AG495">
        <v>-0.174745499999999</v>
      </c>
      <c r="AH495">
        <v>0.56556412614844997</v>
      </c>
      <c r="AI495">
        <v>106.682291713613</v>
      </c>
      <c r="AJ495">
        <v>75.908193224580799</v>
      </c>
      <c r="AK495">
        <v>0.60873258749633197</v>
      </c>
      <c r="AL495">
        <v>79.796334514265297</v>
      </c>
      <c r="AM495">
        <v>90.249838313451505</v>
      </c>
      <c r="AN495">
        <v>0.99999997928747897</v>
      </c>
    </row>
    <row r="496" spans="1:40" x14ac:dyDescent="0.25">
      <c r="A496" t="str">
        <f>"20190312172102635"</f>
        <v>20190312172102635</v>
      </c>
      <c r="B496" t="str">
        <f>"1552382462631679"</f>
        <v>1552382462631679</v>
      </c>
      <c r="C496" t="s">
        <v>40</v>
      </c>
      <c r="D496">
        <v>3.2601740000000001</v>
      </c>
      <c r="E496">
        <v>0.57880869999999995</v>
      </c>
      <c r="F496" t="s">
        <v>41</v>
      </c>
      <c r="G496">
        <v>-401.1807</v>
      </c>
      <c r="H496">
        <v>0.85826840000000004</v>
      </c>
      <c r="I496">
        <v>367.60739999999998</v>
      </c>
      <c r="J496">
        <v>-401.90890000000002</v>
      </c>
      <c r="K496">
        <v>1.059736</v>
      </c>
      <c r="L496">
        <v>367.79079999999999</v>
      </c>
      <c r="M496">
        <v>0.99989709999999998</v>
      </c>
      <c r="N496">
        <v>0</v>
      </c>
      <c r="O496">
        <v>-9.7622219999999992E-3</v>
      </c>
      <c r="P496">
        <v>0.98597699999999999</v>
      </c>
      <c r="Q496">
        <v>0.16679929999999901</v>
      </c>
      <c r="R496">
        <v>-5.2427890000000003E-3</v>
      </c>
      <c r="S496">
        <v>3.1565249999999998</v>
      </c>
      <c r="T496">
        <v>-0.69312580000000001</v>
      </c>
      <c r="U496">
        <v>-0.6361694</v>
      </c>
      <c r="V496">
        <v>-4.3764549999999996E-3</v>
      </c>
      <c r="W496">
        <v>0.1771604</v>
      </c>
      <c r="X496">
        <v>0.9841723</v>
      </c>
      <c r="Y496">
        <v>0.18399979999999999</v>
      </c>
      <c r="Z496">
        <v>-1.7674410000000002E-2</v>
      </c>
      <c r="AA496">
        <v>0.98276730000000001</v>
      </c>
      <c r="AB496">
        <v>36</v>
      </c>
      <c r="AC496">
        <v>0.72820000000001495</v>
      </c>
      <c r="AD496">
        <v>-0.201467599999999</v>
      </c>
      <c r="AE496">
        <v>-0.183400000000006</v>
      </c>
      <c r="AF496">
        <v>0.16444554870640099</v>
      </c>
      <c r="AG496">
        <v>-0.201467599999999</v>
      </c>
      <c r="AH496">
        <v>0.68094285495743001</v>
      </c>
      <c r="AI496">
        <v>106.04513065824</v>
      </c>
      <c r="AJ496">
        <v>76.4232024973835</v>
      </c>
      <c r="AK496">
        <v>0.728913372120916</v>
      </c>
      <c r="AL496">
        <v>79.795595773173503</v>
      </c>
      <c r="AM496">
        <v>90.254783382873995</v>
      </c>
      <c r="AN496">
        <v>1.0000000383869001</v>
      </c>
    </row>
    <row r="497" spans="1:40" x14ac:dyDescent="0.25">
      <c r="A497" t="str">
        <f>"20190312172102647"</f>
        <v>20190312172102647</v>
      </c>
      <c r="B497" t="str">
        <f>"1552382462641439"</f>
        <v>1552382462641439</v>
      </c>
      <c r="C497" t="s">
        <v>40</v>
      </c>
      <c r="D497">
        <v>3.2537950000000002</v>
      </c>
      <c r="E497">
        <v>0.57883450000000003</v>
      </c>
      <c r="F497" t="s">
        <v>41</v>
      </c>
      <c r="G497">
        <v>-401.1653</v>
      </c>
      <c r="H497">
        <v>0.89644780000000002</v>
      </c>
      <c r="I497">
        <v>367.64049999999997</v>
      </c>
      <c r="J497">
        <v>-401.73450000000003</v>
      </c>
      <c r="K497">
        <v>1.059742</v>
      </c>
      <c r="L497">
        <v>367.78910000000002</v>
      </c>
      <c r="M497">
        <v>0.99989689999999998</v>
      </c>
      <c r="N497">
        <v>0</v>
      </c>
      <c r="O497">
        <v>-9.7621140000000006E-3</v>
      </c>
      <c r="P497">
        <v>0.98598180000000002</v>
      </c>
      <c r="Q497">
        <v>0.16676769999999999</v>
      </c>
      <c r="R497">
        <v>-5.3301879999999996E-3</v>
      </c>
      <c r="S497">
        <v>3.156555</v>
      </c>
      <c r="T497">
        <v>-0.69319500000000001</v>
      </c>
      <c r="U497">
        <v>-0.63662719999999995</v>
      </c>
      <c r="V497">
        <v>-4.2891719999999999E-3</v>
      </c>
      <c r="W497">
        <v>0.177153799999999</v>
      </c>
      <c r="X497">
        <v>0.98417379999999999</v>
      </c>
      <c r="Y497">
        <v>0.1841314</v>
      </c>
      <c r="Z497">
        <v>-1.768989E-2</v>
      </c>
      <c r="AA497">
        <v>0.98274240000000002</v>
      </c>
      <c r="AB497">
        <v>36</v>
      </c>
      <c r="AC497">
        <v>0.56920000000002302</v>
      </c>
      <c r="AD497">
        <v>-0.163294199999999</v>
      </c>
      <c r="AE497">
        <v>-0.148600000000044</v>
      </c>
      <c r="AF497">
        <v>0.13280341366748999</v>
      </c>
      <c r="AG497">
        <v>-0.163294199999999</v>
      </c>
      <c r="AH497">
        <v>0.52980197104846904</v>
      </c>
      <c r="AI497">
        <v>106.64497688891799</v>
      </c>
      <c r="AJ497">
        <v>75.9278404143339</v>
      </c>
      <c r="AK497">
        <v>0.57008058286721297</v>
      </c>
      <c r="AL497">
        <v>79.795979268947306</v>
      </c>
      <c r="AM497">
        <v>90.249701726804702</v>
      </c>
      <c r="AN497">
        <v>0.99999996722866202</v>
      </c>
    </row>
    <row r="498" spans="1:40" x14ac:dyDescent="0.25">
      <c r="A498" t="str">
        <f>"20190312172102668"</f>
        <v>20190312172102668</v>
      </c>
      <c r="B498" t="str">
        <f>"1552382462661935"</f>
        <v>1552382462661935</v>
      </c>
      <c r="C498" t="s">
        <v>40</v>
      </c>
      <c r="D498">
        <v>3.2793839999999999</v>
      </c>
      <c r="E498">
        <v>0.57893559999999999</v>
      </c>
      <c r="F498" t="s">
        <v>41</v>
      </c>
      <c r="G498">
        <v>-400.8569</v>
      </c>
      <c r="H498">
        <v>0.86695849999999997</v>
      </c>
      <c r="I498">
        <v>367.61169999999998</v>
      </c>
      <c r="J498">
        <v>-401.39280000000002</v>
      </c>
      <c r="K498">
        <v>1.0597490000000001</v>
      </c>
      <c r="L498">
        <v>367.78570000000002</v>
      </c>
      <c r="M498">
        <v>0.99989629999999996</v>
      </c>
      <c r="N498">
        <v>0</v>
      </c>
      <c r="O498">
        <v>-9.7617550000000004E-3</v>
      </c>
      <c r="P498">
        <v>0.9859926</v>
      </c>
      <c r="Q498">
        <v>0.1667042</v>
      </c>
      <c r="R498">
        <v>-5.3237349999999996E-3</v>
      </c>
      <c r="S498">
        <v>3.1564939999999999</v>
      </c>
      <c r="T498">
        <v>-0.69337459999999995</v>
      </c>
      <c r="U498">
        <v>-0.63732909999999998</v>
      </c>
      <c r="V498">
        <v>-4.2952859999999997E-3</v>
      </c>
      <c r="W498">
        <v>0.17713499999999999</v>
      </c>
      <c r="X498">
        <v>0.98417719999999997</v>
      </c>
      <c r="Y498">
        <v>0.18433869999999999</v>
      </c>
      <c r="Z498">
        <v>-1.771669E-2</v>
      </c>
      <c r="AA498">
        <v>0.98270310000000005</v>
      </c>
      <c r="AB498">
        <v>36</v>
      </c>
      <c r="AC498">
        <v>0.53590000000002602</v>
      </c>
      <c r="AD498">
        <v>-0.1927905</v>
      </c>
      <c r="AE498">
        <v>-0.17400000000003499</v>
      </c>
      <c r="AF498">
        <v>0.15107277699444599</v>
      </c>
      <c r="AG498">
        <v>-0.1927905</v>
      </c>
      <c r="AH498">
        <v>0.48123144073315</v>
      </c>
      <c r="AI498">
        <v>110.918206375528</v>
      </c>
      <c r="AJ498">
        <v>72.571384899697094</v>
      </c>
      <c r="AK498">
        <v>0.53997672208083902</v>
      </c>
      <c r="AL498">
        <v>79.797074173216501</v>
      </c>
      <c r="AM498">
        <v>90.250056795747597</v>
      </c>
      <c r="AN498">
        <v>1.0000000093533301</v>
      </c>
    </row>
    <row r="499" spans="1:40" x14ac:dyDescent="0.25">
      <c r="A499" t="str">
        <f>"20190312172102680"</f>
        <v>20190312172102680</v>
      </c>
      <c r="B499" t="str">
        <f>"1552382462671695"</f>
        <v>1552382462671695</v>
      </c>
      <c r="C499" t="s">
        <v>40</v>
      </c>
      <c r="D499">
        <v>3.2725930000000001</v>
      </c>
      <c r="E499">
        <v>0.57896550000000002</v>
      </c>
      <c r="F499" t="s">
        <v>41</v>
      </c>
      <c r="G499">
        <v>-400.53460000000001</v>
      </c>
      <c r="H499">
        <v>0.87105949999999999</v>
      </c>
      <c r="I499">
        <v>367.61180000000002</v>
      </c>
      <c r="J499">
        <v>-401.20499999999998</v>
      </c>
      <c r="K499">
        <v>1.0597540000000001</v>
      </c>
      <c r="L499">
        <v>367.78390000000002</v>
      </c>
      <c r="M499">
        <v>0.99989609999999995</v>
      </c>
      <c r="N499">
        <v>0</v>
      </c>
      <c r="O499">
        <v>-9.7617980000000003E-3</v>
      </c>
      <c r="P499">
        <v>0.98598839999999999</v>
      </c>
      <c r="Q499">
        <v>0.1667286</v>
      </c>
      <c r="R499">
        <v>-5.3706479999999996E-3</v>
      </c>
      <c r="S499">
        <v>3.1565249999999998</v>
      </c>
      <c r="T499">
        <v>-0.69410909999999904</v>
      </c>
      <c r="U499">
        <v>-0.63769529999999996</v>
      </c>
      <c r="V499">
        <v>-4.2487840000000002E-3</v>
      </c>
      <c r="W499">
        <v>0.17718989999999901</v>
      </c>
      <c r="X499">
        <v>0.98416749999999997</v>
      </c>
      <c r="Y499">
        <v>0.18443590000000001</v>
      </c>
      <c r="Z499">
        <v>-1.7745130000000001E-2</v>
      </c>
      <c r="AA499">
        <v>0.98268429999999996</v>
      </c>
      <c r="AB499">
        <v>36</v>
      </c>
      <c r="AC499">
        <v>0.67039999999997202</v>
      </c>
      <c r="AD499">
        <v>-0.18869449999999999</v>
      </c>
      <c r="AE499">
        <v>-0.1721</v>
      </c>
      <c r="AF499">
        <v>0.15409411391341399</v>
      </c>
      <c r="AG499">
        <v>-0.18869449999999999</v>
      </c>
      <c r="AH499">
        <v>0.62555400433840402</v>
      </c>
      <c r="AI499">
        <v>106.324701348831</v>
      </c>
      <c r="AJ499">
        <v>76.161712601825101</v>
      </c>
      <c r="AK499">
        <v>0.67131842118090501</v>
      </c>
      <c r="AL499">
        <v>79.793877882828994</v>
      </c>
      <c r="AM499">
        <v>90.247352080730394</v>
      </c>
      <c r="AN499">
        <v>0.99999999044186905</v>
      </c>
    </row>
    <row r="500" spans="1:40" x14ac:dyDescent="0.25">
      <c r="A500" t="str">
        <f>"20190312172102691"</f>
        <v>20190312172102691</v>
      </c>
      <c r="B500" t="str">
        <f>"1552382462681455"</f>
        <v>1552382462681455</v>
      </c>
      <c r="C500" t="s">
        <v>40</v>
      </c>
      <c r="D500">
        <v>3.2550279999999998</v>
      </c>
      <c r="E500">
        <v>0.5790073</v>
      </c>
      <c r="F500" t="s">
        <v>41</v>
      </c>
      <c r="G500">
        <v>-400.22789999999998</v>
      </c>
      <c r="H500">
        <v>0.84483090000000005</v>
      </c>
      <c r="I500">
        <v>367.5865</v>
      </c>
      <c r="J500">
        <v>-401.029</v>
      </c>
      <c r="K500">
        <v>1.0599179999999999</v>
      </c>
      <c r="L500">
        <v>367.78219999999999</v>
      </c>
      <c r="M500">
        <v>0.99988940000000004</v>
      </c>
      <c r="N500">
        <v>0</v>
      </c>
      <c r="O500">
        <v>-9.7614950000000002E-3</v>
      </c>
      <c r="P500">
        <v>0.98606629999999995</v>
      </c>
      <c r="Q500">
        <v>0.166266</v>
      </c>
      <c r="R500">
        <v>-5.3898130000000002E-3</v>
      </c>
      <c r="S500">
        <v>3.156555</v>
      </c>
      <c r="T500">
        <v>-0.69428599999999996</v>
      </c>
      <c r="U500">
        <v>-0.63787839999999996</v>
      </c>
      <c r="V500">
        <v>-4.2299109999999899E-3</v>
      </c>
      <c r="W500">
        <v>0.177321799999999</v>
      </c>
      <c r="X500">
        <v>0.98414389999999996</v>
      </c>
      <c r="Y500">
        <v>0.18448600000000001</v>
      </c>
      <c r="Z500">
        <v>-1.775473E-2</v>
      </c>
      <c r="AA500">
        <v>0.98267479999999996</v>
      </c>
      <c r="AB500">
        <v>36</v>
      </c>
      <c r="AC500">
        <v>0.80110000000001902</v>
      </c>
      <c r="AD500">
        <v>-0.2150871</v>
      </c>
      <c r="AE500">
        <v>-0.19569999999998799</v>
      </c>
      <c r="AF500">
        <v>0.17590401614159501</v>
      </c>
      <c r="AG500">
        <v>-0.2150871</v>
      </c>
      <c r="AH500">
        <v>0.75182764899391796</v>
      </c>
      <c r="AI500">
        <v>105.56585838331399</v>
      </c>
      <c r="AJ500">
        <v>76.831467152456099</v>
      </c>
      <c r="AK500">
        <v>0.80152947373934702</v>
      </c>
      <c r="AL500">
        <v>79.786199735934602</v>
      </c>
      <c r="AM500">
        <v>90.2462592672249</v>
      </c>
      <c r="AN500">
        <v>1.00000006440475</v>
      </c>
    </row>
    <row r="501" spans="1:40" x14ac:dyDescent="0.25">
      <c r="A501" t="str">
        <f>"20190312172102702"</f>
        <v>20190312172102702</v>
      </c>
      <c r="B501" t="str">
        <f>"1552382462692191"</f>
        <v>1552382462692191</v>
      </c>
      <c r="C501" t="s">
        <v>40</v>
      </c>
      <c r="D501">
        <v>3.2895690000000002</v>
      </c>
      <c r="E501">
        <v>0.57905450000000003</v>
      </c>
      <c r="F501" t="s">
        <v>41</v>
      </c>
      <c r="G501">
        <v>-400.21409999999997</v>
      </c>
      <c r="H501">
        <v>0.88021419999999995</v>
      </c>
      <c r="I501">
        <v>367.61739999999998</v>
      </c>
      <c r="J501">
        <v>-400.84989999999999</v>
      </c>
      <c r="K501">
        <v>1.06013</v>
      </c>
      <c r="L501">
        <v>367.78050000000002</v>
      </c>
      <c r="M501">
        <v>0.99988200000000005</v>
      </c>
      <c r="N501">
        <v>0</v>
      </c>
      <c r="O501">
        <v>-9.7616349999999994E-3</v>
      </c>
      <c r="P501">
        <v>0.9862128</v>
      </c>
      <c r="Q501">
        <v>0.16539579999999901</v>
      </c>
      <c r="R501">
        <v>-5.3852140000000001E-3</v>
      </c>
      <c r="S501">
        <v>3.1562190000000001</v>
      </c>
      <c r="T501">
        <v>-0.69600399999999996</v>
      </c>
      <c r="U501">
        <v>-0.63803100000000001</v>
      </c>
      <c r="V501">
        <v>-4.2361909999999899E-3</v>
      </c>
      <c r="W501">
        <v>0.17709140000000001</v>
      </c>
      <c r="X501">
        <v>0.98418530000000004</v>
      </c>
      <c r="Y501">
        <v>0.18453030000000001</v>
      </c>
      <c r="Z501">
        <v>-1.7804130000000001E-2</v>
      </c>
      <c r="AA501">
        <v>0.98266549999999997</v>
      </c>
      <c r="AB501">
        <v>36</v>
      </c>
      <c r="AC501">
        <v>0.63580000000001702</v>
      </c>
      <c r="AD501">
        <v>-0.17991579999999999</v>
      </c>
      <c r="AE501">
        <v>-0.16310000000004199</v>
      </c>
      <c r="AF501">
        <v>0.145922069018881</v>
      </c>
      <c r="AG501">
        <v>-0.17991579999999999</v>
      </c>
      <c r="AH501">
        <v>0.59282256971396097</v>
      </c>
      <c r="AI501">
        <v>106.419920355743</v>
      </c>
      <c r="AJ501">
        <v>76.171666753728104</v>
      </c>
      <c r="AK501">
        <v>0.636475878944879</v>
      </c>
      <c r="AL501">
        <v>79.799612373025994</v>
      </c>
      <c r="AM501">
        <v>90.246614500971006</v>
      </c>
      <c r="AN501">
        <v>1.00000000700211</v>
      </c>
    </row>
    <row r="502" spans="1:40" x14ac:dyDescent="0.25">
      <c r="A502" t="str">
        <f>"20190312172102713"</f>
        <v>20190312172102713</v>
      </c>
      <c r="B502" t="str">
        <f>"1552382462701951"</f>
        <v>1552382462701951</v>
      </c>
      <c r="C502" t="s">
        <v>40</v>
      </c>
      <c r="D502">
        <v>3.2487789999999999</v>
      </c>
      <c r="E502">
        <v>0.57908649999999995</v>
      </c>
      <c r="F502" t="s">
        <v>41</v>
      </c>
      <c r="G502">
        <v>-399.91180000000003</v>
      </c>
      <c r="H502">
        <v>0.85241339999999999</v>
      </c>
      <c r="I502">
        <v>367.59010000000001</v>
      </c>
      <c r="J502">
        <v>-400.6782</v>
      </c>
      <c r="K502">
        <v>1.0604830000000001</v>
      </c>
      <c r="L502">
        <v>367.77879999999999</v>
      </c>
      <c r="M502">
        <v>0.99987300000000001</v>
      </c>
      <c r="N502">
        <v>0</v>
      </c>
      <c r="O502">
        <v>-9.7619270000000001E-3</v>
      </c>
      <c r="P502">
        <v>0.98633040000000005</v>
      </c>
      <c r="Q502">
        <v>0.16470270000000001</v>
      </c>
      <c r="R502">
        <v>-5.063344E-3</v>
      </c>
      <c r="S502">
        <v>3.1556700000000002</v>
      </c>
      <c r="T502">
        <v>-0.69881380000000004</v>
      </c>
      <c r="U502">
        <v>-0.63864140000000003</v>
      </c>
      <c r="V502">
        <v>-4.5595089999999998E-3</v>
      </c>
      <c r="W502">
        <v>0.1771228</v>
      </c>
      <c r="X502">
        <v>0.9841782</v>
      </c>
      <c r="Y502">
        <v>0.18470819999999999</v>
      </c>
      <c r="Z502">
        <v>-1.7896189999999999E-2</v>
      </c>
      <c r="AA502">
        <v>0.98263040000000001</v>
      </c>
      <c r="AB502">
        <v>35</v>
      </c>
      <c r="AC502">
        <v>0.76639999999997599</v>
      </c>
      <c r="AD502">
        <v>-0.20806959999999999</v>
      </c>
      <c r="AE502">
        <v>-0.18869999999998299</v>
      </c>
      <c r="AF502">
        <v>0.16943425760775599</v>
      </c>
      <c r="AG502">
        <v>-0.20806959999999999</v>
      </c>
      <c r="AH502">
        <v>0.71828912228582897</v>
      </c>
      <c r="AI502">
        <v>105.74507049669501</v>
      </c>
      <c r="AJ502">
        <v>76.727357798933596</v>
      </c>
      <c r="AK502">
        <v>0.76677257990188796</v>
      </c>
      <c r="AL502">
        <v>79.797784340341707</v>
      </c>
      <c r="AM502">
        <v>90.265438467729695</v>
      </c>
      <c r="AN502">
        <v>1.0000000023786999</v>
      </c>
    </row>
    <row r="503" spans="1:40" x14ac:dyDescent="0.25">
      <c r="A503" t="str">
        <f>"20190312172102724"</f>
        <v>20190312172102724</v>
      </c>
      <c r="B503" t="str">
        <f>"1552382462711711"</f>
        <v>1552382462711711</v>
      </c>
      <c r="C503" t="s">
        <v>40</v>
      </c>
      <c r="D503">
        <v>3.2784040000000001</v>
      </c>
      <c r="E503">
        <v>0.5791094</v>
      </c>
      <c r="F503" t="s">
        <v>41</v>
      </c>
      <c r="G503">
        <v>-399.8981</v>
      </c>
      <c r="H503">
        <v>0.88715200000000005</v>
      </c>
      <c r="I503">
        <v>367.6207</v>
      </c>
      <c r="J503">
        <v>-400.51859999999999</v>
      </c>
      <c r="K503">
        <v>1.0607949999999999</v>
      </c>
      <c r="L503">
        <v>367.77719999999999</v>
      </c>
      <c r="M503">
        <v>0.99986770000000003</v>
      </c>
      <c r="N503">
        <v>0</v>
      </c>
      <c r="O503">
        <v>-9.7619249999999994E-3</v>
      </c>
      <c r="P503">
        <v>0.98637799999999998</v>
      </c>
      <c r="Q503">
        <v>0.16441989999999901</v>
      </c>
      <c r="R503">
        <v>-4.9771900000000003E-3</v>
      </c>
      <c r="S503">
        <v>3.1554259999999998</v>
      </c>
      <c r="T503">
        <v>-0.7012159</v>
      </c>
      <c r="U503">
        <v>-0.63763429999999999</v>
      </c>
      <c r="V503">
        <v>-4.646224E-3</v>
      </c>
      <c r="W503">
        <v>0.17724579999999901</v>
      </c>
      <c r="X503">
        <v>0.98415569999999997</v>
      </c>
      <c r="Y503">
        <v>0.18440019999999999</v>
      </c>
      <c r="Z503">
        <v>-1.792467E-2</v>
      </c>
      <c r="AA503">
        <v>0.9826878</v>
      </c>
      <c r="AB503">
        <v>35</v>
      </c>
      <c r="AC503">
        <v>0.62049999999999195</v>
      </c>
      <c r="AD503">
        <v>-0.17364299999999999</v>
      </c>
      <c r="AE503">
        <v>-0.15649999999999401</v>
      </c>
      <c r="AF503">
        <v>0.140118039099495</v>
      </c>
      <c r="AG503">
        <v>-0.17364299999999999</v>
      </c>
      <c r="AH503">
        <v>0.57934206999577198</v>
      </c>
      <c r="AI503">
        <v>106.242164400371</v>
      </c>
      <c r="AJ503">
        <v>76.403695974566403</v>
      </c>
      <c r="AK503">
        <v>0.62082379979916502</v>
      </c>
      <c r="AL503">
        <v>79.790624167118096</v>
      </c>
      <c r="AM503">
        <v>90.270492817484197</v>
      </c>
      <c r="AN503">
        <v>1.0000000514287899</v>
      </c>
    </row>
    <row r="504" spans="1:40" x14ac:dyDescent="0.25">
      <c r="A504" t="str">
        <f>"20190312172102735"</f>
        <v>20190312172102735</v>
      </c>
      <c r="B504" t="str">
        <f>"1552382462732207"</f>
        <v>1552382462732207</v>
      </c>
      <c r="C504" t="s">
        <v>40</v>
      </c>
      <c r="D504">
        <v>3.3357109999999999</v>
      </c>
      <c r="E504">
        <v>0.579157699999999</v>
      </c>
      <c r="F504" t="s">
        <v>41</v>
      </c>
      <c r="G504">
        <v>-399.59629999999999</v>
      </c>
      <c r="H504">
        <v>0.85551109999999897</v>
      </c>
      <c r="I504">
        <v>367.59059999999999</v>
      </c>
      <c r="J504">
        <v>-400.32850000000002</v>
      </c>
      <c r="K504">
        <v>1.0611600000000001</v>
      </c>
      <c r="L504">
        <v>367.77539999999999</v>
      </c>
      <c r="M504">
        <v>0.9998686</v>
      </c>
      <c r="N504">
        <v>0</v>
      </c>
      <c r="O504">
        <v>-9.7618359999999994E-3</v>
      </c>
      <c r="P504">
        <v>0.98636570000000001</v>
      </c>
      <c r="Q504">
        <v>0.16449540000000001</v>
      </c>
      <c r="R504">
        <v>-4.9265130000000004E-3</v>
      </c>
      <c r="S504">
        <v>3.1552730000000002</v>
      </c>
      <c r="T504">
        <v>-0.70229490000000006</v>
      </c>
      <c r="U504">
        <v>-0.63784790000000002</v>
      </c>
      <c r="V504">
        <v>-4.6969009999999999E-3</v>
      </c>
      <c r="W504">
        <v>0.17725279999999999</v>
      </c>
      <c r="X504">
        <v>0.98415419999999998</v>
      </c>
      <c r="Y504">
        <v>0.18445929999999999</v>
      </c>
      <c r="Z504">
        <v>-1.7958780000000001E-2</v>
      </c>
      <c r="AA504">
        <v>0.98267610000000005</v>
      </c>
      <c r="AB504">
        <v>35</v>
      </c>
      <c r="AC504">
        <v>0.73220000000003405</v>
      </c>
      <c r="AD504">
        <v>-0.2056489</v>
      </c>
      <c r="AE504">
        <v>-0.184799999999995</v>
      </c>
      <c r="AF504">
        <v>0.16537839897721501</v>
      </c>
      <c r="AG504">
        <v>-0.2056489</v>
      </c>
      <c r="AH504">
        <v>0.68329556174107398</v>
      </c>
      <c r="AI504">
        <v>106.305276105046</v>
      </c>
      <c r="AJ504">
        <v>76.394312029266302</v>
      </c>
      <c r="AK504">
        <v>0.73248502347456002</v>
      </c>
      <c r="AL504">
        <v>79.790216656889399</v>
      </c>
      <c r="AM504">
        <v>90.273443491808607</v>
      </c>
      <c r="AN504">
        <v>1.0000000526822399</v>
      </c>
    </row>
    <row r="505" spans="1:40" x14ac:dyDescent="0.25">
      <c r="A505" t="str">
        <f>"20190312172102746"</f>
        <v>20190312172102746</v>
      </c>
      <c r="B505" t="str">
        <f>"1552382462741967"</f>
        <v>1552382462741967</v>
      </c>
      <c r="C505" t="s">
        <v>40</v>
      </c>
      <c r="D505">
        <v>3.2619280000000002</v>
      </c>
      <c r="E505">
        <v>0.5791887</v>
      </c>
      <c r="F505" t="s">
        <v>41</v>
      </c>
      <c r="G505">
        <v>-399.5804</v>
      </c>
      <c r="H505">
        <v>0.89474299999999996</v>
      </c>
      <c r="I505">
        <v>367.62389999999999</v>
      </c>
      <c r="J505">
        <v>-400.15280000000001</v>
      </c>
      <c r="K505">
        <v>1.0614939999999999</v>
      </c>
      <c r="L505">
        <v>367.77370000000002</v>
      </c>
      <c r="M505">
        <v>0.99987559999999998</v>
      </c>
      <c r="N505">
        <v>0</v>
      </c>
      <c r="O505">
        <v>-9.7618199999999992E-3</v>
      </c>
      <c r="P505">
        <v>0.98626060000000004</v>
      </c>
      <c r="Q505">
        <v>0.1651261</v>
      </c>
      <c r="R505">
        <v>-4.8531299999999998E-3</v>
      </c>
      <c r="S505">
        <v>3.1553650000000002</v>
      </c>
      <c r="T505">
        <v>-0.7019012</v>
      </c>
      <c r="U505">
        <v>-0.63797000000000004</v>
      </c>
      <c r="V505">
        <v>-4.7686250000000003E-3</v>
      </c>
      <c r="W505">
        <v>0.1773382</v>
      </c>
      <c r="X505">
        <v>0.98413839999999997</v>
      </c>
      <c r="Y505">
        <v>0.1844943</v>
      </c>
      <c r="Z505">
        <v>-1.795221E-2</v>
      </c>
      <c r="AA505">
        <v>0.98266960000000003</v>
      </c>
      <c r="AB505">
        <v>35</v>
      </c>
      <c r="AC505">
        <v>0.57240000000001601</v>
      </c>
      <c r="AD505">
        <v>-0.16675100000000001</v>
      </c>
      <c r="AE505">
        <v>-0.14980000000002699</v>
      </c>
      <c r="AF505">
        <v>0.13359382908043099</v>
      </c>
      <c r="AG505">
        <v>-0.16675100000000001</v>
      </c>
      <c r="AH505">
        <v>0.531610968397356</v>
      </c>
      <c r="AI505">
        <v>106.920410747547</v>
      </c>
      <c r="AJ505">
        <v>75.893675670148298</v>
      </c>
      <c r="AK505">
        <v>0.57294277976927699</v>
      </c>
      <c r="AL505">
        <v>79.785244119641703</v>
      </c>
      <c r="AM505">
        <v>90.277623501238395</v>
      </c>
      <c r="AN505">
        <v>0.99999998365909504</v>
      </c>
    </row>
    <row r="506" spans="1:40" x14ac:dyDescent="0.25">
      <c r="A506" t="str">
        <f>"20190312172102761"</f>
        <v>20190312172102761</v>
      </c>
      <c r="B506" t="str">
        <f>"1552382462751727"</f>
        <v>1552382462751727</v>
      </c>
      <c r="C506" t="s">
        <v>40</v>
      </c>
      <c r="D506">
        <v>3.2649780000000002</v>
      </c>
      <c r="E506">
        <v>0.57923500000000006</v>
      </c>
      <c r="F506" t="s">
        <v>41</v>
      </c>
      <c r="G506">
        <v>-399.2747</v>
      </c>
      <c r="H506">
        <v>0.86668959999999995</v>
      </c>
      <c r="I506">
        <v>367.5958</v>
      </c>
      <c r="J506">
        <v>-399.93639999999999</v>
      </c>
      <c r="K506">
        <v>1.061909</v>
      </c>
      <c r="L506">
        <v>367.7715</v>
      </c>
      <c r="M506">
        <v>0.999888</v>
      </c>
      <c r="N506">
        <v>0</v>
      </c>
      <c r="O506">
        <v>-9.7614550000000005E-3</v>
      </c>
      <c r="P506">
        <v>0.98608929999999995</v>
      </c>
      <c r="Q506">
        <v>0.16615260000000001</v>
      </c>
      <c r="R506">
        <v>-4.626659E-3</v>
      </c>
      <c r="S506">
        <v>3.1558839999999999</v>
      </c>
      <c r="T506">
        <v>-0.70022229999999996</v>
      </c>
      <c r="U506">
        <v>-0.63763429999999999</v>
      </c>
      <c r="V506">
        <v>-4.9929500000000003E-3</v>
      </c>
      <c r="W506">
        <v>0.1773255</v>
      </c>
      <c r="X506">
        <v>0.9841396</v>
      </c>
      <c r="Y506">
        <v>0.1843861</v>
      </c>
      <c r="Z506">
        <v>-1.7895979999999999E-2</v>
      </c>
      <c r="AA506">
        <v>0.98269090000000003</v>
      </c>
      <c r="AB506">
        <v>35</v>
      </c>
      <c r="AC506">
        <v>0.66169999999999596</v>
      </c>
      <c r="AD506">
        <v>-0.19521939999999999</v>
      </c>
      <c r="AE506">
        <v>-0.17570000000000599</v>
      </c>
      <c r="AF506">
        <v>0.15650675863632199</v>
      </c>
      <c r="AG506">
        <v>-0.19521939999999999</v>
      </c>
      <c r="AH506">
        <v>0.61350094770040597</v>
      </c>
      <c r="AI506">
        <v>107.136144647272</v>
      </c>
      <c r="AJ506">
        <v>75.688834677334697</v>
      </c>
      <c r="AK506">
        <v>0.66256199141250505</v>
      </c>
      <c r="AL506">
        <v>79.785983739349305</v>
      </c>
      <c r="AM506">
        <v>90.290682854218105</v>
      </c>
      <c r="AN506">
        <v>1.00000000739405</v>
      </c>
    </row>
    <row r="507" spans="1:40" x14ac:dyDescent="0.25">
      <c r="A507" t="str">
        <f>"20190312172102782"</f>
        <v>20190312172102782</v>
      </c>
      <c r="B507" t="str">
        <f>"1552382462772224"</f>
        <v>1552382462772224</v>
      </c>
      <c r="C507" t="s">
        <v>40</v>
      </c>
      <c r="D507">
        <v>3.2742830000000001</v>
      </c>
      <c r="E507">
        <v>0.57932600000000001</v>
      </c>
      <c r="F507" t="s">
        <v>41</v>
      </c>
      <c r="G507">
        <v>-398.96359999999999</v>
      </c>
      <c r="H507">
        <v>0.84707180000000004</v>
      </c>
      <c r="I507">
        <v>367.57499999999999</v>
      </c>
      <c r="J507">
        <v>-399.59699999999998</v>
      </c>
      <c r="K507">
        <v>1.0628420000000001</v>
      </c>
      <c r="L507">
        <v>367.76819999999998</v>
      </c>
      <c r="M507">
        <v>0.99990900000000005</v>
      </c>
      <c r="N507">
        <v>0</v>
      </c>
      <c r="O507">
        <v>-9.7606020000000002E-3</v>
      </c>
      <c r="P507">
        <v>0.98574320000000004</v>
      </c>
      <c r="Q507">
        <v>0.1681984</v>
      </c>
      <c r="R507">
        <v>-4.44591E-3</v>
      </c>
      <c r="S507">
        <v>3.1567379999999998</v>
      </c>
      <c r="T507">
        <v>-0.69720859999999996</v>
      </c>
      <c r="U507">
        <v>-0.63708500000000001</v>
      </c>
      <c r="V507">
        <v>-5.1688799999999998E-3</v>
      </c>
      <c r="W507">
        <v>0.177375799999999</v>
      </c>
      <c r="X507">
        <v>0.98412960000000005</v>
      </c>
      <c r="Y507">
        <v>0.18421180000000001</v>
      </c>
      <c r="Z507">
        <v>-1.7797790000000001E-2</v>
      </c>
      <c r="AA507">
        <v>0.98272539999999997</v>
      </c>
      <c r="AB507">
        <v>36</v>
      </c>
      <c r="AC507">
        <v>0.63339999999999397</v>
      </c>
      <c r="AD507">
        <v>-0.2157702</v>
      </c>
      <c r="AE507">
        <v>-0.19319999999998999</v>
      </c>
      <c r="AF507">
        <v>0.16905952886289699</v>
      </c>
      <c r="AG507">
        <v>-0.2157702</v>
      </c>
      <c r="AH507">
        <v>0.574285209047251</v>
      </c>
      <c r="AI507">
        <v>109.82050913079</v>
      </c>
      <c r="AJ507">
        <v>73.596492686847498</v>
      </c>
      <c r="AK507">
        <v>0.63635006469539201</v>
      </c>
      <c r="AL507">
        <v>79.783055063913196</v>
      </c>
      <c r="AM507">
        <v>90.3009281354948</v>
      </c>
      <c r="AN507">
        <v>0.99999998067112705</v>
      </c>
    </row>
    <row r="508" spans="1:40" x14ac:dyDescent="0.25">
      <c r="A508" t="str">
        <f>"20190312172102804"</f>
        <v>20190312172102804</v>
      </c>
      <c r="B508" t="str">
        <f>"1552382462791743"</f>
        <v>1552382462791743</v>
      </c>
      <c r="C508" t="s">
        <v>40</v>
      </c>
      <c r="D508">
        <v>3.3374030000000001</v>
      </c>
      <c r="E508">
        <v>0.57935599999999998</v>
      </c>
      <c r="F508" t="s">
        <v>41</v>
      </c>
      <c r="G508">
        <v>-398.64179999999999</v>
      </c>
      <c r="H508">
        <v>0.8539253</v>
      </c>
      <c r="I508">
        <v>367.57530000000003</v>
      </c>
      <c r="J508">
        <v>-399.24439999999998</v>
      </c>
      <c r="K508">
        <v>1.0641499999999999</v>
      </c>
      <c r="L508">
        <v>367.7647</v>
      </c>
      <c r="M508">
        <v>0.99992539999999996</v>
      </c>
      <c r="N508">
        <v>0</v>
      </c>
      <c r="O508">
        <v>-9.7593890000000003E-3</v>
      </c>
      <c r="P508">
        <v>0.98538530000000002</v>
      </c>
      <c r="Q508">
        <v>0.17029069999999999</v>
      </c>
      <c r="R508">
        <v>-4.1347240000000002E-3</v>
      </c>
      <c r="S508">
        <v>3.1583860000000001</v>
      </c>
      <c r="T508">
        <v>-0.69081619999999899</v>
      </c>
      <c r="U508">
        <v>-0.63690190000000002</v>
      </c>
      <c r="V508">
        <v>-5.475621E-3</v>
      </c>
      <c r="W508">
        <v>0.17753620000000001</v>
      </c>
      <c r="X508">
        <v>0.98409899999999995</v>
      </c>
      <c r="Y508">
        <v>0.18413740000000001</v>
      </c>
      <c r="Z508">
        <v>-1.7621899999999999E-2</v>
      </c>
      <c r="AA508">
        <v>0.98274249999999996</v>
      </c>
      <c r="AB508">
        <v>36</v>
      </c>
      <c r="AC508">
        <v>0.60259999999999503</v>
      </c>
      <c r="AD508">
        <v>-0.21022469999999899</v>
      </c>
      <c r="AE508">
        <v>-0.189399999999977</v>
      </c>
      <c r="AF508">
        <v>0.16521056057818001</v>
      </c>
      <c r="AG508">
        <v>-0.21022469999999899</v>
      </c>
      <c r="AH508">
        <v>0.54414817788902703</v>
      </c>
      <c r="AI508">
        <v>110.288057887515</v>
      </c>
      <c r="AJ508">
        <v>73.111018388995205</v>
      </c>
      <c r="AK508">
        <v>0.60628886953051897</v>
      </c>
      <c r="AL508">
        <v>79.773716427694794</v>
      </c>
      <c r="AM508">
        <v>90.318795909728294</v>
      </c>
      <c r="AN508">
        <v>0.99999996326838703</v>
      </c>
    </row>
    <row r="509" spans="1:40" x14ac:dyDescent="0.25">
      <c r="A509" t="str">
        <f>"20190312172102824"</f>
        <v>20190312172102824</v>
      </c>
      <c r="B509" t="str">
        <f>"1552382462822000"</f>
        <v>1552382462822000</v>
      </c>
      <c r="C509" t="s">
        <v>40</v>
      </c>
      <c r="D509">
        <v>3.3088760000000002</v>
      </c>
      <c r="E509">
        <v>0.57944619999999902</v>
      </c>
      <c r="F509" t="s">
        <v>41</v>
      </c>
      <c r="G509">
        <v>-398.31880000000001</v>
      </c>
      <c r="H509">
        <v>0.86370340000000001</v>
      </c>
      <c r="I509">
        <v>367.57830000000001</v>
      </c>
      <c r="J509">
        <v>-398.90879999999999</v>
      </c>
      <c r="K509">
        <v>1.0655870000000001</v>
      </c>
      <c r="L509">
        <v>367.76150000000001</v>
      </c>
      <c r="M509">
        <v>0.99993650000000001</v>
      </c>
      <c r="N509">
        <v>0</v>
      </c>
      <c r="O509">
        <v>-9.7586389999999995E-3</v>
      </c>
      <c r="P509">
        <v>0.98511139999999997</v>
      </c>
      <c r="Q509">
        <v>0.17188200000000001</v>
      </c>
      <c r="R509">
        <v>-3.5269720000000002E-3</v>
      </c>
      <c r="S509">
        <v>3.160126</v>
      </c>
      <c r="T509">
        <v>-0.68439039999999995</v>
      </c>
      <c r="U509">
        <v>-0.63610840000000002</v>
      </c>
      <c r="V509">
        <v>-6.0796460000000002E-3</v>
      </c>
      <c r="W509">
        <v>0.17745129999999901</v>
      </c>
      <c r="X509">
        <v>0.98411079999999995</v>
      </c>
      <c r="Y509">
        <v>0.1838785</v>
      </c>
      <c r="Z509">
        <v>-1.742554E-2</v>
      </c>
      <c r="AA509">
        <v>0.98279450000000002</v>
      </c>
      <c r="AB509">
        <v>36</v>
      </c>
      <c r="AC509">
        <v>0.58999999999997499</v>
      </c>
      <c r="AD509">
        <v>-0.2018836</v>
      </c>
      <c r="AE509">
        <v>-0.183199999999999</v>
      </c>
      <c r="AF509">
        <v>0.16031396330178899</v>
      </c>
      <c r="AG509">
        <v>-0.2018836</v>
      </c>
      <c r="AH509">
        <v>0.53466396399120897</v>
      </c>
      <c r="AI509">
        <v>109.884104413573</v>
      </c>
      <c r="AJ509">
        <v>73.309135029448299</v>
      </c>
      <c r="AK509">
        <v>0.59356811670547205</v>
      </c>
      <c r="AL509">
        <v>79.778659664695297</v>
      </c>
      <c r="AM509">
        <v>90.3539577305325</v>
      </c>
      <c r="AN509">
        <v>0.99999999632190695</v>
      </c>
    </row>
    <row r="510" spans="1:40" x14ac:dyDescent="0.25">
      <c r="A510" t="str">
        <f>"20190312172102835"</f>
        <v>20190312172102835</v>
      </c>
      <c r="B510" t="str">
        <f>"1552382462831760"</f>
        <v>1552382462831760</v>
      </c>
      <c r="C510" t="s">
        <v>40</v>
      </c>
      <c r="D510">
        <v>3.2684449999999998</v>
      </c>
      <c r="E510">
        <v>0.57948049999999995</v>
      </c>
      <c r="F510" t="s">
        <v>41</v>
      </c>
      <c r="G510">
        <v>-397.99680000000001</v>
      </c>
      <c r="H510">
        <v>0.86979530000000005</v>
      </c>
      <c r="I510">
        <v>367.5779</v>
      </c>
      <c r="J510">
        <v>-398.72629999999998</v>
      </c>
      <c r="K510">
        <v>1.0664089999999999</v>
      </c>
      <c r="L510">
        <v>367.75970000000001</v>
      </c>
      <c r="M510">
        <v>0.99994110000000003</v>
      </c>
      <c r="N510">
        <v>0</v>
      </c>
      <c r="O510">
        <v>-9.7583719999999995E-3</v>
      </c>
      <c r="P510">
        <v>0.98494649999999995</v>
      </c>
      <c r="Q510">
        <v>0.17282719999999999</v>
      </c>
      <c r="R510">
        <v>-3.3404239999999998E-3</v>
      </c>
      <c r="S510">
        <v>3.1614689999999999</v>
      </c>
      <c r="T510">
        <v>-0.67887640000000005</v>
      </c>
      <c r="U510">
        <v>-0.63458249999999905</v>
      </c>
      <c r="V510">
        <v>-6.2644469999999898E-3</v>
      </c>
      <c r="W510">
        <v>0.1775283</v>
      </c>
      <c r="X510">
        <v>0.98409579999999997</v>
      </c>
      <c r="Y510">
        <v>0.18341650000000001</v>
      </c>
      <c r="Z510">
        <v>-1.7233430000000001E-2</v>
      </c>
      <c r="AA510">
        <v>0.98288419999999999</v>
      </c>
      <c r="AB510">
        <v>36</v>
      </c>
      <c r="AC510">
        <v>0.72949999999997295</v>
      </c>
      <c r="AD510">
        <v>-0.196613699999999</v>
      </c>
      <c r="AE510">
        <v>-0.18180000000000901</v>
      </c>
      <c r="AF510">
        <v>0.16349096457191101</v>
      </c>
      <c r="AG510">
        <v>-0.196613699999999</v>
      </c>
      <c r="AH510">
        <v>0.684429470346966</v>
      </c>
      <c r="AI510">
        <v>105.610667527228</v>
      </c>
      <c r="AJ510">
        <v>76.565397753684707</v>
      </c>
      <c r="AK510">
        <v>0.73063666921649395</v>
      </c>
      <c r="AL510">
        <v>79.7741771852276</v>
      </c>
      <c r="AM510">
        <v>90.364722139922506</v>
      </c>
      <c r="AN510">
        <v>1.00000004208737</v>
      </c>
    </row>
    <row r="511" spans="1:40" x14ac:dyDescent="0.25">
      <c r="A511" t="str">
        <f>"20190312172102847"</f>
        <v>20190312172102847</v>
      </c>
      <c r="B511" t="str">
        <f>"1552382462841520"</f>
        <v>1552382462841520</v>
      </c>
      <c r="C511" t="s">
        <v>40</v>
      </c>
      <c r="D511">
        <v>3.2477209999999999</v>
      </c>
      <c r="E511">
        <v>0.57950649999999904</v>
      </c>
      <c r="F511" t="s">
        <v>41</v>
      </c>
      <c r="G511">
        <v>-397.9819</v>
      </c>
      <c r="H511">
        <v>0.90734269999999995</v>
      </c>
      <c r="I511">
        <v>367.61</v>
      </c>
      <c r="J511">
        <v>-398.55489999999998</v>
      </c>
      <c r="K511">
        <v>1.0672600000000001</v>
      </c>
      <c r="L511">
        <v>367.75799999999998</v>
      </c>
      <c r="M511">
        <v>0.99994369999999999</v>
      </c>
      <c r="N511">
        <v>0</v>
      </c>
      <c r="O511">
        <v>-9.7579380000000007E-3</v>
      </c>
      <c r="P511">
        <v>0.98483620000000005</v>
      </c>
      <c r="Q511">
        <v>0.17345529999999901</v>
      </c>
      <c r="R511">
        <v>-3.315007E-3</v>
      </c>
      <c r="S511">
        <v>3.1622919999999999</v>
      </c>
      <c r="T511">
        <v>-0.67585189999999995</v>
      </c>
      <c r="U511">
        <v>-0.63409419999999905</v>
      </c>
      <c r="V511">
        <v>-6.2882959999999996E-3</v>
      </c>
      <c r="W511">
        <v>0.17760010000000001</v>
      </c>
      <c r="X511">
        <v>0.98408260000000003</v>
      </c>
      <c r="Y511">
        <v>0.18326020000000001</v>
      </c>
      <c r="Z511">
        <v>-1.7138009999999999E-2</v>
      </c>
      <c r="AA511">
        <v>0.98291499999999998</v>
      </c>
      <c r="AB511">
        <v>36</v>
      </c>
      <c r="AC511">
        <v>0.57299999999997897</v>
      </c>
      <c r="AD511">
        <v>-0.15991730000000001</v>
      </c>
      <c r="AE511">
        <v>-0.148000000000024</v>
      </c>
      <c r="AF511">
        <v>0.13271121225019</v>
      </c>
      <c r="AG511">
        <v>-0.15991730000000001</v>
      </c>
      <c r="AH511">
        <v>0.53532797722630798</v>
      </c>
      <c r="AI511">
        <v>106.16955440600501</v>
      </c>
      <c r="AJ511">
        <v>76.076712284885602</v>
      </c>
      <c r="AK511">
        <v>0.57424894592625597</v>
      </c>
      <c r="AL511">
        <v>79.769995977929597</v>
      </c>
      <c r="AM511">
        <v>90.366115524650894</v>
      </c>
      <c r="AN511">
        <v>0.99999995090467497</v>
      </c>
    </row>
    <row r="512" spans="1:40" x14ac:dyDescent="0.25">
      <c r="A512" t="str">
        <f>"20190312172102858"</f>
        <v>20190312172102858</v>
      </c>
      <c r="B512" t="str">
        <f>"1552382462852255"</f>
        <v>1552382462852255</v>
      </c>
      <c r="C512" t="s">
        <v>40</v>
      </c>
      <c r="D512">
        <v>3.4209209999999999</v>
      </c>
      <c r="E512">
        <v>0.57950469999999998</v>
      </c>
      <c r="F512" t="s">
        <v>41</v>
      </c>
      <c r="G512">
        <v>-397.67540000000002</v>
      </c>
      <c r="H512">
        <v>0.87991239999999904</v>
      </c>
      <c r="I512">
        <v>367.58139999999997</v>
      </c>
      <c r="J512">
        <v>-398.36750000000001</v>
      </c>
      <c r="K512">
        <v>1.0682389999999999</v>
      </c>
      <c r="L512">
        <v>367.75619999999998</v>
      </c>
      <c r="M512">
        <v>0.99994539999999998</v>
      </c>
      <c r="N512">
        <v>0</v>
      </c>
      <c r="O512">
        <v>-9.7574970000000004E-3</v>
      </c>
      <c r="P512">
        <v>0.98471609999999998</v>
      </c>
      <c r="Q512">
        <v>0.17414160000000001</v>
      </c>
      <c r="R512">
        <v>-2.9908619999999999E-3</v>
      </c>
      <c r="S512">
        <v>3.1627200000000002</v>
      </c>
      <c r="T512">
        <v>-0.67374460000000003</v>
      </c>
      <c r="U512">
        <v>-0.63439939999999995</v>
      </c>
      <c r="V512">
        <v>-6.6108549999999997E-3</v>
      </c>
      <c r="W512">
        <v>0.177832399999999</v>
      </c>
      <c r="X512">
        <v>0.98403859999999999</v>
      </c>
      <c r="Y512">
        <v>0.1833486</v>
      </c>
      <c r="Z512">
        <v>-1.7092659999999999E-2</v>
      </c>
      <c r="AA512">
        <v>0.98289939999999998</v>
      </c>
      <c r="AB512">
        <v>36</v>
      </c>
      <c r="AC512">
        <v>0.69209999999998195</v>
      </c>
      <c r="AD512">
        <v>-0.18832660000000001</v>
      </c>
      <c r="AE512">
        <v>-0.17480000000000401</v>
      </c>
      <c r="AF512">
        <v>0.15710353440133501</v>
      </c>
      <c r="AG512">
        <v>-0.18832660000000001</v>
      </c>
      <c r="AH512">
        <v>0.648626119857872</v>
      </c>
      <c r="AI512">
        <v>105.75840549200601</v>
      </c>
      <c r="AJ512">
        <v>76.384616060451407</v>
      </c>
      <c r="AK512">
        <v>0.69344377720968098</v>
      </c>
      <c r="AL512">
        <v>79.756471546874906</v>
      </c>
      <c r="AM512">
        <v>90.384912128716905</v>
      </c>
      <c r="AN512">
        <v>1.0000000160917699</v>
      </c>
    </row>
    <row r="513" spans="1:40" x14ac:dyDescent="0.25">
      <c r="A513" t="str">
        <f>"20190312172102869"</f>
        <v>20190312172102869</v>
      </c>
      <c r="B513" t="str">
        <f>"1552382462862015"</f>
        <v>1552382462862015</v>
      </c>
      <c r="C513" t="s">
        <v>40</v>
      </c>
      <c r="D513">
        <v>3.2726190000000002</v>
      </c>
      <c r="E513">
        <v>0.57948940000000004</v>
      </c>
      <c r="F513" t="s">
        <v>41</v>
      </c>
      <c r="G513">
        <v>-397.65980000000002</v>
      </c>
      <c r="H513">
        <v>0.91810550000000002</v>
      </c>
      <c r="I513">
        <v>367.61430000000001</v>
      </c>
      <c r="J513">
        <v>-398.18799999999999</v>
      </c>
      <c r="K513">
        <v>1.0694189999999999</v>
      </c>
      <c r="L513">
        <v>367.75439999999998</v>
      </c>
      <c r="M513">
        <v>0.99994559999999999</v>
      </c>
      <c r="N513">
        <v>0</v>
      </c>
      <c r="O513">
        <v>-9.7571919999999996E-3</v>
      </c>
      <c r="P513">
        <v>0.98469070000000003</v>
      </c>
      <c r="Q513">
        <v>0.17428479999999999</v>
      </c>
      <c r="R513">
        <v>-3.0463700000000001E-3</v>
      </c>
      <c r="S513">
        <v>3.1633300000000002</v>
      </c>
      <c r="T513">
        <v>-0.67111860000000001</v>
      </c>
      <c r="U513">
        <v>-0.63320919999999903</v>
      </c>
      <c r="V513">
        <v>-6.5548859999999898E-3</v>
      </c>
      <c r="W513">
        <v>0.17794119999999999</v>
      </c>
      <c r="X513">
        <v>0.98401930000000004</v>
      </c>
      <c r="Y513">
        <v>0.1829942</v>
      </c>
      <c r="Z513">
        <v>-1.6988139999999999E-2</v>
      </c>
      <c r="AA513">
        <v>0.98296719999999904</v>
      </c>
      <c r="AB513">
        <v>36</v>
      </c>
      <c r="AC513">
        <v>0.52820000000002598</v>
      </c>
      <c r="AD513">
        <v>-0.15131349999999999</v>
      </c>
      <c r="AE513">
        <v>-0.14009999999996101</v>
      </c>
      <c r="AF513">
        <v>0.12533033162859999</v>
      </c>
      <c r="AG513">
        <v>-0.15131349999999999</v>
      </c>
      <c r="AH513">
        <v>0.49183250505866299</v>
      </c>
      <c r="AI513">
        <v>106.600653355074</v>
      </c>
      <c r="AJ513">
        <v>75.703960098530303</v>
      </c>
      <c r="AK513">
        <v>0.52962503749413503</v>
      </c>
      <c r="AL513">
        <v>79.750136668609699</v>
      </c>
      <c r="AM513">
        <v>90.381660957327497</v>
      </c>
      <c r="AN513">
        <v>1.0000000099802</v>
      </c>
    </row>
    <row r="514" spans="1:40" x14ac:dyDescent="0.25">
      <c r="A514" t="str">
        <f>"20190312172102882"</f>
        <v>20190312172102882</v>
      </c>
      <c r="B514" t="str">
        <f>"1552382462871776"</f>
        <v>1552382462871776</v>
      </c>
      <c r="C514" t="s">
        <v>40</v>
      </c>
      <c r="D514">
        <v>3.3104450000000001</v>
      </c>
      <c r="E514">
        <v>0.57947490000000001</v>
      </c>
      <c r="F514" t="s">
        <v>41</v>
      </c>
      <c r="G514">
        <v>-397.3546</v>
      </c>
      <c r="H514">
        <v>0.89290119999999895</v>
      </c>
      <c r="I514">
        <v>367.58730000000003</v>
      </c>
      <c r="J514">
        <v>-398.00060000000002</v>
      </c>
      <c r="K514">
        <v>1.0707100000000001</v>
      </c>
      <c r="L514">
        <v>367.75259999999997</v>
      </c>
      <c r="M514">
        <v>0.99994539999999998</v>
      </c>
      <c r="N514">
        <v>0</v>
      </c>
      <c r="O514">
        <v>-9.7566489999999992E-3</v>
      </c>
      <c r="P514">
        <v>0.98464099999999999</v>
      </c>
      <c r="Q514">
        <v>0.174568</v>
      </c>
      <c r="R514">
        <v>-2.9164299999999998E-3</v>
      </c>
      <c r="S514">
        <v>3.1633300000000002</v>
      </c>
      <c r="T514">
        <v>-0.67010439999999905</v>
      </c>
      <c r="U514">
        <v>-0.63317869999999998</v>
      </c>
      <c r="V514">
        <v>-6.684008E-3</v>
      </c>
      <c r="W514">
        <v>0.17825179999999999</v>
      </c>
      <c r="X514">
        <v>0.98396220000000001</v>
      </c>
      <c r="Y514">
        <v>0.18299670000000001</v>
      </c>
      <c r="Z514">
        <v>-1.6963389999999998E-2</v>
      </c>
      <c r="AA514">
        <v>0.98296719999999904</v>
      </c>
      <c r="AB514">
        <v>36</v>
      </c>
      <c r="AC514">
        <v>0.64600000000001501</v>
      </c>
      <c r="AD514">
        <v>-0.17780879999999999</v>
      </c>
      <c r="AE514">
        <v>-0.16529999999994499</v>
      </c>
      <c r="AF514">
        <v>0.14843488500861199</v>
      </c>
      <c r="AG514">
        <v>-0.17780879999999999</v>
      </c>
      <c r="AH514">
        <v>0.60459269675321503</v>
      </c>
      <c r="AI514">
        <v>105.940130419159</v>
      </c>
      <c r="AJ514">
        <v>76.206017321576695</v>
      </c>
      <c r="AK514">
        <v>0.64744205409618305</v>
      </c>
      <c r="AL514">
        <v>79.732051322757997</v>
      </c>
      <c r="AM514">
        <v>90.389201493970305</v>
      </c>
      <c r="AN514">
        <v>0.99999999559751196</v>
      </c>
    </row>
    <row r="515" spans="1:40" x14ac:dyDescent="0.25">
      <c r="A515" t="str">
        <f>"20190312172102894"</f>
        <v>20190312172102894</v>
      </c>
      <c r="B515" t="str">
        <f>"1552382462881537"</f>
        <v>1552382462881537</v>
      </c>
      <c r="C515" t="s">
        <v>40</v>
      </c>
      <c r="D515">
        <v>3.2534550000000002</v>
      </c>
      <c r="E515">
        <v>0.57944240000000002</v>
      </c>
      <c r="F515" t="s">
        <v>41</v>
      </c>
      <c r="G515">
        <v>-397.04790000000003</v>
      </c>
      <c r="H515">
        <v>0.86934940000000005</v>
      </c>
      <c r="I515">
        <v>367.56169999999997</v>
      </c>
      <c r="J515">
        <v>-397.80590000000001</v>
      </c>
      <c r="K515">
        <v>1.0722050000000001</v>
      </c>
      <c r="L515">
        <v>367.75069999999999</v>
      </c>
      <c r="M515">
        <v>0.99994510000000003</v>
      </c>
      <c r="N515">
        <v>0</v>
      </c>
      <c r="O515">
        <v>-9.7567149999999991E-3</v>
      </c>
      <c r="P515">
        <v>0.98459569999999996</v>
      </c>
      <c r="Q515">
        <v>0.17482529999999999</v>
      </c>
      <c r="R515">
        <v>-2.8205769999999999E-3</v>
      </c>
      <c r="S515">
        <v>3.1634519999999999</v>
      </c>
      <c r="T515">
        <v>-0.66864659999999998</v>
      </c>
      <c r="U515">
        <v>-0.63305659999999997</v>
      </c>
      <c r="V515">
        <v>-6.7792800000000004E-3</v>
      </c>
      <c r="W515">
        <v>0.1786056</v>
      </c>
      <c r="X515">
        <v>0.98389740000000003</v>
      </c>
      <c r="Y515">
        <v>0.18296960000000001</v>
      </c>
      <c r="Z515">
        <v>-1.6923879999999999E-2</v>
      </c>
      <c r="AA515">
        <v>0.98297290000000004</v>
      </c>
      <c r="AB515">
        <v>35</v>
      </c>
      <c r="AC515">
        <v>0.75799999999998102</v>
      </c>
      <c r="AD515">
        <v>-0.202855599999999</v>
      </c>
      <c r="AE515">
        <v>-0.18900000000002101</v>
      </c>
      <c r="AF515">
        <v>0.170124198285351</v>
      </c>
      <c r="AG515">
        <v>-0.202855599999999</v>
      </c>
      <c r="AH515">
        <v>0.71181179357828905</v>
      </c>
      <c r="AI515">
        <v>105.49222174426301</v>
      </c>
      <c r="AJ515">
        <v>76.558364462621199</v>
      </c>
      <c r="AK515">
        <v>0.75945287330468003</v>
      </c>
      <c r="AL515">
        <v>79.711449586594398</v>
      </c>
      <c r="AM515">
        <v>90.394774887569199</v>
      </c>
      <c r="AN515">
        <v>1.0000000063577099</v>
      </c>
    </row>
    <row r="516" spans="1:40" x14ac:dyDescent="0.25">
      <c r="A516" t="str">
        <f>"20190312172102905"</f>
        <v>20190312172102905</v>
      </c>
      <c r="B516" t="str">
        <f>"1552382462902031"</f>
        <v>1552382462902031</v>
      </c>
      <c r="C516" t="s">
        <v>40</v>
      </c>
      <c r="D516">
        <v>3.3602970000000001</v>
      </c>
      <c r="E516">
        <v>0.57942199999999999</v>
      </c>
      <c r="F516" t="s">
        <v>41</v>
      </c>
      <c r="G516">
        <v>-397.0324</v>
      </c>
      <c r="H516">
        <v>0.90907079999999996</v>
      </c>
      <c r="I516">
        <v>367.5958</v>
      </c>
      <c r="J516">
        <v>-397.63229999999999</v>
      </c>
      <c r="K516">
        <v>1.0735680000000001</v>
      </c>
      <c r="L516">
        <v>367.74900000000002</v>
      </c>
      <c r="M516">
        <v>0.99994499999999997</v>
      </c>
      <c r="N516">
        <v>0</v>
      </c>
      <c r="O516">
        <v>-9.7564929999999998E-3</v>
      </c>
      <c r="P516">
        <v>0.98460349999999996</v>
      </c>
      <c r="Q516">
        <v>0.17478150000000001</v>
      </c>
      <c r="R516">
        <v>-2.6876719999999999E-3</v>
      </c>
      <c r="S516">
        <v>3.163605</v>
      </c>
      <c r="T516">
        <v>-0.66727519999999996</v>
      </c>
      <c r="U516">
        <v>-0.63256840000000003</v>
      </c>
      <c r="V516">
        <v>-6.9120980000000002E-3</v>
      </c>
      <c r="W516">
        <v>0.17857039999999999</v>
      </c>
      <c r="X516">
        <v>0.98390290000000002</v>
      </c>
      <c r="Y516">
        <v>0.18283279999999999</v>
      </c>
      <c r="Z516">
        <v>-1.6875270000000001E-2</v>
      </c>
      <c r="AA516">
        <v>0.98299919999999996</v>
      </c>
      <c r="AB516">
        <v>35</v>
      </c>
      <c r="AC516">
        <v>0.599899999999991</v>
      </c>
      <c r="AD516">
        <v>-0.16449720000000001</v>
      </c>
      <c r="AE516">
        <v>-0.15320000000002601</v>
      </c>
      <c r="AF516">
        <v>0.13762526729136801</v>
      </c>
      <c r="AG516">
        <v>-0.16449720000000001</v>
      </c>
      <c r="AH516">
        <v>0.56171657993597301</v>
      </c>
      <c r="AI516">
        <v>105.87758422006</v>
      </c>
      <c r="AJ516">
        <v>76.233246555441696</v>
      </c>
      <c r="AK516">
        <v>0.60126995532774297</v>
      </c>
      <c r="AL516">
        <v>79.713499707675197</v>
      </c>
      <c r="AM516">
        <v>90.402506718896404</v>
      </c>
      <c r="AN516">
        <v>1.00000004074166</v>
      </c>
    </row>
    <row r="517" spans="1:40" x14ac:dyDescent="0.25">
      <c r="A517" t="str">
        <f>"20190312172102917"</f>
        <v>20190312172102917</v>
      </c>
      <c r="B517" t="str">
        <f>"1552382462911791"</f>
        <v>1552382462911791</v>
      </c>
      <c r="C517" t="s">
        <v>40</v>
      </c>
      <c r="D517">
        <v>3.2536040000000002</v>
      </c>
      <c r="E517">
        <v>0.57945639999999998</v>
      </c>
      <c r="F517" t="s">
        <v>41</v>
      </c>
      <c r="G517">
        <v>-396.72519999999997</v>
      </c>
      <c r="H517">
        <v>0.88238700000000003</v>
      </c>
      <c r="I517">
        <v>367.56740000000002</v>
      </c>
      <c r="J517">
        <v>-397.43979999999999</v>
      </c>
      <c r="K517">
        <v>1.075113</v>
      </c>
      <c r="L517">
        <v>367.74709999999999</v>
      </c>
      <c r="M517">
        <v>0.99994539999999998</v>
      </c>
      <c r="N517">
        <v>0</v>
      </c>
      <c r="O517">
        <v>-9.7566849999999993E-3</v>
      </c>
      <c r="P517">
        <v>0.98455429999999999</v>
      </c>
      <c r="Q517">
        <v>0.17506179999999999</v>
      </c>
      <c r="R517">
        <v>-2.4881719999999999E-3</v>
      </c>
      <c r="S517">
        <v>3.1635439999999999</v>
      </c>
      <c r="T517">
        <v>-0.66689279999999995</v>
      </c>
      <c r="U517">
        <v>-0.63204959999999999</v>
      </c>
      <c r="V517">
        <v>-7.1107679999999999E-3</v>
      </c>
      <c r="W517">
        <v>0.1787646</v>
      </c>
      <c r="X517">
        <v>0.98386620000000002</v>
      </c>
      <c r="Y517">
        <v>0.1826882</v>
      </c>
      <c r="Z517">
        <v>-1.6851399999999999E-2</v>
      </c>
      <c r="AA517">
        <v>0.98302650000000003</v>
      </c>
      <c r="AB517">
        <v>35</v>
      </c>
      <c r="AC517">
        <v>0.714600000000018</v>
      </c>
      <c r="AD517">
        <v>-0.19272599999999901</v>
      </c>
      <c r="AE517">
        <v>-0.179699999999968</v>
      </c>
      <c r="AF517">
        <v>0.161659984161305</v>
      </c>
      <c r="AG517">
        <v>-0.19272599999999901</v>
      </c>
      <c r="AH517">
        <v>0.67045305469917504</v>
      </c>
      <c r="AI517">
        <v>105.612898792571</v>
      </c>
      <c r="AJ517">
        <v>76.4435780911828</v>
      </c>
      <c r="AK517">
        <v>0.71608977098579496</v>
      </c>
      <c r="AL517">
        <v>79.702190712279204</v>
      </c>
      <c r="AM517">
        <v>90.414090759415103</v>
      </c>
      <c r="AN517">
        <v>1.0000000223685701</v>
      </c>
    </row>
    <row r="518" spans="1:40" x14ac:dyDescent="0.25">
      <c r="A518" t="str">
        <f>"20190312172102929"</f>
        <v>20190312172102929</v>
      </c>
      <c r="B518" t="str">
        <f>"1552382462921552"</f>
        <v>1552382462921552</v>
      </c>
      <c r="C518" t="s">
        <v>40</v>
      </c>
      <c r="D518">
        <v>3.301742</v>
      </c>
      <c r="E518">
        <v>0.57950239999999997</v>
      </c>
      <c r="F518" t="s">
        <v>41</v>
      </c>
      <c r="G518">
        <v>-396.70940000000002</v>
      </c>
      <c r="H518">
        <v>0.92146280000000003</v>
      </c>
      <c r="I518">
        <v>367.60090000000002</v>
      </c>
      <c r="J518">
        <v>-397.25549999999998</v>
      </c>
      <c r="K518">
        <v>1.07664</v>
      </c>
      <c r="L518">
        <v>367.74529999999999</v>
      </c>
      <c r="M518">
        <v>0.99994570000000005</v>
      </c>
      <c r="N518">
        <v>0</v>
      </c>
      <c r="O518">
        <v>-9.7564890000000001E-3</v>
      </c>
      <c r="P518">
        <v>0.98448840000000004</v>
      </c>
      <c r="Q518">
        <v>0.17543539999999999</v>
      </c>
      <c r="R518">
        <v>-2.264847E-3</v>
      </c>
      <c r="S518">
        <v>3.163818</v>
      </c>
      <c r="T518">
        <v>-0.66577229999999998</v>
      </c>
      <c r="U518">
        <v>-0.63165280000000001</v>
      </c>
      <c r="V518">
        <v>-7.3337139999999999E-3</v>
      </c>
      <c r="W518">
        <v>0.17903440000000001</v>
      </c>
      <c r="X518">
        <v>0.98381549999999995</v>
      </c>
      <c r="Y518">
        <v>0.1825686</v>
      </c>
      <c r="Z518">
        <v>-1.6810189999999999E-2</v>
      </c>
      <c r="AA518">
        <v>0.98304939999999996</v>
      </c>
      <c r="AB518">
        <v>35</v>
      </c>
      <c r="AC518">
        <v>0.54609999999996695</v>
      </c>
      <c r="AD518">
        <v>-0.15517719999999999</v>
      </c>
      <c r="AE518">
        <v>-0.144399999999961</v>
      </c>
      <c r="AF518">
        <v>0.129306605280291</v>
      </c>
      <c r="AG518">
        <v>-0.15517719999999999</v>
      </c>
      <c r="AH518">
        <v>0.50906491417504396</v>
      </c>
      <c r="AI518">
        <v>106.45955361686801</v>
      </c>
      <c r="AJ518">
        <v>75.747823315551997</v>
      </c>
      <c r="AK518">
        <v>0.54767439999784395</v>
      </c>
      <c r="AL518">
        <v>79.686478800895301</v>
      </c>
      <c r="AM518">
        <v>90.427095403187394</v>
      </c>
      <c r="AN518">
        <v>1.0000000188923199</v>
      </c>
    </row>
    <row r="519" spans="1:40" x14ac:dyDescent="0.25">
      <c r="A519" t="str">
        <f>"20190312172102941"</f>
        <v>20190312172102941</v>
      </c>
      <c r="B519" t="str">
        <f>"1552382462932288"</f>
        <v>1552382462932288</v>
      </c>
      <c r="C519" t="s">
        <v>40</v>
      </c>
      <c r="D519">
        <v>3.2891819999999998</v>
      </c>
      <c r="E519">
        <v>0.57953619999999995</v>
      </c>
      <c r="F519" t="s">
        <v>41</v>
      </c>
      <c r="G519">
        <v>-396.40030000000002</v>
      </c>
      <c r="H519">
        <v>0.89705170000000001</v>
      </c>
      <c r="I519">
        <v>367.57459999999998</v>
      </c>
      <c r="J519">
        <v>-397.0566</v>
      </c>
      <c r="K519">
        <v>1.078308</v>
      </c>
      <c r="L519">
        <v>367.74340000000001</v>
      </c>
      <c r="M519">
        <v>0.99994609999999995</v>
      </c>
      <c r="N519">
        <v>0</v>
      </c>
      <c r="O519">
        <v>-9.7566419999999994E-3</v>
      </c>
      <c r="P519">
        <v>0.9844425</v>
      </c>
      <c r="Q519">
        <v>0.17569399999999999</v>
      </c>
      <c r="R519">
        <v>-2.211041E-3</v>
      </c>
      <c r="S519">
        <v>3.1642459999999999</v>
      </c>
      <c r="T519">
        <v>-0.66461959999999998</v>
      </c>
      <c r="U519">
        <v>-0.63116459999999996</v>
      </c>
      <c r="V519">
        <v>-7.386994E-3</v>
      </c>
      <c r="W519">
        <v>0.1791808</v>
      </c>
      <c r="X519">
        <v>0.98378840000000001</v>
      </c>
      <c r="Y519">
        <v>0.18241360000000001</v>
      </c>
      <c r="Z519">
        <v>-1.6763770000000001E-2</v>
      </c>
      <c r="AA519">
        <v>0.98307900000000004</v>
      </c>
      <c r="AB519">
        <v>36</v>
      </c>
      <c r="AC519">
        <v>0.656299999999987</v>
      </c>
      <c r="AD519">
        <v>-0.18125630000000001</v>
      </c>
      <c r="AE519">
        <v>-0.16880000000003201</v>
      </c>
      <c r="AF519">
        <v>0.151546655478069</v>
      </c>
      <c r="AG519">
        <v>-0.18125630000000001</v>
      </c>
      <c r="AH519">
        <v>0.61398951472279695</v>
      </c>
      <c r="AI519">
        <v>105.992803587433</v>
      </c>
      <c r="AJ519">
        <v>76.135212211167996</v>
      </c>
      <c r="AK519">
        <v>0.65787792124817102</v>
      </c>
      <c r="AL519">
        <v>79.677952333750298</v>
      </c>
      <c r="AM519">
        <v>90.430210018202203</v>
      </c>
      <c r="AN519">
        <v>0.99999997137177699</v>
      </c>
    </row>
    <row r="520" spans="1:40" x14ac:dyDescent="0.25">
      <c r="A520" t="str">
        <f>"20190312172102951"</f>
        <v>20190312172102951</v>
      </c>
      <c r="B520" t="str">
        <f>"1552382462942048"</f>
        <v>1552382462942048</v>
      </c>
      <c r="C520" t="s">
        <v>40</v>
      </c>
      <c r="D520">
        <v>3.2730999999999999</v>
      </c>
      <c r="E520">
        <v>0.579557199999999</v>
      </c>
      <c r="F520" t="s">
        <v>41</v>
      </c>
      <c r="G520">
        <v>-396.08839999999998</v>
      </c>
      <c r="H520">
        <v>0.87523289999999998</v>
      </c>
      <c r="I520">
        <v>367.54969999999997</v>
      </c>
      <c r="J520">
        <v>-396.87419999999997</v>
      </c>
      <c r="K520">
        <v>1.0798810000000001</v>
      </c>
      <c r="L520">
        <v>367.74160000000001</v>
      </c>
      <c r="M520">
        <v>0.99994620000000001</v>
      </c>
      <c r="N520">
        <v>0</v>
      </c>
      <c r="O520">
        <v>-9.7564720000000004E-3</v>
      </c>
      <c r="P520">
        <v>0.98442810000000003</v>
      </c>
      <c r="Q520">
        <v>0.17577409999999999</v>
      </c>
      <c r="R520">
        <v>-2.2501650000000002E-3</v>
      </c>
      <c r="S520">
        <v>3.1644589999999999</v>
      </c>
      <c r="T520">
        <v>-0.66379719999999998</v>
      </c>
      <c r="U520">
        <v>-0.63131709999999996</v>
      </c>
      <c r="V520">
        <v>-7.3475179999999999E-3</v>
      </c>
      <c r="W520">
        <v>0.1792329</v>
      </c>
      <c r="X520">
        <v>0.98377930000000002</v>
      </c>
      <c r="Y520">
        <v>0.18245510000000001</v>
      </c>
      <c r="Z520">
        <v>-1.67465999999999E-2</v>
      </c>
      <c r="AA520">
        <v>0.98307160000000005</v>
      </c>
      <c r="AB520">
        <v>36</v>
      </c>
      <c r="AC520">
        <v>0.78579999999999395</v>
      </c>
      <c r="AD520">
        <v>-0.204648099999999</v>
      </c>
      <c r="AE520">
        <v>-0.19190000000003199</v>
      </c>
      <c r="AF520">
        <v>0.173141740697382</v>
      </c>
      <c r="AG520">
        <v>-0.204648099999999</v>
      </c>
      <c r="AH520">
        <v>0.74025283479872706</v>
      </c>
      <c r="AI520">
        <v>105.06640243208</v>
      </c>
      <c r="AJ520">
        <v>76.835439675576694</v>
      </c>
      <c r="AK520">
        <v>0.787294840979465</v>
      </c>
      <c r="AL520">
        <v>79.674919078750193</v>
      </c>
      <c r="AM520">
        <v>90.427915025219306</v>
      </c>
      <c r="AN520">
        <v>1.00000006478582</v>
      </c>
    </row>
    <row r="521" spans="1:40" x14ac:dyDescent="0.25">
      <c r="A521" t="str">
        <f>"20190312172102971"</f>
        <v>20190312172102971</v>
      </c>
      <c r="B521" t="str">
        <f>"1552382462961567"</f>
        <v>1552382462961567</v>
      </c>
      <c r="C521" t="s">
        <v>40</v>
      </c>
      <c r="D521">
        <v>3.2622339999999999</v>
      </c>
      <c r="E521">
        <v>0.5795939</v>
      </c>
      <c r="F521" t="s">
        <v>41</v>
      </c>
      <c r="G521">
        <v>-396.07420000000002</v>
      </c>
      <c r="H521">
        <v>0.91222970000000003</v>
      </c>
      <c r="I521">
        <v>367.58150000000001</v>
      </c>
      <c r="J521">
        <v>-396.57569999999998</v>
      </c>
      <c r="K521">
        <v>1.082462</v>
      </c>
      <c r="L521">
        <v>367.73869999999999</v>
      </c>
      <c r="M521">
        <v>0.99994609999999995</v>
      </c>
      <c r="N521">
        <v>0</v>
      </c>
      <c r="O521">
        <v>-9.7562169999999993E-3</v>
      </c>
      <c r="P521">
        <v>0.98437419999999998</v>
      </c>
      <c r="Q521">
        <v>0.17607909999999999</v>
      </c>
      <c r="R521">
        <v>-1.953013E-3</v>
      </c>
      <c r="S521">
        <v>3.1644589999999999</v>
      </c>
      <c r="T521">
        <v>-0.66331430000000002</v>
      </c>
      <c r="U521">
        <v>-0.63150019999999996</v>
      </c>
      <c r="V521">
        <v>-7.6444149999999999E-3</v>
      </c>
      <c r="W521">
        <v>0.17959449999999999</v>
      </c>
      <c r="X521">
        <v>0.983711</v>
      </c>
      <c r="Y521">
        <v>0.18251410000000001</v>
      </c>
      <c r="Z521">
        <v>-1.6740689999999999E-2</v>
      </c>
      <c r="AA521">
        <v>0.98306070000000001</v>
      </c>
      <c r="AB521">
        <v>36</v>
      </c>
      <c r="AC521">
        <v>0.50149999999996397</v>
      </c>
      <c r="AD521">
        <v>-0.1702323</v>
      </c>
      <c r="AE521">
        <v>-0.15719999999998799</v>
      </c>
      <c r="AF521">
        <v>0.13783841044683501</v>
      </c>
      <c r="AG521">
        <v>-0.1702323</v>
      </c>
      <c r="AH521">
        <v>0.455247472951258</v>
      </c>
      <c r="AI521">
        <v>109.691714009927</v>
      </c>
      <c r="AJ521">
        <v>73.154900926838806</v>
      </c>
      <c r="AK521">
        <v>0.50520166764006902</v>
      </c>
      <c r="AL521">
        <v>79.653858279295306</v>
      </c>
      <c r="AM521">
        <v>90.445236355095602</v>
      </c>
      <c r="AN521">
        <v>0.99999997651596995</v>
      </c>
    </row>
    <row r="522" spans="1:40" x14ac:dyDescent="0.25">
      <c r="A522" t="str">
        <f>"20190312172102985"</f>
        <v>20190312172102985</v>
      </c>
      <c r="B522" t="str">
        <f>"1552382462982063"</f>
        <v>1552382462982063</v>
      </c>
      <c r="C522" t="s">
        <v>40</v>
      </c>
      <c r="D522">
        <v>3.4760810000000002</v>
      </c>
      <c r="E522">
        <v>0.57959869999999902</v>
      </c>
      <c r="F522" t="s">
        <v>41</v>
      </c>
      <c r="G522">
        <v>-395.75400000000002</v>
      </c>
      <c r="H522">
        <v>0.91043149999999995</v>
      </c>
      <c r="I522">
        <v>367.57499999999999</v>
      </c>
      <c r="J522">
        <v>-396.35199999999998</v>
      </c>
      <c r="K522">
        <v>1.0843830000000001</v>
      </c>
      <c r="L522">
        <v>367.73649999999998</v>
      </c>
      <c r="M522">
        <v>0.99994559999999999</v>
      </c>
      <c r="N522">
        <v>0</v>
      </c>
      <c r="O522">
        <v>-9.7559810000000004E-3</v>
      </c>
      <c r="P522">
        <v>0.98439929999999998</v>
      </c>
      <c r="Q522">
        <v>0.17594009999999999</v>
      </c>
      <c r="R522">
        <v>-1.8529900000000001E-3</v>
      </c>
      <c r="S522">
        <v>3.1648860000000001</v>
      </c>
      <c r="T522">
        <v>-0.66258109999999903</v>
      </c>
      <c r="U522">
        <v>-0.63055419999999995</v>
      </c>
      <c r="V522">
        <v>-7.7443390000000003E-3</v>
      </c>
      <c r="W522">
        <v>0.1795861</v>
      </c>
      <c r="X522">
        <v>0.98371180000000003</v>
      </c>
      <c r="Y522">
        <v>0.18222089999999999</v>
      </c>
      <c r="Z522">
        <v>-1.6690839999999998E-2</v>
      </c>
      <c r="AA522">
        <v>0.98311599999999999</v>
      </c>
      <c r="AB522">
        <v>36</v>
      </c>
      <c r="AC522">
        <v>0.59799999999995601</v>
      </c>
      <c r="AD522">
        <v>-0.17395150000000001</v>
      </c>
      <c r="AE522">
        <v>-0.16149999999998901</v>
      </c>
      <c r="AF522">
        <v>0.144279689620531</v>
      </c>
      <c r="AG522">
        <v>-0.17395150000000001</v>
      </c>
      <c r="AH522">
        <v>0.55572065512643198</v>
      </c>
      <c r="AI522">
        <v>106.855498933425</v>
      </c>
      <c r="AJ522">
        <v>75.445842059520899</v>
      </c>
      <c r="AK522">
        <v>0.59991766078637698</v>
      </c>
      <c r="AL522">
        <v>79.654348012504897</v>
      </c>
      <c r="AM522">
        <v>90.451055658110306</v>
      </c>
      <c r="AN522">
        <v>1.0000000237794899</v>
      </c>
    </row>
    <row r="523" spans="1:40" x14ac:dyDescent="0.25">
      <c r="A523" t="str">
        <f>"20190312172103005"</f>
        <v>20190312172103005</v>
      </c>
      <c r="B523" t="str">
        <f>"1552382463001583"</f>
        <v>1552382463001583</v>
      </c>
      <c r="C523" t="s">
        <v>40</v>
      </c>
      <c r="D523">
        <v>3.2694109999999998</v>
      </c>
      <c r="E523">
        <v>0.5795863</v>
      </c>
      <c r="F523" t="s">
        <v>41</v>
      </c>
      <c r="G523">
        <v>-395.4391</v>
      </c>
      <c r="H523">
        <v>0.89321119999999898</v>
      </c>
      <c r="I523">
        <v>367.55450000000002</v>
      </c>
      <c r="J523">
        <v>-396.03300000000002</v>
      </c>
      <c r="K523">
        <v>1.0870439999999999</v>
      </c>
      <c r="L523">
        <v>367.73340000000002</v>
      </c>
      <c r="M523">
        <v>0.99994450000000001</v>
      </c>
      <c r="N523">
        <v>0</v>
      </c>
      <c r="O523">
        <v>-9.7553740000000007E-3</v>
      </c>
      <c r="P523">
        <v>0.9844463</v>
      </c>
      <c r="Q523">
        <v>0.175679</v>
      </c>
      <c r="R523">
        <v>-1.6284450000000001E-3</v>
      </c>
      <c r="S523">
        <v>3.1647949999999998</v>
      </c>
      <c r="T523">
        <v>-0.66285059999999996</v>
      </c>
      <c r="U523">
        <v>-0.62988279999999996</v>
      </c>
      <c r="V523">
        <v>-7.9684999999999999E-3</v>
      </c>
      <c r="W523">
        <v>0.17962359999999999</v>
      </c>
      <c r="X523">
        <v>0.98370310000000005</v>
      </c>
      <c r="Y523">
        <v>0.1820271</v>
      </c>
      <c r="Z523">
        <v>-1.6678510000000001E-2</v>
      </c>
      <c r="AA523">
        <v>0.98315200000000003</v>
      </c>
      <c r="AB523">
        <v>36</v>
      </c>
      <c r="AC523">
        <v>0.59390000000001897</v>
      </c>
      <c r="AD523">
        <v>-0.1938328</v>
      </c>
      <c r="AE523">
        <v>-0.17889999999999801</v>
      </c>
      <c r="AF523">
        <v>0.15769734492495799</v>
      </c>
      <c r="AG523">
        <v>-0.1938328</v>
      </c>
      <c r="AH523">
        <v>0.54262537575806302</v>
      </c>
      <c r="AI523">
        <v>108.93303629393699</v>
      </c>
      <c r="AJ523">
        <v>73.7951218098205</v>
      </c>
      <c r="AK523">
        <v>0.59739593685327397</v>
      </c>
      <c r="AL523">
        <v>79.652163256370201</v>
      </c>
      <c r="AM523">
        <v>90.464115070064807</v>
      </c>
      <c r="AN523">
        <v>0.99999996180940898</v>
      </c>
    </row>
    <row r="524" spans="1:40" x14ac:dyDescent="0.25">
      <c r="A524" t="str">
        <f>"20190312172103017"</f>
        <v>20190312172103017</v>
      </c>
      <c r="B524" t="str">
        <f>"1552382463012321"</f>
        <v>1552382463012321</v>
      </c>
      <c r="C524" t="s">
        <v>40</v>
      </c>
      <c r="D524">
        <v>3.3029470000000001</v>
      </c>
      <c r="E524">
        <v>0.57958359999999998</v>
      </c>
      <c r="F524" t="s">
        <v>41</v>
      </c>
      <c r="G524">
        <v>-395.11649999999997</v>
      </c>
      <c r="H524">
        <v>0.89502909999999902</v>
      </c>
      <c r="I524">
        <v>367.55119999999999</v>
      </c>
      <c r="J524">
        <v>-395.83280000000002</v>
      </c>
      <c r="K524">
        <v>1.088651</v>
      </c>
      <c r="L524">
        <v>367.73149999999998</v>
      </c>
      <c r="M524">
        <v>0.99994360000000004</v>
      </c>
      <c r="N524">
        <v>0</v>
      </c>
      <c r="O524">
        <v>-9.7551389999999995E-3</v>
      </c>
      <c r="P524">
        <v>0.98448460000000004</v>
      </c>
      <c r="Q524">
        <v>0.17546510000000001</v>
      </c>
      <c r="R524">
        <v>-1.5785319999999999E-3</v>
      </c>
      <c r="S524">
        <v>3.1647340000000002</v>
      </c>
      <c r="T524">
        <v>-0.66312099999999996</v>
      </c>
      <c r="U524">
        <v>-0.62893679999999996</v>
      </c>
      <c r="V524">
        <v>-8.0186649999999995E-3</v>
      </c>
      <c r="W524">
        <v>0.17963950000000001</v>
      </c>
      <c r="X524">
        <v>0.98369980000000001</v>
      </c>
      <c r="Y524">
        <v>0.18175069999999999</v>
      </c>
      <c r="Z524">
        <v>-1.6657620000000001E-2</v>
      </c>
      <c r="AA524">
        <v>0.98320350000000001</v>
      </c>
      <c r="AB524">
        <v>36</v>
      </c>
      <c r="AC524">
        <v>0.71630000000004601</v>
      </c>
      <c r="AD524">
        <v>-0.19362190000000001</v>
      </c>
      <c r="AE524">
        <v>-0.180299999999988</v>
      </c>
      <c r="AF524">
        <v>0.16216115717992699</v>
      </c>
      <c r="AG524">
        <v>-0.19362190000000001</v>
      </c>
      <c r="AH524">
        <v>0.67185925098458898</v>
      </c>
      <c r="AI524">
        <v>105.649882546401</v>
      </c>
      <c r="AJ524">
        <v>76.430513730655605</v>
      </c>
      <c r="AK524">
        <v>0.71776077782999304</v>
      </c>
      <c r="AL524">
        <v>79.651237304313796</v>
      </c>
      <c r="AM524">
        <v>90.467038303870893</v>
      </c>
      <c r="AN524">
        <v>0.99999997273433505</v>
      </c>
    </row>
    <row r="525" spans="1:40" x14ac:dyDescent="0.25">
      <c r="A525" t="str">
        <f>"20190312172103037"</f>
        <v>20190312172103037</v>
      </c>
      <c r="B525" t="str">
        <f>"1552382463031840"</f>
        <v>1552382463031840</v>
      </c>
      <c r="C525" t="s">
        <v>40</v>
      </c>
      <c r="D525">
        <v>3.298028</v>
      </c>
      <c r="E525">
        <v>0.57965149999999999</v>
      </c>
      <c r="F525" t="s">
        <v>41</v>
      </c>
      <c r="G525">
        <v>-395.10039999999998</v>
      </c>
      <c r="H525">
        <v>0.93493559999999998</v>
      </c>
      <c r="I525">
        <v>367.58580000000001</v>
      </c>
      <c r="J525">
        <v>-395.5129</v>
      </c>
      <c r="K525">
        <v>1.091073</v>
      </c>
      <c r="L525">
        <v>367.72840000000002</v>
      </c>
      <c r="M525">
        <v>0.99994159999999999</v>
      </c>
      <c r="N525">
        <v>0</v>
      </c>
      <c r="O525">
        <v>-9.7545119999999999E-3</v>
      </c>
      <c r="P525">
        <v>0.98451409999999995</v>
      </c>
      <c r="Q525">
        <v>0.1753015</v>
      </c>
      <c r="R525">
        <v>-1.166069E-3</v>
      </c>
      <c r="S525">
        <v>3.1646730000000001</v>
      </c>
      <c r="T525">
        <v>-0.66426049999999903</v>
      </c>
      <c r="U525">
        <v>-0.62884519999999899</v>
      </c>
      <c r="V525">
        <v>-8.43059E-3</v>
      </c>
      <c r="W525">
        <v>0.1798844</v>
      </c>
      <c r="X525">
        <v>0.98365159999999996</v>
      </c>
      <c r="Y525">
        <v>0.18171590000000001</v>
      </c>
      <c r="Z525">
        <v>-1.6682559999999999E-2</v>
      </c>
      <c r="AA525">
        <v>0.98320960000000002</v>
      </c>
      <c r="AB525">
        <v>36</v>
      </c>
      <c r="AC525">
        <v>0.41250000000002202</v>
      </c>
      <c r="AD525">
        <v>-0.15613739999999901</v>
      </c>
      <c r="AE525">
        <v>-0.14260000000001499</v>
      </c>
      <c r="AF525">
        <v>0.122847509348135</v>
      </c>
      <c r="AG525">
        <v>-0.15613739999999901</v>
      </c>
      <c r="AH525">
        <v>0.36691401898607201</v>
      </c>
      <c r="AI525">
        <v>111.975323496892</v>
      </c>
      <c r="AJ525">
        <v>71.488794690902097</v>
      </c>
      <c r="AK525">
        <v>0.41724848179509499</v>
      </c>
      <c r="AL525">
        <v>79.636973191236905</v>
      </c>
      <c r="AM525">
        <v>90.491053335178805</v>
      </c>
      <c r="AN525">
        <v>0.99999997119683304</v>
      </c>
    </row>
    <row r="526" spans="1:40" x14ac:dyDescent="0.25">
      <c r="A526" t="str">
        <f>"20190312172103048"</f>
        <v>20190312172103048</v>
      </c>
      <c r="B526" t="str">
        <f>"1552382463041599"</f>
        <v>1552382463041599</v>
      </c>
      <c r="C526" t="s">
        <v>40</v>
      </c>
      <c r="D526">
        <v>3.3049940000000002</v>
      </c>
      <c r="E526">
        <v>0.57969269999999995</v>
      </c>
      <c r="F526" t="s">
        <v>41</v>
      </c>
      <c r="G526">
        <v>-394.7774</v>
      </c>
      <c r="H526">
        <v>0.93655670000000002</v>
      </c>
      <c r="I526">
        <v>367.58199999999999</v>
      </c>
      <c r="J526">
        <v>-395.32729999999998</v>
      </c>
      <c r="K526">
        <v>1.092384</v>
      </c>
      <c r="L526">
        <v>367.72660000000002</v>
      </c>
      <c r="M526">
        <v>0.99994050000000001</v>
      </c>
      <c r="N526">
        <v>0</v>
      </c>
      <c r="O526">
        <v>-9.7542830000000007E-3</v>
      </c>
      <c r="P526">
        <v>0.98451509999999998</v>
      </c>
      <c r="Q526">
        <v>0.17529749999999999</v>
      </c>
      <c r="R526">
        <v>-1.1087569999999999E-3</v>
      </c>
      <c r="S526">
        <v>3.164825</v>
      </c>
      <c r="T526">
        <v>-0.66508730000000005</v>
      </c>
      <c r="U526">
        <v>-0.62777709999999998</v>
      </c>
      <c r="V526">
        <v>-8.4878950000000005E-3</v>
      </c>
      <c r="W526">
        <v>0.18013019999999999</v>
      </c>
      <c r="X526">
        <v>0.98360619999999999</v>
      </c>
      <c r="Y526">
        <v>0.18138589999999999</v>
      </c>
      <c r="Z526">
        <v>-1.666871E-2</v>
      </c>
      <c r="AA526">
        <v>0.98327070000000005</v>
      </c>
      <c r="AB526">
        <v>36</v>
      </c>
      <c r="AC526">
        <v>0.54989999999997896</v>
      </c>
      <c r="AD526">
        <v>-0.1558273</v>
      </c>
      <c r="AE526">
        <v>-0.14460000000002499</v>
      </c>
      <c r="AF526">
        <v>0.12950257945855601</v>
      </c>
      <c r="AG526">
        <v>-0.1558273</v>
      </c>
      <c r="AH526">
        <v>0.51277141666552495</v>
      </c>
      <c r="AI526">
        <v>106.41713157703199</v>
      </c>
      <c r="AJ526">
        <v>75.826102690611904</v>
      </c>
      <c r="AK526">
        <v>0.55135069716186902</v>
      </c>
      <c r="AL526">
        <v>79.622656795452002</v>
      </c>
      <c r="AM526">
        <v>90.494413810685302</v>
      </c>
      <c r="AN526">
        <v>1.000000044996</v>
      </c>
    </row>
    <row r="527" spans="1:40" x14ac:dyDescent="0.25">
      <c r="A527" t="str">
        <f>"20190312172103059"</f>
        <v>20190312172103059</v>
      </c>
      <c r="B527" t="str">
        <f>"1552382463052335"</f>
        <v>1552382463052335</v>
      </c>
      <c r="C527" t="s">
        <v>40</v>
      </c>
      <c r="D527">
        <v>3.3083670000000001</v>
      </c>
      <c r="E527">
        <v>0.57973430000000004</v>
      </c>
      <c r="F527" t="s">
        <v>41</v>
      </c>
      <c r="G527">
        <v>-394.46519999999998</v>
      </c>
      <c r="H527">
        <v>0.91115930000000001</v>
      </c>
      <c r="I527">
        <v>367.5557</v>
      </c>
      <c r="J527">
        <v>-395.14179999999999</v>
      </c>
      <c r="K527">
        <v>1.093664</v>
      </c>
      <c r="L527">
        <v>367.72480000000002</v>
      </c>
      <c r="M527">
        <v>0.99993900000000002</v>
      </c>
      <c r="N527">
        <v>0</v>
      </c>
      <c r="O527">
        <v>-9.7539749999999998E-3</v>
      </c>
      <c r="P527">
        <v>0.9845933</v>
      </c>
      <c r="Q527">
        <v>0.17485729999999999</v>
      </c>
      <c r="R527">
        <v>-9.0618800000000005E-4</v>
      </c>
      <c r="S527">
        <v>3.1649479999999999</v>
      </c>
      <c r="T527">
        <v>-0.66529240000000001</v>
      </c>
      <c r="U527">
        <v>-0.62768550000000001</v>
      </c>
      <c r="V527">
        <v>-8.6908119999999991E-3</v>
      </c>
      <c r="W527">
        <v>0.17994350000000001</v>
      </c>
      <c r="X527">
        <v>0.98363849999999997</v>
      </c>
      <c r="Y527">
        <v>0.18135029999999999</v>
      </c>
      <c r="Z527">
        <v>-1.666956E-2</v>
      </c>
      <c r="AA527">
        <v>0.98327730000000002</v>
      </c>
      <c r="AB527">
        <v>36</v>
      </c>
      <c r="AC527">
        <v>0.67660000000000697</v>
      </c>
      <c r="AD527">
        <v>-0.18250469999999899</v>
      </c>
      <c r="AE527">
        <v>-0.16910000000001399</v>
      </c>
      <c r="AF527">
        <v>0.152077877736119</v>
      </c>
      <c r="AG527">
        <v>-0.18250469999999899</v>
      </c>
      <c r="AH527">
        <v>0.63474896883716203</v>
      </c>
      <c r="AI527">
        <v>105.621498109927</v>
      </c>
      <c r="AJ527">
        <v>76.526619600374701</v>
      </c>
      <c r="AK527">
        <v>0.677747666804285</v>
      </c>
      <c r="AL527">
        <v>79.6335305758533</v>
      </c>
      <c r="AM527">
        <v>90.506216350357604</v>
      </c>
      <c r="AN527">
        <v>0.999999946043858</v>
      </c>
    </row>
    <row r="528" spans="1:40" x14ac:dyDescent="0.25">
      <c r="A528" t="str">
        <f>"20190312172103070"</f>
        <v>20190312172103070</v>
      </c>
      <c r="B528" t="str">
        <f>"1552382463062096"</f>
        <v>1552382463062096</v>
      </c>
      <c r="C528" t="s">
        <v>40</v>
      </c>
      <c r="D528">
        <v>3.2546719999999998</v>
      </c>
      <c r="E528">
        <v>0.57975659999999996</v>
      </c>
      <c r="F528" t="s">
        <v>41</v>
      </c>
      <c r="G528">
        <v>-394.44979999999998</v>
      </c>
      <c r="H528">
        <v>0.94783280000000003</v>
      </c>
      <c r="I528">
        <v>367.58769999999998</v>
      </c>
      <c r="J528">
        <v>-394.96620000000001</v>
      </c>
      <c r="K528">
        <v>1.094767</v>
      </c>
      <c r="L528">
        <v>367.72309999999999</v>
      </c>
      <c r="M528">
        <v>0.99993790000000005</v>
      </c>
      <c r="N528">
        <v>0</v>
      </c>
      <c r="O528">
        <v>-9.7536649999999999E-3</v>
      </c>
      <c r="P528">
        <v>0.98459839999999998</v>
      </c>
      <c r="Q528">
        <v>0.1748315</v>
      </c>
      <c r="R528">
        <v>-5.8207199999999999E-4</v>
      </c>
      <c r="S528">
        <v>3.164825</v>
      </c>
      <c r="T528">
        <v>-0.66687390000000002</v>
      </c>
      <c r="U528">
        <v>-0.62731930000000002</v>
      </c>
      <c r="V528">
        <v>-9.015024E-3</v>
      </c>
      <c r="W528">
        <v>0.18015829999999999</v>
      </c>
      <c r="X528">
        <v>0.98359629999999998</v>
      </c>
      <c r="Y528">
        <v>0.18123349999999999</v>
      </c>
      <c r="Z528">
        <v>-1.6697159999999999E-2</v>
      </c>
      <c r="AA528">
        <v>0.98329840000000002</v>
      </c>
      <c r="AB528">
        <v>36</v>
      </c>
      <c r="AC528">
        <v>0.51640000000003194</v>
      </c>
      <c r="AD528">
        <v>-0.14693419999999899</v>
      </c>
      <c r="AE528">
        <v>-0.13540000000000399</v>
      </c>
      <c r="AF528">
        <v>0.12117720197759101</v>
      </c>
      <c r="AG528">
        <v>-0.14693419999999899</v>
      </c>
      <c r="AH528">
        <v>0.48124084275331402</v>
      </c>
      <c r="AI528">
        <v>106.49304669321</v>
      </c>
      <c r="AJ528">
        <v>75.866647086438405</v>
      </c>
      <c r="AK528">
        <v>0.51755803746312201</v>
      </c>
      <c r="AL528">
        <v>79.621019351228895</v>
      </c>
      <c r="AM528">
        <v>90.525122313706305</v>
      </c>
      <c r="AN528">
        <v>0.99999998254514999</v>
      </c>
    </row>
    <row r="529" spans="1:40" x14ac:dyDescent="0.25">
      <c r="A529" t="str">
        <f>"20190312172103082"</f>
        <v>20190312172103082</v>
      </c>
      <c r="B529" t="str">
        <f>"1552382463071855"</f>
        <v>1552382463071855</v>
      </c>
      <c r="C529" t="s">
        <v>40</v>
      </c>
      <c r="D529">
        <v>3.260818</v>
      </c>
      <c r="E529">
        <v>0.5797812</v>
      </c>
      <c r="F529" t="s">
        <v>41</v>
      </c>
      <c r="G529">
        <v>-394.1386</v>
      </c>
      <c r="H529">
        <v>0.92034899999999997</v>
      </c>
      <c r="I529">
        <v>367.5591</v>
      </c>
      <c r="J529">
        <v>-394.77480000000003</v>
      </c>
      <c r="K529">
        <v>1.095942</v>
      </c>
      <c r="L529">
        <v>367.72120000000001</v>
      </c>
      <c r="M529">
        <v>0.9999363</v>
      </c>
      <c r="N529">
        <v>0</v>
      </c>
      <c r="O529">
        <v>-9.7534419999999993E-3</v>
      </c>
      <c r="P529">
        <v>0.98461779999999999</v>
      </c>
      <c r="Q529">
        <v>0.17472219999999999</v>
      </c>
      <c r="R529" s="1">
        <v>-4.202686E-5</v>
      </c>
      <c r="S529">
        <v>3.1650390000000002</v>
      </c>
      <c r="T529">
        <v>-0.66717269999999995</v>
      </c>
      <c r="U529">
        <v>-0.62591549999999996</v>
      </c>
      <c r="V529">
        <v>-9.555058E-3</v>
      </c>
      <c r="W529">
        <v>0.18030889999999999</v>
      </c>
      <c r="X529">
        <v>0.98356359999999998</v>
      </c>
      <c r="Y529">
        <v>0.1808072</v>
      </c>
      <c r="Z529">
        <v>-1.6660109999999999E-2</v>
      </c>
      <c r="AA529">
        <v>0.98337750000000002</v>
      </c>
      <c r="AB529">
        <v>36</v>
      </c>
      <c r="AC529">
        <v>0.63620000000002996</v>
      </c>
      <c r="AD529">
        <v>-0.175593</v>
      </c>
      <c r="AE529">
        <v>-0.16210000000000899</v>
      </c>
      <c r="AF529">
        <v>0.145480318687121</v>
      </c>
      <c r="AG529">
        <v>-0.175593</v>
      </c>
      <c r="AH529">
        <v>0.59517573400547197</v>
      </c>
      <c r="AI529">
        <v>105.991766037402</v>
      </c>
      <c r="AJ529">
        <v>76.264375105590403</v>
      </c>
      <c r="AK529">
        <v>0.63736298851067497</v>
      </c>
      <c r="AL529">
        <v>79.612246889050894</v>
      </c>
      <c r="AM529">
        <v>90.556595704504602</v>
      </c>
      <c r="AN529">
        <v>0.99999997689877596</v>
      </c>
    </row>
    <row r="530" spans="1:40" x14ac:dyDescent="0.25">
      <c r="A530" t="str">
        <f>"20190312172103093"</f>
        <v>20190312172103093</v>
      </c>
      <c r="B530" t="str">
        <f>"1552382463081616"</f>
        <v>1552382463081616</v>
      </c>
      <c r="C530" t="s">
        <v>40</v>
      </c>
      <c r="D530">
        <v>3.353545</v>
      </c>
      <c r="E530">
        <v>0.5797812</v>
      </c>
      <c r="F530" t="s">
        <v>41</v>
      </c>
      <c r="G530">
        <v>-393.82479999999998</v>
      </c>
      <c r="H530">
        <v>0.89546289999999995</v>
      </c>
      <c r="I530">
        <v>367.53379999999999</v>
      </c>
      <c r="J530">
        <v>-394.59519999999998</v>
      </c>
      <c r="K530">
        <v>1.0969580000000001</v>
      </c>
      <c r="L530">
        <v>367.71940000000001</v>
      </c>
      <c r="M530">
        <v>0.99993500000000002</v>
      </c>
      <c r="N530">
        <v>0</v>
      </c>
      <c r="O530">
        <v>-9.7534270000000003E-3</v>
      </c>
      <c r="P530">
        <v>0.98463800000000001</v>
      </c>
      <c r="Q530">
        <v>0.17460809999999999</v>
      </c>
      <c r="R530">
        <v>6.442396E-4</v>
      </c>
      <c r="S530">
        <v>3.165375</v>
      </c>
      <c r="T530">
        <v>-0.6680005</v>
      </c>
      <c r="U530">
        <v>-0.62365719999999902</v>
      </c>
      <c r="V530">
        <v>-1.0241429999999999E-2</v>
      </c>
      <c r="W530">
        <v>0.1804336</v>
      </c>
      <c r="X530">
        <v>0.98353389999999996</v>
      </c>
      <c r="Y530">
        <v>0.1801179</v>
      </c>
      <c r="Z530">
        <v>-1.660847E-2</v>
      </c>
      <c r="AA530">
        <v>0.98350479999999996</v>
      </c>
      <c r="AB530">
        <v>36</v>
      </c>
      <c r="AC530">
        <v>0.77039999999999498</v>
      </c>
      <c r="AD530">
        <v>-0.20149510000000001</v>
      </c>
      <c r="AE530">
        <v>-0.185600000000022</v>
      </c>
      <c r="AF530">
        <v>0.16726281132041601</v>
      </c>
      <c r="AG530">
        <v>-0.20149510000000001</v>
      </c>
      <c r="AH530">
        <v>0.72528137013633198</v>
      </c>
      <c r="AI530">
        <v>105.147531602491</v>
      </c>
      <c r="AJ530">
        <v>77.0136198317213</v>
      </c>
      <c r="AK530">
        <v>0.77110971284354501</v>
      </c>
      <c r="AL530">
        <v>79.604983752621294</v>
      </c>
      <c r="AM530">
        <v>90.596593069465001</v>
      </c>
      <c r="AN530">
        <v>1.0000000516733001</v>
      </c>
    </row>
    <row r="531" spans="1:40" x14ac:dyDescent="0.25">
      <c r="A531" t="str">
        <f>"20190312172103105"</f>
        <v>20190312172103105</v>
      </c>
      <c r="B531" t="str">
        <f>"1552382463102111"</f>
        <v>1552382463102111</v>
      </c>
      <c r="C531" t="s">
        <v>40</v>
      </c>
      <c r="D531">
        <v>3.3128449999999998</v>
      </c>
      <c r="E531">
        <v>0.5796135</v>
      </c>
      <c r="F531" t="s">
        <v>41</v>
      </c>
      <c r="G531">
        <v>-393.81079999999997</v>
      </c>
      <c r="H531">
        <v>0.93128429999999995</v>
      </c>
      <c r="I531">
        <v>367.56549999999999</v>
      </c>
      <c r="J531">
        <v>-394.4212</v>
      </c>
      <c r="K531">
        <v>1.0978969999999999</v>
      </c>
      <c r="L531">
        <v>367.71769999999998</v>
      </c>
      <c r="M531">
        <v>0.99993370000000004</v>
      </c>
      <c r="N531">
        <v>0</v>
      </c>
      <c r="O531">
        <v>-9.7532820000000003E-3</v>
      </c>
      <c r="P531">
        <v>0.98470480000000005</v>
      </c>
      <c r="Q531">
        <v>0.17422770000000001</v>
      </c>
      <c r="R531">
        <v>1.3464099999999999E-3</v>
      </c>
      <c r="S531">
        <v>3.1657709999999999</v>
      </c>
      <c r="T531">
        <v>-0.66858600000000001</v>
      </c>
      <c r="U531">
        <v>-0.62078859999999902</v>
      </c>
      <c r="V531">
        <v>-1.0944290000000001E-2</v>
      </c>
      <c r="W531">
        <v>0.18027979999999999</v>
      </c>
      <c r="X531">
        <v>0.9835545</v>
      </c>
      <c r="Y531">
        <v>0.17924880000000001</v>
      </c>
      <c r="Z531">
        <v>-1.65322E-2</v>
      </c>
      <c r="AA531">
        <v>0.98366489999999995</v>
      </c>
      <c r="AB531">
        <v>36</v>
      </c>
      <c r="AC531">
        <v>0.61040000000002603</v>
      </c>
      <c r="AD531">
        <v>-0.166612699999999</v>
      </c>
      <c r="AE531">
        <v>-0.15219999999999301</v>
      </c>
      <c r="AF531">
        <v>0.13665377119195099</v>
      </c>
      <c r="AG531">
        <v>-0.166612699999999</v>
      </c>
      <c r="AH531">
        <v>0.57175044484711901</v>
      </c>
      <c r="AI531">
        <v>105.82406103803</v>
      </c>
      <c r="AJ531">
        <v>76.557940974063499</v>
      </c>
      <c r="AK531">
        <v>0.61100950578951796</v>
      </c>
      <c r="AL531">
        <v>79.613942417528307</v>
      </c>
      <c r="AM531">
        <v>90.637520085068502</v>
      </c>
      <c r="AN531">
        <v>1.0000000191209399</v>
      </c>
    </row>
    <row r="532" spans="1:40" x14ac:dyDescent="0.25">
      <c r="A532" t="str">
        <f>"20190312172103115"</f>
        <v>20190312172103115</v>
      </c>
      <c r="B532" t="str">
        <f>"1552382463111872"</f>
        <v>1552382463111872</v>
      </c>
      <c r="C532" t="s">
        <v>40</v>
      </c>
      <c r="D532">
        <v>3.2942369999999999</v>
      </c>
      <c r="E532">
        <v>0.5339931</v>
      </c>
      <c r="F532" t="s">
        <v>41</v>
      </c>
      <c r="G532">
        <v>-393.4984</v>
      </c>
      <c r="H532">
        <v>0.90260609999999997</v>
      </c>
      <c r="I532">
        <v>367.53750000000002</v>
      </c>
      <c r="J532">
        <v>-394.238</v>
      </c>
      <c r="K532">
        <v>1.0988199999999999</v>
      </c>
      <c r="L532">
        <v>367.71589999999998</v>
      </c>
      <c r="M532">
        <v>0.99993220000000005</v>
      </c>
      <c r="N532">
        <v>0</v>
      </c>
      <c r="O532">
        <v>-9.7532999999999995E-3</v>
      </c>
      <c r="P532">
        <v>0.98475020000000002</v>
      </c>
      <c r="Q532">
        <v>0.17396159999999999</v>
      </c>
      <c r="R532">
        <v>2.1283539999999998E-3</v>
      </c>
      <c r="S532">
        <v>3.1660159999999999</v>
      </c>
      <c r="T532">
        <v>-0.67012640000000001</v>
      </c>
      <c r="U532">
        <v>-0.61691280000000004</v>
      </c>
      <c r="V532">
        <v>-1.172664E-2</v>
      </c>
      <c r="W532">
        <v>0.18024560000000001</v>
      </c>
      <c r="X532">
        <v>0.98355170000000003</v>
      </c>
      <c r="Y532">
        <v>0.178082399999999</v>
      </c>
      <c r="Z532">
        <v>-1.6449129999999999E-2</v>
      </c>
      <c r="AA532">
        <v>0.98387809999999998</v>
      </c>
      <c r="AB532">
        <v>36</v>
      </c>
      <c r="AC532">
        <v>0.73960000000005199</v>
      </c>
      <c r="AD532">
        <v>-0.1962139</v>
      </c>
      <c r="AE532">
        <v>-0.17839999999995301</v>
      </c>
      <c r="AF532">
        <v>0.160502371828219</v>
      </c>
      <c r="AG532">
        <v>-0.1962139</v>
      </c>
      <c r="AH532">
        <v>0.69507358173999501</v>
      </c>
      <c r="AI532">
        <v>105.379147010249</v>
      </c>
      <c r="AJ532">
        <v>76.997496385859804</v>
      </c>
      <c r="AK532">
        <v>0.739856871258596</v>
      </c>
      <c r="AL532">
        <v>79.615934035950104</v>
      </c>
      <c r="AM532">
        <v>90.683090828783705</v>
      </c>
      <c r="AN532">
        <v>0.99999996848896899</v>
      </c>
    </row>
    <row r="533" spans="1:40" x14ac:dyDescent="0.25">
      <c r="A533" t="str">
        <f>"20190312172103126"</f>
        <v>20190312172103126</v>
      </c>
      <c r="B533" t="str">
        <f>"1552382463121632"</f>
        <v>1552382463121632</v>
      </c>
      <c r="C533" t="s">
        <v>40</v>
      </c>
      <c r="D533">
        <v>3.5057710000000002</v>
      </c>
      <c r="E533">
        <v>0.52604619999999902</v>
      </c>
      <c r="F533" t="s">
        <v>41</v>
      </c>
      <c r="G533">
        <v>-393.4556</v>
      </c>
      <c r="H533">
        <v>0.99907230000000002</v>
      </c>
      <c r="I533">
        <v>367.65190000000001</v>
      </c>
      <c r="J533">
        <v>-394.06970000000001</v>
      </c>
      <c r="K533">
        <v>1.0996159999999999</v>
      </c>
      <c r="L533">
        <v>367.71429999999998</v>
      </c>
      <c r="M533">
        <v>0.99993089999999996</v>
      </c>
      <c r="N533">
        <v>0</v>
      </c>
      <c r="O533">
        <v>-9.7531379999999997E-3</v>
      </c>
      <c r="P533">
        <v>0.98478370000000004</v>
      </c>
      <c r="Q533">
        <v>0.17376610000000001</v>
      </c>
      <c r="R533">
        <v>2.5738039999999998E-3</v>
      </c>
      <c r="S533">
        <v>3.1172789999999999</v>
      </c>
      <c r="T533">
        <v>-0.39763150000000003</v>
      </c>
      <c r="U533">
        <v>-0.25353999999999999</v>
      </c>
      <c r="V533">
        <v>-1.217216E-2</v>
      </c>
      <c r="W533">
        <v>0.180255</v>
      </c>
      <c r="X533">
        <v>0.98354459999999999</v>
      </c>
      <c r="Y533">
        <v>7.0849280000000001E-2</v>
      </c>
      <c r="Z533">
        <v>-3.2561719999999999E-3</v>
      </c>
      <c r="AA533">
        <v>0.99748170000000003</v>
      </c>
      <c r="AB533">
        <v>36</v>
      </c>
      <c r="AC533">
        <v>0.61410000000000697</v>
      </c>
      <c r="AD533">
        <v>-0.100543699999999</v>
      </c>
      <c r="AE533">
        <v>-6.2399999999968203E-2</v>
      </c>
      <c r="AF533">
        <v>5.4949577264809403E-2</v>
      </c>
      <c r="AG533">
        <v>-0.100543699999999</v>
      </c>
      <c r="AH533">
        <v>0.59879222796394405</v>
      </c>
      <c r="AI533">
        <v>99.492511613811999</v>
      </c>
      <c r="AJ533">
        <v>84.756803201208001</v>
      </c>
      <c r="AK533">
        <v>0.60965615220490899</v>
      </c>
      <c r="AL533">
        <v>79.615386853180397</v>
      </c>
      <c r="AM533">
        <v>90.709045419395295</v>
      </c>
      <c r="AN533">
        <v>1.0000000033466101</v>
      </c>
    </row>
    <row r="534" spans="1:40" x14ac:dyDescent="0.25">
      <c r="A534" t="str">
        <f>"20190312172103137"</f>
        <v>20190312172103137</v>
      </c>
      <c r="B534" t="str">
        <f>"1552382463132368"</f>
        <v>1552382463132368</v>
      </c>
      <c r="C534" t="s">
        <v>40</v>
      </c>
      <c r="D534">
        <v>3.2654779999999999</v>
      </c>
      <c r="E534">
        <v>0.51950649999999998</v>
      </c>
      <c r="F534" t="s">
        <v>41</v>
      </c>
      <c r="G534">
        <v>-393.1343</v>
      </c>
      <c r="H534">
        <v>0.99332699999999996</v>
      </c>
      <c r="I534">
        <v>367.65730000000002</v>
      </c>
      <c r="J534">
        <v>-393.88170000000002</v>
      </c>
      <c r="K534">
        <v>1.1004529999999999</v>
      </c>
      <c r="L534">
        <v>367.71249999999998</v>
      </c>
      <c r="M534">
        <v>0.99992919999999996</v>
      </c>
      <c r="N534">
        <v>0</v>
      </c>
      <c r="O534">
        <v>-9.7529409999999993E-3</v>
      </c>
      <c r="P534">
        <v>0.98479130000000004</v>
      </c>
      <c r="Q534">
        <v>0.17371149999999999</v>
      </c>
      <c r="R534">
        <v>3.2772719999999999E-3</v>
      </c>
      <c r="S534">
        <v>3.1091920000000002</v>
      </c>
      <c r="T534">
        <v>-0.35334789999999999</v>
      </c>
      <c r="U534">
        <v>-0.18939210000000001</v>
      </c>
      <c r="V534">
        <v>-1.287571E-2</v>
      </c>
      <c r="W534">
        <v>0.1804238</v>
      </c>
      <c r="X534">
        <v>0.98350470000000001</v>
      </c>
      <c r="Y534">
        <v>5.0799700000000003E-2</v>
      </c>
      <c r="Z534">
        <v>-1.770951E-3</v>
      </c>
      <c r="AA534">
        <v>0.99870729999999996</v>
      </c>
      <c r="AB534">
        <v>36</v>
      </c>
      <c r="AC534">
        <v>0.74740000000002704</v>
      </c>
      <c r="AD534">
        <v>-0.107126</v>
      </c>
      <c r="AE534">
        <v>-5.5199999999956603E-2</v>
      </c>
      <c r="AF534">
        <v>4.6948581080778699E-2</v>
      </c>
      <c r="AG534">
        <v>-0.107126</v>
      </c>
      <c r="AH534">
        <v>0.73292730379714999</v>
      </c>
      <c r="AI534">
        <v>98.298803125294796</v>
      </c>
      <c r="AJ534">
        <v>86.334854191233703</v>
      </c>
      <c r="AK534">
        <v>0.74220117339765601</v>
      </c>
      <c r="AL534">
        <v>79.605554216110093</v>
      </c>
      <c r="AM534">
        <v>90.750054065847706</v>
      </c>
      <c r="AN534">
        <v>1.00000001321826</v>
      </c>
    </row>
    <row r="535" spans="1:40" x14ac:dyDescent="0.25">
      <c r="A535" t="str">
        <f>"20190312172103148"</f>
        <v>20190312172103148</v>
      </c>
      <c r="B535" t="str">
        <f>"1552382463142128"</f>
        <v>1552382463142128</v>
      </c>
      <c r="C535" t="s">
        <v>40</v>
      </c>
      <c r="D535">
        <v>3.2798669999999999</v>
      </c>
      <c r="E535">
        <v>0.51572850000000003</v>
      </c>
      <c r="F535" t="s">
        <v>41</v>
      </c>
      <c r="G535">
        <v>-393.12040000000002</v>
      </c>
      <c r="H535">
        <v>1.0209779999999999</v>
      </c>
      <c r="I535">
        <v>367.67930000000001</v>
      </c>
      <c r="J535">
        <v>-393.69580000000002</v>
      </c>
      <c r="K535">
        <v>1.1012040000000001</v>
      </c>
      <c r="L535">
        <v>367.7106</v>
      </c>
      <c r="M535">
        <v>0.99992780000000003</v>
      </c>
      <c r="N535">
        <v>0</v>
      </c>
      <c r="O535">
        <v>-9.7524819999999998E-3</v>
      </c>
      <c r="P535">
        <v>0.9848249</v>
      </c>
      <c r="Q535">
        <v>0.17351</v>
      </c>
      <c r="R535">
        <v>3.7579380000000002E-3</v>
      </c>
      <c r="S535">
        <v>3.1039729999999999</v>
      </c>
      <c r="T535">
        <v>-0.32408379999999998</v>
      </c>
      <c r="U535">
        <v>-0.1352844</v>
      </c>
      <c r="V535">
        <v>-1.3356379999999999E-2</v>
      </c>
      <c r="W535">
        <v>0.1804318</v>
      </c>
      <c r="X535">
        <v>0.98349679999999995</v>
      </c>
      <c r="Y535">
        <v>3.3667660000000002E-2</v>
      </c>
      <c r="Z535">
        <v>-7.3704830000000002E-4</v>
      </c>
      <c r="AA535">
        <v>0.99943280000000001</v>
      </c>
      <c r="AB535">
        <v>36</v>
      </c>
      <c r="AC535">
        <v>0.57540000000000102</v>
      </c>
      <c r="AD535">
        <v>-8.0225999999999895E-2</v>
      </c>
      <c r="AE535">
        <v>-3.12999999999874E-2</v>
      </c>
      <c r="AF535">
        <v>2.5198389907735499E-2</v>
      </c>
      <c r="AG535">
        <v>-8.0225999999999895E-2</v>
      </c>
      <c r="AH535">
        <v>0.56473203711127495</v>
      </c>
      <c r="AI535">
        <v>98.077423831776898</v>
      </c>
      <c r="AJ535">
        <v>87.445152236284002</v>
      </c>
      <c r="AK535">
        <v>0.57095835546017903</v>
      </c>
      <c r="AL535">
        <v>79.605087973218801</v>
      </c>
      <c r="AM535">
        <v>90.778057603114604</v>
      </c>
      <c r="AN535">
        <v>0.99999999147409202</v>
      </c>
    </row>
    <row r="536" spans="1:40" x14ac:dyDescent="0.25">
      <c r="A536" t="str">
        <f>"20190312172103160"</f>
        <v>20190312172103160</v>
      </c>
      <c r="B536" t="str">
        <f>"1552382463151888"</f>
        <v>1552382463151888</v>
      </c>
      <c r="C536" t="s">
        <v>40</v>
      </c>
      <c r="D536">
        <v>3.2696930000000002</v>
      </c>
      <c r="E536">
        <v>0.5130652</v>
      </c>
      <c r="F536" t="s">
        <v>41</v>
      </c>
      <c r="G536">
        <v>-392.79989999999998</v>
      </c>
      <c r="H536">
        <v>1.0130049999999999</v>
      </c>
      <c r="I536">
        <v>367.68040000000002</v>
      </c>
      <c r="J536">
        <v>-393.50850000000003</v>
      </c>
      <c r="K536">
        <v>1.101934</v>
      </c>
      <c r="L536">
        <v>367.7088</v>
      </c>
      <c r="M536">
        <v>0.99992630000000005</v>
      </c>
      <c r="N536">
        <v>0</v>
      </c>
      <c r="O536">
        <v>-9.7521550000000002E-3</v>
      </c>
      <c r="P536">
        <v>0.98482729999999996</v>
      </c>
      <c r="Q536">
        <v>0.17349410000000001</v>
      </c>
      <c r="R536">
        <v>3.8845519999999999E-3</v>
      </c>
      <c r="S536">
        <v>3.100403</v>
      </c>
      <c r="T536">
        <v>-0.3054209</v>
      </c>
      <c r="U536">
        <v>-0.1036682</v>
      </c>
      <c r="V536">
        <v>-1.348253E-2</v>
      </c>
      <c r="W536">
        <v>0.18062220000000001</v>
      </c>
      <c r="X536">
        <v>0.98346009999999995</v>
      </c>
      <c r="Y536">
        <v>2.360282E-2</v>
      </c>
      <c r="Z536">
        <v>-2.0135429999999999E-4</v>
      </c>
      <c r="AA536">
        <v>0.99972139999999998</v>
      </c>
      <c r="AB536">
        <v>36</v>
      </c>
      <c r="AC536">
        <v>0.70860000000004597</v>
      </c>
      <c r="AD536">
        <v>-8.8928999999999994E-2</v>
      </c>
      <c r="AE536">
        <v>-2.8399999999976399E-2</v>
      </c>
      <c r="AF536">
        <v>2.1155425086927599E-2</v>
      </c>
      <c r="AG536">
        <v>-8.8928999999999994E-2</v>
      </c>
      <c r="AH536">
        <v>0.69786935540395001</v>
      </c>
      <c r="AI536">
        <v>97.258723245609602</v>
      </c>
      <c r="AJ536">
        <v>88.263649962419805</v>
      </c>
      <c r="AK536">
        <v>0.703830630381723</v>
      </c>
      <c r="AL536">
        <v>79.593996326783895</v>
      </c>
      <c r="AM536">
        <v>90.785434687629007</v>
      </c>
      <c r="AN536">
        <v>0.99999996302002403</v>
      </c>
    </row>
    <row r="537" spans="1:40" x14ac:dyDescent="0.25">
      <c r="A537" t="str">
        <f>"20190312172103174"</f>
        <v>20190312172103174</v>
      </c>
      <c r="B537" t="str">
        <f>"1552382463161648"</f>
        <v>1552382463161648</v>
      </c>
      <c r="C537" t="s">
        <v>40</v>
      </c>
      <c r="D537">
        <v>3.2640250000000002</v>
      </c>
      <c r="E537">
        <v>0.51107259999999999</v>
      </c>
      <c r="F537" t="s">
        <v>41</v>
      </c>
      <c r="G537">
        <v>-392.47930000000002</v>
      </c>
      <c r="H537">
        <v>1.004804</v>
      </c>
      <c r="I537">
        <v>367.68130000000002</v>
      </c>
      <c r="J537">
        <v>-393.28710000000001</v>
      </c>
      <c r="K537">
        <v>1.102697</v>
      </c>
      <c r="L537">
        <v>367.70659999999998</v>
      </c>
      <c r="M537">
        <v>0.99992449999999999</v>
      </c>
      <c r="N537">
        <v>0</v>
      </c>
      <c r="O537">
        <v>-9.7520469999999998E-3</v>
      </c>
      <c r="P537">
        <v>0.98492449999999998</v>
      </c>
      <c r="Q537">
        <v>0.17294029999999999</v>
      </c>
      <c r="R537">
        <v>3.9458430000000001E-3</v>
      </c>
      <c r="S537">
        <v>3.0981139999999998</v>
      </c>
      <c r="T537">
        <v>-0.29249730000000002</v>
      </c>
      <c r="U537">
        <v>-8.236694E-2</v>
      </c>
      <c r="V537">
        <v>-1.3544779999999999E-2</v>
      </c>
      <c r="W537">
        <v>0.18029619999999999</v>
      </c>
      <c r="X537">
        <v>0.98351909999999998</v>
      </c>
      <c r="Y537">
        <v>1.6795330000000001E-2</v>
      </c>
      <c r="Z537">
        <v>1.2754800000000001E-4</v>
      </c>
      <c r="AA537">
        <v>0.99985889999999999</v>
      </c>
      <c r="AB537">
        <v>36</v>
      </c>
      <c r="AC537">
        <v>0.80779999999998597</v>
      </c>
      <c r="AD537">
        <v>-9.7892999999999994E-2</v>
      </c>
      <c r="AE537">
        <v>-2.52999999999588E-2</v>
      </c>
      <c r="AF537">
        <v>1.7168981174057001E-2</v>
      </c>
      <c r="AG537">
        <v>-9.7892999999999994E-2</v>
      </c>
      <c r="AH537">
        <v>0.79632516162835998</v>
      </c>
      <c r="AI537">
        <v>97.006650024598301</v>
      </c>
      <c r="AJ537">
        <v>88.764879190747493</v>
      </c>
      <c r="AK537">
        <v>0.80250331862615298</v>
      </c>
      <c r="AL537">
        <v>79.612986916740198</v>
      </c>
      <c r="AM537">
        <v>90.789013320933705</v>
      </c>
      <c r="AN537">
        <v>1.00000000043224</v>
      </c>
    </row>
    <row r="538" spans="1:40" x14ac:dyDescent="0.25">
      <c r="A538" t="str">
        <f>"20190312172103187"</f>
        <v>20190312172103187</v>
      </c>
      <c r="B538" t="str">
        <f>"1552382463182144"</f>
        <v>1552382463182144</v>
      </c>
      <c r="C538" t="s">
        <v>40</v>
      </c>
      <c r="D538">
        <v>3.297914</v>
      </c>
      <c r="E538">
        <v>0.50858610000000004</v>
      </c>
      <c r="F538" t="s">
        <v>41</v>
      </c>
      <c r="G538">
        <v>-392.4683</v>
      </c>
      <c r="H538">
        <v>1.0271410000000001</v>
      </c>
      <c r="I538">
        <v>367.68900000000002</v>
      </c>
      <c r="J538">
        <v>-393.08980000000003</v>
      </c>
      <c r="K538">
        <v>1.1033299999999999</v>
      </c>
      <c r="L538">
        <v>367.7047</v>
      </c>
      <c r="M538">
        <v>0.99992309999999995</v>
      </c>
      <c r="N538">
        <v>0</v>
      </c>
      <c r="O538">
        <v>-9.7519549999999997E-3</v>
      </c>
      <c r="P538">
        <v>0.98490610000000001</v>
      </c>
      <c r="Q538">
        <v>0.1730409</v>
      </c>
      <c r="R538">
        <v>4.1066749999999997E-3</v>
      </c>
      <c r="S538">
        <v>3.0964049999999999</v>
      </c>
      <c r="T538">
        <v>-0.28583069999999999</v>
      </c>
      <c r="U538">
        <v>-6.6375729999999994E-2</v>
      </c>
      <c r="V538">
        <v>-1.370536E-2</v>
      </c>
      <c r="W538">
        <v>0.1805908</v>
      </c>
      <c r="X538">
        <v>0.98346279999999997</v>
      </c>
      <c r="Y538">
        <v>1.167228E-2</v>
      </c>
      <c r="Z538">
        <v>3.6065510000000002E-4</v>
      </c>
      <c r="AA538">
        <v>0.99993180000000004</v>
      </c>
      <c r="AB538">
        <v>36</v>
      </c>
      <c r="AC538">
        <v>0.62150000000002503</v>
      </c>
      <c r="AD538">
        <v>-7.6188999999999799E-2</v>
      </c>
      <c r="AE538">
        <v>-1.5699999999981101E-2</v>
      </c>
      <c r="AF538">
        <v>9.4956258722402893E-3</v>
      </c>
      <c r="AG538">
        <v>-7.6188999999999799E-2</v>
      </c>
      <c r="AH538">
        <v>0.61242586555747303</v>
      </c>
      <c r="AI538">
        <v>97.090618565402806</v>
      </c>
      <c r="AJ538">
        <v>89.111703594927505</v>
      </c>
      <c r="AK538">
        <v>0.61721987284558999</v>
      </c>
      <c r="AL538">
        <v>79.595825635588994</v>
      </c>
      <c r="AM538">
        <v>90.798411954504203</v>
      </c>
      <c r="AN538">
        <v>0.99999997646060401</v>
      </c>
    </row>
    <row r="539" spans="1:40" x14ac:dyDescent="0.25">
      <c r="A539" t="str">
        <f>"20190312172103200"</f>
        <v>20190312172103200</v>
      </c>
      <c r="B539" t="str">
        <f>"1552382463191903"</f>
        <v>1552382463191903</v>
      </c>
      <c r="C539" t="s">
        <v>40</v>
      </c>
      <c r="D539">
        <v>3.299083</v>
      </c>
      <c r="E539">
        <v>0.50775029999999999</v>
      </c>
      <c r="F539" t="s">
        <v>41</v>
      </c>
      <c r="G539">
        <v>-392.1474</v>
      </c>
      <c r="H539">
        <v>1.0189170000000001</v>
      </c>
      <c r="I539">
        <v>367.69040000000001</v>
      </c>
      <c r="J539">
        <v>-392.85789999999997</v>
      </c>
      <c r="K539">
        <v>1.1040219999999901</v>
      </c>
      <c r="L539">
        <v>367.70249999999999</v>
      </c>
      <c r="M539">
        <v>0.99992139999999996</v>
      </c>
      <c r="N539">
        <v>0</v>
      </c>
      <c r="O539">
        <v>-9.7517409999999995E-3</v>
      </c>
      <c r="P539">
        <v>0.98497259999999998</v>
      </c>
      <c r="Q539">
        <v>0.17266679999999901</v>
      </c>
      <c r="R539">
        <v>3.9271940000000002E-3</v>
      </c>
      <c r="S539">
        <v>3.0949399999999998</v>
      </c>
      <c r="T539">
        <v>-0.2774046</v>
      </c>
      <c r="U539">
        <v>-4.6173100000000002E-2</v>
      </c>
      <c r="V539">
        <v>-1.352661E-2</v>
      </c>
      <c r="W539">
        <v>0.18043500000000001</v>
      </c>
      <c r="X539">
        <v>0.98349390000000003</v>
      </c>
      <c r="Y539">
        <v>5.1838789999999997E-3</v>
      </c>
      <c r="Z539">
        <v>6.4042649999999999E-4</v>
      </c>
      <c r="AA539">
        <v>0.99998640000000005</v>
      </c>
      <c r="AB539">
        <v>36</v>
      </c>
      <c r="AC539">
        <v>0.71049999999996705</v>
      </c>
      <c r="AD539">
        <v>-8.5104999999999695E-2</v>
      </c>
      <c r="AE539">
        <v>-1.2099999999975301E-2</v>
      </c>
      <c r="AF539">
        <v>5.0974816214204204E-3</v>
      </c>
      <c r="AG539">
        <v>-8.5104999999999695E-2</v>
      </c>
      <c r="AH539">
        <v>0.70053605387624895</v>
      </c>
      <c r="AI539">
        <v>96.926483870431497</v>
      </c>
      <c r="AJ539">
        <v>89.583092080909907</v>
      </c>
      <c r="AK539">
        <v>0.70570504328960804</v>
      </c>
      <c r="AL539">
        <v>79.604901708081698</v>
      </c>
      <c r="AM539">
        <v>90.787975199055793</v>
      </c>
      <c r="AN539">
        <v>1.0000000048701501</v>
      </c>
    </row>
    <row r="540" spans="1:40" x14ac:dyDescent="0.25">
      <c r="A540" t="str">
        <f>"20190312172103215"</f>
        <v>20190312172103215</v>
      </c>
      <c r="B540" t="str">
        <f>"1552382463211424"</f>
        <v>1552382463211424</v>
      </c>
      <c r="C540" t="s">
        <v>40</v>
      </c>
      <c r="D540">
        <v>3.3059799999999999</v>
      </c>
      <c r="E540">
        <v>0.50647259999999905</v>
      </c>
      <c r="F540" t="s">
        <v>41</v>
      </c>
      <c r="G540">
        <v>-391.82569999999998</v>
      </c>
      <c r="H540">
        <v>1.0118990000000001</v>
      </c>
      <c r="I540">
        <v>367.68880000000001</v>
      </c>
      <c r="J540">
        <v>-392.61130000000003</v>
      </c>
      <c r="K540">
        <v>1.104663</v>
      </c>
      <c r="L540">
        <v>367.7</v>
      </c>
      <c r="M540">
        <v>0.99991949999999996</v>
      </c>
      <c r="N540">
        <v>0</v>
      </c>
      <c r="O540">
        <v>-9.7512940000000006E-3</v>
      </c>
      <c r="P540">
        <v>0.98496910000000004</v>
      </c>
      <c r="Q540">
        <v>0.17269880000000001</v>
      </c>
      <c r="R540">
        <v>3.355565E-3</v>
      </c>
      <c r="S540">
        <v>3.09436</v>
      </c>
      <c r="T540">
        <v>-0.2762269</v>
      </c>
      <c r="U540">
        <v>-4.0649409999999997E-2</v>
      </c>
      <c r="V540">
        <v>-1.295434E-2</v>
      </c>
      <c r="W540">
        <v>0.18068029999999999</v>
      </c>
      <c r="X540">
        <v>0.98345660000000001</v>
      </c>
      <c r="Y540">
        <v>3.409296E-3</v>
      </c>
      <c r="Z540">
        <v>7.1685520000000003E-4</v>
      </c>
      <c r="AA540">
        <v>0.99999389999999999</v>
      </c>
      <c r="AB540">
        <v>36</v>
      </c>
      <c r="AC540">
        <v>0.78560000000004404</v>
      </c>
      <c r="AD540">
        <v>-9.2763999999999999E-2</v>
      </c>
      <c r="AE540">
        <v>-1.1199999999973899E-2</v>
      </c>
      <c r="AF540">
        <v>3.4899480128320901E-3</v>
      </c>
      <c r="AG540">
        <v>-9.2763999999999999E-2</v>
      </c>
      <c r="AH540">
        <v>0.77487005264907904</v>
      </c>
      <c r="AI540">
        <v>96.826638256925406</v>
      </c>
      <c r="AJ540">
        <v>89.741946486234497</v>
      </c>
      <c r="AK540">
        <v>0.78041074949382905</v>
      </c>
      <c r="AL540">
        <v>79.590612512913907</v>
      </c>
      <c r="AM540">
        <v>90.754670907919802</v>
      </c>
      <c r="AN540">
        <v>1.0000000349082401</v>
      </c>
    </row>
    <row r="541" spans="1:40" x14ac:dyDescent="0.25">
      <c r="A541" t="str">
        <f>"20190312172103228"</f>
        <v>20190312172103228</v>
      </c>
      <c r="B541" t="str">
        <f>"1552382463222160"</f>
        <v>1552382463222160</v>
      </c>
      <c r="C541" t="s">
        <v>40</v>
      </c>
      <c r="D541">
        <v>3.3668909999999999</v>
      </c>
      <c r="E541">
        <v>0.5058743</v>
      </c>
      <c r="F541" t="s">
        <v>41</v>
      </c>
      <c r="G541">
        <v>-391.81319999999999</v>
      </c>
      <c r="H541">
        <v>1.034268</v>
      </c>
      <c r="I541">
        <v>367.69159999999999</v>
      </c>
      <c r="J541">
        <v>-392.42320000000001</v>
      </c>
      <c r="K541">
        <v>1.10511</v>
      </c>
      <c r="L541">
        <v>367.69819999999999</v>
      </c>
      <c r="M541">
        <v>0.99991839999999999</v>
      </c>
      <c r="N541">
        <v>0</v>
      </c>
      <c r="O541">
        <v>-9.7510949999999996E-3</v>
      </c>
      <c r="P541">
        <v>0.98501450000000002</v>
      </c>
      <c r="Q541">
        <v>0.17244599999999999</v>
      </c>
      <c r="R541">
        <v>3.0163400000000002E-3</v>
      </c>
      <c r="S541">
        <v>3.09375</v>
      </c>
      <c r="T541">
        <v>-0.27294220000000002</v>
      </c>
      <c r="U541">
        <v>-3.2196040000000002E-2</v>
      </c>
      <c r="V541">
        <v>-1.2615060000000001E-2</v>
      </c>
      <c r="W541">
        <v>0.18058189999999999</v>
      </c>
      <c r="X541">
        <v>0.98347910000000005</v>
      </c>
      <c r="Y541">
        <v>6.9003509999999903E-4</v>
      </c>
      <c r="Z541">
        <v>8.2821670000000002E-4</v>
      </c>
      <c r="AA541">
        <v>0.99999939999999998</v>
      </c>
      <c r="AB541">
        <v>36</v>
      </c>
      <c r="AC541">
        <v>0.61000000000001298</v>
      </c>
      <c r="AD541">
        <v>-7.0842000000000002E-2</v>
      </c>
      <c r="AE541">
        <v>-6.5999999999917201E-3</v>
      </c>
      <c r="AF541">
        <v>6.4264914457963301E-4</v>
      </c>
      <c r="AG541">
        <v>-7.0842000000000002E-2</v>
      </c>
      <c r="AH541">
        <v>0.60191811346326196</v>
      </c>
      <c r="AI541">
        <v>96.712471691445202</v>
      </c>
      <c r="AJ541">
        <v>89.938827111400101</v>
      </c>
      <c r="AK541">
        <v>0.60607294715825699</v>
      </c>
      <c r="AL541">
        <v>79.596344878570306</v>
      </c>
      <c r="AM541">
        <v>90.734891122467204</v>
      </c>
      <c r="AN541">
        <v>1.0000000512416101</v>
      </c>
    </row>
    <row r="542" spans="1:40" x14ac:dyDescent="0.25">
      <c r="A542" t="str">
        <f>"20190312172103237"</f>
        <v>20190312172103237</v>
      </c>
      <c r="B542" t="str">
        <f>"1552382463231919"</f>
        <v>1552382463231919</v>
      </c>
      <c r="C542" t="s">
        <v>40</v>
      </c>
      <c r="D542">
        <v>3.298861</v>
      </c>
      <c r="E542">
        <v>0.50540079999999998</v>
      </c>
      <c r="F542" t="s">
        <v>41</v>
      </c>
      <c r="G542">
        <v>-391.4948</v>
      </c>
      <c r="H542">
        <v>1.0233239999999999</v>
      </c>
      <c r="I542">
        <v>367.68939999999998</v>
      </c>
      <c r="J542">
        <v>-392.24130000000002</v>
      </c>
      <c r="K542">
        <v>1.105518</v>
      </c>
      <c r="L542">
        <v>367.69639999999998</v>
      </c>
      <c r="M542">
        <v>0.99991719999999895</v>
      </c>
      <c r="N542">
        <v>0</v>
      </c>
      <c r="O542">
        <v>-9.7509859999999997E-3</v>
      </c>
      <c r="P542">
        <v>0.98503680000000005</v>
      </c>
      <c r="Q542">
        <v>0.1723249</v>
      </c>
      <c r="R542">
        <v>2.589413E-3</v>
      </c>
      <c r="S542">
        <v>3.093445</v>
      </c>
      <c r="T542">
        <v>-0.27276250000000002</v>
      </c>
      <c r="U542">
        <v>-2.838135E-2</v>
      </c>
      <c r="V542">
        <v>-1.2188249999999999E-2</v>
      </c>
      <c r="W542">
        <v>0.1806044</v>
      </c>
      <c r="X542">
        <v>0.98348029999999997</v>
      </c>
      <c r="Y542">
        <v>-5.3715410000000001E-4</v>
      </c>
      <c r="Z542">
        <v>8.8175000000000005E-4</v>
      </c>
      <c r="AA542">
        <v>0.99999950000000004</v>
      </c>
      <c r="AB542">
        <v>36</v>
      </c>
      <c r="AC542">
        <v>0.74650000000002503</v>
      </c>
      <c r="AD542">
        <v>-8.21940000000001E-2</v>
      </c>
      <c r="AE542">
        <v>-7.0000000000049996E-3</v>
      </c>
      <c r="AF542">
        <v>-2.7635052632071099E-4</v>
      </c>
      <c r="AG542">
        <v>-8.21940000000001E-2</v>
      </c>
      <c r="AH542">
        <v>0.73759151472887496</v>
      </c>
      <c r="AI542">
        <v>96.358559368888095</v>
      </c>
      <c r="AJ542">
        <v>90.021466784483394</v>
      </c>
      <c r="AK542">
        <v>0.74215710776469002</v>
      </c>
      <c r="AL542">
        <v>79.595033650686602</v>
      </c>
      <c r="AM542">
        <v>90.710029002571403</v>
      </c>
      <c r="AN542">
        <v>1.0000000016127499</v>
      </c>
    </row>
    <row r="543" spans="1:40" x14ac:dyDescent="0.25">
      <c r="A543" t="str">
        <f>"20190312172103249"</f>
        <v>20190312172103249</v>
      </c>
      <c r="B543" t="str">
        <f>"1552382463241680"</f>
        <v>1552382463241680</v>
      </c>
      <c r="C543" t="s">
        <v>40</v>
      </c>
      <c r="D543">
        <v>3.310454</v>
      </c>
      <c r="E543">
        <v>0.50506519999999999</v>
      </c>
      <c r="F543" t="s">
        <v>41</v>
      </c>
      <c r="G543">
        <v>-391.48390000000001</v>
      </c>
      <c r="H543">
        <v>1.0387789999999999</v>
      </c>
      <c r="I543">
        <v>367.68970000000002</v>
      </c>
      <c r="J543">
        <v>-392.05650000000003</v>
      </c>
      <c r="K543">
        <v>1.1058840000000001</v>
      </c>
      <c r="L543">
        <v>367.69459999999998</v>
      </c>
      <c r="M543">
        <v>0.99991600000000003</v>
      </c>
      <c r="N543">
        <v>0</v>
      </c>
      <c r="O543">
        <v>-9.7507280000000002E-3</v>
      </c>
      <c r="P543">
        <v>0.98504720000000001</v>
      </c>
      <c r="Q543">
        <v>0.17227190000000001</v>
      </c>
      <c r="R543">
        <v>2.1580560000000002E-3</v>
      </c>
      <c r="S543">
        <v>3.093353</v>
      </c>
      <c r="T543">
        <v>-0.2728527</v>
      </c>
      <c r="U543">
        <v>-2.6123049999999998E-2</v>
      </c>
      <c r="V543">
        <v>-1.1757099999999999E-2</v>
      </c>
      <c r="W543">
        <v>0.1806864</v>
      </c>
      <c r="X543">
        <v>0.98347050000000003</v>
      </c>
      <c r="Y543">
        <v>-1.263782E-3</v>
      </c>
      <c r="Z543">
        <v>9.1403239999999998E-4</v>
      </c>
      <c r="AA543">
        <v>0.99999879999999997</v>
      </c>
      <c r="AB543">
        <v>36</v>
      </c>
      <c r="AC543">
        <v>0.57260000000002198</v>
      </c>
      <c r="AD543">
        <v>-6.7104999999999901E-2</v>
      </c>
      <c r="AE543">
        <v>-4.8999999999637103E-3</v>
      </c>
      <c r="AF543">
        <v>-6.7444107050443E-4</v>
      </c>
      <c r="AG543">
        <v>-6.7104999999999901E-2</v>
      </c>
      <c r="AH543">
        <v>0.56486311607487005</v>
      </c>
      <c r="AI543">
        <v>96.7749062832238</v>
      </c>
      <c r="AJ543">
        <v>90.068410571353198</v>
      </c>
      <c r="AK543">
        <v>0.56883554371854195</v>
      </c>
      <c r="AL543">
        <v>79.590256944774396</v>
      </c>
      <c r="AM543">
        <v>90.684921531813799</v>
      </c>
      <c r="AN543">
        <v>1.0000000144578101</v>
      </c>
    </row>
    <row r="544" spans="1:40" x14ac:dyDescent="0.25">
      <c r="A544" t="str">
        <f>"20190312172103261"</f>
        <v>20190312172103261</v>
      </c>
      <c r="B544" t="str">
        <f>"1552382463251439"</f>
        <v>1552382463251439</v>
      </c>
      <c r="C544" t="s">
        <v>40</v>
      </c>
      <c r="D544">
        <v>3.2954150000000002</v>
      </c>
      <c r="E544">
        <v>0.50475109999999901</v>
      </c>
      <c r="F544" t="s">
        <v>41</v>
      </c>
      <c r="G544">
        <v>-391.16730000000001</v>
      </c>
      <c r="H544">
        <v>1.027582</v>
      </c>
      <c r="I544">
        <v>367.68729999999999</v>
      </c>
      <c r="J544">
        <v>-391.88200000000001</v>
      </c>
      <c r="K544">
        <v>1.1062240000000001</v>
      </c>
      <c r="L544">
        <v>367.69290000000001</v>
      </c>
      <c r="M544">
        <v>0.99991490000000005</v>
      </c>
      <c r="N544">
        <v>0</v>
      </c>
      <c r="O544">
        <v>-9.7504380000000002E-3</v>
      </c>
      <c r="P544">
        <v>0.98503609999999997</v>
      </c>
      <c r="Q544">
        <v>0.17233989999999999</v>
      </c>
      <c r="R544">
        <v>1.735805E-3</v>
      </c>
      <c r="S544">
        <v>3.0932620000000002</v>
      </c>
      <c r="T544">
        <v>-0.27249580000000001</v>
      </c>
      <c r="U544">
        <v>-2.529907E-2</v>
      </c>
      <c r="V544">
        <v>-1.1334159999999999E-2</v>
      </c>
      <c r="W544">
        <v>0.18087919999999999</v>
      </c>
      <c r="X544">
        <v>0.98343999999999998</v>
      </c>
      <c r="Y544">
        <v>-1.5286950000000001E-3</v>
      </c>
      <c r="Z544">
        <v>9.2449060000000002E-4</v>
      </c>
      <c r="AA544">
        <v>0.99999839999999995</v>
      </c>
      <c r="AB544">
        <v>36</v>
      </c>
      <c r="AC544">
        <v>0.71469999999993605</v>
      </c>
      <c r="AD544">
        <v>-7.8641999999999795E-2</v>
      </c>
      <c r="AE544">
        <v>-5.6000000000153696E-3</v>
      </c>
      <c r="AF544">
        <v>-1.3527878866146099E-3</v>
      </c>
      <c r="AG544">
        <v>-7.8641999999999795E-2</v>
      </c>
      <c r="AH544">
        <v>0.70617104749928605</v>
      </c>
      <c r="AI544">
        <v>96.354489941866703</v>
      </c>
      <c r="AJ544">
        <v>90.109759444174998</v>
      </c>
      <c r="AK544">
        <v>0.71053778402369605</v>
      </c>
      <c r="AL544">
        <v>79.579025006203693</v>
      </c>
      <c r="AM544">
        <v>90.660305440338604</v>
      </c>
      <c r="AN544">
        <v>0.99999999088777203</v>
      </c>
    </row>
    <row r="545" spans="1:40" x14ac:dyDescent="0.25">
      <c r="A545" t="str">
        <f>"20190312172103282"</f>
        <v>20190312172103282</v>
      </c>
      <c r="B545" t="str">
        <f>"1552382463271935"</f>
        <v>1552382463271935</v>
      </c>
      <c r="C545" t="s">
        <v>40</v>
      </c>
      <c r="D545">
        <v>3.2756560000000001</v>
      </c>
      <c r="E545">
        <v>0.50422409999999995</v>
      </c>
      <c r="F545" t="s">
        <v>41</v>
      </c>
      <c r="G545">
        <v>-390.84730000000002</v>
      </c>
      <c r="H545">
        <v>1.0154179999999999</v>
      </c>
      <c r="I545">
        <v>367.68470000000002</v>
      </c>
      <c r="J545">
        <v>-391.52789999999999</v>
      </c>
      <c r="K545">
        <v>1.106803</v>
      </c>
      <c r="L545">
        <v>367.68950000000001</v>
      </c>
      <c r="M545">
        <v>0.99991289999999999</v>
      </c>
      <c r="N545">
        <v>0</v>
      </c>
      <c r="O545">
        <v>-9.7499070000000004E-3</v>
      </c>
      <c r="P545">
        <v>0.98505830000000005</v>
      </c>
      <c r="Q545">
        <v>0.17221819999999999</v>
      </c>
      <c r="R545">
        <v>1.2166010000000001E-3</v>
      </c>
      <c r="S545">
        <v>3.0931700000000002</v>
      </c>
      <c r="T545">
        <v>-0.27172550000000001</v>
      </c>
      <c r="U545">
        <v>-2.3803709999999999E-2</v>
      </c>
      <c r="V545">
        <v>-1.0814819999999999E-2</v>
      </c>
      <c r="W545">
        <v>0.18098700000000001</v>
      </c>
      <c r="X545">
        <v>0.98342600000000002</v>
      </c>
      <c r="Y545">
        <v>-2.009743E-3</v>
      </c>
      <c r="Z545">
        <v>9.4296060000000005E-4</v>
      </c>
      <c r="AA545">
        <v>0.99999760000000004</v>
      </c>
      <c r="AB545">
        <v>36</v>
      </c>
      <c r="AC545">
        <v>0.68059999999996901</v>
      </c>
      <c r="AD545">
        <v>-9.1384999999999994E-2</v>
      </c>
      <c r="AE545">
        <v>-4.7999999999888097E-3</v>
      </c>
      <c r="AF545">
        <v>-1.8037595033861E-3</v>
      </c>
      <c r="AG545">
        <v>-9.1384999999999994E-2</v>
      </c>
      <c r="AH545">
        <v>0.66856170747824095</v>
      </c>
      <c r="AI545">
        <v>97.783436255697694</v>
      </c>
      <c r="AJ545">
        <v>90.154581925479704</v>
      </c>
      <c r="AK545">
        <v>0.67478087441744194</v>
      </c>
      <c r="AL545">
        <v>79.572744712912794</v>
      </c>
      <c r="AM545">
        <v>90.630061199274195</v>
      </c>
      <c r="AN545">
        <v>0.99999997598831503</v>
      </c>
    </row>
    <row r="546" spans="1:40" x14ac:dyDescent="0.25">
      <c r="A546" t="str">
        <f>"20190312172103292"</f>
        <v>20190312172103292</v>
      </c>
      <c r="B546" t="str">
        <f>"1552382463281697"</f>
        <v>1552382463281697</v>
      </c>
      <c r="C546" t="s">
        <v>40</v>
      </c>
      <c r="D546">
        <v>3.2713890000000001</v>
      </c>
      <c r="E546">
        <v>0.50389539999999999</v>
      </c>
      <c r="F546" t="s">
        <v>41</v>
      </c>
      <c r="G546">
        <v>-390.51960000000003</v>
      </c>
      <c r="H546">
        <v>1.0190319999999999</v>
      </c>
      <c r="I546">
        <v>367.6823</v>
      </c>
      <c r="J546">
        <v>-391.35090000000002</v>
      </c>
      <c r="K546">
        <v>1.107054</v>
      </c>
      <c r="L546">
        <v>367.68770000000001</v>
      </c>
      <c r="M546">
        <v>0.99991200000000002</v>
      </c>
      <c r="N546">
        <v>0</v>
      </c>
      <c r="O546">
        <v>-9.7499059999999992E-3</v>
      </c>
      <c r="P546">
        <v>0.9851067</v>
      </c>
      <c r="Q546">
        <v>0.17194039999999999</v>
      </c>
      <c r="R546">
        <v>1.2351790000000001E-3</v>
      </c>
      <c r="S546">
        <v>3.092651</v>
      </c>
      <c r="T546">
        <v>-0.26934249999999998</v>
      </c>
      <c r="U546">
        <v>-2.1301270000000001E-2</v>
      </c>
      <c r="V546">
        <v>-1.083346E-2</v>
      </c>
      <c r="W546">
        <v>0.18081449999999999</v>
      </c>
      <c r="X546">
        <v>0.98345760000000004</v>
      </c>
      <c r="Y546">
        <v>-2.8152950000000002E-3</v>
      </c>
      <c r="Z546">
        <v>9.6989389999999997E-4</v>
      </c>
      <c r="AA546">
        <v>0.99999559999999998</v>
      </c>
      <c r="AB546">
        <v>36</v>
      </c>
      <c r="AC546">
        <v>0.83129999999999804</v>
      </c>
      <c r="AD546">
        <v>-8.8022000000000003E-2</v>
      </c>
      <c r="AE546">
        <v>-5.4000000000087303E-3</v>
      </c>
      <c r="AF546">
        <v>-2.6756841605620101E-3</v>
      </c>
      <c r="AG546">
        <v>-8.8022000000000003E-2</v>
      </c>
      <c r="AH546">
        <v>0.82209652173689196</v>
      </c>
      <c r="AI546">
        <v>96.111353022023394</v>
      </c>
      <c r="AJ546">
        <v>90.186480375883306</v>
      </c>
      <c r="AK546">
        <v>0.82679968724088404</v>
      </c>
      <c r="AL546">
        <v>79.582794805782797</v>
      </c>
      <c r="AM546">
        <v>90.631126782217194</v>
      </c>
      <c r="AN546">
        <v>1.00000004913178</v>
      </c>
    </row>
    <row r="547" spans="1:40" x14ac:dyDescent="0.25">
      <c r="A547" t="str">
        <f>"20190312172103305"</f>
        <v>20190312172103305</v>
      </c>
      <c r="B547" t="str">
        <f>"1552382463291456"</f>
        <v>1552382463291456</v>
      </c>
      <c r="C547" t="s">
        <v>40</v>
      </c>
      <c r="D547">
        <v>3.2757740000000002</v>
      </c>
      <c r="E547">
        <v>0.50371100000000002</v>
      </c>
      <c r="F547" t="s">
        <v>41</v>
      </c>
      <c r="G547">
        <v>-390.51069999999999</v>
      </c>
      <c r="H547">
        <v>1.0341450000000001</v>
      </c>
      <c r="I547">
        <v>367.6825</v>
      </c>
      <c r="J547">
        <v>-391.16550000000001</v>
      </c>
      <c r="K547">
        <v>1.1073040000000001</v>
      </c>
      <c r="L547">
        <v>367.68599999999998</v>
      </c>
      <c r="M547">
        <v>0.99991099999999999</v>
      </c>
      <c r="N547">
        <v>0</v>
      </c>
      <c r="O547">
        <v>-9.7495570000000007E-3</v>
      </c>
      <c r="P547">
        <v>0.98516619999999999</v>
      </c>
      <c r="Q547">
        <v>0.17160059999999999</v>
      </c>
      <c r="R547">
        <v>1.145063E-3</v>
      </c>
      <c r="S547">
        <v>3.0921940000000001</v>
      </c>
      <c r="T547">
        <v>-0.26845599999999997</v>
      </c>
      <c r="U547">
        <v>-1.8798829999999999E-2</v>
      </c>
      <c r="V547">
        <v>-1.0743890000000001E-2</v>
      </c>
      <c r="W547">
        <v>0.18058089999999999</v>
      </c>
      <c r="X547">
        <v>0.98350139999999997</v>
      </c>
      <c r="Y547">
        <v>-3.6204449999999999E-3</v>
      </c>
      <c r="Z547">
        <v>1.001715E-3</v>
      </c>
      <c r="AA547">
        <v>0.99999300000000002</v>
      </c>
      <c r="AB547">
        <v>36</v>
      </c>
      <c r="AC547">
        <v>0.65480000000002203</v>
      </c>
      <c r="AD547">
        <v>-7.3158999999999905E-2</v>
      </c>
      <c r="AE547">
        <v>-3.4999999999740798E-3</v>
      </c>
      <c r="AF547">
        <v>-2.8488795585526398E-3</v>
      </c>
      <c r="AG547">
        <v>-7.3158999999999905E-2</v>
      </c>
      <c r="AH547">
        <v>0.64673011424265603</v>
      </c>
      <c r="AI547">
        <v>96.453879436699495</v>
      </c>
      <c r="AJ547">
        <v>90.252389235747501</v>
      </c>
      <c r="AK547">
        <v>0.65086111887564602</v>
      </c>
      <c r="AL547">
        <v>79.596402048189404</v>
      </c>
      <c r="AM547">
        <v>90.625881231362001</v>
      </c>
      <c r="AN547">
        <v>0.99999994820954896</v>
      </c>
    </row>
    <row r="548" spans="1:40" x14ac:dyDescent="0.25">
      <c r="A548" t="str">
        <f>"20190312172103315"</f>
        <v>20190312172103315</v>
      </c>
      <c r="B548" t="str">
        <f>"1552382463311952"</f>
        <v>1552382463311952</v>
      </c>
      <c r="C548" t="s">
        <v>40</v>
      </c>
      <c r="D548">
        <v>3.3041559999999999</v>
      </c>
      <c r="E548">
        <v>0.50334269999999903</v>
      </c>
      <c r="F548" t="s">
        <v>41</v>
      </c>
      <c r="G548">
        <v>-390.19159999999999</v>
      </c>
      <c r="H548">
        <v>1.0226710000000001</v>
      </c>
      <c r="I548">
        <v>367.68009999999998</v>
      </c>
      <c r="J548">
        <v>-390.97930000000002</v>
      </c>
      <c r="K548">
        <v>1.1075299999999999</v>
      </c>
      <c r="L548">
        <v>367.6841</v>
      </c>
      <c r="M548">
        <v>0.99990999999999997</v>
      </c>
      <c r="N548">
        <v>0</v>
      </c>
      <c r="O548">
        <v>-9.7493049999999998E-3</v>
      </c>
      <c r="P548">
        <v>0.98517160000000004</v>
      </c>
      <c r="Q548">
        <v>0.17156669999999999</v>
      </c>
      <c r="R548">
        <v>1.4741909999999999E-3</v>
      </c>
      <c r="S548">
        <v>3.092041</v>
      </c>
      <c r="T548">
        <v>-0.26894750000000001</v>
      </c>
      <c r="U548">
        <v>-1.7791749999999999E-2</v>
      </c>
      <c r="V548">
        <v>-1.107297E-2</v>
      </c>
      <c r="W548">
        <v>0.180647</v>
      </c>
      <c r="X548">
        <v>0.98348559999999996</v>
      </c>
      <c r="Y548">
        <v>-3.9441800000000003E-3</v>
      </c>
      <c r="Z548">
        <v>1.017624E-3</v>
      </c>
      <c r="AA548">
        <v>0.99999170000000004</v>
      </c>
      <c r="AB548">
        <v>36</v>
      </c>
      <c r="AC548">
        <v>0.78770000000002904</v>
      </c>
      <c r="AD548">
        <v>-8.4859000000000004E-2</v>
      </c>
      <c r="AE548">
        <v>-4.0000000000190898E-3</v>
      </c>
      <c r="AF548">
        <v>-3.6378251588845599E-3</v>
      </c>
      <c r="AG548">
        <v>-8.4859000000000004E-2</v>
      </c>
      <c r="AH548">
        <v>0.77866478489680302</v>
      </c>
      <c r="AI548">
        <v>96.219489885786899</v>
      </c>
      <c r="AJ548">
        <v>90.267676817844205</v>
      </c>
      <c r="AK548">
        <v>0.78328355714343401</v>
      </c>
      <c r="AL548">
        <v>79.592551356236001</v>
      </c>
      <c r="AM548">
        <v>90.645060428058997</v>
      </c>
      <c r="AN548">
        <v>0.99999993734048798</v>
      </c>
    </row>
    <row r="549" spans="1:40" x14ac:dyDescent="0.25">
      <c r="A549" t="str">
        <f>"20190312172103327"</f>
        <v>20190312172103327</v>
      </c>
      <c r="B549" t="str">
        <f>"1552382463321712"</f>
        <v>1552382463321712</v>
      </c>
      <c r="C549" t="s">
        <v>40</v>
      </c>
      <c r="D549">
        <v>3.2526290000000002</v>
      </c>
      <c r="E549">
        <v>0.50319650000000005</v>
      </c>
      <c r="F549" t="s">
        <v>41</v>
      </c>
      <c r="G549">
        <v>-390.18099999999998</v>
      </c>
      <c r="H549">
        <v>1.038284</v>
      </c>
      <c r="I549">
        <v>367.68029999999999</v>
      </c>
      <c r="J549">
        <v>-390.79829999999998</v>
      </c>
      <c r="K549">
        <v>1.1077300000000001</v>
      </c>
      <c r="L549">
        <v>367.68239999999997</v>
      </c>
      <c r="M549">
        <v>0.99990919999999905</v>
      </c>
      <c r="N549">
        <v>0</v>
      </c>
      <c r="O549">
        <v>-9.7490189999999994E-3</v>
      </c>
      <c r="P549">
        <v>0.9851818</v>
      </c>
      <c r="Q549">
        <v>0.1715071</v>
      </c>
      <c r="R549">
        <v>1.613487E-3</v>
      </c>
      <c r="S549">
        <v>3.091888</v>
      </c>
      <c r="T549">
        <v>-0.26841690000000001</v>
      </c>
      <c r="U549">
        <v>-1.38855E-2</v>
      </c>
      <c r="V549">
        <v>-1.121219E-2</v>
      </c>
      <c r="W549">
        <v>0.1806789</v>
      </c>
      <c r="X549">
        <v>0.98347819999999997</v>
      </c>
      <c r="Y549">
        <v>-5.2024219999999999E-3</v>
      </c>
      <c r="Z549">
        <v>1.070168E-3</v>
      </c>
      <c r="AA549">
        <v>0.99998589999999998</v>
      </c>
      <c r="AB549">
        <v>36</v>
      </c>
      <c r="AC549">
        <v>0.61729999999999996</v>
      </c>
      <c r="AD549">
        <v>-6.9445999999999897E-2</v>
      </c>
      <c r="AE549">
        <v>-2.0999999999844398E-3</v>
      </c>
      <c r="AF549">
        <v>-3.8694577736613301E-3</v>
      </c>
      <c r="AG549">
        <v>-6.9445999999999897E-2</v>
      </c>
      <c r="AH549">
        <v>0.60957632985779397</v>
      </c>
      <c r="AI549">
        <v>96.499271699445899</v>
      </c>
      <c r="AJ549">
        <v>90.363696244174406</v>
      </c>
      <c r="AK549">
        <v>0.61353159783531896</v>
      </c>
      <c r="AL549">
        <v>79.590693428095804</v>
      </c>
      <c r="AM549">
        <v>90.6531749624382</v>
      </c>
      <c r="AN549">
        <v>0.99999997399252205</v>
      </c>
    </row>
    <row r="550" spans="1:40" x14ac:dyDescent="0.25">
      <c r="A550" t="str">
        <f>"20190312172103338"</f>
        <v>20190312172103338</v>
      </c>
      <c r="B550" t="str">
        <f>"1552382463331472"</f>
        <v>1552382463331472</v>
      </c>
      <c r="C550" t="s">
        <v>40</v>
      </c>
      <c r="D550">
        <v>3.26993</v>
      </c>
      <c r="E550">
        <v>0.50302500000000006</v>
      </c>
      <c r="F550" t="s">
        <v>41</v>
      </c>
      <c r="G550">
        <v>-389.86320000000001</v>
      </c>
      <c r="H550">
        <v>1.0267360000000001</v>
      </c>
      <c r="I550">
        <v>367.67840000000001</v>
      </c>
      <c r="J550">
        <v>-390.60759999999999</v>
      </c>
      <c r="K550">
        <v>1.107925</v>
      </c>
      <c r="L550">
        <v>367.68049999999999</v>
      </c>
      <c r="M550">
        <v>0.99990829999999997</v>
      </c>
      <c r="N550">
        <v>0</v>
      </c>
      <c r="O550">
        <v>-9.7488609999999993E-3</v>
      </c>
      <c r="P550">
        <v>0.98515909999999995</v>
      </c>
      <c r="Q550">
        <v>0.1716346</v>
      </c>
      <c r="R550">
        <v>1.7939640000000001E-3</v>
      </c>
      <c r="S550">
        <v>3.0917970000000001</v>
      </c>
      <c r="T550">
        <v>-0.26792759999999999</v>
      </c>
      <c r="U550">
        <v>-1.235962E-2</v>
      </c>
      <c r="V550">
        <v>-1.1391800000000001E-2</v>
      </c>
      <c r="W550">
        <v>0.1808989</v>
      </c>
      <c r="X550">
        <v>0.98343579999999997</v>
      </c>
      <c r="Y550">
        <v>-5.6940089999999999E-3</v>
      </c>
      <c r="Z550">
        <v>1.0895049999999999E-3</v>
      </c>
      <c r="AA550">
        <v>0.99998319999999996</v>
      </c>
      <c r="AB550">
        <v>36</v>
      </c>
      <c r="AC550">
        <v>0.74439999999998396</v>
      </c>
      <c r="AD550">
        <v>-8.11889999999999E-2</v>
      </c>
      <c r="AE550">
        <v>-2.0999999999844398E-3</v>
      </c>
      <c r="AF550">
        <v>-5.0968436628558997E-3</v>
      </c>
      <c r="AG550">
        <v>-8.11889999999999E-2</v>
      </c>
      <c r="AH550">
        <v>0.73563444670109301</v>
      </c>
      <c r="AI550">
        <v>96.297864856097704</v>
      </c>
      <c r="AJ550">
        <v>90.396967487480595</v>
      </c>
      <c r="AK550">
        <v>0.74011868690740901</v>
      </c>
      <c r="AL550">
        <v>79.577878274776893</v>
      </c>
      <c r="AM550">
        <v>90.663665965679797</v>
      </c>
      <c r="AN550">
        <v>1.0000000789250401</v>
      </c>
    </row>
    <row r="551" spans="1:40" x14ac:dyDescent="0.25">
      <c r="A551" t="str">
        <f>"20190312172103350"</f>
        <v>20190312172103350</v>
      </c>
      <c r="B551" t="str">
        <f>"1552382463342207"</f>
        <v>1552382463342207</v>
      </c>
      <c r="C551" t="s">
        <v>40</v>
      </c>
      <c r="D551">
        <v>3.250108</v>
      </c>
      <c r="E551">
        <v>0.502938</v>
      </c>
      <c r="F551" t="s">
        <v>42</v>
      </c>
      <c r="G551">
        <v>-377.78789999999998</v>
      </c>
      <c r="H551" s="1">
        <v>-1.282322E-6</v>
      </c>
      <c r="I551">
        <v>367.63740000000001</v>
      </c>
      <c r="J551">
        <v>-390.42110000000002</v>
      </c>
      <c r="K551">
        <v>1.108093</v>
      </c>
      <c r="L551">
        <v>367.67869999999999</v>
      </c>
      <c r="M551">
        <v>0.99990749999999995</v>
      </c>
      <c r="N551">
        <v>0</v>
      </c>
      <c r="O551">
        <v>-9.7484219999999996E-3</v>
      </c>
      <c r="P551">
        <v>0.9851936</v>
      </c>
      <c r="Q551">
        <v>0.17143349999999999</v>
      </c>
      <c r="R551">
        <v>2.1431409999999999E-3</v>
      </c>
      <c r="S551">
        <v>3.0917659999999998</v>
      </c>
      <c r="T551">
        <v>-0.26720169999999999</v>
      </c>
      <c r="U551">
        <v>-1.037598E-2</v>
      </c>
      <c r="V551">
        <v>-1.174095E-2</v>
      </c>
      <c r="W551">
        <v>0.18078069999999999</v>
      </c>
      <c r="X551">
        <v>0.98345329999999997</v>
      </c>
      <c r="Y551">
        <v>-6.3330369999999997E-3</v>
      </c>
      <c r="Z551">
        <v>1.1141009999999999E-3</v>
      </c>
      <c r="AA551">
        <v>0.99997930000000002</v>
      </c>
      <c r="AB551">
        <v>36</v>
      </c>
      <c r="AC551">
        <v>12.6332</v>
      </c>
      <c r="AD551">
        <v>-1.1080942823219999</v>
      </c>
      <c r="AE551">
        <v>-4.1299999999978299E-2</v>
      </c>
      <c r="AF551">
        <v>-8.1236278696905001E-2</v>
      </c>
      <c r="AG551">
        <v>-1.1080942823219999</v>
      </c>
      <c r="AH551">
        <v>12.536552739017001</v>
      </c>
      <c r="AI551">
        <v>95.051088300296001</v>
      </c>
      <c r="AJ551">
        <v>90.371268790081601</v>
      </c>
      <c r="AK551">
        <v>12.585691353662099</v>
      </c>
      <c r="AL551">
        <v>79.584762832919594</v>
      </c>
      <c r="AM551">
        <v>90.683992748246894</v>
      </c>
      <c r="AN551">
        <v>0.99999995234014005</v>
      </c>
    </row>
    <row r="552" spans="1:40" x14ac:dyDescent="0.25">
      <c r="A552" t="str">
        <f>"20190312172103361"</f>
        <v>20190312172103361</v>
      </c>
      <c r="B552" t="str">
        <f>"1552382463351968"</f>
        <v>1552382463351968</v>
      </c>
      <c r="C552" t="s">
        <v>40</v>
      </c>
      <c r="D552">
        <v>3.2528649999999999</v>
      </c>
      <c r="E552">
        <v>0.50282640000000001</v>
      </c>
      <c r="F552" t="s">
        <v>41</v>
      </c>
      <c r="G552">
        <v>-389.53339999999997</v>
      </c>
      <c r="H552">
        <v>1.031355</v>
      </c>
      <c r="I552">
        <v>367.67579999999998</v>
      </c>
      <c r="J552">
        <v>-390.22800000000001</v>
      </c>
      <c r="K552">
        <v>1.108258</v>
      </c>
      <c r="L552">
        <v>367.67680000000001</v>
      </c>
      <c r="M552">
        <v>0.99990670000000004</v>
      </c>
      <c r="N552">
        <v>0</v>
      </c>
      <c r="O552">
        <v>-9.7481080000000001E-3</v>
      </c>
      <c r="P552">
        <v>0.98518309999999998</v>
      </c>
      <c r="Q552">
        <v>0.1714879</v>
      </c>
      <c r="R552">
        <v>2.4274779999999998E-3</v>
      </c>
      <c r="S552">
        <v>3.0917050000000001</v>
      </c>
      <c r="T552">
        <v>-0.26757189999999997</v>
      </c>
      <c r="U552">
        <v>-8.6364749999999994E-3</v>
      </c>
      <c r="V552">
        <v>-1.2025289999999999E-2</v>
      </c>
      <c r="W552">
        <v>0.1809181</v>
      </c>
      <c r="X552">
        <v>0.98342470000000004</v>
      </c>
      <c r="Y552">
        <v>-6.8930199999999997E-3</v>
      </c>
      <c r="Z552">
        <v>1.1398230000000001E-3</v>
      </c>
      <c r="AA552">
        <v>0.99997559999999996</v>
      </c>
      <c r="AB552">
        <v>37</v>
      </c>
      <c r="AC552">
        <v>0.69460000000003597</v>
      </c>
      <c r="AD552">
        <v>-7.6902999999999902E-2</v>
      </c>
      <c r="AE552">
        <v>-1.0000000000331901E-3</v>
      </c>
      <c r="AF552">
        <v>-5.7015048719037797E-3</v>
      </c>
      <c r="AG552">
        <v>-7.6902999999999902E-2</v>
      </c>
      <c r="AH552">
        <v>0.686165790097085</v>
      </c>
      <c r="AI552">
        <v>96.394600222713905</v>
      </c>
      <c r="AJ552">
        <v>90.476072478249407</v>
      </c>
      <c r="AK552">
        <v>0.69048538729386699</v>
      </c>
      <c r="AL552">
        <v>79.5767594724324</v>
      </c>
      <c r="AM552">
        <v>90.700576289230298</v>
      </c>
      <c r="AN552">
        <v>1.00000005353864</v>
      </c>
    </row>
    <row r="553" spans="1:40" x14ac:dyDescent="0.25">
      <c r="A553" t="str">
        <f>"20190312172103374"</f>
        <v>20190312172103374</v>
      </c>
      <c r="B553" t="str">
        <f>"1552382463361728"</f>
        <v>1552382463361728</v>
      </c>
      <c r="C553" t="s">
        <v>40</v>
      </c>
      <c r="D553">
        <v>3.228424</v>
      </c>
      <c r="E553">
        <v>0.50268699999999999</v>
      </c>
      <c r="F553" t="s">
        <v>41</v>
      </c>
      <c r="G553">
        <v>-389.21249999999998</v>
      </c>
      <c r="H553">
        <v>1.0206109999999999</v>
      </c>
      <c r="I553">
        <v>367.67450000000002</v>
      </c>
      <c r="J553">
        <v>-390.01859999999999</v>
      </c>
      <c r="K553">
        <v>1.1084130000000001</v>
      </c>
      <c r="L553">
        <v>367.6748</v>
      </c>
      <c r="M553">
        <v>0.99990590000000001</v>
      </c>
      <c r="N553">
        <v>0</v>
      </c>
      <c r="O553">
        <v>-9.7480329999999997E-3</v>
      </c>
      <c r="P553">
        <v>0.98520260000000004</v>
      </c>
      <c r="Q553">
        <v>0.17137529999999901</v>
      </c>
      <c r="R553">
        <v>2.5290450000000002E-3</v>
      </c>
      <c r="S553">
        <v>3.091583</v>
      </c>
      <c r="T553">
        <v>-0.26685890000000001</v>
      </c>
      <c r="U553">
        <v>-6.8969729999999998E-3</v>
      </c>
      <c r="V553">
        <v>-1.2126639999999999E-2</v>
      </c>
      <c r="W553">
        <v>0.18088860000000001</v>
      </c>
      <c r="X553">
        <v>0.98342879999999999</v>
      </c>
      <c r="Y553">
        <v>-7.4537229999999998E-3</v>
      </c>
      <c r="Z553">
        <v>1.1609910000000001E-3</v>
      </c>
      <c r="AA553">
        <v>0.99997159999999996</v>
      </c>
      <c r="AB553">
        <v>37</v>
      </c>
      <c r="AC553">
        <v>0.80610000000001403</v>
      </c>
      <c r="AD553">
        <v>-8.78019999999997E-2</v>
      </c>
      <c r="AE553">
        <v>-2.9999999998153699E-4</v>
      </c>
      <c r="AF553">
        <v>-7.4696498499086097E-3</v>
      </c>
      <c r="AG553">
        <v>-8.78019999999997E-2</v>
      </c>
      <c r="AH553">
        <v>0.79661360167331896</v>
      </c>
      <c r="AI553">
        <v>96.289424913673002</v>
      </c>
      <c r="AJ553">
        <v>90.537232690292001</v>
      </c>
      <c r="AK553">
        <v>0.801472530560978</v>
      </c>
      <c r="AL553">
        <v>79.578477202485601</v>
      </c>
      <c r="AM553">
        <v>90.706477255021696</v>
      </c>
      <c r="AN553">
        <v>0.99999997283854403</v>
      </c>
    </row>
    <row r="554" spans="1:40" x14ac:dyDescent="0.25">
      <c r="A554" t="str">
        <f>"20190312172103389"</f>
        <v>20190312172103389</v>
      </c>
      <c r="B554" t="str">
        <f>"1552382463382225"</f>
        <v>1552382463382225</v>
      </c>
      <c r="C554" t="s">
        <v>40</v>
      </c>
      <c r="D554">
        <v>3.2048299999999998</v>
      </c>
      <c r="E554">
        <v>0.50249460000000001</v>
      </c>
      <c r="F554" t="s">
        <v>41</v>
      </c>
      <c r="G554">
        <v>-389.20100000000002</v>
      </c>
      <c r="H554">
        <v>1.037841</v>
      </c>
      <c r="I554">
        <v>367.67329999999998</v>
      </c>
      <c r="J554">
        <v>-389.79689999999999</v>
      </c>
      <c r="K554">
        <v>1.108562</v>
      </c>
      <c r="L554">
        <v>367.67270000000002</v>
      </c>
      <c r="M554">
        <v>0.99990500000000004</v>
      </c>
      <c r="N554">
        <v>0</v>
      </c>
      <c r="O554">
        <v>-9.7477210000000009E-3</v>
      </c>
      <c r="P554">
        <v>0.98525770000000001</v>
      </c>
      <c r="Q554">
        <v>0.1710564</v>
      </c>
      <c r="R554">
        <v>2.661409E-3</v>
      </c>
      <c r="S554">
        <v>3.0914920000000001</v>
      </c>
      <c r="T554">
        <v>-0.26687100000000002</v>
      </c>
      <c r="U554">
        <v>-5.493164E-3</v>
      </c>
      <c r="V554">
        <v>-1.225943E-2</v>
      </c>
      <c r="W554">
        <v>0.18065220000000001</v>
      </c>
      <c r="X554">
        <v>0.98347059999999997</v>
      </c>
      <c r="Y554">
        <v>-7.9057369999999995E-3</v>
      </c>
      <c r="Z554">
        <v>1.180527E-3</v>
      </c>
      <c r="AA554">
        <v>0.99996810000000003</v>
      </c>
      <c r="AB554">
        <v>37</v>
      </c>
      <c r="AC554">
        <v>0.59590000000002796</v>
      </c>
      <c r="AD554">
        <v>-7.0721000000000006E-2</v>
      </c>
      <c r="AE554">
        <v>5.9999999996307397E-4</v>
      </c>
      <c r="AF554">
        <v>-6.31989998779902E-3</v>
      </c>
      <c r="AG554">
        <v>-7.0721000000000006E-2</v>
      </c>
      <c r="AH554">
        <v>0.58758977379550004</v>
      </c>
      <c r="AI554">
        <v>96.862587624193196</v>
      </c>
      <c r="AJ554">
        <v>90.616228617665698</v>
      </c>
      <c r="AK554">
        <v>0.59186412566221902</v>
      </c>
      <c r="AL554">
        <v>79.592248736231895</v>
      </c>
      <c r="AM554">
        <v>90.714182223023698</v>
      </c>
      <c r="AN554">
        <v>0.99999996602656105</v>
      </c>
    </row>
    <row r="555" spans="1:40" x14ac:dyDescent="0.25">
      <c r="A555" t="str">
        <f>"20190312172103405"</f>
        <v>20190312172103405</v>
      </c>
      <c r="B555" t="str">
        <f>"1552382463401743"</f>
        <v>1552382463401743</v>
      </c>
      <c r="C555" t="s">
        <v>40</v>
      </c>
      <c r="D555">
        <v>3.213848</v>
      </c>
      <c r="E555">
        <v>0.50240229999999997</v>
      </c>
      <c r="F555" t="s">
        <v>41</v>
      </c>
      <c r="G555">
        <v>-388.88060000000002</v>
      </c>
      <c r="H555">
        <v>1.0294449999999999</v>
      </c>
      <c r="I555">
        <v>367.67129999999997</v>
      </c>
      <c r="J555">
        <v>-389.51429999999999</v>
      </c>
      <c r="K555">
        <v>1.108733</v>
      </c>
      <c r="L555">
        <v>367.66989999999998</v>
      </c>
      <c r="M555">
        <v>0.99990400000000002</v>
      </c>
      <c r="N555">
        <v>0</v>
      </c>
      <c r="O555">
        <v>-9.7473690000000005E-3</v>
      </c>
      <c r="P555">
        <v>0.98530469999999903</v>
      </c>
      <c r="Q555">
        <v>0.1707825</v>
      </c>
      <c r="R555">
        <v>2.845588E-3</v>
      </c>
      <c r="S555">
        <v>3.0913089999999999</v>
      </c>
      <c r="T555">
        <v>-0.26718500000000001</v>
      </c>
      <c r="U555">
        <v>-3.2958979999999998E-3</v>
      </c>
      <c r="V555">
        <v>-1.244367E-2</v>
      </c>
      <c r="W555">
        <v>0.18047630000000001</v>
      </c>
      <c r="X555">
        <v>0.98350059999999995</v>
      </c>
      <c r="Y555">
        <v>-8.6132520000000001E-3</v>
      </c>
      <c r="Z555">
        <v>1.21247E-3</v>
      </c>
      <c r="AA555">
        <v>0.99996220000000002</v>
      </c>
      <c r="AB555">
        <v>37</v>
      </c>
      <c r="AC555">
        <v>0.63369999999997595</v>
      </c>
      <c r="AD555">
        <v>-7.9287999999999803E-2</v>
      </c>
      <c r="AE555">
        <v>1.39999999998963E-3</v>
      </c>
      <c r="AF555">
        <v>-7.4603510280359603E-3</v>
      </c>
      <c r="AG555">
        <v>-7.9287999999999803E-2</v>
      </c>
      <c r="AH555">
        <v>0.62388942878765996</v>
      </c>
      <c r="AI555">
        <v>97.242189030380203</v>
      </c>
      <c r="AJ555">
        <v>90.685099372098804</v>
      </c>
      <c r="AK555">
        <v>0.62895171764965696</v>
      </c>
      <c r="AL555">
        <v>79.602495687508295</v>
      </c>
      <c r="AM555">
        <v>90.724892014614397</v>
      </c>
      <c r="AN555">
        <v>0.99999998499255904</v>
      </c>
    </row>
    <row r="556" spans="1:40" x14ac:dyDescent="0.25">
      <c r="A556" t="str">
        <f>"20190312172103417"</f>
        <v>20190312172103417</v>
      </c>
      <c r="B556" t="str">
        <f>"1552382463411504"</f>
        <v>1552382463411504</v>
      </c>
      <c r="C556" t="s">
        <v>40</v>
      </c>
      <c r="D556">
        <v>3.2243230000000001</v>
      </c>
      <c r="E556">
        <v>0.5023649</v>
      </c>
      <c r="F556" t="s">
        <v>41</v>
      </c>
      <c r="G556">
        <v>-388.55549999999999</v>
      </c>
      <c r="H556">
        <v>1.0258020000000001</v>
      </c>
      <c r="I556">
        <v>367.66899999999998</v>
      </c>
      <c r="J556">
        <v>-389.322</v>
      </c>
      <c r="K556">
        <v>1.1088359999999999</v>
      </c>
      <c r="L556">
        <v>367.66800000000001</v>
      </c>
      <c r="M556">
        <v>0.99990349999999995</v>
      </c>
      <c r="N556">
        <v>0</v>
      </c>
      <c r="O556">
        <v>-9.7473200000000003E-3</v>
      </c>
      <c r="P556">
        <v>0.98527310000000001</v>
      </c>
      <c r="Q556">
        <v>0.17096529999999999</v>
      </c>
      <c r="R556">
        <v>2.8043949999999999E-3</v>
      </c>
      <c r="S556">
        <v>3.0910950000000001</v>
      </c>
      <c r="T556">
        <v>-0.26745449999999998</v>
      </c>
      <c r="U556">
        <v>-2.532959E-3</v>
      </c>
      <c r="V556">
        <v>-1.24023E-2</v>
      </c>
      <c r="W556">
        <v>0.1807202</v>
      </c>
      <c r="X556">
        <v>0.98345640000000001</v>
      </c>
      <c r="Y556">
        <v>-8.8588780000000006E-3</v>
      </c>
      <c r="Z556">
        <v>1.224375E-3</v>
      </c>
      <c r="AA556">
        <v>0.99995999999999996</v>
      </c>
      <c r="AB556">
        <v>37</v>
      </c>
      <c r="AC556">
        <v>0.76649999999995</v>
      </c>
      <c r="AD556">
        <v>-8.3033999999999997E-2</v>
      </c>
      <c r="AE556">
        <v>1.0000000000331901E-3</v>
      </c>
      <c r="AF556">
        <v>-8.3733768873872003E-3</v>
      </c>
      <c r="AG556">
        <v>-8.3033999999999997E-2</v>
      </c>
      <c r="AH556">
        <v>0.75756374738687804</v>
      </c>
      <c r="AI556">
        <v>96.254648829134894</v>
      </c>
      <c r="AJ556">
        <v>90.633266337901205</v>
      </c>
      <c r="AK556">
        <v>0.762146698445482</v>
      </c>
      <c r="AL556">
        <v>79.588288298842599</v>
      </c>
      <c r="AM556">
        <v>90.722514775088698</v>
      </c>
      <c r="AN556">
        <v>1.0000000492171399</v>
      </c>
    </row>
    <row r="557" spans="1:40" x14ac:dyDescent="0.25">
      <c r="A557" t="str">
        <f>"20190312172103428"</f>
        <v>20190312172103428</v>
      </c>
      <c r="B557" t="str">
        <f>"1552382463422239"</f>
        <v>1552382463422239</v>
      </c>
      <c r="C557" t="s">
        <v>40</v>
      </c>
      <c r="D557">
        <v>3.2063130000000002</v>
      </c>
      <c r="E557">
        <v>0.50231459999999895</v>
      </c>
      <c r="F557" t="s">
        <v>42</v>
      </c>
      <c r="G557">
        <v>-376.47359999999998</v>
      </c>
      <c r="H557" s="1">
        <v>-1.842289E-6</v>
      </c>
      <c r="I557">
        <v>367.6592</v>
      </c>
      <c r="J557">
        <v>-389.15339999999998</v>
      </c>
      <c r="K557">
        <v>1.108914</v>
      </c>
      <c r="L557">
        <v>367.66640000000001</v>
      </c>
      <c r="M557">
        <v>0.99990299999999999</v>
      </c>
      <c r="N557">
        <v>0</v>
      </c>
      <c r="O557">
        <v>-9.7468559999999999E-3</v>
      </c>
      <c r="P557">
        <v>0.98526979999999997</v>
      </c>
      <c r="Q557">
        <v>0.1709871</v>
      </c>
      <c r="R557">
        <v>2.6433730000000001E-3</v>
      </c>
      <c r="S557">
        <v>3.0910950000000001</v>
      </c>
      <c r="T557">
        <v>-0.26676630000000001</v>
      </c>
      <c r="U557">
        <v>-2.1057129999999999E-3</v>
      </c>
      <c r="V557">
        <v>-1.2240819999999999E-2</v>
      </c>
      <c r="W557">
        <v>0.18079190000000001</v>
      </c>
      <c r="X557">
        <v>0.98344520000000002</v>
      </c>
      <c r="Y557">
        <v>-8.9964780000000005E-3</v>
      </c>
      <c r="Z557">
        <v>1.227124E-3</v>
      </c>
      <c r="AA557">
        <v>0.99995880000000004</v>
      </c>
      <c r="AB557">
        <v>37</v>
      </c>
      <c r="AC557">
        <v>12.6798</v>
      </c>
      <c r="AD557">
        <v>-1.108915842289</v>
      </c>
      <c r="AE557">
        <v>-7.2000000000116398E-3</v>
      </c>
      <c r="AF557">
        <v>-0.11551116524387101</v>
      </c>
      <c r="AG557">
        <v>-1.108915842289</v>
      </c>
      <c r="AH557">
        <v>12.583027419272099</v>
      </c>
      <c r="AI557">
        <v>95.036134485704807</v>
      </c>
      <c r="AJ557">
        <v>90.525955808081093</v>
      </c>
      <c r="AK557">
        <v>12.632324259958301</v>
      </c>
      <c r="AL557">
        <v>79.584110924706593</v>
      </c>
      <c r="AM557">
        <v>90.713116611346095</v>
      </c>
      <c r="AN557">
        <v>1.0000000050914599</v>
      </c>
    </row>
    <row r="558" spans="1:40" x14ac:dyDescent="0.25">
      <c r="A558" t="str">
        <f>"20190312172103439"</f>
        <v>20190312172103439</v>
      </c>
      <c r="B558" t="str">
        <f>"1552382463432000"</f>
        <v>1552382463432000</v>
      </c>
      <c r="C558" t="s">
        <v>40</v>
      </c>
      <c r="D558">
        <v>3.1805379999999999</v>
      </c>
      <c r="E558">
        <v>0.50224369999999996</v>
      </c>
      <c r="F558" t="s">
        <v>41</v>
      </c>
      <c r="G558">
        <v>-388.22609999999997</v>
      </c>
      <c r="H558">
        <v>1.0290870000000001</v>
      </c>
      <c r="I558">
        <v>367.6653</v>
      </c>
      <c r="J558">
        <v>-388.95710000000003</v>
      </c>
      <c r="K558">
        <v>1.1090059999999999</v>
      </c>
      <c r="L558">
        <v>367.66449999999998</v>
      </c>
      <c r="M558">
        <v>0.99990250000000003</v>
      </c>
      <c r="N558">
        <v>0</v>
      </c>
      <c r="O558">
        <v>-9.7467839999999997E-3</v>
      </c>
      <c r="P558">
        <v>0.98525320000000005</v>
      </c>
      <c r="Q558">
        <v>0.1710863</v>
      </c>
      <c r="R558">
        <v>2.441693E-3</v>
      </c>
      <c r="S558">
        <v>3.0910950000000001</v>
      </c>
      <c r="T558">
        <v>-0.26644459999999998</v>
      </c>
      <c r="U558">
        <v>-2.4108889999999998E-3</v>
      </c>
      <c r="V558">
        <v>-1.203882E-2</v>
      </c>
      <c r="W558">
        <v>0.18094759999999999</v>
      </c>
      <c r="X558">
        <v>0.98341909999999999</v>
      </c>
      <c r="Y558">
        <v>-8.8982219999999904E-3</v>
      </c>
      <c r="Z558">
        <v>1.221417E-3</v>
      </c>
      <c r="AA558">
        <v>0.99995959999999995</v>
      </c>
      <c r="AB558">
        <v>37</v>
      </c>
      <c r="AC558">
        <v>0.73100000000005105</v>
      </c>
      <c r="AD558">
        <v>-7.9918999999999796E-2</v>
      </c>
      <c r="AE558">
        <v>8.0000000002655703E-4</v>
      </c>
      <c r="AF558">
        <v>-7.8316087293432094E-3</v>
      </c>
      <c r="AG558">
        <v>-7.9918999999999796E-2</v>
      </c>
      <c r="AH558">
        <v>0.72232378009257003</v>
      </c>
      <c r="AI558">
        <v>96.313244763848402</v>
      </c>
      <c r="AJ558">
        <v>90.621190327240896</v>
      </c>
      <c r="AK558">
        <v>0.72677370889672999</v>
      </c>
      <c r="AL558">
        <v>79.575040810271503</v>
      </c>
      <c r="AM558">
        <v>90.701368442551598</v>
      </c>
      <c r="AN558">
        <v>1.00000004668878</v>
      </c>
    </row>
    <row r="559" spans="1:40" x14ac:dyDescent="0.25">
      <c r="A559" t="str">
        <f>"20190312172103450"</f>
        <v>20190312172103450</v>
      </c>
      <c r="B559" t="str">
        <f>"1552382463441760"</f>
        <v>1552382463441760</v>
      </c>
      <c r="C559" t="s">
        <v>40</v>
      </c>
      <c r="D559">
        <v>3.1714180000000001</v>
      </c>
      <c r="E559">
        <v>0.50219199999999997</v>
      </c>
      <c r="F559" t="s">
        <v>42</v>
      </c>
      <c r="G559">
        <v>-376.07639999999998</v>
      </c>
      <c r="H559" s="1">
        <v>-2.01375E-6</v>
      </c>
      <c r="I559">
        <v>367.65320000000003</v>
      </c>
      <c r="J559">
        <v>-388.77460000000002</v>
      </c>
      <c r="K559">
        <v>1.109076</v>
      </c>
      <c r="L559">
        <v>367.66269999999997</v>
      </c>
      <c r="M559">
        <v>0.99990179999999995</v>
      </c>
      <c r="N559">
        <v>0</v>
      </c>
      <c r="O559">
        <v>-9.7464289999999992E-3</v>
      </c>
      <c r="P559">
        <v>0.98519760000000001</v>
      </c>
      <c r="Q559">
        <v>0.17140639999999999</v>
      </c>
      <c r="R559">
        <v>2.3849140000000001E-3</v>
      </c>
      <c r="S559">
        <v>3.0910950000000001</v>
      </c>
      <c r="T559">
        <v>-0.26613710000000002</v>
      </c>
      <c r="U559">
        <v>-2.6855469999999999E-3</v>
      </c>
      <c r="V559">
        <v>-1.198079E-2</v>
      </c>
      <c r="W559">
        <v>0.18131439999999999</v>
      </c>
      <c r="X559">
        <v>0.98335220000000001</v>
      </c>
      <c r="Y559">
        <v>-8.8095080000000006E-3</v>
      </c>
      <c r="Z559">
        <v>1.2161699999999999E-3</v>
      </c>
      <c r="AA559">
        <v>0.99996050000000003</v>
      </c>
      <c r="AB559">
        <v>37</v>
      </c>
      <c r="AC559">
        <v>12.6982</v>
      </c>
      <c r="AD559">
        <v>-1.10907801375</v>
      </c>
      <c r="AE559">
        <v>-9.4999999999458799E-3</v>
      </c>
      <c r="AF559">
        <v>-0.11340372976724999</v>
      </c>
      <c r="AG559">
        <v>-1.10907801375</v>
      </c>
      <c r="AH559">
        <v>12.601558308918101</v>
      </c>
      <c r="AI559">
        <v>95.029506603378593</v>
      </c>
      <c r="AJ559">
        <v>90.515601288650899</v>
      </c>
      <c r="AK559">
        <v>12.6507780890968</v>
      </c>
      <c r="AL559">
        <v>79.553670752732103</v>
      </c>
      <c r="AM559">
        <v>90.698035494949195</v>
      </c>
      <c r="AN559">
        <v>1.00000000011061</v>
      </c>
    </row>
    <row r="560" spans="1:40" x14ac:dyDescent="0.25">
      <c r="A560" t="str">
        <f>"20190312172103462"</f>
        <v>20190312172103462</v>
      </c>
      <c r="B560" t="str">
        <f>"1552382463451520"</f>
        <v>1552382463451520</v>
      </c>
      <c r="C560" t="s">
        <v>40</v>
      </c>
      <c r="D560">
        <v>3.1687880000000002</v>
      </c>
      <c r="E560">
        <v>0.50214529999999902</v>
      </c>
      <c r="F560" t="s">
        <v>41</v>
      </c>
      <c r="G560">
        <v>-387.89460000000003</v>
      </c>
      <c r="H560">
        <v>1.033603</v>
      </c>
      <c r="I560">
        <v>367.66199999999998</v>
      </c>
      <c r="J560">
        <v>-388.58780000000002</v>
      </c>
      <c r="K560">
        <v>1.109137</v>
      </c>
      <c r="L560">
        <v>367.66090000000003</v>
      </c>
      <c r="M560">
        <v>0.9999015</v>
      </c>
      <c r="N560">
        <v>0</v>
      </c>
      <c r="O560">
        <v>-9.746434E-3</v>
      </c>
      <c r="P560">
        <v>0.98519480000000004</v>
      </c>
      <c r="Q560">
        <v>0.17142779999999999</v>
      </c>
      <c r="R560">
        <v>2.0511169999999999E-3</v>
      </c>
      <c r="S560">
        <v>3.0912169999999999</v>
      </c>
      <c r="T560">
        <v>-0.26499430000000002</v>
      </c>
      <c r="U560">
        <v>-2.5939940000000001E-3</v>
      </c>
      <c r="V560">
        <v>-1.1646780000000001E-2</v>
      </c>
      <c r="W560">
        <v>0.18138380000000001</v>
      </c>
      <c r="X560">
        <v>0.98334339999999998</v>
      </c>
      <c r="Y560">
        <v>-8.8396480000000003E-3</v>
      </c>
      <c r="Z560">
        <v>1.2122089999999999E-3</v>
      </c>
      <c r="AA560">
        <v>0.99996019999999997</v>
      </c>
      <c r="AB560">
        <v>37</v>
      </c>
      <c r="AC560">
        <v>0.69319999999999005</v>
      </c>
      <c r="AD560">
        <v>-7.5533999999999907E-2</v>
      </c>
      <c r="AE560">
        <v>1.09999999995125E-3</v>
      </c>
      <c r="AF560">
        <v>-7.7643331169480996E-3</v>
      </c>
      <c r="AG560">
        <v>-7.5533999999999907E-2</v>
      </c>
      <c r="AH560">
        <v>0.68502295418047698</v>
      </c>
      <c r="AI560">
        <v>96.291894383240901</v>
      </c>
      <c r="AJ560">
        <v>90.649386223789804</v>
      </c>
      <c r="AK560">
        <v>0.68921848334102198</v>
      </c>
      <c r="AL560">
        <v>79.549627236257095</v>
      </c>
      <c r="AM560">
        <v>90.678583023656699</v>
      </c>
      <c r="AN560">
        <v>0.99999998635518395</v>
      </c>
    </row>
    <row r="561" spans="1:40" x14ac:dyDescent="0.25">
      <c r="A561" t="str">
        <f>"20190312172103472"</f>
        <v>20190312172103472</v>
      </c>
      <c r="B561" t="str">
        <f>"1552382463462257"</f>
        <v>1552382463462257</v>
      </c>
      <c r="C561" t="s">
        <v>40</v>
      </c>
      <c r="D561">
        <v>3.1508609999999999</v>
      </c>
      <c r="E561">
        <v>0.50211049999999902</v>
      </c>
      <c r="F561" t="s">
        <v>41</v>
      </c>
      <c r="G561">
        <v>-387.57400000000001</v>
      </c>
      <c r="H561">
        <v>1.0223770000000001</v>
      </c>
      <c r="I561">
        <v>367.65949999999998</v>
      </c>
      <c r="J561">
        <v>-388.39909999999998</v>
      </c>
      <c r="K561">
        <v>1.1092</v>
      </c>
      <c r="L561">
        <v>367.65899999999999</v>
      </c>
      <c r="M561">
        <v>0.99990089999999998</v>
      </c>
      <c r="N561">
        <v>0</v>
      </c>
      <c r="O561">
        <v>-9.7460749999999999E-3</v>
      </c>
      <c r="P561">
        <v>0.98522010000000004</v>
      </c>
      <c r="Q561">
        <v>0.17128570000000001</v>
      </c>
      <c r="R561">
        <v>1.7119539999999999E-3</v>
      </c>
      <c r="S561">
        <v>3.0911559999999998</v>
      </c>
      <c r="T561">
        <v>-0.26483329999999999</v>
      </c>
      <c r="U561">
        <v>-2.8686520000000002E-3</v>
      </c>
      <c r="V561">
        <v>-1.13075E-2</v>
      </c>
      <c r="W561">
        <v>0.18128810000000001</v>
      </c>
      <c r="X561">
        <v>0.98336500000000004</v>
      </c>
      <c r="Y561">
        <v>-8.7508389999999998E-3</v>
      </c>
      <c r="Z561">
        <v>1.2076719999999999E-3</v>
      </c>
      <c r="AA561">
        <v>0.99996099999999999</v>
      </c>
      <c r="AB561">
        <v>37</v>
      </c>
      <c r="AC561">
        <v>0.82509999999996297</v>
      </c>
      <c r="AD561">
        <v>-8.6822999999999803E-2</v>
      </c>
      <c r="AE561">
        <v>4.9999999998817603E-4</v>
      </c>
      <c r="AF561">
        <v>-8.4483313012325804E-3</v>
      </c>
      <c r="AG561">
        <v>-8.6822999999999803E-2</v>
      </c>
      <c r="AH561">
        <v>0.81602033059933998</v>
      </c>
      <c r="AI561">
        <v>96.072989181400899</v>
      </c>
      <c r="AJ561">
        <v>90.593167125600402</v>
      </c>
      <c r="AK561">
        <v>0.820669718938278</v>
      </c>
      <c r="AL561">
        <v>79.555202802093106</v>
      </c>
      <c r="AM561">
        <v>90.658802656998205</v>
      </c>
      <c r="AN561">
        <v>0.99999997899142901</v>
      </c>
    </row>
    <row r="562" spans="1:40" x14ac:dyDescent="0.25">
      <c r="A562" t="str">
        <f>"20190312172103485"</f>
        <v>20190312172103485</v>
      </c>
      <c r="B562" t="str">
        <f>"1552382463481776"</f>
        <v>1552382463481776</v>
      </c>
      <c r="C562" t="s">
        <v>40</v>
      </c>
      <c r="D562">
        <v>3.1413199999999999</v>
      </c>
      <c r="E562">
        <v>0.50212879999999904</v>
      </c>
      <c r="F562" t="s">
        <v>41</v>
      </c>
      <c r="G562">
        <v>-387.56349999999998</v>
      </c>
      <c r="H562">
        <v>1.0376479999999999</v>
      </c>
      <c r="I562">
        <v>367.6576</v>
      </c>
      <c r="J562">
        <v>-388.21010000000001</v>
      </c>
      <c r="K562">
        <v>1.109256</v>
      </c>
      <c r="L562">
        <v>367.65719999999999</v>
      </c>
      <c r="M562">
        <v>0.99990049999999997</v>
      </c>
      <c r="N562">
        <v>0</v>
      </c>
      <c r="O562">
        <v>-9.7457110000000007E-3</v>
      </c>
      <c r="P562">
        <v>0.98520779999999997</v>
      </c>
      <c r="Q562">
        <v>0.1713578</v>
      </c>
      <c r="R562">
        <v>1.4508609999999999E-3</v>
      </c>
      <c r="S562">
        <v>3.0910639999999998</v>
      </c>
      <c r="T562">
        <v>-0.26509389999999999</v>
      </c>
      <c r="U562">
        <v>-3.6315919999999999E-3</v>
      </c>
      <c r="V562">
        <v>-1.104608E-2</v>
      </c>
      <c r="W562">
        <v>0.18140490000000001</v>
      </c>
      <c r="X562">
        <v>0.98334650000000001</v>
      </c>
      <c r="Y562">
        <v>-8.5044079999999998E-3</v>
      </c>
      <c r="Z562">
        <v>1.1983129999999999E-3</v>
      </c>
      <c r="AA562">
        <v>0.99996309999999999</v>
      </c>
      <c r="AB562">
        <v>37</v>
      </c>
      <c r="AC562">
        <v>0.64660000000003404</v>
      </c>
      <c r="AD562">
        <v>-7.1608000000000102E-2</v>
      </c>
      <c r="AE562">
        <v>4.0000000001327803E-4</v>
      </c>
      <c r="AF562">
        <v>-6.6206857637853998E-3</v>
      </c>
      <c r="AG562">
        <v>-7.1608000000000102E-2</v>
      </c>
      <c r="AH562">
        <v>0.63873163656574194</v>
      </c>
      <c r="AI562">
        <v>96.396360885085699</v>
      </c>
      <c r="AJ562">
        <v>90.593870329064202</v>
      </c>
      <c r="AK562">
        <v>0.64276717611739798</v>
      </c>
      <c r="AL562">
        <v>79.548398535197606</v>
      </c>
      <c r="AM562">
        <v>90.643585090188793</v>
      </c>
      <c r="AN562">
        <v>1.00000004634481</v>
      </c>
    </row>
    <row r="563" spans="1:40" x14ac:dyDescent="0.25">
      <c r="A563" t="str">
        <f>"20190312172103496"</f>
        <v>20190312172103496</v>
      </c>
      <c r="B563" t="str">
        <f>"1552382463491536"</f>
        <v>1552382463491536</v>
      </c>
      <c r="C563" t="s">
        <v>40</v>
      </c>
      <c r="D563">
        <v>3.1068470000000001</v>
      </c>
      <c r="E563">
        <v>0.50210580000000005</v>
      </c>
      <c r="F563" t="s">
        <v>41</v>
      </c>
      <c r="G563">
        <v>-387.2439</v>
      </c>
      <c r="H563">
        <v>1.0263519999999999</v>
      </c>
      <c r="I563">
        <v>367.65550000000002</v>
      </c>
      <c r="J563">
        <v>-388.02800000000002</v>
      </c>
      <c r="K563">
        <v>1.1093059999999999</v>
      </c>
      <c r="L563">
        <v>367.65539999999999</v>
      </c>
      <c r="M563">
        <v>0.99990000000000001</v>
      </c>
      <c r="N563">
        <v>0</v>
      </c>
      <c r="O563">
        <v>-9.7456899999999996E-3</v>
      </c>
      <c r="P563">
        <v>0.98524400000000001</v>
      </c>
      <c r="Q563">
        <v>0.17115039999999901</v>
      </c>
      <c r="R563">
        <v>1.403517E-3</v>
      </c>
      <c r="S563">
        <v>3.0911870000000001</v>
      </c>
      <c r="T563">
        <v>-0.26540960000000002</v>
      </c>
      <c r="U563">
        <v>-4.4555659999999898E-3</v>
      </c>
      <c r="V563">
        <v>-1.099953E-2</v>
      </c>
      <c r="W563">
        <v>0.18123980000000001</v>
      </c>
      <c r="X563">
        <v>0.98337739999999996</v>
      </c>
      <c r="Y563">
        <v>-8.2387150000000006E-3</v>
      </c>
      <c r="Z563">
        <v>1.1883E-3</v>
      </c>
      <c r="AA563">
        <v>0.9999654</v>
      </c>
      <c r="AB563">
        <v>37</v>
      </c>
      <c r="AC563">
        <v>0.784100000000023</v>
      </c>
      <c r="AD563">
        <v>-8.2953999999999695E-2</v>
      </c>
      <c r="AE563">
        <v>1.00000000031741E-4</v>
      </c>
      <c r="AF563">
        <v>-7.6562980065711201E-3</v>
      </c>
      <c r="AG563">
        <v>-8.2953999999999695E-2</v>
      </c>
      <c r="AH563">
        <v>0.77538321478517602</v>
      </c>
      <c r="AI563">
        <v>96.106238827639302</v>
      </c>
      <c r="AJ563">
        <v>90.565732270239295</v>
      </c>
      <c r="AK563">
        <v>0.77984557111376895</v>
      </c>
      <c r="AL563">
        <v>79.558016843887103</v>
      </c>
      <c r="AM563">
        <v>90.640853007292094</v>
      </c>
      <c r="AN563">
        <v>0.99999998279751001</v>
      </c>
    </row>
    <row r="564" spans="1:40" x14ac:dyDescent="0.25">
      <c r="A564" t="str">
        <f>"20190312172103508"</f>
        <v>20190312172103508</v>
      </c>
      <c r="B564" t="str">
        <f>"1552382463502272"</f>
        <v>1552382463502272</v>
      </c>
      <c r="C564" t="s">
        <v>40</v>
      </c>
      <c r="D564">
        <v>3.1288629999999999</v>
      </c>
      <c r="E564">
        <v>0.50207040000000003</v>
      </c>
      <c r="F564" t="s">
        <v>41</v>
      </c>
      <c r="G564">
        <v>-387.22629999999998</v>
      </c>
      <c r="H564">
        <v>1.0403709999999999</v>
      </c>
      <c r="I564">
        <v>367.654</v>
      </c>
      <c r="J564">
        <v>-387.84160000000003</v>
      </c>
      <c r="K564">
        <v>1.1093519999999999</v>
      </c>
      <c r="L564">
        <v>367.65359999999998</v>
      </c>
      <c r="M564">
        <v>0.99989950000000005</v>
      </c>
      <c r="N564">
        <v>0</v>
      </c>
      <c r="O564">
        <v>-9.745185E-3</v>
      </c>
      <c r="P564">
        <v>0.98525110000000005</v>
      </c>
      <c r="Q564">
        <v>0.1711075</v>
      </c>
      <c r="R564">
        <v>1.4974539999999901E-3</v>
      </c>
      <c r="S564">
        <v>3.0911249999999999</v>
      </c>
      <c r="T564">
        <v>-0.26594909999999999</v>
      </c>
      <c r="U564">
        <v>-4.5166019999999998E-3</v>
      </c>
      <c r="V564">
        <v>-1.1092380000000001E-2</v>
      </c>
      <c r="W564">
        <v>0.18123800000000001</v>
      </c>
      <c r="X564">
        <v>0.98337669999999999</v>
      </c>
      <c r="Y564">
        <v>-8.2182479999999992E-3</v>
      </c>
      <c r="Z564">
        <v>1.189809E-3</v>
      </c>
      <c r="AA564">
        <v>0.99996549999999995</v>
      </c>
      <c r="AB564">
        <v>37</v>
      </c>
      <c r="AC564">
        <v>0.61530000000004703</v>
      </c>
      <c r="AD564">
        <v>-6.8981000000000098E-2</v>
      </c>
      <c r="AE564">
        <v>4.0000000001327803E-4</v>
      </c>
      <c r="AF564">
        <v>-6.3171142957811899E-3</v>
      </c>
      <c r="AG564">
        <v>-6.8981000000000098E-2</v>
      </c>
      <c r="AH564">
        <v>0.60762985842291195</v>
      </c>
      <c r="AI564">
        <v>96.476410552296699</v>
      </c>
      <c r="AJ564">
        <v>90.595643784822599</v>
      </c>
      <c r="AK564">
        <v>0.61156547412445905</v>
      </c>
      <c r="AL564">
        <v>79.558121829411306</v>
      </c>
      <c r="AM564">
        <v>90.646262623503702</v>
      </c>
      <c r="AN564">
        <v>0.999999993820477</v>
      </c>
    </row>
    <row r="565" spans="1:40" x14ac:dyDescent="0.25">
      <c r="A565" t="str">
        <f>"20190312172103519"</f>
        <v>20190312172103519</v>
      </c>
      <c r="B565" t="str">
        <f>"1552382463512354"</f>
        <v>1552382463512354</v>
      </c>
      <c r="C565" t="s">
        <v>40</v>
      </c>
      <c r="D565">
        <v>3.2316660000000001</v>
      </c>
      <c r="E565">
        <v>0.50204559999999998</v>
      </c>
      <c r="F565" t="s">
        <v>41</v>
      </c>
      <c r="G565">
        <v>-386.91370000000001</v>
      </c>
      <c r="H565">
        <v>1.029579</v>
      </c>
      <c r="I565">
        <v>367.65190000000001</v>
      </c>
      <c r="J565">
        <v>-387.64850000000001</v>
      </c>
      <c r="K565">
        <v>1.1093949999999999</v>
      </c>
      <c r="L565">
        <v>367.65170000000001</v>
      </c>
      <c r="M565">
        <v>0.99989910000000004</v>
      </c>
      <c r="N565">
        <v>0</v>
      </c>
      <c r="O565">
        <v>-9.74504E-3</v>
      </c>
      <c r="P565">
        <v>0.98525479999999999</v>
      </c>
      <c r="Q565">
        <v>0.17108609999999999</v>
      </c>
      <c r="R565">
        <v>1.6366130000000001E-3</v>
      </c>
      <c r="S565">
        <v>3.0910950000000001</v>
      </c>
      <c r="T565">
        <v>-0.26606370000000001</v>
      </c>
      <c r="U565">
        <v>-4.272461E-3</v>
      </c>
      <c r="V565">
        <v>-1.123207E-2</v>
      </c>
      <c r="W565">
        <v>0.18125720000000001</v>
      </c>
      <c r="X565">
        <v>0.98337160000000001</v>
      </c>
      <c r="Y565">
        <v>-8.2967240000000001E-3</v>
      </c>
      <c r="Z565">
        <v>1.1936900000000001E-3</v>
      </c>
      <c r="AA565">
        <v>0.99996490000000005</v>
      </c>
      <c r="AB565">
        <v>37</v>
      </c>
      <c r="AC565">
        <v>0.734800000000007</v>
      </c>
      <c r="AD565">
        <v>-7.9816000000000095E-2</v>
      </c>
      <c r="AE565">
        <v>2.0000000000663901E-4</v>
      </c>
      <c r="AF565">
        <v>-7.2751891466252298E-3</v>
      </c>
      <c r="AG565">
        <v>-7.9816000000000095E-2</v>
      </c>
      <c r="AH565">
        <v>0.72619485403822603</v>
      </c>
      <c r="AI565">
        <v>96.271885289697806</v>
      </c>
      <c r="AJ565">
        <v>90.5739832587373</v>
      </c>
      <c r="AK565">
        <v>0.73060419398243204</v>
      </c>
      <c r="AL565">
        <v>79.557003476935193</v>
      </c>
      <c r="AM565">
        <v>90.654403912099596</v>
      </c>
      <c r="AN565">
        <v>1.00000001781744</v>
      </c>
    </row>
    <row r="566" spans="1:40" x14ac:dyDescent="0.25">
      <c r="A566" t="str">
        <f>"20190312172103529"</f>
        <v>20190312172103529</v>
      </c>
      <c r="B566" t="str">
        <f>"1552382463522114"</f>
        <v>1552382463522114</v>
      </c>
      <c r="C566" t="s">
        <v>40</v>
      </c>
      <c r="D566">
        <v>3.1180219999999998</v>
      </c>
      <c r="E566">
        <v>0.50202869999999999</v>
      </c>
      <c r="F566" t="s">
        <v>42</v>
      </c>
      <c r="G566">
        <v>-374.74979999999999</v>
      </c>
      <c r="H566" s="1">
        <v>-2.5860849999999999E-6</v>
      </c>
      <c r="I566">
        <v>367.63490000000002</v>
      </c>
      <c r="J566">
        <v>-387.47590000000002</v>
      </c>
      <c r="K566">
        <v>1.109432</v>
      </c>
      <c r="L566">
        <v>367.6499</v>
      </c>
      <c r="M566">
        <v>0.99989890000000003</v>
      </c>
      <c r="N566">
        <v>0</v>
      </c>
      <c r="O566">
        <v>-9.7448670000000008E-3</v>
      </c>
      <c r="P566">
        <v>0.98525260000000003</v>
      </c>
      <c r="Q566">
        <v>0.17109820000000001</v>
      </c>
      <c r="R566">
        <v>1.770549E-3</v>
      </c>
      <c r="S566">
        <v>3.0910639999999998</v>
      </c>
      <c r="T566">
        <v>-0.26585700000000001</v>
      </c>
      <c r="U566">
        <v>-3.9978030000000003E-3</v>
      </c>
      <c r="V566">
        <v>-1.136561E-2</v>
      </c>
      <c r="W566">
        <v>0.18130499999999999</v>
      </c>
      <c r="X566">
        <v>0.98336120000000005</v>
      </c>
      <c r="Y566">
        <v>-8.3851669999999903E-3</v>
      </c>
      <c r="Z566">
        <v>1.1965599999999999E-3</v>
      </c>
      <c r="AA566">
        <v>0.99996410000000002</v>
      </c>
      <c r="AB566">
        <v>37</v>
      </c>
      <c r="AC566">
        <v>12.726100000000001</v>
      </c>
      <c r="AD566">
        <v>-1.1094345860849999</v>
      </c>
      <c r="AE566">
        <v>-1.49999999999863E-2</v>
      </c>
      <c r="AF566">
        <v>-0.10819920245002899</v>
      </c>
      <c r="AG566">
        <v>-1.1094345860849999</v>
      </c>
      <c r="AH566">
        <v>12.629656781547</v>
      </c>
      <c r="AI566">
        <v>95.019998290114998</v>
      </c>
      <c r="AJ566">
        <v>90.490845166594397</v>
      </c>
      <c r="AK566">
        <v>12.678753195322001</v>
      </c>
      <c r="AL566">
        <v>79.554218037870797</v>
      </c>
      <c r="AM566">
        <v>90.662190545943304</v>
      </c>
      <c r="AN566">
        <v>0.99999996489055498</v>
      </c>
    </row>
    <row r="567" spans="1:40" x14ac:dyDescent="0.25">
      <c r="A567" t="str">
        <f>"20190312172103541"</f>
        <v>20190312172103541</v>
      </c>
      <c r="B567" t="str">
        <f>"1552382463531874"</f>
        <v>1552382463531874</v>
      </c>
      <c r="C567" t="s">
        <v>40</v>
      </c>
      <c r="D567">
        <v>3.230896</v>
      </c>
      <c r="E567">
        <v>0.50200080000000002</v>
      </c>
      <c r="F567" t="s">
        <v>41</v>
      </c>
      <c r="G567">
        <v>-386.58249999999998</v>
      </c>
      <c r="H567">
        <v>1.032729</v>
      </c>
      <c r="I567">
        <v>367.64870000000002</v>
      </c>
      <c r="J567">
        <v>-387.28149999999999</v>
      </c>
      <c r="K567">
        <v>1.1094710000000001</v>
      </c>
      <c r="L567">
        <v>367.64800000000002</v>
      </c>
      <c r="M567">
        <v>0.99989839999999997</v>
      </c>
      <c r="N567">
        <v>0</v>
      </c>
      <c r="O567">
        <v>-9.7447160000000005E-3</v>
      </c>
      <c r="P567">
        <v>0.98529610000000001</v>
      </c>
      <c r="Q567">
        <v>0.1708462</v>
      </c>
      <c r="R567">
        <v>1.807962E-3</v>
      </c>
      <c r="S567">
        <v>3.0910340000000001</v>
      </c>
      <c r="T567">
        <v>-0.26558870000000001</v>
      </c>
      <c r="U567">
        <v>-3.4179689999999999E-3</v>
      </c>
      <c r="V567">
        <v>-1.140358E-2</v>
      </c>
      <c r="W567">
        <v>0.18109259999999999</v>
      </c>
      <c r="X567">
        <v>0.98339989999999999</v>
      </c>
      <c r="Y567">
        <v>-8.5720309999999904E-3</v>
      </c>
      <c r="Z567">
        <v>1.2033689999999999E-3</v>
      </c>
      <c r="AA567">
        <v>0.99996249999999998</v>
      </c>
      <c r="AB567">
        <v>37</v>
      </c>
      <c r="AC567">
        <v>0.69900000000001195</v>
      </c>
      <c r="AD567">
        <v>-7.6741999999999796E-2</v>
      </c>
      <c r="AE567">
        <v>6.9999999999481501E-4</v>
      </c>
      <c r="AF567">
        <v>-7.4224260265444396E-3</v>
      </c>
      <c r="AG567">
        <v>-7.6741999999999796E-2</v>
      </c>
      <c r="AH567">
        <v>0.69063544448837499</v>
      </c>
      <c r="AI567">
        <v>96.340216068497</v>
      </c>
      <c r="AJ567">
        <v>90.6157478827744</v>
      </c>
      <c r="AK567">
        <v>0.694925711249609</v>
      </c>
      <c r="AL567">
        <v>79.566592528873898</v>
      </c>
      <c r="AM567">
        <v>90.664376436675894</v>
      </c>
      <c r="AN567">
        <v>0.999999967365792</v>
      </c>
    </row>
    <row r="568" spans="1:40" x14ac:dyDescent="0.25">
      <c r="A568" t="str">
        <f>"20190312172103553"</f>
        <v>20190312172103553</v>
      </c>
      <c r="B568" t="str">
        <f>"1552382463541634"</f>
        <v>1552382463541634</v>
      </c>
      <c r="C568" t="s">
        <v>40</v>
      </c>
      <c r="D568">
        <v>3.2311730000000001</v>
      </c>
      <c r="E568">
        <v>0.50198580000000004</v>
      </c>
      <c r="F568" t="s">
        <v>41</v>
      </c>
      <c r="G568">
        <v>-386.26060000000001</v>
      </c>
      <c r="H568">
        <v>1.0216829999999999</v>
      </c>
      <c r="I568">
        <v>367.64659999999998</v>
      </c>
      <c r="J568">
        <v>-387.08909999999997</v>
      </c>
      <c r="K568">
        <v>1.1095010000000001</v>
      </c>
      <c r="L568">
        <v>367.64620000000002</v>
      </c>
      <c r="M568">
        <v>0.99989799999999995</v>
      </c>
      <c r="N568">
        <v>0</v>
      </c>
      <c r="O568">
        <v>-9.7445559999999997E-3</v>
      </c>
      <c r="P568">
        <v>0.98526670000000005</v>
      </c>
      <c r="Q568">
        <v>0.17101629999999901</v>
      </c>
      <c r="R568">
        <v>1.7634E-3</v>
      </c>
      <c r="S568">
        <v>3.0909420000000001</v>
      </c>
      <c r="T568">
        <v>-0.26617030000000003</v>
      </c>
      <c r="U568">
        <v>-2.746582E-3</v>
      </c>
      <c r="V568">
        <v>-1.135859E-2</v>
      </c>
      <c r="W568">
        <v>0.18129980000000001</v>
      </c>
      <c r="X568">
        <v>0.98336230000000002</v>
      </c>
      <c r="Y568">
        <v>-8.7879489999999998E-3</v>
      </c>
      <c r="Z568">
        <v>1.2152969999999999E-3</v>
      </c>
      <c r="AA568">
        <v>0.99996070000000004</v>
      </c>
      <c r="AB568">
        <v>37</v>
      </c>
      <c r="AC568">
        <v>0.82849999999996204</v>
      </c>
      <c r="AD568">
        <v>-8.7818000000000104E-2</v>
      </c>
      <c r="AE568">
        <v>3.9999999995643499E-4</v>
      </c>
      <c r="AF568">
        <v>-8.3796386551995804E-3</v>
      </c>
      <c r="AG568">
        <v>-8.7818000000000104E-2</v>
      </c>
      <c r="AH568">
        <v>0.81925227355478003</v>
      </c>
      <c r="AI568">
        <v>96.1180187869832</v>
      </c>
      <c r="AJ568">
        <v>90.586023624226598</v>
      </c>
      <c r="AK568">
        <v>0.82398817175531602</v>
      </c>
      <c r="AL568">
        <v>79.554521621683094</v>
      </c>
      <c r="AM568">
        <v>90.661780838323693</v>
      </c>
      <c r="AN568">
        <v>1.0000000240540501</v>
      </c>
    </row>
    <row r="569" spans="1:40" x14ac:dyDescent="0.25">
      <c r="A569" t="str">
        <f>"20190312172103565"</f>
        <v>20190312172103565</v>
      </c>
      <c r="B569" t="str">
        <f>"1552382463562130"</f>
        <v>1552382463562130</v>
      </c>
      <c r="C569" t="s">
        <v>40</v>
      </c>
      <c r="D569">
        <v>3.1051160000000002</v>
      </c>
      <c r="E569">
        <v>0.50194430000000001</v>
      </c>
      <c r="F569" t="s">
        <v>41</v>
      </c>
      <c r="G569">
        <v>-386.24990000000003</v>
      </c>
      <c r="H569">
        <v>1.0375399999999999</v>
      </c>
      <c r="I569">
        <v>367.64510000000001</v>
      </c>
      <c r="J569">
        <v>-386.90649999999999</v>
      </c>
      <c r="K569">
        <v>1.109524</v>
      </c>
      <c r="L569">
        <v>367.64440000000002</v>
      </c>
      <c r="M569">
        <v>0.9998977</v>
      </c>
      <c r="N569">
        <v>0</v>
      </c>
      <c r="O569">
        <v>-9.7444999999999997E-3</v>
      </c>
      <c r="P569">
        <v>0.98529639999999996</v>
      </c>
      <c r="Q569">
        <v>0.17084739999999901</v>
      </c>
      <c r="R569">
        <v>1.610944E-3</v>
      </c>
      <c r="S569">
        <v>3.0909420000000001</v>
      </c>
      <c r="T569">
        <v>-0.26550010000000002</v>
      </c>
      <c r="U569">
        <v>-2.4414060000000001E-3</v>
      </c>
      <c r="V569">
        <v>-1.120648E-2</v>
      </c>
      <c r="W569">
        <v>0.18116570000000001</v>
      </c>
      <c r="X569">
        <v>0.9833887</v>
      </c>
      <c r="Y569">
        <v>-8.8866050000000005E-3</v>
      </c>
      <c r="Z569">
        <v>1.216473E-3</v>
      </c>
      <c r="AA569">
        <v>0.99995979999999995</v>
      </c>
      <c r="AB569">
        <v>37</v>
      </c>
      <c r="AC569">
        <v>0.65659999999996899</v>
      </c>
      <c r="AD569">
        <v>-7.1984000000000006E-2</v>
      </c>
      <c r="AE569">
        <v>6.9999999999481501E-4</v>
      </c>
      <c r="AF569">
        <v>-7.01425166715212E-3</v>
      </c>
      <c r="AG569">
        <v>-7.1984000000000006E-2</v>
      </c>
      <c r="AH569">
        <v>0.648764475738147</v>
      </c>
      <c r="AI569">
        <v>96.331018607919702</v>
      </c>
      <c r="AJ569">
        <v>90.619441066574197</v>
      </c>
      <c r="AK569">
        <v>0.65278345640973701</v>
      </c>
      <c r="AL569">
        <v>79.562333746473598</v>
      </c>
      <c r="AM569">
        <v>90.652901761917207</v>
      </c>
      <c r="AN569">
        <v>0.999999965669084</v>
      </c>
    </row>
    <row r="570" spans="1:40" x14ac:dyDescent="0.25">
      <c r="A570" t="str">
        <f>"20190312172103578"</f>
        <v>20190312172103578</v>
      </c>
      <c r="B570" t="str">
        <f>"1552382463571890"</f>
        <v>1552382463571890</v>
      </c>
      <c r="C570" t="s">
        <v>40</v>
      </c>
      <c r="D570">
        <v>3.1026090000000002</v>
      </c>
      <c r="E570">
        <v>0.5019557</v>
      </c>
      <c r="F570" t="s">
        <v>41</v>
      </c>
      <c r="G570">
        <v>-385.92989999999998</v>
      </c>
      <c r="H570">
        <v>1.0254190000000001</v>
      </c>
      <c r="I570">
        <v>367.64370000000002</v>
      </c>
      <c r="J570">
        <v>-386.69229999999999</v>
      </c>
      <c r="K570">
        <v>1.1095539999999999</v>
      </c>
      <c r="L570">
        <v>367.64229999999998</v>
      </c>
      <c r="M570">
        <v>0.99989729999999999</v>
      </c>
      <c r="N570">
        <v>0</v>
      </c>
      <c r="O570">
        <v>-9.7443479999999999E-3</v>
      </c>
      <c r="P570">
        <v>0.98531659999999999</v>
      </c>
      <c r="Q570">
        <v>0.1707321</v>
      </c>
      <c r="R570">
        <v>1.529339E-3</v>
      </c>
      <c r="S570">
        <v>3.0909119999999999</v>
      </c>
      <c r="T570">
        <v>-0.26612799999999998</v>
      </c>
      <c r="U570">
        <v>-2.3498540000000002E-3</v>
      </c>
      <c r="V570">
        <v>-1.1125039999999999E-2</v>
      </c>
      <c r="W570">
        <v>0.18108969999999999</v>
      </c>
      <c r="X570">
        <v>0.98340360000000004</v>
      </c>
      <c r="Y570">
        <v>-8.9156359999999994E-3</v>
      </c>
      <c r="Z570">
        <v>1.2205860000000001E-3</v>
      </c>
      <c r="AA570">
        <v>0.9999595</v>
      </c>
      <c r="AB570">
        <v>37</v>
      </c>
      <c r="AC570">
        <v>0.76240000000001296</v>
      </c>
      <c r="AD570">
        <v>-8.4135000000000001E-2</v>
      </c>
      <c r="AE570">
        <v>1.40000000004647E-3</v>
      </c>
      <c r="AF570">
        <v>-8.72320106265226E-3</v>
      </c>
      <c r="AG570">
        <v>-8.4135000000000001E-2</v>
      </c>
      <c r="AH570">
        <v>0.75317774274191096</v>
      </c>
      <c r="AI570">
        <v>96.373474166117802</v>
      </c>
      <c r="AJ570">
        <v>90.663562171857706</v>
      </c>
      <c r="AK570">
        <v>0.75791259695533397</v>
      </c>
      <c r="AL570">
        <v>79.566761225358505</v>
      </c>
      <c r="AM570">
        <v>90.648147565165999</v>
      </c>
      <c r="AN570">
        <v>0.99999994322702401</v>
      </c>
    </row>
    <row r="571" spans="1:40" x14ac:dyDescent="0.25">
      <c r="A571" t="str">
        <f>"20190312172103593"</f>
        <v>20190312172103593</v>
      </c>
      <c r="B571" t="str">
        <f>"1552382463581650"</f>
        <v>1552382463581650</v>
      </c>
      <c r="C571" t="s">
        <v>40</v>
      </c>
      <c r="D571">
        <v>3.0732650000000001</v>
      </c>
      <c r="E571">
        <v>0.50197899999999995</v>
      </c>
      <c r="F571" t="s">
        <v>42</v>
      </c>
      <c r="G571">
        <v>-373.82659999999998</v>
      </c>
      <c r="H571" s="1">
        <v>-2.9824360000000002E-6</v>
      </c>
      <c r="I571">
        <v>367.63319999999999</v>
      </c>
      <c r="J571">
        <v>-386.4511</v>
      </c>
      <c r="K571">
        <v>1.1095820000000001</v>
      </c>
      <c r="L571">
        <v>367.64</v>
      </c>
      <c r="M571">
        <v>0.99989680000000003</v>
      </c>
      <c r="N571">
        <v>0</v>
      </c>
      <c r="O571">
        <v>-9.7440860000000008E-3</v>
      </c>
      <c r="P571">
        <v>0.98534080000000002</v>
      </c>
      <c r="Q571">
        <v>0.17059260000000001</v>
      </c>
      <c r="R571">
        <v>1.3498309999999999E-3</v>
      </c>
      <c r="S571">
        <v>3.0909119999999999</v>
      </c>
      <c r="T571">
        <v>-0.26656390000000002</v>
      </c>
      <c r="U571">
        <v>-2.166748E-3</v>
      </c>
      <c r="V571">
        <v>-1.094471E-2</v>
      </c>
      <c r="W571">
        <v>0.18099080000000001</v>
      </c>
      <c r="X571">
        <v>0.98342390000000002</v>
      </c>
      <c r="Y571">
        <v>-8.9741730000000002E-3</v>
      </c>
      <c r="Z571">
        <v>1.2250749999999999E-3</v>
      </c>
      <c r="AA571">
        <v>0.99995900000000004</v>
      </c>
      <c r="AB571">
        <v>37</v>
      </c>
      <c r="AC571">
        <v>12.624499999999999</v>
      </c>
      <c r="AD571">
        <v>-1.109584982436</v>
      </c>
      <c r="AE571">
        <v>-6.7999999999983603E-3</v>
      </c>
      <c r="AF571">
        <v>-0.115330475697624</v>
      </c>
      <c r="AG571">
        <v>-1.109584982436</v>
      </c>
      <c r="AH571">
        <v>12.5271955690128</v>
      </c>
      <c r="AI571">
        <v>95.061498885589501</v>
      </c>
      <c r="AJ571">
        <v>90.527473430722196</v>
      </c>
      <c r="AK571">
        <v>12.576768614241301</v>
      </c>
      <c r="AL571">
        <v>79.572523709712598</v>
      </c>
      <c r="AM571">
        <v>90.637629208405002</v>
      </c>
      <c r="AN571">
        <v>1.0000000117264101</v>
      </c>
    </row>
    <row r="572" spans="1:40" x14ac:dyDescent="0.25">
      <c r="A572" t="str">
        <f>"20190312172103608"</f>
        <v>20190312172103608</v>
      </c>
      <c r="B572" t="str">
        <f>"1552382463602146"</f>
        <v>1552382463602146</v>
      </c>
      <c r="C572" t="s">
        <v>40</v>
      </c>
      <c r="D572">
        <v>3.0977320000000002</v>
      </c>
      <c r="E572">
        <v>0.50199769999999999</v>
      </c>
      <c r="F572" t="s">
        <v>41</v>
      </c>
      <c r="G572">
        <v>-385.59359999999998</v>
      </c>
      <c r="H572">
        <v>1.0354989999999999</v>
      </c>
      <c r="I572">
        <v>367.63889999999998</v>
      </c>
      <c r="J572">
        <v>-386.1943</v>
      </c>
      <c r="K572">
        <v>1.109612</v>
      </c>
      <c r="L572">
        <v>367.63749999999999</v>
      </c>
      <c r="M572">
        <v>0.99989629999999996</v>
      </c>
      <c r="N572">
        <v>0</v>
      </c>
      <c r="O572">
        <v>-9.7437070000000008E-3</v>
      </c>
      <c r="P572">
        <v>0.98535649999999997</v>
      </c>
      <c r="Q572">
        <v>0.17050409999999999</v>
      </c>
      <c r="R572">
        <v>1.0260359999999999E-3</v>
      </c>
      <c r="S572">
        <v>3.090881</v>
      </c>
      <c r="T572">
        <v>-0.26725539999999998</v>
      </c>
      <c r="U572">
        <v>-2.89917E-3</v>
      </c>
      <c r="V572">
        <v>-1.0621240000000001E-2</v>
      </c>
      <c r="W572">
        <v>0.18094299999999999</v>
      </c>
      <c r="X572">
        <v>0.98343619999999998</v>
      </c>
      <c r="Y572">
        <v>-8.7373620000000003E-3</v>
      </c>
      <c r="Z572">
        <v>1.2180019999999999E-3</v>
      </c>
      <c r="AA572">
        <v>0.99996110000000005</v>
      </c>
      <c r="AB572">
        <v>37</v>
      </c>
      <c r="AC572">
        <v>0.600700000000017</v>
      </c>
      <c r="AD572">
        <v>-7.4113000000000095E-2</v>
      </c>
      <c r="AE572">
        <v>1.39999999998963E-3</v>
      </c>
      <c r="AF572">
        <v>-7.1445531914771697E-3</v>
      </c>
      <c r="AG572">
        <v>-7.4113000000000095E-2</v>
      </c>
      <c r="AH572">
        <v>0.59165172786647602</v>
      </c>
      <c r="AI572">
        <v>97.139426318373395</v>
      </c>
      <c r="AJ572">
        <v>90.691847635241402</v>
      </c>
      <c r="AK572">
        <v>0.59631832815761399</v>
      </c>
      <c r="AL572">
        <v>79.575307983164905</v>
      </c>
      <c r="AM572">
        <v>90.618777878794603</v>
      </c>
      <c r="AN572">
        <v>0.99999996972928795</v>
      </c>
    </row>
    <row r="573" spans="1:40" x14ac:dyDescent="0.25">
      <c r="A573" t="str">
        <f>"20190312172103622"</f>
        <v>20190312172103622</v>
      </c>
      <c r="B573" t="str">
        <f>"1552382463612412"</f>
        <v>1552382463612412</v>
      </c>
      <c r="C573" t="s">
        <v>40</v>
      </c>
      <c r="D573">
        <v>3.100317</v>
      </c>
      <c r="E573">
        <v>0.50201390000000001</v>
      </c>
      <c r="F573" t="s">
        <v>41</v>
      </c>
      <c r="G573">
        <v>-385.26929999999999</v>
      </c>
      <c r="H573">
        <v>1.0294460000000001</v>
      </c>
      <c r="I573">
        <v>367.63639999999998</v>
      </c>
      <c r="J573">
        <v>-385.96620000000001</v>
      </c>
      <c r="K573">
        <v>1.109634</v>
      </c>
      <c r="L573">
        <v>367.63529999999997</v>
      </c>
      <c r="M573">
        <v>0.99989600000000001</v>
      </c>
      <c r="N573">
        <v>0</v>
      </c>
      <c r="O573">
        <v>-9.7434119999999999E-3</v>
      </c>
      <c r="P573">
        <v>0.98539580000000004</v>
      </c>
      <c r="Q573">
        <v>0.17027870000000001</v>
      </c>
      <c r="R573">
        <v>7.3530149999999903E-4</v>
      </c>
      <c r="S573">
        <v>3.0909420000000001</v>
      </c>
      <c r="T573">
        <v>-0.2678122</v>
      </c>
      <c r="U573">
        <v>-4.2419429999999998E-3</v>
      </c>
      <c r="V573">
        <v>-1.03304E-2</v>
      </c>
      <c r="W573">
        <v>0.1807521</v>
      </c>
      <c r="X573">
        <v>0.98347439999999997</v>
      </c>
      <c r="Y573">
        <v>-8.3040249999999996E-3</v>
      </c>
      <c r="Z573">
        <v>1.201742E-3</v>
      </c>
      <c r="AA573">
        <v>0.99996479999999999</v>
      </c>
      <c r="AB573">
        <v>37</v>
      </c>
      <c r="AC573">
        <v>0.69690000000002705</v>
      </c>
      <c r="AD573">
        <v>-8.0188000000000106E-2</v>
      </c>
      <c r="AE573">
        <v>1.1000000000080899E-3</v>
      </c>
      <c r="AF573">
        <v>-7.78741278834808E-3</v>
      </c>
      <c r="AG573">
        <v>-8.0188000000000106E-2</v>
      </c>
      <c r="AH573">
        <v>0.68775061471019305</v>
      </c>
      <c r="AI573">
        <v>96.649928236449696</v>
      </c>
      <c r="AJ573">
        <v>90.648733435367802</v>
      </c>
      <c r="AK573">
        <v>0.69245336823224801</v>
      </c>
      <c r="AL573">
        <v>79.586429095445595</v>
      </c>
      <c r="AM573">
        <v>90.6018118557175</v>
      </c>
      <c r="AN573">
        <v>0.99999996713696404</v>
      </c>
    </row>
    <row r="574" spans="1:40" x14ac:dyDescent="0.25">
      <c r="A574" t="str">
        <f>"20190312172103635"</f>
        <v>20190312172103635</v>
      </c>
      <c r="B574" t="str">
        <f>"1552382463631932"</f>
        <v>1552382463631932</v>
      </c>
      <c r="C574" t="s">
        <v>40</v>
      </c>
      <c r="D574">
        <v>3.1085129999999999</v>
      </c>
      <c r="E574">
        <v>0.50203260000000005</v>
      </c>
      <c r="F574" t="s">
        <v>41</v>
      </c>
      <c r="G574">
        <v>-384.94439999999997</v>
      </c>
      <c r="H574">
        <v>1.020883</v>
      </c>
      <c r="I574">
        <v>367.63330000000002</v>
      </c>
      <c r="J574">
        <v>-385.73590000000002</v>
      </c>
      <c r="K574">
        <v>1.10965</v>
      </c>
      <c r="L574">
        <v>367.63299999999998</v>
      </c>
      <c r="M574">
        <v>0.9998956</v>
      </c>
      <c r="N574">
        <v>0</v>
      </c>
      <c r="O574">
        <v>-9.7425029999999996E-3</v>
      </c>
      <c r="P574">
        <v>0.98541339999999999</v>
      </c>
      <c r="Q574">
        <v>0.170178</v>
      </c>
      <c r="R574">
        <v>5.9496430000000001E-4</v>
      </c>
      <c r="S574">
        <v>3.0909119999999999</v>
      </c>
      <c r="T574">
        <v>-0.26864670000000002</v>
      </c>
      <c r="U574">
        <v>-5.3405759999999997E-3</v>
      </c>
      <c r="V574">
        <v>-1.018937E-2</v>
      </c>
      <c r="W574">
        <v>0.1806827</v>
      </c>
      <c r="X574">
        <v>0.98348869999999999</v>
      </c>
      <c r="Y574">
        <v>-7.9485990000000006E-3</v>
      </c>
      <c r="Z574">
        <v>1.189989E-3</v>
      </c>
      <c r="AA574">
        <v>0.99996770000000001</v>
      </c>
      <c r="AB574">
        <v>37</v>
      </c>
      <c r="AC574">
        <v>0.79150000000004095</v>
      </c>
      <c r="AD574">
        <v>-8.8766999999999999E-2</v>
      </c>
      <c r="AE574">
        <v>2.9999999998153699E-4</v>
      </c>
      <c r="AF574">
        <v>-7.9120999609884907E-3</v>
      </c>
      <c r="AG574">
        <v>-8.8766999999999999E-2</v>
      </c>
      <c r="AH574">
        <v>0.78162842203334704</v>
      </c>
      <c r="AI574">
        <v>96.478806872140595</v>
      </c>
      <c r="AJ574">
        <v>90.579961576727996</v>
      </c>
      <c r="AK574">
        <v>0.78669255223697998</v>
      </c>
      <c r="AL574">
        <v>79.590472778573698</v>
      </c>
      <c r="AM574">
        <v>90.593587918060194</v>
      </c>
      <c r="AN574">
        <v>1.0000000421839801</v>
      </c>
    </row>
    <row r="575" spans="1:40" x14ac:dyDescent="0.25">
      <c r="A575" t="str">
        <f>"20190312172103652"</f>
        <v>20190312172103652</v>
      </c>
      <c r="B575" t="str">
        <f>"1552382463641707"</f>
        <v>1552382463641707</v>
      </c>
      <c r="C575" t="s">
        <v>40</v>
      </c>
      <c r="D575">
        <v>3.0882809999999998</v>
      </c>
      <c r="E575">
        <v>0.50203469999999994</v>
      </c>
      <c r="F575" t="s">
        <v>41</v>
      </c>
      <c r="G575">
        <v>-384.9316</v>
      </c>
      <c r="H575">
        <v>1.039785</v>
      </c>
      <c r="I575">
        <v>367.63130000000001</v>
      </c>
      <c r="J575">
        <v>-385.47199999999998</v>
      </c>
      <c r="K575">
        <v>1.1096680000000001</v>
      </c>
      <c r="L575">
        <v>367.63049999999998</v>
      </c>
      <c r="M575">
        <v>0.99989539999999999</v>
      </c>
      <c r="N575">
        <v>0</v>
      </c>
      <c r="O575">
        <v>-9.7371699999999999E-3</v>
      </c>
      <c r="P575">
        <v>0.98543809999999998</v>
      </c>
      <c r="Q575">
        <v>0.17003499999999999</v>
      </c>
      <c r="R575">
        <v>3.3497719999999999E-4</v>
      </c>
      <c r="S575">
        <v>3.0908199999999999</v>
      </c>
      <c r="T575">
        <v>-0.26873140000000001</v>
      </c>
      <c r="U575">
        <v>-5.7373049999999998E-3</v>
      </c>
      <c r="V575">
        <v>-9.9250799999999993E-3</v>
      </c>
      <c r="W575">
        <v>0.18057290000000001</v>
      </c>
      <c r="X575">
        <v>0.98351149999999998</v>
      </c>
      <c r="Y575">
        <v>-7.8153440000000001E-3</v>
      </c>
      <c r="Z575">
        <v>1.1841530000000001E-3</v>
      </c>
      <c r="AA575">
        <v>0.99996879999999999</v>
      </c>
      <c r="AB575">
        <v>37</v>
      </c>
      <c r="AC575">
        <v>0.54039999999997601</v>
      </c>
      <c r="AD575">
        <v>-6.9883000000000098E-2</v>
      </c>
      <c r="AE575">
        <v>8.0000000002655703E-4</v>
      </c>
      <c r="AF575">
        <v>-5.9625191088018897E-3</v>
      </c>
      <c r="AG575">
        <v>-6.9883000000000098E-2</v>
      </c>
      <c r="AH575">
        <v>0.53147872532499496</v>
      </c>
      <c r="AI575">
        <v>97.490261455976196</v>
      </c>
      <c r="AJ575">
        <v>90.6427592161332</v>
      </c>
      <c r="AK575">
        <v>0.53608657957106598</v>
      </c>
      <c r="AL575">
        <v>79.596868357656604</v>
      </c>
      <c r="AM575">
        <v>90.578179200377505</v>
      </c>
      <c r="AN575">
        <v>0.99999997502983295</v>
      </c>
    </row>
    <row r="576" spans="1:40" x14ac:dyDescent="0.25">
      <c r="A576" t="str">
        <f>"20190312172103673"</f>
        <v>20190312172103673</v>
      </c>
      <c r="B576" t="str">
        <f>"1552382463662188"</f>
        <v>1552382463662188</v>
      </c>
      <c r="C576" t="s">
        <v>40</v>
      </c>
      <c r="D576">
        <v>3.0869390000000001</v>
      </c>
      <c r="E576">
        <v>0.50205859999999902</v>
      </c>
      <c r="F576" t="s">
        <v>41</v>
      </c>
      <c r="G576">
        <v>-384.60649999999998</v>
      </c>
      <c r="H576">
        <v>1.034349</v>
      </c>
      <c r="I576">
        <v>367.62849999999997</v>
      </c>
      <c r="J576">
        <v>-385.11309999999997</v>
      </c>
      <c r="K576">
        <v>1.109696</v>
      </c>
      <c r="L576">
        <v>367.62700000000001</v>
      </c>
      <c r="M576">
        <v>0.99989499999999998</v>
      </c>
      <c r="N576">
        <v>0</v>
      </c>
      <c r="O576">
        <v>-9.7164390000000003E-3</v>
      </c>
      <c r="P576">
        <v>0.98544889999999996</v>
      </c>
      <c r="Q576">
        <v>0.16997200000000001</v>
      </c>
      <c r="R576" s="1">
        <v>5.4285859999999897E-5</v>
      </c>
      <c r="S576">
        <v>3.0907589999999998</v>
      </c>
      <c r="T576">
        <v>-0.269103599999999</v>
      </c>
      <c r="U576">
        <v>-6.3476560000000001E-3</v>
      </c>
      <c r="V576">
        <v>-9.6282520000000003E-3</v>
      </c>
      <c r="W576">
        <v>0.1805542</v>
      </c>
      <c r="X576">
        <v>0.98351789999999994</v>
      </c>
      <c r="Y576">
        <v>-7.5978249999999999E-3</v>
      </c>
      <c r="Z576">
        <v>1.1745569999999999E-3</v>
      </c>
      <c r="AA576">
        <v>0.99997040000000004</v>
      </c>
      <c r="AB576">
        <v>37</v>
      </c>
      <c r="AC576">
        <v>0.50659999999999095</v>
      </c>
      <c r="AD576">
        <v>-7.5346999999999997E-2</v>
      </c>
      <c r="AE576">
        <v>1.5000000000213701E-3</v>
      </c>
      <c r="AF576">
        <v>-6.2835651638696102E-3</v>
      </c>
      <c r="AG576">
        <v>-7.5346999999999997E-2</v>
      </c>
      <c r="AH576">
        <v>0.495598548625443</v>
      </c>
      <c r="AI576">
        <v>98.643928641751998</v>
      </c>
      <c r="AJ576">
        <v>90.726399372685705</v>
      </c>
      <c r="AK576">
        <v>0.50133279864757896</v>
      </c>
      <c r="AL576">
        <v>79.597957861774901</v>
      </c>
      <c r="AM576">
        <v>90.560885146806399</v>
      </c>
      <c r="AN576">
        <v>0.99999999099731196</v>
      </c>
    </row>
    <row r="577" spans="1:40" x14ac:dyDescent="0.25">
      <c r="A577" t="str">
        <f>"20190312172103685"</f>
        <v>20190312172103685</v>
      </c>
      <c r="B577" t="str">
        <f>"1552382463681708"</f>
        <v>1552382463681708</v>
      </c>
      <c r="C577" t="s">
        <v>40</v>
      </c>
      <c r="D577">
        <v>3.1183190000000001</v>
      </c>
      <c r="E577">
        <v>0.50210840000000001</v>
      </c>
      <c r="F577" t="s">
        <v>41</v>
      </c>
      <c r="G577">
        <v>-384.27499999999998</v>
      </c>
      <c r="H577">
        <v>1.0366660000000001</v>
      </c>
      <c r="I577">
        <v>367.62459999999999</v>
      </c>
      <c r="J577">
        <v>-384.91430000000003</v>
      </c>
      <c r="K577">
        <v>1.1097129999999999</v>
      </c>
      <c r="L577">
        <v>367.62509999999997</v>
      </c>
      <c r="M577">
        <v>0.99989510000000004</v>
      </c>
      <c r="N577">
        <v>0</v>
      </c>
      <c r="O577">
        <v>-9.6951290000000002E-3</v>
      </c>
      <c r="P577">
        <v>0.98551940000000005</v>
      </c>
      <c r="Q577">
        <v>0.16956360000000001</v>
      </c>
      <c r="R577">
        <v>-4.0199140000000001E-4</v>
      </c>
      <c r="S577">
        <v>3.0908199999999999</v>
      </c>
      <c r="T577">
        <v>-0.26968399999999998</v>
      </c>
      <c r="U577">
        <v>-7.3242189999999999E-3</v>
      </c>
      <c r="V577">
        <v>-9.1552390000000008E-3</v>
      </c>
      <c r="W577">
        <v>0.18017050000000001</v>
      </c>
      <c r="X577">
        <v>0.98359280000000004</v>
      </c>
      <c r="Y577">
        <v>-7.2616869999999898E-3</v>
      </c>
      <c r="Z577">
        <v>1.160564E-3</v>
      </c>
      <c r="AA577">
        <v>0.99997290000000005</v>
      </c>
      <c r="AB577">
        <v>37</v>
      </c>
      <c r="AC577">
        <v>0.63930000000004805</v>
      </c>
      <c r="AD577">
        <v>-7.3046999999999807E-2</v>
      </c>
      <c r="AE577">
        <v>-4.9999999998817603E-4</v>
      </c>
      <c r="AF577">
        <v>-5.6250403699547799E-3</v>
      </c>
      <c r="AG577">
        <v>-7.3046999999999807E-2</v>
      </c>
      <c r="AH577">
        <v>0.63103627384566496</v>
      </c>
      <c r="AI577">
        <v>96.602751508424902</v>
      </c>
      <c r="AJ577">
        <v>90.510719510515898</v>
      </c>
      <c r="AK577">
        <v>0.63527496739379297</v>
      </c>
      <c r="AL577">
        <v>79.620309021665406</v>
      </c>
      <c r="AM577">
        <v>90.533291222818903</v>
      </c>
      <c r="AN577">
        <v>1.0000000118416099</v>
      </c>
    </row>
    <row r="578" spans="1:40" x14ac:dyDescent="0.25">
      <c r="A578" t="str">
        <f>"20190312172103696"</f>
        <v>20190312172103696</v>
      </c>
      <c r="B578" t="str">
        <f>"1552382463691468"</f>
        <v>1552382463691468</v>
      </c>
      <c r="C578" t="s">
        <v>40</v>
      </c>
      <c r="D578">
        <v>3.130004</v>
      </c>
      <c r="E578">
        <v>0.50209979999999999</v>
      </c>
      <c r="F578" t="s">
        <v>41</v>
      </c>
      <c r="G578">
        <v>-383.95310000000001</v>
      </c>
      <c r="H578">
        <v>1.0252239999999999</v>
      </c>
      <c r="I578">
        <v>367.62240000000003</v>
      </c>
      <c r="J578">
        <v>-384.72730000000001</v>
      </c>
      <c r="K578">
        <v>1.1097379999999999</v>
      </c>
      <c r="L578">
        <v>367.6232</v>
      </c>
      <c r="M578">
        <v>0.99989499999999998</v>
      </c>
      <c r="N578">
        <v>0</v>
      </c>
      <c r="O578">
        <v>-9.6681849999999993E-3</v>
      </c>
      <c r="P578">
        <v>0.9855545</v>
      </c>
      <c r="Q578">
        <v>0.1693586</v>
      </c>
      <c r="R578">
        <v>-5.2475459999999999E-4</v>
      </c>
      <c r="S578">
        <v>3.0908199999999999</v>
      </c>
      <c r="T578">
        <v>-0.27165600000000001</v>
      </c>
      <c r="U578">
        <v>-8.6364749999999994E-3</v>
      </c>
      <c r="V578">
        <v>-9.0101490000000003E-3</v>
      </c>
      <c r="W578">
        <v>0.1799885</v>
      </c>
      <c r="X578">
        <v>0.98362740000000004</v>
      </c>
      <c r="Y578">
        <v>-6.8110899999999997E-3</v>
      </c>
      <c r="Z578">
        <v>1.14689E-3</v>
      </c>
      <c r="AA578">
        <v>0.99997619999999998</v>
      </c>
      <c r="AB578">
        <v>37</v>
      </c>
      <c r="AC578">
        <v>0.77420000000000699</v>
      </c>
      <c r="AD578">
        <v>-8.4513999999999895E-2</v>
      </c>
      <c r="AE578">
        <v>-7.9999999996971296E-4</v>
      </c>
      <c r="AF578">
        <v>-6.6068514527669198E-3</v>
      </c>
      <c r="AG578">
        <v>-8.4513999999999895E-2</v>
      </c>
      <c r="AH578">
        <v>0.76505473372446997</v>
      </c>
      <c r="AI578">
        <v>96.303552929108605</v>
      </c>
      <c r="AJ578">
        <v>90.494781977842294</v>
      </c>
      <c r="AK578">
        <v>0.76973697603554003</v>
      </c>
      <c r="AL578">
        <v>79.6309095378124</v>
      </c>
      <c r="AM578">
        <v>90.524821769143401</v>
      </c>
      <c r="AN578">
        <v>0.99999995247400497</v>
      </c>
    </row>
    <row r="579" spans="1:40" x14ac:dyDescent="0.25">
      <c r="A579" t="str">
        <f>"20190312172103708"</f>
        <v>20190312172103708</v>
      </c>
      <c r="B579" t="str">
        <f>"1552382463702203"</f>
        <v>1552382463702203</v>
      </c>
      <c r="C579" t="s">
        <v>40</v>
      </c>
      <c r="D579">
        <v>3.1474600000000001</v>
      </c>
      <c r="E579">
        <v>0.50212049999999997</v>
      </c>
      <c r="F579" t="s">
        <v>41</v>
      </c>
      <c r="G579">
        <v>-383.94159999999999</v>
      </c>
      <c r="H579">
        <v>1.0404910000000001</v>
      </c>
      <c r="I579">
        <v>367.62090000000001</v>
      </c>
      <c r="J579">
        <v>-384.54840000000002</v>
      </c>
      <c r="K579">
        <v>1.109756</v>
      </c>
      <c r="L579">
        <v>367.6216</v>
      </c>
      <c r="M579">
        <v>0.99989519999999998</v>
      </c>
      <c r="N579">
        <v>0</v>
      </c>
      <c r="O579">
        <v>-9.6322709999999995E-3</v>
      </c>
      <c r="P579">
        <v>0.98557039999999996</v>
      </c>
      <c r="Q579">
        <v>0.16926529999999901</v>
      </c>
      <c r="R579">
        <v>-6.9219710000000001E-4</v>
      </c>
      <c r="S579">
        <v>3.0907290000000001</v>
      </c>
      <c r="T579">
        <v>-0.27235690000000001</v>
      </c>
      <c r="U579">
        <v>-9.2773439999999999E-3</v>
      </c>
      <c r="V579">
        <v>-8.8128040000000005E-3</v>
      </c>
      <c r="W579">
        <v>0.1799172</v>
      </c>
      <c r="X579">
        <v>0.98364229999999997</v>
      </c>
      <c r="Y579">
        <v>-6.5684949999999997E-3</v>
      </c>
      <c r="Z579">
        <v>1.1360439999999999E-3</v>
      </c>
      <c r="AA579">
        <v>0.99997780000000003</v>
      </c>
      <c r="AB579">
        <v>37</v>
      </c>
      <c r="AC579">
        <v>0.60680000000002099</v>
      </c>
      <c r="AD579">
        <v>-6.9264999999999896E-2</v>
      </c>
      <c r="AE579">
        <v>-6.9999999999481501E-4</v>
      </c>
      <c r="AF579">
        <v>-5.0790570902967602E-3</v>
      </c>
      <c r="AG579">
        <v>-6.9264999999999896E-2</v>
      </c>
      <c r="AH579">
        <v>0.59897410880237001</v>
      </c>
      <c r="AI579">
        <v>96.596114853656204</v>
      </c>
      <c r="AJ579">
        <v>90.4858332878824</v>
      </c>
      <c r="AK579">
        <v>0.60298708117298905</v>
      </c>
      <c r="AL579">
        <v>79.635063224531507</v>
      </c>
      <c r="AM579">
        <v>90.513319694661405</v>
      </c>
      <c r="AN579">
        <v>1.00000001935973</v>
      </c>
    </row>
    <row r="580" spans="1:40" x14ac:dyDescent="0.25">
      <c r="A580" t="str">
        <f>"20190312172103718"</f>
        <v>20190312172103718</v>
      </c>
      <c r="B580" t="str">
        <f>"1552382463711964"</f>
        <v>1552382463711964</v>
      </c>
      <c r="C580" t="s">
        <v>40</v>
      </c>
      <c r="D580">
        <v>3.1296330000000001</v>
      </c>
      <c r="E580">
        <v>0.50215180000000004</v>
      </c>
      <c r="F580" t="s">
        <v>41</v>
      </c>
      <c r="G580">
        <v>-383.62169999999998</v>
      </c>
      <c r="H580">
        <v>1.0279929999999999</v>
      </c>
      <c r="I580">
        <v>367.61840000000001</v>
      </c>
      <c r="J580">
        <v>-384.35789999999997</v>
      </c>
      <c r="K580">
        <v>1.1097779999999999</v>
      </c>
      <c r="L580">
        <v>367.61970000000002</v>
      </c>
      <c r="M580">
        <v>0.99989530000000004</v>
      </c>
      <c r="N580">
        <v>0</v>
      </c>
      <c r="O580">
        <v>-9.5897859999999994E-3</v>
      </c>
      <c r="P580">
        <v>0.98566299999999996</v>
      </c>
      <c r="Q580">
        <v>0.16872619999999999</v>
      </c>
      <c r="R580">
        <v>-6.8275910000000005E-4</v>
      </c>
      <c r="S580">
        <v>3.0907900000000001</v>
      </c>
      <c r="T580">
        <v>-0.27291130000000002</v>
      </c>
      <c r="U580">
        <v>-9.7351069999999998E-3</v>
      </c>
      <c r="V580">
        <v>-8.7873780000000002E-3</v>
      </c>
      <c r="W580">
        <v>0.17940309999999901</v>
      </c>
      <c r="X580">
        <v>0.98373639999999996</v>
      </c>
      <c r="Y580">
        <v>-6.378618E-3</v>
      </c>
      <c r="Z580">
        <v>1.1262150000000001E-3</v>
      </c>
      <c r="AA580">
        <v>0.99997899999999995</v>
      </c>
      <c r="AB580">
        <v>37</v>
      </c>
      <c r="AC580">
        <v>0.73619999999999597</v>
      </c>
      <c r="AD580">
        <v>-8.1785000000000205E-2</v>
      </c>
      <c r="AE580">
        <v>-1.3000000000147299E-3</v>
      </c>
      <c r="AF580">
        <v>-5.6902507564415197E-3</v>
      </c>
      <c r="AG580">
        <v>-8.1785000000000205E-2</v>
      </c>
      <c r="AH580">
        <v>0.72720410260970003</v>
      </c>
      <c r="AI580">
        <v>96.416610905179098</v>
      </c>
      <c r="AJ580">
        <v>90.448320764125597</v>
      </c>
      <c r="AK580">
        <v>0.73181074878075603</v>
      </c>
      <c r="AL580">
        <v>79.665005965986893</v>
      </c>
      <c r="AM580">
        <v>90.511789826782305</v>
      </c>
      <c r="AN580">
        <v>0.99999999749334201</v>
      </c>
    </row>
    <row r="581" spans="1:40" x14ac:dyDescent="0.25">
      <c r="A581" t="str">
        <f>"20190312172103730"</f>
        <v>20190312172103730</v>
      </c>
      <c r="B581" t="str">
        <f>"1552382463721723"</f>
        <v>1552382463721723</v>
      </c>
      <c r="C581" t="s">
        <v>40</v>
      </c>
      <c r="D581">
        <v>3.232227</v>
      </c>
      <c r="E581">
        <v>0.5021582</v>
      </c>
      <c r="F581" t="s">
        <v>42</v>
      </c>
      <c r="G581">
        <v>-371.88</v>
      </c>
      <c r="H581" s="1">
        <v>-3.8272420000000003E-6</v>
      </c>
      <c r="I581">
        <v>367.57850000000002</v>
      </c>
      <c r="J581">
        <v>-384.1764</v>
      </c>
      <c r="K581">
        <v>1.1098030000000001</v>
      </c>
      <c r="L581">
        <v>367.61799999999999</v>
      </c>
      <c r="M581">
        <v>0.9998956</v>
      </c>
      <c r="N581">
        <v>0</v>
      </c>
      <c r="O581">
        <v>-9.5333480000000005E-3</v>
      </c>
      <c r="P581">
        <v>0.98567579999999999</v>
      </c>
      <c r="Q581">
        <v>0.16864979999999999</v>
      </c>
      <c r="R581">
        <v>-7.8072399999999903E-4</v>
      </c>
      <c r="S581">
        <v>3.090668</v>
      </c>
      <c r="T581">
        <v>-0.27488279999999998</v>
      </c>
      <c r="U581">
        <v>-1.019287E-2</v>
      </c>
      <c r="V581">
        <v>-8.640165E-3</v>
      </c>
      <c r="W581">
        <v>0.17935290000000001</v>
      </c>
      <c r="X581">
        <v>0.98374680000000003</v>
      </c>
      <c r="Y581">
        <v>-6.1740719999999897E-3</v>
      </c>
      <c r="Z581">
        <v>1.120275E-3</v>
      </c>
      <c r="AA581">
        <v>0.99998030000000004</v>
      </c>
      <c r="AB581">
        <v>37</v>
      </c>
      <c r="AC581">
        <v>12.2964</v>
      </c>
      <c r="AD581">
        <v>-1.1098068272419901</v>
      </c>
      <c r="AE581">
        <v>-3.9500000000032197E-2</v>
      </c>
      <c r="AF581">
        <v>-7.7106472143091603E-2</v>
      </c>
      <c r="AG581">
        <v>-1.1098068272419901</v>
      </c>
      <c r="AH581">
        <v>12.196864379309201</v>
      </c>
      <c r="AI581">
        <v>95.1989891720728</v>
      </c>
      <c r="AJ581">
        <v>90.362209206953494</v>
      </c>
      <c r="AK581">
        <v>12.2474943269675</v>
      </c>
      <c r="AL581">
        <v>79.667929043711993</v>
      </c>
      <c r="AM581">
        <v>90.503211050032604</v>
      </c>
      <c r="AN581">
        <v>0.99999994084993604</v>
      </c>
    </row>
    <row r="582" spans="1:40" x14ac:dyDescent="0.25">
      <c r="A582" t="str">
        <f>"20190312172103742"</f>
        <v>20190312172103742</v>
      </c>
      <c r="B582" t="str">
        <f>"1552382463731484"</f>
        <v>1552382463731484</v>
      </c>
      <c r="C582" t="s">
        <v>40</v>
      </c>
      <c r="D582">
        <v>3.1155499999999998</v>
      </c>
      <c r="E582">
        <v>0.50215969999999999</v>
      </c>
      <c r="F582" t="s">
        <v>41</v>
      </c>
      <c r="G582">
        <v>-383.28980000000001</v>
      </c>
      <c r="H582">
        <v>1.0309790000000001</v>
      </c>
      <c r="I582">
        <v>367.61470000000003</v>
      </c>
      <c r="J582">
        <v>-383.9744</v>
      </c>
      <c r="K582">
        <v>1.109828</v>
      </c>
      <c r="L582">
        <v>367.61610000000002</v>
      </c>
      <c r="M582">
        <v>0.99989589999999995</v>
      </c>
      <c r="N582">
        <v>0</v>
      </c>
      <c r="O582">
        <v>-9.4653410000000004E-3</v>
      </c>
      <c r="P582">
        <v>0.98571770000000003</v>
      </c>
      <c r="Q582">
        <v>0.16840569999999999</v>
      </c>
      <c r="R582">
        <v>-7.9233570000000004E-4</v>
      </c>
      <c r="S582">
        <v>3.0906980000000002</v>
      </c>
      <c r="T582">
        <v>-0.27507870000000001</v>
      </c>
      <c r="U582">
        <v>-1.0864260000000001E-2</v>
      </c>
      <c r="V582">
        <v>-8.5696709999999992E-3</v>
      </c>
      <c r="W582">
        <v>0.17913989999999999</v>
      </c>
      <c r="X582">
        <v>0.9837863</v>
      </c>
      <c r="Y582">
        <v>-5.8901759999999996E-3</v>
      </c>
      <c r="Z582">
        <v>1.1024089999999999E-3</v>
      </c>
      <c r="AA582">
        <v>0.99998209999999998</v>
      </c>
      <c r="AB582">
        <v>37</v>
      </c>
      <c r="AC582">
        <v>0.684599999999989</v>
      </c>
      <c r="AD582">
        <v>-7.8848999999999905E-2</v>
      </c>
      <c r="AE582">
        <v>-1.39999999998963E-3</v>
      </c>
      <c r="AF582">
        <v>-5.0139085033306004E-3</v>
      </c>
      <c r="AG582">
        <v>-7.8848999999999905E-2</v>
      </c>
      <c r="AH582">
        <v>0.67562028089328097</v>
      </c>
      <c r="AI582">
        <v>96.656471733153197</v>
      </c>
      <c r="AJ582">
        <v>90.425195232565898</v>
      </c>
      <c r="AK582">
        <v>0.680224277745065</v>
      </c>
      <c r="AL582">
        <v>79.680334711258297</v>
      </c>
      <c r="AM582">
        <v>90.499085585476493</v>
      </c>
      <c r="AN582">
        <v>1.0000000135503699</v>
      </c>
    </row>
    <row r="583" spans="1:40" x14ac:dyDescent="0.25">
      <c r="A583" t="str">
        <f>"20190312172103754"</f>
        <v>20190312172103754</v>
      </c>
      <c r="B583" t="str">
        <f>"1552382463751981"</f>
        <v>1552382463751981</v>
      </c>
      <c r="C583" t="s">
        <v>40</v>
      </c>
      <c r="D583">
        <v>3.1407780000000001</v>
      </c>
      <c r="E583">
        <v>0.50215200000000004</v>
      </c>
      <c r="F583" t="s">
        <v>41</v>
      </c>
      <c r="G583">
        <v>-382.96530000000001</v>
      </c>
      <c r="H583">
        <v>1.019795</v>
      </c>
      <c r="I583">
        <v>367.6123</v>
      </c>
      <c r="J583">
        <v>-383.76729999999998</v>
      </c>
      <c r="K583">
        <v>1.109856</v>
      </c>
      <c r="L583">
        <v>367.61430000000001</v>
      </c>
      <c r="M583">
        <v>0.99989629999999996</v>
      </c>
      <c r="N583">
        <v>0</v>
      </c>
      <c r="O583">
        <v>-9.3790999999999996E-3</v>
      </c>
      <c r="P583">
        <v>0.98576249999999999</v>
      </c>
      <c r="Q583">
        <v>0.1681435</v>
      </c>
      <c r="R583">
        <v>-7.4691979999999905E-4</v>
      </c>
      <c r="S583">
        <v>3.0906370000000001</v>
      </c>
      <c r="T583">
        <v>-0.27594089999999999</v>
      </c>
      <c r="U583">
        <v>-1.0925290000000001E-2</v>
      </c>
      <c r="V583">
        <v>-8.5385970000000002E-3</v>
      </c>
      <c r="W583">
        <v>0.17891379999999901</v>
      </c>
      <c r="X583">
        <v>0.98382769999999997</v>
      </c>
      <c r="Y583">
        <v>-5.7844970000000004E-3</v>
      </c>
      <c r="Z583">
        <v>1.09348E-3</v>
      </c>
      <c r="AA583">
        <v>0.9999827</v>
      </c>
      <c r="AB583">
        <v>37</v>
      </c>
      <c r="AC583">
        <v>0.80199999999996396</v>
      </c>
      <c r="AD583">
        <v>-9.0060999999999905E-2</v>
      </c>
      <c r="AE583">
        <v>-2.0000000000095402E-3</v>
      </c>
      <c r="AF583">
        <v>-5.45380181726171E-3</v>
      </c>
      <c r="AG583">
        <v>-9.0060999999999905E-2</v>
      </c>
      <c r="AH583">
        <v>0.79199624559246695</v>
      </c>
      <c r="AI583">
        <v>96.487308322315201</v>
      </c>
      <c r="AJ583">
        <v>90.394540869541004</v>
      </c>
      <c r="AK583">
        <v>0.79711905052371201</v>
      </c>
      <c r="AL583">
        <v>79.693501867679402</v>
      </c>
      <c r="AM583">
        <v>90.497255045876699</v>
      </c>
      <c r="AN583">
        <v>0.99999999937822903</v>
      </c>
    </row>
    <row r="584" spans="1:40" x14ac:dyDescent="0.25">
      <c r="A584" t="str">
        <f>"20190312172103768"</f>
        <v>20190312172103768</v>
      </c>
      <c r="B584" t="str">
        <f>"1552382463761740"</f>
        <v>1552382463761740</v>
      </c>
      <c r="C584" t="s">
        <v>40</v>
      </c>
      <c r="D584">
        <v>3.168812</v>
      </c>
      <c r="E584">
        <v>0.50215909999999997</v>
      </c>
      <c r="F584" t="s">
        <v>41</v>
      </c>
      <c r="G584">
        <v>-382.95460000000003</v>
      </c>
      <c r="H584">
        <v>1.0370980000000001</v>
      </c>
      <c r="I584">
        <v>367.6112</v>
      </c>
      <c r="J584">
        <v>-383.55630000000002</v>
      </c>
      <c r="K584">
        <v>1.109883</v>
      </c>
      <c r="L584">
        <v>367.61239999999998</v>
      </c>
      <c r="M584">
        <v>0.99989680000000003</v>
      </c>
      <c r="N584">
        <v>0</v>
      </c>
      <c r="O584">
        <v>-9.2791569999999997E-3</v>
      </c>
      <c r="P584">
        <v>0.9858441</v>
      </c>
      <c r="Q584">
        <v>0.16766410000000001</v>
      </c>
      <c r="R584">
        <v>-7.1602220000000004E-4</v>
      </c>
      <c r="S584">
        <v>3.0905459999999998</v>
      </c>
      <c r="T584">
        <v>-0.27688790000000002</v>
      </c>
      <c r="U584">
        <v>-1.0467529999999999E-2</v>
      </c>
      <c r="V584">
        <v>-8.4801809999999998E-3</v>
      </c>
      <c r="W584">
        <v>0.17847189999999999</v>
      </c>
      <c r="X584">
        <v>0.98390849999999996</v>
      </c>
      <c r="Y584">
        <v>-5.8323489999999997E-3</v>
      </c>
      <c r="Z584">
        <v>1.090454E-3</v>
      </c>
      <c r="AA584">
        <v>0.99998240000000005</v>
      </c>
      <c r="AB584">
        <v>37</v>
      </c>
      <c r="AC584">
        <v>0.60169999999999302</v>
      </c>
      <c r="AD584">
        <v>-7.27850000000001E-2</v>
      </c>
      <c r="AE584">
        <v>-1.1999999999829901E-3</v>
      </c>
      <c r="AF584">
        <v>-4.3204369606003601E-3</v>
      </c>
      <c r="AG584">
        <v>-7.27850000000001E-2</v>
      </c>
      <c r="AH584">
        <v>0.59300796914079301</v>
      </c>
      <c r="AI584">
        <v>96.997224920053299</v>
      </c>
      <c r="AJ584">
        <v>90.417428494429004</v>
      </c>
      <c r="AK584">
        <v>0.59747365955748899</v>
      </c>
      <c r="AL584">
        <v>79.719235415531003</v>
      </c>
      <c r="AM584">
        <v>90.493812737859599</v>
      </c>
      <c r="AN584">
        <v>1.00000003446582</v>
      </c>
    </row>
    <row r="585" spans="1:40" x14ac:dyDescent="0.25">
      <c r="A585" t="str">
        <f>"20190312172103787"</f>
        <v>20190312172103787</v>
      </c>
      <c r="B585" t="str">
        <f>"1552382463782236"</f>
        <v>1552382463782236</v>
      </c>
      <c r="C585" t="s">
        <v>40</v>
      </c>
      <c r="D585">
        <v>3.2062719999999998</v>
      </c>
      <c r="E585">
        <v>0.50221789999999999</v>
      </c>
      <c r="F585" t="s">
        <v>41</v>
      </c>
      <c r="G585">
        <v>-382.63170000000002</v>
      </c>
      <c r="H585">
        <v>1.0265660000000001</v>
      </c>
      <c r="I585">
        <v>367.60890000000001</v>
      </c>
      <c r="J585">
        <v>-383.25150000000002</v>
      </c>
      <c r="K585">
        <v>1.1099220000000001</v>
      </c>
      <c r="L585">
        <v>367.60969999999998</v>
      </c>
      <c r="M585">
        <v>0.99989760000000005</v>
      </c>
      <c r="N585">
        <v>0</v>
      </c>
      <c r="O585">
        <v>-9.1144810000000007E-3</v>
      </c>
      <c r="P585">
        <v>0.98597440000000003</v>
      </c>
      <c r="Q585">
        <v>0.1668955</v>
      </c>
      <c r="R585">
        <v>-7.0873460000000002E-4</v>
      </c>
      <c r="S585">
        <v>3.0904850000000001</v>
      </c>
      <c r="T585">
        <v>-0.2787444</v>
      </c>
      <c r="U585">
        <v>-1.049805E-2</v>
      </c>
      <c r="V585">
        <v>-8.3377079999999992E-3</v>
      </c>
      <c r="W585">
        <v>0.17775959999999999</v>
      </c>
      <c r="X585">
        <v>0.98403870000000004</v>
      </c>
      <c r="Y585">
        <v>-5.6582849999999999E-3</v>
      </c>
      <c r="Z585">
        <v>1.075101E-3</v>
      </c>
      <c r="AA585">
        <v>0.99998339999999997</v>
      </c>
      <c r="AB585">
        <v>37</v>
      </c>
      <c r="AC585">
        <v>0.61979999999999702</v>
      </c>
      <c r="AD585">
        <v>-8.3355999999999694E-2</v>
      </c>
      <c r="AE585">
        <v>-7.9999999996971296E-4</v>
      </c>
      <c r="AF585">
        <v>-4.7633765338569696E-3</v>
      </c>
      <c r="AG585">
        <v>-8.3355999999999694E-2</v>
      </c>
      <c r="AH585">
        <v>0.60877062517594704</v>
      </c>
      <c r="AI585">
        <v>97.7965121023379</v>
      </c>
      <c r="AJ585">
        <v>90.4483064568998</v>
      </c>
      <c r="AK585">
        <v>0.61446935364517297</v>
      </c>
      <c r="AL585">
        <v>79.760710852693293</v>
      </c>
      <c r="AM585">
        <v>90.485452500842101</v>
      </c>
      <c r="AN585">
        <v>1.00000007793226</v>
      </c>
    </row>
    <row r="586" spans="1:40" x14ac:dyDescent="0.25">
      <c r="A586" t="str">
        <f>"20190312172103801"</f>
        <v>20190312172103801</v>
      </c>
      <c r="B586" t="str">
        <f>"1552382463791997"</f>
        <v>1552382463791997</v>
      </c>
      <c r="C586" t="s">
        <v>40</v>
      </c>
      <c r="D586">
        <v>3.3945609999999999</v>
      </c>
      <c r="E586">
        <v>0.53913650000000002</v>
      </c>
      <c r="F586" t="s">
        <v>41</v>
      </c>
      <c r="G586">
        <v>-382.30279999999999</v>
      </c>
      <c r="H586">
        <v>1.0235780000000001</v>
      </c>
      <c r="I586">
        <v>367.60599999999999</v>
      </c>
      <c r="J586">
        <v>-383.00479999999999</v>
      </c>
      <c r="K586">
        <v>1.109952</v>
      </c>
      <c r="L586">
        <v>367.60759999999999</v>
      </c>
      <c r="M586">
        <v>0.99989859999999997</v>
      </c>
      <c r="N586">
        <v>0</v>
      </c>
      <c r="O586">
        <v>-8.965209E-3</v>
      </c>
      <c r="P586">
        <v>0.98602829999999997</v>
      </c>
      <c r="Q586">
        <v>0.166577</v>
      </c>
      <c r="R586">
        <v>-7.7375960000000004E-4</v>
      </c>
      <c r="S586">
        <v>3.0903320000000001</v>
      </c>
      <c r="T586">
        <v>-0.281528</v>
      </c>
      <c r="U586">
        <v>-1.113892E-2</v>
      </c>
      <c r="V586">
        <v>-8.1344699999999995E-3</v>
      </c>
      <c r="W586">
        <v>0.17748699999999901</v>
      </c>
      <c r="X586">
        <v>0.98408960000000001</v>
      </c>
      <c r="Y586">
        <v>-5.3023460000000003E-3</v>
      </c>
      <c r="Z586">
        <v>1.0560960000000001E-3</v>
      </c>
      <c r="AA586">
        <v>0.99998540000000002</v>
      </c>
      <c r="AB586">
        <v>37</v>
      </c>
      <c r="AC586">
        <v>0.70199999999999796</v>
      </c>
      <c r="AD586">
        <v>-8.6373999999999895E-2</v>
      </c>
      <c r="AE586">
        <v>-1.59999999999627E-3</v>
      </c>
      <c r="AF586">
        <v>-4.6240243962400503E-3</v>
      </c>
      <c r="AG586">
        <v>-8.6373999999999895E-2</v>
      </c>
      <c r="AH586">
        <v>0.69151743050691405</v>
      </c>
      <c r="AI586">
        <v>97.119500646838404</v>
      </c>
      <c r="AJ586">
        <v>90.383118518747594</v>
      </c>
      <c r="AK586">
        <v>0.69690616740885702</v>
      </c>
      <c r="AL586">
        <v>79.776582003038797</v>
      </c>
      <c r="AM586">
        <v>90.473595275281696</v>
      </c>
      <c r="AN586">
        <v>1.0000000727996601</v>
      </c>
    </row>
    <row r="587" spans="1:40" x14ac:dyDescent="0.25">
      <c r="A587" t="str">
        <f>"20190312172103821"</f>
        <v>20190312172103821</v>
      </c>
      <c r="B587" t="str">
        <f>"1552382463811516"</f>
        <v>1552382463811516</v>
      </c>
      <c r="C587" t="s">
        <v>40</v>
      </c>
      <c r="D587">
        <v>3.1405029999999998</v>
      </c>
      <c r="E587">
        <v>0.55681659999999999</v>
      </c>
      <c r="F587" t="s">
        <v>41</v>
      </c>
      <c r="G587">
        <v>-381.99900000000002</v>
      </c>
      <c r="H587">
        <v>0.97268949999999998</v>
      </c>
      <c r="I587">
        <v>367.50909999999999</v>
      </c>
      <c r="J587">
        <v>-382.68880000000001</v>
      </c>
      <c r="K587">
        <v>1.1099870000000001</v>
      </c>
      <c r="L587">
        <v>367.60500000000002</v>
      </c>
      <c r="M587">
        <v>0.99989969999999995</v>
      </c>
      <c r="N587">
        <v>0</v>
      </c>
      <c r="O587">
        <v>-8.7516050000000008E-3</v>
      </c>
      <c r="P587">
        <v>0.98611369999999998</v>
      </c>
      <c r="Q587">
        <v>0.166072</v>
      </c>
      <c r="R587">
        <v>-3.098315E-4</v>
      </c>
      <c r="S587">
        <v>3.1140750000000001</v>
      </c>
      <c r="T587">
        <v>-0.42507899999999998</v>
      </c>
      <c r="U587">
        <v>-0.30447390000000002</v>
      </c>
      <c r="V587">
        <v>-8.3988699999999993E-3</v>
      </c>
      <c r="W587">
        <v>0.17704349999999999</v>
      </c>
      <c r="X587">
        <v>0.98416720000000002</v>
      </c>
      <c r="Y587">
        <v>8.7868499999999905E-2</v>
      </c>
      <c r="Z587">
        <v>-4.769204E-3</v>
      </c>
      <c r="AA587">
        <v>0.99612069999999997</v>
      </c>
      <c r="AB587">
        <v>37</v>
      </c>
      <c r="AC587">
        <v>0.68979999999999098</v>
      </c>
      <c r="AD587">
        <v>-0.13729749999999899</v>
      </c>
      <c r="AE587">
        <v>-9.5900000000028698E-2</v>
      </c>
      <c r="AF587">
        <v>8.6497328992268904E-2</v>
      </c>
      <c r="AG587">
        <v>-0.13729749999999899</v>
      </c>
      <c r="AH587">
        <v>0.66477602337566599</v>
      </c>
      <c r="AI587">
        <v>101.57443526914101</v>
      </c>
      <c r="AJ587">
        <v>82.586608734655201</v>
      </c>
      <c r="AK587">
        <v>0.68429493106716099</v>
      </c>
      <c r="AL587">
        <v>79.802400931337303</v>
      </c>
      <c r="AM587">
        <v>90.488949562582405</v>
      </c>
      <c r="AN587">
        <v>1.00000000973268</v>
      </c>
    </row>
    <row r="588" spans="1:40" x14ac:dyDescent="0.25">
      <c r="A588" t="str">
        <f>"20190312172103841"</f>
        <v>20190312172103841</v>
      </c>
      <c r="B588" t="str">
        <f>"1552382463832012"</f>
        <v>1552382463832012</v>
      </c>
      <c r="C588" t="s">
        <v>40</v>
      </c>
      <c r="D588">
        <v>3.1489829999999999</v>
      </c>
      <c r="E588">
        <v>0.56710769999999899</v>
      </c>
      <c r="F588" t="s">
        <v>41</v>
      </c>
      <c r="G588">
        <v>-381.67779999999999</v>
      </c>
      <c r="H588">
        <v>0.95148520000000003</v>
      </c>
      <c r="I588">
        <v>367.46120000000002</v>
      </c>
      <c r="J588">
        <v>-382.3408</v>
      </c>
      <c r="K588">
        <v>1.1100239999999999</v>
      </c>
      <c r="L588">
        <v>367.60210000000001</v>
      </c>
      <c r="M588">
        <v>0.99990109999999999</v>
      </c>
      <c r="N588">
        <v>0</v>
      </c>
      <c r="O588">
        <v>-8.4947849999999995E-3</v>
      </c>
      <c r="P588">
        <v>0.98619040000000002</v>
      </c>
      <c r="Q588">
        <v>0.1656154</v>
      </c>
      <c r="R588">
        <v>-2.4195109999999999E-4</v>
      </c>
      <c r="S588">
        <v>3.1246640000000001</v>
      </c>
      <c r="T588">
        <v>-0.49006860000000002</v>
      </c>
      <c r="U588">
        <v>-0.443573</v>
      </c>
      <c r="V588">
        <v>-8.2239400000000008E-3</v>
      </c>
      <c r="W588">
        <v>0.1766549</v>
      </c>
      <c r="X588">
        <v>0.98423850000000002</v>
      </c>
      <c r="Y588">
        <v>0.1306697</v>
      </c>
      <c r="Z588">
        <v>-8.817287E-3</v>
      </c>
      <c r="AA588">
        <v>0.99138680000000001</v>
      </c>
      <c r="AB588">
        <v>37</v>
      </c>
      <c r="AC588">
        <v>0.66300000000001003</v>
      </c>
      <c r="AD588">
        <v>-0.15853879999999901</v>
      </c>
      <c r="AE588">
        <v>-0.14089999999998701</v>
      </c>
      <c r="AF588">
        <v>0.12824628134520699</v>
      </c>
      <c r="AG588">
        <v>-0.15853879999999901</v>
      </c>
      <c r="AH588">
        <v>0.62972156880377095</v>
      </c>
      <c r="AI588">
        <v>103.85794636793599</v>
      </c>
      <c r="AJ588">
        <v>78.488818889762101</v>
      </c>
      <c r="AK588">
        <v>0.661914582103307</v>
      </c>
      <c r="AL588">
        <v>79.825022595821494</v>
      </c>
      <c r="AM588">
        <v>90.478731615989503</v>
      </c>
      <c r="AN588">
        <v>1.0000000058826899</v>
      </c>
    </row>
    <row r="589" spans="1:40" x14ac:dyDescent="0.25">
      <c r="A589" t="str">
        <f>"20190312172103853"</f>
        <v>20190312172103853</v>
      </c>
      <c r="B589" t="str">
        <f>"1552382463841772"</f>
        <v>1552382463841772</v>
      </c>
      <c r="C589" t="s">
        <v>40</v>
      </c>
      <c r="D589">
        <v>3.196952</v>
      </c>
      <c r="E589">
        <v>0.57055009999999995</v>
      </c>
      <c r="F589" t="s">
        <v>41</v>
      </c>
      <c r="G589">
        <v>-381.35239999999999</v>
      </c>
      <c r="H589">
        <v>0.93868720000000005</v>
      </c>
      <c r="I589">
        <v>367.43610000000001</v>
      </c>
      <c r="J589">
        <v>-382.13619999999997</v>
      </c>
      <c r="K589">
        <v>1.110039</v>
      </c>
      <c r="L589">
        <v>367.60059999999999</v>
      </c>
      <c r="M589">
        <v>0.99990210000000002</v>
      </c>
      <c r="N589">
        <v>0</v>
      </c>
      <c r="O589">
        <v>-8.3359339999999997E-3</v>
      </c>
      <c r="P589">
        <v>0.98623000000000005</v>
      </c>
      <c r="Q589">
        <v>0.16538059999999999</v>
      </c>
      <c r="R589">
        <v>-1.7300200000000001E-4</v>
      </c>
      <c r="S589">
        <v>3.1330870000000002</v>
      </c>
      <c r="T589">
        <v>-0.54328069999999995</v>
      </c>
      <c r="U589">
        <v>-0.52526859999999997</v>
      </c>
      <c r="V589">
        <v>-8.1416289999999992E-3</v>
      </c>
      <c r="W589">
        <v>0.17645920000000001</v>
      </c>
      <c r="X589">
        <v>0.98427430000000005</v>
      </c>
      <c r="Y589">
        <v>0.15498879999999901</v>
      </c>
      <c r="Z589">
        <v>-1.18228E-2</v>
      </c>
      <c r="AA589">
        <v>0.98784550000000004</v>
      </c>
      <c r="AB589">
        <v>37</v>
      </c>
      <c r="AC589">
        <v>0.78379999999998495</v>
      </c>
      <c r="AD589">
        <v>-0.1713518</v>
      </c>
      <c r="AE589">
        <v>-0.164499999999975</v>
      </c>
      <c r="AF589">
        <v>0.151045756631839</v>
      </c>
      <c r="AG589">
        <v>-0.1713518</v>
      </c>
      <c r="AH589">
        <v>0.75077590340936295</v>
      </c>
      <c r="AI589">
        <v>102.61217665776999</v>
      </c>
      <c r="AJ589">
        <v>78.624731805606601</v>
      </c>
      <c r="AK589">
        <v>0.78475519565012797</v>
      </c>
      <c r="AL589">
        <v>79.836414448663902</v>
      </c>
      <c r="AM589">
        <v>90.473923114160399</v>
      </c>
      <c r="AN589">
        <v>1.00000001651395</v>
      </c>
    </row>
    <row r="590" spans="1:40" x14ac:dyDescent="0.25">
      <c r="A590" t="str">
        <f>"20190312172103865"</f>
        <v>20190312172103865</v>
      </c>
      <c r="B590" t="str">
        <f>"1552382463862268"</f>
        <v>1552382463862268</v>
      </c>
      <c r="C590" t="s">
        <v>40</v>
      </c>
      <c r="D590">
        <v>3.177114</v>
      </c>
      <c r="E590">
        <v>0.57565339999999998</v>
      </c>
      <c r="F590" t="s">
        <v>41</v>
      </c>
      <c r="G590">
        <v>-381.33960000000002</v>
      </c>
      <c r="H590">
        <v>0.96744019999999997</v>
      </c>
      <c r="I590">
        <v>367.46</v>
      </c>
      <c r="J590">
        <v>-381.94549999999998</v>
      </c>
      <c r="K590">
        <v>1.110053</v>
      </c>
      <c r="L590">
        <v>367.59910000000002</v>
      </c>
      <c r="M590">
        <v>0.99990279999999998</v>
      </c>
      <c r="N590">
        <v>0</v>
      </c>
      <c r="O590">
        <v>-8.1848330000000007E-3</v>
      </c>
      <c r="P590">
        <v>0.986236</v>
      </c>
      <c r="Q590">
        <v>0.1653435</v>
      </c>
      <c r="R590" s="1">
        <v>8.0985949999999997E-5</v>
      </c>
      <c r="S590">
        <v>3.1359560000000002</v>
      </c>
      <c r="T590">
        <v>-0.56157029999999997</v>
      </c>
      <c r="U590">
        <v>-0.55227660000000001</v>
      </c>
      <c r="V590">
        <v>-8.2509909999999992E-3</v>
      </c>
      <c r="W590">
        <v>0.1764559</v>
      </c>
      <c r="X590">
        <v>0.98427399999999998</v>
      </c>
      <c r="Y590">
        <v>0.16298679999999999</v>
      </c>
      <c r="Z590">
        <v>-1.292713E-2</v>
      </c>
      <c r="AA590">
        <v>0.98654350000000002</v>
      </c>
      <c r="AB590">
        <v>37</v>
      </c>
      <c r="AC590">
        <v>0.60589999999996202</v>
      </c>
      <c r="AD590">
        <v>-0.14261279999999901</v>
      </c>
      <c r="AE590">
        <v>-0.139100000000041</v>
      </c>
      <c r="AF590">
        <v>0.12742959965148601</v>
      </c>
      <c r="AG590">
        <v>-0.14261279999999901</v>
      </c>
      <c r="AH590">
        <v>0.57666989354304998</v>
      </c>
      <c r="AI590">
        <v>103.575811235342</v>
      </c>
      <c r="AJ590">
        <v>77.539310817386195</v>
      </c>
      <c r="AK590">
        <v>0.60755648273237095</v>
      </c>
      <c r="AL590">
        <v>79.836606731786802</v>
      </c>
      <c r="AM590">
        <v>90.480288911417304</v>
      </c>
      <c r="AN590">
        <v>1.0000000352866401</v>
      </c>
    </row>
    <row r="591" spans="1:40" x14ac:dyDescent="0.25">
      <c r="A591" t="str">
        <f>"20190312172103876"</f>
        <v>20190312172103876</v>
      </c>
      <c r="B591" t="str">
        <f>"1552382463872027"</f>
        <v>1552382463872027</v>
      </c>
      <c r="C591" t="s">
        <v>40</v>
      </c>
      <c r="D591">
        <v>3.2243569999999999</v>
      </c>
      <c r="E591">
        <v>0.57746769999999903</v>
      </c>
      <c r="F591" t="s">
        <v>41</v>
      </c>
      <c r="G591">
        <v>-381.02199999999999</v>
      </c>
      <c r="H591">
        <v>0.93725199999999997</v>
      </c>
      <c r="I591">
        <v>367.4248</v>
      </c>
      <c r="J591">
        <v>-381.75630000000001</v>
      </c>
      <c r="K591">
        <v>1.110069</v>
      </c>
      <c r="L591">
        <v>367.59769999999997</v>
      </c>
      <c r="M591">
        <v>0.99990380000000001</v>
      </c>
      <c r="N591">
        <v>0</v>
      </c>
      <c r="O591">
        <v>-8.0314719999999996E-3</v>
      </c>
      <c r="P591">
        <v>0.98632679999999995</v>
      </c>
      <c r="Q591">
        <v>0.164802</v>
      </c>
      <c r="R591">
        <v>2.0798440000000001E-4</v>
      </c>
      <c r="S591">
        <v>3.1404420000000002</v>
      </c>
      <c r="T591">
        <v>-0.58766580000000002</v>
      </c>
      <c r="U591">
        <v>-0.59188839999999998</v>
      </c>
      <c r="V591">
        <v>-8.2311009999999993E-3</v>
      </c>
      <c r="W591">
        <v>0.17594760000000001</v>
      </c>
      <c r="X591">
        <v>0.98436509999999999</v>
      </c>
      <c r="Y591">
        <v>0.1745226</v>
      </c>
      <c r="Z591">
        <v>-1.457372E-2</v>
      </c>
      <c r="AA591">
        <v>0.98454529999999996</v>
      </c>
      <c r="AB591">
        <v>37</v>
      </c>
      <c r="AC591">
        <v>0.73430000000001805</v>
      </c>
      <c r="AD591">
        <v>-0.172816999999999</v>
      </c>
      <c r="AE591">
        <v>-0.17289999999996999</v>
      </c>
      <c r="AF591">
        <v>0.15866960372122299</v>
      </c>
      <c r="AG591">
        <v>-0.172816999999999</v>
      </c>
      <c r="AH591">
        <v>0.69898264948524402</v>
      </c>
      <c r="AI591">
        <v>103.55567661312401</v>
      </c>
      <c r="AJ591">
        <v>77.210551167445104</v>
      </c>
      <c r="AK591">
        <v>0.73730489142244404</v>
      </c>
      <c r="AL591">
        <v>79.866192510687995</v>
      </c>
      <c r="AM591">
        <v>90.479086831563194</v>
      </c>
      <c r="AN591">
        <v>0.99999997953372</v>
      </c>
    </row>
    <row r="592" spans="1:40" x14ac:dyDescent="0.25">
      <c r="A592" t="str">
        <f>"20190312172103887"</f>
        <v>20190312172103887</v>
      </c>
      <c r="B592" t="str">
        <f>"1552382463881788"</f>
        <v>1552382463881788</v>
      </c>
      <c r="C592" t="s">
        <v>40</v>
      </c>
      <c r="D592">
        <v>3.1840250000000001</v>
      </c>
      <c r="E592">
        <v>0.57881280000000002</v>
      </c>
      <c r="F592" t="s">
        <v>41</v>
      </c>
      <c r="G592">
        <v>-381.0086</v>
      </c>
      <c r="H592">
        <v>0.9679934</v>
      </c>
      <c r="I592">
        <v>367.45319999999998</v>
      </c>
      <c r="J592">
        <v>-381.57350000000002</v>
      </c>
      <c r="K592">
        <v>1.110077</v>
      </c>
      <c r="L592">
        <v>367.59629999999999</v>
      </c>
      <c r="M592">
        <v>0.99990460000000003</v>
      </c>
      <c r="N592">
        <v>0</v>
      </c>
      <c r="O592">
        <v>-7.8806229999999998E-3</v>
      </c>
      <c r="P592">
        <v>0.98635450000000002</v>
      </c>
      <c r="Q592">
        <v>0.16463510000000001</v>
      </c>
      <c r="R592">
        <v>2.7954070000000002E-4</v>
      </c>
      <c r="S592">
        <v>3.1414789999999999</v>
      </c>
      <c r="T592">
        <v>-0.59701090000000001</v>
      </c>
      <c r="U592">
        <v>-0.60589599999999999</v>
      </c>
      <c r="V592">
        <v>-8.1571400000000002E-3</v>
      </c>
      <c r="W592">
        <v>0.17581189999999999</v>
      </c>
      <c r="X592">
        <v>0.98438999999999999</v>
      </c>
      <c r="Y592">
        <v>0.17868779999999901</v>
      </c>
      <c r="Z592">
        <v>-1.5207780000000001E-2</v>
      </c>
      <c r="AA592">
        <v>0.98378829999999995</v>
      </c>
      <c r="AB592">
        <v>37</v>
      </c>
      <c r="AC592">
        <v>0.56490000000002205</v>
      </c>
      <c r="AD592">
        <v>-0.14208359999999901</v>
      </c>
      <c r="AE592">
        <v>-0.143100000000004</v>
      </c>
      <c r="AF592">
        <v>0.130863971223079</v>
      </c>
      <c r="AG592">
        <v>-0.14208359999999901</v>
      </c>
      <c r="AH592">
        <v>0.53425040221870601</v>
      </c>
      <c r="AI592">
        <v>104.483638889411</v>
      </c>
      <c r="AJ592">
        <v>76.236469174098403</v>
      </c>
      <c r="AK592">
        <v>0.56809912922313499</v>
      </c>
      <c r="AL592">
        <v>79.874091056894898</v>
      </c>
      <c r="AM592">
        <v>90.474770160075096</v>
      </c>
      <c r="AN592">
        <v>1.0000000176072901</v>
      </c>
    </row>
    <row r="593" spans="1:40" x14ac:dyDescent="0.25">
      <c r="A593" t="str">
        <f>"20190312172103898"</f>
        <v>20190312172103898</v>
      </c>
      <c r="B593" t="str">
        <f>"1552382463891548"</f>
        <v>1552382463891548</v>
      </c>
      <c r="C593" t="s">
        <v>40</v>
      </c>
      <c r="D593">
        <v>3.2054879999999999</v>
      </c>
      <c r="E593">
        <v>0.57968969999999997</v>
      </c>
      <c r="F593" t="s">
        <v>41</v>
      </c>
      <c r="G593">
        <v>-380.69</v>
      </c>
      <c r="H593">
        <v>0.94015769999999999</v>
      </c>
      <c r="I593">
        <v>367.42309999999998</v>
      </c>
      <c r="J593">
        <v>-381.38839999999999</v>
      </c>
      <c r="K593">
        <v>1.1100890000000001</v>
      </c>
      <c r="L593">
        <v>367.59500000000003</v>
      </c>
      <c r="M593">
        <v>0.9999055</v>
      </c>
      <c r="N593">
        <v>0</v>
      </c>
      <c r="O593">
        <v>-7.726681E-3</v>
      </c>
      <c r="P593">
        <v>0.98643199999999998</v>
      </c>
      <c r="Q593">
        <v>0.1641695</v>
      </c>
      <c r="R593">
        <v>5.7765609999999999E-4</v>
      </c>
      <c r="S593">
        <v>3.1425480000000001</v>
      </c>
      <c r="T593">
        <v>-0.60434270000000001</v>
      </c>
      <c r="U593">
        <v>-0.61636349999999995</v>
      </c>
      <c r="V593">
        <v>-8.3070590000000003E-3</v>
      </c>
      <c r="W593">
        <v>0.1753777</v>
      </c>
      <c r="X593">
        <v>0.98446619999999996</v>
      </c>
      <c r="Y593">
        <v>0.181808</v>
      </c>
      <c r="Z593">
        <v>-1.5705139999999999E-2</v>
      </c>
      <c r="AA593">
        <v>0.98320870000000005</v>
      </c>
      <c r="AB593">
        <v>37</v>
      </c>
      <c r="AC593">
        <v>0.69839999999999203</v>
      </c>
      <c r="AD593">
        <v>-0.16993129999999901</v>
      </c>
      <c r="AE593">
        <v>-0.17190000000005001</v>
      </c>
      <c r="AF593">
        <v>0.157695553448465</v>
      </c>
      <c r="AG593">
        <v>-0.16993129999999901</v>
      </c>
      <c r="AH593">
        <v>0.66271437465439398</v>
      </c>
      <c r="AI593">
        <v>104.006693165404</v>
      </c>
      <c r="AJ593">
        <v>76.615159295305006</v>
      </c>
      <c r="AK593">
        <v>0.70209321081368703</v>
      </c>
      <c r="AL593">
        <v>79.899361567290995</v>
      </c>
      <c r="AM593">
        <v>90.483458065810296</v>
      </c>
      <c r="AN593">
        <v>1.00000002191447</v>
      </c>
    </row>
    <row r="594" spans="1:40" x14ac:dyDescent="0.25">
      <c r="A594" t="str">
        <f>"20190312172103910"</f>
        <v>20190312172103910</v>
      </c>
      <c r="B594" t="str">
        <f>"1552382463902284"</f>
        <v>1552382463902284</v>
      </c>
      <c r="C594" t="s">
        <v>40</v>
      </c>
      <c r="D594">
        <v>3.1886260000000002</v>
      </c>
      <c r="E594">
        <v>0.58031820000000001</v>
      </c>
      <c r="F594" t="s">
        <v>41</v>
      </c>
      <c r="G594">
        <v>-380.67619999999999</v>
      </c>
      <c r="H594">
        <v>0.97166649999999999</v>
      </c>
      <c r="I594">
        <v>367.45389999999998</v>
      </c>
      <c r="J594">
        <v>-381.21050000000002</v>
      </c>
      <c r="K594">
        <v>1.110096</v>
      </c>
      <c r="L594">
        <v>367.59379999999999</v>
      </c>
      <c r="M594">
        <v>0.99990630000000003</v>
      </c>
      <c r="N594">
        <v>0</v>
      </c>
      <c r="O594">
        <v>-7.57632599999999E-3</v>
      </c>
      <c r="P594">
        <v>0.98650539999999998</v>
      </c>
      <c r="Q594">
        <v>0.16372919999999999</v>
      </c>
      <c r="R594">
        <v>6.0692199999999997E-4</v>
      </c>
      <c r="S594">
        <v>3.1432190000000002</v>
      </c>
      <c r="T594">
        <v>-0.61082979999999998</v>
      </c>
      <c r="U594">
        <v>-0.62265009999999998</v>
      </c>
      <c r="V594">
        <v>-8.1907790000000005E-3</v>
      </c>
      <c r="W594">
        <v>0.17496789999999901</v>
      </c>
      <c r="X594">
        <v>0.98454010000000003</v>
      </c>
      <c r="Y594">
        <v>0.18370880000000001</v>
      </c>
      <c r="Z594">
        <v>-1.6074450000000001E-2</v>
      </c>
      <c r="AA594">
        <v>0.98284930000000004</v>
      </c>
      <c r="AB594">
        <v>37</v>
      </c>
      <c r="AC594">
        <v>0.53430000000002997</v>
      </c>
      <c r="AD594">
        <v>-0.13842949999999901</v>
      </c>
      <c r="AE594">
        <v>-0.13990000000001099</v>
      </c>
      <c r="AF594">
        <v>0.127818319414191</v>
      </c>
      <c r="AG594">
        <v>-0.13842949999999901</v>
      </c>
      <c r="AH594">
        <v>0.503702747499718</v>
      </c>
      <c r="AI594">
        <v>104.91613896742101</v>
      </c>
      <c r="AJ594">
        <v>75.761314784569194</v>
      </c>
      <c r="AK594">
        <v>0.537788719746782</v>
      </c>
      <c r="AL594">
        <v>79.923210230577297</v>
      </c>
      <c r="AM594">
        <v>90.476655284048803</v>
      </c>
      <c r="AN594">
        <v>1.0000000316995199</v>
      </c>
    </row>
    <row r="595" spans="1:40" x14ac:dyDescent="0.25">
      <c r="A595" t="str">
        <f>"20190312172103921"</f>
        <v>20190312172103921</v>
      </c>
      <c r="B595" t="str">
        <f>"1552382463912044"</f>
        <v>1552382463912044</v>
      </c>
      <c r="C595" t="s">
        <v>40</v>
      </c>
      <c r="D595">
        <v>3.1839970000000002</v>
      </c>
      <c r="E595">
        <v>0.58105359999999995</v>
      </c>
      <c r="F595" t="s">
        <v>41</v>
      </c>
      <c r="G595">
        <v>-380.35809999999998</v>
      </c>
      <c r="H595">
        <v>0.9429573</v>
      </c>
      <c r="I595">
        <v>367.42320000000001</v>
      </c>
      <c r="J595">
        <v>-381.02190000000002</v>
      </c>
      <c r="K595">
        <v>1.1101030000000001</v>
      </c>
      <c r="L595">
        <v>367.59249999999997</v>
      </c>
      <c r="M595">
        <v>0.99990710000000005</v>
      </c>
      <c r="N595">
        <v>0</v>
      </c>
      <c r="O595">
        <v>-7.4164419999999997E-3</v>
      </c>
      <c r="P595">
        <v>0.98650040000000006</v>
      </c>
      <c r="Q595">
        <v>0.1637574</v>
      </c>
      <c r="R595">
        <v>7.7291299999999996E-4</v>
      </c>
      <c r="S595">
        <v>3.143799</v>
      </c>
      <c r="T595">
        <v>-0.61661739999999998</v>
      </c>
      <c r="U595">
        <v>-0.62744140000000004</v>
      </c>
      <c r="V595">
        <v>-8.2019580000000005E-3</v>
      </c>
      <c r="W595">
        <v>0.1750265</v>
      </c>
      <c r="X595">
        <v>0.9845296</v>
      </c>
      <c r="Y595">
        <v>0.1851845</v>
      </c>
      <c r="Z595">
        <v>-1.639154E-2</v>
      </c>
      <c r="AA595">
        <v>0.98256710000000003</v>
      </c>
      <c r="AB595">
        <v>37</v>
      </c>
      <c r="AC595">
        <v>0.66380000000003703</v>
      </c>
      <c r="AD595">
        <v>-0.16714570000000001</v>
      </c>
      <c r="AE595">
        <v>-0.16929999999996401</v>
      </c>
      <c r="AF595">
        <v>0.15513648819346099</v>
      </c>
      <c r="AG595">
        <v>-0.16714570000000001</v>
      </c>
      <c r="AH595">
        <v>0.62767125240438404</v>
      </c>
      <c r="AI595">
        <v>104.49453238169799</v>
      </c>
      <c r="AJ595">
        <v>76.116898302725005</v>
      </c>
      <c r="AK595">
        <v>0.66781450724911495</v>
      </c>
      <c r="AL595">
        <v>79.919800165784807</v>
      </c>
      <c r="AM595">
        <v>90.477310896413499</v>
      </c>
      <c r="AN595">
        <v>1.00000004054672</v>
      </c>
    </row>
    <row r="596" spans="1:40" x14ac:dyDescent="0.25">
      <c r="A596" t="str">
        <f>"20190312172103932"</f>
        <v>20190312172103932</v>
      </c>
      <c r="B596" t="str">
        <f>"1552382463921803"</f>
        <v>1552382463921803</v>
      </c>
      <c r="C596" t="s">
        <v>40</v>
      </c>
      <c r="D596">
        <v>3.243134</v>
      </c>
      <c r="E596">
        <v>0.58171439999999996</v>
      </c>
      <c r="F596" t="s">
        <v>41</v>
      </c>
      <c r="G596">
        <v>-380.0378</v>
      </c>
      <c r="H596">
        <v>0.91559740000000001</v>
      </c>
      <c r="I596">
        <v>367.39429999999999</v>
      </c>
      <c r="J596">
        <v>-380.8304</v>
      </c>
      <c r="K596">
        <v>1.110107</v>
      </c>
      <c r="L596">
        <v>367.59120000000001</v>
      </c>
      <c r="M596">
        <v>0.99990800000000002</v>
      </c>
      <c r="N596">
        <v>0</v>
      </c>
      <c r="O596">
        <v>-7.2534629999999999E-3</v>
      </c>
      <c r="P596">
        <v>0.98657280000000003</v>
      </c>
      <c r="Q596">
        <v>0.16332169999999999</v>
      </c>
      <c r="R596">
        <v>4.8480559999999998E-4</v>
      </c>
      <c r="S596">
        <v>3.1447449999999999</v>
      </c>
      <c r="T596">
        <v>-0.62159790000000004</v>
      </c>
      <c r="U596">
        <v>-0.63259889999999996</v>
      </c>
      <c r="V596">
        <v>-7.755128E-3</v>
      </c>
      <c r="W596">
        <v>0.1746219</v>
      </c>
      <c r="X596">
        <v>0.98460499999999995</v>
      </c>
      <c r="Y596">
        <v>0.18675549999999999</v>
      </c>
      <c r="Z596">
        <v>-1.6698029999999999E-2</v>
      </c>
      <c r="AA596">
        <v>0.98226449999999998</v>
      </c>
      <c r="AB596">
        <v>37</v>
      </c>
      <c r="AC596">
        <v>0.79259999999999298</v>
      </c>
      <c r="AD596">
        <v>-0.19450959999999901</v>
      </c>
      <c r="AE596">
        <v>-0.196900000000027</v>
      </c>
      <c r="AF596">
        <v>0.18088484511869801</v>
      </c>
      <c r="AG596">
        <v>-0.19450959999999901</v>
      </c>
      <c r="AH596">
        <v>0.75138587638540799</v>
      </c>
      <c r="AI596">
        <v>104.12667916069</v>
      </c>
      <c r="AJ596">
        <v>76.464456971400395</v>
      </c>
      <c r="AK596">
        <v>0.79695297660354003</v>
      </c>
      <c r="AL596">
        <v>79.943343994459497</v>
      </c>
      <c r="AM596">
        <v>90.451274283427594</v>
      </c>
      <c r="AN596">
        <v>0.99999997799745199</v>
      </c>
    </row>
    <row r="597" spans="1:40" x14ac:dyDescent="0.25">
      <c r="A597" t="str">
        <f>"20190312172103943"</f>
        <v>20190312172103943</v>
      </c>
      <c r="B597" t="str">
        <f>"1552382463931564"</f>
        <v>1552382463931564</v>
      </c>
      <c r="C597" t="s">
        <v>40</v>
      </c>
      <c r="D597">
        <v>3.2557640000000001</v>
      </c>
      <c r="E597">
        <v>0.58226160000000005</v>
      </c>
      <c r="F597" t="s">
        <v>41</v>
      </c>
      <c r="G597">
        <v>-380.02449999999999</v>
      </c>
      <c r="H597">
        <v>0.94943180000000005</v>
      </c>
      <c r="I597">
        <v>367.42750000000001</v>
      </c>
      <c r="J597">
        <v>-380.65969999999999</v>
      </c>
      <c r="K597">
        <v>1.110112</v>
      </c>
      <c r="L597">
        <v>367.59010000000001</v>
      </c>
      <c r="M597">
        <v>0.99990860000000004</v>
      </c>
      <c r="N597">
        <v>0</v>
      </c>
      <c r="O597">
        <v>-7.1078799999999996E-3</v>
      </c>
      <c r="P597">
        <v>0.98660360000000003</v>
      </c>
      <c r="Q597">
        <v>0.1631368</v>
      </c>
      <c r="R597">
        <v>3.6790919999999999E-4</v>
      </c>
      <c r="S597">
        <v>3.1449889999999998</v>
      </c>
      <c r="T597">
        <v>-0.62713769999999902</v>
      </c>
      <c r="U597">
        <v>-0.63818359999999996</v>
      </c>
      <c r="V597">
        <v>-7.4966490000000002E-3</v>
      </c>
      <c r="W597">
        <v>0.1744636</v>
      </c>
      <c r="X597">
        <v>0.98463509999999999</v>
      </c>
      <c r="Y597">
        <v>0.18846679999999999</v>
      </c>
      <c r="Z597">
        <v>-1.7035729999999999E-2</v>
      </c>
      <c r="AA597">
        <v>0.98193180000000002</v>
      </c>
      <c r="AB597">
        <v>37</v>
      </c>
      <c r="AC597">
        <v>0.63519999999999699</v>
      </c>
      <c r="AD597">
        <v>-0.160680199999999</v>
      </c>
      <c r="AE597">
        <v>-0.162599999999997</v>
      </c>
      <c r="AF597">
        <v>0.14912516002960799</v>
      </c>
      <c r="AG597">
        <v>-0.160680199999999</v>
      </c>
      <c r="AH597">
        <v>0.60029016323124695</v>
      </c>
      <c r="AI597">
        <v>104.562144653526</v>
      </c>
      <c r="AJ597">
        <v>76.048893468423401</v>
      </c>
      <c r="AK597">
        <v>0.63906550532640505</v>
      </c>
      <c r="AL597">
        <v>79.952555677617895</v>
      </c>
      <c r="AM597">
        <v>90.436220533853401</v>
      </c>
      <c r="AN597">
        <v>1.0000000138115901</v>
      </c>
    </row>
    <row r="598" spans="1:40" x14ac:dyDescent="0.25">
      <c r="A598" t="str">
        <f>"20190312172103954"</f>
        <v>20190312172103954</v>
      </c>
      <c r="B598" t="str">
        <f>"1552382463942300"</f>
        <v>1552382463942300</v>
      </c>
      <c r="C598" t="s">
        <v>40</v>
      </c>
      <c r="D598">
        <v>3.2639580000000001</v>
      </c>
      <c r="E598">
        <v>0.58290529999999996</v>
      </c>
      <c r="F598" t="s">
        <v>41</v>
      </c>
      <c r="G598">
        <v>-379.70569999999998</v>
      </c>
      <c r="H598">
        <v>0.91854119999999995</v>
      </c>
      <c r="I598">
        <v>367.39479999999998</v>
      </c>
      <c r="J598">
        <v>-380.47460000000001</v>
      </c>
      <c r="K598">
        <v>1.11012</v>
      </c>
      <c r="L598">
        <v>367.58890000000002</v>
      </c>
      <c r="M598">
        <v>0.99990950000000001</v>
      </c>
      <c r="N598">
        <v>0</v>
      </c>
      <c r="O598">
        <v>-6.9497959999999899E-3</v>
      </c>
      <c r="P598">
        <v>0.98669620000000002</v>
      </c>
      <c r="Q598">
        <v>0.16257469999999999</v>
      </c>
      <c r="R598">
        <v>4.4435310000000001E-4</v>
      </c>
      <c r="S598">
        <v>3.1454469999999999</v>
      </c>
      <c r="T598">
        <v>-0.63170230000000005</v>
      </c>
      <c r="U598">
        <v>-0.64282229999999996</v>
      </c>
      <c r="V598">
        <v>-7.4194200000000004E-3</v>
      </c>
      <c r="W598">
        <v>0.17393020000000001</v>
      </c>
      <c r="X598">
        <v>0.98472999999999999</v>
      </c>
      <c r="Y598">
        <v>0.1899064</v>
      </c>
      <c r="Z598">
        <v>-1.7325360000000001E-2</v>
      </c>
      <c r="AA598">
        <v>0.98164929999999995</v>
      </c>
      <c r="AB598">
        <v>37</v>
      </c>
      <c r="AC598">
        <v>0.76890000000003</v>
      </c>
      <c r="AD598">
        <v>-0.19157879999999899</v>
      </c>
      <c r="AE598">
        <v>-0.19410000000004801</v>
      </c>
      <c r="AF598">
        <v>0.178342916421593</v>
      </c>
      <c r="AG598">
        <v>-0.19157879999999899</v>
      </c>
      <c r="AH598">
        <v>0.72775752374815295</v>
      </c>
      <c r="AI598">
        <v>104.342131254663</v>
      </c>
      <c r="AJ598">
        <v>76.230555973608205</v>
      </c>
      <c r="AK598">
        <v>0.77339488349693797</v>
      </c>
      <c r="AL598">
        <v>79.983591294193999</v>
      </c>
      <c r="AM598">
        <v>90.4316852422685</v>
      </c>
      <c r="AN598">
        <v>0.99999996758258702</v>
      </c>
    </row>
    <row r="599" spans="1:40" x14ac:dyDescent="0.25">
      <c r="A599" t="str">
        <f>"20190312172103964"</f>
        <v>20190312172103964</v>
      </c>
      <c r="B599" t="str">
        <f>"1552382463961820"</f>
        <v>1552382463961820</v>
      </c>
      <c r="C599" t="s">
        <v>40</v>
      </c>
      <c r="D599">
        <v>3.276681</v>
      </c>
      <c r="E599">
        <v>0.58360239999999997</v>
      </c>
      <c r="F599" t="s">
        <v>41</v>
      </c>
      <c r="G599">
        <v>-379.69260000000003</v>
      </c>
      <c r="H599">
        <v>0.95167469999999998</v>
      </c>
      <c r="I599">
        <v>367.42759999999998</v>
      </c>
      <c r="J599">
        <v>-380.30410000000001</v>
      </c>
      <c r="K599">
        <v>1.110125</v>
      </c>
      <c r="L599">
        <v>367.58780000000002</v>
      </c>
      <c r="M599">
        <v>0.99991019999999997</v>
      </c>
      <c r="N599">
        <v>0</v>
      </c>
      <c r="O599">
        <v>-6.8039869999999896E-3</v>
      </c>
      <c r="P599">
        <v>0.98668259999999997</v>
      </c>
      <c r="Q599">
        <v>0.16265729999999901</v>
      </c>
      <c r="R599">
        <v>4.3459279999999998E-4</v>
      </c>
      <c r="S599">
        <v>3.1457519999999999</v>
      </c>
      <c r="T599">
        <v>-0.63746939999999996</v>
      </c>
      <c r="U599">
        <v>-0.64727780000000001</v>
      </c>
      <c r="V599">
        <v>-7.2671430000000002E-3</v>
      </c>
      <c r="W599">
        <v>0.17403959999999999</v>
      </c>
      <c r="X599">
        <v>0.98471180000000003</v>
      </c>
      <c r="Y599">
        <v>0.19127350000000001</v>
      </c>
      <c r="Z599">
        <v>-1.7641159999999999E-2</v>
      </c>
      <c r="AA599">
        <v>0.98137830000000004</v>
      </c>
      <c r="AB599">
        <v>37</v>
      </c>
      <c r="AC599">
        <v>0.61149999999997795</v>
      </c>
      <c r="AD599">
        <v>-0.15845029999999999</v>
      </c>
      <c r="AE599">
        <v>-0.16020000000003101</v>
      </c>
      <c r="AF599">
        <v>0.146811274022526</v>
      </c>
      <c r="AG599">
        <v>-0.15845029999999999</v>
      </c>
      <c r="AH599">
        <v>0.57636321230866505</v>
      </c>
      <c r="AI599">
        <v>104.917538494548</v>
      </c>
      <c r="AJ599">
        <v>75.709509073345998</v>
      </c>
      <c r="AK599">
        <v>0.61551165728438495</v>
      </c>
      <c r="AL599">
        <v>79.977225992482303</v>
      </c>
      <c r="AM599">
        <v>90.422833426077801</v>
      </c>
      <c r="AN599">
        <v>0.99999996139739</v>
      </c>
    </row>
    <row r="600" spans="1:40" x14ac:dyDescent="0.25">
      <c r="A600" t="str">
        <f>"20190312172103974"</f>
        <v>20190312172103974</v>
      </c>
      <c r="B600" t="str">
        <f>"1552382463971581"</f>
        <v>1552382463971581</v>
      </c>
      <c r="C600" t="s">
        <v>40</v>
      </c>
      <c r="D600">
        <v>3.2728809999999999</v>
      </c>
      <c r="E600">
        <v>0.58396490000000001</v>
      </c>
      <c r="F600" t="s">
        <v>41</v>
      </c>
      <c r="G600">
        <v>-379.3741</v>
      </c>
      <c r="H600">
        <v>0.92050549999999998</v>
      </c>
      <c r="I600">
        <v>367.39479999999998</v>
      </c>
      <c r="J600">
        <v>-380.12610000000001</v>
      </c>
      <c r="K600">
        <v>1.1101299999999901</v>
      </c>
      <c r="L600">
        <v>367.58670000000001</v>
      </c>
      <c r="M600">
        <v>0.99991090000000005</v>
      </c>
      <c r="N600">
        <v>0</v>
      </c>
      <c r="O600">
        <v>-6.6519919999999998E-3</v>
      </c>
      <c r="P600">
        <v>0.98674399999999995</v>
      </c>
      <c r="Q600">
        <v>0.1622847</v>
      </c>
      <c r="R600">
        <v>3.346275E-4</v>
      </c>
      <c r="S600">
        <v>3.1465450000000001</v>
      </c>
      <c r="T600">
        <v>-0.64157969999999998</v>
      </c>
      <c r="U600">
        <v>-0.65277099999999999</v>
      </c>
      <c r="V600">
        <v>-7.0187139999999997E-3</v>
      </c>
      <c r="W600">
        <v>0.17369589999999999</v>
      </c>
      <c r="X600">
        <v>0.98477440000000005</v>
      </c>
      <c r="Y600">
        <v>0.1929379</v>
      </c>
      <c r="Z600">
        <v>-1.7941970000000002E-2</v>
      </c>
      <c r="AA600">
        <v>0.98104690000000006</v>
      </c>
      <c r="AB600">
        <v>37</v>
      </c>
      <c r="AC600">
        <v>0.75200000000000899</v>
      </c>
      <c r="AD600">
        <v>-0.189624499999999</v>
      </c>
      <c r="AE600">
        <v>-0.19190000000003199</v>
      </c>
      <c r="AF600">
        <v>0.17636462864322799</v>
      </c>
      <c r="AG600">
        <v>-0.189624499999999</v>
      </c>
      <c r="AH600">
        <v>0.71082559447062599</v>
      </c>
      <c r="AI600">
        <v>104.51603390571699</v>
      </c>
      <c r="AJ600">
        <v>76.065592496757404</v>
      </c>
      <c r="AK600">
        <v>0.75652822749136905</v>
      </c>
      <c r="AL600">
        <v>79.997224261412697</v>
      </c>
      <c r="AM600">
        <v>90.408353304825496</v>
      </c>
      <c r="AN600">
        <v>1.0000000734591801</v>
      </c>
    </row>
    <row r="601" spans="1:40" x14ac:dyDescent="0.25">
      <c r="A601" t="str">
        <f>"20190312172103994"</f>
        <v>20190312172103994</v>
      </c>
      <c r="B601" t="str">
        <f>"1552382463982317"</f>
        <v>1552382463982317</v>
      </c>
      <c r="C601" t="s">
        <v>40</v>
      </c>
      <c r="D601">
        <v>3.2864949999999902</v>
      </c>
      <c r="E601">
        <v>0.58400699999999905</v>
      </c>
      <c r="F601" t="s">
        <v>41</v>
      </c>
      <c r="G601">
        <v>-379.36099999999999</v>
      </c>
      <c r="H601">
        <v>0.95332729999999999</v>
      </c>
      <c r="I601">
        <v>367.4271</v>
      </c>
      <c r="J601">
        <v>-379.8279</v>
      </c>
      <c r="K601">
        <v>1.110139</v>
      </c>
      <c r="L601">
        <v>367.58499999999998</v>
      </c>
      <c r="M601">
        <v>0.99991189999999996</v>
      </c>
      <c r="N601">
        <v>0</v>
      </c>
      <c r="O601">
        <v>-6.3968519999999997E-3</v>
      </c>
      <c r="P601">
        <v>0.98677890000000001</v>
      </c>
      <c r="Q601">
        <v>0.1620722</v>
      </c>
      <c r="R601">
        <v>4.5669869999999998E-4</v>
      </c>
      <c r="S601">
        <v>3.146576</v>
      </c>
      <c r="T601">
        <v>-0.64485179999999998</v>
      </c>
      <c r="U601">
        <v>-0.65609740000000005</v>
      </c>
      <c r="V601">
        <v>-6.8911919999999896E-3</v>
      </c>
      <c r="W601">
        <v>0.17353199999999999</v>
      </c>
      <c r="X601">
        <v>0.98480420000000002</v>
      </c>
      <c r="Y601">
        <v>0.19411539999999999</v>
      </c>
      <c r="Z601">
        <v>-1.8199030000000001E-2</v>
      </c>
      <c r="AA601">
        <v>0.98080990000000001</v>
      </c>
      <c r="AB601">
        <v>37</v>
      </c>
      <c r="AC601">
        <v>0.46690000000000897</v>
      </c>
      <c r="AD601">
        <v>-0.156811699999999</v>
      </c>
      <c r="AE601">
        <v>-0.157899999999983</v>
      </c>
      <c r="AF601">
        <v>0.140670757012028</v>
      </c>
      <c r="AG601">
        <v>-0.156811699999999</v>
      </c>
      <c r="AH601">
        <v>0.42489174868137602</v>
      </c>
      <c r="AI601">
        <v>109.308437087135</v>
      </c>
      <c r="AJ601">
        <v>71.6816175066526</v>
      </c>
      <c r="AK601">
        <v>0.47424800393121802</v>
      </c>
      <c r="AL601">
        <v>80.006759893706601</v>
      </c>
      <c r="AM601">
        <v>90.400922105299301</v>
      </c>
      <c r="AN601">
        <v>1.0000000779444</v>
      </c>
    </row>
    <row r="602" spans="1:40" x14ac:dyDescent="0.25">
      <c r="A602" t="str">
        <f>"20190312172104011"</f>
        <v>20190312172104011</v>
      </c>
      <c r="B602" t="str">
        <f>"1552382464001836"</f>
        <v>1552382464001836</v>
      </c>
      <c r="C602" t="s">
        <v>40</v>
      </c>
      <c r="D602">
        <v>3.2900909999999999</v>
      </c>
      <c r="E602">
        <v>0.58403019999999894</v>
      </c>
      <c r="F602" t="s">
        <v>41</v>
      </c>
      <c r="G602">
        <v>-379.03309999999999</v>
      </c>
      <c r="H602">
        <v>0.94643880000000002</v>
      </c>
      <c r="I602">
        <v>367.41860000000003</v>
      </c>
      <c r="J602">
        <v>-379.53489999999999</v>
      </c>
      <c r="K602">
        <v>1.1101529999999999</v>
      </c>
      <c r="L602">
        <v>367.58330000000001</v>
      </c>
      <c r="M602">
        <v>0.9999131</v>
      </c>
      <c r="N602">
        <v>0</v>
      </c>
      <c r="O602">
        <v>-6.1467170000000003E-3</v>
      </c>
      <c r="P602">
        <v>0.98685940000000005</v>
      </c>
      <c r="Q602">
        <v>0.1615819</v>
      </c>
      <c r="R602">
        <v>3.5686369999999998E-4</v>
      </c>
      <c r="S602">
        <v>3.1470030000000002</v>
      </c>
      <c r="T602">
        <v>-0.64848409999999901</v>
      </c>
      <c r="U602">
        <v>-0.65628050000000004</v>
      </c>
      <c r="V602">
        <v>-6.5465619999999997E-3</v>
      </c>
      <c r="W602">
        <v>0.173087299999999</v>
      </c>
      <c r="X602">
        <v>0.98488469999999995</v>
      </c>
      <c r="Y602">
        <v>0.19433839999999999</v>
      </c>
      <c r="Z602">
        <v>-1.8369980000000001E-2</v>
      </c>
      <c r="AA602">
        <v>0.98076249999999998</v>
      </c>
      <c r="AB602">
        <v>37</v>
      </c>
      <c r="AC602">
        <v>0.50180000000000202</v>
      </c>
      <c r="AD602">
        <v>-0.1637142</v>
      </c>
      <c r="AE602">
        <v>-0.164699999999982</v>
      </c>
      <c r="AF602">
        <v>0.147444320510416</v>
      </c>
      <c r="AG602">
        <v>-0.1637142</v>
      </c>
      <c r="AH602">
        <v>0.4587241188208</v>
      </c>
      <c r="AI602">
        <v>108.76623886429201</v>
      </c>
      <c r="AJ602">
        <v>72.181418745025098</v>
      </c>
      <c r="AK602">
        <v>0.50889093538826002</v>
      </c>
      <c r="AL602">
        <v>80.032629748969299</v>
      </c>
      <c r="AM602">
        <v>90.380841380573401</v>
      </c>
      <c r="AN602">
        <v>0.999999971594699</v>
      </c>
    </row>
    <row r="603" spans="1:40" x14ac:dyDescent="0.25">
      <c r="A603" t="str">
        <f>"20190312172104032"</f>
        <v>20190312172104032</v>
      </c>
      <c r="B603" t="str">
        <f>"1552382464022332"</f>
        <v>1552382464022332</v>
      </c>
      <c r="C603" t="s">
        <v>40</v>
      </c>
      <c r="D603">
        <v>3.2561469999999999</v>
      </c>
      <c r="E603">
        <v>0.5840495</v>
      </c>
      <c r="F603" t="s">
        <v>41</v>
      </c>
      <c r="G603">
        <v>-378.70580000000001</v>
      </c>
      <c r="H603">
        <v>0.93740789999999996</v>
      </c>
      <c r="I603">
        <v>367.41050000000001</v>
      </c>
      <c r="J603">
        <v>-379.18619999999999</v>
      </c>
      <c r="K603">
        <v>1.11016</v>
      </c>
      <c r="L603">
        <v>367.58150000000001</v>
      </c>
      <c r="M603">
        <v>0.99991419999999998</v>
      </c>
      <c r="N603">
        <v>0</v>
      </c>
      <c r="O603">
        <v>-5.8487080000000002E-3</v>
      </c>
      <c r="P603">
        <v>0.98688379999999998</v>
      </c>
      <c r="Q603">
        <v>0.1614332</v>
      </c>
      <c r="R603">
        <v>1.076944E-4</v>
      </c>
      <c r="S603">
        <v>3.147583</v>
      </c>
      <c r="T603">
        <v>-0.65580150000000004</v>
      </c>
      <c r="U603">
        <v>-0.65615840000000003</v>
      </c>
      <c r="V603">
        <v>-6.0047099999999999E-3</v>
      </c>
      <c r="W603">
        <v>0.172991899999999</v>
      </c>
      <c r="X603">
        <v>0.98490489999999997</v>
      </c>
      <c r="Y603">
        <v>0.19446530000000001</v>
      </c>
      <c r="Z603">
        <v>-1.8643570000000002E-2</v>
      </c>
      <c r="AA603">
        <v>0.98073220000000005</v>
      </c>
      <c r="AB603">
        <v>37</v>
      </c>
      <c r="AC603">
        <v>0.48039999999997401</v>
      </c>
      <c r="AD603">
        <v>-0.17275209999999999</v>
      </c>
      <c r="AE603">
        <v>-0.17099999999999199</v>
      </c>
      <c r="AF603">
        <v>0.15087152165180701</v>
      </c>
      <c r="AG603">
        <v>-0.17275209999999999</v>
      </c>
      <c r="AH603">
        <v>0.43183046465678798</v>
      </c>
      <c r="AI603">
        <v>110.68955530972001</v>
      </c>
      <c r="AJ603">
        <v>70.741772829642798</v>
      </c>
      <c r="AK603">
        <v>0.48896119918214298</v>
      </c>
      <c r="AL603">
        <v>80.0381793484502</v>
      </c>
      <c r="AM603">
        <v>90.3493131951669</v>
      </c>
      <c r="AN603">
        <v>0.99999995802590103</v>
      </c>
    </row>
    <row r="604" spans="1:40" x14ac:dyDescent="0.25">
      <c r="A604" t="str">
        <f>"20190312172104044"</f>
        <v>20190312172104044</v>
      </c>
      <c r="B604" t="str">
        <f>"1552382464041852"</f>
        <v>1552382464041852</v>
      </c>
      <c r="C604" t="s">
        <v>40</v>
      </c>
      <c r="D604">
        <v>3.3549910000000001</v>
      </c>
      <c r="E604">
        <v>0.58394159999999995</v>
      </c>
      <c r="F604" t="s">
        <v>41</v>
      </c>
      <c r="G604">
        <v>-378.3741</v>
      </c>
      <c r="H604">
        <v>0.93960429999999995</v>
      </c>
      <c r="I604">
        <v>367.4117</v>
      </c>
      <c r="J604">
        <v>-378.97239999999999</v>
      </c>
      <c r="K604">
        <v>1.1101669999999999</v>
      </c>
      <c r="L604">
        <v>367.5804</v>
      </c>
      <c r="M604">
        <v>0.99991490000000005</v>
      </c>
      <c r="N604">
        <v>0</v>
      </c>
      <c r="O604">
        <v>-5.6656440000000001E-3</v>
      </c>
      <c r="P604">
        <v>0.98690979999999995</v>
      </c>
      <c r="Q604">
        <v>0.161274</v>
      </c>
      <c r="R604">
        <v>1.9091369999999999E-4</v>
      </c>
      <c r="S604">
        <v>3.1481020000000002</v>
      </c>
      <c r="T604">
        <v>-0.66117539999999997</v>
      </c>
      <c r="U604">
        <v>-0.65682980000000002</v>
      </c>
      <c r="V604">
        <v>-5.9076290000000002E-3</v>
      </c>
      <c r="W604">
        <v>0.17286509999999999</v>
      </c>
      <c r="X604">
        <v>0.98492780000000002</v>
      </c>
      <c r="Y604">
        <v>0.19474150000000001</v>
      </c>
      <c r="Z604">
        <v>-1.8855859999999999E-2</v>
      </c>
      <c r="AA604">
        <v>0.98067340000000003</v>
      </c>
      <c r="AB604">
        <v>37</v>
      </c>
      <c r="AC604">
        <v>0.59829999999999395</v>
      </c>
      <c r="AD604">
        <v>-0.17056269999999901</v>
      </c>
      <c r="AE604">
        <v>-0.16870000000000099</v>
      </c>
      <c r="AF604">
        <v>0.15373354826060101</v>
      </c>
      <c r="AG604">
        <v>-0.17056269999999901</v>
      </c>
      <c r="AH604">
        <v>0.55729088490876599</v>
      </c>
      <c r="AI604">
        <v>106.43799942729601</v>
      </c>
      <c r="AJ604">
        <v>74.578017176724501</v>
      </c>
      <c r="AK604">
        <v>0.60274270538470998</v>
      </c>
      <c r="AL604">
        <v>80.045556074060997</v>
      </c>
      <c r="AM604">
        <v>90.343657829125704</v>
      </c>
      <c r="AN604">
        <v>1.0000000070456201</v>
      </c>
    </row>
    <row r="605" spans="1:40" x14ac:dyDescent="0.25">
      <c r="A605" t="str">
        <f>"20190312172104057"</f>
        <v>20190312172104057</v>
      </c>
      <c r="B605" t="str">
        <f>"1552382464051612"</f>
        <v>1552382464051612</v>
      </c>
      <c r="C605" t="s">
        <v>40</v>
      </c>
      <c r="D605">
        <v>3.2472050000000001</v>
      </c>
      <c r="E605">
        <v>0.58399330000000005</v>
      </c>
      <c r="F605" t="s">
        <v>41</v>
      </c>
      <c r="G605">
        <v>-378.05250000000001</v>
      </c>
      <c r="H605">
        <v>0.91542480000000004</v>
      </c>
      <c r="I605">
        <v>367.38889999999998</v>
      </c>
      <c r="J605">
        <v>-378.7715</v>
      </c>
      <c r="K605">
        <v>1.1101639999999999</v>
      </c>
      <c r="L605">
        <v>367.57940000000002</v>
      </c>
      <c r="M605">
        <v>0.99991540000000001</v>
      </c>
      <c r="N605">
        <v>0</v>
      </c>
      <c r="O605">
        <v>-5.4929459999999899E-3</v>
      </c>
      <c r="P605">
        <v>0.98696740000000005</v>
      </c>
      <c r="Q605">
        <v>0.16092029999999999</v>
      </c>
      <c r="R605">
        <v>2.6425489999999999E-4</v>
      </c>
      <c r="S605">
        <v>3.1488339999999999</v>
      </c>
      <c r="T605">
        <v>-0.66669</v>
      </c>
      <c r="U605">
        <v>-0.65527340000000001</v>
      </c>
      <c r="V605">
        <v>-5.8116840000000001E-3</v>
      </c>
      <c r="W605">
        <v>0.172542</v>
      </c>
      <c r="X605">
        <v>0.984985</v>
      </c>
      <c r="Y605">
        <v>0.19434119999999999</v>
      </c>
      <c r="Z605">
        <v>-1.900081E-2</v>
      </c>
      <c r="AA605">
        <v>0.98075000000000001</v>
      </c>
      <c r="AB605">
        <v>37</v>
      </c>
      <c r="AC605">
        <v>0.71899999999999398</v>
      </c>
      <c r="AD605">
        <v>-0.1947392</v>
      </c>
      <c r="AE605">
        <v>-0.190500000000042</v>
      </c>
      <c r="AF605">
        <v>0.174580561929946</v>
      </c>
      <c r="AG605">
        <v>-0.1947392</v>
      </c>
      <c r="AH605">
        <v>0.67384594752834603</v>
      </c>
      <c r="AI605">
        <v>105.62949188214</v>
      </c>
      <c r="AJ605">
        <v>75.475125131819297</v>
      </c>
      <c r="AK605">
        <v>0.72282092500202999</v>
      </c>
      <c r="AL605">
        <v>80.064350519038499</v>
      </c>
      <c r="AM605">
        <v>90.338057027311606</v>
      </c>
      <c r="AN605">
        <v>0.99999998382995703</v>
      </c>
    </row>
    <row r="606" spans="1:40" x14ac:dyDescent="0.25">
      <c r="A606" t="str">
        <f>"20190312172104068"</f>
        <v>20190312172104068</v>
      </c>
      <c r="B606" t="str">
        <f>"1552382464062349"</f>
        <v>1552382464062349</v>
      </c>
      <c r="C606" t="s">
        <v>40</v>
      </c>
      <c r="D606">
        <v>3.5509949999999999</v>
      </c>
      <c r="E606">
        <v>0.58375159999999904</v>
      </c>
      <c r="F606" t="s">
        <v>41</v>
      </c>
      <c r="G606">
        <v>-378.03710000000001</v>
      </c>
      <c r="H606">
        <v>0.95391879999999996</v>
      </c>
      <c r="I606">
        <v>367.42649999999998</v>
      </c>
      <c r="J606">
        <v>-378.59440000000001</v>
      </c>
      <c r="K606">
        <v>1.1101669999999999</v>
      </c>
      <c r="L606">
        <v>367.57859999999999</v>
      </c>
      <c r="M606">
        <v>0.99991589999999997</v>
      </c>
      <c r="N606">
        <v>0</v>
      </c>
      <c r="O606">
        <v>-5.3404969999999996E-3</v>
      </c>
      <c r="P606">
        <v>0.98697020000000002</v>
      </c>
      <c r="Q606">
        <v>0.16090299999999999</v>
      </c>
      <c r="R606">
        <v>2.3928839999999999E-4</v>
      </c>
      <c r="S606">
        <v>3.1490480000000001</v>
      </c>
      <c r="T606">
        <v>-0.67005649999999894</v>
      </c>
      <c r="U606">
        <v>-0.65518189999999998</v>
      </c>
      <c r="V606">
        <v>-5.6364859999999996E-3</v>
      </c>
      <c r="W606">
        <v>0.17255139999999999</v>
      </c>
      <c r="X606">
        <v>0.98498439999999998</v>
      </c>
      <c r="Y606">
        <v>0.19440560000000001</v>
      </c>
      <c r="Z606">
        <v>-1.9131990000000001E-2</v>
      </c>
      <c r="AA606">
        <v>0.98073460000000001</v>
      </c>
      <c r="AB606">
        <v>37</v>
      </c>
      <c r="AC606">
        <v>0.55729999999999702</v>
      </c>
      <c r="AD606">
        <v>-0.156248199999999</v>
      </c>
      <c r="AE606">
        <v>-0.152100000000018</v>
      </c>
      <c r="AF606">
        <v>0.138955886985762</v>
      </c>
      <c r="AG606">
        <v>-0.156248199999999</v>
      </c>
      <c r="AH606">
        <v>0.52005889460327204</v>
      </c>
      <c r="AI606">
        <v>106.185939136461</v>
      </c>
      <c r="AJ606">
        <v>75.040453453711507</v>
      </c>
      <c r="AK606">
        <v>0.56052073323581697</v>
      </c>
      <c r="AL606">
        <v>80.063804019753306</v>
      </c>
      <c r="AM606">
        <v>90.327866445480694</v>
      </c>
      <c r="AN606">
        <v>1.00000001192987</v>
      </c>
    </row>
    <row r="607" spans="1:40" x14ac:dyDescent="0.25">
      <c r="A607" t="str">
        <f>"20190312172104078"</f>
        <v>20190312172104078</v>
      </c>
      <c r="B607" t="str">
        <f>"1552382464072108"</f>
        <v>1552382464072108</v>
      </c>
      <c r="C607" t="s">
        <v>40</v>
      </c>
      <c r="D607">
        <v>3.2854610000000002</v>
      </c>
      <c r="E607">
        <v>0.58355140000000005</v>
      </c>
      <c r="F607" t="s">
        <v>41</v>
      </c>
      <c r="G607">
        <v>-377.7183</v>
      </c>
      <c r="H607">
        <v>0.92390190000000005</v>
      </c>
      <c r="I607">
        <v>367.39640000000003</v>
      </c>
      <c r="J607">
        <v>-378.39640000000003</v>
      </c>
      <c r="K607">
        <v>1.1101700000000001</v>
      </c>
      <c r="L607">
        <v>367.57769999999999</v>
      </c>
      <c r="M607">
        <v>0.99991660000000004</v>
      </c>
      <c r="N607">
        <v>0</v>
      </c>
      <c r="O607">
        <v>-5.1699459999999999E-3</v>
      </c>
      <c r="P607">
        <v>0.98700330000000003</v>
      </c>
      <c r="Q607">
        <v>0.16070090000000001</v>
      </c>
      <c r="R607">
        <v>5.0454169999999997E-4</v>
      </c>
      <c r="S607">
        <v>3.1489560000000001</v>
      </c>
      <c r="T607">
        <v>-0.66967119999999902</v>
      </c>
      <c r="U607">
        <v>-0.65316770000000002</v>
      </c>
      <c r="V607">
        <v>-5.7338839999999999E-3</v>
      </c>
      <c r="W607">
        <v>0.172379</v>
      </c>
      <c r="X607">
        <v>0.98501399999999995</v>
      </c>
      <c r="Y607">
        <v>0.19398609999999999</v>
      </c>
      <c r="Z607">
        <v>-1.911477E-2</v>
      </c>
      <c r="AA607">
        <v>0.98081799999999997</v>
      </c>
      <c r="AB607">
        <v>37</v>
      </c>
      <c r="AC607">
        <v>0.67810000000002801</v>
      </c>
      <c r="AD607">
        <v>-0.18626809999999999</v>
      </c>
      <c r="AE607">
        <v>-0.18129999999996399</v>
      </c>
      <c r="AF607">
        <v>0.166094972292681</v>
      </c>
      <c r="AG607">
        <v>-0.18626809999999999</v>
      </c>
      <c r="AH607">
        <v>0.63435614910495697</v>
      </c>
      <c r="AI607">
        <v>105.857608464425</v>
      </c>
      <c r="AJ607">
        <v>75.327488573443702</v>
      </c>
      <c r="AK607">
        <v>0.681682527871873</v>
      </c>
      <c r="AL607">
        <v>80.073831842723095</v>
      </c>
      <c r="AM607">
        <v>90.333521800430702</v>
      </c>
      <c r="AN607">
        <v>0.99999998863136197</v>
      </c>
    </row>
    <row r="608" spans="1:40" x14ac:dyDescent="0.25">
      <c r="A608" t="str">
        <f>"20190312172104090"</f>
        <v>20190312172104090</v>
      </c>
      <c r="B608" t="str">
        <f>"1552382464081868"</f>
        <v>1552382464081868</v>
      </c>
      <c r="C608" t="s">
        <v>40</v>
      </c>
      <c r="D608">
        <v>3.2357520000000002</v>
      </c>
      <c r="E608">
        <v>0.58334240000000004</v>
      </c>
      <c r="F608" t="s">
        <v>41</v>
      </c>
      <c r="G608">
        <v>-377.70229999999998</v>
      </c>
      <c r="H608">
        <v>0.96263600000000005</v>
      </c>
      <c r="I608">
        <v>367.43369999999999</v>
      </c>
      <c r="J608">
        <v>-378.21969999999999</v>
      </c>
      <c r="K608">
        <v>1.1101780000000001</v>
      </c>
      <c r="L608">
        <v>367.57690000000002</v>
      </c>
      <c r="M608">
        <v>0.9999169</v>
      </c>
      <c r="N608">
        <v>0</v>
      </c>
      <c r="O608">
        <v>-5.0169029999999996E-3</v>
      </c>
      <c r="P608">
        <v>0.9869947</v>
      </c>
      <c r="Q608">
        <v>0.1607526</v>
      </c>
      <c r="R608">
        <v>6.1014809999999995E-4</v>
      </c>
      <c r="S608">
        <v>3.1488339999999999</v>
      </c>
      <c r="T608">
        <v>-0.669485</v>
      </c>
      <c r="U608">
        <v>-0.65127559999999995</v>
      </c>
      <c r="V608">
        <v>-5.6887149999999996E-3</v>
      </c>
      <c r="W608">
        <v>0.172457</v>
      </c>
      <c r="X608">
        <v>0.9850006</v>
      </c>
      <c r="Y608">
        <v>0.19358520000000001</v>
      </c>
      <c r="Z608">
        <v>-1.910152E-2</v>
      </c>
      <c r="AA608">
        <v>0.98089749999999998</v>
      </c>
      <c r="AB608">
        <v>37</v>
      </c>
      <c r="AC608">
        <v>0.51740000000000896</v>
      </c>
      <c r="AD608">
        <v>-0.14754200000000001</v>
      </c>
      <c r="AE608">
        <v>-0.14320000000003499</v>
      </c>
      <c r="AF608">
        <v>0.13072826511268301</v>
      </c>
      <c r="AG608">
        <v>-0.14754200000000001</v>
      </c>
      <c r="AH608">
        <v>0.48172677460207403</v>
      </c>
      <c r="AI608">
        <v>106.466972788692</v>
      </c>
      <c r="AJ608">
        <v>74.817059057487498</v>
      </c>
      <c r="AK608">
        <v>0.52049899753206996</v>
      </c>
      <c r="AL608">
        <v>80.069294739978702</v>
      </c>
      <c r="AM608">
        <v>90.330899023380695</v>
      </c>
      <c r="AN608">
        <v>0.99999998016385505</v>
      </c>
    </row>
    <row r="609" spans="1:40" x14ac:dyDescent="0.25">
      <c r="A609" t="str">
        <f>"20190312172104101"</f>
        <v>20190312172104101</v>
      </c>
      <c r="B609" t="str">
        <f>"1552382464091629"</f>
        <v>1552382464091629</v>
      </c>
      <c r="C609" t="s">
        <v>40</v>
      </c>
      <c r="D609">
        <v>3.2734070000000002</v>
      </c>
      <c r="E609">
        <v>0.58314540000000004</v>
      </c>
      <c r="F609" t="s">
        <v>41</v>
      </c>
      <c r="G609">
        <v>-377.38409999999999</v>
      </c>
      <c r="H609">
        <v>0.93267429999999996</v>
      </c>
      <c r="I609">
        <v>367.40449999999998</v>
      </c>
      <c r="J609">
        <v>-378.03550000000001</v>
      </c>
      <c r="K609">
        <v>1.110182</v>
      </c>
      <c r="L609">
        <v>367.57619999999997</v>
      </c>
      <c r="M609">
        <v>0.99991739999999996</v>
      </c>
      <c r="N609">
        <v>0</v>
      </c>
      <c r="O609">
        <v>-4.8576690000000002E-3</v>
      </c>
      <c r="P609">
        <v>0.98701640000000002</v>
      </c>
      <c r="Q609">
        <v>0.16061839999999999</v>
      </c>
      <c r="R609">
        <v>1.002881E-3</v>
      </c>
      <c r="S609">
        <v>3.148895</v>
      </c>
      <c r="T609">
        <v>-0.66894759999999998</v>
      </c>
      <c r="U609">
        <v>-0.64907840000000006</v>
      </c>
      <c r="V609">
        <v>-5.9250789999999998E-3</v>
      </c>
      <c r="W609">
        <v>0.17235029999999901</v>
      </c>
      <c r="X609">
        <v>0.9850179</v>
      </c>
      <c r="Y609">
        <v>0.19309399999999999</v>
      </c>
      <c r="Z609">
        <v>-1.906948E-2</v>
      </c>
      <c r="AA609">
        <v>0.9809949</v>
      </c>
      <c r="AB609">
        <v>37</v>
      </c>
      <c r="AC609">
        <v>0.65140000000002296</v>
      </c>
      <c r="AD609">
        <v>-0.17750769999999899</v>
      </c>
      <c r="AE609">
        <v>-0.171699999999987</v>
      </c>
      <c r="AF609">
        <v>0.15759138993987101</v>
      </c>
      <c r="AG609">
        <v>-0.17750769999999899</v>
      </c>
      <c r="AH609">
        <v>0.60988048137658402</v>
      </c>
      <c r="AI609">
        <v>105.73770754367</v>
      </c>
      <c r="AJ609">
        <v>75.511837785364804</v>
      </c>
      <c r="AK609">
        <v>0.654444979586981</v>
      </c>
      <c r="AL609">
        <v>80.075501309659103</v>
      </c>
      <c r="AM609">
        <v>90.344641377197803</v>
      </c>
      <c r="AN609">
        <v>0.99999999789582805</v>
      </c>
    </row>
    <row r="610" spans="1:40" x14ac:dyDescent="0.25">
      <c r="A610" t="str">
        <f>"20190312172104112"</f>
        <v>20190312172104112</v>
      </c>
      <c r="B610" t="str">
        <f>"1552382464102366"</f>
        <v>1552382464102366</v>
      </c>
      <c r="C610" t="s">
        <v>40</v>
      </c>
      <c r="D610">
        <v>3.275458</v>
      </c>
      <c r="E610">
        <v>0.58299250000000002</v>
      </c>
      <c r="F610" t="s">
        <v>41</v>
      </c>
      <c r="G610">
        <v>-377.0643</v>
      </c>
      <c r="H610">
        <v>0.90389779999999997</v>
      </c>
      <c r="I610">
        <v>367.3766</v>
      </c>
      <c r="J610">
        <v>-377.8546</v>
      </c>
      <c r="K610">
        <v>1.1101890000000001</v>
      </c>
      <c r="L610">
        <v>367.5754</v>
      </c>
      <c r="M610">
        <v>0.99991790000000003</v>
      </c>
      <c r="N610">
        <v>0</v>
      </c>
      <c r="O610">
        <v>-4.7008140000000002E-3</v>
      </c>
      <c r="P610">
        <v>0.98703079999999999</v>
      </c>
      <c r="Q610">
        <v>0.160528</v>
      </c>
      <c r="R610">
        <v>1.0877230000000001E-3</v>
      </c>
      <c r="S610">
        <v>3.148987</v>
      </c>
      <c r="T610">
        <v>-0.66900959999999998</v>
      </c>
      <c r="U610">
        <v>-0.64575199999999999</v>
      </c>
      <c r="V610">
        <v>-5.8551590000000004E-3</v>
      </c>
      <c r="W610">
        <v>0.17228740000000001</v>
      </c>
      <c r="X610">
        <v>0.9850293</v>
      </c>
      <c r="Y610">
        <v>0.19226070000000001</v>
      </c>
      <c r="Z610">
        <v>-1.901858E-2</v>
      </c>
      <c r="AA610">
        <v>0.98115960000000002</v>
      </c>
      <c r="AB610">
        <v>37</v>
      </c>
      <c r="AC610">
        <v>0.790300000000002</v>
      </c>
      <c r="AD610">
        <v>-0.20629119999999901</v>
      </c>
      <c r="AE610">
        <v>-0.198800000000005</v>
      </c>
      <c r="AF610">
        <v>0.18333420435410799</v>
      </c>
      <c r="AG610">
        <v>-0.20629119999999901</v>
      </c>
      <c r="AH610">
        <v>0.74357655397842903</v>
      </c>
      <c r="AI610">
        <v>105.07562722758399</v>
      </c>
      <c r="AJ610">
        <v>76.149557178660899</v>
      </c>
      <c r="AK610">
        <v>0.79314158969885695</v>
      </c>
      <c r="AL610">
        <v>80.0791597281804</v>
      </c>
      <c r="AM610">
        <v>90.340570527243599</v>
      </c>
      <c r="AN610">
        <v>0.99999997647208205</v>
      </c>
    </row>
    <row r="611" spans="1:40" x14ac:dyDescent="0.25">
      <c r="A611" t="str">
        <f>"20190312172104122"</f>
        <v>20190312172104122</v>
      </c>
      <c r="B611" t="str">
        <f>"1552382464112124"</f>
        <v>1552382464112124</v>
      </c>
      <c r="C611" t="s">
        <v>40</v>
      </c>
      <c r="D611">
        <v>3.2751100000000002</v>
      </c>
      <c r="E611">
        <v>0.58286680000000002</v>
      </c>
      <c r="F611" t="s">
        <v>41</v>
      </c>
      <c r="G611">
        <v>-377.05059999999997</v>
      </c>
      <c r="H611">
        <v>0.93943080000000001</v>
      </c>
      <c r="I611">
        <v>367.41050000000001</v>
      </c>
      <c r="J611">
        <v>-377.67860000000002</v>
      </c>
      <c r="K611">
        <v>1.1101970000000001</v>
      </c>
      <c r="L611">
        <v>367.57470000000001</v>
      </c>
      <c r="M611">
        <v>0.99991830000000004</v>
      </c>
      <c r="N611">
        <v>0</v>
      </c>
      <c r="O611">
        <v>-4.5483659999999999E-3</v>
      </c>
      <c r="P611">
        <v>0.98702369999999995</v>
      </c>
      <c r="Q611">
        <v>0.16057099999999999</v>
      </c>
      <c r="R611">
        <v>1.2787790000000001E-3</v>
      </c>
      <c r="S611">
        <v>3.1489560000000001</v>
      </c>
      <c r="T611">
        <v>-0.66906339999999997</v>
      </c>
      <c r="U611">
        <v>-0.6442871</v>
      </c>
      <c r="V611">
        <v>-5.895951E-3</v>
      </c>
      <c r="W611">
        <v>0.1723565</v>
      </c>
      <c r="X611">
        <v>0.98501700000000003</v>
      </c>
      <c r="Y611">
        <v>0.1919757</v>
      </c>
      <c r="Z611">
        <v>-1.9023169999999999E-2</v>
      </c>
      <c r="AA611">
        <v>0.98121530000000001</v>
      </c>
      <c r="AB611">
        <v>37</v>
      </c>
      <c r="AC611">
        <v>0.62800000000004197</v>
      </c>
      <c r="AD611">
        <v>-0.17076619999999901</v>
      </c>
      <c r="AE611">
        <v>-0.16419999999999299</v>
      </c>
      <c r="AF611">
        <v>0.15089814758346001</v>
      </c>
      <c r="AG611">
        <v>-0.17076619999999901</v>
      </c>
      <c r="AH611">
        <v>0.588042319502175</v>
      </c>
      <c r="AI611">
        <v>105.710457397873</v>
      </c>
      <c r="AJ611">
        <v>75.607811894770194</v>
      </c>
      <c r="AK611">
        <v>0.63065451360634595</v>
      </c>
      <c r="AL611">
        <v>80.075140778443298</v>
      </c>
      <c r="AM611">
        <v>90.342947455967305</v>
      </c>
      <c r="AN611">
        <v>1.00000000780972</v>
      </c>
    </row>
    <row r="612" spans="1:40" x14ac:dyDescent="0.25">
      <c r="A612" t="str">
        <f>"20190312172104134"</f>
        <v>20190312172104134</v>
      </c>
      <c r="B612" t="str">
        <f>"1552382464131644"</f>
        <v>1552382464131644</v>
      </c>
      <c r="C612" t="s">
        <v>40</v>
      </c>
      <c r="D612">
        <v>3.367324</v>
      </c>
      <c r="E612">
        <v>0.5825574</v>
      </c>
      <c r="F612" t="s">
        <v>41</v>
      </c>
      <c r="G612">
        <v>-376.73140000000001</v>
      </c>
      <c r="H612">
        <v>0.90914320000000004</v>
      </c>
      <c r="I612">
        <v>367.38130000000001</v>
      </c>
      <c r="J612">
        <v>-377.48450000000003</v>
      </c>
      <c r="K612">
        <v>1.110201</v>
      </c>
      <c r="L612">
        <v>367.57400000000001</v>
      </c>
      <c r="M612">
        <v>0.99991870000000005</v>
      </c>
      <c r="N612">
        <v>0</v>
      </c>
      <c r="O612">
        <v>-4.380671E-3</v>
      </c>
      <c r="P612">
        <v>0.98700149999999998</v>
      </c>
      <c r="Q612">
        <v>0.1607053</v>
      </c>
      <c r="R612">
        <v>1.431264E-3</v>
      </c>
      <c r="S612">
        <v>3.1491090000000002</v>
      </c>
      <c r="T612">
        <v>-0.66857299999999997</v>
      </c>
      <c r="U612">
        <v>-0.64279169999999997</v>
      </c>
      <c r="V612">
        <v>-5.8840380000000003E-3</v>
      </c>
      <c r="W612">
        <v>0.172519899999999</v>
      </c>
      <c r="X612">
        <v>0.98498850000000004</v>
      </c>
      <c r="Y612">
        <v>0.19169169999999999</v>
      </c>
      <c r="Z612">
        <v>-1.9014840000000002E-2</v>
      </c>
      <c r="AA612">
        <v>0.981271</v>
      </c>
      <c r="AB612">
        <v>37</v>
      </c>
      <c r="AC612">
        <v>0.75310000000001698</v>
      </c>
      <c r="AD612">
        <v>-0.20105780000000001</v>
      </c>
      <c r="AE612">
        <v>-0.19270000000000201</v>
      </c>
      <c r="AF612">
        <v>0.177523384800235</v>
      </c>
      <c r="AG612">
        <v>-0.20105780000000001</v>
      </c>
      <c r="AH612">
        <v>0.70666458479164096</v>
      </c>
      <c r="AI612">
        <v>105.426454166479</v>
      </c>
      <c r="AJ612">
        <v>75.898359512674901</v>
      </c>
      <c r="AK612">
        <v>0.75585291326455395</v>
      </c>
      <c r="AL612">
        <v>80.065636611615204</v>
      </c>
      <c r="AM612">
        <v>90.342264436372304</v>
      </c>
      <c r="AN612">
        <v>1.00000004146572</v>
      </c>
    </row>
    <row r="613" spans="1:40" x14ac:dyDescent="0.25">
      <c r="A613" t="str">
        <f>"20190312172104146"</f>
        <v>20190312172104146</v>
      </c>
      <c r="B613" t="str">
        <f>"1552382464142380"</f>
        <v>1552382464142380</v>
      </c>
      <c r="C613" t="s">
        <v>40</v>
      </c>
      <c r="D613">
        <v>3.2082419999999998</v>
      </c>
      <c r="E613">
        <v>0.5824028</v>
      </c>
      <c r="F613" t="s">
        <v>41</v>
      </c>
      <c r="G613">
        <v>-376.7165</v>
      </c>
      <c r="H613">
        <v>0.94740559999999996</v>
      </c>
      <c r="I613">
        <v>367.4178</v>
      </c>
      <c r="J613">
        <v>-377.30520000000001</v>
      </c>
      <c r="K613">
        <v>1.110206</v>
      </c>
      <c r="L613">
        <v>367.57339999999999</v>
      </c>
      <c r="M613">
        <v>0.99991890000000005</v>
      </c>
      <c r="N613">
        <v>0</v>
      </c>
      <c r="O613">
        <v>-4.2251229999999999E-3</v>
      </c>
      <c r="P613">
        <v>0.98703660000000004</v>
      </c>
      <c r="Q613">
        <v>0.16048799999999999</v>
      </c>
      <c r="R613">
        <v>1.538504E-3</v>
      </c>
      <c r="S613">
        <v>3.1491699999999998</v>
      </c>
      <c r="T613">
        <v>-0.66759559999999996</v>
      </c>
      <c r="U613">
        <v>-0.63989259999999903</v>
      </c>
      <c r="V613">
        <v>-5.8377380000000003E-3</v>
      </c>
      <c r="W613">
        <v>0.1723287</v>
      </c>
      <c r="X613">
        <v>0.98502219999999996</v>
      </c>
      <c r="Y613">
        <v>0.19099540000000001</v>
      </c>
      <c r="Z613">
        <v>-1.8948949999999999E-2</v>
      </c>
      <c r="AA613">
        <v>0.98140799999999995</v>
      </c>
      <c r="AB613">
        <v>37</v>
      </c>
      <c r="AC613">
        <v>0.58870000000001699</v>
      </c>
      <c r="AD613">
        <v>-0.16280039999999901</v>
      </c>
      <c r="AE613">
        <v>-0.15559999999999199</v>
      </c>
      <c r="AF613">
        <v>0.14289658974387501</v>
      </c>
      <c r="AG613">
        <v>-0.16280039999999901</v>
      </c>
      <c r="AH613">
        <v>0.55003472473945103</v>
      </c>
      <c r="AI613">
        <v>105.98554300081901</v>
      </c>
      <c r="AJ613">
        <v>75.436755184203506</v>
      </c>
      <c r="AK613">
        <v>0.591152775532513</v>
      </c>
      <c r="AL613">
        <v>80.076757690689305</v>
      </c>
      <c r="AM613">
        <v>90.339559690514093</v>
      </c>
      <c r="AN613">
        <v>0.99999999726074296</v>
      </c>
    </row>
    <row r="614" spans="1:40" x14ac:dyDescent="0.25">
      <c r="A614" t="str">
        <f>"20190312172104157"</f>
        <v>20190312172104157</v>
      </c>
      <c r="B614" t="str">
        <f>"1552382464152141"</f>
        <v>1552382464152141</v>
      </c>
      <c r="C614" t="s">
        <v>40</v>
      </c>
      <c r="D614">
        <v>3.2416100000000001</v>
      </c>
      <c r="E614">
        <v>0.58228419999999903</v>
      </c>
      <c r="F614" t="s">
        <v>41</v>
      </c>
      <c r="G614">
        <v>-376.3974</v>
      </c>
      <c r="H614">
        <v>0.91764820000000002</v>
      </c>
      <c r="I614">
        <v>367.38909999999998</v>
      </c>
      <c r="J614">
        <v>-377.12439999999998</v>
      </c>
      <c r="K614">
        <v>1.110204</v>
      </c>
      <c r="L614">
        <v>367.57279999999997</v>
      </c>
      <c r="M614">
        <v>0.99991940000000001</v>
      </c>
      <c r="N614">
        <v>0</v>
      </c>
      <c r="O614">
        <v>-4.0687420000000002E-3</v>
      </c>
      <c r="P614">
        <v>0.98705259999999995</v>
      </c>
      <c r="Q614">
        <v>0.160385</v>
      </c>
      <c r="R614">
        <v>2.04966E-3</v>
      </c>
      <c r="S614">
        <v>3.1490170000000002</v>
      </c>
      <c r="T614">
        <v>-0.66799909999999996</v>
      </c>
      <c r="U614">
        <v>-0.63797000000000004</v>
      </c>
      <c r="V614">
        <v>-6.1952609999999997E-3</v>
      </c>
      <c r="W614">
        <v>0.17225119999999999</v>
      </c>
      <c r="X614">
        <v>0.98503359999999995</v>
      </c>
      <c r="Y614">
        <v>0.19058230000000001</v>
      </c>
      <c r="Z614">
        <v>-1.895173E-2</v>
      </c>
      <c r="AA614">
        <v>0.98148829999999998</v>
      </c>
      <c r="AB614">
        <v>37</v>
      </c>
      <c r="AC614">
        <v>0.726999999999975</v>
      </c>
      <c r="AD614">
        <v>-0.1925558</v>
      </c>
      <c r="AE614">
        <v>-0.18369999999998701</v>
      </c>
      <c r="AF614">
        <v>0.16955915421231499</v>
      </c>
      <c r="AG614">
        <v>-0.1925558</v>
      </c>
      <c r="AH614">
        <v>0.68272119696712497</v>
      </c>
      <c r="AI614">
        <v>105.30836710173899</v>
      </c>
      <c r="AJ614">
        <v>76.052345490873094</v>
      </c>
      <c r="AK614">
        <v>0.72933961614535903</v>
      </c>
      <c r="AL614">
        <v>80.081265801840303</v>
      </c>
      <c r="AM614">
        <v>90.360350781988998</v>
      </c>
      <c r="AN614">
        <v>1.0000000251446199</v>
      </c>
    </row>
    <row r="615" spans="1:40" x14ac:dyDescent="0.25">
      <c r="A615" t="str">
        <f>"20190312172104168"</f>
        <v>20190312172104168</v>
      </c>
      <c r="B615" t="str">
        <f>"1552382464161900"</f>
        <v>1552382464161900</v>
      </c>
      <c r="C615" t="s">
        <v>40</v>
      </c>
      <c r="D615">
        <v>3.2647879999999998</v>
      </c>
      <c r="E615">
        <v>0.58215130000000004</v>
      </c>
      <c r="F615" t="s">
        <v>41</v>
      </c>
      <c r="G615">
        <v>-376.38319999999999</v>
      </c>
      <c r="H615">
        <v>0.95296309999999995</v>
      </c>
      <c r="I615">
        <v>367.4228</v>
      </c>
      <c r="J615">
        <v>-376.93900000000002</v>
      </c>
      <c r="K615">
        <v>1.1102069999999999</v>
      </c>
      <c r="L615">
        <v>367.57209999999998</v>
      </c>
      <c r="M615">
        <v>0.99991960000000002</v>
      </c>
      <c r="N615">
        <v>0</v>
      </c>
      <c r="O615">
        <v>-3.9077180000000001E-3</v>
      </c>
      <c r="P615">
        <v>0.98704999999999998</v>
      </c>
      <c r="Q615">
        <v>0.16039909999999999</v>
      </c>
      <c r="R615">
        <v>2.11765E-3</v>
      </c>
      <c r="S615">
        <v>3.1492309999999999</v>
      </c>
      <c r="T615">
        <v>-0.6681454</v>
      </c>
      <c r="U615">
        <v>-0.63555909999999904</v>
      </c>
      <c r="V615">
        <v>-6.1040950000000004E-3</v>
      </c>
      <c r="W615">
        <v>0.17229159999999999</v>
      </c>
      <c r="X615">
        <v>0.98502710000000004</v>
      </c>
      <c r="Y615">
        <v>0.19001219999999999</v>
      </c>
      <c r="Z615">
        <v>-1.8930160000000001E-2</v>
      </c>
      <c r="AA615">
        <v>0.98159920000000001</v>
      </c>
      <c r="AB615">
        <v>37</v>
      </c>
      <c r="AC615">
        <v>0.55580000000003305</v>
      </c>
      <c r="AD615">
        <v>-0.15724389999999999</v>
      </c>
      <c r="AE615">
        <v>-0.149299999999982</v>
      </c>
      <c r="AF615">
        <v>0.136906223516786</v>
      </c>
      <c r="AG615">
        <v>-0.15724389999999999</v>
      </c>
      <c r="AH615">
        <v>0.51772880241028496</v>
      </c>
      <c r="AI615">
        <v>106.363610410757</v>
      </c>
      <c r="AJ615">
        <v>75.187962272227097</v>
      </c>
      <c r="AK615">
        <v>0.55813266431022102</v>
      </c>
      <c r="AL615">
        <v>80.078915884744902</v>
      </c>
      <c r="AM615">
        <v>90.355050540779899</v>
      </c>
      <c r="AN615">
        <v>1.0000000215703599</v>
      </c>
    </row>
    <row r="616" spans="1:40" x14ac:dyDescent="0.25">
      <c r="A616" t="str">
        <f>"20190312172104179"</f>
        <v>20190312172104179</v>
      </c>
      <c r="B616" t="str">
        <f>"1552382464171660"</f>
        <v>1552382464171660</v>
      </c>
      <c r="C616" t="s">
        <v>40</v>
      </c>
      <c r="D616">
        <v>3.4244110000000001</v>
      </c>
      <c r="E616">
        <v>0.58205779999999996</v>
      </c>
      <c r="F616" t="s">
        <v>41</v>
      </c>
      <c r="G616">
        <v>-376.06389999999999</v>
      </c>
      <c r="H616">
        <v>0.92460059999999999</v>
      </c>
      <c r="I616">
        <v>367.39569999999998</v>
      </c>
      <c r="J616">
        <v>-376.74290000000002</v>
      </c>
      <c r="K616">
        <v>1.1102110000000001</v>
      </c>
      <c r="L616">
        <v>367.57159999999999</v>
      </c>
      <c r="M616">
        <v>0.99991980000000003</v>
      </c>
      <c r="N616">
        <v>0</v>
      </c>
      <c r="O616">
        <v>-3.7372859999999998E-3</v>
      </c>
      <c r="P616">
        <v>0.98706590000000005</v>
      </c>
      <c r="Q616">
        <v>0.16029889999999999</v>
      </c>
      <c r="R616">
        <v>2.2744610000000002E-3</v>
      </c>
      <c r="S616">
        <v>3.1492309999999999</v>
      </c>
      <c r="T616">
        <v>-0.66797519999999999</v>
      </c>
      <c r="U616">
        <v>-0.63433839999999997</v>
      </c>
      <c r="V616">
        <v>-6.0928999999999896E-3</v>
      </c>
      <c r="W616">
        <v>0.17221929999999999</v>
      </c>
      <c r="X616">
        <v>0.98503980000000002</v>
      </c>
      <c r="Y616">
        <v>0.18981590000000001</v>
      </c>
      <c r="Z616">
        <v>-1.894115E-2</v>
      </c>
      <c r="AA616">
        <v>0.98163699999999998</v>
      </c>
      <c r="AB616">
        <v>37</v>
      </c>
      <c r="AC616">
        <v>0.67900000000003002</v>
      </c>
      <c r="AD616">
        <v>-0.18561040000000001</v>
      </c>
      <c r="AE616">
        <v>-0.17590000000001199</v>
      </c>
      <c r="AF616">
        <v>0.16201575139866101</v>
      </c>
      <c r="AG616">
        <v>-0.18561040000000001</v>
      </c>
      <c r="AH616">
        <v>0.63517435875206996</v>
      </c>
      <c r="AI616">
        <v>105.80965322918399</v>
      </c>
      <c r="AJ616">
        <v>75.690527588052902</v>
      </c>
      <c r="AK616">
        <v>0.68128319391097303</v>
      </c>
      <c r="AL616">
        <v>80.0831211053099</v>
      </c>
      <c r="AM616">
        <v>90.354394820378403</v>
      </c>
      <c r="AN616">
        <v>1.00000000915347</v>
      </c>
    </row>
    <row r="617" spans="1:40" x14ac:dyDescent="0.25">
      <c r="A617" t="str">
        <f>"20190312172104199"</f>
        <v>20190312172104199</v>
      </c>
      <c r="B617" t="str">
        <f>"1552382464192156"</f>
        <v>1552382464192156</v>
      </c>
      <c r="C617" t="s">
        <v>40</v>
      </c>
      <c r="D617">
        <v>3.2591420000000002</v>
      </c>
      <c r="E617">
        <v>0.58188070000000003</v>
      </c>
      <c r="F617" t="s">
        <v>41</v>
      </c>
      <c r="G617">
        <v>-376.048</v>
      </c>
      <c r="H617">
        <v>0.96277140000000005</v>
      </c>
      <c r="I617">
        <v>367.4316</v>
      </c>
      <c r="J617">
        <v>-376.42140000000001</v>
      </c>
      <c r="K617">
        <v>1.1102190000000001</v>
      </c>
      <c r="L617">
        <v>367.57060000000001</v>
      </c>
      <c r="M617">
        <v>0.99992040000000004</v>
      </c>
      <c r="N617">
        <v>0</v>
      </c>
      <c r="O617">
        <v>-3.4572840000000001E-3</v>
      </c>
      <c r="P617">
        <v>0.98705069999999995</v>
      </c>
      <c r="Q617">
        <v>0.1603907</v>
      </c>
      <c r="R617">
        <v>2.4668789999999999E-3</v>
      </c>
      <c r="S617">
        <v>3.1492610000000001</v>
      </c>
      <c r="T617">
        <v>-0.66822809999999999</v>
      </c>
      <c r="U617">
        <v>-0.63320919999999903</v>
      </c>
      <c r="V617">
        <v>-6.0096180000000004E-3</v>
      </c>
      <c r="W617">
        <v>0.17235500000000001</v>
      </c>
      <c r="X617">
        <v>0.98501660000000002</v>
      </c>
      <c r="Y617">
        <v>0.18974279999999999</v>
      </c>
      <c r="Z617">
        <v>-1.8999220000000001E-2</v>
      </c>
      <c r="AA617">
        <v>0.98165000000000002</v>
      </c>
      <c r="AB617">
        <v>37</v>
      </c>
      <c r="AC617">
        <v>0.37340000000000301</v>
      </c>
      <c r="AD617">
        <v>-0.14744760000000001</v>
      </c>
      <c r="AE617">
        <v>-0.13900000000001</v>
      </c>
      <c r="AF617">
        <v>0.121120530665679</v>
      </c>
      <c r="AG617">
        <v>-0.14744760000000001</v>
      </c>
      <c r="AH617">
        <v>0.328842951933278</v>
      </c>
      <c r="AI617">
        <v>112.818947016622</v>
      </c>
      <c r="AJ617">
        <v>69.780070726509294</v>
      </c>
      <c r="AK617">
        <v>0.38019556116647202</v>
      </c>
      <c r="AL617">
        <v>80.075228269375302</v>
      </c>
      <c r="AM617">
        <v>90.349559058952593</v>
      </c>
      <c r="AN617">
        <v>1.0000000319045299</v>
      </c>
    </row>
    <row r="618" spans="1:40" x14ac:dyDescent="0.25">
      <c r="A618" t="str">
        <f>"20190312172104212"</f>
        <v>20190312172104212</v>
      </c>
      <c r="B618" t="str">
        <f>"1552382464201918"</f>
        <v>1552382464201918</v>
      </c>
      <c r="C618" t="s">
        <v>40</v>
      </c>
      <c r="D618">
        <v>3.2633670000000001</v>
      </c>
      <c r="E618">
        <v>0.58191169999999903</v>
      </c>
      <c r="F618" t="s">
        <v>41</v>
      </c>
      <c r="G618">
        <v>-375.71800000000002</v>
      </c>
      <c r="H618">
        <v>0.96101800000000004</v>
      </c>
      <c r="I618">
        <v>367.42950000000002</v>
      </c>
      <c r="J618">
        <v>-376.20479999999998</v>
      </c>
      <c r="K618">
        <v>1.1102209999999999</v>
      </c>
      <c r="L618">
        <v>367.57010000000002</v>
      </c>
      <c r="M618">
        <v>0.9999207</v>
      </c>
      <c r="N618">
        <v>0</v>
      </c>
      <c r="O618">
        <v>-3.2687440000000001E-3</v>
      </c>
      <c r="P618">
        <v>0.98706260000000001</v>
      </c>
      <c r="Q618">
        <v>0.1603145</v>
      </c>
      <c r="R618">
        <v>2.6557030000000001E-3</v>
      </c>
      <c r="S618">
        <v>3.1495359999999999</v>
      </c>
      <c r="T618">
        <v>-0.66833229999999999</v>
      </c>
      <c r="U618">
        <v>-0.63043209999999905</v>
      </c>
      <c r="V618">
        <v>-6.012018E-3</v>
      </c>
      <c r="W618">
        <v>0.17230719999999999</v>
      </c>
      <c r="X618">
        <v>0.98502489999999998</v>
      </c>
      <c r="Y618">
        <v>0.1890877</v>
      </c>
      <c r="Z618">
        <v>-1.8973210000000001E-2</v>
      </c>
      <c r="AA618">
        <v>0.98177689999999995</v>
      </c>
      <c r="AB618">
        <v>37</v>
      </c>
      <c r="AC618">
        <v>0.48679999999995899</v>
      </c>
      <c r="AD618">
        <v>-0.149202999999999</v>
      </c>
      <c r="AE618">
        <v>-0.140600000000006</v>
      </c>
      <c r="AF618">
        <v>0.127916567631637</v>
      </c>
      <c r="AG618">
        <v>-0.149202999999999</v>
      </c>
      <c r="AH618">
        <v>0.44837913841935001</v>
      </c>
      <c r="AI618">
        <v>107.7443390275</v>
      </c>
      <c r="AJ618">
        <v>74.077260928890894</v>
      </c>
      <c r="AK618">
        <v>0.48955902121535699</v>
      </c>
      <c r="AL618">
        <v>80.078008129561695</v>
      </c>
      <c r="AM618">
        <v>90.349695708779905</v>
      </c>
      <c r="AN618">
        <v>0.99999998457614003</v>
      </c>
    </row>
    <row r="619" spans="1:40" x14ac:dyDescent="0.25">
      <c r="A619" t="str">
        <f>"20190312172104225"</f>
        <v>20190312172104225</v>
      </c>
      <c r="B619" t="str">
        <f>"1552382464221436"</f>
        <v>1552382464221436</v>
      </c>
      <c r="C619" t="s">
        <v>40</v>
      </c>
      <c r="D619">
        <v>3.2593200000000002</v>
      </c>
      <c r="E619">
        <v>0.58192749999999904</v>
      </c>
      <c r="F619" t="s">
        <v>41</v>
      </c>
      <c r="G619">
        <v>-375.3972</v>
      </c>
      <c r="H619">
        <v>0.93848160000000003</v>
      </c>
      <c r="I619">
        <v>367.40820000000002</v>
      </c>
      <c r="J619">
        <v>-375.99560000000002</v>
      </c>
      <c r="K619">
        <v>1.1102270000000001</v>
      </c>
      <c r="L619">
        <v>367.56959999999998</v>
      </c>
      <c r="M619">
        <v>0.99992099999999995</v>
      </c>
      <c r="N619">
        <v>0</v>
      </c>
      <c r="O619">
        <v>-3.0863930000000002E-3</v>
      </c>
      <c r="P619">
        <v>0.98710169999999997</v>
      </c>
      <c r="Q619">
        <v>0.16006860000000001</v>
      </c>
      <c r="R619">
        <v>2.8739960000000002E-3</v>
      </c>
      <c r="S619">
        <v>3.1498719999999998</v>
      </c>
      <c r="T619">
        <v>-0.66986080000000003</v>
      </c>
      <c r="U619">
        <v>-0.63015750000000004</v>
      </c>
      <c r="V619">
        <v>-6.050298E-3</v>
      </c>
      <c r="W619">
        <v>0.17208870000000001</v>
      </c>
      <c r="X619">
        <v>0.98506289999999996</v>
      </c>
      <c r="Y619">
        <v>0.1891417</v>
      </c>
      <c r="Z619">
        <v>-1.9057500000000002E-2</v>
      </c>
      <c r="AA619">
        <v>0.98176490000000005</v>
      </c>
      <c r="AB619">
        <v>37</v>
      </c>
      <c r="AC619">
        <v>0.59840000000002602</v>
      </c>
      <c r="AD619">
        <v>-0.17174539999999999</v>
      </c>
      <c r="AE619">
        <v>-0.16139999999995699</v>
      </c>
      <c r="AF619">
        <v>0.148174298560801</v>
      </c>
      <c r="AG619">
        <v>-0.17174539999999999</v>
      </c>
      <c r="AH619">
        <v>0.55618723803575598</v>
      </c>
      <c r="AI619">
        <v>106.614223672357</v>
      </c>
      <c r="AJ619">
        <v>75.082269381656701</v>
      </c>
      <c r="AK619">
        <v>0.60066325751537997</v>
      </c>
      <c r="AL619">
        <v>80.090717472781904</v>
      </c>
      <c r="AM619">
        <v>90.3519086762131</v>
      </c>
      <c r="AN619">
        <v>1.00000002186499</v>
      </c>
    </row>
    <row r="620" spans="1:40" x14ac:dyDescent="0.25">
      <c r="A620" t="str">
        <f>"20190312172104238"</f>
        <v>20190312172104238</v>
      </c>
      <c r="B620" t="str">
        <f>"1552382464232172"</f>
        <v>1552382464232172</v>
      </c>
      <c r="C620" t="s">
        <v>40</v>
      </c>
      <c r="D620">
        <v>3.3781729999999999</v>
      </c>
      <c r="E620">
        <v>0.58183890000000005</v>
      </c>
      <c r="F620" t="s">
        <v>41</v>
      </c>
      <c r="G620">
        <v>-375.07600000000002</v>
      </c>
      <c r="H620">
        <v>0.91384299999999996</v>
      </c>
      <c r="I620">
        <v>367.38529999999997</v>
      </c>
      <c r="J620">
        <v>-375.78070000000002</v>
      </c>
      <c r="K620">
        <v>1.1102270000000001</v>
      </c>
      <c r="L620">
        <v>367.56909999999999</v>
      </c>
      <c r="M620">
        <v>0.99992119999999995</v>
      </c>
      <c r="N620">
        <v>0</v>
      </c>
      <c r="O620">
        <v>-2.899272E-3</v>
      </c>
      <c r="P620">
        <v>0.98706539999999998</v>
      </c>
      <c r="Q620">
        <v>0.1602896</v>
      </c>
      <c r="R620">
        <v>3.0640870000000001E-3</v>
      </c>
      <c r="S620">
        <v>3.1501769999999998</v>
      </c>
      <c r="T620">
        <v>-0.67292640000000004</v>
      </c>
      <c r="U620">
        <v>-0.6296387</v>
      </c>
      <c r="V620">
        <v>-6.05567E-3</v>
      </c>
      <c r="W620">
        <v>0.17233479999999901</v>
      </c>
      <c r="X620">
        <v>0.9850198</v>
      </c>
      <c r="Y620">
        <v>0.18911240000000001</v>
      </c>
      <c r="Z620">
        <v>-1.917744E-2</v>
      </c>
      <c r="AA620">
        <v>0.98176819999999998</v>
      </c>
      <c r="AB620">
        <v>37</v>
      </c>
      <c r="AC620">
        <v>0.70470000000005895</v>
      </c>
      <c r="AD620">
        <v>-0.196384</v>
      </c>
      <c r="AE620">
        <v>-0.183800000000019</v>
      </c>
      <c r="AF620">
        <v>0.16943552879412499</v>
      </c>
      <c r="AG620">
        <v>-0.196384</v>
      </c>
      <c r="AH620">
        <v>0.65742555647099199</v>
      </c>
      <c r="AI620">
        <v>106.133269346996</v>
      </c>
      <c r="AJ620">
        <v>75.547902533568902</v>
      </c>
      <c r="AK620">
        <v>0.70674142101262005</v>
      </c>
      <c r="AL620">
        <v>80.076402709169002</v>
      </c>
      <c r="AM620">
        <v>90.352236535803101</v>
      </c>
      <c r="AN620">
        <v>0.99999998041111404</v>
      </c>
    </row>
    <row r="621" spans="1:40" x14ac:dyDescent="0.25">
      <c r="A621" t="str">
        <f>"20190312172104254"</f>
        <v>20190312172104254</v>
      </c>
      <c r="B621" t="str">
        <f>"1552382464241932"</f>
        <v>1552382464241932</v>
      </c>
      <c r="C621" t="s">
        <v>40</v>
      </c>
      <c r="D621">
        <v>3.2319589999999998</v>
      </c>
      <c r="E621">
        <v>0.58172780000000002</v>
      </c>
      <c r="F621" t="s">
        <v>41</v>
      </c>
      <c r="G621">
        <v>-375.05880000000002</v>
      </c>
      <c r="H621">
        <v>0.95628800000000003</v>
      </c>
      <c r="I621">
        <v>367.4248</v>
      </c>
      <c r="J621">
        <v>-375.51839999999999</v>
      </c>
      <c r="K621">
        <v>1.110228</v>
      </c>
      <c r="L621">
        <v>367.5686</v>
      </c>
      <c r="M621">
        <v>0.99992150000000002</v>
      </c>
      <c r="N621">
        <v>0</v>
      </c>
      <c r="O621">
        <v>-2.6706910000000002E-3</v>
      </c>
      <c r="P621">
        <v>0.98710229999999999</v>
      </c>
      <c r="Q621">
        <v>0.16006049999999999</v>
      </c>
      <c r="R621">
        <v>3.1810800000000002E-3</v>
      </c>
      <c r="S621">
        <v>3.1504210000000001</v>
      </c>
      <c r="T621">
        <v>-0.67207240000000001</v>
      </c>
      <c r="U621">
        <v>-0.62777709999999998</v>
      </c>
      <c r="V621">
        <v>-5.9473819999999898E-3</v>
      </c>
      <c r="W621">
        <v>0.1721348</v>
      </c>
      <c r="X621">
        <v>0.98505540000000003</v>
      </c>
      <c r="Y621">
        <v>0.18877659999999999</v>
      </c>
      <c r="Z621">
        <v>-1.9165939999999999E-2</v>
      </c>
      <c r="AA621">
        <v>0.98183299999999996</v>
      </c>
      <c r="AB621">
        <v>37</v>
      </c>
      <c r="AC621">
        <v>0.45959999999996598</v>
      </c>
      <c r="AD621">
        <v>-0.15393999999999999</v>
      </c>
      <c r="AE621">
        <v>-0.14379999999999801</v>
      </c>
      <c r="AF621">
        <v>0.12935404776411399</v>
      </c>
      <c r="AG621">
        <v>-0.15393999999999999</v>
      </c>
      <c r="AH621">
        <v>0.41733729330656999</v>
      </c>
      <c r="AI621">
        <v>109.408708456499</v>
      </c>
      <c r="AJ621">
        <v>72.779133162508202</v>
      </c>
      <c r="AK621">
        <v>0.46324983503225797</v>
      </c>
      <c r="AL621">
        <v>80.088035414265605</v>
      </c>
      <c r="AM621">
        <v>90.345925465001301</v>
      </c>
      <c r="AN621">
        <v>0.99999995089642502</v>
      </c>
    </row>
    <row r="622" spans="1:40" x14ac:dyDescent="0.25">
      <c r="A622" t="str">
        <f>"20190312172104265"</f>
        <v>20190312172104265</v>
      </c>
      <c r="B622" t="str">
        <f>"1552382464261453"</f>
        <v>1552382464261453</v>
      </c>
      <c r="C622" t="s">
        <v>40</v>
      </c>
      <c r="D622">
        <v>3.374387</v>
      </c>
      <c r="E622">
        <v>0.58167539999999995</v>
      </c>
      <c r="F622" t="s">
        <v>41</v>
      </c>
      <c r="G622">
        <v>-374.73419999999999</v>
      </c>
      <c r="H622">
        <v>0.9427797</v>
      </c>
      <c r="I622">
        <v>367.41250000000002</v>
      </c>
      <c r="J622">
        <v>-375.33449999999999</v>
      </c>
      <c r="K622">
        <v>1.1102289999999999</v>
      </c>
      <c r="L622">
        <v>367.56830000000002</v>
      </c>
      <c r="M622">
        <v>0.99992170000000002</v>
      </c>
      <c r="N622">
        <v>0</v>
      </c>
      <c r="O622">
        <v>-2.5102380000000001E-3</v>
      </c>
      <c r="P622">
        <v>0.98709550000000001</v>
      </c>
      <c r="Q622">
        <v>0.1600975</v>
      </c>
      <c r="R622">
        <v>3.4031370000000001E-3</v>
      </c>
      <c r="S622">
        <v>3.1502379999999999</v>
      </c>
      <c r="T622">
        <v>-0.67259199999999997</v>
      </c>
      <c r="U622">
        <v>-0.62701419999999997</v>
      </c>
      <c r="V622">
        <v>-6.0107329999999999E-3</v>
      </c>
      <c r="W622">
        <v>0.1721906</v>
      </c>
      <c r="X622">
        <v>0.98504530000000001</v>
      </c>
      <c r="Y622">
        <v>0.1887074</v>
      </c>
      <c r="Z622">
        <v>-1.9208280000000001E-2</v>
      </c>
      <c r="AA622">
        <v>0.98184550000000004</v>
      </c>
      <c r="AB622">
        <v>37</v>
      </c>
      <c r="AC622">
        <v>0.60030000000000405</v>
      </c>
      <c r="AD622">
        <v>-0.1674493</v>
      </c>
      <c r="AE622">
        <v>-0.15579999999999899</v>
      </c>
      <c r="AF622">
        <v>0.14380902079285601</v>
      </c>
      <c r="AG622">
        <v>-0.1674493</v>
      </c>
      <c r="AH622">
        <v>0.55987511003395796</v>
      </c>
      <c r="AI622">
        <v>106.155239178621</v>
      </c>
      <c r="AJ622">
        <v>75.594477276598695</v>
      </c>
      <c r="AK622">
        <v>0.60181429142836695</v>
      </c>
      <c r="AL622">
        <v>80.084790213587397</v>
      </c>
      <c r="AM622">
        <v>90.349613726813999</v>
      </c>
      <c r="AN622">
        <v>0.99999998734582296</v>
      </c>
    </row>
    <row r="623" spans="1:40" x14ac:dyDescent="0.25">
      <c r="A623" t="str">
        <f>"20190312172104276"</f>
        <v>20190312172104276</v>
      </c>
      <c r="B623" t="str">
        <f>"1552382464272188"</f>
        <v>1552382464272188</v>
      </c>
      <c r="C623" t="s">
        <v>40</v>
      </c>
      <c r="D623">
        <v>3.2325430000000002</v>
      </c>
      <c r="E623">
        <v>0.58163949999999998</v>
      </c>
      <c r="F623" t="s">
        <v>41</v>
      </c>
      <c r="G623">
        <v>-374.41489999999999</v>
      </c>
      <c r="H623">
        <v>0.91358660000000003</v>
      </c>
      <c r="I623">
        <v>367.3852</v>
      </c>
      <c r="J623">
        <v>-375.15280000000001</v>
      </c>
      <c r="K623">
        <v>1.1102299999999901</v>
      </c>
      <c r="L623">
        <v>367.56799999999998</v>
      </c>
      <c r="M623">
        <v>0.99992190000000003</v>
      </c>
      <c r="N623">
        <v>0</v>
      </c>
      <c r="O623">
        <v>-2.3516869999999999E-3</v>
      </c>
      <c r="P623">
        <v>0.98708770000000001</v>
      </c>
      <c r="Q623">
        <v>0.16014039999999999</v>
      </c>
      <c r="R623">
        <v>3.6058330000000001E-3</v>
      </c>
      <c r="S623">
        <v>3.150665</v>
      </c>
      <c r="T623">
        <v>-0.67383110000000002</v>
      </c>
      <c r="U623">
        <v>-0.62597659999999999</v>
      </c>
      <c r="V623">
        <v>-6.0562289999999998E-3</v>
      </c>
      <c r="W623">
        <v>0.17225119999999999</v>
      </c>
      <c r="X623">
        <v>0.98503439999999998</v>
      </c>
      <c r="Y623">
        <v>0.18851319999999999</v>
      </c>
      <c r="Z623">
        <v>-1.9253860000000001E-2</v>
      </c>
      <c r="AA623">
        <v>0.98188189999999997</v>
      </c>
      <c r="AB623">
        <v>37</v>
      </c>
      <c r="AC623">
        <v>0.73790000000002398</v>
      </c>
      <c r="AD623">
        <v>-0.196643399999999</v>
      </c>
      <c r="AE623">
        <v>-0.18280000000004201</v>
      </c>
      <c r="AF623">
        <v>0.16970869306379299</v>
      </c>
      <c r="AG623">
        <v>-0.196643399999999</v>
      </c>
      <c r="AH623">
        <v>0.69202393790268601</v>
      </c>
      <c r="AI623">
        <v>105.42840521783999</v>
      </c>
      <c r="AJ623">
        <v>76.220982111307606</v>
      </c>
      <c r="AK623">
        <v>0.73916628568632703</v>
      </c>
      <c r="AL623">
        <v>80.081265164155894</v>
      </c>
      <c r="AM623">
        <v>90.352263828866498</v>
      </c>
      <c r="AN623">
        <v>0.99999996149724901</v>
      </c>
    </row>
    <row r="624" spans="1:40" x14ac:dyDescent="0.25">
      <c r="A624" t="str">
        <f>"20190312172104287"</f>
        <v>20190312172104287</v>
      </c>
      <c r="B624" t="str">
        <f>"1552382464281948"</f>
        <v>1552382464281948</v>
      </c>
      <c r="C624" t="s">
        <v>40</v>
      </c>
      <c r="D624">
        <v>3.2722600000000002</v>
      </c>
      <c r="E624">
        <v>0.58158359999999998</v>
      </c>
      <c r="F624" t="s">
        <v>41</v>
      </c>
      <c r="G624">
        <v>-374.40069999999997</v>
      </c>
      <c r="H624">
        <v>0.94939090000000004</v>
      </c>
      <c r="I624">
        <v>367.41840000000002</v>
      </c>
      <c r="J624">
        <v>-374.9633</v>
      </c>
      <c r="K624">
        <v>1.110236</v>
      </c>
      <c r="L624">
        <v>367.5677</v>
      </c>
      <c r="M624">
        <v>0.99992199999999998</v>
      </c>
      <c r="N624">
        <v>0</v>
      </c>
      <c r="O624">
        <v>-2.185981E-3</v>
      </c>
      <c r="P624">
        <v>0.98710299999999995</v>
      </c>
      <c r="Q624">
        <v>0.16004090000000001</v>
      </c>
      <c r="R624">
        <v>3.850217E-3</v>
      </c>
      <c r="S624">
        <v>3.1508479999999999</v>
      </c>
      <c r="T624">
        <v>-0.67393269999999905</v>
      </c>
      <c r="U624">
        <v>-0.62503050000000004</v>
      </c>
      <c r="V624">
        <v>-6.1371069999999897E-3</v>
      </c>
      <c r="W624">
        <v>0.17216899999999999</v>
      </c>
      <c r="X624">
        <v>0.98504829999999999</v>
      </c>
      <c r="Y624">
        <v>0.18837950000000001</v>
      </c>
      <c r="Z624">
        <v>-1.9276870000000002E-2</v>
      </c>
      <c r="AA624">
        <v>0.98190710000000003</v>
      </c>
      <c r="AB624">
        <v>37</v>
      </c>
      <c r="AC624">
        <v>0.56260000000003096</v>
      </c>
      <c r="AD624">
        <v>-0.16084509999999999</v>
      </c>
      <c r="AE624">
        <v>-0.149299999999982</v>
      </c>
      <c r="AF624">
        <v>0.13756535968948</v>
      </c>
      <c r="AG624">
        <v>-0.16084509999999999</v>
      </c>
      <c r="AH624">
        <v>0.52299003470591998</v>
      </c>
      <c r="AI624">
        <v>106.56415048631899</v>
      </c>
      <c r="AJ624">
        <v>75.262953409330905</v>
      </c>
      <c r="AK624">
        <v>0.56419318569281296</v>
      </c>
      <c r="AL624">
        <v>80.086046601851805</v>
      </c>
      <c r="AM624">
        <v>90.356962983421397</v>
      </c>
      <c r="AN624">
        <v>0.99999999098810899</v>
      </c>
    </row>
    <row r="625" spans="1:40" x14ac:dyDescent="0.25">
      <c r="A625" t="str">
        <f>"20190312172104300"</f>
        <v>20190312172104300</v>
      </c>
      <c r="B625" t="str">
        <f>"1552382464291708"</f>
        <v>1552382464291708</v>
      </c>
      <c r="C625" t="s">
        <v>40</v>
      </c>
      <c r="D625">
        <v>3.3376510000000001</v>
      </c>
      <c r="E625">
        <v>0.58155249999999903</v>
      </c>
      <c r="F625" t="s">
        <v>41</v>
      </c>
      <c r="G625">
        <v>-374.08139999999997</v>
      </c>
      <c r="H625">
        <v>0.92149210000000004</v>
      </c>
      <c r="I625">
        <v>367.39299999999997</v>
      </c>
      <c r="J625">
        <v>-374.7482</v>
      </c>
      <c r="K625">
        <v>1.110236</v>
      </c>
      <c r="L625">
        <v>367.56740000000002</v>
      </c>
      <c r="M625">
        <v>0.99992199999999998</v>
      </c>
      <c r="N625">
        <v>0</v>
      </c>
      <c r="O625">
        <v>-1.997876E-3</v>
      </c>
      <c r="P625">
        <v>0.98707219999999996</v>
      </c>
      <c r="Q625">
        <v>0.16022529999999999</v>
      </c>
      <c r="R625">
        <v>4.0168139999999996E-3</v>
      </c>
      <c r="S625">
        <v>3.1509399999999999</v>
      </c>
      <c r="T625">
        <v>-0.67436799999999997</v>
      </c>
      <c r="U625">
        <v>-0.62365719999999902</v>
      </c>
      <c r="V625">
        <v>-6.1180990000000001E-3</v>
      </c>
      <c r="W625">
        <v>0.172372</v>
      </c>
      <c r="X625">
        <v>0.98501289999999997</v>
      </c>
      <c r="Y625">
        <v>0.18814259999999999</v>
      </c>
      <c r="Z625">
        <v>-1.9303899999999999E-2</v>
      </c>
      <c r="AA625">
        <v>0.98195200000000005</v>
      </c>
      <c r="AB625">
        <v>37</v>
      </c>
      <c r="AC625">
        <v>0.66680000000002304</v>
      </c>
      <c r="AD625">
        <v>-0.18874389999999999</v>
      </c>
      <c r="AE625">
        <v>-0.17439999999999101</v>
      </c>
      <c r="AF625">
        <v>0.16099402185648001</v>
      </c>
      <c r="AG625">
        <v>-0.18874389999999999</v>
      </c>
      <c r="AH625">
        <v>0.620606303513212</v>
      </c>
      <c r="AI625">
        <v>106.403591111753</v>
      </c>
      <c r="AJ625">
        <v>75.457232600792395</v>
      </c>
      <c r="AK625">
        <v>0.66835284006359097</v>
      </c>
      <c r="AL625">
        <v>80.074238874679097</v>
      </c>
      <c r="AM625">
        <v>90.355870205986704</v>
      </c>
      <c r="AN625">
        <v>0.99999997534289098</v>
      </c>
    </row>
    <row r="626" spans="1:40" x14ac:dyDescent="0.25">
      <c r="A626" t="str">
        <f>"20190312172104311"</f>
        <v>20190312172104311</v>
      </c>
      <c r="B626" t="str">
        <f>"1552382464301468"</f>
        <v>1552382464301468</v>
      </c>
      <c r="C626" t="s">
        <v>40</v>
      </c>
      <c r="D626">
        <v>3.6914720000000001</v>
      </c>
      <c r="E626">
        <v>0.58150800000000002</v>
      </c>
      <c r="F626" t="s">
        <v>41</v>
      </c>
      <c r="G626">
        <v>-373.7595</v>
      </c>
      <c r="H626">
        <v>0.89891409999999905</v>
      </c>
      <c r="I626">
        <v>367.37150000000003</v>
      </c>
      <c r="J626">
        <v>-374.57220000000001</v>
      </c>
      <c r="K626">
        <v>1.1102369999999999</v>
      </c>
      <c r="L626">
        <v>367.56720000000001</v>
      </c>
      <c r="M626">
        <v>0.99992230000000004</v>
      </c>
      <c r="N626">
        <v>0</v>
      </c>
      <c r="O626">
        <v>-1.844072E-3</v>
      </c>
      <c r="P626">
        <v>0.98709849999999999</v>
      </c>
      <c r="Q626">
        <v>0.1600559</v>
      </c>
      <c r="R626">
        <v>4.3498069999999998E-3</v>
      </c>
      <c r="S626">
        <v>3.1512150000000001</v>
      </c>
      <c r="T626">
        <v>-0.67366769999999998</v>
      </c>
      <c r="U626">
        <v>-0.62280269999999904</v>
      </c>
      <c r="V626">
        <v>-6.298634E-3</v>
      </c>
      <c r="W626">
        <v>0.17221649999999999</v>
      </c>
      <c r="X626">
        <v>0.985039</v>
      </c>
      <c r="Y626">
        <v>0.1880288</v>
      </c>
      <c r="Z626">
        <v>-1.930345E-2</v>
      </c>
      <c r="AA626">
        <v>0.98197380000000001</v>
      </c>
      <c r="AB626">
        <v>37</v>
      </c>
      <c r="AC626">
        <v>0.81270000000000597</v>
      </c>
      <c r="AD626">
        <v>-0.21132290000000001</v>
      </c>
      <c r="AE626">
        <v>-0.19569999999998799</v>
      </c>
      <c r="AF626">
        <v>0.18253546482751001</v>
      </c>
      <c r="AG626">
        <v>-0.21132290000000001</v>
      </c>
      <c r="AH626">
        <v>0.76422003012753104</v>
      </c>
      <c r="AI626">
        <v>105.053777881394</v>
      </c>
      <c r="AJ626">
        <v>76.566477389419305</v>
      </c>
      <c r="AK626">
        <v>0.81363924341954497</v>
      </c>
      <c r="AL626">
        <v>80.0832840112827</v>
      </c>
      <c r="AM626">
        <v>90.366361358796198</v>
      </c>
      <c r="AN626">
        <v>1.0000000135917499</v>
      </c>
    </row>
    <row r="627" spans="1:40" x14ac:dyDescent="0.25">
      <c r="A627" t="str">
        <f>"20190312172104322"</f>
        <v>20190312172104322</v>
      </c>
      <c r="B627" t="str">
        <f>"1552382464312205"</f>
        <v>1552382464312205</v>
      </c>
      <c r="C627" t="s">
        <v>40</v>
      </c>
      <c r="D627">
        <v>3.3100200000000002</v>
      </c>
      <c r="E627">
        <v>0.58148959999999905</v>
      </c>
      <c r="F627" t="s">
        <v>41</v>
      </c>
      <c r="G627">
        <v>-373.74619999999999</v>
      </c>
      <c r="H627">
        <v>0.93356620000000001</v>
      </c>
      <c r="I627">
        <v>367.40379999999999</v>
      </c>
      <c r="J627">
        <v>-374.38560000000001</v>
      </c>
      <c r="K627">
        <v>1.1102369999999999</v>
      </c>
      <c r="L627">
        <v>367.56700000000001</v>
      </c>
      <c r="M627">
        <v>0.99992250000000005</v>
      </c>
      <c r="N627">
        <v>0</v>
      </c>
      <c r="O627">
        <v>-1.6803759999999999E-3</v>
      </c>
      <c r="P627">
        <v>0.98707529999999999</v>
      </c>
      <c r="Q627">
        <v>0.16019459999999999</v>
      </c>
      <c r="R627">
        <v>4.4791240000000001E-3</v>
      </c>
      <c r="S627">
        <v>3.1512760000000002</v>
      </c>
      <c r="T627">
        <v>-0.67415930000000002</v>
      </c>
      <c r="U627">
        <v>-0.6216431</v>
      </c>
      <c r="V627">
        <v>-6.2660540000000001E-3</v>
      </c>
      <c r="W627">
        <v>0.1723691</v>
      </c>
      <c r="X627">
        <v>0.98501249999999996</v>
      </c>
      <c r="Y627">
        <v>0.18783259999999999</v>
      </c>
      <c r="Z627">
        <v>-1.9331299999999999E-2</v>
      </c>
      <c r="AA627">
        <v>0.98201079999999996</v>
      </c>
      <c r="AB627">
        <v>37</v>
      </c>
      <c r="AC627">
        <v>0.63940000000002295</v>
      </c>
      <c r="AD627">
        <v>-0.17667079999999999</v>
      </c>
      <c r="AE627">
        <v>-0.16319999999995999</v>
      </c>
      <c r="AF627">
        <v>0.15128194707572701</v>
      </c>
      <c r="AG627">
        <v>-0.17667079999999999</v>
      </c>
      <c r="AH627">
        <v>0.59689053666975</v>
      </c>
      <c r="AI627">
        <v>106.008897738473</v>
      </c>
      <c r="AJ627">
        <v>75.777861660278106</v>
      </c>
      <c r="AK627">
        <v>0.64060683094200999</v>
      </c>
      <c r="AL627">
        <v>80.074407780525505</v>
      </c>
      <c r="AM627">
        <v>90.364476192613495</v>
      </c>
      <c r="AN627">
        <v>0.99999999761189495</v>
      </c>
    </row>
    <row r="628" spans="1:40" x14ac:dyDescent="0.25">
      <c r="A628" t="str">
        <f>"20190312172104332"</f>
        <v>20190312172104332</v>
      </c>
      <c r="B628" t="str">
        <f>"1552382464321965"</f>
        <v>1552382464321965</v>
      </c>
      <c r="C628" t="s">
        <v>40</v>
      </c>
      <c r="D628">
        <v>3.3989210000000001</v>
      </c>
      <c r="E628">
        <v>0.58148959999999905</v>
      </c>
      <c r="F628" t="s">
        <v>41</v>
      </c>
      <c r="G628">
        <v>-373.42680000000001</v>
      </c>
      <c r="H628">
        <v>0.90482750000000001</v>
      </c>
      <c r="I628">
        <v>367.37799999999999</v>
      </c>
      <c r="J628">
        <v>-374.2099</v>
      </c>
      <c r="K628">
        <v>1.1102369999999999</v>
      </c>
      <c r="L628">
        <v>367.56689999999998</v>
      </c>
      <c r="M628">
        <v>0.99992250000000005</v>
      </c>
      <c r="N628">
        <v>0</v>
      </c>
      <c r="O628">
        <v>-1.526917E-3</v>
      </c>
      <c r="P628">
        <v>0.98705109999999996</v>
      </c>
      <c r="Q628">
        <v>0.1603398</v>
      </c>
      <c r="R628">
        <v>4.6491350000000004E-3</v>
      </c>
      <c r="S628">
        <v>3.1516419999999998</v>
      </c>
      <c r="T628">
        <v>-0.67520740000000001</v>
      </c>
      <c r="U628">
        <v>-0.62106319999999904</v>
      </c>
      <c r="V628">
        <v>-6.2846660000000004E-3</v>
      </c>
      <c r="W628">
        <v>0.17252600000000001</v>
      </c>
      <c r="X628">
        <v>0.98498490000000005</v>
      </c>
      <c r="Y628">
        <v>0.18777379999999999</v>
      </c>
      <c r="Z628">
        <v>-1.93849E-2</v>
      </c>
      <c r="AA628">
        <v>0.98202100000000003</v>
      </c>
      <c r="AB628">
        <v>37</v>
      </c>
      <c r="AC628">
        <v>0.78309999999999003</v>
      </c>
      <c r="AD628">
        <v>-0.20540949999999999</v>
      </c>
      <c r="AE628">
        <v>-0.18889999999993201</v>
      </c>
      <c r="AF628">
        <v>0.17624461354215101</v>
      </c>
      <c r="AG628">
        <v>-0.20540949999999999</v>
      </c>
      <c r="AH628">
        <v>0.73556165274276497</v>
      </c>
      <c r="AI628">
        <v>105.193310272196</v>
      </c>
      <c r="AJ628">
        <v>76.525641078823199</v>
      </c>
      <c r="AK628">
        <v>0.78377686332178798</v>
      </c>
      <c r="AL628">
        <v>80.065281224964906</v>
      </c>
      <c r="AM628">
        <v>90.365569006358001</v>
      </c>
      <c r="AN628">
        <v>0.99999998546536994</v>
      </c>
    </row>
    <row r="629" spans="1:40" x14ac:dyDescent="0.25">
      <c r="A629" t="str">
        <f>"20190312172104343"</f>
        <v>20190312172104343</v>
      </c>
      <c r="B629" t="str">
        <f>"1552382464331724"</f>
        <v>1552382464331724</v>
      </c>
      <c r="C629" t="s">
        <v>40</v>
      </c>
      <c r="D629">
        <v>3.2288130000000002</v>
      </c>
      <c r="E629">
        <v>0.5814821</v>
      </c>
      <c r="F629" t="s">
        <v>41</v>
      </c>
      <c r="G629">
        <v>-373.41340000000002</v>
      </c>
      <c r="H629">
        <v>0.93972929999999999</v>
      </c>
      <c r="I629">
        <v>367.4101</v>
      </c>
      <c r="J629">
        <v>-374.04430000000002</v>
      </c>
      <c r="K629">
        <v>1.1102379999999901</v>
      </c>
      <c r="L629">
        <v>367.5668</v>
      </c>
      <c r="M629">
        <v>0.99992259999999999</v>
      </c>
      <c r="N629">
        <v>0</v>
      </c>
      <c r="O629">
        <v>-1.3820320000000001E-3</v>
      </c>
      <c r="P629">
        <v>0.98702849999999998</v>
      </c>
      <c r="Q629">
        <v>0.16046830000000001</v>
      </c>
      <c r="R629">
        <v>4.9965030000000002E-3</v>
      </c>
      <c r="S629">
        <v>3.1518860000000002</v>
      </c>
      <c r="T629">
        <v>-0.67473329999999998</v>
      </c>
      <c r="U629">
        <v>-0.62048340000000002</v>
      </c>
      <c r="V629">
        <v>-6.489285E-3</v>
      </c>
      <c r="W629">
        <v>0.1726655</v>
      </c>
      <c r="X629">
        <v>0.98495909999999998</v>
      </c>
      <c r="Y629">
        <v>0.1877315</v>
      </c>
      <c r="Z629">
        <v>-1.9396429999999999E-2</v>
      </c>
      <c r="AA629">
        <v>0.98202880000000004</v>
      </c>
      <c r="AB629">
        <v>37</v>
      </c>
      <c r="AC629">
        <v>0.63089999999999602</v>
      </c>
      <c r="AD629">
        <v>-0.17050869999999901</v>
      </c>
      <c r="AE629">
        <v>-0.15670000000000001</v>
      </c>
      <c r="AF629">
        <v>0.14579733254105601</v>
      </c>
      <c r="AG629">
        <v>-0.17050869999999901</v>
      </c>
      <c r="AH629">
        <v>0.59049149721307204</v>
      </c>
      <c r="AI629">
        <v>105.660225095744</v>
      </c>
      <c r="AJ629">
        <v>76.130591323532201</v>
      </c>
      <c r="AK629">
        <v>0.63167261079827797</v>
      </c>
      <c r="AL629">
        <v>80.057166402668102</v>
      </c>
      <c r="AM629">
        <v>90.377480915734395</v>
      </c>
      <c r="AN629">
        <v>0.99999995719143397</v>
      </c>
    </row>
    <row r="630" spans="1:40" x14ac:dyDescent="0.25">
      <c r="A630" t="str">
        <f>"20190312172104354"</f>
        <v>20190312172104354</v>
      </c>
      <c r="B630" t="str">
        <f>"1552382464341485"</f>
        <v>1552382464341485</v>
      </c>
      <c r="C630" t="s">
        <v>40</v>
      </c>
      <c r="D630">
        <v>3.3693699999999902</v>
      </c>
      <c r="E630">
        <v>0.58144680000000004</v>
      </c>
      <c r="F630" t="s">
        <v>41</v>
      </c>
      <c r="G630">
        <v>-373.09539999999998</v>
      </c>
      <c r="H630">
        <v>0.90719590000000006</v>
      </c>
      <c r="I630">
        <v>367.37979999999999</v>
      </c>
      <c r="J630">
        <v>-373.86270000000002</v>
      </c>
      <c r="K630">
        <v>1.1102399999999999</v>
      </c>
      <c r="L630">
        <v>367.56670000000003</v>
      </c>
      <c r="M630">
        <v>0.99992259999999999</v>
      </c>
      <c r="N630">
        <v>0</v>
      </c>
      <c r="O630">
        <v>-1.2235569999999999E-3</v>
      </c>
      <c r="P630">
        <v>0.98701919999999999</v>
      </c>
      <c r="Q630">
        <v>0.16052339999999901</v>
      </c>
      <c r="R630">
        <v>5.0416259999999996E-3</v>
      </c>
      <c r="S630">
        <v>3.1522220000000001</v>
      </c>
      <c r="T630">
        <v>-0.67461759999999904</v>
      </c>
      <c r="U630">
        <v>-0.61953740000000002</v>
      </c>
      <c r="V630">
        <v>-6.3778999999999997E-3</v>
      </c>
      <c r="W630">
        <v>0.17273169999999999</v>
      </c>
      <c r="X630">
        <v>0.9849483</v>
      </c>
      <c r="Y630">
        <v>0.18758520000000001</v>
      </c>
      <c r="Z630">
        <v>-1.9409610000000001E-2</v>
      </c>
      <c r="AA630">
        <v>0.98205659999999895</v>
      </c>
      <c r="AB630">
        <v>37</v>
      </c>
      <c r="AC630">
        <v>0.76730000000003395</v>
      </c>
      <c r="AD630">
        <v>-0.20304409999999901</v>
      </c>
      <c r="AE630">
        <v>-0.18690000000003601</v>
      </c>
      <c r="AF630">
        <v>0.17443064027588701</v>
      </c>
      <c r="AG630">
        <v>-0.20304409999999901</v>
      </c>
      <c r="AH630">
        <v>0.71993835478549995</v>
      </c>
      <c r="AI630">
        <v>105.32826942241201</v>
      </c>
      <c r="AJ630">
        <v>76.380512282050105</v>
      </c>
      <c r="AK630">
        <v>0.768091263785182</v>
      </c>
      <c r="AL630">
        <v>80.053316351098104</v>
      </c>
      <c r="AM630">
        <v>90.371005914517298</v>
      </c>
      <c r="AN630">
        <v>1.00000003573309</v>
      </c>
    </row>
    <row r="631" spans="1:40" x14ac:dyDescent="0.25">
      <c r="A631" t="str">
        <f>"20190312172104365"</f>
        <v>20190312172104365</v>
      </c>
      <c r="B631" t="str">
        <f>"1552382464361981"</f>
        <v>1552382464361981</v>
      </c>
      <c r="C631" t="s">
        <v>40</v>
      </c>
      <c r="D631">
        <v>3.3988710000000002</v>
      </c>
      <c r="E631">
        <v>0.58141279999999995</v>
      </c>
      <c r="F631" t="s">
        <v>41</v>
      </c>
      <c r="G631">
        <v>-373.08150000000001</v>
      </c>
      <c r="H631">
        <v>0.94312119999999999</v>
      </c>
      <c r="I631">
        <v>367.41289999999998</v>
      </c>
      <c r="J631">
        <v>-373.67</v>
      </c>
      <c r="K631">
        <v>1.110242</v>
      </c>
      <c r="L631">
        <v>367.56659999999999</v>
      </c>
      <c r="M631">
        <v>0.99992259999999999</v>
      </c>
      <c r="N631">
        <v>0</v>
      </c>
      <c r="O631">
        <v>-1.055067E-3</v>
      </c>
      <c r="P631">
        <v>0.98697889999999999</v>
      </c>
      <c r="Q631">
        <v>0.16076170000000001</v>
      </c>
      <c r="R631">
        <v>5.3150510000000003E-3</v>
      </c>
      <c r="S631">
        <v>3.1523129999999999</v>
      </c>
      <c r="T631">
        <v>-0.67449099999999995</v>
      </c>
      <c r="U631">
        <v>-0.61877439999999995</v>
      </c>
      <c r="V631">
        <v>-6.4851639999999999E-3</v>
      </c>
      <c r="W631">
        <v>0.17298069999999999</v>
      </c>
      <c r="X631">
        <v>0.98490390000000005</v>
      </c>
      <c r="Y631">
        <v>0.1875156</v>
      </c>
      <c r="Z631">
        <v>-1.9433969999999998E-2</v>
      </c>
      <c r="AA631">
        <v>0.98206939999999998</v>
      </c>
      <c r="AB631">
        <v>37</v>
      </c>
      <c r="AC631">
        <v>0.58850000000001002</v>
      </c>
      <c r="AD631">
        <v>-0.16712079999999899</v>
      </c>
      <c r="AE631">
        <v>-0.15370000000001399</v>
      </c>
      <c r="AF631">
        <v>0.142333657990766</v>
      </c>
      <c r="AG631">
        <v>-0.16712079999999899</v>
      </c>
      <c r="AH631">
        <v>0.54734102160126397</v>
      </c>
      <c r="AI631">
        <v>106.462621939218</v>
      </c>
      <c r="AJ631">
        <v>75.423333279102494</v>
      </c>
      <c r="AK631">
        <v>0.58972063378958295</v>
      </c>
      <c r="AL631">
        <v>80.038831669040803</v>
      </c>
      <c r="AM631">
        <v>90.377262346876506</v>
      </c>
      <c r="AN631">
        <v>1.0000000360799</v>
      </c>
    </row>
    <row r="632" spans="1:40" x14ac:dyDescent="0.25">
      <c r="A632" t="str">
        <f>"20190312172104376"</f>
        <v>20190312172104376</v>
      </c>
      <c r="B632" t="str">
        <f>"1552382464371740"</f>
        <v>1552382464371740</v>
      </c>
      <c r="C632" t="s">
        <v>40</v>
      </c>
      <c r="D632">
        <v>3.2720090000000002</v>
      </c>
      <c r="E632">
        <v>0.58136769999999904</v>
      </c>
      <c r="F632" t="s">
        <v>41</v>
      </c>
      <c r="G632">
        <v>-372.76159999999999</v>
      </c>
      <c r="H632">
        <v>0.91612629999999995</v>
      </c>
      <c r="I632">
        <v>367.38819999999998</v>
      </c>
      <c r="J632">
        <v>-373.48610000000002</v>
      </c>
      <c r="K632">
        <v>1.110244</v>
      </c>
      <c r="L632">
        <v>367.56659999999999</v>
      </c>
      <c r="M632">
        <v>0.99992259999999999</v>
      </c>
      <c r="N632">
        <v>0</v>
      </c>
      <c r="O632">
        <v>-8.9491389999999998E-4</v>
      </c>
      <c r="P632">
        <v>0.98690809999999995</v>
      </c>
      <c r="Q632">
        <v>0.16118669999999999</v>
      </c>
      <c r="R632">
        <v>5.6013390000000003E-3</v>
      </c>
      <c r="S632">
        <v>3.1525880000000002</v>
      </c>
      <c r="T632">
        <v>-0.67384650000000001</v>
      </c>
      <c r="U632">
        <v>-0.61785889999999999</v>
      </c>
      <c r="V632">
        <v>-6.6138019999999898E-3</v>
      </c>
      <c r="W632">
        <v>0.17341409999999999</v>
      </c>
      <c r="X632">
        <v>0.9848268</v>
      </c>
      <c r="Y632">
        <v>0.18738930000000001</v>
      </c>
      <c r="Z632">
        <v>-1.9435020000000001E-2</v>
      </c>
      <c r="AA632">
        <v>0.98209349999999995</v>
      </c>
      <c r="AB632">
        <v>37</v>
      </c>
      <c r="AC632">
        <v>0.72450000000003401</v>
      </c>
      <c r="AD632">
        <v>-0.194117699999999</v>
      </c>
      <c r="AE632">
        <v>-0.17840000000001</v>
      </c>
      <c r="AF632">
        <v>0.166483208951654</v>
      </c>
      <c r="AG632">
        <v>-0.194117699999999</v>
      </c>
      <c r="AH632">
        <v>0.67872062370438402</v>
      </c>
      <c r="AI632">
        <v>105.52375169074701</v>
      </c>
      <c r="AJ632">
        <v>76.218039237126007</v>
      </c>
      <c r="AK632">
        <v>0.72529995543760895</v>
      </c>
      <c r="AL632">
        <v>80.013618366749398</v>
      </c>
      <c r="AM632">
        <v>90.384775520359</v>
      </c>
      <c r="AN632">
        <v>1.0000000092269701</v>
      </c>
    </row>
    <row r="633" spans="1:40" x14ac:dyDescent="0.25">
      <c r="A633" t="str">
        <f>"20190312172104388"</f>
        <v>20190312172104388</v>
      </c>
      <c r="B633" t="str">
        <f>"1552382464381500"</f>
        <v>1552382464381500</v>
      </c>
      <c r="C633" t="s">
        <v>40</v>
      </c>
      <c r="D633">
        <v>3.2192400000000001</v>
      </c>
      <c r="E633">
        <v>0.58132059999999997</v>
      </c>
      <c r="F633" t="s">
        <v>41</v>
      </c>
      <c r="G633">
        <v>-372.74689999999998</v>
      </c>
      <c r="H633">
        <v>0.95266759999999995</v>
      </c>
      <c r="I633">
        <v>367.42149999999998</v>
      </c>
      <c r="J633">
        <v>-373.291</v>
      </c>
      <c r="K633">
        <v>1.110242</v>
      </c>
      <c r="L633">
        <v>367.56659999999999</v>
      </c>
      <c r="M633">
        <v>0.99992270000000005</v>
      </c>
      <c r="N633">
        <v>0</v>
      </c>
      <c r="O633">
        <v>-7.2486489999999996E-4</v>
      </c>
      <c r="P633">
        <v>0.98689139999999997</v>
      </c>
      <c r="Q633">
        <v>0.16128489999999901</v>
      </c>
      <c r="R633">
        <v>5.7067759999999898E-3</v>
      </c>
      <c r="S633">
        <v>3.1531069999999999</v>
      </c>
      <c r="T633">
        <v>-0.67230919999999905</v>
      </c>
      <c r="U633">
        <v>-0.61694340000000003</v>
      </c>
      <c r="V633">
        <v>-6.5512189999999996E-3</v>
      </c>
      <c r="W633">
        <v>0.1735217</v>
      </c>
      <c r="X633">
        <v>0.98480829999999997</v>
      </c>
      <c r="Y633">
        <v>0.1872693</v>
      </c>
      <c r="Z633">
        <v>-1.941207E-2</v>
      </c>
      <c r="AA633">
        <v>0.98211680000000001</v>
      </c>
      <c r="AB633">
        <v>37</v>
      </c>
      <c r="AC633">
        <v>0.54410000000001402</v>
      </c>
      <c r="AD633">
        <v>-0.1575744</v>
      </c>
      <c r="AE633">
        <v>-0.145100000000013</v>
      </c>
      <c r="AF633">
        <v>0.13419750636189701</v>
      </c>
      <c r="AG633">
        <v>-0.1575744</v>
      </c>
      <c r="AH633">
        <v>0.50468671421882505</v>
      </c>
      <c r="AI633">
        <v>106.79052300090601</v>
      </c>
      <c r="AJ633">
        <v>75.109462309085202</v>
      </c>
      <c r="AK633">
        <v>0.54547900212391798</v>
      </c>
      <c r="AL633">
        <v>80.007358781344095</v>
      </c>
      <c r="AM633">
        <v>90.381141855367005</v>
      </c>
      <c r="AN633">
        <v>1.00000004329508</v>
      </c>
    </row>
    <row r="634" spans="1:40" x14ac:dyDescent="0.25">
      <c r="A634" t="str">
        <f>"20190312172104401"</f>
        <v>20190312172104401</v>
      </c>
      <c r="B634" t="str">
        <f>"1552382464392236"</f>
        <v>1552382464392236</v>
      </c>
      <c r="C634" t="s">
        <v>40</v>
      </c>
      <c r="D634">
        <v>3.4093529999999999</v>
      </c>
      <c r="E634">
        <v>0.58130409999999999</v>
      </c>
      <c r="F634" t="s">
        <v>41</v>
      </c>
      <c r="G634">
        <v>-372.4273</v>
      </c>
      <c r="H634">
        <v>0.92630049999999997</v>
      </c>
      <c r="I634">
        <v>367.3972</v>
      </c>
      <c r="J634">
        <v>-373.09840000000003</v>
      </c>
      <c r="K634">
        <v>1.1102430000000001</v>
      </c>
      <c r="L634">
        <v>367.56659999999999</v>
      </c>
      <c r="M634">
        <v>0.9999228</v>
      </c>
      <c r="N634">
        <v>0</v>
      </c>
      <c r="O634">
        <v>-5.5731659999999996E-4</v>
      </c>
      <c r="P634">
        <v>0.98687239999999998</v>
      </c>
      <c r="Q634">
        <v>0.16138329999999901</v>
      </c>
      <c r="R634">
        <v>6.1984960000000004E-3</v>
      </c>
      <c r="S634">
        <v>3.1531980000000002</v>
      </c>
      <c r="T634">
        <v>-0.67175280000000004</v>
      </c>
      <c r="U634">
        <v>-0.61642459999999999</v>
      </c>
      <c r="V634">
        <v>-6.8774530000000004E-3</v>
      </c>
      <c r="W634">
        <v>0.17362920000000001</v>
      </c>
      <c r="X634">
        <v>0.98478710000000003</v>
      </c>
      <c r="Y634">
        <v>0.18727559999999999</v>
      </c>
      <c r="Z634">
        <v>-1.9431739999999999E-2</v>
      </c>
      <c r="AA634">
        <v>0.98211519999999997</v>
      </c>
      <c r="AB634">
        <v>37</v>
      </c>
      <c r="AC634">
        <v>0.67110000000002401</v>
      </c>
      <c r="AD634">
        <v>-0.18394250000000001</v>
      </c>
      <c r="AE634">
        <v>-0.169399999999996</v>
      </c>
      <c r="AF634">
        <v>0.15787581401044101</v>
      </c>
      <c r="AG634">
        <v>-0.18394250000000001</v>
      </c>
      <c r="AH634">
        <v>0.62691770800116697</v>
      </c>
      <c r="AI634">
        <v>105.882349458514</v>
      </c>
      <c r="AJ634">
        <v>75.865190524724298</v>
      </c>
      <c r="AK634">
        <v>0.67214985573244401</v>
      </c>
      <c r="AL634">
        <v>80.001104267778402</v>
      </c>
      <c r="AM634">
        <v>90.400129758706896</v>
      </c>
      <c r="AN634">
        <v>1.0000000153894</v>
      </c>
    </row>
    <row r="635" spans="1:40" x14ac:dyDescent="0.25">
      <c r="A635" t="str">
        <f>"20190312172104412"</f>
        <v>20190312172104412</v>
      </c>
      <c r="B635" t="str">
        <f>"1552382464401996"</f>
        <v>1552382464401996</v>
      </c>
      <c r="C635" t="s">
        <v>40</v>
      </c>
      <c r="D635">
        <v>3.2522489999999999</v>
      </c>
      <c r="E635">
        <v>0.581264</v>
      </c>
      <c r="F635" t="s">
        <v>41</v>
      </c>
      <c r="G635">
        <v>-372.10750000000002</v>
      </c>
      <c r="H635">
        <v>0.89930499999999902</v>
      </c>
      <c r="I635">
        <v>367.3734</v>
      </c>
      <c r="J635">
        <v>-372.88780000000003</v>
      </c>
      <c r="K635">
        <v>1.1102449999999999</v>
      </c>
      <c r="L635">
        <v>367.56670000000003</v>
      </c>
      <c r="M635">
        <v>0.99992270000000005</v>
      </c>
      <c r="N635">
        <v>0</v>
      </c>
      <c r="O635">
        <v>-3.7416149999999998E-4</v>
      </c>
      <c r="P635">
        <v>0.98686719999999895</v>
      </c>
      <c r="Q635">
        <v>0.16140370000000001</v>
      </c>
      <c r="R635">
        <v>6.5036080000000001E-3</v>
      </c>
      <c r="S635">
        <v>3.1535340000000001</v>
      </c>
      <c r="T635">
        <v>-0.67117199999999999</v>
      </c>
      <c r="U635">
        <v>-0.6152649</v>
      </c>
      <c r="V635">
        <v>-7.0018540000000001E-3</v>
      </c>
      <c r="W635">
        <v>0.17366019999999999</v>
      </c>
      <c r="X635">
        <v>0.98478069999999895</v>
      </c>
      <c r="Y635">
        <v>0.18709509999999999</v>
      </c>
      <c r="Z635">
        <v>-1.9433349999999999E-2</v>
      </c>
      <c r="AA635">
        <v>0.98214950000000001</v>
      </c>
      <c r="AB635">
        <v>37</v>
      </c>
      <c r="AC635">
        <v>0.78030000000001098</v>
      </c>
      <c r="AD635">
        <v>-0.21093999999999999</v>
      </c>
      <c r="AE635">
        <v>-0.19330000000002201</v>
      </c>
      <c r="AF635">
        <v>0.18057472530056401</v>
      </c>
      <c r="AG635">
        <v>-0.21093999999999999</v>
      </c>
      <c r="AH635">
        <v>0.73010188840782198</v>
      </c>
      <c r="AI635">
        <v>105.667088734324</v>
      </c>
      <c r="AJ635">
        <v>76.107929329809195</v>
      </c>
      <c r="AK635">
        <v>0.78112206630848802</v>
      </c>
      <c r="AL635">
        <v>79.999300130347294</v>
      </c>
      <c r="AM635">
        <v>90.407369806233802</v>
      </c>
      <c r="AN635">
        <v>0.999999959057982</v>
      </c>
    </row>
    <row r="636" spans="1:40" x14ac:dyDescent="0.25">
      <c r="A636" t="str">
        <f>"20190312172104425"</f>
        <v>20190312172104425</v>
      </c>
      <c r="B636" t="str">
        <f>"1552382464421518"</f>
        <v>1552382464421518</v>
      </c>
      <c r="C636" t="s">
        <v>40</v>
      </c>
      <c r="D636">
        <v>3.3561320000000001</v>
      </c>
      <c r="E636">
        <v>0.58120699999999903</v>
      </c>
      <c r="F636" t="s">
        <v>41</v>
      </c>
      <c r="G636">
        <v>-372.09160000000003</v>
      </c>
      <c r="H636">
        <v>0.94078300000000004</v>
      </c>
      <c r="I636">
        <v>367.41180000000003</v>
      </c>
      <c r="J636">
        <v>-372.68119999999999</v>
      </c>
      <c r="K636">
        <v>1.1102459999999901</v>
      </c>
      <c r="L636">
        <v>367.5668</v>
      </c>
      <c r="M636">
        <v>0.99992259999999999</v>
      </c>
      <c r="N636">
        <v>0</v>
      </c>
      <c r="O636">
        <v>-1.9494299999999999E-4</v>
      </c>
      <c r="P636">
        <v>0.98683189999999998</v>
      </c>
      <c r="Q636">
        <v>0.1616137</v>
      </c>
      <c r="R636">
        <v>6.6312159999999997E-3</v>
      </c>
      <c r="S636">
        <v>3.1537480000000002</v>
      </c>
      <c r="T636">
        <v>-0.67110890000000001</v>
      </c>
      <c r="U636">
        <v>-0.61419679999999999</v>
      </c>
      <c r="V636">
        <v>-6.9532119999999899E-3</v>
      </c>
      <c r="W636">
        <v>0.17388190000000001</v>
      </c>
      <c r="X636">
        <v>0.98474200000000001</v>
      </c>
      <c r="Y636">
        <v>0.18693850000000001</v>
      </c>
      <c r="Z636">
        <v>-1.9451949999999999E-2</v>
      </c>
      <c r="AA636">
        <v>0.98217900000000002</v>
      </c>
      <c r="AB636">
        <v>37</v>
      </c>
      <c r="AC636">
        <v>0.58959999999996104</v>
      </c>
      <c r="AD636">
        <v>-0.169462999999999</v>
      </c>
      <c r="AE636">
        <v>-0.15499999999997199</v>
      </c>
      <c r="AF636">
        <v>0.143775491001813</v>
      </c>
      <c r="AG636">
        <v>-0.169462999999999</v>
      </c>
      <c r="AH636">
        <v>0.54733734915976995</v>
      </c>
      <c r="AI636">
        <v>106.670557493377</v>
      </c>
      <c r="AJ636">
        <v>75.281958411357394</v>
      </c>
      <c r="AK636">
        <v>0.59073452071726495</v>
      </c>
      <c r="AL636">
        <v>79.986402178008007</v>
      </c>
      <c r="AM636">
        <v>90.404555793315595</v>
      </c>
      <c r="AN636">
        <v>1.00000003443436</v>
      </c>
    </row>
    <row r="637" spans="1:40" x14ac:dyDescent="0.25">
      <c r="A637" t="str">
        <f>"20190312172104439"</f>
        <v>20190312172104439</v>
      </c>
      <c r="B637" t="str">
        <f>"1552382464432254"</f>
        <v>1552382464432254</v>
      </c>
      <c r="C637" t="s">
        <v>40</v>
      </c>
      <c r="D637">
        <v>3.3914490000000002</v>
      </c>
      <c r="E637">
        <v>0.58117759999999996</v>
      </c>
      <c r="F637" t="s">
        <v>41</v>
      </c>
      <c r="G637">
        <v>-371.77069999999998</v>
      </c>
      <c r="H637">
        <v>0.91635259999999996</v>
      </c>
      <c r="I637">
        <v>367.38940000000002</v>
      </c>
      <c r="J637">
        <v>-372.4599</v>
      </c>
      <c r="K637">
        <v>1.1102479999999999</v>
      </c>
      <c r="L637">
        <v>367.56689999999998</v>
      </c>
      <c r="M637">
        <v>0.99992239999999999</v>
      </c>
      <c r="N637">
        <v>0</v>
      </c>
      <c r="O637" s="1">
        <v>-3.2776039999999999E-6</v>
      </c>
      <c r="P637">
        <v>0.98684289999999997</v>
      </c>
      <c r="Q637">
        <v>0.16153219999999999</v>
      </c>
      <c r="R637">
        <v>6.9690569999999999E-3</v>
      </c>
      <c r="S637">
        <v>3.154175</v>
      </c>
      <c r="T637">
        <v>-0.67174429999999996</v>
      </c>
      <c r="U637">
        <v>-0.61331179999999996</v>
      </c>
      <c r="V637">
        <v>-7.1016810000000003E-3</v>
      </c>
      <c r="W637">
        <v>0.17381279999999999</v>
      </c>
      <c r="X637">
        <v>0.98475310000000005</v>
      </c>
      <c r="Y637">
        <v>0.18682760000000001</v>
      </c>
      <c r="Z637">
        <v>-1.9496380000000001E-2</v>
      </c>
      <c r="AA637">
        <v>0.9821993</v>
      </c>
      <c r="AB637">
        <v>37</v>
      </c>
      <c r="AC637">
        <v>0.68920000000002801</v>
      </c>
      <c r="AD637">
        <v>-0.193895399999999</v>
      </c>
      <c r="AE637">
        <v>-0.177499999999952</v>
      </c>
      <c r="AF637">
        <v>0.16523322360457099</v>
      </c>
      <c r="AG637">
        <v>-0.193895399999999</v>
      </c>
      <c r="AH637">
        <v>0.64157906048180902</v>
      </c>
      <c r="AI637">
        <v>106.31294930722299</v>
      </c>
      <c r="AJ637">
        <v>75.557805821492394</v>
      </c>
      <c r="AK637">
        <v>0.69030510296001601</v>
      </c>
      <c r="AL637">
        <v>79.990422143444903</v>
      </c>
      <c r="AM637">
        <v>90.413189148685703</v>
      </c>
      <c r="AN637">
        <v>0.99999999563823705</v>
      </c>
    </row>
    <row r="638" spans="1:40" x14ac:dyDescent="0.25">
      <c r="A638" t="str">
        <f>"20190312172104455"</f>
        <v>20190312172104455</v>
      </c>
      <c r="B638" t="str">
        <f>"1552382464451772"</f>
        <v>1552382464451772</v>
      </c>
      <c r="C638" t="s">
        <v>40</v>
      </c>
      <c r="D638">
        <v>3.4088180000000001</v>
      </c>
      <c r="E638">
        <v>0.58119279999999995</v>
      </c>
      <c r="F638" t="s">
        <v>41</v>
      </c>
      <c r="G638">
        <v>-371.75310000000002</v>
      </c>
      <c r="H638">
        <v>0.95942879999999997</v>
      </c>
      <c r="I638">
        <v>367.42939999999999</v>
      </c>
      <c r="J638">
        <v>-372.19200000000001</v>
      </c>
      <c r="K638">
        <v>1.110252</v>
      </c>
      <c r="L638">
        <v>367.56720000000001</v>
      </c>
      <c r="M638">
        <v>0.99992210000000004</v>
      </c>
      <c r="N638">
        <v>0</v>
      </c>
      <c r="O638">
        <v>2.260354E-4</v>
      </c>
      <c r="P638">
        <v>0.98682029999999998</v>
      </c>
      <c r="Q638">
        <v>0.16166710000000001</v>
      </c>
      <c r="R638">
        <v>7.0458539999999998E-3</v>
      </c>
      <c r="S638">
        <v>3.1545100000000001</v>
      </c>
      <c r="T638">
        <v>-0.67326439999999999</v>
      </c>
      <c r="U638">
        <v>-0.61218260000000002</v>
      </c>
      <c r="V638">
        <v>-6.9521720000000004E-3</v>
      </c>
      <c r="W638">
        <v>0.1739626</v>
      </c>
      <c r="X638">
        <v>0.98472769999999998</v>
      </c>
      <c r="Y638">
        <v>0.18667510000000001</v>
      </c>
      <c r="Z638">
        <v>-1.9570199999999999E-2</v>
      </c>
      <c r="AA638">
        <v>0.98222679999999996</v>
      </c>
      <c r="AB638">
        <v>37</v>
      </c>
      <c r="AC638">
        <v>0.43889999999993201</v>
      </c>
      <c r="AD638">
        <v>-0.15082319999999899</v>
      </c>
      <c r="AE638">
        <v>-0.13780000000002601</v>
      </c>
      <c r="AF638">
        <v>0.12451488094283999</v>
      </c>
      <c r="AG638">
        <v>-0.15082319999999899</v>
      </c>
      <c r="AH638">
        <v>0.39627276142663698</v>
      </c>
      <c r="AI638">
        <v>109.956042815071</v>
      </c>
      <c r="AJ638">
        <v>72.556494422538904</v>
      </c>
      <c r="AK638">
        <v>0.441909147544087</v>
      </c>
      <c r="AL638">
        <v>79.981706308440707</v>
      </c>
      <c r="AM638">
        <v>90.404501159242798</v>
      </c>
      <c r="AN638">
        <v>0.99999998102078302</v>
      </c>
    </row>
    <row r="639" spans="1:40" x14ac:dyDescent="0.25">
      <c r="A639" t="str">
        <f>"20190312172104467"</f>
        <v>20190312172104467</v>
      </c>
      <c r="B639" t="str">
        <f>"1552382464461533"</f>
        <v>1552382464461533</v>
      </c>
      <c r="C639" t="s">
        <v>40</v>
      </c>
      <c r="D639">
        <v>3.300503</v>
      </c>
      <c r="E639">
        <v>0.58118930000000002</v>
      </c>
      <c r="F639" t="s">
        <v>41</v>
      </c>
      <c r="G639">
        <v>-371.42829999999998</v>
      </c>
      <c r="H639">
        <v>0.94720729999999997</v>
      </c>
      <c r="I639">
        <v>367.4187</v>
      </c>
      <c r="J639">
        <v>-372.00139999999999</v>
      </c>
      <c r="K639">
        <v>1.110252</v>
      </c>
      <c r="L639">
        <v>367.56740000000002</v>
      </c>
      <c r="M639">
        <v>0.99992199999999998</v>
      </c>
      <c r="N639">
        <v>0</v>
      </c>
      <c r="O639">
        <v>3.8759470000000002E-4</v>
      </c>
      <c r="P639">
        <v>0.98679360000000005</v>
      </c>
      <c r="Q639">
        <v>0.1618115</v>
      </c>
      <c r="R639">
        <v>7.4503059999999899E-3</v>
      </c>
      <c r="S639">
        <v>3.1547550000000002</v>
      </c>
      <c r="T639">
        <v>-0.67373430000000001</v>
      </c>
      <c r="U639">
        <v>-0.61196899999999999</v>
      </c>
      <c r="V639">
        <v>-7.1966089999999996E-3</v>
      </c>
      <c r="W639">
        <v>0.1741181</v>
      </c>
      <c r="X639">
        <v>0.98469850000000003</v>
      </c>
      <c r="Y639">
        <v>0.1867452</v>
      </c>
      <c r="Z639">
        <v>-1.9623390000000001E-2</v>
      </c>
      <c r="AA639">
        <v>0.98221239999999999</v>
      </c>
      <c r="AB639">
        <v>37</v>
      </c>
      <c r="AC639">
        <v>0.57310000000001005</v>
      </c>
      <c r="AD639">
        <v>-0.16304469999999899</v>
      </c>
      <c r="AE639">
        <v>-0.14870000000001901</v>
      </c>
      <c r="AF639">
        <v>0.13842498842166201</v>
      </c>
      <c r="AG639">
        <v>-0.16304469999999899</v>
      </c>
      <c r="AH639">
        <v>0.53265000013156905</v>
      </c>
      <c r="AI639">
        <v>106.502455380448</v>
      </c>
      <c r="AJ639">
        <v>75.432233562823797</v>
      </c>
      <c r="AK639">
        <v>0.57398699833514299</v>
      </c>
      <c r="AL639">
        <v>79.972659129242899</v>
      </c>
      <c r="AM639">
        <v>90.418735258911099</v>
      </c>
      <c r="AN639">
        <v>1.0000000199154699</v>
      </c>
    </row>
    <row r="640" spans="1:40" x14ac:dyDescent="0.25">
      <c r="A640" t="str">
        <f>"20190312172104477"</f>
        <v>20190312172104477</v>
      </c>
      <c r="B640" t="str">
        <f>"1552382464472269"</f>
        <v>1552382464472269</v>
      </c>
      <c r="C640" t="s">
        <v>40</v>
      </c>
      <c r="D640">
        <v>3.2462460000000002</v>
      </c>
      <c r="E640">
        <v>0.5811771</v>
      </c>
      <c r="F640" t="s">
        <v>41</v>
      </c>
      <c r="G640">
        <v>-371.10910000000001</v>
      </c>
      <c r="H640">
        <v>0.91981579999999996</v>
      </c>
      <c r="I640">
        <v>367.39449999999999</v>
      </c>
      <c r="J640">
        <v>-371.82600000000002</v>
      </c>
      <c r="K640">
        <v>1.110249</v>
      </c>
      <c r="L640">
        <v>367.56760000000003</v>
      </c>
      <c r="M640">
        <v>0.99992190000000003</v>
      </c>
      <c r="N640">
        <v>0</v>
      </c>
      <c r="O640">
        <v>5.3514540000000003E-4</v>
      </c>
      <c r="P640">
        <v>0.98678889999999997</v>
      </c>
      <c r="Q640">
        <v>0.1618464</v>
      </c>
      <c r="R640">
        <v>7.3313669999999897E-3</v>
      </c>
      <c r="S640">
        <v>3.1551209999999998</v>
      </c>
      <c r="T640">
        <v>-0.67344740000000003</v>
      </c>
      <c r="U640">
        <v>-0.61035159999999999</v>
      </c>
      <c r="V640">
        <v>-6.9317299999999997E-3</v>
      </c>
      <c r="W640">
        <v>0.1741645</v>
      </c>
      <c r="X640">
        <v>0.98469220000000002</v>
      </c>
      <c r="Y640">
        <v>0.18639169999999999</v>
      </c>
      <c r="Z640">
        <v>-1.9607840000000001E-2</v>
      </c>
      <c r="AA640">
        <v>0.98227980000000004</v>
      </c>
      <c r="AB640">
        <v>37</v>
      </c>
      <c r="AC640">
        <v>0.71689999999995202</v>
      </c>
      <c r="AD640">
        <v>-0.1904332</v>
      </c>
      <c r="AE640">
        <v>-0.17310000000003301</v>
      </c>
      <c r="AF640">
        <v>0.162639748372265</v>
      </c>
      <c r="AG640">
        <v>-0.1904332</v>
      </c>
      <c r="AH640">
        <v>0.67200195086231496</v>
      </c>
      <c r="AI640">
        <v>105.399156159816</v>
      </c>
      <c r="AJ640">
        <v>76.394735025191295</v>
      </c>
      <c r="AK640">
        <v>0.71714929643386705</v>
      </c>
      <c r="AL640">
        <v>79.969959409370603</v>
      </c>
      <c r="AM640">
        <v>90.403326352737594</v>
      </c>
      <c r="AN640">
        <v>1.00000002534094</v>
      </c>
    </row>
    <row r="641" spans="1:40" x14ac:dyDescent="0.25">
      <c r="A641" t="str">
        <f>"20190312172104489"</f>
        <v>20190312172104489</v>
      </c>
      <c r="B641" t="str">
        <f>"1552382464482029"</f>
        <v>1552382464482029</v>
      </c>
      <c r="C641" t="s">
        <v>40</v>
      </c>
      <c r="D641">
        <v>3.250813</v>
      </c>
      <c r="E641">
        <v>0.58117929999999995</v>
      </c>
      <c r="F641" t="s">
        <v>41</v>
      </c>
      <c r="G641">
        <v>-371.0951</v>
      </c>
      <c r="H641">
        <v>0.95427600000000001</v>
      </c>
      <c r="I641">
        <v>367.42590000000001</v>
      </c>
      <c r="J641">
        <v>-371.6234</v>
      </c>
      <c r="K641">
        <v>1.1102540000000001</v>
      </c>
      <c r="L641">
        <v>367.56790000000001</v>
      </c>
      <c r="M641">
        <v>0.99992150000000002</v>
      </c>
      <c r="N641">
        <v>0</v>
      </c>
      <c r="O641">
        <v>7.035934E-4</v>
      </c>
      <c r="P641">
        <v>0.98677919999999997</v>
      </c>
      <c r="Q641">
        <v>0.161888</v>
      </c>
      <c r="R641">
        <v>7.69975E-3</v>
      </c>
      <c r="S641">
        <v>3.1551819999999999</v>
      </c>
      <c r="T641">
        <v>-0.67339959999999999</v>
      </c>
      <c r="U641">
        <v>-0.61044309999999902</v>
      </c>
      <c r="V641">
        <v>-7.1330909999999898E-3</v>
      </c>
      <c r="W641">
        <v>0.1742194</v>
      </c>
      <c r="X641">
        <v>0.98468100000000003</v>
      </c>
      <c r="Y641">
        <v>0.1865742</v>
      </c>
      <c r="Z641">
        <v>-1.9660380000000002E-2</v>
      </c>
      <c r="AA641">
        <v>0.98224409999999895</v>
      </c>
      <c r="AB641">
        <v>37</v>
      </c>
      <c r="AC641">
        <v>0.52830000000000099</v>
      </c>
      <c r="AD641">
        <v>-0.15597800000000001</v>
      </c>
      <c r="AE641">
        <v>-0.14199999999999499</v>
      </c>
      <c r="AF641">
        <v>0.13166760925576601</v>
      </c>
      <c r="AG641">
        <v>-0.15597800000000001</v>
      </c>
      <c r="AH641">
        <v>0.48848769549634302</v>
      </c>
      <c r="AI641">
        <v>107.13477805236499</v>
      </c>
      <c r="AJ641">
        <v>74.914923447291699</v>
      </c>
      <c r="AK641">
        <v>0.52942017761175098</v>
      </c>
      <c r="AL641">
        <v>79.966764534907099</v>
      </c>
      <c r="AM641">
        <v>90.415046964891602</v>
      </c>
      <c r="AN641">
        <v>0.99999997604228597</v>
      </c>
    </row>
    <row r="642" spans="1:40" x14ac:dyDescent="0.25">
      <c r="A642" t="str">
        <f>"20190312172104500"</f>
        <v>20190312172104500</v>
      </c>
      <c r="B642" t="str">
        <f>"1552382464491789"</f>
        <v>1552382464491789</v>
      </c>
      <c r="C642" t="s">
        <v>40</v>
      </c>
      <c r="D642">
        <v>3.2951480000000002</v>
      </c>
      <c r="E642">
        <v>0.58118519999999996</v>
      </c>
      <c r="F642" t="s">
        <v>41</v>
      </c>
      <c r="G642">
        <v>-370.77539999999999</v>
      </c>
      <c r="H642">
        <v>0.92933359999999998</v>
      </c>
      <c r="I642">
        <v>367.40359999999998</v>
      </c>
      <c r="J642">
        <v>-371.44290000000001</v>
      </c>
      <c r="K642">
        <v>1.1102540000000001</v>
      </c>
      <c r="L642">
        <v>367.56819999999999</v>
      </c>
      <c r="M642">
        <v>0.99992110000000001</v>
      </c>
      <c r="N642">
        <v>0</v>
      </c>
      <c r="O642">
        <v>8.5309679999999997E-4</v>
      </c>
      <c r="P642">
        <v>0.98680060000000003</v>
      </c>
      <c r="Q642">
        <v>0.16175030000000001</v>
      </c>
      <c r="R642">
        <v>7.8388780000000005E-3</v>
      </c>
      <c r="S642">
        <v>3.1554259999999998</v>
      </c>
      <c r="T642">
        <v>-0.67327309999999996</v>
      </c>
      <c r="U642">
        <v>-0.60983279999999995</v>
      </c>
      <c r="V642">
        <v>-7.1238610000000004E-3</v>
      </c>
      <c r="W642">
        <v>0.17409459999999999</v>
      </c>
      <c r="X642">
        <v>0.9847032</v>
      </c>
      <c r="Y642">
        <v>0.1865233</v>
      </c>
      <c r="Z642">
        <v>-1.9681609999999999E-2</v>
      </c>
      <c r="AA642">
        <v>0.98225340000000005</v>
      </c>
      <c r="AB642">
        <v>37</v>
      </c>
      <c r="AC642">
        <v>0.66750000000001797</v>
      </c>
      <c r="AD642">
        <v>-0.18092040000000001</v>
      </c>
      <c r="AE642">
        <v>-0.16460000000000699</v>
      </c>
      <c r="AF642">
        <v>0.154471852586062</v>
      </c>
      <c r="AG642">
        <v>-0.18092040000000001</v>
      </c>
      <c r="AH642">
        <v>0.62413627865943899</v>
      </c>
      <c r="AI642">
        <v>105.71571413624299</v>
      </c>
      <c r="AJ642">
        <v>76.098811540215706</v>
      </c>
      <c r="AK642">
        <v>0.66793700205661899</v>
      </c>
      <c r="AL642">
        <v>79.974026622583196</v>
      </c>
      <c r="AM642">
        <v>90.414500580913099</v>
      </c>
      <c r="AN642">
        <v>1.0000000356174701</v>
      </c>
    </row>
    <row r="643" spans="1:40" x14ac:dyDescent="0.25">
      <c r="A643" t="str">
        <f>"20190312172104511"</f>
        <v>20190312172104511</v>
      </c>
      <c r="B643" t="str">
        <f>"1552382464501765"</f>
        <v>1552382464501765</v>
      </c>
      <c r="C643" t="s">
        <v>40</v>
      </c>
      <c r="D643">
        <v>3.3276330000000001</v>
      </c>
      <c r="E643">
        <v>0.58117799999999997</v>
      </c>
      <c r="F643" t="s">
        <v>41</v>
      </c>
      <c r="G643">
        <v>-370.45679999999999</v>
      </c>
      <c r="H643">
        <v>0.89968499999999996</v>
      </c>
      <c r="I643">
        <v>367.3777</v>
      </c>
      <c r="J643">
        <v>-371.26069999999999</v>
      </c>
      <c r="K643">
        <v>1.110255</v>
      </c>
      <c r="L643">
        <v>367.56849999999997</v>
      </c>
      <c r="M643">
        <v>0.99992099999999995</v>
      </c>
      <c r="N643">
        <v>0</v>
      </c>
      <c r="O643">
        <v>1.002478E-3</v>
      </c>
      <c r="P643">
        <v>0.9867918</v>
      </c>
      <c r="Q643">
        <v>0.16179499999999999</v>
      </c>
      <c r="R643">
        <v>8.0394860000000002E-3</v>
      </c>
      <c r="S643">
        <v>3.1553960000000001</v>
      </c>
      <c r="T643">
        <v>-0.67375969999999996</v>
      </c>
      <c r="U643">
        <v>-0.60934449999999996</v>
      </c>
      <c r="V643">
        <v>-7.1768450000000003E-3</v>
      </c>
      <c r="W643">
        <v>0.17415129999999901</v>
      </c>
      <c r="X643">
        <v>0.98469280000000003</v>
      </c>
      <c r="Y643">
        <v>0.18651609999999999</v>
      </c>
      <c r="Z643">
        <v>-1.9726489999999999E-2</v>
      </c>
      <c r="AA643">
        <v>0.98225379999999995</v>
      </c>
      <c r="AB643">
        <v>37</v>
      </c>
      <c r="AC643">
        <v>0.80389999999999795</v>
      </c>
      <c r="AD643">
        <v>-0.21056999999999901</v>
      </c>
      <c r="AE643">
        <v>-0.190799999999967</v>
      </c>
      <c r="AF643">
        <v>0.17991981258478401</v>
      </c>
      <c r="AG643">
        <v>-0.21056999999999901</v>
      </c>
      <c r="AH643">
        <v>0.75469011543402298</v>
      </c>
      <c r="AI643">
        <v>105.18478842971</v>
      </c>
      <c r="AJ643">
        <v>76.590857253052405</v>
      </c>
      <c r="AK643">
        <v>0.80390797619775101</v>
      </c>
      <c r="AL643">
        <v>79.970727664281</v>
      </c>
      <c r="AM643">
        <v>90.417587746952094</v>
      </c>
      <c r="AN643">
        <v>1.0000000463838401</v>
      </c>
    </row>
    <row r="644" spans="1:40" x14ac:dyDescent="0.25">
      <c r="A644" t="str">
        <f>"20190312172104522"</f>
        <v>20190312172104522</v>
      </c>
      <c r="B644" t="str">
        <f>"1552382464511526"</f>
        <v>1552382464511526</v>
      </c>
      <c r="C644" t="s">
        <v>40</v>
      </c>
      <c r="D644">
        <v>3.318759</v>
      </c>
      <c r="E644">
        <v>0.58116709999999905</v>
      </c>
      <c r="F644" t="s">
        <v>41</v>
      </c>
      <c r="G644">
        <v>-370.44299999999998</v>
      </c>
      <c r="H644">
        <v>0.9357278</v>
      </c>
      <c r="I644">
        <v>367.41070000000002</v>
      </c>
      <c r="J644">
        <v>-371.09379999999999</v>
      </c>
      <c r="K644">
        <v>1.110258</v>
      </c>
      <c r="L644">
        <v>367.56880000000001</v>
      </c>
      <c r="M644">
        <v>0.99992060000000005</v>
      </c>
      <c r="N644">
        <v>0</v>
      </c>
      <c r="O644">
        <v>1.139174E-3</v>
      </c>
      <c r="P644">
        <v>0.98678710000000003</v>
      </c>
      <c r="Q644">
        <v>0.16180629999999999</v>
      </c>
      <c r="R644">
        <v>8.3575290000000007E-3</v>
      </c>
      <c r="S644">
        <v>3.155548</v>
      </c>
      <c r="T644">
        <v>-0.67353730000000001</v>
      </c>
      <c r="U644">
        <v>-0.60864259999999903</v>
      </c>
      <c r="V644">
        <v>-7.3585269999999897E-3</v>
      </c>
      <c r="W644">
        <v>0.17417389999999999</v>
      </c>
      <c r="X644">
        <v>0.98468739999999999</v>
      </c>
      <c r="Y644">
        <v>0.1864325</v>
      </c>
      <c r="Z644">
        <v>-1.9739449999999999E-2</v>
      </c>
      <c r="AA644">
        <v>0.98226950000000002</v>
      </c>
      <c r="AB644">
        <v>37</v>
      </c>
      <c r="AC644">
        <v>0.65079999999994698</v>
      </c>
      <c r="AD644">
        <v>-0.174530199999999</v>
      </c>
      <c r="AE644">
        <v>-0.15809999999999</v>
      </c>
      <c r="AF644">
        <v>0.148740156096072</v>
      </c>
      <c r="AG644">
        <v>-0.174530199999999</v>
      </c>
      <c r="AH644">
        <v>0.60924470923559604</v>
      </c>
      <c r="AI644">
        <v>105.55167678391901</v>
      </c>
      <c r="AJ644">
        <v>76.2802678982804</v>
      </c>
      <c r="AK644">
        <v>0.65097122861082701</v>
      </c>
      <c r="AL644">
        <v>79.9694120661281</v>
      </c>
      <c r="AM644">
        <v>90.428160949825894</v>
      </c>
      <c r="AN644">
        <v>0.99999998553978897</v>
      </c>
    </row>
    <row r="645" spans="1:40" x14ac:dyDescent="0.25">
      <c r="A645" t="str">
        <f>"20190312172104532"</f>
        <v>20190312172104532</v>
      </c>
      <c r="B645" t="str">
        <f>"1552382464522262"</f>
        <v>1552382464522262</v>
      </c>
      <c r="C645" t="s">
        <v>40</v>
      </c>
      <c r="D645">
        <v>3.2370220000000001</v>
      </c>
      <c r="E645">
        <v>0.58116599999999996</v>
      </c>
      <c r="F645" t="s">
        <v>41</v>
      </c>
      <c r="G645">
        <v>-370.12540000000001</v>
      </c>
      <c r="H645">
        <v>0.90362799999999999</v>
      </c>
      <c r="I645">
        <v>367.38229999999999</v>
      </c>
      <c r="J645">
        <v>-370.89949999999999</v>
      </c>
      <c r="K645">
        <v>1.110258</v>
      </c>
      <c r="L645">
        <v>367.56920000000002</v>
      </c>
      <c r="M645">
        <v>0.99992020000000004</v>
      </c>
      <c r="N645">
        <v>0</v>
      </c>
      <c r="O645">
        <v>1.296485E-3</v>
      </c>
      <c r="P645">
        <v>0.98679170000000005</v>
      </c>
      <c r="Q645">
        <v>0.16177320000000001</v>
      </c>
      <c r="R645">
        <v>8.4553519999999993E-3</v>
      </c>
      <c r="S645">
        <v>3.1557010000000001</v>
      </c>
      <c r="T645">
        <v>-0.6733422</v>
      </c>
      <c r="U645">
        <v>-0.60775760000000001</v>
      </c>
      <c r="V645">
        <v>-7.3008019999999899E-3</v>
      </c>
      <c r="W645">
        <v>0.174152799999999</v>
      </c>
      <c r="X645">
        <v>0.9846916</v>
      </c>
      <c r="Y645">
        <v>0.18631400000000001</v>
      </c>
      <c r="Z645">
        <v>-1.9753969999999999E-2</v>
      </c>
      <c r="AA645">
        <v>0.98229160000000004</v>
      </c>
      <c r="AB645">
        <v>37</v>
      </c>
      <c r="AC645">
        <v>0.77409999999997503</v>
      </c>
      <c r="AD645">
        <v>-0.20662999999999901</v>
      </c>
      <c r="AE645">
        <v>-0.18690000000003601</v>
      </c>
      <c r="AF645">
        <v>0.17605065125987401</v>
      </c>
      <c r="AG645">
        <v>-0.20662999999999901</v>
      </c>
      <c r="AH645">
        <v>0.72504242463143298</v>
      </c>
      <c r="AI645">
        <v>105.479699645515</v>
      </c>
      <c r="AJ645">
        <v>76.351900197663497</v>
      </c>
      <c r="AK645">
        <v>0.77419397196339201</v>
      </c>
      <c r="AL645">
        <v>79.970640152839593</v>
      </c>
      <c r="AM645">
        <v>90.424800492768796</v>
      </c>
      <c r="AN645">
        <v>1.00000002328412</v>
      </c>
    </row>
    <row r="646" spans="1:40" x14ac:dyDescent="0.25">
      <c r="A646" t="str">
        <f>"20190312172104544"</f>
        <v>20190312172104544</v>
      </c>
      <c r="B646" t="str">
        <f>"1552382464541782"</f>
        <v>1552382464541782</v>
      </c>
      <c r="C646" t="s">
        <v>40</v>
      </c>
      <c r="D646">
        <v>3.2676240000000001</v>
      </c>
      <c r="E646">
        <v>0.58115499999999998</v>
      </c>
      <c r="F646" t="s">
        <v>41</v>
      </c>
      <c r="G646">
        <v>-370.11070000000001</v>
      </c>
      <c r="H646">
        <v>0.94191809999999998</v>
      </c>
      <c r="I646">
        <v>367.41730000000001</v>
      </c>
      <c r="J646">
        <v>-370.72129999999999</v>
      </c>
      <c r="K646">
        <v>1.110257</v>
      </c>
      <c r="L646">
        <v>367.56950000000001</v>
      </c>
      <c r="M646">
        <v>0.99992000000000003</v>
      </c>
      <c r="N646">
        <v>0</v>
      </c>
      <c r="O646">
        <v>1.439732E-3</v>
      </c>
      <c r="P646">
        <v>0.98677029999999999</v>
      </c>
      <c r="Q646">
        <v>0.16190299999999999</v>
      </c>
      <c r="R646">
        <v>8.5067130000000008E-3</v>
      </c>
      <c r="S646">
        <v>3.1557919999999999</v>
      </c>
      <c r="T646">
        <v>-0.67343009999999903</v>
      </c>
      <c r="U646">
        <v>-0.60757450000000002</v>
      </c>
      <c r="V646">
        <v>-7.2099959999999998E-3</v>
      </c>
      <c r="W646">
        <v>0.17429459999999999</v>
      </c>
      <c r="X646">
        <v>0.98466719999999996</v>
      </c>
      <c r="Y646">
        <v>0.18638879999999999</v>
      </c>
      <c r="Z646">
        <v>-1.9793829999999998E-2</v>
      </c>
      <c r="AA646">
        <v>0.9822767</v>
      </c>
      <c r="AB646">
        <v>37</v>
      </c>
      <c r="AC646">
        <v>0.61059999999997605</v>
      </c>
      <c r="AD646">
        <v>-0.16833889999999899</v>
      </c>
      <c r="AE646">
        <v>-0.15219999999999301</v>
      </c>
      <c r="AF646">
        <v>0.14285607756107699</v>
      </c>
      <c r="AG646">
        <v>-0.16833889999999899</v>
      </c>
      <c r="AH646">
        <v>0.569617763186684</v>
      </c>
      <c r="AI646">
        <v>105.995069077103</v>
      </c>
      <c r="AJ646">
        <v>75.921008279930305</v>
      </c>
      <c r="AK646">
        <v>0.61090935521331502</v>
      </c>
      <c r="AL646">
        <v>79.962389627605901</v>
      </c>
      <c r="AM646">
        <v>90.419527489526203</v>
      </c>
      <c r="AN646">
        <v>1.00000004319365</v>
      </c>
    </row>
    <row r="647" spans="1:40" x14ac:dyDescent="0.25">
      <c r="A647" t="str">
        <f>"20190312172104555"</f>
        <v>20190312172104555</v>
      </c>
      <c r="B647" t="str">
        <f>"1552382464551542"</f>
        <v>1552382464551542</v>
      </c>
      <c r="C647" t="s">
        <v>40</v>
      </c>
      <c r="D647">
        <v>3.2533249999999998</v>
      </c>
      <c r="E647">
        <v>0.58114650000000001</v>
      </c>
      <c r="F647" t="s">
        <v>41</v>
      </c>
      <c r="G647">
        <v>-369.79230000000001</v>
      </c>
      <c r="H647">
        <v>0.91213049999999996</v>
      </c>
      <c r="I647">
        <v>367.39019999999999</v>
      </c>
      <c r="J647">
        <v>-370.53300000000002</v>
      </c>
      <c r="K647">
        <v>1.110258</v>
      </c>
      <c r="L647">
        <v>367.56990000000002</v>
      </c>
      <c r="M647">
        <v>0.99991940000000001</v>
      </c>
      <c r="N647">
        <v>0</v>
      </c>
      <c r="O647">
        <v>1.5896979999999901E-3</v>
      </c>
      <c r="P647">
        <v>0.98678200000000005</v>
      </c>
      <c r="Q647">
        <v>0.16181719999999999</v>
      </c>
      <c r="R647">
        <v>8.7564419999999997E-3</v>
      </c>
      <c r="S647">
        <v>3.1559140000000001</v>
      </c>
      <c r="T647">
        <v>-0.67316709999999902</v>
      </c>
      <c r="U647">
        <v>-0.6074524</v>
      </c>
      <c r="V647">
        <v>-7.3105699999999997E-3</v>
      </c>
      <c r="W647">
        <v>0.1742223</v>
      </c>
      <c r="X647">
        <v>0.98467919999999998</v>
      </c>
      <c r="Y647">
        <v>0.18649019999999999</v>
      </c>
      <c r="Z647">
        <v>-1.9827560000000001E-2</v>
      </c>
      <c r="AA647">
        <v>0.98225669999999998</v>
      </c>
      <c r="AB647">
        <v>37</v>
      </c>
      <c r="AC647">
        <v>0.74070000000000302</v>
      </c>
      <c r="AD647">
        <v>-0.19812749999999901</v>
      </c>
      <c r="AE647">
        <v>-0.17970000000002501</v>
      </c>
      <c r="AF647">
        <v>0.16942871821437999</v>
      </c>
      <c r="AG647">
        <v>-0.19812749999999901</v>
      </c>
      <c r="AH647">
        <v>0.69354888684952498</v>
      </c>
      <c r="AI647">
        <v>105.509931967735</v>
      </c>
      <c r="AJ647">
        <v>76.271952600168703</v>
      </c>
      <c r="AK647">
        <v>0.74092553962070495</v>
      </c>
      <c r="AL647">
        <v>79.966595943950793</v>
      </c>
      <c r="AM647">
        <v>90.425374183876698</v>
      </c>
      <c r="AN647">
        <v>0.99999999058182698</v>
      </c>
    </row>
    <row r="648" spans="1:40" x14ac:dyDescent="0.25">
      <c r="A648" t="str">
        <f>"20190312172104567"</f>
        <v>20190312172104567</v>
      </c>
      <c r="B648" t="str">
        <f>"1552382464562278"</f>
        <v>1552382464562278</v>
      </c>
      <c r="C648" t="s">
        <v>40</v>
      </c>
      <c r="D648">
        <v>3.43058</v>
      </c>
      <c r="E648">
        <v>0.58114650000000001</v>
      </c>
      <c r="F648" t="s">
        <v>41</v>
      </c>
      <c r="G648">
        <v>-369.77769999999998</v>
      </c>
      <c r="H648">
        <v>0.94911719999999999</v>
      </c>
      <c r="I648">
        <v>367.42430000000002</v>
      </c>
      <c r="J648">
        <v>-370.35219999999998</v>
      </c>
      <c r="K648">
        <v>1.110257</v>
      </c>
      <c r="L648">
        <v>367.57040000000001</v>
      </c>
      <c r="M648">
        <v>0.99991929999999996</v>
      </c>
      <c r="N648">
        <v>0</v>
      </c>
      <c r="O648">
        <v>1.7314380000000001E-3</v>
      </c>
      <c r="P648">
        <v>0.98674550000000005</v>
      </c>
      <c r="Q648">
        <v>0.16203219999999999</v>
      </c>
      <c r="R648">
        <v>8.8968529999999997E-3</v>
      </c>
      <c r="S648">
        <v>3.1560670000000002</v>
      </c>
      <c r="T648">
        <v>-0.67355759999999998</v>
      </c>
      <c r="U648">
        <v>-0.60644529999999996</v>
      </c>
      <c r="V648">
        <v>-7.3102719999999996E-3</v>
      </c>
      <c r="W648">
        <v>0.17444899999999999</v>
      </c>
      <c r="X648">
        <v>0.98463900000000004</v>
      </c>
      <c r="Y648">
        <v>0.18631439999999999</v>
      </c>
      <c r="Z648">
        <v>-1.9849740000000001E-2</v>
      </c>
      <c r="AA648">
        <v>0.98228959999999998</v>
      </c>
      <c r="AB648">
        <v>37</v>
      </c>
      <c r="AC648">
        <v>0.57450000000000001</v>
      </c>
      <c r="AD648">
        <v>-0.1611398</v>
      </c>
      <c r="AE648">
        <v>-0.14609999999998899</v>
      </c>
      <c r="AF648">
        <v>0.13697307506554199</v>
      </c>
      <c r="AG648">
        <v>-0.1611398</v>
      </c>
      <c r="AH648">
        <v>0.53473259618411595</v>
      </c>
      <c r="AI648">
        <v>106.273663610881</v>
      </c>
      <c r="AJ648">
        <v>75.632465194877696</v>
      </c>
      <c r="AK648">
        <v>0.57503617960851405</v>
      </c>
      <c r="AL648">
        <v>79.953404342631103</v>
      </c>
      <c r="AM648">
        <v>90.425374210498305</v>
      </c>
      <c r="AN648">
        <v>0.99999992699935403</v>
      </c>
    </row>
    <row r="649" spans="1:40" x14ac:dyDescent="0.25">
      <c r="A649" t="str">
        <f>"20190312172104577"</f>
        <v>20190312172104577</v>
      </c>
      <c r="B649" t="str">
        <f>"1552382464572038"</f>
        <v>1552382464572038</v>
      </c>
      <c r="C649" t="s">
        <v>40</v>
      </c>
      <c r="D649">
        <v>3.248246</v>
      </c>
      <c r="E649">
        <v>0.58114709999999903</v>
      </c>
      <c r="F649" t="s">
        <v>41</v>
      </c>
      <c r="G649">
        <v>-369.45960000000002</v>
      </c>
      <c r="H649">
        <v>0.92002729999999999</v>
      </c>
      <c r="I649">
        <v>367.39890000000003</v>
      </c>
      <c r="J649">
        <v>-370.16410000000002</v>
      </c>
      <c r="K649">
        <v>1.110257</v>
      </c>
      <c r="L649">
        <v>367.57089999999999</v>
      </c>
      <c r="M649">
        <v>0.99991859999999999</v>
      </c>
      <c r="N649">
        <v>0</v>
      </c>
      <c r="O649">
        <v>1.8779999999999999E-3</v>
      </c>
      <c r="P649">
        <v>0.98673460000000002</v>
      </c>
      <c r="Q649">
        <v>0.16208829999999999</v>
      </c>
      <c r="R649">
        <v>9.0849999999999993E-3</v>
      </c>
      <c r="S649">
        <v>3.15625</v>
      </c>
      <c r="T649">
        <v>-0.67278660000000001</v>
      </c>
      <c r="U649">
        <v>-0.6062012</v>
      </c>
      <c r="V649">
        <v>-7.3529040000000004E-3</v>
      </c>
      <c r="W649">
        <v>0.17451900000000001</v>
      </c>
      <c r="X649">
        <v>0.98462640000000001</v>
      </c>
      <c r="Y649">
        <v>0.1863795</v>
      </c>
      <c r="Z649">
        <v>-1.986396E-2</v>
      </c>
      <c r="AA649">
        <v>0.98227699999999996</v>
      </c>
      <c r="AB649">
        <v>37</v>
      </c>
      <c r="AC649">
        <v>0.70449999999999502</v>
      </c>
      <c r="AD649">
        <v>-0.190229699999999</v>
      </c>
      <c r="AE649">
        <v>-0.17199999999996801</v>
      </c>
      <c r="AF649">
        <v>0.16216436403406401</v>
      </c>
      <c r="AG649">
        <v>-0.190229699999999</v>
      </c>
      <c r="AH649">
        <v>0.658841030631512</v>
      </c>
      <c r="AI649">
        <v>105.66169180054401</v>
      </c>
      <c r="AJ649">
        <v>76.1723239388146</v>
      </c>
      <c r="AK649">
        <v>0.70466738491876801</v>
      </c>
      <c r="AL649">
        <v>79.949332374401394</v>
      </c>
      <c r="AM649">
        <v>90.4278602882314</v>
      </c>
      <c r="AN649">
        <v>1.00000004706759</v>
      </c>
    </row>
    <row r="650" spans="1:40" x14ac:dyDescent="0.25">
      <c r="A650" t="str">
        <f>"20190312172104590"</f>
        <v>20190312172104590</v>
      </c>
      <c r="B650" t="str">
        <f>"1552382464581798"</f>
        <v>1552382464581798</v>
      </c>
      <c r="C650" t="s">
        <v>40</v>
      </c>
      <c r="D650">
        <v>3.3100230000000002</v>
      </c>
      <c r="E650">
        <v>0.58120319999999903</v>
      </c>
      <c r="F650" t="s">
        <v>41</v>
      </c>
      <c r="G650">
        <v>-369.44459999999998</v>
      </c>
      <c r="H650">
        <v>0.95686789999999999</v>
      </c>
      <c r="I650">
        <v>367.43279999999999</v>
      </c>
      <c r="J650">
        <v>-369.96510000000001</v>
      </c>
      <c r="K650">
        <v>1.11025</v>
      </c>
      <c r="L650">
        <v>367.57139999999998</v>
      </c>
      <c r="M650">
        <v>0.99991830000000004</v>
      </c>
      <c r="N650">
        <v>0</v>
      </c>
      <c r="O650">
        <v>2.0304450000000001E-3</v>
      </c>
      <c r="P650">
        <v>0.98670690000000005</v>
      </c>
      <c r="Q650">
        <v>0.162241</v>
      </c>
      <c r="R650">
        <v>9.382418E-3</v>
      </c>
      <c r="S650">
        <v>3.1564640000000002</v>
      </c>
      <c r="T650">
        <v>-0.67302949999999995</v>
      </c>
      <c r="U650">
        <v>-0.60552980000000001</v>
      </c>
      <c r="V650">
        <v>-7.4991650000000003E-3</v>
      </c>
      <c r="W650">
        <v>0.1746857</v>
      </c>
      <c r="X650">
        <v>0.98459569999999996</v>
      </c>
      <c r="Y650">
        <v>0.1863109</v>
      </c>
      <c r="Z650">
        <v>-1.9894769999999999E-2</v>
      </c>
      <c r="AA650">
        <v>0.98228939999999998</v>
      </c>
      <c r="AB650">
        <v>37</v>
      </c>
      <c r="AC650">
        <v>0.52050000000002605</v>
      </c>
      <c r="AD650">
        <v>-0.15338209999999899</v>
      </c>
      <c r="AE650">
        <v>-0.138599999999996</v>
      </c>
      <c r="AF650">
        <v>0.12918157396924301</v>
      </c>
      <c r="AG650">
        <v>-0.15338209999999899</v>
      </c>
      <c r="AH650">
        <v>0.481198108914072</v>
      </c>
      <c r="AI650">
        <v>107.110985204575</v>
      </c>
      <c r="AJ650">
        <v>74.972793561044497</v>
      </c>
      <c r="AK650">
        <v>0.52131139223698197</v>
      </c>
      <c r="AL650">
        <v>79.939631805869396</v>
      </c>
      <c r="AM650">
        <v>90.436384392223701</v>
      </c>
      <c r="AN650">
        <v>1.00000001185933</v>
      </c>
    </row>
    <row r="651" spans="1:40" x14ac:dyDescent="0.25">
      <c r="A651" t="str">
        <f>"20190312172104602"</f>
        <v>20190312172104602</v>
      </c>
      <c r="B651" t="str">
        <f>"1552382464591559"</f>
        <v>1552382464591559</v>
      </c>
      <c r="C651" t="s">
        <v>40</v>
      </c>
      <c r="D651">
        <v>3.2639870000000002</v>
      </c>
      <c r="E651">
        <v>0.58125039999999994</v>
      </c>
      <c r="F651" t="s">
        <v>41</v>
      </c>
      <c r="G651">
        <v>-369.12569999999999</v>
      </c>
      <c r="H651">
        <v>0.93126580000000003</v>
      </c>
      <c r="I651">
        <v>367.4101</v>
      </c>
      <c r="J651">
        <v>-369.77089999999998</v>
      </c>
      <c r="K651">
        <v>1.11025</v>
      </c>
      <c r="L651">
        <v>367.572</v>
      </c>
      <c r="M651">
        <v>0.99991770000000002</v>
      </c>
      <c r="N651">
        <v>0</v>
      </c>
      <c r="O651">
        <v>2.1779999999999998E-3</v>
      </c>
      <c r="P651">
        <v>0.98672579999999999</v>
      </c>
      <c r="Q651">
        <v>0.1621206</v>
      </c>
      <c r="R651">
        <v>9.4635020000000004E-3</v>
      </c>
      <c r="S651">
        <v>3.1568909999999999</v>
      </c>
      <c r="T651">
        <v>-0.67323940000000004</v>
      </c>
      <c r="U651">
        <v>-0.60479740000000004</v>
      </c>
      <c r="V651">
        <v>-7.4326409999999898E-3</v>
      </c>
      <c r="W651">
        <v>0.1745796</v>
      </c>
      <c r="X651">
        <v>0.98461500000000002</v>
      </c>
      <c r="Y651">
        <v>0.1862087</v>
      </c>
      <c r="Z651">
        <v>-1.9918829999999998E-2</v>
      </c>
      <c r="AA651">
        <v>0.98230830000000002</v>
      </c>
      <c r="AB651">
        <v>37</v>
      </c>
      <c r="AC651">
        <v>0.64519999999998801</v>
      </c>
      <c r="AD651">
        <v>-0.17898419999999901</v>
      </c>
      <c r="AE651">
        <v>-0.161899999999945</v>
      </c>
      <c r="AF651">
        <v>0.152280315659518</v>
      </c>
      <c r="AG651">
        <v>-0.17898419999999901</v>
      </c>
      <c r="AH651">
        <v>0.60131252075708497</v>
      </c>
      <c r="AI651">
        <v>106.095328376192</v>
      </c>
      <c r="AJ651">
        <v>75.788819583897705</v>
      </c>
      <c r="AK651">
        <v>0.64560156908595101</v>
      </c>
      <c r="AL651">
        <v>79.945805532525</v>
      </c>
      <c r="AM651">
        <v>90.432504959963396</v>
      </c>
      <c r="AN651">
        <v>0.999999989556697</v>
      </c>
    </row>
    <row r="652" spans="1:40" x14ac:dyDescent="0.25">
      <c r="A652" t="str">
        <f>"20190312172104616"</f>
        <v>20190312172104616</v>
      </c>
      <c r="B652" t="str">
        <f>"1552382464612056"</f>
        <v>1552382464612056</v>
      </c>
      <c r="C652" t="s">
        <v>40</v>
      </c>
      <c r="D652">
        <v>3.3282409999999998</v>
      </c>
      <c r="E652">
        <v>0.58133109999999999</v>
      </c>
      <c r="F652" t="s">
        <v>41</v>
      </c>
      <c r="G652">
        <v>-368.8064</v>
      </c>
      <c r="H652">
        <v>0.90427009999999997</v>
      </c>
      <c r="I652">
        <v>367.38690000000003</v>
      </c>
      <c r="J652">
        <v>-369.53129999999999</v>
      </c>
      <c r="K652">
        <v>1.1102510000000001</v>
      </c>
      <c r="L652">
        <v>367.5727</v>
      </c>
      <c r="M652">
        <v>0.9999171</v>
      </c>
      <c r="N652">
        <v>0</v>
      </c>
      <c r="O652">
        <v>2.3551240000000001E-3</v>
      </c>
      <c r="P652">
        <v>0.98667360000000004</v>
      </c>
      <c r="Q652">
        <v>0.16242379999999901</v>
      </c>
      <c r="R652">
        <v>9.7089710000000003E-3</v>
      </c>
      <c r="S652">
        <v>3.156952</v>
      </c>
      <c r="T652">
        <v>-0.67425840000000004</v>
      </c>
      <c r="U652">
        <v>-0.60485840000000002</v>
      </c>
      <c r="V652">
        <v>-7.5012239999999999E-3</v>
      </c>
      <c r="W652">
        <v>0.17490069999999999</v>
      </c>
      <c r="X652">
        <v>0.98455749999999997</v>
      </c>
      <c r="Y652">
        <v>0.18637780000000001</v>
      </c>
      <c r="Z652">
        <v>-2.000271E-2</v>
      </c>
      <c r="AA652">
        <v>0.98227450000000005</v>
      </c>
      <c r="AB652">
        <v>37</v>
      </c>
      <c r="AC652">
        <v>0.72489999999999</v>
      </c>
      <c r="AD652">
        <v>-0.20598089999999999</v>
      </c>
      <c r="AE652">
        <v>-0.18579999999997199</v>
      </c>
      <c r="AF652">
        <v>0.17430105405447399</v>
      </c>
      <c r="AG652">
        <v>-0.20598089999999999</v>
      </c>
      <c r="AH652">
        <v>0.67343782873525704</v>
      </c>
      <c r="AI652">
        <v>106.494417265594</v>
      </c>
      <c r="AJ652">
        <v>75.488980497830994</v>
      </c>
      <c r="AK652">
        <v>0.725484319459055</v>
      </c>
      <c r="AL652">
        <v>79.927120454479805</v>
      </c>
      <c r="AM652">
        <v>90.4365211383288</v>
      </c>
      <c r="AN652">
        <v>0.99999999701411901</v>
      </c>
    </row>
    <row r="653" spans="1:40" x14ac:dyDescent="0.25">
      <c r="A653" t="str">
        <f>"20190312172104629"</f>
        <v>20190312172104629</v>
      </c>
      <c r="B653" t="str">
        <f>"1552382464621814"</f>
        <v>1552382464621814</v>
      </c>
      <c r="C653" t="s">
        <v>40</v>
      </c>
      <c r="D653">
        <v>3.3307359999999999</v>
      </c>
      <c r="E653">
        <v>0.5814087</v>
      </c>
      <c r="F653" t="s">
        <v>41</v>
      </c>
      <c r="G653">
        <v>-368.7878</v>
      </c>
      <c r="H653">
        <v>0.95140049999999998</v>
      </c>
      <c r="I653">
        <v>367.43</v>
      </c>
      <c r="J653">
        <v>-369.322</v>
      </c>
      <c r="K653">
        <v>1.1102479999999999</v>
      </c>
      <c r="L653">
        <v>367.57339999999999</v>
      </c>
      <c r="M653">
        <v>0.99991660000000004</v>
      </c>
      <c r="N653">
        <v>0</v>
      </c>
      <c r="O653">
        <v>2.5068120000000002E-3</v>
      </c>
      <c r="P653">
        <v>0.98665259999999999</v>
      </c>
      <c r="Q653">
        <v>0.16254839999999901</v>
      </c>
      <c r="R653">
        <v>9.7457970000000005E-3</v>
      </c>
      <c r="S653">
        <v>3.1575319999999998</v>
      </c>
      <c r="T653">
        <v>-0.674728199999999</v>
      </c>
      <c r="U653">
        <v>-0.6047363</v>
      </c>
      <c r="V653">
        <v>-7.3864830000000001E-3</v>
      </c>
      <c r="W653">
        <v>0.17504249999999999</v>
      </c>
      <c r="X653">
        <v>0.9845332</v>
      </c>
      <c r="Y653">
        <v>0.18644759999999999</v>
      </c>
      <c r="Z653">
        <v>-2.005198E-2</v>
      </c>
      <c r="AA653">
        <v>0.98226020000000003</v>
      </c>
      <c r="AB653">
        <v>37</v>
      </c>
      <c r="AC653">
        <v>0.53419999999994106</v>
      </c>
      <c r="AD653">
        <v>-0.1588475</v>
      </c>
      <c r="AE653">
        <v>-0.14339999999998501</v>
      </c>
      <c r="AF653">
        <v>0.133710704908959</v>
      </c>
      <c r="AG653">
        <v>-0.1588475</v>
      </c>
      <c r="AH653">
        <v>0.49316400578377401</v>
      </c>
      <c r="AI653">
        <v>107.26916538216101</v>
      </c>
      <c r="AJ653">
        <v>74.830189185327697</v>
      </c>
      <c r="AK653">
        <v>0.53509047596102699</v>
      </c>
      <c r="AL653">
        <v>79.918868945863494</v>
      </c>
      <c r="AM653">
        <v>90.429854839842207</v>
      </c>
      <c r="AN653">
        <v>1.0000000294197899</v>
      </c>
    </row>
    <row r="654" spans="1:40" x14ac:dyDescent="0.25">
      <c r="A654" t="str">
        <f>"20190312172104646"</f>
        <v>20190312172104646</v>
      </c>
      <c r="B654" t="str">
        <f>"1552382464642310"</f>
        <v>1552382464642310</v>
      </c>
      <c r="C654" t="s">
        <v>40</v>
      </c>
      <c r="D654">
        <v>3.2982130000000001</v>
      </c>
      <c r="E654">
        <v>0.58151850000000005</v>
      </c>
      <c r="F654" t="s">
        <v>41</v>
      </c>
      <c r="G654">
        <v>-368.46800000000002</v>
      </c>
      <c r="H654">
        <v>0.92773340000000004</v>
      </c>
      <c r="I654">
        <v>367.40929999999997</v>
      </c>
      <c r="J654">
        <v>-369.05869999999999</v>
      </c>
      <c r="K654">
        <v>1.1102449999999999</v>
      </c>
      <c r="L654">
        <v>367.57420000000002</v>
      </c>
      <c r="M654">
        <v>0.99991580000000002</v>
      </c>
      <c r="N654">
        <v>0</v>
      </c>
      <c r="O654">
        <v>2.6940739999999999E-3</v>
      </c>
      <c r="P654">
        <v>0.98664669999999999</v>
      </c>
      <c r="Q654">
        <v>0.16257149999999901</v>
      </c>
      <c r="R654">
        <v>9.9484780000000002E-3</v>
      </c>
      <c r="S654">
        <v>3.1577449999999998</v>
      </c>
      <c r="T654">
        <v>-0.67503539999999995</v>
      </c>
      <c r="U654">
        <v>-0.60479740000000004</v>
      </c>
      <c r="V654">
        <v>-7.4014440000000001E-3</v>
      </c>
      <c r="W654">
        <v>0.17508899999999999</v>
      </c>
      <c r="X654">
        <v>0.98452479999999998</v>
      </c>
      <c r="Y654">
        <v>0.1866264</v>
      </c>
      <c r="Z654">
        <v>-2.0117550000000001E-2</v>
      </c>
      <c r="AA654">
        <v>0.98222489999999996</v>
      </c>
      <c r="AB654">
        <v>37</v>
      </c>
      <c r="AC654">
        <v>0.59069999999996903</v>
      </c>
      <c r="AD654">
        <v>-0.1825116</v>
      </c>
      <c r="AE654">
        <v>-0.16490000000004501</v>
      </c>
      <c r="AF654">
        <v>0.152945485607586</v>
      </c>
      <c r="AG654">
        <v>-0.1825116</v>
      </c>
      <c r="AH654">
        <v>0.54223148577512104</v>
      </c>
      <c r="AI654">
        <v>107.94988747597399</v>
      </c>
      <c r="AJ654">
        <v>74.248004159996299</v>
      </c>
      <c r="AK654">
        <v>0.59221431075937003</v>
      </c>
      <c r="AL654">
        <v>79.916162709849402</v>
      </c>
      <c r="AM654">
        <v>90.430729134178407</v>
      </c>
      <c r="AN654">
        <v>1.00000001055466</v>
      </c>
    </row>
    <row r="655" spans="1:40" x14ac:dyDescent="0.25">
      <c r="A655" t="str">
        <f>"20190312172104667"</f>
        <v>20190312172104667</v>
      </c>
      <c r="B655" t="str">
        <f>"1552382464661830"</f>
        <v>1552382464661830</v>
      </c>
      <c r="C655" t="s">
        <v>40</v>
      </c>
      <c r="D655">
        <v>3.3958940000000002</v>
      </c>
      <c r="E655">
        <v>0.5815709</v>
      </c>
      <c r="F655" t="s">
        <v>41</v>
      </c>
      <c r="G655">
        <v>-368.1438</v>
      </c>
      <c r="H655">
        <v>0.91438339999999996</v>
      </c>
      <c r="I655">
        <v>367.39870000000002</v>
      </c>
      <c r="J655">
        <v>-368.69819999999999</v>
      </c>
      <c r="K655">
        <v>1.110241</v>
      </c>
      <c r="L655">
        <v>367.57549999999998</v>
      </c>
      <c r="M655">
        <v>0.99991450000000004</v>
      </c>
      <c r="N655">
        <v>0</v>
      </c>
      <c r="O655">
        <v>2.942334E-3</v>
      </c>
      <c r="P655">
        <v>0.98663809999999996</v>
      </c>
      <c r="Q655">
        <v>0.16261289999999901</v>
      </c>
      <c r="R655">
        <v>1.0101529999999999E-2</v>
      </c>
      <c r="S655">
        <v>3.1581419999999998</v>
      </c>
      <c r="T655">
        <v>-0.67615879999999995</v>
      </c>
      <c r="U655">
        <v>-0.60531619999999997</v>
      </c>
      <c r="V655">
        <v>-7.3041599999999996E-3</v>
      </c>
      <c r="W655">
        <v>0.17516880000000001</v>
      </c>
      <c r="X655">
        <v>0.98451129999999998</v>
      </c>
      <c r="Y655">
        <v>0.18697730000000001</v>
      </c>
      <c r="Z655">
        <v>-2.0236520000000001E-2</v>
      </c>
      <c r="AA655">
        <v>0.98215580000000002</v>
      </c>
      <c r="AB655">
        <v>37</v>
      </c>
      <c r="AC655">
        <v>0.55439999999998602</v>
      </c>
      <c r="AD655">
        <v>-0.19585759999999999</v>
      </c>
      <c r="AE655">
        <v>-0.17679999999995699</v>
      </c>
      <c r="AF655">
        <v>0.160274001787827</v>
      </c>
      <c r="AG655">
        <v>-0.19585759999999999</v>
      </c>
      <c r="AH655">
        <v>0.49751635294619001</v>
      </c>
      <c r="AI655">
        <v>110.541330455007</v>
      </c>
      <c r="AJ655">
        <v>72.143747805299398</v>
      </c>
      <c r="AK655">
        <v>0.55818498419047602</v>
      </c>
      <c r="AL655">
        <v>79.911518420275897</v>
      </c>
      <c r="AM655">
        <v>90.425073701785394</v>
      </c>
      <c r="AN655">
        <v>0.99999997953721698</v>
      </c>
    </row>
    <row r="656" spans="1:40" x14ac:dyDescent="0.25">
      <c r="A656" t="str">
        <f>"20190312172104678"</f>
        <v>20190312172104678</v>
      </c>
      <c r="B656" t="str">
        <f>"1552382464671590"</f>
        <v>1552382464671590</v>
      </c>
      <c r="C656" t="s">
        <v>40</v>
      </c>
      <c r="D656">
        <v>3.3014890000000001</v>
      </c>
      <c r="E656">
        <v>0.58160889999999998</v>
      </c>
      <c r="F656" t="s">
        <v>41</v>
      </c>
      <c r="G656">
        <v>-367.81229999999999</v>
      </c>
      <c r="H656">
        <v>0.92054939999999996</v>
      </c>
      <c r="I656">
        <v>367.40559999999999</v>
      </c>
      <c r="J656">
        <v>-368.50020000000001</v>
      </c>
      <c r="K656">
        <v>1.110241</v>
      </c>
      <c r="L656">
        <v>367.57619999999997</v>
      </c>
      <c r="M656">
        <v>0.99991379999999996</v>
      </c>
      <c r="N656">
        <v>0</v>
      </c>
      <c r="O656">
        <v>3.0759009999999998E-3</v>
      </c>
      <c r="P656">
        <v>0.98662919999999998</v>
      </c>
      <c r="Q656">
        <v>0.16264719999999999</v>
      </c>
      <c r="R656">
        <v>1.0428700000000001E-2</v>
      </c>
      <c r="S656">
        <v>3.1582949999999999</v>
      </c>
      <c r="T656">
        <v>-0.67640059999999902</v>
      </c>
      <c r="U656">
        <v>-0.60482789999999997</v>
      </c>
      <c r="V656">
        <v>-7.4970269999999999E-3</v>
      </c>
      <c r="W656">
        <v>0.17522650000000001</v>
      </c>
      <c r="X656">
        <v>0.98449960000000003</v>
      </c>
      <c r="Y656">
        <v>0.18694820000000001</v>
      </c>
      <c r="Z656">
        <v>-2.0267919999999998E-2</v>
      </c>
      <c r="AA656">
        <v>0.9821607</v>
      </c>
      <c r="AB656">
        <v>37</v>
      </c>
      <c r="AC656">
        <v>0.68790000000001295</v>
      </c>
      <c r="AD656">
        <v>-0.18969159999999999</v>
      </c>
      <c r="AE656">
        <v>-0.17059999999997899</v>
      </c>
      <c r="AF656">
        <v>0.16116991221843899</v>
      </c>
      <c r="AG656">
        <v>-0.18969159999999999</v>
      </c>
      <c r="AH656">
        <v>0.64142372955818205</v>
      </c>
      <c r="AI656">
        <v>106.00392253212</v>
      </c>
      <c r="AJ656">
        <v>75.895344506482303</v>
      </c>
      <c r="AK656">
        <v>0.68802837481850099</v>
      </c>
      <c r="AL656">
        <v>79.908160696669995</v>
      </c>
      <c r="AM656">
        <v>90.436302567555202</v>
      </c>
      <c r="AN656">
        <v>0.99999999705812403</v>
      </c>
    </row>
    <row r="657" spans="1:40" x14ac:dyDescent="0.25">
      <c r="A657" t="str">
        <f>"20190312172104690"</f>
        <v>20190312172104690</v>
      </c>
      <c r="B657" t="str">
        <f>"1552382464682326"</f>
        <v>1552382464682326</v>
      </c>
      <c r="C657" t="s">
        <v>40</v>
      </c>
      <c r="D657">
        <v>3.289034</v>
      </c>
      <c r="E657">
        <v>0.58166439999999997</v>
      </c>
      <c r="F657" t="s">
        <v>41</v>
      </c>
      <c r="G657">
        <v>-367.79640000000001</v>
      </c>
      <c r="H657">
        <v>0.95949439999999997</v>
      </c>
      <c r="I657">
        <v>367.44130000000001</v>
      </c>
      <c r="J657">
        <v>-368.3211</v>
      </c>
      <c r="K657">
        <v>1.110242</v>
      </c>
      <c r="L657">
        <v>367.57690000000002</v>
      </c>
      <c r="M657">
        <v>0.9999133</v>
      </c>
      <c r="N657">
        <v>0</v>
      </c>
      <c r="O657">
        <v>3.194349E-3</v>
      </c>
      <c r="P657">
        <v>0.98658900000000005</v>
      </c>
      <c r="Q657">
        <v>0.16287670000000001</v>
      </c>
      <c r="R657">
        <v>1.0666729999999999E-2</v>
      </c>
      <c r="S657">
        <v>3.1585999999999999</v>
      </c>
      <c r="T657">
        <v>-0.67666700000000002</v>
      </c>
      <c r="U657">
        <v>-0.60443119999999995</v>
      </c>
      <c r="V657">
        <v>-7.6159219999999998E-3</v>
      </c>
      <c r="W657">
        <v>0.17547579999999999</v>
      </c>
      <c r="X657">
        <v>0.9844543</v>
      </c>
      <c r="Y657">
        <v>0.18692329999999999</v>
      </c>
      <c r="Z657">
        <v>-2.029634E-2</v>
      </c>
      <c r="AA657">
        <v>0.98216490000000001</v>
      </c>
      <c r="AB657">
        <v>37</v>
      </c>
      <c r="AC657">
        <v>0.52469999999999495</v>
      </c>
      <c r="AD657">
        <v>-0.15074759999999901</v>
      </c>
      <c r="AE657">
        <v>-0.13560000000000999</v>
      </c>
      <c r="AF657">
        <v>0.127416656519074</v>
      </c>
      <c r="AG657">
        <v>-0.15074759999999901</v>
      </c>
      <c r="AH657">
        <v>0.48661249391764</v>
      </c>
      <c r="AI657">
        <v>106.682764828694</v>
      </c>
      <c r="AJ657">
        <v>75.326854406526493</v>
      </c>
      <c r="AK657">
        <v>0.52512052188141001</v>
      </c>
      <c r="AL657">
        <v>79.893652231463193</v>
      </c>
      <c r="AM657">
        <v>90.443241989835499</v>
      </c>
      <c r="AN657">
        <v>1.0000000137210201</v>
      </c>
    </row>
    <row r="658" spans="1:40" x14ac:dyDescent="0.25">
      <c r="A658" t="str">
        <f>"20190312172104700"</f>
        <v>20190312172104700</v>
      </c>
      <c r="B658" t="str">
        <f>"1552382464692086"</f>
        <v>1552382464692086</v>
      </c>
      <c r="C658" t="s">
        <v>40</v>
      </c>
      <c r="D658">
        <v>3.424782</v>
      </c>
      <c r="E658">
        <v>0.58165849999999997</v>
      </c>
      <c r="F658" t="s">
        <v>41</v>
      </c>
      <c r="G658">
        <v>-367.4796</v>
      </c>
      <c r="H658">
        <v>0.93011469999999896</v>
      </c>
      <c r="I658">
        <v>367.41559999999998</v>
      </c>
      <c r="J658">
        <v>-368.13630000000001</v>
      </c>
      <c r="K658">
        <v>1.1102399999999999</v>
      </c>
      <c r="L658">
        <v>367.57760000000002</v>
      </c>
      <c r="M658">
        <v>0.99991240000000003</v>
      </c>
      <c r="N658">
        <v>0</v>
      </c>
      <c r="O658">
        <v>3.3163089999999999E-3</v>
      </c>
      <c r="P658">
        <v>0.98660669999999995</v>
      </c>
      <c r="Q658">
        <v>0.16277759999999999</v>
      </c>
      <c r="R658">
        <v>1.05057E-2</v>
      </c>
      <c r="S658">
        <v>3.1589360000000002</v>
      </c>
      <c r="T658">
        <v>-0.67634930000000004</v>
      </c>
      <c r="U658">
        <v>-0.60415649999999999</v>
      </c>
      <c r="V658">
        <v>-7.332023E-3</v>
      </c>
      <c r="W658">
        <v>0.17539879999999999</v>
      </c>
      <c r="X658">
        <v>0.98447019999999996</v>
      </c>
      <c r="Y658">
        <v>0.18694279999999999</v>
      </c>
      <c r="Z658">
        <v>-2.0312750000000001E-2</v>
      </c>
      <c r="AA658">
        <v>0.9821607</v>
      </c>
      <c r="AB658">
        <v>37</v>
      </c>
      <c r="AC658">
        <v>0.65669999999999995</v>
      </c>
      <c r="AD658">
        <v>-0.18012529999999999</v>
      </c>
      <c r="AE658">
        <v>-0.16200000000003401</v>
      </c>
      <c r="AF658">
        <v>0.15330495434803701</v>
      </c>
      <c r="AG658">
        <v>-0.18012529999999999</v>
      </c>
      <c r="AH658">
        <v>0.61270686540529595</v>
      </c>
      <c r="AI658">
        <v>105.917682887148</v>
      </c>
      <c r="AJ658">
        <v>75.952470629951407</v>
      </c>
      <c r="AK658">
        <v>0.65677791957596099</v>
      </c>
      <c r="AL658">
        <v>79.898133737216298</v>
      </c>
      <c r="AM658">
        <v>90.426712973327298</v>
      </c>
      <c r="AN658">
        <v>1.00000003614537</v>
      </c>
    </row>
    <row r="659" spans="1:40" x14ac:dyDescent="0.25">
      <c r="A659" t="str">
        <f>"20190312172104711"</f>
        <v>20190312172104711</v>
      </c>
      <c r="B659" t="str">
        <f>"1552382464701847"</f>
        <v>1552382464701847</v>
      </c>
      <c r="C659" t="s">
        <v>40</v>
      </c>
      <c r="D659">
        <v>3.2998769999999902</v>
      </c>
      <c r="E659">
        <v>0.58170369999999905</v>
      </c>
      <c r="F659" t="s">
        <v>41</v>
      </c>
      <c r="G659">
        <v>-367.1617</v>
      </c>
      <c r="H659">
        <v>0.90127480000000004</v>
      </c>
      <c r="I659">
        <v>367.39069999999998</v>
      </c>
      <c r="J659">
        <v>-367.95209999999997</v>
      </c>
      <c r="K659">
        <v>1.1102369999999999</v>
      </c>
      <c r="L659">
        <v>367.57830000000001</v>
      </c>
      <c r="M659">
        <v>0.99991180000000002</v>
      </c>
      <c r="N659">
        <v>0</v>
      </c>
      <c r="O659">
        <v>3.434412E-3</v>
      </c>
      <c r="P659">
        <v>0.98660780000000003</v>
      </c>
      <c r="Q659">
        <v>0.1627574</v>
      </c>
      <c r="R659">
        <v>1.072502E-2</v>
      </c>
      <c r="S659">
        <v>3.1589360000000002</v>
      </c>
      <c r="T659">
        <v>-0.67739069999999901</v>
      </c>
      <c r="U659">
        <v>-0.60494999999999999</v>
      </c>
      <c r="V659">
        <v>-7.43248E-3</v>
      </c>
      <c r="W659">
        <v>0.17539879999999999</v>
      </c>
      <c r="X659">
        <v>0.98446940000000005</v>
      </c>
      <c r="Y659">
        <v>0.18727440000000001</v>
      </c>
      <c r="Z659">
        <v>-2.0402569999999998E-2</v>
      </c>
      <c r="AA659">
        <v>0.98209570000000002</v>
      </c>
      <c r="AB659">
        <v>37</v>
      </c>
      <c r="AC659">
        <v>0.79039999999997601</v>
      </c>
      <c r="AD659">
        <v>-0.20896219999999999</v>
      </c>
      <c r="AE659">
        <v>-0.18760000000003099</v>
      </c>
      <c r="AF659">
        <v>0.178502718463903</v>
      </c>
      <c r="AG659">
        <v>-0.20896219999999999</v>
      </c>
      <c r="AH659">
        <v>0.74073866544880096</v>
      </c>
      <c r="AI659">
        <v>105.336248136167</v>
      </c>
      <c r="AJ659">
        <v>76.451222226832499</v>
      </c>
      <c r="AK659">
        <v>0.79007733293565297</v>
      </c>
      <c r="AL659">
        <v>79.898133267889605</v>
      </c>
      <c r="AM659">
        <v>90.4325595540775</v>
      </c>
      <c r="AN659">
        <v>0.99999999016837504</v>
      </c>
    </row>
    <row r="660" spans="1:40" x14ac:dyDescent="0.25">
      <c r="A660" t="str">
        <f>"20190312172104723"</f>
        <v>20190312172104723</v>
      </c>
      <c r="B660" t="str">
        <f>"1552382464711606"</f>
        <v>1552382464711606</v>
      </c>
      <c r="C660" t="s">
        <v>40</v>
      </c>
      <c r="D660">
        <v>3.393421</v>
      </c>
      <c r="E660">
        <v>0.58171919999999899</v>
      </c>
      <c r="F660" t="s">
        <v>41</v>
      </c>
      <c r="G660">
        <v>-367.14780000000002</v>
      </c>
      <c r="H660">
        <v>0.93771899999999997</v>
      </c>
      <c r="I660">
        <v>367.42430000000002</v>
      </c>
      <c r="J660">
        <v>-367.7792</v>
      </c>
      <c r="K660">
        <v>1.1102299999999901</v>
      </c>
      <c r="L660">
        <v>367.57909999999998</v>
      </c>
      <c r="M660">
        <v>0.9999112</v>
      </c>
      <c r="N660">
        <v>0</v>
      </c>
      <c r="O660">
        <v>3.5443100000000002E-3</v>
      </c>
      <c r="P660">
        <v>0.98661239999999994</v>
      </c>
      <c r="Q660">
        <v>0.16272229999999999</v>
      </c>
      <c r="R660">
        <v>1.084358E-2</v>
      </c>
      <c r="S660">
        <v>3.1591490000000002</v>
      </c>
      <c r="T660">
        <v>-0.67779409999999995</v>
      </c>
      <c r="U660">
        <v>-0.60421749999999996</v>
      </c>
      <c r="V660">
        <v>-7.4404839999999998E-3</v>
      </c>
      <c r="W660">
        <v>0.17538239999999999</v>
      </c>
      <c r="X660">
        <v>0.98447229999999997</v>
      </c>
      <c r="Y660">
        <v>0.18714610000000001</v>
      </c>
      <c r="Z660">
        <v>-2.0423190000000001E-2</v>
      </c>
      <c r="AA660">
        <v>0.98211970000000004</v>
      </c>
      <c r="AB660">
        <v>37</v>
      </c>
      <c r="AC660">
        <v>0.63139999999998497</v>
      </c>
      <c r="AD660">
        <v>-0.172510999999999</v>
      </c>
      <c r="AE660">
        <v>-0.15479999999996599</v>
      </c>
      <c r="AF660">
        <v>0.146706532423972</v>
      </c>
      <c r="AG660">
        <v>-0.172510999999999</v>
      </c>
      <c r="AH660">
        <v>0.58934755092741298</v>
      </c>
      <c r="AI660">
        <v>105.85702875378</v>
      </c>
      <c r="AJ660">
        <v>76.021448690699799</v>
      </c>
      <c r="AK660">
        <v>0.63135836698423897</v>
      </c>
      <c r="AL660">
        <v>79.899088102306195</v>
      </c>
      <c r="AM660">
        <v>90.433024082006199</v>
      </c>
      <c r="AN660">
        <v>1.0000000282496</v>
      </c>
    </row>
    <row r="661" spans="1:40" x14ac:dyDescent="0.25">
      <c r="A661" t="str">
        <f>"20190312172104734"</f>
        <v>20190312172104734</v>
      </c>
      <c r="B661" t="str">
        <f>"1552382464722342"</f>
        <v>1552382464722342</v>
      </c>
      <c r="C661" t="s">
        <v>40</v>
      </c>
      <c r="D661">
        <v>3.3187199999999999</v>
      </c>
      <c r="E661">
        <v>0.58177760000000001</v>
      </c>
      <c r="F661" t="s">
        <v>41</v>
      </c>
      <c r="G661">
        <v>-366.83089999999999</v>
      </c>
      <c r="H661">
        <v>0.90660039999999997</v>
      </c>
      <c r="I661">
        <v>367.39769999999999</v>
      </c>
      <c r="J661">
        <v>-367.60120000000001</v>
      </c>
      <c r="K661">
        <v>1.1102289999999999</v>
      </c>
      <c r="L661">
        <v>367.57979999999998</v>
      </c>
      <c r="M661">
        <v>0.99991050000000004</v>
      </c>
      <c r="N661">
        <v>0</v>
      </c>
      <c r="O661">
        <v>3.6546970000000002E-3</v>
      </c>
      <c r="P661">
        <v>0.98664160000000001</v>
      </c>
      <c r="Q661">
        <v>0.16253580000000001</v>
      </c>
      <c r="R661">
        <v>1.097248E-2</v>
      </c>
      <c r="S661">
        <v>3.1592410000000002</v>
      </c>
      <c r="T661">
        <v>-0.67844589999999905</v>
      </c>
      <c r="U661">
        <v>-0.60424800000000001</v>
      </c>
      <c r="V661">
        <v>-7.4585479999999997E-3</v>
      </c>
      <c r="W661">
        <v>0.17521429999999999</v>
      </c>
      <c r="X661">
        <v>0.98450210000000005</v>
      </c>
      <c r="Y661">
        <v>0.187246</v>
      </c>
      <c r="Z661">
        <v>-2.0475569999999998E-2</v>
      </c>
      <c r="AA661">
        <v>0.98209970000000002</v>
      </c>
      <c r="AB661">
        <v>37</v>
      </c>
      <c r="AC661">
        <v>0.77030000000001997</v>
      </c>
      <c r="AD661">
        <v>-0.20362859999999999</v>
      </c>
      <c r="AE661">
        <v>-0.18209999999999099</v>
      </c>
      <c r="AF661">
        <v>0.17343587092520099</v>
      </c>
      <c r="AG661">
        <v>-0.20362859999999999</v>
      </c>
      <c r="AH661">
        <v>0.72185534014251396</v>
      </c>
      <c r="AI661">
        <v>105.33815098732499</v>
      </c>
      <c r="AJ661">
        <v>76.489963839633205</v>
      </c>
      <c r="AK661">
        <v>0.76981799157580599</v>
      </c>
      <c r="AL661">
        <v>79.908871054616895</v>
      </c>
      <c r="AM661">
        <v>90.434062198713704</v>
      </c>
      <c r="AN661">
        <v>1.0000000328835801</v>
      </c>
    </row>
    <row r="662" spans="1:40" x14ac:dyDescent="0.25">
      <c r="A662" t="str">
        <f>"20190312172104745"</f>
        <v>20190312172104745</v>
      </c>
      <c r="B662" t="str">
        <f>"1552382464741862"</f>
        <v>1552382464741862</v>
      </c>
      <c r="C662" t="s">
        <v>40</v>
      </c>
      <c r="D662">
        <v>3.3213460000000001</v>
      </c>
      <c r="E662">
        <v>0.58185580000000003</v>
      </c>
      <c r="F662" t="s">
        <v>41</v>
      </c>
      <c r="G662">
        <v>-366.81740000000002</v>
      </c>
      <c r="H662">
        <v>0.9416968</v>
      </c>
      <c r="I662">
        <v>367.4298</v>
      </c>
      <c r="J662">
        <v>-367.41340000000002</v>
      </c>
      <c r="K662">
        <v>1.110228</v>
      </c>
      <c r="L662">
        <v>367.5806</v>
      </c>
      <c r="M662">
        <v>0.99990999999999997</v>
      </c>
      <c r="N662">
        <v>0</v>
      </c>
      <c r="O662">
        <v>3.7692619999999998E-3</v>
      </c>
      <c r="P662">
        <v>0.98661200000000004</v>
      </c>
      <c r="Q662">
        <v>0.16271329999999901</v>
      </c>
      <c r="R662">
        <v>1.1016059999999999E-2</v>
      </c>
      <c r="S662">
        <v>3.1592410000000002</v>
      </c>
      <c r="T662">
        <v>-0.67931189999999997</v>
      </c>
      <c r="U662">
        <v>-0.60449219999999904</v>
      </c>
      <c r="V662">
        <v>-7.3873999999999997E-3</v>
      </c>
      <c r="W662">
        <v>0.17541010000000001</v>
      </c>
      <c r="X662">
        <v>0.98446769999999995</v>
      </c>
      <c r="Y662">
        <v>0.1874149</v>
      </c>
      <c r="Z662">
        <v>-2.0542930000000001E-2</v>
      </c>
      <c r="AA662">
        <v>0.98206599999999999</v>
      </c>
      <c r="AB662">
        <v>37</v>
      </c>
      <c r="AC662">
        <v>0.59600000000000297</v>
      </c>
      <c r="AD662">
        <v>-0.16853119999999899</v>
      </c>
      <c r="AE662">
        <v>-0.15080000000000299</v>
      </c>
      <c r="AF662">
        <v>0.14234836964323599</v>
      </c>
      <c r="AG662">
        <v>-0.16853119999999899</v>
      </c>
      <c r="AH662">
        <v>0.55380951901490105</v>
      </c>
      <c r="AI662">
        <v>106.42194543657</v>
      </c>
      <c r="AJ662">
        <v>75.585029334998595</v>
      </c>
      <c r="AK662">
        <v>0.59612985755206305</v>
      </c>
      <c r="AL662">
        <v>79.897475368861706</v>
      </c>
      <c r="AM662">
        <v>90.429936804651504</v>
      </c>
      <c r="AN662">
        <v>0.999999964602029</v>
      </c>
    </row>
    <row r="663" spans="1:40" x14ac:dyDescent="0.25">
      <c r="A663" t="str">
        <f>"20190312172104757"</f>
        <v>20190312172104757</v>
      </c>
      <c r="B663" t="str">
        <f>"1552382464752598"</f>
        <v>1552382464752598</v>
      </c>
      <c r="C663" t="s">
        <v>40</v>
      </c>
      <c r="D663">
        <v>3.331229</v>
      </c>
      <c r="E663">
        <v>0.58189019999999902</v>
      </c>
      <c r="F663" t="s">
        <v>41</v>
      </c>
      <c r="G663">
        <v>-366.49950000000001</v>
      </c>
      <c r="H663">
        <v>0.91373649999999995</v>
      </c>
      <c r="I663">
        <v>367.40519999999998</v>
      </c>
      <c r="J663">
        <v>-367.21120000000002</v>
      </c>
      <c r="K663">
        <v>1.110231</v>
      </c>
      <c r="L663">
        <v>367.58150000000001</v>
      </c>
      <c r="M663">
        <v>0.99990919999999905</v>
      </c>
      <c r="N663">
        <v>0</v>
      </c>
      <c r="O663">
        <v>3.890091E-3</v>
      </c>
      <c r="P663">
        <v>0.98659169999999996</v>
      </c>
      <c r="Q663">
        <v>0.16282149999999901</v>
      </c>
      <c r="R663">
        <v>1.122985E-2</v>
      </c>
      <c r="S663">
        <v>3.1595149999999999</v>
      </c>
      <c r="T663">
        <v>-0.67940210000000001</v>
      </c>
      <c r="U663">
        <v>-0.60485840000000002</v>
      </c>
      <c r="V663">
        <v>-7.4811139999999996E-3</v>
      </c>
      <c r="W663">
        <v>0.17553640000000001</v>
      </c>
      <c r="X663">
        <v>0.98444449999999994</v>
      </c>
      <c r="Y663">
        <v>0.18762000000000001</v>
      </c>
      <c r="Z663">
        <v>-2.059076E-2</v>
      </c>
      <c r="AA663">
        <v>0.98202590000000001</v>
      </c>
      <c r="AB663">
        <v>37</v>
      </c>
      <c r="AC663">
        <v>0.71170000000000699</v>
      </c>
      <c r="AD663">
        <v>-0.19649449999999999</v>
      </c>
      <c r="AE663">
        <v>-0.17630000000002599</v>
      </c>
      <c r="AF663">
        <v>0.167068676720566</v>
      </c>
      <c r="AG663">
        <v>-0.19649449999999999</v>
      </c>
      <c r="AH663">
        <v>0.66336608005210496</v>
      </c>
      <c r="AI663">
        <v>106.026116216258</v>
      </c>
      <c r="AJ663">
        <v>75.864043705829502</v>
      </c>
      <c r="AK663">
        <v>0.71174193879179704</v>
      </c>
      <c r="AL663">
        <v>79.890125062721197</v>
      </c>
      <c r="AM663">
        <v>90.435400885809798</v>
      </c>
      <c r="AN663">
        <v>0.99999998418594505</v>
      </c>
    </row>
    <row r="664" spans="1:40" x14ac:dyDescent="0.25">
      <c r="A664" t="str">
        <f>"20190312172104770"</f>
        <v>20190312172104770</v>
      </c>
      <c r="B664" t="str">
        <f>"1552382464762358"</f>
        <v>1552382464762358</v>
      </c>
      <c r="C664" t="s">
        <v>40</v>
      </c>
      <c r="D664">
        <v>3.3039420000000002</v>
      </c>
      <c r="E664">
        <v>0.58194820000000003</v>
      </c>
      <c r="F664" t="s">
        <v>41</v>
      </c>
      <c r="G664">
        <v>-366.48349999999999</v>
      </c>
      <c r="H664">
        <v>0.95379170000000002</v>
      </c>
      <c r="I664">
        <v>367.44189999999998</v>
      </c>
      <c r="J664">
        <v>-367.01830000000001</v>
      </c>
      <c r="K664">
        <v>1.110231</v>
      </c>
      <c r="L664">
        <v>367.58240000000001</v>
      </c>
      <c r="M664">
        <v>0.99990860000000004</v>
      </c>
      <c r="N664">
        <v>0</v>
      </c>
      <c r="O664">
        <v>4.0030179999999997E-3</v>
      </c>
      <c r="P664">
        <v>0.98659300000000005</v>
      </c>
      <c r="Q664">
        <v>0.16280320000000001</v>
      </c>
      <c r="R664">
        <v>1.138548E-2</v>
      </c>
      <c r="S664">
        <v>3.1597599999999999</v>
      </c>
      <c r="T664">
        <v>-0.67945880000000003</v>
      </c>
      <c r="U664">
        <v>-0.6042786</v>
      </c>
      <c r="V664">
        <v>-7.5247730000000002E-3</v>
      </c>
      <c r="W664">
        <v>0.17553450000000001</v>
      </c>
      <c r="X664">
        <v>0.98444449999999994</v>
      </c>
      <c r="Y664">
        <v>0.18754190000000001</v>
      </c>
      <c r="Z664">
        <v>-2.060683E-2</v>
      </c>
      <c r="AA664">
        <v>0.98204040000000004</v>
      </c>
      <c r="AB664">
        <v>37</v>
      </c>
      <c r="AC664">
        <v>0.53480000000001804</v>
      </c>
      <c r="AD664">
        <v>-0.1564393</v>
      </c>
      <c r="AE664">
        <v>-0.14050000000003099</v>
      </c>
      <c r="AF664">
        <v>0.13206869069741001</v>
      </c>
      <c r="AG664">
        <v>-0.1564393</v>
      </c>
      <c r="AH664">
        <v>0.494640710489061</v>
      </c>
      <c r="AI664">
        <v>106.99128720217</v>
      </c>
      <c r="AJ664">
        <v>75.050794644984293</v>
      </c>
      <c r="AK664">
        <v>0.53533618046993703</v>
      </c>
      <c r="AL664">
        <v>79.890235580902896</v>
      </c>
      <c r="AM664">
        <v>90.437941741228101</v>
      </c>
      <c r="AN664">
        <v>0.99999997823959996</v>
      </c>
    </row>
    <row r="665" spans="1:40" x14ac:dyDescent="0.25">
      <c r="A665" t="str">
        <f>"20190312172104781"</f>
        <v>20190312172104781</v>
      </c>
      <c r="B665" t="str">
        <f>"1552382464772119"</f>
        <v>1552382464772119</v>
      </c>
      <c r="C665" t="s">
        <v>40</v>
      </c>
      <c r="D665">
        <v>3.338273</v>
      </c>
      <c r="E665">
        <v>0.58200059999999998</v>
      </c>
      <c r="F665" t="s">
        <v>41</v>
      </c>
      <c r="G665">
        <v>-366.166</v>
      </c>
      <c r="H665">
        <v>0.92686650000000004</v>
      </c>
      <c r="I665">
        <v>367.41930000000002</v>
      </c>
      <c r="J665">
        <v>-366.82130000000001</v>
      </c>
      <c r="K665">
        <v>1.110231</v>
      </c>
      <c r="L665">
        <v>367.58330000000001</v>
      </c>
      <c r="M665">
        <v>0.99990789999999996</v>
      </c>
      <c r="N665">
        <v>0</v>
      </c>
      <c r="O665">
        <v>4.1176169999999996E-3</v>
      </c>
      <c r="P665">
        <v>0.98658100000000004</v>
      </c>
      <c r="Q665">
        <v>0.16285369999999999</v>
      </c>
      <c r="R665">
        <v>1.1704590000000001E-2</v>
      </c>
      <c r="S665">
        <v>3.1599430000000002</v>
      </c>
      <c r="T665">
        <v>-0.67985980000000001</v>
      </c>
      <c r="U665">
        <v>-0.6042786</v>
      </c>
      <c r="V665">
        <v>-7.7293459999999998E-3</v>
      </c>
      <c r="W665">
        <v>0.17560110000000001</v>
      </c>
      <c r="X665">
        <v>0.98443099999999994</v>
      </c>
      <c r="Y665">
        <v>0.18763489999999999</v>
      </c>
      <c r="Z665">
        <v>-2.0651550000000001E-2</v>
      </c>
      <c r="AA665">
        <v>0.9820217</v>
      </c>
      <c r="AB665">
        <v>37</v>
      </c>
      <c r="AC665">
        <v>0.65530000000001098</v>
      </c>
      <c r="AD665">
        <v>-0.18336449999999899</v>
      </c>
      <c r="AE665">
        <v>-0.16399999999998699</v>
      </c>
      <c r="AF665">
        <v>0.15525730311074201</v>
      </c>
      <c r="AG665">
        <v>-0.18336449999999899</v>
      </c>
      <c r="AH665">
        <v>0.60969500924344799</v>
      </c>
      <c r="AI665">
        <v>106.248596326488</v>
      </c>
      <c r="AJ665">
        <v>75.713414000413394</v>
      </c>
      <c r="AK665">
        <v>0.65532844767020404</v>
      </c>
      <c r="AL665">
        <v>79.886359099550305</v>
      </c>
      <c r="AM665">
        <v>90.449853574463503</v>
      </c>
      <c r="AN665">
        <v>0.99999994143589699</v>
      </c>
    </row>
    <row r="666" spans="1:40" x14ac:dyDescent="0.25">
      <c r="A666" t="str">
        <f>"20190312172104802"</f>
        <v>20190312172104802</v>
      </c>
      <c r="B666" t="str">
        <f>"1552382464791638"</f>
        <v>1552382464791638</v>
      </c>
      <c r="C666" t="s">
        <v>40</v>
      </c>
      <c r="D666">
        <v>3.3314910000000002</v>
      </c>
      <c r="E666">
        <v>0.58208079999999995</v>
      </c>
      <c r="F666" t="s">
        <v>41</v>
      </c>
      <c r="G666">
        <v>-365.8476</v>
      </c>
      <c r="H666">
        <v>0.90076290000000003</v>
      </c>
      <c r="I666">
        <v>367.39670000000001</v>
      </c>
      <c r="J666">
        <v>-366.48250000000002</v>
      </c>
      <c r="K666">
        <v>1.1102299999999901</v>
      </c>
      <c r="L666">
        <v>367.5849</v>
      </c>
      <c r="M666">
        <v>0.99990679999999998</v>
      </c>
      <c r="N666">
        <v>0</v>
      </c>
      <c r="O666">
        <v>4.3111870000000002E-3</v>
      </c>
      <c r="P666">
        <v>0.98655780000000004</v>
      </c>
      <c r="Q666">
        <v>0.16298299999999999</v>
      </c>
      <c r="R666">
        <v>1.1849729999999999E-2</v>
      </c>
      <c r="S666">
        <v>3.1602169999999998</v>
      </c>
      <c r="T666">
        <v>-0.68001619999999996</v>
      </c>
      <c r="U666">
        <v>-0.60394289999999995</v>
      </c>
      <c r="V666">
        <v>-7.6831290000000003E-3</v>
      </c>
      <c r="W666">
        <v>0.1757561</v>
      </c>
      <c r="X666">
        <v>0.98440380000000005</v>
      </c>
      <c r="Y666">
        <v>0.18770139999999999</v>
      </c>
      <c r="Z666">
        <v>-2.070251E-2</v>
      </c>
      <c r="AA666">
        <v>0.98200790000000004</v>
      </c>
      <c r="AB666">
        <v>37</v>
      </c>
      <c r="AC666">
        <v>0.63490000000001601</v>
      </c>
      <c r="AD666">
        <v>-0.20946709999999899</v>
      </c>
      <c r="AE666">
        <v>-0.18819999999999401</v>
      </c>
      <c r="AF666">
        <v>0.173568963943529</v>
      </c>
      <c r="AG666">
        <v>-0.20946709999999899</v>
      </c>
      <c r="AH666">
        <v>0.57640922225123703</v>
      </c>
      <c r="AI666">
        <v>109.18618468379699</v>
      </c>
      <c r="AJ666">
        <v>73.241844792914506</v>
      </c>
      <c r="AK666">
        <v>0.63737762960674804</v>
      </c>
      <c r="AL666">
        <v>79.877338953621603</v>
      </c>
      <c r="AM666">
        <v>90.447176175963193</v>
      </c>
      <c r="AN666">
        <v>1.0000000393064301</v>
      </c>
    </row>
    <row r="667" spans="1:40" x14ac:dyDescent="0.25">
      <c r="A667" t="str">
        <f>"20190312172104815"</f>
        <v>20190312172104815</v>
      </c>
      <c r="B667" t="str">
        <f>"1552382464812135"</f>
        <v>1552382464812135</v>
      </c>
      <c r="C667" t="s">
        <v>40</v>
      </c>
      <c r="D667">
        <v>3.3111320000000002</v>
      </c>
      <c r="E667">
        <v>0.58215980000000001</v>
      </c>
      <c r="F667" t="s">
        <v>41</v>
      </c>
      <c r="G667">
        <v>-365.51850000000002</v>
      </c>
      <c r="H667">
        <v>0.90276789999999996</v>
      </c>
      <c r="I667">
        <v>367.40050000000002</v>
      </c>
      <c r="J667">
        <v>-366.26080000000002</v>
      </c>
      <c r="K667">
        <v>1.1102320000000001</v>
      </c>
      <c r="L667">
        <v>367.58600000000001</v>
      </c>
      <c r="M667">
        <v>0.99990590000000001</v>
      </c>
      <c r="N667">
        <v>0</v>
      </c>
      <c r="O667">
        <v>4.4365289999999998E-3</v>
      </c>
      <c r="P667">
        <v>0.98656569999999999</v>
      </c>
      <c r="Q667">
        <v>0.16291820000000001</v>
      </c>
      <c r="R667">
        <v>1.207591E-2</v>
      </c>
      <c r="S667">
        <v>3.1605219999999998</v>
      </c>
      <c r="T667">
        <v>-0.68027930000000003</v>
      </c>
      <c r="U667">
        <v>-0.60403439999999997</v>
      </c>
      <c r="V667">
        <v>-7.7845889999999997E-3</v>
      </c>
      <c r="W667">
        <v>0.17570629999999901</v>
      </c>
      <c r="X667">
        <v>0.98441179999999995</v>
      </c>
      <c r="Y667">
        <v>0.1878264</v>
      </c>
      <c r="Z667">
        <v>-2.0748010000000001E-2</v>
      </c>
      <c r="AA667">
        <v>0.9819831</v>
      </c>
      <c r="AB667">
        <v>37</v>
      </c>
      <c r="AC667">
        <v>0.74229999999999996</v>
      </c>
      <c r="AD667">
        <v>-0.20746410000000001</v>
      </c>
      <c r="AE667">
        <v>-0.18549999999999001</v>
      </c>
      <c r="AF667">
        <v>0.175861925344</v>
      </c>
      <c r="AG667">
        <v>-0.20746410000000001</v>
      </c>
      <c r="AH667">
        <v>0.69068867328072403</v>
      </c>
      <c r="AI667">
        <v>106.229505776332</v>
      </c>
      <c r="AJ667">
        <v>75.714988502162299</v>
      </c>
      <c r="AK667">
        <v>0.74230695333722696</v>
      </c>
      <c r="AL667">
        <v>79.880236452778206</v>
      </c>
      <c r="AM667">
        <v>90.453077460099607</v>
      </c>
      <c r="AN667">
        <v>0.99999994783241297</v>
      </c>
    </row>
    <row r="668" spans="1:40" x14ac:dyDescent="0.25">
      <c r="A668" t="str">
        <f>"20190312172104828"</f>
        <v>20190312172104828</v>
      </c>
      <c r="B668" t="str">
        <f>"1552382464821894"</f>
        <v>1552382464821894</v>
      </c>
      <c r="C668" t="s">
        <v>40</v>
      </c>
      <c r="D668">
        <v>3.2924639999999998</v>
      </c>
      <c r="E668">
        <v>0.58220509999999903</v>
      </c>
      <c r="F668" t="s">
        <v>41</v>
      </c>
      <c r="G668">
        <v>-365.50150000000002</v>
      </c>
      <c r="H668">
        <v>0.94661260000000003</v>
      </c>
      <c r="I668">
        <v>367.44069999999999</v>
      </c>
      <c r="J668">
        <v>-366.0532</v>
      </c>
      <c r="K668">
        <v>1.1102379999999901</v>
      </c>
      <c r="L668">
        <v>367.58710000000002</v>
      </c>
      <c r="M668">
        <v>0.99990520000000005</v>
      </c>
      <c r="N668">
        <v>0</v>
      </c>
      <c r="O668">
        <v>4.5536580000000004E-3</v>
      </c>
      <c r="P668">
        <v>0.98651160000000004</v>
      </c>
      <c r="Q668">
        <v>0.1632323</v>
      </c>
      <c r="R668">
        <v>1.224571E-2</v>
      </c>
      <c r="S668">
        <v>3.1607059999999998</v>
      </c>
      <c r="T668">
        <v>-0.68118849999999997</v>
      </c>
      <c r="U668">
        <v>-0.60409550000000001</v>
      </c>
      <c r="V668">
        <v>-7.8385739999999992E-3</v>
      </c>
      <c r="W668">
        <v>0.176033</v>
      </c>
      <c r="X668">
        <v>0.98435309999999998</v>
      </c>
      <c r="Y668">
        <v>0.1879334</v>
      </c>
      <c r="Z668">
        <v>-2.080999E-2</v>
      </c>
      <c r="AA668">
        <v>0.98196130000000004</v>
      </c>
      <c r="AB668">
        <v>37</v>
      </c>
      <c r="AC668">
        <v>0.55169999999998198</v>
      </c>
      <c r="AD668">
        <v>-0.163625399999999</v>
      </c>
      <c r="AE668">
        <v>-0.14640000000002801</v>
      </c>
      <c r="AF668">
        <v>0.13760332004975601</v>
      </c>
      <c r="AG668">
        <v>-0.163625399999999</v>
      </c>
      <c r="AH668">
        <v>0.50918501393971805</v>
      </c>
      <c r="AI668">
        <v>107.234905614312</v>
      </c>
      <c r="AJ668">
        <v>74.877487156754995</v>
      </c>
      <c r="AK668">
        <v>0.55224752026122004</v>
      </c>
      <c r="AL668">
        <v>79.861222518043405</v>
      </c>
      <c r="AM668">
        <v>90.456246559088896</v>
      </c>
      <c r="AN668">
        <v>1.0000000429054801</v>
      </c>
    </row>
    <row r="669" spans="1:40" x14ac:dyDescent="0.25">
      <c r="A669" t="str">
        <f>"20190312172104847"</f>
        <v>20190312172104847</v>
      </c>
      <c r="B669" t="str">
        <f>"1552382464842392"</f>
        <v>1552382464842392</v>
      </c>
      <c r="C669" t="s">
        <v>40</v>
      </c>
      <c r="D669">
        <v>3.3317339999999902</v>
      </c>
      <c r="E669">
        <v>0.58233089999999998</v>
      </c>
      <c r="F669" t="s">
        <v>41</v>
      </c>
      <c r="G669">
        <v>-365.18279999999999</v>
      </c>
      <c r="H669">
        <v>0.92287470000000005</v>
      </c>
      <c r="I669">
        <v>367.42039999999997</v>
      </c>
      <c r="J669">
        <v>-365.74380000000002</v>
      </c>
      <c r="K669">
        <v>1.1102379999999901</v>
      </c>
      <c r="L669">
        <v>367.58870000000002</v>
      </c>
      <c r="M669">
        <v>0.99990429999999997</v>
      </c>
      <c r="N669">
        <v>0</v>
      </c>
      <c r="O669">
        <v>4.7270639999999996E-3</v>
      </c>
      <c r="P669">
        <v>0.98647030000000002</v>
      </c>
      <c r="Q669">
        <v>0.16346089999999999</v>
      </c>
      <c r="R669">
        <v>1.2540809999999999E-2</v>
      </c>
      <c r="S669">
        <v>3.161133</v>
      </c>
      <c r="T669">
        <v>-0.68055500000000002</v>
      </c>
      <c r="U669">
        <v>-0.60382080000000005</v>
      </c>
      <c r="V669">
        <v>-7.9616640000000002E-3</v>
      </c>
      <c r="W669">
        <v>0.1762785</v>
      </c>
      <c r="X669">
        <v>0.98430810000000002</v>
      </c>
      <c r="Y669">
        <v>0.18800030000000001</v>
      </c>
      <c r="Z669">
        <v>-2.083219E-2</v>
      </c>
      <c r="AA669">
        <v>0.98194800000000004</v>
      </c>
      <c r="AB669">
        <v>37</v>
      </c>
      <c r="AC669">
        <v>0.56100000000003503</v>
      </c>
      <c r="AD669">
        <v>-0.18736329999999901</v>
      </c>
      <c r="AE669">
        <v>-0.168300000000044</v>
      </c>
      <c r="AF669">
        <v>0.15508034796265499</v>
      </c>
      <c r="AG669">
        <v>-0.18736329999999901</v>
      </c>
      <c r="AH669">
        <v>0.50819304509382401</v>
      </c>
      <c r="AI669">
        <v>109.42426487597901</v>
      </c>
      <c r="AJ669">
        <v>73.029891045244995</v>
      </c>
      <c r="AK669">
        <v>0.56339603441348596</v>
      </c>
      <c r="AL669">
        <v>79.846932166846102</v>
      </c>
      <c r="AM669">
        <v>90.463431924564702</v>
      </c>
      <c r="AN669">
        <v>0.99999996669075297</v>
      </c>
    </row>
    <row r="670" spans="1:40" x14ac:dyDescent="0.25">
      <c r="A670" t="str">
        <f>"20190312172104860"</f>
        <v>20190312172104860</v>
      </c>
      <c r="B670" t="str">
        <f>"1552382464852150"</f>
        <v>1552382464852150</v>
      </c>
      <c r="C670" t="s">
        <v>40</v>
      </c>
      <c r="D670">
        <v>3.2827730000000002</v>
      </c>
      <c r="E670">
        <v>0.58238669999999904</v>
      </c>
      <c r="F670" t="s">
        <v>41</v>
      </c>
      <c r="G670">
        <v>-364.8562</v>
      </c>
      <c r="H670">
        <v>0.91918420000000001</v>
      </c>
      <c r="I670">
        <v>367.41890000000001</v>
      </c>
      <c r="J670">
        <v>-365.52229999999997</v>
      </c>
      <c r="K670">
        <v>1.110236</v>
      </c>
      <c r="L670">
        <v>367.5899</v>
      </c>
      <c r="M670">
        <v>0.9999034</v>
      </c>
      <c r="N670">
        <v>0</v>
      </c>
      <c r="O670">
        <v>4.8511070000000003E-3</v>
      </c>
      <c r="P670">
        <v>0.98638950000000003</v>
      </c>
      <c r="Q670">
        <v>0.1639494</v>
      </c>
      <c r="R670">
        <v>1.2519209999999999E-2</v>
      </c>
      <c r="S670">
        <v>3.1616520000000001</v>
      </c>
      <c r="T670">
        <v>-0.6806508</v>
      </c>
      <c r="U670">
        <v>-0.60375979999999996</v>
      </c>
      <c r="V670">
        <v>-7.8173310000000003E-3</v>
      </c>
      <c r="W670">
        <v>0.17677789999999999</v>
      </c>
      <c r="X670">
        <v>0.98421970000000003</v>
      </c>
      <c r="Y670">
        <v>0.18806990000000001</v>
      </c>
      <c r="Z670">
        <v>-2.0865330000000001E-2</v>
      </c>
      <c r="AA670">
        <v>0.98193399999999997</v>
      </c>
      <c r="AB670">
        <v>37</v>
      </c>
      <c r="AC670">
        <v>0.66609999999997105</v>
      </c>
      <c r="AD670">
        <v>-0.19105179999999999</v>
      </c>
      <c r="AE670">
        <v>-0.17099999999999199</v>
      </c>
      <c r="AF670">
        <v>0.16174601415546599</v>
      </c>
      <c r="AG670">
        <v>-0.19105179999999999</v>
      </c>
      <c r="AH670">
        <v>0.61759641221492301</v>
      </c>
      <c r="AI670">
        <v>106.660057302621</v>
      </c>
      <c r="AJ670">
        <v>75.324078031831107</v>
      </c>
      <c r="AK670">
        <v>0.66639919849829099</v>
      </c>
      <c r="AL670">
        <v>79.817862233637399</v>
      </c>
      <c r="AM670">
        <v>90.4550718248923</v>
      </c>
      <c r="AN670">
        <v>0.99999997723023104</v>
      </c>
    </row>
    <row r="671" spans="1:40" x14ac:dyDescent="0.25">
      <c r="A671" t="str">
        <f>"20190312172104871"</f>
        <v>20190312172104871</v>
      </c>
      <c r="B671" t="str">
        <f>"1552382464861911"</f>
        <v>1552382464861911</v>
      </c>
      <c r="C671" t="s">
        <v>40</v>
      </c>
      <c r="D671">
        <v>3.3107929999999999</v>
      </c>
      <c r="E671">
        <v>0.58244189999999996</v>
      </c>
      <c r="F671" t="s">
        <v>41</v>
      </c>
      <c r="G671">
        <v>-364.53609999999998</v>
      </c>
      <c r="H671">
        <v>0.89844080000000004</v>
      </c>
      <c r="I671">
        <v>367.40069999999997</v>
      </c>
      <c r="J671">
        <v>-365.3372</v>
      </c>
      <c r="K671">
        <v>1.110233</v>
      </c>
      <c r="L671">
        <v>367.59089999999998</v>
      </c>
      <c r="M671">
        <v>0.99990279999999998</v>
      </c>
      <c r="N671">
        <v>0</v>
      </c>
      <c r="O671">
        <v>4.9532350000000003E-3</v>
      </c>
      <c r="P671">
        <v>0.98637209999999997</v>
      </c>
      <c r="Q671">
        <v>0.1640306</v>
      </c>
      <c r="R671">
        <v>1.281128E-2</v>
      </c>
      <c r="S671">
        <v>3.1619869999999999</v>
      </c>
      <c r="T671">
        <v>-0.6792977</v>
      </c>
      <c r="U671">
        <v>-0.60440059999999995</v>
      </c>
      <c r="V671">
        <v>-8.007742E-3</v>
      </c>
      <c r="W671">
        <v>0.176867</v>
      </c>
      <c r="X671">
        <v>0.98420220000000003</v>
      </c>
      <c r="Y671">
        <v>0.1883523</v>
      </c>
      <c r="Z671">
        <v>-2.0873490000000001E-2</v>
      </c>
      <c r="AA671">
        <v>0.98187970000000002</v>
      </c>
      <c r="AB671">
        <v>37</v>
      </c>
      <c r="AC671">
        <v>0.80110000000001902</v>
      </c>
      <c r="AD671">
        <v>-0.21179219999999899</v>
      </c>
      <c r="AE671">
        <v>-0.190200000000004</v>
      </c>
      <c r="AF671">
        <v>0.18211625914954699</v>
      </c>
      <c r="AG671">
        <v>-0.21179219999999899</v>
      </c>
      <c r="AH671">
        <v>0.75049147598675503</v>
      </c>
      <c r="AI671">
        <v>105.336061811204</v>
      </c>
      <c r="AJ671">
        <v>76.360103680037199</v>
      </c>
      <c r="AK671">
        <v>0.80078694005100004</v>
      </c>
      <c r="AL671">
        <v>79.812675839621306</v>
      </c>
      <c r="AM671">
        <v>90.4661640628116</v>
      </c>
      <c r="AN671">
        <v>1.0000000150528801</v>
      </c>
    </row>
    <row r="672" spans="1:40" x14ac:dyDescent="0.25">
      <c r="A672" t="str">
        <f>"20190312172104882"</f>
        <v>20190312172104882</v>
      </c>
      <c r="B672" t="str">
        <f>"1552382464871671"</f>
        <v>1552382464871671</v>
      </c>
      <c r="C672" t="s">
        <v>40</v>
      </c>
      <c r="D672">
        <v>3.290781</v>
      </c>
      <c r="E672">
        <v>0.58249700000000004</v>
      </c>
      <c r="F672" t="s">
        <v>41</v>
      </c>
      <c r="G672">
        <v>-364.5222</v>
      </c>
      <c r="H672">
        <v>0.93526279999999995</v>
      </c>
      <c r="I672">
        <v>367.43450000000001</v>
      </c>
      <c r="J672">
        <v>-365.15690000000001</v>
      </c>
      <c r="K672">
        <v>1.110233</v>
      </c>
      <c r="L672">
        <v>367.59190000000001</v>
      </c>
      <c r="M672">
        <v>0.99990219999999996</v>
      </c>
      <c r="N672">
        <v>0</v>
      </c>
      <c r="O672">
        <v>5.0522079999999999E-3</v>
      </c>
      <c r="P672">
        <v>0.98635550000000005</v>
      </c>
      <c r="Q672">
        <v>0.1641378</v>
      </c>
      <c r="R672">
        <v>1.271654E-2</v>
      </c>
      <c r="S672">
        <v>3.1622309999999998</v>
      </c>
      <c r="T672">
        <v>-0.67914249999999998</v>
      </c>
      <c r="U672">
        <v>-0.60403439999999997</v>
      </c>
      <c r="V672">
        <v>-7.8146940000000005E-3</v>
      </c>
      <c r="W672">
        <v>0.176982</v>
      </c>
      <c r="X672">
        <v>0.98418309999999998</v>
      </c>
      <c r="Y672">
        <v>0.18832650000000001</v>
      </c>
      <c r="Z672">
        <v>-2.0885620000000001E-2</v>
      </c>
      <c r="AA672">
        <v>0.98188439999999999</v>
      </c>
      <c r="AB672">
        <v>37</v>
      </c>
      <c r="AC672">
        <v>0.63470000000000903</v>
      </c>
      <c r="AD672">
        <v>-0.17497019999999899</v>
      </c>
      <c r="AE672">
        <v>-0.15739999999999499</v>
      </c>
      <c r="AF672">
        <v>0.14987488798677401</v>
      </c>
      <c r="AG672">
        <v>-0.17497019999999899</v>
      </c>
      <c r="AH672">
        <v>0.59154598586450402</v>
      </c>
      <c r="AI672">
        <v>105.998921623407</v>
      </c>
      <c r="AJ672">
        <v>75.782638250967807</v>
      </c>
      <c r="AK672">
        <v>0.63482572910169299</v>
      </c>
      <c r="AL672">
        <v>79.805981429798706</v>
      </c>
      <c r="AM672">
        <v>90.4549352400294</v>
      </c>
      <c r="AN672">
        <v>1.00000003604596</v>
      </c>
    </row>
    <row r="673" spans="1:40" x14ac:dyDescent="0.25">
      <c r="A673" t="str">
        <f>"20190312172104893"</f>
        <v>20190312172104893</v>
      </c>
      <c r="B673" t="str">
        <f>"1552382464882406"</f>
        <v>1552382464882406</v>
      </c>
      <c r="C673" t="s">
        <v>40</v>
      </c>
      <c r="D673">
        <v>3.2828360000000001</v>
      </c>
      <c r="E673">
        <v>0.58254340000000004</v>
      </c>
      <c r="F673" t="s">
        <v>41</v>
      </c>
      <c r="G673">
        <v>-364.20549999999997</v>
      </c>
      <c r="H673">
        <v>0.90597260000000002</v>
      </c>
      <c r="I673">
        <v>367.40960000000001</v>
      </c>
      <c r="J673">
        <v>-364.9778</v>
      </c>
      <c r="K673">
        <v>1.110231</v>
      </c>
      <c r="L673">
        <v>367.59289999999999</v>
      </c>
      <c r="M673">
        <v>0.9999017</v>
      </c>
      <c r="N673">
        <v>0</v>
      </c>
      <c r="O673">
        <v>5.1488009999999997E-3</v>
      </c>
      <c r="P673">
        <v>0.98633470000000001</v>
      </c>
      <c r="Q673">
        <v>0.16423840000000001</v>
      </c>
      <c r="R673">
        <v>1.303138E-2</v>
      </c>
      <c r="S673">
        <v>3.1622919999999999</v>
      </c>
      <c r="T673">
        <v>-0.67902649999999998</v>
      </c>
      <c r="U673">
        <v>-0.60485840000000002</v>
      </c>
      <c r="V673">
        <v>-8.0336969999999994E-3</v>
      </c>
      <c r="W673">
        <v>0.17708950000000001</v>
      </c>
      <c r="X673">
        <v>0.98416199999999998</v>
      </c>
      <c r="Y673">
        <v>0.18865709999999999</v>
      </c>
      <c r="Z673">
        <v>-2.0936380000000001E-2</v>
      </c>
      <c r="AA673">
        <v>0.98181980000000002</v>
      </c>
      <c r="AB673">
        <v>37</v>
      </c>
      <c r="AC673">
        <v>0.77230000000002896</v>
      </c>
      <c r="AD673">
        <v>-0.20425839999999901</v>
      </c>
      <c r="AE673">
        <v>-0.18329999999997401</v>
      </c>
      <c r="AF673">
        <v>0.17564327518199099</v>
      </c>
      <c r="AG673">
        <v>-0.20425839999999901</v>
      </c>
      <c r="AH673">
        <v>0.723439903765562</v>
      </c>
      <c r="AI673">
        <v>105.34281628376699</v>
      </c>
      <c r="AJ673">
        <v>76.353265948219402</v>
      </c>
      <c r="AK673">
        <v>0.77196978467265298</v>
      </c>
      <c r="AL673">
        <v>79.799723290145806</v>
      </c>
      <c r="AM673">
        <v>90.467694046858099</v>
      </c>
      <c r="AN673">
        <v>1.0000000367708599</v>
      </c>
    </row>
    <row r="674" spans="1:40" x14ac:dyDescent="0.25">
      <c r="A674" t="str">
        <f>"20190312172104904"</f>
        <v>20190312172104904</v>
      </c>
      <c r="B674" t="str">
        <f>"1552382464901926"</f>
        <v>1552382464901926</v>
      </c>
      <c r="C674" t="s">
        <v>40</v>
      </c>
      <c r="D674">
        <v>3.3242310000000002</v>
      </c>
      <c r="E674">
        <v>0.58266110000000004</v>
      </c>
      <c r="F674" t="s">
        <v>41</v>
      </c>
      <c r="G674">
        <v>-364.19200000000001</v>
      </c>
      <c r="H674">
        <v>0.94154230000000005</v>
      </c>
      <c r="I674">
        <v>367.4425</v>
      </c>
      <c r="J674">
        <v>-364.7953</v>
      </c>
      <c r="K674">
        <v>1.1102289999999999</v>
      </c>
      <c r="L674">
        <v>367.59390000000002</v>
      </c>
      <c r="M674">
        <v>0.99990109999999999</v>
      </c>
      <c r="N674">
        <v>0</v>
      </c>
      <c r="O674">
        <v>5.2459280000000004E-3</v>
      </c>
      <c r="P674">
        <v>0.98630890000000004</v>
      </c>
      <c r="Q674">
        <v>0.16439210000000001</v>
      </c>
      <c r="R674">
        <v>1.304631E-2</v>
      </c>
      <c r="S674">
        <v>3.1626590000000001</v>
      </c>
      <c r="T674">
        <v>-0.67903849999999999</v>
      </c>
      <c r="U674">
        <v>-0.60415649999999999</v>
      </c>
      <c r="V674">
        <v>-7.9513380000000005E-3</v>
      </c>
      <c r="W674">
        <v>0.17724999999999999</v>
      </c>
      <c r="X674">
        <v>0.9841337</v>
      </c>
      <c r="Y674">
        <v>0.18852260000000001</v>
      </c>
      <c r="Z674">
        <v>-2.0941120000000001E-2</v>
      </c>
      <c r="AA674">
        <v>0.98184559999999999</v>
      </c>
      <c r="AB674">
        <v>37</v>
      </c>
      <c r="AC674">
        <v>0.60330000000004702</v>
      </c>
      <c r="AD674">
        <v>-0.16868669999999999</v>
      </c>
      <c r="AE674">
        <v>-0.15140000000002299</v>
      </c>
      <c r="AF674">
        <v>0.14397404816603501</v>
      </c>
      <c r="AG674">
        <v>-0.16868669999999999</v>
      </c>
      <c r="AH674">
        <v>0.56122072352388697</v>
      </c>
      <c r="AI674">
        <v>106.23257092263199</v>
      </c>
      <c r="AJ674">
        <v>75.611775694864903</v>
      </c>
      <c r="AK674">
        <v>0.60345043691663802</v>
      </c>
      <c r="AL674">
        <v>79.790378739498607</v>
      </c>
      <c r="AM674">
        <v>90.462912911194294</v>
      </c>
      <c r="AN674">
        <v>0.99999996287583903</v>
      </c>
    </row>
    <row r="675" spans="1:40" x14ac:dyDescent="0.25">
      <c r="A675" t="str">
        <f>"20190312172104916"</f>
        <v>20190312172104916</v>
      </c>
      <c r="B675" t="str">
        <f>"1552382464911686"</f>
        <v>1552382464911686</v>
      </c>
      <c r="C675" t="s">
        <v>40</v>
      </c>
      <c r="D675">
        <v>3.3956840000000001</v>
      </c>
      <c r="E675">
        <v>0.58266640000000003</v>
      </c>
      <c r="F675" t="s">
        <v>41</v>
      </c>
      <c r="G675">
        <v>-363.87540000000001</v>
      </c>
      <c r="H675">
        <v>0.91275379999999995</v>
      </c>
      <c r="I675">
        <v>367.41750000000002</v>
      </c>
      <c r="J675">
        <v>-364.60890000000001</v>
      </c>
      <c r="K675">
        <v>1.1102289999999999</v>
      </c>
      <c r="L675">
        <v>367.59500000000003</v>
      </c>
      <c r="M675">
        <v>0.99990060000000003</v>
      </c>
      <c r="N675">
        <v>0</v>
      </c>
      <c r="O675">
        <v>5.3434700000000003E-3</v>
      </c>
      <c r="P675">
        <v>0.9863151</v>
      </c>
      <c r="Q675">
        <v>0.16434109999999999</v>
      </c>
      <c r="R675">
        <v>1.3223550000000001E-2</v>
      </c>
      <c r="S675">
        <v>3.1628720000000001</v>
      </c>
      <c r="T675">
        <v>-0.6790929</v>
      </c>
      <c r="U675">
        <v>-0.60510249999999999</v>
      </c>
      <c r="V675">
        <v>-8.0311789999999994E-3</v>
      </c>
      <c r="W675">
        <v>0.1772059</v>
      </c>
      <c r="X675">
        <v>0.98414109999999999</v>
      </c>
      <c r="Y675">
        <v>0.18887960000000001</v>
      </c>
      <c r="Z675">
        <v>-2.0998929999999999E-2</v>
      </c>
      <c r="AA675">
        <v>0.98177570000000003</v>
      </c>
      <c r="AB675">
        <v>37</v>
      </c>
      <c r="AC675">
        <v>0.73349999999999205</v>
      </c>
      <c r="AD675">
        <v>-0.19747519999999999</v>
      </c>
      <c r="AE675">
        <v>-0.17750000000000901</v>
      </c>
      <c r="AF675">
        <v>0.16979136944454401</v>
      </c>
      <c r="AG675">
        <v>-0.19747519999999999</v>
      </c>
      <c r="AH675">
        <v>0.68559713490784502</v>
      </c>
      <c r="AI675">
        <v>105.620328239062</v>
      </c>
      <c r="AJ675">
        <v>76.090296176314297</v>
      </c>
      <c r="AK675">
        <v>0.73339552435690503</v>
      </c>
      <c r="AL675">
        <v>79.792947207764797</v>
      </c>
      <c r="AM675">
        <v>90.467557392885197</v>
      </c>
      <c r="AN675">
        <v>1.00000006777007</v>
      </c>
    </row>
    <row r="676" spans="1:40" x14ac:dyDescent="0.25">
      <c r="A676" t="str">
        <f>"20190312172104928"</f>
        <v>20190312172104928</v>
      </c>
      <c r="B676" t="str">
        <f>"1552382464922427"</f>
        <v>1552382464922427</v>
      </c>
      <c r="C676" t="s">
        <v>40</v>
      </c>
      <c r="D676">
        <v>3.2883300000000002</v>
      </c>
      <c r="E676">
        <v>0.5826964</v>
      </c>
      <c r="F676" t="s">
        <v>41</v>
      </c>
      <c r="G676">
        <v>-363.86090000000002</v>
      </c>
      <c r="H676">
        <v>0.94953659999999995</v>
      </c>
      <c r="I676">
        <v>367.45159999999998</v>
      </c>
      <c r="J676">
        <v>-364.42329999999998</v>
      </c>
      <c r="K676">
        <v>1.110228</v>
      </c>
      <c r="L676">
        <v>367.59609999999998</v>
      </c>
      <c r="M676">
        <v>0.99989989999999995</v>
      </c>
      <c r="N676">
        <v>0</v>
      </c>
      <c r="O676">
        <v>5.4382099999999997E-3</v>
      </c>
      <c r="P676">
        <v>0.98631230000000003</v>
      </c>
      <c r="Q676">
        <v>0.1643442</v>
      </c>
      <c r="R676">
        <v>1.3395550000000001E-2</v>
      </c>
      <c r="S676">
        <v>3.1630250000000002</v>
      </c>
      <c r="T676">
        <v>-0.67976890000000001</v>
      </c>
      <c r="U676">
        <v>-0.60458369999999995</v>
      </c>
      <c r="V676">
        <v>-8.1081250000000007E-3</v>
      </c>
      <c r="W676">
        <v>0.17721479999999901</v>
      </c>
      <c r="X676">
        <v>0.98413879999999998</v>
      </c>
      <c r="Y676">
        <v>0.18879989999999999</v>
      </c>
      <c r="Z676">
        <v>-2.103029E-2</v>
      </c>
      <c r="AA676">
        <v>0.98179039999999995</v>
      </c>
      <c r="AB676">
        <v>37</v>
      </c>
      <c r="AC676">
        <v>0.56239999999996804</v>
      </c>
      <c r="AD676">
        <v>-0.16069140000000001</v>
      </c>
      <c r="AE676">
        <v>-0.144499999999993</v>
      </c>
      <c r="AF676">
        <v>0.13706012640745799</v>
      </c>
      <c r="AG676">
        <v>-0.16069140000000001</v>
      </c>
      <c r="AH676">
        <v>0.52165592806148697</v>
      </c>
      <c r="AI676">
        <v>106.59032905737</v>
      </c>
      <c r="AJ676">
        <v>75.278806852336899</v>
      </c>
      <c r="AK676">
        <v>0.56278958018648495</v>
      </c>
      <c r="AL676">
        <v>79.792428399913803</v>
      </c>
      <c r="AM676">
        <v>90.472037919395902</v>
      </c>
      <c r="AN676">
        <v>1.00000000234774</v>
      </c>
    </row>
    <row r="677" spans="1:40" x14ac:dyDescent="0.25">
      <c r="A677" t="str">
        <f>"20190312172104939"</f>
        <v>20190312172104939</v>
      </c>
      <c r="B677" t="str">
        <f>"1552382464932186"</f>
        <v>1552382464932186</v>
      </c>
      <c r="C677" t="s">
        <v>40</v>
      </c>
      <c r="D677">
        <v>3.3148170000000001</v>
      </c>
      <c r="E677">
        <v>0.58273189999999997</v>
      </c>
      <c r="F677" t="s">
        <v>41</v>
      </c>
      <c r="G677">
        <v>-363.5446</v>
      </c>
      <c r="H677">
        <v>0.9214175</v>
      </c>
      <c r="I677">
        <v>367.42770000000002</v>
      </c>
      <c r="J677">
        <v>-364.23590000000002</v>
      </c>
      <c r="K677">
        <v>1.1102259999999999</v>
      </c>
      <c r="L677">
        <v>367.59719999999999</v>
      </c>
      <c r="M677">
        <v>0.99989930000000005</v>
      </c>
      <c r="N677">
        <v>0</v>
      </c>
      <c r="O677">
        <v>5.5326519999999999E-3</v>
      </c>
      <c r="P677">
        <v>0.98632869999999995</v>
      </c>
      <c r="Q677">
        <v>0.16423940000000001</v>
      </c>
      <c r="R677">
        <v>1.346282E-2</v>
      </c>
      <c r="S677">
        <v>3.1630859999999998</v>
      </c>
      <c r="T677">
        <v>-0.67982980000000004</v>
      </c>
      <c r="U677">
        <v>-0.60461430000000005</v>
      </c>
      <c r="V677">
        <v>-8.0810540000000007E-3</v>
      </c>
      <c r="W677">
        <v>0.17711579999999999</v>
      </c>
      <c r="X677">
        <v>0.98415680000000005</v>
      </c>
      <c r="Y677">
        <v>0.18889349999999999</v>
      </c>
      <c r="Z677">
        <v>-2.106148E-2</v>
      </c>
      <c r="AA677">
        <v>0.98177170000000002</v>
      </c>
      <c r="AB677">
        <v>37</v>
      </c>
      <c r="AC677">
        <v>0.69130000000001202</v>
      </c>
      <c r="AD677">
        <v>-0.18880849999999999</v>
      </c>
      <c r="AE677">
        <v>-0.16949999999997001</v>
      </c>
      <c r="AF677">
        <v>0.161928390146999</v>
      </c>
      <c r="AG677">
        <v>-0.18880849999999999</v>
      </c>
      <c r="AH677">
        <v>0.64496845541250103</v>
      </c>
      <c r="AI677">
        <v>105.85077885167701</v>
      </c>
      <c r="AJ677">
        <v>75.906391749287707</v>
      </c>
      <c r="AK677">
        <v>0.69126967363326197</v>
      </c>
      <c r="AL677">
        <v>79.798191401553794</v>
      </c>
      <c r="AM677">
        <v>90.470453369631997</v>
      </c>
      <c r="AN677">
        <v>0.99999995851481405</v>
      </c>
    </row>
    <row r="678" spans="1:40" x14ac:dyDescent="0.25">
      <c r="A678" t="str">
        <f>"20190312172104949"</f>
        <v>20190312172104949</v>
      </c>
      <c r="B678" t="str">
        <f>"1552382464941946"</f>
        <v>1552382464941946</v>
      </c>
      <c r="C678" t="s">
        <v>40</v>
      </c>
      <c r="D678">
        <v>3.2848799999999998</v>
      </c>
      <c r="E678">
        <v>0.58277590000000001</v>
      </c>
      <c r="F678" t="s">
        <v>41</v>
      </c>
      <c r="G678">
        <v>-363.52969999999999</v>
      </c>
      <c r="H678">
        <v>0.95832669999999998</v>
      </c>
      <c r="I678">
        <v>367.46179999999998</v>
      </c>
      <c r="J678">
        <v>-364.0598</v>
      </c>
      <c r="K678">
        <v>1.110222</v>
      </c>
      <c r="L678">
        <v>367.59829999999999</v>
      </c>
      <c r="M678">
        <v>0.99989870000000003</v>
      </c>
      <c r="N678">
        <v>0</v>
      </c>
      <c r="O678">
        <v>5.6180969999999998E-3</v>
      </c>
      <c r="P678">
        <v>0.98630930000000006</v>
      </c>
      <c r="Q678">
        <v>0.1643481</v>
      </c>
      <c r="R678">
        <v>1.3559389999999999E-2</v>
      </c>
      <c r="S678">
        <v>3.1631469999999999</v>
      </c>
      <c r="T678">
        <v>-0.68044510000000002</v>
      </c>
      <c r="U678">
        <v>-0.60458369999999995</v>
      </c>
      <c r="V678">
        <v>-8.0921489999999999E-3</v>
      </c>
      <c r="W678">
        <v>0.17722979999999899</v>
      </c>
      <c r="X678">
        <v>0.98413620000000002</v>
      </c>
      <c r="Y678">
        <v>0.18895390000000001</v>
      </c>
      <c r="Z678">
        <v>-2.1104149999999999E-2</v>
      </c>
      <c r="AA678">
        <v>0.9817591</v>
      </c>
      <c r="AB678">
        <v>37</v>
      </c>
      <c r="AC678">
        <v>0.53010000000000401</v>
      </c>
      <c r="AD678">
        <v>-0.15189530000000001</v>
      </c>
      <c r="AE678">
        <v>-0.136500000000012</v>
      </c>
      <c r="AF678">
        <v>0.12950439901800401</v>
      </c>
      <c r="AG678">
        <v>-0.15189530000000001</v>
      </c>
      <c r="AH678">
        <v>0.491480629171415</v>
      </c>
      <c r="AI678">
        <v>106.639072038083</v>
      </c>
      <c r="AJ678">
        <v>75.238188431391393</v>
      </c>
      <c r="AK678">
        <v>0.53046845370656504</v>
      </c>
      <c r="AL678">
        <v>79.791554832472897</v>
      </c>
      <c r="AM678">
        <v>90.471109116935295</v>
      </c>
      <c r="AN678">
        <v>0.99999997251695805</v>
      </c>
    </row>
    <row r="679" spans="1:40" x14ac:dyDescent="0.25">
      <c r="A679" t="str">
        <f>"20190312172104960"</f>
        <v>20190312172104960</v>
      </c>
      <c r="B679" t="str">
        <f>"1552382464951706"</f>
        <v>1552382464951706</v>
      </c>
      <c r="C679" t="s">
        <v>40</v>
      </c>
      <c r="D679">
        <v>3.392728</v>
      </c>
      <c r="E679">
        <v>0.58277460000000003</v>
      </c>
      <c r="F679" t="s">
        <v>41</v>
      </c>
      <c r="G679">
        <v>-363.21460000000002</v>
      </c>
      <c r="H679">
        <v>0.92851410000000001</v>
      </c>
      <c r="I679">
        <v>367.43619999999999</v>
      </c>
      <c r="J679">
        <v>-363.88549999999998</v>
      </c>
      <c r="K679">
        <v>1.1102190000000001</v>
      </c>
      <c r="L679">
        <v>367.59930000000003</v>
      </c>
      <c r="M679">
        <v>0.99989830000000002</v>
      </c>
      <c r="N679">
        <v>0</v>
      </c>
      <c r="O679">
        <v>5.7022330000000001E-3</v>
      </c>
      <c r="P679">
        <v>0.98629089999999997</v>
      </c>
      <c r="Q679">
        <v>0.16444829999999999</v>
      </c>
      <c r="R679">
        <v>1.3677989999999999E-2</v>
      </c>
      <c r="S679">
        <v>3.1633300000000002</v>
      </c>
      <c r="T679">
        <v>-0.68026200000000003</v>
      </c>
      <c r="U679">
        <v>-0.60482789999999997</v>
      </c>
      <c r="V679">
        <v>-8.1262519999999901E-3</v>
      </c>
      <c r="W679">
        <v>0.17733399999999999</v>
      </c>
      <c r="X679">
        <v>0.98411720000000003</v>
      </c>
      <c r="Y679">
        <v>0.18909690000000001</v>
      </c>
      <c r="Z679">
        <v>-2.1130079999999999E-2</v>
      </c>
      <c r="AA679">
        <v>0.98173109999999997</v>
      </c>
      <c r="AB679">
        <v>37</v>
      </c>
      <c r="AC679">
        <v>0.67089999999995997</v>
      </c>
      <c r="AD679">
        <v>-0.1817049</v>
      </c>
      <c r="AE679">
        <v>-0.16310000000004199</v>
      </c>
      <c r="AF679">
        <v>0.15611109878978699</v>
      </c>
      <c r="AG679">
        <v>-0.1817049</v>
      </c>
      <c r="AH679">
        <v>0.62656339909091996</v>
      </c>
      <c r="AI679">
        <v>105.71657861605399</v>
      </c>
      <c r="AJ679">
        <v>76.009358833158103</v>
      </c>
      <c r="AK679">
        <v>0.67079731583372704</v>
      </c>
      <c r="AL679">
        <v>79.785489048058906</v>
      </c>
      <c r="AM679">
        <v>90.473103570416896</v>
      </c>
      <c r="AN679">
        <v>1.0000000234316999</v>
      </c>
    </row>
    <row r="680" spans="1:40" x14ac:dyDescent="0.25">
      <c r="A680" t="str">
        <f>"20190312172104972"</f>
        <v>20190312172104972</v>
      </c>
      <c r="B680" t="str">
        <f>"1552382464962442"</f>
        <v>1552382464962442</v>
      </c>
      <c r="C680" t="s">
        <v>40</v>
      </c>
      <c r="D680">
        <v>3.2882519999999902</v>
      </c>
      <c r="E680">
        <v>0.58282609999999901</v>
      </c>
      <c r="F680" t="s">
        <v>41</v>
      </c>
      <c r="G680">
        <v>-362.89890000000003</v>
      </c>
      <c r="H680">
        <v>0.89811350000000001</v>
      </c>
      <c r="I680">
        <v>367.41030000000001</v>
      </c>
      <c r="J680">
        <v>-363.68880000000001</v>
      </c>
      <c r="K680">
        <v>1.110217</v>
      </c>
      <c r="L680">
        <v>367.60059999999999</v>
      </c>
      <c r="M680">
        <v>0.99989760000000005</v>
      </c>
      <c r="N680">
        <v>0</v>
      </c>
      <c r="O680">
        <v>5.7941119999999997E-3</v>
      </c>
      <c r="P680">
        <v>0.9863094</v>
      </c>
      <c r="Q680">
        <v>0.16431879999999999</v>
      </c>
      <c r="R680">
        <v>1.389001E-2</v>
      </c>
      <c r="S680">
        <v>3.163513</v>
      </c>
      <c r="T680">
        <v>-0.68020769999999997</v>
      </c>
      <c r="U680">
        <v>-0.60485840000000002</v>
      </c>
      <c r="V680">
        <v>-8.2456319999999993E-3</v>
      </c>
      <c r="W680">
        <v>0.17720920000000001</v>
      </c>
      <c r="X680">
        <v>0.98413870000000003</v>
      </c>
      <c r="Y680">
        <v>0.18918299999999999</v>
      </c>
      <c r="Z680">
        <v>-2.115568E-2</v>
      </c>
      <c r="AA680">
        <v>0.98171399999999998</v>
      </c>
      <c r="AB680">
        <v>37</v>
      </c>
      <c r="AC680">
        <v>0.78989999999998795</v>
      </c>
      <c r="AD680">
        <v>-0.212103499999999</v>
      </c>
      <c r="AE680">
        <v>-0.19029999999997901</v>
      </c>
      <c r="AF680">
        <v>0.18244108771449599</v>
      </c>
      <c r="AG680">
        <v>-0.212103499999999</v>
      </c>
      <c r="AH680">
        <v>0.73845993057979398</v>
      </c>
      <c r="AI680">
        <v>105.580617574218</v>
      </c>
      <c r="AJ680">
        <v>76.122613079693593</v>
      </c>
      <c r="AK680">
        <v>0.78968076731715597</v>
      </c>
      <c r="AL680">
        <v>79.792754762636505</v>
      </c>
      <c r="AM680">
        <v>90.480042963899706</v>
      </c>
      <c r="AN680">
        <v>1.0000000359247001</v>
      </c>
    </row>
    <row r="681" spans="1:40" x14ac:dyDescent="0.25">
      <c r="A681" t="str">
        <f>"20190312172104984"</f>
        <v>20190312172104984</v>
      </c>
      <c r="B681" t="str">
        <f>"1552382464981961"</f>
        <v>1552382464981961</v>
      </c>
      <c r="C681" t="s">
        <v>40</v>
      </c>
      <c r="D681">
        <v>3.2784970000000002</v>
      </c>
      <c r="E681">
        <v>0.58292909999999998</v>
      </c>
      <c r="F681" t="s">
        <v>41</v>
      </c>
      <c r="G681">
        <v>-362.88420000000002</v>
      </c>
      <c r="H681">
        <v>0.93708749999999996</v>
      </c>
      <c r="I681">
        <v>367.44639999999998</v>
      </c>
      <c r="J681">
        <v>-363.49810000000002</v>
      </c>
      <c r="K681">
        <v>1.110214</v>
      </c>
      <c r="L681">
        <v>367.60169999999999</v>
      </c>
      <c r="M681">
        <v>0.99989709999999998</v>
      </c>
      <c r="N681">
        <v>0</v>
      </c>
      <c r="O681">
        <v>5.8824150000000002E-3</v>
      </c>
      <c r="P681">
        <v>0.98629009999999995</v>
      </c>
      <c r="Q681">
        <v>0.16444310000000001</v>
      </c>
      <c r="R681">
        <v>1.3797530000000001E-2</v>
      </c>
      <c r="S681">
        <v>3.1636350000000002</v>
      </c>
      <c r="T681">
        <v>-0.68088729999999997</v>
      </c>
      <c r="U681">
        <v>-0.60485840000000002</v>
      </c>
      <c r="V681">
        <v>-8.0652399999999996E-3</v>
      </c>
      <c r="W681">
        <v>0.17733869999999999</v>
      </c>
      <c r="X681">
        <v>0.98411689999999996</v>
      </c>
      <c r="Y681">
        <v>0.1892509</v>
      </c>
      <c r="Z681">
        <v>-2.1201370000000001E-2</v>
      </c>
      <c r="AA681">
        <v>0.98169980000000001</v>
      </c>
      <c r="AB681">
        <v>37</v>
      </c>
      <c r="AC681">
        <v>0.613900000000001</v>
      </c>
      <c r="AD681">
        <v>-0.17312649999999999</v>
      </c>
      <c r="AE681">
        <v>-0.15530000000001101</v>
      </c>
      <c r="AF681">
        <v>0.14785700960259501</v>
      </c>
      <c r="AG681">
        <v>-0.17312649999999999</v>
      </c>
      <c r="AH681">
        <v>0.57034438651990604</v>
      </c>
      <c r="AI681">
        <v>106.37458689888599</v>
      </c>
      <c r="AJ681">
        <v>75.466491277606195</v>
      </c>
      <c r="AK681">
        <v>0.61410683071078098</v>
      </c>
      <c r="AL681">
        <v>79.785215878450003</v>
      </c>
      <c r="AM681">
        <v>90.469551805763004</v>
      </c>
      <c r="AN681">
        <v>1.00000006773977</v>
      </c>
    </row>
    <row r="682" spans="1:40" x14ac:dyDescent="0.25">
      <c r="A682" t="str">
        <f>"20190312172104997"</f>
        <v>20190312172104997</v>
      </c>
      <c r="B682" t="str">
        <f>"1552382464991721"</f>
        <v>1552382464991721</v>
      </c>
      <c r="C682" t="s">
        <v>40</v>
      </c>
      <c r="D682">
        <v>3.2766139999999999</v>
      </c>
      <c r="E682">
        <v>0.58296879999999995</v>
      </c>
      <c r="F682" t="s">
        <v>41</v>
      </c>
      <c r="G682">
        <v>-362.56740000000002</v>
      </c>
      <c r="H682">
        <v>0.90990629999999995</v>
      </c>
      <c r="I682">
        <v>367.42309999999998</v>
      </c>
      <c r="J682">
        <v>-363.27800000000002</v>
      </c>
      <c r="K682">
        <v>1.1102080000000001</v>
      </c>
      <c r="L682">
        <v>367.60309999999998</v>
      </c>
      <c r="M682">
        <v>0.99989649999999997</v>
      </c>
      <c r="N682">
        <v>0</v>
      </c>
      <c r="O682">
        <v>5.9826819999999996E-3</v>
      </c>
      <c r="P682">
        <v>0.98629089999999997</v>
      </c>
      <c r="Q682">
        <v>0.16442660000000001</v>
      </c>
      <c r="R682">
        <v>1.3950000000000001E-2</v>
      </c>
      <c r="S682">
        <v>3.1636959999999998</v>
      </c>
      <c r="T682">
        <v>-0.68107280000000003</v>
      </c>
      <c r="U682">
        <v>-0.60534670000000002</v>
      </c>
      <c r="V682">
        <v>-8.1168750000000008E-3</v>
      </c>
      <c r="W682">
        <v>0.17732879999999901</v>
      </c>
      <c r="X682">
        <v>0.98411820000000005</v>
      </c>
      <c r="Y682">
        <v>0.1894826</v>
      </c>
      <c r="Z682">
        <v>-2.125194E-2</v>
      </c>
      <c r="AA682">
        <v>0.98165400000000003</v>
      </c>
      <c r="AB682">
        <v>37</v>
      </c>
      <c r="AC682">
        <v>0.71059999999999901</v>
      </c>
      <c r="AD682">
        <v>-0.2003017</v>
      </c>
      <c r="AE682">
        <v>-0.18000000000000599</v>
      </c>
      <c r="AF682">
        <v>0.17144751249096099</v>
      </c>
      <c r="AG682">
        <v>-0.2003017</v>
      </c>
      <c r="AH682">
        <v>0.66021606326576898</v>
      </c>
      <c r="AI682">
        <v>106.36479324705</v>
      </c>
      <c r="AJ682">
        <v>75.4427470432056</v>
      </c>
      <c r="AK682">
        <v>0.71091509391514396</v>
      </c>
      <c r="AL682">
        <v>79.785791637909398</v>
      </c>
      <c r="AM682">
        <v>90.472557193956902</v>
      </c>
      <c r="AN682">
        <v>1.0000000092702199</v>
      </c>
    </row>
    <row r="683" spans="1:40" x14ac:dyDescent="0.25">
      <c r="A683" t="str">
        <f>"20190312172105015"</f>
        <v>20190312172105015</v>
      </c>
      <c r="B683" t="str">
        <f>"1552382465002459"</f>
        <v>1552382465002459</v>
      </c>
      <c r="C683" t="s">
        <v>40</v>
      </c>
      <c r="D683">
        <v>3.3867699999999998</v>
      </c>
      <c r="E683">
        <v>0.58298439999999996</v>
      </c>
      <c r="F683" t="s">
        <v>41</v>
      </c>
      <c r="G683">
        <v>-362.55009999999999</v>
      </c>
      <c r="H683">
        <v>0.95354760000000005</v>
      </c>
      <c r="I683">
        <v>367.46339999999998</v>
      </c>
      <c r="J683">
        <v>-363.00639999999999</v>
      </c>
      <c r="K683">
        <v>1.110212</v>
      </c>
      <c r="L683">
        <v>367.60489999999999</v>
      </c>
      <c r="M683">
        <v>0.9998956</v>
      </c>
      <c r="N683">
        <v>0</v>
      </c>
      <c r="O683">
        <v>6.1043819999999898E-3</v>
      </c>
      <c r="P683">
        <v>0.98627679999999995</v>
      </c>
      <c r="Q683">
        <v>0.16450670000000001</v>
      </c>
      <c r="R683">
        <v>1.3997829999999999E-2</v>
      </c>
      <c r="S683">
        <v>3.163818</v>
      </c>
      <c r="T683">
        <v>-0.68121149999999997</v>
      </c>
      <c r="U683">
        <v>-0.6049194</v>
      </c>
      <c r="V683">
        <v>-8.0430659999999998E-3</v>
      </c>
      <c r="W683">
        <v>0.17741889999999999</v>
      </c>
      <c r="X683">
        <v>0.98410249999999999</v>
      </c>
      <c r="Y683">
        <v>0.1894633</v>
      </c>
      <c r="Z683">
        <v>-2.1279289999999999E-2</v>
      </c>
      <c r="AA683">
        <v>0.98165720000000001</v>
      </c>
      <c r="AB683">
        <v>37</v>
      </c>
      <c r="AC683">
        <v>0.45629999999999798</v>
      </c>
      <c r="AD683">
        <v>-0.15666439999999901</v>
      </c>
      <c r="AE683">
        <v>-0.14150000000000701</v>
      </c>
      <c r="AF683">
        <v>0.13027359654627901</v>
      </c>
      <c r="AG683">
        <v>-0.15666439999999901</v>
      </c>
      <c r="AH683">
        <v>0.411207039654374</v>
      </c>
      <c r="AI683">
        <v>109.960815166201</v>
      </c>
      <c r="AJ683">
        <v>72.421392284564405</v>
      </c>
      <c r="AK683">
        <v>0.45891848257155299</v>
      </c>
      <c r="AL683">
        <v>79.780545435986895</v>
      </c>
      <c r="AM683">
        <v>90.468267762405603</v>
      </c>
      <c r="AN683">
        <v>0.99999994374706802</v>
      </c>
    </row>
    <row r="684" spans="1:40" x14ac:dyDescent="0.25">
      <c r="A684" t="str">
        <f>"20190312172105028"</f>
        <v>20190312172105028</v>
      </c>
      <c r="B684" t="str">
        <f>"1552382465022407"</f>
        <v>1552382465022407</v>
      </c>
      <c r="C684" t="s">
        <v>40</v>
      </c>
      <c r="D684">
        <v>3.3742719999999999</v>
      </c>
      <c r="E684">
        <v>0.58302830000000005</v>
      </c>
      <c r="F684" t="s">
        <v>41</v>
      </c>
      <c r="G684">
        <v>-362.22800000000001</v>
      </c>
      <c r="H684">
        <v>0.94264650000000005</v>
      </c>
      <c r="I684">
        <v>367.45569999999998</v>
      </c>
      <c r="J684">
        <v>-362.79750000000001</v>
      </c>
      <c r="K684">
        <v>1.1102080000000001</v>
      </c>
      <c r="L684">
        <v>367.60629999999998</v>
      </c>
      <c r="M684">
        <v>0.99989490000000003</v>
      </c>
      <c r="N684">
        <v>0</v>
      </c>
      <c r="O684">
        <v>6.1977430000000003E-3</v>
      </c>
      <c r="P684">
        <v>0.98625850000000004</v>
      </c>
      <c r="Q684">
        <v>0.16459660000000001</v>
      </c>
      <c r="R684">
        <v>1.422319E-2</v>
      </c>
      <c r="S684">
        <v>3.16391</v>
      </c>
      <c r="T684">
        <v>-0.68109059999999999</v>
      </c>
      <c r="U684">
        <v>-0.60543819999999904</v>
      </c>
      <c r="V684">
        <v>-8.1752490000000008E-3</v>
      </c>
      <c r="W684">
        <v>0.17751700000000001</v>
      </c>
      <c r="X684">
        <v>0.98408379999999995</v>
      </c>
      <c r="Y684">
        <v>0.1896996</v>
      </c>
      <c r="Z684">
        <v>-2.1319319999999999E-2</v>
      </c>
      <c r="AA684">
        <v>0.98161069999999995</v>
      </c>
      <c r="AB684">
        <v>37</v>
      </c>
      <c r="AC684">
        <v>0.569500000000005</v>
      </c>
      <c r="AD684">
        <v>-0.1675615</v>
      </c>
      <c r="AE684">
        <v>-0.15059999999999699</v>
      </c>
      <c r="AF684">
        <v>0.14258997628359199</v>
      </c>
      <c r="AG684">
        <v>-0.1675615</v>
      </c>
      <c r="AH684">
        <v>0.52599684948943703</v>
      </c>
      <c r="AI684">
        <v>107.090718738576</v>
      </c>
      <c r="AJ684">
        <v>74.832486550384999</v>
      </c>
      <c r="AK684">
        <v>0.57015913856713596</v>
      </c>
      <c r="AL684">
        <v>79.774834876659099</v>
      </c>
      <c r="AM684">
        <v>90.475972157093196</v>
      </c>
      <c r="AN684">
        <v>1.0000000227038199</v>
      </c>
    </row>
    <row r="685" spans="1:40" x14ac:dyDescent="0.25">
      <c r="A685" t="str">
        <f>"20190312172105041"</f>
        <v>20190312172105041</v>
      </c>
      <c r="B685" t="str">
        <f>"1552382465032167"</f>
        <v>1552382465032167</v>
      </c>
      <c r="C685" t="s">
        <v>40</v>
      </c>
      <c r="D685">
        <v>3.310095</v>
      </c>
      <c r="E685">
        <v>0.58307279999999995</v>
      </c>
      <c r="F685" t="s">
        <v>41</v>
      </c>
      <c r="G685">
        <v>-361.91019999999997</v>
      </c>
      <c r="H685">
        <v>0.91919989999999996</v>
      </c>
      <c r="I685">
        <v>367.43619999999999</v>
      </c>
      <c r="J685">
        <v>-362.56270000000001</v>
      </c>
      <c r="K685">
        <v>1.1102069999999999</v>
      </c>
      <c r="L685">
        <v>367.6078</v>
      </c>
      <c r="M685">
        <v>0.99989410000000001</v>
      </c>
      <c r="N685">
        <v>0</v>
      </c>
      <c r="O685">
        <v>6.3024810000000004E-3</v>
      </c>
      <c r="P685">
        <v>0.98624129999999999</v>
      </c>
      <c r="Q685">
        <v>0.16469420000000001</v>
      </c>
      <c r="R685">
        <v>1.428405E-2</v>
      </c>
      <c r="S685">
        <v>3.164215</v>
      </c>
      <c r="T685">
        <v>-0.68131900000000001</v>
      </c>
      <c r="U685">
        <v>-0.60510249999999999</v>
      </c>
      <c r="V685">
        <v>-8.1319200000000008E-3</v>
      </c>
      <c r="W685">
        <v>0.17762349999999999</v>
      </c>
      <c r="X685">
        <v>0.98406490000000002</v>
      </c>
      <c r="Y685">
        <v>0.1896803</v>
      </c>
      <c r="Z685">
        <v>-2.1344620000000002E-2</v>
      </c>
      <c r="AA685">
        <v>0.98161390000000004</v>
      </c>
      <c r="AB685">
        <v>37</v>
      </c>
      <c r="AC685">
        <v>0.65250000000003106</v>
      </c>
      <c r="AD685">
        <v>-0.19100710000000001</v>
      </c>
      <c r="AE685">
        <v>-0.17160000000001199</v>
      </c>
      <c r="AF685">
        <v>0.16267147838000801</v>
      </c>
      <c r="AG685">
        <v>-0.19100710000000001</v>
      </c>
      <c r="AH685">
        <v>0.60307039794394501</v>
      </c>
      <c r="AI685">
        <v>107.003371332157</v>
      </c>
      <c r="AJ685">
        <v>74.904375211843004</v>
      </c>
      <c r="AK685">
        <v>0.65317656648490996</v>
      </c>
      <c r="AL685">
        <v>79.768633913486198</v>
      </c>
      <c r="AM685">
        <v>90.473458701984697</v>
      </c>
      <c r="AN685">
        <v>0.99999998164357295</v>
      </c>
    </row>
    <row r="686" spans="1:40" x14ac:dyDescent="0.25">
      <c r="A686" t="str">
        <f>"20190312172105058"</f>
        <v>20190312172105058</v>
      </c>
      <c r="B686" t="str">
        <f>"1552382465051687"</f>
        <v>1552382465051687</v>
      </c>
      <c r="C686" t="s">
        <v>40</v>
      </c>
      <c r="D686">
        <v>3.309453</v>
      </c>
      <c r="E686">
        <v>0.58316389999999996</v>
      </c>
      <c r="F686" t="s">
        <v>41</v>
      </c>
      <c r="G686">
        <v>-361.59039999999999</v>
      </c>
      <c r="H686">
        <v>0.90099079999999998</v>
      </c>
      <c r="I686">
        <v>367.42169999999999</v>
      </c>
      <c r="J686">
        <v>-362.28210000000001</v>
      </c>
      <c r="K686">
        <v>1.1102019999999999</v>
      </c>
      <c r="L686">
        <v>367.60969999999998</v>
      </c>
      <c r="M686">
        <v>0.99989309999999998</v>
      </c>
      <c r="N686">
        <v>0</v>
      </c>
      <c r="O686">
        <v>6.4267700000000001E-3</v>
      </c>
      <c r="P686">
        <v>0.98617670000000002</v>
      </c>
      <c r="Q686">
        <v>0.165072</v>
      </c>
      <c r="R686">
        <v>1.4383470000000001E-2</v>
      </c>
      <c r="S686">
        <v>3.1643370000000002</v>
      </c>
      <c r="T686">
        <v>-0.68101279999999997</v>
      </c>
      <c r="U686">
        <v>-0.60531619999999997</v>
      </c>
      <c r="V686">
        <v>-8.1083500000000003E-3</v>
      </c>
      <c r="W686">
        <v>0.17801059999999999</v>
      </c>
      <c r="X686">
        <v>0.98399510000000001</v>
      </c>
      <c r="Y686">
        <v>0.18985669999999999</v>
      </c>
      <c r="Z686">
        <v>-2.137915E-2</v>
      </c>
      <c r="AA686">
        <v>0.98157899999999998</v>
      </c>
      <c r="AB686">
        <v>37</v>
      </c>
      <c r="AC686">
        <v>0.69170000000002496</v>
      </c>
      <c r="AD686">
        <v>-0.20921120000000001</v>
      </c>
      <c r="AE686">
        <v>-0.18799999999998801</v>
      </c>
      <c r="AF686">
        <v>0.177334969175171</v>
      </c>
      <c r="AG686">
        <v>-0.20921120000000001</v>
      </c>
      <c r="AH686">
        <v>0.63627404440198099</v>
      </c>
      <c r="AI686">
        <v>107.57481991875299</v>
      </c>
      <c r="AJ686">
        <v>74.426395667262099</v>
      </c>
      <c r="AK686">
        <v>0.69286483319436398</v>
      </c>
      <c r="AL686">
        <v>79.746095082223107</v>
      </c>
      <c r="AM686">
        <v>90.472119951769997</v>
      </c>
      <c r="AN686">
        <v>0.99999993793804398</v>
      </c>
    </row>
    <row r="687" spans="1:40" x14ac:dyDescent="0.25">
      <c r="A687" t="str">
        <f>"20190312172105069"</f>
        <v>20190312172105069</v>
      </c>
      <c r="B687" t="str">
        <f>"1552382465062424"</f>
        <v>1552382465062424</v>
      </c>
      <c r="C687" t="s">
        <v>40</v>
      </c>
      <c r="D687">
        <v>3.4209700000000001</v>
      </c>
      <c r="E687">
        <v>0.58317430000000003</v>
      </c>
      <c r="F687" t="s">
        <v>41</v>
      </c>
      <c r="G687">
        <v>-361.5684</v>
      </c>
      <c r="H687">
        <v>0.9568527</v>
      </c>
      <c r="I687">
        <v>367.47289999999998</v>
      </c>
      <c r="J687">
        <v>-362.1</v>
      </c>
      <c r="K687">
        <v>1.1102030000000001</v>
      </c>
      <c r="L687">
        <v>367.61099999999999</v>
      </c>
      <c r="M687">
        <v>0.99989249999999996</v>
      </c>
      <c r="N687">
        <v>0</v>
      </c>
      <c r="O687">
        <v>6.5073539999999999E-3</v>
      </c>
      <c r="P687">
        <v>0.98617140000000003</v>
      </c>
      <c r="Q687">
        <v>0.16511879999999901</v>
      </c>
      <c r="R687">
        <v>1.420919E-2</v>
      </c>
      <c r="S687">
        <v>3.1647639999999999</v>
      </c>
      <c r="T687">
        <v>-0.6801121</v>
      </c>
      <c r="U687">
        <v>-0.60568239999999995</v>
      </c>
      <c r="V687">
        <v>-7.8539639999999997E-3</v>
      </c>
      <c r="W687">
        <v>0.17806369999999999</v>
      </c>
      <c r="X687">
        <v>0.98398759999999996</v>
      </c>
      <c r="Y687">
        <v>0.190028</v>
      </c>
      <c r="Z687">
        <v>-2.1383510000000001E-2</v>
      </c>
      <c r="AA687">
        <v>0.98154580000000002</v>
      </c>
      <c r="AB687">
        <v>37</v>
      </c>
      <c r="AC687">
        <v>0.53160000000002505</v>
      </c>
      <c r="AD687">
        <v>-0.15335029999999999</v>
      </c>
      <c r="AE687">
        <v>-0.13810000000000799</v>
      </c>
      <c r="AF687">
        <v>0.13131981438495899</v>
      </c>
      <c r="AG687">
        <v>-0.15335029999999999</v>
      </c>
      <c r="AH687">
        <v>0.49231241127511699</v>
      </c>
      <c r="AI687">
        <v>106.750049542171</v>
      </c>
      <c r="AJ687">
        <v>75.064616497503394</v>
      </c>
      <c r="AK687">
        <v>0.53210216918906605</v>
      </c>
      <c r="AL687">
        <v>79.743003732247104</v>
      </c>
      <c r="AM687">
        <v>90.457312097970899</v>
      </c>
      <c r="AN687">
        <v>0.99999998148098102</v>
      </c>
    </row>
    <row r="688" spans="1:40" x14ac:dyDescent="0.25">
      <c r="A688" t="str">
        <f>"20190312172105080"</f>
        <v>20190312172105080</v>
      </c>
      <c r="B688" t="str">
        <f>"1552382465072183"</f>
        <v>1552382465072183</v>
      </c>
      <c r="C688" t="s">
        <v>40</v>
      </c>
      <c r="D688">
        <v>3.310632</v>
      </c>
      <c r="E688">
        <v>0.58317450000000004</v>
      </c>
      <c r="F688" t="s">
        <v>41</v>
      </c>
      <c r="G688">
        <v>-361.25349999999997</v>
      </c>
      <c r="H688">
        <v>0.92842029999999998</v>
      </c>
      <c r="I688">
        <v>367.44819999999999</v>
      </c>
      <c r="J688">
        <v>-361.90960000000001</v>
      </c>
      <c r="K688">
        <v>1.110204</v>
      </c>
      <c r="L688">
        <v>367.6123</v>
      </c>
      <c r="M688">
        <v>0.9998918</v>
      </c>
      <c r="N688">
        <v>0</v>
      </c>
      <c r="O688">
        <v>6.5916350000000002E-3</v>
      </c>
      <c r="P688">
        <v>0.98618079999999997</v>
      </c>
      <c r="Q688">
        <v>0.16505069999999999</v>
      </c>
      <c r="R688">
        <v>1.4339040000000001E-2</v>
      </c>
      <c r="S688">
        <v>3.164612</v>
      </c>
      <c r="T688">
        <v>-0.67974509999999999</v>
      </c>
      <c r="U688">
        <v>-0.60617069999999995</v>
      </c>
      <c r="V688">
        <v>-7.9000359999999992E-3</v>
      </c>
      <c r="W688">
        <v>0.17800170000000001</v>
      </c>
      <c r="X688">
        <v>0.9839985</v>
      </c>
      <c r="Y688">
        <v>0.19026280000000001</v>
      </c>
      <c r="Z688">
        <v>-2.1415380000000001E-2</v>
      </c>
      <c r="AA688">
        <v>0.98149960000000003</v>
      </c>
      <c r="AB688">
        <v>37</v>
      </c>
      <c r="AC688">
        <v>0.65610000000003699</v>
      </c>
      <c r="AD688">
        <v>-0.18178369999999999</v>
      </c>
      <c r="AE688">
        <v>-0.16410000000001901</v>
      </c>
      <c r="AF688">
        <v>0.15707354807533799</v>
      </c>
      <c r="AG688">
        <v>-0.18178369999999999</v>
      </c>
      <c r="AH688">
        <v>0.61087062852541796</v>
      </c>
      <c r="AI688">
        <v>106.07731338636501</v>
      </c>
      <c r="AJ688">
        <v>75.579884118864896</v>
      </c>
      <c r="AK688">
        <v>0.65641476056355097</v>
      </c>
      <c r="AL688">
        <v>79.746614264519806</v>
      </c>
      <c r="AM688">
        <v>90.459989518227104</v>
      </c>
      <c r="AN688">
        <v>1.00000003188697</v>
      </c>
    </row>
    <row r="689" spans="1:40" x14ac:dyDescent="0.25">
      <c r="A689" t="str">
        <f>"20190312172105091"</f>
        <v>20190312172105091</v>
      </c>
      <c r="B689" t="str">
        <f>"1552382465081944"</f>
        <v>1552382465081944</v>
      </c>
      <c r="C689" t="s">
        <v>40</v>
      </c>
      <c r="D689">
        <v>3.2874919999999999</v>
      </c>
      <c r="E689">
        <v>0.58318840000000005</v>
      </c>
      <c r="F689" t="s">
        <v>41</v>
      </c>
      <c r="G689">
        <v>-360.9375</v>
      </c>
      <c r="H689">
        <v>0.90136919999999998</v>
      </c>
      <c r="I689">
        <v>367.42619999999999</v>
      </c>
      <c r="J689">
        <v>-361.73329999999999</v>
      </c>
      <c r="K689">
        <v>1.110209</v>
      </c>
      <c r="L689">
        <v>367.61360000000002</v>
      </c>
      <c r="M689">
        <v>0.99989139999999999</v>
      </c>
      <c r="N689">
        <v>0</v>
      </c>
      <c r="O689">
        <v>6.6687229999999997E-3</v>
      </c>
      <c r="P689">
        <v>0.98616930000000003</v>
      </c>
      <c r="Q689">
        <v>0.1651157</v>
      </c>
      <c r="R689">
        <v>1.4394209999999999E-2</v>
      </c>
      <c r="S689">
        <v>3.1646420000000002</v>
      </c>
      <c r="T689">
        <v>-0.67985759999999995</v>
      </c>
      <c r="U689">
        <v>-0.60586549999999995</v>
      </c>
      <c r="V689">
        <v>-7.8797559999999999E-3</v>
      </c>
      <c r="W689">
        <v>0.17807210000000001</v>
      </c>
      <c r="X689">
        <v>0.98398589999999997</v>
      </c>
      <c r="Y689">
        <v>0.19024260000000001</v>
      </c>
      <c r="Z689">
        <v>-2.1432949999999999E-2</v>
      </c>
      <c r="AA689">
        <v>0.98150309999999996</v>
      </c>
      <c r="AB689">
        <v>37</v>
      </c>
      <c r="AC689">
        <v>0.79579999999998496</v>
      </c>
      <c r="AD689">
        <v>-0.20883979999999999</v>
      </c>
      <c r="AE689">
        <v>-0.18740000000002499</v>
      </c>
      <c r="AF689">
        <v>0.180899591252456</v>
      </c>
      <c r="AG689">
        <v>-0.20883979999999999</v>
      </c>
      <c r="AH689">
        <v>0.74586490994325305</v>
      </c>
      <c r="AI689">
        <v>105.222084444256</v>
      </c>
      <c r="AJ689">
        <v>76.366921248815302</v>
      </c>
      <c r="AK689">
        <v>0.79539498870938496</v>
      </c>
      <c r="AL689">
        <v>79.742514899463998</v>
      </c>
      <c r="AM689">
        <v>90.458814615122904</v>
      </c>
      <c r="AN689">
        <v>1.0000000073759101</v>
      </c>
    </row>
    <row r="690" spans="1:40" x14ac:dyDescent="0.25">
      <c r="A690" t="str">
        <f>"20190312172105102"</f>
        <v>20190312172105102</v>
      </c>
      <c r="B690" t="str">
        <f>"1552382465091703"</f>
        <v>1552382465091703</v>
      </c>
      <c r="C690" t="s">
        <v>40</v>
      </c>
      <c r="D690">
        <v>3.3975949999999999</v>
      </c>
      <c r="E690">
        <v>0.58320139999999998</v>
      </c>
      <c r="F690" t="s">
        <v>41</v>
      </c>
      <c r="G690">
        <v>-360.92419999999998</v>
      </c>
      <c r="H690">
        <v>0.93648279999999995</v>
      </c>
      <c r="I690">
        <v>367.4588</v>
      </c>
      <c r="J690">
        <v>-361.5693</v>
      </c>
      <c r="K690">
        <v>1.1102099999999999</v>
      </c>
      <c r="L690">
        <v>367.61470000000003</v>
      </c>
      <c r="M690">
        <v>0.99989070000000002</v>
      </c>
      <c r="N690">
        <v>0</v>
      </c>
      <c r="O690">
        <v>6.7407480000000004E-3</v>
      </c>
      <c r="P690">
        <v>0.98617909999999998</v>
      </c>
      <c r="Q690">
        <v>0.165046</v>
      </c>
      <c r="R690">
        <v>1.4518720000000001E-2</v>
      </c>
      <c r="S690">
        <v>3.1647340000000002</v>
      </c>
      <c r="T690">
        <v>-0.67952609999999902</v>
      </c>
      <c r="U690">
        <v>-0.60552980000000001</v>
      </c>
      <c r="V690">
        <v>-7.932405E-3</v>
      </c>
      <c r="W690">
        <v>0.1780069</v>
      </c>
      <c r="X690">
        <v>0.98399729999999996</v>
      </c>
      <c r="Y690">
        <v>0.19021109999999999</v>
      </c>
      <c r="Z690">
        <v>-2.1434180000000001E-2</v>
      </c>
      <c r="AA690">
        <v>0.98150919999999997</v>
      </c>
      <c r="AB690">
        <v>37</v>
      </c>
      <c r="AC690">
        <v>0.645100000000013</v>
      </c>
      <c r="AD690">
        <v>-0.173727199999999</v>
      </c>
      <c r="AE690">
        <v>-0.15590000000003101</v>
      </c>
      <c r="AF690">
        <v>0.14996910074296599</v>
      </c>
      <c r="AG690">
        <v>-0.173727199999999</v>
      </c>
      <c r="AH690">
        <v>0.60273381302624396</v>
      </c>
      <c r="AI690">
        <v>105.626517804507</v>
      </c>
      <c r="AJ690">
        <v>76.027686084276795</v>
      </c>
      <c r="AK690">
        <v>0.64494954885064404</v>
      </c>
      <c r="AL690">
        <v>79.7463115021351</v>
      </c>
      <c r="AM690">
        <v>90.461874725661701</v>
      </c>
      <c r="AN690">
        <v>1.00000003295199</v>
      </c>
    </row>
    <row r="691" spans="1:40" x14ac:dyDescent="0.25">
      <c r="A691" t="str">
        <f>"20190312172105113"</f>
        <v>20190312172105113</v>
      </c>
      <c r="B691" t="str">
        <f>"1552382465102440"</f>
        <v>1552382465102440</v>
      </c>
      <c r="C691" t="s">
        <v>40</v>
      </c>
      <c r="D691">
        <v>3.4216199999999999</v>
      </c>
      <c r="E691">
        <v>0.58322499999999999</v>
      </c>
      <c r="F691" t="s">
        <v>41</v>
      </c>
      <c r="G691">
        <v>-360.61009999999999</v>
      </c>
      <c r="H691">
        <v>0.90436450000000002</v>
      </c>
      <c r="I691">
        <v>367.43079999999998</v>
      </c>
      <c r="J691">
        <v>-361.38690000000003</v>
      </c>
      <c r="K691">
        <v>1.110215</v>
      </c>
      <c r="L691">
        <v>367.61599999999999</v>
      </c>
      <c r="M691">
        <v>0.9998901</v>
      </c>
      <c r="N691">
        <v>0</v>
      </c>
      <c r="O691">
        <v>6.8205219999999999E-3</v>
      </c>
      <c r="P691">
        <v>0.98618790000000001</v>
      </c>
      <c r="Q691">
        <v>0.1649669</v>
      </c>
      <c r="R691">
        <v>1.4813059999999999E-2</v>
      </c>
      <c r="S691">
        <v>3.1646420000000002</v>
      </c>
      <c r="T691">
        <v>-0.67931370000000002</v>
      </c>
      <c r="U691">
        <v>-0.60507200000000005</v>
      </c>
      <c r="V691">
        <v>-8.1483500000000004E-3</v>
      </c>
      <c r="W691">
        <v>0.17793320000000001</v>
      </c>
      <c r="X691">
        <v>0.98400880000000002</v>
      </c>
      <c r="Y691">
        <v>0.1901592</v>
      </c>
      <c r="Z691">
        <v>-2.1439840000000002E-2</v>
      </c>
      <c r="AA691">
        <v>0.98151909999999998</v>
      </c>
      <c r="AB691">
        <v>37</v>
      </c>
      <c r="AC691">
        <v>0.77680000000003602</v>
      </c>
      <c r="AD691">
        <v>-0.20585049999999899</v>
      </c>
      <c r="AE691">
        <v>-0.185200000000008</v>
      </c>
      <c r="AF691">
        <v>0.178625214508559</v>
      </c>
      <c r="AG691">
        <v>-0.20585049999999899</v>
      </c>
      <c r="AH691">
        <v>0.72719846944664501</v>
      </c>
      <c r="AI691">
        <v>105.37100491574699</v>
      </c>
      <c r="AJ691">
        <v>76.1993952388069</v>
      </c>
      <c r="AK691">
        <v>0.77659449494187205</v>
      </c>
      <c r="AL691">
        <v>79.750602042272902</v>
      </c>
      <c r="AM691">
        <v>90.474442295896694</v>
      </c>
      <c r="AN691">
        <v>0.99999996887370002</v>
      </c>
    </row>
    <row r="692" spans="1:40" x14ac:dyDescent="0.25">
      <c r="A692" t="str">
        <f>"20190312172105124"</f>
        <v>20190312172105124</v>
      </c>
      <c r="B692" t="str">
        <f>"1552382465121959"</f>
        <v>1552382465121959</v>
      </c>
      <c r="C692" t="s">
        <v>40</v>
      </c>
      <c r="D692">
        <v>3.3065220000000002</v>
      </c>
      <c r="E692">
        <v>0.58330019999999905</v>
      </c>
      <c r="F692" t="s">
        <v>41</v>
      </c>
      <c r="G692">
        <v>-360.59649999999999</v>
      </c>
      <c r="H692">
        <v>0.94049119999999997</v>
      </c>
      <c r="I692">
        <v>367.46440000000001</v>
      </c>
      <c r="J692">
        <v>-361.2047</v>
      </c>
      <c r="K692">
        <v>1.110215</v>
      </c>
      <c r="L692">
        <v>367.6173</v>
      </c>
      <c r="M692">
        <v>0.99988960000000005</v>
      </c>
      <c r="N692">
        <v>0</v>
      </c>
      <c r="O692">
        <v>6.900476E-3</v>
      </c>
      <c r="P692">
        <v>0.98618349999999999</v>
      </c>
      <c r="Q692">
        <v>0.16498829999999901</v>
      </c>
      <c r="R692">
        <v>1.486987E-2</v>
      </c>
      <c r="S692">
        <v>3.164825</v>
      </c>
      <c r="T692">
        <v>-0.67974619999999997</v>
      </c>
      <c r="U692">
        <v>-0.60494999999999999</v>
      </c>
      <c r="V692">
        <v>-8.1262580000000008E-3</v>
      </c>
      <c r="W692">
        <v>0.17795949999999999</v>
      </c>
      <c r="X692">
        <v>0.98400430000000005</v>
      </c>
      <c r="Y692">
        <v>0.1901834</v>
      </c>
      <c r="Z692">
        <v>-2.1471460000000001E-2</v>
      </c>
      <c r="AA692">
        <v>0.98151370000000004</v>
      </c>
      <c r="AB692">
        <v>37</v>
      </c>
      <c r="AC692">
        <v>0.60820000000000995</v>
      </c>
      <c r="AD692">
        <v>-0.16972379999999901</v>
      </c>
      <c r="AE692">
        <v>-0.15289999999998799</v>
      </c>
      <c r="AF692">
        <v>0.14637254918343201</v>
      </c>
      <c r="AG692">
        <v>-0.16972379999999901</v>
      </c>
      <c r="AH692">
        <v>0.56569599605242304</v>
      </c>
      <c r="AI692">
        <v>106.19650979275301</v>
      </c>
      <c r="AJ692">
        <v>75.493011429827604</v>
      </c>
      <c r="AK692">
        <v>0.60847600724321105</v>
      </c>
      <c r="AL692">
        <v>79.749071471685099</v>
      </c>
      <c r="AM692">
        <v>90.473158198954593</v>
      </c>
      <c r="AN692">
        <v>1.0000000410639101</v>
      </c>
    </row>
    <row r="693" spans="1:40" x14ac:dyDescent="0.25">
      <c r="A693" t="str">
        <f>"20190312172105135"</f>
        <v>20190312172105135</v>
      </c>
      <c r="B693" t="str">
        <f>"1552382465131720"</f>
        <v>1552382465131720</v>
      </c>
      <c r="C693" t="s">
        <v>40</v>
      </c>
      <c r="D693">
        <v>3.440169</v>
      </c>
      <c r="E693">
        <v>0.58330550000000003</v>
      </c>
      <c r="F693" t="s">
        <v>41</v>
      </c>
      <c r="G693">
        <v>-360.28120000000001</v>
      </c>
      <c r="H693">
        <v>0.91195300000000001</v>
      </c>
      <c r="I693">
        <v>367.44029999999998</v>
      </c>
      <c r="J693">
        <v>-361.01859999999999</v>
      </c>
      <c r="K693">
        <v>1.110217</v>
      </c>
      <c r="L693">
        <v>367.61869999999999</v>
      </c>
      <c r="M693">
        <v>0.99988880000000002</v>
      </c>
      <c r="N693">
        <v>0</v>
      </c>
      <c r="O693">
        <v>6.9820999999999998E-3</v>
      </c>
      <c r="P693">
        <v>0.98616490000000001</v>
      </c>
      <c r="Q693">
        <v>0.165073</v>
      </c>
      <c r="R693">
        <v>1.5144400000000001E-2</v>
      </c>
      <c r="S693">
        <v>3.1648559999999999</v>
      </c>
      <c r="T693">
        <v>-0.67956830000000001</v>
      </c>
      <c r="U693">
        <v>-0.60562130000000003</v>
      </c>
      <c r="V693">
        <v>-8.3203740000000002E-3</v>
      </c>
      <c r="W693">
        <v>0.17804819999999999</v>
      </c>
      <c r="X693">
        <v>0.98398660000000004</v>
      </c>
      <c r="Y693">
        <v>0.19045719999999999</v>
      </c>
      <c r="Z693">
        <v>-2.1511349999999999E-2</v>
      </c>
      <c r="AA693">
        <v>0.98145979999999999</v>
      </c>
      <c r="AB693">
        <v>36</v>
      </c>
      <c r="AC693">
        <v>0.73739999999997896</v>
      </c>
      <c r="AD693">
        <v>-0.198264</v>
      </c>
      <c r="AE693">
        <v>-0.17840000000001</v>
      </c>
      <c r="AF693">
        <v>0.171811150057504</v>
      </c>
      <c r="AG693">
        <v>-0.198264</v>
      </c>
      <c r="AH693">
        <v>0.68907697587043004</v>
      </c>
      <c r="AI693">
        <v>105.598506490036</v>
      </c>
      <c r="AJ693">
        <v>75.999611418795595</v>
      </c>
      <c r="AK693">
        <v>0.73732948106990803</v>
      </c>
      <c r="AL693">
        <v>79.743906529697597</v>
      </c>
      <c r="AM693">
        <v>90.484468947790802</v>
      </c>
      <c r="AN693">
        <v>1.00000000956315</v>
      </c>
    </row>
    <row r="694" spans="1:40" x14ac:dyDescent="0.25">
      <c r="A694" t="str">
        <f>"20190312172105148"</f>
        <v>20190312172105148</v>
      </c>
      <c r="B694" t="str">
        <f>"1552382465142456"</f>
        <v>1552382465142456</v>
      </c>
      <c r="C694" t="s">
        <v>40</v>
      </c>
      <c r="D694">
        <v>3.3225039999999999</v>
      </c>
      <c r="E694">
        <v>0.58329900000000001</v>
      </c>
      <c r="F694" t="s">
        <v>41</v>
      </c>
      <c r="G694">
        <v>-360.26679999999999</v>
      </c>
      <c r="H694">
        <v>0.94895569999999896</v>
      </c>
      <c r="I694">
        <v>367.47469999999998</v>
      </c>
      <c r="J694">
        <v>-360.82990000000001</v>
      </c>
      <c r="K694">
        <v>1.1102179999999999</v>
      </c>
      <c r="L694">
        <v>367.62009999999998</v>
      </c>
      <c r="M694">
        <v>0.9998882</v>
      </c>
      <c r="N694">
        <v>0</v>
      </c>
      <c r="O694">
        <v>7.0648589999999997E-3</v>
      </c>
      <c r="P694">
        <v>0.98619129999999999</v>
      </c>
      <c r="Q694">
        <v>0.16491459999999999</v>
      </c>
      <c r="R694">
        <v>1.516634E-2</v>
      </c>
      <c r="S694">
        <v>3.1650700000000001</v>
      </c>
      <c r="T694">
        <v>-0.67902090000000004</v>
      </c>
      <c r="U694">
        <v>-0.60464479999999998</v>
      </c>
      <c r="V694">
        <v>-8.2605509999999997E-3</v>
      </c>
      <c r="W694">
        <v>0.17789430000000001</v>
      </c>
      <c r="X694">
        <v>0.98401490000000003</v>
      </c>
      <c r="Y694">
        <v>0.1902441</v>
      </c>
      <c r="Z694">
        <v>-2.14886E-2</v>
      </c>
      <c r="AA694">
        <v>0.98150159999999997</v>
      </c>
      <c r="AB694">
        <v>36</v>
      </c>
      <c r="AC694">
        <v>0.56310000000001903</v>
      </c>
      <c r="AD694">
        <v>-0.1612623</v>
      </c>
      <c r="AE694">
        <v>-0.14539999999999501</v>
      </c>
      <c r="AF694">
        <v>0.13870971994113801</v>
      </c>
      <c r="AG694">
        <v>-0.1612623</v>
      </c>
      <c r="AH694">
        <v>0.52192821184529203</v>
      </c>
      <c r="AI694">
        <v>106.626076003873</v>
      </c>
      <c r="AJ694">
        <v>75.116879987319805</v>
      </c>
      <c r="AK694">
        <v>0.56360888400331599</v>
      </c>
      <c r="AL694">
        <v>79.752867005364607</v>
      </c>
      <c r="AM694">
        <v>90.480971976403396</v>
      </c>
      <c r="AN694">
        <v>0.99999997104866101</v>
      </c>
    </row>
    <row r="695" spans="1:40" x14ac:dyDescent="0.25">
      <c r="A695" t="str">
        <f>"20190312172105159"</f>
        <v>20190312172105159</v>
      </c>
      <c r="B695" t="str">
        <f>"1552382465152216"</f>
        <v>1552382465152216</v>
      </c>
      <c r="C695" t="s">
        <v>40</v>
      </c>
      <c r="D695">
        <v>3.3033060000000001</v>
      </c>
      <c r="E695">
        <v>0.58331009999999905</v>
      </c>
      <c r="F695" t="s">
        <v>41</v>
      </c>
      <c r="G695">
        <v>-359.95159999999998</v>
      </c>
      <c r="H695">
        <v>0.92179129999999998</v>
      </c>
      <c r="I695">
        <v>367.45179999999999</v>
      </c>
      <c r="J695">
        <v>-360.6352</v>
      </c>
      <c r="K695">
        <v>1.11022</v>
      </c>
      <c r="L695">
        <v>367.6216</v>
      </c>
      <c r="M695">
        <v>0.99988759999999999</v>
      </c>
      <c r="N695">
        <v>0</v>
      </c>
      <c r="O695">
        <v>7.1501819999999997E-3</v>
      </c>
      <c r="P695">
        <v>0.98617060000000001</v>
      </c>
      <c r="Q695">
        <v>0.16503010000000001</v>
      </c>
      <c r="R695">
        <v>1.525664E-2</v>
      </c>
      <c r="S695">
        <v>3.1648860000000001</v>
      </c>
      <c r="T695">
        <v>-0.67920040000000004</v>
      </c>
      <c r="U695">
        <v>-0.60443119999999995</v>
      </c>
      <c r="V695">
        <v>-8.2669379999999997E-3</v>
      </c>
      <c r="W695">
        <v>0.1780139</v>
      </c>
      <c r="X695">
        <v>0.98399320000000001</v>
      </c>
      <c r="Y695">
        <v>0.1902691</v>
      </c>
      <c r="Z695">
        <v>-2.151606E-2</v>
      </c>
      <c r="AA695">
        <v>0.98149620000000004</v>
      </c>
      <c r="AB695">
        <v>36</v>
      </c>
      <c r="AC695">
        <v>0.68360000000001198</v>
      </c>
      <c r="AD695">
        <v>-0.18842869999999901</v>
      </c>
      <c r="AE695">
        <v>-0.169800000000009</v>
      </c>
      <c r="AF695">
        <v>0.163017886519708</v>
      </c>
      <c r="AG695">
        <v>-0.18842869999999901</v>
      </c>
      <c r="AH695">
        <v>0.63679715412459903</v>
      </c>
      <c r="AI695">
        <v>105.995309360645</v>
      </c>
      <c r="AJ695">
        <v>75.640847954114093</v>
      </c>
      <c r="AK695">
        <v>0.68380612881885605</v>
      </c>
      <c r="AL695">
        <v>79.745903106341999</v>
      </c>
      <c r="AM695">
        <v>90.481354457641103</v>
      </c>
      <c r="AN695">
        <v>0.99999995425167099</v>
      </c>
    </row>
    <row r="696" spans="1:40" x14ac:dyDescent="0.25">
      <c r="A696" t="str">
        <f>"20190312172105169"</f>
        <v>20190312172105169</v>
      </c>
      <c r="B696" t="str">
        <f>"1552382465161975"</f>
        <v>1552382465161975</v>
      </c>
      <c r="C696" t="s">
        <v>40</v>
      </c>
      <c r="D696">
        <v>3.3837649999999999</v>
      </c>
      <c r="E696">
        <v>0.58332469999999903</v>
      </c>
      <c r="F696" t="s">
        <v>41</v>
      </c>
      <c r="G696">
        <v>-359.9359</v>
      </c>
      <c r="H696">
        <v>0.96033599999999997</v>
      </c>
      <c r="I696">
        <v>367.48759999999999</v>
      </c>
      <c r="J696">
        <v>-360.46589999999998</v>
      </c>
      <c r="K696">
        <v>1.11022</v>
      </c>
      <c r="L696">
        <v>367.62290000000002</v>
      </c>
      <c r="M696">
        <v>0.99988719999999998</v>
      </c>
      <c r="N696">
        <v>0</v>
      </c>
      <c r="O696">
        <v>7.2248999999999898E-3</v>
      </c>
      <c r="P696">
        <v>0.98618439999999996</v>
      </c>
      <c r="Q696">
        <v>0.16494139999999999</v>
      </c>
      <c r="R696">
        <v>1.533783E-2</v>
      </c>
      <c r="S696">
        <v>3.1649780000000001</v>
      </c>
      <c r="T696">
        <v>-0.67862730000000004</v>
      </c>
      <c r="U696">
        <v>-0.60403439999999997</v>
      </c>
      <c r="V696">
        <v>-8.2745749999999993E-3</v>
      </c>
      <c r="W696">
        <v>0.17792849999999999</v>
      </c>
      <c r="X696">
        <v>0.98400860000000001</v>
      </c>
      <c r="Y696">
        <v>0.19022510000000001</v>
      </c>
      <c r="Z696">
        <v>-2.150904E-2</v>
      </c>
      <c r="AA696">
        <v>0.98150490000000001</v>
      </c>
      <c r="AB696">
        <v>36</v>
      </c>
      <c r="AC696">
        <v>0.52999999999997205</v>
      </c>
      <c r="AD696">
        <v>-0.14988399999999899</v>
      </c>
      <c r="AE696">
        <v>-0.13530000000002901</v>
      </c>
      <c r="AF696">
        <v>0.12940957168405501</v>
      </c>
      <c r="AG696">
        <v>-0.14988399999999899</v>
      </c>
      <c r="AH696">
        <v>0.49206310415021598</v>
      </c>
      <c r="AI696">
        <v>106.414229856467</v>
      </c>
      <c r="AJ696">
        <v>75.265227680066104</v>
      </c>
      <c r="AK696">
        <v>0.53041318720917596</v>
      </c>
      <c r="AL696">
        <v>79.750875734570698</v>
      </c>
      <c r="AM696">
        <v>90.481791572161896</v>
      </c>
      <c r="AN696">
        <v>0.99999997228881998</v>
      </c>
    </row>
    <row r="697" spans="1:40" x14ac:dyDescent="0.25">
      <c r="A697" t="str">
        <f>"20190312172105181"</f>
        <v>20190312172105181</v>
      </c>
      <c r="B697" t="str">
        <f>"1552382465171736"</f>
        <v>1552382465171736</v>
      </c>
      <c r="C697" t="s">
        <v>40</v>
      </c>
      <c r="D697">
        <v>3.299601</v>
      </c>
      <c r="E697">
        <v>0.58336449999999995</v>
      </c>
      <c r="F697" t="s">
        <v>41</v>
      </c>
      <c r="G697">
        <v>-359.62299999999999</v>
      </c>
      <c r="H697">
        <v>0.92934170000000005</v>
      </c>
      <c r="I697">
        <v>367.46190000000001</v>
      </c>
      <c r="J697">
        <v>-360.28719999999998</v>
      </c>
      <c r="K697">
        <v>1.11022</v>
      </c>
      <c r="L697">
        <v>367.62419999999997</v>
      </c>
      <c r="M697">
        <v>0.99988639999999995</v>
      </c>
      <c r="N697">
        <v>0</v>
      </c>
      <c r="O697">
        <v>7.3037900000000001E-3</v>
      </c>
      <c r="P697">
        <v>0.98614840000000004</v>
      </c>
      <c r="Q697">
        <v>0.16515350000000001</v>
      </c>
      <c r="R697">
        <v>1.534545E-2</v>
      </c>
      <c r="S697">
        <v>3.1649780000000001</v>
      </c>
      <c r="T697">
        <v>-0.67920780000000003</v>
      </c>
      <c r="U697">
        <v>-0.60363769999999894</v>
      </c>
      <c r="V697">
        <v>-8.2038679999999996E-3</v>
      </c>
      <c r="W697">
        <v>0.17814349999999901</v>
      </c>
      <c r="X697">
        <v>0.98397029999999996</v>
      </c>
      <c r="Y697">
        <v>0.1901757</v>
      </c>
      <c r="Z697">
        <v>-2.1538680000000001E-2</v>
      </c>
      <c r="AA697">
        <v>0.98151379999999999</v>
      </c>
      <c r="AB697">
        <v>36</v>
      </c>
      <c r="AC697">
        <v>0.66419999999993695</v>
      </c>
      <c r="AD697">
        <v>-0.18087829999999999</v>
      </c>
      <c r="AE697">
        <v>-0.162299999999959</v>
      </c>
      <c r="AF697">
        <v>0.156214976199227</v>
      </c>
      <c r="AG697">
        <v>-0.18087829999999999</v>
      </c>
      <c r="AH697">
        <v>0.61963336584150297</v>
      </c>
      <c r="AI697">
        <v>105.804433632602</v>
      </c>
      <c r="AJ697">
        <v>75.850099293942193</v>
      </c>
      <c r="AK697">
        <v>0.66412768822259205</v>
      </c>
      <c r="AL697">
        <v>79.738357231136106</v>
      </c>
      <c r="AM697">
        <v>90.477693402833197</v>
      </c>
      <c r="AN697">
        <v>0.99999998066225004</v>
      </c>
    </row>
    <row r="698" spans="1:40" x14ac:dyDescent="0.25">
      <c r="A698" t="str">
        <f>"20190312172105193"</f>
        <v>20190312172105193</v>
      </c>
      <c r="B698" t="str">
        <f>"1552382465182472"</f>
        <v>1552382465182472</v>
      </c>
      <c r="C698" t="s">
        <v>40</v>
      </c>
      <c r="D698">
        <v>3.31826</v>
      </c>
      <c r="E698">
        <v>0.58340400000000003</v>
      </c>
      <c r="F698" t="s">
        <v>41</v>
      </c>
      <c r="G698">
        <v>-359.30829999999997</v>
      </c>
      <c r="H698">
        <v>0.90031550000000005</v>
      </c>
      <c r="I698">
        <v>367.43680000000001</v>
      </c>
      <c r="J698">
        <v>-360.08710000000002</v>
      </c>
      <c r="K698">
        <v>1.110222</v>
      </c>
      <c r="L698">
        <v>367.62580000000003</v>
      </c>
      <c r="M698">
        <v>0.99988569999999999</v>
      </c>
      <c r="N698">
        <v>0</v>
      </c>
      <c r="O698">
        <v>7.3922759999999997E-3</v>
      </c>
      <c r="P698">
        <v>0.98617259999999995</v>
      </c>
      <c r="Q698">
        <v>0.1650036</v>
      </c>
      <c r="R698">
        <v>1.542192E-2</v>
      </c>
      <c r="S698">
        <v>3.1651919999999998</v>
      </c>
      <c r="T698">
        <v>-0.67888959999999998</v>
      </c>
      <c r="U698">
        <v>-0.60394289999999995</v>
      </c>
      <c r="V698">
        <v>-8.1932979999999999E-3</v>
      </c>
      <c r="W698">
        <v>0.1779966</v>
      </c>
      <c r="X698">
        <v>0.98399700000000001</v>
      </c>
      <c r="Y698">
        <v>0.1903407</v>
      </c>
      <c r="Z698">
        <v>-2.1563189999999999E-2</v>
      </c>
      <c r="AA698">
        <v>0.9814813</v>
      </c>
      <c r="AB698">
        <v>36</v>
      </c>
      <c r="AC698">
        <v>0.77880000000004601</v>
      </c>
      <c r="AD698">
        <v>-0.2099065</v>
      </c>
      <c r="AE698">
        <v>-0.18900000000002101</v>
      </c>
      <c r="AF698">
        <v>0.182249458207212</v>
      </c>
      <c r="AG698">
        <v>-0.2099065</v>
      </c>
      <c r="AH698">
        <v>0.72747406301381201</v>
      </c>
      <c r="AI698">
        <v>105.636503385255</v>
      </c>
      <c r="AJ698">
        <v>75.935521907814206</v>
      </c>
      <c r="AK698">
        <v>0.77877732126513299</v>
      </c>
      <c r="AL698">
        <v>79.746910966250994</v>
      </c>
      <c r="AM698">
        <v>90.477065018627997</v>
      </c>
      <c r="AN698">
        <v>1.00000000787633</v>
      </c>
    </row>
    <row r="699" spans="1:40" x14ac:dyDescent="0.25">
      <c r="A699" t="str">
        <f>"20190312172105205"</f>
        <v>20190312172105205</v>
      </c>
      <c r="B699" t="str">
        <f>"1552382465201992"</f>
        <v>1552382465201992</v>
      </c>
      <c r="C699" t="s">
        <v>40</v>
      </c>
      <c r="D699">
        <v>3.3273779999999999</v>
      </c>
      <c r="E699">
        <v>0.58347830000000001</v>
      </c>
      <c r="F699" t="s">
        <v>41</v>
      </c>
      <c r="G699">
        <v>-359.29340000000002</v>
      </c>
      <c r="H699">
        <v>0.93997649999999999</v>
      </c>
      <c r="I699">
        <v>367.47359999999998</v>
      </c>
      <c r="J699">
        <v>-359.89</v>
      </c>
      <c r="K699">
        <v>1.1102209999999999</v>
      </c>
      <c r="L699">
        <v>367.62729999999999</v>
      </c>
      <c r="M699">
        <v>0.99988509999999997</v>
      </c>
      <c r="N699">
        <v>0</v>
      </c>
      <c r="O699">
        <v>7.4794529999999996E-3</v>
      </c>
      <c r="P699">
        <v>0.98617829999999995</v>
      </c>
      <c r="Q699">
        <v>0.1649641</v>
      </c>
      <c r="R699">
        <v>1.546992E-2</v>
      </c>
      <c r="S699">
        <v>3.1651310000000001</v>
      </c>
      <c r="T699">
        <v>-0.67909839999999999</v>
      </c>
      <c r="U699">
        <v>-0.60440059999999995</v>
      </c>
      <c r="V699">
        <v>-8.1548780000000008E-3</v>
      </c>
      <c r="W699">
        <v>0.17796049999999999</v>
      </c>
      <c r="X699">
        <v>0.98400379999999998</v>
      </c>
      <c r="Y699">
        <v>0.19055730000000001</v>
      </c>
      <c r="Z699">
        <v>-2.1610910000000001E-2</v>
      </c>
      <c r="AA699">
        <v>0.98143820000000004</v>
      </c>
      <c r="AB699">
        <v>36</v>
      </c>
      <c r="AC699">
        <v>0.59659999999996605</v>
      </c>
      <c r="AD699">
        <v>-0.17024449999999899</v>
      </c>
      <c r="AE699">
        <v>-0.15370000000001399</v>
      </c>
      <c r="AF699">
        <v>0.14693800751675601</v>
      </c>
      <c r="AG699">
        <v>-0.17024449999999899</v>
      </c>
      <c r="AH699">
        <v>0.55319140995978</v>
      </c>
      <c r="AI699">
        <v>106.564372086212</v>
      </c>
      <c r="AJ699">
        <v>75.124652816466707</v>
      </c>
      <c r="AK699">
        <v>0.59715551063900796</v>
      </c>
      <c r="AL699">
        <v>79.749012406585905</v>
      </c>
      <c r="AM699">
        <v>90.474824787595594</v>
      </c>
      <c r="AN699">
        <v>0.99999996000494096</v>
      </c>
    </row>
    <row r="700" spans="1:40" x14ac:dyDescent="0.25">
      <c r="A700" t="str">
        <f>"20190312172105217"</f>
        <v>20190312172105217</v>
      </c>
      <c r="B700" t="str">
        <f>"1552382465211751"</f>
        <v>1552382465211751</v>
      </c>
      <c r="C700" t="s">
        <v>40</v>
      </c>
      <c r="D700">
        <v>3.306969</v>
      </c>
      <c r="E700">
        <v>0.58351450000000005</v>
      </c>
      <c r="F700" t="s">
        <v>41</v>
      </c>
      <c r="G700">
        <v>-358.97750000000002</v>
      </c>
      <c r="H700">
        <v>0.91436770000000001</v>
      </c>
      <c r="I700">
        <v>367.45249999999999</v>
      </c>
      <c r="J700">
        <v>-359.68549999999999</v>
      </c>
      <c r="K700">
        <v>1.110222</v>
      </c>
      <c r="L700">
        <v>367.62889999999999</v>
      </c>
      <c r="M700">
        <v>0.99988440000000001</v>
      </c>
      <c r="N700">
        <v>0</v>
      </c>
      <c r="O700">
        <v>7.5697919999999997E-3</v>
      </c>
      <c r="P700">
        <v>0.9861356</v>
      </c>
      <c r="Q700">
        <v>0.165218</v>
      </c>
      <c r="R700">
        <v>1.548828E-2</v>
      </c>
      <c r="S700">
        <v>3.1651919999999998</v>
      </c>
      <c r="T700">
        <v>-0.67952000000000001</v>
      </c>
      <c r="U700">
        <v>-0.60464479999999998</v>
      </c>
      <c r="V700">
        <v>-8.084585E-3</v>
      </c>
      <c r="W700">
        <v>0.17821619999999999</v>
      </c>
      <c r="X700">
        <v>0.98395809999999995</v>
      </c>
      <c r="Y700">
        <v>0.19070509999999999</v>
      </c>
      <c r="Z700">
        <v>-2.165806E-2</v>
      </c>
      <c r="AA700">
        <v>0.98140839999999996</v>
      </c>
      <c r="AB700">
        <v>36</v>
      </c>
      <c r="AC700">
        <v>0.70799999999996899</v>
      </c>
      <c r="AD700">
        <v>-0.19585430000000001</v>
      </c>
      <c r="AE700">
        <v>-0.176400000000001</v>
      </c>
      <c r="AF700">
        <v>0.16953924756015801</v>
      </c>
      <c r="AG700">
        <v>-0.19585430000000001</v>
      </c>
      <c r="AH700">
        <v>0.65915136497173499</v>
      </c>
      <c r="AI700">
        <v>106.053951686668</v>
      </c>
      <c r="AJ700">
        <v>75.575706171746106</v>
      </c>
      <c r="AK700">
        <v>0.70822523623198896</v>
      </c>
      <c r="AL700">
        <v>79.734123858958796</v>
      </c>
      <c r="AM700">
        <v>90.470753964370999</v>
      </c>
      <c r="AN700">
        <v>0.99999995850633505</v>
      </c>
    </row>
    <row r="701" spans="1:40" x14ac:dyDescent="0.25">
      <c r="A701" t="str">
        <f>"20190312172105231"</f>
        <v>20190312172105231</v>
      </c>
      <c r="B701" t="str">
        <f>"1552382465222488"</f>
        <v>1552382465222488</v>
      </c>
      <c r="C701" t="s">
        <v>40</v>
      </c>
      <c r="D701">
        <v>3.2813479999999999</v>
      </c>
      <c r="E701">
        <v>0.58354839999999997</v>
      </c>
      <c r="F701" t="s">
        <v>41</v>
      </c>
      <c r="G701">
        <v>-358.9615</v>
      </c>
      <c r="H701">
        <v>0.95498099999999997</v>
      </c>
      <c r="I701">
        <v>367.49</v>
      </c>
      <c r="J701">
        <v>-359.48129999999998</v>
      </c>
      <c r="K701">
        <v>1.1102259999999999</v>
      </c>
      <c r="L701">
        <v>367.63060000000002</v>
      </c>
      <c r="M701">
        <v>0.99988359999999998</v>
      </c>
      <c r="N701">
        <v>0</v>
      </c>
      <c r="O701">
        <v>7.6601319999999896E-3</v>
      </c>
      <c r="P701">
        <v>0.9860932</v>
      </c>
      <c r="Q701">
        <v>0.16547779999999901</v>
      </c>
      <c r="R701">
        <v>1.540471E-2</v>
      </c>
      <c r="S701">
        <v>3.1654049999999998</v>
      </c>
      <c r="T701">
        <v>-0.67889149999999998</v>
      </c>
      <c r="U701">
        <v>-0.60513309999999998</v>
      </c>
      <c r="V701">
        <v>-7.9120130000000007E-3</v>
      </c>
      <c r="W701">
        <v>0.17847750000000001</v>
      </c>
      <c r="X701">
        <v>0.98391220000000001</v>
      </c>
      <c r="Y701">
        <v>0.1909293</v>
      </c>
      <c r="Z701">
        <v>-2.1679319999999998E-2</v>
      </c>
      <c r="AA701">
        <v>0.98136440000000003</v>
      </c>
      <c r="AB701">
        <v>36</v>
      </c>
      <c r="AC701">
        <v>0.51979999999997495</v>
      </c>
      <c r="AD701">
        <v>-0.15524499999999899</v>
      </c>
      <c r="AE701">
        <v>-0.140600000000006</v>
      </c>
      <c r="AF701">
        <v>0.13348307382340299</v>
      </c>
      <c r="AG701">
        <v>-0.15524499999999899</v>
      </c>
      <c r="AH701">
        <v>0.47890211765790902</v>
      </c>
      <c r="AI701">
        <v>107.341789244205</v>
      </c>
      <c r="AJ701">
        <v>74.425397135936095</v>
      </c>
      <c r="AK701">
        <v>0.520832006811769</v>
      </c>
      <c r="AL701">
        <v>79.718909148660998</v>
      </c>
      <c r="AM701">
        <v>90.460727269660893</v>
      </c>
      <c r="AN701">
        <v>1.0000000176324</v>
      </c>
    </row>
    <row r="702" spans="1:40" x14ac:dyDescent="0.25">
      <c r="A702" t="str">
        <f>"20190312172105244"</f>
        <v>20190312172105244</v>
      </c>
      <c r="B702" t="str">
        <f>"1552382465242007"</f>
        <v>1552382465242007</v>
      </c>
      <c r="C702" t="s">
        <v>40</v>
      </c>
      <c r="D702">
        <v>3.279204</v>
      </c>
      <c r="E702">
        <v>0.58362419999999904</v>
      </c>
      <c r="F702" t="s">
        <v>41</v>
      </c>
      <c r="G702">
        <v>-358.64580000000001</v>
      </c>
      <c r="H702">
        <v>0.93130860000000004</v>
      </c>
      <c r="I702">
        <v>367.47019999999998</v>
      </c>
      <c r="J702">
        <v>-359.2552</v>
      </c>
      <c r="K702">
        <v>1.1102289999999999</v>
      </c>
      <c r="L702">
        <v>367.63240000000002</v>
      </c>
      <c r="M702">
        <v>0.99988279999999996</v>
      </c>
      <c r="N702">
        <v>0</v>
      </c>
      <c r="O702">
        <v>7.7601859999999996E-3</v>
      </c>
      <c r="P702">
        <v>0.98608830000000003</v>
      </c>
      <c r="Q702">
        <v>0.16550989999999999</v>
      </c>
      <c r="R702">
        <v>1.537959E-2</v>
      </c>
      <c r="S702">
        <v>3.1655579999999999</v>
      </c>
      <c r="T702">
        <v>-0.67806669999999902</v>
      </c>
      <c r="U702">
        <v>-0.60549929999999996</v>
      </c>
      <c r="V702">
        <v>-7.7881039999999997E-3</v>
      </c>
      <c r="W702">
        <v>0.17851220000000001</v>
      </c>
      <c r="X702">
        <v>0.98390690000000003</v>
      </c>
      <c r="Y702">
        <v>0.19113260000000001</v>
      </c>
      <c r="Z702">
        <v>-2.1694680000000001E-2</v>
      </c>
      <c r="AA702">
        <v>0.98132439999999999</v>
      </c>
      <c r="AB702">
        <v>36</v>
      </c>
      <c r="AC702">
        <v>0.60939999999999295</v>
      </c>
      <c r="AD702">
        <v>-0.17892040000000001</v>
      </c>
      <c r="AE702">
        <v>-0.16220000000004101</v>
      </c>
      <c r="AF702">
        <v>0.154488459622523</v>
      </c>
      <c r="AG702">
        <v>-0.17892040000000001</v>
      </c>
      <c r="AH702">
        <v>0.56281679809984897</v>
      </c>
      <c r="AI702">
        <v>107.04356614816</v>
      </c>
      <c r="AJ702">
        <v>74.650835683725006</v>
      </c>
      <c r="AK702">
        <v>0.61044405305979199</v>
      </c>
      <c r="AL702">
        <v>79.716888601904103</v>
      </c>
      <c r="AM702">
        <v>90.453514626785804</v>
      </c>
      <c r="AN702">
        <v>1.0000000239901801</v>
      </c>
    </row>
    <row r="703" spans="1:40" x14ac:dyDescent="0.25">
      <c r="A703" t="str">
        <f>"20190312172105259"</f>
        <v>20190312172105259</v>
      </c>
      <c r="B703" t="str">
        <f>"1552382465251768"</f>
        <v>1552382465251768</v>
      </c>
      <c r="C703" t="s">
        <v>40</v>
      </c>
      <c r="D703">
        <v>3.3231389999999998</v>
      </c>
      <c r="E703">
        <v>0.58364359999999904</v>
      </c>
      <c r="F703" t="s">
        <v>41</v>
      </c>
      <c r="G703">
        <v>-358.32799999999997</v>
      </c>
      <c r="H703">
        <v>0.91161729999999996</v>
      </c>
      <c r="I703">
        <v>367.4545</v>
      </c>
      <c r="J703">
        <v>-359.00450000000001</v>
      </c>
      <c r="K703">
        <v>1.110233</v>
      </c>
      <c r="L703">
        <v>367.6345</v>
      </c>
      <c r="M703">
        <v>0.99988189999999999</v>
      </c>
      <c r="N703">
        <v>0</v>
      </c>
      <c r="O703">
        <v>7.8709680000000008E-3</v>
      </c>
      <c r="P703">
        <v>0.98606070000000001</v>
      </c>
      <c r="Q703">
        <v>0.16567229999999999</v>
      </c>
      <c r="R703">
        <v>1.540912E-2</v>
      </c>
      <c r="S703">
        <v>3.165619</v>
      </c>
      <c r="T703">
        <v>-0.67834090000000002</v>
      </c>
      <c r="U703">
        <v>-0.60595699999999997</v>
      </c>
      <c r="V703">
        <v>-7.7090489999999999E-3</v>
      </c>
      <c r="W703">
        <v>0.1786769</v>
      </c>
      <c r="X703">
        <v>0.98387760000000002</v>
      </c>
      <c r="Y703">
        <v>0.1913639</v>
      </c>
      <c r="Z703">
        <v>-2.1750149999999999E-2</v>
      </c>
      <c r="AA703">
        <v>0.98127810000000004</v>
      </c>
      <c r="AB703">
        <v>36</v>
      </c>
      <c r="AC703">
        <v>0.67649999999997501</v>
      </c>
      <c r="AD703">
        <v>-0.19861569999999901</v>
      </c>
      <c r="AE703">
        <v>-0.18000000000000599</v>
      </c>
      <c r="AF703">
        <v>0.171513142496662</v>
      </c>
      <c r="AG703">
        <v>-0.19861569999999901</v>
      </c>
      <c r="AH703">
        <v>0.62476948679212196</v>
      </c>
      <c r="AI703">
        <v>107.043475551151</v>
      </c>
      <c r="AJ703">
        <v>74.649198901820796</v>
      </c>
      <c r="AK703">
        <v>0.67764435064572104</v>
      </c>
      <c r="AL703">
        <v>79.707297522054304</v>
      </c>
      <c r="AM703">
        <v>90.448924676266799</v>
      </c>
      <c r="AN703">
        <v>0.99999999790592697</v>
      </c>
    </row>
    <row r="704" spans="1:40" x14ac:dyDescent="0.25">
      <c r="A704" t="str">
        <f>"20190312172105271"</f>
        <v>20190312172105271</v>
      </c>
      <c r="B704" t="str">
        <f>"1552382465262505"</f>
        <v>1552382465262505</v>
      </c>
      <c r="C704" t="s">
        <v>40</v>
      </c>
      <c r="D704">
        <v>3.293882</v>
      </c>
      <c r="E704">
        <v>0.58366960000000001</v>
      </c>
      <c r="F704" t="s">
        <v>41</v>
      </c>
      <c r="G704">
        <v>-358.3082</v>
      </c>
      <c r="H704">
        <v>0.96122929999999995</v>
      </c>
      <c r="I704">
        <v>367.50069999999999</v>
      </c>
      <c r="J704">
        <v>-358.81720000000001</v>
      </c>
      <c r="K704">
        <v>1.110233</v>
      </c>
      <c r="L704">
        <v>367.63600000000002</v>
      </c>
      <c r="M704">
        <v>0.99988109999999997</v>
      </c>
      <c r="N704">
        <v>0</v>
      </c>
      <c r="O704">
        <v>7.9537469999999902E-3</v>
      </c>
      <c r="P704">
        <v>0.98602639999999997</v>
      </c>
      <c r="Q704">
        <v>0.16588139999999901</v>
      </c>
      <c r="R704">
        <v>1.533692E-2</v>
      </c>
      <c r="S704">
        <v>3.1657410000000001</v>
      </c>
      <c r="T704">
        <v>-0.67765819999999999</v>
      </c>
      <c r="U704">
        <v>-0.60610959999999903</v>
      </c>
      <c r="V704">
        <v>-7.5558129999999998E-3</v>
      </c>
      <c r="W704">
        <v>0.17888709999999999</v>
      </c>
      <c r="X704">
        <v>0.98384059999999995</v>
      </c>
      <c r="Y704">
        <v>0.1914883</v>
      </c>
      <c r="Z704">
        <v>-2.1758260000000001E-2</v>
      </c>
      <c r="AA704">
        <v>0.98125370000000001</v>
      </c>
      <c r="AB704">
        <v>36</v>
      </c>
      <c r="AC704">
        <v>0.509000000000014</v>
      </c>
      <c r="AD704">
        <v>-0.14900369999999999</v>
      </c>
      <c r="AE704">
        <v>-0.135299999999972</v>
      </c>
      <c r="AF704">
        <v>0.12901791737137</v>
      </c>
      <c r="AG704">
        <v>-0.14900369999999999</v>
      </c>
      <c r="AH704">
        <v>0.47026739116120497</v>
      </c>
      <c r="AI704">
        <v>106.990957650469</v>
      </c>
      <c r="AJ704">
        <v>74.658371690788996</v>
      </c>
      <c r="AK704">
        <v>0.50990111277197903</v>
      </c>
      <c r="AL704">
        <v>79.695056813734496</v>
      </c>
      <c r="AM704">
        <v>90.440018113400797</v>
      </c>
      <c r="AN704">
        <v>1.0000000055324301</v>
      </c>
    </row>
    <row r="705" spans="1:40" x14ac:dyDescent="0.25">
      <c r="A705" t="str">
        <f>"20190312172105282"</f>
        <v>20190312172105282</v>
      </c>
      <c r="B705" t="str">
        <f>"1552382465272263"</f>
        <v>1552382465272263</v>
      </c>
      <c r="C705" t="s">
        <v>40</v>
      </c>
      <c r="D705">
        <v>3.4168280000000002</v>
      </c>
      <c r="E705">
        <v>0.58366960000000001</v>
      </c>
      <c r="F705" t="s">
        <v>41</v>
      </c>
      <c r="G705">
        <v>-357.99450000000002</v>
      </c>
      <c r="H705">
        <v>0.93430789999999997</v>
      </c>
      <c r="I705">
        <v>367.47789999999998</v>
      </c>
      <c r="J705">
        <v>-358.62909999999999</v>
      </c>
      <c r="K705">
        <v>1.110233</v>
      </c>
      <c r="L705">
        <v>367.63760000000002</v>
      </c>
      <c r="M705">
        <v>0.99988049999999995</v>
      </c>
      <c r="N705">
        <v>0</v>
      </c>
      <c r="O705">
        <v>8.0368230000000002E-3</v>
      </c>
      <c r="P705">
        <v>0.98596229999999996</v>
      </c>
      <c r="Q705">
        <v>0.16624520000000001</v>
      </c>
      <c r="R705">
        <v>1.5520320000000001E-2</v>
      </c>
      <c r="S705">
        <v>3.1658940000000002</v>
      </c>
      <c r="T705">
        <v>-0.67712469999999902</v>
      </c>
      <c r="U705">
        <v>-0.60650630000000005</v>
      </c>
      <c r="V705">
        <v>-7.6570980000000002E-3</v>
      </c>
      <c r="W705">
        <v>0.1792511</v>
      </c>
      <c r="X705">
        <v>0.98377349999999997</v>
      </c>
      <c r="Y705">
        <v>0.19168089999999999</v>
      </c>
      <c r="Z705">
        <v>-2.1777850000000001E-2</v>
      </c>
      <c r="AA705">
        <v>0.98121570000000002</v>
      </c>
      <c r="AB705">
        <v>36</v>
      </c>
      <c r="AC705">
        <v>0.63459999999997696</v>
      </c>
      <c r="AD705">
        <v>-0.1759251</v>
      </c>
      <c r="AE705">
        <v>-0.159700000000043</v>
      </c>
      <c r="AF705">
        <v>0.15368769399375101</v>
      </c>
      <c r="AG705">
        <v>-0.1759251</v>
      </c>
      <c r="AH705">
        <v>0.59060966446486396</v>
      </c>
      <c r="AI705">
        <v>106.080698007157</v>
      </c>
      <c r="AJ705">
        <v>75.414045918217994</v>
      </c>
      <c r="AK705">
        <v>0.63512937568217198</v>
      </c>
      <c r="AL705">
        <v>79.673857865203601</v>
      </c>
      <c r="AM705">
        <v>90.445946693676305</v>
      </c>
      <c r="AN705">
        <v>0.99999994365161904</v>
      </c>
    </row>
    <row r="706" spans="1:40" x14ac:dyDescent="0.25">
      <c r="A706" t="str">
        <f>"20190312172105293"</f>
        <v>20190312172105293</v>
      </c>
      <c r="B706" t="str">
        <f>"1552382465282023"</f>
        <v>1552382465282023</v>
      </c>
      <c r="C706" t="s">
        <v>40</v>
      </c>
      <c r="D706">
        <v>3.341132</v>
      </c>
      <c r="E706">
        <v>0.57626089999999996</v>
      </c>
      <c r="F706" t="s">
        <v>41</v>
      </c>
      <c r="G706">
        <v>-357.67959999999999</v>
      </c>
      <c r="H706">
        <v>0.90759089999999998</v>
      </c>
      <c r="I706">
        <v>367.4554</v>
      </c>
      <c r="J706">
        <v>-358.45389999999998</v>
      </c>
      <c r="K706">
        <v>1.1102339999999999</v>
      </c>
      <c r="L706">
        <v>367.63909999999998</v>
      </c>
      <c r="M706">
        <v>0.99987979999999999</v>
      </c>
      <c r="N706">
        <v>0</v>
      </c>
      <c r="O706">
        <v>8.1142369999999998E-3</v>
      </c>
      <c r="P706">
        <v>0.98595960000000005</v>
      </c>
      <c r="Q706">
        <v>0.16625609999999999</v>
      </c>
      <c r="R706">
        <v>1.5577199999999999E-2</v>
      </c>
      <c r="S706">
        <v>3.1661990000000002</v>
      </c>
      <c r="T706">
        <v>-0.67585669999999898</v>
      </c>
      <c r="U706">
        <v>-0.60638429999999999</v>
      </c>
      <c r="V706">
        <v>-7.6383179999999998E-3</v>
      </c>
      <c r="W706">
        <v>0.17926339999999999</v>
      </c>
      <c r="X706">
        <v>0.98377150000000002</v>
      </c>
      <c r="Y706">
        <v>0.19171730000000001</v>
      </c>
      <c r="Z706">
        <v>-2.1756029999999999E-2</v>
      </c>
      <c r="AA706">
        <v>0.981209</v>
      </c>
      <c r="AB706">
        <v>36</v>
      </c>
      <c r="AC706">
        <v>0.774299999999982</v>
      </c>
      <c r="AD706">
        <v>-0.20264309999999999</v>
      </c>
      <c r="AE706">
        <v>-0.18369999999998701</v>
      </c>
      <c r="AF706">
        <v>0.17840877887081499</v>
      </c>
      <c r="AG706">
        <v>-0.20264309999999999</v>
      </c>
      <c r="AH706">
        <v>0.72572551246600203</v>
      </c>
      <c r="AI706">
        <v>105.171231014726</v>
      </c>
      <c r="AJ706">
        <v>76.188571619931494</v>
      </c>
      <c r="AK706">
        <v>0.77431998411498304</v>
      </c>
      <c r="AL706">
        <v>79.673142502140195</v>
      </c>
      <c r="AM706">
        <v>90.444853901438506</v>
      </c>
      <c r="AN706">
        <v>1.0000000373468301</v>
      </c>
    </row>
    <row r="707" spans="1:40" x14ac:dyDescent="0.25">
      <c r="A707" t="str">
        <f>"20190312172105304"</f>
        <v>20190312172105304</v>
      </c>
      <c r="B707" t="str">
        <f>"1552382465291784"</f>
        <v>1552382465291784</v>
      </c>
      <c r="C707" t="s">
        <v>40</v>
      </c>
      <c r="D707">
        <v>3.353335</v>
      </c>
      <c r="E707">
        <v>0.57101630000000003</v>
      </c>
      <c r="F707" t="s">
        <v>41</v>
      </c>
      <c r="G707">
        <v>-357.64249999999998</v>
      </c>
      <c r="H707">
        <v>0.9932877</v>
      </c>
      <c r="I707">
        <v>367.49619999999999</v>
      </c>
      <c r="J707">
        <v>-358.28480000000002</v>
      </c>
      <c r="K707">
        <v>1.110236</v>
      </c>
      <c r="L707">
        <v>367.64049999999997</v>
      </c>
      <c r="M707">
        <v>0.99987930000000003</v>
      </c>
      <c r="N707">
        <v>0</v>
      </c>
      <c r="O707">
        <v>8.1887929999999998E-3</v>
      </c>
      <c r="P707">
        <v>0.98595529999999998</v>
      </c>
      <c r="Q707">
        <v>0.1662661</v>
      </c>
      <c r="R707">
        <v>1.574646E-2</v>
      </c>
      <c r="S707">
        <v>3.127472</v>
      </c>
      <c r="T707">
        <v>-0.4510033</v>
      </c>
      <c r="U707">
        <v>-0.54937740000000002</v>
      </c>
      <c r="V707">
        <v>-7.7335299999999997E-3</v>
      </c>
      <c r="W707">
        <v>0.17927409999999999</v>
      </c>
      <c r="X707">
        <v>0.9837688</v>
      </c>
      <c r="Y707">
        <v>0.17919170000000001</v>
      </c>
      <c r="Z707">
        <v>-1.3923990000000001E-2</v>
      </c>
      <c r="AA707">
        <v>0.98371569999999997</v>
      </c>
      <c r="AB707">
        <v>36</v>
      </c>
      <c r="AC707">
        <v>0.64230000000003395</v>
      </c>
      <c r="AD707">
        <v>-0.11694829999999901</v>
      </c>
      <c r="AE707">
        <v>-0.14429999999998699</v>
      </c>
      <c r="AF707">
        <v>0.14497982126831699</v>
      </c>
      <c r="AG707">
        <v>-0.11694829999999901</v>
      </c>
      <c r="AH707">
        <v>0.62148314913064295</v>
      </c>
      <c r="AI707">
        <v>100.3845613812</v>
      </c>
      <c r="AJ707">
        <v>76.868855417404703</v>
      </c>
      <c r="AK707">
        <v>0.64879685426273803</v>
      </c>
      <c r="AL707">
        <v>79.672519277365595</v>
      </c>
      <c r="AM707">
        <v>90.450400035703595</v>
      </c>
      <c r="AN707">
        <v>1.0000000311352499</v>
      </c>
    </row>
    <row r="708" spans="1:40" x14ac:dyDescent="0.25">
      <c r="A708" t="str">
        <f>"20190312172105314"</f>
        <v>20190312172105314</v>
      </c>
      <c r="B708" t="str">
        <f>"1552382465312280"</f>
        <v>1552382465312280</v>
      </c>
      <c r="C708" t="s">
        <v>40</v>
      </c>
      <c r="D708">
        <v>3.3910330000000002</v>
      </c>
      <c r="E708">
        <v>0.5662509</v>
      </c>
      <c r="F708" t="s">
        <v>41</v>
      </c>
      <c r="G708">
        <v>-357.315</v>
      </c>
      <c r="H708">
        <v>0.99773650000000003</v>
      </c>
      <c r="I708">
        <v>367.4819</v>
      </c>
      <c r="J708">
        <v>-358.11259999999999</v>
      </c>
      <c r="K708">
        <v>1.1102369999999999</v>
      </c>
      <c r="L708">
        <v>367.642</v>
      </c>
      <c r="M708">
        <v>0.99987859999999995</v>
      </c>
      <c r="N708">
        <v>0</v>
      </c>
      <c r="O708">
        <v>8.2646600000000001E-3</v>
      </c>
      <c r="P708">
        <v>0.98593629999999999</v>
      </c>
      <c r="Q708">
        <v>0.16638520000000001</v>
      </c>
      <c r="R708">
        <v>1.5672289999999998E-2</v>
      </c>
      <c r="S708">
        <v>3.111755</v>
      </c>
      <c r="T708">
        <v>-0.36108770000000001</v>
      </c>
      <c r="U708">
        <v>-0.50817869999999998</v>
      </c>
      <c r="V708">
        <v>-7.5851269999999997E-3</v>
      </c>
      <c r="W708">
        <v>0.17939379999999999</v>
      </c>
      <c r="X708">
        <v>0.98374810000000001</v>
      </c>
      <c r="Y708">
        <v>0.1681724</v>
      </c>
      <c r="Z708">
        <v>-1.0611199999999999E-2</v>
      </c>
      <c r="AA708">
        <v>0.98570049999999998</v>
      </c>
      <c r="AB708">
        <v>36</v>
      </c>
      <c r="AC708">
        <v>0.79759999999998799</v>
      </c>
      <c r="AD708">
        <v>-0.1125005</v>
      </c>
      <c r="AE708">
        <v>-0.16009999999999899</v>
      </c>
      <c r="AF708">
        <v>0.163559060583121</v>
      </c>
      <c r="AG708">
        <v>-0.1125005</v>
      </c>
      <c r="AH708">
        <v>0.78130757376870497</v>
      </c>
      <c r="AI708">
        <v>98.022146532125205</v>
      </c>
      <c r="AJ708">
        <v>78.176434333118806</v>
      </c>
      <c r="AK708">
        <v>0.80613240452634305</v>
      </c>
      <c r="AL708">
        <v>79.665547598241503</v>
      </c>
      <c r="AM708">
        <v>90.441766700356197</v>
      </c>
      <c r="AN708">
        <v>0.99999999694182795</v>
      </c>
    </row>
    <row r="709" spans="1:40" x14ac:dyDescent="0.25">
      <c r="A709" t="str">
        <f>"20190312172105326"</f>
        <v>20190312172105326</v>
      </c>
      <c r="B709" t="str">
        <f>"1552382465322040"</f>
        <v>1552382465322040</v>
      </c>
      <c r="C709" t="s">
        <v>40</v>
      </c>
      <c r="D709">
        <v>3.3809830000000001</v>
      </c>
      <c r="E709">
        <v>0.56536719999999996</v>
      </c>
      <c r="F709" t="s">
        <v>42</v>
      </c>
      <c r="G709">
        <v>-344.3091</v>
      </c>
      <c r="H709" s="1">
        <v>-3.3945030000000002E-6</v>
      </c>
      <c r="I709">
        <v>365.53539999999998</v>
      </c>
      <c r="J709">
        <v>-357.92469999999997</v>
      </c>
      <c r="K709">
        <v>1.110233</v>
      </c>
      <c r="L709">
        <v>367.64359999999999</v>
      </c>
      <c r="M709">
        <v>0.99987800000000004</v>
      </c>
      <c r="N709">
        <v>0</v>
      </c>
      <c r="O709">
        <v>8.3475600000000004E-3</v>
      </c>
      <c r="P709">
        <v>0.98593609999999998</v>
      </c>
      <c r="Q709">
        <v>0.1663694</v>
      </c>
      <c r="R709">
        <v>1.5857960000000001E-2</v>
      </c>
      <c r="S709">
        <v>3.0922550000000002</v>
      </c>
      <c r="T709">
        <v>-0.24871589999999999</v>
      </c>
      <c r="U709">
        <v>-0.4719238</v>
      </c>
      <c r="V709">
        <v>-7.6888159999999898E-3</v>
      </c>
      <c r="W709">
        <v>0.17937919999999999</v>
      </c>
      <c r="X709">
        <v>0.98375000000000001</v>
      </c>
      <c r="Y709">
        <v>0.15858839999999999</v>
      </c>
      <c r="Z709">
        <v>-6.9976709999999996E-3</v>
      </c>
      <c r="AA709">
        <v>0.98731999999999998</v>
      </c>
      <c r="AB709">
        <v>36</v>
      </c>
      <c r="AC709">
        <v>13.615599999999899</v>
      </c>
      <c r="AD709">
        <v>-1.1102363945029901</v>
      </c>
      <c r="AE709">
        <v>-2.1082000000000098</v>
      </c>
      <c r="AF709">
        <v>2.2074596909019402</v>
      </c>
      <c r="AG709">
        <v>-1.1102363945029901</v>
      </c>
      <c r="AH709">
        <v>13.5098019214483</v>
      </c>
      <c r="AI709">
        <v>94.636797036128996</v>
      </c>
      <c r="AJ709">
        <v>80.720054620466499</v>
      </c>
      <c r="AK709">
        <v>13.7339088061412</v>
      </c>
      <c r="AL709">
        <v>79.666398348063595</v>
      </c>
      <c r="AM709">
        <v>90.447804560317905</v>
      </c>
      <c r="AN709">
        <v>1.00000003889206</v>
      </c>
    </row>
    <row r="710" spans="1:40" x14ac:dyDescent="0.25">
      <c r="A710" t="str">
        <f>"20190312172105336"</f>
        <v>20190312172105336</v>
      </c>
      <c r="B710" t="str">
        <f>"1552382465331800"</f>
        <v>1552382465331800</v>
      </c>
      <c r="C710" t="s">
        <v>40</v>
      </c>
      <c r="D710">
        <v>3.3821509999999999</v>
      </c>
      <c r="E710">
        <v>0.56478819999999996</v>
      </c>
      <c r="F710" t="s">
        <v>42</v>
      </c>
      <c r="G710">
        <v>-342.32990000000001</v>
      </c>
      <c r="H710" s="1">
        <v>-4.3727810000000004E-6</v>
      </c>
      <c r="I710">
        <v>365.29469999999998</v>
      </c>
      <c r="J710">
        <v>-357.75040000000001</v>
      </c>
      <c r="K710">
        <v>1.1102369999999999</v>
      </c>
      <c r="L710">
        <v>367.64510000000001</v>
      </c>
      <c r="M710">
        <v>0.99987729999999997</v>
      </c>
      <c r="N710">
        <v>0</v>
      </c>
      <c r="O710">
        <v>8.424796E-3</v>
      </c>
      <c r="P710">
        <v>0.98590809999999995</v>
      </c>
      <c r="Q710">
        <v>0.16651930000000001</v>
      </c>
      <c r="R710">
        <v>1.602247E-2</v>
      </c>
      <c r="S710">
        <v>3.0873409999999999</v>
      </c>
      <c r="T710">
        <v>-0.21979589999999999</v>
      </c>
      <c r="U710">
        <v>-0.46502690000000002</v>
      </c>
      <c r="V710">
        <v>-7.7772579999999996E-3</v>
      </c>
      <c r="W710">
        <v>0.17952879999999999</v>
      </c>
      <c r="X710">
        <v>0.98372199999999999</v>
      </c>
      <c r="Y710">
        <v>0.15686069999999999</v>
      </c>
      <c r="Z710">
        <v>-6.1412639999999996E-3</v>
      </c>
      <c r="AA710">
        <v>0.98760159999999997</v>
      </c>
      <c r="AB710">
        <v>36</v>
      </c>
      <c r="AC710">
        <v>15.420500000000001</v>
      </c>
      <c r="AD710">
        <v>-1.1102413727809901</v>
      </c>
      <c r="AE710">
        <v>-2.3504000000000298</v>
      </c>
      <c r="AF710">
        <v>2.4677409334813198</v>
      </c>
      <c r="AG710">
        <v>-1.1102413727809901</v>
      </c>
      <c r="AH710">
        <v>15.3225256104151</v>
      </c>
      <c r="AI710">
        <v>94.091757746036194</v>
      </c>
      <c r="AJ710">
        <v>80.850898186362897</v>
      </c>
      <c r="AK710">
        <v>15.559632781735001</v>
      </c>
      <c r="AL710">
        <v>79.657685307714203</v>
      </c>
      <c r="AM710">
        <v>90.452968192142905</v>
      </c>
      <c r="AN710">
        <v>1.0000000245277101</v>
      </c>
    </row>
    <row r="711" spans="1:40" x14ac:dyDescent="0.25">
      <c r="A711" t="str">
        <f>"20190312172105348"</f>
        <v>20190312172105348</v>
      </c>
      <c r="B711" t="str">
        <f>"1552382465341560"</f>
        <v>1552382465341560</v>
      </c>
      <c r="C711" t="s">
        <v>40</v>
      </c>
      <c r="D711">
        <v>3.3621099999999999</v>
      </c>
      <c r="E711">
        <v>0.56456059999999997</v>
      </c>
      <c r="F711" t="s">
        <v>42</v>
      </c>
      <c r="G711">
        <v>-340.48020000000002</v>
      </c>
      <c r="H711" s="1">
        <v>-5.2872059999999997E-6</v>
      </c>
      <c r="I711">
        <v>365.06889999999999</v>
      </c>
      <c r="J711">
        <v>-357.56420000000003</v>
      </c>
      <c r="K711">
        <v>1.110239</v>
      </c>
      <c r="L711">
        <v>367.64679999999998</v>
      </c>
      <c r="M711">
        <v>0.9998766</v>
      </c>
      <c r="N711">
        <v>0</v>
      </c>
      <c r="O711">
        <v>8.5073960000000004E-3</v>
      </c>
      <c r="P711">
        <v>0.98592069999999998</v>
      </c>
      <c r="Q711">
        <v>0.16644690000000001</v>
      </c>
      <c r="R711">
        <v>1.6002780000000001E-2</v>
      </c>
      <c r="S711">
        <v>3.0838320000000001</v>
      </c>
      <c r="T711">
        <v>-0.19824919999999999</v>
      </c>
      <c r="U711">
        <v>-0.46002199999999999</v>
      </c>
      <c r="V711">
        <v>-7.676039E-3</v>
      </c>
      <c r="W711">
        <v>0.17945710000000001</v>
      </c>
      <c r="X711">
        <v>0.9837359</v>
      </c>
      <c r="Y711">
        <v>0.1556178</v>
      </c>
      <c r="Z711">
        <v>-5.5129849999999998E-3</v>
      </c>
      <c r="AA711">
        <v>0.98780199999999996</v>
      </c>
      <c r="AB711">
        <v>36</v>
      </c>
      <c r="AC711">
        <v>17.084</v>
      </c>
      <c r="AD711">
        <v>-1.1102442872060001</v>
      </c>
      <c r="AE711">
        <v>-2.5779000000000001</v>
      </c>
      <c r="AF711">
        <v>2.7119611241104402</v>
      </c>
      <c r="AG711">
        <v>-1.1102442872060001</v>
      </c>
      <c r="AH711">
        <v>16.991285791800301</v>
      </c>
      <c r="AI711">
        <v>93.691906964139804</v>
      </c>
      <c r="AJ711">
        <v>80.931571188533297</v>
      </c>
      <c r="AK711">
        <v>17.242133521539401</v>
      </c>
      <c r="AL711">
        <v>79.661861466185002</v>
      </c>
      <c r="AM711">
        <v>90.447066852419397</v>
      </c>
      <c r="AN711">
        <v>1.0000000466319701</v>
      </c>
    </row>
    <row r="712" spans="1:40" x14ac:dyDescent="0.25">
      <c r="A712" t="str">
        <f>"20190312172105361"</f>
        <v>20190312172105361</v>
      </c>
      <c r="B712" t="str">
        <f>"1552382465352296"</f>
        <v>1552382465352296</v>
      </c>
      <c r="C712" t="s">
        <v>40</v>
      </c>
      <c r="D712">
        <v>3.3281420000000002</v>
      </c>
      <c r="E712">
        <v>0.56430089999999999</v>
      </c>
      <c r="F712" t="s">
        <v>42</v>
      </c>
      <c r="G712">
        <v>-338.91239999999999</v>
      </c>
      <c r="H712" s="1">
        <v>-1.6181189999999999E-6</v>
      </c>
      <c r="I712">
        <v>364.87349999999998</v>
      </c>
      <c r="J712">
        <v>-357.36</v>
      </c>
      <c r="K712">
        <v>1.1102379999999901</v>
      </c>
      <c r="L712">
        <v>367.64870000000002</v>
      </c>
      <c r="M712">
        <v>0.99987570000000003</v>
      </c>
      <c r="N712">
        <v>0</v>
      </c>
      <c r="O712">
        <v>8.598161E-3</v>
      </c>
      <c r="P712">
        <v>0.98593109999999995</v>
      </c>
      <c r="Q712">
        <v>0.16637539999999901</v>
      </c>
      <c r="R712">
        <v>1.6096050000000001E-2</v>
      </c>
      <c r="S712">
        <v>3.0812680000000001</v>
      </c>
      <c r="T712">
        <v>-0.1834105</v>
      </c>
      <c r="U712">
        <v>-0.45812989999999998</v>
      </c>
      <c r="V712">
        <v>-7.6794239999999998E-3</v>
      </c>
      <c r="W712">
        <v>0.1793862</v>
      </c>
      <c r="X712">
        <v>0.98374870000000003</v>
      </c>
      <c r="Y712">
        <v>0.15528169999999999</v>
      </c>
      <c r="Z712">
        <v>-5.1009389999999996E-3</v>
      </c>
      <c r="AA712">
        <v>0.98785699999999999</v>
      </c>
      <c r="AB712">
        <v>36</v>
      </c>
      <c r="AC712">
        <v>18.447600000000001</v>
      </c>
      <c r="AD712">
        <v>-1.11023961811899</v>
      </c>
      <c r="AE712">
        <v>-2.7752000000000399</v>
      </c>
      <c r="AF712">
        <v>2.9233724323506798</v>
      </c>
      <c r="AG712">
        <v>-1.11023961811899</v>
      </c>
      <c r="AH712">
        <v>18.3580322025425</v>
      </c>
      <c r="AI712">
        <v>93.417904061231098</v>
      </c>
      <c r="AJ712">
        <v>80.952066097273303</v>
      </c>
      <c r="AK712">
        <v>18.622461833427302</v>
      </c>
      <c r="AL712">
        <v>79.665989668417396</v>
      </c>
      <c r="AM712">
        <v>90.447258173818298</v>
      </c>
      <c r="AN712">
        <v>0.99999994352754895</v>
      </c>
    </row>
    <row r="713" spans="1:40" x14ac:dyDescent="0.25">
      <c r="A713" t="str">
        <f>"20190312172105370"</f>
        <v>20190312172105370</v>
      </c>
      <c r="B713" t="str">
        <f>"1552382465362056"</f>
        <v>1552382465362056</v>
      </c>
      <c r="C713" t="s">
        <v>40</v>
      </c>
      <c r="D713">
        <v>3.3652060000000001</v>
      </c>
      <c r="E713">
        <v>0.5640906</v>
      </c>
      <c r="F713" t="s">
        <v>42</v>
      </c>
      <c r="G713">
        <v>-337.8263</v>
      </c>
      <c r="H713" s="1">
        <v>-2.0184149999999998E-6</v>
      </c>
      <c r="I713">
        <v>364.75830000000002</v>
      </c>
      <c r="J713">
        <v>-357.18889999999999</v>
      </c>
      <c r="K713">
        <v>1.1102369999999999</v>
      </c>
      <c r="L713">
        <v>367.65019999999998</v>
      </c>
      <c r="M713">
        <v>0.99987510000000002</v>
      </c>
      <c r="N713">
        <v>0</v>
      </c>
      <c r="O713">
        <v>8.6736739999999993E-3</v>
      </c>
      <c r="P713">
        <v>0.98595759999999999</v>
      </c>
      <c r="Q713">
        <v>0.166219899999999</v>
      </c>
      <c r="R713">
        <v>1.6085619999999998E-2</v>
      </c>
      <c r="S713">
        <v>3.079742</v>
      </c>
      <c r="T713">
        <v>-0.175043</v>
      </c>
      <c r="U713">
        <v>-0.4556885</v>
      </c>
      <c r="V713">
        <v>-7.5942659999999997E-3</v>
      </c>
      <c r="W713">
        <v>0.1792319</v>
      </c>
      <c r="X713">
        <v>0.98377749999999997</v>
      </c>
      <c r="Y713">
        <v>0.15468699999999999</v>
      </c>
      <c r="Z713">
        <v>-4.8587379999999996E-3</v>
      </c>
      <c r="AA713">
        <v>0.98795160000000004</v>
      </c>
      <c r="AB713">
        <v>36</v>
      </c>
      <c r="AC713">
        <v>19.362599999999901</v>
      </c>
      <c r="AD713">
        <v>-1.1102390184149999</v>
      </c>
      <c r="AE713">
        <v>-2.8918999999999602</v>
      </c>
      <c r="AF713">
        <v>3.0499419354319399</v>
      </c>
      <c r="AG713">
        <v>-1.1102390184149999</v>
      </c>
      <c r="AH713">
        <v>19.274796991406301</v>
      </c>
      <c r="AI713">
        <v>93.256202156489806</v>
      </c>
      <c r="AJ713">
        <v>81.008369100965396</v>
      </c>
      <c r="AK713">
        <v>19.546165238927099</v>
      </c>
      <c r="AL713">
        <v>79.674976204821704</v>
      </c>
      <c r="AM713">
        <v>90.442285727818103</v>
      </c>
      <c r="AN713">
        <v>0.99999995817996801</v>
      </c>
    </row>
    <row r="714" spans="1:40" x14ac:dyDescent="0.25">
      <c r="A714" t="str">
        <f>"20190312172105381"</f>
        <v>20190312172105381</v>
      </c>
      <c r="B714" t="str">
        <f>"1552382465371816"</f>
        <v>1552382465371816</v>
      </c>
      <c r="C714" t="s">
        <v>40</v>
      </c>
      <c r="D714">
        <v>3.3753690000000001</v>
      </c>
      <c r="E714">
        <v>0.56391990000000003</v>
      </c>
      <c r="F714" t="s">
        <v>42</v>
      </c>
      <c r="G714">
        <v>-336.98500000000001</v>
      </c>
      <c r="H714" s="1">
        <v>-2.3284399999999999E-6</v>
      </c>
      <c r="I714">
        <v>364.66910000000001</v>
      </c>
      <c r="J714">
        <v>-357.02539999999999</v>
      </c>
      <c r="K714">
        <v>1.110236</v>
      </c>
      <c r="L714">
        <v>367.65170000000001</v>
      </c>
      <c r="M714">
        <v>0.9998745</v>
      </c>
      <c r="N714">
        <v>0</v>
      </c>
      <c r="O714">
        <v>8.7462089999999996E-3</v>
      </c>
      <c r="P714">
        <v>0.98595330000000003</v>
      </c>
      <c r="Q714">
        <v>0.1662332</v>
      </c>
      <c r="R714">
        <v>1.6213439999999999E-2</v>
      </c>
      <c r="S714">
        <v>3.0786739999999999</v>
      </c>
      <c r="T714">
        <v>-0.1691781</v>
      </c>
      <c r="U714">
        <v>-0.4542542</v>
      </c>
      <c r="V714">
        <v>-7.6505399999999999E-3</v>
      </c>
      <c r="W714">
        <v>0.1792455</v>
      </c>
      <c r="X714">
        <v>0.98377460000000005</v>
      </c>
      <c r="Y714">
        <v>0.15437500000000001</v>
      </c>
      <c r="Z714">
        <v>-4.6934020000000002E-3</v>
      </c>
      <c r="AA714">
        <v>0.98800120000000002</v>
      </c>
      <c r="AB714">
        <v>36</v>
      </c>
      <c r="AC714">
        <v>20.040399999999899</v>
      </c>
      <c r="AD714">
        <v>-1.1102383284399999</v>
      </c>
      <c r="AE714">
        <v>-2.9825999999999899</v>
      </c>
      <c r="AF714">
        <v>3.1483253954658399</v>
      </c>
      <c r="AG714">
        <v>-1.1102383284399999</v>
      </c>
      <c r="AH714">
        <v>19.953630822818901</v>
      </c>
      <c r="AI714">
        <v>93.145867800546299</v>
      </c>
      <c r="AJ714">
        <v>81.033671190285503</v>
      </c>
      <c r="AK714">
        <v>20.230965497351399</v>
      </c>
      <c r="AL714">
        <v>79.674184297811493</v>
      </c>
      <c r="AM714">
        <v>90.445564275283601</v>
      </c>
      <c r="AN714">
        <v>0.99999997181885003</v>
      </c>
    </row>
    <row r="715" spans="1:40" x14ac:dyDescent="0.25">
      <c r="A715" t="str">
        <f>"20190312172105393"</f>
        <v>20190312172105393</v>
      </c>
      <c r="B715" t="str">
        <f>"1552382465381576"</f>
        <v>1552382465381576</v>
      </c>
      <c r="C715" t="s">
        <v>40</v>
      </c>
      <c r="D715">
        <v>3.3321089999999902</v>
      </c>
      <c r="E715">
        <v>0.56381729999999997</v>
      </c>
      <c r="F715" t="s">
        <v>42</v>
      </c>
      <c r="G715">
        <v>-335.85210000000001</v>
      </c>
      <c r="H715" s="1">
        <v>-2.7492330000000001E-6</v>
      </c>
      <c r="I715">
        <v>364.53649999999999</v>
      </c>
      <c r="J715">
        <v>-356.83940000000001</v>
      </c>
      <c r="K715">
        <v>1.110233</v>
      </c>
      <c r="L715">
        <v>367.65339999999998</v>
      </c>
      <c r="M715">
        <v>0.99987360000000003</v>
      </c>
      <c r="N715">
        <v>0</v>
      </c>
      <c r="O715">
        <v>8.8289309999999999E-3</v>
      </c>
      <c r="P715">
        <v>0.98598090000000005</v>
      </c>
      <c r="Q715">
        <v>0.1660682</v>
      </c>
      <c r="R715">
        <v>1.621589E-2</v>
      </c>
      <c r="S715">
        <v>3.077423</v>
      </c>
      <c r="T715">
        <v>-0.16136679999999901</v>
      </c>
      <c r="U715">
        <v>-0.45275880000000002</v>
      </c>
      <c r="V715">
        <v>-7.5710229999999996E-3</v>
      </c>
      <c r="W715">
        <v>0.17908089999999999</v>
      </c>
      <c r="X715">
        <v>0.98380520000000005</v>
      </c>
      <c r="Y715">
        <v>0.1540667</v>
      </c>
      <c r="Z715">
        <v>-4.4752309999999997E-3</v>
      </c>
      <c r="AA715">
        <v>0.98805030000000005</v>
      </c>
      <c r="AB715">
        <v>36</v>
      </c>
      <c r="AC715">
        <v>20.987300000000001</v>
      </c>
      <c r="AD715">
        <v>-1.1102357492329999</v>
      </c>
      <c r="AE715">
        <v>-3.1168999999999798</v>
      </c>
      <c r="AF715">
        <v>3.29307349651932</v>
      </c>
      <c r="AG715">
        <v>-1.1102357492329999</v>
      </c>
      <c r="AH715">
        <v>20.9017304343452</v>
      </c>
      <c r="AI715">
        <v>93.003539065105699</v>
      </c>
      <c r="AJ715">
        <v>81.046630228798193</v>
      </c>
      <c r="AK715">
        <v>21.188659505084001</v>
      </c>
      <c r="AL715">
        <v>79.683770379711106</v>
      </c>
      <c r="AM715">
        <v>90.440919707873604</v>
      </c>
      <c r="AN715">
        <v>0.99999998034055804</v>
      </c>
    </row>
    <row r="716" spans="1:40" x14ac:dyDescent="0.25">
      <c r="A716" t="str">
        <f>"20190312172105404"</f>
        <v>20190312172105404</v>
      </c>
      <c r="B716" t="str">
        <f>"1552382465392312"</f>
        <v>1552382465392312</v>
      </c>
      <c r="C716" t="s">
        <v>40</v>
      </c>
      <c r="D716">
        <v>3.353075</v>
      </c>
      <c r="E716">
        <v>0.5637451</v>
      </c>
      <c r="F716" t="s">
        <v>42</v>
      </c>
      <c r="G716">
        <v>-334.74860000000001</v>
      </c>
      <c r="H716" s="1">
        <v>-3.1590740000000001E-6</v>
      </c>
      <c r="I716">
        <v>364.40780000000001</v>
      </c>
      <c r="J716">
        <v>-356.6687</v>
      </c>
      <c r="K716">
        <v>1.110233</v>
      </c>
      <c r="L716">
        <v>367.65499999999997</v>
      </c>
      <c r="M716">
        <v>0.99987320000000002</v>
      </c>
      <c r="N716">
        <v>0</v>
      </c>
      <c r="O716">
        <v>8.9044439999999992E-3</v>
      </c>
      <c r="P716">
        <v>0.98596569999999994</v>
      </c>
      <c r="Q716">
        <v>0.16614429999999999</v>
      </c>
      <c r="R716">
        <v>1.6378480000000001E-2</v>
      </c>
      <c r="S716">
        <v>3.076111</v>
      </c>
      <c r="T716">
        <v>-0.15459819999999999</v>
      </c>
      <c r="U716">
        <v>-0.45193480000000003</v>
      </c>
      <c r="V716">
        <v>-7.6595780000000002E-3</v>
      </c>
      <c r="W716">
        <v>0.1791568</v>
      </c>
      <c r="X716">
        <v>0.98379070000000002</v>
      </c>
      <c r="Y716">
        <v>0.15396079999999901</v>
      </c>
      <c r="Z716">
        <v>-4.2907730000000003E-3</v>
      </c>
      <c r="AA716">
        <v>0.98806760000000005</v>
      </c>
      <c r="AB716">
        <v>36</v>
      </c>
      <c r="AC716">
        <v>21.920099999999898</v>
      </c>
      <c r="AD716">
        <v>-1.110236159074</v>
      </c>
      <c r="AE716">
        <v>-3.2471999999999599</v>
      </c>
      <c r="AF716">
        <v>3.4336551989477502</v>
      </c>
      <c r="AG716">
        <v>-1.110236159074</v>
      </c>
      <c r="AH716">
        <v>21.835501066086302</v>
      </c>
      <c r="AI716">
        <v>92.875449434333206</v>
      </c>
      <c r="AJ716">
        <v>81.0633610879771</v>
      </c>
      <c r="AK716">
        <v>22.131690381921398</v>
      </c>
      <c r="AL716">
        <v>79.679350189585705</v>
      </c>
      <c r="AM716">
        <v>90.446083323296506</v>
      </c>
      <c r="AN716">
        <v>0.99999998476393304</v>
      </c>
    </row>
    <row r="717" spans="1:40" x14ac:dyDescent="0.25">
      <c r="A717" t="str">
        <f>"20190312172105415"</f>
        <v>20190312172105415</v>
      </c>
      <c r="B717" t="str">
        <f>"1552382465411831"</f>
        <v>1552382465411831</v>
      </c>
      <c r="C717" t="s">
        <v>40</v>
      </c>
      <c r="D717">
        <v>3.3716249999999999</v>
      </c>
      <c r="E717">
        <v>0.56363129999999995</v>
      </c>
      <c r="F717" t="s">
        <v>42</v>
      </c>
      <c r="G717">
        <v>-333.75029999999998</v>
      </c>
      <c r="H717" s="1">
        <v>-3.6076520000000001E-6</v>
      </c>
      <c r="I717">
        <v>364.29329999999999</v>
      </c>
      <c r="J717">
        <v>-356.4726</v>
      </c>
      <c r="K717">
        <v>1.1102339999999999</v>
      </c>
      <c r="L717">
        <v>367.65679999999998</v>
      </c>
      <c r="M717">
        <v>0.99987239999999999</v>
      </c>
      <c r="N717">
        <v>0</v>
      </c>
      <c r="O717">
        <v>8.9912229999999996E-3</v>
      </c>
      <c r="P717">
        <v>0.9860023</v>
      </c>
      <c r="Q717">
        <v>0.16592509999999999</v>
      </c>
      <c r="R717">
        <v>1.639378E-2</v>
      </c>
      <c r="S717">
        <v>3.0753170000000001</v>
      </c>
      <c r="T717">
        <v>-0.14897729999999901</v>
      </c>
      <c r="U717">
        <v>-0.45108029999999999</v>
      </c>
      <c r="V717">
        <v>-7.5885800000000002E-3</v>
      </c>
      <c r="W717">
        <v>0.17893819999999999</v>
      </c>
      <c r="X717">
        <v>0.98383100000000001</v>
      </c>
      <c r="Y717">
        <v>0.15382879999999999</v>
      </c>
      <c r="Z717">
        <v>-4.137089E-3</v>
      </c>
      <c r="AA717">
        <v>0.98808879999999999</v>
      </c>
      <c r="AB717">
        <v>36</v>
      </c>
      <c r="AC717">
        <v>22.722300000000001</v>
      </c>
      <c r="AD717">
        <v>-1.110237607652</v>
      </c>
      <c r="AE717">
        <v>-3.3634999999999802</v>
      </c>
      <c r="AF717">
        <v>3.5593676267787702</v>
      </c>
      <c r="AG717">
        <v>-1.110237607652</v>
      </c>
      <c r="AH717">
        <v>22.6382488011898</v>
      </c>
      <c r="AI717">
        <v>92.773662102657099</v>
      </c>
      <c r="AJ717">
        <v>81.064646617921198</v>
      </c>
      <c r="AK717">
        <v>22.943235042874299</v>
      </c>
      <c r="AL717">
        <v>79.692080418781003</v>
      </c>
      <c r="AM717">
        <v>90.441930559346105</v>
      </c>
      <c r="AN717">
        <v>0.99999995126332697</v>
      </c>
    </row>
    <row r="718" spans="1:40" x14ac:dyDescent="0.25">
      <c r="A718" t="str">
        <f>"20190312172105428"</f>
        <v>20190312172105428</v>
      </c>
      <c r="B718" t="str">
        <f>"1552382465421593"</f>
        <v>1552382465421593</v>
      </c>
      <c r="C718" t="s">
        <v>40</v>
      </c>
      <c r="D718">
        <v>3.3580879999999902</v>
      </c>
      <c r="E718">
        <v>0.56359789999999998</v>
      </c>
      <c r="F718" t="s">
        <v>42</v>
      </c>
      <c r="G718">
        <v>-332.14530000000002</v>
      </c>
      <c r="H718" s="1">
        <v>-4.331716E-6</v>
      </c>
      <c r="I718">
        <v>364.09300000000002</v>
      </c>
      <c r="J718">
        <v>-356.27280000000002</v>
      </c>
      <c r="K718">
        <v>1.1102339999999999</v>
      </c>
      <c r="L718">
        <v>367.65870000000001</v>
      </c>
      <c r="M718">
        <v>0.99987150000000002</v>
      </c>
      <c r="N718">
        <v>0</v>
      </c>
      <c r="O718">
        <v>9.0798489999999992E-3</v>
      </c>
      <c r="P718">
        <v>0.98598940000000002</v>
      </c>
      <c r="Q718">
        <v>0.16599520000000001</v>
      </c>
      <c r="R718">
        <v>1.6453539999999999E-2</v>
      </c>
      <c r="S718">
        <v>3.0736690000000002</v>
      </c>
      <c r="T718">
        <v>-0.14027400000000001</v>
      </c>
      <c r="U718">
        <v>-0.4502563</v>
      </c>
      <c r="V718">
        <v>-7.5612739999999998E-3</v>
      </c>
      <c r="W718">
        <v>0.1790081</v>
      </c>
      <c r="X718">
        <v>0.98381850000000004</v>
      </c>
      <c r="Y718">
        <v>0.1537541</v>
      </c>
      <c r="Z718">
        <v>-3.900124E-3</v>
      </c>
      <c r="AA718">
        <v>0.98810140000000002</v>
      </c>
      <c r="AB718">
        <v>36</v>
      </c>
      <c r="AC718">
        <v>24.127500000000001</v>
      </c>
      <c r="AD718">
        <v>-1.1102383317159901</v>
      </c>
      <c r="AE718">
        <v>-3.5656999999999899</v>
      </c>
      <c r="AF718">
        <v>3.7768199650889498</v>
      </c>
      <c r="AG718">
        <v>-1.1102383317159901</v>
      </c>
      <c r="AH718">
        <v>24.044302587237901</v>
      </c>
      <c r="AI718">
        <v>92.611758361104805</v>
      </c>
      <c r="AJ718">
        <v>81.073061997495998</v>
      </c>
      <c r="AK718">
        <v>24.3644307363944</v>
      </c>
      <c r="AL718">
        <v>79.688009775980603</v>
      </c>
      <c r="AM718">
        <v>90.440346017177802</v>
      </c>
      <c r="AN718">
        <v>0.99999995683618004</v>
      </c>
    </row>
    <row r="719" spans="1:40" x14ac:dyDescent="0.25">
      <c r="A719" t="str">
        <f>"20190312172105441"</f>
        <v>20190312172105441</v>
      </c>
      <c r="B719" t="str">
        <f>"1552382465432327"</f>
        <v>1552382465432327</v>
      </c>
      <c r="C719" t="s">
        <v>40</v>
      </c>
      <c r="D719">
        <v>3.2937799999999999</v>
      </c>
      <c r="E719">
        <v>0.56357990000000002</v>
      </c>
      <c r="F719" t="s">
        <v>42</v>
      </c>
      <c r="G719">
        <v>-331.245</v>
      </c>
      <c r="H719" s="1">
        <v>-4.73543E-6</v>
      </c>
      <c r="I719">
        <v>363.99439999999998</v>
      </c>
      <c r="J719">
        <v>-356.0763</v>
      </c>
      <c r="K719">
        <v>1.110233</v>
      </c>
      <c r="L719">
        <v>367.66059999999999</v>
      </c>
      <c r="M719">
        <v>0.99987079999999995</v>
      </c>
      <c r="N719">
        <v>0</v>
      </c>
      <c r="O719">
        <v>9.1667480000000006E-3</v>
      </c>
      <c r="P719">
        <v>0.98600259999999995</v>
      </c>
      <c r="Q719">
        <v>0.16589880000000001</v>
      </c>
      <c r="R719">
        <v>1.6635219999999999E-2</v>
      </c>
      <c r="S719">
        <v>3.0730900000000001</v>
      </c>
      <c r="T719">
        <v>-0.13632259999999999</v>
      </c>
      <c r="U719">
        <v>-0.44992070000000001</v>
      </c>
      <c r="V719">
        <v>-7.6566409999999996E-3</v>
      </c>
      <c r="W719">
        <v>0.1789115</v>
      </c>
      <c r="X719">
        <v>0.98383540000000003</v>
      </c>
      <c r="Y719">
        <v>0.15377009999999999</v>
      </c>
      <c r="Z719">
        <v>-3.7952900000000002E-3</v>
      </c>
      <c r="AA719">
        <v>0.98809930000000001</v>
      </c>
      <c r="AB719">
        <v>36</v>
      </c>
      <c r="AC719">
        <v>24.831299999999999</v>
      </c>
      <c r="AD719">
        <v>-1.1102377354299999</v>
      </c>
      <c r="AE719">
        <v>-3.6661999999999999</v>
      </c>
      <c r="AF719">
        <v>3.8860851395431801</v>
      </c>
      <c r="AG719">
        <v>-1.1102377354299999</v>
      </c>
      <c r="AH719">
        <v>24.74822790907</v>
      </c>
      <c r="AI719">
        <v>92.537588562903395</v>
      </c>
      <c r="AJ719">
        <v>81.076012086451101</v>
      </c>
      <c r="AK719">
        <v>25.0760656838393</v>
      </c>
      <c r="AL719">
        <v>79.693636041050993</v>
      </c>
      <c r="AM719">
        <v>90.445892024398304</v>
      </c>
      <c r="AN719">
        <v>1.0000000216384</v>
      </c>
    </row>
    <row r="720" spans="1:40" x14ac:dyDescent="0.25">
      <c r="A720" t="str">
        <f>"20190312172105452"</f>
        <v>20190312172105452</v>
      </c>
      <c r="B720" t="str">
        <f>"1552382465442088"</f>
        <v>1552382465442088</v>
      </c>
      <c r="C720" t="s">
        <v>40</v>
      </c>
      <c r="D720">
        <v>3.3078430000000001</v>
      </c>
      <c r="E720">
        <v>0.56357429999999997</v>
      </c>
      <c r="F720" t="s">
        <v>42</v>
      </c>
      <c r="G720">
        <v>-330.89400000000001</v>
      </c>
      <c r="H720" s="1">
        <v>-4.8891240000000002E-6</v>
      </c>
      <c r="I720">
        <v>363.97699999999998</v>
      </c>
      <c r="J720">
        <v>-355.87079999999997</v>
      </c>
      <c r="K720">
        <v>1.110233</v>
      </c>
      <c r="L720">
        <v>367.6626</v>
      </c>
      <c r="M720">
        <v>0.99986980000000003</v>
      </c>
      <c r="N720">
        <v>0</v>
      </c>
      <c r="O720">
        <v>9.2577010000000001E-3</v>
      </c>
      <c r="P720">
        <v>0.9859888</v>
      </c>
      <c r="Q720">
        <v>0.16596029999999901</v>
      </c>
      <c r="R720">
        <v>1.6827180000000001E-2</v>
      </c>
      <c r="S720">
        <v>3.0729679999999999</v>
      </c>
      <c r="T720">
        <v>-0.1354803</v>
      </c>
      <c r="U720">
        <v>-0.44949339999999999</v>
      </c>
      <c r="V720">
        <v>-7.7592919999999897E-3</v>
      </c>
      <c r="W720">
        <v>0.17897289999999999</v>
      </c>
      <c r="X720">
        <v>0.98382340000000001</v>
      </c>
      <c r="Y720">
        <v>0.15373299999999901</v>
      </c>
      <c r="Z720">
        <v>-3.775222E-3</v>
      </c>
      <c r="AA720">
        <v>0.98810520000000002</v>
      </c>
      <c r="AB720">
        <v>36</v>
      </c>
      <c r="AC720">
        <v>24.976799999999901</v>
      </c>
      <c r="AD720">
        <v>-1.1102378891239999</v>
      </c>
      <c r="AE720">
        <v>-3.68560000000002</v>
      </c>
      <c r="AF720">
        <v>3.90913063848603</v>
      </c>
      <c r="AG720">
        <v>-1.1102378891239999</v>
      </c>
      <c r="AH720">
        <v>24.8934682066341</v>
      </c>
      <c r="AI720">
        <v>92.522798891609497</v>
      </c>
      <c r="AJ720">
        <v>81.075474844897499</v>
      </c>
      <c r="AK720">
        <v>25.222979401210701</v>
      </c>
      <c r="AL720">
        <v>79.690060079013094</v>
      </c>
      <c r="AM720">
        <v>90.451875271541994</v>
      </c>
      <c r="AN720">
        <v>0.999999993967155</v>
      </c>
    </row>
    <row r="721" spans="1:40" x14ac:dyDescent="0.25">
      <c r="A721" t="str">
        <f>"20190312172105465"</f>
        <v>20190312172105465</v>
      </c>
      <c r="B721" t="str">
        <f>"1552382465461609"</f>
        <v>1552382465461609</v>
      </c>
      <c r="C721" t="s">
        <v>40</v>
      </c>
      <c r="D721">
        <v>3.2960669999999999</v>
      </c>
      <c r="E721">
        <v>0.56366759999999905</v>
      </c>
      <c r="F721" t="s">
        <v>42</v>
      </c>
      <c r="G721">
        <v>-330.45100000000002</v>
      </c>
      <c r="H721" s="1">
        <v>-5.0835669999999996E-6</v>
      </c>
      <c r="I721">
        <v>363.952</v>
      </c>
      <c r="J721">
        <v>-355.67250000000001</v>
      </c>
      <c r="K721">
        <v>1.110233</v>
      </c>
      <c r="L721">
        <v>367.66449999999998</v>
      </c>
      <c r="M721">
        <v>0.99986909999999896</v>
      </c>
      <c r="N721">
        <v>0</v>
      </c>
      <c r="O721">
        <v>9.3454349999999992E-3</v>
      </c>
      <c r="P721">
        <v>0.98598430000000004</v>
      </c>
      <c r="Q721">
        <v>0.16598460000000001</v>
      </c>
      <c r="R721">
        <v>1.6866079999999999E-2</v>
      </c>
      <c r="S721">
        <v>3.0728759999999999</v>
      </c>
      <c r="T721">
        <v>-0.13421129999999901</v>
      </c>
      <c r="U721">
        <v>-0.44854739999999999</v>
      </c>
      <c r="V721">
        <v>-7.7114080000000003E-3</v>
      </c>
      <c r="W721">
        <v>0.17899689999999999</v>
      </c>
      <c r="X721">
        <v>0.98381940000000001</v>
      </c>
      <c r="Y721">
        <v>0.1535291</v>
      </c>
      <c r="Z721">
        <v>-3.7394709999999999E-3</v>
      </c>
      <c r="AA721">
        <v>0.98813709999999999</v>
      </c>
      <c r="AB721">
        <v>36</v>
      </c>
      <c r="AC721">
        <v>25.221499999999999</v>
      </c>
      <c r="AD721">
        <v>-1.110238083567</v>
      </c>
      <c r="AE721">
        <v>-3.7124999999999702</v>
      </c>
      <c r="AF721">
        <v>3.9405904810530599</v>
      </c>
      <c r="AG721">
        <v>-1.110238083567</v>
      </c>
      <c r="AH721">
        <v>25.1380230678697</v>
      </c>
      <c r="AI721">
        <v>92.498393106732706</v>
      </c>
      <c r="AJ721">
        <v>81.090920984974204</v>
      </c>
      <c r="AK721">
        <v>25.469218395983798</v>
      </c>
      <c r="AL721">
        <v>79.688662305758399</v>
      </c>
      <c r="AM721">
        <v>90.449088607563198</v>
      </c>
      <c r="AN721">
        <v>0.99999998391965605</v>
      </c>
    </row>
    <row r="722" spans="1:40" x14ac:dyDescent="0.25">
      <c r="A722" t="str">
        <f>"20190312172105476"</f>
        <v>20190312172105476</v>
      </c>
      <c r="B722" t="str">
        <f>"1552382465472343"</f>
        <v>1552382465472343</v>
      </c>
      <c r="C722" t="s">
        <v>40</v>
      </c>
      <c r="D722">
        <v>3.298918</v>
      </c>
      <c r="E722">
        <v>0.56374299999999999</v>
      </c>
      <c r="F722" t="s">
        <v>42</v>
      </c>
      <c r="G722">
        <v>-329.79379999999998</v>
      </c>
      <c r="H722" s="1">
        <v>-1.5827900000000001E-6</v>
      </c>
      <c r="I722">
        <v>363.87909999999999</v>
      </c>
      <c r="J722">
        <v>-355.49189999999999</v>
      </c>
      <c r="K722">
        <v>1.1102320000000001</v>
      </c>
      <c r="L722">
        <v>367.66629999999998</v>
      </c>
      <c r="M722">
        <v>0.99986830000000004</v>
      </c>
      <c r="N722">
        <v>0</v>
      </c>
      <c r="O722">
        <v>9.4258359999999999E-3</v>
      </c>
      <c r="P722">
        <v>0.98598730000000001</v>
      </c>
      <c r="Q722">
        <v>0.16595979999999999</v>
      </c>
      <c r="R722">
        <v>1.6931979999999999E-2</v>
      </c>
      <c r="S722">
        <v>3.07254</v>
      </c>
      <c r="T722">
        <v>-0.13181609999999999</v>
      </c>
      <c r="U722">
        <v>-0.44943240000000001</v>
      </c>
      <c r="V722">
        <v>-7.6978389999999997E-3</v>
      </c>
      <c r="W722">
        <v>0.17897199999999999</v>
      </c>
      <c r="X722">
        <v>0.98382409999999998</v>
      </c>
      <c r="Y722">
        <v>0.15390760000000001</v>
      </c>
      <c r="Z722">
        <v>-3.6846219999999998E-3</v>
      </c>
      <c r="AA722">
        <v>0.98807840000000002</v>
      </c>
      <c r="AB722">
        <v>36</v>
      </c>
      <c r="AC722">
        <v>25.6981</v>
      </c>
      <c r="AD722">
        <v>-1.1102335827899901</v>
      </c>
      <c r="AE722">
        <v>-3.7871999999999799</v>
      </c>
      <c r="AF722">
        <v>4.0219316069302797</v>
      </c>
      <c r="AG722">
        <v>-1.1102335827899901</v>
      </c>
      <c r="AH722">
        <v>25.6144645713327</v>
      </c>
      <c r="AI722">
        <v>92.451871681189104</v>
      </c>
      <c r="AJ722">
        <v>81.076392276821494</v>
      </c>
      <c r="AK722">
        <v>25.952058641565198</v>
      </c>
      <c r="AL722">
        <v>79.690113040295103</v>
      </c>
      <c r="AM722">
        <v>90.448296281592704</v>
      </c>
      <c r="AN722">
        <v>1.0000000466250301</v>
      </c>
    </row>
    <row r="723" spans="1:40" x14ac:dyDescent="0.25">
      <c r="A723" t="str">
        <f>"20190312172105487"</f>
        <v>20190312172105487</v>
      </c>
      <c r="B723" t="str">
        <f>"1552382465482104"</f>
        <v>1552382465482104</v>
      </c>
      <c r="C723" t="s">
        <v>40</v>
      </c>
      <c r="D723">
        <v>3.319042</v>
      </c>
      <c r="E723">
        <v>0.56377699999999997</v>
      </c>
      <c r="F723" t="s">
        <v>42</v>
      </c>
      <c r="G723">
        <v>-329.47800000000001</v>
      </c>
      <c r="H723" s="1">
        <v>-1.6954070000000001E-6</v>
      </c>
      <c r="I723">
        <v>363.85980000000001</v>
      </c>
      <c r="J723">
        <v>-355.3186</v>
      </c>
      <c r="K723">
        <v>1.110233</v>
      </c>
      <c r="L723">
        <v>367.66800000000001</v>
      </c>
      <c r="M723">
        <v>0.99986770000000003</v>
      </c>
      <c r="N723">
        <v>0</v>
      </c>
      <c r="O723">
        <v>9.5023069999999998E-3</v>
      </c>
      <c r="P723">
        <v>0.98598410000000003</v>
      </c>
      <c r="Q723">
        <v>0.16597719999999999</v>
      </c>
      <c r="R723">
        <v>1.6944130000000002E-2</v>
      </c>
      <c r="S723">
        <v>3.0723569999999998</v>
      </c>
      <c r="T723">
        <v>-0.13112309999999999</v>
      </c>
      <c r="U723">
        <v>-0.44955440000000002</v>
      </c>
      <c r="V723">
        <v>-7.6344830000000001E-3</v>
      </c>
      <c r="W723">
        <v>0.17898939999999999</v>
      </c>
      <c r="X723">
        <v>0.98382139999999996</v>
      </c>
      <c r="Y723">
        <v>0.15403129999999901</v>
      </c>
      <c r="Z723">
        <v>-3.671344E-3</v>
      </c>
      <c r="AA723">
        <v>0.98805920000000003</v>
      </c>
      <c r="AB723">
        <v>36</v>
      </c>
      <c r="AC723">
        <v>25.840599999999899</v>
      </c>
      <c r="AD723">
        <v>-1.1102346954069999</v>
      </c>
      <c r="AE723">
        <v>-3.8081999999999998</v>
      </c>
      <c r="AF723">
        <v>4.0462842129663699</v>
      </c>
      <c r="AG723">
        <v>-1.1102346954069999</v>
      </c>
      <c r="AH723">
        <v>25.756707912488601</v>
      </c>
      <c r="AI723">
        <v>92.438320621718105</v>
      </c>
      <c r="AJ723">
        <v>81.072011642711203</v>
      </c>
      <c r="AK723">
        <v>26.096226537571301</v>
      </c>
      <c r="AL723">
        <v>79.6890994421572</v>
      </c>
      <c r="AM723">
        <v>90.444608009862506</v>
      </c>
      <c r="AN723">
        <v>1.0000000188704901</v>
      </c>
    </row>
    <row r="724" spans="1:40" x14ac:dyDescent="0.25">
      <c r="A724" t="str">
        <f>"20190312172105498"</f>
        <v>20190312172105498</v>
      </c>
      <c r="B724" t="str">
        <f>"1552382465491864"</f>
        <v>1552382465491864</v>
      </c>
      <c r="C724" t="s">
        <v>40</v>
      </c>
      <c r="D724">
        <v>3.3000579999999999</v>
      </c>
      <c r="E724">
        <v>0.56385560000000001</v>
      </c>
      <c r="F724" t="s">
        <v>42</v>
      </c>
      <c r="G724">
        <v>-329.12900000000002</v>
      </c>
      <c r="H724" s="1">
        <v>-1.821384E-6</v>
      </c>
      <c r="I724">
        <v>363.83260000000001</v>
      </c>
      <c r="J724">
        <v>-355.12360000000001</v>
      </c>
      <c r="K724">
        <v>1.110233</v>
      </c>
      <c r="L724">
        <v>367.66989999999998</v>
      </c>
      <c r="M724">
        <v>0.9998667</v>
      </c>
      <c r="N724">
        <v>0</v>
      </c>
      <c r="O724">
        <v>9.5885550000000003E-3</v>
      </c>
      <c r="P724">
        <v>0.98596950000000005</v>
      </c>
      <c r="Q724">
        <v>0.1660681</v>
      </c>
      <c r="R724">
        <v>1.689001E-2</v>
      </c>
      <c r="S724">
        <v>3.072327</v>
      </c>
      <c r="T724">
        <v>-0.13024230000000001</v>
      </c>
      <c r="U724">
        <v>-0.44992070000000001</v>
      </c>
      <c r="V724">
        <v>-7.4954969999999899E-3</v>
      </c>
      <c r="W724">
        <v>0.1790794</v>
      </c>
      <c r="X724">
        <v>0.98380610000000002</v>
      </c>
      <c r="Y724">
        <v>0.15423489999999901</v>
      </c>
      <c r="Z724">
        <v>-3.6546370000000001E-3</v>
      </c>
      <c r="AA724">
        <v>0.98802749999999995</v>
      </c>
      <c r="AB724">
        <v>36</v>
      </c>
      <c r="AC724">
        <v>25.994599999999899</v>
      </c>
      <c r="AD724">
        <v>-1.1102348213840001</v>
      </c>
      <c r="AE724">
        <v>-3.8372999999999702</v>
      </c>
      <c r="AF724">
        <v>4.0791137097934902</v>
      </c>
      <c r="AG724">
        <v>-1.1102348213840001</v>
      </c>
      <c r="AH724">
        <v>25.910350731710899</v>
      </c>
      <c r="AI724">
        <v>92.423754826451798</v>
      </c>
      <c r="AJ724">
        <v>81.053253171394999</v>
      </c>
      <c r="AK724">
        <v>26.2529629767063</v>
      </c>
      <c r="AL724">
        <v>79.683858234543194</v>
      </c>
      <c r="AM724">
        <v>90.436521011685699</v>
      </c>
      <c r="AN724">
        <v>1.00000002818842</v>
      </c>
    </row>
    <row r="725" spans="1:40" x14ac:dyDescent="0.25">
      <c r="A725" t="str">
        <f>"20190312172105509"</f>
        <v>20190312172105509</v>
      </c>
      <c r="B725" t="str">
        <f>"1552382465501623"</f>
        <v>1552382465501623</v>
      </c>
      <c r="C725" t="s">
        <v>40</v>
      </c>
      <c r="D725">
        <v>3.3224490000000002</v>
      </c>
      <c r="E725">
        <v>0.5639575</v>
      </c>
      <c r="F725" t="s">
        <v>42</v>
      </c>
      <c r="G725">
        <v>-328.70780000000002</v>
      </c>
      <c r="H725" s="1">
        <v>-1.9743910000000001E-6</v>
      </c>
      <c r="I725">
        <v>363.79629999999997</v>
      </c>
      <c r="J725">
        <v>-354.9556</v>
      </c>
      <c r="K725">
        <v>1.1102339999999999</v>
      </c>
      <c r="L725">
        <v>367.67160000000001</v>
      </c>
      <c r="M725">
        <v>0.99986609999999998</v>
      </c>
      <c r="N725">
        <v>0</v>
      </c>
      <c r="O725">
        <v>9.6630569999999992E-3</v>
      </c>
      <c r="P725">
        <v>0.98595319999999997</v>
      </c>
      <c r="Q725">
        <v>0.1661646</v>
      </c>
      <c r="R725">
        <v>1.6908030000000001E-2</v>
      </c>
      <c r="S725">
        <v>3.072174</v>
      </c>
      <c r="T725">
        <v>-0.12912089999999901</v>
      </c>
      <c r="U725">
        <v>-0.45050050000000003</v>
      </c>
      <c r="V725">
        <v>-7.4404789999999998E-3</v>
      </c>
      <c r="W725">
        <v>0.17917559999999999</v>
      </c>
      <c r="X725">
        <v>0.98378900000000002</v>
      </c>
      <c r="Y725">
        <v>0.15450029999999901</v>
      </c>
      <c r="Z725">
        <v>-3.6319849999999999E-3</v>
      </c>
      <c r="AA725">
        <v>0.98798609999999998</v>
      </c>
      <c r="AB725">
        <v>36</v>
      </c>
      <c r="AC725">
        <v>26.247799999999899</v>
      </c>
      <c r="AD725">
        <v>-1.110235974391</v>
      </c>
      <c r="AE725">
        <v>-3.8753000000000299</v>
      </c>
      <c r="AF725">
        <v>4.1215584058408599</v>
      </c>
      <c r="AG725">
        <v>-1.110235974391</v>
      </c>
      <c r="AH725">
        <v>26.1633125423994</v>
      </c>
      <c r="AI725">
        <v>92.400313716485996</v>
      </c>
      <c r="AJ725">
        <v>81.047653433966701</v>
      </c>
      <c r="AK725">
        <v>26.509220863745899</v>
      </c>
      <c r="AL725">
        <v>79.678255747418007</v>
      </c>
      <c r="AM725">
        <v>90.433324540350498</v>
      </c>
      <c r="AN725">
        <v>1.0000000264420501</v>
      </c>
    </row>
    <row r="726" spans="1:40" x14ac:dyDescent="0.25">
      <c r="A726" t="str">
        <f>"20190312172105520"</f>
        <v>20190312172105520</v>
      </c>
      <c r="B726" t="str">
        <f>"1552382465512360"</f>
        <v>1552382465512360</v>
      </c>
      <c r="C726" t="s">
        <v>40</v>
      </c>
      <c r="D726">
        <v>3.3222559999999999</v>
      </c>
      <c r="E726">
        <v>0.56409069999999994</v>
      </c>
      <c r="F726" t="s">
        <v>42</v>
      </c>
      <c r="G726">
        <v>-328.35480000000001</v>
      </c>
      <c r="H726" s="1">
        <v>-2.1043579999999998E-6</v>
      </c>
      <c r="I726">
        <v>363.75940000000003</v>
      </c>
      <c r="J726">
        <v>-354.77780000000001</v>
      </c>
      <c r="K726">
        <v>1.1102350000000001</v>
      </c>
      <c r="L726">
        <v>367.67340000000002</v>
      </c>
      <c r="M726">
        <v>0.99986540000000002</v>
      </c>
      <c r="N726">
        <v>0</v>
      </c>
      <c r="O726">
        <v>9.741909E-3</v>
      </c>
      <c r="P726">
        <v>0.98594789999999999</v>
      </c>
      <c r="Q726">
        <v>0.1661974</v>
      </c>
      <c r="R726">
        <v>1.6899399999999998E-2</v>
      </c>
      <c r="S726">
        <v>3.0721129999999999</v>
      </c>
      <c r="T726">
        <v>-0.12822020000000001</v>
      </c>
      <c r="U726">
        <v>-0.45181270000000001</v>
      </c>
      <c r="V726">
        <v>-7.3541199999999996E-3</v>
      </c>
      <c r="W726">
        <v>0.17920749999999999</v>
      </c>
      <c r="X726">
        <v>0.98378379999999999</v>
      </c>
      <c r="Y726">
        <v>0.15499560000000001</v>
      </c>
      <c r="Z726">
        <v>-3.6201810000000001E-3</v>
      </c>
      <c r="AA726">
        <v>0.98790849999999997</v>
      </c>
      <c r="AB726">
        <v>36</v>
      </c>
      <c r="AC726">
        <v>26.422999999999998</v>
      </c>
      <c r="AD726">
        <v>-1.1102371043579999</v>
      </c>
      <c r="AE726">
        <v>-3.9139999999999802</v>
      </c>
      <c r="AF726">
        <v>4.1640533479548498</v>
      </c>
      <c r="AG726">
        <v>-1.1102371043579999</v>
      </c>
      <c r="AH726">
        <v>26.338111276230698</v>
      </c>
      <c r="AI726">
        <v>92.384196099992195</v>
      </c>
      <c r="AJ726">
        <v>81.015903446651706</v>
      </c>
      <c r="AK726">
        <v>26.6883508728362</v>
      </c>
      <c r="AL726">
        <v>79.676397542290701</v>
      </c>
      <c r="AM726">
        <v>90.428297548363801</v>
      </c>
      <c r="AN726">
        <v>0.99999998813983204</v>
      </c>
    </row>
    <row r="727" spans="1:40" x14ac:dyDescent="0.25">
      <c r="A727" t="str">
        <f>"20190312172105530"</f>
        <v>20190312172105530</v>
      </c>
      <c r="B727" t="str">
        <f>"1552382465522120"</f>
        <v>1552382465522120</v>
      </c>
      <c r="C727" t="s">
        <v>40</v>
      </c>
      <c r="D727">
        <v>3.294619</v>
      </c>
      <c r="E727">
        <v>0.56421069999999995</v>
      </c>
      <c r="F727" t="s">
        <v>42</v>
      </c>
      <c r="G727">
        <v>-328.00900000000001</v>
      </c>
      <c r="H727" s="1">
        <v>-2.2309169999999999E-6</v>
      </c>
      <c r="I727">
        <v>363.72590000000002</v>
      </c>
      <c r="J727">
        <v>-354.59809999999999</v>
      </c>
      <c r="K727">
        <v>1.110239</v>
      </c>
      <c r="L727">
        <v>367.67520000000002</v>
      </c>
      <c r="M727">
        <v>0.99986450000000004</v>
      </c>
      <c r="N727">
        <v>0</v>
      </c>
      <c r="O727">
        <v>9.8212439999999998E-3</v>
      </c>
      <c r="P727">
        <v>0.98597460000000003</v>
      </c>
      <c r="Q727">
        <v>0.16603689999999999</v>
      </c>
      <c r="R727">
        <v>1.69166E-2</v>
      </c>
      <c r="S727">
        <v>3.0719910000000001</v>
      </c>
      <c r="T727">
        <v>-0.12741040000000001</v>
      </c>
      <c r="U727">
        <v>-0.45300289999999999</v>
      </c>
      <c r="V727">
        <v>-7.2928810000000002E-3</v>
      </c>
      <c r="W727">
        <v>0.1790475</v>
      </c>
      <c r="X727">
        <v>0.98381339999999995</v>
      </c>
      <c r="Y727">
        <v>0.1554556</v>
      </c>
      <c r="Z727">
        <v>-3.6101330000000002E-3</v>
      </c>
      <c r="AA727">
        <v>0.9878363</v>
      </c>
      <c r="AB727">
        <v>36</v>
      </c>
      <c r="AC727">
        <v>26.589099999999899</v>
      </c>
      <c r="AD727">
        <v>-1.110241230917</v>
      </c>
      <c r="AE727">
        <v>-3.9492999999999898</v>
      </c>
      <c r="AF727">
        <v>4.2031003058140701</v>
      </c>
      <c r="AG727">
        <v>-1.110241230917</v>
      </c>
      <c r="AH727">
        <v>26.503814439317299</v>
      </c>
      <c r="AI727">
        <v>92.3691385994115</v>
      </c>
      <c r="AJ727">
        <v>80.988805321860497</v>
      </c>
      <c r="AK727">
        <v>26.857975865752199</v>
      </c>
      <c r="AL727">
        <v>79.685715698762195</v>
      </c>
      <c r="AM727">
        <v>90.424718395084597</v>
      </c>
      <c r="AN727">
        <v>0.99999999969454501</v>
      </c>
    </row>
    <row r="728" spans="1:40" x14ac:dyDescent="0.25">
      <c r="A728" t="str">
        <f>"20190312172105542"</f>
        <v>20190312172105542</v>
      </c>
      <c r="B728" t="str">
        <f>"1552382465531880"</f>
        <v>1552382465531880</v>
      </c>
      <c r="C728" t="s">
        <v>40</v>
      </c>
      <c r="D728">
        <v>3.289644</v>
      </c>
      <c r="E728">
        <v>0.56433690000000003</v>
      </c>
      <c r="F728" t="s">
        <v>42</v>
      </c>
      <c r="G728">
        <v>-327.75020000000001</v>
      </c>
      <c r="H728" s="1">
        <v>-2.3233899999999998E-6</v>
      </c>
      <c r="I728">
        <v>363.70940000000002</v>
      </c>
      <c r="J728">
        <v>-354.42590000000001</v>
      </c>
      <c r="K728">
        <v>1.110242</v>
      </c>
      <c r="L728">
        <v>367.67700000000002</v>
      </c>
      <c r="M728">
        <v>0.99986379999999997</v>
      </c>
      <c r="N728">
        <v>0</v>
      </c>
      <c r="O728">
        <v>9.8974179999999998E-3</v>
      </c>
      <c r="P728">
        <v>0.98595379999999999</v>
      </c>
      <c r="Q728">
        <v>0.16615369999999999</v>
      </c>
      <c r="R728">
        <v>1.6973510000000001E-2</v>
      </c>
      <c r="S728">
        <v>3.0718079999999999</v>
      </c>
      <c r="T728">
        <v>-0.12702759999999999</v>
      </c>
      <c r="U728">
        <v>-0.45373540000000001</v>
      </c>
      <c r="V728">
        <v>-7.2744309999999996E-3</v>
      </c>
      <c r="W728">
        <v>0.1791634</v>
      </c>
      <c r="X728">
        <v>0.98379240000000001</v>
      </c>
      <c r="Y728">
        <v>0.1557703</v>
      </c>
      <c r="Z728">
        <v>-3.6090499999999999E-3</v>
      </c>
      <c r="AA728">
        <v>0.98778670000000002</v>
      </c>
      <c r="AB728">
        <v>36</v>
      </c>
      <c r="AC728">
        <v>26.675699999999999</v>
      </c>
      <c r="AD728">
        <v>-1.1102443233899999</v>
      </c>
      <c r="AE728">
        <v>-3.9675999999999401</v>
      </c>
      <c r="AF728">
        <v>4.2242901445023797</v>
      </c>
      <c r="AG728">
        <v>-1.1102443233899999</v>
      </c>
      <c r="AH728">
        <v>26.590057559152601</v>
      </c>
      <c r="AI728">
        <v>92.361366550988905</v>
      </c>
      <c r="AJ728">
        <v>80.973014289795998</v>
      </c>
      <c r="AK728">
        <v>26.946399215509501</v>
      </c>
      <c r="AL728">
        <v>79.678965599246794</v>
      </c>
      <c r="AM728">
        <v>90.423652997109102</v>
      </c>
      <c r="AN728">
        <v>0.99999996377184597</v>
      </c>
    </row>
    <row r="729" spans="1:40" x14ac:dyDescent="0.25">
      <c r="A729" t="str">
        <f>"20190312172105552"</f>
        <v>20190312172105552</v>
      </c>
      <c r="B729" t="str">
        <f>"1552382465541640"</f>
        <v>1552382465541640</v>
      </c>
      <c r="C729" t="s">
        <v>40</v>
      </c>
      <c r="D729">
        <v>3.2655569999999998</v>
      </c>
      <c r="E729">
        <v>0.56445100000000004</v>
      </c>
      <c r="F729" t="s">
        <v>42</v>
      </c>
      <c r="G729">
        <v>-327.40199999999999</v>
      </c>
      <c r="H729" s="1">
        <v>-2.4507370000000001E-6</v>
      </c>
      <c r="I729">
        <v>363.67610000000002</v>
      </c>
      <c r="J729">
        <v>-354.24849999999998</v>
      </c>
      <c r="K729">
        <v>1.110242</v>
      </c>
      <c r="L729">
        <v>367.67880000000002</v>
      </c>
      <c r="M729">
        <v>0.9998629</v>
      </c>
      <c r="N729">
        <v>0</v>
      </c>
      <c r="O729">
        <v>9.9762119999999999E-3</v>
      </c>
      <c r="P729">
        <v>0.98594669999999895</v>
      </c>
      <c r="Q729">
        <v>0.16619519999999999</v>
      </c>
      <c r="R729">
        <v>1.6976890000000001E-2</v>
      </c>
      <c r="S729">
        <v>3.0718079999999999</v>
      </c>
      <c r="T729">
        <v>-0.12620100000000001</v>
      </c>
      <c r="U729">
        <v>-0.45477289999999998</v>
      </c>
      <c r="V729">
        <v>-7.2002569999999998E-3</v>
      </c>
      <c r="W729">
        <v>0.17920469999999999</v>
      </c>
      <c r="X729">
        <v>0.98378549999999998</v>
      </c>
      <c r="Y729">
        <v>0.15617609999999901</v>
      </c>
      <c r="Z729">
        <v>-3.5969999999999999E-3</v>
      </c>
      <c r="AA729">
        <v>0.98772269999999895</v>
      </c>
      <c r="AB729">
        <v>36</v>
      </c>
      <c r="AC729">
        <v>26.846499999999899</v>
      </c>
      <c r="AD729">
        <v>-1.110244450737</v>
      </c>
      <c r="AE729">
        <v>-4.0026999999999999</v>
      </c>
      <c r="AF729">
        <v>4.26321789265302</v>
      </c>
      <c r="AG729">
        <v>-1.110244450737</v>
      </c>
      <c r="AH729">
        <v>26.7604564678849</v>
      </c>
      <c r="AI729">
        <v>92.3461864046118</v>
      </c>
      <c r="AJ729">
        <v>80.9482545122098</v>
      </c>
      <c r="AK729">
        <v>27.120650801745001</v>
      </c>
      <c r="AL729">
        <v>79.676561142213799</v>
      </c>
      <c r="AM729">
        <v>90.419336299964499</v>
      </c>
      <c r="AN729">
        <v>1.0000000391066</v>
      </c>
    </row>
    <row r="730" spans="1:40" x14ac:dyDescent="0.25">
      <c r="A730" t="str">
        <f>"20190312172105564"</f>
        <v>20190312172105564</v>
      </c>
      <c r="B730" t="str">
        <f>"1552382465552376"</f>
        <v>1552382465552376</v>
      </c>
      <c r="C730" t="s">
        <v>40</v>
      </c>
      <c r="D730">
        <v>3.2692899999999998</v>
      </c>
      <c r="E730">
        <v>0.56456049999999902</v>
      </c>
      <c r="F730" t="s">
        <v>42</v>
      </c>
      <c r="G730">
        <v>-327.03590000000003</v>
      </c>
      <c r="H730" s="1">
        <v>-2.5852459999999998E-6</v>
      </c>
      <c r="I730">
        <v>363.63889999999998</v>
      </c>
      <c r="J730">
        <v>-354.07929999999999</v>
      </c>
      <c r="K730">
        <v>1.1102399999999999</v>
      </c>
      <c r="L730">
        <v>367.68060000000003</v>
      </c>
      <c r="M730">
        <v>0.99986240000000004</v>
      </c>
      <c r="N730">
        <v>0</v>
      </c>
      <c r="O730">
        <v>1.005089E-2</v>
      </c>
      <c r="P730">
        <v>0.98592380000000002</v>
      </c>
      <c r="Q730">
        <v>0.16635949999999999</v>
      </c>
      <c r="R730">
        <v>1.670145E-2</v>
      </c>
      <c r="S730">
        <v>3.071777</v>
      </c>
      <c r="T730">
        <v>-0.12532449999999901</v>
      </c>
      <c r="U730">
        <v>-0.45602419999999999</v>
      </c>
      <c r="V730">
        <v>-6.8519729999999999E-3</v>
      </c>
      <c r="W730">
        <v>0.179368</v>
      </c>
      <c r="X730">
        <v>0.98375820000000003</v>
      </c>
      <c r="Y730">
        <v>0.15664639999999999</v>
      </c>
      <c r="Z730">
        <v>-3.5845370000000001E-3</v>
      </c>
      <c r="AA730">
        <v>0.98764819999999998</v>
      </c>
      <c r="AB730">
        <v>36</v>
      </c>
      <c r="AC730">
        <v>27.043399999999899</v>
      </c>
      <c r="AD730">
        <v>-1.1102425852459901</v>
      </c>
      <c r="AE730">
        <v>-4.0417000000000396</v>
      </c>
      <c r="AF730">
        <v>4.30623040275061</v>
      </c>
      <c r="AG730">
        <v>-1.1102425852459901</v>
      </c>
      <c r="AH730">
        <v>26.9569658537858</v>
      </c>
      <c r="AI730">
        <v>92.328941129670199</v>
      </c>
      <c r="AJ730">
        <v>80.923990327215606</v>
      </c>
      <c r="AK730">
        <v>27.321315248754701</v>
      </c>
      <c r="AL730">
        <v>79.667050364705801</v>
      </c>
      <c r="AM730">
        <v>90.399064308603201</v>
      </c>
      <c r="AN730">
        <v>1.0000000125126101</v>
      </c>
    </row>
    <row r="731" spans="1:40" x14ac:dyDescent="0.25">
      <c r="A731" t="str">
        <f>"20190312172105574"</f>
        <v>20190312172105574</v>
      </c>
      <c r="B731" t="str">
        <f>"1552382465571896"</f>
        <v>1552382465571896</v>
      </c>
      <c r="C731" t="s">
        <v>40</v>
      </c>
      <c r="D731">
        <v>3.2747929999999998</v>
      </c>
      <c r="E731">
        <v>0.56480160000000001</v>
      </c>
      <c r="F731" t="s">
        <v>42</v>
      </c>
      <c r="G731">
        <v>-326.64879999999999</v>
      </c>
      <c r="H731" s="1">
        <v>-2.7288079999999998E-6</v>
      </c>
      <c r="I731">
        <v>363.59440000000001</v>
      </c>
      <c r="J731">
        <v>-353.89260000000002</v>
      </c>
      <c r="K731">
        <v>1.110242</v>
      </c>
      <c r="L731">
        <v>367.68259999999998</v>
      </c>
      <c r="M731">
        <v>0.99986149999999996</v>
      </c>
      <c r="N731">
        <v>0</v>
      </c>
      <c r="O731">
        <v>1.013374E-2</v>
      </c>
      <c r="P731">
        <v>0.98591249999999997</v>
      </c>
      <c r="Q731">
        <v>0.16642199999999999</v>
      </c>
      <c r="R731">
        <v>1.6745639999999999E-2</v>
      </c>
      <c r="S731">
        <v>3.071564</v>
      </c>
      <c r="T731">
        <v>-0.1243201</v>
      </c>
      <c r="U731">
        <v>-0.45755000000000001</v>
      </c>
      <c r="V731">
        <v>-6.813899E-3</v>
      </c>
      <c r="W731">
        <v>0.1794299</v>
      </c>
      <c r="X731">
        <v>0.98374720000000004</v>
      </c>
      <c r="Y731">
        <v>0.15721979999999999</v>
      </c>
      <c r="Z731">
        <v>-3.5708189999999998E-3</v>
      </c>
      <c r="AA731">
        <v>0.98755720000000002</v>
      </c>
      <c r="AB731">
        <v>36</v>
      </c>
      <c r="AC731">
        <v>27.2438</v>
      </c>
      <c r="AD731">
        <v>-1.110244728808</v>
      </c>
      <c r="AE731">
        <v>-4.0881999999999703</v>
      </c>
      <c r="AF731">
        <v>4.35701915767467</v>
      </c>
      <c r="AG731">
        <v>-1.110244728808</v>
      </c>
      <c r="AH731">
        <v>27.156861160782999</v>
      </c>
      <c r="AI731">
        <v>92.311571188895101</v>
      </c>
      <c r="AJ731">
        <v>80.885200761240796</v>
      </c>
      <c r="AK731">
        <v>27.526557492796499</v>
      </c>
      <c r="AL731">
        <v>79.663445512475704</v>
      </c>
      <c r="AM731">
        <v>90.396851357243094</v>
      </c>
      <c r="AN731">
        <v>1.00000003587071</v>
      </c>
    </row>
    <row r="732" spans="1:40" x14ac:dyDescent="0.25">
      <c r="A732" t="str">
        <f>"20190312172105586"</f>
        <v>20190312172105586</v>
      </c>
      <c r="B732" t="str">
        <f>"1552382465581656"</f>
        <v>1552382465581656</v>
      </c>
      <c r="C732" t="s">
        <v>40</v>
      </c>
      <c r="D732">
        <v>3.2713480000000001</v>
      </c>
      <c r="E732">
        <v>0.56493019999999905</v>
      </c>
      <c r="F732" t="s">
        <v>42</v>
      </c>
      <c r="G732">
        <v>-326.2715</v>
      </c>
      <c r="H732" s="1">
        <v>-2.8697039999999999E-6</v>
      </c>
      <c r="I732">
        <v>363.54739999999998</v>
      </c>
      <c r="J732">
        <v>-353.72359999999998</v>
      </c>
      <c r="K732">
        <v>1.1102430000000001</v>
      </c>
      <c r="L732">
        <v>367.68439999999998</v>
      </c>
      <c r="M732">
        <v>0.99986079999999999</v>
      </c>
      <c r="N732">
        <v>0</v>
      </c>
      <c r="O732">
        <v>1.020855E-2</v>
      </c>
      <c r="P732">
        <v>0.98592539999999995</v>
      </c>
      <c r="Q732">
        <v>0.16635420000000001</v>
      </c>
      <c r="R732">
        <v>1.666407E-2</v>
      </c>
      <c r="S732">
        <v>3.0715330000000001</v>
      </c>
      <c r="T732">
        <v>-0.1234615</v>
      </c>
      <c r="U732">
        <v>-0.45983889999999999</v>
      </c>
      <c r="V732">
        <v>-6.6582459999999996E-3</v>
      </c>
      <c r="W732">
        <v>0.17936189999999999</v>
      </c>
      <c r="X732">
        <v>0.98376070000000004</v>
      </c>
      <c r="Y732">
        <v>0.15801609999999999</v>
      </c>
      <c r="Z732">
        <v>-3.5649179999999998E-3</v>
      </c>
      <c r="AA732">
        <v>0.98743009999999998</v>
      </c>
      <c r="AB732">
        <v>36</v>
      </c>
      <c r="AC732">
        <v>27.452099999999898</v>
      </c>
      <c r="AD732">
        <v>-1.1102458697040001</v>
      </c>
      <c r="AE732">
        <v>-4.1369999999999996</v>
      </c>
      <c r="AF732">
        <v>4.4100019402691704</v>
      </c>
      <c r="AG732">
        <v>-1.1102458697040001</v>
      </c>
      <c r="AH732">
        <v>27.3646680247288</v>
      </c>
      <c r="AI732">
        <v>92.293780516928805</v>
      </c>
      <c r="AJ732">
        <v>80.845110217752193</v>
      </c>
      <c r="AK732">
        <v>27.739967900269601</v>
      </c>
      <c r="AL732">
        <v>79.667406221953698</v>
      </c>
      <c r="AM732">
        <v>90.387780859551697</v>
      </c>
      <c r="AN732">
        <v>1.00000006913794</v>
      </c>
    </row>
    <row r="733" spans="1:40" x14ac:dyDescent="0.25">
      <c r="A733" t="str">
        <f>"20190312172105596"</f>
        <v>20190312172105596</v>
      </c>
      <c r="B733" t="str">
        <f>"1552382465592392"</f>
        <v>1552382465592392</v>
      </c>
      <c r="C733" t="s">
        <v>40</v>
      </c>
      <c r="D733">
        <v>3.2864589999999998</v>
      </c>
      <c r="E733">
        <v>0.56503289999999995</v>
      </c>
      <c r="F733" t="s">
        <v>42</v>
      </c>
      <c r="G733">
        <v>-326.0976</v>
      </c>
      <c r="H733" s="1">
        <v>-2.9316379999999998E-6</v>
      </c>
      <c r="I733">
        <v>363.53710000000001</v>
      </c>
      <c r="J733">
        <v>-353.54700000000003</v>
      </c>
      <c r="K733">
        <v>1.110242</v>
      </c>
      <c r="L733">
        <v>367.68619999999999</v>
      </c>
      <c r="M733">
        <v>0.99985990000000002</v>
      </c>
      <c r="N733">
        <v>0</v>
      </c>
      <c r="O733">
        <v>1.028686E-2</v>
      </c>
      <c r="P733">
        <v>0.98593059999999999</v>
      </c>
      <c r="Q733">
        <v>0.1663114</v>
      </c>
      <c r="R733">
        <v>1.678087E-2</v>
      </c>
      <c r="S733">
        <v>3.071472</v>
      </c>
      <c r="T733">
        <v>-0.1234373</v>
      </c>
      <c r="U733">
        <v>-0.4610901</v>
      </c>
      <c r="V733">
        <v>-6.6981719999999996E-3</v>
      </c>
      <c r="W733">
        <v>0.1793187</v>
      </c>
      <c r="X733">
        <v>0.98376819999999998</v>
      </c>
      <c r="Y733">
        <v>0.158489299999999</v>
      </c>
      <c r="Z733">
        <v>-3.5767640000000001E-3</v>
      </c>
      <c r="AA733">
        <v>0.98735419999999996</v>
      </c>
      <c r="AB733">
        <v>36</v>
      </c>
      <c r="AC733">
        <v>27.449399999999901</v>
      </c>
      <c r="AD733">
        <v>-1.1102449316380001</v>
      </c>
      <c r="AE733">
        <v>-4.1490999999999696</v>
      </c>
      <c r="AF733">
        <v>4.42419705997251</v>
      </c>
      <c r="AG733">
        <v>-1.1102449316380001</v>
      </c>
      <c r="AH733">
        <v>27.361500066039898</v>
      </c>
      <c r="AI733">
        <v>92.293850114720399</v>
      </c>
      <c r="AJ733">
        <v>80.815098201032697</v>
      </c>
      <c r="AK733">
        <v>27.739103253306499</v>
      </c>
      <c r="AL733">
        <v>79.669921118751603</v>
      </c>
      <c r="AM733">
        <v>90.390103131822897</v>
      </c>
      <c r="AN733">
        <v>0.99999996650453504</v>
      </c>
    </row>
    <row r="734" spans="1:40" x14ac:dyDescent="0.25">
      <c r="A734" t="str">
        <f>"20190312172105607"</f>
        <v>20190312172105607</v>
      </c>
      <c r="B734" t="str">
        <f>"1552382465602152"</f>
        <v>1552382465602152</v>
      </c>
      <c r="C734" t="s">
        <v>40</v>
      </c>
      <c r="D734">
        <v>3.2569900000000001</v>
      </c>
      <c r="E734">
        <v>0.56513009999999997</v>
      </c>
      <c r="F734" t="s">
        <v>42</v>
      </c>
      <c r="G734">
        <v>-325.91359999999997</v>
      </c>
      <c r="H734" s="1">
        <v>-2.9946870000000002E-6</v>
      </c>
      <c r="I734">
        <v>363.53539999999998</v>
      </c>
      <c r="J734">
        <v>-353.38199999999898</v>
      </c>
      <c r="K734">
        <v>1.1102399999999999</v>
      </c>
      <c r="L734">
        <v>367.68799999999999</v>
      </c>
      <c r="M734">
        <v>0.99985919999999895</v>
      </c>
      <c r="N734">
        <v>0</v>
      </c>
      <c r="O734">
        <v>1.0359999999999999E-2</v>
      </c>
      <c r="P734">
        <v>0.98589510000000002</v>
      </c>
      <c r="Q734">
        <v>0.16649520000000001</v>
      </c>
      <c r="R734">
        <v>1.7044819999999999E-2</v>
      </c>
      <c r="S734">
        <v>3.071472</v>
      </c>
      <c r="T734">
        <v>-0.1234041</v>
      </c>
      <c r="U734">
        <v>-0.46136470000000002</v>
      </c>
      <c r="V734">
        <v>-6.8902669999999899E-3</v>
      </c>
      <c r="W734">
        <v>0.17950160000000001</v>
      </c>
      <c r="X734">
        <v>0.98373350000000004</v>
      </c>
      <c r="Y734">
        <v>0.15864779999999901</v>
      </c>
      <c r="Z734">
        <v>-3.5818669999999999E-3</v>
      </c>
      <c r="AA734">
        <v>0.98732880000000001</v>
      </c>
      <c r="AB734">
        <v>36</v>
      </c>
      <c r="AC734">
        <v>27.4683999999999</v>
      </c>
      <c r="AD734">
        <v>-1.1102429946869901</v>
      </c>
      <c r="AE734">
        <v>-4.15260000000006</v>
      </c>
      <c r="AF734">
        <v>4.4298991551334801</v>
      </c>
      <c r="AG734">
        <v>-1.1102429946869901</v>
      </c>
      <c r="AH734">
        <v>27.3801697126082</v>
      </c>
      <c r="AI734">
        <v>92.292248316058306</v>
      </c>
      <c r="AJ734">
        <v>80.809626231922707</v>
      </c>
      <c r="AK734">
        <v>27.758428261036901</v>
      </c>
      <c r="AL734">
        <v>79.659268704253293</v>
      </c>
      <c r="AM734">
        <v>90.401304584159007</v>
      </c>
      <c r="AN734">
        <v>0.99999994960206895</v>
      </c>
    </row>
    <row r="735" spans="1:40" x14ac:dyDescent="0.25">
      <c r="A735" t="str">
        <f>"20190312172105618"</f>
        <v>20190312172105618</v>
      </c>
      <c r="B735" t="str">
        <f>"1552382465611912"</f>
        <v>1552382465611912</v>
      </c>
      <c r="C735" t="s">
        <v>40</v>
      </c>
      <c r="D735">
        <v>3.2556240000000001</v>
      </c>
      <c r="E735">
        <v>0.56523020000000002</v>
      </c>
      <c r="F735" t="s">
        <v>42</v>
      </c>
      <c r="G735">
        <v>-325.57920000000001</v>
      </c>
      <c r="H735" s="1">
        <v>-3.1158420000000002E-6</v>
      </c>
      <c r="I735">
        <v>363.50779999999997</v>
      </c>
      <c r="J735">
        <v>-353.19569999999999</v>
      </c>
      <c r="K735">
        <v>1.1102399999999999</v>
      </c>
      <c r="L735">
        <v>367.69009999999997</v>
      </c>
      <c r="M735">
        <v>0.99985829999999998</v>
      </c>
      <c r="N735">
        <v>0</v>
      </c>
      <c r="O735">
        <v>1.044249E-2</v>
      </c>
      <c r="P735">
        <v>0.98588880000000001</v>
      </c>
      <c r="Q735">
        <v>0.16652439999999999</v>
      </c>
      <c r="R735">
        <v>1.7125209999999998E-2</v>
      </c>
      <c r="S735">
        <v>3.071625</v>
      </c>
      <c r="T735">
        <v>-0.1226583</v>
      </c>
      <c r="U735">
        <v>-0.46182250000000002</v>
      </c>
      <c r="V735">
        <v>-6.8892930000000003E-3</v>
      </c>
      <c r="W735">
        <v>0.17952979999999999</v>
      </c>
      <c r="X735">
        <v>0.98372839999999995</v>
      </c>
      <c r="Y735">
        <v>0.15886739999999999</v>
      </c>
      <c r="Z735">
        <v>-3.567654E-3</v>
      </c>
      <c r="AA735">
        <v>0.98729350000000005</v>
      </c>
      <c r="AB735">
        <v>36</v>
      </c>
      <c r="AC735">
        <v>27.616499999999899</v>
      </c>
      <c r="AD735">
        <v>-1.1102431158420001</v>
      </c>
      <c r="AE735">
        <v>-4.1822999999999899</v>
      </c>
      <c r="AF735">
        <v>4.4634299690121404</v>
      </c>
      <c r="AG735">
        <v>-1.1102431158420001</v>
      </c>
      <c r="AH735">
        <v>27.5278231839293</v>
      </c>
      <c r="AI735">
        <v>92.279840537788004</v>
      </c>
      <c r="AJ735">
        <v>80.790071361961793</v>
      </c>
      <c r="AK735">
        <v>27.9094230701788</v>
      </c>
      <c r="AL735">
        <v>79.657626685872302</v>
      </c>
      <c r="AM735">
        <v>90.401249938216495</v>
      </c>
      <c r="AN735">
        <v>0.99999998820631897</v>
      </c>
    </row>
    <row r="736" spans="1:40" x14ac:dyDescent="0.25">
      <c r="A736" t="str">
        <f>"20190312172105632"</f>
        <v>20190312172105632</v>
      </c>
      <c r="B736" t="str">
        <f>"1552382465621672"</f>
        <v>1552382465621672</v>
      </c>
      <c r="C736" t="s">
        <v>40</v>
      </c>
      <c r="D736">
        <v>3.225298</v>
      </c>
      <c r="E736">
        <v>0.56533029999999995</v>
      </c>
      <c r="F736" t="s">
        <v>42</v>
      </c>
      <c r="G736">
        <v>-325.36610000000002</v>
      </c>
      <c r="H736" s="1">
        <v>-3.1900840000000002E-6</v>
      </c>
      <c r="I736">
        <v>363.50119999999998</v>
      </c>
      <c r="J736">
        <v>-352.98219999999998</v>
      </c>
      <c r="K736">
        <v>1.110241</v>
      </c>
      <c r="L736">
        <v>367.69240000000002</v>
      </c>
      <c r="M736">
        <v>0.99985729999999995</v>
      </c>
      <c r="N736">
        <v>0</v>
      </c>
      <c r="O736">
        <v>1.0537080000000001E-2</v>
      </c>
      <c r="P736">
        <v>0.98589260000000001</v>
      </c>
      <c r="Q736">
        <v>0.16648769999999999</v>
      </c>
      <c r="R736">
        <v>1.7257049999999999E-2</v>
      </c>
      <c r="S736">
        <v>3.0717159999999999</v>
      </c>
      <c r="T736">
        <v>-0.12254379999999999</v>
      </c>
      <c r="U736">
        <v>-0.46234130000000001</v>
      </c>
      <c r="V736">
        <v>-6.9273360000000001E-3</v>
      </c>
      <c r="W736">
        <v>0.17949270000000001</v>
      </c>
      <c r="X736">
        <v>0.98373489999999997</v>
      </c>
      <c r="Y736">
        <v>0.15911939999999999</v>
      </c>
      <c r="Z736">
        <v>-3.5729300000000002E-3</v>
      </c>
      <c r="AA736">
        <v>0.98725289999999999</v>
      </c>
      <c r="AB736">
        <v>36</v>
      </c>
      <c r="AC736">
        <v>27.6160999999999</v>
      </c>
      <c r="AD736">
        <v>-1.1102441900839899</v>
      </c>
      <c r="AE736">
        <v>-4.1912000000000296</v>
      </c>
      <c r="AF736">
        <v>4.4749158974970298</v>
      </c>
      <c r="AG736">
        <v>-1.1102441900839899</v>
      </c>
      <c r="AH736">
        <v>27.526910651490802</v>
      </c>
      <c r="AI736">
        <v>92.279765982779097</v>
      </c>
      <c r="AJ736">
        <v>80.766477943693602</v>
      </c>
      <c r="AK736">
        <v>27.910362313421299</v>
      </c>
      <c r="AL736">
        <v>79.659787429833401</v>
      </c>
      <c r="AM736">
        <v>90.403462920404493</v>
      </c>
      <c r="AN736">
        <v>0.99999998540767798</v>
      </c>
    </row>
    <row r="737" spans="1:40" x14ac:dyDescent="0.25">
      <c r="A737" t="str">
        <f>"20190312172105645"</f>
        <v>20190312172105645</v>
      </c>
      <c r="B737" t="str">
        <f>"1552382465642168"</f>
        <v>1552382465642168</v>
      </c>
      <c r="C737" t="s">
        <v>40</v>
      </c>
      <c r="D737">
        <v>3.2336070000000001</v>
      </c>
      <c r="E737">
        <v>0.56554839999999995</v>
      </c>
      <c r="F737" t="s">
        <v>42</v>
      </c>
      <c r="G737">
        <v>-325.17149999999998</v>
      </c>
      <c r="H737" s="1">
        <v>-3.2559769999999998E-6</v>
      </c>
      <c r="I737">
        <v>363.5025</v>
      </c>
      <c r="J737">
        <v>-352.77460000000002</v>
      </c>
      <c r="K737">
        <v>1.110241</v>
      </c>
      <c r="L737">
        <v>367.69459999999998</v>
      </c>
      <c r="M737">
        <v>0.99985639999999998</v>
      </c>
      <c r="N737">
        <v>0</v>
      </c>
      <c r="O737">
        <v>1.062899E-2</v>
      </c>
      <c r="P737">
        <v>0.98590219999999995</v>
      </c>
      <c r="Q737">
        <v>0.166409</v>
      </c>
      <c r="R737">
        <v>1.746354E-2</v>
      </c>
      <c r="S737">
        <v>3.0717469999999998</v>
      </c>
      <c r="T737">
        <v>-0.1226283</v>
      </c>
      <c r="U737">
        <v>-0.46276859999999997</v>
      </c>
      <c r="V737">
        <v>-7.0433040000000002E-3</v>
      </c>
      <c r="W737">
        <v>0.17941299999999999</v>
      </c>
      <c r="X737">
        <v>0.98374859999999997</v>
      </c>
      <c r="Y737">
        <v>0.1593426</v>
      </c>
      <c r="Z737">
        <v>-3.583396E-3</v>
      </c>
      <c r="AA737">
        <v>0.98721680000000001</v>
      </c>
      <c r="AB737">
        <v>36</v>
      </c>
      <c r="AC737">
        <v>27.603100000000001</v>
      </c>
      <c r="AD737">
        <v>-1.110244255977</v>
      </c>
      <c r="AE737">
        <v>-4.1920999999999804</v>
      </c>
      <c r="AF737">
        <v>4.4782003390160998</v>
      </c>
      <c r="AG737">
        <v>-1.110244255977</v>
      </c>
      <c r="AH737">
        <v>27.5134713260335</v>
      </c>
      <c r="AI737">
        <v>92.280806750691895</v>
      </c>
      <c r="AJ737">
        <v>80.755382116078593</v>
      </c>
      <c r="AK737">
        <v>27.897634756243502</v>
      </c>
      <c r="AL737">
        <v>79.664429098942307</v>
      </c>
      <c r="AM737">
        <v>90.4102112041559</v>
      </c>
      <c r="AN737">
        <v>0.999999970351097</v>
      </c>
    </row>
    <row r="738" spans="1:40" x14ac:dyDescent="0.25">
      <c r="A738" t="str">
        <f>"20190312172105657"</f>
        <v>20190312172105657</v>
      </c>
      <c r="B738" t="str">
        <f>"1552382465651929"</f>
        <v>1552382465651929</v>
      </c>
      <c r="C738" t="s">
        <v>40</v>
      </c>
      <c r="D738">
        <v>3.2365949999999999</v>
      </c>
      <c r="E738">
        <v>0.56566050000000001</v>
      </c>
      <c r="F738" t="s">
        <v>42</v>
      </c>
      <c r="G738">
        <v>-324.94099999999997</v>
      </c>
      <c r="H738" s="1">
        <v>-3.3372820000000001E-6</v>
      </c>
      <c r="I738">
        <v>363.49180000000001</v>
      </c>
      <c r="J738">
        <v>-352.56580000000002</v>
      </c>
      <c r="K738">
        <v>1.110241</v>
      </c>
      <c r="L738">
        <v>367.697</v>
      </c>
      <c r="M738">
        <v>0.99985539999999995</v>
      </c>
      <c r="N738">
        <v>0</v>
      </c>
      <c r="O738">
        <v>1.072102E-2</v>
      </c>
      <c r="P738">
        <v>0.98589320000000003</v>
      </c>
      <c r="Q738">
        <v>0.16645190000000001</v>
      </c>
      <c r="R738">
        <v>1.7565810000000001E-2</v>
      </c>
      <c r="S738">
        <v>3.0718079999999999</v>
      </c>
      <c r="T738">
        <v>-0.12252970000000001</v>
      </c>
      <c r="U738">
        <v>-0.46383669999999999</v>
      </c>
      <c r="V738">
        <v>-7.0549760000000001E-3</v>
      </c>
      <c r="W738">
        <v>0.1794557</v>
      </c>
      <c r="X738">
        <v>0.98374070000000002</v>
      </c>
      <c r="Y738">
        <v>0.15976599999999999</v>
      </c>
      <c r="Z738">
        <v>-3.5923999999999999E-3</v>
      </c>
      <c r="AA738">
        <v>0.98714840000000004</v>
      </c>
      <c r="AB738">
        <v>36</v>
      </c>
      <c r="AC738">
        <v>27.6248</v>
      </c>
      <c r="AD738">
        <v>-1.1102443372819999</v>
      </c>
      <c r="AE738">
        <v>-4.2051999999999303</v>
      </c>
      <c r="AF738">
        <v>4.4940555085058396</v>
      </c>
      <c r="AG738">
        <v>-1.1102443372819999</v>
      </c>
      <c r="AH738">
        <v>27.534656121222799</v>
      </c>
      <c r="AI738">
        <v>92.278891076082402</v>
      </c>
      <c r="AJ738">
        <v>80.730232878846806</v>
      </c>
      <c r="AK738">
        <v>27.9210756439645</v>
      </c>
      <c r="AL738">
        <v>79.6619419197078</v>
      </c>
      <c r="AM738">
        <v>90.410894272935806</v>
      </c>
      <c r="AN738">
        <v>0.99999994289266803</v>
      </c>
    </row>
    <row r="739" spans="1:40" x14ac:dyDescent="0.25">
      <c r="A739" t="str">
        <f>"20190312172105672"</f>
        <v>20190312172105672</v>
      </c>
      <c r="B739" t="str">
        <f>"1552382465661688"</f>
        <v>1552382465661688</v>
      </c>
      <c r="C739" t="s">
        <v>40</v>
      </c>
      <c r="D739">
        <v>3.2226149999999998</v>
      </c>
      <c r="E739">
        <v>0.56576959999999998</v>
      </c>
      <c r="F739" t="s">
        <v>42</v>
      </c>
      <c r="G739">
        <v>-324.6275</v>
      </c>
      <c r="H739" s="1">
        <v>-3.4499409999999999E-6</v>
      </c>
      <c r="I739">
        <v>363.46929999999998</v>
      </c>
      <c r="J739">
        <v>-352.33519999999999</v>
      </c>
      <c r="K739">
        <v>1.110247</v>
      </c>
      <c r="L739">
        <v>367.69959999999998</v>
      </c>
      <c r="M739">
        <v>0.99985429999999997</v>
      </c>
      <c r="N739">
        <v>0</v>
      </c>
      <c r="O739">
        <v>1.082313E-2</v>
      </c>
      <c r="P739">
        <v>0.98586180000000001</v>
      </c>
      <c r="Q739">
        <v>0.1666398</v>
      </c>
      <c r="R739">
        <v>1.7547549999999999E-2</v>
      </c>
      <c r="S739">
        <v>3.0717469999999998</v>
      </c>
      <c r="T739">
        <v>-0.1220682</v>
      </c>
      <c r="U739">
        <v>-0.46481319999999998</v>
      </c>
      <c r="V739">
        <v>-6.9360569999999998E-3</v>
      </c>
      <c r="W739">
        <v>0.17964189999999999</v>
      </c>
      <c r="X739">
        <v>0.98370760000000002</v>
      </c>
      <c r="Y739">
        <v>0.16017709999999999</v>
      </c>
      <c r="Z739">
        <v>-3.5910199999999999E-3</v>
      </c>
      <c r="AA739">
        <v>0.98708180000000001</v>
      </c>
      <c r="AB739">
        <v>36</v>
      </c>
      <c r="AC739">
        <v>27.7076999999999</v>
      </c>
      <c r="AD739">
        <v>-1.110250449941</v>
      </c>
      <c r="AE739">
        <v>-4.2302999999999997</v>
      </c>
      <c r="AF739">
        <v>4.5228657955495697</v>
      </c>
      <c r="AG739">
        <v>-1.110250449941</v>
      </c>
      <c r="AH739">
        <v>27.616955668466499</v>
      </c>
      <c r="AI739">
        <v>92.271918279467897</v>
      </c>
      <c r="AJ739">
        <v>80.699159750028599</v>
      </c>
      <c r="AK739">
        <v>28.006877931325899</v>
      </c>
      <c r="AL739">
        <v>79.651097614388306</v>
      </c>
      <c r="AM739">
        <v>90.403982044031693</v>
      </c>
      <c r="AN739">
        <v>0.99999998171003801</v>
      </c>
    </row>
    <row r="740" spans="1:40" x14ac:dyDescent="0.25">
      <c r="A740" t="str">
        <f>"20190312172105683"</f>
        <v>20190312172105683</v>
      </c>
      <c r="B740" t="str">
        <f>"1552382465672424"</f>
        <v>1552382465672424</v>
      </c>
      <c r="C740" t="s">
        <v>40</v>
      </c>
      <c r="D740">
        <v>3.2428020000000002</v>
      </c>
      <c r="E740">
        <v>0.56586719999999902</v>
      </c>
      <c r="F740" t="s">
        <v>42</v>
      </c>
      <c r="G740">
        <v>-324.20760000000001</v>
      </c>
      <c r="H740" s="1">
        <v>-3.601747E-6</v>
      </c>
      <c r="I740">
        <v>363.43579999999997</v>
      </c>
      <c r="J740">
        <v>-352.1592</v>
      </c>
      <c r="K740">
        <v>1.1102479999999999</v>
      </c>
      <c r="L740">
        <v>367.70150000000001</v>
      </c>
      <c r="M740">
        <v>0.9998534</v>
      </c>
      <c r="N740">
        <v>0</v>
      </c>
      <c r="O740">
        <v>1.090109E-2</v>
      </c>
      <c r="P740">
        <v>0.98586949999999995</v>
      </c>
      <c r="Q740">
        <v>0.16659350000000001</v>
      </c>
      <c r="R740">
        <v>1.7553860000000001E-2</v>
      </c>
      <c r="S740">
        <v>3.071777</v>
      </c>
      <c r="T740">
        <v>-0.1212488</v>
      </c>
      <c r="U740">
        <v>-0.46563719999999997</v>
      </c>
      <c r="V740">
        <v>-6.8657559999999998E-3</v>
      </c>
      <c r="W740">
        <v>0.17959549999999999</v>
      </c>
      <c r="X740">
        <v>0.98371660000000005</v>
      </c>
      <c r="Y740">
        <v>0.16051299999999999</v>
      </c>
      <c r="Z740">
        <v>-3.576475E-3</v>
      </c>
      <c r="AA740">
        <v>0.98702719999999999</v>
      </c>
      <c r="AB740">
        <v>36</v>
      </c>
      <c r="AC740">
        <v>27.9515999999999</v>
      </c>
      <c r="AD740">
        <v>-1.1102516017470001</v>
      </c>
      <c r="AE740">
        <v>-4.26570000000003</v>
      </c>
      <c r="AF740">
        <v>4.5631404715376496</v>
      </c>
      <c r="AG740">
        <v>-1.1102516017470001</v>
      </c>
      <c r="AH740">
        <v>27.860478472658901</v>
      </c>
      <c r="AI740">
        <v>92.252077716188296</v>
      </c>
      <c r="AJ740">
        <v>80.698373408580494</v>
      </c>
      <c r="AK740">
        <v>28.253516069821401</v>
      </c>
      <c r="AL740">
        <v>79.653800446087203</v>
      </c>
      <c r="AM740">
        <v>90.399883924616702</v>
      </c>
      <c r="AN740">
        <v>1.0000000156706299</v>
      </c>
    </row>
    <row r="741" spans="1:40" x14ac:dyDescent="0.25">
      <c r="A741" t="str">
        <f>"20190312172105693"</f>
        <v>20190312172105693</v>
      </c>
      <c r="B741" t="str">
        <f>"1552382465682183"</f>
        <v>1552382465682183</v>
      </c>
      <c r="C741" t="s">
        <v>40</v>
      </c>
      <c r="D741">
        <v>3.242683</v>
      </c>
      <c r="E741">
        <v>0.56594789999999995</v>
      </c>
      <c r="F741" t="s">
        <v>42</v>
      </c>
      <c r="G741">
        <v>-323.995</v>
      </c>
      <c r="H741" s="1">
        <v>-3.6773719999999998E-6</v>
      </c>
      <c r="I741">
        <v>363.42349999999999</v>
      </c>
      <c r="J741">
        <v>-351.97550000000001</v>
      </c>
      <c r="K741">
        <v>1.11025</v>
      </c>
      <c r="L741">
        <v>367.70359999999999</v>
      </c>
      <c r="M741">
        <v>0.99985259999999998</v>
      </c>
      <c r="N741">
        <v>0</v>
      </c>
      <c r="O741">
        <v>1.098239E-2</v>
      </c>
      <c r="P741">
        <v>0.98581989999999997</v>
      </c>
      <c r="Q741">
        <v>0.16689129999999899</v>
      </c>
      <c r="R741">
        <v>1.749531E-2</v>
      </c>
      <c r="S741">
        <v>3.0718079999999999</v>
      </c>
      <c r="T741">
        <v>-0.12109209999999999</v>
      </c>
      <c r="U741">
        <v>-0.46658329999999998</v>
      </c>
      <c r="V741">
        <v>-6.7274780000000003E-3</v>
      </c>
      <c r="W741">
        <v>0.17989140000000001</v>
      </c>
      <c r="X741">
        <v>0.98366339999999997</v>
      </c>
      <c r="Y741">
        <v>0.1608889</v>
      </c>
      <c r="Z741">
        <v>-3.5822889999999998E-3</v>
      </c>
      <c r="AA741">
        <v>0.98696600000000001</v>
      </c>
      <c r="AB741">
        <v>36</v>
      </c>
      <c r="AC741">
        <v>27.980499999999999</v>
      </c>
      <c r="AD741">
        <v>-1.110253677372</v>
      </c>
      <c r="AE741">
        <v>-4.2801</v>
      </c>
      <c r="AF741">
        <v>4.5801149951989304</v>
      </c>
      <c r="AG741">
        <v>-1.110253677372</v>
      </c>
      <c r="AH741">
        <v>27.8888962496925</v>
      </c>
      <c r="AI741">
        <v>92.249630930323207</v>
      </c>
      <c r="AJ741">
        <v>80.673725595049206</v>
      </c>
      <c r="AK741">
        <v>28.284282748966401</v>
      </c>
      <c r="AL741">
        <v>79.636565034085805</v>
      </c>
      <c r="AM741">
        <v>90.391851609467096</v>
      </c>
      <c r="AN741">
        <v>0.999999929626877</v>
      </c>
    </row>
    <row r="742" spans="1:40" x14ac:dyDescent="0.25">
      <c r="A742" t="str">
        <f>"20190312172105705"</f>
        <v>20190312172105705</v>
      </c>
      <c r="B742" t="str">
        <f>"1552382465701705"</f>
        <v>1552382465701705</v>
      </c>
      <c r="C742" t="s">
        <v>40</v>
      </c>
      <c r="D742">
        <v>3.1865429999999999</v>
      </c>
      <c r="E742">
        <v>0.56614219999999904</v>
      </c>
      <c r="F742" t="s">
        <v>42</v>
      </c>
      <c r="G742">
        <v>-323.62569999999999</v>
      </c>
      <c r="H742" s="1">
        <v>-3.8217269999999999E-6</v>
      </c>
      <c r="I742">
        <v>363.38780000000003</v>
      </c>
      <c r="J742">
        <v>-351.79640000000001</v>
      </c>
      <c r="K742">
        <v>1.1102540000000001</v>
      </c>
      <c r="L742">
        <v>367.70569999999998</v>
      </c>
      <c r="M742">
        <v>0.99985170000000001</v>
      </c>
      <c r="N742">
        <v>0</v>
      </c>
      <c r="O742">
        <v>1.106155E-2</v>
      </c>
      <c r="P742">
        <v>0.98580599999999996</v>
      </c>
      <c r="Q742">
        <v>0.1669525</v>
      </c>
      <c r="R742">
        <v>1.7707520000000001E-2</v>
      </c>
      <c r="S742">
        <v>3.071777</v>
      </c>
      <c r="T742">
        <v>-0.1202985</v>
      </c>
      <c r="U742">
        <v>-0.4676208</v>
      </c>
      <c r="V742">
        <v>-6.8620189999999996E-3</v>
      </c>
      <c r="W742">
        <v>0.17995149999999999</v>
      </c>
      <c r="X742">
        <v>0.98365159999999996</v>
      </c>
      <c r="Y742">
        <v>0.16129560000000001</v>
      </c>
      <c r="Z742">
        <v>-3.5697749999999999E-3</v>
      </c>
      <c r="AA742">
        <v>0.98689970000000005</v>
      </c>
      <c r="AB742">
        <v>36</v>
      </c>
      <c r="AC742">
        <v>28.1707</v>
      </c>
      <c r="AD742">
        <v>-1.110257821727</v>
      </c>
      <c r="AE742">
        <v>-4.3178999999999501</v>
      </c>
      <c r="AF742">
        <v>4.6222596340387598</v>
      </c>
      <c r="AG742">
        <v>-1.110257821727</v>
      </c>
      <c r="AH742">
        <v>28.078596311404102</v>
      </c>
      <c r="AI742">
        <v>92.234316251567193</v>
      </c>
      <c r="AJ742">
        <v>80.651888813761403</v>
      </c>
      <c r="AK742">
        <v>28.478158777806598</v>
      </c>
      <c r="AL742">
        <v>79.633065691936295</v>
      </c>
      <c r="AM742">
        <v>90.399692685877298</v>
      </c>
      <c r="AN742">
        <v>1.0000000499197801</v>
      </c>
    </row>
    <row r="743" spans="1:40" x14ac:dyDescent="0.25">
      <c r="A743" t="str">
        <f>"20190312172105716"</f>
        <v>20190312172105716</v>
      </c>
      <c r="B743" t="str">
        <f>"1552382465712440"</f>
        <v>1552382465712440</v>
      </c>
      <c r="C743" t="s">
        <v>40</v>
      </c>
      <c r="D743">
        <v>3.2031489999999998</v>
      </c>
      <c r="E743">
        <v>0.56625780000000003</v>
      </c>
      <c r="F743" t="s">
        <v>42</v>
      </c>
      <c r="G743">
        <v>-323.3913</v>
      </c>
      <c r="H743" s="1">
        <v>-3.9244680000000003E-6</v>
      </c>
      <c r="I743">
        <v>363.37549999999999</v>
      </c>
      <c r="J743">
        <v>-351.61040000000003</v>
      </c>
      <c r="K743">
        <v>1.110255</v>
      </c>
      <c r="L743">
        <v>367.70780000000002</v>
      </c>
      <c r="M743">
        <v>0.99985069999999998</v>
      </c>
      <c r="N743">
        <v>0</v>
      </c>
      <c r="O743">
        <v>1.1143500000000001E-2</v>
      </c>
      <c r="P743">
        <v>0.98579570000000005</v>
      </c>
      <c r="Q743">
        <v>0.16702149999999999</v>
      </c>
      <c r="R743">
        <v>1.7623440000000001E-2</v>
      </c>
      <c r="S743">
        <v>3.07193</v>
      </c>
      <c r="T743">
        <v>-0.12007080000000001</v>
      </c>
      <c r="U743">
        <v>-0.46829219999999999</v>
      </c>
      <c r="V743">
        <v>-6.697298E-3</v>
      </c>
      <c r="W743">
        <v>0.1800204</v>
      </c>
      <c r="X743">
        <v>0.98364010000000002</v>
      </c>
      <c r="Y743">
        <v>0.16158029999999901</v>
      </c>
      <c r="Z743">
        <v>-3.5715019999999998E-3</v>
      </c>
      <c r="AA743">
        <v>0.98685310000000004</v>
      </c>
      <c r="AB743">
        <v>36</v>
      </c>
      <c r="AC743">
        <v>28.219100000000001</v>
      </c>
      <c r="AD743">
        <v>-1.1102589244679999</v>
      </c>
      <c r="AE743">
        <v>-4.3323000000000302</v>
      </c>
      <c r="AF743">
        <v>4.6395014926692602</v>
      </c>
      <c r="AG743">
        <v>-1.1102589244679999</v>
      </c>
      <c r="AH743">
        <v>28.126529924554799</v>
      </c>
      <c r="AI743">
        <v>92.230395716559599</v>
      </c>
      <c r="AJ743">
        <v>80.633343537890894</v>
      </c>
      <c r="AK743">
        <v>28.528219968597998</v>
      </c>
      <c r="AL743">
        <v>79.629052183888604</v>
      </c>
      <c r="AM743">
        <v>90.390103026578004</v>
      </c>
      <c r="AN743">
        <v>1.00000002227233</v>
      </c>
    </row>
    <row r="744" spans="1:40" x14ac:dyDescent="0.25">
      <c r="A744" t="str">
        <f>"20190312172105729"</f>
        <v>20190312172105729</v>
      </c>
      <c r="B744" t="str">
        <f>"1552382465722200"</f>
        <v>1552382465722200</v>
      </c>
      <c r="C744" t="s">
        <v>40</v>
      </c>
      <c r="D744">
        <v>3.2341989999999998</v>
      </c>
      <c r="E744">
        <v>0.56635619999999998</v>
      </c>
      <c r="F744" t="s">
        <v>42</v>
      </c>
      <c r="G744">
        <v>-323.19779999999997</v>
      </c>
      <c r="H744" s="1">
        <v>-4.0093370000000003E-6</v>
      </c>
      <c r="I744">
        <v>363.36489999999998</v>
      </c>
      <c r="J744">
        <v>-351.42700000000002</v>
      </c>
      <c r="K744">
        <v>1.1102540000000001</v>
      </c>
      <c r="L744">
        <v>367.7099</v>
      </c>
      <c r="M744">
        <v>0.99984989999999996</v>
      </c>
      <c r="N744">
        <v>0</v>
      </c>
      <c r="O744">
        <v>1.122451E-2</v>
      </c>
      <c r="P744">
        <v>0.98582159999999996</v>
      </c>
      <c r="Q744">
        <v>0.16687260000000001</v>
      </c>
      <c r="R744">
        <v>1.7591389999999998E-2</v>
      </c>
      <c r="S744">
        <v>3.0719599999999998</v>
      </c>
      <c r="T744">
        <v>-0.12004049999999999</v>
      </c>
      <c r="U744">
        <v>-0.4695435</v>
      </c>
      <c r="V744">
        <v>-6.5849130000000004E-3</v>
      </c>
      <c r="W744">
        <v>0.1798708</v>
      </c>
      <c r="X744">
        <v>0.98366819999999999</v>
      </c>
      <c r="Y744">
        <v>0.16205120000000001</v>
      </c>
      <c r="Z744">
        <v>-3.5827530000000002E-3</v>
      </c>
      <c r="AA744">
        <v>0.98677579999999998</v>
      </c>
      <c r="AB744">
        <v>36</v>
      </c>
      <c r="AC744">
        <v>28.229199999999899</v>
      </c>
      <c r="AD744">
        <v>-1.110258009337</v>
      </c>
      <c r="AE744">
        <v>-4.3450000000000202</v>
      </c>
      <c r="AF744">
        <v>4.6545794183537197</v>
      </c>
      <c r="AG744">
        <v>-1.110258009337</v>
      </c>
      <c r="AH744">
        <v>28.1361312030634</v>
      </c>
      <c r="AI744">
        <v>92.229461767573895</v>
      </c>
      <c r="AJ744">
        <v>80.606594223241999</v>
      </c>
      <c r="AK744">
        <v>28.540141230993498</v>
      </c>
      <c r="AL744">
        <v>79.6377656020301</v>
      </c>
      <c r="AM744">
        <v>90.383546085691904</v>
      </c>
      <c r="AN744">
        <v>0.99999999673154805</v>
      </c>
    </row>
    <row r="745" spans="1:40" x14ac:dyDescent="0.25">
      <c r="A745" t="str">
        <f>"20190312172105739"</f>
        <v>20190312172105739</v>
      </c>
      <c r="B745" t="str">
        <f>"1552382465731960"</f>
        <v>1552382465731960</v>
      </c>
      <c r="C745" t="s">
        <v>40</v>
      </c>
      <c r="D745">
        <v>3.1996470000000001</v>
      </c>
      <c r="E745">
        <v>0.56646390000000002</v>
      </c>
      <c r="F745" t="s">
        <v>42</v>
      </c>
      <c r="G745">
        <v>-323.14670000000001</v>
      </c>
      <c r="H745" s="1">
        <v>-4.0284390000000003E-6</v>
      </c>
      <c r="I745">
        <v>363.38080000000002</v>
      </c>
      <c r="J745">
        <v>-351.2432</v>
      </c>
      <c r="K745">
        <v>1.1102559999999999</v>
      </c>
      <c r="L745">
        <v>367.71199999999999</v>
      </c>
      <c r="M745">
        <v>0.99984899999999999</v>
      </c>
      <c r="N745">
        <v>0</v>
      </c>
      <c r="O745">
        <v>1.1305809999999999E-2</v>
      </c>
      <c r="P745">
        <v>0.98584850000000002</v>
      </c>
      <c r="Q745">
        <v>0.16668440000000001</v>
      </c>
      <c r="R745">
        <v>1.7870730000000001E-2</v>
      </c>
      <c r="S745">
        <v>3.07193</v>
      </c>
      <c r="T745">
        <v>-0.12060079999999999</v>
      </c>
      <c r="U745">
        <v>-0.47024539999999998</v>
      </c>
      <c r="V745">
        <v>-6.7835600000000001E-3</v>
      </c>
      <c r="W745">
        <v>0.17968229999999999</v>
      </c>
      <c r="X745">
        <v>0.9837013</v>
      </c>
      <c r="Y745">
        <v>0.16235169999999999</v>
      </c>
      <c r="Z745">
        <v>-3.6084720000000002E-3</v>
      </c>
      <c r="AA745">
        <v>0.98672629999999995</v>
      </c>
      <c r="AB745">
        <v>36</v>
      </c>
      <c r="AC745">
        <v>28.096499999999899</v>
      </c>
      <c r="AD745">
        <v>-1.1102600284389901</v>
      </c>
      <c r="AE745">
        <v>-4.33119999999996</v>
      </c>
      <c r="AF745">
        <v>4.6415249327554999</v>
      </c>
      <c r="AG745">
        <v>-1.1102600284389901</v>
      </c>
      <c r="AH745">
        <v>28.003019950649399</v>
      </c>
      <c r="AI745">
        <v>92.239937248406207</v>
      </c>
      <c r="AJ745">
        <v>80.588738475944197</v>
      </c>
      <c r="AK745">
        <v>28.406787171178099</v>
      </c>
      <c r="AL745">
        <v>79.6487447331737</v>
      </c>
      <c r="AM745">
        <v>90.395102860285405</v>
      </c>
      <c r="AN745">
        <v>0.999999996620626</v>
      </c>
    </row>
    <row r="746" spans="1:40" x14ac:dyDescent="0.25">
      <c r="A746" t="str">
        <f>"20190312172105751"</f>
        <v>20190312172105751</v>
      </c>
      <c r="B746" t="str">
        <f>"1552382465741720"</f>
        <v>1552382465741720</v>
      </c>
      <c r="C746" t="s">
        <v>40</v>
      </c>
      <c r="D746">
        <v>3.2259760000000002</v>
      </c>
      <c r="E746">
        <v>0.56658319999999995</v>
      </c>
      <c r="F746" t="s">
        <v>42</v>
      </c>
      <c r="G746">
        <v>-323.08109999999999</v>
      </c>
      <c r="H746" s="1">
        <v>-4.0532509999999999E-6</v>
      </c>
      <c r="I746">
        <v>363.39980000000003</v>
      </c>
      <c r="J746">
        <v>-351.06150000000002</v>
      </c>
      <c r="K746">
        <v>1.1102559999999999</v>
      </c>
      <c r="L746">
        <v>367.71420000000001</v>
      </c>
      <c r="M746">
        <v>0.99984810000000002</v>
      </c>
      <c r="N746">
        <v>0</v>
      </c>
      <c r="O746">
        <v>1.138627E-2</v>
      </c>
      <c r="P746">
        <v>0.98583699999999996</v>
      </c>
      <c r="Q746">
        <v>0.1667583</v>
      </c>
      <c r="R746">
        <v>1.7812740000000001E-2</v>
      </c>
      <c r="S746">
        <v>3.0720830000000001</v>
      </c>
      <c r="T746">
        <v>-0.121113</v>
      </c>
      <c r="U746">
        <v>-0.47039789999999998</v>
      </c>
      <c r="V746">
        <v>-6.6465020000000003E-3</v>
      </c>
      <c r="W746">
        <v>0.1797559</v>
      </c>
      <c r="X746">
        <v>0.98368880000000003</v>
      </c>
      <c r="Y746">
        <v>0.16247039999999999</v>
      </c>
      <c r="Z746">
        <v>-3.629073E-3</v>
      </c>
      <c r="AA746">
        <v>0.98670670000000005</v>
      </c>
      <c r="AB746">
        <v>36</v>
      </c>
      <c r="AC746">
        <v>27.980399999999999</v>
      </c>
      <c r="AD746">
        <v>-1.1102600532510001</v>
      </c>
      <c r="AE746">
        <v>-4.3143999999999698</v>
      </c>
      <c r="AF746">
        <v>4.6256265050824901</v>
      </c>
      <c r="AG746">
        <v>-1.1102600532510001</v>
      </c>
      <c r="AH746">
        <v>27.886569022762298</v>
      </c>
      <c r="AI746">
        <v>92.249237163679396</v>
      </c>
      <c r="AJ746">
        <v>80.581932924267903</v>
      </c>
      <c r="AK746">
        <v>28.289394299130102</v>
      </c>
      <c r="AL746">
        <v>79.644458079481595</v>
      </c>
      <c r="AM746">
        <v>90.387125194599307</v>
      </c>
      <c r="AN746">
        <v>1.0000000074095401</v>
      </c>
    </row>
    <row r="747" spans="1:40" x14ac:dyDescent="0.25">
      <c r="A747" t="str">
        <f>"20190312172105763"</f>
        <v>20190312172105763</v>
      </c>
      <c r="B747" t="str">
        <f>"1552382465752457"</f>
        <v>1552382465752457</v>
      </c>
      <c r="C747" t="s">
        <v>40</v>
      </c>
      <c r="D747">
        <v>3.181578</v>
      </c>
      <c r="E747">
        <v>0.56673209999999996</v>
      </c>
      <c r="F747" t="s">
        <v>42</v>
      </c>
      <c r="G747">
        <v>-322.88409999999999</v>
      </c>
      <c r="H747" s="1">
        <v>-4.139794E-6</v>
      </c>
      <c r="I747">
        <v>363.38819999999998</v>
      </c>
      <c r="J747">
        <v>-350.86630000000002</v>
      </c>
      <c r="K747">
        <v>1.1102620000000001</v>
      </c>
      <c r="L747">
        <v>367.7165</v>
      </c>
      <c r="M747">
        <v>0.99984709999999999</v>
      </c>
      <c r="N747">
        <v>0</v>
      </c>
      <c r="O747">
        <v>1.147258E-2</v>
      </c>
      <c r="P747">
        <v>0.98587210000000003</v>
      </c>
      <c r="Q747">
        <v>0.16655239999999999</v>
      </c>
      <c r="R747">
        <v>1.7792180000000001E-2</v>
      </c>
      <c r="S747">
        <v>3.0721440000000002</v>
      </c>
      <c r="T747">
        <v>-0.12104959999999999</v>
      </c>
      <c r="U747">
        <v>-0.47164919999999999</v>
      </c>
      <c r="V747">
        <v>-6.5402749999999999E-3</v>
      </c>
      <c r="W747">
        <v>0.1795495</v>
      </c>
      <c r="X747">
        <v>0.98372720000000002</v>
      </c>
      <c r="Y747">
        <v>0.16294500000000001</v>
      </c>
      <c r="Z747">
        <v>-3.6396670000000001E-3</v>
      </c>
      <c r="AA747">
        <v>0.98662850000000002</v>
      </c>
      <c r="AB747">
        <v>36</v>
      </c>
      <c r="AC747">
        <v>27.982199999999999</v>
      </c>
      <c r="AD747">
        <v>-1.1102661397939999</v>
      </c>
      <c r="AE747">
        <v>-4.3283000000000103</v>
      </c>
      <c r="AF747">
        <v>4.6419339970438598</v>
      </c>
      <c r="AG747">
        <v>-1.1102661397939999</v>
      </c>
      <c r="AH747">
        <v>27.887818827154199</v>
      </c>
      <c r="AI747">
        <v>92.248939049240093</v>
      </c>
      <c r="AJ747">
        <v>80.549743685151995</v>
      </c>
      <c r="AK747">
        <v>28.293297458413399</v>
      </c>
      <c r="AL747">
        <v>79.6564794497355</v>
      </c>
      <c r="AM747">
        <v>90.380923322256194</v>
      </c>
      <c r="AN747">
        <v>1.0000000010835799</v>
      </c>
    </row>
    <row r="748" spans="1:40" x14ac:dyDescent="0.25">
      <c r="A748" t="str">
        <f>"20190312172105775"</f>
        <v>20190312172105775</v>
      </c>
      <c r="B748" t="str">
        <f>"1552382465771976"</f>
        <v>1552382465771976</v>
      </c>
      <c r="C748" t="s">
        <v>40</v>
      </c>
      <c r="D748">
        <v>3.213794</v>
      </c>
      <c r="E748">
        <v>0.56700779999999995</v>
      </c>
      <c r="F748" t="s">
        <v>42</v>
      </c>
      <c r="G748">
        <v>-322.8759</v>
      </c>
      <c r="H748" s="1">
        <v>-4.1394069999999997E-6</v>
      </c>
      <c r="I748">
        <v>363.4101</v>
      </c>
      <c r="J748">
        <v>-350.66469999999998</v>
      </c>
      <c r="K748">
        <v>1.1102609999999999</v>
      </c>
      <c r="L748">
        <v>367.71899999999999</v>
      </c>
      <c r="M748">
        <v>0.99984620000000002</v>
      </c>
      <c r="N748">
        <v>0</v>
      </c>
      <c r="O748">
        <v>1.1560900000000001E-2</v>
      </c>
      <c r="P748">
        <v>0.98587480000000005</v>
      </c>
      <c r="Q748">
        <v>0.16653579999999901</v>
      </c>
      <c r="R748">
        <v>1.7797509999999999E-2</v>
      </c>
      <c r="S748">
        <v>3.0721440000000002</v>
      </c>
      <c r="T748">
        <v>-0.1218592</v>
      </c>
      <c r="U748">
        <v>-0.47265629999999997</v>
      </c>
      <c r="V748">
        <v>-6.4582069999999997E-3</v>
      </c>
      <c r="W748">
        <v>0.1795321</v>
      </c>
      <c r="X748">
        <v>0.98373089999999996</v>
      </c>
      <c r="Y748">
        <v>0.16334599999999999</v>
      </c>
      <c r="Z748">
        <v>-3.6752849999999999E-3</v>
      </c>
      <c r="AA748">
        <v>0.98656200000000005</v>
      </c>
      <c r="AB748">
        <v>36</v>
      </c>
      <c r="AC748">
        <v>27.788799999999899</v>
      </c>
      <c r="AD748">
        <v>-1.110265139407</v>
      </c>
      <c r="AE748">
        <v>-4.3088999999999897</v>
      </c>
      <c r="AF748">
        <v>4.6226975215907196</v>
      </c>
      <c r="AG748">
        <v>-1.110265139407</v>
      </c>
      <c r="AH748">
        <v>27.693953628358098</v>
      </c>
      <c r="AI748">
        <v>92.264491208243101</v>
      </c>
      <c r="AJ748">
        <v>80.523509881310304</v>
      </c>
      <c r="AK748">
        <v>28.099058500696302</v>
      </c>
      <c r="AL748">
        <v>79.657492679791304</v>
      </c>
      <c r="AM748">
        <v>90.376142183257002</v>
      </c>
      <c r="AN748">
        <v>0.99999998349143704</v>
      </c>
    </row>
    <row r="749" spans="1:40" x14ac:dyDescent="0.25">
      <c r="A749" t="str">
        <f>"20190312172105788"</f>
        <v>20190312172105788</v>
      </c>
      <c r="B749" t="str">
        <f>"1552382465781737"</f>
        <v>1552382465781737</v>
      </c>
      <c r="C749" t="s">
        <v>40</v>
      </c>
      <c r="D749">
        <v>3.1944979999999998</v>
      </c>
      <c r="E749">
        <v>0.56715629999999995</v>
      </c>
      <c r="F749" t="s">
        <v>42</v>
      </c>
      <c r="G749">
        <v>-322.7165</v>
      </c>
      <c r="H749" s="1">
        <v>-4.2095780000000001E-6</v>
      </c>
      <c r="I749">
        <v>363.40010000000001</v>
      </c>
      <c r="J749">
        <v>-350.46910000000003</v>
      </c>
      <c r="K749">
        <v>1.1102620000000001</v>
      </c>
      <c r="L749">
        <v>367.72129999999999</v>
      </c>
      <c r="M749">
        <v>0.99984530000000005</v>
      </c>
      <c r="N749">
        <v>0</v>
      </c>
      <c r="O749">
        <v>1.164571E-2</v>
      </c>
      <c r="P749">
        <v>0.98585719999999999</v>
      </c>
      <c r="Q749">
        <v>0.1666262</v>
      </c>
      <c r="R749">
        <v>1.793347E-2</v>
      </c>
      <c r="S749">
        <v>3.072174</v>
      </c>
      <c r="T749">
        <v>-0.12204420000000001</v>
      </c>
      <c r="U749">
        <v>-0.47473140000000003</v>
      </c>
      <c r="V749">
        <v>-6.5101669999999999E-3</v>
      </c>
      <c r="W749">
        <v>0.1796217</v>
      </c>
      <c r="X749">
        <v>0.98371419999999998</v>
      </c>
      <c r="Y749">
        <v>0.164078</v>
      </c>
      <c r="Z749">
        <v>-3.6984359999999998E-3</v>
      </c>
      <c r="AA749">
        <v>0.9864404</v>
      </c>
      <c r="AB749">
        <v>36</v>
      </c>
      <c r="AC749">
        <v>27.752600000000001</v>
      </c>
      <c r="AD749">
        <v>-1.110266209578</v>
      </c>
      <c r="AE749">
        <v>-4.32119999999997</v>
      </c>
      <c r="AF749">
        <v>4.6368881965282798</v>
      </c>
      <c r="AG749">
        <v>-1.110266209578</v>
      </c>
      <c r="AH749">
        <v>27.657173183044002</v>
      </c>
      <c r="AI749">
        <v>92.267230785811506</v>
      </c>
      <c r="AJ749">
        <v>80.482539751963003</v>
      </c>
      <c r="AK749">
        <v>28.065150127517999</v>
      </c>
      <c r="AL749">
        <v>79.652274132922201</v>
      </c>
      <c r="AM749">
        <v>90.379174812808202</v>
      </c>
      <c r="AN749">
        <v>0.999999982333448</v>
      </c>
    </row>
    <row r="750" spans="1:40" x14ac:dyDescent="0.25">
      <c r="A750" t="str">
        <f>"20190312172105799"</f>
        <v>20190312172105799</v>
      </c>
      <c r="B750" t="str">
        <f>"1552382465792473"</f>
        <v>1552382465792473</v>
      </c>
      <c r="C750" t="s">
        <v>40</v>
      </c>
      <c r="D750">
        <v>3.199281</v>
      </c>
      <c r="E750">
        <v>0.56730970000000003</v>
      </c>
      <c r="F750" t="s">
        <v>42</v>
      </c>
      <c r="G750">
        <v>-322.46640000000002</v>
      </c>
      <c r="H750" s="1">
        <v>-4.3194380000000003E-6</v>
      </c>
      <c r="I750">
        <v>363.38560000000001</v>
      </c>
      <c r="J750">
        <v>-350.28339999999997</v>
      </c>
      <c r="K750">
        <v>1.11026</v>
      </c>
      <c r="L750">
        <v>367.7235</v>
      </c>
      <c r="M750">
        <v>0.99984439999999997</v>
      </c>
      <c r="N750">
        <v>0</v>
      </c>
      <c r="O750">
        <v>1.172598E-2</v>
      </c>
      <c r="P750">
        <v>0.98579609999999995</v>
      </c>
      <c r="Q750">
        <v>0.16696129999999901</v>
      </c>
      <c r="R750">
        <v>1.817974E-2</v>
      </c>
      <c r="S750">
        <v>3.0722659999999999</v>
      </c>
      <c r="T750">
        <v>-0.1218104</v>
      </c>
      <c r="U750">
        <v>-0.47567749999999998</v>
      </c>
      <c r="V750">
        <v>-6.6781509999999898E-3</v>
      </c>
      <c r="W750">
        <v>0.179954799999999</v>
      </c>
      <c r="X750">
        <v>0.98365219999999998</v>
      </c>
      <c r="Y750">
        <v>0.1644496</v>
      </c>
      <c r="Z750">
        <v>-3.7016449999999999E-3</v>
      </c>
      <c r="AA750">
        <v>0.98637859999999999</v>
      </c>
      <c r="AB750">
        <v>36</v>
      </c>
      <c r="AC750">
        <v>27.816999999999901</v>
      </c>
      <c r="AD750">
        <v>-1.110264319438</v>
      </c>
      <c r="AE750">
        <v>-4.3378999999999897</v>
      </c>
      <c r="AF750">
        <v>4.6565695464399699</v>
      </c>
      <c r="AG750">
        <v>-1.110264319438</v>
      </c>
      <c r="AH750">
        <v>27.721103715686301</v>
      </c>
      <c r="AI750">
        <v>92.2618844311869</v>
      </c>
      <c r="AJ750">
        <v>80.464521835322998</v>
      </c>
      <c r="AK750">
        <v>28.131404479970101</v>
      </c>
      <c r="AL750">
        <v>79.632872841087206</v>
      </c>
      <c r="AM750">
        <v>90.388983005006395</v>
      </c>
      <c r="AN750">
        <v>0.99999998915432897</v>
      </c>
    </row>
    <row r="751" spans="1:40" x14ac:dyDescent="0.25">
      <c r="A751" t="str">
        <f>"20190312172105811"</f>
        <v>20190312172105811</v>
      </c>
      <c r="B751" t="str">
        <f>"1552382465802232"</f>
        <v>1552382465802232</v>
      </c>
      <c r="C751" t="s">
        <v>40</v>
      </c>
      <c r="D751">
        <v>3.2010399999999999</v>
      </c>
      <c r="E751">
        <v>0.56730970000000003</v>
      </c>
      <c r="F751" t="s">
        <v>42</v>
      </c>
      <c r="G751">
        <v>-322.03280000000001</v>
      </c>
      <c r="H751" s="1">
        <v>-4.5128159999999998E-6</v>
      </c>
      <c r="I751">
        <v>363.34410000000003</v>
      </c>
      <c r="J751">
        <v>-350.09050000000002</v>
      </c>
      <c r="K751">
        <v>1.1102590000000001</v>
      </c>
      <c r="L751">
        <v>367.72590000000002</v>
      </c>
      <c r="M751">
        <v>0.99984320000000004</v>
      </c>
      <c r="N751">
        <v>0</v>
      </c>
      <c r="O751">
        <v>1.1805879999999999E-2</v>
      </c>
      <c r="P751">
        <v>0.98575840000000003</v>
      </c>
      <c r="Q751">
        <v>0.1671822</v>
      </c>
      <c r="R751">
        <v>1.818446E-2</v>
      </c>
      <c r="S751">
        <v>3.0724490000000002</v>
      </c>
      <c r="T751">
        <v>-0.12074890000000001</v>
      </c>
      <c r="U751">
        <v>-0.47628779999999998</v>
      </c>
      <c r="V751">
        <v>-6.6033029999999996E-3</v>
      </c>
      <c r="W751">
        <v>0.18017430000000001</v>
      </c>
      <c r="X751">
        <v>0.9836125</v>
      </c>
      <c r="Y751">
        <v>0.164713</v>
      </c>
      <c r="Z751">
        <v>-3.6774049999999999E-3</v>
      </c>
      <c r="AA751">
        <v>0.98633470000000001</v>
      </c>
      <c r="AB751">
        <v>36</v>
      </c>
      <c r="AC751">
        <v>28.057700000000001</v>
      </c>
      <c r="AD751">
        <v>-1.1102635128159899</v>
      </c>
      <c r="AE751">
        <v>-4.3817999999999904</v>
      </c>
      <c r="AF751">
        <v>4.7055765018659104</v>
      </c>
      <c r="AG751">
        <v>-1.1102635128159899</v>
      </c>
      <c r="AH751">
        <v>27.961268236357899</v>
      </c>
      <c r="AI751">
        <v>92.242361477482703</v>
      </c>
      <c r="AJ751">
        <v>80.447255796287607</v>
      </c>
      <c r="AK751">
        <v>28.3761811501893</v>
      </c>
      <c r="AL751">
        <v>79.620087195050303</v>
      </c>
      <c r="AM751">
        <v>90.384638980415005</v>
      </c>
      <c r="AN751">
        <v>0.99999996607362396</v>
      </c>
    </row>
    <row r="752" spans="1:40" x14ac:dyDescent="0.25">
      <c r="A752" t="str">
        <f>"20190312172105825"</f>
        <v>20190312172105825</v>
      </c>
      <c r="B752" t="str">
        <f>"1552382465821752"</f>
        <v>1552382465821752</v>
      </c>
      <c r="C752" t="s">
        <v>40</v>
      </c>
      <c r="D752">
        <v>3.212936</v>
      </c>
      <c r="E752">
        <v>0.57601809999999998</v>
      </c>
      <c r="F752" t="s">
        <v>42</v>
      </c>
      <c r="G752">
        <v>-321.62880000000001</v>
      </c>
      <c r="H752" s="1">
        <v>-4.691497E-6</v>
      </c>
      <c r="I752">
        <v>363.31380000000001</v>
      </c>
      <c r="J752">
        <v>-349.87240000000003</v>
      </c>
      <c r="K752">
        <v>1.110257</v>
      </c>
      <c r="L752">
        <v>367.72859999999997</v>
      </c>
      <c r="M752">
        <v>0.99984229999999996</v>
      </c>
      <c r="N752">
        <v>0</v>
      </c>
      <c r="O752">
        <v>1.1892430000000001E-2</v>
      </c>
      <c r="P752">
        <v>0.98569370000000001</v>
      </c>
      <c r="Q752">
        <v>0.16752999999999901</v>
      </c>
      <c r="R752">
        <v>1.8491580000000001E-2</v>
      </c>
      <c r="S752">
        <v>3.072479</v>
      </c>
      <c r="T752">
        <v>-0.1198544</v>
      </c>
      <c r="U752">
        <v>-0.47628779999999998</v>
      </c>
      <c r="V752">
        <v>-6.824241E-3</v>
      </c>
      <c r="W752">
        <v>0.18052000000000001</v>
      </c>
      <c r="X752">
        <v>0.98354759999999997</v>
      </c>
      <c r="Y752">
        <v>0.16479869999999999</v>
      </c>
      <c r="Z752">
        <v>-3.6551660000000001E-3</v>
      </c>
      <c r="AA752">
        <v>0.98632039999999999</v>
      </c>
      <c r="AB752">
        <v>36</v>
      </c>
      <c r="AC752">
        <v>28.243600000000001</v>
      </c>
      <c r="AD752">
        <v>-1.110261691497</v>
      </c>
      <c r="AE752">
        <v>-4.4147999999999499</v>
      </c>
      <c r="AF752">
        <v>4.74324710960245</v>
      </c>
      <c r="AG752">
        <v>-1.110261691497</v>
      </c>
      <c r="AH752">
        <v>28.146637665511999</v>
      </c>
      <c r="AI752">
        <v>92.227521073502302</v>
      </c>
      <c r="AJ752">
        <v>80.4344387583008</v>
      </c>
      <c r="AK752">
        <v>28.565088587994499</v>
      </c>
      <c r="AL752">
        <v>79.599949799031506</v>
      </c>
      <c r="AM752">
        <v>90.397534327204895</v>
      </c>
      <c r="AN752">
        <v>0.99999996106549205</v>
      </c>
    </row>
    <row r="753" spans="1:40" x14ac:dyDescent="0.25">
      <c r="A753" t="str">
        <f>"20190312172105841"</f>
        <v>20190312172105841</v>
      </c>
      <c r="B753" t="str">
        <f>"1552382465832488"</f>
        <v>1552382465832488</v>
      </c>
      <c r="C753" t="s">
        <v>40</v>
      </c>
      <c r="D753">
        <v>3.226486</v>
      </c>
      <c r="E753">
        <v>0.5758626</v>
      </c>
      <c r="F753" t="s">
        <v>42</v>
      </c>
      <c r="G753">
        <v>-321.78129999999999</v>
      </c>
      <c r="H753" s="1">
        <v>-4.7262160000000002E-6</v>
      </c>
      <c r="I753">
        <v>362.74939999999998</v>
      </c>
      <c r="J753">
        <v>-349.62110000000001</v>
      </c>
      <c r="K753">
        <v>1.1102540000000001</v>
      </c>
      <c r="L753">
        <v>367.73169999999999</v>
      </c>
      <c r="M753">
        <v>0.99984119999999999</v>
      </c>
      <c r="N753">
        <v>0</v>
      </c>
      <c r="O753">
        <v>1.198567E-2</v>
      </c>
      <c r="P753">
        <v>0.98559490000000005</v>
      </c>
      <c r="Q753">
        <v>0.16809849999999901</v>
      </c>
      <c r="R753">
        <v>1.8600510000000001E-2</v>
      </c>
      <c r="S753">
        <v>3.0743710000000002</v>
      </c>
      <c r="T753">
        <v>-0.1215098</v>
      </c>
      <c r="U753">
        <v>-0.54492189999999996</v>
      </c>
      <c r="V753">
        <v>-6.839932E-3</v>
      </c>
      <c r="W753">
        <v>0.181086</v>
      </c>
      <c r="X753">
        <v>0.98344350000000003</v>
      </c>
      <c r="Y753">
        <v>0.18616650000000001</v>
      </c>
      <c r="Z753">
        <v>-4.1191580000000004E-3</v>
      </c>
      <c r="AA753">
        <v>0.98250959999999998</v>
      </c>
      <c r="AB753">
        <v>36</v>
      </c>
      <c r="AC753">
        <v>27.8398</v>
      </c>
      <c r="AD753">
        <v>-1.110258726216</v>
      </c>
      <c r="AE753">
        <v>-4.9823000000000004</v>
      </c>
      <c r="AF753">
        <v>5.30747050279194</v>
      </c>
      <c r="AG753">
        <v>-1.110258726216</v>
      </c>
      <c r="AH753">
        <v>27.735336171937799</v>
      </c>
      <c r="AI753">
        <v>92.251542486320304</v>
      </c>
      <c r="AJ753">
        <v>79.166771545521598</v>
      </c>
      <c r="AK753">
        <v>28.260410296871999</v>
      </c>
      <c r="AL753">
        <v>79.566977602815101</v>
      </c>
      <c r="AM753">
        <v>90.398490525181103</v>
      </c>
      <c r="AN753">
        <v>1.0000000208790001</v>
      </c>
    </row>
    <row r="754" spans="1:40" x14ac:dyDescent="0.25">
      <c r="A754" t="str">
        <f>"20190312172105854"</f>
        <v>20190312172105854</v>
      </c>
      <c r="B754" t="str">
        <f>"1552382465842248"</f>
        <v>1552382465842248</v>
      </c>
      <c r="C754" t="s">
        <v>40</v>
      </c>
      <c r="D754">
        <v>3.1929090000000002</v>
      </c>
      <c r="E754">
        <v>0.57572769999999995</v>
      </c>
      <c r="F754" t="s">
        <v>42</v>
      </c>
      <c r="G754">
        <v>-321.58089999999999</v>
      </c>
      <c r="H754" s="1">
        <v>-4.808476E-6</v>
      </c>
      <c r="I754">
        <v>362.77019999999999</v>
      </c>
      <c r="J754">
        <v>-349.40120000000002</v>
      </c>
      <c r="K754">
        <v>1.1102479999999999</v>
      </c>
      <c r="L754">
        <v>367.73439999999999</v>
      </c>
      <c r="M754">
        <v>0.99984030000000002</v>
      </c>
      <c r="N754">
        <v>0</v>
      </c>
      <c r="O754">
        <v>1.2057429999999999E-2</v>
      </c>
      <c r="P754">
        <v>0.98557410000000001</v>
      </c>
      <c r="Q754">
        <v>0.1682061</v>
      </c>
      <c r="R754">
        <v>1.871983E-2</v>
      </c>
      <c r="S754">
        <v>3.0748899999999999</v>
      </c>
      <c r="T754">
        <v>-0.1217507</v>
      </c>
      <c r="U754">
        <v>-0.54406739999999998</v>
      </c>
      <c r="V754">
        <v>-6.8848140000000004E-3</v>
      </c>
      <c r="W754">
        <v>0.18119250000000001</v>
      </c>
      <c r="X754">
        <v>0.98342350000000001</v>
      </c>
      <c r="Y754">
        <v>0.18594330000000001</v>
      </c>
      <c r="Z754">
        <v>-4.1251730000000002E-3</v>
      </c>
      <c r="AA754">
        <v>0.98255179999999998</v>
      </c>
      <c r="AB754">
        <v>36</v>
      </c>
      <c r="AC754">
        <v>27.8203</v>
      </c>
      <c r="AD754">
        <v>-1.1102528084759999</v>
      </c>
      <c r="AE754">
        <v>-4.9641999999999999</v>
      </c>
      <c r="AF754">
        <v>5.29114267894309</v>
      </c>
      <c r="AG754">
        <v>-1.1102528084759999</v>
      </c>
      <c r="AH754">
        <v>27.7156373986228</v>
      </c>
      <c r="AI754">
        <v>92.253317183925901</v>
      </c>
      <c r="AJ754">
        <v>79.191817848642899</v>
      </c>
      <c r="AK754">
        <v>28.238013537775601</v>
      </c>
      <c r="AL754">
        <v>79.560772229889906</v>
      </c>
      <c r="AM754">
        <v>90.401113396729897</v>
      </c>
      <c r="AN754">
        <v>0.99999995153615595</v>
      </c>
    </row>
    <row r="755" spans="1:40" x14ac:dyDescent="0.25">
      <c r="A755" t="str">
        <f>"20190312172105867"</f>
        <v>20190312172105867</v>
      </c>
      <c r="B755" t="str">
        <f>"1552382465861768"</f>
        <v>1552382465861768</v>
      </c>
      <c r="C755" t="s">
        <v>40</v>
      </c>
      <c r="D755">
        <v>3.2027389999999998</v>
      </c>
      <c r="E755">
        <v>0.57573379999999996</v>
      </c>
      <c r="F755" t="s">
        <v>42</v>
      </c>
      <c r="G755">
        <v>-321.5564</v>
      </c>
      <c r="H755" s="1">
        <v>-4.8096609999999999E-6</v>
      </c>
      <c r="I755">
        <v>362.82279999999997</v>
      </c>
      <c r="J755">
        <v>-349.19690000000003</v>
      </c>
      <c r="K755">
        <v>1.110239</v>
      </c>
      <c r="L755">
        <v>367.73689999999999</v>
      </c>
      <c r="M755">
        <v>0.99983960000000005</v>
      </c>
      <c r="N755">
        <v>0</v>
      </c>
      <c r="O755">
        <v>1.2117609999999999E-2</v>
      </c>
      <c r="P755">
        <v>0.98548329999999995</v>
      </c>
      <c r="Q755">
        <v>0.16871</v>
      </c>
      <c r="R755">
        <v>1.8962320000000001E-2</v>
      </c>
      <c r="S755">
        <v>3.0751339999999998</v>
      </c>
      <c r="T755">
        <v>-0.1226144</v>
      </c>
      <c r="U755">
        <v>-0.5424194</v>
      </c>
      <c r="V755">
        <v>-7.0656249999999999E-3</v>
      </c>
      <c r="W755">
        <v>0.1816942</v>
      </c>
      <c r="X755">
        <v>0.98332969999999997</v>
      </c>
      <c r="Y755">
        <v>0.18547659999999999</v>
      </c>
      <c r="Z755">
        <v>-4.147431E-3</v>
      </c>
      <c r="AA755">
        <v>0.98263990000000001</v>
      </c>
      <c r="AB755">
        <v>36</v>
      </c>
      <c r="AC755">
        <v>27.640499999999999</v>
      </c>
      <c r="AD755">
        <v>-1.1102438096609999</v>
      </c>
      <c r="AE755">
        <v>-4.9141000000000101</v>
      </c>
      <c r="AF755">
        <v>5.2405090379395602</v>
      </c>
      <c r="AG755">
        <v>-1.1102438096609999</v>
      </c>
      <c r="AH755">
        <v>27.535852499592799</v>
      </c>
      <c r="AI755">
        <v>92.268242546129898</v>
      </c>
      <c r="AJ755">
        <v>79.224567859649099</v>
      </c>
      <c r="AK755">
        <v>28.052072101236099</v>
      </c>
      <c r="AL755">
        <v>79.531542286125102</v>
      </c>
      <c r="AM755">
        <v>90.411686462021294</v>
      </c>
      <c r="AN755">
        <v>1.0000000021361799</v>
      </c>
    </row>
    <row r="756" spans="1:40" x14ac:dyDescent="0.25">
      <c r="A756" t="str">
        <f>"20190312172105879"</f>
        <v>20190312172105879</v>
      </c>
      <c r="B756" t="str">
        <f>"1552382465872504"</f>
        <v>1552382465872504</v>
      </c>
      <c r="C756" t="s">
        <v>40</v>
      </c>
      <c r="D756">
        <v>3.2013159999999998</v>
      </c>
      <c r="E756">
        <v>0.57577159999999905</v>
      </c>
      <c r="F756" t="s">
        <v>42</v>
      </c>
      <c r="G756">
        <v>-321.21379999999999</v>
      </c>
      <c r="H756" s="1">
        <v>-4.9594969999999998E-6</v>
      </c>
      <c r="I756">
        <v>362.80650000000003</v>
      </c>
      <c r="J756">
        <v>-348.99520000000001</v>
      </c>
      <c r="K756">
        <v>1.110231</v>
      </c>
      <c r="L756">
        <v>367.73939999999999</v>
      </c>
      <c r="M756">
        <v>0.99983909999999998</v>
      </c>
      <c r="N756">
        <v>0</v>
      </c>
      <c r="O756">
        <v>1.2171939999999999E-2</v>
      </c>
      <c r="P756">
        <v>0.98547819999999997</v>
      </c>
      <c r="Q756">
        <v>0.16873829999999901</v>
      </c>
      <c r="R756">
        <v>1.8987960000000002E-2</v>
      </c>
      <c r="S756">
        <v>3.0755309999999998</v>
      </c>
      <c r="T756">
        <v>-0.1220232</v>
      </c>
      <c r="U756">
        <v>-0.54187010000000002</v>
      </c>
      <c r="V756">
        <v>-7.033236E-3</v>
      </c>
      <c r="W756">
        <v>0.18172140000000001</v>
      </c>
      <c r="X756">
        <v>0.98332489999999995</v>
      </c>
      <c r="Y756">
        <v>0.18533959999999999</v>
      </c>
      <c r="Z756">
        <v>-4.126434E-3</v>
      </c>
      <c r="AA756">
        <v>0.98266580000000003</v>
      </c>
      <c r="AB756">
        <v>36</v>
      </c>
      <c r="AC756">
        <v>27.781400000000001</v>
      </c>
      <c r="AD756">
        <v>-1.1102359594969999</v>
      </c>
      <c r="AE756">
        <v>-4.9328999999999601</v>
      </c>
      <c r="AF756">
        <v>5.2625696183763102</v>
      </c>
      <c r="AG756">
        <v>-1.1102359594969999</v>
      </c>
      <c r="AH756">
        <v>27.676443323644399</v>
      </c>
      <c r="AI756">
        <v>92.256786555525196</v>
      </c>
      <c r="AJ756">
        <v>79.233950162497095</v>
      </c>
      <c r="AK756">
        <v>28.194197593138099</v>
      </c>
      <c r="AL756">
        <v>79.529957395737199</v>
      </c>
      <c r="AM756">
        <v>90.409801345916193</v>
      </c>
      <c r="AN756">
        <v>0.99999999629330005</v>
      </c>
    </row>
    <row r="757" spans="1:40" x14ac:dyDescent="0.25">
      <c r="A757" t="str">
        <f>"20190312172105895"</f>
        <v>20190312172105895</v>
      </c>
      <c r="B757" t="str">
        <f>"1552382465892025"</f>
        <v>1552382465892025</v>
      </c>
      <c r="C757" t="s">
        <v>40</v>
      </c>
      <c r="D757">
        <v>3.2192249999999998</v>
      </c>
      <c r="E757">
        <v>0.5777352</v>
      </c>
      <c r="F757" t="s">
        <v>42</v>
      </c>
      <c r="G757">
        <v>-321.09809999999999</v>
      </c>
      <c r="H757" s="1">
        <v>-5.0068159999999997E-6</v>
      </c>
      <c r="I757">
        <v>362.81959999999998</v>
      </c>
      <c r="J757">
        <v>-348.75139999999999</v>
      </c>
      <c r="K757">
        <v>1.1102160000000001</v>
      </c>
      <c r="L757">
        <v>367.74250000000001</v>
      </c>
      <c r="M757">
        <v>0.99983849999999996</v>
      </c>
      <c r="N757">
        <v>0</v>
      </c>
      <c r="O757">
        <v>1.2218969999999999E-2</v>
      </c>
      <c r="P757">
        <v>0.98537799999999998</v>
      </c>
      <c r="Q757">
        <v>0.16926160000000001</v>
      </c>
      <c r="R757">
        <v>1.9520059999999999E-2</v>
      </c>
      <c r="S757">
        <v>3.0755919999999999</v>
      </c>
      <c r="T757">
        <v>-0.12240090000000001</v>
      </c>
      <c r="U757">
        <v>-0.54238889999999995</v>
      </c>
      <c r="V757">
        <v>-7.5131069999999998E-3</v>
      </c>
      <c r="W757">
        <v>0.1822423</v>
      </c>
      <c r="X757">
        <v>0.98322489999999996</v>
      </c>
      <c r="Y757">
        <v>0.18554219999999999</v>
      </c>
      <c r="Z757">
        <v>-4.1449119999999997E-3</v>
      </c>
      <c r="AA757">
        <v>0.98262760000000005</v>
      </c>
      <c r="AB757">
        <v>36</v>
      </c>
      <c r="AC757">
        <v>27.653300000000002</v>
      </c>
      <c r="AD757">
        <v>-1.1102210068159999</v>
      </c>
      <c r="AE757">
        <v>-4.9229000000000198</v>
      </c>
      <c r="AF757">
        <v>5.2522508182578598</v>
      </c>
      <c r="AG757">
        <v>-1.1102210068159999</v>
      </c>
      <c r="AH757">
        <v>27.548037869003998</v>
      </c>
      <c r="AI757">
        <v>92.267051366290403</v>
      </c>
      <c r="AJ757">
        <v>79.205656248315805</v>
      </c>
      <c r="AK757">
        <v>28.066227387626299</v>
      </c>
      <c r="AL757">
        <v>79.4996047431477</v>
      </c>
      <c r="AM757">
        <v>90.437805169654993</v>
      </c>
      <c r="AN757">
        <v>0.99999995333304503</v>
      </c>
    </row>
    <row r="758" spans="1:40" x14ac:dyDescent="0.25">
      <c r="A758" t="str">
        <f>"20190312172105906"</f>
        <v>20190312172105906</v>
      </c>
      <c r="B758" t="str">
        <f>"1552382465901784"</f>
        <v>1552382465901784</v>
      </c>
      <c r="C758" t="s">
        <v>40</v>
      </c>
      <c r="D758">
        <v>3.205387</v>
      </c>
      <c r="E758">
        <v>0.57750979999999996</v>
      </c>
      <c r="F758" t="s">
        <v>42</v>
      </c>
      <c r="G758">
        <v>-323.68419999999998</v>
      </c>
      <c r="H758" s="1">
        <v>-3.839138E-6</v>
      </c>
      <c r="I758">
        <v>363.21300000000002</v>
      </c>
      <c r="J758">
        <v>-348.56670000000003</v>
      </c>
      <c r="K758">
        <v>1.110204</v>
      </c>
      <c r="L758">
        <v>367.7448</v>
      </c>
      <c r="M758">
        <v>0.99983820000000001</v>
      </c>
      <c r="N758">
        <v>0</v>
      </c>
      <c r="O758">
        <v>1.2247279999999999E-2</v>
      </c>
      <c r="P758">
        <v>0.98532940000000002</v>
      </c>
      <c r="Q758">
        <v>0.16952639999999999</v>
      </c>
      <c r="R758">
        <v>1.9675580000000002E-2</v>
      </c>
      <c r="S758">
        <v>3.0789490000000002</v>
      </c>
      <c r="T758">
        <v>-0.1363654</v>
      </c>
      <c r="U758">
        <v>-0.55633540000000004</v>
      </c>
      <c r="V758">
        <v>-7.6364999999999897E-3</v>
      </c>
      <c r="W758">
        <v>0.1825058</v>
      </c>
      <c r="X758">
        <v>0.98317509999999997</v>
      </c>
      <c r="Y758">
        <v>0.18965870000000001</v>
      </c>
      <c r="Z758">
        <v>-4.7022269999999998E-3</v>
      </c>
      <c r="AA758">
        <v>0.98183880000000001</v>
      </c>
      <c r="AB758">
        <v>36</v>
      </c>
      <c r="AC758">
        <v>24.8825</v>
      </c>
      <c r="AD758">
        <v>-1.1102078391379999</v>
      </c>
      <c r="AE758">
        <v>-4.5317999999999703</v>
      </c>
      <c r="AF758">
        <v>4.8269286685585104</v>
      </c>
      <c r="AG758">
        <v>-1.1102078391379999</v>
      </c>
      <c r="AH758">
        <v>24.777384060037601</v>
      </c>
      <c r="AI758">
        <v>92.518274813434502</v>
      </c>
      <c r="AJ758">
        <v>78.976175234066801</v>
      </c>
      <c r="AK758">
        <v>25.267579280098101</v>
      </c>
      <c r="AL758">
        <v>79.484250075858697</v>
      </c>
      <c r="AM758">
        <v>90.445017801798599</v>
      </c>
      <c r="AN758">
        <v>0.999999980212949</v>
      </c>
    </row>
    <row r="759" spans="1:40" x14ac:dyDescent="0.25">
      <c r="A759" t="str">
        <f>"20190312172105917"</f>
        <v>20190312172105917</v>
      </c>
      <c r="B759" t="str">
        <f>"1552382465911545"</f>
        <v>1552382465911545</v>
      </c>
      <c r="C759" t="s">
        <v>40</v>
      </c>
      <c r="D759">
        <v>3.214029</v>
      </c>
      <c r="E759">
        <v>0.57787299999999997</v>
      </c>
      <c r="F759" t="s">
        <v>42</v>
      </c>
      <c r="G759">
        <v>-323.42989999999998</v>
      </c>
      <c r="H759" s="1">
        <v>-3.9356150000000003E-6</v>
      </c>
      <c r="I759">
        <v>363.21910000000003</v>
      </c>
      <c r="J759">
        <v>-348.38389999999998</v>
      </c>
      <c r="K759">
        <v>1.110193</v>
      </c>
      <c r="L759">
        <v>367.74700000000001</v>
      </c>
      <c r="M759">
        <v>0.99983789999999995</v>
      </c>
      <c r="N759">
        <v>0</v>
      </c>
      <c r="O759">
        <v>1.226986E-2</v>
      </c>
      <c r="P759">
        <v>0.98525499999999999</v>
      </c>
      <c r="Q759">
        <v>0.1699184</v>
      </c>
      <c r="R759">
        <v>2.0015310000000001E-2</v>
      </c>
      <c r="S759">
        <v>3.079132</v>
      </c>
      <c r="T759">
        <v>-0.13599459999999999</v>
      </c>
      <c r="U759">
        <v>-0.55435179999999995</v>
      </c>
      <c r="V759">
        <v>-7.9495509999999991E-3</v>
      </c>
      <c r="W759">
        <v>0.18289630000000001</v>
      </c>
      <c r="X759">
        <v>0.98310010000000003</v>
      </c>
      <c r="Y759">
        <v>0.1890597</v>
      </c>
      <c r="Z759">
        <v>-4.6773159999999999E-3</v>
      </c>
      <c r="AA759">
        <v>0.98195449999999995</v>
      </c>
      <c r="AB759">
        <v>36</v>
      </c>
      <c r="AC759">
        <v>24.954000000000001</v>
      </c>
      <c r="AD759">
        <v>-1.1101969356150001</v>
      </c>
      <c r="AE759">
        <v>-4.5278999999999296</v>
      </c>
      <c r="AF759">
        <v>4.82452278808677</v>
      </c>
      <c r="AG759">
        <v>-1.1101969356150001</v>
      </c>
      <c r="AH759">
        <v>24.848942981137501</v>
      </c>
      <c r="AI759">
        <v>92.511316625004795</v>
      </c>
      <c r="AJ759">
        <v>79.012492528460498</v>
      </c>
      <c r="AK759">
        <v>25.3372951328361</v>
      </c>
      <c r="AL759">
        <v>79.461493561447696</v>
      </c>
      <c r="AM759">
        <v>90.463295440978101</v>
      </c>
      <c r="AN759">
        <v>1.0000000292674001</v>
      </c>
    </row>
    <row r="760" spans="1:40" x14ac:dyDescent="0.25">
      <c r="A760" t="str">
        <f>"20190312172105929"</f>
        <v>20190312172105929</v>
      </c>
      <c r="B760" t="str">
        <f>"1552382465922280"</f>
        <v>1552382465922280</v>
      </c>
      <c r="C760" t="s">
        <v>40</v>
      </c>
      <c r="D760">
        <v>3.2106789999999998</v>
      </c>
      <c r="E760">
        <v>0.57802369999999903</v>
      </c>
      <c r="F760" t="s">
        <v>42</v>
      </c>
      <c r="G760">
        <v>-322.74259999999998</v>
      </c>
      <c r="H760" s="1">
        <v>-4.2485289999999901E-6</v>
      </c>
      <c r="I760">
        <v>363.11750000000001</v>
      </c>
      <c r="J760">
        <v>-348.20580000000001</v>
      </c>
      <c r="K760">
        <v>1.1101859999999999</v>
      </c>
      <c r="L760">
        <v>367.74919999999997</v>
      </c>
      <c r="M760">
        <v>0.99983770000000005</v>
      </c>
      <c r="N760">
        <v>0</v>
      </c>
      <c r="O760">
        <v>1.2284120000000001E-2</v>
      </c>
      <c r="P760">
        <v>0.98519330000000005</v>
      </c>
      <c r="Q760">
        <v>0.1702515</v>
      </c>
      <c r="R760">
        <v>2.0224619999999999E-2</v>
      </c>
      <c r="S760">
        <v>3.079224</v>
      </c>
      <c r="T760">
        <v>-0.1333211</v>
      </c>
      <c r="U760">
        <v>-0.55593870000000001</v>
      </c>
      <c r="V760">
        <v>-8.1407690000000008E-3</v>
      </c>
      <c r="W760">
        <v>0.18322769999999999</v>
      </c>
      <c r="X760">
        <v>0.98303680000000004</v>
      </c>
      <c r="Y760">
        <v>0.1895656</v>
      </c>
      <c r="Z760">
        <v>-4.5965809999999998E-3</v>
      </c>
      <c r="AA760">
        <v>0.98185730000000004</v>
      </c>
      <c r="AB760">
        <v>36</v>
      </c>
      <c r="AC760">
        <v>25.463200000000001</v>
      </c>
      <c r="AD760">
        <v>-1.1101902485290001</v>
      </c>
      <c r="AE760">
        <v>-4.6316999999999604</v>
      </c>
      <c r="AF760">
        <v>4.9350897727905698</v>
      </c>
      <c r="AG760">
        <v>-1.1101902485290001</v>
      </c>
      <c r="AH760">
        <v>25.357717373234099</v>
      </c>
      <c r="AI760">
        <v>92.4607636432752</v>
      </c>
      <c r="AJ760">
        <v>78.986830852855505</v>
      </c>
      <c r="AK760">
        <v>25.857329015856401</v>
      </c>
      <c r="AL760">
        <v>79.442179110247295</v>
      </c>
      <c r="AM760">
        <v>90.474469565790699</v>
      </c>
      <c r="AN760">
        <v>1.0000000061607199</v>
      </c>
    </row>
    <row r="761" spans="1:40" x14ac:dyDescent="0.25">
      <c r="A761" t="str">
        <f>"20190312172105940"</f>
        <v>20190312172105940</v>
      </c>
      <c r="B761" t="str">
        <f>"1552382465932040"</f>
        <v>1552382465932040</v>
      </c>
      <c r="C761" t="s">
        <v>40</v>
      </c>
      <c r="D761">
        <v>3.2207249999999998</v>
      </c>
      <c r="E761">
        <v>0.57825490000000002</v>
      </c>
      <c r="F761" t="s">
        <v>42</v>
      </c>
      <c r="G761">
        <v>-322.18720000000002</v>
      </c>
      <c r="H761" s="1">
        <v>-4.499614E-6</v>
      </c>
      <c r="I761">
        <v>363.04520000000002</v>
      </c>
      <c r="J761">
        <v>-348.01549999999997</v>
      </c>
      <c r="K761">
        <v>1.110174</v>
      </c>
      <c r="L761">
        <v>367.7516</v>
      </c>
      <c r="M761">
        <v>0.99983759999999999</v>
      </c>
      <c r="N761">
        <v>0</v>
      </c>
      <c r="O761">
        <v>1.229682E-2</v>
      </c>
      <c r="P761">
        <v>0.98516340000000002</v>
      </c>
      <c r="Q761">
        <v>0.1703858</v>
      </c>
      <c r="R761">
        <v>2.054982E-2</v>
      </c>
      <c r="S761">
        <v>3.0792540000000002</v>
      </c>
      <c r="T761">
        <v>-0.13138859999999999</v>
      </c>
      <c r="U761">
        <v>-0.55670169999999997</v>
      </c>
      <c r="V761">
        <v>-8.4489919999999902E-3</v>
      </c>
      <c r="W761">
        <v>0.18336140000000001</v>
      </c>
      <c r="X761">
        <v>0.98300929999999997</v>
      </c>
      <c r="Y761">
        <v>0.18981700000000001</v>
      </c>
      <c r="Z761">
        <v>-4.5357269999999998E-3</v>
      </c>
      <c r="AA761">
        <v>0.98180900000000004</v>
      </c>
      <c r="AB761">
        <v>36</v>
      </c>
      <c r="AC761">
        <v>25.828299999999899</v>
      </c>
      <c r="AD761">
        <v>-1.1101784996140001</v>
      </c>
      <c r="AE761">
        <v>-4.7063999999999702</v>
      </c>
      <c r="AF761">
        <v>5.0147104758499701</v>
      </c>
      <c r="AG761">
        <v>-1.1101784996140001</v>
      </c>
      <c r="AH761">
        <v>25.722471966936599</v>
      </c>
      <c r="AI761">
        <v>92.425732810177195</v>
      </c>
      <c r="AJ761">
        <v>78.968305021308794</v>
      </c>
      <c r="AK761">
        <v>26.230237923958001</v>
      </c>
      <c r="AL761">
        <v>79.434386965753603</v>
      </c>
      <c r="AM761">
        <v>90.492446676337494</v>
      </c>
      <c r="AN761">
        <v>1.0000000361811301</v>
      </c>
    </row>
    <row r="762" spans="1:40" x14ac:dyDescent="0.25">
      <c r="A762" t="str">
        <f>"20190312172105951"</f>
        <v>20190312172105951</v>
      </c>
      <c r="B762" t="str">
        <f>"1552382465941801"</f>
        <v>1552382465941801</v>
      </c>
      <c r="C762" t="s">
        <v>40</v>
      </c>
      <c r="D762">
        <v>3.215967</v>
      </c>
      <c r="E762">
        <v>0.57842550000000004</v>
      </c>
      <c r="F762" t="s">
        <v>42</v>
      </c>
      <c r="G762">
        <v>-321.86410000000001</v>
      </c>
      <c r="H762" s="1">
        <v>-4.6426810000000001E-6</v>
      </c>
      <c r="I762">
        <v>363.02</v>
      </c>
      <c r="J762">
        <v>-347.84160000000003</v>
      </c>
      <c r="K762">
        <v>1.110166</v>
      </c>
      <c r="L762">
        <v>367.75380000000001</v>
      </c>
      <c r="M762">
        <v>0.99983750000000005</v>
      </c>
      <c r="N762">
        <v>0</v>
      </c>
      <c r="O762">
        <v>1.23027E-2</v>
      </c>
      <c r="P762">
        <v>0.98515469999999905</v>
      </c>
      <c r="Q762">
        <v>0.17042009999999999</v>
      </c>
      <c r="R762">
        <v>2.0671720000000001E-2</v>
      </c>
      <c r="S762">
        <v>3.079437</v>
      </c>
      <c r="T762">
        <v>-0.13072790000000001</v>
      </c>
      <c r="U762">
        <v>-0.55715939999999997</v>
      </c>
      <c r="V762">
        <v>-8.5614290000000006E-3</v>
      </c>
      <c r="W762">
        <v>0.183397</v>
      </c>
      <c r="X762">
        <v>0.98300160000000003</v>
      </c>
      <c r="Y762">
        <v>0.1899556</v>
      </c>
      <c r="Z762">
        <v>-4.5157779999999998E-3</v>
      </c>
      <c r="AA762">
        <v>0.9817823</v>
      </c>
      <c r="AB762">
        <v>36</v>
      </c>
      <c r="AC762">
        <v>25.977499999999999</v>
      </c>
      <c r="AD762">
        <v>-1.1101706426809901</v>
      </c>
      <c r="AE762">
        <v>-4.7338000000000298</v>
      </c>
      <c r="AF762">
        <v>5.0441465027844403</v>
      </c>
      <c r="AG762">
        <v>-1.1101706426809901</v>
      </c>
      <c r="AH762">
        <v>25.871558079480302</v>
      </c>
      <c r="AI762">
        <v>92.411747423514001</v>
      </c>
      <c r="AJ762">
        <v>78.967513428221594</v>
      </c>
      <c r="AK762">
        <v>26.382066072568101</v>
      </c>
      <c r="AL762">
        <v>79.432311146498407</v>
      </c>
      <c r="AM762">
        <v>90.499003608665106</v>
      </c>
      <c r="AN762">
        <v>0.99999995163903899</v>
      </c>
    </row>
    <row r="763" spans="1:40" x14ac:dyDescent="0.25">
      <c r="A763" t="str">
        <f>"20190312172105962"</f>
        <v>20190312172105962</v>
      </c>
      <c r="B763" t="str">
        <f>"1552382465951561"</f>
        <v>1552382465951561</v>
      </c>
      <c r="C763" t="s">
        <v>40</v>
      </c>
      <c r="D763">
        <v>3.1929270000000001</v>
      </c>
      <c r="E763">
        <v>0.57842550000000004</v>
      </c>
      <c r="F763" t="s">
        <v>42</v>
      </c>
      <c r="G763">
        <v>-321.59739999999999</v>
      </c>
      <c r="H763" s="1">
        <v>-4.7607809999999999E-6</v>
      </c>
      <c r="I763">
        <v>362.99919999999997</v>
      </c>
      <c r="J763">
        <v>-347.67529999999999</v>
      </c>
      <c r="K763">
        <v>1.11016</v>
      </c>
      <c r="L763">
        <v>367.75580000000002</v>
      </c>
      <c r="M763">
        <v>0.99983730000000004</v>
      </c>
      <c r="N763">
        <v>0</v>
      </c>
      <c r="O763">
        <v>1.230727E-2</v>
      </c>
      <c r="P763">
        <v>0.98513830000000002</v>
      </c>
      <c r="Q763">
        <v>0.17049719999999999</v>
      </c>
      <c r="R763">
        <v>2.0814289999999999E-2</v>
      </c>
      <c r="S763">
        <v>3.0793759999999999</v>
      </c>
      <c r="T763">
        <v>-0.13026179999999901</v>
      </c>
      <c r="U763">
        <v>-0.5578613</v>
      </c>
      <c r="V763">
        <v>-8.6958250000000008E-3</v>
      </c>
      <c r="W763">
        <v>0.18347569999999999</v>
      </c>
      <c r="X763">
        <v>0.98298580000000002</v>
      </c>
      <c r="Y763">
        <v>0.19018119999999999</v>
      </c>
      <c r="Z763">
        <v>-4.5046130000000002E-3</v>
      </c>
      <c r="AA763">
        <v>0.98173869999999996</v>
      </c>
      <c r="AB763">
        <v>36</v>
      </c>
      <c r="AC763">
        <v>26.0779</v>
      </c>
      <c r="AD763">
        <v>-1.1101647607809999</v>
      </c>
      <c r="AE763">
        <v>-4.7566000000000397</v>
      </c>
      <c r="AF763">
        <v>5.0683257875349002</v>
      </c>
      <c r="AG763">
        <v>-1.1101647607809999</v>
      </c>
      <c r="AH763">
        <v>25.9718255805852</v>
      </c>
      <c r="AI763">
        <v>92.402354399451099</v>
      </c>
      <c r="AJ763">
        <v>78.957673149280893</v>
      </c>
      <c r="AK763">
        <v>26.485016822214899</v>
      </c>
      <c r="AL763">
        <v>79.427724827007395</v>
      </c>
      <c r="AM763">
        <v>90.506844631539906</v>
      </c>
      <c r="AN763">
        <v>1.00000001643228</v>
      </c>
    </row>
    <row r="764" spans="1:40" x14ac:dyDescent="0.25">
      <c r="A764" t="str">
        <f>"20190312172105973"</f>
        <v>20190312172105973</v>
      </c>
      <c r="B764" t="str">
        <f>"1552382465962297"</f>
        <v>1552382465962297</v>
      </c>
      <c r="C764" t="s">
        <v>40</v>
      </c>
      <c r="D764">
        <v>3.2394470000000002</v>
      </c>
      <c r="E764">
        <v>0.57811499999999905</v>
      </c>
      <c r="F764" t="s">
        <v>42</v>
      </c>
      <c r="G764">
        <v>-321.43079999999998</v>
      </c>
      <c r="H764" s="1">
        <v>-4.8307750000000003E-6</v>
      </c>
      <c r="I764">
        <v>363.00760000000002</v>
      </c>
      <c r="J764">
        <v>-347.50020000000001</v>
      </c>
      <c r="K764">
        <v>1.1101540000000001</v>
      </c>
      <c r="L764">
        <v>367.75799999999998</v>
      </c>
      <c r="M764">
        <v>0.99983730000000004</v>
      </c>
      <c r="N764">
        <v>0</v>
      </c>
      <c r="O764">
        <v>1.230814E-2</v>
      </c>
      <c r="P764">
        <v>0.98514009999999996</v>
      </c>
      <c r="Q764">
        <v>0.17045850000000001</v>
      </c>
      <c r="R764">
        <v>2.1057200000000002E-2</v>
      </c>
      <c r="S764">
        <v>3.0796199999999998</v>
      </c>
      <c r="T764">
        <v>-0.13026979999999999</v>
      </c>
      <c r="U764">
        <v>-0.55715939999999997</v>
      </c>
      <c r="V764">
        <v>-8.9344650000000008E-3</v>
      </c>
      <c r="W764">
        <v>0.18344060000000001</v>
      </c>
      <c r="X764">
        <v>0.98299020000000004</v>
      </c>
      <c r="Y764">
        <v>0.18995200000000001</v>
      </c>
      <c r="Z764">
        <v>-4.4998579999999998E-3</v>
      </c>
      <c r="AA764">
        <v>0.98178310000000002</v>
      </c>
      <c r="AB764">
        <v>36</v>
      </c>
      <c r="AC764">
        <v>26.069400000000002</v>
      </c>
      <c r="AD764">
        <v>-1.1101588307750001</v>
      </c>
      <c r="AE764">
        <v>-4.7504000000000097</v>
      </c>
      <c r="AF764">
        <v>5.0620490184672198</v>
      </c>
      <c r="AG764">
        <v>-1.1101588307750001</v>
      </c>
      <c r="AH764">
        <v>25.9633808540584</v>
      </c>
      <c r="AI764">
        <v>92.403202453795501</v>
      </c>
      <c r="AJ764">
        <v>78.967513555839005</v>
      </c>
      <c r="AK764">
        <v>26.475534711650301</v>
      </c>
      <c r="AL764">
        <v>79.429770518001604</v>
      </c>
      <c r="AM764">
        <v>90.520750909817394</v>
      </c>
      <c r="AN764">
        <v>1.0000000058446099</v>
      </c>
    </row>
    <row r="765" spans="1:40" x14ac:dyDescent="0.25">
      <c r="A765" t="str">
        <f>"20190312172105989"</f>
        <v>20190312172105989</v>
      </c>
      <c r="B765" t="str">
        <f>"1552382465981816"</f>
        <v>1552382465981816</v>
      </c>
      <c r="C765" t="s">
        <v>40</v>
      </c>
      <c r="D765">
        <v>3.264106</v>
      </c>
      <c r="E765">
        <v>0.54051249999999995</v>
      </c>
      <c r="F765" t="s">
        <v>42</v>
      </c>
      <c r="G765">
        <v>-321.17009999999999</v>
      </c>
      <c r="H765" s="1">
        <v>-4.940385E-6</v>
      </c>
      <c r="I765">
        <v>363.02</v>
      </c>
      <c r="J765">
        <v>-347.26729999999998</v>
      </c>
      <c r="K765">
        <v>1.1101490000000001</v>
      </c>
      <c r="L765">
        <v>367.76089999999999</v>
      </c>
      <c r="M765">
        <v>0.99983730000000004</v>
      </c>
      <c r="N765">
        <v>0</v>
      </c>
      <c r="O765">
        <v>1.2305460000000001E-2</v>
      </c>
      <c r="P765">
        <v>0.98512719999999998</v>
      </c>
      <c r="Q765">
        <v>0.17053989999999999</v>
      </c>
      <c r="R765">
        <v>2.099531E-2</v>
      </c>
      <c r="S765">
        <v>3.0795590000000002</v>
      </c>
      <c r="T765">
        <v>-0.1298436</v>
      </c>
      <c r="U765">
        <v>-0.55413819999999903</v>
      </c>
      <c r="V765">
        <v>-8.8715119999999998E-3</v>
      </c>
      <c r="W765">
        <v>0.1835263</v>
      </c>
      <c r="X765">
        <v>0.98297480000000004</v>
      </c>
      <c r="Y765">
        <v>0.18902179999999999</v>
      </c>
      <c r="Z765">
        <v>-4.4660639999999996E-3</v>
      </c>
      <c r="AA765">
        <v>0.98196269999999997</v>
      </c>
      <c r="AB765">
        <v>36</v>
      </c>
      <c r="AC765">
        <v>26.097199999999901</v>
      </c>
      <c r="AD765">
        <v>-1.110153940385</v>
      </c>
      <c r="AE765">
        <v>-4.7409000000000097</v>
      </c>
      <c r="AF765">
        <v>5.0528555135644702</v>
      </c>
      <c r="AG765">
        <v>-1.110153940385</v>
      </c>
      <c r="AH765">
        <v>25.9913487538265</v>
      </c>
      <c r="AI765">
        <v>92.4008624252006</v>
      </c>
      <c r="AJ765">
        <v>78.998621198253701</v>
      </c>
      <c r="AK765">
        <v>26.501207532022999</v>
      </c>
      <c r="AL765">
        <v>79.424775747279895</v>
      </c>
      <c r="AM765">
        <v>90.517089955109995</v>
      </c>
      <c r="AN765">
        <v>1.0000000319759399</v>
      </c>
    </row>
    <row r="766" spans="1:40" x14ac:dyDescent="0.25">
      <c r="A766" t="str">
        <f>"20190312172106001"</f>
        <v>20190312172106001</v>
      </c>
      <c r="B766" t="str">
        <f>"1552382465991576"</f>
        <v>1552382465991576</v>
      </c>
      <c r="C766" t="s">
        <v>40</v>
      </c>
      <c r="D766">
        <v>3.1823030000000001</v>
      </c>
      <c r="E766">
        <v>0.53143509999999905</v>
      </c>
      <c r="F766" t="s">
        <v>42</v>
      </c>
      <c r="G766">
        <v>-320.57470000000001</v>
      </c>
      <c r="H766" s="1">
        <v>-4.7469699999999899E-6</v>
      </c>
      <c r="I766">
        <v>365.55040000000002</v>
      </c>
      <c r="J766">
        <v>-347.048</v>
      </c>
      <c r="K766">
        <v>1.1101430000000001</v>
      </c>
      <c r="L766">
        <v>367.7636</v>
      </c>
      <c r="M766">
        <v>0.99983719999999998</v>
      </c>
      <c r="N766">
        <v>0</v>
      </c>
      <c r="O766">
        <v>1.22991E-2</v>
      </c>
      <c r="P766">
        <v>0.98511230000000005</v>
      </c>
      <c r="Q766">
        <v>0.1705875</v>
      </c>
      <c r="R766">
        <v>2.130746E-2</v>
      </c>
      <c r="S766">
        <v>3.0728149999999999</v>
      </c>
      <c r="T766">
        <v>-0.12779889999999999</v>
      </c>
      <c r="U766">
        <v>-0.2544556</v>
      </c>
      <c r="V766">
        <v>-9.1859309999999996E-3</v>
      </c>
      <c r="W766">
        <v>0.18357879999999999</v>
      </c>
      <c r="X766">
        <v>0.98296209999999995</v>
      </c>
      <c r="Y766">
        <v>9.4686229999999996E-2</v>
      </c>
      <c r="Z766">
        <v>-2.4753269999999998E-3</v>
      </c>
      <c r="AA766">
        <v>0.9955041</v>
      </c>
      <c r="AB766">
        <v>36</v>
      </c>
      <c r="AC766">
        <v>26.473299999999899</v>
      </c>
      <c r="AD766">
        <v>-1.1101477469700001</v>
      </c>
      <c r="AE766">
        <v>-2.2131999999999699</v>
      </c>
      <c r="AF766">
        <v>2.5342331667538001</v>
      </c>
      <c r="AG766">
        <v>-1.1101477469700001</v>
      </c>
      <c r="AH766">
        <v>26.397975584098401</v>
      </c>
      <c r="AI766">
        <v>92.397105728087695</v>
      </c>
      <c r="AJ766">
        <v>84.516350389949494</v>
      </c>
      <c r="AK766">
        <v>26.542567334420202</v>
      </c>
      <c r="AL766">
        <v>79.421715639171694</v>
      </c>
      <c r="AM766">
        <v>90.535422227000794</v>
      </c>
      <c r="AN766">
        <v>1.0000000235870901</v>
      </c>
    </row>
    <row r="767" spans="1:40" x14ac:dyDescent="0.25">
      <c r="A767" t="str">
        <f>"20190312172106012"</f>
        <v>20190312172106012</v>
      </c>
      <c r="B767" t="str">
        <f>"1552382466002312"</f>
        <v>1552382466002312</v>
      </c>
      <c r="C767" t="s">
        <v>40</v>
      </c>
      <c r="D767">
        <v>3.111469</v>
      </c>
      <c r="E767">
        <v>0.5237792</v>
      </c>
      <c r="F767" t="s">
        <v>42</v>
      </c>
      <c r="G767">
        <v>-321.97570000000002</v>
      </c>
      <c r="H767" s="1">
        <v>-4.014722E-6</v>
      </c>
      <c r="I767">
        <v>366.29020000000003</v>
      </c>
      <c r="J767">
        <v>-346.87699999999899</v>
      </c>
      <c r="K767">
        <v>1.1101369999999999</v>
      </c>
      <c r="L767">
        <v>367.76569999999998</v>
      </c>
      <c r="M767">
        <v>0.99983750000000005</v>
      </c>
      <c r="N767">
        <v>0</v>
      </c>
      <c r="O767">
        <v>1.228944E-2</v>
      </c>
      <c r="P767">
        <v>0.98510750000000002</v>
      </c>
      <c r="Q767">
        <v>0.1706165</v>
      </c>
      <c r="R767">
        <v>2.129259E-2</v>
      </c>
      <c r="S767">
        <v>3.072845</v>
      </c>
      <c r="T767">
        <v>-0.1360587</v>
      </c>
      <c r="U767">
        <v>-0.1805725</v>
      </c>
      <c r="V767">
        <v>-9.1783750000000008E-3</v>
      </c>
      <c r="W767">
        <v>0.1836112</v>
      </c>
      <c r="X767">
        <v>0.9829561</v>
      </c>
      <c r="Y767">
        <v>7.0846469999999995E-2</v>
      </c>
      <c r="Z767">
        <v>-2.109844E-3</v>
      </c>
      <c r="AA767">
        <v>0.99748499999999996</v>
      </c>
      <c r="AB767">
        <v>36</v>
      </c>
      <c r="AC767">
        <v>24.9012999999999</v>
      </c>
      <c r="AD767">
        <v>-1.1101410147220001</v>
      </c>
      <c r="AE767">
        <v>-1.4754999999999501</v>
      </c>
      <c r="AF767">
        <v>1.77791691667242</v>
      </c>
      <c r="AG767">
        <v>-1.1101410147220001</v>
      </c>
      <c r="AH767">
        <v>24.8321028223999</v>
      </c>
      <c r="AI767">
        <v>92.553226709678796</v>
      </c>
      <c r="AJ767">
        <v>85.904752574766903</v>
      </c>
      <c r="AK767">
        <v>24.920407946448201</v>
      </c>
      <c r="AL767">
        <v>79.419826955792402</v>
      </c>
      <c r="AM767">
        <v>90.534985099860194</v>
      </c>
      <c r="AN767">
        <v>1.0000000049301401</v>
      </c>
    </row>
    <row r="768" spans="1:40" x14ac:dyDescent="0.25">
      <c r="A768" t="str">
        <f>"20190312172106023"</f>
        <v>20190312172106023</v>
      </c>
      <c r="B768" t="str">
        <f>"1552382466012073"</f>
        <v>1552382466012073</v>
      </c>
      <c r="C768" t="s">
        <v>40</v>
      </c>
      <c r="D768">
        <v>3.165009</v>
      </c>
      <c r="E768">
        <v>0.51857240000000004</v>
      </c>
      <c r="F768" t="s">
        <v>42</v>
      </c>
      <c r="G768">
        <v>-323.0369</v>
      </c>
      <c r="H768" s="1">
        <v>-3.4621939999999999E-6</v>
      </c>
      <c r="I768">
        <v>366.83859999999999</v>
      </c>
      <c r="J768">
        <v>-346.69119999999998</v>
      </c>
      <c r="K768">
        <v>1.110131</v>
      </c>
      <c r="L768">
        <v>367.76799999999997</v>
      </c>
      <c r="M768">
        <v>0.99983739999999999</v>
      </c>
      <c r="N768">
        <v>0</v>
      </c>
      <c r="O768">
        <v>1.227787E-2</v>
      </c>
      <c r="P768">
        <v>0.98509519999999995</v>
      </c>
      <c r="Q768">
        <v>0.1706879</v>
      </c>
      <c r="R768">
        <v>2.128408E-2</v>
      </c>
      <c r="S768">
        <v>3.0726930000000001</v>
      </c>
      <c r="T768">
        <v>-0.14308270000000001</v>
      </c>
      <c r="U768">
        <v>-0.11947629999999999</v>
      </c>
      <c r="V768">
        <v>-9.1787099999999996E-3</v>
      </c>
      <c r="W768">
        <v>0.18368660000000001</v>
      </c>
      <c r="X768">
        <v>0.98294199999999998</v>
      </c>
      <c r="Y768">
        <v>5.1052109999999998E-2</v>
      </c>
      <c r="Z768">
        <v>-1.7588300000000001E-3</v>
      </c>
      <c r="AA768">
        <v>0.99869439999999998</v>
      </c>
      <c r="AB768">
        <v>36</v>
      </c>
      <c r="AC768">
        <v>23.6542999999999</v>
      </c>
      <c r="AD768">
        <v>-1.1101344621939999</v>
      </c>
      <c r="AE768">
        <v>-0.92940000000004297</v>
      </c>
      <c r="AF768">
        <v>1.2171030558215901</v>
      </c>
      <c r="AG768">
        <v>-1.1101344621939999</v>
      </c>
      <c r="AH768">
        <v>23.589227689358498</v>
      </c>
      <c r="AI768">
        <v>92.690839109062793</v>
      </c>
      <c r="AJ768">
        <v>87.046402404895503</v>
      </c>
      <c r="AK768">
        <v>23.646678442289499</v>
      </c>
      <c r="AL768">
        <v>79.415432005581494</v>
      </c>
      <c r="AM768">
        <v>90.535012299088805</v>
      </c>
      <c r="AN768">
        <v>0.99999999555041197</v>
      </c>
    </row>
    <row r="769" spans="1:40" x14ac:dyDescent="0.25">
      <c r="A769" t="str">
        <f>"20190312172106036"</f>
        <v>20190312172106036</v>
      </c>
      <c r="B769" t="str">
        <f>"1552382466031592"</f>
        <v>1552382466031592</v>
      </c>
      <c r="C769" t="s">
        <v>40</v>
      </c>
      <c r="D769">
        <v>3.1872590000000001</v>
      </c>
      <c r="E769">
        <v>0.51211709999999999</v>
      </c>
      <c r="F769" t="s">
        <v>42</v>
      </c>
      <c r="G769">
        <v>-322.99829999999997</v>
      </c>
      <c r="H769" s="1">
        <v>-3.420229E-6</v>
      </c>
      <c r="I769">
        <v>367.16860000000003</v>
      </c>
      <c r="J769">
        <v>-346.49369999999999</v>
      </c>
      <c r="K769">
        <v>1.110125</v>
      </c>
      <c r="L769">
        <v>367.7704</v>
      </c>
      <c r="M769">
        <v>0.99983759999999999</v>
      </c>
      <c r="N769">
        <v>0</v>
      </c>
      <c r="O769">
        <v>1.2262540000000001E-2</v>
      </c>
      <c r="P769">
        <v>0.98515390000000003</v>
      </c>
      <c r="Q769">
        <v>0.17033999999999999</v>
      </c>
      <c r="R769">
        <v>2.1367529999999999E-2</v>
      </c>
      <c r="S769">
        <v>3.0720209999999999</v>
      </c>
      <c r="T769">
        <v>-0.14393909999999999</v>
      </c>
      <c r="U769">
        <v>-7.7697749999999996E-2</v>
      </c>
      <c r="V769">
        <v>-9.2739950000000002E-3</v>
      </c>
      <c r="W769">
        <v>0.18334310000000001</v>
      </c>
      <c r="X769">
        <v>0.98300520000000002</v>
      </c>
      <c r="Y769">
        <v>3.7487220000000002E-2</v>
      </c>
      <c r="Z769">
        <v>-1.4518230000000001E-3</v>
      </c>
      <c r="AA769">
        <v>0.99929610000000002</v>
      </c>
      <c r="AB769">
        <v>36</v>
      </c>
      <c r="AC769">
        <v>23.4954</v>
      </c>
      <c r="AD769">
        <v>-1.110128420229</v>
      </c>
      <c r="AE769">
        <v>-0.60179999999996803</v>
      </c>
      <c r="AF769">
        <v>0.88791223813025699</v>
      </c>
      <c r="AG769">
        <v>-1.110128420229</v>
      </c>
      <c r="AH769">
        <v>23.433972131406001</v>
      </c>
      <c r="AI769">
        <v>92.710281028098706</v>
      </c>
      <c r="AJ769">
        <v>87.830103282023998</v>
      </c>
      <c r="AK769">
        <v>23.4770488585668</v>
      </c>
      <c r="AL769">
        <v>79.435452759597794</v>
      </c>
      <c r="AM769">
        <v>90.540531228827604</v>
      </c>
      <c r="AN769">
        <v>0.99999996126395396</v>
      </c>
    </row>
    <row r="770" spans="1:40" x14ac:dyDescent="0.25">
      <c r="A770" t="str">
        <f>"20190312172106053"</f>
        <v>20190312172106053</v>
      </c>
      <c r="B770" t="str">
        <f>"1552382466042328"</f>
        <v>1552382466042328</v>
      </c>
      <c r="C770" t="s">
        <v>40</v>
      </c>
      <c r="D770">
        <v>3.18099</v>
      </c>
      <c r="E770">
        <v>0.51027040000000001</v>
      </c>
      <c r="F770" t="s">
        <v>42</v>
      </c>
      <c r="G770">
        <v>-323.89460000000003</v>
      </c>
      <c r="H770" s="1">
        <v>-2.9630740000000002E-6</v>
      </c>
      <c r="I770">
        <v>367.57810000000001</v>
      </c>
      <c r="J770">
        <v>-346.22980000000001</v>
      </c>
      <c r="K770">
        <v>1.1101179999999999</v>
      </c>
      <c r="L770">
        <v>367.77359999999999</v>
      </c>
      <c r="M770">
        <v>0.99983789999999995</v>
      </c>
      <c r="N770">
        <v>0</v>
      </c>
      <c r="O770">
        <v>1.2239089999999999E-2</v>
      </c>
      <c r="P770">
        <v>0.9851356</v>
      </c>
      <c r="Q770">
        <v>0.17040529999999901</v>
      </c>
      <c r="R770">
        <v>2.168202E-2</v>
      </c>
      <c r="S770">
        <v>3.07193</v>
      </c>
      <c r="T770">
        <v>-0.15090049999999999</v>
      </c>
      <c r="U770">
        <v>-2.6123049999999998E-2</v>
      </c>
      <c r="V770">
        <v>-9.6080739999999994E-3</v>
      </c>
      <c r="W770">
        <v>0.1834134</v>
      </c>
      <c r="X770">
        <v>0.98298890000000005</v>
      </c>
      <c r="Y770">
        <v>2.070284E-2</v>
      </c>
      <c r="Z770">
        <v>-1.10906E-3</v>
      </c>
      <c r="AA770">
        <v>0.99978509999999998</v>
      </c>
      <c r="AB770">
        <v>36</v>
      </c>
      <c r="AC770">
        <v>22.335199999999901</v>
      </c>
      <c r="AD770">
        <v>-1.1101209630740001</v>
      </c>
      <c r="AE770">
        <v>-0.19549999999998099</v>
      </c>
      <c r="AF770">
        <v>0.467716373664332</v>
      </c>
      <c r="AG770">
        <v>-1.1101209630740001</v>
      </c>
      <c r="AH770">
        <v>22.276107965462401</v>
      </c>
      <c r="AI770">
        <v>92.852324534204797</v>
      </c>
      <c r="AJ770">
        <v>88.797175999035204</v>
      </c>
      <c r="AK770">
        <v>22.308655567913199</v>
      </c>
      <c r="AL770">
        <v>79.431355627173104</v>
      </c>
      <c r="AM770">
        <v>90.560010961662599</v>
      </c>
      <c r="AN770">
        <v>0.99999998395437895</v>
      </c>
    </row>
    <row r="771" spans="1:40" x14ac:dyDescent="0.25">
      <c r="A771" t="str">
        <f>"20190312172106066"</f>
        <v>20190312172106066</v>
      </c>
      <c r="B771" t="str">
        <f>"1552382466061849"</f>
        <v>1552382466061849</v>
      </c>
      <c r="C771" t="s">
        <v>40</v>
      </c>
      <c r="D771">
        <v>3.1719349999999999</v>
      </c>
      <c r="E771">
        <v>0.50753269999999995</v>
      </c>
      <c r="F771" t="s">
        <v>42</v>
      </c>
      <c r="G771">
        <v>-324.0849</v>
      </c>
      <c r="H771" s="1">
        <v>-2.8601759999999999E-6</v>
      </c>
      <c r="I771">
        <v>367.6979</v>
      </c>
      <c r="J771">
        <v>-346.01400000000001</v>
      </c>
      <c r="K771">
        <v>1.1101110000000001</v>
      </c>
      <c r="L771">
        <v>367.77620000000002</v>
      </c>
      <c r="M771">
        <v>0.99983789999999995</v>
      </c>
      <c r="N771">
        <v>0</v>
      </c>
      <c r="O771">
        <v>1.221854E-2</v>
      </c>
      <c r="P771">
        <v>0.98515459999999999</v>
      </c>
      <c r="Q771">
        <v>0.1703267</v>
      </c>
      <c r="R771">
        <v>2.1432630000000001E-2</v>
      </c>
      <c r="S771">
        <v>3.0721129999999999</v>
      </c>
      <c r="T771">
        <v>-0.15400420000000001</v>
      </c>
      <c r="U771">
        <v>-1.049805E-2</v>
      </c>
      <c r="V771">
        <v>-9.3766530000000004E-3</v>
      </c>
      <c r="W771">
        <v>0.1833388</v>
      </c>
      <c r="X771">
        <v>0.98300500000000002</v>
      </c>
      <c r="Y771">
        <v>1.5601530000000001E-2</v>
      </c>
      <c r="Z771">
        <v>-1.0029749999999999E-3</v>
      </c>
      <c r="AA771">
        <v>0.99987780000000004</v>
      </c>
      <c r="AB771">
        <v>36</v>
      </c>
      <c r="AC771">
        <v>21.929099999999998</v>
      </c>
      <c r="AD771">
        <v>-1.1101138601759999</v>
      </c>
      <c r="AE771">
        <v>-7.8300000000012901E-2</v>
      </c>
      <c r="AF771">
        <v>0.345374101392314</v>
      </c>
      <c r="AG771">
        <v>-1.1101138601759999</v>
      </c>
      <c r="AH771">
        <v>21.870459776427399</v>
      </c>
      <c r="AI771">
        <v>92.905397977628098</v>
      </c>
      <c r="AJ771">
        <v>89.095271253869001</v>
      </c>
      <c r="AK771">
        <v>21.901338929042598</v>
      </c>
      <c r="AL771">
        <v>79.435703084185505</v>
      </c>
      <c r="AM771">
        <v>90.546514361099497</v>
      </c>
      <c r="AN771">
        <v>0.99999993361595896</v>
      </c>
    </row>
    <row r="772" spans="1:40" x14ac:dyDescent="0.25">
      <c r="A772" t="str">
        <f>"20190312172106085"</f>
        <v>20190312172106085</v>
      </c>
      <c r="B772" t="str">
        <f>"1552382466082344"</f>
        <v>1552382466082344</v>
      </c>
      <c r="C772" t="s">
        <v>40</v>
      </c>
      <c r="D772">
        <v>3.1812839999999998</v>
      </c>
      <c r="E772">
        <v>0.50596030000000003</v>
      </c>
      <c r="F772" t="s">
        <v>42</v>
      </c>
      <c r="G772">
        <v>-323.8526</v>
      </c>
      <c r="H772" s="1">
        <v>-2.932336E-6</v>
      </c>
      <c r="I772">
        <v>367.85300000000001</v>
      </c>
      <c r="J772">
        <v>-345.71359999999999</v>
      </c>
      <c r="K772">
        <v>1.110107</v>
      </c>
      <c r="L772">
        <v>367.7799</v>
      </c>
      <c r="M772">
        <v>0.99983840000000002</v>
      </c>
      <c r="N772">
        <v>0</v>
      </c>
      <c r="O772">
        <v>1.2187430000000001E-2</v>
      </c>
      <c r="P772">
        <v>0.98511919999999997</v>
      </c>
      <c r="Q772">
        <v>0.17051669999999999</v>
      </c>
      <c r="R772">
        <v>2.1551089999999998E-2</v>
      </c>
      <c r="S772">
        <v>3.071564</v>
      </c>
      <c r="T772">
        <v>-0.153861</v>
      </c>
      <c r="U772">
        <v>1.0650629999999999E-2</v>
      </c>
      <c r="V772">
        <v>-9.5234870000000006E-3</v>
      </c>
      <c r="W772">
        <v>0.18353340000000001</v>
      </c>
      <c r="X772">
        <v>0.98296729999999999</v>
      </c>
      <c r="Y772">
        <v>8.6950180000000005E-3</v>
      </c>
      <c r="Z772">
        <v>-8.2778649999999904E-4</v>
      </c>
      <c r="AA772">
        <v>0.99996189999999996</v>
      </c>
      <c r="AB772">
        <v>36</v>
      </c>
      <c r="AC772">
        <v>21.860999999999901</v>
      </c>
      <c r="AD772">
        <v>-1.110109932336</v>
      </c>
      <c r="AE772">
        <v>7.3100000000010795E-2</v>
      </c>
      <c r="AF772">
        <v>0.19286079062143999</v>
      </c>
      <c r="AG772">
        <v>-1.110109932336</v>
      </c>
      <c r="AH772">
        <v>21.804042784891099</v>
      </c>
      <c r="AI772">
        <v>92.914471459509201</v>
      </c>
      <c r="AJ772">
        <v>89.4932214506359</v>
      </c>
      <c r="AK772">
        <v>21.833135851539801</v>
      </c>
      <c r="AL772">
        <v>79.424361140511706</v>
      </c>
      <c r="AM772">
        <v>90.555093276505801</v>
      </c>
      <c r="AN772">
        <v>0.99999995929474295</v>
      </c>
    </row>
    <row r="773" spans="1:40" x14ac:dyDescent="0.25">
      <c r="A773" t="str">
        <f>"20190312172106096"</f>
        <v>20190312172106096</v>
      </c>
      <c r="B773" t="str">
        <f>"1552382466092104"</f>
        <v>1552382466092104</v>
      </c>
      <c r="C773" t="s">
        <v>40</v>
      </c>
      <c r="D773">
        <v>3.1920860000000002</v>
      </c>
      <c r="E773">
        <v>0.50533620000000001</v>
      </c>
      <c r="F773" t="s">
        <v>42</v>
      </c>
      <c r="G773">
        <v>-323.75959999999998</v>
      </c>
      <c r="H773" s="1">
        <v>-2.9557010000000002E-6</v>
      </c>
      <c r="I773">
        <v>367.94619999999998</v>
      </c>
      <c r="J773">
        <v>-345.53280000000001</v>
      </c>
      <c r="K773">
        <v>1.1101030000000001</v>
      </c>
      <c r="L773">
        <v>367.78210000000001</v>
      </c>
      <c r="M773">
        <v>0.99983849999999996</v>
      </c>
      <c r="N773">
        <v>0</v>
      </c>
      <c r="O773">
        <v>1.216776E-2</v>
      </c>
      <c r="P773">
        <v>0.98510180000000003</v>
      </c>
      <c r="Q773">
        <v>0.17060989999999901</v>
      </c>
      <c r="R773">
        <v>2.1608240000000001E-2</v>
      </c>
      <c r="S773">
        <v>3.0716860000000001</v>
      </c>
      <c r="T773">
        <v>-0.15531989999999901</v>
      </c>
      <c r="U773">
        <v>2.3284909999999999E-2</v>
      </c>
      <c r="V773">
        <v>-9.5992439999999998E-3</v>
      </c>
      <c r="W773">
        <v>0.18362899999999999</v>
      </c>
      <c r="X773">
        <v>0.98294879999999996</v>
      </c>
      <c r="Y773">
        <v>4.5673729999999996E-3</v>
      </c>
      <c r="Z773">
        <v>-7.3029619999999905E-4</v>
      </c>
      <c r="AA773">
        <v>0.99998929999999997</v>
      </c>
      <c r="AB773">
        <v>36</v>
      </c>
      <c r="AC773">
        <v>21.773199999999999</v>
      </c>
      <c r="AD773">
        <v>-1.110105955701</v>
      </c>
      <c r="AE773">
        <v>0.164099999999962</v>
      </c>
      <c r="AF773">
        <v>0.100604892056776</v>
      </c>
      <c r="AG773">
        <v>-1.110105955701</v>
      </c>
      <c r="AH773">
        <v>21.7171349800585</v>
      </c>
      <c r="AI773">
        <v>92.926186842742695</v>
      </c>
      <c r="AJ773">
        <v>89.734578502863201</v>
      </c>
      <c r="AK773">
        <v>21.745721609532101</v>
      </c>
      <c r="AL773">
        <v>79.418789925132501</v>
      </c>
      <c r="AM773">
        <v>90.559519157375206</v>
      </c>
      <c r="AN773">
        <v>1.0000000492739001</v>
      </c>
    </row>
    <row r="774" spans="1:40" x14ac:dyDescent="0.25">
      <c r="A774" t="str">
        <f>"20190312172106107"</f>
        <v>20190312172106107</v>
      </c>
      <c r="B774" t="str">
        <f>"1552382466101864"</f>
        <v>1552382466101864</v>
      </c>
      <c r="C774" t="s">
        <v>40</v>
      </c>
      <c r="D774">
        <v>3.1863130000000002</v>
      </c>
      <c r="E774">
        <v>0.50488319999999998</v>
      </c>
      <c r="F774" t="s">
        <v>42</v>
      </c>
      <c r="G774">
        <v>-323.67680000000001</v>
      </c>
      <c r="H774" s="1">
        <v>-2.9843329999999998E-6</v>
      </c>
      <c r="I774">
        <v>367.98500000000001</v>
      </c>
      <c r="J774">
        <v>-345.34539999999998</v>
      </c>
      <c r="K774">
        <v>1.110101</v>
      </c>
      <c r="L774">
        <v>367.78429999999997</v>
      </c>
      <c r="M774">
        <v>0.99983869999999997</v>
      </c>
      <c r="N774">
        <v>0</v>
      </c>
      <c r="O774">
        <v>1.2146789999999999E-2</v>
      </c>
      <c r="P774">
        <v>0.98512129999999998</v>
      </c>
      <c r="Q774">
        <v>0.17049439999999999</v>
      </c>
      <c r="R774">
        <v>2.1632040000000002E-2</v>
      </c>
      <c r="S774">
        <v>3.0717469999999998</v>
      </c>
      <c r="T774">
        <v>-0.15601899999999999</v>
      </c>
      <c r="U774">
        <v>2.8533940000000001E-2</v>
      </c>
      <c r="V774">
        <v>-9.6425690000000001E-3</v>
      </c>
      <c r="W774">
        <v>0.1835165</v>
      </c>
      <c r="X774">
        <v>0.98296930000000005</v>
      </c>
      <c r="Y774">
        <v>2.8399419999999998E-3</v>
      </c>
      <c r="Z774">
        <v>-6.8865289999999997E-4</v>
      </c>
      <c r="AA774">
        <v>0.99999570000000004</v>
      </c>
      <c r="AB774">
        <v>36</v>
      </c>
      <c r="AC774">
        <v>21.668599999999898</v>
      </c>
      <c r="AD774">
        <v>-1.1101039843330001</v>
      </c>
      <c r="AE774">
        <v>0.20070000000004001</v>
      </c>
      <c r="AF774">
        <v>6.23780758772738E-2</v>
      </c>
      <c r="AG774">
        <v>-1.1101039843330001</v>
      </c>
      <c r="AH774">
        <v>21.612718991934099</v>
      </c>
      <c r="AI774">
        <v>92.9403132297128</v>
      </c>
      <c r="AJ774">
        <v>89.8346348481425</v>
      </c>
      <c r="AK774">
        <v>21.641299501293599</v>
      </c>
      <c r="AL774">
        <v>79.425346229061702</v>
      </c>
      <c r="AM774">
        <v>90.5620325954403</v>
      </c>
      <c r="AN774">
        <v>0.99999996482582898</v>
      </c>
    </row>
    <row r="775" spans="1:40" x14ac:dyDescent="0.25">
      <c r="A775" t="str">
        <f>"20190312172106118"</f>
        <v>20190312172106118</v>
      </c>
      <c r="B775" t="str">
        <f>"1552382466111625"</f>
        <v>1552382466111625</v>
      </c>
      <c r="C775" t="s">
        <v>40</v>
      </c>
      <c r="D775">
        <v>3.167573</v>
      </c>
      <c r="E775">
        <v>0.50443870000000002</v>
      </c>
      <c r="F775" t="s">
        <v>42</v>
      </c>
      <c r="G775">
        <v>-323.65499999999997</v>
      </c>
      <c r="H775" s="1">
        <v>-2.9891919999999999E-6</v>
      </c>
      <c r="I775">
        <v>368.01029999999997</v>
      </c>
      <c r="J775">
        <v>-345.16950000000003</v>
      </c>
      <c r="K775">
        <v>1.110104</v>
      </c>
      <c r="L775">
        <v>367.78640000000001</v>
      </c>
      <c r="M775">
        <v>0.99983900000000003</v>
      </c>
      <c r="N775">
        <v>0</v>
      </c>
      <c r="O775">
        <v>1.2126430000000001E-2</v>
      </c>
      <c r="P775">
        <v>0.98511519999999997</v>
      </c>
      <c r="Q775">
        <v>0.17053470000000001</v>
      </c>
      <c r="R775">
        <v>2.1588110000000001E-2</v>
      </c>
      <c r="S775">
        <v>3.071777</v>
      </c>
      <c r="T775">
        <v>-0.1572114</v>
      </c>
      <c r="U775">
        <v>3.2012939999999997E-2</v>
      </c>
      <c r="V775">
        <v>-9.6181200000000008E-3</v>
      </c>
      <c r="W775">
        <v>0.18355869999999999</v>
      </c>
      <c r="X775">
        <v>0.98296170000000005</v>
      </c>
      <c r="Y775">
        <v>1.6884479999999999E-3</v>
      </c>
      <c r="Z775">
        <v>-6.6340989999999999E-4</v>
      </c>
      <c r="AA775">
        <v>0.99999830000000001</v>
      </c>
      <c r="AB775">
        <v>36</v>
      </c>
      <c r="AC775">
        <v>21.514500000000002</v>
      </c>
      <c r="AD775">
        <v>-1.1101069891919999</v>
      </c>
      <c r="AE775">
        <v>0.22389999999995699</v>
      </c>
      <c r="AF775">
        <v>3.6935041470721401E-2</v>
      </c>
      <c r="AG775">
        <v>-1.1101069891919999</v>
      </c>
      <c r="AH775">
        <v>21.4585090141946</v>
      </c>
      <c r="AI775">
        <v>92.961422028094802</v>
      </c>
      <c r="AJ775">
        <v>89.901380850777997</v>
      </c>
      <c r="AK775">
        <v>21.487235998075999</v>
      </c>
      <c r="AL775">
        <v>79.422886984417502</v>
      </c>
      <c r="AM775">
        <v>90.560611971531898</v>
      </c>
      <c r="AN775">
        <v>1.0000000041224499</v>
      </c>
    </row>
    <row r="776" spans="1:40" x14ac:dyDescent="0.25">
      <c r="A776" t="str">
        <f>"20190312172106130"</f>
        <v>20190312172106130</v>
      </c>
      <c r="B776" t="str">
        <f>"1552382466122361"</f>
        <v>1552382466122361</v>
      </c>
      <c r="C776" t="s">
        <v>40</v>
      </c>
      <c r="D776">
        <v>3.1671429999999998</v>
      </c>
      <c r="E776">
        <v>0.50422349999999905</v>
      </c>
      <c r="F776" t="s">
        <v>42</v>
      </c>
      <c r="G776">
        <v>-323.55160000000001</v>
      </c>
      <c r="H776" s="1">
        <v>-3.0289049999999998E-6</v>
      </c>
      <c r="I776">
        <v>368.03660000000002</v>
      </c>
      <c r="J776">
        <v>-344.99149999999997</v>
      </c>
      <c r="K776">
        <v>1.1101019999999999</v>
      </c>
      <c r="L776">
        <v>367.78859999999997</v>
      </c>
      <c r="M776">
        <v>0.99983909999999998</v>
      </c>
      <c r="N776">
        <v>0</v>
      </c>
      <c r="O776">
        <v>1.2106489999999999E-2</v>
      </c>
      <c r="P776">
        <v>0.98512219999999995</v>
      </c>
      <c r="Q776">
        <v>0.17047699999999999</v>
      </c>
      <c r="R776">
        <v>2.1722310000000002E-2</v>
      </c>
      <c r="S776">
        <v>3.071869</v>
      </c>
      <c r="T776">
        <v>-0.157744</v>
      </c>
      <c r="U776">
        <v>3.5552979999999998E-2</v>
      </c>
      <c r="V776">
        <v>-9.7714900000000007E-3</v>
      </c>
      <c r="W776">
        <v>0.18350340000000001</v>
      </c>
      <c r="X776">
        <v>0.98297049999999997</v>
      </c>
      <c r="Y776">
        <v>5.1799859999999997E-4</v>
      </c>
      <c r="Z776">
        <v>-6.345748E-4</v>
      </c>
      <c r="AA776">
        <v>0.99999959999999999</v>
      </c>
      <c r="AB776">
        <v>36</v>
      </c>
      <c r="AC776">
        <v>21.439899999999898</v>
      </c>
      <c r="AD776">
        <v>-1.1101050289049901</v>
      </c>
      <c r="AE776">
        <v>0.24800000000004699</v>
      </c>
      <c r="AF776">
        <v>1.1571835718279799E-2</v>
      </c>
      <c r="AG776">
        <v>-1.1101050289049901</v>
      </c>
      <c r="AH776">
        <v>21.384010158468399</v>
      </c>
      <c r="AI776">
        <v>92.971719462688498</v>
      </c>
      <c r="AJ776">
        <v>89.968994717162701</v>
      </c>
      <c r="AK776">
        <v>21.412808259078599</v>
      </c>
      <c r="AL776">
        <v>79.426110059403996</v>
      </c>
      <c r="AM776">
        <v>90.569545775656394</v>
      </c>
      <c r="AN776">
        <v>0.99999999184931498</v>
      </c>
    </row>
    <row r="777" spans="1:40" x14ac:dyDescent="0.25">
      <c r="A777" t="str">
        <f>"20190312172106140"</f>
        <v>20190312172106140</v>
      </c>
      <c r="B777" t="str">
        <f>"1552382466132120"</f>
        <v>1552382466132120</v>
      </c>
      <c r="C777" t="s">
        <v>40</v>
      </c>
      <c r="D777">
        <v>3.1561530000000002</v>
      </c>
      <c r="E777">
        <v>0.50393900000000003</v>
      </c>
      <c r="F777" t="s">
        <v>42</v>
      </c>
      <c r="G777">
        <v>-323.59379999999999</v>
      </c>
      <c r="H777" s="1">
        <v>-3.0084229999999999E-6</v>
      </c>
      <c r="I777">
        <v>368.05</v>
      </c>
      <c r="J777">
        <v>-344.81990000000002</v>
      </c>
      <c r="K777">
        <v>1.1101019999999999</v>
      </c>
      <c r="L777">
        <v>367.79059999999998</v>
      </c>
      <c r="M777">
        <v>0.99983940000000004</v>
      </c>
      <c r="N777">
        <v>0</v>
      </c>
      <c r="O777">
        <v>1.208685E-2</v>
      </c>
      <c r="P777">
        <v>0.98513669999999998</v>
      </c>
      <c r="Q777">
        <v>0.170391299999999</v>
      </c>
      <c r="R777">
        <v>2.1738790000000001E-2</v>
      </c>
      <c r="S777">
        <v>3.0720519999999998</v>
      </c>
      <c r="T777">
        <v>-0.15937599999999999</v>
      </c>
      <c r="U777">
        <v>3.753662E-2</v>
      </c>
      <c r="V777">
        <v>-9.8068019999999999E-3</v>
      </c>
      <c r="W777">
        <v>0.18341950000000001</v>
      </c>
      <c r="X777">
        <v>0.98298580000000002</v>
      </c>
      <c r="Y777">
        <v>-1.4599369999999999E-4</v>
      </c>
      <c r="Z777">
        <v>-6.228602E-4</v>
      </c>
      <c r="AA777">
        <v>0.99999979999999999</v>
      </c>
      <c r="AB777">
        <v>36</v>
      </c>
      <c r="AC777">
        <v>21.226099999999999</v>
      </c>
      <c r="AD777">
        <v>-1.110105008423</v>
      </c>
      <c r="AE777">
        <v>0.259400000000027</v>
      </c>
      <c r="AF777">
        <v>-2.7942571804028802E-3</v>
      </c>
      <c r="AG777">
        <v>-1.110105008423</v>
      </c>
      <c r="AH777">
        <v>21.169790014365901</v>
      </c>
      <c r="AI777">
        <v>93.001736355714399</v>
      </c>
      <c r="AJ777">
        <v>90.007562623071493</v>
      </c>
      <c r="AK777">
        <v>21.198876153936698</v>
      </c>
      <c r="AL777">
        <v>79.431000099044297</v>
      </c>
      <c r="AM777">
        <v>90.571594955267201</v>
      </c>
      <c r="AN777">
        <v>0.99999998467367801</v>
      </c>
    </row>
    <row r="778" spans="1:40" x14ac:dyDescent="0.25">
      <c r="A778" t="str">
        <f>"20190312172106151"</f>
        <v>20190312172106151</v>
      </c>
      <c r="B778" t="str">
        <f>"1552382466141880"</f>
        <v>1552382466141880</v>
      </c>
      <c r="C778" t="s">
        <v>40</v>
      </c>
      <c r="D778">
        <v>3.1640929999999998</v>
      </c>
      <c r="E778">
        <v>0.50366650000000002</v>
      </c>
      <c r="F778" t="s">
        <v>42</v>
      </c>
      <c r="G778">
        <v>-323.50959999999998</v>
      </c>
      <c r="H778" s="1">
        <v>-3.041376E-6</v>
      </c>
      <c r="I778">
        <v>368.0677</v>
      </c>
      <c r="J778">
        <v>-344.64490000000001</v>
      </c>
      <c r="K778">
        <v>1.1101000000000001</v>
      </c>
      <c r="L778">
        <v>367.7928</v>
      </c>
      <c r="M778">
        <v>0.9998397</v>
      </c>
      <c r="N778">
        <v>0</v>
      </c>
      <c r="O778">
        <v>1.2066729999999999E-2</v>
      </c>
      <c r="P778">
        <v>0.98507290000000003</v>
      </c>
      <c r="Q778">
        <v>0.17075979999999999</v>
      </c>
      <c r="R778">
        <v>2.175032E-2</v>
      </c>
      <c r="S778">
        <v>3.0720519999999998</v>
      </c>
      <c r="T778">
        <v>-0.1600307</v>
      </c>
      <c r="U778">
        <v>3.9947509999999999E-2</v>
      </c>
      <c r="V778">
        <v>-9.8384519999999993E-3</v>
      </c>
      <c r="W778">
        <v>0.1837888</v>
      </c>
      <c r="X778">
        <v>0.98291649999999997</v>
      </c>
      <c r="Y778">
        <v>-9.4978059999999999E-4</v>
      </c>
      <c r="Z778">
        <v>-6.034441E-4</v>
      </c>
      <c r="AA778">
        <v>0.99999930000000004</v>
      </c>
      <c r="AB778">
        <v>36</v>
      </c>
      <c r="AC778">
        <v>21.135300000000001</v>
      </c>
      <c r="AD778">
        <v>-1.110103041376</v>
      </c>
      <c r="AE778">
        <v>0.27490000000000198</v>
      </c>
      <c r="AF778">
        <v>-1.9769180621130599E-2</v>
      </c>
      <c r="AG778">
        <v>-1.110103041376</v>
      </c>
      <c r="AH778">
        <v>21.078937061813601</v>
      </c>
      <c r="AI778">
        <v>93.014643785751204</v>
      </c>
      <c r="AJ778">
        <v>90.053735645141799</v>
      </c>
      <c r="AK778">
        <v>21.1081573624718</v>
      </c>
      <c r="AL778">
        <v>79.4094748154793</v>
      </c>
      <c r="AM778">
        <v>90.573479997629903</v>
      </c>
      <c r="AN778">
        <v>0.999999982057723</v>
      </c>
    </row>
    <row r="779" spans="1:40" x14ac:dyDescent="0.25">
      <c r="A779" t="str">
        <f>"20190312172106163"</f>
        <v>20190312172106163</v>
      </c>
      <c r="B779" t="str">
        <f>"1552382466151641"</f>
        <v>1552382466151641</v>
      </c>
      <c r="C779" t="s">
        <v>40</v>
      </c>
      <c r="D779">
        <v>3.1813340000000001</v>
      </c>
      <c r="E779">
        <v>0.5034689</v>
      </c>
      <c r="F779" t="s">
        <v>42</v>
      </c>
      <c r="G779">
        <v>-323.22820000000002</v>
      </c>
      <c r="H779" s="1">
        <v>-3.158773E-6</v>
      </c>
      <c r="I779">
        <v>368.0865</v>
      </c>
      <c r="J779">
        <v>-344.46129999999999</v>
      </c>
      <c r="K779">
        <v>1.1101000000000001</v>
      </c>
      <c r="L779">
        <v>367.79500000000002</v>
      </c>
      <c r="M779">
        <v>0.99983979999999995</v>
      </c>
      <c r="N779">
        <v>0</v>
      </c>
      <c r="O779">
        <v>1.204555E-2</v>
      </c>
      <c r="P779">
        <v>0.98508879999999999</v>
      </c>
      <c r="Q779">
        <v>0.17063989999999901</v>
      </c>
      <c r="R779">
        <v>2.1956099999999999E-2</v>
      </c>
      <c r="S779">
        <v>3.0721129999999999</v>
      </c>
      <c r="T779">
        <v>-0.1592382</v>
      </c>
      <c r="U779">
        <v>4.214478E-2</v>
      </c>
      <c r="V779">
        <v>-1.006459E-2</v>
      </c>
      <c r="W779">
        <v>0.18367069999999999</v>
      </c>
      <c r="X779">
        <v>0.98293629999999999</v>
      </c>
      <c r="Y779">
        <v>-1.684645E-3</v>
      </c>
      <c r="Z779">
        <v>-5.8031580000000003E-4</v>
      </c>
      <c r="AA779">
        <v>0.99999839999999995</v>
      </c>
      <c r="AB779">
        <v>36</v>
      </c>
      <c r="AC779">
        <v>21.233099999999901</v>
      </c>
      <c r="AD779">
        <v>-1.1101031587729999</v>
      </c>
      <c r="AE779">
        <v>0.29149999999998499</v>
      </c>
      <c r="AF779">
        <v>-3.5594786456786202E-2</v>
      </c>
      <c r="AG779">
        <v>-1.1101031587729999</v>
      </c>
      <c r="AH779">
        <v>21.1771964503892</v>
      </c>
      <c r="AI779">
        <v>93.000679262844798</v>
      </c>
      <c r="AJ779">
        <v>90.096303073963696</v>
      </c>
      <c r="AK779">
        <v>21.206302023462602</v>
      </c>
      <c r="AL779">
        <v>79.416358780343401</v>
      </c>
      <c r="AM779">
        <v>90.586648776563493</v>
      </c>
      <c r="AN779">
        <v>0.999999995934024</v>
      </c>
    </row>
    <row r="780" spans="1:40" x14ac:dyDescent="0.25">
      <c r="A780" t="str">
        <f>"20190312172106175"</f>
        <v>20190312172106175</v>
      </c>
      <c r="B780" t="str">
        <f>"1552382466172137"</f>
        <v>1552382466172137</v>
      </c>
      <c r="C780" t="s">
        <v>40</v>
      </c>
      <c r="D780">
        <v>3.1722229999999998</v>
      </c>
      <c r="E780">
        <v>0.50307299999999999</v>
      </c>
      <c r="F780" t="s">
        <v>42</v>
      </c>
      <c r="G780">
        <v>-323.13889999999998</v>
      </c>
      <c r="H780" s="1">
        <v>-3.194006E-6</v>
      </c>
      <c r="I780">
        <v>368.10390000000001</v>
      </c>
      <c r="J780">
        <v>-344.27699999999999</v>
      </c>
      <c r="K780">
        <v>1.1101000000000001</v>
      </c>
      <c r="L780">
        <v>367.7971</v>
      </c>
      <c r="M780">
        <v>0.99984019999999996</v>
      </c>
      <c r="N780">
        <v>0</v>
      </c>
      <c r="O780">
        <v>1.2024129999999999E-2</v>
      </c>
      <c r="P780">
        <v>0.98508819999999997</v>
      </c>
      <c r="Q780">
        <v>0.1706404</v>
      </c>
      <c r="R780">
        <v>2.1986200000000001E-2</v>
      </c>
      <c r="S780">
        <v>3.0721129999999999</v>
      </c>
      <c r="T780">
        <v>-0.15994220000000001</v>
      </c>
      <c r="U780">
        <v>4.4525149999999999E-2</v>
      </c>
      <c r="V780">
        <v>-1.01152E-2</v>
      </c>
      <c r="W780">
        <v>0.183673</v>
      </c>
      <c r="X780">
        <v>0.98293540000000001</v>
      </c>
      <c r="Y780">
        <v>-2.4797640000000002E-3</v>
      </c>
      <c r="Z780">
        <v>-5.6107620000000005E-4</v>
      </c>
      <c r="AA780">
        <v>0.99999680000000002</v>
      </c>
      <c r="AB780">
        <v>36</v>
      </c>
      <c r="AC780">
        <v>21.138100000000001</v>
      </c>
      <c r="AD780">
        <v>-1.110103194006</v>
      </c>
      <c r="AE780">
        <v>0.30680000000000901</v>
      </c>
      <c r="AF780">
        <v>-5.2443703096046498E-2</v>
      </c>
      <c r="AG780">
        <v>-1.110103194006</v>
      </c>
      <c r="AH780">
        <v>21.082128595351602</v>
      </c>
      <c r="AI780">
        <v>93.0141806813252</v>
      </c>
      <c r="AJ780">
        <v>90.142528143581799</v>
      </c>
      <c r="AK780">
        <v>21.111400369333101</v>
      </c>
      <c r="AL780">
        <v>79.416225238077402</v>
      </c>
      <c r="AM780">
        <v>90.589599084213106</v>
      </c>
      <c r="AN780">
        <v>1.00000004438659</v>
      </c>
    </row>
    <row r="781" spans="1:40" x14ac:dyDescent="0.25">
      <c r="A781" t="str">
        <f>"20190312172106185"</f>
        <v>20190312172106185</v>
      </c>
      <c r="B781" t="str">
        <f>"1552382466181896"</f>
        <v>1552382466181896</v>
      </c>
      <c r="C781" t="s">
        <v>40</v>
      </c>
      <c r="D781">
        <v>3.1936179999999998</v>
      </c>
      <c r="E781">
        <v>0.50293009999999905</v>
      </c>
      <c r="F781" t="s">
        <v>42</v>
      </c>
      <c r="G781">
        <v>-323.18419999999998</v>
      </c>
      <c r="H781" s="1">
        <v>-3.1711809999999999E-6</v>
      </c>
      <c r="I781">
        <v>368.12310000000002</v>
      </c>
      <c r="J781">
        <v>-344.11329999999998</v>
      </c>
      <c r="K781">
        <v>1.110101</v>
      </c>
      <c r="L781">
        <v>367.79910000000001</v>
      </c>
      <c r="M781">
        <v>0.99984039999999996</v>
      </c>
      <c r="N781">
        <v>0</v>
      </c>
      <c r="O781">
        <v>1.200479E-2</v>
      </c>
      <c r="P781">
        <v>0.98502970000000001</v>
      </c>
      <c r="Q781">
        <v>0.170967799999999</v>
      </c>
      <c r="R781">
        <v>2.2065169999999999E-2</v>
      </c>
      <c r="S781">
        <v>3.0723569999999998</v>
      </c>
      <c r="T781">
        <v>-0.161695899999999</v>
      </c>
      <c r="U781">
        <v>4.7485350000000003E-2</v>
      </c>
      <c r="V781">
        <v>-1.0213460000000001E-2</v>
      </c>
      <c r="W781">
        <v>0.18400069999999999</v>
      </c>
      <c r="X781">
        <v>0.982873</v>
      </c>
      <c r="Y781">
        <v>-3.460126E-3</v>
      </c>
      <c r="Z781">
        <v>-5.4037479999999999E-4</v>
      </c>
      <c r="AA781">
        <v>0.99999389999999999</v>
      </c>
      <c r="AB781">
        <v>36</v>
      </c>
      <c r="AC781">
        <v>20.929099999999998</v>
      </c>
      <c r="AD781">
        <v>-1.110104171181</v>
      </c>
      <c r="AE781">
        <v>0.324000000000012</v>
      </c>
      <c r="AF781">
        <v>-7.2501279536058894E-2</v>
      </c>
      <c r="AG781">
        <v>-1.110104171181</v>
      </c>
      <c r="AH781">
        <v>20.8727727789095</v>
      </c>
      <c r="AI781">
        <v>93.044350346074097</v>
      </c>
      <c r="AJ781">
        <v>90.199015275288005</v>
      </c>
      <c r="AK781">
        <v>20.9023977377332</v>
      </c>
      <c r="AL781">
        <v>79.397122885250894</v>
      </c>
      <c r="AM781">
        <v>90.595363887650706</v>
      </c>
      <c r="AN781">
        <v>0.99999995324732904</v>
      </c>
    </row>
    <row r="782" spans="1:40" x14ac:dyDescent="0.25">
      <c r="A782" t="str">
        <f>"20190312172106196"</f>
        <v>20190312172106196</v>
      </c>
      <c r="B782" t="str">
        <f>"1552382466191656"</f>
        <v>1552382466191656</v>
      </c>
      <c r="C782" t="s">
        <v>40</v>
      </c>
      <c r="D782">
        <v>3.1909149999999999</v>
      </c>
      <c r="E782">
        <v>0.50277689999999997</v>
      </c>
      <c r="F782" t="s">
        <v>42</v>
      </c>
      <c r="G782">
        <v>-322.9708</v>
      </c>
      <c r="H782" s="1">
        <v>-3.2609049999999999E-6</v>
      </c>
      <c r="I782">
        <v>368.13339999999999</v>
      </c>
      <c r="J782">
        <v>-343.92759999999998</v>
      </c>
      <c r="K782">
        <v>1.110101</v>
      </c>
      <c r="L782">
        <v>367.80130000000003</v>
      </c>
      <c r="M782">
        <v>0.99984059999999997</v>
      </c>
      <c r="N782">
        <v>0</v>
      </c>
      <c r="O782">
        <v>1.198247E-2</v>
      </c>
      <c r="P782">
        <v>0.98503569999999996</v>
      </c>
      <c r="Q782">
        <v>0.17091389999999901</v>
      </c>
      <c r="R782">
        <v>2.2211720000000001E-2</v>
      </c>
      <c r="S782">
        <v>3.0725099999999999</v>
      </c>
      <c r="T782">
        <v>-0.16132340000000001</v>
      </c>
      <c r="U782">
        <v>4.8583979999999999E-2</v>
      </c>
      <c r="V782">
        <v>-1.0381349999999999E-2</v>
      </c>
      <c r="W782">
        <v>0.18394820000000001</v>
      </c>
      <c r="X782">
        <v>0.98288109999999995</v>
      </c>
      <c r="Y782">
        <v>-3.8385540000000001E-3</v>
      </c>
      <c r="Z782">
        <v>-5.2800449999999995E-4</v>
      </c>
      <c r="AA782">
        <v>0.99999249999999995</v>
      </c>
      <c r="AB782">
        <v>36</v>
      </c>
      <c r="AC782">
        <v>20.956799999999902</v>
      </c>
      <c r="AD782">
        <v>-1.110104260905</v>
      </c>
      <c r="AE782">
        <v>0.33209999999996798</v>
      </c>
      <c r="AF782">
        <v>-8.0713506419110598E-2</v>
      </c>
      <c r="AG782">
        <v>-1.110104260905</v>
      </c>
      <c r="AH782">
        <v>20.900643801241301</v>
      </c>
      <c r="AI782">
        <v>93.040294247963303</v>
      </c>
      <c r="AJ782">
        <v>90.221262097123301</v>
      </c>
      <c r="AK782">
        <v>20.930259373609399</v>
      </c>
      <c r="AL782">
        <v>79.4001834868982</v>
      </c>
      <c r="AM782">
        <v>90.605144837317297</v>
      </c>
      <c r="AN782">
        <v>0.99999998472413598</v>
      </c>
    </row>
    <row r="783" spans="1:40" x14ac:dyDescent="0.25">
      <c r="A783" t="str">
        <f>"20190312172106208"</f>
        <v>20190312172106208</v>
      </c>
      <c r="B783" t="str">
        <f>"1552382466202392"</f>
        <v>1552382466202392</v>
      </c>
      <c r="C783" t="s">
        <v>40</v>
      </c>
      <c r="D783">
        <v>3.1609660000000002</v>
      </c>
      <c r="E783">
        <v>0.5027121</v>
      </c>
      <c r="F783" t="s">
        <v>42</v>
      </c>
      <c r="G783">
        <v>-322.88350000000003</v>
      </c>
      <c r="H783" s="1">
        <v>-3.2962529999999999E-6</v>
      </c>
      <c r="I783">
        <v>368.14510000000001</v>
      </c>
      <c r="J783">
        <v>-343.74639999999999</v>
      </c>
      <c r="K783">
        <v>1.1101019999999999</v>
      </c>
      <c r="L783">
        <v>367.80349999999999</v>
      </c>
      <c r="M783">
        <v>0.99984090000000003</v>
      </c>
      <c r="N783">
        <v>0</v>
      </c>
      <c r="O783">
        <v>1.1959320000000001E-2</v>
      </c>
      <c r="P783">
        <v>0.98505089999999995</v>
      </c>
      <c r="Q783">
        <v>0.17081399999999999</v>
      </c>
      <c r="R783">
        <v>2.2302499999999999E-2</v>
      </c>
      <c r="S783">
        <v>3.0726010000000001</v>
      </c>
      <c r="T783">
        <v>-0.16208339999999999</v>
      </c>
      <c r="U783">
        <v>5.0201419999999997E-2</v>
      </c>
      <c r="V783">
        <v>-1.049403E-2</v>
      </c>
      <c r="W783">
        <v>0.18384929999999999</v>
      </c>
      <c r="X783">
        <v>0.98289839999999995</v>
      </c>
      <c r="Y783">
        <v>-4.3868199999999996E-3</v>
      </c>
      <c r="Z783">
        <v>-5.1479970000000005E-4</v>
      </c>
      <c r="AA783">
        <v>0.99999020000000005</v>
      </c>
      <c r="AB783">
        <v>36</v>
      </c>
      <c r="AC783">
        <v>20.8628999999999</v>
      </c>
      <c r="AD783">
        <v>-1.110105296253</v>
      </c>
      <c r="AE783">
        <v>0.34160000000002799</v>
      </c>
      <c r="AF783">
        <v>-9.1787810553559598E-2</v>
      </c>
      <c r="AG783">
        <v>-1.110105296253</v>
      </c>
      <c r="AH783">
        <v>20.806600381258999</v>
      </c>
      <c r="AI783">
        <v>93.054005981657198</v>
      </c>
      <c r="AJ783">
        <v>90.252757295464306</v>
      </c>
      <c r="AK783">
        <v>20.8363955183314</v>
      </c>
      <c r="AL783">
        <v>79.405948278259103</v>
      </c>
      <c r="AM783">
        <v>90.611701865219402</v>
      </c>
      <c r="AN783">
        <v>0.99999997724934497</v>
      </c>
    </row>
    <row r="784" spans="1:40" x14ac:dyDescent="0.25">
      <c r="A784" t="str">
        <f>"20190312172106219"</f>
        <v>20190312172106219</v>
      </c>
      <c r="B784" t="str">
        <f>"1552382466212153"</f>
        <v>1552382466212153</v>
      </c>
      <c r="C784" t="s">
        <v>40</v>
      </c>
      <c r="D784">
        <v>3.1760109999999999</v>
      </c>
      <c r="E784">
        <v>0.50259039999999999</v>
      </c>
      <c r="F784" t="s">
        <v>42</v>
      </c>
      <c r="G784">
        <v>-322.90839999999997</v>
      </c>
      <c r="H784" s="1">
        <v>-3.2848969999999998E-6</v>
      </c>
      <c r="I784">
        <v>368.149</v>
      </c>
      <c r="J784">
        <v>-343.56150000000002</v>
      </c>
      <c r="K784">
        <v>1.110098</v>
      </c>
      <c r="L784">
        <v>367.8057</v>
      </c>
      <c r="M784">
        <v>0.99984099999999998</v>
      </c>
      <c r="N784">
        <v>0</v>
      </c>
      <c r="O784">
        <v>1.1935319999999999E-2</v>
      </c>
      <c r="P784">
        <v>0.98501620000000001</v>
      </c>
      <c r="Q784">
        <v>0.1710052</v>
      </c>
      <c r="R784">
        <v>2.2365119999999999E-2</v>
      </c>
      <c r="S784">
        <v>3.0727229999999999</v>
      </c>
      <c r="T784">
        <v>-0.16369300000000001</v>
      </c>
      <c r="U784">
        <v>5.096436E-2</v>
      </c>
      <c r="V784">
        <v>-1.057988E-2</v>
      </c>
      <c r="W784">
        <v>0.1840415</v>
      </c>
      <c r="X784">
        <v>0.98286150000000005</v>
      </c>
      <c r="Y784">
        <v>-4.6581790000000001E-3</v>
      </c>
      <c r="Z784">
        <v>-5.1138330000000001E-4</v>
      </c>
      <c r="AA784">
        <v>0.99998900000000002</v>
      </c>
      <c r="AB784">
        <v>36</v>
      </c>
      <c r="AC784">
        <v>20.653099999999998</v>
      </c>
      <c r="AD784">
        <v>-1.110101284897</v>
      </c>
      <c r="AE784">
        <v>0.34329999999999899</v>
      </c>
      <c r="AF784">
        <v>-9.6473908584896004E-2</v>
      </c>
      <c r="AG784">
        <v>-1.110101284897</v>
      </c>
      <c r="AH784">
        <v>20.596239325980001</v>
      </c>
      <c r="AI784">
        <v>93.085123377204198</v>
      </c>
      <c r="AJ784">
        <v>90.268374594148696</v>
      </c>
      <c r="AK784">
        <v>20.6263595055166</v>
      </c>
      <c r="AL784">
        <v>79.394744758713301</v>
      </c>
      <c r="AM784">
        <v>90.616728867984406</v>
      </c>
      <c r="AN784">
        <v>0.99999996788265599</v>
      </c>
    </row>
    <row r="785" spans="1:40" x14ac:dyDescent="0.25">
      <c r="A785" t="str">
        <f>"20190312172106231"</f>
        <v>20190312172106231</v>
      </c>
      <c r="B785" t="str">
        <f>"1552382466221913"</f>
        <v>1552382466221913</v>
      </c>
      <c r="C785" t="s">
        <v>40</v>
      </c>
      <c r="D785">
        <v>3.1687430000000001</v>
      </c>
      <c r="E785">
        <v>0.50248779999999904</v>
      </c>
      <c r="F785" t="s">
        <v>42</v>
      </c>
      <c r="G785">
        <v>-322.69740000000002</v>
      </c>
      <c r="H785" s="1">
        <v>-3.3735930000000002E-6</v>
      </c>
      <c r="I785">
        <v>368.15929999999997</v>
      </c>
      <c r="J785">
        <v>-343.38220000000001</v>
      </c>
      <c r="K785">
        <v>1.110096</v>
      </c>
      <c r="L785">
        <v>367.80779999999999</v>
      </c>
      <c r="M785">
        <v>0.99984130000000004</v>
      </c>
      <c r="N785">
        <v>0</v>
      </c>
      <c r="O785">
        <v>1.1908820000000001E-2</v>
      </c>
      <c r="P785">
        <v>0.98501030000000001</v>
      </c>
      <c r="Q785">
        <v>0.1710274</v>
      </c>
      <c r="R785">
        <v>2.245873E-2</v>
      </c>
      <c r="S785">
        <v>3.072845</v>
      </c>
      <c r="T785">
        <v>-0.1634939</v>
      </c>
      <c r="U785">
        <v>5.2093510000000003E-2</v>
      </c>
      <c r="V785">
        <v>-1.0698869999999999E-2</v>
      </c>
      <c r="W785">
        <v>0.18406400000000001</v>
      </c>
      <c r="X785">
        <v>0.98285599999999995</v>
      </c>
      <c r="Y785">
        <v>-5.0507670000000003E-3</v>
      </c>
      <c r="Z785">
        <v>-4.9889490000000003E-4</v>
      </c>
      <c r="AA785">
        <v>0.99998710000000002</v>
      </c>
      <c r="AB785">
        <v>36</v>
      </c>
      <c r="AC785">
        <v>20.684799999999999</v>
      </c>
      <c r="AD785">
        <v>-1.110099373593</v>
      </c>
      <c r="AE785">
        <v>0.35149999999998699</v>
      </c>
      <c r="AF785">
        <v>-0.104820070234137</v>
      </c>
      <c r="AG785">
        <v>-1.110099373593</v>
      </c>
      <c r="AH785">
        <v>20.628123495863001</v>
      </c>
      <c r="AI785">
        <v>93.080352742029405</v>
      </c>
      <c r="AJ785">
        <v>90.291141166749597</v>
      </c>
      <c r="AK785">
        <v>20.658237747372102</v>
      </c>
      <c r="AL785">
        <v>79.393433212882002</v>
      </c>
      <c r="AM785">
        <v>90.6236680510886</v>
      </c>
      <c r="AN785">
        <v>0.99999996932563795</v>
      </c>
    </row>
    <row r="786" spans="1:40" x14ac:dyDescent="0.25">
      <c r="A786" t="str">
        <f>"20190312172106243"</f>
        <v>20190312172106243</v>
      </c>
      <c r="B786" t="str">
        <f>"1552382466232370"</f>
        <v>1552382466232370</v>
      </c>
      <c r="C786" t="s">
        <v>40</v>
      </c>
      <c r="D786">
        <v>3.180212</v>
      </c>
      <c r="E786">
        <v>0.50238229999999995</v>
      </c>
      <c r="F786" t="s">
        <v>42</v>
      </c>
      <c r="G786">
        <v>-322.5403</v>
      </c>
      <c r="H786" s="1">
        <v>-3.4393240000000001E-6</v>
      </c>
      <c r="I786">
        <v>368.16849999999999</v>
      </c>
      <c r="J786">
        <v>-343.1977</v>
      </c>
      <c r="K786">
        <v>1.110096</v>
      </c>
      <c r="L786">
        <v>367.80990000000003</v>
      </c>
      <c r="M786">
        <v>0.9998418</v>
      </c>
      <c r="N786">
        <v>0</v>
      </c>
      <c r="O786">
        <v>1.1880099999999999E-2</v>
      </c>
      <c r="P786">
        <v>0.98503379999999996</v>
      </c>
      <c r="Q786">
        <v>0.17089089999999901</v>
      </c>
      <c r="R786">
        <v>2.2470629999999998E-2</v>
      </c>
      <c r="S786">
        <v>3.072845</v>
      </c>
      <c r="T786">
        <v>-0.16366820000000001</v>
      </c>
      <c r="U786">
        <v>5.3192139999999999E-2</v>
      </c>
      <c r="V786">
        <v>-1.0737109999999999E-2</v>
      </c>
      <c r="W786">
        <v>0.18392900000000001</v>
      </c>
      <c r="X786">
        <v>0.98288089999999995</v>
      </c>
      <c r="Y786">
        <v>-5.4363450000000004E-3</v>
      </c>
      <c r="Z786">
        <v>-4.8763529999999998E-4</v>
      </c>
      <c r="AA786">
        <v>0.99998509999999996</v>
      </c>
      <c r="AB786">
        <v>36</v>
      </c>
      <c r="AC786">
        <v>20.657399999999999</v>
      </c>
      <c r="AD786">
        <v>-1.110099439324</v>
      </c>
      <c r="AE786">
        <v>0.358599999999967</v>
      </c>
      <c r="AF786">
        <v>-0.11281551101643</v>
      </c>
      <c r="AG786">
        <v>-1.110099439324</v>
      </c>
      <c r="AH786">
        <v>20.600728917127999</v>
      </c>
      <c r="AI786">
        <v>93.084434815877799</v>
      </c>
      <c r="AJ786">
        <v>90.313765015579506</v>
      </c>
      <c r="AK786">
        <v>20.630925331203901</v>
      </c>
      <c r="AL786">
        <v>79.401302965530704</v>
      </c>
      <c r="AM786">
        <v>90.625881139161393</v>
      </c>
      <c r="AN786">
        <v>1.0000000130784801</v>
      </c>
    </row>
    <row r="787" spans="1:40" x14ac:dyDescent="0.25">
      <c r="A787" t="str">
        <f>"20190312172106254"</f>
        <v>20190312172106254</v>
      </c>
      <c r="B787" t="str">
        <f>"1552382466242129"</f>
        <v>1552382466242129</v>
      </c>
      <c r="C787" t="s">
        <v>40</v>
      </c>
      <c r="D787">
        <v>3.1701709999999999</v>
      </c>
      <c r="E787">
        <v>0.50228919999999999</v>
      </c>
      <c r="F787" t="s">
        <v>42</v>
      </c>
      <c r="G787">
        <v>-322.48169999999999</v>
      </c>
      <c r="H787" s="1">
        <v>-3.4631360000000001E-6</v>
      </c>
      <c r="I787">
        <v>368.17610000000002</v>
      </c>
      <c r="J787">
        <v>-343.01119999999997</v>
      </c>
      <c r="K787">
        <v>1.110093</v>
      </c>
      <c r="L787">
        <v>367.81209999999999</v>
      </c>
      <c r="M787">
        <v>0.99984209999999996</v>
      </c>
      <c r="N787">
        <v>0</v>
      </c>
      <c r="O787">
        <v>1.184755E-2</v>
      </c>
      <c r="P787">
        <v>0.98497630000000003</v>
      </c>
      <c r="Q787">
        <v>0.1712157</v>
      </c>
      <c r="R787">
        <v>2.2524700000000002E-2</v>
      </c>
      <c r="S787">
        <v>3.0729060000000001</v>
      </c>
      <c r="T787">
        <v>-0.164665899999999</v>
      </c>
      <c r="U787">
        <v>5.4321290000000001E-2</v>
      </c>
      <c r="V787">
        <v>-1.0822210000000001E-2</v>
      </c>
      <c r="W787">
        <v>0.1842538</v>
      </c>
      <c r="X787">
        <v>0.98281909999999895</v>
      </c>
      <c r="Y787">
        <v>-5.8353800000000003E-3</v>
      </c>
      <c r="Z787">
        <v>-4.7816649999999998E-4</v>
      </c>
      <c r="AA787">
        <v>0.99998279999999995</v>
      </c>
      <c r="AB787">
        <v>36</v>
      </c>
      <c r="AC787">
        <v>20.529499999999899</v>
      </c>
      <c r="AD787">
        <v>-1.110096463136</v>
      </c>
      <c r="AE787">
        <v>0.36400000000003202</v>
      </c>
      <c r="AF787">
        <v>-0.12037697431510801</v>
      </c>
      <c r="AG787">
        <v>-1.110096463136</v>
      </c>
      <c r="AH787">
        <v>20.472530657065999</v>
      </c>
      <c r="AI787">
        <v>93.103696388018193</v>
      </c>
      <c r="AJ787">
        <v>90.336891086420394</v>
      </c>
      <c r="AK787">
        <v>20.502958720094998</v>
      </c>
      <c r="AL787">
        <v>79.382369389602999</v>
      </c>
      <c r="AM787">
        <v>90.630881002022804</v>
      </c>
      <c r="AN787">
        <v>0.99999998318426597</v>
      </c>
    </row>
    <row r="788" spans="1:40" x14ac:dyDescent="0.25">
      <c r="A788" t="str">
        <f>"20190312172106266"</f>
        <v>20190312172106266</v>
      </c>
      <c r="B788" t="str">
        <f>"1552382466261649"</f>
        <v>1552382466261649</v>
      </c>
      <c r="C788" t="s">
        <v>40</v>
      </c>
      <c r="D788">
        <v>3.1799740000000001</v>
      </c>
      <c r="E788">
        <v>0.50218699999999905</v>
      </c>
      <c r="F788" t="s">
        <v>42</v>
      </c>
      <c r="G788">
        <v>-322.2192</v>
      </c>
      <c r="H788" s="1">
        <v>-3.5745170000000001E-6</v>
      </c>
      <c r="I788">
        <v>368.18310000000002</v>
      </c>
      <c r="J788">
        <v>-342.82530000000003</v>
      </c>
      <c r="K788">
        <v>1.1100890000000001</v>
      </c>
      <c r="L788">
        <v>367.8143</v>
      </c>
      <c r="M788">
        <v>0.99984249999999997</v>
      </c>
      <c r="N788">
        <v>0</v>
      </c>
      <c r="O788">
        <v>1.1812609999999999E-2</v>
      </c>
      <c r="P788">
        <v>0.98496649999999997</v>
      </c>
      <c r="Q788">
        <v>0.17126050000000001</v>
      </c>
      <c r="R788">
        <v>2.2602190000000001E-2</v>
      </c>
      <c r="S788">
        <v>3.073029</v>
      </c>
      <c r="T788">
        <v>-0.16406979999999999</v>
      </c>
      <c r="U788">
        <v>5.4840090000000001E-2</v>
      </c>
      <c r="V788">
        <v>-1.093272E-2</v>
      </c>
      <c r="W788">
        <v>0.18429880000000001</v>
      </c>
      <c r="X788">
        <v>0.9828095</v>
      </c>
      <c r="Y788">
        <v>-6.0379850000000001E-3</v>
      </c>
      <c r="Z788">
        <v>-4.6915010000000003E-4</v>
      </c>
      <c r="AA788">
        <v>0.99998160000000003</v>
      </c>
      <c r="AB788">
        <v>36</v>
      </c>
      <c r="AC788">
        <v>20.606100000000001</v>
      </c>
      <c r="AD788">
        <v>-1.1100925745169901</v>
      </c>
      <c r="AE788">
        <v>0.368800000000021</v>
      </c>
      <c r="AF788">
        <v>-0.12497849035280099</v>
      </c>
      <c r="AG788">
        <v>-1.1100925745169901</v>
      </c>
      <c r="AH788">
        <v>20.549399611178799</v>
      </c>
      <c r="AI788">
        <v>93.092094453020096</v>
      </c>
      <c r="AJ788">
        <v>90.348460386926405</v>
      </c>
      <c r="AK788">
        <v>20.5797412405249</v>
      </c>
      <c r="AL788">
        <v>79.379746794309895</v>
      </c>
      <c r="AM788">
        <v>90.637328881336998</v>
      </c>
      <c r="AN788">
        <v>1.00000004266914</v>
      </c>
    </row>
    <row r="789" spans="1:40" x14ac:dyDescent="0.25">
      <c r="A789" t="str">
        <f>"20190312172106278"</f>
        <v>20190312172106278</v>
      </c>
      <c r="B789" t="str">
        <f>"1552382466272385"</f>
        <v>1552382466272385</v>
      </c>
      <c r="C789" t="s">
        <v>40</v>
      </c>
      <c r="D789">
        <v>3.1631119999999999</v>
      </c>
      <c r="E789">
        <v>0.502108</v>
      </c>
      <c r="F789" t="s">
        <v>42</v>
      </c>
      <c r="G789">
        <v>-322.18360000000001</v>
      </c>
      <c r="H789" s="1">
        <v>-3.5885480000000001E-6</v>
      </c>
      <c r="I789">
        <v>368.19009999999997</v>
      </c>
      <c r="J789">
        <v>-342.6318</v>
      </c>
      <c r="K789">
        <v>1.1100840000000001</v>
      </c>
      <c r="L789">
        <v>367.81650000000002</v>
      </c>
      <c r="M789">
        <v>0.99984289999999998</v>
      </c>
      <c r="N789">
        <v>0</v>
      </c>
      <c r="O789">
        <v>1.177397E-2</v>
      </c>
      <c r="P789">
        <v>0.98494930000000003</v>
      </c>
      <c r="Q789">
        <v>0.1713634</v>
      </c>
      <c r="R789">
        <v>2.256321E-2</v>
      </c>
      <c r="S789">
        <v>3.073242</v>
      </c>
      <c r="T789">
        <v>-0.1652749</v>
      </c>
      <c r="U789">
        <v>5.5969240000000003E-2</v>
      </c>
      <c r="V789">
        <v>-1.092922E-2</v>
      </c>
      <c r="W789">
        <v>0.18440229999999999</v>
      </c>
      <c r="X789">
        <v>0.9827901</v>
      </c>
      <c r="Y789">
        <v>-6.4421560000000001E-3</v>
      </c>
      <c r="Z789">
        <v>-4.596208E-4</v>
      </c>
      <c r="AA789">
        <v>0.99997910000000001</v>
      </c>
      <c r="AB789">
        <v>36</v>
      </c>
      <c r="AC789">
        <v>20.4481999999999</v>
      </c>
      <c r="AD789">
        <v>-1.1100875885479999</v>
      </c>
      <c r="AE789">
        <v>0.37359999999995303</v>
      </c>
      <c r="AF789">
        <v>-0.13240637762709401</v>
      </c>
      <c r="AG789">
        <v>-1.1100875885479999</v>
      </c>
      <c r="AH789">
        <v>20.391105632133499</v>
      </c>
      <c r="AI789">
        <v>93.1160289169935</v>
      </c>
      <c r="AJ789">
        <v>90.372035736378095</v>
      </c>
      <c r="AK789">
        <v>20.421728986643402</v>
      </c>
      <c r="AL789">
        <v>79.3737130090053</v>
      </c>
      <c r="AM789">
        <v>90.637137439376801</v>
      </c>
      <c r="AN789">
        <v>1.0000000183765501</v>
      </c>
    </row>
    <row r="790" spans="1:40" x14ac:dyDescent="0.25">
      <c r="A790" t="str">
        <f>"20190312172106288"</f>
        <v>20190312172106288</v>
      </c>
      <c r="B790" t="str">
        <f>"1552382466282145"</f>
        <v>1552382466282145</v>
      </c>
      <c r="C790" t="s">
        <v>40</v>
      </c>
      <c r="D790">
        <v>3.174242</v>
      </c>
      <c r="E790">
        <v>0.50202869999999999</v>
      </c>
      <c r="F790" t="s">
        <v>42</v>
      </c>
      <c r="G790">
        <v>-321.9776</v>
      </c>
      <c r="H790" s="1">
        <v>-3.67583E-6</v>
      </c>
      <c r="I790">
        <v>368.1961</v>
      </c>
      <c r="J790">
        <v>-342.46640000000002</v>
      </c>
      <c r="K790">
        <v>1.1100829999999999</v>
      </c>
      <c r="L790">
        <v>367.8184</v>
      </c>
      <c r="M790">
        <v>0.99984340000000005</v>
      </c>
      <c r="N790">
        <v>0</v>
      </c>
      <c r="O790">
        <v>1.173689E-2</v>
      </c>
      <c r="P790">
        <v>0.98491019999999896</v>
      </c>
      <c r="Q790">
        <v>0.1716472</v>
      </c>
      <c r="R790">
        <v>2.211842E-2</v>
      </c>
      <c r="S790">
        <v>3.0732729999999999</v>
      </c>
      <c r="T790">
        <v>-0.16517689999999999</v>
      </c>
      <c r="U790">
        <v>5.6488040000000003E-2</v>
      </c>
      <c r="V790">
        <v>-1.052E-2</v>
      </c>
      <c r="W790">
        <v>0.1846854</v>
      </c>
      <c r="X790">
        <v>0.98274139999999999</v>
      </c>
      <c r="Y790">
        <v>-6.6474519999999999E-3</v>
      </c>
      <c r="Z790">
        <v>-4.5183929999999999E-4</v>
      </c>
      <c r="AA790">
        <v>0.99997780000000003</v>
      </c>
      <c r="AB790">
        <v>36</v>
      </c>
      <c r="AC790">
        <v>20.488800000000001</v>
      </c>
      <c r="AD790">
        <v>-1.1100866758300001</v>
      </c>
      <c r="AE790">
        <v>0.37770000000000398</v>
      </c>
      <c r="AF790">
        <v>-0.13677672240521599</v>
      </c>
      <c r="AG790">
        <v>-1.1100866758300001</v>
      </c>
      <c r="AH790">
        <v>20.4318647258198</v>
      </c>
      <c r="AI790">
        <v>93.1098183660785</v>
      </c>
      <c r="AJ790">
        <v>90.383548539212697</v>
      </c>
      <c r="AK790">
        <v>20.462455778176899</v>
      </c>
      <c r="AL790">
        <v>79.357209053296302</v>
      </c>
      <c r="AM790">
        <v>90.613313511190995</v>
      </c>
      <c r="AN790">
        <v>1.00000001332356</v>
      </c>
    </row>
    <row r="791" spans="1:40" x14ac:dyDescent="0.25">
      <c r="A791" t="str">
        <f>"20190312172106297"</f>
        <v>20190312172106297</v>
      </c>
      <c r="B791" t="str">
        <f>"1552382466291905"</f>
        <v>1552382466291905</v>
      </c>
      <c r="C791" t="s">
        <v>40</v>
      </c>
      <c r="D791">
        <v>3.182817</v>
      </c>
      <c r="E791">
        <v>0.50193620000000005</v>
      </c>
      <c r="F791" t="s">
        <v>42</v>
      </c>
      <c r="G791">
        <v>-321.73390000000001</v>
      </c>
      <c r="H791" s="1">
        <v>-3.7801520000000002E-6</v>
      </c>
      <c r="I791">
        <v>368.19740000000002</v>
      </c>
      <c r="J791">
        <v>-342.31439999999998</v>
      </c>
      <c r="K791">
        <v>1.11008</v>
      </c>
      <c r="L791">
        <v>367.8202</v>
      </c>
      <c r="M791">
        <v>0.99984390000000001</v>
      </c>
      <c r="N791">
        <v>0</v>
      </c>
      <c r="O791">
        <v>1.170214E-2</v>
      </c>
      <c r="P791">
        <v>0.98490120000000003</v>
      </c>
      <c r="Q791">
        <v>0.1716965</v>
      </c>
      <c r="R791">
        <v>2.2132490000000001E-2</v>
      </c>
      <c r="S791">
        <v>3.073334</v>
      </c>
      <c r="T791">
        <v>-0.1645557</v>
      </c>
      <c r="U791">
        <v>5.6182860000000001E-2</v>
      </c>
      <c r="V791">
        <v>-1.056723E-2</v>
      </c>
      <c r="W791">
        <v>0.1847346</v>
      </c>
      <c r="X791">
        <v>0.98273160000000004</v>
      </c>
      <c r="Y791">
        <v>-6.5825719999999897E-3</v>
      </c>
      <c r="Z791">
        <v>-4.5001060000000002E-4</v>
      </c>
      <c r="AA791">
        <v>0.99997820000000004</v>
      </c>
      <c r="AB791">
        <v>36</v>
      </c>
      <c r="AC791">
        <v>20.580499999999901</v>
      </c>
      <c r="AD791">
        <v>-1.110083780152</v>
      </c>
      <c r="AE791">
        <v>0.37720000000001602</v>
      </c>
      <c r="AF791">
        <v>-0.13592185631184001</v>
      </c>
      <c r="AG791">
        <v>-1.110083780152</v>
      </c>
      <c r="AH791">
        <v>20.523813576703301</v>
      </c>
      <c r="AI791">
        <v>93.095906628861698</v>
      </c>
      <c r="AJ791">
        <v>90.379443850864803</v>
      </c>
      <c r="AK791">
        <v>20.554261954184899</v>
      </c>
      <c r="AL791">
        <v>79.3543402603825</v>
      </c>
      <c r="AM791">
        <v>90.616072940338299</v>
      </c>
      <c r="AN791">
        <v>0.99999996821279602</v>
      </c>
    </row>
    <row r="792" spans="1:40" x14ac:dyDescent="0.25">
      <c r="A792" t="str">
        <f>"20190312172106309"</f>
        <v>20190312172106309</v>
      </c>
      <c r="B792" t="str">
        <f>"1552382466301665"</f>
        <v>1552382466301665</v>
      </c>
      <c r="C792" t="s">
        <v>40</v>
      </c>
      <c r="D792">
        <v>3.2073019999999999</v>
      </c>
      <c r="E792">
        <v>0.50189050000000002</v>
      </c>
      <c r="F792" t="s">
        <v>42</v>
      </c>
      <c r="G792">
        <v>-321.56659999999999</v>
      </c>
      <c r="H792" s="1">
        <v>-3.850575E-6</v>
      </c>
      <c r="I792">
        <v>368.20499999999998</v>
      </c>
      <c r="J792">
        <v>-342.1474</v>
      </c>
      <c r="K792">
        <v>1.1100749999999999</v>
      </c>
      <c r="L792">
        <v>367.82209999999998</v>
      </c>
      <c r="M792">
        <v>0.99984430000000002</v>
      </c>
      <c r="N792">
        <v>0</v>
      </c>
      <c r="O792">
        <v>1.166034E-2</v>
      </c>
      <c r="P792">
        <v>0.98490040000000001</v>
      </c>
      <c r="Q792">
        <v>0.17172799999999999</v>
      </c>
      <c r="R792">
        <v>2.1928650000000001E-2</v>
      </c>
      <c r="S792">
        <v>3.0733950000000001</v>
      </c>
      <c r="T792">
        <v>-0.1644378</v>
      </c>
      <c r="U792">
        <v>5.7006840000000003E-2</v>
      </c>
      <c r="V792">
        <v>-1.040222E-2</v>
      </c>
      <c r="W792">
        <v>0.1847665</v>
      </c>
      <c r="X792">
        <v>0.98272740000000003</v>
      </c>
      <c r="Y792">
        <v>-6.8915010000000004E-3</v>
      </c>
      <c r="Z792">
        <v>-4.3918599999999999E-4</v>
      </c>
      <c r="AA792">
        <v>0.99997619999999998</v>
      </c>
      <c r="AB792">
        <v>36</v>
      </c>
      <c r="AC792">
        <v>20.5808</v>
      </c>
      <c r="AD792">
        <v>-1.1100788505750001</v>
      </c>
      <c r="AE792">
        <v>0.38290000000000601</v>
      </c>
      <c r="AF792">
        <v>-0.14245947960538799</v>
      </c>
      <c r="AG792">
        <v>-1.1100788505750001</v>
      </c>
      <c r="AH792">
        <v>20.524176134939001</v>
      </c>
      <c r="AI792">
        <v>93.095831653186906</v>
      </c>
      <c r="AJ792">
        <v>90.397686893781696</v>
      </c>
      <c r="AK792">
        <v>20.5546679801894</v>
      </c>
      <c r="AL792">
        <v>79.352480897909203</v>
      </c>
      <c r="AM792">
        <v>90.6064561196402</v>
      </c>
      <c r="AN792">
        <v>1.0000000042069599</v>
      </c>
    </row>
    <row r="793" spans="1:40" x14ac:dyDescent="0.25">
      <c r="A793" t="str">
        <f>"20190312172106320"</f>
        <v>20190312172106320</v>
      </c>
      <c r="B793" t="str">
        <f>"1552382466312402"</f>
        <v>1552382466312402</v>
      </c>
      <c r="C793" t="s">
        <v>40</v>
      </c>
      <c r="D793">
        <v>3.1807500000000002</v>
      </c>
      <c r="E793">
        <v>0.5018203</v>
      </c>
      <c r="F793" t="s">
        <v>42</v>
      </c>
      <c r="G793">
        <v>-321.41820000000001</v>
      </c>
      <c r="H793" s="1">
        <v>-3.9138539999999999E-6</v>
      </c>
      <c r="I793">
        <v>368.20710000000003</v>
      </c>
      <c r="J793">
        <v>-341.96929999999998</v>
      </c>
      <c r="K793">
        <v>1.1100680000000001</v>
      </c>
      <c r="L793">
        <v>367.82409999999999</v>
      </c>
      <c r="M793">
        <v>0.99984490000000004</v>
      </c>
      <c r="N793">
        <v>0</v>
      </c>
      <c r="O793">
        <v>1.1614660000000001E-2</v>
      </c>
      <c r="P793">
        <v>0.98489530000000003</v>
      </c>
      <c r="Q793">
        <v>0.17175190000000001</v>
      </c>
      <c r="R793">
        <v>2.1968000000000001E-2</v>
      </c>
      <c r="S793">
        <v>3.0734249999999999</v>
      </c>
      <c r="T793">
        <v>-0.16458599999999901</v>
      </c>
      <c r="U793">
        <v>5.7098389999999999E-2</v>
      </c>
      <c r="V793">
        <v>-1.0484179999999999E-2</v>
      </c>
      <c r="W793">
        <v>0.18479080000000001</v>
      </c>
      <c r="X793">
        <v>0.98272190000000004</v>
      </c>
      <c r="Y793">
        <v>-6.9666210000000001E-3</v>
      </c>
      <c r="Z793">
        <v>-4.3512290000000001E-4</v>
      </c>
      <c r="AA793">
        <v>0.99997559999999996</v>
      </c>
      <c r="AB793">
        <v>36</v>
      </c>
      <c r="AC793">
        <v>20.551099999999899</v>
      </c>
      <c r="AD793">
        <v>-1.1100719138540001</v>
      </c>
      <c r="AE793">
        <v>0.38300000000003798</v>
      </c>
      <c r="AF793">
        <v>-0.14383967364513101</v>
      </c>
      <c r="AG793">
        <v>-1.1100719138540001</v>
      </c>
      <c r="AH793">
        <v>20.4943878027021</v>
      </c>
      <c r="AI793">
        <v>93.100301625243006</v>
      </c>
      <c r="AJ793">
        <v>90.402123302633399</v>
      </c>
      <c r="AK793">
        <v>20.524933152465699</v>
      </c>
      <c r="AL793">
        <v>79.351063580459396</v>
      </c>
      <c r="AM793">
        <v>90.611237499901193</v>
      </c>
      <c r="AN793">
        <v>0.99999994526725899</v>
      </c>
    </row>
    <row r="794" spans="1:40" x14ac:dyDescent="0.25">
      <c r="A794" t="str">
        <f>"20190312172106330"</f>
        <v>20190312172106330</v>
      </c>
      <c r="B794" t="str">
        <f>"1552382466322161"</f>
        <v>1552382466322161</v>
      </c>
      <c r="C794" t="s">
        <v>40</v>
      </c>
      <c r="D794">
        <v>3.1555200000000001</v>
      </c>
      <c r="E794">
        <v>0.50176569999999998</v>
      </c>
      <c r="F794" t="s">
        <v>42</v>
      </c>
      <c r="G794">
        <v>-321.238</v>
      </c>
      <c r="H794" s="1">
        <v>-3.9903700000000004E-6</v>
      </c>
      <c r="I794">
        <v>368.21170000000001</v>
      </c>
      <c r="J794">
        <v>-341.78980000000001</v>
      </c>
      <c r="K794">
        <v>1.1100639999999999</v>
      </c>
      <c r="L794">
        <v>367.82619999999997</v>
      </c>
      <c r="M794">
        <v>0.9998454</v>
      </c>
      <c r="N794">
        <v>0</v>
      </c>
      <c r="O794">
        <v>1.1564339999999999E-2</v>
      </c>
      <c r="P794">
        <v>0.98492710000000006</v>
      </c>
      <c r="Q794">
        <v>0.171592299999999</v>
      </c>
      <c r="R794">
        <v>2.1793030000000001E-2</v>
      </c>
      <c r="S794">
        <v>3.0734560000000002</v>
      </c>
      <c r="T794">
        <v>-0.16456979999999999</v>
      </c>
      <c r="U794">
        <v>5.7464599999999998E-2</v>
      </c>
      <c r="V794">
        <v>-1.035704E-2</v>
      </c>
      <c r="W794">
        <v>0.1846315</v>
      </c>
      <c r="X794">
        <v>0.98275319999999999</v>
      </c>
      <c r="Y794">
        <v>-7.1355539999999997E-3</v>
      </c>
      <c r="Z794">
        <v>-4.2786369999999997E-4</v>
      </c>
      <c r="AA794">
        <v>0.99997440000000004</v>
      </c>
      <c r="AB794">
        <v>36</v>
      </c>
      <c r="AC794">
        <v>20.5518</v>
      </c>
      <c r="AD794">
        <v>-1.1100679903699999</v>
      </c>
      <c r="AE794">
        <v>0.38550000000003498</v>
      </c>
      <c r="AF794">
        <v>-0.14735561586098</v>
      </c>
      <c r="AG794">
        <v>-1.1100679903699999</v>
      </c>
      <c r="AH794">
        <v>20.495112035662999</v>
      </c>
      <c r="AI794">
        <v>93.100177582715901</v>
      </c>
      <c r="AJ794">
        <v>90.411937704318007</v>
      </c>
      <c r="AK794">
        <v>20.525681035599</v>
      </c>
      <c r="AL794">
        <v>79.360350712920393</v>
      </c>
      <c r="AM794">
        <v>90.603806441180694</v>
      </c>
      <c r="AN794">
        <v>0.99999995559002397</v>
      </c>
    </row>
    <row r="795" spans="1:40" x14ac:dyDescent="0.25">
      <c r="A795" t="str">
        <f>"20190312172106341"</f>
        <v>20190312172106341</v>
      </c>
      <c r="B795" t="str">
        <f>"1552382466332505"</f>
        <v>1552382466332505</v>
      </c>
      <c r="C795" t="s">
        <v>40</v>
      </c>
      <c r="D795">
        <v>3.1969829999999999</v>
      </c>
      <c r="E795">
        <v>0.50170979999999998</v>
      </c>
      <c r="F795" t="s">
        <v>42</v>
      </c>
      <c r="G795">
        <v>-321.13959999999997</v>
      </c>
      <c r="H795" s="1">
        <v>-4.0326979999999999E-6</v>
      </c>
      <c r="I795">
        <v>368.21100000000001</v>
      </c>
      <c r="J795">
        <v>-341.62909999999999</v>
      </c>
      <c r="K795">
        <v>1.1100589999999999</v>
      </c>
      <c r="L795">
        <v>367.82799999999997</v>
      </c>
      <c r="M795">
        <v>0.99984589999999995</v>
      </c>
      <c r="N795">
        <v>0</v>
      </c>
      <c r="O795">
        <v>1.1518799999999999E-2</v>
      </c>
      <c r="P795">
        <v>0.98490619999999995</v>
      </c>
      <c r="Q795">
        <v>0.171738</v>
      </c>
      <c r="R795">
        <v>2.1582960000000002E-2</v>
      </c>
      <c r="S795">
        <v>3.0734249999999999</v>
      </c>
      <c r="T795">
        <v>-0.16521359999999999</v>
      </c>
      <c r="U795">
        <v>5.7281489999999997E-2</v>
      </c>
      <c r="V795">
        <v>-1.0189449999999999E-2</v>
      </c>
      <c r="W795">
        <v>0.18477730000000001</v>
      </c>
      <c r="X795">
        <v>0.98272760000000003</v>
      </c>
      <c r="Y795">
        <v>-7.1217370000000004E-3</v>
      </c>
      <c r="Z795">
        <v>-4.2746469999999998E-4</v>
      </c>
      <c r="AA795">
        <v>0.99997449999999999</v>
      </c>
      <c r="AB795">
        <v>36</v>
      </c>
      <c r="AC795">
        <v>20.4895</v>
      </c>
      <c r="AD795">
        <v>-1.1100630326980001</v>
      </c>
      <c r="AE795">
        <v>0.38299999999998102</v>
      </c>
      <c r="AF795">
        <v>-0.14650954160919799</v>
      </c>
      <c r="AG795">
        <v>-1.1100630326980001</v>
      </c>
      <c r="AH795">
        <v>20.432600391176901</v>
      </c>
      <c r="AI795">
        <v>93.109630273855004</v>
      </c>
      <c r="AJ795">
        <v>90.410825561721794</v>
      </c>
      <c r="AK795">
        <v>20.463256430193798</v>
      </c>
      <c r="AL795">
        <v>79.351851277548406</v>
      </c>
      <c r="AM795">
        <v>90.594052269087499</v>
      </c>
      <c r="AN795">
        <v>1.00000000564417</v>
      </c>
    </row>
    <row r="796" spans="1:40" x14ac:dyDescent="0.25">
      <c r="A796" t="str">
        <f>"20190312172106352"</f>
        <v>20190312172106352</v>
      </c>
      <c r="B796" t="str">
        <f>"1552382466342266"</f>
        <v>1552382466342266</v>
      </c>
      <c r="C796" t="s">
        <v>40</v>
      </c>
      <c r="D796">
        <v>3.1591260000000001</v>
      </c>
      <c r="E796">
        <v>0.50167029999999901</v>
      </c>
      <c r="F796" t="s">
        <v>42</v>
      </c>
      <c r="G796">
        <v>-320.93810000000002</v>
      </c>
      <c r="H796" s="1">
        <v>-4.1185459999999996E-6</v>
      </c>
      <c r="I796">
        <v>368.21440000000001</v>
      </c>
      <c r="J796">
        <v>-341.45190000000002</v>
      </c>
      <c r="K796">
        <v>1.1100589999999999</v>
      </c>
      <c r="L796">
        <v>367.82990000000001</v>
      </c>
      <c r="M796">
        <v>0.99984649999999997</v>
      </c>
      <c r="N796">
        <v>0</v>
      </c>
      <c r="O796">
        <v>1.1465799999999899E-2</v>
      </c>
      <c r="P796">
        <v>0.98487449999999999</v>
      </c>
      <c r="Q796">
        <v>0.17193649999999999</v>
      </c>
      <c r="R796">
        <v>2.1459099999999998E-2</v>
      </c>
      <c r="S796">
        <v>3.0734859999999999</v>
      </c>
      <c r="T796">
        <v>-0.1648907</v>
      </c>
      <c r="U796">
        <v>5.7403559999999999E-2</v>
      </c>
      <c r="V796">
        <v>-1.01169E-2</v>
      </c>
      <c r="W796">
        <v>0.1849769</v>
      </c>
      <c r="X796">
        <v>0.98269079999999998</v>
      </c>
      <c r="Y796">
        <v>-7.2138469999999998E-3</v>
      </c>
      <c r="Z796">
        <v>-4.2131150000000001E-4</v>
      </c>
      <c r="AA796">
        <v>0.99997389999999997</v>
      </c>
      <c r="AB796">
        <v>36</v>
      </c>
      <c r="AC796">
        <v>20.5138</v>
      </c>
      <c r="AD796">
        <v>-1.1100631185459999</v>
      </c>
      <c r="AE796">
        <v>0.38450000000000201</v>
      </c>
      <c r="AF796">
        <v>-0.14881135034294901</v>
      </c>
      <c r="AG796">
        <v>-1.1100631185459999</v>
      </c>
      <c r="AH796">
        <v>20.456978871096702</v>
      </c>
      <c r="AI796">
        <v>93.105929714765693</v>
      </c>
      <c r="AJ796">
        <v>90.416782555438004</v>
      </c>
      <c r="AK796">
        <v>20.487615026587299</v>
      </c>
      <c r="AL796">
        <v>79.340214452595205</v>
      </c>
      <c r="AM796">
        <v>90.589844938001306</v>
      </c>
      <c r="AN796">
        <v>1.0000000068019299</v>
      </c>
    </row>
    <row r="797" spans="1:40" x14ac:dyDescent="0.25">
      <c r="A797" t="str">
        <f>"20190312172106363"</f>
        <v>20190312172106363</v>
      </c>
      <c r="B797" t="str">
        <f>"1552382466352026"</f>
        <v>1552382466352026</v>
      </c>
      <c r="C797" t="s">
        <v>40</v>
      </c>
      <c r="D797">
        <v>3.1755879999999999</v>
      </c>
      <c r="E797">
        <v>0.50162910000000005</v>
      </c>
      <c r="F797" t="s">
        <v>42</v>
      </c>
      <c r="G797">
        <v>-320.6995</v>
      </c>
      <c r="H797" s="1">
        <v>-4.2206659999999996E-6</v>
      </c>
      <c r="I797">
        <v>368.2158</v>
      </c>
      <c r="J797">
        <v>-341.274</v>
      </c>
      <c r="K797">
        <v>1.1100570000000001</v>
      </c>
      <c r="L797">
        <v>367.83190000000002</v>
      </c>
      <c r="M797">
        <v>0.99984709999999999</v>
      </c>
      <c r="N797">
        <v>0</v>
      </c>
      <c r="O797">
        <v>1.141172E-2</v>
      </c>
      <c r="P797">
        <v>0.98489789999999999</v>
      </c>
      <c r="Q797">
        <v>0.17180960000000001</v>
      </c>
      <c r="R797">
        <v>2.1398839999999999E-2</v>
      </c>
      <c r="S797">
        <v>3.0735169999999998</v>
      </c>
      <c r="T797">
        <v>-0.16440370000000001</v>
      </c>
      <c r="U797">
        <v>5.7159420000000002E-2</v>
      </c>
      <c r="V797">
        <v>-1.0108239999999999E-2</v>
      </c>
      <c r="W797">
        <v>0.18485360000000001</v>
      </c>
      <c r="X797">
        <v>0.98271410000000003</v>
      </c>
      <c r="Y797">
        <v>-7.1882609999999996E-3</v>
      </c>
      <c r="Z797">
        <v>-4.1785889999999999E-4</v>
      </c>
      <c r="AA797">
        <v>0.99997409999999998</v>
      </c>
      <c r="AB797">
        <v>36</v>
      </c>
      <c r="AC797">
        <v>20.5745</v>
      </c>
      <c r="AD797">
        <v>-1.1100612206659899</v>
      </c>
      <c r="AE797">
        <v>0.38389999999998198</v>
      </c>
      <c r="AF797">
        <v>-0.14863144450192001</v>
      </c>
      <c r="AG797">
        <v>-1.1100612206659899</v>
      </c>
      <c r="AH797">
        <v>20.5178357031179</v>
      </c>
      <c r="AI797">
        <v>93.096730739699694</v>
      </c>
      <c r="AJ797">
        <v>90.415044044633007</v>
      </c>
      <c r="AK797">
        <v>20.548379721040298</v>
      </c>
      <c r="AL797">
        <v>79.347403093013199</v>
      </c>
      <c r="AM797">
        <v>90.589326098055906</v>
      </c>
      <c r="AN797">
        <v>1.0000000161438301</v>
      </c>
    </row>
    <row r="798" spans="1:40" x14ac:dyDescent="0.25">
      <c r="A798" t="str">
        <f>"20190312172106375"</f>
        <v>20190312172106375</v>
      </c>
      <c r="B798" t="str">
        <f>"1552382466371545"</f>
        <v>1552382466371545</v>
      </c>
      <c r="C798" t="s">
        <v>40</v>
      </c>
      <c r="D798">
        <v>3.1748080000000001</v>
      </c>
      <c r="E798">
        <v>0.50156659999999997</v>
      </c>
      <c r="F798" t="s">
        <v>42</v>
      </c>
      <c r="G798">
        <v>-320.5958</v>
      </c>
      <c r="H798" s="1">
        <v>-4.2647400000000003E-6</v>
      </c>
      <c r="I798">
        <v>368.21809999999999</v>
      </c>
      <c r="J798">
        <v>-341.09309999999999</v>
      </c>
      <c r="K798">
        <v>1.1100540000000001</v>
      </c>
      <c r="L798">
        <v>367.834</v>
      </c>
      <c r="M798">
        <v>0.99984779999999995</v>
      </c>
      <c r="N798">
        <v>0</v>
      </c>
      <c r="O798">
        <v>1.135502E-2</v>
      </c>
      <c r="P798">
        <v>0.98488149999999997</v>
      </c>
      <c r="Q798">
        <v>0.1719215</v>
      </c>
      <c r="R798">
        <v>2.1245460000000001E-2</v>
      </c>
      <c r="S798">
        <v>3.0735169999999998</v>
      </c>
      <c r="T798">
        <v>-0.16499359999999999</v>
      </c>
      <c r="U798">
        <v>5.7403559999999999E-2</v>
      </c>
      <c r="V798">
        <v>-1.000914E-2</v>
      </c>
      <c r="W798">
        <v>0.18496940000000001</v>
      </c>
      <c r="X798">
        <v>0.98269329999999999</v>
      </c>
      <c r="Y798">
        <v>-7.3241369999999997E-3</v>
      </c>
      <c r="Z798">
        <v>-4.1267050000000003E-4</v>
      </c>
      <c r="AA798">
        <v>0.99997309999999995</v>
      </c>
      <c r="AB798">
        <v>35</v>
      </c>
      <c r="AC798">
        <v>20.497299999999999</v>
      </c>
      <c r="AD798">
        <v>-1.1100582647399999</v>
      </c>
      <c r="AE798">
        <v>0.38409999999998901</v>
      </c>
      <c r="AF798">
        <v>-0.15086524349373001</v>
      </c>
      <c r="AG798">
        <v>-1.1100582647399999</v>
      </c>
      <c r="AH798">
        <v>20.440411372994799</v>
      </c>
      <c r="AI798">
        <v>93.108426235410306</v>
      </c>
      <c r="AJ798">
        <v>90.422877241291403</v>
      </c>
      <c r="AK798">
        <v>20.471087093021399</v>
      </c>
      <c r="AL798">
        <v>79.340651555226799</v>
      </c>
      <c r="AM798">
        <v>90.5835611663218</v>
      </c>
      <c r="AN798">
        <v>0.99999999184239396</v>
      </c>
    </row>
    <row r="799" spans="1:40" x14ac:dyDescent="0.25">
      <c r="A799" t="str">
        <f>"20190312172106387"</f>
        <v>20190312172106387</v>
      </c>
      <c r="B799" t="str">
        <f>"1552382466382281"</f>
        <v>1552382466382281</v>
      </c>
      <c r="C799" t="s">
        <v>40</v>
      </c>
      <c r="D799">
        <v>3.18465</v>
      </c>
      <c r="E799">
        <v>0.50157700000000005</v>
      </c>
      <c r="F799" t="s">
        <v>42</v>
      </c>
      <c r="G799">
        <v>-320.49740000000003</v>
      </c>
      <c r="H799" s="1">
        <v>-4.3069420000000001E-6</v>
      </c>
      <c r="I799">
        <v>368.21809999999999</v>
      </c>
      <c r="J799">
        <v>-340.91570000000002</v>
      </c>
      <c r="K799">
        <v>1.1100570000000001</v>
      </c>
      <c r="L799">
        <v>367.83589999999998</v>
      </c>
      <c r="M799">
        <v>0.99984830000000002</v>
      </c>
      <c r="N799">
        <v>0</v>
      </c>
      <c r="O799">
        <v>1.129846E-2</v>
      </c>
      <c r="P799">
        <v>0.98489420000000005</v>
      </c>
      <c r="Q799">
        <v>0.17188129999999999</v>
      </c>
      <c r="R799">
        <v>2.0986669999999999E-2</v>
      </c>
      <c r="S799">
        <v>3.0737000000000001</v>
      </c>
      <c r="T799">
        <v>-0.16566410000000001</v>
      </c>
      <c r="U799">
        <v>5.7342530000000003E-2</v>
      </c>
      <c r="V799">
        <v>-9.8049079999999993E-3</v>
      </c>
      <c r="W799">
        <v>0.18493380000000001</v>
      </c>
      <c r="X799">
        <v>0.98270210000000002</v>
      </c>
      <c r="Y799">
        <v>-7.359661E-3</v>
      </c>
      <c r="Z799">
        <v>-4.103178E-4</v>
      </c>
      <c r="AA799">
        <v>0.9999728</v>
      </c>
      <c r="AB799">
        <v>35</v>
      </c>
      <c r="AC799">
        <v>20.418299999999899</v>
      </c>
      <c r="AD799">
        <v>-1.110061306942</v>
      </c>
      <c r="AE799">
        <v>0.38220000000001098</v>
      </c>
      <c r="AF799">
        <v>-0.15101379304278401</v>
      </c>
      <c r="AG799">
        <v>-1.110061306942</v>
      </c>
      <c r="AH799">
        <v>20.361155514283301</v>
      </c>
      <c r="AI799">
        <v>93.120509632600104</v>
      </c>
      <c r="AJ799">
        <v>90.424941223815793</v>
      </c>
      <c r="AK799">
        <v>20.391951724827301</v>
      </c>
      <c r="AL799">
        <v>79.342727525631602</v>
      </c>
      <c r="AM799">
        <v>90.571649542840206</v>
      </c>
      <c r="AN799">
        <v>1.00000003197386</v>
      </c>
    </row>
    <row r="800" spans="1:40" x14ac:dyDescent="0.25">
      <c r="A800" t="str">
        <f>"20190312172106397"</f>
        <v>20190312172106397</v>
      </c>
      <c r="B800" t="str">
        <f>"1552382466392041"</f>
        <v>1552382466392041</v>
      </c>
      <c r="C800" t="s">
        <v>40</v>
      </c>
      <c r="D800">
        <v>3.1867329999999998</v>
      </c>
      <c r="E800">
        <v>0.50153740000000002</v>
      </c>
      <c r="F800" t="s">
        <v>42</v>
      </c>
      <c r="G800">
        <v>-320.42849999999999</v>
      </c>
      <c r="H800" s="1">
        <v>-4.3372779999999998E-6</v>
      </c>
      <c r="I800">
        <v>368.21379999999999</v>
      </c>
      <c r="J800">
        <v>-340.73149999999998</v>
      </c>
      <c r="K800">
        <v>1.1100559999999999</v>
      </c>
      <c r="L800">
        <v>367.83789999999999</v>
      </c>
      <c r="M800">
        <v>0.99984879999999998</v>
      </c>
      <c r="N800">
        <v>0</v>
      </c>
      <c r="O800">
        <v>1.1238730000000001E-2</v>
      </c>
      <c r="P800">
        <v>0.9848905</v>
      </c>
      <c r="Q800">
        <v>0.17191319999999999</v>
      </c>
      <c r="R800">
        <v>2.0899310000000001E-2</v>
      </c>
      <c r="S800">
        <v>3.0738530000000002</v>
      </c>
      <c r="T800">
        <v>-0.16654969999999999</v>
      </c>
      <c r="U800">
        <v>5.6701660000000001E-2</v>
      </c>
      <c r="V800">
        <v>-9.7762560000000005E-3</v>
      </c>
      <c r="W800">
        <v>0.18496989999999999</v>
      </c>
      <c r="X800">
        <v>0.9826956</v>
      </c>
      <c r="Y800">
        <v>-7.2102429999999999E-3</v>
      </c>
      <c r="Z800">
        <v>-4.133001E-4</v>
      </c>
      <c r="AA800">
        <v>0.99997389999999997</v>
      </c>
      <c r="AB800">
        <v>35</v>
      </c>
      <c r="AC800">
        <v>20.303000000000001</v>
      </c>
      <c r="AD800">
        <v>-1.110060337278</v>
      </c>
      <c r="AE800">
        <v>0.37590000000000101</v>
      </c>
      <c r="AF800">
        <v>-0.147236244071695</v>
      </c>
      <c r="AG800">
        <v>-1.110060337278</v>
      </c>
      <c r="AH800">
        <v>20.2454431018196</v>
      </c>
      <c r="AI800">
        <v>93.138309871944699</v>
      </c>
      <c r="AJ800">
        <v>90.416679773890607</v>
      </c>
      <c r="AK800">
        <v>20.276387223886299</v>
      </c>
      <c r="AL800">
        <v>79.340622930912801</v>
      </c>
      <c r="AM800">
        <v>90.569982943066705</v>
      </c>
      <c r="AN800">
        <v>1.00000004067337</v>
      </c>
    </row>
    <row r="801" spans="1:40" x14ac:dyDescent="0.25">
      <c r="A801" t="str">
        <f>"20190312172106409"</f>
        <v>20190312172106409</v>
      </c>
      <c r="B801" t="str">
        <f>"1552382466401801"</f>
        <v>1552382466401801</v>
      </c>
      <c r="C801" t="s">
        <v>40</v>
      </c>
      <c r="D801">
        <v>3.1864979999999998</v>
      </c>
      <c r="E801">
        <v>0.50147929999999996</v>
      </c>
      <c r="F801" t="s">
        <v>42</v>
      </c>
      <c r="G801">
        <v>-320.27620000000002</v>
      </c>
      <c r="H801" s="1">
        <v>-4.4022879999999999E-6</v>
      </c>
      <c r="I801">
        <v>368.21559999999999</v>
      </c>
      <c r="J801">
        <v>-340.5564</v>
      </c>
      <c r="K801">
        <v>1.110055</v>
      </c>
      <c r="L801">
        <v>367.83980000000003</v>
      </c>
      <c r="M801">
        <v>0.9998494</v>
      </c>
      <c r="N801">
        <v>0</v>
      </c>
      <c r="O801">
        <v>1.118135E-2</v>
      </c>
      <c r="P801">
        <v>0.98492060000000003</v>
      </c>
      <c r="Q801">
        <v>0.17174500000000001</v>
      </c>
      <c r="R801">
        <v>2.085586E-2</v>
      </c>
      <c r="S801">
        <v>3.073944</v>
      </c>
      <c r="T801">
        <v>-0.16681489999999999</v>
      </c>
      <c r="U801">
        <v>5.6762699999999902E-2</v>
      </c>
      <c r="V801">
        <v>-9.7878089999999997E-3</v>
      </c>
      <c r="W801">
        <v>0.18480630000000001</v>
      </c>
      <c r="X801">
        <v>0.98272619999999999</v>
      </c>
      <c r="Y801">
        <v>-7.2867569999999996E-3</v>
      </c>
      <c r="Z801">
        <v>-4.0875869999999997E-4</v>
      </c>
      <c r="AA801">
        <v>0.99997340000000001</v>
      </c>
      <c r="AB801">
        <v>35</v>
      </c>
      <c r="AC801">
        <v>20.280199999999901</v>
      </c>
      <c r="AD801">
        <v>-1.1100594022879999</v>
      </c>
      <c r="AE801">
        <v>0.37579999999996899</v>
      </c>
      <c r="AF801">
        <v>-0.14855159991171701</v>
      </c>
      <c r="AG801">
        <v>-1.1100594022879999</v>
      </c>
      <c r="AH801">
        <v>20.2225674422513</v>
      </c>
      <c r="AI801">
        <v>93.141848482755805</v>
      </c>
      <c r="AJ801">
        <v>90.420877648161806</v>
      </c>
      <c r="AK801">
        <v>20.253556068277099</v>
      </c>
      <c r="AL801">
        <v>79.350160273071694</v>
      </c>
      <c r="AM801">
        <v>90.570638702762395</v>
      </c>
      <c r="AN801">
        <v>0.99999997694557496</v>
      </c>
    </row>
    <row r="802" spans="1:40" x14ac:dyDescent="0.25">
      <c r="A802" t="str">
        <f>"20190312172106420"</f>
        <v>20190312172106420</v>
      </c>
      <c r="B802" t="str">
        <f>"1552382466411563"</f>
        <v>1552382466411563</v>
      </c>
      <c r="C802" t="s">
        <v>40</v>
      </c>
      <c r="D802">
        <v>3.1833490000000002</v>
      </c>
      <c r="E802">
        <v>0.50145459999999997</v>
      </c>
      <c r="F802" t="s">
        <v>42</v>
      </c>
      <c r="G802">
        <v>-320.2</v>
      </c>
      <c r="H802" s="1">
        <v>-4.4347190000000004E-6</v>
      </c>
      <c r="I802">
        <v>368.21710000000002</v>
      </c>
      <c r="J802">
        <v>-340.38409999999999</v>
      </c>
      <c r="K802">
        <v>1.110053</v>
      </c>
      <c r="L802">
        <v>367.8417</v>
      </c>
      <c r="M802">
        <v>0.99985020000000002</v>
      </c>
      <c r="N802">
        <v>0</v>
      </c>
      <c r="O802">
        <v>1.112462E-2</v>
      </c>
      <c r="P802">
        <v>0.98494179999999998</v>
      </c>
      <c r="Q802">
        <v>0.17161750000000001</v>
      </c>
      <c r="R802">
        <v>2.0918809999999999E-2</v>
      </c>
      <c r="S802">
        <v>3.073944</v>
      </c>
      <c r="T802">
        <v>-0.167625</v>
      </c>
      <c r="U802">
        <v>5.6976319999999997E-2</v>
      </c>
      <c r="V802">
        <v>-9.9061289999999996E-3</v>
      </c>
      <c r="W802">
        <v>0.18468309999999999</v>
      </c>
      <c r="X802">
        <v>0.98274819999999996</v>
      </c>
      <c r="Y802">
        <v>-7.4127480000000003E-3</v>
      </c>
      <c r="Z802">
        <v>-4.0421689999999998E-4</v>
      </c>
      <c r="AA802">
        <v>0.99997250000000004</v>
      </c>
      <c r="AB802">
        <v>35</v>
      </c>
      <c r="AC802">
        <v>20.184100000000001</v>
      </c>
      <c r="AD802">
        <v>-1.110057434719</v>
      </c>
      <c r="AE802">
        <v>0.375400000000013</v>
      </c>
      <c r="AF802">
        <v>-0.15036194957677401</v>
      </c>
      <c r="AG802">
        <v>-1.110057434719</v>
      </c>
      <c r="AH802">
        <v>20.126174166337002</v>
      </c>
      <c r="AI802">
        <v>93.156857336468704</v>
      </c>
      <c r="AJ802">
        <v>90.428046818998794</v>
      </c>
      <c r="AK802">
        <v>20.157324296592201</v>
      </c>
      <c r="AL802">
        <v>79.357343015124698</v>
      </c>
      <c r="AM802">
        <v>90.577523480425597</v>
      </c>
      <c r="AN802">
        <v>1.0000000017102999</v>
      </c>
    </row>
    <row r="803" spans="1:40" x14ac:dyDescent="0.25">
      <c r="A803" t="str">
        <f>"20190312172106430"</f>
        <v>20190312172106430</v>
      </c>
      <c r="B803" t="str">
        <f>"1552382466422297"</f>
        <v>1552382466422297</v>
      </c>
      <c r="C803" t="s">
        <v>40</v>
      </c>
      <c r="D803">
        <v>3.1755789999999999</v>
      </c>
      <c r="E803">
        <v>0.50143530000000003</v>
      </c>
      <c r="F803" t="s">
        <v>42</v>
      </c>
      <c r="G803">
        <v>-320.11829999999998</v>
      </c>
      <c r="H803" s="1">
        <v>-4.469025E-6</v>
      </c>
      <c r="I803">
        <v>368.22109999999998</v>
      </c>
      <c r="J803">
        <v>-340.2045</v>
      </c>
      <c r="K803">
        <v>1.110052</v>
      </c>
      <c r="L803">
        <v>367.84370000000001</v>
      </c>
      <c r="M803">
        <v>0.99985060000000003</v>
      </c>
      <c r="N803">
        <v>0</v>
      </c>
      <c r="O803">
        <v>1.106557E-2</v>
      </c>
      <c r="P803">
        <v>0.98492210000000002</v>
      </c>
      <c r="Q803">
        <v>0.1717707</v>
      </c>
      <c r="R803">
        <v>2.0581289999999999E-2</v>
      </c>
      <c r="S803">
        <v>3.0740050000000001</v>
      </c>
      <c r="T803">
        <v>-0.16837820000000001</v>
      </c>
      <c r="U803">
        <v>5.755615E-2</v>
      </c>
      <c r="V803">
        <v>-9.6265489999999999E-3</v>
      </c>
      <c r="W803">
        <v>0.18483959999999999</v>
      </c>
      <c r="X803">
        <v>0.98272159999999997</v>
      </c>
      <c r="Y803">
        <v>-7.65958099999999E-3</v>
      </c>
      <c r="Z803">
        <v>-3.9603570000000001E-4</v>
      </c>
      <c r="AA803">
        <v>0.99997060000000004</v>
      </c>
      <c r="AB803">
        <v>35</v>
      </c>
      <c r="AC803">
        <v>20.086200000000002</v>
      </c>
      <c r="AD803">
        <v>-1.1100564690250001</v>
      </c>
      <c r="AE803">
        <v>0.37739999999996598</v>
      </c>
      <c r="AF803">
        <v>-0.154619968157408</v>
      </c>
      <c r="AG803">
        <v>-1.1100564690250001</v>
      </c>
      <c r="AH803">
        <v>20.027998993793499</v>
      </c>
      <c r="AI803">
        <v>93.172291648007203</v>
      </c>
      <c r="AJ803">
        <v>90.442325546786805</v>
      </c>
      <c r="AK803">
        <v>20.0593338970757</v>
      </c>
      <c r="AL803">
        <v>79.348219617139804</v>
      </c>
      <c r="AM803">
        <v>90.561240322601407</v>
      </c>
      <c r="AN803">
        <v>1.0000000456401801</v>
      </c>
    </row>
    <row r="804" spans="1:40" x14ac:dyDescent="0.25">
      <c r="A804" t="str">
        <f>"20190312172106443"</f>
        <v>20190312172106443</v>
      </c>
      <c r="B804" t="str">
        <f>"1552382466431724"</f>
        <v>1552382466431724</v>
      </c>
      <c r="C804" t="s">
        <v>40</v>
      </c>
      <c r="D804">
        <v>3.206229</v>
      </c>
      <c r="E804">
        <v>0.5014016</v>
      </c>
      <c r="F804" t="s">
        <v>43</v>
      </c>
      <c r="G804">
        <v>-318.99579999999997</v>
      </c>
      <c r="H804">
        <v>-0.05</v>
      </c>
      <c r="I804">
        <v>368.23489999999998</v>
      </c>
      <c r="J804">
        <v>-340.02620000000002</v>
      </c>
      <c r="K804">
        <v>1.1100540000000001</v>
      </c>
      <c r="L804">
        <v>367.84559999999999</v>
      </c>
      <c r="M804">
        <v>0.9998513</v>
      </c>
      <c r="N804">
        <v>0</v>
      </c>
      <c r="O804">
        <v>1.1007050000000001E-2</v>
      </c>
      <c r="P804">
        <v>0.98496030000000001</v>
      </c>
      <c r="Q804">
        <v>0.1715612</v>
      </c>
      <c r="R804">
        <v>2.0495719999999999E-2</v>
      </c>
      <c r="S804">
        <v>3.0740660000000002</v>
      </c>
      <c r="T804">
        <v>-0.1681425</v>
      </c>
      <c r="U804">
        <v>5.6701660000000001E-2</v>
      </c>
      <c r="V804">
        <v>-9.5978709999999991E-3</v>
      </c>
      <c r="W804">
        <v>0.1846343</v>
      </c>
      <c r="X804">
        <v>0.98276039999999998</v>
      </c>
      <c r="Y804">
        <v>-7.4400909999999898E-3</v>
      </c>
      <c r="Z804">
        <v>-3.9827539999999999E-4</v>
      </c>
      <c r="AA804">
        <v>0.99997219999999998</v>
      </c>
      <c r="AB804">
        <v>35</v>
      </c>
      <c r="AC804">
        <v>21.0304</v>
      </c>
      <c r="AD804">
        <v>-1.1600539999999999</v>
      </c>
      <c r="AE804">
        <v>0.38929999999999099</v>
      </c>
      <c r="AF804">
        <v>-0.15729490929708501</v>
      </c>
      <c r="AG804">
        <v>-1.1600539999999999</v>
      </c>
      <c r="AH804">
        <v>20.969628431437599</v>
      </c>
      <c r="AI804">
        <v>93.166324795009402</v>
      </c>
      <c r="AJ804">
        <v>90.429772298862702</v>
      </c>
      <c r="AK804">
        <v>21.002280436275498</v>
      </c>
      <c r="AL804">
        <v>79.360187674727399</v>
      </c>
      <c r="AM804">
        <v>90.559546373677307</v>
      </c>
      <c r="AN804">
        <v>0.99999997383619099</v>
      </c>
    </row>
    <row r="805" spans="1:40" x14ac:dyDescent="0.25">
      <c r="A805" t="str">
        <f>"20190312172106455"</f>
        <v>20190312172106455</v>
      </c>
      <c r="B805" t="str">
        <f>"1552382466452220"</f>
        <v>1552382466452220</v>
      </c>
      <c r="C805" t="s">
        <v>40</v>
      </c>
      <c r="D805">
        <v>3.2024680000000001</v>
      </c>
      <c r="E805">
        <v>0.50134699999999999</v>
      </c>
      <c r="F805" t="s">
        <v>43</v>
      </c>
      <c r="G805">
        <v>-318.9366</v>
      </c>
      <c r="H805">
        <v>-0.05</v>
      </c>
      <c r="I805">
        <v>368.23419999999999</v>
      </c>
      <c r="J805">
        <v>-339.82780000000002</v>
      </c>
      <c r="K805">
        <v>1.110053</v>
      </c>
      <c r="L805">
        <v>367.84769999999997</v>
      </c>
      <c r="M805">
        <v>0.99985199999999996</v>
      </c>
      <c r="N805">
        <v>0</v>
      </c>
      <c r="O805">
        <v>1.094181E-2</v>
      </c>
      <c r="P805">
        <v>0.98490149999999999</v>
      </c>
      <c r="Q805">
        <v>0.17189660000000001</v>
      </c>
      <c r="R805">
        <v>2.051526E-2</v>
      </c>
      <c r="S805">
        <v>3.0740970000000001</v>
      </c>
      <c r="T805">
        <v>-0.16909360000000001</v>
      </c>
      <c r="U805">
        <v>5.6640629999999997E-2</v>
      </c>
      <c r="V805">
        <v>-9.6820640000000006E-3</v>
      </c>
      <c r="W805">
        <v>0.18497269999999999</v>
      </c>
      <c r="X805">
        <v>0.98269600000000001</v>
      </c>
      <c r="Y805">
        <v>-7.4852080000000001E-3</v>
      </c>
      <c r="Z805">
        <v>-3.9569520000000001E-4</v>
      </c>
      <c r="AA805">
        <v>0.99997190000000002</v>
      </c>
      <c r="AB805">
        <v>35</v>
      </c>
      <c r="AC805">
        <v>20.891200000000001</v>
      </c>
      <c r="AD805">
        <v>-1.160053</v>
      </c>
      <c r="AE805">
        <v>0.386500000000012</v>
      </c>
      <c r="AF805">
        <v>-0.15738405927294299</v>
      </c>
      <c r="AG805">
        <v>-1.160053</v>
      </c>
      <c r="AH805">
        <v>20.829973523652299</v>
      </c>
      <c r="AI805">
        <v>93.187505794876898</v>
      </c>
      <c r="AJ805">
        <v>90.432898810889299</v>
      </c>
      <c r="AK805">
        <v>20.862844717367199</v>
      </c>
      <c r="AL805">
        <v>79.340459627411704</v>
      </c>
      <c r="AM805">
        <v>90.564491414559399</v>
      </c>
      <c r="AN805">
        <v>1.00000003526229</v>
      </c>
    </row>
    <row r="806" spans="1:40" x14ac:dyDescent="0.25">
      <c r="A806" t="str">
        <f>"20190312172106467"</f>
        <v>20190312172106467</v>
      </c>
      <c r="B806" t="str">
        <f>"1552382466461984"</f>
        <v>1552382466461984</v>
      </c>
      <c r="C806" t="s">
        <v>40</v>
      </c>
      <c r="D806">
        <v>3.2099829999999998</v>
      </c>
      <c r="E806">
        <v>0.50132540000000003</v>
      </c>
      <c r="F806" t="s">
        <v>43</v>
      </c>
      <c r="G806">
        <v>-318.678</v>
      </c>
      <c r="H806">
        <v>-0.05</v>
      </c>
      <c r="I806">
        <v>368.23989999999998</v>
      </c>
      <c r="J806">
        <v>-339.63780000000003</v>
      </c>
      <c r="K806">
        <v>1.1100540000000001</v>
      </c>
      <c r="L806">
        <v>367.84969999999998</v>
      </c>
      <c r="M806">
        <v>0.99985270000000004</v>
      </c>
      <c r="N806">
        <v>0</v>
      </c>
      <c r="O806">
        <v>1.0880020000000001E-2</v>
      </c>
      <c r="P806">
        <v>0.98494380000000004</v>
      </c>
      <c r="Q806">
        <v>0.17167760000000001</v>
      </c>
      <c r="R806">
        <v>2.0323850000000001E-2</v>
      </c>
      <c r="S806">
        <v>3.0741879999999999</v>
      </c>
      <c r="T806">
        <v>-0.16861770000000001</v>
      </c>
      <c r="U806">
        <v>5.7006840000000003E-2</v>
      </c>
      <c r="V806">
        <v>-9.5503169999999991E-3</v>
      </c>
      <c r="W806">
        <v>0.18475759999999999</v>
      </c>
      <c r="X806">
        <v>0.98273770000000005</v>
      </c>
      <c r="Y806">
        <v>-7.6651409999999899E-3</v>
      </c>
      <c r="Z806">
        <v>-3.862545E-4</v>
      </c>
      <c r="AA806">
        <v>0.99997060000000004</v>
      </c>
      <c r="AB806">
        <v>35</v>
      </c>
      <c r="AC806">
        <v>20.959800000000001</v>
      </c>
      <c r="AD806">
        <v>-1.1600539999999999</v>
      </c>
      <c r="AE806">
        <v>0.390199999999993</v>
      </c>
      <c r="AF806">
        <v>-0.16161885637936099</v>
      </c>
      <c r="AG806">
        <v>-1.1600539999999999</v>
      </c>
      <c r="AH806">
        <v>20.898808893387901</v>
      </c>
      <c r="AI806">
        <v>93.177026927850903</v>
      </c>
      <c r="AJ806">
        <v>90.443082369573403</v>
      </c>
      <c r="AK806">
        <v>20.9316043126179</v>
      </c>
      <c r="AL806">
        <v>79.352999536770199</v>
      </c>
      <c r="AM806">
        <v>90.556787057506696</v>
      </c>
      <c r="AN806">
        <v>0.99999998315692495</v>
      </c>
    </row>
    <row r="807" spans="1:40" x14ac:dyDescent="0.25">
      <c r="A807" t="str">
        <f>"20190312172106479"</f>
        <v>20190312172106479</v>
      </c>
      <c r="B807" t="str">
        <f>"1552382466471740"</f>
        <v>1552382466471740</v>
      </c>
      <c r="C807" t="s">
        <v>40</v>
      </c>
      <c r="D807">
        <v>3.1953969999999998</v>
      </c>
      <c r="E807">
        <v>0.5013147</v>
      </c>
      <c r="F807" t="s">
        <v>43</v>
      </c>
      <c r="G807">
        <v>-318.59480000000002</v>
      </c>
      <c r="H807">
        <v>-0.05</v>
      </c>
      <c r="I807">
        <v>368.23660000000001</v>
      </c>
      <c r="J807">
        <v>-339.44450000000001</v>
      </c>
      <c r="K807">
        <v>1.1100540000000001</v>
      </c>
      <c r="L807">
        <v>367.85180000000003</v>
      </c>
      <c r="M807">
        <v>0.99985329999999994</v>
      </c>
      <c r="N807">
        <v>0</v>
      </c>
      <c r="O807">
        <v>1.0817810000000001E-2</v>
      </c>
      <c r="P807">
        <v>0.98491600000000001</v>
      </c>
      <c r="Q807">
        <v>0.1718412</v>
      </c>
      <c r="R807">
        <v>2.0280510000000002E-2</v>
      </c>
      <c r="S807">
        <v>3.0742189999999998</v>
      </c>
      <c r="T807">
        <v>-0.1694755</v>
      </c>
      <c r="U807">
        <v>5.6518550000000001E-2</v>
      </c>
      <c r="V807">
        <v>-9.5682879999999994E-3</v>
      </c>
      <c r="W807">
        <v>0.1849239</v>
      </c>
      <c r="X807">
        <v>0.98270619999999997</v>
      </c>
      <c r="Y807">
        <v>-7.5684990000000002E-3</v>
      </c>
      <c r="Z807">
        <v>-3.8744849999999999E-4</v>
      </c>
      <c r="AA807">
        <v>0.99997130000000001</v>
      </c>
      <c r="AB807">
        <v>35</v>
      </c>
      <c r="AC807">
        <v>20.849699999999899</v>
      </c>
      <c r="AD807">
        <v>-1.1600539999999999</v>
      </c>
      <c r="AE807">
        <v>0.38479999999998399</v>
      </c>
      <c r="AF807">
        <v>-0.15871832122114499</v>
      </c>
      <c r="AG807">
        <v>-1.1600539999999999</v>
      </c>
      <c r="AH807">
        <v>20.788310688381099</v>
      </c>
      <c r="AI807">
        <v>93.193881640765696</v>
      </c>
      <c r="AJ807">
        <v>90.437443589177093</v>
      </c>
      <c r="AK807">
        <v>20.8212578406077</v>
      </c>
      <c r="AL807">
        <v>79.343303698379202</v>
      </c>
      <c r="AM807">
        <v>90.557852587284799</v>
      </c>
      <c r="AN807">
        <v>0.99999993822244804</v>
      </c>
    </row>
    <row r="808" spans="1:40" x14ac:dyDescent="0.25">
      <c r="A808" t="str">
        <f>"20190312172106491"</f>
        <v>20190312172106491</v>
      </c>
      <c r="B808" t="str">
        <f>"1552382466482477"</f>
        <v>1552382466482477</v>
      </c>
      <c r="C808" t="s">
        <v>40</v>
      </c>
      <c r="D808">
        <v>3.2174320000000001</v>
      </c>
      <c r="E808">
        <v>0.50130710000000001</v>
      </c>
      <c r="F808" t="s">
        <v>43</v>
      </c>
      <c r="G808">
        <v>-318.37619999999998</v>
      </c>
      <c r="H808">
        <v>-0.05</v>
      </c>
      <c r="I808">
        <v>368.23809999999997</v>
      </c>
      <c r="J808">
        <v>-339.25510000000003</v>
      </c>
      <c r="K808">
        <v>1.110052</v>
      </c>
      <c r="L808">
        <v>367.85379999999998</v>
      </c>
      <c r="M808">
        <v>0.99985380000000001</v>
      </c>
      <c r="N808">
        <v>0</v>
      </c>
      <c r="O808">
        <v>1.075722E-2</v>
      </c>
      <c r="P808">
        <v>0.98492349999999995</v>
      </c>
      <c r="Q808">
        <v>0.17181060000000001</v>
      </c>
      <c r="R808">
        <v>2.0165760000000001E-2</v>
      </c>
      <c r="S808">
        <v>3.0742799999999999</v>
      </c>
      <c r="T808">
        <v>-0.16927490000000001</v>
      </c>
      <c r="U808">
        <v>5.6365970000000001E-2</v>
      </c>
      <c r="V808">
        <v>-9.512576E-3</v>
      </c>
      <c r="W808">
        <v>0.18489630000000001</v>
      </c>
      <c r="X808">
        <v>0.98271200000000003</v>
      </c>
      <c r="Y808">
        <v>-7.5789960000000002E-3</v>
      </c>
      <c r="Z808">
        <v>-3.8336130000000003E-4</v>
      </c>
      <c r="AA808">
        <v>0.99997119999999995</v>
      </c>
      <c r="AB808">
        <v>35</v>
      </c>
      <c r="AC808">
        <v>20.878900000000002</v>
      </c>
      <c r="AD808">
        <v>-1.1600520000000001</v>
      </c>
      <c r="AE808">
        <v>0.38429999999999598</v>
      </c>
      <c r="AF808">
        <v>-0.15916780997188301</v>
      </c>
      <c r="AG808">
        <v>-1.1600520000000001</v>
      </c>
      <c r="AH808">
        <v>20.8175835183416</v>
      </c>
      <c r="AI808">
        <v>93.189394062733399</v>
      </c>
      <c r="AJ808">
        <v>90.438065543781093</v>
      </c>
      <c r="AK808">
        <v>20.8504877299684</v>
      </c>
      <c r="AL808">
        <v>79.344913507624099</v>
      </c>
      <c r="AM808">
        <v>90.554601383490805</v>
      </c>
      <c r="AN808">
        <v>1.0000000028999201</v>
      </c>
    </row>
    <row r="809" spans="1:40" x14ac:dyDescent="0.25">
      <c r="A809" t="str">
        <f>"20190312172106501"</f>
        <v>20190312172106501</v>
      </c>
      <c r="B809" t="str">
        <f>"1552382466492237"</f>
        <v>1552382466492237</v>
      </c>
      <c r="C809" t="s">
        <v>40</v>
      </c>
      <c r="D809">
        <v>3.211176</v>
      </c>
      <c r="E809">
        <v>0.50129399999999902</v>
      </c>
      <c r="F809" t="s">
        <v>43</v>
      </c>
      <c r="G809">
        <v>-318.23259999999999</v>
      </c>
      <c r="H809">
        <v>-0.05</v>
      </c>
      <c r="I809">
        <v>368.23809999999997</v>
      </c>
      <c r="J809">
        <v>-339.09019999999998</v>
      </c>
      <c r="K809">
        <v>1.110052</v>
      </c>
      <c r="L809">
        <v>367.85550000000001</v>
      </c>
      <c r="M809">
        <v>0.99985429999999997</v>
      </c>
      <c r="N809">
        <v>0</v>
      </c>
      <c r="O809">
        <v>1.070421E-2</v>
      </c>
      <c r="P809">
        <v>0.98490679999999997</v>
      </c>
      <c r="Q809">
        <v>0.1719136</v>
      </c>
      <c r="R809">
        <v>2.0113679999999998E-2</v>
      </c>
      <c r="S809">
        <v>3.0744319999999998</v>
      </c>
      <c r="T809">
        <v>-0.16965150000000001</v>
      </c>
      <c r="U809">
        <v>5.621338E-2</v>
      </c>
      <c r="V809">
        <v>-9.5128539999999994E-3</v>
      </c>
      <c r="W809">
        <v>0.18500169999999999</v>
      </c>
      <c r="X809">
        <v>0.98269209999999996</v>
      </c>
      <c r="Y809">
        <v>-7.5814289999999998E-3</v>
      </c>
      <c r="Z809">
        <v>-3.8120409999999998E-4</v>
      </c>
      <c r="AA809">
        <v>0.99997119999999995</v>
      </c>
      <c r="AB809">
        <v>35</v>
      </c>
      <c r="AC809">
        <v>20.857599999999898</v>
      </c>
      <c r="AD809">
        <v>-1.1600520000000001</v>
      </c>
      <c r="AE809">
        <v>0.38259999999996802</v>
      </c>
      <c r="AF809">
        <v>-0.15880314152931799</v>
      </c>
      <c r="AG809">
        <v>-1.1600520000000001</v>
      </c>
      <c r="AH809">
        <v>20.796192766845</v>
      </c>
      <c r="AI809">
        <v>93.192668093200894</v>
      </c>
      <c r="AJ809">
        <v>90.437511473317997</v>
      </c>
      <c r="AK809">
        <v>20.829127986457799</v>
      </c>
      <c r="AL809">
        <v>79.338767878102303</v>
      </c>
      <c r="AM809">
        <v>90.554628820988697</v>
      </c>
      <c r="AN809">
        <v>0.99999994339826104</v>
      </c>
    </row>
    <row r="810" spans="1:40" x14ac:dyDescent="0.25">
      <c r="A810" t="str">
        <f>"20190312172106511"</f>
        <v>20190312172106511</v>
      </c>
      <c r="B810" t="str">
        <f>"1552382466501997"</f>
        <v>1552382466501997</v>
      </c>
      <c r="C810" t="s">
        <v>40</v>
      </c>
      <c r="D810">
        <v>3.2029070000000002</v>
      </c>
      <c r="E810">
        <v>0.50128409999999901</v>
      </c>
      <c r="F810" t="s">
        <v>43</v>
      </c>
      <c r="G810">
        <v>-318.06779999999998</v>
      </c>
      <c r="H810">
        <v>-0.05</v>
      </c>
      <c r="I810">
        <v>368.23840000000001</v>
      </c>
      <c r="J810">
        <v>-338.92779999999999</v>
      </c>
      <c r="K810">
        <v>1.110052</v>
      </c>
      <c r="L810">
        <v>367.8571</v>
      </c>
      <c r="M810">
        <v>0.99985489999999999</v>
      </c>
      <c r="N810">
        <v>0</v>
      </c>
      <c r="O810">
        <v>1.065174E-2</v>
      </c>
      <c r="P810">
        <v>0.9849021</v>
      </c>
      <c r="Q810">
        <v>0.17198039999999901</v>
      </c>
      <c r="R810">
        <v>1.976926E-2</v>
      </c>
      <c r="S810">
        <v>3.0744630000000002</v>
      </c>
      <c r="T810">
        <v>-0.16965439999999901</v>
      </c>
      <c r="U810">
        <v>5.5999760000000003E-2</v>
      </c>
      <c r="V810">
        <v>-9.2203319999999995E-3</v>
      </c>
      <c r="W810">
        <v>0.1850706</v>
      </c>
      <c r="X810">
        <v>0.98268200000000006</v>
      </c>
      <c r="Y810">
        <v>-7.5642080000000002E-3</v>
      </c>
      <c r="Z810">
        <v>-3.7878869999999999E-4</v>
      </c>
      <c r="AA810">
        <v>0.99997130000000001</v>
      </c>
      <c r="AB810">
        <v>35</v>
      </c>
      <c r="AC810">
        <v>20.86</v>
      </c>
      <c r="AD810">
        <v>-1.1600520000000001</v>
      </c>
      <c r="AE810">
        <v>0.38130000000001002</v>
      </c>
      <c r="AF810">
        <v>-0.15857318985584701</v>
      </c>
      <c r="AG810">
        <v>-1.1600520000000001</v>
      </c>
      <c r="AH810">
        <v>20.798577665966899</v>
      </c>
      <c r="AI810">
        <v>93.192303048501202</v>
      </c>
      <c r="AJ810">
        <v>90.436827874955796</v>
      </c>
      <c r="AK810">
        <v>20.8315073632827</v>
      </c>
      <c r="AL810">
        <v>79.334751736627197</v>
      </c>
      <c r="AM810">
        <v>90.537580424952296</v>
      </c>
      <c r="AN810">
        <v>1.00000002731527</v>
      </c>
    </row>
    <row r="811" spans="1:40" x14ac:dyDescent="0.25">
      <c r="A811" t="str">
        <f>"20190312172106522"</f>
        <v>20190312172106522</v>
      </c>
      <c r="B811" t="str">
        <f>"1552382466511758"</f>
        <v>1552382466511758</v>
      </c>
      <c r="C811" t="s">
        <v>40</v>
      </c>
      <c r="D811">
        <v>3.207948</v>
      </c>
      <c r="E811">
        <v>0.50131289999999995</v>
      </c>
      <c r="F811" t="s">
        <v>43</v>
      </c>
      <c r="G811">
        <v>-317.92230000000001</v>
      </c>
      <c r="H811">
        <v>-0.05</v>
      </c>
      <c r="I811">
        <v>368.2328</v>
      </c>
      <c r="J811">
        <v>-338.77030000000002</v>
      </c>
      <c r="K811">
        <v>1.110047</v>
      </c>
      <c r="L811">
        <v>367.85879999999997</v>
      </c>
      <c r="M811">
        <v>0.9998553</v>
      </c>
      <c r="N811">
        <v>0</v>
      </c>
      <c r="O811">
        <v>1.060088E-2</v>
      </c>
      <c r="P811">
        <v>0.98488830000000005</v>
      </c>
      <c r="Q811">
        <v>0.17206150000000001</v>
      </c>
      <c r="R811">
        <v>1.9753199999999999E-2</v>
      </c>
      <c r="S811">
        <v>3.074554</v>
      </c>
      <c r="T811">
        <v>-0.16979569999999999</v>
      </c>
      <c r="U811">
        <v>5.4992680000000002E-2</v>
      </c>
      <c r="V811">
        <v>-9.2539240000000002E-3</v>
      </c>
      <c r="W811">
        <v>0.1851535</v>
      </c>
      <c r="X811">
        <v>0.98266600000000004</v>
      </c>
      <c r="Y811">
        <v>-7.287445E-3</v>
      </c>
      <c r="Z811">
        <v>-3.8392359999999998E-4</v>
      </c>
      <c r="AA811">
        <v>0.99997340000000001</v>
      </c>
      <c r="AB811">
        <v>35</v>
      </c>
      <c r="AC811">
        <v>20.847999999999999</v>
      </c>
      <c r="AD811">
        <v>-1.1600469999999901</v>
      </c>
      <c r="AE811">
        <v>0.37400000000002298</v>
      </c>
      <c r="AF811">
        <v>-0.152480322385528</v>
      </c>
      <c r="AG811">
        <v>-1.1600469999999901</v>
      </c>
      <c r="AH811">
        <v>20.786456067326299</v>
      </c>
      <c r="AI811">
        <v>93.194153926307706</v>
      </c>
      <c r="AJ811">
        <v>90.420289163462897</v>
      </c>
      <c r="AK811">
        <v>20.819359143110301</v>
      </c>
      <c r="AL811">
        <v>79.329917663782098</v>
      </c>
      <c r="AM811">
        <v>90.539547635128599</v>
      </c>
      <c r="AN811">
        <v>0.99999996061382301</v>
      </c>
    </row>
    <row r="812" spans="1:40" x14ac:dyDescent="0.25">
      <c r="A812" t="str">
        <f>"20190312172106531"</f>
        <v>20190312172106531</v>
      </c>
      <c r="B812" t="str">
        <f>"1552382466522493"</f>
        <v>1552382466522493</v>
      </c>
      <c r="C812" t="s">
        <v>40</v>
      </c>
      <c r="D812">
        <v>3.2699940000000001</v>
      </c>
      <c r="E812">
        <v>0.50131289999999995</v>
      </c>
      <c r="F812" t="s">
        <v>43</v>
      </c>
      <c r="G812">
        <v>-317.755</v>
      </c>
      <c r="H812">
        <v>-0.05</v>
      </c>
      <c r="I812">
        <v>368.23180000000002</v>
      </c>
      <c r="J812">
        <v>-338.60860000000002</v>
      </c>
      <c r="K812">
        <v>1.1100479999999999</v>
      </c>
      <c r="L812">
        <v>367.86040000000003</v>
      </c>
      <c r="M812">
        <v>0.99985579999999996</v>
      </c>
      <c r="N812">
        <v>0</v>
      </c>
      <c r="O812">
        <v>1.05486E-2</v>
      </c>
      <c r="P812">
        <v>0.98488350000000002</v>
      </c>
      <c r="Q812">
        <v>0.17210500000000001</v>
      </c>
      <c r="R812">
        <v>1.9601690000000001E-2</v>
      </c>
      <c r="S812">
        <v>3.0745849999999999</v>
      </c>
      <c r="T812">
        <v>-0.16971739999999999</v>
      </c>
      <c r="U812">
        <v>5.4565429999999998E-2</v>
      </c>
      <c r="V812">
        <v>-9.1540389999999992E-3</v>
      </c>
      <c r="W812">
        <v>0.185199</v>
      </c>
      <c r="X812">
        <v>0.98265840000000004</v>
      </c>
      <c r="Y812">
        <v>-7.200695E-3</v>
      </c>
      <c r="Z812">
        <v>-3.83252E-4</v>
      </c>
      <c r="AA812">
        <v>0.99997400000000003</v>
      </c>
      <c r="AB812">
        <v>35</v>
      </c>
      <c r="AC812">
        <v>20.8536</v>
      </c>
      <c r="AD812">
        <v>-1.160048</v>
      </c>
      <c r="AE812">
        <v>0.37139999999999401</v>
      </c>
      <c r="AF812">
        <v>-0.15091670228495699</v>
      </c>
      <c r="AG812">
        <v>-1.160048</v>
      </c>
      <c r="AH812">
        <v>20.7920371767988</v>
      </c>
      <c r="AI812">
        <v>93.193302850554801</v>
      </c>
      <c r="AJ812">
        <v>90.415867775662903</v>
      </c>
      <c r="AK812">
        <v>20.82492010008</v>
      </c>
      <c r="AL812">
        <v>79.327265235484802</v>
      </c>
      <c r="AM812">
        <v>90.533728332530202</v>
      </c>
      <c r="AN812">
        <v>0.99999999856078603</v>
      </c>
    </row>
    <row r="813" spans="1:40" x14ac:dyDescent="0.25">
      <c r="A813" t="str">
        <f>"20190312172106542"</f>
        <v>20190312172106542</v>
      </c>
      <c r="B813" t="str">
        <f>"1552382466531829"</f>
        <v>1552382466531829</v>
      </c>
      <c r="C813" t="s">
        <v>40</v>
      </c>
      <c r="D813">
        <v>3.2778749999999999</v>
      </c>
      <c r="E813">
        <v>0.51679560000000002</v>
      </c>
      <c r="F813" t="s">
        <v>43</v>
      </c>
      <c r="G813">
        <v>-317.5761</v>
      </c>
      <c r="H813">
        <v>-0.05</v>
      </c>
      <c r="I813">
        <v>368.22969999999998</v>
      </c>
      <c r="J813">
        <v>-338.44499999999999</v>
      </c>
      <c r="K813">
        <v>1.1100449999999999</v>
      </c>
      <c r="L813">
        <v>367.8621</v>
      </c>
      <c r="M813">
        <v>0.99985650000000004</v>
      </c>
      <c r="N813">
        <v>0</v>
      </c>
      <c r="O813">
        <v>1.049572E-2</v>
      </c>
      <c r="P813">
        <v>0.98486390000000001</v>
      </c>
      <c r="Q813">
        <v>0.17223949999999999</v>
      </c>
      <c r="R813">
        <v>1.9409639999999999E-2</v>
      </c>
      <c r="S813">
        <v>3.0746150000000001</v>
      </c>
      <c r="T813">
        <v>-0.16958019999999999</v>
      </c>
      <c r="U813">
        <v>5.3985600000000002E-2</v>
      </c>
      <c r="V813">
        <v>-9.0141709999999996E-3</v>
      </c>
      <c r="W813">
        <v>0.18533440000000001</v>
      </c>
      <c r="X813">
        <v>0.98263420000000001</v>
      </c>
      <c r="Y813">
        <v>-7.0650019999999999E-3</v>
      </c>
      <c r="Z813">
        <v>-3.8376449999999999E-4</v>
      </c>
      <c r="AA813">
        <v>0.99997499999999995</v>
      </c>
      <c r="AB813">
        <v>35</v>
      </c>
      <c r="AC813">
        <v>20.8689</v>
      </c>
      <c r="AD813">
        <v>-1.160045</v>
      </c>
      <c r="AE813">
        <v>0.367599999999981</v>
      </c>
      <c r="AF813">
        <v>-0.14806886748570799</v>
      </c>
      <c r="AG813">
        <v>-1.160045</v>
      </c>
      <c r="AH813">
        <v>20.8073353218278</v>
      </c>
      <c r="AI813">
        <v>93.190954916307504</v>
      </c>
      <c r="AJ813">
        <v>90.407720539504098</v>
      </c>
      <c r="AK813">
        <v>20.8401735114304</v>
      </c>
      <c r="AL813">
        <v>79.319371091999798</v>
      </c>
      <c r="AM813">
        <v>90.525586700817797</v>
      </c>
      <c r="AN813">
        <v>1.0000000330559</v>
      </c>
    </row>
    <row r="814" spans="1:40" x14ac:dyDescent="0.25">
      <c r="A814" t="str">
        <f>"20190312172106553"</f>
        <v>20190312172106553</v>
      </c>
      <c r="B814" t="str">
        <f>"1552382466541589"</f>
        <v>1552382466541589</v>
      </c>
      <c r="C814" t="s">
        <v>40</v>
      </c>
      <c r="D814">
        <v>3.295023</v>
      </c>
      <c r="E814">
        <v>0.51949109999999998</v>
      </c>
      <c r="F814" t="s">
        <v>43</v>
      </c>
      <c r="G814">
        <v>-299.10390000000001</v>
      </c>
      <c r="H814">
        <v>-0.05</v>
      </c>
      <c r="I814">
        <v>366.9579</v>
      </c>
      <c r="J814">
        <v>-338.27080000000001</v>
      </c>
      <c r="K814">
        <v>1.1100509999999999</v>
      </c>
      <c r="L814">
        <v>367.8639</v>
      </c>
      <c r="M814">
        <v>0.999857</v>
      </c>
      <c r="N814">
        <v>0</v>
      </c>
      <c r="O814">
        <v>1.043938E-2</v>
      </c>
      <c r="P814">
        <v>0.98488659999999995</v>
      </c>
      <c r="Q814">
        <v>0.1721307</v>
      </c>
      <c r="R814">
        <v>1.9234580000000001E-2</v>
      </c>
      <c r="S814">
        <v>3.0632630000000001</v>
      </c>
      <c r="T814">
        <v>-9.0325829999999996E-2</v>
      </c>
      <c r="U814">
        <v>-7.0404049999999996E-2</v>
      </c>
      <c r="V814">
        <v>-8.8944039999999999E-3</v>
      </c>
      <c r="W814">
        <v>0.18522759999999999</v>
      </c>
      <c r="X814">
        <v>0.98265539999999996</v>
      </c>
      <c r="Y814">
        <v>3.339454E-2</v>
      </c>
      <c r="Z814">
        <v>-7.9992589999999895E-4</v>
      </c>
      <c r="AA814">
        <v>0.99944189999999999</v>
      </c>
      <c r="AB814">
        <v>35</v>
      </c>
      <c r="AC814">
        <v>39.166899999999998</v>
      </c>
      <c r="AD814">
        <v>-1.1600509999999999</v>
      </c>
      <c r="AE814">
        <v>-0.90600000000000602</v>
      </c>
      <c r="AF814">
        <v>1.31371314614471</v>
      </c>
      <c r="AG814">
        <v>-1.1600509999999999</v>
      </c>
      <c r="AH814">
        <v>39.121006482952602</v>
      </c>
      <c r="AI814">
        <v>91.697531588675105</v>
      </c>
      <c r="AJ814">
        <v>88.076686890290105</v>
      </c>
      <c r="AK814">
        <v>39.1602439827968</v>
      </c>
      <c r="AL814">
        <v>79.3255977916604</v>
      </c>
      <c r="AM814">
        <v>90.518592676584305</v>
      </c>
      <c r="AN814">
        <v>1.0000000046867099</v>
      </c>
    </row>
    <row r="815" spans="1:40" x14ac:dyDescent="0.25">
      <c r="A815" t="str">
        <f>"20190312172106565"</f>
        <v>20190312172106565</v>
      </c>
      <c r="B815" t="str">
        <f>"1552382466562085"</f>
        <v>1552382466562085</v>
      </c>
      <c r="C815" t="s">
        <v>40</v>
      </c>
      <c r="D815">
        <v>3.425691</v>
      </c>
      <c r="E815">
        <v>0.52170680000000003</v>
      </c>
      <c r="F815" t="s">
        <v>43</v>
      </c>
      <c r="G815">
        <v>-296.75200000000001</v>
      </c>
      <c r="H815">
        <v>-0.05</v>
      </c>
      <c r="I815">
        <v>366.60550000000001</v>
      </c>
      <c r="J815">
        <v>-338.09309999999999</v>
      </c>
      <c r="K815">
        <v>1.11005</v>
      </c>
      <c r="L815">
        <v>367.8657</v>
      </c>
      <c r="M815">
        <v>0.99985769999999996</v>
      </c>
      <c r="N815">
        <v>0</v>
      </c>
      <c r="O815">
        <v>1.038185E-2</v>
      </c>
      <c r="P815">
        <v>0.98490979999999995</v>
      </c>
      <c r="Q815">
        <v>0.1719975</v>
      </c>
      <c r="R815">
        <v>1.923339E-2</v>
      </c>
      <c r="S815">
        <v>3.062805</v>
      </c>
      <c r="T815">
        <v>-8.5575940000000003E-2</v>
      </c>
      <c r="U815">
        <v>-9.2834470000000002E-2</v>
      </c>
      <c r="V815">
        <v>-8.9494489999999999E-3</v>
      </c>
      <c r="W815">
        <v>0.18509680000000001</v>
      </c>
      <c r="X815">
        <v>0.98267950000000004</v>
      </c>
      <c r="Y815">
        <v>4.0652830000000001E-2</v>
      </c>
      <c r="Z815">
        <v>-8.5766960000000002E-4</v>
      </c>
      <c r="AA815">
        <v>0.99917299999999998</v>
      </c>
      <c r="AB815">
        <v>35</v>
      </c>
      <c r="AC815">
        <v>41.341099999999898</v>
      </c>
      <c r="AD815">
        <v>-1.16005</v>
      </c>
      <c r="AE815">
        <v>-1.26019999999999</v>
      </c>
      <c r="AF815">
        <v>1.6880392069993599</v>
      </c>
      <c r="AG815">
        <v>-1.16005</v>
      </c>
      <c r="AH815">
        <v>41.293303541952596</v>
      </c>
      <c r="AI815">
        <v>91.607841065749099</v>
      </c>
      <c r="AJ815">
        <v>87.659094996621306</v>
      </c>
      <c r="AK815">
        <v>41.344069825970202</v>
      </c>
      <c r="AL815">
        <v>79.333223456844095</v>
      </c>
      <c r="AM815">
        <v>90.521789129574799</v>
      </c>
      <c r="AN815">
        <v>0.99999995886394599</v>
      </c>
    </row>
    <row r="816" spans="1:40" x14ac:dyDescent="0.25">
      <c r="A816" t="str">
        <f>"20190312172106576"</f>
        <v>20190312172106576</v>
      </c>
      <c r="B816" t="str">
        <f>"1552382466571845"</f>
        <v>1552382466571845</v>
      </c>
      <c r="C816" t="s">
        <v>40</v>
      </c>
      <c r="D816">
        <v>3.2683749999999998</v>
      </c>
      <c r="E816">
        <v>0.5225223</v>
      </c>
      <c r="F816" t="s">
        <v>43</v>
      </c>
      <c r="G816">
        <v>-295.25850000000003</v>
      </c>
      <c r="H816">
        <v>-0.05</v>
      </c>
      <c r="I816">
        <v>366.32060000000001</v>
      </c>
      <c r="J816">
        <v>-337.9067</v>
      </c>
      <c r="K816">
        <v>1.11005</v>
      </c>
      <c r="L816">
        <v>367.86759999999998</v>
      </c>
      <c r="M816">
        <v>0.99985809999999997</v>
      </c>
      <c r="N816">
        <v>0</v>
      </c>
      <c r="O816">
        <v>1.0321469999999999E-2</v>
      </c>
      <c r="P816">
        <v>0.98494159999999997</v>
      </c>
      <c r="Q816">
        <v>0.1718394</v>
      </c>
      <c r="R816">
        <v>1.9014590000000001E-2</v>
      </c>
      <c r="S816">
        <v>3.0626530000000001</v>
      </c>
      <c r="T816">
        <v>-8.2942959999999996E-2</v>
      </c>
      <c r="U816">
        <v>-0.11047360000000001</v>
      </c>
      <c r="V816">
        <v>-8.7899269999999995E-3</v>
      </c>
      <c r="W816">
        <v>0.1849403</v>
      </c>
      <c r="X816">
        <v>0.98271039999999998</v>
      </c>
      <c r="Y816">
        <v>4.634079E-2</v>
      </c>
      <c r="Z816">
        <v>-9.0660199999999995E-4</v>
      </c>
      <c r="AA816">
        <v>0.99892530000000002</v>
      </c>
      <c r="AB816">
        <v>35</v>
      </c>
      <c r="AC816">
        <v>42.648199999999903</v>
      </c>
      <c r="AD816">
        <v>-1.16005</v>
      </c>
      <c r="AE816">
        <v>-1.54699999999996</v>
      </c>
      <c r="AF816">
        <v>1.9856815094217899</v>
      </c>
      <c r="AG816">
        <v>-1.16005</v>
      </c>
      <c r="AH816">
        <v>42.598483415002804</v>
      </c>
      <c r="AI816">
        <v>91.558212902022106</v>
      </c>
      <c r="AJ816">
        <v>87.331152066612106</v>
      </c>
      <c r="AK816">
        <v>42.660513784032602</v>
      </c>
      <c r="AL816">
        <v>79.342347723535994</v>
      </c>
      <c r="AM816">
        <v>90.512472737688498</v>
      </c>
      <c r="AN816">
        <v>0.99999995382445594</v>
      </c>
    </row>
    <row r="817" spans="1:40" x14ac:dyDescent="0.25">
      <c r="A817" t="str">
        <f>"20190312172106588"</f>
        <v>20190312172106588</v>
      </c>
      <c r="B817" t="str">
        <f>"1552382466581605"</f>
        <v>1552382466581605</v>
      </c>
      <c r="C817" t="s">
        <v>40</v>
      </c>
      <c r="D817">
        <v>3.3016640000000002</v>
      </c>
      <c r="E817">
        <v>0.52298549999999999</v>
      </c>
      <c r="F817" t="s">
        <v>43</v>
      </c>
      <c r="G817">
        <v>-294.8005</v>
      </c>
      <c r="H817">
        <v>-0.05</v>
      </c>
      <c r="I817">
        <v>366.21339999999998</v>
      </c>
      <c r="J817">
        <v>-337.73480000000001</v>
      </c>
      <c r="K817">
        <v>1.110052</v>
      </c>
      <c r="L817">
        <v>367.86930000000001</v>
      </c>
      <c r="M817">
        <v>0.99985869999999999</v>
      </c>
      <c r="N817">
        <v>0</v>
      </c>
      <c r="O817">
        <v>1.0265969999999999E-2</v>
      </c>
      <c r="P817">
        <v>0.98495319999999997</v>
      </c>
      <c r="Q817">
        <v>0.17179359999999999</v>
      </c>
      <c r="R817">
        <v>1.8826550000000001E-2</v>
      </c>
      <c r="S817">
        <v>3.062592</v>
      </c>
      <c r="T817">
        <v>-8.24188E-2</v>
      </c>
      <c r="U817">
        <v>-0.11752319999999999</v>
      </c>
      <c r="V817">
        <v>-8.6569209999999997E-3</v>
      </c>
      <c r="W817">
        <v>0.1848958</v>
      </c>
      <c r="X817">
        <v>0.98272000000000004</v>
      </c>
      <c r="Y817">
        <v>4.8581590000000001E-2</v>
      </c>
      <c r="Z817">
        <v>-9.2949690000000001E-4</v>
      </c>
      <c r="AA817">
        <v>0.99881880000000001</v>
      </c>
      <c r="AB817">
        <v>35</v>
      </c>
      <c r="AC817">
        <v>42.9343</v>
      </c>
      <c r="AD817">
        <v>-1.1600520000000001</v>
      </c>
      <c r="AE817">
        <v>-1.6559000000000299</v>
      </c>
      <c r="AF817">
        <v>2.0950867911492699</v>
      </c>
      <c r="AG817">
        <v>-1.1600520000000001</v>
      </c>
      <c r="AH817">
        <v>42.883775852914503</v>
      </c>
      <c r="AI817">
        <v>91.547689202982895</v>
      </c>
      <c r="AJ817">
        <v>87.203038654275005</v>
      </c>
      <c r="AK817">
        <v>42.9505918551557</v>
      </c>
      <c r="AL817">
        <v>79.344942613599002</v>
      </c>
      <c r="AM817">
        <v>90.504713659346706</v>
      </c>
      <c r="AN817">
        <v>0.99999999876942003</v>
      </c>
    </row>
    <row r="818" spans="1:40" x14ac:dyDescent="0.25">
      <c r="A818" t="str">
        <f>"20190312172106599"</f>
        <v>20190312172106599</v>
      </c>
      <c r="B818" t="str">
        <f>"1552382466592341"</f>
        <v>1552382466592341</v>
      </c>
      <c r="C818" t="s">
        <v>40</v>
      </c>
      <c r="D818">
        <v>3.3017609999999999</v>
      </c>
      <c r="E818">
        <v>0.52328629999999998</v>
      </c>
      <c r="F818" t="s">
        <v>43</v>
      </c>
      <c r="G818">
        <v>-294.00369999999998</v>
      </c>
      <c r="H818">
        <v>-0.05</v>
      </c>
      <c r="I818">
        <v>366.13209999999998</v>
      </c>
      <c r="J818">
        <v>-337.54500000000002</v>
      </c>
      <c r="K818">
        <v>1.1100509999999999</v>
      </c>
      <c r="L818">
        <v>367.87119999999999</v>
      </c>
      <c r="M818">
        <v>0.99985930000000001</v>
      </c>
      <c r="N818">
        <v>0</v>
      </c>
      <c r="O818">
        <v>1.020475E-2</v>
      </c>
      <c r="P818">
        <v>0.98495849999999996</v>
      </c>
      <c r="Q818">
        <v>0.17178840000000001</v>
      </c>
      <c r="R818">
        <v>1.8598759999999999E-2</v>
      </c>
      <c r="S818">
        <v>3.0623170000000002</v>
      </c>
      <c r="T818">
        <v>-8.1233860000000005E-2</v>
      </c>
      <c r="U818">
        <v>-0.1216431</v>
      </c>
      <c r="V818">
        <v>-8.4891689999999995E-3</v>
      </c>
      <c r="W818">
        <v>0.18489159999999999</v>
      </c>
      <c r="X818">
        <v>0.98272230000000005</v>
      </c>
      <c r="Y818">
        <v>4.9865699999999999E-2</v>
      </c>
      <c r="Z818">
        <v>-9.315956E-4</v>
      </c>
      <c r="AA818">
        <v>0.99875550000000002</v>
      </c>
      <c r="AB818">
        <v>35</v>
      </c>
      <c r="AC818">
        <v>43.5413</v>
      </c>
      <c r="AD818">
        <v>-1.1600509999999999</v>
      </c>
      <c r="AE818">
        <v>-1.7391000000000001</v>
      </c>
      <c r="AF818">
        <v>2.1818306413180801</v>
      </c>
      <c r="AG818">
        <v>-1.1600509999999999</v>
      </c>
      <c r="AH818">
        <v>43.490462302854603</v>
      </c>
      <c r="AI818">
        <v>91.526009181959594</v>
      </c>
      <c r="AJ818">
        <v>87.127991684687004</v>
      </c>
      <c r="AK818">
        <v>43.560606223812002</v>
      </c>
      <c r="AL818">
        <v>79.345187968795003</v>
      </c>
      <c r="AM818">
        <v>90.494932756904007</v>
      </c>
      <c r="AN818">
        <v>1.00000004432907</v>
      </c>
    </row>
    <row r="819" spans="1:40" x14ac:dyDescent="0.25">
      <c r="A819" t="str">
        <f>"20190312172106609"</f>
        <v>20190312172106609</v>
      </c>
      <c r="B819" t="str">
        <f>"1552382466602101"</f>
        <v>1552382466602101</v>
      </c>
      <c r="C819" t="s">
        <v>40</v>
      </c>
      <c r="D819">
        <v>3.2789570000000001</v>
      </c>
      <c r="E819">
        <v>0.52358939999999998</v>
      </c>
      <c r="F819" t="s">
        <v>43</v>
      </c>
      <c r="G819">
        <v>-293.17939999999999</v>
      </c>
      <c r="H819">
        <v>-0.05</v>
      </c>
      <c r="I819">
        <v>366.06630000000001</v>
      </c>
      <c r="J819">
        <v>-337.38170000000002</v>
      </c>
      <c r="K819">
        <v>1.1100540000000001</v>
      </c>
      <c r="L819">
        <v>367.87279999999998</v>
      </c>
      <c r="M819">
        <v>0.99985990000000002</v>
      </c>
      <c r="N819">
        <v>0</v>
      </c>
      <c r="O819">
        <v>1.0152049999999999E-2</v>
      </c>
      <c r="P819">
        <v>0.9850238</v>
      </c>
      <c r="Q819">
        <v>0.17145099999999999</v>
      </c>
      <c r="R819">
        <v>1.8242899999999999E-2</v>
      </c>
      <c r="S819">
        <v>3.062103</v>
      </c>
      <c r="T819">
        <v>-8.0066319999999996E-2</v>
      </c>
      <c r="U819">
        <v>-0.1245728</v>
      </c>
      <c r="V819">
        <v>-8.1846360000000003E-3</v>
      </c>
      <c r="W819">
        <v>0.1845561</v>
      </c>
      <c r="X819">
        <v>0.98278790000000005</v>
      </c>
      <c r="Y819">
        <v>5.0770139999999998E-2</v>
      </c>
      <c r="Z819">
        <v>-9.2869790000000001E-4</v>
      </c>
      <c r="AA819">
        <v>0.99870990000000004</v>
      </c>
      <c r="AB819">
        <v>35</v>
      </c>
      <c r="AC819">
        <v>44.202300000000001</v>
      </c>
      <c r="AD819">
        <v>-1.1600539999999999</v>
      </c>
      <c r="AE819">
        <v>-1.80649999999997</v>
      </c>
      <c r="AF819">
        <v>2.2536409683344401</v>
      </c>
      <c r="AG819">
        <v>-1.1600539999999999</v>
      </c>
      <c r="AH819">
        <v>44.151321529686399</v>
      </c>
      <c r="AI819">
        <v>91.503115843544705</v>
      </c>
      <c r="AJ819">
        <v>87.077954983591397</v>
      </c>
      <c r="AK819">
        <v>44.224018538739998</v>
      </c>
      <c r="AL819">
        <v>79.364746825249995</v>
      </c>
      <c r="AM819">
        <v>90.477146960029501</v>
      </c>
      <c r="AN819">
        <v>0.99999999935003603</v>
      </c>
    </row>
    <row r="820" spans="1:40" x14ac:dyDescent="0.25">
      <c r="A820" t="str">
        <f>"20190312172106620"</f>
        <v>20190312172106620</v>
      </c>
      <c r="B820" t="str">
        <f>"1552382466611862"</f>
        <v>1552382466611862</v>
      </c>
      <c r="C820" t="s">
        <v>40</v>
      </c>
      <c r="D820">
        <v>3.266581</v>
      </c>
      <c r="E820">
        <v>0.52380689999999996</v>
      </c>
      <c r="F820" t="s">
        <v>43</v>
      </c>
      <c r="G820">
        <v>-293.23590000000002</v>
      </c>
      <c r="H820">
        <v>-0.05</v>
      </c>
      <c r="I820">
        <v>366.02699999999999</v>
      </c>
      <c r="J820">
        <v>-337.21269999999998</v>
      </c>
      <c r="K820">
        <v>1.110052</v>
      </c>
      <c r="L820">
        <v>367.87439999999998</v>
      </c>
      <c r="M820">
        <v>0.99986039999999998</v>
      </c>
      <c r="N820">
        <v>0</v>
      </c>
      <c r="O820">
        <v>1.0097389999999999E-2</v>
      </c>
      <c r="P820">
        <v>0.98500180000000004</v>
      </c>
      <c r="Q820">
        <v>0.1715882</v>
      </c>
      <c r="R820">
        <v>1.8138560000000001E-2</v>
      </c>
      <c r="S820">
        <v>3.0620120000000002</v>
      </c>
      <c r="T820">
        <v>-8.0462809999999996E-2</v>
      </c>
      <c r="U820">
        <v>-0.1280212</v>
      </c>
      <c r="V820">
        <v>-8.134278E-3</v>
      </c>
      <c r="W820">
        <v>0.18469379999999999</v>
      </c>
      <c r="X820">
        <v>0.98276249999999998</v>
      </c>
      <c r="Y820">
        <v>5.183902E-2</v>
      </c>
      <c r="Z820">
        <v>-9.4590129999999996E-4</v>
      </c>
      <c r="AA820">
        <v>0.99865499999999996</v>
      </c>
      <c r="AB820">
        <v>35</v>
      </c>
      <c r="AC820">
        <v>43.976799999999898</v>
      </c>
      <c r="AD820">
        <v>-1.1600520000000001</v>
      </c>
      <c r="AE820">
        <v>-1.8473999999999899</v>
      </c>
      <c r="AF820">
        <v>2.2898055316816799</v>
      </c>
      <c r="AG820">
        <v>-1.1600520000000001</v>
      </c>
      <c r="AH820">
        <v>43.925391017105802</v>
      </c>
      <c r="AI820">
        <v>91.510756586331993</v>
      </c>
      <c r="AJ820">
        <v>87.0159048710495</v>
      </c>
      <c r="AK820">
        <v>44.000328476288203</v>
      </c>
      <c r="AL820">
        <v>79.356719726465002</v>
      </c>
      <c r="AM820">
        <v>90.474223585344603</v>
      </c>
      <c r="AN820">
        <v>1.0000000488216301</v>
      </c>
    </row>
    <row r="821" spans="1:40" x14ac:dyDescent="0.25">
      <c r="A821" t="str">
        <f>"20190312172106631"</f>
        <v>20190312172106631</v>
      </c>
      <c r="B821" t="str">
        <f>"1552382466621622"</f>
        <v>1552382466621622</v>
      </c>
      <c r="C821" t="s">
        <v>40</v>
      </c>
      <c r="D821">
        <v>3.2896969999999999</v>
      </c>
      <c r="E821">
        <v>0.52400779999999902</v>
      </c>
      <c r="F821" t="s">
        <v>43</v>
      </c>
      <c r="G821">
        <v>-292.19549999999998</v>
      </c>
      <c r="H821">
        <v>-0.05</v>
      </c>
      <c r="I821">
        <v>365.95670000000001</v>
      </c>
      <c r="J821">
        <v>-337.0394</v>
      </c>
      <c r="K821">
        <v>1.110053</v>
      </c>
      <c r="L821">
        <v>367.87619999999998</v>
      </c>
      <c r="M821">
        <v>0.999861</v>
      </c>
      <c r="N821">
        <v>0</v>
      </c>
      <c r="O821">
        <v>1.0041359999999999E-2</v>
      </c>
      <c r="P821">
        <v>0.98502940000000005</v>
      </c>
      <c r="Q821">
        <v>0.17145820000000001</v>
      </c>
      <c r="R821">
        <v>1.7867129999999998E-2</v>
      </c>
      <c r="S821">
        <v>3.0618289999999999</v>
      </c>
      <c r="T821">
        <v>-7.8900579999999998E-2</v>
      </c>
      <c r="U821">
        <v>-0.1304321</v>
      </c>
      <c r="V821">
        <v>-7.9179750000000007E-3</v>
      </c>
      <c r="W821">
        <v>0.18456500000000001</v>
      </c>
      <c r="X821">
        <v>0.98278840000000001</v>
      </c>
      <c r="Y821">
        <v>5.2571079999999999E-2</v>
      </c>
      <c r="Z821">
        <v>-9.3556599999999998E-4</v>
      </c>
      <c r="AA821">
        <v>0.99861679999999997</v>
      </c>
      <c r="AB821">
        <v>35</v>
      </c>
      <c r="AC821">
        <v>44.843899999999998</v>
      </c>
      <c r="AD821">
        <v>-1.160053</v>
      </c>
      <c r="AE821">
        <v>-1.91949999999997</v>
      </c>
      <c r="AF821">
        <v>2.3681549985632699</v>
      </c>
      <c r="AG821">
        <v>-1.160053</v>
      </c>
      <c r="AH821">
        <v>44.792442864018398</v>
      </c>
      <c r="AI821">
        <v>91.481469777788803</v>
      </c>
      <c r="AJ821">
        <v>86.973617251001599</v>
      </c>
      <c r="AK821">
        <v>44.869999095011998</v>
      </c>
      <c r="AL821">
        <v>79.364227839911607</v>
      </c>
      <c r="AM821">
        <v>90.461601637155297</v>
      </c>
      <c r="AN821">
        <v>0.99999998636383003</v>
      </c>
    </row>
    <row r="822" spans="1:40" x14ac:dyDescent="0.25">
      <c r="A822" t="str">
        <f>"20190312172106644"</f>
        <v>20190312172106644</v>
      </c>
      <c r="B822" t="str">
        <f>"1552382466632357"</f>
        <v>1552382466632357</v>
      </c>
      <c r="C822" t="s">
        <v>40</v>
      </c>
      <c r="D822">
        <v>3.2859590000000001</v>
      </c>
      <c r="E822">
        <v>0.52421799999999996</v>
      </c>
      <c r="F822" t="s">
        <v>43</v>
      </c>
      <c r="G822">
        <v>-291.80709999999999</v>
      </c>
      <c r="H822">
        <v>-0.05</v>
      </c>
      <c r="I822">
        <v>365.91129999999998</v>
      </c>
      <c r="J822">
        <v>-336.85219999999998</v>
      </c>
      <c r="K822">
        <v>1.1100509999999999</v>
      </c>
      <c r="L822">
        <v>367.87799999999999</v>
      </c>
      <c r="M822">
        <v>0.99986169999999996</v>
      </c>
      <c r="N822">
        <v>0</v>
      </c>
      <c r="O822">
        <v>9.9809779999999997E-3</v>
      </c>
      <c r="P822">
        <v>0.98502009999999995</v>
      </c>
      <c r="Q822">
        <v>0.1715286</v>
      </c>
      <c r="R822">
        <v>1.7710469999999999E-2</v>
      </c>
      <c r="S822">
        <v>3.0616460000000001</v>
      </c>
      <c r="T822">
        <v>-7.8520770000000004E-2</v>
      </c>
      <c r="U822">
        <v>-0.13299559999999999</v>
      </c>
      <c r="V822">
        <v>-7.8208600000000007E-3</v>
      </c>
      <c r="W822">
        <v>0.18463570000000001</v>
      </c>
      <c r="X822">
        <v>0.98277590000000004</v>
      </c>
      <c r="Y822">
        <v>5.3347840000000001E-2</v>
      </c>
      <c r="Z822">
        <v>-9.3950920000000001E-4</v>
      </c>
      <c r="AA822">
        <v>0.99857560000000001</v>
      </c>
      <c r="AB822">
        <v>35</v>
      </c>
      <c r="AC822">
        <v>45.045099999999898</v>
      </c>
      <c r="AD822">
        <v>-1.1600509999999999</v>
      </c>
      <c r="AE822">
        <v>-1.9667000000000601</v>
      </c>
      <c r="AF822">
        <v>2.4146375623755501</v>
      </c>
      <c r="AG822">
        <v>-1.1600509999999999</v>
      </c>
      <c r="AH822">
        <v>44.993440652797702</v>
      </c>
      <c r="AI822">
        <v>91.474789640816894</v>
      </c>
      <c r="AJ822">
        <v>86.928086631266495</v>
      </c>
      <c r="AK822">
        <v>45.073117205903003</v>
      </c>
      <c r="AL822">
        <v>79.360106216243693</v>
      </c>
      <c r="AM822">
        <v>90.455946072028397</v>
      </c>
      <c r="AN822">
        <v>0.99999998859321904</v>
      </c>
    </row>
    <row r="823" spans="1:40" x14ac:dyDescent="0.25">
      <c r="A823" t="str">
        <f>"20190312172106655"</f>
        <v>20190312172106655</v>
      </c>
      <c r="B823" t="str">
        <f>"1552382466651878"</f>
        <v>1552382466651878</v>
      </c>
      <c r="C823" t="s">
        <v>40</v>
      </c>
      <c r="D823">
        <v>3.283531</v>
      </c>
      <c r="E823">
        <v>0.52458519999999997</v>
      </c>
      <c r="F823" t="s">
        <v>43</v>
      </c>
      <c r="G823">
        <v>-290.91180000000003</v>
      </c>
      <c r="H823">
        <v>-0.05</v>
      </c>
      <c r="I823">
        <v>365.84930000000003</v>
      </c>
      <c r="J823">
        <v>-336.66239999999999</v>
      </c>
      <c r="K823">
        <v>1.110047</v>
      </c>
      <c r="L823">
        <v>367.87979999999999</v>
      </c>
      <c r="M823">
        <v>0.99986220000000003</v>
      </c>
      <c r="N823">
        <v>0</v>
      </c>
      <c r="O823">
        <v>9.9202370000000002E-3</v>
      </c>
      <c r="P823">
        <v>0.98502710000000004</v>
      </c>
      <c r="Q823">
        <v>0.17150489999999999</v>
      </c>
      <c r="R823">
        <v>1.7542559999999999E-2</v>
      </c>
      <c r="S823">
        <v>3.0615230000000002</v>
      </c>
      <c r="T823">
        <v>-7.7307219999999996E-2</v>
      </c>
      <c r="U823">
        <v>-0.13519289999999901</v>
      </c>
      <c r="V823">
        <v>-7.7121739999999996E-3</v>
      </c>
      <c r="W823">
        <v>0.18461279999999999</v>
      </c>
      <c r="X823">
        <v>0.98278109999999996</v>
      </c>
      <c r="Y823">
        <v>5.4004650000000001E-2</v>
      </c>
      <c r="Z823">
        <v>-9.3177039999999998E-4</v>
      </c>
      <c r="AA823">
        <v>0.99854019999999999</v>
      </c>
      <c r="AB823">
        <v>35</v>
      </c>
      <c r="AC823">
        <v>45.750599999999899</v>
      </c>
      <c r="AD823">
        <v>-1.1600469999999901</v>
      </c>
      <c r="AE823">
        <v>-2.03049999999996</v>
      </c>
      <c r="AF823">
        <v>2.4827040285424999</v>
      </c>
      <c r="AG823">
        <v>-1.1600469999999901</v>
      </c>
      <c r="AH823">
        <v>45.698880527523301</v>
      </c>
      <c r="AI823">
        <v>91.451976920927905</v>
      </c>
      <c r="AJ823">
        <v>86.890322896349304</v>
      </c>
      <c r="AK823">
        <v>45.7809699526386</v>
      </c>
      <c r="AL823">
        <v>79.361441653482203</v>
      </c>
      <c r="AM823">
        <v>90.4496077012234</v>
      </c>
      <c r="AN823">
        <v>1.00000002703442</v>
      </c>
    </row>
    <row r="824" spans="1:40" x14ac:dyDescent="0.25">
      <c r="A824" t="str">
        <f>"20190312172106667"</f>
        <v>20190312172106667</v>
      </c>
      <c r="B824" t="str">
        <f>"1552382466661640"</f>
        <v>1552382466661640</v>
      </c>
      <c r="C824" t="s">
        <v>40</v>
      </c>
      <c r="D824">
        <v>3.2780450000000001</v>
      </c>
      <c r="E824">
        <v>0.52470519999999998</v>
      </c>
      <c r="F824" t="s">
        <v>43</v>
      </c>
      <c r="G824">
        <v>-290.4513</v>
      </c>
      <c r="H824">
        <v>-0.05</v>
      </c>
      <c r="I824">
        <v>365.79250000000002</v>
      </c>
      <c r="J824">
        <v>-336.47890000000001</v>
      </c>
      <c r="K824">
        <v>1.1100460000000001</v>
      </c>
      <c r="L824">
        <v>367.88159999999999</v>
      </c>
      <c r="M824">
        <v>0.99986269999999999</v>
      </c>
      <c r="N824">
        <v>0</v>
      </c>
      <c r="O824">
        <v>9.8615230000000005E-3</v>
      </c>
      <c r="P824">
        <v>0.98505039999999999</v>
      </c>
      <c r="Q824">
        <v>0.17138610000000001</v>
      </c>
      <c r="R824">
        <v>1.7390289999999999E-2</v>
      </c>
      <c r="S824">
        <v>3.0614319999999999</v>
      </c>
      <c r="T824">
        <v>-7.6851729999999993E-2</v>
      </c>
      <c r="U824">
        <v>-0.13827509999999901</v>
      </c>
      <c r="V824">
        <v>-7.6176849999999999E-3</v>
      </c>
      <c r="W824">
        <v>0.1844942</v>
      </c>
      <c r="X824">
        <v>0.98280409999999996</v>
      </c>
      <c r="Y824">
        <v>5.4950609999999997E-2</v>
      </c>
      <c r="Z824">
        <v>-9.3668159999999996E-4</v>
      </c>
      <c r="AA824">
        <v>0.99848859999999995</v>
      </c>
      <c r="AB824">
        <v>35</v>
      </c>
      <c r="AC824">
        <v>46.0276</v>
      </c>
      <c r="AD824">
        <v>-1.1600459999999999</v>
      </c>
      <c r="AE824">
        <v>-2.08909999999997</v>
      </c>
      <c r="AF824">
        <v>2.5413299381008501</v>
      </c>
      <c r="AG824">
        <v>-1.1600459999999999</v>
      </c>
      <c r="AH824">
        <v>45.9756140387085</v>
      </c>
      <c r="AI824">
        <v>91.443165004616603</v>
      </c>
      <c r="AJ824">
        <v>86.836160688512905</v>
      </c>
      <c r="AK824">
        <v>46.060407627513399</v>
      </c>
      <c r="AL824">
        <v>79.368355612215694</v>
      </c>
      <c r="AM824">
        <v>90.4440889694812</v>
      </c>
      <c r="AN824">
        <v>1.0000000189675999</v>
      </c>
    </row>
    <row r="825" spans="1:40" x14ac:dyDescent="0.25">
      <c r="A825" t="str">
        <f>"20190312172106678"</f>
        <v>20190312172106678</v>
      </c>
      <c r="B825" t="str">
        <f>"1552382466672373"</f>
        <v>1552382466672373</v>
      </c>
      <c r="C825" t="s">
        <v>40</v>
      </c>
      <c r="D825">
        <v>3.274899</v>
      </c>
      <c r="E825">
        <v>0.52486750000000004</v>
      </c>
      <c r="F825" t="s">
        <v>43</v>
      </c>
      <c r="G825">
        <v>-290.63589999999999</v>
      </c>
      <c r="H825">
        <v>-0.05</v>
      </c>
      <c r="I825">
        <v>365.78910000000002</v>
      </c>
      <c r="J825">
        <v>-336.30399999999997</v>
      </c>
      <c r="K825">
        <v>1.1100460000000001</v>
      </c>
      <c r="L825">
        <v>367.88319999999999</v>
      </c>
      <c r="M825">
        <v>0.99986330000000001</v>
      </c>
      <c r="N825">
        <v>0</v>
      </c>
      <c r="O825">
        <v>9.8054920000000007E-3</v>
      </c>
      <c r="P825">
        <v>0.98506400000000005</v>
      </c>
      <c r="Q825">
        <v>0.1713239</v>
      </c>
      <c r="R825">
        <v>1.7234659999999999E-2</v>
      </c>
      <c r="S825">
        <v>3.0614620000000001</v>
      </c>
      <c r="T825">
        <v>-7.7469590000000005E-2</v>
      </c>
      <c r="U825">
        <v>-0.13974</v>
      </c>
      <c r="V825">
        <v>-7.5174819999999998E-3</v>
      </c>
      <c r="W825">
        <v>0.18443280000000001</v>
      </c>
      <c r="X825">
        <v>0.98281640000000003</v>
      </c>
      <c r="Y825">
        <v>5.5370519999999999E-2</v>
      </c>
      <c r="Z825">
        <v>-9.4808239999999997E-4</v>
      </c>
      <c r="AA825">
        <v>0.99846539999999995</v>
      </c>
      <c r="AB825">
        <v>35</v>
      </c>
      <c r="AC825">
        <v>45.668100000000003</v>
      </c>
      <c r="AD825">
        <v>-1.1600459999999999</v>
      </c>
      <c r="AE825">
        <v>-2.0940999999999601</v>
      </c>
      <c r="AF825">
        <v>2.54020157244334</v>
      </c>
      <c r="AG825">
        <v>-1.1600459999999999</v>
      </c>
      <c r="AH825">
        <v>45.6159968890559</v>
      </c>
      <c r="AI825">
        <v>91.454504382447098</v>
      </c>
      <c r="AJ825">
        <v>86.812682489356007</v>
      </c>
      <c r="AK825">
        <v>45.7013949779776</v>
      </c>
      <c r="AL825">
        <v>79.371935042827303</v>
      </c>
      <c r="AM825">
        <v>90.4382421697144</v>
      </c>
      <c r="AN825">
        <v>1.0000000231802</v>
      </c>
    </row>
    <row r="826" spans="1:40" x14ac:dyDescent="0.25">
      <c r="A826" t="str">
        <f>"20190312172106689"</f>
        <v>20190312172106689</v>
      </c>
      <c r="B826" t="str">
        <f>"1552382466682133"</f>
        <v>1552382466682133</v>
      </c>
      <c r="C826" t="s">
        <v>40</v>
      </c>
      <c r="D826">
        <v>3.253085</v>
      </c>
      <c r="E826">
        <v>0.52494059999999998</v>
      </c>
      <c r="F826" t="s">
        <v>43</v>
      </c>
      <c r="G826">
        <v>-290.2253</v>
      </c>
      <c r="H826">
        <v>-0.05</v>
      </c>
      <c r="I826">
        <v>365.75369999999998</v>
      </c>
      <c r="J826">
        <v>-336.1259</v>
      </c>
      <c r="K826">
        <v>1.1100490000000001</v>
      </c>
      <c r="L826">
        <v>367.88490000000002</v>
      </c>
      <c r="M826">
        <v>0.99986379999999997</v>
      </c>
      <c r="N826">
        <v>0</v>
      </c>
      <c r="O826">
        <v>9.7480970000000007E-3</v>
      </c>
      <c r="P826">
        <v>0.98511059999999995</v>
      </c>
      <c r="Q826">
        <v>0.171089299999999</v>
      </c>
      <c r="R826">
        <v>1.690202E-2</v>
      </c>
      <c r="S826">
        <v>3.06134</v>
      </c>
      <c r="T826">
        <v>-7.7070360000000004E-2</v>
      </c>
      <c r="U826">
        <v>-0.14147950000000001</v>
      </c>
      <c r="V826">
        <v>-7.2408380000000003E-3</v>
      </c>
      <c r="W826">
        <v>0.184199</v>
      </c>
      <c r="X826">
        <v>0.98286229999999997</v>
      </c>
      <c r="Y826">
        <v>5.5881229999999997E-2</v>
      </c>
      <c r="Z826">
        <v>-9.4820359999999999E-4</v>
      </c>
      <c r="AA826">
        <v>0.99843700000000002</v>
      </c>
      <c r="AB826">
        <v>35</v>
      </c>
      <c r="AC826">
        <v>45.900599999999997</v>
      </c>
      <c r="AD826">
        <v>-1.1600489999999899</v>
      </c>
      <c r="AE826">
        <v>-2.13120000000003</v>
      </c>
      <c r="AF826">
        <v>2.5769394828179899</v>
      </c>
      <c r="AG826">
        <v>-1.1600489999999899</v>
      </c>
      <c r="AH826">
        <v>45.848420040826497</v>
      </c>
      <c r="AI826">
        <v>91.447095959342803</v>
      </c>
      <c r="AJ826">
        <v>86.783039118074598</v>
      </c>
      <c r="AK826">
        <v>45.935432413558097</v>
      </c>
      <c r="AL826">
        <v>79.385564067545801</v>
      </c>
      <c r="AM826">
        <v>90.422095701740105</v>
      </c>
      <c r="AN826">
        <v>1.0000000010486101</v>
      </c>
    </row>
    <row r="827" spans="1:40" x14ac:dyDescent="0.25">
      <c r="A827" t="str">
        <f>"20190312172106699"</f>
        <v>20190312172106699</v>
      </c>
      <c r="B827" t="str">
        <f>"1552382466691893"</f>
        <v>1552382466691893</v>
      </c>
      <c r="C827" t="s">
        <v>40</v>
      </c>
      <c r="D827">
        <v>3.2670599999999999</v>
      </c>
      <c r="E827">
        <v>0.52506409999999903</v>
      </c>
      <c r="F827" t="s">
        <v>43</v>
      </c>
      <c r="G827">
        <v>-290.45679999999999</v>
      </c>
      <c r="H827">
        <v>-0.05</v>
      </c>
      <c r="I827">
        <v>365.75150000000002</v>
      </c>
      <c r="J827">
        <v>-335.9658</v>
      </c>
      <c r="K827">
        <v>1.1100479999999999</v>
      </c>
      <c r="L827">
        <v>367.88639999999998</v>
      </c>
      <c r="M827">
        <v>0.99986430000000004</v>
      </c>
      <c r="N827">
        <v>0</v>
      </c>
      <c r="O827">
        <v>9.6964240000000004E-3</v>
      </c>
      <c r="P827">
        <v>0.98512840000000002</v>
      </c>
      <c r="Q827">
        <v>0.1709975</v>
      </c>
      <c r="R827">
        <v>1.6802089999999999E-2</v>
      </c>
      <c r="S827">
        <v>3.06134</v>
      </c>
      <c r="T827">
        <v>-7.7761650000000002E-2</v>
      </c>
      <c r="U827">
        <v>-0.14300539999999901</v>
      </c>
      <c r="V827">
        <v>-7.1917530000000004E-3</v>
      </c>
      <c r="W827">
        <v>0.18410760000000001</v>
      </c>
      <c r="X827">
        <v>0.98287979999999997</v>
      </c>
      <c r="Y827">
        <v>5.6325720000000003E-2</v>
      </c>
      <c r="Z827">
        <v>-9.6102440000000002E-4</v>
      </c>
      <c r="AA827">
        <v>0.99841199999999997</v>
      </c>
      <c r="AB827">
        <v>35</v>
      </c>
      <c r="AC827">
        <v>45.509</v>
      </c>
      <c r="AD827">
        <v>-1.160048</v>
      </c>
      <c r="AE827">
        <v>-2.1348999999999498</v>
      </c>
      <c r="AF827">
        <v>2.5744442005172199</v>
      </c>
      <c r="AG827">
        <v>-1.160048</v>
      </c>
      <c r="AH827">
        <v>45.456686070559599</v>
      </c>
      <c r="AI827">
        <v>91.459524790592894</v>
      </c>
      <c r="AJ827">
        <v>86.758510267478499</v>
      </c>
      <c r="AK827">
        <v>45.5443057123641</v>
      </c>
      <c r="AL827">
        <v>79.390892177721597</v>
      </c>
      <c r="AM827">
        <v>90.4192269906805</v>
      </c>
      <c r="AN827">
        <v>1.0000000154685</v>
      </c>
    </row>
    <row r="828" spans="1:40" x14ac:dyDescent="0.25">
      <c r="A828" t="str">
        <f>"20190312172106710"</f>
        <v>20190312172106710</v>
      </c>
      <c r="B828" t="str">
        <f>"1552382466701653"</f>
        <v>1552382466701653</v>
      </c>
      <c r="C828" t="s">
        <v>40</v>
      </c>
      <c r="D828">
        <v>3.2749450000000002</v>
      </c>
      <c r="E828">
        <v>0.52519300000000002</v>
      </c>
      <c r="F828" t="s">
        <v>43</v>
      </c>
      <c r="G828">
        <v>-290.20100000000002</v>
      </c>
      <c r="H828">
        <v>-0.05</v>
      </c>
      <c r="I828">
        <v>365.72980000000001</v>
      </c>
      <c r="J828">
        <v>-335.80290000000002</v>
      </c>
      <c r="K828">
        <v>1.1100479999999999</v>
      </c>
      <c r="L828">
        <v>367.8879</v>
      </c>
      <c r="M828">
        <v>0.99986489999999995</v>
      </c>
      <c r="N828">
        <v>0</v>
      </c>
      <c r="O828">
        <v>9.6437959999999996E-3</v>
      </c>
      <c r="P828">
        <v>0.98515390000000003</v>
      </c>
      <c r="Q828">
        <v>0.1708674</v>
      </c>
      <c r="R828">
        <v>1.6618279999999999E-2</v>
      </c>
      <c r="S828">
        <v>3.0612180000000002</v>
      </c>
      <c r="T828">
        <v>-7.7595830000000005E-2</v>
      </c>
      <c r="U828">
        <v>-0.14425660000000001</v>
      </c>
      <c r="V828">
        <v>-7.0592930000000003E-3</v>
      </c>
      <c r="W828">
        <v>0.18397769999999999</v>
      </c>
      <c r="X828">
        <v>0.98290509999999998</v>
      </c>
      <c r="Y828">
        <v>5.668219E-2</v>
      </c>
      <c r="Z828">
        <v>-9.6218629999999996E-4</v>
      </c>
      <c r="AA828">
        <v>0.99839180000000005</v>
      </c>
      <c r="AB828">
        <v>35</v>
      </c>
      <c r="AC828">
        <v>45.601900000000001</v>
      </c>
      <c r="AD828">
        <v>-1.160048</v>
      </c>
      <c r="AE828">
        <v>-2.1580999999999899</v>
      </c>
      <c r="AF828">
        <v>2.5961377475070502</v>
      </c>
      <c r="AG828">
        <v>-1.160048</v>
      </c>
      <c r="AH828">
        <v>45.5495546600471</v>
      </c>
      <c r="AI828">
        <v>91.4565205774948</v>
      </c>
      <c r="AJ828">
        <v>86.737904910702198</v>
      </c>
      <c r="AK828">
        <v>45.638224902979701</v>
      </c>
      <c r="AL828">
        <v>79.398464417081996</v>
      </c>
      <c r="AM828">
        <v>90.411495210500902</v>
      </c>
      <c r="AN828">
        <v>1.00000003166047</v>
      </c>
    </row>
    <row r="829" spans="1:40" x14ac:dyDescent="0.25">
      <c r="A829" t="str">
        <f>"20190312172106721"</f>
        <v>20190312172106721</v>
      </c>
      <c r="B829" t="str">
        <f>"1552382466712389"</f>
        <v>1552382466712389</v>
      </c>
      <c r="C829" t="s">
        <v>40</v>
      </c>
      <c r="D829">
        <v>3.2534299999999998</v>
      </c>
      <c r="E829">
        <v>0.52524689999999996</v>
      </c>
      <c r="F829" t="s">
        <v>43</v>
      </c>
      <c r="G829">
        <v>-290.22059999999999</v>
      </c>
      <c r="H829">
        <v>-0.05</v>
      </c>
      <c r="I829">
        <v>365.7167</v>
      </c>
      <c r="J829">
        <v>-335.6309</v>
      </c>
      <c r="K829">
        <v>1.1100449999999999</v>
      </c>
      <c r="L829">
        <v>367.8895</v>
      </c>
      <c r="M829">
        <v>0.99986549999999996</v>
      </c>
      <c r="N829">
        <v>0</v>
      </c>
      <c r="O829">
        <v>9.5882480000000006E-3</v>
      </c>
      <c r="P829">
        <v>0.98515549999999996</v>
      </c>
      <c r="Q829">
        <v>0.170872</v>
      </c>
      <c r="R829">
        <v>1.6495159999999998E-2</v>
      </c>
      <c r="S829">
        <v>3.061188</v>
      </c>
      <c r="T829">
        <v>-7.7905769999999999E-2</v>
      </c>
      <c r="U829">
        <v>-0.145813</v>
      </c>
      <c r="V829">
        <v>-6.9913270000000003E-3</v>
      </c>
      <c r="W829">
        <v>0.18398239999999999</v>
      </c>
      <c r="X829">
        <v>0.98290469999999996</v>
      </c>
      <c r="Y829">
        <v>5.7133370000000003E-2</v>
      </c>
      <c r="Z829">
        <v>-9.7035090000000001E-4</v>
      </c>
      <c r="AA829">
        <v>0.99836610000000003</v>
      </c>
      <c r="AB829">
        <v>35</v>
      </c>
      <c r="AC829">
        <v>45.410299999999999</v>
      </c>
      <c r="AD829">
        <v>-1.160045</v>
      </c>
      <c r="AE829">
        <v>-2.1727999999999899</v>
      </c>
      <c r="AF829">
        <v>2.6064468115113302</v>
      </c>
      <c r="AG829">
        <v>-1.160045</v>
      </c>
      <c r="AH829">
        <v>45.357844508193899</v>
      </c>
      <c r="AI829">
        <v>91.462631234260598</v>
      </c>
      <c r="AJ829">
        <v>86.711167592866403</v>
      </c>
      <c r="AK829">
        <v>45.447478783896898</v>
      </c>
      <c r="AL829">
        <v>79.398190386626794</v>
      </c>
      <c r="AM829">
        <v>90.407533685618205</v>
      </c>
      <c r="AN829">
        <v>1.0000000257225301</v>
      </c>
    </row>
    <row r="830" spans="1:40" x14ac:dyDescent="0.25">
      <c r="A830" t="str">
        <f>"20190312172106731"</f>
        <v>20190312172106731</v>
      </c>
      <c r="B830" t="str">
        <f>"1552382466722150"</f>
        <v>1552382466722150</v>
      </c>
      <c r="C830" t="s">
        <v>40</v>
      </c>
      <c r="D830">
        <v>3.257307</v>
      </c>
      <c r="E830">
        <v>0.52539190000000002</v>
      </c>
      <c r="F830" t="s">
        <v>43</v>
      </c>
      <c r="G830">
        <v>-289.98719999999997</v>
      </c>
      <c r="H830">
        <v>-0.05</v>
      </c>
      <c r="I830">
        <v>365.70670000000001</v>
      </c>
      <c r="J830">
        <v>-335.45429999999999</v>
      </c>
      <c r="K830">
        <v>1.110044</v>
      </c>
      <c r="L830">
        <v>367.89109999999999</v>
      </c>
      <c r="M830">
        <v>0.99986589999999997</v>
      </c>
      <c r="N830">
        <v>0</v>
      </c>
      <c r="O830">
        <v>9.5312109999999995E-3</v>
      </c>
      <c r="P830">
        <v>0.98516409999999999</v>
      </c>
      <c r="Q830">
        <v>0.170824799999999</v>
      </c>
      <c r="R830">
        <v>1.645804E-2</v>
      </c>
      <c r="S830">
        <v>3.0612180000000002</v>
      </c>
      <c r="T830">
        <v>-7.7801469999999998E-2</v>
      </c>
      <c r="U830">
        <v>-0.14639279999999999</v>
      </c>
      <c r="V830">
        <v>-7.010138E-3</v>
      </c>
      <c r="W830">
        <v>0.18393509999999999</v>
      </c>
      <c r="X830">
        <v>0.98291340000000005</v>
      </c>
      <c r="Y830">
        <v>5.7264660000000002E-2</v>
      </c>
      <c r="Z830">
        <v>-9.6925639999999997E-4</v>
      </c>
      <c r="AA830">
        <v>0.99835850000000004</v>
      </c>
      <c r="AB830">
        <v>35</v>
      </c>
      <c r="AC830">
        <v>45.467100000000002</v>
      </c>
      <c r="AD830">
        <v>-1.1600440000000001</v>
      </c>
      <c r="AE830">
        <v>-2.1843999999999801</v>
      </c>
      <c r="AF830">
        <v>2.6159967263196</v>
      </c>
      <c r="AG830">
        <v>-1.1600440000000001</v>
      </c>
      <c r="AH830">
        <v>45.4147174648134</v>
      </c>
      <c r="AI830">
        <v>91.460787531577097</v>
      </c>
      <c r="AJ830">
        <v>86.703268588266397</v>
      </c>
      <c r="AK830">
        <v>45.504787697151997</v>
      </c>
      <c r="AL830">
        <v>79.400947334777499</v>
      </c>
      <c r="AM830">
        <v>90.408626549763099</v>
      </c>
      <c r="AN830">
        <v>1.0000000074731701</v>
      </c>
    </row>
    <row r="831" spans="1:40" x14ac:dyDescent="0.25">
      <c r="A831" t="str">
        <f>"20190312172106743"</f>
        <v>20190312172106743</v>
      </c>
      <c r="B831" t="str">
        <f>"1552382466731910"</f>
        <v>1552382466731910</v>
      </c>
      <c r="C831" t="s">
        <v>40</v>
      </c>
      <c r="D831">
        <v>3.2675380000000001</v>
      </c>
      <c r="E831">
        <v>0.52552929999999998</v>
      </c>
      <c r="F831" t="s">
        <v>43</v>
      </c>
      <c r="G831">
        <v>-289.94389999999999</v>
      </c>
      <c r="H831">
        <v>-0.05</v>
      </c>
      <c r="I831">
        <v>365.6952</v>
      </c>
      <c r="J831">
        <v>-335.28309999999999</v>
      </c>
      <c r="K831">
        <v>1.1100429999999999</v>
      </c>
      <c r="L831">
        <v>367.89269999999999</v>
      </c>
      <c r="M831">
        <v>0.99986649999999999</v>
      </c>
      <c r="N831">
        <v>0</v>
      </c>
      <c r="O831">
        <v>9.4756649999999994E-3</v>
      </c>
      <c r="P831">
        <v>0.9851723</v>
      </c>
      <c r="Q831">
        <v>0.17080689999999901</v>
      </c>
      <c r="R831">
        <v>1.614755E-2</v>
      </c>
      <c r="S831">
        <v>3.0611570000000001</v>
      </c>
      <c r="T831">
        <v>-7.8027840000000001E-2</v>
      </c>
      <c r="U831">
        <v>-0.14770510000000001</v>
      </c>
      <c r="V831">
        <v>-6.7547249999999996E-3</v>
      </c>
      <c r="W831">
        <v>0.18391730000000001</v>
      </c>
      <c r="X831">
        <v>0.98291850000000003</v>
      </c>
      <c r="Y831">
        <v>5.7636890000000003E-2</v>
      </c>
      <c r="Z831">
        <v>-9.754106E-4</v>
      </c>
      <c r="AA831">
        <v>0.99833709999999998</v>
      </c>
      <c r="AB831">
        <v>35</v>
      </c>
      <c r="AC831">
        <v>45.339199999999998</v>
      </c>
      <c r="AD831">
        <v>-1.1600429999999999</v>
      </c>
      <c r="AE831">
        <v>-2.19749999999999</v>
      </c>
      <c r="AF831">
        <v>2.6253438450441902</v>
      </c>
      <c r="AG831">
        <v>-1.1600429999999999</v>
      </c>
      <c r="AH831">
        <v>45.286762606833598</v>
      </c>
      <c r="AI831">
        <v>91.464880703625298</v>
      </c>
      <c r="AJ831">
        <v>86.682188224079397</v>
      </c>
      <c r="AK831">
        <v>45.3776266179079</v>
      </c>
      <c r="AL831">
        <v>79.401984698080497</v>
      </c>
      <c r="AM831">
        <v>90.393736756435601</v>
      </c>
      <c r="AN831">
        <v>0.99999998859568195</v>
      </c>
    </row>
    <row r="832" spans="1:40" x14ac:dyDescent="0.25">
      <c r="A832" t="str">
        <f>"20190312172106755"</f>
        <v>20190312172106755</v>
      </c>
      <c r="B832" t="str">
        <f>"1552382466752406"</f>
        <v>1552382466752406</v>
      </c>
      <c r="C832" t="s">
        <v>40</v>
      </c>
      <c r="D832">
        <v>3.2469570000000001</v>
      </c>
      <c r="E832">
        <v>0.52575919999999998</v>
      </c>
      <c r="F832" t="s">
        <v>43</v>
      </c>
      <c r="G832">
        <v>-289.68419999999998</v>
      </c>
      <c r="H832">
        <v>-0.05</v>
      </c>
      <c r="I832">
        <v>365.65969999999999</v>
      </c>
      <c r="J832">
        <v>-335.10090000000002</v>
      </c>
      <c r="K832">
        <v>1.1100490000000001</v>
      </c>
      <c r="L832">
        <v>367.89440000000002</v>
      </c>
      <c r="M832">
        <v>0.99986710000000001</v>
      </c>
      <c r="N832">
        <v>0</v>
      </c>
      <c r="O832">
        <v>9.4164260000000003E-3</v>
      </c>
      <c r="P832">
        <v>0.98516159999999997</v>
      </c>
      <c r="Q832">
        <v>0.17085829999999999</v>
      </c>
      <c r="R832">
        <v>1.625331E-2</v>
      </c>
      <c r="S832">
        <v>3.061096</v>
      </c>
      <c r="T832">
        <v>-7.7874659999999998E-2</v>
      </c>
      <c r="U832">
        <v>-0.14990229999999999</v>
      </c>
      <c r="V832">
        <v>-6.9191679999999998E-3</v>
      </c>
      <c r="W832">
        <v>0.18396879999999999</v>
      </c>
      <c r="X832">
        <v>0.98290770000000005</v>
      </c>
      <c r="Y832">
        <v>5.829351E-2</v>
      </c>
      <c r="Z832">
        <v>-9.8033870000000011E-4</v>
      </c>
      <c r="AA832">
        <v>0.99829900000000005</v>
      </c>
      <c r="AB832">
        <v>35</v>
      </c>
      <c r="AC832">
        <v>45.416699999999999</v>
      </c>
      <c r="AD832">
        <v>-1.1600489999999899</v>
      </c>
      <c r="AE832">
        <v>-2.2347000000000299</v>
      </c>
      <c r="AF832">
        <v>2.6605701840796701</v>
      </c>
      <c r="AG832">
        <v>-1.1600489999999899</v>
      </c>
      <c r="AH832">
        <v>45.364116735012502</v>
      </c>
      <c r="AI832">
        <v>91.462333894894201</v>
      </c>
      <c r="AJ832">
        <v>86.643492040160197</v>
      </c>
      <c r="AK832">
        <v>45.4568744474876</v>
      </c>
      <c r="AL832">
        <v>79.398982548576697</v>
      </c>
      <c r="AM832">
        <v>90.403326350888804</v>
      </c>
      <c r="AN832">
        <v>0.99999997048927003</v>
      </c>
    </row>
    <row r="833" spans="1:40" x14ac:dyDescent="0.25">
      <c r="A833" t="str">
        <f>"20190312172106768"</f>
        <v>20190312172106768</v>
      </c>
      <c r="B833" t="str">
        <f>"1552382466762166"</f>
        <v>1552382466762166</v>
      </c>
      <c r="C833" t="s">
        <v>40</v>
      </c>
      <c r="D833">
        <v>3.2265790000000001</v>
      </c>
      <c r="E833">
        <v>0.52584489999999995</v>
      </c>
      <c r="F833" t="s">
        <v>43</v>
      </c>
      <c r="G833">
        <v>-289.34730000000002</v>
      </c>
      <c r="H833">
        <v>-0.05</v>
      </c>
      <c r="I833">
        <v>365.63330000000002</v>
      </c>
      <c r="J833">
        <v>-334.91250000000002</v>
      </c>
      <c r="K833">
        <v>1.1100479999999999</v>
      </c>
      <c r="L833">
        <v>367.89609999999999</v>
      </c>
      <c r="M833">
        <v>0.99986759999999997</v>
      </c>
      <c r="N833">
        <v>0</v>
      </c>
      <c r="O833">
        <v>9.3553969999999997E-3</v>
      </c>
      <c r="P833">
        <v>0.98513410000000001</v>
      </c>
      <c r="Q833">
        <v>0.1710246</v>
      </c>
      <c r="R833">
        <v>1.6182080000000001E-2</v>
      </c>
      <c r="S833">
        <v>3.0611570000000001</v>
      </c>
      <c r="T833">
        <v>-7.7613349999999998E-2</v>
      </c>
      <c r="U833">
        <v>-0.15127560000000001</v>
      </c>
      <c r="V833">
        <v>-6.9086390000000003E-3</v>
      </c>
      <c r="W833">
        <v>0.1841343</v>
      </c>
      <c r="X833">
        <v>0.98287679999999999</v>
      </c>
      <c r="Y833">
        <v>5.867841E-2</v>
      </c>
      <c r="Z833">
        <v>-9.8034930000000004E-4</v>
      </c>
      <c r="AA833">
        <v>0.99827650000000001</v>
      </c>
      <c r="AB833">
        <v>35</v>
      </c>
      <c r="AC833">
        <v>45.565199999999997</v>
      </c>
      <c r="AD833">
        <v>-1.160048</v>
      </c>
      <c r="AE833">
        <v>-2.2627999999999702</v>
      </c>
      <c r="AF833">
        <v>2.6872817616143299</v>
      </c>
      <c r="AG833">
        <v>-1.160048</v>
      </c>
      <c r="AH833">
        <v>45.512607230643503</v>
      </c>
      <c r="AI833">
        <v>91.457529859806201</v>
      </c>
      <c r="AJ833">
        <v>86.620906638517795</v>
      </c>
      <c r="AK833">
        <v>45.606629030870401</v>
      </c>
      <c r="AL833">
        <v>79.389335464340107</v>
      </c>
      <c r="AM833">
        <v>90.402725283653794</v>
      </c>
      <c r="AN833">
        <v>0.999999986853781</v>
      </c>
    </row>
    <row r="834" spans="1:40" x14ac:dyDescent="0.25">
      <c r="A834" t="str">
        <f>"20190312172106778"</f>
        <v>20190312172106778</v>
      </c>
      <c r="B834" t="str">
        <f>"1552382466771925"</f>
        <v>1552382466771925</v>
      </c>
      <c r="C834" t="s">
        <v>40</v>
      </c>
      <c r="D834">
        <v>3.2415289999999999</v>
      </c>
      <c r="E834">
        <v>0.52589819999999998</v>
      </c>
      <c r="F834" t="s">
        <v>43</v>
      </c>
      <c r="G834">
        <v>-288.75689999999997</v>
      </c>
      <c r="H834">
        <v>-0.05</v>
      </c>
      <c r="I834">
        <v>365.60050000000001</v>
      </c>
      <c r="J834">
        <v>-334.72030000000001</v>
      </c>
      <c r="K834">
        <v>1.1100479999999999</v>
      </c>
      <c r="L834">
        <v>367.89780000000002</v>
      </c>
      <c r="M834">
        <v>0.99986819999999998</v>
      </c>
      <c r="N834">
        <v>0</v>
      </c>
      <c r="O834">
        <v>9.293295E-3</v>
      </c>
      <c r="P834">
        <v>0.98515790000000003</v>
      </c>
      <c r="Q834">
        <v>0.17088800000000001</v>
      </c>
      <c r="R834">
        <v>1.6166360000000001E-2</v>
      </c>
      <c r="S834">
        <v>3.0611269999999999</v>
      </c>
      <c r="T834">
        <v>-7.6936480000000002E-2</v>
      </c>
      <c r="U834">
        <v>-0.1522522</v>
      </c>
      <c r="V834">
        <v>-6.9538129999999997E-3</v>
      </c>
      <c r="W834">
        <v>0.18399740000000001</v>
      </c>
      <c r="X834">
        <v>0.9829021</v>
      </c>
      <c r="Y834">
        <v>5.8934899999999998E-2</v>
      </c>
      <c r="Z834">
        <v>-9.7346529999999996E-4</v>
      </c>
      <c r="AA834">
        <v>0.99826130000000002</v>
      </c>
      <c r="AB834">
        <v>35</v>
      </c>
      <c r="AC834">
        <v>45.9634</v>
      </c>
      <c r="AD834">
        <v>-1.160048</v>
      </c>
      <c r="AE834">
        <v>-2.2972999999999999</v>
      </c>
      <c r="AF834">
        <v>2.7226601007853302</v>
      </c>
      <c r="AG834">
        <v>-1.160048</v>
      </c>
      <c r="AH834">
        <v>45.910891835227098</v>
      </c>
      <c r="AI834">
        <v>91.444868926467393</v>
      </c>
      <c r="AJ834">
        <v>86.606155135409594</v>
      </c>
      <c r="AK834">
        <v>46.006179785900898</v>
      </c>
      <c r="AL834">
        <v>79.397315408701203</v>
      </c>
      <c r="AM834">
        <v>90.4053480903668</v>
      </c>
      <c r="AN834">
        <v>0.99999996845320405</v>
      </c>
    </row>
    <row r="835" spans="1:40" x14ac:dyDescent="0.25">
      <c r="A835" t="str">
        <f>"20190312172106790"</f>
        <v>20190312172106790</v>
      </c>
      <c r="B835" t="str">
        <f>"1552382466781685"</f>
        <v>1552382466781685</v>
      </c>
      <c r="C835" t="s">
        <v>40</v>
      </c>
      <c r="D835">
        <v>3.2602159999999998</v>
      </c>
      <c r="E835">
        <v>0.52597559999999999</v>
      </c>
      <c r="F835" t="s">
        <v>43</v>
      </c>
      <c r="G835">
        <v>-288.39789999999999</v>
      </c>
      <c r="H835">
        <v>-0.05</v>
      </c>
      <c r="I835">
        <v>365.5813</v>
      </c>
      <c r="J835">
        <v>-334.55410000000001</v>
      </c>
      <c r="K835">
        <v>1.1100410000000001</v>
      </c>
      <c r="L835">
        <v>367.89940000000001</v>
      </c>
      <c r="M835">
        <v>0.9998686</v>
      </c>
      <c r="N835">
        <v>0</v>
      </c>
      <c r="O835">
        <v>9.2395949999999998E-3</v>
      </c>
      <c r="P835">
        <v>0.98515600000000003</v>
      </c>
      <c r="Q835">
        <v>0.17088900000000001</v>
      </c>
      <c r="R835">
        <v>1.6268649999999999E-2</v>
      </c>
      <c r="S835">
        <v>3.0610050000000002</v>
      </c>
      <c r="T835">
        <v>-7.6656580000000002E-2</v>
      </c>
      <c r="U835">
        <v>-0.1530762</v>
      </c>
      <c r="V835">
        <v>-7.1084779999999997E-3</v>
      </c>
      <c r="W835">
        <v>0.18399840000000001</v>
      </c>
      <c r="X835">
        <v>0.98290089999999997</v>
      </c>
      <c r="Y835">
        <v>5.9151429999999998E-2</v>
      </c>
      <c r="Z835">
        <v>-9.7132239999999997E-4</v>
      </c>
      <c r="AA835">
        <v>0.99824860000000004</v>
      </c>
      <c r="AB835">
        <v>35</v>
      </c>
      <c r="AC835">
        <v>46.156199999999998</v>
      </c>
      <c r="AD835">
        <v>-1.1600409999999901</v>
      </c>
      <c r="AE835">
        <v>-2.31810000000001</v>
      </c>
      <c r="AF835">
        <v>2.74277530672002</v>
      </c>
      <c r="AG835">
        <v>-1.1600409999999901</v>
      </c>
      <c r="AH835">
        <v>46.103760377613497</v>
      </c>
      <c r="AI835">
        <v>91.438802367897495</v>
      </c>
      <c r="AJ835">
        <v>86.595409028132906</v>
      </c>
      <c r="AK835">
        <v>46.199840177875501</v>
      </c>
      <c r="AL835">
        <v>79.397258104311504</v>
      </c>
      <c r="AM835">
        <v>90.414363937921706</v>
      </c>
      <c r="AN835">
        <v>1.0000000604414201</v>
      </c>
    </row>
    <row r="836" spans="1:40" x14ac:dyDescent="0.25">
      <c r="A836" t="str">
        <f>"20190312172106802"</f>
        <v>20190312172106802</v>
      </c>
      <c r="B836" t="str">
        <f>"1552382466792421"</f>
        <v>1552382466792421</v>
      </c>
      <c r="C836" t="s">
        <v>40</v>
      </c>
      <c r="D836">
        <v>3.2571829999999999</v>
      </c>
      <c r="E836">
        <v>0.52605550000000001</v>
      </c>
      <c r="F836" t="s">
        <v>43</v>
      </c>
      <c r="G836">
        <v>-288.14640000000003</v>
      </c>
      <c r="H836">
        <v>-0.05</v>
      </c>
      <c r="I836">
        <v>365.57580000000002</v>
      </c>
      <c r="J836">
        <v>-334.37270000000001</v>
      </c>
      <c r="K836">
        <v>1.1100410000000001</v>
      </c>
      <c r="L836">
        <v>367.90089999999998</v>
      </c>
      <c r="M836">
        <v>0.99986920000000001</v>
      </c>
      <c r="N836">
        <v>0</v>
      </c>
      <c r="O836">
        <v>9.181069E-3</v>
      </c>
      <c r="P836">
        <v>0.98518669999999997</v>
      </c>
      <c r="Q836">
        <v>0.17070869999999999</v>
      </c>
      <c r="R836">
        <v>1.6301920000000001E-2</v>
      </c>
      <c r="S836">
        <v>3.0610050000000002</v>
      </c>
      <c r="T836">
        <v>-7.6515079999999999E-2</v>
      </c>
      <c r="U836">
        <v>-0.15325929999999999</v>
      </c>
      <c r="V836">
        <v>-7.1991800000000003E-3</v>
      </c>
      <c r="W836">
        <v>0.18381790000000001</v>
      </c>
      <c r="X836">
        <v>0.98293390000000003</v>
      </c>
      <c r="Y836">
        <v>5.9152660000000003E-2</v>
      </c>
      <c r="Z836">
        <v>-9.6808159999999996E-4</v>
      </c>
      <c r="AA836">
        <v>0.99824849999999998</v>
      </c>
      <c r="AB836">
        <v>35</v>
      </c>
      <c r="AC836">
        <v>46.226299999999902</v>
      </c>
      <c r="AD836">
        <v>-1.1600409999999901</v>
      </c>
      <c r="AE836">
        <v>-2.32509999999996</v>
      </c>
      <c r="AF836">
        <v>2.74772045226835</v>
      </c>
      <c r="AG836">
        <v>-1.1600409999999901</v>
      </c>
      <c r="AH836">
        <v>46.173997851503998</v>
      </c>
      <c r="AI836">
        <v>91.436613241191793</v>
      </c>
      <c r="AJ836">
        <v>86.594461107147097</v>
      </c>
      <c r="AK836">
        <v>46.270225203646802</v>
      </c>
      <c r="AL836">
        <v>79.407778268314701</v>
      </c>
      <c r="AM836">
        <v>90.419636818422902</v>
      </c>
      <c r="AN836">
        <v>0.99999995016114496</v>
      </c>
    </row>
    <row r="837" spans="1:40" x14ac:dyDescent="0.25">
      <c r="A837" t="str">
        <f>"20190312172106812"</f>
        <v>20190312172106812</v>
      </c>
      <c r="B837" t="str">
        <f>"1552382466802182"</f>
        <v>1552382466802182</v>
      </c>
      <c r="C837" t="s">
        <v>40</v>
      </c>
      <c r="D837">
        <v>3.2391200000000002</v>
      </c>
      <c r="E837">
        <v>0.52612859999999995</v>
      </c>
      <c r="F837" t="s">
        <v>43</v>
      </c>
      <c r="G837">
        <v>-288.327</v>
      </c>
      <c r="H837">
        <v>-0.05</v>
      </c>
      <c r="I837">
        <v>365.59269999999998</v>
      </c>
      <c r="J837">
        <v>-334.18889999999999</v>
      </c>
      <c r="K837">
        <v>1.110039</v>
      </c>
      <c r="L837">
        <v>367.90260000000001</v>
      </c>
      <c r="M837">
        <v>0.99986980000000003</v>
      </c>
      <c r="N837">
        <v>0</v>
      </c>
      <c r="O837">
        <v>9.1212940000000003E-3</v>
      </c>
      <c r="P837">
        <v>0.9851704</v>
      </c>
      <c r="Q837">
        <v>0.1708161</v>
      </c>
      <c r="R837">
        <v>1.6171540000000002E-2</v>
      </c>
      <c r="S837">
        <v>3.0610050000000002</v>
      </c>
      <c r="T837">
        <v>-7.7116610000000002E-2</v>
      </c>
      <c r="U837">
        <v>-0.15344240000000001</v>
      </c>
      <c r="V837">
        <v>-7.1282619999999998E-3</v>
      </c>
      <c r="W837">
        <v>0.1839248</v>
      </c>
      <c r="X837">
        <v>0.98291439999999997</v>
      </c>
      <c r="Y837">
        <v>5.915223E-2</v>
      </c>
      <c r="Z837">
        <v>-9.7417809999999995E-4</v>
      </c>
      <c r="AA837">
        <v>0.99824849999999998</v>
      </c>
      <c r="AB837">
        <v>35</v>
      </c>
      <c r="AC837">
        <v>45.861899999999899</v>
      </c>
      <c r="AD837">
        <v>-1.160039</v>
      </c>
      <c r="AE837">
        <v>-2.3099000000000198</v>
      </c>
      <c r="AF837">
        <v>2.7264208920376398</v>
      </c>
      <c r="AG837">
        <v>-1.160039</v>
      </c>
      <c r="AH837">
        <v>45.809686005799001</v>
      </c>
      <c r="AI837">
        <v>91.448030179155495</v>
      </c>
      <c r="AJ837">
        <v>86.593987636311397</v>
      </c>
      <c r="AK837">
        <v>45.905407016079899</v>
      </c>
      <c r="AL837">
        <v>79.401546903937998</v>
      </c>
      <c r="AM837">
        <v>90.415511430047999</v>
      </c>
      <c r="AN837">
        <v>0.999999930950768</v>
      </c>
    </row>
    <row r="838" spans="1:40" x14ac:dyDescent="0.25">
      <c r="A838" t="str">
        <f>"20190312172106824"</f>
        <v>20190312172106824</v>
      </c>
      <c r="B838" t="str">
        <f>"1552382466821702"</f>
        <v>1552382466821702</v>
      </c>
      <c r="C838" t="s">
        <v>40</v>
      </c>
      <c r="D838">
        <v>3.2315649999999998</v>
      </c>
      <c r="E838">
        <v>0.52626580000000001</v>
      </c>
      <c r="F838" t="s">
        <v>43</v>
      </c>
      <c r="G838">
        <v>-287.73610000000002</v>
      </c>
      <c r="H838">
        <v>-0.05</v>
      </c>
      <c r="I838">
        <v>365.56470000000002</v>
      </c>
      <c r="J838">
        <v>-334.01929999999999</v>
      </c>
      <c r="K838">
        <v>1.1100449999999999</v>
      </c>
      <c r="L838">
        <v>367.90410000000003</v>
      </c>
      <c r="M838">
        <v>0.99987029999999999</v>
      </c>
      <c r="N838">
        <v>0</v>
      </c>
      <c r="O838">
        <v>9.0662859999999998E-3</v>
      </c>
      <c r="P838">
        <v>0.98514990000000002</v>
      </c>
      <c r="Q838">
        <v>0.17094570000000001</v>
      </c>
      <c r="R838">
        <v>1.6052170000000001E-2</v>
      </c>
      <c r="S838">
        <v>3.0609440000000001</v>
      </c>
      <c r="T838">
        <v>-7.6439019999999996E-2</v>
      </c>
      <c r="U838">
        <v>-0.15405269999999999</v>
      </c>
      <c r="V838">
        <v>-7.0634089999999997E-3</v>
      </c>
      <c r="W838">
        <v>0.18405369999999999</v>
      </c>
      <c r="X838">
        <v>0.98289079999999995</v>
      </c>
      <c r="Y838">
        <v>5.9297200000000001E-2</v>
      </c>
      <c r="Z838">
        <v>-9.6607140000000002E-4</v>
      </c>
      <c r="AA838">
        <v>0.99823989999999996</v>
      </c>
      <c r="AB838">
        <v>35</v>
      </c>
      <c r="AC838">
        <v>46.283199999999901</v>
      </c>
      <c r="AD838">
        <v>-1.160045</v>
      </c>
      <c r="AE838">
        <v>-2.3394000000000101</v>
      </c>
      <c r="AF838">
        <v>2.75723004486691</v>
      </c>
      <c r="AG838">
        <v>-1.160045</v>
      </c>
      <c r="AH838">
        <v>46.2311171814451</v>
      </c>
      <c r="AI838">
        <v>91.434832715655304</v>
      </c>
      <c r="AJ838">
        <v>86.586914894075505</v>
      </c>
      <c r="AK838">
        <v>46.327790987342098</v>
      </c>
      <c r="AL838">
        <v>79.394033844136501</v>
      </c>
      <c r="AM838">
        <v>90.411741119238897</v>
      </c>
      <c r="AN838">
        <v>0.99999999047751498</v>
      </c>
    </row>
    <row r="839" spans="1:40" x14ac:dyDescent="0.25">
      <c r="A839" t="str">
        <f>"20190312172106835"</f>
        <v>20190312172106835</v>
      </c>
      <c r="B839" t="str">
        <f>"1552382466832437"</f>
        <v>1552382466832437</v>
      </c>
      <c r="C839" t="s">
        <v>40</v>
      </c>
      <c r="D839">
        <v>3.2304740000000001</v>
      </c>
      <c r="E839">
        <v>0.52632000000000001</v>
      </c>
      <c r="F839" t="s">
        <v>43</v>
      </c>
      <c r="G839">
        <v>-287.0976</v>
      </c>
      <c r="H839">
        <v>-0.05</v>
      </c>
      <c r="I839">
        <v>365.51769999999999</v>
      </c>
      <c r="J839">
        <v>-333.83539999999999</v>
      </c>
      <c r="K839">
        <v>1.1100460000000001</v>
      </c>
      <c r="L839">
        <v>367.90570000000002</v>
      </c>
      <c r="M839">
        <v>0.99987090000000001</v>
      </c>
      <c r="N839">
        <v>0</v>
      </c>
      <c r="O839">
        <v>9.0068660000000005E-3</v>
      </c>
      <c r="P839">
        <v>0.98516429999999999</v>
      </c>
      <c r="Q839">
        <v>0.17086379999999901</v>
      </c>
      <c r="R839">
        <v>1.6038529999999999E-2</v>
      </c>
      <c r="S839">
        <v>3.060883</v>
      </c>
      <c r="T839">
        <v>-7.56743E-2</v>
      </c>
      <c r="U839">
        <v>-0.15567020000000001</v>
      </c>
      <c r="V839">
        <v>-7.1080459999999998E-3</v>
      </c>
      <c r="W839">
        <v>0.18397160000000001</v>
      </c>
      <c r="X839">
        <v>0.9829059</v>
      </c>
      <c r="Y839">
        <v>5.9765310000000002E-2</v>
      </c>
      <c r="Z839">
        <v>-9.6072970000000003E-4</v>
      </c>
      <c r="AA839">
        <v>0.99821199999999999</v>
      </c>
      <c r="AB839">
        <v>35</v>
      </c>
      <c r="AC839">
        <v>46.737799999999901</v>
      </c>
      <c r="AD839">
        <v>-1.1600459999999999</v>
      </c>
      <c r="AE839">
        <v>-2.3880000000000301</v>
      </c>
      <c r="AF839">
        <v>2.8071766434552399</v>
      </c>
      <c r="AG839">
        <v>-1.1600459999999999</v>
      </c>
      <c r="AH839">
        <v>46.685707847668603</v>
      </c>
      <c r="AI839">
        <v>91.420826910970007</v>
      </c>
      <c r="AJ839">
        <v>86.558990724349698</v>
      </c>
      <c r="AK839">
        <v>46.784412625013701</v>
      </c>
      <c r="AL839">
        <v>79.398820091731196</v>
      </c>
      <c r="AM839">
        <v>90.414336649216096</v>
      </c>
      <c r="AN839">
        <v>1.0000000410896499</v>
      </c>
    </row>
    <row r="840" spans="1:40" x14ac:dyDescent="0.25">
      <c r="A840" t="str">
        <f>"20190312172106847"</f>
        <v>20190312172106847</v>
      </c>
      <c r="B840" t="str">
        <f>"1552382466842197"</f>
        <v>1552382466842197</v>
      </c>
      <c r="C840" t="s">
        <v>40</v>
      </c>
      <c r="D840">
        <v>3.240882</v>
      </c>
      <c r="E840">
        <v>0.52632000000000001</v>
      </c>
      <c r="F840" t="s">
        <v>43</v>
      </c>
      <c r="G840">
        <v>-287.03730000000002</v>
      </c>
      <c r="H840">
        <v>-0.05</v>
      </c>
      <c r="I840">
        <v>365.51819999999998</v>
      </c>
      <c r="J840">
        <v>-333.66770000000002</v>
      </c>
      <c r="K840">
        <v>1.1100490000000001</v>
      </c>
      <c r="L840">
        <v>367.90710000000001</v>
      </c>
      <c r="M840">
        <v>0.99987130000000002</v>
      </c>
      <c r="N840">
        <v>0</v>
      </c>
      <c r="O840">
        <v>8.9528690000000005E-3</v>
      </c>
      <c r="P840">
        <v>0.98518329999999998</v>
      </c>
      <c r="Q840">
        <v>0.17076440000000001</v>
      </c>
      <c r="R840">
        <v>1.591967E-2</v>
      </c>
      <c r="S840">
        <v>3.060883</v>
      </c>
      <c r="T840">
        <v>-7.5874090000000005E-2</v>
      </c>
      <c r="U840">
        <v>-0.156158399999999</v>
      </c>
      <c r="V840">
        <v>-7.0420939999999996E-3</v>
      </c>
      <c r="W840">
        <v>0.1838718</v>
      </c>
      <c r="X840">
        <v>0.98292500000000005</v>
      </c>
      <c r="Y840">
        <v>5.9870090000000001E-2</v>
      </c>
      <c r="Z840">
        <v>-9.6322140000000003E-4</v>
      </c>
      <c r="AA840">
        <v>0.99820569999999997</v>
      </c>
      <c r="AB840">
        <v>35</v>
      </c>
      <c r="AC840">
        <v>46.630400000000002</v>
      </c>
      <c r="AD840">
        <v>-1.1600489999999899</v>
      </c>
      <c r="AE840">
        <v>-2.3889000000000302</v>
      </c>
      <c r="AF840">
        <v>2.8045859131664899</v>
      </c>
      <c r="AG840">
        <v>-1.1600489999999899</v>
      </c>
      <c r="AH840">
        <v>46.578389923037498</v>
      </c>
      <c r="AI840">
        <v>91.424095794399705</v>
      </c>
      <c r="AJ840">
        <v>86.554256975595493</v>
      </c>
      <c r="AK840">
        <v>46.677165977051899</v>
      </c>
      <c r="AL840">
        <v>79.404636931344896</v>
      </c>
      <c r="AM840">
        <v>90.410484382733998</v>
      </c>
      <c r="AN840">
        <v>0.99999999277407203</v>
      </c>
    </row>
    <row r="841" spans="1:40" x14ac:dyDescent="0.25">
      <c r="A841" t="str">
        <f>"20190312172106858"</f>
        <v>20190312172106858</v>
      </c>
      <c r="B841" t="str">
        <f>"1552382466851958"</f>
        <v>1552382466851958</v>
      </c>
      <c r="C841" t="s">
        <v>40</v>
      </c>
      <c r="D841">
        <v>3.21286</v>
      </c>
      <c r="E841">
        <v>0.52639559999999996</v>
      </c>
      <c r="F841" t="s">
        <v>43</v>
      </c>
      <c r="G841">
        <v>-287.07139999999998</v>
      </c>
      <c r="H841">
        <v>-0.05</v>
      </c>
      <c r="I841">
        <v>365.52519999999998</v>
      </c>
      <c r="J841">
        <v>-333.47480000000002</v>
      </c>
      <c r="K841">
        <v>1.110052</v>
      </c>
      <c r="L841">
        <v>367.90879999999999</v>
      </c>
      <c r="M841">
        <v>0.99987190000000004</v>
      </c>
      <c r="N841">
        <v>0</v>
      </c>
      <c r="O841">
        <v>8.8907659999999996E-3</v>
      </c>
      <c r="P841">
        <v>0.98516789999999999</v>
      </c>
      <c r="Q841">
        <v>0.17085899999999901</v>
      </c>
      <c r="R841">
        <v>1.5864409999999999E-2</v>
      </c>
      <c r="S841">
        <v>3.0608219999999999</v>
      </c>
      <c r="T841">
        <v>-7.6201320000000003E-2</v>
      </c>
      <c r="U841">
        <v>-0.15646360000000001</v>
      </c>
      <c r="V841">
        <v>-7.0485309999999898E-3</v>
      </c>
      <c r="W841">
        <v>0.1839655</v>
      </c>
      <c r="X841">
        <v>0.98290739999999999</v>
      </c>
      <c r="Y841">
        <v>5.9908200000000002E-2</v>
      </c>
      <c r="Z841">
        <v>-9.6632E-4</v>
      </c>
      <c r="AA841">
        <v>0.99820339999999996</v>
      </c>
      <c r="AB841">
        <v>35</v>
      </c>
      <c r="AC841">
        <v>46.403399999999998</v>
      </c>
      <c r="AD841">
        <v>-1.1600520000000001</v>
      </c>
      <c r="AE841">
        <v>-2.3835999999999999</v>
      </c>
      <c r="AF841">
        <v>2.7943623094868801</v>
      </c>
      <c r="AG841">
        <v>-1.1600520000000001</v>
      </c>
      <c r="AH841">
        <v>46.351479942618901</v>
      </c>
      <c r="AI841">
        <v>91.431061777815401</v>
      </c>
      <c r="AJ841">
        <v>86.550021179214596</v>
      </c>
      <c r="AK841">
        <v>46.450122435041997</v>
      </c>
      <c r="AL841">
        <v>79.399174923721105</v>
      </c>
      <c r="AM841">
        <v>90.410866939893296</v>
      </c>
      <c r="AN841">
        <v>0.99999997197713297</v>
      </c>
    </row>
    <row r="842" spans="1:40" x14ac:dyDescent="0.25">
      <c r="A842" t="str">
        <f>"20190312172106871"</f>
        <v>20190312172106871</v>
      </c>
      <c r="B842" t="str">
        <f>"1552382466861718"</f>
        <v>1552382466861718</v>
      </c>
      <c r="C842" t="s">
        <v>40</v>
      </c>
      <c r="D842">
        <v>3.2530920000000001</v>
      </c>
      <c r="E842">
        <v>0.5264723</v>
      </c>
      <c r="F842" t="s">
        <v>43</v>
      </c>
      <c r="G842">
        <v>-286.70229999999998</v>
      </c>
      <c r="H842">
        <v>-0.05</v>
      </c>
      <c r="I842">
        <v>365.5086</v>
      </c>
      <c r="J842">
        <v>-333.28739999999999</v>
      </c>
      <c r="K842">
        <v>1.110052</v>
      </c>
      <c r="L842">
        <v>367.91039999999998</v>
      </c>
      <c r="M842">
        <v>0.99987239999999999</v>
      </c>
      <c r="N842">
        <v>0</v>
      </c>
      <c r="O842">
        <v>8.8303340000000004E-3</v>
      </c>
      <c r="P842">
        <v>0.98516709999999996</v>
      </c>
      <c r="Q842">
        <v>0.17087449999999901</v>
      </c>
      <c r="R842">
        <v>1.5743139999999999E-2</v>
      </c>
      <c r="S842">
        <v>3.0608520000000001</v>
      </c>
      <c r="T842">
        <v>-7.5915339999999998E-2</v>
      </c>
      <c r="U842">
        <v>-0.15707399999999999</v>
      </c>
      <c r="V842">
        <v>-6.9866429999999998E-3</v>
      </c>
      <c r="W842">
        <v>0.18398059999999999</v>
      </c>
      <c r="X842">
        <v>0.98290500000000003</v>
      </c>
      <c r="Y842">
        <v>6.0046019999999999E-2</v>
      </c>
      <c r="Z842">
        <v>-9.6288999999999999E-4</v>
      </c>
      <c r="AA842">
        <v>0.99819519999999995</v>
      </c>
      <c r="AB842">
        <v>35</v>
      </c>
      <c r="AC842">
        <v>46.585099999999997</v>
      </c>
      <c r="AD842">
        <v>-1.1600520000000001</v>
      </c>
      <c r="AE842">
        <v>-2.4017999999999802</v>
      </c>
      <c r="AF842">
        <v>2.81136608457957</v>
      </c>
      <c r="AG842">
        <v>-1.1600520000000001</v>
      </c>
      <c r="AH842">
        <v>46.533294096248198</v>
      </c>
      <c r="AI842">
        <v>91.425461540665495</v>
      </c>
      <c r="AJ842">
        <v>86.542607693639695</v>
      </c>
      <c r="AK842">
        <v>46.632574015940399</v>
      </c>
      <c r="AL842">
        <v>79.398294569780106</v>
      </c>
      <c r="AM842">
        <v>90.407260533971794</v>
      </c>
      <c r="AN842">
        <v>0.99999995669088304</v>
      </c>
    </row>
    <row r="843" spans="1:40" x14ac:dyDescent="0.25">
      <c r="A843" t="str">
        <f>"20190312172106883"</f>
        <v>20190312172106883</v>
      </c>
      <c r="B843" t="str">
        <f>"1552382466872454"</f>
        <v>1552382466872454</v>
      </c>
      <c r="C843" t="s">
        <v>40</v>
      </c>
      <c r="D843">
        <v>3.2385980000000001</v>
      </c>
      <c r="E843">
        <v>0.52655039999999997</v>
      </c>
      <c r="F843" t="s">
        <v>43</v>
      </c>
      <c r="G843">
        <v>-286.41390000000001</v>
      </c>
      <c r="H843">
        <v>-0.05</v>
      </c>
      <c r="I843">
        <v>365.49329999999998</v>
      </c>
      <c r="J843">
        <v>-333.09429999999998</v>
      </c>
      <c r="K843">
        <v>1.110052</v>
      </c>
      <c r="L843">
        <v>367.91199999999998</v>
      </c>
      <c r="M843">
        <v>0.99987300000000001</v>
      </c>
      <c r="N843">
        <v>0</v>
      </c>
      <c r="O843">
        <v>8.7680550000000003E-3</v>
      </c>
      <c r="P843">
        <v>0.98518360000000005</v>
      </c>
      <c r="Q843">
        <v>0.17079279999999999</v>
      </c>
      <c r="R843">
        <v>1.5603240000000001E-2</v>
      </c>
      <c r="S843">
        <v>3.060883</v>
      </c>
      <c r="T843">
        <v>-7.57525E-2</v>
      </c>
      <c r="U843">
        <v>-0.1578369</v>
      </c>
      <c r="V843">
        <v>-6.9080130000000002E-3</v>
      </c>
      <c r="W843">
        <v>0.18389800000000001</v>
      </c>
      <c r="X843">
        <v>0.98292109999999999</v>
      </c>
      <c r="Y843">
        <v>6.023154E-2</v>
      </c>
      <c r="Z843">
        <v>-9.6156300000000002E-4</v>
      </c>
      <c r="AA843">
        <v>0.99818399999999996</v>
      </c>
      <c r="AB843">
        <v>35</v>
      </c>
      <c r="AC843">
        <v>46.680399999999899</v>
      </c>
      <c r="AD843">
        <v>-1.1600520000000001</v>
      </c>
      <c r="AE843">
        <v>-2.4186999999999999</v>
      </c>
      <c r="AF843">
        <v>2.8261988713236699</v>
      </c>
      <c r="AG843">
        <v>-1.1600520000000001</v>
      </c>
      <c r="AH843">
        <v>46.628676766727502</v>
      </c>
      <c r="AI843">
        <v>91.422530168274804</v>
      </c>
      <c r="AJ843">
        <v>86.531503285610199</v>
      </c>
      <c r="AK843">
        <v>46.728648789783499</v>
      </c>
      <c r="AL843">
        <v>79.403110266900697</v>
      </c>
      <c r="AM843">
        <v>90.402670644956203</v>
      </c>
      <c r="AN843">
        <v>1.0000000419363999</v>
      </c>
    </row>
    <row r="844" spans="1:40" x14ac:dyDescent="0.25">
      <c r="A844" t="str">
        <f>"20190312172106894"</f>
        <v>20190312172106894</v>
      </c>
      <c r="B844" t="str">
        <f>"1552382466891973"</f>
        <v>1552382466891973</v>
      </c>
      <c r="C844" t="s">
        <v>40</v>
      </c>
      <c r="D844">
        <v>3.2479279999999999</v>
      </c>
      <c r="E844">
        <v>0.52998040000000002</v>
      </c>
      <c r="F844" t="s">
        <v>43</v>
      </c>
      <c r="G844">
        <v>-286.22680000000003</v>
      </c>
      <c r="H844">
        <v>-0.05</v>
      </c>
      <c r="I844">
        <v>365.47930000000002</v>
      </c>
      <c r="J844">
        <v>-332.91140000000001</v>
      </c>
      <c r="K844">
        <v>1.110053</v>
      </c>
      <c r="L844">
        <v>367.91359999999997</v>
      </c>
      <c r="M844">
        <v>0.99987340000000002</v>
      </c>
      <c r="N844">
        <v>0</v>
      </c>
      <c r="O844">
        <v>8.7095279999999994E-3</v>
      </c>
      <c r="P844">
        <v>0.98520700000000005</v>
      </c>
      <c r="Q844">
        <v>0.17068349999999999</v>
      </c>
      <c r="R844">
        <v>1.5308159999999999E-2</v>
      </c>
      <c r="S844">
        <v>3.060791</v>
      </c>
      <c r="T844">
        <v>-7.5760010000000003E-2</v>
      </c>
      <c r="U844">
        <v>-0.1588745</v>
      </c>
      <c r="V844">
        <v>-6.6700550000000003E-3</v>
      </c>
      <c r="W844">
        <v>0.1837888</v>
      </c>
      <c r="X844">
        <v>0.98294309999999996</v>
      </c>
      <c r="Y844">
        <v>6.0512049999999998E-2</v>
      </c>
      <c r="Z844">
        <v>-9.6369979999999999E-4</v>
      </c>
      <c r="AA844">
        <v>0.99816700000000003</v>
      </c>
      <c r="AB844">
        <v>35</v>
      </c>
      <c r="AC844">
        <v>46.684599999999897</v>
      </c>
      <c r="AD844">
        <v>-1.160053</v>
      </c>
      <c r="AE844">
        <v>-2.4342999999999502</v>
      </c>
      <c r="AF844">
        <v>2.8390962673281401</v>
      </c>
      <c r="AG844">
        <v>-1.160053</v>
      </c>
      <c r="AH844">
        <v>46.632909667937099</v>
      </c>
      <c r="AI844">
        <v>91.422378996744797</v>
      </c>
      <c r="AJ844">
        <v>86.516029153807906</v>
      </c>
      <c r="AK844">
        <v>46.733654411739998</v>
      </c>
      <c r="AL844">
        <v>79.409474742425004</v>
      </c>
      <c r="AM844">
        <v>90.388791716332605</v>
      </c>
      <c r="AN844">
        <v>0.99999997523837603</v>
      </c>
    </row>
    <row r="845" spans="1:40" x14ac:dyDescent="0.25">
      <c r="A845" t="str">
        <f>"20190312172106905"</f>
        <v>20190312172106905</v>
      </c>
      <c r="B845" t="str">
        <f>"1552382466901733"</f>
        <v>1552382466901733</v>
      </c>
      <c r="C845" t="s">
        <v>40</v>
      </c>
      <c r="D845">
        <v>3.2374999999999998</v>
      </c>
      <c r="E845">
        <v>0.53044380000000002</v>
      </c>
      <c r="F845" t="s">
        <v>43</v>
      </c>
      <c r="G845">
        <v>-289.0154</v>
      </c>
      <c r="H845">
        <v>-0.05</v>
      </c>
      <c r="I845">
        <v>365.23129999999998</v>
      </c>
      <c r="J845">
        <v>-332.7405</v>
      </c>
      <c r="K845">
        <v>1.110053</v>
      </c>
      <c r="L845">
        <v>367.91500000000002</v>
      </c>
      <c r="M845">
        <v>0.99987409999999999</v>
      </c>
      <c r="N845">
        <v>0</v>
      </c>
      <c r="O845">
        <v>8.6542809999999998E-3</v>
      </c>
      <c r="P845">
        <v>0.98519330000000005</v>
      </c>
      <c r="Q845">
        <v>0.170764</v>
      </c>
      <c r="R845">
        <v>1.530661E-2</v>
      </c>
      <c r="S845">
        <v>3.0619510000000001</v>
      </c>
      <c r="T845">
        <v>-8.0919149999999995E-2</v>
      </c>
      <c r="U845">
        <v>-0.1871033</v>
      </c>
      <c r="V845">
        <v>-6.7233869999999999E-3</v>
      </c>
      <c r="W845">
        <v>0.18386810000000001</v>
      </c>
      <c r="X845">
        <v>0.98292789999999997</v>
      </c>
      <c r="Y845">
        <v>6.9601590000000005E-2</v>
      </c>
      <c r="Z845">
        <v>-1.1471649999999999E-3</v>
      </c>
      <c r="AA845">
        <v>0.99757419999999997</v>
      </c>
      <c r="AB845">
        <v>35</v>
      </c>
      <c r="AC845">
        <v>43.725099999999998</v>
      </c>
      <c r="AD845">
        <v>-1.160053</v>
      </c>
      <c r="AE845">
        <v>-2.6837000000000399</v>
      </c>
      <c r="AF845">
        <v>3.0598965606830801</v>
      </c>
      <c r="AG845">
        <v>-1.160053</v>
      </c>
      <c r="AH845">
        <v>43.669612216684001</v>
      </c>
      <c r="AI845">
        <v>91.517944820495003</v>
      </c>
      <c r="AJ845">
        <v>85.991879234704001</v>
      </c>
      <c r="AK845">
        <v>43.792050889179002</v>
      </c>
      <c r="AL845">
        <v>79.404852351908602</v>
      </c>
      <c r="AM845">
        <v>90.391906355904695</v>
      </c>
      <c r="AN845">
        <v>0.99999996936438496</v>
      </c>
    </row>
    <row r="846" spans="1:40" x14ac:dyDescent="0.25">
      <c r="A846" t="str">
        <f>"20190312172106916"</f>
        <v>20190312172106916</v>
      </c>
      <c r="B846" t="str">
        <f>"1552382466912470"</f>
        <v>1552382466912470</v>
      </c>
      <c r="C846" t="s">
        <v>40</v>
      </c>
      <c r="D846">
        <v>3.2498469999999999</v>
      </c>
      <c r="E846">
        <v>0.53010919999999995</v>
      </c>
      <c r="F846" t="s">
        <v>43</v>
      </c>
      <c r="G846">
        <v>-290.54500000000002</v>
      </c>
      <c r="H846">
        <v>-0.05</v>
      </c>
      <c r="I846">
        <v>365.28469999999999</v>
      </c>
      <c r="J846">
        <v>-332.5752</v>
      </c>
      <c r="K846">
        <v>1.1100509999999999</v>
      </c>
      <c r="L846">
        <v>367.91640000000001</v>
      </c>
      <c r="M846">
        <v>0.9998745</v>
      </c>
      <c r="N846">
        <v>0</v>
      </c>
      <c r="O846">
        <v>8.6010619999999996E-3</v>
      </c>
      <c r="P846">
        <v>0.98516610000000004</v>
      </c>
      <c r="Q846">
        <v>0.17092209999999999</v>
      </c>
      <c r="R846">
        <v>1.528702E-2</v>
      </c>
      <c r="S846">
        <v>3.0626530000000001</v>
      </c>
      <c r="T846">
        <v>-8.4199430000000006E-2</v>
      </c>
      <c r="U846">
        <v>-0.190918</v>
      </c>
      <c r="V846">
        <v>-6.7559919999999997E-3</v>
      </c>
      <c r="W846">
        <v>0.18402550000000001</v>
      </c>
      <c r="X846">
        <v>0.98289820000000006</v>
      </c>
      <c r="Y846">
        <v>7.0769680000000001E-2</v>
      </c>
      <c r="Z846">
        <v>-1.2079089999999901E-3</v>
      </c>
      <c r="AA846">
        <v>0.99749200000000005</v>
      </c>
      <c r="AB846">
        <v>35</v>
      </c>
      <c r="AC846">
        <v>42.030199999999901</v>
      </c>
      <c r="AD846">
        <v>-1.1600509999999999</v>
      </c>
      <c r="AE846">
        <v>-2.6317000000000199</v>
      </c>
      <c r="AF846">
        <v>2.9908694955195498</v>
      </c>
      <c r="AG846">
        <v>-1.1600509999999999</v>
      </c>
      <c r="AH846">
        <v>41.974157290820699</v>
      </c>
      <c r="AI846">
        <v>91.579094143410899</v>
      </c>
      <c r="AJ846">
        <v>85.924276524059493</v>
      </c>
      <c r="AK846">
        <v>42.096566355658801</v>
      </c>
      <c r="AL846">
        <v>79.395677227363905</v>
      </c>
      <c r="AM846">
        <v>90.393818741455206</v>
      </c>
      <c r="AN846">
        <v>0.99999994982069496</v>
      </c>
    </row>
    <row r="847" spans="1:40" x14ac:dyDescent="0.25">
      <c r="A847" t="str">
        <f>"20190312172106926"</f>
        <v>20190312172106926</v>
      </c>
      <c r="B847" t="str">
        <f>"1552382466922229"</f>
        <v>1552382466922229</v>
      </c>
      <c r="C847" t="s">
        <v>40</v>
      </c>
      <c r="D847">
        <v>3.2265280000000001</v>
      </c>
      <c r="E847">
        <v>0.5297731</v>
      </c>
      <c r="F847" t="s">
        <v>43</v>
      </c>
      <c r="G847">
        <v>-287.63749999999999</v>
      </c>
      <c r="H847">
        <v>-0.05</v>
      </c>
      <c r="I847">
        <v>365.14920000000001</v>
      </c>
      <c r="J847">
        <v>-332.42259999999999</v>
      </c>
      <c r="K847">
        <v>1.11005</v>
      </c>
      <c r="L847">
        <v>367.91759999999999</v>
      </c>
      <c r="M847">
        <v>0.99987490000000001</v>
      </c>
      <c r="N847">
        <v>0</v>
      </c>
      <c r="O847">
        <v>8.5517790000000007E-3</v>
      </c>
      <c r="P847">
        <v>0.98520859999999999</v>
      </c>
      <c r="Q847">
        <v>0.1706907</v>
      </c>
      <c r="R847">
        <v>1.512379E-2</v>
      </c>
      <c r="S847">
        <v>3.061798</v>
      </c>
      <c r="T847">
        <v>-7.903934E-2</v>
      </c>
      <c r="U847">
        <v>-0.1885376</v>
      </c>
      <c r="V847">
        <v>-6.6414569999999999E-3</v>
      </c>
      <c r="W847">
        <v>0.18379400000000001</v>
      </c>
      <c r="X847">
        <v>0.98294230000000005</v>
      </c>
      <c r="Y847">
        <v>6.9969069999999994E-2</v>
      </c>
      <c r="Z847">
        <v>-1.1226579999999999E-3</v>
      </c>
      <c r="AA847">
        <v>0.99754849999999995</v>
      </c>
      <c r="AB847">
        <v>35</v>
      </c>
      <c r="AC847">
        <v>44.7851</v>
      </c>
      <c r="AD847">
        <v>-1.16005</v>
      </c>
      <c r="AE847">
        <v>-2.7683999999999802</v>
      </c>
      <c r="AF847">
        <v>3.14922002908036</v>
      </c>
      <c r="AG847">
        <v>-1.16005</v>
      </c>
      <c r="AH847">
        <v>44.729888193022902</v>
      </c>
      <c r="AI847">
        <v>91.481941120148093</v>
      </c>
      <c r="AJ847">
        <v>85.972720455260401</v>
      </c>
      <c r="AK847">
        <v>44.855615039305697</v>
      </c>
      <c r="AL847">
        <v>79.409171416351498</v>
      </c>
      <c r="AM847">
        <v>90.387125129642001</v>
      </c>
      <c r="AN847">
        <v>0.999999954258185</v>
      </c>
    </row>
    <row r="848" spans="1:40" x14ac:dyDescent="0.25">
      <c r="A848" t="str">
        <f>"20190312172106936"</f>
        <v>20190312172106936</v>
      </c>
      <c r="B848" t="str">
        <f>"1552382466931990"</f>
        <v>1552382466931990</v>
      </c>
      <c r="C848" t="s">
        <v>40</v>
      </c>
      <c r="D848">
        <v>3.2367400000000002</v>
      </c>
      <c r="E848">
        <v>0.5297731</v>
      </c>
      <c r="F848" t="s">
        <v>43</v>
      </c>
      <c r="G848">
        <v>-287.95209999999997</v>
      </c>
      <c r="H848">
        <v>-0.05</v>
      </c>
      <c r="I848">
        <v>365.21289999999999</v>
      </c>
      <c r="J848">
        <v>-332.26440000000002</v>
      </c>
      <c r="K848">
        <v>1.1100490000000001</v>
      </c>
      <c r="L848">
        <v>367.91890000000001</v>
      </c>
      <c r="M848">
        <v>0.99987530000000002</v>
      </c>
      <c r="N848">
        <v>0</v>
      </c>
      <c r="O848">
        <v>8.5005889999999994E-3</v>
      </c>
      <c r="P848">
        <v>0.98520640000000004</v>
      </c>
      <c r="Q848">
        <v>0.17069860000000001</v>
      </c>
      <c r="R848">
        <v>1.518765E-2</v>
      </c>
      <c r="S848">
        <v>3.0617369999999999</v>
      </c>
      <c r="T848">
        <v>-7.9867839999999996E-2</v>
      </c>
      <c r="U848">
        <v>-0.1862183</v>
      </c>
      <c r="V848">
        <v>-6.7558130000000003E-3</v>
      </c>
      <c r="W848">
        <v>0.18380060000000001</v>
      </c>
      <c r="X848">
        <v>0.98294029999999999</v>
      </c>
      <c r="Y848">
        <v>6.9166069999999996E-2</v>
      </c>
      <c r="Z848">
        <v>-1.1226750000000001E-3</v>
      </c>
      <c r="AA848">
        <v>0.99760450000000001</v>
      </c>
      <c r="AB848">
        <v>35</v>
      </c>
      <c r="AC848">
        <v>44.3123</v>
      </c>
      <c r="AD848">
        <v>-1.1600489999999899</v>
      </c>
      <c r="AE848">
        <v>-2.7060000000000102</v>
      </c>
      <c r="AF848">
        <v>3.0805128818136698</v>
      </c>
      <c r="AG848">
        <v>-1.1600489999999899</v>
      </c>
      <c r="AH848">
        <v>44.257475462625798</v>
      </c>
      <c r="AI848">
        <v>91.497834715667906</v>
      </c>
      <c r="AJ848">
        <v>86.0183861285266</v>
      </c>
      <c r="AK848">
        <v>44.379718426577902</v>
      </c>
      <c r="AL848">
        <v>79.408786851913703</v>
      </c>
      <c r="AM848">
        <v>90.393791441010904</v>
      </c>
      <c r="AN848">
        <v>0.99999996746686903</v>
      </c>
    </row>
    <row r="849" spans="1:40" x14ac:dyDescent="0.25">
      <c r="A849" t="str">
        <f>"20190312172106947"</f>
        <v>20190312172106947</v>
      </c>
      <c r="B849" t="str">
        <f>"1552382466941749"</f>
        <v>1552382466941749</v>
      </c>
      <c r="C849" t="s">
        <v>40</v>
      </c>
      <c r="D849">
        <v>3.290575</v>
      </c>
      <c r="E849">
        <v>0.50792150000000003</v>
      </c>
      <c r="F849" t="s">
        <v>43</v>
      </c>
      <c r="G849">
        <v>-287.79039999999998</v>
      </c>
      <c r="H849">
        <v>-0.05</v>
      </c>
      <c r="I849">
        <v>365.21620000000001</v>
      </c>
      <c r="J849">
        <v>-332.09800000000001</v>
      </c>
      <c r="K849">
        <v>1.1100479999999999</v>
      </c>
      <c r="L849">
        <v>367.9203</v>
      </c>
      <c r="M849">
        <v>0.99987599999999999</v>
      </c>
      <c r="N849">
        <v>0</v>
      </c>
      <c r="O849">
        <v>8.4463590000000005E-3</v>
      </c>
      <c r="P849">
        <v>0.98523229999999995</v>
      </c>
      <c r="Q849">
        <v>0.17053479999999999</v>
      </c>
      <c r="R849">
        <v>1.5350819999999999E-2</v>
      </c>
      <c r="S849">
        <v>3.061798</v>
      </c>
      <c r="T849">
        <v>-7.9863069999999994E-2</v>
      </c>
      <c r="U849">
        <v>-0.1860657</v>
      </c>
      <c r="V849">
        <v>-6.9725689999999996E-3</v>
      </c>
      <c r="W849">
        <v>0.18363699999999999</v>
      </c>
      <c r="X849">
        <v>0.98296939999999999</v>
      </c>
      <c r="Y849">
        <v>6.9061269999999994E-2</v>
      </c>
      <c r="Z849">
        <v>-1.1198079999999999E-3</v>
      </c>
      <c r="AA849">
        <v>0.99761180000000005</v>
      </c>
      <c r="AB849">
        <v>35</v>
      </c>
      <c r="AC849">
        <v>44.307600000000001</v>
      </c>
      <c r="AD849">
        <v>-1.160048</v>
      </c>
      <c r="AE849">
        <v>-2.70409999999998</v>
      </c>
      <c r="AF849">
        <v>3.07617364457644</v>
      </c>
      <c r="AG849">
        <v>-1.160048</v>
      </c>
      <c r="AH849">
        <v>44.252955405882297</v>
      </c>
      <c r="AI849">
        <v>91.497995772600206</v>
      </c>
      <c r="AJ849">
        <v>86.023571849775394</v>
      </c>
      <c r="AK849">
        <v>44.374909778036802</v>
      </c>
      <c r="AL849">
        <v>79.418323133261097</v>
      </c>
      <c r="AM849">
        <v>90.406413542354102</v>
      </c>
      <c r="AN849">
        <v>1.0000000029119001</v>
      </c>
    </row>
    <row r="850" spans="1:40" x14ac:dyDescent="0.25">
      <c r="A850" t="str">
        <f>"20190312172106956"</f>
        <v>20190312172106956</v>
      </c>
      <c r="B850" t="str">
        <f>"1552382466952486"</f>
        <v>1552382466952486</v>
      </c>
      <c r="C850" t="s">
        <v>40</v>
      </c>
      <c r="D850">
        <v>3.2956690000000002</v>
      </c>
      <c r="E850">
        <v>0.50043890000000002</v>
      </c>
      <c r="F850" t="s">
        <v>43</v>
      </c>
      <c r="G850">
        <v>-285.34449999999998</v>
      </c>
      <c r="H850">
        <v>-0.05</v>
      </c>
      <c r="I850">
        <v>367.74669999999998</v>
      </c>
      <c r="J850">
        <v>-331.94110000000001</v>
      </c>
      <c r="K850">
        <v>1.1100460000000001</v>
      </c>
      <c r="L850">
        <v>367.92160000000001</v>
      </c>
      <c r="M850">
        <v>0.99987630000000005</v>
      </c>
      <c r="N850">
        <v>0</v>
      </c>
      <c r="O850">
        <v>8.3956440000000007E-3</v>
      </c>
      <c r="P850">
        <v>0.9852592</v>
      </c>
      <c r="Q850">
        <v>0.17037669999999999</v>
      </c>
      <c r="R850">
        <v>1.536737E-2</v>
      </c>
      <c r="S850">
        <v>3.058319</v>
      </c>
      <c r="T850">
        <v>-7.5883149999999996E-2</v>
      </c>
      <c r="U850">
        <v>-1.135254E-2</v>
      </c>
      <c r="V850">
        <v>-7.0384009999999997E-3</v>
      </c>
      <c r="W850">
        <v>0.18347849999999999</v>
      </c>
      <c r="X850">
        <v>0.9829985</v>
      </c>
      <c r="Y850">
        <v>1.2101880000000001E-2</v>
      </c>
      <c r="Z850">
        <v>-3.5841040000000001E-4</v>
      </c>
      <c r="AA850">
        <v>0.99992669999999995</v>
      </c>
      <c r="AB850">
        <v>35</v>
      </c>
      <c r="AC850">
        <v>46.596600000000002</v>
      </c>
      <c r="AD850">
        <v>-1.1600459999999999</v>
      </c>
      <c r="AE850">
        <v>-0.174900000000036</v>
      </c>
      <c r="AF850">
        <v>0.56578624488231199</v>
      </c>
      <c r="AG850">
        <v>-1.1600459999999999</v>
      </c>
      <c r="AH850">
        <v>46.564629216834398</v>
      </c>
      <c r="AI850">
        <v>91.426986382409297</v>
      </c>
      <c r="AJ850">
        <v>89.303858544337302</v>
      </c>
      <c r="AK850">
        <v>46.5825129731993</v>
      </c>
      <c r="AL850">
        <v>79.427561185568393</v>
      </c>
      <c r="AM850">
        <v>90.410238449468906</v>
      </c>
      <c r="AN850">
        <v>0.99999997502656801</v>
      </c>
    </row>
    <row r="851" spans="1:40" x14ac:dyDescent="0.25">
      <c r="A851" t="str">
        <f>"20190312172106968"</f>
        <v>20190312172106968</v>
      </c>
      <c r="B851" t="str">
        <f>"1552382466962246"</f>
        <v>1552382466962246</v>
      </c>
      <c r="C851" t="s">
        <v>40</v>
      </c>
      <c r="D851">
        <v>3.1987510000000001</v>
      </c>
      <c r="E851">
        <v>0.49516159999999998</v>
      </c>
      <c r="F851" t="s">
        <v>43</v>
      </c>
      <c r="G851">
        <v>-278.70940000000002</v>
      </c>
      <c r="H851">
        <v>-0.05</v>
      </c>
      <c r="I851">
        <v>368.76479999999998</v>
      </c>
      <c r="J851">
        <v>-331.77539999999999</v>
      </c>
      <c r="K851">
        <v>1.110047</v>
      </c>
      <c r="L851">
        <v>367.92290000000003</v>
      </c>
      <c r="M851">
        <v>0.99987669999999995</v>
      </c>
      <c r="N851">
        <v>0</v>
      </c>
      <c r="O851">
        <v>8.3419489999999995E-3</v>
      </c>
      <c r="P851">
        <v>0.9852706</v>
      </c>
      <c r="Q851">
        <v>0.1702979</v>
      </c>
      <c r="R851">
        <v>1.5515549999999999E-2</v>
      </c>
      <c r="S851">
        <v>3.0556030000000001</v>
      </c>
      <c r="T851">
        <v>-6.6588880000000003E-2</v>
      </c>
      <c r="U851">
        <v>4.840088E-2</v>
      </c>
      <c r="V851">
        <v>-7.2395960000000001E-3</v>
      </c>
      <c r="W851">
        <v>0.18339929999999999</v>
      </c>
      <c r="X851">
        <v>0.98301179999999999</v>
      </c>
      <c r="Y851">
        <v>-7.4960649999999997E-3</v>
      </c>
      <c r="Z851">
        <v>-1.0010580000000001E-4</v>
      </c>
      <c r="AA851">
        <v>0.99997190000000002</v>
      </c>
      <c r="AB851">
        <v>35</v>
      </c>
      <c r="AC851">
        <v>53.065999999999903</v>
      </c>
      <c r="AD851">
        <v>-1.1600469999999901</v>
      </c>
      <c r="AE851">
        <v>0.84189999999995202</v>
      </c>
      <c r="AF851">
        <v>-0.39896704422699403</v>
      </c>
      <c r="AG851">
        <v>-1.1600469999999901</v>
      </c>
      <c r="AH851">
        <v>53.045833826704801</v>
      </c>
      <c r="AI851">
        <v>91.252752965475906</v>
      </c>
      <c r="AJ851">
        <v>90.430923507696207</v>
      </c>
      <c r="AK851">
        <v>53.060016680311797</v>
      </c>
      <c r="AL851">
        <v>79.432177149401397</v>
      </c>
      <c r="AM851">
        <v>90.421959122990202</v>
      </c>
      <c r="AN851">
        <v>0.999999956964985</v>
      </c>
    </row>
    <row r="852" spans="1:40" x14ac:dyDescent="0.25">
      <c r="A852" t="str">
        <f>"20190312172106978"</f>
        <v>20190312172106978</v>
      </c>
      <c r="B852" t="str">
        <f>"1552382466972005"</f>
        <v>1552382466972005</v>
      </c>
      <c r="C852" t="s">
        <v>40</v>
      </c>
      <c r="D852">
        <v>3.1823389999999998</v>
      </c>
      <c r="E852">
        <v>0.49209969999999997</v>
      </c>
      <c r="F852" t="s">
        <v>42</v>
      </c>
      <c r="G852">
        <v>-278.45370000000003</v>
      </c>
      <c r="H852" s="1">
        <v>-6.6417449999999996E-7</v>
      </c>
      <c r="I852">
        <v>369.51209999999998</v>
      </c>
      <c r="J852">
        <v>-331.59649999999999</v>
      </c>
      <c r="K852">
        <v>1.110047</v>
      </c>
      <c r="L852">
        <v>367.92430000000002</v>
      </c>
      <c r="M852">
        <v>0.99987729999999997</v>
      </c>
      <c r="N852">
        <v>0</v>
      </c>
      <c r="O852">
        <v>8.2839039999999999E-3</v>
      </c>
      <c r="P852">
        <v>0.985259</v>
      </c>
      <c r="Q852">
        <v>0.17036379999999901</v>
      </c>
      <c r="R852">
        <v>1.553505E-2</v>
      </c>
      <c r="S852">
        <v>3.054443</v>
      </c>
      <c r="T852">
        <v>-6.3587069999999996E-2</v>
      </c>
      <c r="U852">
        <v>9.1033939999999994E-2</v>
      </c>
      <c r="V852">
        <v>-7.3168469999999996E-3</v>
      </c>
      <c r="W852">
        <v>0.18346399999999999</v>
      </c>
      <c r="X852">
        <v>0.98299919999999996</v>
      </c>
      <c r="Y852">
        <v>-2.1505699999999999E-2</v>
      </c>
      <c r="Z852" s="1">
        <v>5.1372799999999997E-5</v>
      </c>
      <c r="AA852">
        <v>0.99976869999999995</v>
      </c>
      <c r="AB852">
        <v>35</v>
      </c>
      <c r="AC852">
        <v>53.142799999999902</v>
      </c>
      <c r="AD852">
        <v>-1.1100476641744901</v>
      </c>
      <c r="AE852">
        <v>1.5877999999999499</v>
      </c>
      <c r="AF852">
        <v>-1.1469767528113901</v>
      </c>
      <c r="AG852">
        <v>-1.1100476641744901</v>
      </c>
      <c r="AH852">
        <v>53.130969724527702</v>
      </c>
      <c r="AI852">
        <v>91.196608806271001</v>
      </c>
      <c r="AJ852">
        <v>91.236693432219894</v>
      </c>
      <c r="AK852">
        <v>53.1549405545422</v>
      </c>
      <c r="AL852">
        <v>79.428406602225394</v>
      </c>
      <c r="AM852">
        <v>90.426466990465698</v>
      </c>
      <c r="AN852">
        <v>1.0000000013733299</v>
      </c>
    </row>
    <row r="853" spans="1:40" x14ac:dyDescent="0.25">
      <c r="A853" t="str">
        <f>"20190312172106991"</f>
        <v>20190312172106991</v>
      </c>
      <c r="B853" t="str">
        <f>"1552382466981766"</f>
        <v>1552382466981766</v>
      </c>
      <c r="C853" t="s">
        <v>40</v>
      </c>
      <c r="D853">
        <v>3.2838609999999999</v>
      </c>
      <c r="E853">
        <v>0.48989919999999998</v>
      </c>
      <c r="F853" t="s">
        <v>42</v>
      </c>
      <c r="G853">
        <v>-276.17579999999998</v>
      </c>
      <c r="H853" s="1">
        <v>-1.7298909999999999E-6</v>
      </c>
      <c r="I853">
        <v>370.01850000000002</v>
      </c>
      <c r="J853">
        <v>-331.4101</v>
      </c>
      <c r="K853">
        <v>1.1100460000000001</v>
      </c>
      <c r="L853">
        <v>367.92579999999998</v>
      </c>
      <c r="M853">
        <v>0.99987780000000004</v>
      </c>
      <c r="N853">
        <v>0</v>
      </c>
      <c r="O853">
        <v>8.2232980000000004E-3</v>
      </c>
      <c r="P853">
        <v>0.98524230000000002</v>
      </c>
      <c r="Q853">
        <v>0.17045869999999999</v>
      </c>
      <c r="R853">
        <v>1.5544540000000001E-2</v>
      </c>
      <c r="S853">
        <v>3.0536189999999999</v>
      </c>
      <c r="T853">
        <v>-6.1162349999999997E-2</v>
      </c>
      <c r="U853">
        <v>0.115387</v>
      </c>
      <c r="V853">
        <v>-7.3860879999999999E-3</v>
      </c>
      <c r="W853">
        <v>0.18355779999999999</v>
      </c>
      <c r="X853">
        <v>0.9829812</v>
      </c>
      <c r="Y853">
        <v>-2.953629E-2</v>
      </c>
      <c r="Z853">
        <v>1.310231E-4</v>
      </c>
      <c r="AA853">
        <v>0.99956369999999894</v>
      </c>
      <c r="AB853">
        <v>35</v>
      </c>
      <c r="AC853">
        <v>55.234299999999998</v>
      </c>
      <c r="AD853">
        <v>-1.1100477298910001</v>
      </c>
      <c r="AE853">
        <v>2.09270000000003</v>
      </c>
      <c r="AF853">
        <v>-1.6377204572803401</v>
      </c>
      <c r="AG853">
        <v>-1.1100477298910001</v>
      </c>
      <c r="AH853">
        <v>55.227368574400103</v>
      </c>
      <c r="AI853">
        <v>91.150961094527204</v>
      </c>
      <c r="AJ853">
        <v>91.698559647633104</v>
      </c>
      <c r="AK853">
        <v>55.2627955672844</v>
      </c>
      <c r="AL853">
        <v>79.422939717671497</v>
      </c>
      <c r="AM853">
        <v>90.4305104770648</v>
      </c>
      <c r="AN853">
        <v>1.0000000298951099</v>
      </c>
    </row>
    <row r="854" spans="1:40" x14ac:dyDescent="0.25">
      <c r="A854" t="str">
        <f>"20190312172107002"</f>
        <v>20190312172107002</v>
      </c>
      <c r="B854" t="str">
        <f>"1552382466992501"</f>
        <v>1552382466992501</v>
      </c>
      <c r="C854" t="s">
        <v>40</v>
      </c>
      <c r="D854">
        <v>3.2522899999999999</v>
      </c>
      <c r="E854">
        <v>0.48834719999999998</v>
      </c>
      <c r="F854" t="s">
        <v>42</v>
      </c>
      <c r="G854">
        <v>-273.73289999999997</v>
      </c>
      <c r="H854" s="1">
        <v>-2.888994E-6</v>
      </c>
      <c r="I854">
        <v>370.43599999999998</v>
      </c>
      <c r="J854">
        <v>-331.22809999999998</v>
      </c>
      <c r="K854">
        <v>1.110047</v>
      </c>
      <c r="L854">
        <v>367.9273</v>
      </c>
      <c r="M854">
        <v>0.99987820000000005</v>
      </c>
      <c r="N854">
        <v>0</v>
      </c>
      <c r="O854">
        <v>8.1643589999999995E-3</v>
      </c>
      <c r="P854">
        <v>0.98523289999999997</v>
      </c>
      <c r="Q854">
        <v>0.17051250000000001</v>
      </c>
      <c r="R854">
        <v>1.5540969999999999E-2</v>
      </c>
      <c r="S854">
        <v>3.0529790000000001</v>
      </c>
      <c r="T854">
        <v>-5.8757190000000001E-2</v>
      </c>
      <c r="U854">
        <v>0.13287349999999901</v>
      </c>
      <c r="V854">
        <v>-7.4403840000000004E-3</v>
      </c>
      <c r="W854">
        <v>0.18361069999999999</v>
      </c>
      <c r="X854">
        <v>0.98297089999999998</v>
      </c>
      <c r="Y854">
        <v>-3.5317599999999998E-2</v>
      </c>
      <c r="Z854">
        <v>1.8261969999999999E-4</v>
      </c>
      <c r="AA854">
        <v>0.99937609999999999</v>
      </c>
      <c r="AB854">
        <v>35</v>
      </c>
      <c r="AC854">
        <v>57.495199999999997</v>
      </c>
      <c r="AD854">
        <v>-1.110049888994</v>
      </c>
      <c r="AE854">
        <v>2.50869999999997</v>
      </c>
      <c r="AF854">
        <v>-2.0384050087982799</v>
      </c>
      <c r="AG854">
        <v>-1.110049888994</v>
      </c>
      <c r="AH854">
        <v>57.492377380575903</v>
      </c>
      <c r="AI854">
        <v>91.105422178122794</v>
      </c>
      <c r="AJ854">
        <v>92.030584008823794</v>
      </c>
      <c r="AK854">
        <v>57.539210653314598</v>
      </c>
      <c r="AL854">
        <v>79.419856253552894</v>
      </c>
      <c r="AM854">
        <v>90.433679633756199</v>
      </c>
      <c r="AN854">
        <v>1.0000000193576799</v>
      </c>
    </row>
    <row r="855" spans="1:40" x14ac:dyDescent="0.25">
      <c r="A855" t="str">
        <f>"20190312172107012"</f>
        <v>20190312172107012</v>
      </c>
      <c r="B855" t="str">
        <f>"1552382467002263"</f>
        <v>1552382467002263</v>
      </c>
      <c r="C855" t="s">
        <v>40</v>
      </c>
      <c r="D855">
        <v>3.1933549999999999</v>
      </c>
      <c r="E855">
        <v>0.48708360000000001</v>
      </c>
      <c r="F855" t="s">
        <v>42</v>
      </c>
      <c r="G855">
        <v>-272.80489999999998</v>
      </c>
      <c r="H855" s="1">
        <v>-3.3605440000000002E-6</v>
      </c>
      <c r="I855">
        <v>370.71199999999999</v>
      </c>
      <c r="J855">
        <v>-331.06599999999997</v>
      </c>
      <c r="K855">
        <v>1.1100490000000001</v>
      </c>
      <c r="L855">
        <v>367.92860000000002</v>
      </c>
      <c r="M855">
        <v>0.99987859999999995</v>
      </c>
      <c r="N855">
        <v>0</v>
      </c>
      <c r="O855">
        <v>8.1119729999999998E-3</v>
      </c>
      <c r="P855">
        <v>0.98520920000000001</v>
      </c>
      <c r="Q855">
        <v>0.17065559999999999</v>
      </c>
      <c r="R855">
        <v>1.548457E-2</v>
      </c>
      <c r="S855">
        <v>3.0527039999999999</v>
      </c>
      <c r="T855">
        <v>-5.8001759999999999E-2</v>
      </c>
      <c r="U855">
        <v>0.14550779999999999</v>
      </c>
      <c r="V855">
        <v>-7.4359650000000001E-3</v>
      </c>
      <c r="W855">
        <v>0.18375320000000001</v>
      </c>
      <c r="X855">
        <v>0.98294429999999999</v>
      </c>
      <c r="Y855">
        <v>-3.9500460000000001E-2</v>
      </c>
      <c r="Z855">
        <v>2.2097809999999999E-4</v>
      </c>
      <c r="AA855">
        <v>0.99921950000000004</v>
      </c>
      <c r="AB855">
        <v>35</v>
      </c>
      <c r="AC855">
        <v>58.261099999999999</v>
      </c>
      <c r="AD855">
        <v>-1.110052360544</v>
      </c>
      <c r="AE855">
        <v>2.7833999999999701</v>
      </c>
      <c r="AF855">
        <v>-2.3098175066638098</v>
      </c>
      <c r="AG855">
        <v>-1.110052360544</v>
      </c>
      <c r="AH855">
        <v>58.260662008097498</v>
      </c>
      <c r="AI855">
        <v>91.090679548593101</v>
      </c>
      <c r="AJ855">
        <v>92.270374475406797</v>
      </c>
      <c r="AK855">
        <v>58.316997614580799</v>
      </c>
      <c r="AL855">
        <v>79.411550233028805</v>
      </c>
      <c r="AM855">
        <v>90.433433800788507</v>
      </c>
      <c r="AN855">
        <v>1.0000000144940999</v>
      </c>
    </row>
    <row r="856" spans="1:40" x14ac:dyDescent="0.25">
      <c r="A856" t="str">
        <f>"20190312172107022"</f>
        <v>20190312172107022</v>
      </c>
      <c r="B856" t="str">
        <f>"1552382467012022"</f>
        <v>1552382467012022</v>
      </c>
      <c r="C856" t="s">
        <v>40</v>
      </c>
      <c r="D856">
        <v>3.177543</v>
      </c>
      <c r="E856">
        <v>0.48612529999999998</v>
      </c>
      <c r="F856" t="s">
        <v>42</v>
      </c>
      <c r="G856">
        <v>-270.67880000000002</v>
      </c>
      <c r="H856" s="1">
        <v>-4.2911079999999997E-6</v>
      </c>
      <c r="I856">
        <v>371.0034</v>
      </c>
      <c r="J856">
        <v>-330.91550000000001</v>
      </c>
      <c r="K856">
        <v>1.1100509999999999</v>
      </c>
      <c r="L856">
        <v>367.92970000000003</v>
      </c>
      <c r="M856">
        <v>0.99987910000000002</v>
      </c>
      <c r="N856">
        <v>0</v>
      </c>
      <c r="O856">
        <v>8.0632829999999992E-3</v>
      </c>
      <c r="P856">
        <v>0.98518090000000003</v>
      </c>
      <c r="Q856">
        <v>0.17082639999999999</v>
      </c>
      <c r="R856">
        <v>1.5407260000000001E-2</v>
      </c>
      <c r="S856">
        <v>3.0523380000000002</v>
      </c>
      <c r="T856">
        <v>-5.6108709999999999E-2</v>
      </c>
      <c r="U856">
        <v>0.15542600000000001</v>
      </c>
      <c r="V856">
        <v>-7.4066649999999998E-3</v>
      </c>
      <c r="W856">
        <v>0.1839229</v>
      </c>
      <c r="X856">
        <v>0.98291280000000003</v>
      </c>
      <c r="Y856">
        <v>-4.2793390000000001E-2</v>
      </c>
      <c r="Z856">
        <v>2.4491399999999999E-4</v>
      </c>
      <c r="AA856">
        <v>0.99908390000000002</v>
      </c>
      <c r="AB856">
        <v>35</v>
      </c>
      <c r="AC856">
        <v>60.2366999999999</v>
      </c>
      <c r="AD856">
        <v>-1.1100552911079999</v>
      </c>
      <c r="AE856">
        <v>3.0736999999999699</v>
      </c>
      <c r="AF856">
        <v>-2.5869753128246802</v>
      </c>
      <c r="AG856">
        <v>-1.1100552911079999</v>
      </c>
      <c r="AH856">
        <v>60.239123693600703</v>
      </c>
      <c r="AI856">
        <v>91.054725451116994</v>
      </c>
      <c r="AJ856">
        <v>92.459062104983502</v>
      </c>
      <c r="AK856">
        <v>60.304864541688602</v>
      </c>
      <c r="AL856">
        <v>79.4016587398865</v>
      </c>
      <c r="AM856">
        <v>90.431739837703404</v>
      </c>
      <c r="AN856">
        <v>1.0000000321173299</v>
      </c>
    </row>
    <row r="857" spans="1:40" x14ac:dyDescent="0.25">
      <c r="A857" t="str">
        <f>"20190312172107034"</f>
        <v>20190312172107034</v>
      </c>
      <c r="B857" t="str">
        <f>"1552382467021782"</f>
        <v>1552382467021782</v>
      </c>
      <c r="C857" t="s">
        <v>40</v>
      </c>
      <c r="D857">
        <v>3.1988989999999999</v>
      </c>
      <c r="E857">
        <v>0.4853306</v>
      </c>
      <c r="F857" t="s">
        <v>42</v>
      </c>
      <c r="G857">
        <v>-269.69380000000001</v>
      </c>
      <c r="H857" s="1">
        <v>-5.3369119999999896E-7</v>
      </c>
      <c r="I857">
        <v>371.19479999999999</v>
      </c>
      <c r="J857">
        <v>-330.73329999999999</v>
      </c>
      <c r="K857">
        <v>1.1100509999999999</v>
      </c>
      <c r="L857">
        <v>367.93110000000001</v>
      </c>
      <c r="M857">
        <v>0.99987939999999997</v>
      </c>
      <c r="N857">
        <v>0</v>
      </c>
      <c r="O857">
        <v>8.004522E-3</v>
      </c>
      <c r="P857">
        <v>0.98512350000000004</v>
      </c>
      <c r="Q857">
        <v>0.17115569999999999</v>
      </c>
      <c r="R857">
        <v>1.541242E-2</v>
      </c>
      <c r="S857">
        <v>3.052155</v>
      </c>
      <c r="T857">
        <v>-5.5340649999999998E-2</v>
      </c>
      <c r="U857">
        <v>0.1627808</v>
      </c>
      <c r="V857">
        <v>-7.4704100000000002E-3</v>
      </c>
      <c r="W857">
        <v>0.18425050000000001</v>
      </c>
      <c r="X857">
        <v>0.98285089999999997</v>
      </c>
      <c r="Y857">
        <v>-4.5255700000000003E-2</v>
      </c>
      <c r="Z857">
        <v>2.6493140000000002E-4</v>
      </c>
      <c r="AA857">
        <v>0.99897539999999996</v>
      </c>
      <c r="AB857">
        <v>35</v>
      </c>
      <c r="AC857">
        <v>61.039499999999897</v>
      </c>
      <c r="AD857">
        <v>-1.1100515336912</v>
      </c>
      <c r="AE857">
        <v>3.2636999999999698</v>
      </c>
      <c r="AF857">
        <v>-2.7740453038292601</v>
      </c>
      <c r="AG857">
        <v>-1.1100515336912</v>
      </c>
      <c r="AH857">
        <v>61.043539873774897</v>
      </c>
      <c r="AI857">
        <v>91.040711426883703</v>
      </c>
      <c r="AJ857">
        <v>92.601943012773503</v>
      </c>
      <c r="AK857">
        <v>61.116620506015302</v>
      </c>
      <c r="AL857">
        <v>79.382561646665195</v>
      </c>
      <c r="AM857">
        <v>90.435482861143299</v>
      </c>
      <c r="AN857">
        <v>0.99999997270331298</v>
      </c>
    </row>
    <row r="858" spans="1:40" x14ac:dyDescent="0.25">
      <c r="A858" t="str">
        <f>"20190312172107046"</f>
        <v>20190312172107046</v>
      </c>
      <c r="B858" t="str">
        <f>"1552382467042279"</f>
        <v>1552382467042279</v>
      </c>
      <c r="C858" t="s">
        <v>40</v>
      </c>
      <c r="D858">
        <v>3.2759710000000002</v>
      </c>
      <c r="E858">
        <v>0.48405369999999998</v>
      </c>
      <c r="F858" t="s">
        <v>42</v>
      </c>
      <c r="G858">
        <v>-267.916</v>
      </c>
      <c r="H858" s="1">
        <v>-1.353691E-6</v>
      </c>
      <c r="I858">
        <v>371.41019999999997</v>
      </c>
      <c r="J858">
        <v>-330.56299999999999</v>
      </c>
      <c r="K858">
        <v>1.110055</v>
      </c>
      <c r="L858">
        <v>367.93239999999997</v>
      </c>
      <c r="M858">
        <v>0.99987999999999999</v>
      </c>
      <c r="N858">
        <v>0</v>
      </c>
      <c r="O858">
        <v>7.9493369999999904E-3</v>
      </c>
      <c r="P858">
        <v>0.9851084</v>
      </c>
      <c r="Q858">
        <v>0.17123250000000001</v>
      </c>
      <c r="R858">
        <v>1.5534610000000001E-2</v>
      </c>
      <c r="S858">
        <v>3.0520320000000001</v>
      </c>
      <c r="T858">
        <v>-5.3932790000000001E-2</v>
      </c>
      <c r="U858">
        <v>0.16903689999999999</v>
      </c>
      <c r="V858">
        <v>-7.6474519999999999E-3</v>
      </c>
      <c r="W858">
        <v>0.1843264</v>
      </c>
      <c r="X858">
        <v>0.98283540000000003</v>
      </c>
      <c r="Y858">
        <v>-4.7354510000000002E-2</v>
      </c>
      <c r="Z858">
        <v>2.7769170000000002E-4</v>
      </c>
      <c r="AA858">
        <v>0.99887809999999999</v>
      </c>
      <c r="AB858">
        <v>35</v>
      </c>
      <c r="AC858">
        <v>62.646999999999998</v>
      </c>
      <c r="AD858">
        <v>-1.110056353691</v>
      </c>
      <c r="AE858">
        <v>3.4777999999999998</v>
      </c>
      <c r="AF858">
        <v>-2.9787115960432899</v>
      </c>
      <c r="AG858">
        <v>-1.110056353691</v>
      </c>
      <c r="AH858">
        <v>62.653058069426699</v>
      </c>
      <c r="AI858">
        <v>91.013887526556502</v>
      </c>
      <c r="AJ858">
        <v>92.721961125046704</v>
      </c>
      <c r="AK858">
        <v>62.733648334300902</v>
      </c>
      <c r="AL858">
        <v>79.378138099431297</v>
      </c>
      <c r="AM858">
        <v>90.445810032020105</v>
      </c>
      <c r="AN858">
        <v>1.0000000643761</v>
      </c>
    </row>
    <row r="859" spans="1:40" x14ac:dyDescent="0.25">
      <c r="A859" t="str">
        <f>"20190312172107057"</f>
        <v>20190312172107057</v>
      </c>
      <c r="B859" t="str">
        <f>"1552382467052038"</f>
        <v>1552382467052038</v>
      </c>
      <c r="C859" t="s">
        <v>40</v>
      </c>
      <c r="D859">
        <v>3.3561619999999999</v>
      </c>
      <c r="E859">
        <v>0.48363289999999998</v>
      </c>
      <c r="F859" t="s">
        <v>42</v>
      </c>
      <c r="G859">
        <v>-267.10669999999999</v>
      </c>
      <c r="H859" s="1">
        <v>-1.7663900000000001E-6</v>
      </c>
      <c r="I859">
        <v>371.65649999999999</v>
      </c>
      <c r="J859">
        <v>-330.37270000000001</v>
      </c>
      <c r="K859">
        <v>1.110052</v>
      </c>
      <c r="L859">
        <v>367.93389999999999</v>
      </c>
      <c r="M859">
        <v>0.9998804</v>
      </c>
      <c r="N859">
        <v>0</v>
      </c>
      <c r="O859">
        <v>7.8877200000000008E-3</v>
      </c>
      <c r="P859">
        <v>0.98508689999999999</v>
      </c>
      <c r="Q859">
        <v>0.1713624</v>
      </c>
      <c r="R859">
        <v>1.546323E-2</v>
      </c>
      <c r="S859">
        <v>3.0518489999999998</v>
      </c>
      <c r="T859">
        <v>-5.3386690000000001E-2</v>
      </c>
      <c r="U859">
        <v>0.17910770000000001</v>
      </c>
      <c r="V859">
        <v>-7.636487E-3</v>
      </c>
      <c r="W859">
        <v>0.1844548</v>
      </c>
      <c r="X859">
        <v>0.98281130000000005</v>
      </c>
      <c r="Y859">
        <v>-5.070421E-2</v>
      </c>
      <c r="Z859">
        <v>3.0521930000000001E-4</v>
      </c>
      <c r="AA859">
        <v>0.99871370000000004</v>
      </c>
      <c r="AB859">
        <v>35</v>
      </c>
      <c r="AC859">
        <v>63.265999999999998</v>
      </c>
      <c r="AD859">
        <v>-1.1100537663900001</v>
      </c>
      <c r="AE859">
        <v>3.7225999999999999</v>
      </c>
      <c r="AF859">
        <v>-3.22242689950285</v>
      </c>
      <c r="AG859">
        <v>-1.1100537663900001</v>
      </c>
      <c r="AH859">
        <v>63.273984911304701</v>
      </c>
      <c r="AI859">
        <v>91.0037707721701</v>
      </c>
      <c r="AJ859">
        <v>92.915449131112993</v>
      </c>
      <c r="AK859">
        <v>63.365711714167098</v>
      </c>
      <c r="AL859">
        <v>79.370651963040999</v>
      </c>
      <c r="AM859">
        <v>90.445181766296599</v>
      </c>
      <c r="AN859">
        <v>0.99999997029221499</v>
      </c>
    </row>
    <row r="860" spans="1:40" x14ac:dyDescent="0.25">
      <c r="A860" t="str">
        <f>"20190312172107069"</f>
        <v>20190312172107069</v>
      </c>
      <c r="B860" t="str">
        <f>"1552382467052038"</f>
        <v>1552382467052038</v>
      </c>
      <c r="C860" t="s">
        <v>40</v>
      </c>
      <c r="D860">
        <v>3.3561619999999999</v>
      </c>
      <c r="E860">
        <v>0.48363289999999998</v>
      </c>
      <c r="F860" t="s">
        <v>42</v>
      </c>
      <c r="G860">
        <v>-266.31979999999999</v>
      </c>
      <c r="H860" s="1">
        <v>-2.1304130000000001E-6</v>
      </c>
      <c r="I860">
        <v>371.7559</v>
      </c>
      <c r="J860">
        <v>-330.19170000000003</v>
      </c>
      <c r="K860">
        <v>1.110052</v>
      </c>
      <c r="L860">
        <v>367.93520000000001</v>
      </c>
      <c r="M860">
        <v>0.99988100000000002</v>
      </c>
      <c r="N860">
        <v>0</v>
      </c>
      <c r="O860">
        <v>7.8290789999999992E-3</v>
      </c>
      <c r="P860">
        <v>0.98503240000000003</v>
      </c>
      <c r="Q860">
        <v>0.1716597</v>
      </c>
      <c r="R860">
        <v>1.562294E-2</v>
      </c>
      <c r="S860">
        <v>3.051758</v>
      </c>
      <c r="T860">
        <v>-5.2887799999999999E-2</v>
      </c>
      <c r="U860">
        <v>0.18209839999999999</v>
      </c>
      <c r="V860">
        <v>-7.8544280000000001E-3</v>
      </c>
      <c r="W860">
        <v>0.18475050000000001</v>
      </c>
      <c r="X860">
        <v>0.98275409999999996</v>
      </c>
      <c r="Y860">
        <v>-5.1739800000000002E-2</v>
      </c>
      <c r="Z860">
        <v>3.1234809999999998E-4</v>
      </c>
      <c r="AA860">
        <v>0.99866060000000001</v>
      </c>
      <c r="AB860">
        <v>35</v>
      </c>
      <c r="AC860">
        <v>63.871899999999997</v>
      </c>
      <c r="AD860">
        <v>-1.1100541304130001</v>
      </c>
      <c r="AE860">
        <v>3.82069999999998</v>
      </c>
      <c r="AF860">
        <v>-3.3194814977640599</v>
      </c>
      <c r="AG860">
        <v>-1.1100541304130001</v>
      </c>
      <c r="AH860">
        <v>63.880631434448901</v>
      </c>
      <c r="AI860">
        <v>90.994187824811306</v>
      </c>
      <c r="AJ860">
        <v>92.974631971823698</v>
      </c>
      <c r="AK860">
        <v>63.976450745960797</v>
      </c>
      <c r="AL860">
        <v>79.353413969090795</v>
      </c>
      <c r="AM860">
        <v>90.4579131171011</v>
      </c>
      <c r="AN860">
        <v>1.00000003017813</v>
      </c>
    </row>
    <row r="861" spans="1:40" x14ac:dyDescent="0.25">
      <c r="A861" t="str">
        <f>"20190312172107081"</f>
        <v>20190312172107081</v>
      </c>
      <c r="B861" t="str">
        <f>"1552382467072533"</f>
        <v>1552382467072533</v>
      </c>
      <c r="C861" t="s">
        <v>40</v>
      </c>
      <c r="D861">
        <v>3.1842009999999998</v>
      </c>
      <c r="E861">
        <v>0.48333419999999999</v>
      </c>
      <c r="F861" t="s">
        <v>42</v>
      </c>
      <c r="G861">
        <v>-265.03800000000001</v>
      </c>
      <c r="H861" s="1">
        <v>-2.7019579999999998E-6</v>
      </c>
      <c r="I861">
        <v>371.8372</v>
      </c>
      <c r="J861">
        <v>-330.00450000000001</v>
      </c>
      <c r="K861">
        <v>1.110052</v>
      </c>
      <c r="L861">
        <v>367.93669999999997</v>
      </c>
      <c r="M861">
        <v>0.99988140000000003</v>
      </c>
      <c r="N861">
        <v>0</v>
      </c>
      <c r="O861">
        <v>7.7684719999999898E-3</v>
      </c>
      <c r="P861">
        <v>0.98499049999999999</v>
      </c>
      <c r="Q861">
        <v>0.17188970000000001</v>
      </c>
      <c r="R861">
        <v>1.5735679999999998E-2</v>
      </c>
      <c r="S861">
        <v>3.051758</v>
      </c>
      <c r="T861">
        <v>-5.1994199999999997E-2</v>
      </c>
      <c r="U861">
        <v>0.18276980000000001</v>
      </c>
      <c r="V861">
        <v>-8.0269959999999998E-3</v>
      </c>
      <c r="W861">
        <v>0.18497920000000001</v>
      </c>
      <c r="X861">
        <v>0.98270959999999996</v>
      </c>
      <c r="Y861">
        <v>-5.2019419999999997E-2</v>
      </c>
      <c r="Z861">
        <v>3.1048080000000002E-4</v>
      </c>
      <c r="AA861">
        <v>0.99864600000000003</v>
      </c>
      <c r="AB861">
        <v>35</v>
      </c>
      <c r="AC861">
        <v>64.966499999999996</v>
      </c>
      <c r="AD861">
        <v>-1.110054701958</v>
      </c>
      <c r="AE861">
        <v>3.9005000000000201</v>
      </c>
      <c r="AF861">
        <v>-3.3946597011114199</v>
      </c>
      <c r="AG861">
        <v>-1.110054701958</v>
      </c>
      <c r="AH861">
        <v>64.975941240448293</v>
      </c>
      <c r="AI861">
        <v>90.977418152438503</v>
      </c>
      <c r="AJ861">
        <v>92.990691558890504</v>
      </c>
      <c r="AK861">
        <v>65.074026124175504</v>
      </c>
      <c r="AL861">
        <v>79.340079718798705</v>
      </c>
      <c r="AM861">
        <v>90.467994578378907</v>
      </c>
      <c r="AN861">
        <v>0.99999994751479004</v>
      </c>
    </row>
    <row r="862" spans="1:40" x14ac:dyDescent="0.25">
      <c r="A862" t="str">
        <f>"20190312172107094"</f>
        <v>20190312172107094</v>
      </c>
      <c r="B862" t="str">
        <f>"1552382467082294"</f>
        <v>1552382467082294</v>
      </c>
      <c r="C862" t="s">
        <v>40</v>
      </c>
      <c r="D862">
        <v>3.271439</v>
      </c>
      <c r="E862">
        <v>0.48302489999999998</v>
      </c>
      <c r="F862" t="s">
        <v>42</v>
      </c>
      <c r="G862">
        <v>-264.88889999999998</v>
      </c>
      <c r="H862" s="1">
        <v>-2.7796710000000001E-6</v>
      </c>
      <c r="I862">
        <v>371.88900000000001</v>
      </c>
      <c r="J862">
        <v>-329.80849999999998</v>
      </c>
      <c r="K862">
        <v>1.1100559999999999</v>
      </c>
      <c r="L862">
        <v>367.93810000000002</v>
      </c>
      <c r="M862">
        <v>0.99988200000000005</v>
      </c>
      <c r="N862">
        <v>0</v>
      </c>
      <c r="O862">
        <v>7.7053579999999998E-3</v>
      </c>
      <c r="P862">
        <v>0.98494590000000004</v>
      </c>
      <c r="Q862">
        <v>0.17213319999999999</v>
      </c>
      <c r="R862">
        <v>1.5885989999999999E-2</v>
      </c>
      <c r="S862">
        <v>3.0518489999999998</v>
      </c>
      <c r="T862">
        <v>-5.2026269999999999E-2</v>
      </c>
      <c r="U862">
        <v>0.18524170000000001</v>
      </c>
      <c r="V862">
        <v>-8.2402919999999998E-3</v>
      </c>
      <c r="W862">
        <v>0.185221</v>
      </c>
      <c r="X862">
        <v>0.98266229999999999</v>
      </c>
      <c r="Y862">
        <v>-5.2886460000000003E-2</v>
      </c>
      <c r="Z862">
        <v>3.1911329999999999E-4</v>
      </c>
      <c r="AA862">
        <v>0.9986005</v>
      </c>
      <c r="AB862">
        <v>35</v>
      </c>
      <c r="AC862">
        <v>64.919600000000003</v>
      </c>
      <c r="AD862">
        <v>-1.110058779671</v>
      </c>
      <c r="AE862">
        <v>3.9508999999999901</v>
      </c>
      <c r="AF862">
        <v>-3.4495049239070199</v>
      </c>
      <c r="AG862">
        <v>-1.110058779671</v>
      </c>
      <c r="AH862">
        <v>64.929204570633601</v>
      </c>
      <c r="AI862">
        <v>90.978079830967005</v>
      </c>
      <c r="AJ862">
        <v>93.041103631571005</v>
      </c>
      <c r="AK862">
        <v>65.030246200437901</v>
      </c>
      <c r="AL862">
        <v>79.325982104194594</v>
      </c>
      <c r="AM862">
        <v>90.480452834366105</v>
      </c>
      <c r="AN862">
        <v>0.99999995854726598</v>
      </c>
    </row>
    <row r="863" spans="1:40" x14ac:dyDescent="0.25">
      <c r="A863" t="str">
        <f>"20190312172107103"</f>
        <v>20190312172107103</v>
      </c>
      <c r="B863" t="str">
        <f>"1552382467092053"</f>
        <v>1552382467092053</v>
      </c>
      <c r="C863" t="s">
        <v>40</v>
      </c>
      <c r="D863">
        <v>3.4631630000000002</v>
      </c>
      <c r="E863">
        <v>0.48276619999999998</v>
      </c>
      <c r="F863" t="s">
        <v>42</v>
      </c>
      <c r="G863">
        <v>-263.56729999999999</v>
      </c>
      <c r="H863" s="1">
        <v>-3.380944E-6</v>
      </c>
      <c r="I863">
        <v>372.0179</v>
      </c>
      <c r="J863">
        <v>-329.64909999999998</v>
      </c>
      <c r="K863">
        <v>1.110058</v>
      </c>
      <c r="L863">
        <v>367.9393</v>
      </c>
      <c r="M863">
        <v>0.9998823</v>
      </c>
      <c r="N863">
        <v>0</v>
      </c>
      <c r="O863">
        <v>7.6541650000000001E-3</v>
      </c>
      <c r="P863">
        <v>0.98493140000000001</v>
      </c>
      <c r="Q863">
        <v>0.1721963</v>
      </c>
      <c r="R863">
        <v>1.6079320000000001E-2</v>
      </c>
      <c r="S863">
        <v>3.051758</v>
      </c>
      <c r="T863">
        <v>-5.1140789999999998E-2</v>
      </c>
      <c r="U863">
        <v>0.18795780000000001</v>
      </c>
      <c r="V863">
        <v>-8.4838480000000004E-3</v>
      </c>
      <c r="W863">
        <v>0.1852829</v>
      </c>
      <c r="X863">
        <v>0.98264859999999998</v>
      </c>
      <c r="Y863">
        <v>-5.382489E-2</v>
      </c>
      <c r="Z863">
        <v>3.2239569999999997E-4</v>
      </c>
      <c r="AA863">
        <v>0.99855039999999995</v>
      </c>
      <c r="AB863">
        <v>35</v>
      </c>
      <c r="AC863">
        <v>66.081799999999902</v>
      </c>
      <c r="AD863">
        <v>-1.1100613809440001</v>
      </c>
      <c r="AE863">
        <v>4.07859999999999</v>
      </c>
      <c r="AF863">
        <v>-3.5716307554281701</v>
      </c>
      <c r="AG863">
        <v>-1.1100613809440001</v>
      </c>
      <c r="AH863">
        <v>66.092505544931896</v>
      </c>
      <c r="AI863">
        <v>90.960823207443795</v>
      </c>
      <c r="AJ863">
        <v>93.093248040122404</v>
      </c>
      <c r="AK863">
        <v>66.198248252725193</v>
      </c>
      <c r="AL863">
        <v>79.322373472648806</v>
      </c>
      <c r="AM863">
        <v>90.494659644648294</v>
      </c>
      <c r="AN863">
        <v>0.99999999989562804</v>
      </c>
    </row>
    <row r="864" spans="1:40" x14ac:dyDescent="0.25">
      <c r="A864" t="str">
        <f>"20190312172107114"</f>
        <v>20190312172107114</v>
      </c>
      <c r="B864" t="str">
        <f>"1552382467112549"</f>
        <v>1552382467112549</v>
      </c>
      <c r="C864" t="s">
        <v>40</v>
      </c>
      <c r="D864">
        <v>3.2709000000000001</v>
      </c>
      <c r="E864">
        <v>0.482377</v>
      </c>
      <c r="F864" t="s">
        <v>42</v>
      </c>
      <c r="G864">
        <v>-263.79129999999998</v>
      </c>
      <c r="H864" s="1">
        <v>-3.2937520000000001E-6</v>
      </c>
      <c r="I864">
        <v>372.0514</v>
      </c>
      <c r="J864">
        <v>-329.47609999999997</v>
      </c>
      <c r="K864">
        <v>1.1100570000000001</v>
      </c>
      <c r="L864">
        <v>367.94060000000002</v>
      </c>
      <c r="M864">
        <v>0.99988279999999996</v>
      </c>
      <c r="N864">
        <v>0</v>
      </c>
      <c r="O864">
        <v>7.5982059999999997E-3</v>
      </c>
      <c r="P864">
        <v>0.98486209999999996</v>
      </c>
      <c r="Q864">
        <v>0.17257159999999999</v>
      </c>
      <c r="R864">
        <v>1.6299999999999999E-2</v>
      </c>
      <c r="S864">
        <v>3.0517880000000002</v>
      </c>
      <c r="T864">
        <v>-5.1439169999999999E-2</v>
      </c>
      <c r="U864">
        <v>0.19055179999999999</v>
      </c>
      <c r="V864">
        <v>-8.7601409999999904E-3</v>
      </c>
      <c r="W864">
        <v>0.1856563</v>
      </c>
      <c r="X864">
        <v>0.98257570000000005</v>
      </c>
      <c r="Y864">
        <v>-5.472544E-2</v>
      </c>
      <c r="Z864">
        <v>3.3278859999999997E-4</v>
      </c>
      <c r="AA864">
        <v>0.99850139999999998</v>
      </c>
      <c r="AB864">
        <v>35</v>
      </c>
      <c r="AC864">
        <v>65.684799999999996</v>
      </c>
      <c r="AD864">
        <v>-1.1100602937520001</v>
      </c>
      <c r="AE864">
        <v>4.1107999999999798</v>
      </c>
      <c r="AF864">
        <v>-3.6105234287539001</v>
      </c>
      <c r="AG864">
        <v>-1.1100602937520001</v>
      </c>
      <c r="AH864">
        <v>65.695451378398602</v>
      </c>
      <c r="AI864">
        <v>90.966580004288602</v>
      </c>
      <c r="AJ864">
        <v>93.145725459245</v>
      </c>
      <c r="AK864">
        <v>65.803954631138097</v>
      </c>
      <c r="AL864">
        <v>79.300601529091594</v>
      </c>
      <c r="AM864">
        <v>90.510806250729104</v>
      </c>
      <c r="AN864">
        <v>1.0000000040152599</v>
      </c>
    </row>
    <row r="865" spans="1:40" x14ac:dyDescent="0.25">
      <c r="A865" t="str">
        <f>"20190312172107125"</f>
        <v>20190312172107125</v>
      </c>
      <c r="B865" t="str">
        <f>"1552382467122309"</f>
        <v>1552382467122309</v>
      </c>
      <c r="C865" t="s">
        <v>40</v>
      </c>
      <c r="D865">
        <v>3.2689979999999998</v>
      </c>
      <c r="E865">
        <v>0.4821764</v>
      </c>
      <c r="F865" t="s">
        <v>42</v>
      </c>
      <c r="G865">
        <v>-263.5838</v>
      </c>
      <c r="H865" s="1">
        <v>-3.4060940000000001E-6</v>
      </c>
      <c r="I865">
        <v>372.13900000000001</v>
      </c>
      <c r="J865">
        <v>-329.32209999999998</v>
      </c>
      <c r="K865">
        <v>1.1100589999999999</v>
      </c>
      <c r="L865">
        <v>367.94170000000003</v>
      </c>
      <c r="M865">
        <v>0.99988310000000002</v>
      </c>
      <c r="N865">
        <v>0</v>
      </c>
      <c r="O865">
        <v>7.5488609999999996E-3</v>
      </c>
      <c r="P865">
        <v>0.98488120000000001</v>
      </c>
      <c r="Q865">
        <v>0.17247279999999901</v>
      </c>
      <c r="R865">
        <v>1.619756E-2</v>
      </c>
      <c r="S865">
        <v>3.0519099999999999</v>
      </c>
      <c r="T865">
        <v>-5.1414250000000002E-2</v>
      </c>
      <c r="U865">
        <v>0.19445799999999999</v>
      </c>
      <c r="V865">
        <v>-8.7059589999999992E-3</v>
      </c>
      <c r="W865">
        <v>0.185557</v>
      </c>
      <c r="X865">
        <v>0.98259490000000005</v>
      </c>
      <c r="Y865">
        <v>-5.604497E-2</v>
      </c>
      <c r="Z865">
        <v>3.445341E-4</v>
      </c>
      <c r="AA865">
        <v>0.99842819999999999</v>
      </c>
      <c r="AB865">
        <v>35</v>
      </c>
      <c r="AC865">
        <v>65.738299999999896</v>
      </c>
      <c r="AD865">
        <v>-1.1100624060940001</v>
      </c>
      <c r="AE865">
        <v>4.1972999999999798</v>
      </c>
      <c r="AF865">
        <v>-3.6998365339605601</v>
      </c>
      <c r="AG865">
        <v>-1.1100624060940001</v>
      </c>
      <c r="AH865">
        <v>65.749442553643505</v>
      </c>
      <c r="AI865">
        <v>90.965717965216697</v>
      </c>
      <c r="AJ865">
        <v>93.220737443276803</v>
      </c>
      <c r="AK865">
        <v>65.862813673865503</v>
      </c>
      <c r="AL865">
        <v>79.306391193520497</v>
      </c>
      <c r="AM865">
        <v>90.507637130187305</v>
      </c>
      <c r="AN865">
        <v>0.99999996573855898</v>
      </c>
    </row>
    <row r="866" spans="1:40" x14ac:dyDescent="0.25">
      <c r="A866" t="str">
        <f>"20190312172107134"</f>
        <v>20190312172107134</v>
      </c>
      <c r="B866" t="str">
        <f>"1552382467132069"</f>
        <v>1552382467132069</v>
      </c>
      <c r="C866" t="s">
        <v>40</v>
      </c>
      <c r="D866">
        <v>3.1809780000000001</v>
      </c>
      <c r="E866">
        <v>0.48199449999999999</v>
      </c>
      <c r="F866" t="s">
        <v>42</v>
      </c>
      <c r="G866">
        <v>-264.45949999999999</v>
      </c>
      <c r="H866" s="1">
        <v>-3.0187840000000002E-6</v>
      </c>
      <c r="I866">
        <v>372.09519999999998</v>
      </c>
      <c r="J866">
        <v>-329.16019999999997</v>
      </c>
      <c r="K866">
        <v>1.11006</v>
      </c>
      <c r="L866">
        <v>367.94290000000001</v>
      </c>
      <c r="M866">
        <v>0.99988350000000004</v>
      </c>
      <c r="N866">
        <v>0</v>
      </c>
      <c r="O866">
        <v>7.4969519999999899E-3</v>
      </c>
      <c r="P866">
        <v>0.98488659999999995</v>
      </c>
      <c r="Q866">
        <v>0.1724183</v>
      </c>
      <c r="R866">
        <v>1.6445390000000001E-2</v>
      </c>
      <c r="S866">
        <v>3.051971</v>
      </c>
      <c r="T866">
        <v>-5.2231550000000002E-2</v>
      </c>
      <c r="U866">
        <v>0.19543460000000001</v>
      </c>
      <c r="V866">
        <v>-9.0049789999999998E-3</v>
      </c>
      <c r="W866">
        <v>0.18550169999999999</v>
      </c>
      <c r="X866">
        <v>0.98260270000000005</v>
      </c>
      <c r="Y866">
        <v>-5.6413419999999999E-2</v>
      </c>
      <c r="Z866">
        <v>3.5403650000000002E-4</v>
      </c>
      <c r="AA866">
        <v>0.99840739999999994</v>
      </c>
      <c r="AB866">
        <v>35</v>
      </c>
      <c r="AC866">
        <v>64.700699999999898</v>
      </c>
      <c r="AD866">
        <v>-1.1100630187839999</v>
      </c>
      <c r="AE866">
        <v>4.1522999999999604</v>
      </c>
      <c r="AF866">
        <v>-3.66600767045409</v>
      </c>
      <c r="AG866">
        <v>-1.1100630187839999</v>
      </c>
      <c r="AH866">
        <v>64.711043624752804</v>
      </c>
      <c r="AI866">
        <v>90.981191098066404</v>
      </c>
      <c r="AJ866">
        <v>93.242452539431</v>
      </c>
      <c r="AK866">
        <v>64.824308859795494</v>
      </c>
      <c r="AL866">
        <v>79.309616198001507</v>
      </c>
      <c r="AM866">
        <v>90.525067606499206</v>
      </c>
      <c r="AN866">
        <v>1.0000000181984801</v>
      </c>
    </row>
    <row r="867" spans="1:40" x14ac:dyDescent="0.25">
      <c r="A867" t="str">
        <f>"20190312172107146"</f>
        <v>20190312172107146</v>
      </c>
      <c r="B867" t="str">
        <f>"1552382467141830"</f>
        <v>1552382467141830</v>
      </c>
      <c r="C867" t="s">
        <v>40</v>
      </c>
      <c r="D867">
        <v>3.1991999999999998</v>
      </c>
      <c r="E867">
        <v>0.4818559</v>
      </c>
      <c r="F867" t="s">
        <v>42</v>
      </c>
      <c r="G867">
        <v>-264.79570000000001</v>
      </c>
      <c r="H867" s="1">
        <v>-2.8810640000000001E-6</v>
      </c>
      <c r="I867">
        <v>372.1198</v>
      </c>
      <c r="J867">
        <v>-328.99590000000001</v>
      </c>
      <c r="K867">
        <v>1.1100620000000001</v>
      </c>
      <c r="L867">
        <v>367.94409999999999</v>
      </c>
      <c r="M867">
        <v>0.99988390000000005</v>
      </c>
      <c r="N867">
        <v>0</v>
      </c>
      <c r="O867">
        <v>7.4440900000000004E-3</v>
      </c>
      <c r="P867">
        <v>0.98492809999999997</v>
      </c>
      <c r="Q867">
        <v>0.17216139999999999</v>
      </c>
      <c r="R867">
        <v>1.6641940000000001E-2</v>
      </c>
      <c r="S867">
        <v>3.0519409999999998</v>
      </c>
      <c r="T867">
        <v>-5.2635309999999998E-2</v>
      </c>
      <c r="U867">
        <v>0.19805909999999999</v>
      </c>
      <c r="V867">
        <v>-9.2532949999999999E-3</v>
      </c>
      <c r="W867">
        <v>0.18524450000000001</v>
      </c>
      <c r="X867">
        <v>0.98264890000000005</v>
      </c>
      <c r="Y867">
        <v>-5.7321589999999999E-2</v>
      </c>
      <c r="Z867">
        <v>3.654997E-4</v>
      </c>
      <c r="AA867">
        <v>0.99835569999999896</v>
      </c>
      <c r="AB867">
        <v>35</v>
      </c>
      <c r="AC867">
        <v>64.200199999999995</v>
      </c>
      <c r="AD867">
        <v>-1.1100648810639999</v>
      </c>
      <c r="AE867">
        <v>4.1757</v>
      </c>
      <c r="AF867">
        <v>-3.6965294810689699</v>
      </c>
      <c r="AG867">
        <v>-1.1100648810639999</v>
      </c>
      <c r="AH867">
        <v>64.210391934292602</v>
      </c>
      <c r="AI867">
        <v>90.988790031037297</v>
      </c>
      <c r="AJ867">
        <v>93.294825321220799</v>
      </c>
      <c r="AK867">
        <v>64.326285502895701</v>
      </c>
      <c r="AL867">
        <v>79.324612438109696</v>
      </c>
      <c r="AM867">
        <v>90.539520351598796</v>
      </c>
      <c r="AN867">
        <v>1.0000000044599</v>
      </c>
    </row>
    <row r="868" spans="1:40" x14ac:dyDescent="0.25">
      <c r="A868" t="str">
        <f>"20190312172107157"</f>
        <v>20190312172107157</v>
      </c>
      <c r="B868" t="str">
        <f>"1552382467152565"</f>
        <v>1552382467152565</v>
      </c>
      <c r="C868" t="s">
        <v>40</v>
      </c>
      <c r="D868">
        <v>3.228926</v>
      </c>
      <c r="E868">
        <v>0.481792</v>
      </c>
      <c r="F868" t="s">
        <v>42</v>
      </c>
      <c r="G868">
        <v>-266.10210000000001</v>
      </c>
      <c r="H868" s="1">
        <v>-2.3032600000000002E-6</v>
      </c>
      <c r="I868">
        <v>372.05450000000002</v>
      </c>
      <c r="J868">
        <v>-328.81830000000002</v>
      </c>
      <c r="K868">
        <v>1.1100620000000001</v>
      </c>
      <c r="L868">
        <v>367.94540000000001</v>
      </c>
      <c r="M868">
        <v>0.99988440000000001</v>
      </c>
      <c r="N868">
        <v>0</v>
      </c>
      <c r="O868">
        <v>7.3869969999999898E-3</v>
      </c>
      <c r="P868">
        <v>0.98492619999999997</v>
      </c>
      <c r="Q868">
        <v>0.17214209999999999</v>
      </c>
      <c r="R868">
        <v>1.6967699999999999E-2</v>
      </c>
      <c r="S868">
        <v>3.0519409999999998</v>
      </c>
      <c r="T868">
        <v>-5.3866150000000002E-2</v>
      </c>
      <c r="U868">
        <v>0.1994629</v>
      </c>
      <c r="V868">
        <v>-9.6356770000000005E-3</v>
      </c>
      <c r="W868">
        <v>0.1852248</v>
      </c>
      <c r="X868">
        <v>0.98264890000000005</v>
      </c>
      <c r="Y868">
        <v>-5.783543E-2</v>
      </c>
      <c r="Z868">
        <v>3.795758E-4</v>
      </c>
      <c r="AA868">
        <v>0.99832609999999999</v>
      </c>
      <c r="AB868">
        <v>35</v>
      </c>
      <c r="AC868">
        <v>62.716200000000001</v>
      </c>
      <c r="AD868">
        <v>-1.1100643032599999</v>
      </c>
      <c r="AE868">
        <v>4.1091000000000104</v>
      </c>
      <c r="AF868">
        <v>-3.6445256799724199</v>
      </c>
      <c r="AG868">
        <v>-1.1100643032599999</v>
      </c>
      <c r="AH868">
        <v>62.725278357259</v>
      </c>
      <c r="AI868">
        <v>91.012164606327801</v>
      </c>
      <c r="AJ868">
        <v>93.325316930907803</v>
      </c>
      <c r="AK868">
        <v>62.8408732847099</v>
      </c>
      <c r="AL868">
        <v>79.325760634970806</v>
      </c>
      <c r="AM868">
        <v>90.561814022120004</v>
      </c>
      <c r="AN868">
        <v>0.99999996673874803</v>
      </c>
    </row>
    <row r="869" spans="1:40" x14ac:dyDescent="0.25">
      <c r="A869" t="str">
        <f>"20190312172107169"</f>
        <v>20190312172107169</v>
      </c>
      <c r="B869" t="str">
        <f>"1552382467162326"</f>
        <v>1552382467162326</v>
      </c>
      <c r="C869" t="s">
        <v>40</v>
      </c>
      <c r="D869">
        <v>3.1908240000000001</v>
      </c>
      <c r="E869">
        <v>0.48167870000000002</v>
      </c>
      <c r="F869" t="s">
        <v>42</v>
      </c>
      <c r="G869">
        <v>-267.99919999999997</v>
      </c>
      <c r="H869" s="1">
        <v>-1.460575E-6</v>
      </c>
      <c r="I869">
        <v>371.9461</v>
      </c>
      <c r="J869">
        <v>-328.6386</v>
      </c>
      <c r="K869">
        <v>1.110061</v>
      </c>
      <c r="L869">
        <v>367.94659999999999</v>
      </c>
      <c r="M869">
        <v>0.99988489999999997</v>
      </c>
      <c r="N869">
        <v>0</v>
      </c>
      <c r="O869">
        <v>7.3290719999999998E-3</v>
      </c>
      <c r="P869">
        <v>0.98491019999999896</v>
      </c>
      <c r="Q869">
        <v>0.1722002</v>
      </c>
      <c r="R869">
        <v>1.730114E-2</v>
      </c>
      <c r="S869">
        <v>3.052155</v>
      </c>
      <c r="T869">
        <v>-5.5707569999999998E-2</v>
      </c>
      <c r="U869">
        <v>0.20077510000000001</v>
      </c>
      <c r="V869">
        <v>-1.0025879999999999E-2</v>
      </c>
      <c r="W869">
        <v>0.18528149999999999</v>
      </c>
      <c r="X869">
        <v>0.98263440000000002</v>
      </c>
      <c r="Y869">
        <v>-5.831546E-2</v>
      </c>
      <c r="Z869">
        <v>3.9794819999999998E-4</v>
      </c>
      <c r="AA869">
        <v>0.99829809999999997</v>
      </c>
      <c r="AB869">
        <v>35</v>
      </c>
      <c r="AC869">
        <v>60.639400000000002</v>
      </c>
      <c r="AD869">
        <v>-1.110062460575</v>
      </c>
      <c r="AE869">
        <v>3.99950000000001</v>
      </c>
      <c r="AF869">
        <v>-3.55373708561903</v>
      </c>
      <c r="AG869">
        <v>-1.110062460575</v>
      </c>
      <c r="AH869">
        <v>60.646851038526798</v>
      </c>
      <c r="AI869">
        <v>91.046813075096495</v>
      </c>
      <c r="AJ869">
        <v>93.353538830935094</v>
      </c>
      <c r="AK869">
        <v>60.761022266164503</v>
      </c>
      <c r="AL869">
        <v>79.322455730893594</v>
      </c>
      <c r="AM869">
        <v>90.584572123249004</v>
      </c>
      <c r="AN869">
        <v>1.00000005828769</v>
      </c>
    </row>
    <row r="870" spans="1:40" x14ac:dyDescent="0.25">
      <c r="A870" t="str">
        <f>"20190312172107179"</f>
        <v>20190312172107179</v>
      </c>
      <c r="B870" t="str">
        <f>"1552382467172086"</f>
        <v>1552382467172086</v>
      </c>
      <c r="C870" t="s">
        <v>40</v>
      </c>
      <c r="D870">
        <v>3.2240609999999998</v>
      </c>
      <c r="E870">
        <v>0.48158289999999998</v>
      </c>
      <c r="F870" t="s">
        <v>42</v>
      </c>
      <c r="G870">
        <v>-267.90910000000002</v>
      </c>
      <c r="H870" s="1">
        <v>-1.507232E-6</v>
      </c>
      <c r="I870">
        <v>371.97609999999997</v>
      </c>
      <c r="J870">
        <v>-328.46789999999999</v>
      </c>
      <c r="K870">
        <v>1.1100620000000001</v>
      </c>
      <c r="L870">
        <v>367.94779999999997</v>
      </c>
      <c r="M870">
        <v>0.99988540000000004</v>
      </c>
      <c r="N870">
        <v>0</v>
      </c>
      <c r="O870">
        <v>7.2737690000000002E-3</v>
      </c>
      <c r="P870">
        <v>0.9849213</v>
      </c>
      <c r="Q870">
        <v>0.1721229</v>
      </c>
      <c r="R870">
        <v>1.7441499999999999E-2</v>
      </c>
      <c r="S870">
        <v>3.0521240000000001</v>
      </c>
      <c r="T870">
        <v>-5.5789110000000003E-2</v>
      </c>
      <c r="U870">
        <v>0.20251459999999999</v>
      </c>
      <c r="V870">
        <v>-1.0220480000000001E-2</v>
      </c>
      <c r="W870">
        <v>0.1852037</v>
      </c>
      <c r="X870">
        <v>0.98264700000000005</v>
      </c>
      <c r="Y870">
        <v>-5.8937669999999998E-2</v>
      </c>
      <c r="Z870">
        <v>4.0521660000000001E-4</v>
      </c>
      <c r="AA870">
        <v>0.99826159999999997</v>
      </c>
      <c r="AB870">
        <v>35</v>
      </c>
      <c r="AC870">
        <v>60.558799999999898</v>
      </c>
      <c r="AD870">
        <v>-1.110063507232</v>
      </c>
      <c r="AE870">
        <v>4.0282999999999998</v>
      </c>
      <c r="AF870">
        <v>-3.5864641153192802</v>
      </c>
      <c r="AG870">
        <v>-1.110063507232</v>
      </c>
      <c r="AH870">
        <v>60.566240494027902</v>
      </c>
      <c r="AI870">
        <v>91.0481689678832</v>
      </c>
      <c r="AJ870">
        <v>93.388844643951998</v>
      </c>
      <c r="AK870">
        <v>60.682488853218501</v>
      </c>
      <c r="AL870">
        <v>79.326991194993496</v>
      </c>
      <c r="AM870">
        <v>90.595910081192201</v>
      </c>
      <c r="AN870">
        <v>0.99999999765706005</v>
      </c>
    </row>
    <row r="871" spans="1:40" x14ac:dyDescent="0.25">
      <c r="A871" t="str">
        <f>"20190312172107190"</f>
        <v>20190312172107190</v>
      </c>
      <c r="B871" t="str">
        <f>"1552382467181846"</f>
        <v>1552382467181846</v>
      </c>
      <c r="C871" t="s">
        <v>40</v>
      </c>
      <c r="D871">
        <v>3.1792669999999998</v>
      </c>
      <c r="E871">
        <v>0.48148770000000002</v>
      </c>
      <c r="F871" t="s">
        <v>42</v>
      </c>
      <c r="G871">
        <v>-268.24900000000002</v>
      </c>
      <c r="H871" s="1">
        <v>-1.3576769999999999E-6</v>
      </c>
      <c r="I871">
        <v>371.96210000000002</v>
      </c>
      <c r="J871">
        <v>-328.2996</v>
      </c>
      <c r="K871">
        <v>1.1100589999999999</v>
      </c>
      <c r="L871">
        <v>367.94900000000001</v>
      </c>
      <c r="M871">
        <v>0.99988569999999999</v>
      </c>
      <c r="N871">
        <v>0</v>
      </c>
      <c r="O871">
        <v>7.2197149999999998E-3</v>
      </c>
      <c r="P871">
        <v>0.98495580000000005</v>
      </c>
      <c r="Q871">
        <v>0.17190800000000001</v>
      </c>
      <c r="R871">
        <v>1.760424E-2</v>
      </c>
      <c r="S871">
        <v>3.052155</v>
      </c>
      <c r="T871">
        <v>-5.6262729999999997E-2</v>
      </c>
      <c r="U871">
        <v>0.20346069999999999</v>
      </c>
      <c r="V871">
        <v>-1.0435989999999999E-2</v>
      </c>
      <c r="W871">
        <v>0.1849886</v>
      </c>
      <c r="X871">
        <v>0.98268529999999998</v>
      </c>
      <c r="Y871">
        <v>-5.929881E-2</v>
      </c>
      <c r="Z871">
        <v>4.129677E-4</v>
      </c>
      <c r="AA871">
        <v>0.99824020000000002</v>
      </c>
      <c r="AB871">
        <v>35</v>
      </c>
      <c r="AC871">
        <v>60.050599999999903</v>
      </c>
      <c r="AD871">
        <v>-1.1100603576769901</v>
      </c>
      <c r="AE871">
        <v>4.0130999999999997</v>
      </c>
      <c r="AF871">
        <v>-3.5781916453165099</v>
      </c>
      <c r="AG871">
        <v>-1.1100603576769901</v>
      </c>
      <c r="AH871">
        <v>60.057579584426399</v>
      </c>
      <c r="AI871">
        <v>91.057018732382801</v>
      </c>
      <c r="AJ871">
        <v>93.409614830911096</v>
      </c>
      <c r="AK871">
        <v>60.174318068325597</v>
      </c>
      <c r="AL871">
        <v>79.339532736145301</v>
      </c>
      <c r="AM871">
        <v>90.608450848655494</v>
      </c>
      <c r="AN871">
        <v>1.00000004542666</v>
      </c>
    </row>
    <row r="872" spans="1:40" x14ac:dyDescent="0.25">
      <c r="A872" t="str">
        <f>"20190312172107201"</f>
        <v>20190312172107201</v>
      </c>
      <c r="B872" t="str">
        <f>"1552382467192581"</f>
        <v>1552382467192581</v>
      </c>
      <c r="C872" t="s">
        <v>40</v>
      </c>
      <c r="D872">
        <v>3.2899340000000001</v>
      </c>
      <c r="E872">
        <v>0.48139720000000003</v>
      </c>
      <c r="F872" t="s">
        <v>42</v>
      </c>
      <c r="G872">
        <v>-269.02600000000001</v>
      </c>
      <c r="H872" s="1">
        <v>-1.0148170000000001E-6</v>
      </c>
      <c r="I872">
        <v>371.92630000000003</v>
      </c>
      <c r="J872">
        <v>-328.13560000000001</v>
      </c>
      <c r="K872">
        <v>1.110061</v>
      </c>
      <c r="L872">
        <v>367.95010000000002</v>
      </c>
      <c r="M872">
        <v>0.9998861</v>
      </c>
      <c r="N872">
        <v>0</v>
      </c>
      <c r="O872">
        <v>7.1669730000000001E-3</v>
      </c>
      <c r="P872">
        <v>0.98493900000000001</v>
      </c>
      <c r="Q872">
        <v>0.1720092</v>
      </c>
      <c r="R872">
        <v>1.756102E-2</v>
      </c>
      <c r="S872">
        <v>3.0520939999999999</v>
      </c>
      <c r="T872">
        <v>-5.7158710000000001E-2</v>
      </c>
      <c r="U872">
        <v>0.2048035</v>
      </c>
      <c r="V872">
        <v>-1.0445629999999999E-2</v>
      </c>
      <c r="W872">
        <v>0.18508839999999999</v>
      </c>
      <c r="X872">
        <v>0.98266640000000005</v>
      </c>
      <c r="Y872">
        <v>-5.9789639999999998E-2</v>
      </c>
      <c r="Z872">
        <v>4.2512220000000001E-4</v>
      </c>
      <c r="AA872">
        <v>0.99821090000000001</v>
      </c>
      <c r="AB872">
        <v>35</v>
      </c>
      <c r="AC872">
        <v>59.1096</v>
      </c>
      <c r="AD872">
        <v>-1.110062014817</v>
      </c>
      <c r="AE872">
        <v>3.9762</v>
      </c>
      <c r="AF872">
        <v>-3.5511767989559901</v>
      </c>
      <c r="AG872">
        <v>-1.110062014817</v>
      </c>
      <c r="AH872">
        <v>59.115826509137499</v>
      </c>
      <c r="AI872">
        <v>91.073823912637806</v>
      </c>
      <c r="AJ872">
        <v>93.437712710382897</v>
      </c>
      <c r="AK872">
        <v>59.2327952927483</v>
      </c>
      <c r="AL872">
        <v>79.333714082986603</v>
      </c>
      <c r="AM872">
        <v>90.6090245609806</v>
      </c>
      <c r="AN872">
        <v>1.0000000403447999</v>
      </c>
    </row>
    <row r="873" spans="1:40" x14ac:dyDescent="0.25">
      <c r="A873" t="str">
        <f>"20190312172107212"</f>
        <v>20190312172107212</v>
      </c>
      <c r="B873" t="str">
        <f>"1552382467202342"</f>
        <v>1552382467202342</v>
      </c>
      <c r="C873" t="s">
        <v>40</v>
      </c>
      <c r="D873">
        <v>3.21034</v>
      </c>
      <c r="E873">
        <v>0.48128900000000002</v>
      </c>
      <c r="F873" t="s">
        <v>42</v>
      </c>
      <c r="G873">
        <v>-268.69009999999997</v>
      </c>
      <c r="H873" s="1">
        <v>-1.1652690000000001E-6</v>
      </c>
      <c r="I873">
        <v>371.9502</v>
      </c>
      <c r="J873">
        <v>-327.95940000000002</v>
      </c>
      <c r="K873">
        <v>1.1100620000000001</v>
      </c>
      <c r="L873">
        <v>367.95139999999998</v>
      </c>
      <c r="M873">
        <v>0.99988639999999995</v>
      </c>
      <c r="N873">
        <v>0</v>
      </c>
      <c r="O873">
        <v>7.1100629999999998E-3</v>
      </c>
      <c r="P873">
        <v>0.98494040000000005</v>
      </c>
      <c r="Q873">
        <v>0.17198079999999999</v>
      </c>
      <c r="R873">
        <v>1.77442999999999E-2</v>
      </c>
      <c r="S873">
        <v>3.0521850000000001</v>
      </c>
      <c r="T873">
        <v>-5.6995270000000001E-2</v>
      </c>
      <c r="U873">
        <v>0.20538329999999999</v>
      </c>
      <c r="V873">
        <v>-1.068466E-2</v>
      </c>
      <c r="W873">
        <v>0.18505940000000001</v>
      </c>
      <c r="X873">
        <v>0.98266920000000002</v>
      </c>
      <c r="Y873">
        <v>-6.003323E-2</v>
      </c>
      <c r="Z873">
        <v>4.2722460000000002E-4</v>
      </c>
      <c r="AA873">
        <v>0.99819630000000004</v>
      </c>
      <c r="AB873">
        <v>35</v>
      </c>
      <c r="AC873">
        <v>59.269300000000001</v>
      </c>
      <c r="AD873">
        <v>-1.1100631652689901</v>
      </c>
      <c r="AE873">
        <v>3.9988000000000099</v>
      </c>
      <c r="AF873">
        <v>-3.57600451620194</v>
      </c>
      <c r="AG873">
        <v>-1.1100631652689901</v>
      </c>
      <c r="AH873">
        <v>59.275537327216</v>
      </c>
      <c r="AI873">
        <v>91.070915902570903</v>
      </c>
      <c r="AJ873">
        <v>93.4523843949721</v>
      </c>
      <c r="AK873">
        <v>59.3936812629168</v>
      </c>
      <c r="AL873">
        <v>79.335403895379997</v>
      </c>
      <c r="AM873">
        <v>90.622958163500698</v>
      </c>
      <c r="AN873">
        <v>0.99999995005815601</v>
      </c>
    </row>
    <row r="874" spans="1:40" x14ac:dyDescent="0.25">
      <c r="A874" t="str">
        <f>"20190312172107223"</f>
        <v>20190312172107223</v>
      </c>
      <c r="B874" t="str">
        <f>"1552382467212102"</f>
        <v>1552382467212102</v>
      </c>
      <c r="C874" t="s">
        <v>40</v>
      </c>
      <c r="D874">
        <v>3.220844</v>
      </c>
      <c r="E874">
        <v>0.48123830000000001</v>
      </c>
      <c r="F874" t="s">
        <v>42</v>
      </c>
      <c r="G874">
        <v>-268.72890000000001</v>
      </c>
      <c r="H874" s="1">
        <v>-1.1523960000000001E-6</v>
      </c>
      <c r="I874">
        <v>371.96440000000001</v>
      </c>
      <c r="J874">
        <v>-327.7867</v>
      </c>
      <c r="K874">
        <v>1.1100589999999999</v>
      </c>
      <c r="L874">
        <v>367.95249999999999</v>
      </c>
      <c r="M874">
        <v>0.99988690000000002</v>
      </c>
      <c r="N874">
        <v>0</v>
      </c>
      <c r="O874">
        <v>7.0539269999999998E-3</v>
      </c>
      <c r="P874">
        <v>0.98492860000000004</v>
      </c>
      <c r="Q874">
        <v>0.17206649999999901</v>
      </c>
      <c r="R874">
        <v>1.7584760000000001E-2</v>
      </c>
      <c r="S874">
        <v>3.052063</v>
      </c>
      <c r="T874">
        <v>-5.7199949999999999E-2</v>
      </c>
      <c r="U874">
        <v>0.2067871</v>
      </c>
      <c r="V874">
        <v>-1.0580930000000001E-2</v>
      </c>
      <c r="W874">
        <v>0.18514369999999999</v>
      </c>
      <c r="X874">
        <v>0.98265449999999999</v>
      </c>
      <c r="Y874">
        <v>-6.0548820000000003E-2</v>
      </c>
      <c r="Z874">
        <v>4.3464529999999999E-4</v>
      </c>
      <c r="AA874">
        <v>0.99816510000000003</v>
      </c>
      <c r="AB874">
        <v>35</v>
      </c>
      <c r="AC874">
        <v>59.057799999999901</v>
      </c>
      <c r="AD874">
        <v>-1.1100601523960001</v>
      </c>
      <c r="AE874">
        <v>4.0119000000000202</v>
      </c>
      <c r="AF874">
        <v>-3.5939101242191498</v>
      </c>
      <c r="AG874">
        <v>-1.1100601523960001</v>
      </c>
      <c r="AH874">
        <v>59.063861411233802</v>
      </c>
      <c r="AI874">
        <v>91.074716400227402</v>
      </c>
      <c r="AJ874">
        <v>93.4820329761816</v>
      </c>
      <c r="AK874">
        <v>59.183512470352198</v>
      </c>
      <c r="AL874">
        <v>79.330489531717106</v>
      </c>
      <c r="AM874">
        <v>90.616919989692704</v>
      </c>
      <c r="AN874">
        <v>1.0000000060498</v>
      </c>
    </row>
    <row r="875" spans="1:40" x14ac:dyDescent="0.25">
      <c r="A875" t="str">
        <f>"20190312172107234"</f>
        <v>20190312172107234</v>
      </c>
      <c r="B875" t="str">
        <f>"1552382467232598"</f>
        <v>1552382467232598</v>
      </c>
      <c r="C875" t="s">
        <v>40</v>
      </c>
      <c r="D875">
        <v>3.220345</v>
      </c>
      <c r="E875">
        <v>0.48109930000000001</v>
      </c>
      <c r="F875" t="s">
        <v>42</v>
      </c>
      <c r="G875">
        <v>-268.4846</v>
      </c>
      <c r="H875" s="1">
        <v>-1.258919E-6</v>
      </c>
      <c r="I875">
        <v>371.97070000000002</v>
      </c>
      <c r="J875">
        <v>-327.61329999999998</v>
      </c>
      <c r="K875">
        <v>1.11006</v>
      </c>
      <c r="L875">
        <v>367.95359999999999</v>
      </c>
      <c r="M875">
        <v>0.99988719999999998</v>
      </c>
      <c r="N875">
        <v>0</v>
      </c>
      <c r="O875">
        <v>6.9976739999999997E-3</v>
      </c>
      <c r="P875">
        <v>0.98491779999999995</v>
      </c>
      <c r="Q875">
        <v>0.1721123</v>
      </c>
      <c r="R875">
        <v>1.7731549999999999E-2</v>
      </c>
      <c r="S875">
        <v>3.0521850000000001</v>
      </c>
      <c r="T875">
        <v>-5.7132960000000003E-2</v>
      </c>
      <c r="U875">
        <v>0.20681759999999999</v>
      </c>
      <c r="V875">
        <v>-1.078279E-2</v>
      </c>
      <c r="W875">
        <v>0.18518870000000001</v>
      </c>
      <c r="X875">
        <v>0.98264379999999996</v>
      </c>
      <c r="Y875">
        <v>-6.0612199999999998E-2</v>
      </c>
      <c r="Z875">
        <v>4.3576280000000002E-4</v>
      </c>
      <c r="AA875">
        <v>0.99816130000000003</v>
      </c>
      <c r="AB875">
        <v>35</v>
      </c>
      <c r="AC875">
        <v>59.128699999999903</v>
      </c>
      <c r="AD875">
        <v>-1.110061258919</v>
      </c>
      <c r="AE875">
        <v>4.0171000000000197</v>
      </c>
      <c r="AF875">
        <v>-3.6019380473392499</v>
      </c>
      <c r="AG875">
        <v>-1.110061258919</v>
      </c>
      <c r="AH875">
        <v>59.134618648617597</v>
      </c>
      <c r="AI875">
        <v>91.073427726843803</v>
      </c>
      <c r="AJ875">
        <v>93.485626399831403</v>
      </c>
      <c r="AK875">
        <v>59.254614304819</v>
      </c>
      <c r="AL875">
        <v>79.327865574219203</v>
      </c>
      <c r="AM875">
        <v>90.628695324766497</v>
      </c>
      <c r="AN875">
        <v>0.99999998042315597</v>
      </c>
    </row>
    <row r="876" spans="1:40" x14ac:dyDescent="0.25">
      <c r="A876" t="str">
        <f>"20190312172107246"</f>
        <v>20190312172107246</v>
      </c>
      <c r="B876" t="str">
        <f>"1552382467242358"</f>
        <v>1552382467242358</v>
      </c>
      <c r="C876" t="s">
        <v>40</v>
      </c>
      <c r="D876">
        <v>3.2028639999999999</v>
      </c>
      <c r="E876">
        <v>0.48102610000000001</v>
      </c>
      <c r="F876" t="s">
        <v>42</v>
      </c>
      <c r="G876">
        <v>-268.97059999999999</v>
      </c>
      <c r="H876" s="1">
        <v>-1.0456800000000001E-6</v>
      </c>
      <c r="I876">
        <v>371.9529</v>
      </c>
      <c r="J876">
        <v>-327.43799999999999</v>
      </c>
      <c r="K876">
        <v>1.11006</v>
      </c>
      <c r="L876">
        <v>367.95479999999998</v>
      </c>
      <c r="M876">
        <v>0.99988759999999999</v>
      </c>
      <c r="N876">
        <v>0</v>
      </c>
      <c r="O876">
        <v>6.9407640000000003E-3</v>
      </c>
      <c r="P876">
        <v>0.98489640000000001</v>
      </c>
      <c r="Q876">
        <v>0.1722341</v>
      </c>
      <c r="R876">
        <v>1.773798E-2</v>
      </c>
      <c r="S876">
        <v>3.0523069999999999</v>
      </c>
      <c r="T876">
        <v>-5.7777639999999998E-2</v>
      </c>
      <c r="U876">
        <v>0.2081604</v>
      </c>
      <c r="V876">
        <v>-1.0845789999999999E-2</v>
      </c>
      <c r="W876">
        <v>0.18530859999999999</v>
      </c>
      <c r="X876">
        <v>0.98262050000000001</v>
      </c>
      <c r="Y876">
        <v>-6.1103110000000002E-2</v>
      </c>
      <c r="Z876">
        <v>4.4637140000000001E-4</v>
      </c>
      <c r="AA876">
        <v>0.99813130000000005</v>
      </c>
      <c r="AB876">
        <v>35</v>
      </c>
      <c r="AC876">
        <v>58.467399999999998</v>
      </c>
      <c r="AD876">
        <v>-1.11006104568</v>
      </c>
      <c r="AE876">
        <v>3.99810000000002</v>
      </c>
      <c r="AF876">
        <v>-3.5908710458190898</v>
      </c>
      <c r="AG876">
        <v>-1.11006104568</v>
      </c>
      <c r="AH876">
        <v>58.472764310903599</v>
      </c>
      <c r="AI876">
        <v>91.085541698662496</v>
      </c>
      <c r="AJ876">
        <v>93.514177977871299</v>
      </c>
      <c r="AK876">
        <v>58.593436121730598</v>
      </c>
      <c r="AL876">
        <v>79.320874782415103</v>
      </c>
      <c r="AM876">
        <v>90.6323832636796</v>
      </c>
      <c r="AN876">
        <v>0.99999997770746596</v>
      </c>
    </row>
    <row r="877" spans="1:40" x14ac:dyDescent="0.25">
      <c r="A877" t="str">
        <f>"20190312172107258"</f>
        <v>20190312172107258</v>
      </c>
      <c r="B877" t="str">
        <f>"1552382467252118"</f>
        <v>1552382467252118</v>
      </c>
      <c r="C877" t="s">
        <v>40</v>
      </c>
      <c r="D877">
        <v>3.1999819999999999</v>
      </c>
      <c r="E877">
        <v>0.48098200000000002</v>
      </c>
      <c r="F877" t="s">
        <v>42</v>
      </c>
      <c r="G877">
        <v>-268.70659999999998</v>
      </c>
      <c r="H877" s="1">
        <v>-1.1650169999999999E-6</v>
      </c>
      <c r="I877">
        <v>371.97590000000002</v>
      </c>
      <c r="J877">
        <v>-327.2441</v>
      </c>
      <c r="K877">
        <v>1.110063</v>
      </c>
      <c r="L877">
        <v>367.95609999999999</v>
      </c>
      <c r="M877">
        <v>0.99988809999999995</v>
      </c>
      <c r="N877">
        <v>0</v>
      </c>
      <c r="O877">
        <v>6.8777739999999997E-3</v>
      </c>
      <c r="P877">
        <v>0.98492679999999999</v>
      </c>
      <c r="Q877">
        <v>0.17206340000000001</v>
      </c>
      <c r="R877">
        <v>1.770915E-2</v>
      </c>
      <c r="S877">
        <v>3.0523380000000002</v>
      </c>
      <c r="T877">
        <v>-5.7691100000000002E-2</v>
      </c>
      <c r="U877">
        <v>0.20898439999999999</v>
      </c>
      <c r="V877">
        <v>-1.0878479999999999E-2</v>
      </c>
      <c r="W877">
        <v>0.18513760000000001</v>
      </c>
      <c r="X877">
        <v>0.98265239999999998</v>
      </c>
      <c r="Y877">
        <v>-6.1433450000000001E-2</v>
      </c>
      <c r="Z877">
        <v>4.500013E-4</v>
      </c>
      <c r="AA877">
        <v>0.99811110000000003</v>
      </c>
      <c r="AB877">
        <v>35</v>
      </c>
      <c r="AC877">
        <v>58.537500000000001</v>
      </c>
      <c r="AD877">
        <v>-1.110064165017</v>
      </c>
      <c r="AE877">
        <v>4.0198000000000302</v>
      </c>
      <c r="AF877">
        <v>-3.6157675275327699</v>
      </c>
      <c r="AG877">
        <v>-1.110064165017</v>
      </c>
      <c r="AH877">
        <v>58.542811352662703</v>
      </c>
      <c r="AI877">
        <v>91.0842227974412</v>
      </c>
      <c r="AJ877">
        <v>93.534257943800895</v>
      </c>
      <c r="AK877">
        <v>58.664868348416803</v>
      </c>
      <c r="AL877">
        <v>79.330845181174894</v>
      </c>
      <c r="AM877">
        <v>90.634268567997907</v>
      </c>
      <c r="AN877">
        <v>1.00000000574331</v>
      </c>
    </row>
    <row r="878" spans="1:40" x14ac:dyDescent="0.25">
      <c r="A878" t="str">
        <f>"20190312172107271"</f>
        <v>20190312172107271</v>
      </c>
      <c r="B878" t="str">
        <f>"1552382467261878"</f>
        <v>1552382467261878</v>
      </c>
      <c r="C878" t="s">
        <v>40</v>
      </c>
      <c r="D878">
        <v>3.1769750000000001</v>
      </c>
      <c r="E878">
        <v>0.48092819999999997</v>
      </c>
      <c r="F878" t="s">
        <v>42</v>
      </c>
      <c r="G878">
        <v>-269.52460000000002</v>
      </c>
      <c r="H878" s="1">
        <v>-7.971029E-7</v>
      </c>
      <c r="I878">
        <v>371.9119</v>
      </c>
      <c r="J878">
        <v>-327.05520000000001</v>
      </c>
      <c r="K878">
        <v>1.110063</v>
      </c>
      <c r="L878">
        <v>367.95729999999998</v>
      </c>
      <c r="M878">
        <v>0.99988849999999996</v>
      </c>
      <c r="N878">
        <v>0</v>
      </c>
      <c r="O878">
        <v>6.8164539999999996E-3</v>
      </c>
      <c r="P878">
        <v>0.98493310000000001</v>
      </c>
      <c r="Q878">
        <v>0.1720303</v>
      </c>
      <c r="R878">
        <v>1.7671429999999998E-2</v>
      </c>
      <c r="S878">
        <v>3.0523989999999999</v>
      </c>
      <c r="T878">
        <v>-5.8703779999999997E-2</v>
      </c>
      <c r="U878">
        <v>0.209198</v>
      </c>
      <c r="V878">
        <v>-1.0901040000000001E-2</v>
      </c>
      <c r="W878">
        <v>0.18510389999999999</v>
      </c>
      <c r="X878">
        <v>0.98265849999999999</v>
      </c>
      <c r="Y878">
        <v>-6.1562449999999998E-2</v>
      </c>
      <c r="Z878">
        <v>4.6030540000000002E-4</v>
      </c>
      <c r="AA878">
        <v>0.99810310000000002</v>
      </c>
      <c r="AB878">
        <v>35</v>
      </c>
      <c r="AC878">
        <v>57.5305999999999</v>
      </c>
      <c r="AD878">
        <v>-1.1100637971028999</v>
      </c>
      <c r="AE878">
        <v>3.9546000000000201</v>
      </c>
      <c r="AF878">
        <v>-3.5609992635275902</v>
      </c>
      <c r="AG878">
        <v>-1.1100637971028999</v>
      </c>
      <c r="AH878">
        <v>57.534902169513401</v>
      </c>
      <c r="AI878">
        <v>91.103202598358493</v>
      </c>
      <c r="AJ878">
        <v>93.541681487567402</v>
      </c>
      <c r="AK878">
        <v>57.655684238797903</v>
      </c>
      <c r="AL878">
        <v>79.332810023504607</v>
      </c>
      <c r="AM878">
        <v>90.635579873340106</v>
      </c>
      <c r="AN878">
        <v>1.0000000070452699</v>
      </c>
    </row>
    <row r="879" spans="1:40" x14ac:dyDescent="0.25">
      <c r="A879" t="str">
        <f>"20190312172107284"</f>
        <v>20190312172107284</v>
      </c>
      <c r="B879" t="str">
        <f>"1552382467272615"</f>
        <v>1552382467272615</v>
      </c>
      <c r="C879" t="s">
        <v>40</v>
      </c>
      <c r="D879">
        <v>3.2025130000000002</v>
      </c>
      <c r="E879">
        <v>0.48087439999999998</v>
      </c>
      <c r="F879" t="s">
        <v>42</v>
      </c>
      <c r="G879">
        <v>-269.76589999999999</v>
      </c>
      <c r="H879" s="1">
        <v>-6.8740390000000004E-7</v>
      </c>
      <c r="I879">
        <v>371.88869999999997</v>
      </c>
      <c r="J879">
        <v>-326.86130000000003</v>
      </c>
      <c r="K879">
        <v>1.1100620000000001</v>
      </c>
      <c r="L879">
        <v>367.95859999999999</v>
      </c>
      <c r="M879">
        <v>0.99988900000000003</v>
      </c>
      <c r="N879">
        <v>0</v>
      </c>
      <c r="O879">
        <v>6.7534650000000002E-3</v>
      </c>
      <c r="P879">
        <v>0.98491450000000003</v>
      </c>
      <c r="Q879">
        <v>0.172167299999999</v>
      </c>
      <c r="R879">
        <v>1.7384110000000001E-2</v>
      </c>
      <c r="S879">
        <v>3.05246</v>
      </c>
      <c r="T879">
        <v>-5.914581E-2</v>
      </c>
      <c r="U879">
        <v>0.20947270000000001</v>
      </c>
      <c r="V879">
        <v>-1.067632E-2</v>
      </c>
      <c r="W879">
        <v>0.1852393</v>
      </c>
      <c r="X879">
        <v>0.98263540000000005</v>
      </c>
      <c r="Y879">
        <v>-6.1713160000000003E-2</v>
      </c>
      <c r="Z879">
        <v>4.6643729999999999E-4</v>
      </c>
      <c r="AA879">
        <v>0.99809380000000003</v>
      </c>
      <c r="AB879">
        <v>35</v>
      </c>
      <c r="AC879">
        <v>57.095399999999998</v>
      </c>
      <c r="AD879">
        <v>-1.1100626874038999</v>
      </c>
      <c r="AE879">
        <v>3.9300999999999799</v>
      </c>
      <c r="AF879">
        <v>-3.5430516027580099</v>
      </c>
      <c r="AG879">
        <v>-1.1100626874038999</v>
      </c>
      <c r="AH879">
        <v>57.099160101052703</v>
      </c>
      <c r="AI879">
        <v>91.111607436930299</v>
      </c>
      <c r="AJ879">
        <v>93.550699578494303</v>
      </c>
      <c r="AK879">
        <v>57.219747798076</v>
      </c>
      <c r="AL879">
        <v>79.324915096814706</v>
      </c>
      <c r="AM879">
        <v>90.622493356280799</v>
      </c>
      <c r="AN879">
        <v>0.999999955703195</v>
      </c>
    </row>
    <row r="880" spans="1:40" x14ac:dyDescent="0.25">
      <c r="A880" t="str">
        <f>"20190312172107297"</f>
        <v>20190312172107297</v>
      </c>
      <c r="B880" t="str">
        <f>"1552382467292134"</f>
        <v>1552382467292134</v>
      </c>
      <c r="C880" t="s">
        <v>40</v>
      </c>
      <c r="D880">
        <v>3.2235149999999999</v>
      </c>
      <c r="E880">
        <v>0.48082920000000001</v>
      </c>
      <c r="F880" t="s">
        <v>42</v>
      </c>
      <c r="G880">
        <v>-269.41480000000001</v>
      </c>
      <c r="H880" s="1">
        <v>-8.3888099999999897E-7</v>
      </c>
      <c r="I880">
        <v>371.892</v>
      </c>
      <c r="J880">
        <v>-326.66030000000001</v>
      </c>
      <c r="K880">
        <v>1.1100639999999999</v>
      </c>
      <c r="L880">
        <v>367.9599</v>
      </c>
      <c r="M880">
        <v>0.99988949999999999</v>
      </c>
      <c r="N880">
        <v>0</v>
      </c>
      <c r="O880">
        <v>6.6882670000000003E-3</v>
      </c>
      <c r="P880">
        <v>0.9849504</v>
      </c>
      <c r="Q880">
        <v>0.17196229999999901</v>
      </c>
      <c r="R880">
        <v>1.7375020000000001E-2</v>
      </c>
      <c r="S880">
        <v>3.0525509999999998</v>
      </c>
      <c r="T880">
        <v>-5.8985709999999997E-2</v>
      </c>
      <c r="U880">
        <v>0.2090149</v>
      </c>
      <c r="V880">
        <v>-1.07311E-2</v>
      </c>
      <c r="W880">
        <v>0.18503359999999999</v>
      </c>
      <c r="X880">
        <v>0.98267360000000004</v>
      </c>
      <c r="Y880">
        <v>-6.162728E-2</v>
      </c>
      <c r="Z880">
        <v>4.6559290000000001E-4</v>
      </c>
      <c r="AA880">
        <v>0.99809910000000002</v>
      </c>
      <c r="AB880">
        <v>35</v>
      </c>
      <c r="AC880">
        <v>57.2454999999999</v>
      </c>
      <c r="AD880">
        <v>-1.1100648388809999</v>
      </c>
      <c r="AE880">
        <v>3.9320999999999899</v>
      </c>
      <c r="AF880">
        <v>-3.5477773217359201</v>
      </c>
      <c r="AG880">
        <v>-1.1100648388809999</v>
      </c>
      <c r="AH880">
        <v>57.2490947673367</v>
      </c>
      <c r="AI880">
        <v>91.108704502029596</v>
      </c>
      <c r="AJ880">
        <v>93.546135540728201</v>
      </c>
      <c r="AK880">
        <v>57.369659398942197</v>
      </c>
      <c r="AL880">
        <v>79.336908609795003</v>
      </c>
      <c r="AM880">
        <v>90.625662784138399</v>
      </c>
      <c r="AN880">
        <v>0.99999999688656505</v>
      </c>
    </row>
    <row r="881" spans="1:40" x14ac:dyDescent="0.25">
      <c r="A881" t="str">
        <f>"20190312172107308"</f>
        <v>20190312172107308</v>
      </c>
      <c r="B881" t="str">
        <f>"1552382467301894"</f>
        <v>1552382467301894</v>
      </c>
      <c r="C881" t="s">
        <v>40</v>
      </c>
      <c r="D881">
        <v>3.2338070000000001</v>
      </c>
      <c r="E881">
        <v>0.48080279999999997</v>
      </c>
      <c r="F881" t="s">
        <v>42</v>
      </c>
      <c r="G881">
        <v>-270.92950000000002</v>
      </c>
      <c r="H881" s="1">
        <v>-4.3435239999999998E-6</v>
      </c>
      <c r="I881">
        <v>371.78</v>
      </c>
      <c r="J881">
        <v>-326.4717</v>
      </c>
      <c r="K881">
        <v>1.110066</v>
      </c>
      <c r="L881">
        <v>367.96109999999999</v>
      </c>
      <c r="M881">
        <v>0.99988999999999995</v>
      </c>
      <c r="N881">
        <v>0</v>
      </c>
      <c r="O881">
        <v>6.6271219999999896E-3</v>
      </c>
      <c r="P881">
        <v>0.98496660000000003</v>
      </c>
      <c r="Q881">
        <v>0.1718867</v>
      </c>
      <c r="R881">
        <v>1.7208350000000001E-2</v>
      </c>
      <c r="S881">
        <v>3.052765</v>
      </c>
      <c r="T881">
        <v>-6.0806039999999999E-2</v>
      </c>
      <c r="U881">
        <v>0.209259</v>
      </c>
      <c r="V881">
        <v>-1.062489E-2</v>
      </c>
      <c r="W881">
        <v>0.18495719999999999</v>
      </c>
      <c r="X881">
        <v>0.98268909999999998</v>
      </c>
      <c r="Y881">
        <v>-6.1762329999999997E-2</v>
      </c>
      <c r="Z881">
        <v>4.8248330000000002E-4</v>
      </c>
      <c r="AA881">
        <v>0.9980907</v>
      </c>
      <c r="AB881">
        <v>35</v>
      </c>
      <c r="AC881">
        <v>55.542199999999902</v>
      </c>
      <c r="AD881">
        <v>-1.110070343524</v>
      </c>
      <c r="AE881">
        <v>3.8188999999999802</v>
      </c>
      <c r="AF881">
        <v>-3.4493274527625402</v>
      </c>
      <c r="AG881">
        <v>-1.110070343524</v>
      </c>
      <c r="AH881">
        <v>55.544208291776002</v>
      </c>
      <c r="AI881">
        <v>91.142722948175006</v>
      </c>
      <c r="AJ881">
        <v>93.553537675583698</v>
      </c>
      <c r="AK881">
        <v>55.662277987917001</v>
      </c>
      <c r="AL881">
        <v>79.341362500661901</v>
      </c>
      <c r="AM881">
        <v>90.619461063462595</v>
      </c>
      <c r="AN881">
        <v>0.99999996068908004</v>
      </c>
    </row>
    <row r="882" spans="1:40" x14ac:dyDescent="0.25">
      <c r="A882" t="str">
        <f>"20190312172107319"</f>
        <v>20190312172107319</v>
      </c>
      <c r="B882" t="str">
        <f>"1552382467312630"</f>
        <v>1552382467312630</v>
      </c>
      <c r="C882" t="s">
        <v>40</v>
      </c>
      <c r="D882">
        <v>3.2183160000000002</v>
      </c>
      <c r="E882">
        <v>0.48076289999999999</v>
      </c>
      <c r="F882" t="s">
        <v>42</v>
      </c>
      <c r="G882">
        <v>-271.12700000000001</v>
      </c>
      <c r="H882" s="1">
        <v>-4.2718259999999998E-6</v>
      </c>
      <c r="I882">
        <v>371.75470000000001</v>
      </c>
      <c r="J882">
        <v>-326.30399999999997</v>
      </c>
      <c r="K882">
        <v>1.110066</v>
      </c>
      <c r="L882">
        <v>367.96210000000002</v>
      </c>
      <c r="M882">
        <v>0.99989019999999995</v>
      </c>
      <c r="N882">
        <v>0</v>
      </c>
      <c r="O882">
        <v>6.572891E-3</v>
      </c>
      <c r="P882">
        <v>0.98494170000000003</v>
      </c>
      <c r="Q882">
        <v>0.17205770000000001</v>
      </c>
      <c r="R882">
        <v>1.6914499999999999E-2</v>
      </c>
      <c r="S882">
        <v>3.0527950000000001</v>
      </c>
      <c r="T882">
        <v>-6.1231019999999997E-2</v>
      </c>
      <c r="U882">
        <v>0.209259</v>
      </c>
      <c r="V882">
        <v>-1.0384630000000001E-2</v>
      </c>
      <c r="W882">
        <v>0.18512680000000001</v>
      </c>
      <c r="X882">
        <v>0.98265979999999997</v>
      </c>
      <c r="Y882">
        <v>-6.1815620000000002E-2</v>
      </c>
      <c r="Z882">
        <v>4.8746979999999998E-4</v>
      </c>
      <c r="AA882">
        <v>0.99808750000000002</v>
      </c>
      <c r="AB882">
        <v>35</v>
      </c>
      <c r="AC882">
        <v>55.177</v>
      </c>
      <c r="AD882">
        <v>-1.110070271826</v>
      </c>
      <c r="AE882">
        <v>3.79259999999999</v>
      </c>
      <c r="AF882">
        <v>-3.4284325368179398</v>
      </c>
      <c r="AG882">
        <v>-1.110070271826</v>
      </c>
      <c r="AH882">
        <v>55.178510042479601</v>
      </c>
      <c r="AI882">
        <v>91.150291956570896</v>
      </c>
      <c r="AJ882">
        <v>93.555415237631706</v>
      </c>
      <c r="AK882">
        <v>55.296061127135701</v>
      </c>
      <c r="AL882">
        <v>79.331475096128202</v>
      </c>
      <c r="AM882">
        <v>90.605472333942203</v>
      </c>
      <c r="AN882">
        <v>1.00000002757725</v>
      </c>
    </row>
    <row r="883" spans="1:40" x14ac:dyDescent="0.25">
      <c r="A883" t="str">
        <f>"20190312172107330"</f>
        <v>20190312172107330</v>
      </c>
      <c r="B883" t="str">
        <f>"1552382467322390"</f>
        <v>1552382467322390</v>
      </c>
      <c r="C883" t="s">
        <v>40</v>
      </c>
      <c r="D883">
        <v>3.2253810000000001</v>
      </c>
      <c r="E883">
        <v>0.48074070000000002</v>
      </c>
      <c r="F883" t="s">
        <v>42</v>
      </c>
      <c r="G883">
        <v>-270.79239999999999</v>
      </c>
      <c r="H883" s="1">
        <v>-4.3845479999999997E-6</v>
      </c>
      <c r="I883">
        <v>371.74810000000002</v>
      </c>
      <c r="J883">
        <v>-326.13749999999999</v>
      </c>
      <c r="K883">
        <v>1.1100639999999999</v>
      </c>
      <c r="L883">
        <v>367.9631</v>
      </c>
      <c r="M883">
        <v>0.99989070000000002</v>
      </c>
      <c r="N883">
        <v>0</v>
      </c>
      <c r="O883">
        <v>6.5186019999999897E-3</v>
      </c>
      <c r="P883">
        <v>0.98494110000000001</v>
      </c>
      <c r="Q883">
        <v>0.17206189999999999</v>
      </c>
      <c r="R883">
        <v>1.69102E-2</v>
      </c>
      <c r="S883">
        <v>3.0529480000000002</v>
      </c>
      <c r="T883">
        <v>-6.1049939999999997E-2</v>
      </c>
      <c r="U883">
        <v>0.2082214</v>
      </c>
      <c r="V883">
        <v>-1.043383E-2</v>
      </c>
      <c r="W883">
        <v>0.18513060000000001</v>
      </c>
      <c r="X883">
        <v>0.98265860000000005</v>
      </c>
      <c r="Y883">
        <v>-6.1528859999999998E-2</v>
      </c>
      <c r="Z883">
        <v>4.8423059999999998E-4</v>
      </c>
      <c r="AA883">
        <v>0.99810520000000003</v>
      </c>
      <c r="AB883">
        <v>35</v>
      </c>
      <c r="AC883">
        <v>55.345100000000002</v>
      </c>
      <c r="AD883">
        <v>-1.1100683845479999</v>
      </c>
      <c r="AE883">
        <v>3.7850000000000201</v>
      </c>
      <c r="AF883">
        <v>-3.4227445877021401</v>
      </c>
      <c r="AG883">
        <v>-1.1100683845479999</v>
      </c>
      <c r="AH883">
        <v>55.346437232414999</v>
      </c>
      <c r="AI883">
        <v>91.146821450811103</v>
      </c>
      <c r="AJ883">
        <v>93.538789449937397</v>
      </c>
      <c r="AK883">
        <v>55.463281066419697</v>
      </c>
      <c r="AL883">
        <v>79.331253935699095</v>
      </c>
      <c r="AM883">
        <v>90.608341451034093</v>
      </c>
      <c r="AN883">
        <v>1.00000006400939</v>
      </c>
    </row>
    <row r="884" spans="1:40" x14ac:dyDescent="0.25">
      <c r="A884" t="str">
        <f>"20190312172107339"</f>
        <v>20190312172107339</v>
      </c>
      <c r="B884" t="str">
        <f>"1552382467332150"</f>
        <v>1552382467332150</v>
      </c>
      <c r="C884" t="s">
        <v>40</v>
      </c>
      <c r="D884">
        <v>3.2191740000000002</v>
      </c>
      <c r="E884">
        <v>0.48073080000000001</v>
      </c>
      <c r="F884" t="s">
        <v>42</v>
      </c>
      <c r="G884">
        <v>-270.86110000000002</v>
      </c>
      <c r="H884" s="1">
        <v>-4.3594330000000004E-6</v>
      </c>
      <c r="I884">
        <v>371.73860000000002</v>
      </c>
      <c r="J884">
        <v>-325.98020000000002</v>
      </c>
      <c r="K884">
        <v>1.1100650000000001</v>
      </c>
      <c r="L884">
        <v>367.96409999999997</v>
      </c>
      <c r="M884">
        <v>0.99989110000000003</v>
      </c>
      <c r="N884">
        <v>0</v>
      </c>
      <c r="O884">
        <v>6.4675310000000003E-3</v>
      </c>
      <c r="P884">
        <v>0.98493240000000004</v>
      </c>
      <c r="Q884">
        <v>0.1721191</v>
      </c>
      <c r="R884">
        <v>1.682753E-2</v>
      </c>
      <c r="S884">
        <v>3.0530089999999999</v>
      </c>
      <c r="T884">
        <v>-6.131089E-2</v>
      </c>
      <c r="U884">
        <v>0.20852660000000001</v>
      </c>
      <c r="V884">
        <v>-1.040138E-2</v>
      </c>
      <c r="W884">
        <v>0.1851864</v>
      </c>
      <c r="X884">
        <v>0.98264839999999998</v>
      </c>
      <c r="Y884">
        <v>-6.1677660000000002E-2</v>
      </c>
      <c r="Z884">
        <v>4.8880519999999999E-4</v>
      </c>
      <c r="AA884">
        <v>0.99809599999999998</v>
      </c>
      <c r="AB884">
        <v>35</v>
      </c>
      <c r="AC884">
        <v>55.119100000000003</v>
      </c>
      <c r="AD884">
        <v>-1.11006935943299</v>
      </c>
      <c r="AE884">
        <v>3.7745000000000402</v>
      </c>
      <c r="AF884">
        <v>-3.41652591935665</v>
      </c>
      <c r="AG884">
        <v>-1.11006935943299</v>
      </c>
      <c r="AH884">
        <v>55.120108575141799</v>
      </c>
      <c r="AI884">
        <v>91.151520140422306</v>
      </c>
      <c r="AJ884">
        <v>93.546843575806406</v>
      </c>
      <c r="AK884">
        <v>55.237046197962201</v>
      </c>
      <c r="AL884">
        <v>79.328000260444298</v>
      </c>
      <c r="AM884">
        <v>90.606455899207504</v>
      </c>
      <c r="AN884">
        <v>1.00000003473671</v>
      </c>
    </row>
    <row r="885" spans="1:40" x14ac:dyDescent="0.25">
      <c r="A885" t="str">
        <f>"20190312172107350"</f>
        <v>20190312172107350</v>
      </c>
      <c r="B885" t="str">
        <f>"1552382467341910"</f>
        <v>1552382467341910</v>
      </c>
      <c r="C885" t="s">
        <v>40</v>
      </c>
      <c r="D885">
        <v>3.2001650000000001</v>
      </c>
      <c r="E885">
        <v>0.48067090000000001</v>
      </c>
      <c r="F885" t="s">
        <v>42</v>
      </c>
      <c r="G885">
        <v>-270.65960000000001</v>
      </c>
      <c r="H885" s="1">
        <v>-4.4285339999999997E-6</v>
      </c>
      <c r="I885">
        <v>371.74149999999997</v>
      </c>
      <c r="J885">
        <v>-325.81569999999999</v>
      </c>
      <c r="K885">
        <v>1.1100650000000001</v>
      </c>
      <c r="L885">
        <v>367.96510000000001</v>
      </c>
      <c r="M885">
        <v>0.99989139999999999</v>
      </c>
      <c r="N885">
        <v>0</v>
      </c>
      <c r="O885">
        <v>6.4142540000000003E-3</v>
      </c>
      <c r="P885">
        <v>0.98494470000000001</v>
      </c>
      <c r="Q885">
        <v>0.17206099999999999</v>
      </c>
      <c r="R885">
        <v>1.6714630000000001E-2</v>
      </c>
      <c r="S885">
        <v>3.0530400000000002</v>
      </c>
      <c r="T885">
        <v>-6.1262490000000003E-2</v>
      </c>
      <c r="U885">
        <v>0.2084656</v>
      </c>
      <c r="V885">
        <v>-1.0341049999999999E-2</v>
      </c>
      <c r="W885">
        <v>0.18512780000000001</v>
      </c>
      <c r="X885">
        <v>0.98266010000000004</v>
      </c>
      <c r="Y885">
        <v>-6.1710309999999997E-2</v>
      </c>
      <c r="Z885">
        <v>4.8980970000000003E-4</v>
      </c>
      <c r="AA885">
        <v>0.99809400000000004</v>
      </c>
      <c r="AB885">
        <v>35</v>
      </c>
      <c r="AC885">
        <v>55.156099999999903</v>
      </c>
      <c r="AD885">
        <v>-1.11006942853399</v>
      </c>
      <c r="AE885">
        <v>3.7763999999999598</v>
      </c>
      <c r="AF885">
        <v>-3.42112664355261</v>
      </c>
      <c r="AG885">
        <v>-1.11006942853399</v>
      </c>
      <c r="AH885">
        <v>55.156952761988698</v>
      </c>
      <c r="AI885">
        <v>91.150748232213004</v>
      </c>
      <c r="AJ885">
        <v>93.549241204705297</v>
      </c>
      <c r="AK885">
        <v>55.274097004253697</v>
      </c>
      <c r="AL885">
        <v>79.331417098143106</v>
      </c>
      <c r="AM885">
        <v>90.602931420721603</v>
      </c>
      <c r="AN885">
        <v>1.00000005588997</v>
      </c>
    </row>
    <row r="886" spans="1:40" x14ac:dyDescent="0.25">
      <c r="A886" t="str">
        <f>"20190312172107360"</f>
        <v>20190312172107360</v>
      </c>
      <c r="B886" t="str">
        <f>"1552382467352646"</f>
        <v>1552382467352646</v>
      </c>
      <c r="C886" t="s">
        <v>40</v>
      </c>
      <c r="D886">
        <v>3.4432290000000001</v>
      </c>
      <c r="E886">
        <v>0.48067090000000001</v>
      </c>
      <c r="F886" t="s">
        <v>42</v>
      </c>
      <c r="G886">
        <v>-270.45209999999997</v>
      </c>
      <c r="H886" s="1">
        <v>-4.4997380000000001E-6</v>
      </c>
      <c r="I886">
        <v>371.7448</v>
      </c>
      <c r="J886">
        <v>-325.66559999999998</v>
      </c>
      <c r="K886">
        <v>1.1100669999999999</v>
      </c>
      <c r="L886">
        <v>367.96600000000001</v>
      </c>
      <c r="M886">
        <v>0.9998918</v>
      </c>
      <c r="N886">
        <v>0</v>
      </c>
      <c r="O886">
        <v>6.3657430000000001E-3</v>
      </c>
      <c r="P886">
        <v>0.9849812</v>
      </c>
      <c r="Q886">
        <v>0.1718586</v>
      </c>
      <c r="R886">
        <v>1.6644809999999999E-2</v>
      </c>
      <c r="S886">
        <v>3.0530089999999999</v>
      </c>
      <c r="T886">
        <v>-6.1214329999999997E-2</v>
      </c>
      <c r="U886">
        <v>0.20843510000000001</v>
      </c>
      <c r="V886">
        <v>-1.031896E-2</v>
      </c>
      <c r="W886">
        <v>0.18492529999999999</v>
      </c>
      <c r="X886">
        <v>0.98269839999999997</v>
      </c>
      <c r="Y886">
        <v>-6.1749470000000001E-2</v>
      </c>
      <c r="Z886">
        <v>4.9079309999999895E-4</v>
      </c>
      <c r="AA886">
        <v>0.99809159999999997</v>
      </c>
      <c r="AB886">
        <v>35</v>
      </c>
      <c r="AC886">
        <v>55.213500000000003</v>
      </c>
      <c r="AD886">
        <v>-1.1100714997379999</v>
      </c>
      <c r="AE886">
        <v>3.77879999999998</v>
      </c>
      <c r="AF886">
        <v>-3.4258392446729</v>
      </c>
      <c r="AG886">
        <v>-1.1100714997379999</v>
      </c>
      <c r="AH886">
        <v>55.214223767207002</v>
      </c>
      <c r="AI886">
        <v>91.149555589757995</v>
      </c>
      <c r="AJ886">
        <v>93.550440683072196</v>
      </c>
      <c r="AK886">
        <v>55.331538379843302</v>
      </c>
      <c r="AL886">
        <v>79.343222704183304</v>
      </c>
      <c r="AM886">
        <v>90.601620118598404</v>
      </c>
      <c r="AN886">
        <v>0.99999999643906501</v>
      </c>
    </row>
    <row r="887" spans="1:40" x14ac:dyDescent="0.25">
      <c r="A887" t="str">
        <f>"20190312172107370"</f>
        <v>20190312172107370</v>
      </c>
      <c r="B887" t="str">
        <f>"1552382467362407"</f>
        <v>1552382467362407</v>
      </c>
      <c r="C887" t="s">
        <v>40</v>
      </c>
      <c r="D887">
        <v>3.2785479999999998</v>
      </c>
      <c r="E887">
        <v>0.48091810000000002</v>
      </c>
      <c r="F887" t="s">
        <v>42</v>
      </c>
      <c r="G887">
        <v>-270.86700000000002</v>
      </c>
      <c r="H887" s="1">
        <v>-4.3509930000000004E-6</v>
      </c>
      <c r="I887">
        <v>371.7022</v>
      </c>
      <c r="J887">
        <v>-325.50850000000003</v>
      </c>
      <c r="K887">
        <v>1.1100680000000001</v>
      </c>
      <c r="L887">
        <v>367.96699999999998</v>
      </c>
      <c r="M887">
        <v>0.999892</v>
      </c>
      <c r="N887">
        <v>0</v>
      </c>
      <c r="O887">
        <v>6.3149679999999998E-3</v>
      </c>
      <c r="P887">
        <v>0.98500120000000002</v>
      </c>
      <c r="Q887">
        <v>0.17176029999999901</v>
      </c>
      <c r="R887">
        <v>1.6476419999999999E-2</v>
      </c>
      <c r="S887">
        <v>3.0530089999999999</v>
      </c>
      <c r="T887">
        <v>-6.1845659999999997E-2</v>
      </c>
      <c r="U887">
        <v>0.2081604</v>
      </c>
      <c r="V887">
        <v>-1.0200610000000001E-2</v>
      </c>
      <c r="W887">
        <v>0.1848264</v>
      </c>
      <c r="X887">
        <v>0.98271819999999999</v>
      </c>
      <c r="Y887">
        <v>-6.1710550000000003E-2</v>
      </c>
      <c r="Z887">
        <v>4.9648889999999999E-4</v>
      </c>
      <c r="AA887">
        <v>0.99809400000000004</v>
      </c>
      <c r="AB887">
        <v>35</v>
      </c>
      <c r="AC887">
        <v>54.641500000000001</v>
      </c>
      <c r="AD887">
        <v>-1.1100723509929999</v>
      </c>
      <c r="AE887">
        <v>3.7352000000000198</v>
      </c>
      <c r="AF887">
        <v>-3.3886437343218998</v>
      </c>
      <c r="AG887">
        <v>-1.1100723509929999</v>
      </c>
      <c r="AH887">
        <v>54.641553157806499</v>
      </c>
      <c r="AI887">
        <v>91.161603294250398</v>
      </c>
      <c r="AJ887">
        <v>93.548703160333204</v>
      </c>
      <c r="AK887">
        <v>54.757780255229399</v>
      </c>
      <c r="AL887">
        <v>79.348988210761803</v>
      </c>
      <c r="AM887">
        <v>90.594708546522099</v>
      </c>
      <c r="AN887">
        <v>0.99999995559628496</v>
      </c>
    </row>
    <row r="888" spans="1:40" x14ac:dyDescent="0.25">
      <c r="A888" t="str">
        <f>"20190312172107380"</f>
        <v>20190312172107380</v>
      </c>
      <c r="B888" t="str">
        <f>"1552382467372166"</f>
        <v>1552382467372166</v>
      </c>
      <c r="C888" t="s">
        <v>40</v>
      </c>
      <c r="D888">
        <v>3.2580360000000002</v>
      </c>
      <c r="E888">
        <v>0.48091810000000002</v>
      </c>
      <c r="F888" t="s">
        <v>42</v>
      </c>
      <c r="G888">
        <v>-273.62060000000002</v>
      </c>
      <c r="H888" s="1">
        <v>-3.2111360000000002E-6</v>
      </c>
      <c r="I888">
        <v>371.46570000000003</v>
      </c>
      <c r="J888">
        <v>-325.35919999999999</v>
      </c>
      <c r="K888">
        <v>1.1100680000000001</v>
      </c>
      <c r="L888">
        <v>367.96789999999999</v>
      </c>
      <c r="M888">
        <v>0.99989229999999996</v>
      </c>
      <c r="N888">
        <v>0</v>
      </c>
      <c r="O888">
        <v>6.2665759999999899E-3</v>
      </c>
      <c r="P888">
        <v>0.98496620000000001</v>
      </c>
      <c r="Q888">
        <v>0.17194809999999999</v>
      </c>
      <c r="R888">
        <v>1.6603699999999999E-2</v>
      </c>
      <c r="S888">
        <v>3.0536189999999999</v>
      </c>
      <c r="T888">
        <v>-6.5327999999999997E-2</v>
      </c>
      <c r="U888">
        <v>0.2059021</v>
      </c>
      <c r="V888">
        <v>-1.0375489999999999E-2</v>
      </c>
      <c r="W888">
        <v>0.1850125</v>
      </c>
      <c r="X888">
        <v>0.98268140000000004</v>
      </c>
      <c r="Y888">
        <v>-6.1009380000000002E-2</v>
      </c>
      <c r="Z888">
        <v>5.1789000000000002E-4</v>
      </c>
      <c r="AA888">
        <v>0.9981371</v>
      </c>
      <c r="AB888">
        <v>35</v>
      </c>
      <c r="AC888">
        <v>51.738599999999899</v>
      </c>
      <c r="AD888">
        <v>-1.110071211136</v>
      </c>
      <c r="AE888">
        <v>3.4978000000000402</v>
      </c>
      <c r="AF888">
        <v>-3.17202533895188</v>
      </c>
      <c r="AG888">
        <v>-1.110071211136</v>
      </c>
      <c r="AH888">
        <v>51.735797730707802</v>
      </c>
      <c r="AI888">
        <v>91.226877428237003</v>
      </c>
      <c r="AJ888">
        <v>93.508526978810494</v>
      </c>
      <c r="AK888">
        <v>51.844833587132399</v>
      </c>
      <c r="AL888">
        <v>79.338138877563907</v>
      </c>
      <c r="AM888">
        <v>90.604926172969598</v>
      </c>
      <c r="AN888">
        <v>1.00000000492747</v>
      </c>
    </row>
    <row r="889" spans="1:40" x14ac:dyDescent="0.25">
      <c r="A889" t="str">
        <f>"20190312172107390"</f>
        <v>20190312172107390</v>
      </c>
      <c r="B889" t="str">
        <f>"1552382467381926"</f>
        <v>1552382467381926</v>
      </c>
      <c r="C889" t="s">
        <v>40</v>
      </c>
      <c r="D889">
        <v>3.2434249999999998</v>
      </c>
      <c r="E889">
        <v>0.51705509999999999</v>
      </c>
      <c r="F889" t="s">
        <v>42</v>
      </c>
      <c r="G889">
        <v>-273.01209999999998</v>
      </c>
      <c r="H889" s="1">
        <v>-3.4823600000000001E-6</v>
      </c>
      <c r="I889">
        <v>371.50380000000001</v>
      </c>
      <c r="J889">
        <v>-325.19170000000003</v>
      </c>
      <c r="K889">
        <v>1.1100699999999999</v>
      </c>
      <c r="L889">
        <v>367.96890000000002</v>
      </c>
      <c r="M889">
        <v>0.99989269999999997</v>
      </c>
      <c r="N889">
        <v>0</v>
      </c>
      <c r="O889">
        <v>6.2121679999999997E-3</v>
      </c>
      <c r="P889">
        <v>0.98497610000000002</v>
      </c>
      <c r="Q889">
        <v>0.17191099999999901</v>
      </c>
      <c r="R889">
        <v>1.6400439999999999E-2</v>
      </c>
      <c r="S889">
        <v>3.0536500000000002</v>
      </c>
      <c r="T889">
        <v>-6.4755439999999997E-2</v>
      </c>
      <c r="U889">
        <v>0.20626829999999999</v>
      </c>
      <c r="V889">
        <v>-1.022562E-2</v>
      </c>
      <c r="W889">
        <v>0.184975</v>
      </c>
      <c r="X889">
        <v>0.98268999999999995</v>
      </c>
      <c r="Y889">
        <v>-6.1182359999999998E-2</v>
      </c>
      <c r="Z889">
        <v>5.1632900000000005E-4</v>
      </c>
      <c r="AA889">
        <v>0.99812639999999997</v>
      </c>
      <c r="AB889">
        <v>35</v>
      </c>
      <c r="AC889">
        <v>52.179600000000001</v>
      </c>
      <c r="AD889">
        <v>-1.11007348236</v>
      </c>
      <c r="AE889">
        <v>3.5348999999999902</v>
      </c>
      <c r="AF889">
        <v>-3.2092089992768198</v>
      </c>
      <c r="AG889">
        <v>-1.11007348236</v>
      </c>
      <c r="AH889">
        <v>52.1770475398095</v>
      </c>
      <c r="AI889">
        <v>91.216493170835406</v>
      </c>
      <c r="AJ889">
        <v>93.519608700232695</v>
      </c>
      <c r="AK889">
        <v>52.287432290262799</v>
      </c>
      <c r="AL889">
        <v>79.340324883384099</v>
      </c>
      <c r="AM889">
        <v>90.596183663046105</v>
      </c>
      <c r="AN889">
        <v>0.99999997501469096</v>
      </c>
    </row>
    <row r="890" spans="1:40" x14ac:dyDescent="0.25">
      <c r="A890" t="str">
        <f>"20190312172107402"</f>
        <v>20190312172107402</v>
      </c>
      <c r="B890" t="str">
        <f>"1552382467392661"</f>
        <v>1552382467392661</v>
      </c>
      <c r="C890" t="s">
        <v>40</v>
      </c>
      <c r="D890">
        <v>3.2512409999999998</v>
      </c>
      <c r="E890">
        <v>0.51946689999999995</v>
      </c>
      <c r="F890" t="s">
        <v>43</v>
      </c>
      <c r="G890">
        <v>-294.96069999999997</v>
      </c>
      <c r="H890">
        <v>-0.05</v>
      </c>
      <c r="I890">
        <v>367.15870000000001</v>
      </c>
      <c r="J890">
        <v>-325.0231</v>
      </c>
      <c r="K890">
        <v>1.1100719999999999</v>
      </c>
      <c r="L890">
        <v>367.9699</v>
      </c>
      <c r="M890">
        <v>0.99989309999999998</v>
      </c>
      <c r="N890">
        <v>0</v>
      </c>
      <c r="O890">
        <v>6.1572229999999999E-3</v>
      </c>
      <c r="P890">
        <v>0.98497789999999996</v>
      </c>
      <c r="Q890">
        <v>0.1719077</v>
      </c>
      <c r="R890">
        <v>1.6338579999999998E-2</v>
      </c>
      <c r="S890">
        <v>3.067688</v>
      </c>
      <c r="T890">
        <v>-0.11771769999999999</v>
      </c>
      <c r="U890">
        <v>-8.221436E-2</v>
      </c>
      <c r="V890">
        <v>-1.02186E-2</v>
      </c>
      <c r="W890">
        <v>0.18497079999999999</v>
      </c>
      <c r="X890">
        <v>0.98269090000000003</v>
      </c>
      <c r="Y890">
        <v>3.2916800000000003E-2</v>
      </c>
      <c r="Z890">
        <v>-8.6738889999999995E-4</v>
      </c>
      <c r="AA890">
        <v>0.9994577</v>
      </c>
      <c r="AB890">
        <v>35</v>
      </c>
      <c r="AC890">
        <v>30.0624</v>
      </c>
      <c r="AD890">
        <v>-1.160072</v>
      </c>
      <c r="AE890">
        <v>-0.81119999999998504</v>
      </c>
      <c r="AF890">
        <v>0.99482149417061005</v>
      </c>
      <c r="AG890">
        <v>-1.160072</v>
      </c>
      <c r="AH890">
        <v>30.012176378274201</v>
      </c>
      <c r="AI890">
        <v>92.212359581388696</v>
      </c>
      <c r="AJ890">
        <v>88.101496863199202</v>
      </c>
      <c r="AK890">
        <v>30.0510593459048</v>
      </c>
      <c r="AL890">
        <v>79.340570137009294</v>
      </c>
      <c r="AM890">
        <v>90.595773860348601</v>
      </c>
      <c r="AN890">
        <v>1.0000000107906999</v>
      </c>
    </row>
    <row r="891" spans="1:40" x14ac:dyDescent="0.25">
      <c r="A891" t="str">
        <f>"20190312172107413"</f>
        <v>20190312172107413</v>
      </c>
      <c r="B891" t="str">
        <f>"1552382467402421"</f>
        <v>1552382467402421</v>
      </c>
      <c r="C891" t="s">
        <v>40</v>
      </c>
      <c r="D891">
        <v>3.266464</v>
      </c>
      <c r="E891">
        <v>0.52061099999999905</v>
      </c>
      <c r="F891" t="s">
        <v>43</v>
      </c>
      <c r="G891">
        <v>-293.50889999999998</v>
      </c>
      <c r="H891">
        <v>-0.05</v>
      </c>
      <c r="I891">
        <v>366.9307</v>
      </c>
      <c r="J891">
        <v>-324.85070000000002</v>
      </c>
      <c r="K891">
        <v>1.1100730000000001</v>
      </c>
      <c r="L891">
        <v>367.97089999999997</v>
      </c>
      <c r="M891">
        <v>0.99989329999999998</v>
      </c>
      <c r="N891">
        <v>0</v>
      </c>
      <c r="O891">
        <v>6.1015610000000001E-3</v>
      </c>
      <c r="P891">
        <v>0.98498459999999999</v>
      </c>
      <c r="Q891">
        <v>0.17187910000000001</v>
      </c>
      <c r="R891">
        <v>1.6218719999999999E-2</v>
      </c>
      <c r="S891">
        <v>3.0671689999999998</v>
      </c>
      <c r="T891">
        <v>-0.1129057</v>
      </c>
      <c r="U891">
        <v>-0.1011353</v>
      </c>
      <c r="V891">
        <v>-1.015305E-2</v>
      </c>
      <c r="W891">
        <v>0.1849413</v>
      </c>
      <c r="X891">
        <v>0.98269709999999999</v>
      </c>
      <c r="Y891">
        <v>3.9023219999999997E-2</v>
      </c>
      <c r="Z891">
        <v>-9.4229749999999999E-4</v>
      </c>
      <c r="AA891">
        <v>0.99923779999999995</v>
      </c>
      <c r="AB891">
        <v>35</v>
      </c>
      <c r="AC891">
        <v>31.341799999999999</v>
      </c>
      <c r="AD891">
        <v>-1.1600729999999999</v>
      </c>
      <c r="AE891">
        <v>-1.04019999999997</v>
      </c>
      <c r="AF891">
        <v>1.2297484739815301</v>
      </c>
      <c r="AG891">
        <v>-1.1600729999999999</v>
      </c>
      <c r="AH891">
        <v>31.292045925924601</v>
      </c>
      <c r="AI891">
        <v>92.121486878515299</v>
      </c>
      <c r="AJ891">
        <v>87.7494869380251</v>
      </c>
      <c r="AK891">
        <v>31.337680017907601</v>
      </c>
      <c r="AL891">
        <v>79.342289700053499</v>
      </c>
      <c r="AM891">
        <v>90.591948644606902</v>
      </c>
      <c r="AN891">
        <v>0.99999997960920095</v>
      </c>
    </row>
    <row r="892" spans="1:40" x14ac:dyDescent="0.25">
      <c r="A892" t="str">
        <f>"20190312172107425"</f>
        <v>20190312172107425</v>
      </c>
      <c r="B892" t="str">
        <f>"1552382467421942"</f>
        <v>1552382467421942</v>
      </c>
      <c r="C892" t="s">
        <v>40</v>
      </c>
      <c r="D892">
        <v>3.2605770000000001</v>
      </c>
      <c r="E892">
        <v>0.52206989999999998</v>
      </c>
      <c r="F892" t="s">
        <v>43</v>
      </c>
      <c r="G892">
        <v>-291.43740000000003</v>
      </c>
      <c r="H892">
        <v>-0.05</v>
      </c>
      <c r="I892">
        <v>366.762</v>
      </c>
      <c r="J892">
        <v>-324.6737</v>
      </c>
      <c r="K892">
        <v>1.1100699999999999</v>
      </c>
      <c r="L892">
        <v>367.97190000000001</v>
      </c>
      <c r="M892">
        <v>0.9998937</v>
      </c>
      <c r="N892">
        <v>0</v>
      </c>
      <c r="O892">
        <v>6.0442899999999999E-3</v>
      </c>
      <c r="P892">
        <v>0.98499320000000001</v>
      </c>
      <c r="Q892">
        <v>0.171844</v>
      </c>
      <c r="R892">
        <v>1.6068229999999999E-2</v>
      </c>
      <c r="S892">
        <v>3.0661320000000001</v>
      </c>
      <c r="T892">
        <v>-0.10645259999999999</v>
      </c>
      <c r="U892">
        <v>-0.1109314</v>
      </c>
      <c r="V892">
        <v>-1.0058940000000001E-2</v>
      </c>
      <c r="W892">
        <v>0.1849056</v>
      </c>
      <c r="X892">
        <v>0.98270480000000004</v>
      </c>
      <c r="Y892">
        <v>4.2167139999999999E-2</v>
      </c>
      <c r="Z892">
        <v>-9.4128020000000003E-4</v>
      </c>
      <c r="AA892">
        <v>0.9991101</v>
      </c>
      <c r="AB892">
        <v>35</v>
      </c>
      <c r="AC892">
        <v>33.2362999999999</v>
      </c>
      <c r="AD892">
        <v>-1.1600699999999999</v>
      </c>
      <c r="AE892">
        <v>-1.2099000000000599</v>
      </c>
      <c r="AF892">
        <v>1.40907106171132</v>
      </c>
      <c r="AG892">
        <v>-1.1600699999999999</v>
      </c>
      <c r="AH892">
        <v>33.1880007482834</v>
      </c>
      <c r="AI892">
        <v>92.000129850196004</v>
      </c>
      <c r="AJ892">
        <v>87.568839197508694</v>
      </c>
      <c r="AK892">
        <v>33.238150329552298</v>
      </c>
      <c r="AL892">
        <v>79.344371207171093</v>
      </c>
      <c r="AM892">
        <v>90.586457582296404</v>
      </c>
      <c r="AN892">
        <v>0.99999999356416103</v>
      </c>
    </row>
    <row r="893" spans="1:40" x14ac:dyDescent="0.25">
      <c r="A893" t="str">
        <f>"20190312172107435"</f>
        <v>20190312172107435</v>
      </c>
      <c r="B893" t="str">
        <f>"1552382467432678"</f>
        <v>1552382467432678</v>
      </c>
      <c r="C893" t="s">
        <v>40</v>
      </c>
      <c r="D893">
        <v>3.284894</v>
      </c>
      <c r="E893">
        <v>0.52262280000000005</v>
      </c>
      <c r="F893" t="s">
        <v>43</v>
      </c>
      <c r="G893">
        <v>-289.98329999999999</v>
      </c>
      <c r="H893">
        <v>-0.05</v>
      </c>
      <c r="I893">
        <v>366.57740000000001</v>
      </c>
      <c r="J893">
        <v>-324.50170000000003</v>
      </c>
      <c r="K893">
        <v>1.1100730000000001</v>
      </c>
      <c r="L893">
        <v>367.97289999999998</v>
      </c>
      <c r="M893">
        <v>0.99989410000000001</v>
      </c>
      <c r="N893">
        <v>0</v>
      </c>
      <c r="O893">
        <v>5.9886269999999998E-3</v>
      </c>
      <c r="P893">
        <v>0.98500189999999999</v>
      </c>
      <c r="Q893">
        <v>0.17180049999999999</v>
      </c>
      <c r="R893">
        <v>1.600538E-2</v>
      </c>
      <c r="S893">
        <v>3.0656129999999999</v>
      </c>
      <c r="T893">
        <v>-0.1025163</v>
      </c>
      <c r="U893">
        <v>-0.12323000000000001</v>
      </c>
      <c r="V893">
        <v>-1.0051050000000001E-2</v>
      </c>
      <c r="W893">
        <v>0.1848621</v>
      </c>
      <c r="X893">
        <v>0.98271310000000001</v>
      </c>
      <c r="Y893">
        <v>4.6119590000000002E-2</v>
      </c>
      <c r="Z893">
        <v>-9.7075980000000002E-4</v>
      </c>
      <c r="AA893">
        <v>0.99893549999999998</v>
      </c>
      <c r="AB893">
        <v>35</v>
      </c>
      <c r="AC893">
        <v>34.5184</v>
      </c>
      <c r="AD893">
        <v>-1.1600729999999999</v>
      </c>
      <c r="AE893">
        <v>-1.39549999999997</v>
      </c>
      <c r="AF893">
        <v>1.60040634050416</v>
      </c>
      <c r="AG893">
        <v>-1.1600729999999999</v>
      </c>
      <c r="AH893">
        <v>34.470553597395103</v>
      </c>
      <c r="AI893">
        <v>91.925433802006694</v>
      </c>
      <c r="AJ893">
        <v>87.341768032233404</v>
      </c>
      <c r="AK893">
        <v>34.527179657929601</v>
      </c>
      <c r="AL893">
        <v>79.346907668799801</v>
      </c>
      <c r="AM893">
        <v>90.585992661622996</v>
      </c>
      <c r="AN893">
        <v>1.00000002826706</v>
      </c>
    </row>
    <row r="894" spans="1:40" x14ac:dyDescent="0.25">
      <c r="A894" t="str">
        <f>"20190312172107448"</f>
        <v>20190312172107448</v>
      </c>
      <c r="B894" t="str">
        <f>"1552382467442440"</f>
        <v>1552382467442440</v>
      </c>
      <c r="C894" t="s">
        <v>40</v>
      </c>
      <c r="D894">
        <v>3.2560319999999998</v>
      </c>
      <c r="E894">
        <v>0.52288679999999998</v>
      </c>
      <c r="F894" t="s">
        <v>43</v>
      </c>
      <c r="G894">
        <v>-289.5446</v>
      </c>
      <c r="H894">
        <v>-0.05</v>
      </c>
      <c r="I894">
        <v>366.51889999999997</v>
      </c>
      <c r="J894">
        <v>-324.32229999999998</v>
      </c>
      <c r="K894">
        <v>1.1100719999999999</v>
      </c>
      <c r="L894">
        <v>367.97390000000001</v>
      </c>
      <c r="M894">
        <v>0.99989430000000001</v>
      </c>
      <c r="N894">
        <v>0</v>
      </c>
      <c r="O894">
        <v>5.9306410000000004E-3</v>
      </c>
      <c r="P894">
        <v>0.9849755</v>
      </c>
      <c r="Q894">
        <v>0.17197309999999999</v>
      </c>
      <c r="R894">
        <v>1.5760529999999998E-2</v>
      </c>
      <c r="S894">
        <v>3.0654910000000002</v>
      </c>
      <c r="T894">
        <v>-0.10173</v>
      </c>
      <c r="U894">
        <v>-0.12750239999999999</v>
      </c>
      <c r="V894">
        <v>-9.8632919999999992E-3</v>
      </c>
      <c r="W894">
        <v>0.18503310000000001</v>
      </c>
      <c r="X894">
        <v>0.98268279999999997</v>
      </c>
      <c r="Y894">
        <v>4.7452870000000001E-2</v>
      </c>
      <c r="Z894">
        <v>-9.8351319999999995E-4</v>
      </c>
      <c r="AA894">
        <v>0.99887300000000001</v>
      </c>
      <c r="AB894">
        <v>35</v>
      </c>
      <c r="AC894">
        <v>34.777699999999903</v>
      </c>
      <c r="AD894">
        <v>-1.160072</v>
      </c>
      <c r="AE894">
        <v>-1.45500000000004</v>
      </c>
      <c r="AF894">
        <v>1.65940348588002</v>
      </c>
      <c r="AG894">
        <v>-1.160072</v>
      </c>
      <c r="AH894">
        <v>34.729882896317697</v>
      </c>
      <c r="AI894">
        <v>91.910944224362197</v>
      </c>
      <c r="AJ894">
        <v>87.264472113362004</v>
      </c>
      <c r="AK894">
        <v>34.788850986574303</v>
      </c>
      <c r="AL894">
        <v>79.336937891958996</v>
      </c>
      <c r="AM894">
        <v>90.575064534856594</v>
      </c>
      <c r="AN894">
        <v>1.0000000090202601</v>
      </c>
    </row>
    <row r="895" spans="1:40" x14ac:dyDescent="0.25">
      <c r="A895" t="str">
        <f>"20190312172107460"</f>
        <v>20190312172107460</v>
      </c>
      <c r="B895" t="str">
        <f>"1552382467452198"</f>
        <v>1552382467452198</v>
      </c>
      <c r="C895" t="s">
        <v>40</v>
      </c>
      <c r="D895">
        <v>3.2714669999999999</v>
      </c>
      <c r="E895">
        <v>0.52320929999999999</v>
      </c>
      <c r="F895" t="s">
        <v>43</v>
      </c>
      <c r="G895">
        <v>-288.95310000000001</v>
      </c>
      <c r="H895">
        <v>-0.05</v>
      </c>
      <c r="I895">
        <v>366.46789999999999</v>
      </c>
      <c r="J895">
        <v>-324.14359999999999</v>
      </c>
      <c r="K895">
        <v>1.1100730000000001</v>
      </c>
      <c r="L895">
        <v>367.97489999999999</v>
      </c>
      <c r="M895">
        <v>0.99989470000000003</v>
      </c>
      <c r="N895">
        <v>0</v>
      </c>
      <c r="O895">
        <v>5.872833E-3</v>
      </c>
      <c r="P895">
        <v>0.98499630000000005</v>
      </c>
      <c r="Q895">
        <v>0.17185429999999999</v>
      </c>
      <c r="R895">
        <v>1.5751649999999999E-2</v>
      </c>
      <c r="S895">
        <v>3.0653990000000002</v>
      </c>
      <c r="T895">
        <v>-0.1005417</v>
      </c>
      <c r="U895">
        <v>-0.13052369999999999</v>
      </c>
      <c r="V895">
        <v>-9.9113159999999999E-3</v>
      </c>
      <c r="W895">
        <v>0.18491360000000001</v>
      </c>
      <c r="X895">
        <v>0.98270480000000004</v>
      </c>
      <c r="Y895">
        <v>4.83793E-2</v>
      </c>
      <c r="Z895">
        <v>-9.8532749999999999E-4</v>
      </c>
      <c r="AA895">
        <v>0.99882850000000001</v>
      </c>
      <c r="AB895">
        <v>35</v>
      </c>
      <c r="AC895">
        <v>35.190499999999901</v>
      </c>
      <c r="AD895">
        <v>-1.1600729999999999</v>
      </c>
      <c r="AE895">
        <v>-1.5069999999999999</v>
      </c>
      <c r="AF895">
        <v>1.7118032813444</v>
      </c>
      <c r="AG895">
        <v>-1.1600729999999999</v>
      </c>
      <c r="AH895">
        <v>35.142921095622903</v>
      </c>
      <c r="AI895">
        <v>91.888418269713597</v>
      </c>
      <c r="AJ895">
        <v>87.211340385661998</v>
      </c>
      <c r="AK895">
        <v>35.203706381182798</v>
      </c>
      <c r="AL895">
        <v>79.343904854361497</v>
      </c>
      <c r="AM895">
        <v>90.577851377284702</v>
      </c>
      <c r="AN895">
        <v>0.99999999879642598</v>
      </c>
    </row>
    <row r="896" spans="1:40" x14ac:dyDescent="0.25">
      <c r="A896" t="str">
        <f>"20190312172107471"</f>
        <v>20190312172107471</v>
      </c>
      <c r="B896" t="str">
        <f>"1552382467461958"</f>
        <v>1552382467461958</v>
      </c>
      <c r="C896" t="s">
        <v>40</v>
      </c>
      <c r="D896">
        <v>3.2754569999999998</v>
      </c>
      <c r="E896">
        <v>0.52354319999999999</v>
      </c>
      <c r="F896" t="s">
        <v>43</v>
      </c>
      <c r="G896">
        <v>-288.83139999999997</v>
      </c>
      <c r="H896">
        <v>-0.05</v>
      </c>
      <c r="I896">
        <v>366.44110000000001</v>
      </c>
      <c r="J896">
        <v>-323.96269999999998</v>
      </c>
      <c r="K896">
        <v>1.110074</v>
      </c>
      <c r="L896">
        <v>367.97590000000002</v>
      </c>
      <c r="M896">
        <v>0.99989510000000004</v>
      </c>
      <c r="N896">
        <v>0</v>
      </c>
      <c r="O896">
        <v>5.8145459999999899E-3</v>
      </c>
      <c r="P896">
        <v>0.98503660000000004</v>
      </c>
      <c r="Q896">
        <v>0.17163809999999999</v>
      </c>
      <c r="R896">
        <v>1.5599210000000001E-2</v>
      </c>
      <c r="S896">
        <v>3.0654300000000001</v>
      </c>
      <c r="T896">
        <v>-0.100705</v>
      </c>
      <c r="U896">
        <v>-0.13314819999999999</v>
      </c>
      <c r="V896">
        <v>-9.8165969999999998E-3</v>
      </c>
      <c r="W896">
        <v>0.1846971</v>
      </c>
      <c r="X896">
        <v>0.98274649999999997</v>
      </c>
      <c r="Y896">
        <v>4.9173729999999999E-2</v>
      </c>
      <c r="Z896">
        <v>-9.9802510000000007E-4</v>
      </c>
      <c r="AA896">
        <v>0.9987897</v>
      </c>
      <c r="AB896">
        <v>35</v>
      </c>
      <c r="AC896">
        <v>35.131300000000003</v>
      </c>
      <c r="AD896">
        <v>-1.160074</v>
      </c>
      <c r="AE896">
        <v>-1.5348000000000099</v>
      </c>
      <c r="AF896">
        <v>1.73717399294459</v>
      </c>
      <c r="AG896">
        <v>-1.160074</v>
      </c>
      <c r="AH896">
        <v>35.083599036912801</v>
      </c>
      <c r="AI896">
        <v>91.891536067036995</v>
      </c>
      <c r="AJ896">
        <v>87.165298979587305</v>
      </c>
      <c r="AK896">
        <v>35.145731839728498</v>
      </c>
      <c r="AL896">
        <v>79.3565271787417</v>
      </c>
      <c r="AM896">
        <v>90.572305138227605</v>
      </c>
      <c r="AN896">
        <v>1.0000000337936501</v>
      </c>
    </row>
    <row r="897" spans="1:40" x14ac:dyDescent="0.25">
      <c r="A897" t="str">
        <f>"20190312172107484"</f>
        <v>20190312172107484</v>
      </c>
      <c r="B897" t="str">
        <f>"1552382467472694"</f>
        <v>1552382467472694</v>
      </c>
      <c r="C897" t="s">
        <v>40</v>
      </c>
      <c r="D897">
        <v>3.2858369999999999</v>
      </c>
      <c r="E897">
        <v>0.52379560000000003</v>
      </c>
      <c r="F897" t="s">
        <v>43</v>
      </c>
      <c r="G897">
        <v>-288.60430000000002</v>
      </c>
      <c r="H897">
        <v>-0.05</v>
      </c>
      <c r="I897">
        <v>366.40859999999998</v>
      </c>
      <c r="J897">
        <v>-323.77229999999997</v>
      </c>
      <c r="K897">
        <v>1.110074</v>
      </c>
      <c r="L897">
        <v>367.97699999999998</v>
      </c>
      <c r="M897">
        <v>0.99989550000000005</v>
      </c>
      <c r="N897">
        <v>0</v>
      </c>
      <c r="O897">
        <v>5.7533380000000002E-3</v>
      </c>
      <c r="P897">
        <v>0.98506159999999998</v>
      </c>
      <c r="Q897">
        <v>0.17151949999999999</v>
      </c>
      <c r="R897">
        <v>1.532026E-2</v>
      </c>
      <c r="S897">
        <v>3.0652469999999998</v>
      </c>
      <c r="T897">
        <v>-0.1005677</v>
      </c>
      <c r="U897">
        <v>-0.13586429999999999</v>
      </c>
      <c r="V897">
        <v>-9.5975079999999994E-3</v>
      </c>
      <c r="W897">
        <v>0.18457760000000001</v>
      </c>
      <c r="X897">
        <v>0.98277110000000001</v>
      </c>
      <c r="Y897">
        <v>4.9998140000000003E-2</v>
      </c>
      <c r="Z897">
        <v>-1.0082120000000001E-3</v>
      </c>
      <c r="AA897">
        <v>0.99874879999999999</v>
      </c>
      <c r="AB897">
        <v>34</v>
      </c>
      <c r="AC897">
        <v>35.1679999999999</v>
      </c>
      <c r="AD897">
        <v>-1.160074</v>
      </c>
      <c r="AE897">
        <v>-1.56839999999999</v>
      </c>
      <c r="AF897">
        <v>1.7688043769681101</v>
      </c>
      <c r="AG897">
        <v>-1.160074</v>
      </c>
      <c r="AH897">
        <v>35.120254388043797</v>
      </c>
      <c r="AI897">
        <v>91.889483432565498</v>
      </c>
      <c r="AJ897">
        <v>87.116778666746498</v>
      </c>
      <c r="AK897">
        <v>35.1838984322426</v>
      </c>
      <c r="AL897">
        <v>79.363493641821904</v>
      </c>
      <c r="AM897">
        <v>90.5595191209935</v>
      </c>
      <c r="AN897">
        <v>1.00000001878839</v>
      </c>
    </row>
    <row r="898" spans="1:40" x14ac:dyDescent="0.25">
      <c r="A898" t="str">
        <f>"20190312172107495"</f>
        <v>20190312172107495</v>
      </c>
      <c r="B898" t="str">
        <f>"1552382467492213"</f>
        <v>1552382467492213</v>
      </c>
      <c r="C898" t="s">
        <v>40</v>
      </c>
      <c r="D898">
        <v>3.284367</v>
      </c>
      <c r="E898">
        <v>0.52418920000000002</v>
      </c>
      <c r="F898" t="s">
        <v>43</v>
      </c>
      <c r="G898">
        <v>-288.76859999999999</v>
      </c>
      <c r="H898">
        <v>-0.05</v>
      </c>
      <c r="I898">
        <v>366.39</v>
      </c>
      <c r="J898">
        <v>-323.59460000000001</v>
      </c>
      <c r="K898">
        <v>1.1100680000000001</v>
      </c>
      <c r="L898">
        <v>367.97789999999998</v>
      </c>
      <c r="M898">
        <v>0.99989589999999995</v>
      </c>
      <c r="N898">
        <v>0</v>
      </c>
      <c r="O898">
        <v>5.6960650000000002E-3</v>
      </c>
      <c r="P898">
        <v>0.9850428</v>
      </c>
      <c r="Q898">
        <v>0.17165050000000001</v>
      </c>
      <c r="R898">
        <v>1.5066339999999999E-2</v>
      </c>
      <c r="S898">
        <v>3.0653380000000001</v>
      </c>
      <c r="T898">
        <v>-0.101589899999999</v>
      </c>
      <c r="U898">
        <v>-0.13897709999999999</v>
      </c>
      <c r="V898">
        <v>-9.3999840000000001E-3</v>
      </c>
      <c r="W898">
        <v>0.18470739999999999</v>
      </c>
      <c r="X898">
        <v>0.98274859999999997</v>
      </c>
      <c r="Y898">
        <v>5.0950670000000003E-2</v>
      </c>
      <c r="Z898">
        <v>-1.0322759999999999E-3</v>
      </c>
      <c r="AA898">
        <v>0.99870060000000005</v>
      </c>
      <c r="AB898">
        <v>34</v>
      </c>
      <c r="AC898">
        <v>34.826000000000001</v>
      </c>
      <c r="AD898">
        <v>-1.1600680000000001</v>
      </c>
      <c r="AE898">
        <v>-1.5878999999999901</v>
      </c>
      <c r="AF898">
        <v>1.78428712179843</v>
      </c>
      <c r="AG898">
        <v>-1.1600680000000001</v>
      </c>
      <c r="AH898">
        <v>34.777880472394102</v>
      </c>
      <c r="AI898">
        <v>91.907970106092307</v>
      </c>
      <c r="AJ898">
        <v>87.063002052927004</v>
      </c>
      <c r="AK898">
        <v>34.842939147692</v>
      </c>
      <c r="AL898">
        <v>79.355926305145204</v>
      </c>
      <c r="AM898">
        <v>90.548017048181606</v>
      </c>
      <c r="AN898">
        <v>0.99999999705796006</v>
      </c>
    </row>
    <row r="899" spans="1:40" x14ac:dyDescent="0.25">
      <c r="A899" t="str">
        <f>"20190312172107505"</f>
        <v>20190312172107505</v>
      </c>
      <c r="B899" t="str">
        <f>"1552382467501974"</f>
        <v>1552382467501974</v>
      </c>
      <c r="C899" t="s">
        <v>40</v>
      </c>
      <c r="D899">
        <v>3.2714249999999998</v>
      </c>
      <c r="E899">
        <v>0.52441269999999995</v>
      </c>
      <c r="F899" t="s">
        <v>43</v>
      </c>
      <c r="G899">
        <v>-288.86070000000001</v>
      </c>
      <c r="H899">
        <v>-0.05</v>
      </c>
      <c r="I899">
        <v>366.36079999999998</v>
      </c>
      <c r="J899">
        <v>-323.42770000000002</v>
      </c>
      <c r="K899">
        <v>1.110069</v>
      </c>
      <c r="L899">
        <v>367.97879999999998</v>
      </c>
      <c r="M899">
        <v>0.99989609999999995</v>
      </c>
      <c r="N899">
        <v>0</v>
      </c>
      <c r="O899">
        <v>5.6422499999999997E-3</v>
      </c>
      <c r="P899">
        <v>0.98507730000000004</v>
      </c>
      <c r="Q899">
        <v>0.17146839999999999</v>
      </c>
      <c r="R899">
        <v>1.487403E-2</v>
      </c>
      <c r="S899">
        <v>3.065582</v>
      </c>
      <c r="T899">
        <v>-0.10238650000000001</v>
      </c>
      <c r="U899">
        <v>-0.14273069999999999</v>
      </c>
      <c r="V899">
        <v>-9.2601929999999999E-3</v>
      </c>
      <c r="W899">
        <v>0.1845251</v>
      </c>
      <c r="X899">
        <v>0.9827842</v>
      </c>
      <c r="Y899">
        <v>5.2112480000000003E-2</v>
      </c>
      <c r="Z899">
        <v>-1.0578429999999999E-3</v>
      </c>
      <c r="AA899">
        <v>0.99864070000000005</v>
      </c>
      <c r="AB899">
        <v>34</v>
      </c>
      <c r="AC899">
        <v>34.567</v>
      </c>
      <c r="AD899">
        <v>-1.160069</v>
      </c>
      <c r="AE899">
        <v>-1.6179999999999899</v>
      </c>
      <c r="AF899">
        <v>1.8109918425239999</v>
      </c>
      <c r="AG899">
        <v>-1.160069</v>
      </c>
      <c r="AH899">
        <v>34.518527369125103</v>
      </c>
      <c r="AI899">
        <v>91.922181270604099</v>
      </c>
      <c r="AJ899">
        <v>86.996768052705903</v>
      </c>
      <c r="AK899">
        <v>34.585462021946199</v>
      </c>
      <c r="AL899">
        <v>79.366554295749395</v>
      </c>
      <c r="AM899">
        <v>90.539848194107805</v>
      </c>
      <c r="AN899">
        <v>1.0000000237370199</v>
      </c>
    </row>
    <row r="900" spans="1:40" x14ac:dyDescent="0.25">
      <c r="A900" t="str">
        <f>"20190312172107515"</f>
        <v>20190312172107515</v>
      </c>
      <c r="B900" t="str">
        <f>"1552382467512710"</f>
        <v>1552382467512710</v>
      </c>
      <c r="C900" t="s">
        <v>40</v>
      </c>
      <c r="D900">
        <v>3.29908</v>
      </c>
      <c r="E900">
        <v>0.52454849999999997</v>
      </c>
      <c r="F900" t="s">
        <v>43</v>
      </c>
      <c r="G900">
        <v>-288.90449999999998</v>
      </c>
      <c r="H900">
        <v>-0.05</v>
      </c>
      <c r="I900">
        <v>366.346</v>
      </c>
      <c r="J900">
        <v>-323.2697</v>
      </c>
      <c r="K900">
        <v>1.110069</v>
      </c>
      <c r="L900">
        <v>367.97969999999998</v>
      </c>
      <c r="M900">
        <v>0.99989640000000002</v>
      </c>
      <c r="N900">
        <v>0</v>
      </c>
      <c r="O900">
        <v>5.5911779999999996E-3</v>
      </c>
      <c r="P900">
        <v>0.98504749999999996</v>
      </c>
      <c r="Q900">
        <v>0.17165439999999901</v>
      </c>
      <c r="R900">
        <v>1.471277E-2</v>
      </c>
      <c r="S900">
        <v>3.0655519999999998</v>
      </c>
      <c r="T900">
        <v>-0.1030104</v>
      </c>
      <c r="U900">
        <v>-0.14498900000000001</v>
      </c>
      <c r="V900">
        <v>-9.1502089999999994E-3</v>
      </c>
      <c r="W900">
        <v>0.18470980000000001</v>
      </c>
      <c r="X900">
        <v>0.98275049999999997</v>
      </c>
      <c r="Y900">
        <v>5.2795229999999999E-2</v>
      </c>
      <c r="Z900">
        <v>-1.0740249999999999E-3</v>
      </c>
      <c r="AA900">
        <v>0.99860479999999996</v>
      </c>
      <c r="AB900">
        <v>34</v>
      </c>
      <c r="AC900">
        <v>34.365200000000002</v>
      </c>
      <c r="AD900">
        <v>-1.160069</v>
      </c>
      <c r="AE900">
        <v>-1.63369999999997</v>
      </c>
      <c r="AF900">
        <v>1.8237597510776999</v>
      </c>
      <c r="AG900">
        <v>-1.160069</v>
      </c>
      <c r="AH900">
        <v>34.316510752897798</v>
      </c>
      <c r="AI900">
        <v>91.933419053513205</v>
      </c>
      <c r="AJ900">
        <v>86.957863061608293</v>
      </c>
      <c r="AK900">
        <v>34.3845135194343</v>
      </c>
      <c r="AL900">
        <v>79.355786321402405</v>
      </c>
      <c r="AM900">
        <v>90.533455041047105</v>
      </c>
      <c r="AN900">
        <v>0.99999999089551606</v>
      </c>
    </row>
    <row r="901" spans="1:40" x14ac:dyDescent="0.25">
      <c r="A901" t="str">
        <f>"20190312172107526"</f>
        <v>20190312172107526</v>
      </c>
      <c r="B901" t="str">
        <f>"1552382467522470"</f>
        <v>1552382467522470</v>
      </c>
      <c r="C901" t="s">
        <v>40</v>
      </c>
      <c r="D901">
        <v>3.2781319999999998</v>
      </c>
      <c r="E901">
        <v>0.52471719999999999</v>
      </c>
      <c r="F901" t="s">
        <v>43</v>
      </c>
      <c r="G901">
        <v>-288.61750000000001</v>
      </c>
      <c r="H901">
        <v>-0.05</v>
      </c>
      <c r="I901">
        <v>366.32249999999999</v>
      </c>
      <c r="J901">
        <v>-323.11939999999998</v>
      </c>
      <c r="K901">
        <v>1.1100760000000001</v>
      </c>
      <c r="L901">
        <v>367.98050000000001</v>
      </c>
      <c r="M901">
        <v>0.99989680000000003</v>
      </c>
      <c r="N901">
        <v>0</v>
      </c>
      <c r="O901">
        <v>5.5425469999999897E-3</v>
      </c>
      <c r="P901">
        <v>0.98501919999999998</v>
      </c>
      <c r="Q901">
        <v>0.17183039999999999</v>
      </c>
      <c r="R901">
        <v>1.4542299999999999E-2</v>
      </c>
      <c r="S901">
        <v>3.0656129999999999</v>
      </c>
      <c r="T901">
        <v>-0.1026291</v>
      </c>
      <c r="U901">
        <v>-0.1466064</v>
      </c>
      <c r="V901">
        <v>-9.0271320000000002E-3</v>
      </c>
      <c r="W901">
        <v>0.1848851</v>
      </c>
      <c r="X901">
        <v>0.98271869999999995</v>
      </c>
      <c r="Y901">
        <v>5.3271399999999997E-2</v>
      </c>
      <c r="Z901">
        <v>-1.0763529999999999E-3</v>
      </c>
      <c r="AA901">
        <v>0.99857949999999995</v>
      </c>
      <c r="AB901">
        <v>34</v>
      </c>
      <c r="AC901">
        <v>34.5018999999999</v>
      </c>
      <c r="AD901">
        <v>-1.1600760000000001</v>
      </c>
      <c r="AE901">
        <v>-1.6580000000000099</v>
      </c>
      <c r="AF901">
        <v>1.84713627509554</v>
      </c>
      <c r="AG901">
        <v>-1.1600760000000001</v>
      </c>
      <c r="AH901">
        <v>34.453318411381701</v>
      </c>
      <c r="AI901">
        <v>91.925711332710307</v>
      </c>
      <c r="AJ901">
        <v>86.9311551810449</v>
      </c>
      <c r="AK901">
        <v>34.522294800615498</v>
      </c>
      <c r="AL901">
        <v>79.345566622834099</v>
      </c>
      <c r="AM901">
        <v>90.526297116165196</v>
      </c>
      <c r="AN901">
        <v>1.00000001632192</v>
      </c>
    </row>
    <row r="902" spans="1:40" x14ac:dyDescent="0.25">
      <c r="A902" t="str">
        <f>"20190312172107538"</f>
        <v>20190312172107538</v>
      </c>
      <c r="B902" t="str">
        <f>"1552382467532247"</f>
        <v>1552382467532247</v>
      </c>
      <c r="C902" t="s">
        <v>40</v>
      </c>
      <c r="D902">
        <v>3.2645439999999999</v>
      </c>
      <c r="E902">
        <v>0.52486540000000004</v>
      </c>
      <c r="F902" t="s">
        <v>43</v>
      </c>
      <c r="G902">
        <v>-288.19229999999999</v>
      </c>
      <c r="H902">
        <v>-0.05</v>
      </c>
      <c r="I902">
        <v>366.28890000000001</v>
      </c>
      <c r="J902">
        <v>-322.93329999999997</v>
      </c>
      <c r="K902">
        <v>1.110074</v>
      </c>
      <c r="L902">
        <v>367.98140000000001</v>
      </c>
      <c r="M902">
        <v>0.99989720000000004</v>
      </c>
      <c r="N902">
        <v>0</v>
      </c>
      <c r="O902">
        <v>5.482593E-3</v>
      </c>
      <c r="P902">
        <v>0.98499859999999995</v>
      </c>
      <c r="Q902">
        <v>0.17195539999999901</v>
      </c>
      <c r="R902">
        <v>1.4471990000000001E-2</v>
      </c>
      <c r="S902">
        <v>3.065582</v>
      </c>
      <c r="T902">
        <v>-0.1018208</v>
      </c>
      <c r="U902">
        <v>-0.14846799999999999</v>
      </c>
      <c r="V902">
        <v>-9.0161419999999996E-3</v>
      </c>
      <c r="W902">
        <v>0.18500829999999999</v>
      </c>
      <c r="X902">
        <v>0.9826956</v>
      </c>
      <c r="Y902">
        <v>5.3817230000000001E-2</v>
      </c>
      <c r="Z902">
        <v>-1.0749430000000001E-3</v>
      </c>
      <c r="AA902">
        <v>0.99855020000000005</v>
      </c>
      <c r="AB902">
        <v>34</v>
      </c>
      <c r="AC902">
        <v>34.7409999999999</v>
      </c>
      <c r="AD902">
        <v>-1.160074</v>
      </c>
      <c r="AE902">
        <v>-1.6924999999999899</v>
      </c>
      <c r="AF902">
        <v>1.88086977897883</v>
      </c>
      <c r="AG902">
        <v>-1.160074</v>
      </c>
      <c r="AH902">
        <v>34.692605943804402</v>
      </c>
      <c r="AI902">
        <v>91.912373701431505</v>
      </c>
      <c r="AJ902">
        <v>86.896730652669405</v>
      </c>
      <c r="AK902">
        <v>34.762916304347101</v>
      </c>
      <c r="AL902">
        <v>79.338383716331094</v>
      </c>
      <c r="AM902">
        <v>90.5256687722799</v>
      </c>
      <c r="AN902">
        <v>1.0000000020724</v>
      </c>
    </row>
    <row r="903" spans="1:40" x14ac:dyDescent="0.25">
      <c r="A903" t="str">
        <f>"20190312172107548"</f>
        <v>20190312172107548</v>
      </c>
      <c r="B903" t="str">
        <f>"1552382467541990"</f>
        <v>1552382467541990</v>
      </c>
      <c r="C903" t="s">
        <v>40</v>
      </c>
      <c r="D903">
        <v>3.2647059999999999</v>
      </c>
      <c r="E903">
        <v>0.52507630000000005</v>
      </c>
      <c r="F903" t="s">
        <v>43</v>
      </c>
      <c r="G903">
        <v>-287.69290000000001</v>
      </c>
      <c r="H903">
        <v>-0.05</v>
      </c>
      <c r="I903">
        <v>366.26100000000002</v>
      </c>
      <c r="J903">
        <v>-322.7681</v>
      </c>
      <c r="K903">
        <v>1.1100749999999999</v>
      </c>
      <c r="L903">
        <v>367.98230000000001</v>
      </c>
      <c r="M903">
        <v>0.99989740000000005</v>
      </c>
      <c r="N903">
        <v>0</v>
      </c>
      <c r="O903">
        <v>5.429433E-3</v>
      </c>
      <c r="P903">
        <v>0.98500759999999998</v>
      </c>
      <c r="Q903">
        <v>0.17191600000000001</v>
      </c>
      <c r="R903">
        <v>1.431792E-2</v>
      </c>
      <c r="S903">
        <v>3.0654910000000002</v>
      </c>
      <c r="T903">
        <v>-0.10091260000000001</v>
      </c>
      <c r="U903">
        <v>-0.14965819999999999</v>
      </c>
      <c r="V903">
        <v>-8.9140580000000007E-3</v>
      </c>
      <c r="W903">
        <v>0.18496789999999999</v>
      </c>
      <c r="X903">
        <v>0.98270409999999997</v>
      </c>
      <c r="Y903">
        <v>5.4152770000000003E-2</v>
      </c>
      <c r="Z903">
        <v>-1.069151E-3</v>
      </c>
      <c r="AA903">
        <v>0.99853210000000003</v>
      </c>
      <c r="AB903">
        <v>34</v>
      </c>
      <c r="AC903">
        <v>35.075199999999903</v>
      </c>
      <c r="AD903">
        <v>-1.160075</v>
      </c>
      <c r="AE903">
        <v>-1.72130000000004</v>
      </c>
      <c r="AF903">
        <v>1.9096458910522001</v>
      </c>
      <c r="AG903">
        <v>-1.160075</v>
      </c>
      <c r="AH903">
        <v>35.027112821998202</v>
      </c>
      <c r="AI903">
        <v>91.894094475259806</v>
      </c>
      <c r="AJ903">
        <v>86.879376329953899</v>
      </c>
      <c r="AK903">
        <v>35.098306997344302</v>
      </c>
      <c r="AL903">
        <v>79.340738732588804</v>
      </c>
      <c r="AM903">
        <v>90.519712794757197</v>
      </c>
      <c r="AN903">
        <v>0.99999996630862298</v>
      </c>
    </row>
    <row r="904" spans="1:40" x14ac:dyDescent="0.25">
      <c r="A904" t="str">
        <f>"20190312172107559"</f>
        <v>20190312172107559</v>
      </c>
      <c r="B904" t="str">
        <f>"1552382467551750"</f>
        <v>1552382467551750</v>
      </c>
      <c r="C904" t="s">
        <v>40</v>
      </c>
      <c r="D904">
        <v>3.2980700000000001</v>
      </c>
      <c r="E904">
        <v>0.52507630000000005</v>
      </c>
      <c r="F904" t="s">
        <v>43</v>
      </c>
      <c r="G904">
        <v>-287.56110000000001</v>
      </c>
      <c r="H904">
        <v>-0.05</v>
      </c>
      <c r="I904">
        <v>366.23930000000001</v>
      </c>
      <c r="J904">
        <v>-322.59949999999998</v>
      </c>
      <c r="K904">
        <v>1.1100760000000001</v>
      </c>
      <c r="L904">
        <v>367.98320000000001</v>
      </c>
      <c r="M904">
        <v>0.9998977</v>
      </c>
      <c r="N904">
        <v>0</v>
      </c>
      <c r="O904">
        <v>5.3751399999999996E-3</v>
      </c>
      <c r="P904">
        <v>0.98498200000000002</v>
      </c>
      <c r="Q904">
        <v>0.17206160000000001</v>
      </c>
      <c r="R904">
        <v>1.433657E-2</v>
      </c>
      <c r="S904">
        <v>3.0655209999999999</v>
      </c>
      <c r="T904">
        <v>-0.10100919999999999</v>
      </c>
      <c r="U904">
        <v>-0.15176389999999901</v>
      </c>
      <c r="V904">
        <v>-8.9864400000000001E-3</v>
      </c>
      <c r="W904">
        <v>0.18511279999999999</v>
      </c>
      <c r="X904">
        <v>0.9826762</v>
      </c>
      <c r="Y904">
        <v>5.4781919999999998E-2</v>
      </c>
      <c r="Z904">
        <v>-1.0787150000000001E-3</v>
      </c>
      <c r="AA904">
        <v>0.99849779999999999</v>
      </c>
      <c r="AB904">
        <v>34</v>
      </c>
      <c r="AC904">
        <v>35.038399999999903</v>
      </c>
      <c r="AD904">
        <v>-1.1600760000000001</v>
      </c>
      <c r="AE904">
        <v>-1.74389999999999</v>
      </c>
      <c r="AF904">
        <v>1.93011711585566</v>
      </c>
      <c r="AG904">
        <v>-1.1600760000000001</v>
      </c>
      <c r="AH904">
        <v>34.9902581490662</v>
      </c>
      <c r="AI904">
        <v>91.896023115868402</v>
      </c>
      <c r="AJ904">
        <v>86.842675370267898</v>
      </c>
      <c r="AK904">
        <v>35.0626481279578</v>
      </c>
      <c r="AL904">
        <v>79.332291149316006</v>
      </c>
      <c r="AM904">
        <v>90.523947494138397</v>
      </c>
      <c r="AN904">
        <v>1.00000000943707</v>
      </c>
    </row>
    <row r="905" spans="1:40" x14ac:dyDescent="0.25">
      <c r="A905" t="str">
        <f>"20190312172107570"</f>
        <v>20190312172107570</v>
      </c>
      <c r="B905" t="str">
        <f>"1552382467562486"</f>
        <v>1552382467562486</v>
      </c>
      <c r="C905" t="s">
        <v>40</v>
      </c>
      <c r="D905">
        <v>3.3047800000000001</v>
      </c>
      <c r="E905">
        <v>0.54209940000000001</v>
      </c>
      <c r="F905" t="s">
        <v>43</v>
      </c>
      <c r="G905">
        <v>-287.21370000000002</v>
      </c>
      <c r="H905">
        <v>-0.05</v>
      </c>
      <c r="I905">
        <v>366.22739999999999</v>
      </c>
      <c r="J905">
        <v>-322.43299999999999</v>
      </c>
      <c r="K905">
        <v>1.110077</v>
      </c>
      <c r="L905">
        <v>367.98399999999998</v>
      </c>
      <c r="M905">
        <v>0.99989799999999995</v>
      </c>
      <c r="N905">
        <v>0</v>
      </c>
      <c r="O905">
        <v>5.321208E-3</v>
      </c>
      <c r="P905">
        <v>0.98499999999999999</v>
      </c>
      <c r="Q905">
        <v>0.17195279999999999</v>
      </c>
      <c r="R905">
        <v>1.4415549999999999E-2</v>
      </c>
      <c r="S905">
        <v>3.0654910000000002</v>
      </c>
      <c r="T905">
        <v>-0.1004982</v>
      </c>
      <c r="U905">
        <v>-0.1520996</v>
      </c>
      <c r="V905">
        <v>-9.11877E-3</v>
      </c>
      <c r="W905">
        <v>0.1850031</v>
      </c>
      <c r="X905">
        <v>0.9826956</v>
      </c>
      <c r="Y905">
        <v>5.4837959999999998E-2</v>
      </c>
      <c r="Z905">
        <v>-1.0724179999999999E-3</v>
      </c>
      <c r="AA905">
        <v>0.99849469999999996</v>
      </c>
      <c r="AB905">
        <v>34</v>
      </c>
      <c r="AC905">
        <v>35.219299999999897</v>
      </c>
      <c r="AD905">
        <v>-1.160077</v>
      </c>
      <c r="AE905">
        <v>-1.7566000000000399</v>
      </c>
      <c r="AF905">
        <v>1.9418991633743401</v>
      </c>
      <c r="AG905">
        <v>-1.160077</v>
      </c>
      <c r="AH905">
        <v>35.171388507758401</v>
      </c>
      <c r="AI905">
        <v>91.8862621373857</v>
      </c>
      <c r="AJ905">
        <v>86.839767234753296</v>
      </c>
      <c r="AK905">
        <v>35.2440536909466</v>
      </c>
      <c r="AL905">
        <v>79.338686548625105</v>
      </c>
      <c r="AM905">
        <v>90.531651958387599</v>
      </c>
      <c r="AN905">
        <v>0.99999997061764101</v>
      </c>
    </row>
    <row r="906" spans="1:40" x14ac:dyDescent="0.25">
      <c r="A906" t="str">
        <f>"20190312172107582"</f>
        <v>20190312172107582</v>
      </c>
      <c r="B906" t="str">
        <f>"1552382467572246"</f>
        <v>1552382467572246</v>
      </c>
      <c r="C906" t="s">
        <v>40</v>
      </c>
      <c r="D906">
        <v>3.2886320000000002</v>
      </c>
      <c r="E906">
        <v>0.54206659999999995</v>
      </c>
      <c r="F906" t="s">
        <v>43</v>
      </c>
      <c r="G906">
        <v>-280.09780000000001</v>
      </c>
      <c r="H906">
        <v>-0.05</v>
      </c>
      <c r="I906">
        <v>364.00760000000002</v>
      </c>
      <c r="J906">
        <v>-322.26130000000001</v>
      </c>
      <c r="K906">
        <v>1.110077</v>
      </c>
      <c r="L906">
        <v>367.98489999999998</v>
      </c>
      <c r="M906">
        <v>0.99989830000000002</v>
      </c>
      <c r="N906">
        <v>0</v>
      </c>
      <c r="O906">
        <v>5.2655469999999998E-3</v>
      </c>
      <c r="P906">
        <v>0.98499420000000004</v>
      </c>
      <c r="Q906">
        <v>0.17199159999999999</v>
      </c>
      <c r="R906">
        <v>1.4340759999999999E-2</v>
      </c>
      <c r="S906">
        <v>3.0645449999999999</v>
      </c>
      <c r="T906">
        <v>-8.3975320000000006E-2</v>
      </c>
      <c r="U906">
        <v>-0.28784179999999998</v>
      </c>
      <c r="V906">
        <v>-9.098554E-3</v>
      </c>
      <c r="W906">
        <v>0.1850416</v>
      </c>
      <c r="X906">
        <v>0.98268860000000002</v>
      </c>
      <c r="Y906">
        <v>9.8717810000000003E-2</v>
      </c>
      <c r="Z906">
        <v>-1.493287E-3</v>
      </c>
      <c r="AA906">
        <v>0.99511430000000001</v>
      </c>
      <c r="AB906">
        <v>34</v>
      </c>
      <c r="AC906">
        <v>42.163499999999999</v>
      </c>
      <c r="AD906">
        <v>-1.160077</v>
      </c>
      <c r="AE906">
        <v>-3.9772999999999499</v>
      </c>
      <c r="AF906">
        <v>4.1961297592522797</v>
      </c>
      <c r="AG906">
        <v>-1.160077</v>
      </c>
      <c r="AH906">
        <v>42.110374156526603</v>
      </c>
      <c r="AI906">
        <v>91.570240261142402</v>
      </c>
      <c r="AJ906">
        <v>84.309490239354702</v>
      </c>
      <c r="AK906">
        <v>42.334818946170898</v>
      </c>
      <c r="AL906">
        <v>79.336442557096305</v>
      </c>
      <c r="AM906">
        <v>90.530477150192397</v>
      </c>
      <c r="AN906">
        <v>1.0000000309927</v>
      </c>
    </row>
    <row r="907" spans="1:40" x14ac:dyDescent="0.25">
      <c r="A907" t="str">
        <f>"20190312172107591"</f>
        <v>20190312172107591</v>
      </c>
      <c r="B907" t="str">
        <f>"1552382467582006"</f>
        <v>1552382467582006</v>
      </c>
      <c r="C907" t="s">
        <v>40</v>
      </c>
      <c r="D907">
        <v>3.2869579999999998</v>
      </c>
      <c r="E907">
        <v>0.54245529999999997</v>
      </c>
      <c r="F907" t="s">
        <v>43</v>
      </c>
      <c r="G907">
        <v>-280.5333</v>
      </c>
      <c r="H907">
        <v>-0.05</v>
      </c>
      <c r="I907">
        <v>364.06779999999998</v>
      </c>
      <c r="J907">
        <v>-322.0976</v>
      </c>
      <c r="K907">
        <v>1.11008</v>
      </c>
      <c r="L907">
        <v>367.98570000000001</v>
      </c>
      <c r="M907">
        <v>0.99989859999999997</v>
      </c>
      <c r="N907">
        <v>0</v>
      </c>
      <c r="O907">
        <v>5.2127450000000004E-3</v>
      </c>
      <c r="P907">
        <v>0.98499099999999995</v>
      </c>
      <c r="Q907">
        <v>0.17201340000000001</v>
      </c>
      <c r="R907">
        <v>1.4290239999999999E-2</v>
      </c>
      <c r="S907">
        <v>3.0647280000000001</v>
      </c>
      <c r="T907">
        <v>-8.5202219999999995E-2</v>
      </c>
      <c r="U907">
        <v>-0.28768919999999998</v>
      </c>
      <c r="V907">
        <v>-9.1003920000000006E-3</v>
      </c>
      <c r="W907">
        <v>0.18506220000000001</v>
      </c>
      <c r="X907">
        <v>0.98268469999999997</v>
      </c>
      <c r="Y907">
        <v>9.8609530000000001E-2</v>
      </c>
      <c r="Z907">
        <v>-1.51204299999999E-3</v>
      </c>
      <c r="AA907">
        <v>0.99512509999999998</v>
      </c>
      <c r="AB907">
        <v>34</v>
      </c>
      <c r="AC907">
        <v>41.564300000000003</v>
      </c>
      <c r="AD907">
        <v>-1.16008</v>
      </c>
      <c r="AE907">
        <v>-3.9179000000000301</v>
      </c>
      <c r="AF907">
        <v>4.1313399329004001</v>
      </c>
      <c r="AG907">
        <v>-1.16008</v>
      </c>
      <c r="AH907">
        <v>41.511258090112698</v>
      </c>
      <c r="AI907">
        <v>91.592914712017006</v>
      </c>
      <c r="AJ907">
        <v>84.316447137972901</v>
      </c>
      <c r="AK907">
        <v>41.732461028215504</v>
      </c>
      <c r="AL907">
        <v>79.335241480926101</v>
      </c>
      <c r="AM907">
        <v>90.530586411440197</v>
      </c>
      <c r="AN907">
        <v>1.0000000273087399</v>
      </c>
    </row>
    <row r="908" spans="1:40" x14ac:dyDescent="0.25">
      <c r="A908" t="str">
        <f>"20190312172107603"</f>
        <v>20190312172107603</v>
      </c>
      <c r="B908" t="str">
        <f>"1552382467592742"</f>
        <v>1552382467592742</v>
      </c>
      <c r="C908" t="s">
        <v>40</v>
      </c>
      <c r="D908">
        <v>3.2900149999999999</v>
      </c>
      <c r="E908">
        <v>0.54267109999999996</v>
      </c>
      <c r="F908" t="s">
        <v>43</v>
      </c>
      <c r="G908">
        <v>-278.0908</v>
      </c>
      <c r="H908">
        <v>-0.05</v>
      </c>
      <c r="I908">
        <v>363.80599999999998</v>
      </c>
      <c r="J908">
        <v>-321.92579999999998</v>
      </c>
      <c r="K908">
        <v>1.11008</v>
      </c>
      <c r="L908">
        <v>367.98649999999998</v>
      </c>
      <c r="M908">
        <v>0.99989879999999998</v>
      </c>
      <c r="N908">
        <v>0</v>
      </c>
      <c r="O908">
        <v>5.1572620000000001E-3</v>
      </c>
      <c r="P908">
        <v>0.98501810000000001</v>
      </c>
      <c r="Q908">
        <v>0.1718614</v>
      </c>
      <c r="R908">
        <v>1.42504E-2</v>
      </c>
      <c r="S908">
        <v>3.0640260000000001</v>
      </c>
      <c r="T908">
        <v>-8.0771919999999997E-2</v>
      </c>
      <c r="U908">
        <v>-0.29101559999999999</v>
      </c>
      <c r="V908">
        <v>-9.1147160000000001E-3</v>
      </c>
      <c r="W908">
        <v>0.1849094</v>
      </c>
      <c r="X908">
        <v>0.98271330000000001</v>
      </c>
      <c r="Y908">
        <v>9.9649920000000003E-2</v>
      </c>
      <c r="Z908">
        <v>-1.44592299999999E-3</v>
      </c>
      <c r="AA908">
        <v>0.9950215</v>
      </c>
      <c r="AB908">
        <v>34</v>
      </c>
      <c r="AC908">
        <v>43.834999999999901</v>
      </c>
      <c r="AD908">
        <v>-1.16008</v>
      </c>
      <c r="AE908">
        <v>-4.1804999999999897</v>
      </c>
      <c r="AF908">
        <v>4.4034765378312501</v>
      </c>
      <c r="AG908">
        <v>-1.16008</v>
      </c>
      <c r="AH908">
        <v>43.782467130405898</v>
      </c>
      <c r="AI908">
        <v>91.510164372910907</v>
      </c>
      <c r="AJ908">
        <v>84.256718705299605</v>
      </c>
      <c r="AK908">
        <v>44.018641724281999</v>
      </c>
      <c r="AL908">
        <v>79.344149701285701</v>
      </c>
      <c r="AM908">
        <v>90.531406040477904</v>
      </c>
      <c r="AN908">
        <v>0.999999997126505</v>
      </c>
    </row>
    <row r="909" spans="1:40" x14ac:dyDescent="0.25">
      <c r="A909" t="str">
        <f>"20190312172107615"</f>
        <v>20190312172107615</v>
      </c>
      <c r="B909" t="str">
        <f>"1552382467612262"</f>
        <v>1552382467612262</v>
      </c>
      <c r="C909" t="s">
        <v>40</v>
      </c>
      <c r="D909">
        <v>3.276497</v>
      </c>
      <c r="E909">
        <v>0.54297019999999996</v>
      </c>
      <c r="F909" t="s">
        <v>42</v>
      </c>
      <c r="G909">
        <v>-279.36500000000001</v>
      </c>
      <c r="H909" s="1">
        <v>-1.7175470000000001E-6</v>
      </c>
      <c r="I909">
        <v>363.92099999999999</v>
      </c>
      <c r="J909">
        <v>-321.7509</v>
      </c>
      <c r="K909">
        <v>1.11008</v>
      </c>
      <c r="L909">
        <v>367.98739999999998</v>
      </c>
      <c r="M909">
        <v>0.99989910000000004</v>
      </c>
      <c r="N909">
        <v>0</v>
      </c>
      <c r="O909">
        <v>5.1006480000000002E-3</v>
      </c>
      <c r="P909">
        <v>0.98498090000000005</v>
      </c>
      <c r="Q909">
        <v>0.17208019999999999</v>
      </c>
      <c r="R909">
        <v>1.417817E-2</v>
      </c>
      <c r="S909">
        <v>3.063812</v>
      </c>
      <c r="T909">
        <v>-7.9910990000000001E-2</v>
      </c>
      <c r="U909">
        <v>-0.29266360000000002</v>
      </c>
      <c r="V909">
        <v>-9.0984039999999992E-3</v>
      </c>
      <c r="W909">
        <v>0.18512729999999999</v>
      </c>
      <c r="X909">
        <v>0.98267249999999995</v>
      </c>
      <c r="Y909">
        <v>0.1001311</v>
      </c>
      <c r="Z909">
        <v>-1.435366E-3</v>
      </c>
      <c r="AA909">
        <v>0.9949732</v>
      </c>
      <c r="AB909">
        <v>34</v>
      </c>
      <c r="AC909">
        <v>42.3858999999999</v>
      </c>
      <c r="AD909">
        <v>-1.1100817175469999</v>
      </c>
      <c r="AE909">
        <v>-4.0663999999999803</v>
      </c>
      <c r="AF909">
        <v>4.2796529678177997</v>
      </c>
      <c r="AG909">
        <v>-1.1100817175469999</v>
      </c>
      <c r="AH909">
        <v>42.335831699721503</v>
      </c>
      <c r="AI909">
        <v>91.494387627903393</v>
      </c>
      <c r="AJ909">
        <v>84.227681661657599</v>
      </c>
      <c r="AK909">
        <v>42.566070486383097</v>
      </c>
      <c r="AL909">
        <v>79.331446404481994</v>
      </c>
      <c r="AM909">
        <v>90.530477095814007</v>
      </c>
      <c r="AN909">
        <v>1.00000007020844</v>
      </c>
    </row>
    <row r="910" spans="1:40" x14ac:dyDescent="0.25">
      <c r="A910" t="str">
        <f>"20190312172107626"</f>
        <v>20190312172107626</v>
      </c>
      <c r="B910" t="str">
        <f>"1552382467622022"</f>
        <v>1552382467622022</v>
      </c>
      <c r="C910" t="s">
        <v>40</v>
      </c>
      <c r="D910">
        <v>3.2677719999999999</v>
      </c>
      <c r="E910">
        <v>0.54305269999999894</v>
      </c>
      <c r="F910" t="s">
        <v>42</v>
      </c>
      <c r="G910">
        <v>-278.08550000000002</v>
      </c>
      <c r="H910" s="1">
        <v>-2.1922259999999998E-6</v>
      </c>
      <c r="I910">
        <v>363.77339999999998</v>
      </c>
      <c r="J910">
        <v>-321.57600000000002</v>
      </c>
      <c r="K910">
        <v>1.110082</v>
      </c>
      <c r="L910">
        <v>367.98829999999998</v>
      </c>
      <c r="M910">
        <v>0.99989939999999999</v>
      </c>
      <c r="N910">
        <v>0</v>
      </c>
      <c r="O910">
        <v>5.0441519999999997E-3</v>
      </c>
      <c r="P910">
        <v>0.98502120000000004</v>
      </c>
      <c r="Q910">
        <v>0.17185690000000001</v>
      </c>
      <c r="R910">
        <v>1.409756E-2</v>
      </c>
      <c r="S910">
        <v>3.0636290000000002</v>
      </c>
      <c r="T910">
        <v>-7.7884789999999995E-2</v>
      </c>
      <c r="U910">
        <v>-0.29565429999999998</v>
      </c>
      <c r="V910">
        <v>-9.0739589999999995E-3</v>
      </c>
      <c r="W910">
        <v>0.18490329999999999</v>
      </c>
      <c r="X910">
        <v>0.9827148</v>
      </c>
      <c r="Y910">
        <v>0.10104440000000001</v>
      </c>
      <c r="Z910">
        <v>-1.4091489999999999E-3</v>
      </c>
      <c r="AA910">
        <v>0.99488089999999996</v>
      </c>
      <c r="AB910">
        <v>34</v>
      </c>
      <c r="AC910">
        <v>43.490499999999898</v>
      </c>
      <c r="AD910">
        <v>-1.1100841922260001</v>
      </c>
      <c r="AE910">
        <v>-4.2149000000000001</v>
      </c>
      <c r="AF910">
        <v>4.4313781064043098</v>
      </c>
      <c r="AG910">
        <v>-1.1100841922260001</v>
      </c>
      <c r="AH910">
        <v>43.440645375029199</v>
      </c>
      <c r="AI910">
        <v>91.456266249048696</v>
      </c>
      <c r="AJ910">
        <v>84.175408204506596</v>
      </c>
      <c r="AK910">
        <v>43.6801908127104</v>
      </c>
      <c r="AL910">
        <v>79.344505073811604</v>
      </c>
      <c r="AM910">
        <v>90.529029154351804</v>
      </c>
      <c r="AN910">
        <v>0.99999997261093099</v>
      </c>
    </row>
    <row r="911" spans="1:40" x14ac:dyDescent="0.25">
      <c r="A911" t="str">
        <f>"20190312172107637"</f>
        <v>20190312172107637</v>
      </c>
      <c r="B911" t="str">
        <f>"1552382467632758"</f>
        <v>1552382467632758</v>
      </c>
      <c r="C911" t="s">
        <v>40</v>
      </c>
      <c r="D911">
        <v>3.2687400000000002</v>
      </c>
      <c r="E911">
        <v>0.54322109999999901</v>
      </c>
      <c r="F911" t="s">
        <v>42</v>
      </c>
      <c r="G911">
        <v>-278.80099999999999</v>
      </c>
      <c r="H911" s="1">
        <v>-1.9269830000000001E-6</v>
      </c>
      <c r="I911">
        <v>363.85520000000002</v>
      </c>
      <c r="J911">
        <v>-321.40100000000001</v>
      </c>
      <c r="K911">
        <v>1.11008</v>
      </c>
      <c r="L911">
        <v>367.98899999999998</v>
      </c>
      <c r="M911">
        <v>0.99989989999999995</v>
      </c>
      <c r="N911">
        <v>0</v>
      </c>
      <c r="O911">
        <v>4.9874759999999898E-3</v>
      </c>
      <c r="P911">
        <v>0.98502239999999996</v>
      </c>
      <c r="Q911">
        <v>0.17184820000000001</v>
      </c>
      <c r="R911">
        <v>1.411139E-2</v>
      </c>
      <c r="S911">
        <v>3.0636899999999998</v>
      </c>
      <c r="T911">
        <v>-7.9507830000000002E-2</v>
      </c>
      <c r="U911">
        <v>-0.29602050000000002</v>
      </c>
      <c r="V911">
        <v>-9.1428580000000002E-3</v>
      </c>
      <c r="W911">
        <v>0.184894</v>
      </c>
      <c r="X911">
        <v>0.98271600000000003</v>
      </c>
      <c r="Y911">
        <v>0.1011025</v>
      </c>
      <c r="Z911">
        <v>-1.4377529999999999E-3</v>
      </c>
      <c r="AA911">
        <v>0.99487499999999995</v>
      </c>
      <c r="AB911">
        <v>34</v>
      </c>
      <c r="AC911">
        <v>42.6</v>
      </c>
      <c r="AD911">
        <v>-1.110081926983</v>
      </c>
      <c r="AE911">
        <v>-4.1337999999999999</v>
      </c>
      <c r="AF911">
        <v>4.3433119409454504</v>
      </c>
      <c r="AG911">
        <v>-1.110081926983</v>
      </c>
      <c r="AH911">
        <v>42.5502275515517</v>
      </c>
      <c r="AI911">
        <v>91.486714155985297</v>
      </c>
      <c r="AJ911">
        <v>84.171722960273399</v>
      </c>
      <c r="AK911">
        <v>42.785727821199899</v>
      </c>
      <c r="AL911">
        <v>79.345048214034406</v>
      </c>
      <c r="AM911">
        <v>90.533045215973502</v>
      </c>
      <c r="AN911">
        <v>1.0000000598722001</v>
      </c>
    </row>
    <row r="912" spans="1:40" x14ac:dyDescent="0.25">
      <c r="A912" t="str">
        <f>"20190312172107649"</f>
        <v>20190312172107649</v>
      </c>
      <c r="B912" t="str">
        <f>"1552382467642518"</f>
        <v>1552382467642518</v>
      </c>
      <c r="C912" t="s">
        <v>40</v>
      </c>
      <c r="D912">
        <v>3.2610579999999998</v>
      </c>
      <c r="E912">
        <v>0.54331989999999997</v>
      </c>
      <c r="F912" t="s">
        <v>42</v>
      </c>
      <c r="G912">
        <v>-278.6497</v>
      </c>
      <c r="H912" s="1">
        <v>-1.9824790000000001E-6</v>
      </c>
      <c r="I912">
        <v>363.84010000000001</v>
      </c>
      <c r="J912">
        <v>-321.22469999999998</v>
      </c>
      <c r="K912">
        <v>1.109985</v>
      </c>
      <c r="L912">
        <v>367.98989999999998</v>
      </c>
      <c r="M912">
        <v>0.99990460000000003</v>
      </c>
      <c r="N912">
        <v>0</v>
      </c>
      <c r="O912">
        <v>4.9281000000000004E-3</v>
      </c>
      <c r="P912">
        <v>0.98496280000000003</v>
      </c>
      <c r="Q912">
        <v>0.17219619999999999</v>
      </c>
      <c r="R912">
        <v>1.402669E-2</v>
      </c>
      <c r="S912">
        <v>3.0637819999999998</v>
      </c>
      <c r="T912">
        <v>-7.9554199999999894E-2</v>
      </c>
      <c r="U912">
        <v>-0.29733280000000001</v>
      </c>
      <c r="V912">
        <v>-9.1175519999999993E-3</v>
      </c>
      <c r="W912">
        <v>0.1848958</v>
      </c>
      <c r="X912">
        <v>0.98271580000000003</v>
      </c>
      <c r="Y912">
        <v>0.1014626</v>
      </c>
      <c r="Z912">
        <v>-1.4416419999999999E-3</v>
      </c>
      <c r="AA912">
        <v>0.99483829999999995</v>
      </c>
      <c r="AB912">
        <v>34</v>
      </c>
      <c r="AC912">
        <v>42.574999999999903</v>
      </c>
      <c r="AD912">
        <v>-1.1099869824789901</v>
      </c>
      <c r="AE912">
        <v>-4.1497999999999697</v>
      </c>
      <c r="AF912">
        <v>4.3566475198854704</v>
      </c>
      <c r="AG912">
        <v>-1.1099869824789901</v>
      </c>
      <c r="AH912">
        <v>42.525397490415202</v>
      </c>
      <c r="AI912">
        <v>91.4873985135646</v>
      </c>
      <c r="AJ912">
        <v>84.150561966764798</v>
      </c>
      <c r="AK912">
        <v>42.762388619341699</v>
      </c>
      <c r="AL912">
        <v>79.344942250557494</v>
      </c>
      <c r="AM912">
        <v>90.531570023198199</v>
      </c>
      <c r="AN912">
        <v>0.99999996509087496</v>
      </c>
    </row>
    <row r="913" spans="1:40" x14ac:dyDescent="0.25">
      <c r="A913" t="str">
        <f>"20190312172107661"</f>
        <v>20190312172107661</v>
      </c>
      <c r="B913" t="str">
        <f>"1552382467652278"</f>
        <v>1552382467652278</v>
      </c>
      <c r="C913" t="s">
        <v>40</v>
      </c>
      <c r="D913">
        <v>3.2487210000000002</v>
      </c>
      <c r="E913">
        <v>0.54339099999999996</v>
      </c>
      <c r="F913" t="s">
        <v>42</v>
      </c>
      <c r="G913">
        <v>-277.94450000000001</v>
      </c>
      <c r="H913" s="1">
        <v>-2.2402569999999998E-6</v>
      </c>
      <c r="I913">
        <v>363.77319999999997</v>
      </c>
      <c r="J913">
        <v>-321.04649999999998</v>
      </c>
      <c r="K913">
        <v>1.109858</v>
      </c>
      <c r="L913">
        <v>367.9907</v>
      </c>
      <c r="M913">
        <v>0.99991050000000004</v>
      </c>
      <c r="N913">
        <v>0</v>
      </c>
      <c r="O913">
        <v>4.867082E-3</v>
      </c>
      <c r="P913">
        <v>0.9849542</v>
      </c>
      <c r="Q913">
        <v>0.1722496</v>
      </c>
      <c r="R913">
        <v>1.3979220000000001E-2</v>
      </c>
      <c r="S913">
        <v>3.0637819999999998</v>
      </c>
      <c r="T913">
        <v>-7.8575249999999999E-2</v>
      </c>
      <c r="U913">
        <v>-0.29849239999999999</v>
      </c>
      <c r="V913">
        <v>-9.130862E-3</v>
      </c>
      <c r="W913">
        <v>0.18451809999999999</v>
      </c>
      <c r="X913">
        <v>0.98278670000000001</v>
      </c>
      <c r="Y913">
        <v>0.1017757</v>
      </c>
      <c r="Z913">
        <v>-1.426325E-3</v>
      </c>
      <c r="AA913">
        <v>0.99480630000000003</v>
      </c>
      <c r="AB913">
        <v>34</v>
      </c>
      <c r="AC913">
        <v>43.101999999999897</v>
      </c>
      <c r="AD913">
        <v>-1.1098602402569999</v>
      </c>
      <c r="AE913">
        <v>-4.2175000000000296</v>
      </c>
      <c r="AF913">
        <v>4.4243415905833796</v>
      </c>
      <c r="AG913">
        <v>-1.1098602402569999</v>
      </c>
      <c r="AH913">
        <v>43.052685828676502</v>
      </c>
      <c r="AI913">
        <v>91.468974575634107</v>
      </c>
      <c r="AJ913">
        <v>84.132553317677804</v>
      </c>
      <c r="AK913">
        <v>43.293652483081097</v>
      </c>
      <c r="AL913">
        <v>79.366962115848096</v>
      </c>
      <c r="AM913">
        <v>90.532307573825804</v>
      </c>
      <c r="AN913">
        <v>0.99999999978268095</v>
      </c>
    </row>
    <row r="914" spans="1:40" x14ac:dyDescent="0.25">
      <c r="A914" t="str">
        <f>"20190312172107672"</f>
        <v>20190312172107672</v>
      </c>
      <c r="B914" t="str">
        <f>"1552382467662038"</f>
        <v>1552382467662038</v>
      </c>
      <c r="C914" t="s">
        <v>40</v>
      </c>
      <c r="D914">
        <v>3.2622260000000001</v>
      </c>
      <c r="E914">
        <v>0.54349169999999902</v>
      </c>
      <c r="F914" t="s">
        <v>42</v>
      </c>
      <c r="G914">
        <v>-277.69200000000001</v>
      </c>
      <c r="H914" s="1">
        <v>-2.329718E-6</v>
      </c>
      <c r="I914">
        <v>363.75990000000002</v>
      </c>
      <c r="J914">
        <v>-320.85849999999999</v>
      </c>
      <c r="K914">
        <v>1.109712</v>
      </c>
      <c r="L914">
        <v>367.99149999999997</v>
      </c>
      <c r="M914">
        <v>0.99991509999999995</v>
      </c>
      <c r="N914">
        <v>0</v>
      </c>
      <c r="O914">
        <v>4.8009089999999999E-3</v>
      </c>
      <c r="P914">
        <v>0.98494429999999999</v>
      </c>
      <c r="Q914">
        <v>0.1723073</v>
      </c>
      <c r="R914">
        <v>1.39706E-2</v>
      </c>
      <c r="S914">
        <v>3.063812</v>
      </c>
      <c r="T914">
        <v>-7.8432440000000006E-2</v>
      </c>
      <c r="U914">
        <v>-0.29898069999999999</v>
      </c>
      <c r="V914">
        <v>-9.1880759999999999E-3</v>
      </c>
      <c r="W914">
        <v>0.18422849999999999</v>
      </c>
      <c r="X914">
        <v>0.98284050000000001</v>
      </c>
      <c r="Y914">
        <v>0.101866</v>
      </c>
      <c r="Z914">
        <v>-1.423171E-3</v>
      </c>
      <c r="AA914">
        <v>0.99479709999999999</v>
      </c>
      <c r="AB914">
        <v>35</v>
      </c>
      <c r="AC914">
        <v>43.1664999999999</v>
      </c>
      <c r="AD914">
        <v>-1.1097143297180001</v>
      </c>
      <c r="AE914">
        <v>-4.2315999999999496</v>
      </c>
      <c r="AF914">
        <v>4.4359011364274297</v>
      </c>
      <c r="AG914">
        <v>-1.1097143297180001</v>
      </c>
      <c r="AH914">
        <v>43.117460806147101</v>
      </c>
      <c r="AI914">
        <v>91.466559004521201</v>
      </c>
      <c r="AJ914">
        <v>84.126106361448905</v>
      </c>
      <c r="AK914">
        <v>43.359244817632202</v>
      </c>
      <c r="AL914">
        <v>79.3838444514016</v>
      </c>
      <c r="AM914">
        <v>90.535613501436004</v>
      </c>
      <c r="AN914">
        <v>1.00000000469654</v>
      </c>
    </row>
    <row r="915" spans="1:40" x14ac:dyDescent="0.25">
      <c r="A915" t="str">
        <f>"20190312172107686"</f>
        <v>20190312172107686</v>
      </c>
      <c r="B915" t="str">
        <f>"1552382467682535"</f>
        <v>1552382467682535</v>
      </c>
      <c r="C915" t="s">
        <v>40</v>
      </c>
      <c r="D915">
        <v>3.246353</v>
      </c>
      <c r="E915">
        <v>0.54371859999999905</v>
      </c>
      <c r="F915" t="s">
        <v>42</v>
      </c>
      <c r="G915">
        <v>-277.53269999999998</v>
      </c>
      <c r="H915" s="1">
        <v>-2.3866280000000001E-6</v>
      </c>
      <c r="I915">
        <v>363.74979999999999</v>
      </c>
      <c r="J915">
        <v>-320.67320000000001</v>
      </c>
      <c r="K915">
        <v>1.1095630000000001</v>
      </c>
      <c r="L915">
        <v>367.99239999999998</v>
      </c>
      <c r="M915">
        <v>0.99991799999999997</v>
      </c>
      <c r="N915">
        <v>0</v>
      </c>
      <c r="O915">
        <v>4.7344379999999997E-3</v>
      </c>
      <c r="P915">
        <v>0.98491169999999995</v>
      </c>
      <c r="Q915">
        <v>0.172483</v>
      </c>
      <c r="R915">
        <v>1.409203E-2</v>
      </c>
      <c r="S915">
        <v>3.063812</v>
      </c>
      <c r="T915">
        <v>-7.8474039999999995E-2</v>
      </c>
      <c r="U915">
        <v>-0.29995729999999998</v>
      </c>
      <c r="V915">
        <v>-9.3755899999999996E-3</v>
      </c>
      <c r="W915">
        <v>0.184199</v>
      </c>
      <c r="X915">
        <v>0.98284419999999995</v>
      </c>
      <c r="Y915">
        <v>0.10211389999999999</v>
      </c>
      <c r="Z915">
        <v>-1.4253709999999999E-3</v>
      </c>
      <c r="AA915">
        <v>0.99477170000000004</v>
      </c>
      <c r="AB915">
        <v>35</v>
      </c>
      <c r="AC915">
        <v>43.140500000000003</v>
      </c>
      <c r="AD915">
        <v>-1.10956538662799</v>
      </c>
      <c r="AE915">
        <v>-4.2425999999999799</v>
      </c>
      <c r="AF915">
        <v>4.4439014068059004</v>
      </c>
      <c r="AG915">
        <v>-1.10956538662799</v>
      </c>
      <c r="AH915">
        <v>43.091696210597398</v>
      </c>
      <c r="AI915">
        <v>91.467201663993393</v>
      </c>
      <c r="AJ915">
        <v>84.112093312006095</v>
      </c>
      <c r="AK915">
        <v>43.3344398529279</v>
      </c>
      <c r="AL915">
        <v>79.385563491289304</v>
      </c>
      <c r="AM915">
        <v>90.546541806249394</v>
      </c>
      <c r="AN915">
        <v>0.99999994738124198</v>
      </c>
    </row>
    <row r="916" spans="1:40" x14ac:dyDescent="0.25">
      <c r="A916" t="str">
        <f>"20190312172107701"</f>
        <v>20190312172107701</v>
      </c>
      <c r="B916" t="str">
        <f>"1552382467692294"</f>
        <v>1552382467692294</v>
      </c>
      <c r="C916" t="s">
        <v>40</v>
      </c>
      <c r="D916">
        <v>3.2280419999999999</v>
      </c>
      <c r="E916">
        <v>0.54383199999999998</v>
      </c>
      <c r="F916" t="s">
        <v>42</v>
      </c>
      <c r="G916">
        <v>-277.11250000000001</v>
      </c>
      <c r="H916" s="1">
        <v>-2.541825E-6</v>
      </c>
      <c r="I916">
        <v>363.70389999999998</v>
      </c>
      <c r="J916">
        <v>-320.4314</v>
      </c>
      <c r="K916">
        <v>1.109367</v>
      </c>
      <c r="L916">
        <v>367.99340000000001</v>
      </c>
      <c r="M916">
        <v>0.99991819999999998</v>
      </c>
      <c r="N916">
        <v>0</v>
      </c>
      <c r="O916">
        <v>4.6456789999999998E-3</v>
      </c>
      <c r="P916">
        <v>0.98492930000000001</v>
      </c>
      <c r="Q916">
        <v>0.1723867</v>
      </c>
      <c r="R916">
        <v>1.404265E-2</v>
      </c>
      <c r="S916">
        <v>3.063965</v>
      </c>
      <c r="T916">
        <v>-7.8044299999999997E-2</v>
      </c>
      <c r="U916">
        <v>-0.30163570000000001</v>
      </c>
      <c r="V916">
        <v>-9.4132190000000004E-3</v>
      </c>
      <c r="W916">
        <v>0.18412210000000001</v>
      </c>
      <c r="X916">
        <v>0.98285829999999996</v>
      </c>
      <c r="Y916">
        <v>0.10256079999999999</v>
      </c>
      <c r="Z916">
        <v>-1.4208809999999999E-3</v>
      </c>
      <c r="AA916">
        <v>0.99472570000000005</v>
      </c>
      <c r="AB916">
        <v>35</v>
      </c>
      <c r="AC916">
        <v>43.3188999999999</v>
      </c>
      <c r="AD916">
        <v>-1.109369541825</v>
      </c>
      <c r="AE916">
        <v>-4.2895000000000296</v>
      </c>
      <c r="AF916">
        <v>4.4877990025908803</v>
      </c>
      <c r="AG916">
        <v>-1.109369541825</v>
      </c>
      <c r="AH916">
        <v>43.270400527977998</v>
      </c>
      <c r="AI916">
        <v>91.460799101482195</v>
      </c>
      <c r="AJ916">
        <v>84.078726613251902</v>
      </c>
      <c r="AK916">
        <v>43.516647418196499</v>
      </c>
      <c r="AL916">
        <v>79.390046742637495</v>
      </c>
      <c r="AM916">
        <v>90.548727350352905</v>
      </c>
      <c r="AN916">
        <v>0.99999999713962096</v>
      </c>
    </row>
    <row r="917" spans="1:40" x14ac:dyDescent="0.25">
      <c r="A917" t="str">
        <f>"20190312172107712"</f>
        <v>20190312172107712</v>
      </c>
      <c r="B917" t="str">
        <f>"1552382467702054"</f>
        <v>1552382467702054</v>
      </c>
      <c r="C917" t="s">
        <v>40</v>
      </c>
      <c r="D917">
        <v>3.2641390000000001</v>
      </c>
      <c r="E917">
        <v>0.54396409999999995</v>
      </c>
      <c r="F917" t="s">
        <v>42</v>
      </c>
      <c r="G917">
        <v>-277.0206</v>
      </c>
      <c r="H917" s="1">
        <v>-2.5720110000000002E-6</v>
      </c>
      <c r="I917">
        <v>363.70800000000003</v>
      </c>
      <c r="J917">
        <v>-320.23540000000003</v>
      </c>
      <c r="K917">
        <v>1.1091299999999999</v>
      </c>
      <c r="L917">
        <v>367.99430000000001</v>
      </c>
      <c r="M917">
        <v>0.99991509999999995</v>
      </c>
      <c r="N917">
        <v>0</v>
      </c>
      <c r="O917">
        <v>4.5747590000000003E-3</v>
      </c>
      <c r="P917">
        <v>0.98500869999999996</v>
      </c>
      <c r="Q917">
        <v>0.1719242</v>
      </c>
      <c r="R917">
        <v>1.4150370000000001E-2</v>
      </c>
      <c r="S917">
        <v>3.0639340000000002</v>
      </c>
      <c r="T917">
        <v>-7.8299160000000007E-2</v>
      </c>
      <c r="U917">
        <v>-0.3024597</v>
      </c>
      <c r="V917">
        <v>-9.5902369999999997E-3</v>
      </c>
      <c r="W917">
        <v>0.18394070000000001</v>
      </c>
      <c r="X917">
        <v>0.9828905</v>
      </c>
      <c r="Y917">
        <v>0.1027559</v>
      </c>
      <c r="Z917">
        <v>-1.426194E-3</v>
      </c>
      <c r="AA917">
        <v>0.99470559999999997</v>
      </c>
      <c r="AB917">
        <v>35</v>
      </c>
      <c r="AC917">
        <v>43.214799999999997</v>
      </c>
      <c r="AD917">
        <v>-1.1091325720109999</v>
      </c>
      <c r="AE917">
        <v>-4.2862999999999802</v>
      </c>
      <c r="AF917">
        <v>4.4810441477689098</v>
      </c>
      <c r="AG917">
        <v>-1.1091325720109999</v>
      </c>
      <c r="AH917">
        <v>43.166579725577598</v>
      </c>
      <c r="AI917">
        <v>91.463984353509503</v>
      </c>
      <c r="AJ917">
        <v>84.073456898944897</v>
      </c>
      <c r="AK917">
        <v>43.4127116973957</v>
      </c>
      <c r="AL917">
        <v>79.400620232368894</v>
      </c>
      <c r="AM917">
        <v>90.559027346719503</v>
      </c>
      <c r="AN917">
        <v>0.99999994437622597</v>
      </c>
    </row>
    <row r="918" spans="1:40" x14ac:dyDescent="0.25">
      <c r="A918" t="str">
        <f>"20190312172107727"</f>
        <v>20190312172107727</v>
      </c>
      <c r="B918" t="str">
        <f>"1552382467722550"</f>
        <v>1552382467722550</v>
      </c>
      <c r="C918" t="s">
        <v>40</v>
      </c>
      <c r="D918">
        <v>3.240796</v>
      </c>
      <c r="E918">
        <v>0.54409680000000005</v>
      </c>
      <c r="F918" t="s">
        <v>42</v>
      </c>
      <c r="G918">
        <v>-277.38490000000002</v>
      </c>
      <c r="H918" s="1">
        <v>-2.4355070000000002E-6</v>
      </c>
      <c r="I918">
        <v>363.7552</v>
      </c>
      <c r="J918">
        <v>-320.01679999999999</v>
      </c>
      <c r="K918">
        <v>1.1087959999999999</v>
      </c>
      <c r="L918">
        <v>367.99520000000001</v>
      </c>
      <c r="M918">
        <v>0.99991050000000004</v>
      </c>
      <c r="N918">
        <v>0</v>
      </c>
      <c r="O918">
        <v>4.4962609999999997E-3</v>
      </c>
      <c r="P918">
        <v>0.98513729999999999</v>
      </c>
      <c r="Q918">
        <v>0.17118939999999999</v>
      </c>
      <c r="R918">
        <v>1.4100949999999999E-2</v>
      </c>
      <c r="S918">
        <v>3.0638730000000001</v>
      </c>
      <c r="T918">
        <v>-7.9304459999999993E-2</v>
      </c>
      <c r="U918">
        <v>-0.3031006</v>
      </c>
      <c r="V918">
        <v>-9.6166250000000002E-3</v>
      </c>
      <c r="W918">
        <v>0.18360699999999999</v>
      </c>
      <c r="X918">
        <v>0.98295270000000001</v>
      </c>
      <c r="Y918">
        <v>0.1028849</v>
      </c>
      <c r="Z918">
        <v>-1.444152E-3</v>
      </c>
      <c r="AA918">
        <v>0.99469220000000003</v>
      </c>
      <c r="AB918">
        <v>35</v>
      </c>
      <c r="AC918">
        <v>42.631899999999902</v>
      </c>
      <c r="AD918">
        <v>-1.108798435507</v>
      </c>
      <c r="AE918">
        <v>-4.24</v>
      </c>
      <c r="AF918">
        <v>4.42869005712976</v>
      </c>
      <c r="AG918">
        <v>-1.108798435507</v>
      </c>
      <c r="AH918">
        <v>42.5838796066963</v>
      </c>
      <c r="AI918">
        <v>91.483532018706399</v>
      </c>
      <c r="AJ918">
        <v>84.062628387950298</v>
      </c>
      <c r="AK918">
        <v>42.827905995393998</v>
      </c>
      <c r="AL918">
        <v>79.420071816094406</v>
      </c>
      <c r="AM918">
        <v>90.560529969818603</v>
      </c>
      <c r="AN918">
        <v>1.00000001018134</v>
      </c>
    </row>
    <row r="919" spans="1:40" x14ac:dyDescent="0.25">
      <c r="A919" t="str">
        <f>"20190312172107738"</f>
        <v>20190312172107738</v>
      </c>
      <c r="B919" t="str">
        <f>"1552382467732310"</f>
        <v>1552382467732310</v>
      </c>
      <c r="C919" t="s">
        <v>40</v>
      </c>
      <c r="D919">
        <v>3.249072</v>
      </c>
      <c r="E919">
        <v>0.54405550000000003</v>
      </c>
      <c r="F919" t="s">
        <v>42</v>
      </c>
      <c r="G919">
        <v>-278.07029999999997</v>
      </c>
      <c r="H919" s="1">
        <v>-2.1835159999999999E-6</v>
      </c>
      <c r="I919">
        <v>363.82560000000001</v>
      </c>
      <c r="J919">
        <v>-319.839</v>
      </c>
      <c r="K919">
        <v>1.108465</v>
      </c>
      <c r="L919">
        <v>367.99599999999998</v>
      </c>
      <c r="M919">
        <v>0.99990540000000006</v>
      </c>
      <c r="N919">
        <v>0</v>
      </c>
      <c r="O919">
        <v>4.4333590000000004E-3</v>
      </c>
      <c r="P919">
        <v>0.98521740000000002</v>
      </c>
      <c r="Q919">
        <v>0.17072579999999901</v>
      </c>
      <c r="R919">
        <v>1.412242E-2</v>
      </c>
      <c r="S919">
        <v>3.06366</v>
      </c>
      <c r="T919">
        <v>-8.0983399999999997E-2</v>
      </c>
      <c r="U919">
        <v>-0.3045349</v>
      </c>
      <c r="V919">
        <v>-9.698768E-3</v>
      </c>
      <c r="W919">
        <v>0.18354280000000001</v>
      </c>
      <c r="X919">
        <v>0.9829639</v>
      </c>
      <c r="Y919">
        <v>0.10328859999999999</v>
      </c>
      <c r="Z919">
        <v>-1.4784479999999901E-3</v>
      </c>
      <c r="AA919">
        <v>0.99465029999999999</v>
      </c>
      <c r="AB919">
        <v>35</v>
      </c>
      <c r="AC919">
        <v>41.768700000000003</v>
      </c>
      <c r="AD919">
        <v>-1.108467183516</v>
      </c>
      <c r="AE919">
        <v>-4.1703999999999697</v>
      </c>
      <c r="AF919">
        <v>4.3525152290573201</v>
      </c>
      <c r="AG919">
        <v>-1.108467183516</v>
      </c>
      <c r="AH919">
        <v>41.720706082957598</v>
      </c>
      <c r="AI919">
        <v>91.513708199484</v>
      </c>
      <c r="AJ919">
        <v>84.044159152525907</v>
      </c>
      <c r="AK919">
        <v>41.961773131942898</v>
      </c>
      <c r="AL919">
        <v>79.423813978544999</v>
      </c>
      <c r="AM919">
        <v>90.565311137671301</v>
      </c>
      <c r="AN919">
        <v>1.0000000271178799</v>
      </c>
    </row>
    <row r="920" spans="1:40" x14ac:dyDescent="0.25">
      <c r="A920" t="str">
        <f>"20190312172107749"</f>
        <v>20190312172107749</v>
      </c>
      <c r="B920" t="str">
        <f>"1552382467742071"</f>
        <v>1552382467742071</v>
      </c>
      <c r="C920" t="s">
        <v>40</v>
      </c>
      <c r="D920">
        <v>3.2436250000000002</v>
      </c>
      <c r="E920">
        <v>0.54400159999999997</v>
      </c>
      <c r="F920" t="s">
        <v>42</v>
      </c>
      <c r="G920">
        <v>-278.65989999999999</v>
      </c>
      <c r="H920" s="1">
        <v>-1.9607339999999998E-6</v>
      </c>
      <c r="I920">
        <v>363.90879999999999</v>
      </c>
      <c r="J920">
        <v>-319.66180000000003</v>
      </c>
      <c r="K920">
        <v>1.108036</v>
      </c>
      <c r="L920">
        <v>367.99669999999998</v>
      </c>
      <c r="M920">
        <v>0.99989819999999996</v>
      </c>
      <c r="N920">
        <v>0</v>
      </c>
      <c r="O920">
        <v>4.3799319999999996E-3</v>
      </c>
      <c r="P920">
        <v>0.98535249999999996</v>
      </c>
      <c r="Q920">
        <v>0.16994690000000001</v>
      </c>
      <c r="R920">
        <v>1.41006E-2</v>
      </c>
      <c r="S920">
        <v>3.06366</v>
      </c>
      <c r="T920">
        <v>-8.2468029999999998E-2</v>
      </c>
      <c r="U920">
        <v>-0.30407709999999999</v>
      </c>
      <c r="V920">
        <v>-9.7272890000000001E-3</v>
      </c>
      <c r="W920">
        <v>0.18332670000000001</v>
      </c>
      <c r="X920">
        <v>0.98300390000000004</v>
      </c>
      <c r="Y920">
        <v>0.1030871</v>
      </c>
      <c r="Z920">
        <v>-1.501414E-3</v>
      </c>
      <c r="AA920">
        <v>0.99467119999999998</v>
      </c>
      <c r="AB920">
        <v>35</v>
      </c>
      <c r="AC920">
        <v>41.001899999999999</v>
      </c>
      <c r="AD920">
        <v>-1.1080379607340001</v>
      </c>
      <c r="AE920">
        <v>-4.0878999999999897</v>
      </c>
      <c r="AF920">
        <v>4.2643792517121604</v>
      </c>
      <c r="AG920">
        <v>-1.1080379607340001</v>
      </c>
      <c r="AH920">
        <v>40.953985937952403</v>
      </c>
      <c r="AI920">
        <v>91.541468317591907</v>
      </c>
      <c r="AJ920">
        <v>84.055435728391799</v>
      </c>
      <c r="AK920">
        <v>41.190310058688098</v>
      </c>
      <c r="AL920">
        <v>79.4364088465354</v>
      </c>
      <c r="AM920">
        <v>90.566950360484896</v>
      </c>
      <c r="AN920">
        <v>0.99999998324969397</v>
      </c>
    </row>
    <row r="921" spans="1:40" x14ac:dyDescent="0.25">
      <c r="A921" t="str">
        <f>"20190312172107761"</f>
        <v>20190312172107761</v>
      </c>
      <c r="B921" t="str">
        <f>"1552382467751831"</f>
        <v>1552382467751831</v>
      </c>
      <c r="C921" t="s">
        <v>40</v>
      </c>
      <c r="D921">
        <v>3.263709</v>
      </c>
      <c r="E921">
        <v>0.54400599999999999</v>
      </c>
      <c r="F921" t="s">
        <v>42</v>
      </c>
      <c r="G921">
        <v>-279.41919999999999</v>
      </c>
      <c r="H921" s="1">
        <v>-1.6773630000000001E-6</v>
      </c>
      <c r="I921">
        <v>364.0027</v>
      </c>
      <c r="J921">
        <v>-319.49259999999998</v>
      </c>
      <c r="K921">
        <v>1.107604</v>
      </c>
      <c r="L921">
        <v>367.99740000000003</v>
      </c>
      <c r="M921">
        <v>0.9998901</v>
      </c>
      <c r="N921">
        <v>0</v>
      </c>
      <c r="O921">
        <v>4.3309630000000002E-3</v>
      </c>
      <c r="P921">
        <v>0.98542989999999997</v>
      </c>
      <c r="Q921">
        <v>0.16949700000000001</v>
      </c>
      <c r="R921">
        <v>1.409607E-2</v>
      </c>
      <c r="S921">
        <v>3.0635379999999999</v>
      </c>
      <c r="T921">
        <v>-8.4350939999999999E-2</v>
      </c>
      <c r="U921">
        <v>-0.3040466</v>
      </c>
      <c r="V921">
        <v>-9.7692300000000003E-3</v>
      </c>
      <c r="W921">
        <v>0.18345839999999999</v>
      </c>
      <c r="X921">
        <v>0.98297889999999999</v>
      </c>
      <c r="Y921">
        <v>0.1030307</v>
      </c>
      <c r="Z921">
        <v>-1.533625E-3</v>
      </c>
      <c r="AA921">
        <v>0.99467700000000003</v>
      </c>
      <c r="AB921">
        <v>35</v>
      </c>
      <c r="AC921">
        <v>40.0733999999999</v>
      </c>
      <c r="AD921">
        <v>-1.1076056773630001</v>
      </c>
      <c r="AE921">
        <v>-3.9947000000000199</v>
      </c>
      <c r="AF921">
        <v>4.1650858288270403</v>
      </c>
      <c r="AG921">
        <v>-1.1076056773630001</v>
      </c>
      <c r="AH921">
        <v>40.025445358182999</v>
      </c>
      <c r="AI921">
        <v>91.576606169534898</v>
      </c>
      <c r="AJ921">
        <v>84.059129167337801</v>
      </c>
      <c r="AK921">
        <v>40.256813167697601</v>
      </c>
      <c r="AL921">
        <v>79.4287326642919</v>
      </c>
      <c r="AM921">
        <v>90.569409191300807</v>
      </c>
      <c r="AN921">
        <v>0.99999997011528097</v>
      </c>
    </row>
    <row r="922" spans="1:40" x14ac:dyDescent="0.25">
      <c r="A922" t="str">
        <f>"20190312172107772"</f>
        <v>20190312172107772</v>
      </c>
      <c r="B922" t="str">
        <f>"1552382467762566"</f>
        <v>1552382467762566</v>
      </c>
      <c r="C922" t="s">
        <v>40</v>
      </c>
      <c r="D922">
        <v>3.2487650000000001</v>
      </c>
      <c r="E922">
        <v>0.54395969999999905</v>
      </c>
      <c r="F922" t="s">
        <v>42</v>
      </c>
      <c r="G922">
        <v>-279.76659999999998</v>
      </c>
      <c r="H922" s="1">
        <v>-1.5453470000000001E-6</v>
      </c>
      <c r="I922">
        <v>364.05450000000002</v>
      </c>
      <c r="J922">
        <v>-319.31400000000002</v>
      </c>
      <c r="K922">
        <v>1.1070709999999999</v>
      </c>
      <c r="L922">
        <v>367.9982</v>
      </c>
      <c r="M922">
        <v>0.99987749999999997</v>
      </c>
      <c r="N922">
        <v>0</v>
      </c>
      <c r="O922">
        <v>4.2820430000000001E-3</v>
      </c>
      <c r="P922">
        <v>0.98556820000000001</v>
      </c>
      <c r="Q922">
        <v>0.1686966</v>
      </c>
      <c r="R922">
        <v>1.4046660000000001E-2</v>
      </c>
      <c r="S922">
        <v>3.0633849999999998</v>
      </c>
      <c r="T922">
        <v>-8.5410479999999997E-2</v>
      </c>
      <c r="U922">
        <v>-0.3040466</v>
      </c>
      <c r="V922">
        <v>-9.7662919999999993E-3</v>
      </c>
      <c r="W922">
        <v>0.18352679999999999</v>
      </c>
      <c r="X922">
        <v>0.98296620000000001</v>
      </c>
      <c r="Y922">
        <v>0.10298599999999999</v>
      </c>
      <c r="Z922">
        <v>-1.550977E-3</v>
      </c>
      <c r="AA922">
        <v>0.99468160000000005</v>
      </c>
      <c r="AB922">
        <v>35</v>
      </c>
      <c r="AC922">
        <v>39.547400000000003</v>
      </c>
      <c r="AD922">
        <v>-1.1070725453469901</v>
      </c>
      <c r="AE922">
        <v>-3.94369999999997</v>
      </c>
      <c r="AF922">
        <v>4.1098377778116504</v>
      </c>
      <c r="AG922">
        <v>-1.1070725453469901</v>
      </c>
      <c r="AH922">
        <v>39.4994997517421</v>
      </c>
      <c r="AI922">
        <v>91.596821835085706</v>
      </c>
      <c r="AJ922">
        <v>84.0598720017734</v>
      </c>
      <c r="AK922">
        <v>39.728162011581396</v>
      </c>
      <c r="AL922">
        <v>79.424746353912099</v>
      </c>
      <c r="AM922">
        <v>90.5692453124623</v>
      </c>
      <c r="AN922">
        <v>1.00000000856005</v>
      </c>
    </row>
    <row r="923" spans="1:40" x14ac:dyDescent="0.25">
      <c r="A923" t="str">
        <f>"20190312172107784"</f>
        <v>20190312172107784</v>
      </c>
      <c r="B923" t="str">
        <f>"1552382467772327"</f>
        <v>1552382467772327</v>
      </c>
      <c r="C923" t="s">
        <v>40</v>
      </c>
      <c r="D923">
        <v>3.2555939999999999</v>
      </c>
      <c r="E923">
        <v>0.54398059999999904</v>
      </c>
      <c r="F923" t="s">
        <v>43</v>
      </c>
      <c r="G923">
        <v>-279.11630000000002</v>
      </c>
      <c r="H923">
        <v>-0.05</v>
      </c>
      <c r="I923">
        <v>364.01319999999998</v>
      </c>
      <c r="J923">
        <v>-319.14499999999998</v>
      </c>
      <c r="K923">
        <v>1.1065400000000001</v>
      </c>
      <c r="L923">
        <v>367.99880000000002</v>
      </c>
      <c r="M923">
        <v>0.99986390000000003</v>
      </c>
      <c r="N923">
        <v>0</v>
      </c>
      <c r="O923">
        <v>4.234949E-3</v>
      </c>
      <c r="P923">
        <v>0.9856895</v>
      </c>
      <c r="Q923">
        <v>0.16799169999999999</v>
      </c>
      <c r="R923">
        <v>1.3979510000000001E-2</v>
      </c>
      <c r="S923">
        <v>3.0632929999999998</v>
      </c>
      <c r="T923">
        <v>-8.8175299999999998E-2</v>
      </c>
      <c r="U923">
        <v>-0.30368040000000002</v>
      </c>
      <c r="V923">
        <v>-9.7439610000000006E-3</v>
      </c>
      <c r="W923">
        <v>0.18368989999999999</v>
      </c>
      <c r="X923">
        <v>0.98293600000000003</v>
      </c>
      <c r="Y923">
        <v>0.1028217</v>
      </c>
      <c r="Z923">
        <v>-1.5975119999999999E-3</v>
      </c>
      <c r="AA923">
        <v>0.99469850000000004</v>
      </c>
      <c r="AB923">
        <v>35</v>
      </c>
      <c r="AC923">
        <v>40.028699999999901</v>
      </c>
      <c r="AD923">
        <v>-1.1565399999999999</v>
      </c>
      <c r="AE923">
        <v>-3.98560000000003</v>
      </c>
      <c r="AF923">
        <v>4.1516735450838098</v>
      </c>
      <c r="AG923">
        <v>-1.1565399999999999</v>
      </c>
      <c r="AH923">
        <v>39.978413945051798</v>
      </c>
      <c r="AI923">
        <v>91.648195223352801</v>
      </c>
      <c r="AJ923">
        <v>84.071206591869498</v>
      </c>
      <c r="AK923">
        <v>40.210043018609902</v>
      </c>
      <c r="AL923">
        <v>79.415240262253207</v>
      </c>
      <c r="AM923">
        <v>90.567961245172498</v>
      </c>
      <c r="AN923">
        <v>1.0000000521169801</v>
      </c>
    </row>
    <row r="924" spans="1:40" x14ac:dyDescent="0.25">
      <c r="A924" t="str">
        <f>"20190312172107794"</f>
        <v>20190312172107794</v>
      </c>
      <c r="B924" t="str">
        <f>"1552382467782086"</f>
        <v>1552382467782086</v>
      </c>
      <c r="C924" t="s">
        <v>40</v>
      </c>
      <c r="D924">
        <v>3.2697240000000001</v>
      </c>
      <c r="E924">
        <v>0.54403880000000004</v>
      </c>
      <c r="F924" t="s">
        <v>43</v>
      </c>
      <c r="G924">
        <v>-279.83969999999999</v>
      </c>
      <c r="H924">
        <v>-0.05</v>
      </c>
      <c r="I924">
        <v>364.09559999999999</v>
      </c>
      <c r="J924">
        <v>-318.97390000000001</v>
      </c>
      <c r="K924">
        <v>1.1059429999999999</v>
      </c>
      <c r="L924">
        <v>367.99950000000001</v>
      </c>
      <c r="M924">
        <v>0.99984779999999995</v>
      </c>
      <c r="N924">
        <v>0</v>
      </c>
      <c r="O924">
        <v>4.184849E-3</v>
      </c>
      <c r="P924">
        <v>0.98585809999999996</v>
      </c>
      <c r="Q924">
        <v>0.166998799999999</v>
      </c>
      <c r="R924">
        <v>1.396887E-2</v>
      </c>
      <c r="S924">
        <v>3.0632630000000001</v>
      </c>
      <c r="T924">
        <v>-9.0135099999999996E-2</v>
      </c>
      <c r="U924">
        <v>-0.3041992</v>
      </c>
      <c r="V924">
        <v>-9.7810020000000004E-3</v>
      </c>
      <c r="W924">
        <v>0.1836825</v>
      </c>
      <c r="X924">
        <v>0.98293699999999995</v>
      </c>
      <c r="Y924">
        <v>0.10293769999999999</v>
      </c>
      <c r="Z924">
        <v>-1.63324E-3</v>
      </c>
      <c r="AA924">
        <v>0.99468650000000003</v>
      </c>
      <c r="AB924">
        <v>34</v>
      </c>
      <c r="AC924">
        <v>39.1342</v>
      </c>
      <c r="AD924">
        <v>-1.1559429999999999</v>
      </c>
      <c r="AE924">
        <v>-3.9039000000000201</v>
      </c>
      <c r="AF924">
        <v>4.0641490326201</v>
      </c>
      <c r="AG924">
        <v>-1.1559429999999999</v>
      </c>
      <c r="AH924">
        <v>39.083753505464102</v>
      </c>
      <c r="AI924">
        <v>91.685008684979096</v>
      </c>
      <c r="AJ924">
        <v>84.063397994720304</v>
      </c>
      <c r="AK924">
        <v>39.311490682171701</v>
      </c>
      <c r="AL924">
        <v>79.415671432372406</v>
      </c>
      <c r="AM924">
        <v>90.570119588702795</v>
      </c>
      <c r="AN924">
        <v>1.0000000373876801</v>
      </c>
    </row>
    <row r="925" spans="1:40" x14ac:dyDescent="0.25">
      <c r="A925" t="str">
        <f>"20190312172107805"</f>
        <v>20190312172107805</v>
      </c>
      <c r="B925" t="str">
        <f>"1552382467802582"</f>
        <v>1552382467802582</v>
      </c>
      <c r="C925" t="s">
        <v>40</v>
      </c>
      <c r="D925">
        <v>3.228863</v>
      </c>
      <c r="E925">
        <v>0.54411769999999904</v>
      </c>
      <c r="F925" t="s">
        <v>43</v>
      </c>
      <c r="G925">
        <v>-281.02820000000003</v>
      </c>
      <c r="H925">
        <v>-0.05</v>
      </c>
      <c r="I925">
        <v>364.22480000000002</v>
      </c>
      <c r="J925">
        <v>-318.80689999999998</v>
      </c>
      <c r="K925">
        <v>1.1053189999999999</v>
      </c>
      <c r="L925">
        <v>368.00020000000001</v>
      </c>
      <c r="M925">
        <v>0.99983089999999997</v>
      </c>
      <c r="N925">
        <v>0</v>
      </c>
      <c r="O925">
        <v>4.1326640000000003E-3</v>
      </c>
      <c r="P925">
        <v>0.98601879999999997</v>
      </c>
      <c r="Q925">
        <v>0.16604730000000001</v>
      </c>
      <c r="R925">
        <v>1.397638E-2</v>
      </c>
      <c r="S925">
        <v>3.063202</v>
      </c>
      <c r="T925">
        <v>-9.3314649999999999E-2</v>
      </c>
      <c r="U925">
        <v>-0.30471799999999999</v>
      </c>
      <c r="V925">
        <v>-9.8390969999999998E-3</v>
      </c>
      <c r="W925">
        <v>0.1836942</v>
      </c>
      <c r="X925">
        <v>0.98293419999999998</v>
      </c>
      <c r="Y925">
        <v>0.1030513</v>
      </c>
      <c r="Z925">
        <v>-1.6909889999999999E-3</v>
      </c>
      <c r="AA925">
        <v>0.99467459999999996</v>
      </c>
      <c r="AB925">
        <v>34</v>
      </c>
      <c r="AC925">
        <v>37.778699999999901</v>
      </c>
      <c r="AD925">
        <v>-1.155319</v>
      </c>
      <c r="AE925">
        <v>-3.7753999999999901</v>
      </c>
      <c r="AF925">
        <v>3.9278824173338598</v>
      </c>
      <c r="AG925">
        <v>-1.155319</v>
      </c>
      <c r="AH925">
        <v>37.727837704192801</v>
      </c>
      <c r="AI925">
        <v>91.744565885796007</v>
      </c>
      <c r="AJ925">
        <v>84.056292934765196</v>
      </c>
      <c r="AK925">
        <v>37.949344659823403</v>
      </c>
      <c r="AL925">
        <v>79.414989112879496</v>
      </c>
      <c r="AM925">
        <v>90.573507265128995</v>
      </c>
      <c r="AN925">
        <v>1.00000000423652</v>
      </c>
    </row>
    <row r="926" spans="1:40" x14ac:dyDescent="0.25">
      <c r="A926" t="str">
        <f>"20190312172107816"</f>
        <v>20190312172107816</v>
      </c>
      <c r="B926" t="str">
        <f>"1552382467812344"</f>
        <v>1552382467812344</v>
      </c>
      <c r="C926" t="s">
        <v>40</v>
      </c>
      <c r="D926">
        <v>3.2405249999999999</v>
      </c>
      <c r="E926">
        <v>0.54414830000000003</v>
      </c>
      <c r="F926" t="s">
        <v>43</v>
      </c>
      <c r="G926">
        <v>-281.91300000000001</v>
      </c>
      <c r="H926">
        <v>-0.05</v>
      </c>
      <c r="I926">
        <v>364.32319999999999</v>
      </c>
      <c r="J926">
        <v>-318.63510000000002</v>
      </c>
      <c r="K926">
        <v>1.1046290000000001</v>
      </c>
      <c r="L926">
        <v>368.00080000000003</v>
      </c>
      <c r="M926">
        <v>0.9998127</v>
      </c>
      <c r="N926">
        <v>0</v>
      </c>
      <c r="O926">
        <v>4.0748759999999998E-3</v>
      </c>
      <c r="P926">
        <v>0.98615839999999999</v>
      </c>
      <c r="Q926">
        <v>0.16524269999999999</v>
      </c>
      <c r="R926">
        <v>1.36746E-2</v>
      </c>
      <c r="S926">
        <v>3.0630489999999999</v>
      </c>
      <c r="T926">
        <v>-9.5918180000000006E-2</v>
      </c>
      <c r="U926">
        <v>-0.30526730000000002</v>
      </c>
      <c r="V926">
        <v>-9.5936240000000002E-3</v>
      </c>
      <c r="W926">
        <v>0.18388209999999999</v>
      </c>
      <c r="X926">
        <v>0.98290149999999998</v>
      </c>
      <c r="Y926">
        <v>0.1031726</v>
      </c>
      <c r="Z926">
        <v>-1.7383079999999901E-3</v>
      </c>
      <c r="AA926">
        <v>0.99466189999999999</v>
      </c>
      <c r="AB926">
        <v>34</v>
      </c>
      <c r="AC926">
        <v>36.722099999999998</v>
      </c>
      <c r="AD926">
        <v>-1.1546289999999999</v>
      </c>
      <c r="AE926">
        <v>-3.6776000000000399</v>
      </c>
      <c r="AF926">
        <v>3.8234917992844402</v>
      </c>
      <c r="AG926">
        <v>-1.1546289999999999</v>
      </c>
      <c r="AH926">
        <v>36.670912914803701</v>
      </c>
      <c r="AI926">
        <v>91.793715452885806</v>
      </c>
      <c r="AJ926">
        <v>84.047564841411997</v>
      </c>
      <c r="AK926">
        <v>36.8877772666225</v>
      </c>
      <c r="AL926">
        <v>79.404036748676205</v>
      </c>
      <c r="AM926">
        <v>90.559218508718203</v>
      </c>
      <c r="AN926">
        <v>1.00000001151205</v>
      </c>
    </row>
    <row r="927" spans="1:40" x14ac:dyDescent="0.25">
      <c r="A927" t="str">
        <f>"20190312172107827"</f>
        <v>20190312172107827</v>
      </c>
      <c r="B927" t="str">
        <f>"1552382467822103"</f>
        <v>1552382467822103</v>
      </c>
      <c r="C927" t="s">
        <v>40</v>
      </c>
      <c r="D927">
        <v>3.2352539999999999</v>
      </c>
      <c r="E927">
        <v>0.54415000000000002</v>
      </c>
      <c r="F927" t="s">
        <v>43</v>
      </c>
      <c r="G927">
        <v>-282.60430000000002</v>
      </c>
      <c r="H927">
        <v>-0.05</v>
      </c>
      <c r="I927">
        <v>364.39890000000003</v>
      </c>
      <c r="J927">
        <v>-318.46210000000002</v>
      </c>
      <c r="K927">
        <v>1.1038509999999999</v>
      </c>
      <c r="L927">
        <v>368.00150000000002</v>
      </c>
      <c r="M927">
        <v>0.99979689999999999</v>
      </c>
      <c r="N927">
        <v>0</v>
      </c>
      <c r="O927">
        <v>4.0090009999999999E-3</v>
      </c>
      <c r="P927">
        <v>0.98632140000000001</v>
      </c>
      <c r="Q927">
        <v>0.1642721</v>
      </c>
      <c r="R927">
        <v>1.3600340000000001E-2</v>
      </c>
      <c r="S927">
        <v>3.0628359999999999</v>
      </c>
      <c r="T927">
        <v>-9.8150490000000007E-2</v>
      </c>
      <c r="U927">
        <v>-0.30618289999999998</v>
      </c>
      <c r="V927">
        <v>-9.5826609999999993E-3</v>
      </c>
      <c r="W927">
        <v>0.18372649999999999</v>
      </c>
      <c r="X927">
        <v>0.98293070000000005</v>
      </c>
      <c r="Y927">
        <v>0.10340580000000001</v>
      </c>
      <c r="Z927">
        <v>-1.7804629999999999E-3</v>
      </c>
      <c r="AA927">
        <v>0.99463769999999996</v>
      </c>
      <c r="AB927">
        <v>34</v>
      </c>
      <c r="AC927">
        <v>35.857799999999997</v>
      </c>
      <c r="AD927">
        <v>-1.153851</v>
      </c>
      <c r="AE927">
        <v>-3.60259999999999</v>
      </c>
      <c r="AF927">
        <v>3.74251655015444</v>
      </c>
      <c r="AG927">
        <v>-1.153851</v>
      </c>
      <c r="AH927">
        <v>35.806360636485103</v>
      </c>
      <c r="AI927">
        <v>91.835710334092198</v>
      </c>
      <c r="AJ927">
        <v>84.033053910357395</v>
      </c>
      <c r="AK927">
        <v>36.019900947787399</v>
      </c>
      <c r="AL927">
        <v>79.413106452510107</v>
      </c>
      <c r="AM927">
        <v>90.558562916201794</v>
      </c>
      <c r="AN927">
        <v>1.00000000759829</v>
      </c>
    </row>
    <row r="928" spans="1:40" x14ac:dyDescent="0.25">
      <c r="A928" t="str">
        <f>"20190312172107838"</f>
        <v>20190312172107838</v>
      </c>
      <c r="B928" t="str">
        <f>"1552382467831863"</f>
        <v>1552382467831863</v>
      </c>
      <c r="C928" t="s">
        <v>40</v>
      </c>
      <c r="D928">
        <v>3.2556970000000001</v>
      </c>
      <c r="E928">
        <v>0.54415000000000002</v>
      </c>
      <c r="F928" t="s">
        <v>43</v>
      </c>
      <c r="G928">
        <v>-283.42880000000002</v>
      </c>
      <c r="H928">
        <v>-0.05</v>
      </c>
      <c r="I928">
        <v>364.4932</v>
      </c>
      <c r="J928">
        <v>-318.29230000000001</v>
      </c>
      <c r="K928">
        <v>1.1030530000000001</v>
      </c>
      <c r="L928">
        <v>368.00209999999998</v>
      </c>
      <c r="M928">
        <v>0.99978239999999996</v>
      </c>
      <c r="N928">
        <v>0</v>
      </c>
      <c r="O928">
        <v>3.940776E-3</v>
      </c>
      <c r="P928">
        <v>0.98643210000000003</v>
      </c>
      <c r="Q928">
        <v>0.16361329999999999</v>
      </c>
      <c r="R928">
        <v>1.3504489999999999E-2</v>
      </c>
      <c r="S928">
        <v>3.0626530000000001</v>
      </c>
      <c r="T928">
        <v>-0.100871</v>
      </c>
      <c r="U928">
        <v>-0.30670170000000002</v>
      </c>
      <c r="V928">
        <v>-9.5534950000000004E-3</v>
      </c>
      <c r="W928">
        <v>0.18378510000000001</v>
      </c>
      <c r="X928">
        <v>0.98292009999999996</v>
      </c>
      <c r="Y928">
        <v>0.10350760000000001</v>
      </c>
      <c r="Z928">
        <v>-1.829312E-3</v>
      </c>
      <c r="AA928">
        <v>0.99462700000000004</v>
      </c>
      <c r="AB928">
        <v>34</v>
      </c>
      <c r="AC928">
        <v>34.863499999999902</v>
      </c>
      <c r="AD928">
        <v>-1.1530530000000001</v>
      </c>
      <c r="AE928">
        <v>-3.5088999999999801</v>
      </c>
      <c r="AF928">
        <v>3.6423466055485001</v>
      </c>
      <c r="AG928">
        <v>-1.1530530000000001</v>
      </c>
      <c r="AH928">
        <v>34.811701669908203</v>
      </c>
      <c r="AI928">
        <v>91.886797688254504</v>
      </c>
      <c r="AJ928">
        <v>84.026878952134098</v>
      </c>
      <c r="AK928">
        <v>35.020719483906198</v>
      </c>
      <c r="AL928">
        <v>79.409691507215101</v>
      </c>
      <c r="AM928">
        <v>90.556868973855501</v>
      </c>
      <c r="AN928">
        <v>1.00000007761636</v>
      </c>
    </row>
    <row r="929" spans="1:40" x14ac:dyDescent="0.25">
      <c r="A929" t="str">
        <f>"20190312172107850"</f>
        <v>20190312172107850</v>
      </c>
      <c r="B929" t="str">
        <f>"1552382467841622"</f>
        <v>1552382467841622</v>
      </c>
      <c r="C929" t="s">
        <v>40</v>
      </c>
      <c r="D929">
        <v>3.2504840000000002</v>
      </c>
      <c r="E929">
        <v>0.54415080000000005</v>
      </c>
      <c r="F929" t="s">
        <v>43</v>
      </c>
      <c r="G929">
        <v>-283.95440000000002</v>
      </c>
      <c r="H929">
        <v>-0.05</v>
      </c>
      <c r="I929">
        <v>364.55950000000001</v>
      </c>
      <c r="J929">
        <v>-318.12110000000001</v>
      </c>
      <c r="K929">
        <v>1.1021570000000001</v>
      </c>
      <c r="L929">
        <v>368.0027</v>
      </c>
      <c r="M929">
        <v>0.99977119999999997</v>
      </c>
      <c r="N929">
        <v>0</v>
      </c>
      <c r="O929">
        <v>3.8680699999999999E-3</v>
      </c>
      <c r="P929">
        <v>0.98652669999999998</v>
      </c>
      <c r="Q929">
        <v>0.1630566</v>
      </c>
      <c r="R929">
        <v>1.3337440000000001E-2</v>
      </c>
      <c r="S929">
        <v>3.0625309999999999</v>
      </c>
      <c r="T929">
        <v>-0.10283879999999999</v>
      </c>
      <c r="U929">
        <v>-0.30703740000000002</v>
      </c>
      <c r="V929">
        <v>-9.4564899999999997E-3</v>
      </c>
      <c r="W929">
        <v>0.18377669999999999</v>
      </c>
      <c r="X929">
        <v>0.98292259999999998</v>
      </c>
      <c r="Y929">
        <v>0.103545</v>
      </c>
      <c r="Z929">
        <v>-1.8632340000000001E-3</v>
      </c>
      <c r="AA929">
        <v>0.99462300000000003</v>
      </c>
      <c r="AB929">
        <v>34</v>
      </c>
      <c r="AC929">
        <v>34.166699999999899</v>
      </c>
      <c r="AD929">
        <v>-1.1521569999999901</v>
      </c>
      <c r="AE929">
        <v>-3.4431999999999898</v>
      </c>
      <c r="AF929">
        <v>3.57134235548933</v>
      </c>
      <c r="AG929">
        <v>-1.1521569999999901</v>
      </c>
      <c r="AH929">
        <v>34.114719311957302</v>
      </c>
      <c r="AI929">
        <v>91.923811091304103</v>
      </c>
      <c r="AJ929">
        <v>84.023687617151893</v>
      </c>
      <c r="AK929">
        <v>34.320489881503697</v>
      </c>
      <c r="AL929">
        <v>79.410181040454901</v>
      </c>
      <c r="AM929">
        <v>90.5512135443376</v>
      </c>
      <c r="AN929">
        <v>1.0000000691283799</v>
      </c>
    </row>
    <row r="930" spans="1:40" x14ac:dyDescent="0.25">
      <c r="A930" t="str">
        <f>"20190312172107861"</f>
        <v>20190312172107861</v>
      </c>
      <c r="B930" t="str">
        <f>"1552382467852358"</f>
        <v>1552382467852358</v>
      </c>
      <c r="C930" t="s">
        <v>40</v>
      </c>
      <c r="D930">
        <v>3.2200700000000002</v>
      </c>
      <c r="E930">
        <v>0.54419519999999899</v>
      </c>
      <c r="F930" t="s">
        <v>43</v>
      </c>
      <c r="G930">
        <v>-284.39519999999999</v>
      </c>
      <c r="H930">
        <v>-0.05</v>
      </c>
      <c r="I930">
        <v>364.61529999999999</v>
      </c>
      <c r="J930">
        <v>-317.95179999999999</v>
      </c>
      <c r="K930">
        <v>1.101251</v>
      </c>
      <c r="L930">
        <v>368.00330000000002</v>
      </c>
      <c r="M930">
        <v>0.99976039999999999</v>
      </c>
      <c r="N930">
        <v>0</v>
      </c>
      <c r="O930">
        <v>3.795882E-3</v>
      </c>
      <c r="P930">
        <v>0.98657459999999997</v>
      </c>
      <c r="Q930">
        <v>0.16277069999999999</v>
      </c>
      <c r="R930">
        <v>1.327412E-2</v>
      </c>
      <c r="S930">
        <v>3.062408</v>
      </c>
      <c r="T930">
        <v>-0.10461910000000001</v>
      </c>
      <c r="U930">
        <v>-0.30758669999999999</v>
      </c>
      <c r="V930">
        <v>-9.4626420000000003E-3</v>
      </c>
      <c r="W930">
        <v>0.184004</v>
      </c>
      <c r="X930">
        <v>0.98287990000000003</v>
      </c>
      <c r="Y930">
        <v>0.1036516</v>
      </c>
      <c r="Z930">
        <v>-1.894888E-3</v>
      </c>
      <c r="AA930">
        <v>0.99461189999999999</v>
      </c>
      <c r="AB930">
        <v>34</v>
      </c>
      <c r="AC930">
        <v>33.556600000000003</v>
      </c>
      <c r="AD930">
        <v>-1.151251</v>
      </c>
      <c r="AE930">
        <v>-3.3880000000000301</v>
      </c>
      <c r="AF930">
        <v>3.5112909241004702</v>
      </c>
      <c r="AG930">
        <v>-1.151251</v>
      </c>
      <c r="AH930">
        <v>33.504457187965102</v>
      </c>
      <c r="AI930">
        <v>91.957262701138404</v>
      </c>
      <c r="AJ930">
        <v>84.017201206203296</v>
      </c>
      <c r="AK930">
        <v>33.707613298464999</v>
      </c>
      <c r="AL930">
        <v>79.396930551255906</v>
      </c>
      <c r="AM930">
        <v>90.551596079736598</v>
      </c>
      <c r="AN930">
        <v>0.99999995571681399</v>
      </c>
    </row>
    <row r="931" spans="1:40" x14ac:dyDescent="0.25">
      <c r="A931" t="str">
        <f>"20190312172107871"</f>
        <v>20190312172107871</v>
      </c>
      <c r="B931" t="str">
        <f>"1552382467862119"</f>
        <v>1552382467862119</v>
      </c>
      <c r="C931" t="s">
        <v>40</v>
      </c>
      <c r="D931">
        <v>3.2594620000000001</v>
      </c>
      <c r="E931">
        <v>0.54426640000000004</v>
      </c>
      <c r="F931" t="s">
        <v>43</v>
      </c>
      <c r="G931">
        <v>-284.53559999999999</v>
      </c>
      <c r="H931">
        <v>-0.05</v>
      </c>
      <c r="I931">
        <v>364.63929999999999</v>
      </c>
      <c r="J931">
        <v>-317.77519999999998</v>
      </c>
      <c r="K931">
        <v>1.1002350000000001</v>
      </c>
      <c r="L931">
        <v>368.00389999999999</v>
      </c>
      <c r="M931">
        <v>0.99975099999999995</v>
      </c>
      <c r="N931">
        <v>0</v>
      </c>
      <c r="O931">
        <v>3.7227549999999999E-3</v>
      </c>
      <c r="P931">
        <v>0.98671070000000005</v>
      </c>
      <c r="Q931">
        <v>0.1619555</v>
      </c>
      <c r="R931">
        <v>1.3130920000000001E-2</v>
      </c>
      <c r="S931">
        <v>3.0623469999999999</v>
      </c>
      <c r="T931">
        <v>-0.105503399999999</v>
      </c>
      <c r="U931">
        <v>-0.30828860000000002</v>
      </c>
      <c r="V931">
        <v>-9.3887889999999998E-3</v>
      </c>
      <c r="W931">
        <v>0.1836323</v>
      </c>
      <c r="X931">
        <v>0.9829502</v>
      </c>
      <c r="Y931">
        <v>0.10380549999999999</v>
      </c>
      <c r="Z931">
        <v>-1.9110419999999999E-3</v>
      </c>
      <c r="AA931">
        <v>0.99459580000000003</v>
      </c>
      <c r="AB931">
        <v>34</v>
      </c>
      <c r="AC931">
        <v>33.239600000000003</v>
      </c>
      <c r="AD931">
        <v>-1.1502349999999999</v>
      </c>
      <c r="AE931">
        <v>-3.36459999999999</v>
      </c>
      <c r="AF931">
        <v>3.4842196184877299</v>
      </c>
      <c r="AG931">
        <v>-1.1502349999999999</v>
      </c>
      <c r="AH931">
        <v>33.187503236938703</v>
      </c>
      <c r="AI931">
        <v>91.974160273677199</v>
      </c>
      <c r="AJ931">
        <v>84.006706586929795</v>
      </c>
      <c r="AK931">
        <v>33.389716950086502</v>
      </c>
      <c r="AL931">
        <v>79.418597407522896</v>
      </c>
      <c r="AM931">
        <v>90.547252165923695</v>
      </c>
      <c r="AN931">
        <v>1.0000000333211001</v>
      </c>
    </row>
    <row r="932" spans="1:40" x14ac:dyDescent="0.25">
      <c r="A932" t="str">
        <f>"20190312172107884"</f>
        <v>20190312172107884</v>
      </c>
      <c r="B932" t="str">
        <f>"1552382467871878"</f>
        <v>1552382467871878</v>
      </c>
      <c r="C932" t="s">
        <v>40</v>
      </c>
      <c r="D932">
        <v>3.2284869999999999</v>
      </c>
      <c r="E932">
        <v>0.54433350000000003</v>
      </c>
      <c r="F932" t="s">
        <v>43</v>
      </c>
      <c r="G932">
        <v>-285.15710000000001</v>
      </c>
      <c r="H932">
        <v>-0.05</v>
      </c>
      <c r="I932">
        <v>364.71069999999997</v>
      </c>
      <c r="J932">
        <v>-317.59870000000001</v>
      </c>
      <c r="K932">
        <v>1.0991930000000001</v>
      </c>
      <c r="L932">
        <v>368.00450000000001</v>
      </c>
      <c r="M932">
        <v>0.99974200000000002</v>
      </c>
      <c r="N932">
        <v>0</v>
      </c>
      <c r="O932">
        <v>3.6505270000000002E-3</v>
      </c>
      <c r="P932">
        <v>0.98680129999999999</v>
      </c>
      <c r="Q932">
        <v>0.16140950000000001</v>
      </c>
      <c r="R932">
        <v>1.3054949999999999E-2</v>
      </c>
      <c r="S932">
        <v>3.0622560000000001</v>
      </c>
      <c r="T932">
        <v>-0.1079865</v>
      </c>
      <c r="U932">
        <v>-0.30917359999999999</v>
      </c>
      <c r="V932">
        <v>-9.381047E-3</v>
      </c>
      <c r="W932">
        <v>0.18350379999999999</v>
      </c>
      <c r="X932">
        <v>0.98297420000000002</v>
      </c>
      <c r="Y932">
        <v>0.1040181</v>
      </c>
      <c r="Z932">
        <v>-1.95722E-3</v>
      </c>
      <c r="AA932">
        <v>0.9945735</v>
      </c>
      <c r="AB932">
        <v>34</v>
      </c>
      <c r="AC932">
        <v>32.441599999999902</v>
      </c>
      <c r="AD932">
        <v>-1.1491929999999999</v>
      </c>
      <c r="AE932">
        <v>-3.2938000000000298</v>
      </c>
      <c r="AF932">
        <v>3.4080039531912401</v>
      </c>
      <c r="AG932">
        <v>-1.1491929999999999</v>
      </c>
      <c r="AH932">
        <v>32.389128756487203</v>
      </c>
      <c r="AI932">
        <v>92.020902123905998</v>
      </c>
      <c r="AJ932">
        <v>83.993405033113902</v>
      </c>
      <c r="AK932">
        <v>32.588200274033603</v>
      </c>
      <c r="AL932">
        <v>79.426086439429398</v>
      </c>
      <c r="AM932">
        <v>90.546787579215902</v>
      </c>
      <c r="AN932">
        <v>0.99999996326144702</v>
      </c>
    </row>
    <row r="933" spans="1:40" x14ac:dyDescent="0.25">
      <c r="A933" t="str">
        <f>"20190312172107896"</f>
        <v>20190312172107896</v>
      </c>
      <c r="B933" t="str">
        <f>"1552382467892374"</f>
        <v>1552382467892374</v>
      </c>
      <c r="C933" t="s">
        <v>40</v>
      </c>
      <c r="D933">
        <v>3.2369129999999999</v>
      </c>
      <c r="E933">
        <v>0.54443090000000005</v>
      </c>
      <c r="F933" t="s">
        <v>43</v>
      </c>
      <c r="G933">
        <v>-285.51150000000001</v>
      </c>
      <c r="H933">
        <v>-0.05</v>
      </c>
      <c r="I933">
        <v>364.75810000000001</v>
      </c>
      <c r="J933">
        <v>-317.41090000000003</v>
      </c>
      <c r="K933">
        <v>1.0980259999999999</v>
      </c>
      <c r="L933">
        <v>368.0052</v>
      </c>
      <c r="M933">
        <v>0.99973339999999999</v>
      </c>
      <c r="N933">
        <v>0</v>
      </c>
      <c r="O933">
        <v>3.5749409999999999E-3</v>
      </c>
      <c r="P933">
        <v>0.98689190000000004</v>
      </c>
      <c r="Q933">
        <v>0.16086810000000001</v>
      </c>
      <c r="R933">
        <v>1.289538E-2</v>
      </c>
      <c r="S933">
        <v>3.0621640000000001</v>
      </c>
      <c r="T933">
        <v>-0.1096703</v>
      </c>
      <c r="U933">
        <v>-0.30981449999999999</v>
      </c>
      <c r="V933">
        <v>-9.2927289999999996E-3</v>
      </c>
      <c r="W933">
        <v>0.18335099999999999</v>
      </c>
      <c r="X933">
        <v>0.98300359999999998</v>
      </c>
      <c r="Y933">
        <v>0.1041498</v>
      </c>
      <c r="Z933">
        <v>-1.987412E-3</v>
      </c>
      <c r="AA933">
        <v>0.99455959999999999</v>
      </c>
      <c r="AB933">
        <v>34</v>
      </c>
      <c r="AC933">
        <v>31.8994</v>
      </c>
      <c r="AD933">
        <v>-1.148026</v>
      </c>
      <c r="AE933">
        <v>-3.2470999999999801</v>
      </c>
      <c r="AF933">
        <v>3.35684418191574</v>
      </c>
      <c r="AG933">
        <v>-1.148026</v>
      </c>
      <c r="AH933">
        <v>31.846759779377098</v>
      </c>
      <c r="AI933">
        <v>92.053165007533806</v>
      </c>
      <c r="AJ933">
        <v>83.982891381939197</v>
      </c>
      <c r="AK933">
        <v>32.043758752738299</v>
      </c>
      <c r="AL933">
        <v>79.434992847125798</v>
      </c>
      <c r="AM933">
        <v>90.5416239493521</v>
      </c>
      <c r="AN933">
        <v>1.00000001081311</v>
      </c>
    </row>
    <row r="934" spans="1:40" x14ac:dyDescent="0.25">
      <c r="A934" t="str">
        <f>"20190312172107907"</f>
        <v>20190312172107907</v>
      </c>
      <c r="B934" t="str">
        <f>"1552382467902135"</f>
        <v>1552382467902135</v>
      </c>
      <c r="C934" t="s">
        <v>40</v>
      </c>
      <c r="D934">
        <v>3.2457090000000002</v>
      </c>
      <c r="E934">
        <v>0.54446410000000001</v>
      </c>
      <c r="F934" t="s">
        <v>43</v>
      </c>
      <c r="G934">
        <v>-285.9135</v>
      </c>
      <c r="H934">
        <v>-0.05</v>
      </c>
      <c r="I934">
        <v>364.80860000000001</v>
      </c>
      <c r="J934">
        <v>-317.24740000000003</v>
      </c>
      <c r="K934">
        <v>1.0969679999999999</v>
      </c>
      <c r="L934">
        <v>368.00569999999999</v>
      </c>
      <c r="M934">
        <v>0.99972709999999998</v>
      </c>
      <c r="N934">
        <v>0</v>
      </c>
      <c r="O934">
        <v>3.5097679999999999E-3</v>
      </c>
      <c r="P934">
        <v>0.98697579999999996</v>
      </c>
      <c r="Q934">
        <v>0.1603571</v>
      </c>
      <c r="R934">
        <v>1.283697E-2</v>
      </c>
      <c r="S934">
        <v>3.062103</v>
      </c>
      <c r="T934">
        <v>-0.1116086</v>
      </c>
      <c r="U934">
        <v>-0.3107605</v>
      </c>
      <c r="V934">
        <v>-9.296426E-3</v>
      </c>
      <c r="W934">
        <v>0.18311569999999999</v>
      </c>
      <c r="X934">
        <v>0.98304740000000002</v>
      </c>
      <c r="Y934">
        <v>0.1043886</v>
      </c>
      <c r="Z934">
        <v>-2.024493E-3</v>
      </c>
      <c r="AA934">
        <v>0.99453460000000005</v>
      </c>
      <c r="AB934">
        <v>34</v>
      </c>
      <c r="AC934">
        <v>31.3339</v>
      </c>
      <c r="AD934">
        <v>-1.146968</v>
      </c>
      <c r="AE934">
        <v>-3.1970999999999701</v>
      </c>
      <c r="AF934">
        <v>3.3027046485911198</v>
      </c>
      <c r="AG934">
        <v>-1.146968</v>
      </c>
      <c r="AH934">
        <v>31.2810011474755</v>
      </c>
      <c r="AI934">
        <v>92.088303702399301</v>
      </c>
      <c r="AJ934">
        <v>83.972937431613602</v>
      </c>
      <c r="AK934">
        <v>31.475775230758199</v>
      </c>
      <c r="AL934">
        <v>79.448706472127697</v>
      </c>
      <c r="AM934">
        <v>90.541815274660493</v>
      </c>
      <c r="AN934">
        <v>0.99999998688481095</v>
      </c>
    </row>
    <row r="935" spans="1:40" x14ac:dyDescent="0.25">
      <c r="A935" t="str">
        <f>"20190312172107918"</f>
        <v>20190312172107918</v>
      </c>
      <c r="B935" t="str">
        <f>"1552382467911894"</f>
        <v>1552382467911894</v>
      </c>
      <c r="C935" t="s">
        <v>40</v>
      </c>
      <c r="D935">
        <v>3.2306279999999998</v>
      </c>
      <c r="E935">
        <v>0.54452060000000002</v>
      </c>
      <c r="F935" t="s">
        <v>43</v>
      </c>
      <c r="G935">
        <v>-286.21480000000003</v>
      </c>
      <c r="H935">
        <v>-0.05</v>
      </c>
      <c r="I935">
        <v>364.85129999999998</v>
      </c>
      <c r="J935">
        <v>-317.06450000000001</v>
      </c>
      <c r="K935">
        <v>1.0957520000000001</v>
      </c>
      <c r="L935">
        <v>368.00630000000001</v>
      </c>
      <c r="M935">
        <v>0.99972119999999998</v>
      </c>
      <c r="N935">
        <v>0</v>
      </c>
      <c r="O935">
        <v>3.4375780000000002E-3</v>
      </c>
      <c r="P935">
        <v>0.98701510000000003</v>
      </c>
      <c r="Q935">
        <v>0.16011439999999999</v>
      </c>
      <c r="R935">
        <v>1.283276E-2</v>
      </c>
      <c r="S935">
        <v>3.0620120000000002</v>
      </c>
      <c r="T935">
        <v>-0.1131722</v>
      </c>
      <c r="U935">
        <v>-0.31124879999999999</v>
      </c>
      <c r="V935">
        <v>-9.3601369999999993E-3</v>
      </c>
      <c r="W935">
        <v>0.18313679999999999</v>
      </c>
      <c r="X935">
        <v>0.98304290000000005</v>
      </c>
      <c r="Y935">
        <v>0.1044747</v>
      </c>
      <c r="Z935">
        <v>-2.0518070000000001E-3</v>
      </c>
      <c r="AA935">
        <v>0.9945254</v>
      </c>
      <c r="AB935">
        <v>34</v>
      </c>
      <c r="AC935">
        <v>30.849699999999899</v>
      </c>
      <c r="AD935">
        <v>-1.1457520000000001</v>
      </c>
      <c r="AE935">
        <v>-3.1550000000000198</v>
      </c>
      <c r="AF935">
        <v>3.2566129832371802</v>
      </c>
      <c r="AG935">
        <v>-1.1457520000000001</v>
      </c>
      <c r="AH935">
        <v>30.796629003115001</v>
      </c>
      <c r="AI935">
        <v>92.118835961343606</v>
      </c>
      <c r="AJ935">
        <v>83.963647299409502</v>
      </c>
      <c r="AK935">
        <v>30.9895245804707</v>
      </c>
      <c r="AL935">
        <v>79.447477104619907</v>
      </c>
      <c r="AM935">
        <v>90.545530759268104</v>
      </c>
      <c r="AN935">
        <v>1.0000000214596501</v>
      </c>
    </row>
    <row r="936" spans="1:40" x14ac:dyDescent="0.25">
      <c r="A936" t="str">
        <f>"20190312172107930"</f>
        <v>20190312172107930</v>
      </c>
      <c r="B936" t="str">
        <f>"1552382467921654"</f>
        <v>1552382467921654</v>
      </c>
      <c r="C936" t="s">
        <v>40</v>
      </c>
      <c r="D936">
        <v>3.2320099999999998</v>
      </c>
      <c r="E936">
        <v>0.54454669999999905</v>
      </c>
      <c r="F936" t="s">
        <v>43</v>
      </c>
      <c r="G936">
        <v>-286.25830000000002</v>
      </c>
      <c r="H936">
        <v>-0.05</v>
      </c>
      <c r="I936">
        <v>364.87020000000001</v>
      </c>
      <c r="J936">
        <v>-316.89240000000001</v>
      </c>
      <c r="K936">
        <v>1.0945339999999999</v>
      </c>
      <c r="L936">
        <v>368.0068</v>
      </c>
      <c r="M936">
        <v>0.99971810000000005</v>
      </c>
      <c r="N936">
        <v>0</v>
      </c>
      <c r="O936">
        <v>3.3708409999999999E-3</v>
      </c>
      <c r="P936">
        <v>0.98708530000000005</v>
      </c>
      <c r="Q936">
        <v>0.1596976</v>
      </c>
      <c r="R936">
        <v>1.2617379999999999E-2</v>
      </c>
      <c r="S936">
        <v>3.0619809999999998</v>
      </c>
      <c r="T936">
        <v>-0.11388189999999999</v>
      </c>
      <c r="U936">
        <v>-0.3117065</v>
      </c>
      <c r="V936">
        <v>-9.2073429999999998E-3</v>
      </c>
      <c r="W936">
        <v>0.18285789999999999</v>
      </c>
      <c r="X936">
        <v>0.98309619999999998</v>
      </c>
      <c r="Y936">
        <v>0.1045556</v>
      </c>
      <c r="Z936">
        <v>-2.0636949999999999E-3</v>
      </c>
      <c r="AA936">
        <v>0.99451690000000004</v>
      </c>
      <c r="AB936">
        <v>34</v>
      </c>
      <c r="AC936">
        <v>30.634099999999901</v>
      </c>
      <c r="AD936">
        <v>-1.1445339999999999</v>
      </c>
      <c r="AE936">
        <v>-3.1365999999999801</v>
      </c>
      <c r="AF936">
        <v>3.2354040101186601</v>
      </c>
      <c r="AG936">
        <v>-1.1445339999999999</v>
      </c>
      <c r="AH936">
        <v>30.5811053729945</v>
      </c>
      <c r="AI936">
        <v>92.131477199424495</v>
      </c>
      <c r="AJ936">
        <v>83.960716594811899</v>
      </c>
      <c r="AK936">
        <v>30.773069444240399</v>
      </c>
      <c r="AL936">
        <v>79.463730749329997</v>
      </c>
      <c r="AM936">
        <v>90.536596999050403</v>
      </c>
      <c r="AN936">
        <v>0.99999996260598401</v>
      </c>
    </row>
    <row r="937" spans="1:40" x14ac:dyDescent="0.25">
      <c r="A937" t="str">
        <f>"20190312172107941"</f>
        <v>20190312172107941</v>
      </c>
      <c r="B937" t="str">
        <f>"1552382467932390"</f>
        <v>1552382467932390</v>
      </c>
      <c r="C937" t="s">
        <v>40</v>
      </c>
      <c r="D937">
        <v>3.2204510000000002</v>
      </c>
      <c r="E937">
        <v>0.54457869999999997</v>
      </c>
      <c r="F937" t="s">
        <v>43</v>
      </c>
      <c r="G937">
        <v>-286.36329999999998</v>
      </c>
      <c r="H937">
        <v>-0.05</v>
      </c>
      <c r="I937">
        <v>364.88749999999999</v>
      </c>
      <c r="J937">
        <v>-316.7244</v>
      </c>
      <c r="K937">
        <v>1.093334</v>
      </c>
      <c r="L937">
        <v>368.00729999999999</v>
      </c>
      <c r="M937">
        <v>0.99971569999999998</v>
      </c>
      <c r="N937">
        <v>0</v>
      </c>
      <c r="O937">
        <v>3.305568E-3</v>
      </c>
      <c r="P937">
        <v>0.98711660000000001</v>
      </c>
      <c r="Q937">
        <v>0.15951860000000001</v>
      </c>
      <c r="R937">
        <v>1.2432739999999999E-2</v>
      </c>
      <c r="S937">
        <v>3.0618289999999999</v>
      </c>
      <c r="T937">
        <v>-0.11478770000000001</v>
      </c>
      <c r="U937">
        <v>-0.31283569999999999</v>
      </c>
      <c r="V937">
        <v>-9.0841759999999994E-3</v>
      </c>
      <c r="W937">
        <v>0.18278759999999999</v>
      </c>
      <c r="X937">
        <v>0.9831105</v>
      </c>
      <c r="Y937">
        <v>0.1048573</v>
      </c>
      <c r="Z937">
        <v>-2.0833589999999999E-3</v>
      </c>
      <c r="AA937">
        <v>0.99448510000000001</v>
      </c>
      <c r="AB937">
        <v>34</v>
      </c>
      <c r="AC937">
        <v>30.3611</v>
      </c>
      <c r="AD937">
        <v>-1.1433340000000001</v>
      </c>
      <c r="AE937">
        <v>-3.1197999999999899</v>
      </c>
      <c r="AF937">
        <v>3.2156590934223002</v>
      </c>
      <c r="AG937">
        <v>-1.1433340000000001</v>
      </c>
      <c r="AH937">
        <v>30.3080871966168</v>
      </c>
      <c r="AI937">
        <v>92.148339217369795</v>
      </c>
      <c r="AJ937">
        <v>83.943630250448905</v>
      </c>
      <c r="AK937">
        <v>30.499636482397499</v>
      </c>
      <c r="AL937">
        <v>79.467828539810498</v>
      </c>
      <c r="AM937">
        <v>90.529411630291094</v>
      </c>
      <c r="AN937">
        <v>1.0000000420888</v>
      </c>
    </row>
    <row r="938" spans="1:40" x14ac:dyDescent="0.25">
      <c r="A938" t="str">
        <f>"20190312172107950"</f>
        <v>20190312172107950</v>
      </c>
      <c r="B938" t="str">
        <f>"1552382467942151"</f>
        <v>1552382467942151</v>
      </c>
      <c r="C938" t="s">
        <v>40</v>
      </c>
      <c r="D938">
        <v>3.2210049999999999</v>
      </c>
      <c r="E938">
        <v>0.544624</v>
      </c>
      <c r="F938" t="s">
        <v>43</v>
      </c>
      <c r="G938">
        <v>-286.31130000000002</v>
      </c>
      <c r="H938">
        <v>-0.05</v>
      </c>
      <c r="I938">
        <v>364.89100000000002</v>
      </c>
      <c r="J938">
        <v>-316.55959999999999</v>
      </c>
      <c r="K938">
        <v>1.092093</v>
      </c>
      <c r="L938">
        <v>368.0077</v>
      </c>
      <c r="M938">
        <v>0.9997163</v>
      </c>
      <c r="N938">
        <v>0</v>
      </c>
      <c r="O938">
        <v>3.2396690000000001E-3</v>
      </c>
      <c r="P938">
        <v>0.98713580000000001</v>
      </c>
      <c r="Q938">
        <v>0.15940879999999999</v>
      </c>
      <c r="R938">
        <v>1.2320859999999999E-2</v>
      </c>
      <c r="S938">
        <v>3.0617070000000002</v>
      </c>
      <c r="T938">
        <v>-0.11509999999999999</v>
      </c>
      <c r="U938">
        <v>-0.31372070000000002</v>
      </c>
      <c r="V938">
        <v>-9.0356380000000003E-3</v>
      </c>
      <c r="W938">
        <v>0.1826624</v>
      </c>
      <c r="X938">
        <v>0.98313419999999896</v>
      </c>
      <c r="Y938">
        <v>0.1050797</v>
      </c>
      <c r="Z938">
        <v>-2.0907730000000002E-3</v>
      </c>
      <c r="AA938">
        <v>0.99446159999999995</v>
      </c>
      <c r="AB938">
        <v>34</v>
      </c>
      <c r="AC938">
        <v>30.248299999999901</v>
      </c>
      <c r="AD938">
        <v>-1.142093</v>
      </c>
      <c r="AE938">
        <v>-3.11670000000003</v>
      </c>
      <c r="AF938">
        <v>3.2101770224299901</v>
      </c>
      <c r="AG938">
        <v>-1.142093</v>
      </c>
      <c r="AH938">
        <v>30.1954465450508</v>
      </c>
      <c r="AI938">
        <v>92.153959041641997</v>
      </c>
      <c r="AJ938">
        <v>83.931492264046398</v>
      </c>
      <c r="AK938">
        <v>30.3870795732497</v>
      </c>
      <c r="AL938">
        <v>79.4751246305443</v>
      </c>
      <c r="AM938">
        <v>90.526570377554606</v>
      </c>
      <c r="AN938">
        <v>1.00000002516873</v>
      </c>
    </row>
    <row r="939" spans="1:40" x14ac:dyDescent="0.25">
      <c r="A939" t="str">
        <f>"20190312172107961"</f>
        <v>20190312172107961</v>
      </c>
      <c r="B939" t="str">
        <f>"1552382467951911"</f>
        <v>1552382467951911</v>
      </c>
      <c r="C939" t="s">
        <v>40</v>
      </c>
      <c r="D939">
        <v>3.2399460000000002</v>
      </c>
      <c r="E939">
        <v>0.54464659999999998</v>
      </c>
      <c r="F939" t="s">
        <v>43</v>
      </c>
      <c r="G939">
        <v>-286.18880000000001</v>
      </c>
      <c r="H939">
        <v>-0.05</v>
      </c>
      <c r="I939">
        <v>364.89139999999998</v>
      </c>
      <c r="J939">
        <v>-316.404</v>
      </c>
      <c r="K939">
        <v>1.0909199999999999</v>
      </c>
      <c r="L939">
        <v>368.00810000000001</v>
      </c>
      <c r="M939">
        <v>0.99971710000000003</v>
      </c>
      <c r="N939">
        <v>0</v>
      </c>
      <c r="O939">
        <v>3.1780430000000002E-3</v>
      </c>
      <c r="P939">
        <v>0.98717520000000003</v>
      </c>
      <c r="Q939">
        <v>0.1591716</v>
      </c>
      <c r="R939">
        <v>1.2236250000000001E-2</v>
      </c>
      <c r="S939">
        <v>3.0615839999999999</v>
      </c>
      <c r="T939">
        <v>-0.115131</v>
      </c>
      <c r="U939">
        <v>-0.31414789999999998</v>
      </c>
      <c r="V939">
        <v>-9.0107620000000003E-3</v>
      </c>
      <c r="W939">
        <v>0.18240310000000001</v>
      </c>
      <c r="X939">
        <v>0.98318249999999996</v>
      </c>
      <c r="Y939">
        <v>0.10515969999999999</v>
      </c>
      <c r="Z939">
        <v>-2.0905920000000001E-3</v>
      </c>
      <c r="AA939">
        <v>0.99445309999999998</v>
      </c>
      <c r="AB939">
        <v>34</v>
      </c>
      <c r="AC939">
        <v>30.2151999999999</v>
      </c>
      <c r="AD939">
        <v>-1.1409199999999999</v>
      </c>
      <c r="AE939">
        <v>-3.11670000000003</v>
      </c>
      <c r="AF939">
        <v>3.2082100276841401</v>
      </c>
      <c r="AG939">
        <v>-1.1409199999999999</v>
      </c>
      <c r="AH939">
        <v>30.162586433985702</v>
      </c>
      <c r="AI939">
        <v>92.154079400025196</v>
      </c>
      <c r="AJ939">
        <v>83.928625055005</v>
      </c>
      <c r="AK939">
        <v>30.354174843269799</v>
      </c>
      <c r="AL939">
        <v>79.490234558551506</v>
      </c>
      <c r="AM939">
        <v>90.5250949630816</v>
      </c>
      <c r="AN939">
        <v>0.99999995651383899</v>
      </c>
    </row>
    <row r="940" spans="1:40" x14ac:dyDescent="0.25">
      <c r="A940" t="str">
        <f>"20190312172107971"</f>
        <v>20190312172107971</v>
      </c>
      <c r="B940" t="str">
        <f>"1552382467961672"</f>
        <v>1552382467961672</v>
      </c>
      <c r="C940" t="s">
        <v>40</v>
      </c>
      <c r="D940">
        <v>3.2347090000000001</v>
      </c>
      <c r="E940">
        <v>0.54468190000000005</v>
      </c>
      <c r="F940" t="s">
        <v>43</v>
      </c>
      <c r="G940">
        <v>-286.13799999999998</v>
      </c>
      <c r="H940">
        <v>-0.05</v>
      </c>
      <c r="I940">
        <v>364.89580000000001</v>
      </c>
      <c r="J940">
        <v>-316.23919999999998</v>
      </c>
      <c r="K940">
        <v>1.089637</v>
      </c>
      <c r="L940">
        <v>368.0086</v>
      </c>
      <c r="M940">
        <v>0.99971909999999997</v>
      </c>
      <c r="N940">
        <v>0</v>
      </c>
      <c r="O940">
        <v>3.1180470000000001E-3</v>
      </c>
      <c r="P940">
        <v>0.98717860000000002</v>
      </c>
      <c r="Q940">
        <v>0.159158299999999</v>
      </c>
      <c r="R940">
        <v>1.213347E-2</v>
      </c>
      <c r="S940">
        <v>3.061493</v>
      </c>
      <c r="T940">
        <v>-0.1154072</v>
      </c>
      <c r="U940">
        <v>-0.31481930000000002</v>
      </c>
      <c r="V940">
        <v>-8.9663809999999903E-3</v>
      </c>
      <c r="W940">
        <v>0.1823108</v>
      </c>
      <c r="X940">
        <v>0.98320010000000002</v>
      </c>
      <c r="Y940">
        <v>0.10531840000000001</v>
      </c>
      <c r="Z940">
        <v>-2.0963700000000002E-3</v>
      </c>
      <c r="AA940">
        <v>0.99443630000000005</v>
      </c>
      <c r="AB940">
        <v>34</v>
      </c>
      <c r="AC940">
        <v>30.101199999999999</v>
      </c>
      <c r="AD940">
        <v>-1.139637</v>
      </c>
      <c r="AE940">
        <v>-3.1127999999999898</v>
      </c>
      <c r="AF940">
        <v>3.2021263885300502</v>
      </c>
      <c r="AG940">
        <v>-1.139637</v>
      </c>
      <c r="AH940">
        <v>30.0487291298865</v>
      </c>
      <c r="AI940">
        <v>92.159758913449195</v>
      </c>
      <c r="AJ940">
        <v>83.9172624262808</v>
      </c>
      <c r="AK940">
        <v>30.240345702739301</v>
      </c>
      <c r="AL940">
        <v>79.495613928207902</v>
      </c>
      <c r="AM940">
        <v>90.522499486704703</v>
      </c>
      <c r="AN940">
        <v>1.0000000302124401</v>
      </c>
    </row>
    <row r="941" spans="1:40" x14ac:dyDescent="0.25">
      <c r="A941" t="str">
        <f>"20190312172107984"</f>
        <v>20190312172107984</v>
      </c>
      <c r="B941" t="str">
        <f>"1552382467972406"</f>
        <v>1552382467972406</v>
      </c>
      <c r="C941" t="s">
        <v>40</v>
      </c>
      <c r="D941">
        <v>3.2209509999999999</v>
      </c>
      <c r="E941">
        <v>0.544713</v>
      </c>
      <c r="F941" t="s">
        <v>43</v>
      </c>
      <c r="G941">
        <v>-285.92520000000002</v>
      </c>
      <c r="H941">
        <v>-0.05</v>
      </c>
      <c r="I941">
        <v>364.88490000000002</v>
      </c>
      <c r="J941">
        <v>-316.05579999999998</v>
      </c>
      <c r="K941">
        <v>1.088201</v>
      </c>
      <c r="L941">
        <v>368.00909999999999</v>
      </c>
      <c r="M941">
        <v>0.99972179999999999</v>
      </c>
      <c r="N941">
        <v>0</v>
      </c>
      <c r="O941">
        <v>3.0495399999999999E-3</v>
      </c>
      <c r="P941">
        <v>0.98718589999999995</v>
      </c>
      <c r="Q941">
        <v>0.1591446</v>
      </c>
      <c r="R941">
        <v>1.1716539999999999E-2</v>
      </c>
      <c r="S941">
        <v>3.0613709999999998</v>
      </c>
      <c r="T941">
        <v>-0.1150906</v>
      </c>
      <c r="U941">
        <v>-0.31546020000000002</v>
      </c>
      <c r="V941">
        <v>-8.6168159999999994E-3</v>
      </c>
      <c r="W941">
        <v>0.1822001</v>
      </c>
      <c r="X941">
        <v>0.98322370000000003</v>
      </c>
      <c r="Y941">
        <v>0.1054606</v>
      </c>
      <c r="Z941">
        <v>-2.09078E-3</v>
      </c>
      <c r="AA941">
        <v>0.99442129999999995</v>
      </c>
      <c r="AB941">
        <v>34</v>
      </c>
      <c r="AC941">
        <v>30.130599999999902</v>
      </c>
      <c r="AD941">
        <v>-1.138201</v>
      </c>
      <c r="AE941">
        <v>-3.1241999999999699</v>
      </c>
      <c r="AF941">
        <v>3.2115609440972102</v>
      </c>
      <c r="AG941">
        <v>-1.138201</v>
      </c>
      <c r="AH941">
        <v>30.0784645882642</v>
      </c>
      <c r="AI941">
        <v>92.154862350518002</v>
      </c>
      <c r="AJ941">
        <v>83.905461100709303</v>
      </c>
      <c r="AK941">
        <v>30.270838396078702</v>
      </c>
      <c r="AL941">
        <v>79.502064132961905</v>
      </c>
      <c r="AM941">
        <v>90.502118236685902</v>
      </c>
      <c r="AN941">
        <v>0.99999998509983801</v>
      </c>
    </row>
    <row r="942" spans="1:40" x14ac:dyDescent="0.25">
      <c r="A942" t="str">
        <f>"20190312172107995"</f>
        <v>20190312172107995</v>
      </c>
      <c r="B942" t="str">
        <f>"1552382467991927"</f>
        <v>1552382467991927</v>
      </c>
      <c r="C942" t="s">
        <v>40</v>
      </c>
      <c r="D942">
        <v>3.2274750000000001</v>
      </c>
      <c r="E942">
        <v>0.54479560000000005</v>
      </c>
      <c r="F942" t="s">
        <v>43</v>
      </c>
      <c r="G942">
        <v>-285.71929999999998</v>
      </c>
      <c r="H942">
        <v>-0.05</v>
      </c>
      <c r="I942">
        <v>364.86720000000003</v>
      </c>
      <c r="J942">
        <v>-315.87920000000003</v>
      </c>
      <c r="K942">
        <v>1.0867979999999999</v>
      </c>
      <c r="L942">
        <v>368.00959999999998</v>
      </c>
      <c r="M942">
        <v>0.99972459999999996</v>
      </c>
      <c r="N942">
        <v>0</v>
      </c>
      <c r="O942">
        <v>2.9804319999999999E-3</v>
      </c>
      <c r="P942">
        <v>0.98717469999999996</v>
      </c>
      <c r="Q942">
        <v>0.1592189</v>
      </c>
      <c r="R942">
        <v>1.16594E-2</v>
      </c>
      <c r="S942">
        <v>3.061188</v>
      </c>
      <c r="T942">
        <v>-0.11485339999999999</v>
      </c>
      <c r="U942">
        <v>-0.31704710000000003</v>
      </c>
      <c r="V942">
        <v>-8.6285990000000007E-3</v>
      </c>
      <c r="W942">
        <v>0.18216209999999999</v>
      </c>
      <c r="X942">
        <v>0.98323070000000001</v>
      </c>
      <c r="Y942">
        <v>0.105908</v>
      </c>
      <c r="Z942">
        <v>-2.092324E-3</v>
      </c>
      <c r="AA942">
        <v>0.99437370000000003</v>
      </c>
      <c r="AB942">
        <v>34</v>
      </c>
      <c r="AC942">
        <v>30.1599</v>
      </c>
      <c r="AD942">
        <v>-1.136798</v>
      </c>
      <c r="AE942">
        <v>-3.1423999999999501</v>
      </c>
      <c r="AF942">
        <v>3.2277634464038298</v>
      </c>
      <c r="AG942">
        <v>-1.136798</v>
      </c>
      <c r="AH942">
        <v>30.108082107349698</v>
      </c>
      <c r="AI942">
        <v>92.149995102089804</v>
      </c>
      <c r="AJ942">
        <v>83.880926478649201</v>
      </c>
      <c r="AK942">
        <v>30.3019368150232</v>
      </c>
      <c r="AL942">
        <v>79.504279079662396</v>
      </c>
      <c r="AM942">
        <v>90.502801239773405</v>
      </c>
      <c r="AN942">
        <v>1.0000000464098</v>
      </c>
    </row>
    <row r="943" spans="1:40" x14ac:dyDescent="0.25">
      <c r="A943" t="str">
        <f>"20190312172108006"</f>
        <v>20190312172108006</v>
      </c>
      <c r="B943" t="str">
        <f>"1552382468001687"</f>
        <v>1552382468001687</v>
      </c>
      <c r="C943" t="s">
        <v>40</v>
      </c>
      <c r="D943">
        <v>3.2225380000000001</v>
      </c>
      <c r="E943">
        <v>0.54483510000000002</v>
      </c>
      <c r="F943" t="s">
        <v>43</v>
      </c>
      <c r="G943">
        <v>-285.42430000000002</v>
      </c>
      <c r="H943">
        <v>-0.05</v>
      </c>
      <c r="I943">
        <v>364.85019999999997</v>
      </c>
      <c r="J943">
        <v>-315.71769999999998</v>
      </c>
      <c r="K943">
        <v>1.08552</v>
      </c>
      <c r="L943">
        <v>368.00990000000002</v>
      </c>
      <c r="M943">
        <v>0.99972799999999995</v>
      </c>
      <c r="N943">
        <v>0</v>
      </c>
      <c r="O943">
        <v>2.9096679999999998E-3</v>
      </c>
      <c r="P943">
        <v>0.98716970000000004</v>
      </c>
      <c r="Q943">
        <v>0.159264299999999</v>
      </c>
      <c r="R943">
        <v>1.145727E-2</v>
      </c>
      <c r="S943">
        <v>3.0611570000000001</v>
      </c>
      <c r="T943">
        <v>-0.11426459999999999</v>
      </c>
      <c r="U943">
        <v>-0.31756590000000001</v>
      </c>
      <c r="V943">
        <v>-8.4969840000000008E-3</v>
      </c>
      <c r="W943">
        <v>0.18208009999999999</v>
      </c>
      <c r="X943">
        <v>0.98324699999999998</v>
      </c>
      <c r="Y943">
        <v>0.10600610000000001</v>
      </c>
      <c r="Z943">
        <v>-2.080798E-3</v>
      </c>
      <c r="AA943">
        <v>0.99436329999999995</v>
      </c>
      <c r="AB943">
        <v>34</v>
      </c>
      <c r="AC943">
        <v>30.293399999999899</v>
      </c>
      <c r="AD943">
        <v>-1.1355200000000001</v>
      </c>
      <c r="AE943">
        <v>-3.1597000000000399</v>
      </c>
      <c r="AF943">
        <v>3.2433459243841498</v>
      </c>
      <c r="AG943">
        <v>-1.1355200000000001</v>
      </c>
      <c r="AH943">
        <v>30.242041104146502</v>
      </c>
      <c r="AI943">
        <v>92.138067183586699</v>
      </c>
      <c r="AJ943">
        <v>83.878638963081201</v>
      </c>
      <c r="AK943">
        <v>30.436651402552599</v>
      </c>
      <c r="AL943">
        <v>79.509056880744097</v>
      </c>
      <c r="AM943">
        <v>90.495124015866807</v>
      </c>
      <c r="AN943">
        <v>1.00000001228105</v>
      </c>
    </row>
    <row r="944" spans="1:40" x14ac:dyDescent="0.25">
      <c r="A944" t="str">
        <f>"20190312172108017"</f>
        <v>20190312172108017</v>
      </c>
      <c r="B944" t="str">
        <f>"1552382468012426"</f>
        <v>1552382468012426</v>
      </c>
      <c r="C944" t="s">
        <v>40</v>
      </c>
      <c r="D944">
        <v>3.229079</v>
      </c>
      <c r="E944">
        <v>0.54487719999999995</v>
      </c>
      <c r="F944" t="s">
        <v>43</v>
      </c>
      <c r="G944">
        <v>-285.23809999999997</v>
      </c>
      <c r="H944">
        <v>-0.05</v>
      </c>
      <c r="I944">
        <v>364.83969999999999</v>
      </c>
      <c r="J944">
        <v>-315.54410000000001</v>
      </c>
      <c r="K944">
        <v>1.0841449999999999</v>
      </c>
      <c r="L944">
        <v>368.0104</v>
      </c>
      <c r="M944">
        <v>0.99973179999999995</v>
      </c>
      <c r="N944">
        <v>0</v>
      </c>
      <c r="O944">
        <v>2.828405E-3</v>
      </c>
      <c r="P944">
        <v>0.98713589999999996</v>
      </c>
      <c r="Q944">
        <v>0.1594786</v>
      </c>
      <c r="R944">
        <v>1.1372770000000001E-2</v>
      </c>
      <c r="S944">
        <v>3.061096</v>
      </c>
      <c r="T944">
        <v>-0.1140413</v>
      </c>
      <c r="U944">
        <v>-0.3183899</v>
      </c>
      <c r="V944">
        <v>-8.4931420000000004E-3</v>
      </c>
      <c r="W944">
        <v>0.1821373</v>
      </c>
      <c r="X944">
        <v>0.98323640000000001</v>
      </c>
      <c r="Y944">
        <v>0.10619240000000001</v>
      </c>
      <c r="Z944">
        <v>-2.077186E-3</v>
      </c>
      <c r="AA944">
        <v>0.99434350000000005</v>
      </c>
      <c r="AB944">
        <v>34</v>
      </c>
      <c r="AC944">
        <v>30.306000000000001</v>
      </c>
      <c r="AD944">
        <v>-1.134145</v>
      </c>
      <c r="AE944">
        <v>-3.1707000000000098</v>
      </c>
      <c r="AF944">
        <v>3.2519226320282502</v>
      </c>
      <c r="AG944">
        <v>-1.134145</v>
      </c>
      <c r="AH944">
        <v>30.254995287355801</v>
      </c>
      <c r="AI944">
        <v>92.134513329917894</v>
      </c>
      <c r="AJ944">
        <v>83.865182808425601</v>
      </c>
      <c r="AK944">
        <v>30.450386295146501</v>
      </c>
      <c r="AL944">
        <v>79.505723420881296</v>
      </c>
      <c r="AM944">
        <v>90.494905486629506</v>
      </c>
      <c r="AN944">
        <v>0.99999997389864004</v>
      </c>
    </row>
    <row r="945" spans="1:40" x14ac:dyDescent="0.25">
      <c r="A945" t="str">
        <f>"20190312172108029"</f>
        <v>20190312172108029</v>
      </c>
      <c r="B945" t="str">
        <f>"1552382468022182"</f>
        <v>1552382468022182</v>
      </c>
      <c r="C945" t="s">
        <v>40</v>
      </c>
      <c r="D945">
        <v>3.2458</v>
      </c>
      <c r="E945">
        <v>0.54492220000000002</v>
      </c>
      <c r="F945" t="s">
        <v>43</v>
      </c>
      <c r="G945">
        <v>-284.91199999999998</v>
      </c>
      <c r="H945">
        <v>-0.05</v>
      </c>
      <c r="I945">
        <v>364.81990000000002</v>
      </c>
      <c r="J945">
        <v>-315.37639999999999</v>
      </c>
      <c r="K945">
        <v>1.082835</v>
      </c>
      <c r="L945">
        <v>368.01080000000002</v>
      </c>
      <c r="M945">
        <v>0.99973659999999998</v>
      </c>
      <c r="N945">
        <v>0</v>
      </c>
      <c r="O945">
        <v>2.7443480000000002E-3</v>
      </c>
      <c r="P945">
        <v>0.98711040000000005</v>
      </c>
      <c r="Q945">
        <v>0.15964879999999901</v>
      </c>
      <c r="R945">
        <v>1.120348E-2</v>
      </c>
      <c r="S945">
        <v>3.0610659999999998</v>
      </c>
      <c r="T945">
        <v>-0.1133349</v>
      </c>
      <c r="U945">
        <v>-0.31881710000000002</v>
      </c>
      <c r="V945">
        <v>-8.4083279999999996E-3</v>
      </c>
      <c r="W945">
        <v>0.1821082</v>
      </c>
      <c r="X945">
        <v>0.98324259999999997</v>
      </c>
      <c r="Y945">
        <v>0.106248</v>
      </c>
      <c r="Z945">
        <v>-2.0622560000000002E-3</v>
      </c>
      <c r="AA945">
        <v>0.99433749999999999</v>
      </c>
      <c r="AB945">
        <v>34</v>
      </c>
      <c r="AC945">
        <v>30.464399999999898</v>
      </c>
      <c r="AD945">
        <v>-1.132835</v>
      </c>
      <c r="AE945">
        <v>-3.1908999999999899</v>
      </c>
      <c r="AF945">
        <v>3.2700419775122298</v>
      </c>
      <c r="AG945">
        <v>-1.132835</v>
      </c>
      <c r="AH945">
        <v>30.413927098775201</v>
      </c>
      <c r="AI945">
        <v>92.120911354475396</v>
      </c>
      <c r="AJ945">
        <v>83.863252029483505</v>
      </c>
      <c r="AK945">
        <v>30.610185416647401</v>
      </c>
      <c r="AL945">
        <v>79.507419931139594</v>
      </c>
      <c r="AM945">
        <v>90.489960426723798</v>
      </c>
      <c r="AN945">
        <v>1.00000005347087</v>
      </c>
    </row>
    <row r="946" spans="1:40" x14ac:dyDescent="0.25">
      <c r="A946" t="str">
        <f>"20190312172108039"</f>
        <v>20190312172108039</v>
      </c>
      <c r="B946" t="str">
        <f>"1552382468031943"</f>
        <v>1552382468031943</v>
      </c>
      <c r="C946" t="s">
        <v>40</v>
      </c>
      <c r="D946">
        <v>3.2419880000000001</v>
      </c>
      <c r="E946">
        <v>0.54497099999999998</v>
      </c>
      <c r="F946" t="s">
        <v>43</v>
      </c>
      <c r="G946">
        <v>-284.62389999999999</v>
      </c>
      <c r="H946">
        <v>-0.05</v>
      </c>
      <c r="I946">
        <v>364.79919999999998</v>
      </c>
      <c r="J946">
        <v>-315.202</v>
      </c>
      <c r="K946">
        <v>1.081474</v>
      </c>
      <c r="L946">
        <v>368.01119999999997</v>
      </c>
      <c r="M946">
        <v>0.99974180000000001</v>
      </c>
      <c r="N946">
        <v>0</v>
      </c>
      <c r="O946">
        <v>2.6555860000000001E-3</v>
      </c>
      <c r="P946">
        <v>0.98706389999999999</v>
      </c>
      <c r="Q946">
        <v>0.15994259999999999</v>
      </c>
      <c r="R946">
        <v>1.111297E-2</v>
      </c>
      <c r="S946">
        <v>3.061035</v>
      </c>
      <c r="T946">
        <v>-0.11275979999999999</v>
      </c>
      <c r="U946">
        <v>-0.3196716</v>
      </c>
      <c r="V946">
        <v>-8.4068040000000004E-3</v>
      </c>
      <c r="W946">
        <v>0.1821818</v>
      </c>
      <c r="X946">
        <v>0.98322889999999996</v>
      </c>
      <c r="Y946">
        <v>0.106436</v>
      </c>
      <c r="Z946">
        <v>-2.051981E-3</v>
      </c>
      <c r="AA946">
        <v>0.99431740000000002</v>
      </c>
      <c r="AB946">
        <v>34</v>
      </c>
      <c r="AC946">
        <v>30.578099999999999</v>
      </c>
      <c r="AD946">
        <v>-1.1314739999999901</v>
      </c>
      <c r="AE946">
        <v>-3.2119999999999802</v>
      </c>
      <c r="AF946">
        <v>3.28875829042547</v>
      </c>
      <c r="AG946">
        <v>-1.1314739999999901</v>
      </c>
      <c r="AH946">
        <v>30.528117164788799</v>
      </c>
      <c r="AI946">
        <v>92.110401734704098</v>
      </c>
      <c r="AJ946">
        <v>83.851305864868706</v>
      </c>
      <c r="AK946">
        <v>30.725593600980101</v>
      </c>
      <c r="AL946">
        <v>79.503130398755701</v>
      </c>
      <c r="AM946">
        <v>90.489878451658598</v>
      </c>
      <c r="AN946">
        <v>0.99999997619997105</v>
      </c>
    </row>
    <row r="947" spans="1:40" x14ac:dyDescent="0.25">
      <c r="A947" t="str">
        <f>"20190312172108050"</f>
        <v>20190312172108050</v>
      </c>
      <c r="B947" t="str">
        <f>"1552382468041703"</f>
        <v>1552382468041703</v>
      </c>
      <c r="C947" t="s">
        <v>40</v>
      </c>
      <c r="D947">
        <v>3.2348340000000002</v>
      </c>
      <c r="E947">
        <v>0.54502490000000003</v>
      </c>
      <c r="F947" t="s">
        <v>43</v>
      </c>
      <c r="G947">
        <v>-284.1927</v>
      </c>
      <c r="H947">
        <v>-0.05</v>
      </c>
      <c r="I947">
        <v>364.7663</v>
      </c>
      <c r="J947">
        <v>-315.03609999999998</v>
      </c>
      <c r="K947">
        <v>1.0802240000000001</v>
      </c>
      <c r="L947">
        <v>368.01150000000001</v>
      </c>
      <c r="M947">
        <v>0.99974799999999997</v>
      </c>
      <c r="N947">
        <v>0</v>
      </c>
      <c r="O947">
        <v>2.5677590000000002E-3</v>
      </c>
      <c r="P947">
        <v>0.98701300000000003</v>
      </c>
      <c r="Q947">
        <v>0.16025300000000001</v>
      </c>
      <c r="R947">
        <v>1.116081E-2</v>
      </c>
      <c r="S947">
        <v>3.061035</v>
      </c>
      <c r="T947">
        <v>-0.1116915</v>
      </c>
      <c r="U947">
        <v>-0.3203125</v>
      </c>
      <c r="V947">
        <v>-8.5412879999999993E-3</v>
      </c>
      <c r="W947">
        <v>0.1822278</v>
      </c>
      <c r="X947">
        <v>0.98321930000000002</v>
      </c>
      <c r="Y947">
        <v>0.1065559</v>
      </c>
      <c r="Z947">
        <v>-2.0315149999999998E-3</v>
      </c>
      <c r="AA947">
        <v>0.99430469999999904</v>
      </c>
      <c r="AB947">
        <v>34</v>
      </c>
      <c r="AC947">
        <v>30.8433999999999</v>
      </c>
      <c r="AD947">
        <v>-1.1302239999999999</v>
      </c>
      <c r="AE947">
        <v>-3.2452000000000099</v>
      </c>
      <c r="AF947">
        <v>3.3199982030700399</v>
      </c>
      <c r="AG947">
        <v>-1.1302239999999999</v>
      </c>
      <c r="AH947">
        <v>30.794066416034799</v>
      </c>
      <c r="AI947">
        <v>92.089863760495305</v>
      </c>
      <c r="AJ947">
        <v>83.846543108662203</v>
      </c>
      <c r="AK947">
        <v>30.9931334458736</v>
      </c>
      <c r="AL947">
        <v>79.500450795006103</v>
      </c>
      <c r="AM947">
        <v>90.497719526259303</v>
      </c>
      <c r="AN947">
        <v>1.00000005829301</v>
      </c>
    </row>
    <row r="948" spans="1:40" x14ac:dyDescent="0.25">
      <c r="A948" t="str">
        <f>"20190312172108062"</f>
        <v>20190312172108062</v>
      </c>
      <c r="B948" t="str">
        <f>"1552382468052438"</f>
        <v>1552382468052438</v>
      </c>
      <c r="C948" t="s">
        <v>40</v>
      </c>
      <c r="D948">
        <v>3.2670430000000001</v>
      </c>
      <c r="E948">
        <v>0.54508429999999997</v>
      </c>
      <c r="F948" t="s">
        <v>43</v>
      </c>
      <c r="G948">
        <v>-283.75920000000002</v>
      </c>
      <c r="H948">
        <v>-0.05</v>
      </c>
      <c r="I948">
        <v>364.73680000000002</v>
      </c>
      <c r="J948">
        <v>-314.87599999999998</v>
      </c>
      <c r="K948">
        <v>1.079029</v>
      </c>
      <c r="L948">
        <v>368.01190000000003</v>
      </c>
      <c r="M948">
        <v>0.99975409999999998</v>
      </c>
      <c r="N948">
        <v>0</v>
      </c>
      <c r="O948">
        <v>2.4833699999999999E-3</v>
      </c>
      <c r="P948">
        <v>0.98697029999999997</v>
      </c>
      <c r="Q948">
        <v>0.1605404</v>
      </c>
      <c r="R948">
        <v>1.078992E-2</v>
      </c>
      <c r="S948">
        <v>3.0610659999999998</v>
      </c>
      <c r="T948">
        <v>-0.1106145</v>
      </c>
      <c r="U948">
        <v>-0.32049559999999999</v>
      </c>
      <c r="V948">
        <v>-8.2538500000000001E-3</v>
      </c>
      <c r="W948">
        <v>0.18225450000000001</v>
      </c>
      <c r="X948">
        <v>0.9832168</v>
      </c>
      <c r="Y948">
        <v>0.10653120000000001</v>
      </c>
      <c r="Z948">
        <v>-2.0084270000000001E-3</v>
      </c>
      <c r="AA948">
        <v>0.99430730000000001</v>
      </c>
      <c r="AB948">
        <v>34</v>
      </c>
      <c r="AC948">
        <v>31.116799999999898</v>
      </c>
      <c r="AD948">
        <v>-1.1290290000000001</v>
      </c>
      <c r="AE948">
        <v>-3.2751000000000001</v>
      </c>
      <c r="AF948">
        <v>3.3480238166483698</v>
      </c>
      <c r="AG948">
        <v>-1.1290290000000001</v>
      </c>
      <c r="AH948">
        <v>31.068115753354999</v>
      </c>
      <c r="AI948">
        <v>92.069267892524195</v>
      </c>
      <c r="AJ948">
        <v>83.849314908685798</v>
      </c>
      <c r="AK948">
        <v>31.268383175718402</v>
      </c>
      <c r="AL948">
        <v>79.498894879700302</v>
      </c>
      <c r="AM948">
        <v>90.480971909009796</v>
      </c>
      <c r="AN948">
        <v>1.0000000523061501</v>
      </c>
    </row>
    <row r="949" spans="1:40" x14ac:dyDescent="0.25">
      <c r="A949" t="str">
        <f>"20190312172108072"</f>
        <v>20190312172108072</v>
      </c>
      <c r="B949" t="str">
        <f>"1552382468062200"</f>
        <v>1552382468062200</v>
      </c>
      <c r="C949" t="s">
        <v>40</v>
      </c>
      <c r="D949">
        <v>3.2207119999999998</v>
      </c>
      <c r="E949">
        <v>0.54508429999999997</v>
      </c>
      <c r="F949" t="s">
        <v>43</v>
      </c>
      <c r="G949">
        <v>-283.36959999999999</v>
      </c>
      <c r="H949">
        <v>-0.05</v>
      </c>
      <c r="I949">
        <v>364.69569999999999</v>
      </c>
      <c r="J949">
        <v>-314.70030000000003</v>
      </c>
      <c r="K949">
        <v>1.077777</v>
      </c>
      <c r="L949">
        <v>368.01220000000001</v>
      </c>
      <c r="M949">
        <v>0.99976149999999997</v>
      </c>
      <c r="N949">
        <v>0</v>
      </c>
      <c r="O949">
        <v>2.3935419999999998E-3</v>
      </c>
      <c r="P949">
        <v>0.98695679999999997</v>
      </c>
      <c r="Q949">
        <v>0.16061979999999901</v>
      </c>
      <c r="R949">
        <v>1.084745E-2</v>
      </c>
      <c r="S949">
        <v>3.0609739999999999</v>
      </c>
      <c r="T949">
        <v>-0.1096895</v>
      </c>
      <c r="U949">
        <v>-0.32217410000000002</v>
      </c>
      <c r="V949">
        <v>-8.3995679999999996E-3</v>
      </c>
      <c r="W949">
        <v>0.18201439999999999</v>
      </c>
      <c r="X949">
        <v>0.98326000000000002</v>
      </c>
      <c r="Y949">
        <v>0.1069852</v>
      </c>
      <c r="Z949">
        <v>-1.996542E-3</v>
      </c>
      <c r="AA949">
        <v>0.99425859999999999</v>
      </c>
      <c r="AB949">
        <v>34</v>
      </c>
      <c r="AC949">
        <v>31.3307</v>
      </c>
      <c r="AD949">
        <v>-1.127777</v>
      </c>
      <c r="AE949">
        <v>-3.3165000000000102</v>
      </c>
      <c r="AF949">
        <v>3.3871593877030302</v>
      </c>
      <c r="AG949">
        <v>-1.127777</v>
      </c>
      <c r="AH949">
        <v>31.2825862889283</v>
      </c>
      <c r="AI949">
        <v>92.052704238524299</v>
      </c>
      <c r="AJ949">
        <v>83.820305709394901</v>
      </c>
      <c r="AK949">
        <v>31.485630605145602</v>
      </c>
      <c r="AL949">
        <v>79.512885172415196</v>
      </c>
      <c r="AM949">
        <v>90.489441337915494</v>
      </c>
      <c r="AN949">
        <v>1.0000000110749701</v>
      </c>
    </row>
    <row r="950" spans="1:40" x14ac:dyDescent="0.25">
      <c r="A950" t="str">
        <f>"20190312172108086"</f>
        <v>20190312172108086</v>
      </c>
      <c r="B950" t="str">
        <f>"1552382468081718"</f>
        <v>1552382468081718</v>
      </c>
      <c r="C950" t="s">
        <v>40</v>
      </c>
      <c r="D950">
        <v>3.2162190000000002</v>
      </c>
      <c r="E950">
        <v>0.54546740000000005</v>
      </c>
      <c r="F950" t="s">
        <v>43</v>
      </c>
      <c r="G950">
        <v>-283.15359999999998</v>
      </c>
      <c r="H950">
        <v>-0.05</v>
      </c>
      <c r="I950">
        <v>364.69130000000001</v>
      </c>
      <c r="J950">
        <v>-314.4982</v>
      </c>
      <c r="K950">
        <v>1.076389</v>
      </c>
      <c r="L950">
        <v>368.01260000000002</v>
      </c>
      <c r="M950">
        <v>0.99977000000000005</v>
      </c>
      <c r="N950">
        <v>0</v>
      </c>
      <c r="O950">
        <v>2.292072E-3</v>
      </c>
      <c r="P950">
        <v>0.98685299999999998</v>
      </c>
      <c r="Q950">
        <v>0.1612711</v>
      </c>
      <c r="R950">
        <v>1.063104E-2</v>
      </c>
      <c r="S950">
        <v>3.0610050000000002</v>
      </c>
      <c r="T950">
        <v>-0.109429399999999</v>
      </c>
      <c r="U950">
        <v>-0.322235099999999</v>
      </c>
      <c r="V950">
        <v>-8.2833409999999996E-3</v>
      </c>
      <c r="W950">
        <v>0.18228359999999999</v>
      </c>
      <c r="X950">
        <v>0.9832111</v>
      </c>
      <c r="Y950">
        <v>0.10690330000000001</v>
      </c>
      <c r="Z950">
        <v>-1.98671E-3</v>
      </c>
      <c r="AA950">
        <v>0.99426749999999997</v>
      </c>
      <c r="AB950">
        <v>34</v>
      </c>
      <c r="AC950">
        <v>31.3446</v>
      </c>
      <c r="AD950">
        <v>-1.1263889999999901</v>
      </c>
      <c r="AE950">
        <v>-3.3212999999999999</v>
      </c>
      <c r="AF950">
        <v>3.3888240480069398</v>
      </c>
      <c r="AG950">
        <v>-1.1263889999999901</v>
      </c>
      <c r="AH950">
        <v>31.2969359924884</v>
      </c>
      <c r="AI950">
        <v>92.049240064581795</v>
      </c>
      <c r="AJ950">
        <v>83.820104983287195</v>
      </c>
      <c r="AK950">
        <v>31.500017192464899</v>
      </c>
      <c r="AL950">
        <v>79.497198567688201</v>
      </c>
      <c r="AM950">
        <v>90.482693138305393</v>
      </c>
      <c r="AN950">
        <v>0.99999999586514599</v>
      </c>
    </row>
    <row r="951" spans="1:40" x14ac:dyDescent="0.25">
      <c r="A951" t="str">
        <f>"20190312172108098"</f>
        <v>20190312172108098</v>
      </c>
      <c r="B951" t="str">
        <f>"1552382468092454"</f>
        <v>1552382468092454</v>
      </c>
      <c r="C951" t="s">
        <v>40</v>
      </c>
      <c r="D951">
        <v>3.2142849999999998</v>
      </c>
      <c r="E951">
        <v>0.56376949999999904</v>
      </c>
      <c r="F951" t="s">
        <v>43</v>
      </c>
      <c r="G951">
        <v>-283.75619999999998</v>
      </c>
      <c r="H951">
        <v>-0.05</v>
      </c>
      <c r="I951">
        <v>364.74110000000002</v>
      </c>
      <c r="J951">
        <v>-314.32459999999998</v>
      </c>
      <c r="K951">
        <v>1.0752379999999999</v>
      </c>
      <c r="L951">
        <v>368.0129</v>
      </c>
      <c r="M951">
        <v>0.99977740000000004</v>
      </c>
      <c r="N951">
        <v>0</v>
      </c>
      <c r="O951">
        <v>2.2065959999999999E-3</v>
      </c>
      <c r="P951">
        <v>0.98681010000000002</v>
      </c>
      <c r="Q951">
        <v>0.16153699999999999</v>
      </c>
      <c r="R951">
        <v>1.056533E-2</v>
      </c>
      <c r="S951">
        <v>3.061798</v>
      </c>
      <c r="T951">
        <v>-0.1121846</v>
      </c>
      <c r="U951">
        <v>-0.32583620000000002</v>
      </c>
      <c r="V951">
        <v>-8.3022100000000008E-3</v>
      </c>
      <c r="W951">
        <v>0.18221039999999999</v>
      </c>
      <c r="X951">
        <v>0.98322449999999995</v>
      </c>
      <c r="Y951">
        <v>0.1079437</v>
      </c>
      <c r="Z951">
        <v>-2.0519259999999999E-3</v>
      </c>
      <c r="AA951">
        <v>0.99415489999999995</v>
      </c>
      <c r="AB951">
        <v>34</v>
      </c>
      <c r="AC951">
        <v>30.5684</v>
      </c>
      <c r="AD951">
        <v>-1.125238</v>
      </c>
      <c r="AE951">
        <v>-3.2717999999999798</v>
      </c>
      <c r="AF951">
        <v>3.3347914885551</v>
      </c>
      <c r="AG951">
        <v>-1.125238</v>
      </c>
      <c r="AH951">
        <v>30.520217529298399</v>
      </c>
      <c r="AI951">
        <v>92.098978170887605</v>
      </c>
      <c r="AJ951">
        <v>83.764313905116495</v>
      </c>
      <c r="AK951">
        <v>30.722478299519999</v>
      </c>
      <c r="AL951">
        <v>79.501463959455407</v>
      </c>
      <c r="AM951">
        <v>90.483786041686102</v>
      </c>
      <c r="AN951">
        <v>0.99999998697964598</v>
      </c>
    </row>
    <row r="952" spans="1:40" x14ac:dyDescent="0.25">
      <c r="A952" t="str">
        <f>"20190312172108110"</f>
        <v>20190312172108110</v>
      </c>
      <c r="B952" t="str">
        <f>"1552382468102214"</f>
        <v>1552382468102214</v>
      </c>
      <c r="C952" t="s">
        <v>40</v>
      </c>
      <c r="D952">
        <v>3.2239100000000001</v>
      </c>
      <c r="E952">
        <v>0.56423519999999905</v>
      </c>
      <c r="F952" t="s">
        <v>41</v>
      </c>
      <c r="G952">
        <v>-313.57650000000001</v>
      </c>
      <c r="H952">
        <v>0.97356240000000005</v>
      </c>
      <c r="I952">
        <v>367.90019999999998</v>
      </c>
      <c r="J952">
        <v>-314.14280000000002</v>
      </c>
      <c r="K952">
        <v>1.0741149999999999</v>
      </c>
      <c r="L952">
        <v>368.01319999999998</v>
      </c>
      <c r="M952">
        <v>0.99978520000000004</v>
      </c>
      <c r="N952">
        <v>0</v>
      </c>
      <c r="O952">
        <v>2.118928E-3</v>
      </c>
      <c r="P952">
        <v>0.9867629</v>
      </c>
      <c r="Q952">
        <v>0.16182820000000001</v>
      </c>
      <c r="R952">
        <v>1.053583E-2</v>
      </c>
      <c r="S952">
        <v>3.1144409999999998</v>
      </c>
      <c r="T952">
        <v>-0.42331839999999998</v>
      </c>
      <c r="U952">
        <v>-0.46926879999999999</v>
      </c>
      <c r="V952">
        <v>-8.3604549999999993E-3</v>
      </c>
      <c r="W952">
        <v>0.18214060000000001</v>
      </c>
      <c r="X952">
        <v>0.98323700000000003</v>
      </c>
      <c r="Y952">
        <v>0.1497233</v>
      </c>
      <c r="Z952">
        <v>-1.035781E-2</v>
      </c>
      <c r="AA952">
        <v>0.98867369999999999</v>
      </c>
      <c r="AB952">
        <v>34</v>
      </c>
      <c r="AC952">
        <v>0.56630000000001202</v>
      </c>
      <c r="AD952">
        <v>-0.10055260000000001</v>
      </c>
      <c r="AE952">
        <v>-0.112999999999999</v>
      </c>
      <c r="AF952">
        <v>0.110839245828003</v>
      </c>
      <c r="AG952">
        <v>-0.10055260000000001</v>
      </c>
      <c r="AH952">
        <v>0.54940110691163602</v>
      </c>
      <c r="AI952">
        <v>100.17109108243</v>
      </c>
      <c r="AJ952">
        <v>78.593932141021895</v>
      </c>
      <c r="AK952">
        <v>0.56941877388984197</v>
      </c>
      <c r="AL952">
        <v>79.505531901729498</v>
      </c>
      <c r="AM952">
        <v>90.487173735652107</v>
      </c>
      <c r="AN952">
        <v>1.00000004677258</v>
      </c>
    </row>
    <row r="953" spans="1:40" x14ac:dyDescent="0.25">
      <c r="A953" t="str">
        <f>"20190312172108121"</f>
        <v>20190312172108121</v>
      </c>
      <c r="B953" t="str">
        <f>"1552382468111975"</f>
        <v>1552382468111975</v>
      </c>
      <c r="C953" t="s">
        <v>40</v>
      </c>
      <c r="D953">
        <v>3.2235100000000001</v>
      </c>
      <c r="E953">
        <v>0.56529700000000005</v>
      </c>
      <c r="F953" t="s">
        <v>41</v>
      </c>
      <c r="G953">
        <v>-313.28539999999998</v>
      </c>
      <c r="H953">
        <v>0.94741120000000001</v>
      </c>
      <c r="I953">
        <v>367.88319999999999</v>
      </c>
      <c r="J953">
        <v>-313.9649</v>
      </c>
      <c r="K953">
        <v>1.0730440000000001</v>
      </c>
      <c r="L953">
        <v>368.01350000000002</v>
      </c>
      <c r="M953">
        <v>0.99979280000000004</v>
      </c>
      <c r="N953">
        <v>0</v>
      </c>
      <c r="O953">
        <v>2.03345E-3</v>
      </c>
      <c r="P953">
        <v>0.98665199999999997</v>
      </c>
      <c r="Q953">
        <v>0.16250590000000001</v>
      </c>
      <c r="R953">
        <v>1.0468770000000001E-2</v>
      </c>
      <c r="S953">
        <v>3.1209410000000002</v>
      </c>
      <c r="T953">
        <v>-0.46128249999999998</v>
      </c>
      <c r="U953">
        <v>-0.47259519999999999</v>
      </c>
      <c r="V953">
        <v>-8.3787010000000006E-3</v>
      </c>
      <c r="W953">
        <v>0.18246219999999999</v>
      </c>
      <c r="X953">
        <v>0.98317719999999997</v>
      </c>
      <c r="Y953">
        <v>0.15011479999999999</v>
      </c>
      <c r="Z953">
        <v>-1.126951E-2</v>
      </c>
      <c r="AA953">
        <v>0.98860440000000005</v>
      </c>
      <c r="AB953">
        <v>34</v>
      </c>
      <c r="AC953">
        <v>0.67950000000001798</v>
      </c>
      <c r="AD953">
        <v>-0.12563279999999999</v>
      </c>
      <c r="AE953">
        <v>-0.130300000000033</v>
      </c>
      <c r="AF953">
        <v>0.12747853208920901</v>
      </c>
      <c r="AG953">
        <v>-0.12563279999999999</v>
      </c>
      <c r="AH953">
        <v>0.65755280716339604</v>
      </c>
      <c r="AI953">
        <v>100.62346310380801</v>
      </c>
      <c r="AJ953">
        <v>79.028280078113099</v>
      </c>
      <c r="AK953">
        <v>0.68147639048460196</v>
      </c>
      <c r="AL953">
        <v>79.486791383049606</v>
      </c>
      <c r="AM953">
        <v>90.488266595234904</v>
      </c>
      <c r="AN953">
        <v>1.0000000318295601</v>
      </c>
    </row>
    <row r="954" spans="1:40" x14ac:dyDescent="0.25">
      <c r="A954" t="str">
        <f>"20190312172108133"</f>
        <v>20190312172108133</v>
      </c>
      <c r="B954" t="str">
        <f>"1552382468121735"</f>
        <v>1552382468121735</v>
      </c>
      <c r="C954" t="s">
        <v>40</v>
      </c>
      <c r="D954">
        <v>3.1947359999999998</v>
      </c>
      <c r="E954">
        <v>0.56588260000000001</v>
      </c>
      <c r="F954" t="s">
        <v>41</v>
      </c>
      <c r="G954">
        <v>-312.99369999999999</v>
      </c>
      <c r="H954">
        <v>0.92202070000000003</v>
      </c>
      <c r="I954">
        <v>367.8639</v>
      </c>
      <c r="J954">
        <v>-313.78269999999998</v>
      </c>
      <c r="K954">
        <v>1.0720379999999901</v>
      </c>
      <c r="L954">
        <v>368.0138</v>
      </c>
      <c r="M954">
        <v>0.99980029999999998</v>
      </c>
      <c r="N954">
        <v>0</v>
      </c>
      <c r="O954">
        <v>1.94648E-3</v>
      </c>
      <c r="P954">
        <v>0.98660820000000005</v>
      </c>
      <c r="Q954">
        <v>0.162766299999999</v>
      </c>
      <c r="R954">
        <v>1.0562999999999999E-2</v>
      </c>
      <c r="S954">
        <v>3.1257630000000001</v>
      </c>
      <c r="T954">
        <v>-0.48612319999999998</v>
      </c>
      <c r="U954">
        <v>-0.48129270000000002</v>
      </c>
      <c r="V954">
        <v>-8.5598229999999994E-3</v>
      </c>
      <c r="W954">
        <v>0.18236330000000001</v>
      </c>
      <c r="X954">
        <v>0.98319389999999995</v>
      </c>
      <c r="Y954">
        <v>0.15229489999999901</v>
      </c>
      <c r="Z954">
        <v>-1.200331E-2</v>
      </c>
      <c r="AA954">
        <v>0.98826219999999998</v>
      </c>
      <c r="AB954">
        <v>34</v>
      </c>
      <c r="AC954">
        <v>0.78899999999998705</v>
      </c>
      <c r="AD954">
        <v>-0.15001729999999899</v>
      </c>
      <c r="AE954">
        <v>-0.149900000000002</v>
      </c>
      <c r="AF954">
        <v>0.146330008619205</v>
      </c>
      <c r="AG954">
        <v>-0.15001729999999899</v>
      </c>
      <c r="AH954">
        <v>0.762114767432713</v>
      </c>
      <c r="AI954">
        <v>100.94102769999201</v>
      </c>
      <c r="AJ954">
        <v>79.131186569720498</v>
      </c>
      <c r="AK954">
        <v>0.79040279633918598</v>
      </c>
      <c r="AL954">
        <v>79.492553701631607</v>
      </c>
      <c r="AM954">
        <v>90.498812432143794</v>
      </c>
      <c r="AN954">
        <v>0.99999994437694395</v>
      </c>
    </row>
    <row r="955" spans="1:40" x14ac:dyDescent="0.25">
      <c r="A955" t="str">
        <f>"20190312172108144"</f>
        <v>20190312172108144</v>
      </c>
      <c r="B955" t="str">
        <f>"1552382468132470"</f>
        <v>1552382468132470</v>
      </c>
      <c r="C955" t="s">
        <v>40</v>
      </c>
      <c r="D955">
        <v>3.2185670000000002</v>
      </c>
      <c r="E955">
        <v>0.5661564</v>
      </c>
      <c r="F955" t="s">
        <v>41</v>
      </c>
      <c r="G955">
        <v>-312.98360000000002</v>
      </c>
      <c r="H955">
        <v>0.94441439999999999</v>
      </c>
      <c r="I955">
        <v>367.88959999999997</v>
      </c>
      <c r="J955">
        <v>-313.63060000000002</v>
      </c>
      <c r="K955">
        <v>1.071232</v>
      </c>
      <c r="L955">
        <v>368.01400000000001</v>
      </c>
      <c r="M955">
        <v>0.99980639999999998</v>
      </c>
      <c r="N955">
        <v>0</v>
      </c>
      <c r="O955">
        <v>1.8742800000000001E-3</v>
      </c>
      <c r="P955">
        <v>0.98657220000000001</v>
      </c>
      <c r="Q955">
        <v>0.16298109999999999</v>
      </c>
      <c r="R955">
        <v>1.061922E-2</v>
      </c>
      <c r="S955">
        <v>3.128387</v>
      </c>
      <c r="T955">
        <v>-0.49967070000000002</v>
      </c>
      <c r="U955">
        <v>-0.48562620000000001</v>
      </c>
      <c r="V955">
        <v>-8.6879419999999902E-3</v>
      </c>
      <c r="W955">
        <v>0.18228259999999999</v>
      </c>
      <c r="X955">
        <v>0.98320779999999997</v>
      </c>
      <c r="Y955">
        <v>0.15332579999999901</v>
      </c>
      <c r="Z955">
        <v>-1.239231E-2</v>
      </c>
      <c r="AA955">
        <v>0.98809800000000003</v>
      </c>
      <c r="AB955">
        <v>34</v>
      </c>
      <c r="AC955">
        <v>0.64699999999999103</v>
      </c>
      <c r="AD955">
        <v>-0.126817599999999</v>
      </c>
      <c r="AE955">
        <v>-0.124400000000036</v>
      </c>
      <c r="AF955">
        <v>0.121125025083318</v>
      </c>
      <c r="AG955">
        <v>-0.126817599999999</v>
      </c>
      <c r="AH955">
        <v>0.62365925755901996</v>
      </c>
      <c r="AI955">
        <v>101.28869172530599</v>
      </c>
      <c r="AJ955">
        <v>79.009034676198098</v>
      </c>
      <c r="AK955">
        <v>0.64784631272413895</v>
      </c>
      <c r="AL955">
        <v>79.497256907996601</v>
      </c>
      <c r="AM955">
        <v>90.506270855604797</v>
      </c>
      <c r="AN955">
        <v>1.0000000022898901</v>
      </c>
    </row>
    <row r="956" spans="1:40" x14ac:dyDescent="0.25">
      <c r="A956" t="str">
        <f>"20190312172108153"</f>
        <v>20190312172108153</v>
      </c>
      <c r="B956" t="str">
        <f>"1552382468142232"</f>
        <v>1552382468142232</v>
      </c>
      <c r="C956" t="s">
        <v>40</v>
      </c>
      <c r="D956">
        <v>3.208977</v>
      </c>
      <c r="E956">
        <v>0.56665580000000004</v>
      </c>
      <c r="F956" t="s">
        <v>41</v>
      </c>
      <c r="G956">
        <v>-312.69229999999999</v>
      </c>
      <c r="H956">
        <v>0.91853850000000004</v>
      </c>
      <c r="I956">
        <v>367.86759999999998</v>
      </c>
      <c r="J956">
        <v>-313.46789999999999</v>
      </c>
      <c r="K956">
        <v>1.0704290000000001</v>
      </c>
      <c r="L956">
        <v>368.01420000000002</v>
      </c>
      <c r="M956">
        <v>0.9998127</v>
      </c>
      <c r="N956">
        <v>0</v>
      </c>
      <c r="O956">
        <v>1.7981169999999999E-3</v>
      </c>
      <c r="P956">
        <v>0.98652499999999999</v>
      </c>
      <c r="Q956">
        <v>0.16327230000000001</v>
      </c>
      <c r="R956">
        <v>1.053015E-2</v>
      </c>
      <c r="S956">
        <v>3.1302189999999999</v>
      </c>
      <c r="T956">
        <v>-0.50953230000000005</v>
      </c>
      <c r="U956">
        <v>-0.48748780000000003</v>
      </c>
      <c r="V956">
        <v>-8.6748469999999994E-3</v>
      </c>
      <c r="W956">
        <v>0.18226390000000001</v>
      </c>
      <c r="X956">
        <v>0.98321139999999996</v>
      </c>
      <c r="Y956">
        <v>0.15365980000000001</v>
      </c>
      <c r="Z956">
        <v>-1.264062E-2</v>
      </c>
      <c r="AA956">
        <v>0.988043</v>
      </c>
      <c r="AB956">
        <v>34</v>
      </c>
      <c r="AC956">
        <v>0.77559999999999696</v>
      </c>
      <c r="AD956">
        <v>-0.15189050000000001</v>
      </c>
      <c r="AE956">
        <v>-0.14660000000003401</v>
      </c>
      <c r="AF956">
        <v>0.14271024232221899</v>
      </c>
      <c r="AG956">
        <v>-0.15189050000000001</v>
      </c>
      <c r="AH956">
        <v>0.74765044108924095</v>
      </c>
      <c r="AI956">
        <v>101.285375619798</v>
      </c>
      <c r="AJ956">
        <v>79.193471433358795</v>
      </c>
      <c r="AK956">
        <v>0.77615598903497096</v>
      </c>
      <c r="AL956">
        <v>79.498346777974902</v>
      </c>
      <c r="AM956">
        <v>90.505505961886897</v>
      </c>
      <c r="AN956">
        <v>1.0000000196518199</v>
      </c>
    </row>
    <row r="957" spans="1:40" x14ac:dyDescent="0.25">
      <c r="A957" t="str">
        <f>"20190312172108164"</f>
        <v>20190312172108164</v>
      </c>
      <c r="B957" t="str">
        <f>"1552382468161751"</f>
        <v>1552382468161751</v>
      </c>
      <c r="C957" t="s">
        <v>40</v>
      </c>
      <c r="D957">
        <v>3.2187610000000002</v>
      </c>
      <c r="E957">
        <v>0.56730009999999997</v>
      </c>
      <c r="F957" t="s">
        <v>41</v>
      </c>
      <c r="G957">
        <v>-312.6823</v>
      </c>
      <c r="H957">
        <v>0.94040869999999999</v>
      </c>
      <c r="I957">
        <v>367.89060000000001</v>
      </c>
      <c r="J957">
        <v>-313.3107</v>
      </c>
      <c r="K957">
        <v>1.06969</v>
      </c>
      <c r="L957">
        <v>368.0145</v>
      </c>
      <c r="M957">
        <v>0.99981830000000005</v>
      </c>
      <c r="N957">
        <v>0</v>
      </c>
      <c r="O957">
        <v>1.7262999999999901E-3</v>
      </c>
      <c r="P957">
        <v>0.9864655</v>
      </c>
      <c r="Q957">
        <v>0.1636194</v>
      </c>
      <c r="R957">
        <v>1.0698920000000001E-2</v>
      </c>
      <c r="S957">
        <v>3.13205</v>
      </c>
      <c r="T957">
        <v>-0.51862010000000003</v>
      </c>
      <c r="U957">
        <v>-0.4916992</v>
      </c>
      <c r="V957">
        <v>-8.9147949999999997E-3</v>
      </c>
      <c r="W957">
        <v>0.1823187</v>
      </c>
      <c r="X957">
        <v>0.98319909999999999</v>
      </c>
      <c r="Y957">
        <v>0.1547161</v>
      </c>
      <c r="Z957">
        <v>-1.2929090000000001E-2</v>
      </c>
      <c r="AA957">
        <v>0.98787440000000004</v>
      </c>
      <c r="AB957">
        <v>34</v>
      </c>
      <c r="AC957">
        <v>0.62839999999999896</v>
      </c>
      <c r="AD957">
        <v>-0.12928129999999999</v>
      </c>
      <c r="AE957">
        <v>-0.123899999999991</v>
      </c>
      <c r="AF957">
        <v>0.120092099422221</v>
      </c>
      <c r="AG957">
        <v>-0.12928129999999999</v>
      </c>
      <c r="AH957">
        <v>0.60359388588797203</v>
      </c>
      <c r="AI957">
        <v>101.86353219260801</v>
      </c>
      <c r="AJ957">
        <v>78.747277969806802</v>
      </c>
      <c r="AK957">
        <v>0.62885717452746703</v>
      </c>
      <c r="AL957">
        <v>79.495153532369898</v>
      </c>
      <c r="AM957">
        <v>90.519494100278393</v>
      </c>
      <c r="AN957">
        <v>1.00000002609019</v>
      </c>
    </row>
    <row r="958" spans="1:40" x14ac:dyDescent="0.25">
      <c r="A958" t="str">
        <f>"20190312172108175"</f>
        <v>20190312172108175</v>
      </c>
      <c r="B958" t="str">
        <f>"1552382468172486"</f>
        <v>1552382468172486</v>
      </c>
      <c r="C958" t="s">
        <v>40</v>
      </c>
      <c r="D958">
        <v>3.2371150000000002</v>
      </c>
      <c r="E958">
        <v>0.56781440000000005</v>
      </c>
      <c r="F958" t="s">
        <v>41</v>
      </c>
      <c r="G958">
        <v>-312.39109999999999</v>
      </c>
      <c r="H958">
        <v>0.91483130000000001</v>
      </c>
      <c r="I958">
        <v>367.86880000000002</v>
      </c>
      <c r="J958">
        <v>-313.15230000000003</v>
      </c>
      <c r="K958">
        <v>1.068989</v>
      </c>
      <c r="L958">
        <v>368.0147</v>
      </c>
      <c r="M958">
        <v>0.99982389999999999</v>
      </c>
      <c r="N958">
        <v>0</v>
      </c>
      <c r="O958">
        <v>1.6551440000000001E-3</v>
      </c>
      <c r="P958">
        <v>0.98643170000000002</v>
      </c>
      <c r="Q958">
        <v>0.1638308</v>
      </c>
      <c r="R958">
        <v>1.058138E-2</v>
      </c>
      <c r="S958">
        <v>3.1340330000000001</v>
      </c>
      <c r="T958">
        <v>-0.52775719999999904</v>
      </c>
      <c r="U958">
        <v>-0.4961853</v>
      </c>
      <c r="V958">
        <v>-8.86757E-3</v>
      </c>
      <c r="W958">
        <v>0.18224470000000001</v>
      </c>
      <c r="X958">
        <v>0.98321320000000001</v>
      </c>
      <c r="Y958">
        <v>0.15584500000000001</v>
      </c>
      <c r="Z958">
        <v>-1.322623E-2</v>
      </c>
      <c r="AA958">
        <v>0.98769300000000004</v>
      </c>
      <c r="AB958">
        <v>34</v>
      </c>
      <c r="AC958">
        <v>0.76120000000002996</v>
      </c>
      <c r="AD958">
        <v>-0.15415769999999901</v>
      </c>
      <c r="AE958">
        <v>-0.14589999999998299</v>
      </c>
      <c r="AF958">
        <v>0.14155971462449099</v>
      </c>
      <c r="AG958">
        <v>-0.15415769999999901</v>
      </c>
      <c r="AH958">
        <v>0.73199903579251002</v>
      </c>
      <c r="AI958">
        <v>101.68226671800301</v>
      </c>
      <c r="AJ958">
        <v>79.054803977775194</v>
      </c>
      <c r="AK958">
        <v>0.76133194972693896</v>
      </c>
      <c r="AL958">
        <v>79.499465180425602</v>
      </c>
      <c r="AM958">
        <v>90.516734885488901</v>
      </c>
      <c r="AN958">
        <v>0.99999998056501704</v>
      </c>
    </row>
    <row r="959" spans="1:40" x14ac:dyDescent="0.25">
      <c r="A959" t="str">
        <f>"20190312172108186"</f>
        <v>20190312172108186</v>
      </c>
      <c r="B959" t="str">
        <f>"1552382468182247"</f>
        <v>1552382468182247</v>
      </c>
      <c r="C959" t="s">
        <v>40</v>
      </c>
      <c r="D959">
        <v>3.221625</v>
      </c>
      <c r="E959">
        <v>0.56805130000000004</v>
      </c>
      <c r="F959" t="s">
        <v>41</v>
      </c>
      <c r="G959">
        <v>-312.38060000000002</v>
      </c>
      <c r="H959">
        <v>0.93784889999999999</v>
      </c>
      <c r="I959">
        <v>367.89139999999998</v>
      </c>
      <c r="J959">
        <v>-312.99990000000003</v>
      </c>
      <c r="K959">
        <v>1.0683590000000001</v>
      </c>
      <c r="L959">
        <v>368.01479999999998</v>
      </c>
      <c r="M959">
        <v>0.99982910000000003</v>
      </c>
      <c r="N959">
        <v>0</v>
      </c>
      <c r="O959">
        <v>1.589161E-3</v>
      </c>
      <c r="P959">
        <v>0.98638610000000004</v>
      </c>
      <c r="Q959">
        <v>0.16410749999999999</v>
      </c>
      <c r="R959">
        <v>1.056521E-2</v>
      </c>
      <c r="S959">
        <v>3.1351010000000001</v>
      </c>
      <c r="T959">
        <v>-0.53278359999999902</v>
      </c>
      <c r="U959">
        <v>-0.50042719999999996</v>
      </c>
      <c r="V959">
        <v>-8.9167780000000002E-3</v>
      </c>
      <c r="W959">
        <v>0.18225540000000001</v>
      </c>
      <c r="X959">
        <v>0.98321080000000005</v>
      </c>
      <c r="Y959">
        <v>0.15697729999999999</v>
      </c>
      <c r="Z959">
        <v>-1.3428509999999999E-2</v>
      </c>
      <c r="AA959">
        <v>0.98751089999999997</v>
      </c>
      <c r="AB959">
        <v>34</v>
      </c>
      <c r="AC959">
        <v>0.61930000000000895</v>
      </c>
      <c r="AD959">
        <v>-0.13051009999999999</v>
      </c>
      <c r="AE959">
        <v>-0.12340000000000299</v>
      </c>
      <c r="AF959">
        <v>0.119288802009962</v>
      </c>
      <c r="AG959">
        <v>-0.13051009999999999</v>
      </c>
      <c r="AH959">
        <v>0.59374163059707297</v>
      </c>
      <c r="AI959">
        <v>102.161435892219</v>
      </c>
      <c r="AJ959">
        <v>78.6399266417706</v>
      </c>
      <c r="AK959">
        <v>0.61950934487790699</v>
      </c>
      <c r="AL959">
        <v>79.498841969864202</v>
      </c>
      <c r="AM959">
        <v>90.519603466897394</v>
      </c>
      <c r="AN959">
        <v>1.00000000849785</v>
      </c>
    </row>
    <row r="960" spans="1:40" x14ac:dyDescent="0.25">
      <c r="A960" t="str">
        <f>"20190312172108194"</f>
        <v>20190312172108194</v>
      </c>
      <c r="B960" t="str">
        <f>"1552382468192007"</f>
        <v>1552382468192007</v>
      </c>
      <c r="C960" t="s">
        <v>40</v>
      </c>
      <c r="D960">
        <v>3.221184</v>
      </c>
      <c r="E960">
        <v>0.56825109999999901</v>
      </c>
      <c r="F960" t="s">
        <v>41</v>
      </c>
      <c r="G960">
        <v>-312.08940000000001</v>
      </c>
      <c r="H960">
        <v>0.91262010000000005</v>
      </c>
      <c r="I960">
        <v>367.86880000000002</v>
      </c>
      <c r="J960">
        <v>-312.84589999999997</v>
      </c>
      <c r="K960">
        <v>1.0677559999999999</v>
      </c>
      <c r="L960">
        <v>368.01499999999999</v>
      </c>
      <c r="M960">
        <v>0.999834</v>
      </c>
      <c r="N960">
        <v>0</v>
      </c>
      <c r="O960">
        <v>1.52457E-3</v>
      </c>
      <c r="P960">
        <v>0.98633519999999997</v>
      </c>
      <c r="Q960">
        <v>0.1644205</v>
      </c>
      <c r="R960">
        <v>1.043874E-2</v>
      </c>
      <c r="S960">
        <v>3.1360779999999999</v>
      </c>
      <c r="T960">
        <v>-0.53650330000000002</v>
      </c>
      <c r="U960">
        <v>-0.50234990000000002</v>
      </c>
      <c r="V960">
        <v>-8.8538660000000002E-3</v>
      </c>
      <c r="W960">
        <v>0.18230840000000001</v>
      </c>
      <c r="X960">
        <v>0.98320149999999995</v>
      </c>
      <c r="Y960">
        <v>0.15742129999999999</v>
      </c>
      <c r="Z960">
        <v>-1.3542790000000001E-2</v>
      </c>
      <c r="AA960">
        <v>0.9874387</v>
      </c>
      <c r="AB960">
        <v>34</v>
      </c>
      <c r="AC960">
        <v>0.75649999999995898</v>
      </c>
      <c r="AD960">
        <v>-0.15513589999999999</v>
      </c>
      <c r="AE960">
        <v>-0.146199999999964</v>
      </c>
      <c r="AF960">
        <v>0.14161241401042099</v>
      </c>
      <c r="AG960">
        <v>-0.15513589999999999</v>
      </c>
      <c r="AH960">
        <v>0.72681138087950703</v>
      </c>
      <c r="AI960">
        <v>101.832752874818</v>
      </c>
      <c r="AJ960">
        <v>78.974585967228094</v>
      </c>
      <c r="AK960">
        <v>0.75655535596983503</v>
      </c>
      <c r="AL960">
        <v>79.4957531063652</v>
      </c>
      <c r="AM960">
        <v>90.515942502517206</v>
      </c>
      <c r="AN960">
        <v>0.99999996662797697</v>
      </c>
    </row>
    <row r="961" spans="1:40" x14ac:dyDescent="0.25">
      <c r="A961" t="str">
        <f>"20190312172108207"</f>
        <v>20190312172108207</v>
      </c>
      <c r="B961" t="str">
        <f>"1552382468201766"</f>
        <v>1552382468201766</v>
      </c>
      <c r="C961" t="s">
        <v>40</v>
      </c>
      <c r="D961">
        <v>3.2136629999999999</v>
      </c>
      <c r="E961">
        <v>0.56847609999999904</v>
      </c>
      <c r="F961" t="s">
        <v>41</v>
      </c>
      <c r="G961">
        <v>-312.07870000000003</v>
      </c>
      <c r="H961">
        <v>0.93601420000000002</v>
      </c>
      <c r="I961">
        <v>367.89139999999998</v>
      </c>
      <c r="J961">
        <v>-312.66680000000002</v>
      </c>
      <c r="K961">
        <v>1.06711</v>
      </c>
      <c r="L961">
        <v>368.01510000000002</v>
      </c>
      <c r="M961">
        <v>0.99983940000000004</v>
      </c>
      <c r="N961">
        <v>0</v>
      </c>
      <c r="O961">
        <v>1.448499E-3</v>
      </c>
      <c r="P961">
        <v>0.98630739999999995</v>
      </c>
      <c r="Q961">
        <v>0.1645971</v>
      </c>
      <c r="R961">
        <v>1.027698E-2</v>
      </c>
      <c r="S961">
        <v>3.1366879999999999</v>
      </c>
      <c r="T961">
        <v>-0.53871819999999904</v>
      </c>
      <c r="U961">
        <v>-0.50442500000000001</v>
      </c>
      <c r="V961">
        <v>-8.7668490000000002E-3</v>
      </c>
      <c r="W961">
        <v>0.18219679999999999</v>
      </c>
      <c r="X961">
        <v>0.98322299999999996</v>
      </c>
      <c r="Y961">
        <v>0.1579295</v>
      </c>
      <c r="Z961">
        <v>-1.3624799999999999E-2</v>
      </c>
      <c r="AA961">
        <v>0.98735640000000002</v>
      </c>
      <c r="AB961">
        <v>34</v>
      </c>
      <c r="AC961">
        <v>0.58809999999999696</v>
      </c>
      <c r="AD961">
        <v>-0.13109579999999901</v>
      </c>
      <c r="AE961">
        <v>-0.123700000000042</v>
      </c>
      <c r="AF961">
        <v>0.118894235762389</v>
      </c>
      <c r="AG961">
        <v>-0.13109579999999901</v>
      </c>
      <c r="AH961">
        <v>0.56121454292139505</v>
      </c>
      <c r="AI961">
        <v>102.872264327746</v>
      </c>
      <c r="AJ961">
        <v>78.038647251377199</v>
      </c>
      <c r="AK961">
        <v>0.58845875918507096</v>
      </c>
      <c r="AL961">
        <v>79.502256582189005</v>
      </c>
      <c r="AM961">
        <v>90.510860848897707</v>
      </c>
      <c r="AN961">
        <v>0.99999999965031405</v>
      </c>
    </row>
    <row r="962" spans="1:40" x14ac:dyDescent="0.25">
      <c r="A962" t="str">
        <f>"20190312172108218"</f>
        <v>20190312172108218</v>
      </c>
      <c r="B962" t="str">
        <f>"1552382468212502"</f>
        <v>1552382468212502</v>
      </c>
      <c r="C962" t="s">
        <v>40</v>
      </c>
      <c r="D962">
        <v>3.3620570000000001</v>
      </c>
      <c r="E962">
        <v>0.56854709999999997</v>
      </c>
      <c r="F962" t="s">
        <v>41</v>
      </c>
      <c r="G962">
        <v>-311.78559999999999</v>
      </c>
      <c r="H962">
        <v>0.91518200000000005</v>
      </c>
      <c r="I962">
        <v>367.87279999999998</v>
      </c>
      <c r="J962">
        <v>-312.49939999999998</v>
      </c>
      <c r="K962">
        <v>1.066533</v>
      </c>
      <c r="L962">
        <v>368.01530000000002</v>
      </c>
      <c r="M962">
        <v>0.99984410000000001</v>
      </c>
      <c r="N962">
        <v>0</v>
      </c>
      <c r="O962">
        <v>1.3771629999999901E-3</v>
      </c>
      <c r="P962">
        <v>0.98628009999999999</v>
      </c>
      <c r="Q962">
        <v>0.16475680000000001</v>
      </c>
      <c r="R962">
        <v>1.032081E-2</v>
      </c>
      <c r="S962">
        <v>3.1372070000000001</v>
      </c>
      <c r="T962">
        <v>-0.54091909999999999</v>
      </c>
      <c r="U962">
        <v>-0.50662229999999997</v>
      </c>
      <c r="V962">
        <v>-8.8818839999999996E-3</v>
      </c>
      <c r="W962">
        <v>0.1820946</v>
      </c>
      <c r="X962">
        <v>0.98324089999999997</v>
      </c>
      <c r="Y962">
        <v>0.15848309999999999</v>
      </c>
      <c r="Z962">
        <v>-1.371167E-2</v>
      </c>
      <c r="AA962">
        <v>0.98726650000000005</v>
      </c>
      <c r="AB962">
        <v>34</v>
      </c>
      <c r="AC962">
        <v>0.713799999999992</v>
      </c>
      <c r="AD962">
        <v>-0.15135099999999899</v>
      </c>
      <c r="AE962">
        <v>-0.14250000000004001</v>
      </c>
      <c r="AF962">
        <v>0.13753651494233399</v>
      </c>
      <c r="AG962">
        <v>-0.15135099999999899</v>
      </c>
      <c r="AH962">
        <v>0.68402843121752899</v>
      </c>
      <c r="AI962">
        <v>102.239134280263</v>
      </c>
      <c r="AJ962">
        <v>78.631218218415896</v>
      </c>
      <c r="AK962">
        <v>0.71394559516632405</v>
      </c>
      <c r="AL962">
        <v>79.508211829489795</v>
      </c>
      <c r="AM962">
        <v>90.517554371535695</v>
      </c>
      <c r="AN962">
        <v>0.99999999932267902</v>
      </c>
    </row>
    <row r="963" spans="1:40" x14ac:dyDescent="0.25">
      <c r="A963" t="str">
        <f>"20190312172108230"</f>
        <v>20190312172108230</v>
      </c>
      <c r="B963" t="str">
        <f>"1552382468222263"</f>
        <v>1552382468222263</v>
      </c>
      <c r="C963" t="s">
        <v>40</v>
      </c>
      <c r="D963">
        <v>3.1982659999999998</v>
      </c>
      <c r="E963">
        <v>0.56866539999999999</v>
      </c>
      <c r="F963" t="s">
        <v>41</v>
      </c>
      <c r="G963">
        <v>-311.77370000000002</v>
      </c>
      <c r="H963">
        <v>0.94118329999999994</v>
      </c>
      <c r="I963">
        <v>367.89789999999999</v>
      </c>
      <c r="J963">
        <v>-312.32749999999999</v>
      </c>
      <c r="K963">
        <v>1.0660099999999999</v>
      </c>
      <c r="L963">
        <v>368.0154</v>
      </c>
      <c r="M963">
        <v>0.99984879999999998</v>
      </c>
      <c r="N963">
        <v>0</v>
      </c>
      <c r="O963">
        <v>1.2992959999999999E-3</v>
      </c>
      <c r="P963">
        <v>0.98623760000000005</v>
      </c>
      <c r="Q963">
        <v>0.16502249999999999</v>
      </c>
      <c r="R963">
        <v>1.014874E-2</v>
      </c>
      <c r="S963">
        <v>3.1375730000000002</v>
      </c>
      <c r="T963">
        <v>-0.54197189999999995</v>
      </c>
      <c r="U963">
        <v>-0.50720209999999999</v>
      </c>
      <c r="V963">
        <v>-8.7885589999999996E-3</v>
      </c>
      <c r="W963">
        <v>0.1821101</v>
      </c>
      <c r="X963">
        <v>0.98323890000000003</v>
      </c>
      <c r="Y963">
        <v>0.1585577</v>
      </c>
      <c r="Z963">
        <v>-1.37293E-2</v>
      </c>
      <c r="AA963">
        <v>0.98725430000000003</v>
      </c>
      <c r="AB963">
        <v>34</v>
      </c>
      <c r="AC963">
        <v>0.55379999999996699</v>
      </c>
      <c r="AD963">
        <v>-0.1248267</v>
      </c>
      <c r="AE963">
        <v>-0.117500000000006</v>
      </c>
      <c r="AF963">
        <v>0.112738574913044</v>
      </c>
      <c r="AG963">
        <v>-0.1248267</v>
      </c>
      <c r="AH963">
        <v>0.52797825043314495</v>
      </c>
      <c r="AI963">
        <v>103.018684041329</v>
      </c>
      <c r="AJ963">
        <v>77.946712064909406</v>
      </c>
      <c r="AK963">
        <v>0.55412338358596502</v>
      </c>
      <c r="AL963">
        <v>79.507308978151499</v>
      </c>
      <c r="AM963">
        <v>90.512117583135193</v>
      </c>
      <c r="AN963">
        <v>1.0000000308822501</v>
      </c>
    </row>
    <row r="964" spans="1:40" x14ac:dyDescent="0.25">
      <c r="A964" t="str">
        <f>"20190312172108240"</f>
        <v>20190312172108240</v>
      </c>
      <c r="B964" t="str">
        <f>"1552382468232023"</f>
        <v>1552382468232023</v>
      </c>
      <c r="C964" t="s">
        <v>40</v>
      </c>
      <c r="D964">
        <v>3.2184110000000001</v>
      </c>
      <c r="E964">
        <v>0.56884829999999997</v>
      </c>
      <c r="F964" t="s">
        <v>41</v>
      </c>
      <c r="G964">
        <v>-311.48110000000003</v>
      </c>
      <c r="H964">
        <v>0.91966099999999995</v>
      </c>
      <c r="I964">
        <v>367.87810000000002</v>
      </c>
      <c r="J964">
        <v>-312.16050000000001</v>
      </c>
      <c r="K964">
        <v>1.065517</v>
      </c>
      <c r="L964">
        <v>368.01560000000001</v>
      </c>
      <c r="M964">
        <v>0.99985299999999999</v>
      </c>
      <c r="N964">
        <v>0</v>
      </c>
      <c r="O964">
        <v>1.2228460000000001E-3</v>
      </c>
      <c r="P964">
        <v>0.98621749999999997</v>
      </c>
      <c r="Q964">
        <v>0.16516339999999999</v>
      </c>
      <c r="R964">
        <v>9.8104279999999995E-3</v>
      </c>
      <c r="S964">
        <v>3.1379389999999998</v>
      </c>
      <c r="T964">
        <v>-0.5427438</v>
      </c>
      <c r="U964">
        <v>-0.50833130000000004</v>
      </c>
      <c r="V964">
        <v>-8.5275690000000005E-3</v>
      </c>
      <c r="W964">
        <v>0.18201210000000001</v>
      </c>
      <c r="X964">
        <v>0.98325929999999995</v>
      </c>
      <c r="Y964">
        <v>0.158802</v>
      </c>
      <c r="Z964">
        <v>-1.375442E-2</v>
      </c>
      <c r="AA964">
        <v>0.98721460000000005</v>
      </c>
      <c r="AB964">
        <v>34</v>
      </c>
      <c r="AC964">
        <v>0.67939999999998602</v>
      </c>
      <c r="AD964">
        <v>-0.14585600000000001</v>
      </c>
      <c r="AE964">
        <v>-0.13749999999998799</v>
      </c>
      <c r="AF964">
        <v>0.132465826596707</v>
      </c>
      <c r="AG964">
        <v>-0.14585600000000001</v>
      </c>
      <c r="AH964">
        <v>0.65043306237800402</v>
      </c>
      <c r="AI964">
        <v>102.392871879629</v>
      </c>
      <c r="AJ964">
        <v>78.488689058441494</v>
      </c>
      <c r="AK964">
        <v>0.67962072995633205</v>
      </c>
      <c r="AL964">
        <v>79.513018941404297</v>
      </c>
      <c r="AM964">
        <v>90.496899916046004</v>
      </c>
      <c r="AN964">
        <v>0.99999998750797403</v>
      </c>
    </row>
    <row r="965" spans="1:40" x14ac:dyDescent="0.25">
      <c r="A965" t="str">
        <f>"20190312172108251"</f>
        <v>20190312172108251</v>
      </c>
      <c r="B965" t="str">
        <f>"1552382468241783"</f>
        <v>1552382468241783</v>
      </c>
      <c r="C965" t="s">
        <v>40</v>
      </c>
      <c r="D965">
        <v>3.2233160000000001</v>
      </c>
      <c r="E965">
        <v>0.56895709999999999</v>
      </c>
      <c r="F965" t="s">
        <v>41</v>
      </c>
      <c r="G965">
        <v>-311.18889999999999</v>
      </c>
      <c r="H965">
        <v>0.89708009999999905</v>
      </c>
      <c r="I965">
        <v>367.8571</v>
      </c>
      <c r="J965">
        <v>-311.9948</v>
      </c>
      <c r="K965">
        <v>1.0650869999999999</v>
      </c>
      <c r="L965">
        <v>368.01569999999998</v>
      </c>
      <c r="M965">
        <v>0.99985679999999999</v>
      </c>
      <c r="N965">
        <v>0</v>
      </c>
      <c r="O965">
        <v>1.1438539999999999E-3</v>
      </c>
      <c r="P965">
        <v>0.98618910000000004</v>
      </c>
      <c r="Q965">
        <v>0.165326</v>
      </c>
      <c r="R965">
        <v>9.9162650000000005E-3</v>
      </c>
      <c r="S965">
        <v>3.1381230000000002</v>
      </c>
      <c r="T965">
        <v>-0.54416569999999997</v>
      </c>
      <c r="U965">
        <v>-0.51113889999999995</v>
      </c>
      <c r="V965">
        <v>-8.7128569999999992E-3</v>
      </c>
      <c r="W965">
        <v>0.18195629999999999</v>
      </c>
      <c r="X965">
        <v>0.98326800000000003</v>
      </c>
      <c r="Y965">
        <v>0.15955429999999901</v>
      </c>
      <c r="Z965">
        <v>-1.3839000000000001E-2</v>
      </c>
      <c r="AA965">
        <v>0.98709210000000003</v>
      </c>
      <c r="AB965">
        <v>34</v>
      </c>
      <c r="AC965">
        <v>0.80590000000000805</v>
      </c>
      <c r="AD965">
        <v>-0.16800689999999999</v>
      </c>
      <c r="AE965">
        <v>-0.15859999999997801</v>
      </c>
      <c r="AF965">
        <v>0.15311553929362501</v>
      </c>
      <c r="AG965">
        <v>-0.16800689999999999</v>
      </c>
      <c r="AH965">
        <v>0.77336078731720403</v>
      </c>
      <c r="AI965">
        <v>102.03011489607999</v>
      </c>
      <c r="AJ965">
        <v>78.800999524165405</v>
      </c>
      <c r="AK965">
        <v>0.80607542710386204</v>
      </c>
      <c r="AL965">
        <v>79.516270306667593</v>
      </c>
      <c r="AM965">
        <v>90.507691563558097</v>
      </c>
      <c r="AN965">
        <v>0.99999998440539595</v>
      </c>
    </row>
    <row r="966" spans="1:40" x14ac:dyDescent="0.25">
      <c r="A966" t="str">
        <f>"20190312172108262"</f>
        <v>20190312172108262</v>
      </c>
      <c r="B966" t="str">
        <f>"1552382468252518"</f>
        <v>1552382468252518</v>
      </c>
      <c r="C966" t="s">
        <v>40</v>
      </c>
      <c r="D966">
        <v>3.2196419999999999</v>
      </c>
      <c r="E966">
        <v>0.56902469999999905</v>
      </c>
      <c r="F966" t="s">
        <v>41</v>
      </c>
      <c r="G966">
        <v>-311.17739999999998</v>
      </c>
      <c r="H966">
        <v>0.92305230000000005</v>
      </c>
      <c r="I966">
        <v>367.88209999999998</v>
      </c>
      <c r="J966">
        <v>-311.83420000000001</v>
      </c>
      <c r="K966">
        <v>1.064684</v>
      </c>
      <c r="L966">
        <v>368.01580000000001</v>
      </c>
      <c r="M966">
        <v>0.99986050000000004</v>
      </c>
      <c r="N966">
        <v>0</v>
      </c>
      <c r="O966">
        <v>1.066696E-3</v>
      </c>
      <c r="P966">
        <v>0.98613090000000003</v>
      </c>
      <c r="Q966">
        <v>0.16567850000000001</v>
      </c>
      <c r="R966">
        <v>9.8129559999999994E-3</v>
      </c>
      <c r="S966">
        <v>3.1385800000000001</v>
      </c>
      <c r="T966">
        <v>-0.54542889999999999</v>
      </c>
      <c r="U966">
        <v>-0.51187130000000003</v>
      </c>
      <c r="V966">
        <v>-8.6868320000000002E-3</v>
      </c>
      <c r="W966">
        <v>0.1821016</v>
      </c>
      <c r="X966">
        <v>0.98324129999999998</v>
      </c>
      <c r="Y966">
        <v>0.15966910000000001</v>
      </c>
      <c r="Z966">
        <v>-1.386505E-2</v>
      </c>
      <c r="AA966">
        <v>0.98707319999999998</v>
      </c>
      <c r="AB966">
        <v>34</v>
      </c>
      <c r="AC966">
        <v>0.65680000000003202</v>
      </c>
      <c r="AD966">
        <v>-0.141631699999999</v>
      </c>
      <c r="AE966">
        <v>-0.13370000000003299</v>
      </c>
      <c r="AF966">
        <v>0.128656132794357</v>
      </c>
      <c r="AG966">
        <v>-0.141631699999999</v>
      </c>
      <c r="AH966">
        <v>0.62859043562266104</v>
      </c>
      <c r="AI966">
        <v>102.447865493637</v>
      </c>
      <c r="AJ966">
        <v>78.432798822683495</v>
      </c>
      <c r="AK966">
        <v>0.65706763328197504</v>
      </c>
      <c r="AL966">
        <v>79.507803457266704</v>
      </c>
      <c r="AM966">
        <v>90.506188930098105</v>
      </c>
      <c r="AN966">
        <v>0.99999995389922203</v>
      </c>
    </row>
    <row r="967" spans="1:40" x14ac:dyDescent="0.25">
      <c r="A967" t="str">
        <f>"20190312172108273"</f>
        <v>20190312172108273</v>
      </c>
      <c r="B967" t="str">
        <f>"1552382468262279"</f>
        <v>1552382468262279</v>
      </c>
      <c r="C967" t="s">
        <v>40</v>
      </c>
      <c r="D967">
        <v>3.2226819999999998</v>
      </c>
      <c r="E967">
        <v>0.56911210000000001</v>
      </c>
      <c r="F967" t="s">
        <v>41</v>
      </c>
      <c r="G967">
        <v>-310.88569999999999</v>
      </c>
      <c r="H967">
        <v>0.89975400000000005</v>
      </c>
      <c r="I967">
        <v>367.86040000000003</v>
      </c>
      <c r="J967">
        <v>-311.66579999999999</v>
      </c>
      <c r="K967">
        <v>1.0643049999999901</v>
      </c>
      <c r="L967">
        <v>368.01589999999999</v>
      </c>
      <c r="M967">
        <v>0.99986410000000003</v>
      </c>
      <c r="N967">
        <v>0</v>
      </c>
      <c r="O967">
        <v>9.8408400000000009E-4</v>
      </c>
      <c r="P967">
        <v>0.98609760000000002</v>
      </c>
      <c r="Q967">
        <v>0.165881</v>
      </c>
      <c r="R967">
        <v>9.7672149999999992E-3</v>
      </c>
      <c r="S967">
        <v>3.139008</v>
      </c>
      <c r="T967">
        <v>-0.54591829999999997</v>
      </c>
      <c r="U967">
        <v>-0.51287839999999996</v>
      </c>
      <c r="V967">
        <v>-8.7238699999999999E-3</v>
      </c>
      <c r="W967">
        <v>0.1821026</v>
      </c>
      <c r="X967">
        <v>0.98324080000000003</v>
      </c>
      <c r="Y967">
        <v>0.1598696</v>
      </c>
      <c r="Z967">
        <v>-1.3878150000000001E-2</v>
      </c>
      <c r="AA967">
        <v>0.98704060000000005</v>
      </c>
      <c r="AB967">
        <v>34</v>
      </c>
      <c r="AC967">
        <v>0.78010000000000401</v>
      </c>
      <c r="AD967">
        <v>-0.164550999999999</v>
      </c>
      <c r="AE967">
        <v>-0.15549999999996</v>
      </c>
      <c r="AF967">
        <v>0.14985488967503899</v>
      </c>
      <c r="AG967">
        <v>-0.164550999999999</v>
      </c>
      <c r="AH967">
        <v>0.74793958536330696</v>
      </c>
      <c r="AI967">
        <v>102.173225479382</v>
      </c>
      <c r="AJ967">
        <v>78.670404079456404</v>
      </c>
      <c r="AK967">
        <v>0.78035065381785496</v>
      </c>
      <c r="AL967">
        <v>79.507745324180604</v>
      </c>
      <c r="AM967">
        <v>90.508347310655196</v>
      </c>
      <c r="AN967">
        <v>0.99999996680958803</v>
      </c>
    </row>
    <row r="968" spans="1:40" x14ac:dyDescent="0.25">
      <c r="A968" t="str">
        <f>"20190312172108285"</f>
        <v>20190312172108285</v>
      </c>
      <c r="B968" t="str">
        <f>"1552382468281798"</f>
        <v>1552382468281798</v>
      </c>
      <c r="C968" t="s">
        <v>40</v>
      </c>
      <c r="D968">
        <v>3.197756</v>
      </c>
      <c r="E968">
        <v>0.56917439999999997</v>
      </c>
      <c r="F968" t="s">
        <v>41</v>
      </c>
      <c r="G968">
        <v>-310.87369999999999</v>
      </c>
      <c r="H968">
        <v>0.92641519999999999</v>
      </c>
      <c r="I968">
        <v>367.88589999999999</v>
      </c>
      <c r="J968">
        <v>-311.49130000000002</v>
      </c>
      <c r="K968">
        <v>1.0639350000000001</v>
      </c>
      <c r="L968">
        <v>368.01600000000002</v>
      </c>
      <c r="M968">
        <v>0.99986730000000001</v>
      </c>
      <c r="N968">
        <v>0</v>
      </c>
      <c r="O968">
        <v>8.9867699999999996E-4</v>
      </c>
      <c r="P968">
        <v>0.98605140000000002</v>
      </c>
      <c r="Q968">
        <v>0.1661637</v>
      </c>
      <c r="R968">
        <v>9.6226090000000007E-3</v>
      </c>
      <c r="S968">
        <v>3.1393740000000001</v>
      </c>
      <c r="T968">
        <v>-0.54671959999999997</v>
      </c>
      <c r="U968">
        <v>-0.51397709999999996</v>
      </c>
      <c r="V968">
        <v>-8.6641940000000001E-3</v>
      </c>
      <c r="W968">
        <v>0.18218419999999999</v>
      </c>
      <c r="X968">
        <v>0.98322619999999905</v>
      </c>
      <c r="Y968">
        <v>0.16009509999999999</v>
      </c>
      <c r="Z968">
        <v>-1.390096E-2</v>
      </c>
      <c r="AA968">
        <v>0.98700370000000004</v>
      </c>
      <c r="AB968">
        <v>34</v>
      </c>
      <c r="AC968">
        <v>0.61760000000003801</v>
      </c>
      <c r="AD968">
        <v>-0.1375198</v>
      </c>
      <c r="AE968">
        <v>-0.13009999999996999</v>
      </c>
      <c r="AF968">
        <v>0.124733402182435</v>
      </c>
      <c r="AG968">
        <v>-0.1375198</v>
      </c>
      <c r="AH968">
        <v>0.58949681800304798</v>
      </c>
      <c r="AI968">
        <v>102.856419287238</v>
      </c>
      <c r="AJ968">
        <v>78.052831679588095</v>
      </c>
      <c r="AK968">
        <v>0.61804256766647103</v>
      </c>
      <c r="AL968">
        <v>79.5029903305619</v>
      </c>
      <c r="AM968">
        <v>90.504877616559796</v>
      </c>
      <c r="AN968">
        <v>0.99999995567687305</v>
      </c>
    </row>
    <row r="969" spans="1:40" x14ac:dyDescent="0.25">
      <c r="A969" t="str">
        <f>"20190312172108298"</f>
        <v>20190312172108298</v>
      </c>
      <c r="B969" t="str">
        <f>"1552382468292535"</f>
        <v>1552382468292535</v>
      </c>
      <c r="C969" t="s">
        <v>40</v>
      </c>
      <c r="D969">
        <v>3.2110430000000001</v>
      </c>
      <c r="E969">
        <v>0.56915899999999997</v>
      </c>
      <c r="F969" t="s">
        <v>41</v>
      </c>
      <c r="G969">
        <v>-310.58139999999997</v>
      </c>
      <c r="H969">
        <v>0.90504660000000003</v>
      </c>
      <c r="I969">
        <v>367.86669999999998</v>
      </c>
      <c r="J969">
        <v>-311.30040000000002</v>
      </c>
      <c r="K969">
        <v>1.0635600000000001</v>
      </c>
      <c r="L969">
        <v>368.01609999999999</v>
      </c>
      <c r="M969">
        <v>0.99987079999999995</v>
      </c>
      <c r="N969">
        <v>0</v>
      </c>
      <c r="O969">
        <v>8.0542139999999999E-4</v>
      </c>
      <c r="P969">
        <v>0.98596419999999996</v>
      </c>
      <c r="Q969">
        <v>0.16667319999999999</v>
      </c>
      <c r="R969">
        <v>9.7361719999999995E-3</v>
      </c>
      <c r="S969">
        <v>3.1398619999999999</v>
      </c>
      <c r="T969">
        <v>-0.54833719999999997</v>
      </c>
      <c r="U969">
        <v>-0.51489259999999903</v>
      </c>
      <c r="V969">
        <v>-8.8695100000000006E-3</v>
      </c>
      <c r="W969">
        <v>0.18248519999999999</v>
      </c>
      <c r="X969">
        <v>0.98316859999999995</v>
      </c>
      <c r="Y969">
        <v>0.160245</v>
      </c>
      <c r="Z969">
        <v>-1.3935909999999999E-2</v>
      </c>
      <c r="AA969">
        <v>0.98697889999999999</v>
      </c>
      <c r="AB969">
        <v>34</v>
      </c>
      <c r="AC969">
        <v>0.71900000000005004</v>
      </c>
      <c r="AD969">
        <v>-0.1585134</v>
      </c>
      <c r="AE969">
        <v>-0.14940000000001399</v>
      </c>
      <c r="AF969">
        <v>0.14330230329645799</v>
      </c>
      <c r="AG969">
        <v>-0.1585134</v>
      </c>
      <c r="AH969">
        <v>0.68687610651480702</v>
      </c>
      <c r="AI969">
        <v>102.73001375154701</v>
      </c>
      <c r="AJ969">
        <v>78.215474008576095</v>
      </c>
      <c r="AK969">
        <v>0.71934750559835203</v>
      </c>
      <c r="AL969">
        <v>79.485450805147394</v>
      </c>
      <c r="AM969">
        <v>90.516871372653796</v>
      </c>
      <c r="AN969">
        <v>1.0000000062263199</v>
      </c>
    </row>
    <row r="970" spans="1:40" x14ac:dyDescent="0.25">
      <c r="A970" t="str">
        <f>"20190312172108310"</f>
        <v>20190312172108310</v>
      </c>
      <c r="B970" t="str">
        <f>"1552382468302294"</f>
        <v>1552382468302294</v>
      </c>
      <c r="C970" t="s">
        <v>40</v>
      </c>
      <c r="D970">
        <v>3.2166700000000001</v>
      </c>
      <c r="E970">
        <v>0.5691387</v>
      </c>
      <c r="F970" t="s">
        <v>41</v>
      </c>
      <c r="G970">
        <v>-310.5675</v>
      </c>
      <c r="H970">
        <v>0.9358225</v>
      </c>
      <c r="I970">
        <v>367.89589999999998</v>
      </c>
      <c r="J970">
        <v>-311.12979999999999</v>
      </c>
      <c r="K970">
        <v>1.0632619999999999</v>
      </c>
      <c r="L970">
        <v>368.01609999999999</v>
      </c>
      <c r="M970">
        <v>0.99987380000000003</v>
      </c>
      <c r="N970">
        <v>0</v>
      </c>
      <c r="O970">
        <v>7.2188720000000001E-4</v>
      </c>
      <c r="P970">
        <v>0.98595840000000001</v>
      </c>
      <c r="Q970">
        <v>0.1666985</v>
      </c>
      <c r="R970">
        <v>9.9073719999999994E-3</v>
      </c>
      <c r="S970">
        <v>3.1402890000000001</v>
      </c>
      <c r="T970">
        <v>-0.54735999999999996</v>
      </c>
      <c r="U970">
        <v>-0.51440429999999904</v>
      </c>
      <c r="V970">
        <v>-9.1229199999999996E-3</v>
      </c>
      <c r="W970">
        <v>0.1823398</v>
      </c>
      <c r="X970">
        <v>0.98319319999999999</v>
      </c>
      <c r="Y970">
        <v>0.16000539999999999</v>
      </c>
      <c r="Z970">
        <v>-1.387481E-2</v>
      </c>
      <c r="AA970">
        <v>0.98701859999999997</v>
      </c>
      <c r="AB970">
        <v>34</v>
      </c>
      <c r="AC970">
        <v>0.56229999999999303</v>
      </c>
      <c r="AD970">
        <v>-0.12743950000000001</v>
      </c>
      <c r="AE970">
        <v>-0.12020000000001101</v>
      </c>
      <c r="AF970">
        <v>0.114959039937944</v>
      </c>
      <c r="AG970">
        <v>-0.12743950000000001</v>
      </c>
      <c r="AH970">
        <v>0.53588966333745502</v>
      </c>
      <c r="AI970">
        <v>103.089779622498</v>
      </c>
      <c r="AJ970">
        <v>77.892410372279898</v>
      </c>
      <c r="AK970">
        <v>0.56270253091276801</v>
      </c>
      <c r="AL970">
        <v>79.493923166592097</v>
      </c>
      <c r="AM970">
        <v>90.531624722828099</v>
      </c>
      <c r="AN970">
        <v>0.99999994942980097</v>
      </c>
    </row>
    <row r="971" spans="1:40" x14ac:dyDescent="0.25">
      <c r="A971" t="str">
        <f>"20190312172108321"</f>
        <v>20190312172108321</v>
      </c>
      <c r="B971" t="str">
        <f>"1552382468312054"</f>
        <v>1552382468312054</v>
      </c>
      <c r="C971" t="s">
        <v>40</v>
      </c>
      <c r="D971">
        <v>3.228513</v>
      </c>
      <c r="E971">
        <v>0.56916690000000003</v>
      </c>
      <c r="F971" t="s">
        <v>41</v>
      </c>
      <c r="G971">
        <v>-310.27550000000002</v>
      </c>
      <c r="H971">
        <v>0.91441300000000003</v>
      </c>
      <c r="I971">
        <v>367.8759</v>
      </c>
      <c r="J971">
        <v>-310.94470000000001</v>
      </c>
      <c r="K971">
        <v>1.062948</v>
      </c>
      <c r="L971">
        <v>368.01609999999999</v>
      </c>
      <c r="M971">
        <v>0.9998766</v>
      </c>
      <c r="N971">
        <v>0</v>
      </c>
      <c r="O971">
        <v>6.3130759999999999E-4</v>
      </c>
      <c r="P971">
        <v>0.98594210000000004</v>
      </c>
      <c r="Q971">
        <v>0.1668009</v>
      </c>
      <c r="R971">
        <v>9.7955200000000003E-3</v>
      </c>
      <c r="S971">
        <v>3.1404420000000002</v>
      </c>
      <c r="T971">
        <v>-0.54742519999999995</v>
      </c>
      <c r="U971">
        <v>-0.51364140000000003</v>
      </c>
      <c r="V971">
        <v>-9.0996110000000005E-3</v>
      </c>
      <c r="W971">
        <v>0.18226300000000001</v>
      </c>
      <c r="X971">
        <v>0.98320770000000002</v>
      </c>
      <c r="Y971">
        <v>0.1596805</v>
      </c>
      <c r="Z971">
        <v>-1.3832550000000001E-2</v>
      </c>
      <c r="AA971">
        <v>0.98707180000000005</v>
      </c>
      <c r="AB971">
        <v>34</v>
      </c>
      <c r="AC971">
        <v>0.66919999999998903</v>
      </c>
      <c r="AD971">
        <v>-0.148535</v>
      </c>
      <c r="AE971">
        <v>-0.140199999999993</v>
      </c>
      <c r="AF971">
        <v>0.13428499886959899</v>
      </c>
      <c r="AG971">
        <v>-0.148535</v>
      </c>
      <c r="AH971">
        <v>0.63895620891133198</v>
      </c>
      <c r="AI971">
        <v>102.816391043062</v>
      </c>
      <c r="AJ971">
        <v>78.131272547521107</v>
      </c>
      <c r="AK971">
        <v>0.66959700122741705</v>
      </c>
      <c r="AL971">
        <v>79.498398936539701</v>
      </c>
      <c r="AM971">
        <v>90.530258683115605</v>
      </c>
      <c r="AN971">
        <v>0.99999999271432005</v>
      </c>
    </row>
    <row r="972" spans="1:40" x14ac:dyDescent="0.25">
      <c r="A972" t="str">
        <f>"20190312172108332"</f>
        <v>20190312172108332</v>
      </c>
      <c r="B972" t="str">
        <f>"1552382468321815"</f>
        <v>1552382468321815</v>
      </c>
      <c r="C972" t="s">
        <v>40</v>
      </c>
      <c r="D972">
        <v>3.21123</v>
      </c>
      <c r="E972">
        <v>0.56920749999999998</v>
      </c>
      <c r="F972" t="s">
        <v>41</v>
      </c>
      <c r="G972">
        <v>-309.98239999999998</v>
      </c>
      <c r="H972">
        <v>0.89515080000000002</v>
      </c>
      <c r="I972">
        <v>367.85840000000002</v>
      </c>
      <c r="J972">
        <v>-310.7704</v>
      </c>
      <c r="K972">
        <v>1.062692</v>
      </c>
      <c r="L972">
        <v>368.01609999999999</v>
      </c>
      <c r="M972">
        <v>0.99987910000000002</v>
      </c>
      <c r="N972">
        <v>0</v>
      </c>
      <c r="O972">
        <v>5.4491030000000001E-4</v>
      </c>
      <c r="P972">
        <v>0.98589110000000002</v>
      </c>
      <c r="Q972">
        <v>0.167101799999999</v>
      </c>
      <c r="R972">
        <v>9.7863640000000005E-3</v>
      </c>
      <c r="S972">
        <v>3.140533</v>
      </c>
      <c r="T972">
        <v>-0.54766230000000005</v>
      </c>
      <c r="U972">
        <v>-0.51452640000000005</v>
      </c>
      <c r="V972">
        <v>-9.1743710000000006E-3</v>
      </c>
      <c r="W972">
        <v>0.1824083</v>
      </c>
      <c r="X972">
        <v>0.98318000000000005</v>
      </c>
      <c r="Y972">
        <v>0.15985849999999999</v>
      </c>
      <c r="Z972">
        <v>-1.38382E-2</v>
      </c>
      <c r="AA972">
        <v>0.987043</v>
      </c>
      <c r="AB972">
        <v>34</v>
      </c>
      <c r="AC972">
        <v>0.78800000000001003</v>
      </c>
      <c r="AD972">
        <v>-0.167541199999999</v>
      </c>
      <c r="AE972">
        <v>-0.157699999999977</v>
      </c>
      <c r="AF972">
        <v>0.151542667555736</v>
      </c>
      <c r="AG972">
        <v>-0.167541199999999</v>
      </c>
      <c r="AH972">
        <v>0.75509403630315497</v>
      </c>
      <c r="AI972">
        <v>102.27309369295099</v>
      </c>
      <c r="AJ972">
        <v>78.651851481537605</v>
      </c>
      <c r="AK972">
        <v>0.78816383921614896</v>
      </c>
      <c r="AL972">
        <v>79.489931304882006</v>
      </c>
      <c r="AM972">
        <v>90.534629957848907</v>
      </c>
      <c r="AN972">
        <v>0.99999993469606496</v>
      </c>
    </row>
    <row r="973" spans="1:40" x14ac:dyDescent="0.25">
      <c r="A973" t="str">
        <f>"20190312172108343"</f>
        <v>20190312172108343</v>
      </c>
      <c r="B973" t="str">
        <f>"1552382468332551"</f>
        <v>1552382468332551</v>
      </c>
      <c r="C973" t="s">
        <v>40</v>
      </c>
      <c r="D973">
        <v>3.2226119999999998</v>
      </c>
      <c r="E973">
        <v>0.56931889999999996</v>
      </c>
      <c r="F973" t="s">
        <v>41</v>
      </c>
      <c r="G973">
        <v>-309.9699</v>
      </c>
      <c r="H973">
        <v>0.92308769999999996</v>
      </c>
      <c r="I973">
        <v>367.88490000000002</v>
      </c>
      <c r="J973">
        <v>-310.62529999999998</v>
      </c>
      <c r="K973">
        <v>1.0624880000000001</v>
      </c>
      <c r="L973">
        <v>368.01620000000003</v>
      </c>
      <c r="M973">
        <v>0.99988109999999997</v>
      </c>
      <c r="N973">
        <v>0</v>
      </c>
      <c r="O973">
        <v>4.7239660000000002E-4</v>
      </c>
      <c r="P973">
        <v>0.98587999999999998</v>
      </c>
      <c r="Q973">
        <v>0.16716839999999999</v>
      </c>
      <c r="R973">
        <v>9.7764900000000005E-3</v>
      </c>
      <c r="S973">
        <v>3.1408689999999999</v>
      </c>
      <c r="T973">
        <v>-0.54779080000000002</v>
      </c>
      <c r="U973">
        <v>-0.51461789999999996</v>
      </c>
      <c r="V973">
        <v>-9.2354189999999999E-3</v>
      </c>
      <c r="W973">
        <v>0.1823497</v>
      </c>
      <c r="X973">
        <v>0.98319040000000002</v>
      </c>
      <c r="Y973">
        <v>0.15979939999999901</v>
      </c>
      <c r="Z973">
        <v>-1.382238E-2</v>
      </c>
      <c r="AA973">
        <v>0.98705270000000001</v>
      </c>
      <c r="AB973">
        <v>34</v>
      </c>
      <c r="AC973">
        <v>0.65539999999998599</v>
      </c>
      <c r="AD973">
        <v>-0.13940029999999901</v>
      </c>
      <c r="AE973">
        <v>-0.13130000000000999</v>
      </c>
      <c r="AF973">
        <v>0.12612404543303599</v>
      </c>
      <c r="AG973">
        <v>-0.13940029999999901</v>
      </c>
      <c r="AH973">
        <v>0.628022932310214</v>
      </c>
      <c r="AI973">
        <v>102.277381559917</v>
      </c>
      <c r="AJ973">
        <v>78.644506250358404</v>
      </c>
      <c r="AK973">
        <v>0.65555512505357205</v>
      </c>
      <c r="AL973">
        <v>79.493347168814495</v>
      </c>
      <c r="AM973">
        <v>90.538181585647294</v>
      </c>
      <c r="AN973">
        <v>1.0000000343531701</v>
      </c>
    </row>
    <row r="974" spans="1:40" x14ac:dyDescent="0.25">
      <c r="A974" t="str">
        <f>"20190312172108353"</f>
        <v>20190312172108353</v>
      </c>
      <c r="B974" t="str">
        <f>"1552382468342311"</f>
        <v>1552382468342311</v>
      </c>
      <c r="C974" t="s">
        <v>40</v>
      </c>
      <c r="D974">
        <v>3.2484329999999999</v>
      </c>
      <c r="E974">
        <v>0.56935990000000003</v>
      </c>
      <c r="F974" t="s">
        <v>41</v>
      </c>
      <c r="G974">
        <v>-309.67989999999998</v>
      </c>
      <c r="H974">
        <v>0.89745779999999997</v>
      </c>
      <c r="I974">
        <v>367.86090000000002</v>
      </c>
      <c r="J974">
        <v>-310.47129999999999</v>
      </c>
      <c r="K974">
        <v>1.062292</v>
      </c>
      <c r="L974">
        <v>368.01609999999999</v>
      </c>
      <c r="M974">
        <v>0.99988310000000002</v>
      </c>
      <c r="N974">
        <v>0</v>
      </c>
      <c r="O974">
        <v>3.9341689999999998E-4</v>
      </c>
      <c r="P974">
        <v>0.98584539999999998</v>
      </c>
      <c r="Q974">
        <v>0.1673692</v>
      </c>
      <c r="R974">
        <v>9.8209160000000007E-3</v>
      </c>
      <c r="S974">
        <v>3.1410520000000002</v>
      </c>
      <c r="T974">
        <v>-0.548377</v>
      </c>
      <c r="U974">
        <v>-0.51538090000000003</v>
      </c>
      <c r="V974">
        <v>-9.35624E-3</v>
      </c>
      <c r="W974">
        <v>0.18242700000000001</v>
      </c>
      <c r="X974">
        <v>0.98317489999999996</v>
      </c>
      <c r="Y974">
        <v>0.1599402</v>
      </c>
      <c r="Z974">
        <v>-1.383442E-2</v>
      </c>
      <c r="AA974">
        <v>0.98702970000000001</v>
      </c>
      <c r="AB974">
        <v>34</v>
      </c>
      <c r="AC974">
        <v>0.79140000000000998</v>
      </c>
      <c r="AD974">
        <v>-0.16483419999999899</v>
      </c>
      <c r="AE974">
        <v>-0.15519999999997899</v>
      </c>
      <c r="AF974">
        <v>0.14927543635819099</v>
      </c>
      <c r="AG974">
        <v>-0.16483419999999899</v>
      </c>
      <c r="AH974">
        <v>0.75960653039589998</v>
      </c>
      <c r="AI974">
        <v>102.020300163803</v>
      </c>
      <c r="AJ974">
        <v>78.882092821652506</v>
      </c>
      <c r="AK974">
        <v>0.79148945059910103</v>
      </c>
      <c r="AL974">
        <v>79.488842462080498</v>
      </c>
      <c r="AM974">
        <v>90.5452304392185</v>
      </c>
      <c r="AN974">
        <v>1.0000000167729699</v>
      </c>
    </row>
    <row r="975" spans="1:40" x14ac:dyDescent="0.25">
      <c r="A975" t="str">
        <f>"20190312172108364"</f>
        <v>20190312172108364</v>
      </c>
      <c r="B975" t="str">
        <f>"1552382468361831"</f>
        <v>1552382468361831</v>
      </c>
      <c r="C975" t="s">
        <v>40</v>
      </c>
      <c r="D975">
        <v>3.2256670000000001</v>
      </c>
      <c r="E975">
        <v>0.56947609999999904</v>
      </c>
      <c r="F975" t="s">
        <v>41</v>
      </c>
      <c r="G975">
        <v>-309.66890000000001</v>
      </c>
      <c r="H975">
        <v>0.92221569999999997</v>
      </c>
      <c r="I975">
        <v>367.88420000000002</v>
      </c>
      <c r="J975">
        <v>-310.30180000000001</v>
      </c>
      <c r="K975">
        <v>1.0620909999999999</v>
      </c>
      <c r="L975">
        <v>368.01620000000003</v>
      </c>
      <c r="M975">
        <v>0.99988509999999997</v>
      </c>
      <c r="N975">
        <v>0</v>
      </c>
      <c r="O975">
        <v>3.0542539999999998E-4</v>
      </c>
      <c r="P975">
        <v>0.98580900000000005</v>
      </c>
      <c r="Q975">
        <v>0.16758419999999999</v>
      </c>
      <c r="R975">
        <v>9.8304540000000006E-3</v>
      </c>
      <c r="S975">
        <v>3.141327</v>
      </c>
      <c r="T975">
        <v>-0.54847060000000003</v>
      </c>
      <c r="U975">
        <v>-0.51568599999999998</v>
      </c>
      <c r="V975">
        <v>-9.4517260000000006E-3</v>
      </c>
      <c r="W975">
        <v>0.18251139999999999</v>
      </c>
      <c r="X975">
        <v>0.98315830000000004</v>
      </c>
      <c r="Y975">
        <v>0.15993399999999999</v>
      </c>
      <c r="Z975">
        <v>-1.381979E-2</v>
      </c>
      <c r="AA975">
        <v>0.98703099999999999</v>
      </c>
      <c r="AB975">
        <v>34</v>
      </c>
      <c r="AC975">
        <v>0.63290000000000601</v>
      </c>
      <c r="AD975">
        <v>-0.13987529999999901</v>
      </c>
      <c r="AE975">
        <v>-0.132000000000005</v>
      </c>
      <c r="AF975">
        <v>0.12628230038174501</v>
      </c>
      <c r="AG975">
        <v>-0.13987529999999901</v>
      </c>
      <c r="AH975">
        <v>0.60456135388396803</v>
      </c>
      <c r="AI975">
        <v>102.760987690574</v>
      </c>
      <c r="AJ975">
        <v>78.201557087239607</v>
      </c>
      <c r="AK975">
        <v>0.63325093726721904</v>
      </c>
      <c r="AL975">
        <v>79.483923890962899</v>
      </c>
      <c r="AM975">
        <v>90.550803798648602</v>
      </c>
      <c r="AN975">
        <v>0.99999999455661404</v>
      </c>
    </row>
    <row r="976" spans="1:40" x14ac:dyDescent="0.25">
      <c r="A976" t="str">
        <f>"20190312172108374"</f>
        <v>20190312172108374</v>
      </c>
      <c r="B976" t="str">
        <f>"1552382468361831"</f>
        <v>1552382468361831</v>
      </c>
      <c r="C976" t="s">
        <v>40</v>
      </c>
      <c r="D976">
        <v>3.2256670000000001</v>
      </c>
      <c r="E976">
        <v>0.56947609999999904</v>
      </c>
      <c r="F976" t="s">
        <v>41</v>
      </c>
      <c r="G976">
        <v>-309.37720000000002</v>
      </c>
      <c r="H976">
        <v>0.90058570000000004</v>
      </c>
      <c r="I976">
        <v>367.8639</v>
      </c>
      <c r="J976">
        <v>-310.14429999999999</v>
      </c>
      <c r="K976">
        <v>1.061922</v>
      </c>
      <c r="L976">
        <v>368.01609999999999</v>
      </c>
      <c r="M976">
        <v>0.99988699999999997</v>
      </c>
      <c r="N976">
        <v>0</v>
      </c>
      <c r="O976">
        <v>2.218857E-4</v>
      </c>
      <c r="P976">
        <v>0.98581319999999995</v>
      </c>
      <c r="Q976">
        <v>0.16757339999999901</v>
      </c>
      <c r="R976">
        <v>9.5743890000000009E-3</v>
      </c>
      <c r="S976">
        <v>3.1416629999999999</v>
      </c>
      <c r="T976">
        <v>-0.54884460000000002</v>
      </c>
      <c r="U976">
        <v>-0.51715089999999997</v>
      </c>
      <c r="V976">
        <v>-9.2770760000000004E-3</v>
      </c>
      <c r="W976">
        <v>0.18238760000000001</v>
      </c>
      <c r="X976">
        <v>0.98318289999999997</v>
      </c>
      <c r="Y976">
        <v>0.16027649999999999</v>
      </c>
      <c r="Z976">
        <v>-1.384224E-2</v>
      </c>
      <c r="AA976">
        <v>0.98697509999999999</v>
      </c>
      <c r="AB976">
        <v>34</v>
      </c>
      <c r="AC976">
        <v>0.76709999999997003</v>
      </c>
      <c r="AD976">
        <v>-0.16133629999999999</v>
      </c>
      <c r="AE976">
        <v>-0.15219999999999301</v>
      </c>
      <c r="AF976">
        <v>0.146150214918111</v>
      </c>
      <c r="AG976">
        <v>-0.16133629999999999</v>
      </c>
      <c r="AH976">
        <v>0.73575327225893505</v>
      </c>
      <c r="AI976">
        <v>102.138163616217</v>
      </c>
      <c r="AJ976">
        <v>78.764998480833896</v>
      </c>
      <c r="AK976">
        <v>0.76728232395776597</v>
      </c>
      <c r="AL976">
        <v>79.491137808518502</v>
      </c>
      <c r="AM976">
        <v>90.540613071061202</v>
      </c>
      <c r="AN976">
        <v>0.99999995781263895</v>
      </c>
    </row>
    <row r="977" spans="1:40" x14ac:dyDescent="0.25">
      <c r="A977" t="str">
        <f>"20190312172108385"</f>
        <v>20190312172108385</v>
      </c>
      <c r="B977" t="str">
        <f>"1552382468382328"</f>
        <v>1552382468382328</v>
      </c>
      <c r="C977" t="s">
        <v>40</v>
      </c>
      <c r="D977">
        <v>3.168418</v>
      </c>
      <c r="E977">
        <v>0.56960929999999999</v>
      </c>
      <c r="F977" t="s">
        <v>41</v>
      </c>
      <c r="G977">
        <v>-309.36590000000001</v>
      </c>
      <c r="H977">
        <v>0.92590740000000005</v>
      </c>
      <c r="I977">
        <v>367.8877</v>
      </c>
      <c r="J977">
        <v>-309.98360000000002</v>
      </c>
      <c r="K977">
        <v>1.061766</v>
      </c>
      <c r="L977">
        <v>368.01609999999999</v>
      </c>
      <c r="M977">
        <v>0.99988860000000002</v>
      </c>
      <c r="N977">
        <v>0</v>
      </c>
      <c r="O977">
        <v>1.353928E-4</v>
      </c>
      <c r="P977">
        <v>0.98576540000000001</v>
      </c>
      <c r="Q977">
        <v>0.16785600000000001</v>
      </c>
      <c r="R977">
        <v>9.5335000000000003E-3</v>
      </c>
      <c r="S977">
        <v>3.1415099999999998</v>
      </c>
      <c r="T977">
        <v>-0.54898549999999902</v>
      </c>
      <c r="U977">
        <v>-0.51776120000000003</v>
      </c>
      <c r="V977">
        <v>-9.3208430000000005E-3</v>
      </c>
      <c r="W977">
        <v>0.18255969999999999</v>
      </c>
      <c r="X977">
        <v>0.98315059999999999</v>
      </c>
      <c r="Y977">
        <v>0.1603839</v>
      </c>
      <c r="Z977">
        <v>-1.384052E-2</v>
      </c>
      <c r="AA977">
        <v>0.98695770000000005</v>
      </c>
      <c r="AB977">
        <v>34</v>
      </c>
      <c r="AC977">
        <v>0.61770000000001302</v>
      </c>
      <c r="AD977">
        <v>-0.135858599999999</v>
      </c>
      <c r="AE977">
        <v>-0.12839999999999899</v>
      </c>
      <c r="AF977">
        <v>0.122789740758347</v>
      </c>
      <c r="AG977">
        <v>-0.135858599999999</v>
      </c>
      <c r="AH977">
        <v>0.59030929651589603</v>
      </c>
      <c r="AI977">
        <v>102.698112582668</v>
      </c>
      <c r="AJ977">
        <v>78.249513378360902</v>
      </c>
      <c r="AK977">
        <v>0.61806144126822404</v>
      </c>
      <c r="AL977">
        <v>79.481109404174504</v>
      </c>
      <c r="AM977">
        <v>90.543181244067299</v>
      </c>
      <c r="AN977">
        <v>1.00000001222934</v>
      </c>
    </row>
    <row r="978" spans="1:40" x14ac:dyDescent="0.25">
      <c r="A978" t="str">
        <f>"20190312172108395"</f>
        <v>20190312172108395</v>
      </c>
      <c r="B978" t="str">
        <f>"1552382468392087"</f>
        <v>1552382468392087</v>
      </c>
      <c r="C978" t="s">
        <v>40</v>
      </c>
      <c r="D978">
        <v>3.218302</v>
      </c>
      <c r="E978">
        <v>0.56960929999999999</v>
      </c>
      <c r="F978" t="s">
        <v>41</v>
      </c>
      <c r="G978">
        <v>-309.07490000000001</v>
      </c>
      <c r="H978">
        <v>0.90318449999999995</v>
      </c>
      <c r="I978">
        <v>367.8657</v>
      </c>
      <c r="J978">
        <v>-309.81349999999998</v>
      </c>
      <c r="K978">
        <v>1.0616099999999999</v>
      </c>
      <c r="L978">
        <v>368.01600000000002</v>
      </c>
      <c r="M978">
        <v>0.99989030000000001</v>
      </c>
      <c r="N978">
        <v>0</v>
      </c>
      <c r="O978" s="1">
        <v>4.2458949999999998E-5</v>
      </c>
      <c r="P978">
        <v>0.98574470000000003</v>
      </c>
      <c r="Q978">
        <v>0.16798879999999999</v>
      </c>
      <c r="R978">
        <v>9.352572E-3</v>
      </c>
      <c r="S978">
        <v>3.141724</v>
      </c>
      <c r="T978">
        <v>-0.54842259999999998</v>
      </c>
      <c r="U978">
        <v>-0.5187988</v>
      </c>
      <c r="V978">
        <v>-9.2303239999999998E-3</v>
      </c>
      <c r="W978">
        <v>0.1825822</v>
      </c>
      <c r="X978">
        <v>0.98314729999999995</v>
      </c>
      <c r="Y978">
        <v>0.1606022</v>
      </c>
      <c r="Z978">
        <v>-1.382805E-2</v>
      </c>
      <c r="AA978">
        <v>0.98692230000000003</v>
      </c>
      <c r="AB978">
        <v>34</v>
      </c>
      <c r="AC978">
        <v>0.73859999999996195</v>
      </c>
      <c r="AD978">
        <v>-0.1584255</v>
      </c>
      <c r="AE978">
        <v>-0.15029999999995799</v>
      </c>
      <c r="AF978">
        <v>0.143970955933091</v>
      </c>
      <c r="AG978">
        <v>-0.1584255</v>
      </c>
      <c r="AH978">
        <v>0.70734427352929496</v>
      </c>
      <c r="AI978">
        <v>102.378576760575</v>
      </c>
      <c r="AJ978">
        <v>78.495322522102697</v>
      </c>
      <c r="AK978">
        <v>0.73902787261186897</v>
      </c>
      <c r="AL978">
        <v>79.479798465159107</v>
      </c>
      <c r="AM978">
        <v>90.537908277678696</v>
      </c>
      <c r="AN978">
        <v>1.00000003606763</v>
      </c>
    </row>
    <row r="979" spans="1:40" x14ac:dyDescent="0.25">
      <c r="A979" t="str">
        <f>"20190312172108408"</f>
        <v>20190312172108408</v>
      </c>
      <c r="B979" t="str">
        <f>"1552382468401847"</f>
        <v>1552382468401847</v>
      </c>
      <c r="C979" t="s">
        <v>40</v>
      </c>
      <c r="D979">
        <v>3.1764329999999998</v>
      </c>
      <c r="E979">
        <v>0.5915629</v>
      </c>
      <c r="F979" t="s">
        <v>41</v>
      </c>
      <c r="G979">
        <v>-309.0625</v>
      </c>
      <c r="H979">
        <v>0.9306295</v>
      </c>
      <c r="I979">
        <v>367.89159999999998</v>
      </c>
      <c r="J979">
        <v>-309.63670000000002</v>
      </c>
      <c r="K979">
        <v>1.0614629999999901</v>
      </c>
      <c r="L979">
        <v>368.01580000000001</v>
      </c>
      <c r="M979">
        <v>0.99989189999999994</v>
      </c>
      <c r="N979">
        <v>0</v>
      </c>
      <c r="O979" s="1">
        <v>-5.5693209999999998E-5</v>
      </c>
      <c r="P979">
        <v>0.98574569999999995</v>
      </c>
      <c r="Q979">
        <v>0.16799549999999999</v>
      </c>
      <c r="R979">
        <v>9.1358700000000008E-3</v>
      </c>
      <c r="S979">
        <v>3.141724</v>
      </c>
      <c r="T979">
        <v>-0.54811880000000002</v>
      </c>
      <c r="U979">
        <v>-0.51892090000000002</v>
      </c>
      <c r="V979">
        <v>-9.1100150000000008E-3</v>
      </c>
      <c r="W979">
        <v>0.18248329999999999</v>
      </c>
      <c r="X979">
        <v>0.98316680000000001</v>
      </c>
      <c r="Y979">
        <v>0.16054760000000001</v>
      </c>
      <c r="Z979">
        <v>-1.3798879999999999E-2</v>
      </c>
      <c r="AA979">
        <v>0.98693160000000002</v>
      </c>
      <c r="AB979">
        <v>34</v>
      </c>
      <c r="AC979">
        <v>0.57420000000001803</v>
      </c>
      <c r="AD979">
        <v>-0.13083349999999899</v>
      </c>
      <c r="AE979">
        <v>-0.12420000000002999</v>
      </c>
      <c r="AF979">
        <v>0.118300682807865</v>
      </c>
      <c r="AG979">
        <v>-0.13083349999999899</v>
      </c>
      <c r="AH979">
        <v>0.54707381031644697</v>
      </c>
      <c r="AI979">
        <v>103.15659279586301</v>
      </c>
      <c r="AJ979">
        <v>77.798085146626306</v>
      </c>
      <c r="AK979">
        <v>0.57480623710013101</v>
      </c>
      <c r="AL979">
        <v>79.485562011832499</v>
      </c>
      <c r="AM979">
        <v>90.530887000216893</v>
      </c>
      <c r="AN979">
        <v>1.0000000518872101</v>
      </c>
    </row>
    <row r="980" spans="1:40" x14ac:dyDescent="0.25">
      <c r="A980" t="str">
        <f>"20190312172108419"</f>
        <v>20190312172108419</v>
      </c>
      <c r="B980" t="str">
        <f>"1552382468412583"</f>
        <v>1552382468412583</v>
      </c>
      <c r="C980" t="s">
        <v>40</v>
      </c>
      <c r="D980">
        <v>3.2617590000000001</v>
      </c>
      <c r="E980">
        <v>0.59898779999999996</v>
      </c>
      <c r="F980" t="s">
        <v>41</v>
      </c>
      <c r="G980">
        <v>-308.74509999999998</v>
      </c>
      <c r="H980">
        <v>0.952152</v>
      </c>
      <c r="I980">
        <v>367.81630000000001</v>
      </c>
      <c r="J980">
        <v>-309.46679999999998</v>
      </c>
      <c r="K980">
        <v>1.061328</v>
      </c>
      <c r="L980">
        <v>368.01569999999998</v>
      </c>
      <c r="M980">
        <v>0.99989320000000004</v>
      </c>
      <c r="N980">
        <v>0</v>
      </c>
      <c r="O980">
        <v>-1.5038789999999999E-4</v>
      </c>
      <c r="P980">
        <v>0.98574629999999996</v>
      </c>
      <c r="Q980">
        <v>0.16800019999999999</v>
      </c>
      <c r="R980">
        <v>8.9664779999999999E-3</v>
      </c>
      <c r="S980">
        <v>3.1149900000000001</v>
      </c>
      <c r="T980">
        <v>-0.3821716</v>
      </c>
      <c r="U980">
        <v>-0.69595340000000006</v>
      </c>
      <c r="V980">
        <v>-9.0332910000000006E-3</v>
      </c>
      <c r="W980">
        <v>0.18238950000000001</v>
      </c>
      <c r="X980">
        <v>0.98318490000000003</v>
      </c>
      <c r="Y980">
        <v>0.21635389999999999</v>
      </c>
      <c r="Z980">
        <v>-1.3044999999999999E-2</v>
      </c>
      <c r="AA980">
        <v>0.97622790000000004</v>
      </c>
      <c r="AB980">
        <v>34</v>
      </c>
      <c r="AC980">
        <v>0.72169999999999801</v>
      </c>
      <c r="AD980">
        <v>-0.109176</v>
      </c>
      <c r="AE980">
        <v>-0.19939999999996799</v>
      </c>
      <c r="AF980">
        <v>0.19514244307188999</v>
      </c>
      <c r="AG980">
        <v>-0.109176</v>
      </c>
      <c r="AH980">
        <v>0.70670443287554296</v>
      </c>
      <c r="AI980">
        <v>98.469857279698203</v>
      </c>
      <c r="AJ980">
        <v>74.563562811272703</v>
      </c>
      <c r="AK980">
        <v>0.74123621573018805</v>
      </c>
      <c r="AL980">
        <v>79.491027950393999</v>
      </c>
      <c r="AM980">
        <v>90.526406463873798</v>
      </c>
      <c r="AN980">
        <v>1.0000000388222701</v>
      </c>
    </row>
    <row r="981" spans="1:40" x14ac:dyDescent="0.25">
      <c r="A981" t="str">
        <f>"20190312172108431"</f>
        <v>20190312172108431</v>
      </c>
      <c r="B981" t="str">
        <f>"1552382468422342"</f>
        <v>1552382468422342</v>
      </c>
      <c r="C981" t="s">
        <v>40</v>
      </c>
      <c r="D981">
        <v>3.2212740000000002</v>
      </c>
      <c r="E981">
        <v>0.60686490000000004</v>
      </c>
      <c r="F981" t="s">
        <v>43</v>
      </c>
      <c r="G981">
        <v>-298.90879999999999</v>
      </c>
      <c r="H981">
        <v>-0.05</v>
      </c>
      <c r="I981">
        <v>365.44409999999999</v>
      </c>
      <c r="J981">
        <v>-309.2989</v>
      </c>
      <c r="K981">
        <v>1.0612140000000001</v>
      </c>
      <c r="L981">
        <v>368.01560000000001</v>
      </c>
      <c r="M981">
        <v>0.99989459999999997</v>
      </c>
      <c r="N981">
        <v>0</v>
      </c>
      <c r="O981">
        <v>-2.454593E-4</v>
      </c>
      <c r="P981">
        <v>0.98572280000000001</v>
      </c>
      <c r="Q981">
        <v>0.1681435</v>
      </c>
      <c r="R981">
        <v>8.868407E-3</v>
      </c>
      <c r="S981">
        <v>3.105988</v>
      </c>
      <c r="T981">
        <v>-0.32693159999999999</v>
      </c>
      <c r="U981">
        <v>-0.75653079999999995</v>
      </c>
      <c r="V981">
        <v>-9.0285060000000004E-3</v>
      </c>
      <c r="W981">
        <v>0.18244479999999999</v>
      </c>
      <c r="X981">
        <v>0.98317460000000001</v>
      </c>
      <c r="Y981">
        <v>0.23518900000000001</v>
      </c>
      <c r="Z981">
        <v>-1.2141900000000001E-2</v>
      </c>
      <c r="AA981">
        <v>0.97187380000000001</v>
      </c>
      <c r="AB981">
        <v>34</v>
      </c>
      <c r="AC981">
        <v>10.3901</v>
      </c>
      <c r="AD981">
        <v>-1.1112139999999999</v>
      </c>
      <c r="AE981">
        <v>-2.5715000000000101</v>
      </c>
      <c r="AF981">
        <v>2.5415565067060402</v>
      </c>
      <c r="AG981">
        <v>-1.1112139999999999</v>
      </c>
      <c r="AH981">
        <v>10.279934208019901</v>
      </c>
      <c r="AI981">
        <v>95.990460374085004</v>
      </c>
      <c r="AJ981">
        <v>76.112973003944603</v>
      </c>
      <c r="AK981">
        <v>10.6475984781449</v>
      </c>
      <c r="AL981">
        <v>79.487804548926306</v>
      </c>
      <c r="AM981">
        <v>90.526133149760597</v>
      </c>
      <c r="AN981">
        <v>0.99999995652639495</v>
      </c>
    </row>
    <row r="982" spans="1:40" x14ac:dyDescent="0.25">
      <c r="A982" t="str">
        <f>"20190312172108440"</f>
        <v>20190312172108440</v>
      </c>
      <c r="B982" t="str">
        <f>"1552382468432103"</f>
        <v>1552382468432103</v>
      </c>
      <c r="C982" t="s">
        <v>40</v>
      </c>
      <c r="D982">
        <v>3.2525689999999998</v>
      </c>
      <c r="E982">
        <v>0.61090979999999995</v>
      </c>
      <c r="F982" t="s">
        <v>43</v>
      </c>
      <c r="G982">
        <v>-297.00970000000001</v>
      </c>
      <c r="H982">
        <v>-0.05</v>
      </c>
      <c r="I982">
        <v>364.7627</v>
      </c>
      <c r="J982">
        <v>-309.13959999999997</v>
      </c>
      <c r="K982">
        <v>1.0611090000000001</v>
      </c>
      <c r="L982">
        <v>368.01549999999997</v>
      </c>
      <c r="M982">
        <v>0.9998958</v>
      </c>
      <c r="N982">
        <v>0</v>
      </c>
      <c r="O982">
        <v>-3.3581010000000001E-4</v>
      </c>
      <c r="P982">
        <v>0.98570559999999996</v>
      </c>
      <c r="Q982">
        <v>0.1682612</v>
      </c>
      <c r="R982">
        <v>8.5437499999999993E-3</v>
      </c>
      <c r="S982">
        <v>3.0986020000000001</v>
      </c>
      <c r="T982">
        <v>-0.28018209999999999</v>
      </c>
      <c r="U982">
        <v>-0.82019039999999999</v>
      </c>
      <c r="V982">
        <v>-8.7921630000000004E-3</v>
      </c>
      <c r="W982">
        <v>0.18248139999999999</v>
      </c>
      <c r="X982">
        <v>0.98316999999999999</v>
      </c>
      <c r="Y982">
        <v>0.25459029999999999</v>
      </c>
      <c r="Z982">
        <v>-1.1263749999999999E-2</v>
      </c>
      <c r="AA982">
        <v>0.96698340000000005</v>
      </c>
      <c r="AB982">
        <v>34</v>
      </c>
      <c r="AC982">
        <v>12.1298999999999</v>
      </c>
      <c r="AD982">
        <v>-1.1111089999999999</v>
      </c>
      <c r="AE982">
        <v>-3.2527999999999699</v>
      </c>
      <c r="AF982">
        <v>3.2234931831040399</v>
      </c>
      <c r="AG982">
        <v>-1.1111089999999999</v>
      </c>
      <c r="AH982">
        <v>12.0367702986296</v>
      </c>
      <c r="AI982">
        <v>95.095441591815401</v>
      </c>
      <c r="AJ982">
        <v>75.007771038574006</v>
      </c>
      <c r="AK982">
        <v>12.5103681294105</v>
      </c>
      <c r="AL982">
        <v>79.485672246948099</v>
      </c>
      <c r="AM982">
        <v>90.512363482121003</v>
      </c>
      <c r="AN982">
        <v>1.00000000618808</v>
      </c>
    </row>
    <row r="983" spans="1:40" x14ac:dyDescent="0.25">
      <c r="A983" t="str">
        <f>"20190312172108451"</f>
        <v>20190312172108451</v>
      </c>
      <c r="B983" t="str">
        <f>"1552382468441863"</f>
        <v>1552382468441863</v>
      </c>
      <c r="C983" t="s">
        <v>40</v>
      </c>
      <c r="D983">
        <v>3.235087</v>
      </c>
      <c r="E983">
        <v>0.61355349999999997</v>
      </c>
      <c r="F983" t="s">
        <v>43</v>
      </c>
      <c r="G983">
        <v>-295.12819999999999</v>
      </c>
      <c r="H983">
        <v>-0.05</v>
      </c>
      <c r="I983">
        <v>364.14870000000002</v>
      </c>
      <c r="J983">
        <v>-308.9742</v>
      </c>
      <c r="K983">
        <v>1.061018</v>
      </c>
      <c r="L983">
        <v>368.0154</v>
      </c>
      <c r="M983">
        <v>0.99989689999999998</v>
      </c>
      <c r="N983">
        <v>0</v>
      </c>
      <c r="O983">
        <v>-4.2965439999999999E-4</v>
      </c>
      <c r="P983">
        <v>0.98568809999999996</v>
      </c>
      <c r="Q983">
        <v>0.16836089999999901</v>
      </c>
      <c r="R983">
        <v>8.6015889999999998E-3</v>
      </c>
      <c r="S983">
        <v>3.092743</v>
      </c>
      <c r="T983">
        <v>-0.2452541</v>
      </c>
      <c r="U983">
        <v>-0.85351559999999904</v>
      </c>
      <c r="V983">
        <v>-8.9426119999999904E-3</v>
      </c>
      <c r="W983">
        <v>0.1825039</v>
      </c>
      <c r="X983">
        <v>0.98316440000000005</v>
      </c>
      <c r="Y983">
        <v>0.26484340000000001</v>
      </c>
      <c r="Z983">
        <v>-1.025966E-2</v>
      </c>
      <c r="AA983">
        <v>0.96423689999999995</v>
      </c>
      <c r="AB983">
        <v>34</v>
      </c>
      <c r="AC983">
        <v>13.846</v>
      </c>
      <c r="AD983">
        <v>-1.1110180000000001</v>
      </c>
      <c r="AE983">
        <v>-3.8666999999999798</v>
      </c>
      <c r="AF983">
        <v>3.8378273907712499</v>
      </c>
      <c r="AG983">
        <v>-1.1110180000000001</v>
      </c>
      <c r="AH983">
        <v>13.7654417590348</v>
      </c>
      <c r="AI983">
        <v>94.4455529701101</v>
      </c>
      <c r="AJ983">
        <v>74.4214439706859</v>
      </c>
      <c r="AK983">
        <v>14.3335503940599</v>
      </c>
      <c r="AL983">
        <v>79.4843603763955</v>
      </c>
      <c r="AM983">
        <v>90.521133389412199</v>
      </c>
      <c r="AN983">
        <v>0.99999994062597397</v>
      </c>
    </row>
    <row r="984" spans="1:40" x14ac:dyDescent="0.25">
      <c r="A984" t="str">
        <f>"20190312172108463"</f>
        <v>20190312172108463</v>
      </c>
      <c r="B984" t="str">
        <f>"1552382468452599"</f>
        <v>1552382468452599</v>
      </c>
      <c r="C984" t="s">
        <v>40</v>
      </c>
      <c r="D984">
        <v>3.2632059999999998</v>
      </c>
      <c r="E984">
        <v>0.61572769999999899</v>
      </c>
      <c r="F984" t="s">
        <v>43</v>
      </c>
      <c r="G984">
        <v>-293.83629999999999</v>
      </c>
      <c r="H984">
        <v>-0.05</v>
      </c>
      <c r="I984">
        <v>363.73099999999999</v>
      </c>
      <c r="J984">
        <v>-308.80759999999998</v>
      </c>
      <c r="K984">
        <v>1.0609280000000001</v>
      </c>
      <c r="L984">
        <v>368.01519999999999</v>
      </c>
      <c r="M984">
        <v>0.99989799999999995</v>
      </c>
      <c r="N984">
        <v>0</v>
      </c>
      <c r="O984">
        <v>-5.2423019999999995E-4</v>
      </c>
      <c r="P984">
        <v>0.98568860000000003</v>
      </c>
      <c r="Q984">
        <v>0.16835749999999999</v>
      </c>
      <c r="R984">
        <v>8.6214429999999995E-3</v>
      </c>
      <c r="S984">
        <v>3.0899350000000001</v>
      </c>
      <c r="T984">
        <v>-0.2267805</v>
      </c>
      <c r="U984">
        <v>-0.8745117</v>
      </c>
      <c r="V984">
        <v>-9.0552619999999997E-3</v>
      </c>
      <c r="W984">
        <v>0.18242559999999999</v>
      </c>
      <c r="X984">
        <v>0.983178</v>
      </c>
      <c r="Y984">
        <v>0.27114460000000001</v>
      </c>
      <c r="Z984">
        <v>-9.7083900000000008E-3</v>
      </c>
      <c r="AA984">
        <v>0.9624897</v>
      </c>
      <c r="AB984">
        <v>34</v>
      </c>
      <c r="AC984">
        <v>14.9712999999999</v>
      </c>
      <c r="AD984">
        <v>-1.1109279999999999</v>
      </c>
      <c r="AE984">
        <v>-4.2841999999999896</v>
      </c>
      <c r="AF984">
        <v>4.2546961591344497</v>
      </c>
      <c r="AG984">
        <v>-1.1109279999999999</v>
      </c>
      <c r="AH984">
        <v>14.897722926836799</v>
      </c>
      <c r="AI984">
        <v>94.101284982169304</v>
      </c>
      <c r="AJ984">
        <v>74.060990683605596</v>
      </c>
      <c r="AK984">
        <v>15.5331499971041</v>
      </c>
      <c r="AL984">
        <v>79.488924276087204</v>
      </c>
      <c r="AM984">
        <v>90.527690433871896</v>
      </c>
      <c r="AN984">
        <v>1.0000000384946199</v>
      </c>
    </row>
    <row r="985" spans="1:40" x14ac:dyDescent="0.25">
      <c r="A985" t="str">
        <f>"20190312172108474"</f>
        <v>20190312172108474</v>
      </c>
      <c r="B985" t="str">
        <f>"1552382468472119"</f>
        <v>1552382468472119</v>
      </c>
      <c r="C985" t="s">
        <v>40</v>
      </c>
      <c r="D985">
        <v>3.2478470000000002</v>
      </c>
      <c r="E985">
        <v>0.61867050000000001</v>
      </c>
      <c r="F985" t="s">
        <v>43</v>
      </c>
      <c r="G985">
        <v>-292.81180000000001</v>
      </c>
      <c r="H985">
        <v>-0.05</v>
      </c>
      <c r="I985">
        <v>363.39449999999999</v>
      </c>
      <c r="J985">
        <v>-308.6379</v>
      </c>
      <c r="K985">
        <v>1.0608470000000001</v>
      </c>
      <c r="L985">
        <v>368.01499999999999</v>
      </c>
      <c r="M985">
        <v>0.99989890000000003</v>
      </c>
      <c r="N985">
        <v>0</v>
      </c>
      <c r="O985">
        <v>-6.2074389999999997E-4</v>
      </c>
      <c r="P985">
        <v>0.98565820000000004</v>
      </c>
      <c r="Q985">
        <v>0.16854160000000001</v>
      </c>
      <c r="R985">
        <v>8.4772890000000007E-3</v>
      </c>
      <c r="S985">
        <v>3.0879819999999998</v>
      </c>
      <c r="T985">
        <v>-0.21446470000000001</v>
      </c>
      <c r="U985">
        <v>-0.89202879999999996</v>
      </c>
      <c r="V985">
        <v>-9.0058440000000007E-3</v>
      </c>
      <c r="W985">
        <v>0.1825386</v>
      </c>
      <c r="X985">
        <v>0.98315750000000002</v>
      </c>
      <c r="Y985">
        <v>0.27631440000000002</v>
      </c>
      <c r="Z985">
        <v>-9.3501260000000003E-3</v>
      </c>
      <c r="AA985">
        <v>0.96102180000000004</v>
      </c>
      <c r="AB985">
        <v>34</v>
      </c>
      <c r="AC985">
        <v>15.826099999999901</v>
      </c>
      <c r="AD985">
        <v>-1.1108469999999999</v>
      </c>
      <c r="AE985">
        <v>-4.6204999999999901</v>
      </c>
      <c r="AF985">
        <v>4.5898372577357396</v>
      </c>
      <c r="AG985">
        <v>-1.1108469999999999</v>
      </c>
      <c r="AH985">
        <v>15.757429936066501</v>
      </c>
      <c r="AI985">
        <v>93.872093841916396</v>
      </c>
      <c r="AJ985">
        <v>73.760171085127993</v>
      </c>
      <c r="AK985">
        <v>16.449838458172</v>
      </c>
      <c r="AL985">
        <v>79.482339490788206</v>
      </c>
      <c r="AM985">
        <v>90.524821730817095</v>
      </c>
      <c r="AN985">
        <v>1.0000000577611701</v>
      </c>
    </row>
    <row r="986" spans="1:40" x14ac:dyDescent="0.25">
      <c r="A986" t="str">
        <f>"20190312172108486"</f>
        <v>20190312172108486</v>
      </c>
      <c r="B986" t="str">
        <f>"1552382468481879"</f>
        <v>1552382468481879</v>
      </c>
      <c r="C986" t="s">
        <v>40</v>
      </c>
      <c r="D986">
        <v>3.2216040000000001</v>
      </c>
      <c r="E986">
        <v>0.61967539999999999</v>
      </c>
      <c r="F986" t="s">
        <v>43</v>
      </c>
      <c r="G986">
        <v>-291.07130000000001</v>
      </c>
      <c r="H986">
        <v>-0.05</v>
      </c>
      <c r="I986">
        <v>362.79939999999999</v>
      </c>
      <c r="J986">
        <v>-308.46339999999998</v>
      </c>
      <c r="K986">
        <v>1.0607740000000001</v>
      </c>
      <c r="L986">
        <v>368.01479999999998</v>
      </c>
      <c r="M986">
        <v>0.99989989999999995</v>
      </c>
      <c r="N986">
        <v>0</v>
      </c>
      <c r="O986">
        <v>-7.1989809999999999E-4</v>
      </c>
      <c r="P986">
        <v>0.98564459999999998</v>
      </c>
      <c r="Q986">
        <v>0.1686281</v>
      </c>
      <c r="R986">
        <v>8.3525270000000002E-3</v>
      </c>
      <c r="S986">
        <v>3.0848390000000001</v>
      </c>
      <c r="T986">
        <v>-0.1950742</v>
      </c>
      <c r="U986">
        <v>-0.91589359999999997</v>
      </c>
      <c r="V986">
        <v>-8.9786220000000003E-3</v>
      </c>
      <c r="W986">
        <v>0.18255640000000001</v>
      </c>
      <c r="X986">
        <v>0.98315439999999998</v>
      </c>
      <c r="Y986">
        <v>0.28341250000000001</v>
      </c>
      <c r="Z986">
        <v>-8.7190340000000005E-3</v>
      </c>
      <c r="AA986">
        <v>0.95895839999999999</v>
      </c>
      <c r="AB986">
        <v>34</v>
      </c>
      <c r="AC986">
        <v>17.3920999999999</v>
      </c>
      <c r="AD986">
        <v>-1.1107739999999999</v>
      </c>
      <c r="AE986">
        <v>-5.2153999999999803</v>
      </c>
      <c r="AF986">
        <v>5.1834781512948496</v>
      </c>
      <c r="AG986">
        <v>-1.1107739999999999</v>
      </c>
      <c r="AH986">
        <v>17.330990728753399</v>
      </c>
      <c r="AI986">
        <v>93.513789340820693</v>
      </c>
      <c r="AJ986">
        <v>73.348747079248099</v>
      </c>
      <c r="AK986">
        <v>18.123617306270901</v>
      </c>
      <c r="AL986">
        <v>79.481301736508698</v>
      </c>
      <c r="AM986">
        <v>90.523237088173701</v>
      </c>
      <c r="AN986">
        <v>1.0000000145366601</v>
      </c>
    </row>
    <row r="987" spans="1:40" x14ac:dyDescent="0.25">
      <c r="A987" t="str">
        <f>"20190312172108498"</f>
        <v>20190312172108498</v>
      </c>
      <c r="B987" t="str">
        <f>"1552382468492615"</f>
        <v>1552382468492615</v>
      </c>
      <c r="C987" t="s">
        <v>40</v>
      </c>
      <c r="D987">
        <v>3.1816360000000001</v>
      </c>
      <c r="E987">
        <v>0.62055719999999903</v>
      </c>
      <c r="F987" t="s">
        <v>43</v>
      </c>
      <c r="G987">
        <v>-290.02210000000002</v>
      </c>
      <c r="H987">
        <v>-0.05</v>
      </c>
      <c r="I987">
        <v>362.4873</v>
      </c>
      <c r="J987">
        <v>-308.27620000000002</v>
      </c>
      <c r="K987">
        <v>1.0606990000000001</v>
      </c>
      <c r="L987">
        <v>368.01459999999997</v>
      </c>
      <c r="M987">
        <v>0.99990069999999998</v>
      </c>
      <c r="N987">
        <v>0</v>
      </c>
      <c r="O987">
        <v>-8.2619669999999998E-4</v>
      </c>
      <c r="P987">
        <v>0.98567450000000001</v>
      </c>
      <c r="Q987">
        <v>0.16845829999999901</v>
      </c>
      <c r="R987">
        <v>8.2282029999999999E-3</v>
      </c>
      <c r="S987">
        <v>3.083313</v>
      </c>
      <c r="T987">
        <v>-0.18571650000000001</v>
      </c>
      <c r="U987">
        <v>-0.92416379999999998</v>
      </c>
      <c r="V987">
        <v>-8.9588669999999902E-3</v>
      </c>
      <c r="W987">
        <v>0.1823178</v>
      </c>
      <c r="X987">
        <v>0.98319880000000004</v>
      </c>
      <c r="Y987">
        <v>0.28584579999999998</v>
      </c>
      <c r="Z987">
        <v>-8.3677170000000002E-3</v>
      </c>
      <c r="AA987">
        <v>0.95823910000000001</v>
      </c>
      <c r="AB987">
        <v>34</v>
      </c>
      <c r="AC987">
        <v>18.254099999999902</v>
      </c>
      <c r="AD987">
        <v>-1.1106989999999901</v>
      </c>
      <c r="AE987">
        <v>-5.5272999999999604</v>
      </c>
      <c r="AF987">
        <v>5.4935844169846701</v>
      </c>
      <c r="AG987">
        <v>-1.1106989999999901</v>
      </c>
      <c r="AH987">
        <v>18.196948441451799</v>
      </c>
      <c r="AI987">
        <v>93.3441552191629</v>
      </c>
      <c r="AJ987">
        <v>73.201149143699197</v>
      </c>
      <c r="AK987">
        <v>19.0405371404274</v>
      </c>
      <c r="AL987">
        <v>79.495205285072799</v>
      </c>
      <c r="AM987">
        <v>90.5220623365542</v>
      </c>
      <c r="AN987">
        <v>0.99999996090810095</v>
      </c>
    </row>
    <row r="988" spans="1:40" x14ac:dyDescent="0.25">
      <c r="A988" t="str">
        <f>"20190312172108511"</f>
        <v>20190312172108511</v>
      </c>
      <c r="B988" t="str">
        <f>"1552382468502375"</f>
        <v>1552382468502375</v>
      </c>
      <c r="C988" t="s">
        <v>40</v>
      </c>
      <c r="D988">
        <v>3.2115239999999998</v>
      </c>
      <c r="E988">
        <v>0.62165000000000004</v>
      </c>
      <c r="F988" t="s">
        <v>43</v>
      </c>
      <c r="G988">
        <v>-289.1678</v>
      </c>
      <c r="H988">
        <v>-0.05</v>
      </c>
      <c r="I988">
        <v>362.23950000000002</v>
      </c>
      <c r="J988">
        <v>-308.10309999999998</v>
      </c>
      <c r="K988">
        <v>1.0606390000000001</v>
      </c>
      <c r="L988">
        <v>368.01429999999999</v>
      </c>
      <c r="M988">
        <v>0.99990129999999999</v>
      </c>
      <c r="N988">
        <v>0</v>
      </c>
      <c r="O988">
        <v>-9.2447250000000003E-4</v>
      </c>
      <c r="P988">
        <v>0.98562340000000004</v>
      </c>
      <c r="Q988">
        <v>0.168757399999999</v>
      </c>
      <c r="R988">
        <v>8.2139550000000002E-3</v>
      </c>
      <c r="S988">
        <v>3.082001</v>
      </c>
      <c r="T988">
        <v>-0.1791449</v>
      </c>
      <c r="U988">
        <v>-0.93145750000000005</v>
      </c>
      <c r="V988">
        <v>-9.0414390000000001E-3</v>
      </c>
      <c r="W988">
        <v>0.18255779999999999</v>
      </c>
      <c r="X988">
        <v>0.98315350000000001</v>
      </c>
      <c r="Y988">
        <v>0.28797220000000001</v>
      </c>
      <c r="Z988">
        <v>-8.1275169999999904E-3</v>
      </c>
      <c r="AA988">
        <v>0.95760429999999996</v>
      </c>
      <c r="AB988">
        <v>34</v>
      </c>
      <c r="AC988">
        <v>18.935299999999899</v>
      </c>
      <c r="AD988">
        <v>-1.1106389999999999</v>
      </c>
      <c r="AE988">
        <v>-5.7747999999999697</v>
      </c>
      <c r="AF988">
        <v>5.7392259512203996</v>
      </c>
      <c r="AG988">
        <v>-1.1106389999999999</v>
      </c>
      <c r="AH988">
        <v>18.881200908748902</v>
      </c>
      <c r="AI988">
        <v>93.221203979024693</v>
      </c>
      <c r="AJ988">
        <v>73.092559141613506</v>
      </c>
      <c r="AK988">
        <v>19.765423882730801</v>
      </c>
      <c r="AL988">
        <v>79.481219478240206</v>
      </c>
      <c r="AM988">
        <v>90.526898080697094</v>
      </c>
      <c r="AN988">
        <v>0.99999995126113905</v>
      </c>
    </row>
    <row r="989" spans="1:40" x14ac:dyDescent="0.25">
      <c r="A989" t="str">
        <f>"20190312172108524"</f>
        <v>20190312172108524</v>
      </c>
      <c r="B989" t="str">
        <f>"1552382468512135"</f>
        <v>1552382468512135</v>
      </c>
      <c r="C989" t="s">
        <v>40</v>
      </c>
      <c r="D989">
        <v>3.223541</v>
      </c>
      <c r="E989">
        <v>0.6224499</v>
      </c>
      <c r="F989" t="s">
        <v>43</v>
      </c>
      <c r="G989">
        <v>-288.27719999999999</v>
      </c>
      <c r="H989">
        <v>-0.05</v>
      </c>
      <c r="I989">
        <v>361.96199999999999</v>
      </c>
      <c r="J989">
        <v>-307.90370000000001</v>
      </c>
      <c r="K989">
        <v>1.060576</v>
      </c>
      <c r="L989">
        <v>368.01400000000001</v>
      </c>
      <c r="M989">
        <v>0.99990230000000002</v>
      </c>
      <c r="N989">
        <v>0</v>
      </c>
      <c r="O989">
        <v>-1.037844E-3</v>
      </c>
      <c r="P989">
        <v>0.98559600000000003</v>
      </c>
      <c r="Q989">
        <v>0.16893150000000001</v>
      </c>
      <c r="R989">
        <v>7.9523749999999994E-3</v>
      </c>
      <c r="S989">
        <v>3.0811459999999999</v>
      </c>
      <c r="T989">
        <v>-0.17260410000000001</v>
      </c>
      <c r="U989">
        <v>-0.94058229999999998</v>
      </c>
      <c r="V989">
        <v>-8.8912399999999999E-3</v>
      </c>
      <c r="W989">
        <v>0.1826671</v>
      </c>
      <c r="X989">
        <v>0.98313459999999997</v>
      </c>
      <c r="Y989">
        <v>0.29056090000000001</v>
      </c>
      <c r="Z989">
        <v>-7.8946380000000007E-3</v>
      </c>
      <c r="AA989">
        <v>0.95682389999999995</v>
      </c>
      <c r="AB989">
        <v>34</v>
      </c>
      <c r="AC989">
        <v>19.6265</v>
      </c>
      <c r="AD989">
        <v>-1.110576</v>
      </c>
      <c r="AE989">
        <v>-6.05200000000002</v>
      </c>
      <c r="AF989">
        <v>6.0140410407740896</v>
      </c>
      <c r="AG989">
        <v>-1.110576</v>
      </c>
      <c r="AH989">
        <v>19.5755341006485</v>
      </c>
      <c r="AI989">
        <v>93.104180057304902</v>
      </c>
      <c r="AJ989">
        <v>72.921873551064806</v>
      </c>
      <c r="AK989">
        <v>20.508622674805402</v>
      </c>
      <c r="AL989">
        <v>79.474850279436396</v>
      </c>
      <c r="AM989">
        <v>90.518155539020995</v>
      </c>
      <c r="AN989">
        <v>0.99999998264415302</v>
      </c>
    </row>
    <row r="990" spans="1:40" x14ac:dyDescent="0.25">
      <c r="A990" t="str">
        <f>"20190312172108537"</f>
        <v>20190312172108537</v>
      </c>
      <c r="B990" t="str">
        <f>"1552382468532631"</f>
        <v>1552382468532631</v>
      </c>
      <c r="C990" t="s">
        <v>40</v>
      </c>
      <c r="D990">
        <v>3.2403409999999999</v>
      </c>
      <c r="E990">
        <v>0.62388719999999998</v>
      </c>
      <c r="F990" t="s">
        <v>43</v>
      </c>
      <c r="G990">
        <v>-287.45139999999998</v>
      </c>
      <c r="H990">
        <v>-0.05</v>
      </c>
      <c r="I990">
        <v>361.72149999999999</v>
      </c>
      <c r="J990">
        <v>-307.6961</v>
      </c>
      <c r="K990">
        <v>1.060516</v>
      </c>
      <c r="L990">
        <v>368.01369999999997</v>
      </c>
      <c r="M990">
        <v>0.99990299999999999</v>
      </c>
      <c r="N990">
        <v>0</v>
      </c>
      <c r="O990">
        <v>-1.1554079999999999E-3</v>
      </c>
      <c r="P990">
        <v>0.98558349999999995</v>
      </c>
      <c r="Q990">
        <v>0.16900560000000001</v>
      </c>
      <c r="R990">
        <v>7.8977800000000001E-3</v>
      </c>
      <c r="S990">
        <v>3.0801699999999999</v>
      </c>
      <c r="T990">
        <v>-0.1672554</v>
      </c>
      <c r="U990">
        <v>-0.94766240000000002</v>
      </c>
      <c r="V990">
        <v>-8.9526309999999904E-3</v>
      </c>
      <c r="W990">
        <v>0.1826797</v>
      </c>
      <c r="X990">
        <v>0.98313170000000005</v>
      </c>
      <c r="Y990">
        <v>0.29256579999999999</v>
      </c>
      <c r="Z990">
        <v>-7.6970729999999996E-3</v>
      </c>
      <c r="AA990">
        <v>0.95621440000000002</v>
      </c>
      <c r="AB990">
        <v>34</v>
      </c>
      <c r="AC990">
        <v>20.244700000000002</v>
      </c>
      <c r="AD990">
        <v>-1.1105160000000001</v>
      </c>
      <c r="AE990">
        <v>-6.2921999999999798</v>
      </c>
      <c r="AF990">
        <v>6.2516483657061004</v>
      </c>
      <c r="AG990">
        <v>-1.1105160000000001</v>
      </c>
      <c r="AH990">
        <v>20.196538688505701</v>
      </c>
      <c r="AI990">
        <v>93.006788474273307</v>
      </c>
      <c r="AJ990">
        <v>72.800581743958304</v>
      </c>
      <c r="AK990">
        <v>21.171124865509601</v>
      </c>
      <c r="AL990">
        <v>79.474115979485305</v>
      </c>
      <c r="AM990">
        <v>90.521734569286807</v>
      </c>
      <c r="AN990">
        <v>0.99999998096940002</v>
      </c>
    </row>
    <row r="991" spans="1:40" x14ac:dyDescent="0.25">
      <c r="A991" t="str">
        <f>"20190312172108549"</f>
        <v>20190312172108549</v>
      </c>
      <c r="B991" t="str">
        <f>"1552382468542391"</f>
        <v>1552382468542391</v>
      </c>
      <c r="C991" t="s">
        <v>40</v>
      </c>
      <c r="D991">
        <v>3.2431030000000001</v>
      </c>
      <c r="E991">
        <v>0.62449239999999995</v>
      </c>
      <c r="F991" t="s">
        <v>43</v>
      </c>
      <c r="G991">
        <v>-286.2353</v>
      </c>
      <c r="H991">
        <v>-0.05</v>
      </c>
      <c r="I991">
        <v>361.32580000000002</v>
      </c>
      <c r="J991">
        <v>-307.52569999999997</v>
      </c>
      <c r="K991">
        <v>1.0604769999999999</v>
      </c>
      <c r="L991">
        <v>368.01330000000002</v>
      </c>
      <c r="M991">
        <v>0.99990349999999995</v>
      </c>
      <c r="N991">
        <v>0</v>
      </c>
      <c r="O991">
        <v>-1.251863E-3</v>
      </c>
      <c r="P991">
        <v>0.98559560000000002</v>
      </c>
      <c r="Q991">
        <v>0.16894089999999901</v>
      </c>
      <c r="R991">
        <v>7.775395E-3</v>
      </c>
      <c r="S991">
        <v>3.0788880000000001</v>
      </c>
      <c r="T991">
        <v>-0.15932079999999901</v>
      </c>
      <c r="U991">
        <v>-0.95947269999999896</v>
      </c>
      <c r="V991">
        <v>-8.9251580000000007E-3</v>
      </c>
      <c r="W991">
        <v>0.1825686</v>
      </c>
      <c r="X991">
        <v>0.98315260000000004</v>
      </c>
      <c r="Y991">
        <v>0.29596289999999997</v>
      </c>
      <c r="Z991">
        <v>-7.4121759999999899E-3</v>
      </c>
      <c r="AA991">
        <v>0.95517070000000004</v>
      </c>
      <c r="AB991">
        <v>34</v>
      </c>
      <c r="AC991">
        <v>21.290399999999899</v>
      </c>
      <c r="AD991">
        <v>-1.1104769999999999</v>
      </c>
      <c r="AE991">
        <v>-6.6875</v>
      </c>
      <c r="AF991">
        <v>6.6443866839637398</v>
      </c>
      <c r="AG991">
        <v>-1.1104769999999999</v>
      </c>
      <c r="AH991">
        <v>21.246146148885</v>
      </c>
      <c r="AI991">
        <v>92.8558151476782</v>
      </c>
      <c r="AJ991">
        <v>72.633775499139503</v>
      </c>
      <c r="AK991">
        <v>22.2885566996462</v>
      </c>
      <c r="AL991">
        <v>79.480590556237999</v>
      </c>
      <c r="AM991">
        <v>90.520122550473204</v>
      </c>
      <c r="AN991">
        <v>0.99999999351902202</v>
      </c>
    </row>
    <row r="992" spans="1:40" x14ac:dyDescent="0.25">
      <c r="A992" t="str">
        <f>"20190312172108559"</f>
        <v>20190312172108559</v>
      </c>
      <c r="B992" t="str">
        <f>"1552382468552151"</f>
        <v>1552382468552151</v>
      </c>
      <c r="C992" t="s">
        <v>40</v>
      </c>
      <c r="D992">
        <v>3.2291750000000001</v>
      </c>
      <c r="E992">
        <v>0.62491419999999998</v>
      </c>
      <c r="F992" t="s">
        <v>43</v>
      </c>
      <c r="G992">
        <v>-285.66730000000001</v>
      </c>
      <c r="H992">
        <v>-0.05</v>
      </c>
      <c r="I992">
        <v>361.16629999999998</v>
      </c>
      <c r="J992">
        <v>-307.358</v>
      </c>
      <c r="K992">
        <v>1.060438</v>
      </c>
      <c r="L992">
        <v>368.01310000000001</v>
      </c>
      <c r="M992">
        <v>0.99990400000000002</v>
      </c>
      <c r="N992">
        <v>0</v>
      </c>
      <c r="O992">
        <v>-1.346903E-3</v>
      </c>
      <c r="P992">
        <v>0.98554149999999996</v>
      </c>
      <c r="Q992">
        <v>0.16926389999999999</v>
      </c>
      <c r="R992">
        <v>7.591408E-3</v>
      </c>
      <c r="S992">
        <v>3.078217</v>
      </c>
      <c r="T992">
        <v>-0.15638279999999999</v>
      </c>
      <c r="U992">
        <v>-0.96423340000000002</v>
      </c>
      <c r="V992">
        <v>-8.8351519999999902E-3</v>
      </c>
      <c r="W992">
        <v>0.1828466</v>
      </c>
      <c r="X992">
        <v>0.98310169999999997</v>
      </c>
      <c r="Y992">
        <v>0.29728870000000002</v>
      </c>
      <c r="Z992">
        <v>-7.3036910000000002E-3</v>
      </c>
      <c r="AA992">
        <v>0.95475969999999999</v>
      </c>
      <c r="AB992">
        <v>34</v>
      </c>
      <c r="AC992">
        <v>21.6907</v>
      </c>
      <c r="AD992">
        <v>-1.11043799999999</v>
      </c>
      <c r="AE992">
        <v>-6.8468000000000302</v>
      </c>
      <c r="AF992">
        <v>6.8013655701966798</v>
      </c>
      <c r="AG992">
        <v>-1.11043799999999</v>
      </c>
      <c r="AH992">
        <v>21.648307247377801</v>
      </c>
      <c r="AI992">
        <v>92.8015985570391</v>
      </c>
      <c r="AJ992">
        <v>72.558564154480607</v>
      </c>
      <c r="AK992">
        <v>22.718733522099601</v>
      </c>
      <c r="AL992">
        <v>79.464389115305707</v>
      </c>
      <c r="AM992">
        <v>90.514904300505194</v>
      </c>
      <c r="AN992">
        <v>0.99999994579265505</v>
      </c>
    </row>
    <row r="993" spans="1:40" x14ac:dyDescent="0.25">
      <c r="A993" t="str">
        <f>"20190312172108569"</f>
        <v>20190312172108569</v>
      </c>
      <c r="B993" t="str">
        <f>"1552382468561913"</f>
        <v>1552382468561913</v>
      </c>
      <c r="C993" t="s">
        <v>40</v>
      </c>
      <c r="D993">
        <v>3.2442850000000001</v>
      </c>
      <c r="E993">
        <v>0.62530620000000003</v>
      </c>
      <c r="F993" t="s">
        <v>43</v>
      </c>
      <c r="G993">
        <v>-284.97550000000001</v>
      </c>
      <c r="H993">
        <v>-0.05</v>
      </c>
      <c r="I993">
        <v>360.97030000000001</v>
      </c>
      <c r="J993">
        <v>-307.20010000000002</v>
      </c>
      <c r="K993">
        <v>1.060406</v>
      </c>
      <c r="L993">
        <v>368.0127</v>
      </c>
      <c r="M993">
        <v>0.99990440000000003</v>
      </c>
      <c r="N993">
        <v>0</v>
      </c>
      <c r="O993">
        <v>-1.4360379999999999E-3</v>
      </c>
      <c r="P993">
        <v>0.98550890000000002</v>
      </c>
      <c r="Q993">
        <v>0.16946040000000001</v>
      </c>
      <c r="R993">
        <v>7.4543229999999997E-3</v>
      </c>
      <c r="S993">
        <v>3.0776979999999998</v>
      </c>
      <c r="T993">
        <v>-0.15269050000000001</v>
      </c>
      <c r="U993">
        <v>-0.96841429999999995</v>
      </c>
      <c r="V993">
        <v>-8.7856649999999998E-3</v>
      </c>
      <c r="W993">
        <v>0.18300559999999999</v>
      </c>
      <c r="X993">
        <v>0.98307259999999996</v>
      </c>
      <c r="Y993">
        <v>0.29844500000000002</v>
      </c>
      <c r="Z993">
        <v>-7.1548540000000004E-3</v>
      </c>
      <c r="AA993">
        <v>0.95440000000000003</v>
      </c>
      <c r="AB993">
        <v>34</v>
      </c>
      <c r="AC993">
        <v>22.224599999999999</v>
      </c>
      <c r="AD993">
        <v>-1.110406</v>
      </c>
      <c r="AE993">
        <v>-7.0423999999999802</v>
      </c>
      <c r="AF993">
        <v>6.9946069839742604</v>
      </c>
      <c r="AG993">
        <v>-1.110406</v>
      </c>
      <c r="AH993">
        <v>22.184365643956198</v>
      </c>
      <c r="AI993">
        <v>92.733051996344699</v>
      </c>
      <c r="AJ993">
        <v>72.500227013859501</v>
      </c>
      <c r="AK993">
        <v>23.2874130673598</v>
      </c>
      <c r="AL993">
        <v>79.455123172742105</v>
      </c>
      <c r="AM993">
        <v>90.512035554481201</v>
      </c>
      <c r="AN993">
        <v>0.99999998720580596</v>
      </c>
    </row>
    <row r="994" spans="1:40" x14ac:dyDescent="0.25">
      <c r="A994" t="str">
        <f>"20190312172108580"</f>
        <v>20190312172108580</v>
      </c>
      <c r="B994" t="str">
        <f>"1552382468572647"</f>
        <v>1552382468572647</v>
      </c>
      <c r="C994" t="s">
        <v>40</v>
      </c>
      <c r="D994">
        <v>3.2229390000000002</v>
      </c>
      <c r="E994">
        <v>0.62575939999999997</v>
      </c>
      <c r="F994" t="s">
        <v>43</v>
      </c>
      <c r="G994">
        <v>-284.39760000000001</v>
      </c>
      <c r="H994">
        <v>-0.05</v>
      </c>
      <c r="I994">
        <v>360.80869999999999</v>
      </c>
      <c r="J994">
        <v>-307.05619999999999</v>
      </c>
      <c r="K994">
        <v>1.0603769999999999</v>
      </c>
      <c r="L994">
        <v>368.01249999999999</v>
      </c>
      <c r="M994">
        <v>0.99990480000000004</v>
      </c>
      <c r="N994">
        <v>0</v>
      </c>
      <c r="O994">
        <v>-1.5170909999999999E-3</v>
      </c>
      <c r="P994">
        <v>0.98547600000000002</v>
      </c>
      <c r="Q994">
        <v>0.1696551</v>
      </c>
      <c r="R994">
        <v>7.3645749999999999E-3</v>
      </c>
      <c r="S994">
        <v>3.0772400000000002</v>
      </c>
      <c r="T994">
        <v>-0.14985100000000001</v>
      </c>
      <c r="U994">
        <v>-0.97219849999999997</v>
      </c>
      <c r="V994">
        <v>-8.7750880000000003E-3</v>
      </c>
      <c r="W994">
        <v>0.18316540000000001</v>
      </c>
      <c r="X994">
        <v>0.983043</v>
      </c>
      <c r="Y994">
        <v>0.2994868</v>
      </c>
      <c r="Z994">
        <v>-7.0425749999999997E-3</v>
      </c>
      <c r="AA994">
        <v>0.95407439999999999</v>
      </c>
      <c r="AB994">
        <v>34</v>
      </c>
      <c r="AC994">
        <v>22.6585999999999</v>
      </c>
      <c r="AD994">
        <v>-1.1103769999999999</v>
      </c>
      <c r="AE994">
        <v>-7.2038000000000002</v>
      </c>
      <c r="AF994">
        <v>7.1538108207302002</v>
      </c>
      <c r="AG994">
        <v>-1.1103769999999999</v>
      </c>
      <c r="AH994">
        <v>22.6201690689273</v>
      </c>
      <c r="AI994">
        <v>92.679663786049105</v>
      </c>
      <c r="AJ994">
        <v>72.450021396494805</v>
      </c>
      <c r="AK994">
        <v>23.750410418512399</v>
      </c>
      <c r="AL994">
        <v>79.445810585645106</v>
      </c>
      <c r="AM994">
        <v>90.511434549569202</v>
      </c>
      <c r="AN994">
        <v>1.0000000528877799</v>
      </c>
    </row>
    <row r="995" spans="1:40" x14ac:dyDescent="0.25">
      <c r="A995" t="str">
        <f>"20190312172108590"</f>
        <v>20190312172108590</v>
      </c>
      <c r="B995" t="str">
        <f>"1552382468582407"</f>
        <v>1552382468582407</v>
      </c>
      <c r="C995" t="s">
        <v>40</v>
      </c>
      <c r="D995">
        <v>3.2357960000000001</v>
      </c>
      <c r="E995">
        <v>0.62619979999999997</v>
      </c>
      <c r="F995" t="s">
        <v>43</v>
      </c>
      <c r="G995">
        <v>-283.8107</v>
      </c>
      <c r="H995">
        <v>-0.05</v>
      </c>
      <c r="I995">
        <v>360.6386</v>
      </c>
      <c r="J995">
        <v>-306.90289999999999</v>
      </c>
      <c r="K995">
        <v>1.0603530000000001</v>
      </c>
      <c r="L995">
        <v>368.01209999999998</v>
      </c>
      <c r="M995">
        <v>0.99990500000000004</v>
      </c>
      <c r="N995">
        <v>0</v>
      </c>
      <c r="O995">
        <v>-1.6037569999999999E-3</v>
      </c>
      <c r="P995">
        <v>0.98547059999999997</v>
      </c>
      <c r="Q995">
        <v>0.16969479999999901</v>
      </c>
      <c r="R995">
        <v>7.1693629999999998E-3</v>
      </c>
      <c r="S995">
        <v>3.076813</v>
      </c>
      <c r="T995">
        <v>-0.14697099999999999</v>
      </c>
      <c r="U995">
        <v>-0.97601320000000003</v>
      </c>
      <c r="V995">
        <v>-8.6653879999999996E-3</v>
      </c>
      <c r="W995">
        <v>0.1831729</v>
      </c>
      <c r="X995">
        <v>0.98304250000000004</v>
      </c>
      <c r="Y995">
        <v>0.30052849999999998</v>
      </c>
      <c r="Z995">
        <v>-6.9272530000000004E-3</v>
      </c>
      <c r="AA995">
        <v>0.95374769999999998</v>
      </c>
      <c r="AB995">
        <v>34</v>
      </c>
      <c r="AC995">
        <v>23.092199999999899</v>
      </c>
      <c r="AD995">
        <v>-1.1103529999999999</v>
      </c>
      <c r="AE995">
        <v>-7.3734999999999697</v>
      </c>
      <c r="AF995">
        <v>7.3210923582128498</v>
      </c>
      <c r="AG995">
        <v>-1.1103529999999999</v>
      </c>
      <c r="AH995">
        <v>23.0556236242805</v>
      </c>
      <c r="AI995">
        <v>92.628098226590396</v>
      </c>
      <c r="AJ995">
        <v>72.383253021748203</v>
      </c>
      <c r="AK995">
        <v>24.2155540470701</v>
      </c>
      <c r="AL995">
        <v>79.445372678103695</v>
      </c>
      <c r="AM995">
        <v>90.505041543411494</v>
      </c>
      <c r="AN995">
        <v>0.99999997852492495</v>
      </c>
    </row>
    <row r="996" spans="1:40" x14ac:dyDescent="0.25">
      <c r="A996" t="str">
        <f>"20190312172108598"</f>
        <v>20190312172108598</v>
      </c>
      <c r="B996" t="str">
        <f>"1552382468592167"</f>
        <v>1552382468592167</v>
      </c>
      <c r="C996" t="s">
        <v>40</v>
      </c>
      <c r="D996">
        <v>3.2473589999999999</v>
      </c>
      <c r="E996">
        <v>0.62668749999999995</v>
      </c>
      <c r="F996" t="s">
        <v>43</v>
      </c>
      <c r="G996">
        <v>-283.33330000000001</v>
      </c>
      <c r="H996">
        <v>-0.05</v>
      </c>
      <c r="I996">
        <v>360.50479999999999</v>
      </c>
      <c r="J996">
        <v>-306.76240000000001</v>
      </c>
      <c r="K996">
        <v>1.0603290000000001</v>
      </c>
      <c r="L996">
        <v>368.01179999999999</v>
      </c>
      <c r="M996">
        <v>0.9999053</v>
      </c>
      <c r="N996">
        <v>0</v>
      </c>
      <c r="O996">
        <v>-1.683171E-3</v>
      </c>
      <c r="P996">
        <v>0.98548139999999995</v>
      </c>
      <c r="Q996">
        <v>0.16964089999999901</v>
      </c>
      <c r="R996">
        <v>6.9671230000000004E-3</v>
      </c>
      <c r="S996">
        <v>3.0763240000000001</v>
      </c>
      <c r="T996">
        <v>-0.14492430000000001</v>
      </c>
      <c r="U996">
        <v>-0.97985840000000002</v>
      </c>
      <c r="V996">
        <v>-8.5417719999999996E-3</v>
      </c>
      <c r="W996">
        <v>0.18308949999999999</v>
      </c>
      <c r="X996">
        <v>0.98305920000000002</v>
      </c>
      <c r="Y996">
        <v>0.30158639999999998</v>
      </c>
      <c r="Z996">
        <v>-6.8513130000000004E-3</v>
      </c>
      <c r="AA996">
        <v>0.95341419999999999</v>
      </c>
      <c r="AB996">
        <v>34</v>
      </c>
      <c r="AC996">
        <v>23.429099999999998</v>
      </c>
      <c r="AD996">
        <v>-1.1103289999999999</v>
      </c>
      <c r="AE996">
        <v>-7.5069999999999997</v>
      </c>
      <c r="AF996">
        <v>7.4523715043588199</v>
      </c>
      <c r="AG996">
        <v>-1.1103289999999999</v>
      </c>
      <c r="AH996">
        <v>23.3940545113581</v>
      </c>
      <c r="AI996">
        <v>92.589314633879994</v>
      </c>
      <c r="AJ996">
        <v>72.330287328588696</v>
      </c>
      <c r="AK996">
        <v>24.577478674746501</v>
      </c>
      <c r="AL996">
        <v>79.450234204019907</v>
      </c>
      <c r="AM996">
        <v>90.497828787176999</v>
      </c>
      <c r="AN996">
        <v>1.00000005879189</v>
      </c>
    </row>
    <row r="997" spans="1:40" x14ac:dyDescent="0.25">
      <c r="A997" t="str">
        <f>"20190312172108609"</f>
        <v>20190312172108609</v>
      </c>
      <c r="B997" t="str">
        <f>"1552382468601927"</f>
        <v>1552382468601927</v>
      </c>
      <c r="C997" t="s">
        <v>40</v>
      </c>
      <c r="D997">
        <v>3.2823880000000001</v>
      </c>
      <c r="E997">
        <v>0.62708799999999998</v>
      </c>
      <c r="F997" t="s">
        <v>43</v>
      </c>
      <c r="G997">
        <v>-282.95119999999997</v>
      </c>
      <c r="H997">
        <v>-0.05</v>
      </c>
      <c r="I997">
        <v>360.39019999999999</v>
      </c>
      <c r="J997">
        <v>-306.61700000000002</v>
      </c>
      <c r="K997">
        <v>1.0603049999999901</v>
      </c>
      <c r="L997">
        <v>368.01150000000001</v>
      </c>
      <c r="M997">
        <v>0.9999055</v>
      </c>
      <c r="N997">
        <v>0</v>
      </c>
      <c r="O997">
        <v>-1.76569799999999E-3</v>
      </c>
      <c r="P997">
        <v>0.98543320000000001</v>
      </c>
      <c r="Q997">
        <v>0.16991899999999999</v>
      </c>
      <c r="R997">
        <v>7.0143410000000003E-3</v>
      </c>
      <c r="S997">
        <v>3.0758359999999998</v>
      </c>
      <c r="T997">
        <v>-0.143428</v>
      </c>
      <c r="U997">
        <v>-0.98452759999999995</v>
      </c>
      <c r="V997">
        <v>-8.6698019999999903E-3</v>
      </c>
      <c r="W997">
        <v>0.18333930000000001</v>
      </c>
      <c r="X997">
        <v>0.98301150000000004</v>
      </c>
      <c r="Y997">
        <v>0.30286980000000002</v>
      </c>
      <c r="Z997">
        <v>-6.8055729999999997E-3</v>
      </c>
      <c r="AA997">
        <v>0.95300759999999995</v>
      </c>
      <c r="AB997">
        <v>34</v>
      </c>
      <c r="AC997">
        <v>23.665800000000001</v>
      </c>
      <c r="AD997">
        <v>-1.1103050000000001</v>
      </c>
      <c r="AE997">
        <v>-7.6213000000000104</v>
      </c>
      <c r="AF997">
        <v>7.5644119678783897</v>
      </c>
      <c r="AG997">
        <v>-1.1103050000000001</v>
      </c>
      <c r="AH997">
        <v>23.632092088857199</v>
      </c>
      <c r="AI997">
        <v>92.562076663846895</v>
      </c>
      <c r="AJ997">
        <v>72.250616534826094</v>
      </c>
      <c r="AK997">
        <v>24.838053106252801</v>
      </c>
      <c r="AL997">
        <v>79.435675044516003</v>
      </c>
      <c r="AM997">
        <v>90.505314723721995</v>
      </c>
      <c r="AN997">
        <v>1.0000000367617199</v>
      </c>
    </row>
    <row r="998" spans="1:40" x14ac:dyDescent="0.25">
      <c r="A998" t="str">
        <f>"20190312172108620"</f>
        <v>20190312172108620</v>
      </c>
      <c r="B998" t="str">
        <f>"1552382468612664"</f>
        <v>1552382468612664</v>
      </c>
      <c r="C998" t="s">
        <v>40</v>
      </c>
      <c r="D998">
        <v>3.2496779999999998</v>
      </c>
      <c r="E998">
        <v>0.62746389999999996</v>
      </c>
      <c r="F998" t="s">
        <v>43</v>
      </c>
      <c r="G998">
        <v>-282.43799999999999</v>
      </c>
      <c r="H998">
        <v>-0.05</v>
      </c>
      <c r="I998">
        <v>360.24740000000003</v>
      </c>
      <c r="J998">
        <v>-306.45280000000002</v>
      </c>
      <c r="K998">
        <v>1.0602769999999999</v>
      </c>
      <c r="L998">
        <v>368.0111</v>
      </c>
      <c r="M998">
        <v>0.99990579999999996</v>
      </c>
      <c r="N998">
        <v>0</v>
      </c>
      <c r="O998">
        <v>-1.858691E-3</v>
      </c>
      <c r="P998">
        <v>0.98547320000000005</v>
      </c>
      <c r="Q998">
        <v>0.16968749999999999</v>
      </c>
      <c r="R998">
        <v>6.9833079999999997E-3</v>
      </c>
      <c r="S998">
        <v>3.0757140000000001</v>
      </c>
      <c r="T998">
        <v>-0.14123759999999999</v>
      </c>
      <c r="U998">
        <v>-0.98764039999999997</v>
      </c>
      <c r="V998">
        <v>-8.7311709999999994E-3</v>
      </c>
      <c r="W998">
        <v>0.1830782</v>
      </c>
      <c r="X998">
        <v>0.98305960000000003</v>
      </c>
      <c r="Y998">
        <v>0.30367499999999997</v>
      </c>
      <c r="Z998">
        <v>-6.7148479999999998E-3</v>
      </c>
      <c r="AA998">
        <v>0.95275209999999999</v>
      </c>
      <c r="AB998">
        <v>34</v>
      </c>
      <c r="AC998">
        <v>24.014800000000001</v>
      </c>
      <c r="AD998">
        <v>-1.110277</v>
      </c>
      <c r="AE998">
        <v>-7.7636999999999698</v>
      </c>
      <c r="AF998">
        <v>7.7041370736572699</v>
      </c>
      <c r="AG998">
        <v>-1.110277</v>
      </c>
      <c r="AH998">
        <v>23.982777924863399</v>
      </c>
      <c r="AI998">
        <v>92.523758501993996</v>
      </c>
      <c r="AJ998">
        <v>72.191100232495302</v>
      </c>
      <c r="AK998">
        <v>25.214283254928102</v>
      </c>
      <c r="AL998">
        <v>79.450892352398597</v>
      </c>
      <c r="AM998">
        <v>90.508866497096804</v>
      </c>
      <c r="AN998">
        <v>1.00000001890721</v>
      </c>
    </row>
    <row r="999" spans="1:40" x14ac:dyDescent="0.25">
      <c r="A999" t="str">
        <f>"20190312172108631"</f>
        <v>20190312172108631</v>
      </c>
      <c r="B999" t="str">
        <f>"1552382468622423"</f>
        <v>1552382468622423</v>
      </c>
      <c r="C999" t="s">
        <v>40</v>
      </c>
      <c r="D999">
        <v>3.22092</v>
      </c>
      <c r="E999">
        <v>0.62780859999999905</v>
      </c>
      <c r="F999" t="s">
        <v>43</v>
      </c>
      <c r="G999">
        <v>-282.14949999999999</v>
      </c>
      <c r="H999">
        <v>-0.05</v>
      </c>
      <c r="I999">
        <v>360.1807</v>
      </c>
      <c r="J999">
        <v>-306.28590000000003</v>
      </c>
      <c r="K999">
        <v>1.0602549999999999</v>
      </c>
      <c r="L999">
        <v>368.01069999999999</v>
      </c>
      <c r="M999">
        <v>0.99990610000000002</v>
      </c>
      <c r="N999">
        <v>0</v>
      </c>
      <c r="O999">
        <v>-1.9531380000000001E-3</v>
      </c>
      <c r="P999">
        <v>0.98545720000000003</v>
      </c>
      <c r="Q999">
        <v>0.16977990000000001</v>
      </c>
      <c r="R999">
        <v>6.988719E-3</v>
      </c>
      <c r="S999">
        <v>3.0754700000000001</v>
      </c>
      <c r="T999">
        <v>-0.14050070000000001</v>
      </c>
      <c r="U999">
        <v>-0.99090579999999995</v>
      </c>
      <c r="V999">
        <v>-8.8299720000000002E-3</v>
      </c>
      <c r="W999">
        <v>0.18314240000000001</v>
      </c>
      <c r="X999">
        <v>0.98304669999999905</v>
      </c>
      <c r="Y999">
        <v>0.30452600000000002</v>
      </c>
      <c r="Z999">
        <v>-6.6940369999999999E-3</v>
      </c>
      <c r="AA999">
        <v>0.95248049999999995</v>
      </c>
      <c r="AB999">
        <v>34</v>
      </c>
      <c r="AC999">
        <v>24.136399999999998</v>
      </c>
      <c r="AD999">
        <v>-1.110255</v>
      </c>
      <c r="AE999">
        <v>-7.8299999999999796</v>
      </c>
      <c r="AF999">
        <v>7.7679676169417098</v>
      </c>
      <c r="AG999">
        <v>-1.110255</v>
      </c>
      <c r="AH999">
        <v>24.105499649215702</v>
      </c>
      <c r="AI999">
        <v>92.510136579967295</v>
      </c>
      <c r="AJ999">
        <v>72.138527928153493</v>
      </c>
      <c r="AK999">
        <v>25.350524657316601</v>
      </c>
      <c r="AL999">
        <v>79.447150080035698</v>
      </c>
      <c r="AM999">
        <v>90.514631220936593</v>
      </c>
      <c r="AN999">
        <v>0.99999996073208397</v>
      </c>
    </row>
    <row r="1000" spans="1:40" x14ac:dyDescent="0.25">
      <c r="A1000" t="str">
        <f>"20190312172108641"</f>
        <v>20190312172108641</v>
      </c>
      <c r="B1000" t="str">
        <f>"1552382468632183"</f>
        <v>1552382468632183</v>
      </c>
      <c r="C1000" t="s">
        <v>40</v>
      </c>
      <c r="D1000">
        <v>3.241231</v>
      </c>
      <c r="E1000">
        <v>0.62817849999999997</v>
      </c>
      <c r="F1000" t="s">
        <v>43</v>
      </c>
      <c r="G1000">
        <v>-281.60719999999998</v>
      </c>
      <c r="H1000">
        <v>-0.05</v>
      </c>
      <c r="I1000">
        <v>360.03500000000003</v>
      </c>
      <c r="J1000">
        <v>-306.12490000000003</v>
      </c>
      <c r="K1000">
        <v>1.0602339999999999</v>
      </c>
      <c r="L1000">
        <v>368.01029999999997</v>
      </c>
      <c r="M1000">
        <v>0.99990630000000003</v>
      </c>
      <c r="N1000">
        <v>0</v>
      </c>
      <c r="O1000">
        <v>-2.0442580000000002E-3</v>
      </c>
      <c r="P1000">
        <v>0.98543210000000003</v>
      </c>
      <c r="Q1000">
        <v>0.16992409999999999</v>
      </c>
      <c r="R1000">
        <v>7.0311100000000001E-3</v>
      </c>
      <c r="S1000">
        <v>3.0751339999999998</v>
      </c>
      <c r="T1000">
        <v>-0.13834569999999999</v>
      </c>
      <c r="U1000">
        <v>-0.99383540000000004</v>
      </c>
      <c r="V1000">
        <v>-8.9614889999999996E-3</v>
      </c>
      <c r="W1000">
        <v>0.18326010000000001</v>
      </c>
      <c r="X1000">
        <v>0.9830236</v>
      </c>
      <c r="Y1000">
        <v>0.3052994</v>
      </c>
      <c r="Z1000">
        <v>-6.6041659999999999E-3</v>
      </c>
      <c r="AA1000">
        <v>0.95223349999999995</v>
      </c>
      <c r="AB1000">
        <v>34</v>
      </c>
      <c r="AC1000">
        <v>24.517700000000001</v>
      </c>
      <c r="AD1000">
        <v>-1.1102339999999999</v>
      </c>
      <c r="AE1000">
        <v>-7.9752999999999403</v>
      </c>
      <c r="AF1000">
        <v>7.91048953425374</v>
      </c>
      <c r="AG1000">
        <v>-1.1102339999999999</v>
      </c>
      <c r="AH1000">
        <v>24.488543847993299</v>
      </c>
      <c r="AI1000">
        <v>92.470313972563403</v>
      </c>
      <c r="AJ1000">
        <v>72.0980818049091</v>
      </c>
      <c r="AK1000">
        <v>25.758440247836901</v>
      </c>
      <c r="AL1000">
        <v>79.440290530038396</v>
      </c>
      <c r="AM1000">
        <v>90.522308187529902</v>
      </c>
      <c r="AN1000">
        <v>0.99999998534703305</v>
      </c>
    </row>
    <row r="1001" spans="1:40" x14ac:dyDescent="0.25">
      <c r="A1001" t="str">
        <f>"20190312172108652"</f>
        <v>20190312172108652</v>
      </c>
      <c r="B1001" t="str">
        <f>"1552382468641945"</f>
        <v>1552382468641945</v>
      </c>
      <c r="C1001" t="s">
        <v>40</v>
      </c>
      <c r="D1001">
        <v>3.3278620000000001</v>
      </c>
      <c r="E1001">
        <v>0.62844460000000002</v>
      </c>
      <c r="F1001" t="s">
        <v>43</v>
      </c>
      <c r="G1001">
        <v>-281.23989999999998</v>
      </c>
      <c r="H1001">
        <v>-0.05</v>
      </c>
      <c r="I1001">
        <v>359.94630000000001</v>
      </c>
      <c r="J1001">
        <v>-305.96010000000001</v>
      </c>
      <c r="K1001">
        <v>1.060214</v>
      </c>
      <c r="L1001">
        <v>368.00990000000002</v>
      </c>
      <c r="M1001">
        <v>0.99990630000000003</v>
      </c>
      <c r="N1001">
        <v>0</v>
      </c>
      <c r="O1001">
        <v>-2.1372980000000001E-3</v>
      </c>
      <c r="P1001">
        <v>0.98541270000000003</v>
      </c>
      <c r="Q1001">
        <v>0.17004169999999999</v>
      </c>
      <c r="R1001">
        <v>6.8913469999999999E-3</v>
      </c>
      <c r="S1001">
        <v>3.0751040000000001</v>
      </c>
      <c r="T1001">
        <v>-0.13719429999999999</v>
      </c>
      <c r="U1001">
        <v>-0.99649049999999995</v>
      </c>
      <c r="V1001">
        <v>-8.9135220000000001E-3</v>
      </c>
      <c r="W1001">
        <v>0.1833524</v>
      </c>
      <c r="X1001">
        <v>0.98300679999999996</v>
      </c>
      <c r="Y1001">
        <v>0.30596180000000001</v>
      </c>
      <c r="Z1001">
        <v>-6.5588280000000001E-3</v>
      </c>
      <c r="AA1001">
        <v>0.95202120000000001</v>
      </c>
      <c r="AB1001">
        <v>33</v>
      </c>
      <c r="AC1001">
        <v>24.720199999999998</v>
      </c>
      <c r="AD1001">
        <v>-1.110214</v>
      </c>
      <c r="AE1001">
        <v>-8.0635999999999992</v>
      </c>
      <c r="AF1001">
        <v>7.99616499005249</v>
      </c>
      <c r="AG1001">
        <v>-1.110214</v>
      </c>
      <c r="AH1001">
        <v>24.692364264105802</v>
      </c>
      <c r="AI1001">
        <v>92.449328430766499</v>
      </c>
      <c r="AJ1001">
        <v>72.056414043419906</v>
      </c>
      <c r="AK1001">
        <v>25.978531186832502</v>
      </c>
      <c r="AL1001">
        <v>79.434910719056404</v>
      </c>
      <c r="AM1001">
        <v>90.519521528073398</v>
      </c>
      <c r="AN1001">
        <v>0.99999996115322098</v>
      </c>
    </row>
    <row r="1002" spans="1:40" x14ac:dyDescent="0.25">
      <c r="A1002" t="str">
        <f>"20190312172108664"</f>
        <v>20190312172108664</v>
      </c>
      <c r="B1002" t="str">
        <f>"1552382468662439"</f>
        <v>1552382468662439</v>
      </c>
      <c r="C1002" t="s">
        <v>40</v>
      </c>
      <c r="D1002">
        <v>3.3329260000000001</v>
      </c>
      <c r="E1002">
        <v>0.62903819999999999</v>
      </c>
      <c r="F1002" t="s">
        <v>43</v>
      </c>
      <c r="G1002">
        <v>-281.18150000000003</v>
      </c>
      <c r="H1002">
        <v>-0.05</v>
      </c>
      <c r="I1002">
        <v>359.96210000000002</v>
      </c>
      <c r="J1002">
        <v>-305.79289999999997</v>
      </c>
      <c r="K1002">
        <v>1.0601969999999901</v>
      </c>
      <c r="L1002">
        <v>368.00940000000003</v>
      </c>
      <c r="M1002">
        <v>0.99990650000000003</v>
      </c>
      <c r="N1002">
        <v>0</v>
      </c>
      <c r="O1002">
        <v>-2.2317750000000001E-3</v>
      </c>
      <c r="P1002">
        <v>0.98542180000000001</v>
      </c>
      <c r="Q1002">
        <v>0.16998920000000001</v>
      </c>
      <c r="R1002">
        <v>6.9163559999999898E-3</v>
      </c>
      <c r="S1002">
        <v>3.0751949999999999</v>
      </c>
      <c r="T1002">
        <v>-0.13778499999999999</v>
      </c>
      <c r="U1002">
        <v>-0.99877930000000004</v>
      </c>
      <c r="V1002">
        <v>-9.0322409999999999E-3</v>
      </c>
      <c r="W1002">
        <v>0.18327650000000001</v>
      </c>
      <c r="X1002">
        <v>0.98301989999999995</v>
      </c>
      <c r="Y1002">
        <v>0.306502</v>
      </c>
      <c r="Z1002">
        <v>-6.5937829999999998E-3</v>
      </c>
      <c r="AA1002">
        <v>0.9518472</v>
      </c>
      <c r="AB1002">
        <v>33</v>
      </c>
      <c r="AC1002">
        <v>24.6113999999999</v>
      </c>
      <c r="AD1002">
        <v>-1.1101970000000001</v>
      </c>
      <c r="AE1002">
        <v>-8.0472999999999999</v>
      </c>
      <c r="AF1002">
        <v>7.9776825473400903</v>
      </c>
      <c r="AG1002">
        <v>-1.1101970000000001</v>
      </c>
      <c r="AH1002">
        <v>24.584107352733302</v>
      </c>
      <c r="AI1002">
        <v>92.459577398284395</v>
      </c>
      <c r="AJ1002">
        <v>72.021458647036098</v>
      </c>
      <c r="AK1002">
        <v>25.8699495657734</v>
      </c>
      <c r="AL1002">
        <v>79.439334743159904</v>
      </c>
      <c r="AM1002">
        <v>90.526433621704697</v>
      </c>
      <c r="AN1002">
        <v>0.99999999031287001</v>
      </c>
    </row>
    <row r="1003" spans="1:40" x14ac:dyDescent="0.25">
      <c r="A1003" t="str">
        <f>"20190312172108676"</f>
        <v>20190312172108676</v>
      </c>
      <c r="B1003" t="str">
        <f>"1552382468672199"</f>
        <v>1552382468672199</v>
      </c>
      <c r="C1003" t="s">
        <v>40</v>
      </c>
      <c r="D1003">
        <v>3.2980330000000002</v>
      </c>
      <c r="E1003">
        <v>0.62930059999999999</v>
      </c>
      <c r="F1003" t="s">
        <v>43</v>
      </c>
      <c r="G1003">
        <v>-281.16300000000001</v>
      </c>
      <c r="H1003">
        <v>-0.05</v>
      </c>
      <c r="I1003">
        <v>359.97340000000003</v>
      </c>
      <c r="J1003">
        <v>-305.62310000000002</v>
      </c>
      <c r="K1003">
        <v>1.060181</v>
      </c>
      <c r="L1003">
        <v>368.00889999999998</v>
      </c>
      <c r="M1003">
        <v>0.99990650000000003</v>
      </c>
      <c r="N1003">
        <v>0</v>
      </c>
      <c r="O1003">
        <v>-2.3278109999999999E-3</v>
      </c>
      <c r="P1003">
        <v>0.9854444</v>
      </c>
      <c r="Q1003">
        <v>0.16986099999999901</v>
      </c>
      <c r="R1003">
        <v>6.8299839999999999E-3</v>
      </c>
      <c r="S1003">
        <v>3.0753170000000001</v>
      </c>
      <c r="T1003">
        <v>-0.1386201</v>
      </c>
      <c r="U1003">
        <v>-1.003387</v>
      </c>
      <c r="V1003">
        <v>-9.0404669999999999E-3</v>
      </c>
      <c r="W1003">
        <v>0.1831265</v>
      </c>
      <c r="X1003">
        <v>0.98304780000000003</v>
      </c>
      <c r="Y1003">
        <v>0.30768469999999998</v>
      </c>
      <c r="Z1003">
        <v>-6.6537139999999998E-3</v>
      </c>
      <c r="AA1003">
        <v>0.95146509999999995</v>
      </c>
      <c r="AB1003">
        <v>33</v>
      </c>
      <c r="AC1003">
        <v>24.460100000000001</v>
      </c>
      <c r="AD1003">
        <v>-1.1101809999999901</v>
      </c>
      <c r="AE1003">
        <v>-8.0354999999999492</v>
      </c>
      <c r="AF1003">
        <v>7.9637271800779796</v>
      </c>
      <c r="AG1003">
        <v>-1.1101809999999901</v>
      </c>
      <c r="AH1003">
        <v>24.433310375831699</v>
      </c>
      <c r="AI1003">
        <v>92.473662451131304</v>
      </c>
      <c r="AJ1003">
        <v>71.947279027600203</v>
      </c>
      <c r="AK1003">
        <v>25.722365917100198</v>
      </c>
      <c r="AL1003">
        <v>79.448077292208197</v>
      </c>
      <c r="AM1003">
        <v>90.526898083951394</v>
      </c>
      <c r="AN1003">
        <v>1.00000001106533</v>
      </c>
    </row>
    <row r="1004" spans="1:40" x14ac:dyDescent="0.25">
      <c r="A1004" t="str">
        <f>"20190312172108688"</f>
        <v>20190312172108688</v>
      </c>
      <c r="B1004" t="str">
        <f>"1552382468681959"</f>
        <v>1552382468681959</v>
      </c>
      <c r="C1004" t="s">
        <v>40</v>
      </c>
      <c r="D1004">
        <v>3.3304369999999999</v>
      </c>
      <c r="E1004">
        <v>0.62963210000000003</v>
      </c>
      <c r="F1004" t="s">
        <v>43</v>
      </c>
      <c r="G1004">
        <v>-281.04559999999998</v>
      </c>
      <c r="H1004">
        <v>-0.05</v>
      </c>
      <c r="I1004">
        <v>359.97</v>
      </c>
      <c r="J1004">
        <v>-305.44369999999998</v>
      </c>
      <c r="K1004">
        <v>1.060173</v>
      </c>
      <c r="L1004">
        <v>368.00839999999999</v>
      </c>
      <c r="M1004">
        <v>0.99990670000000004</v>
      </c>
      <c r="N1004">
        <v>0</v>
      </c>
      <c r="O1004">
        <v>-2.4290980000000002E-3</v>
      </c>
      <c r="P1004">
        <v>0.98547229999999997</v>
      </c>
      <c r="Q1004">
        <v>0.16970679999999999</v>
      </c>
      <c r="R1004">
        <v>6.6437469999999898E-3</v>
      </c>
      <c r="S1004">
        <v>3.0752259999999998</v>
      </c>
      <c r="T1004">
        <v>-0.1389097</v>
      </c>
      <c r="U1004">
        <v>-1.0058590000000001</v>
      </c>
      <c r="V1004">
        <v>-8.9540469999999997E-3</v>
      </c>
      <c r="W1004">
        <v>0.18295020000000001</v>
      </c>
      <c r="X1004">
        <v>0.98308139999999999</v>
      </c>
      <c r="Y1004">
        <v>0.30828610000000001</v>
      </c>
      <c r="Z1004">
        <v>-6.6757569999999896E-3</v>
      </c>
      <c r="AA1004">
        <v>0.95127030000000001</v>
      </c>
      <c r="AB1004">
        <v>33</v>
      </c>
      <c r="AC1004">
        <v>24.398099999999999</v>
      </c>
      <c r="AD1004">
        <v>-1.1101729999999901</v>
      </c>
      <c r="AE1004">
        <v>-8.0383999999999602</v>
      </c>
      <c r="AF1004">
        <v>7.9642305108128904</v>
      </c>
      <c r="AG1004">
        <v>-1.1101729999999901</v>
      </c>
      <c r="AH1004">
        <v>24.372035430972801</v>
      </c>
      <c r="AI1004">
        <v>92.479242381188698</v>
      </c>
      <c r="AJ1004">
        <v>71.9037777221168</v>
      </c>
      <c r="AK1004">
        <v>25.664324708978501</v>
      </c>
      <c r="AL1004">
        <v>79.458351950272302</v>
      </c>
      <c r="AM1004">
        <v>90.521843782921593</v>
      </c>
      <c r="AN1004">
        <v>0.99999999483183899</v>
      </c>
    </row>
    <row r="1005" spans="1:40" x14ac:dyDescent="0.25">
      <c r="A1005" t="str">
        <f>"20190312172108700"</f>
        <v>20190312172108700</v>
      </c>
      <c r="B1005" t="str">
        <f>"1552382468691719"</f>
        <v>1552382468691719</v>
      </c>
      <c r="C1005" t="s">
        <v>40</v>
      </c>
      <c r="D1005">
        <v>3.2789489999999999</v>
      </c>
      <c r="E1005">
        <v>0.62994240000000001</v>
      </c>
      <c r="F1005" t="s">
        <v>43</v>
      </c>
      <c r="G1005">
        <v>-280.99540000000002</v>
      </c>
      <c r="H1005">
        <v>-0.05</v>
      </c>
      <c r="I1005">
        <v>359.98739999999998</v>
      </c>
      <c r="J1005">
        <v>-305.2611</v>
      </c>
      <c r="K1005">
        <v>1.0601590000000001</v>
      </c>
      <c r="L1005">
        <v>368.00790000000001</v>
      </c>
      <c r="M1005">
        <v>0.99990659999999998</v>
      </c>
      <c r="N1005">
        <v>0</v>
      </c>
      <c r="O1005">
        <v>-2.5319409999999998E-3</v>
      </c>
      <c r="P1005">
        <v>0.98547209999999996</v>
      </c>
      <c r="Q1005">
        <v>0.16970499999999999</v>
      </c>
      <c r="R1005">
        <v>6.7032740000000004E-3</v>
      </c>
      <c r="S1005">
        <v>3.0750120000000001</v>
      </c>
      <c r="T1005">
        <v>-0.13963320000000001</v>
      </c>
      <c r="U1005">
        <v>-1.00885</v>
      </c>
      <c r="V1005">
        <v>-9.1148749999999997E-3</v>
      </c>
      <c r="W1005">
        <v>0.1829268</v>
      </c>
      <c r="X1005">
        <v>0.98308430000000002</v>
      </c>
      <c r="Y1005">
        <v>0.30903969999999997</v>
      </c>
      <c r="Z1005">
        <v>-6.7220630000000003E-3</v>
      </c>
      <c r="AA1005">
        <v>0.95102540000000002</v>
      </c>
      <c r="AB1005">
        <v>33</v>
      </c>
      <c r="AC1005">
        <v>24.265699999999899</v>
      </c>
      <c r="AD1005">
        <v>-1.1101589999999999</v>
      </c>
      <c r="AE1005">
        <v>-8.0205000000000197</v>
      </c>
      <c r="AF1005">
        <v>7.9440395805857396</v>
      </c>
      <c r="AG1005">
        <v>-1.1101589999999999</v>
      </c>
      <c r="AH1005">
        <v>24.240191934396499</v>
      </c>
      <c r="AI1005">
        <v>92.491983851948405</v>
      </c>
      <c r="AJ1005">
        <v>71.854901591729003</v>
      </c>
      <c r="AK1005">
        <v>25.532863585574901</v>
      </c>
      <c r="AL1005">
        <v>79.459715932475206</v>
      </c>
      <c r="AM1005">
        <v>90.531214773975606</v>
      </c>
      <c r="AN1005">
        <v>1.00000001800549</v>
      </c>
    </row>
    <row r="1006" spans="1:40" x14ac:dyDescent="0.25">
      <c r="A1006" t="str">
        <f>"20190312172108712"</f>
        <v>20190312172108712</v>
      </c>
      <c r="B1006" t="str">
        <f>"1552382468702455"</f>
        <v>1552382468702455</v>
      </c>
      <c r="C1006" t="s">
        <v>40</v>
      </c>
      <c r="D1006">
        <v>3.3315329999999999</v>
      </c>
      <c r="E1006">
        <v>0.63022939999999905</v>
      </c>
      <c r="F1006" t="s">
        <v>43</v>
      </c>
      <c r="G1006">
        <v>-280.79660000000001</v>
      </c>
      <c r="H1006">
        <v>-0.05</v>
      </c>
      <c r="I1006">
        <v>359.96120000000002</v>
      </c>
      <c r="J1006">
        <v>-305.08440000000002</v>
      </c>
      <c r="K1006">
        <v>1.0601510000000001</v>
      </c>
      <c r="L1006">
        <v>368.00729999999999</v>
      </c>
      <c r="M1006">
        <v>0.99990670000000004</v>
      </c>
      <c r="N1006">
        <v>0</v>
      </c>
      <c r="O1006">
        <v>-2.6318180000000002E-3</v>
      </c>
      <c r="P1006">
        <v>0.98552649999999997</v>
      </c>
      <c r="Q1006">
        <v>0.1693897</v>
      </c>
      <c r="R1006">
        <v>6.6976249999999996E-3</v>
      </c>
      <c r="S1006">
        <v>3.0751339999999998</v>
      </c>
      <c r="T1006">
        <v>-0.13954420000000001</v>
      </c>
      <c r="U1006">
        <v>-1.011444</v>
      </c>
      <c r="V1006">
        <v>-9.2082729999999995E-3</v>
      </c>
      <c r="W1006">
        <v>0.1825939</v>
      </c>
      <c r="X1006">
        <v>0.9831453</v>
      </c>
      <c r="Y1006">
        <v>0.30965759999999998</v>
      </c>
      <c r="Z1006">
        <v>-6.7259149999999998E-3</v>
      </c>
      <c r="AA1006">
        <v>0.95082429999999996</v>
      </c>
      <c r="AB1006">
        <v>33</v>
      </c>
      <c r="AC1006">
        <v>24.287800000000001</v>
      </c>
      <c r="AD1006">
        <v>-1.1101510000000001</v>
      </c>
      <c r="AE1006">
        <v>-8.0460999999999601</v>
      </c>
      <c r="AF1006">
        <v>7.9671461766213403</v>
      </c>
      <c r="AG1006">
        <v>-1.1101510000000001</v>
      </c>
      <c r="AH1006">
        <v>24.263215132581401</v>
      </c>
      <c r="AI1006">
        <v>92.489132020038298</v>
      </c>
      <c r="AJ1006">
        <v>71.821724744657303</v>
      </c>
      <c r="AK1006">
        <v>25.561914286930499</v>
      </c>
      <c r="AL1006">
        <v>79.4791162883797</v>
      </c>
      <c r="AM1006">
        <v>90.536624395844399</v>
      </c>
      <c r="AN1006">
        <v>1.0000000027604701</v>
      </c>
    </row>
    <row r="1007" spans="1:40" x14ac:dyDescent="0.25">
      <c r="A1007" t="str">
        <f>"20190312172108731"</f>
        <v>20190312172108731</v>
      </c>
      <c r="B1007" t="str">
        <f>"1552382468721975"</f>
        <v>1552382468721975</v>
      </c>
      <c r="C1007" t="s">
        <v>40</v>
      </c>
      <c r="D1007">
        <v>3.28274</v>
      </c>
      <c r="E1007">
        <v>0.63085340000000001</v>
      </c>
      <c r="F1007" t="s">
        <v>43</v>
      </c>
      <c r="G1007">
        <v>-280.70609999999999</v>
      </c>
      <c r="H1007">
        <v>-0.05</v>
      </c>
      <c r="I1007">
        <v>359.96940000000001</v>
      </c>
      <c r="J1007">
        <v>-304.78660000000002</v>
      </c>
      <c r="K1007">
        <v>1.060138</v>
      </c>
      <c r="L1007">
        <v>368.00630000000001</v>
      </c>
      <c r="M1007">
        <v>0.99990659999999998</v>
      </c>
      <c r="N1007">
        <v>0</v>
      </c>
      <c r="O1007">
        <v>-2.800281E-3</v>
      </c>
      <c r="P1007">
        <v>0.98546900000000004</v>
      </c>
      <c r="Q1007">
        <v>0.16972219999999999</v>
      </c>
      <c r="R1007">
        <v>6.7214240000000001E-3</v>
      </c>
      <c r="S1007">
        <v>3.075043</v>
      </c>
      <c r="T1007">
        <v>-0.14003309999999999</v>
      </c>
      <c r="U1007">
        <v>-1.0138849999999999</v>
      </c>
      <c r="V1007">
        <v>-9.3975980000000001E-3</v>
      </c>
      <c r="W1007">
        <v>0.18289630000000001</v>
      </c>
      <c r="X1007">
        <v>0.9830873</v>
      </c>
      <c r="Y1007">
        <v>0.31018459999999998</v>
      </c>
      <c r="Z1007">
        <v>-6.7530450000000001E-3</v>
      </c>
      <c r="AA1007">
        <v>0.95065239999999995</v>
      </c>
      <c r="AB1007">
        <v>33</v>
      </c>
      <c r="AC1007">
        <v>24.080500000000001</v>
      </c>
      <c r="AD1007">
        <v>-1.1101379999999901</v>
      </c>
      <c r="AE1007">
        <v>-8.0368999999999993</v>
      </c>
      <c r="AF1007">
        <v>7.9542194133991098</v>
      </c>
      <c r="AG1007">
        <v>-1.1101379999999901</v>
      </c>
      <c r="AH1007">
        <v>24.056909087422301</v>
      </c>
      <c r="AI1007">
        <v>92.508724138153497</v>
      </c>
      <c r="AJ1007">
        <v>71.703955879917103</v>
      </c>
      <c r="AK1007">
        <v>25.362115205479999</v>
      </c>
      <c r="AL1007">
        <v>79.461493307168894</v>
      </c>
      <c r="AM1007">
        <v>90.547689206192899</v>
      </c>
      <c r="AN1007">
        <v>1.0000000054115701</v>
      </c>
    </row>
    <row r="1008" spans="1:40" x14ac:dyDescent="0.25">
      <c r="A1008" t="str">
        <f>"20190312172108743"</f>
        <v>20190312172108743</v>
      </c>
      <c r="B1008" t="str">
        <f>"1552382468731735"</f>
        <v>1552382468731735</v>
      </c>
      <c r="C1008" t="s">
        <v>40</v>
      </c>
      <c r="D1008">
        <v>3.212809</v>
      </c>
      <c r="E1008">
        <v>0.63102279999999999</v>
      </c>
      <c r="F1008" t="s">
        <v>43</v>
      </c>
      <c r="G1008">
        <v>-280.30950000000001</v>
      </c>
      <c r="H1008">
        <v>-0.05</v>
      </c>
      <c r="I1008">
        <v>359.89760000000001</v>
      </c>
      <c r="J1008">
        <v>-304.62369999999999</v>
      </c>
      <c r="K1008">
        <v>1.06013</v>
      </c>
      <c r="L1008">
        <v>368.00580000000002</v>
      </c>
      <c r="M1008">
        <v>0.99990650000000003</v>
      </c>
      <c r="N1008">
        <v>0</v>
      </c>
      <c r="O1008">
        <v>-2.892319E-3</v>
      </c>
      <c r="P1008">
        <v>0.98547320000000005</v>
      </c>
      <c r="Q1008">
        <v>0.1697012</v>
      </c>
      <c r="R1008">
        <v>6.6490660000000004E-3</v>
      </c>
      <c r="S1008">
        <v>3.0751949999999999</v>
      </c>
      <c r="T1008">
        <v>-0.13947300000000001</v>
      </c>
      <c r="U1008">
        <v>-1.0187379999999999</v>
      </c>
      <c r="V1008">
        <v>-9.4164130000000002E-3</v>
      </c>
      <c r="W1008">
        <v>0.1828602</v>
      </c>
      <c r="X1008">
        <v>0.98309380000000002</v>
      </c>
      <c r="Y1008">
        <v>0.3114365</v>
      </c>
      <c r="Z1008">
        <v>-6.7476960000000001E-3</v>
      </c>
      <c r="AA1008">
        <v>0.95024299999999995</v>
      </c>
      <c r="AB1008">
        <v>33</v>
      </c>
      <c r="AC1008">
        <v>24.3141999999999</v>
      </c>
      <c r="AD1008">
        <v>-1.1101299999999901</v>
      </c>
      <c r="AE1008">
        <v>-8.1082000000000001</v>
      </c>
      <c r="AF1008">
        <v>8.0227846231481301</v>
      </c>
      <c r="AG1008">
        <v>-1.1101299999999901</v>
      </c>
      <c r="AH1008">
        <v>24.2919800986895</v>
      </c>
      <c r="AI1008">
        <v>92.484738899154394</v>
      </c>
      <c r="AJ1008">
        <v>71.723431998307404</v>
      </c>
      <c r="AK1008">
        <v>25.606596002621099</v>
      </c>
      <c r="AL1008">
        <v>79.463596794060805</v>
      </c>
      <c r="AM1008">
        <v>90.548782043552293</v>
      </c>
      <c r="AN1008">
        <v>0.99999997058813195</v>
      </c>
    </row>
    <row r="1009" spans="1:40" x14ac:dyDescent="0.25">
      <c r="A1009" t="str">
        <f>"20190312172108755"</f>
        <v>20190312172108755</v>
      </c>
      <c r="B1009" t="str">
        <f>"1552382468752232"</f>
        <v>1552382468752232</v>
      </c>
      <c r="C1009" t="s">
        <v>40</v>
      </c>
      <c r="D1009">
        <v>3.4442750000000002</v>
      </c>
      <c r="E1009">
        <v>0.58974530000000003</v>
      </c>
      <c r="F1009" t="s">
        <v>43</v>
      </c>
      <c r="G1009">
        <v>-280.15269999999998</v>
      </c>
      <c r="H1009">
        <v>-0.05</v>
      </c>
      <c r="I1009">
        <v>359.88569999999999</v>
      </c>
      <c r="J1009">
        <v>-304.4402</v>
      </c>
      <c r="K1009">
        <v>1.0601229999999999</v>
      </c>
      <c r="L1009">
        <v>368.00510000000003</v>
      </c>
      <c r="M1009">
        <v>0.99990639999999997</v>
      </c>
      <c r="N1009">
        <v>0</v>
      </c>
      <c r="O1009">
        <v>-2.9960350000000002E-3</v>
      </c>
      <c r="P1009">
        <v>0.98545389999999999</v>
      </c>
      <c r="Q1009">
        <v>0.16981650000000001</v>
      </c>
      <c r="R1009">
        <v>6.5518590000000002E-3</v>
      </c>
      <c r="S1009">
        <v>3.0751650000000001</v>
      </c>
      <c r="T1009">
        <v>-0.13950509999999999</v>
      </c>
      <c r="U1009">
        <v>-1.020416</v>
      </c>
      <c r="V1009">
        <v>-9.4213909999999994E-3</v>
      </c>
      <c r="W1009">
        <v>0.1829606</v>
      </c>
      <c r="X1009">
        <v>0.98307509999999998</v>
      </c>
      <c r="Y1009">
        <v>0.31180770000000002</v>
      </c>
      <c r="Z1009">
        <v>-6.7523669999999996E-3</v>
      </c>
      <c r="AA1009">
        <v>0.9501212</v>
      </c>
      <c r="AB1009">
        <v>33</v>
      </c>
      <c r="AC1009">
        <v>24.287500000000001</v>
      </c>
      <c r="AD1009">
        <v>-1.110123</v>
      </c>
      <c r="AE1009">
        <v>-8.1194000000000397</v>
      </c>
      <c r="AF1009">
        <v>8.03149832131189</v>
      </c>
      <c r="AG1009">
        <v>-1.110123</v>
      </c>
      <c r="AH1009">
        <v>24.266118999985199</v>
      </c>
      <c r="AI1009">
        <v>92.486841547944906</v>
      </c>
      <c r="AJ1009">
        <v>71.686705708221197</v>
      </c>
      <c r="AK1009">
        <v>25.584797628314501</v>
      </c>
      <c r="AL1009">
        <v>79.457745877606797</v>
      </c>
      <c r="AM1009">
        <v>90.549082583976201</v>
      </c>
      <c r="AN1009">
        <v>0.99999999800037198</v>
      </c>
    </row>
    <row r="1010" spans="1:40" x14ac:dyDescent="0.25">
      <c r="A1010" t="str">
        <f>"20190312172108769"</f>
        <v>20190312172108769</v>
      </c>
      <c r="B1010" t="str">
        <f>"1552382468761992"</f>
        <v>1552382468761992</v>
      </c>
      <c r="C1010" t="s">
        <v>40</v>
      </c>
      <c r="D1010">
        <v>3.3219599999999998</v>
      </c>
      <c r="E1010">
        <v>0.57703570000000004</v>
      </c>
      <c r="F1010" t="s">
        <v>43</v>
      </c>
      <c r="G1010">
        <v>-282.1404</v>
      </c>
      <c r="H1010">
        <v>-0.05</v>
      </c>
      <c r="I1010">
        <v>362.99119999999999</v>
      </c>
      <c r="J1010">
        <v>-304.23149999999998</v>
      </c>
      <c r="K1010">
        <v>1.0601149999999999</v>
      </c>
      <c r="L1010">
        <v>368.00439999999998</v>
      </c>
      <c r="M1010">
        <v>0.99990630000000003</v>
      </c>
      <c r="N1010">
        <v>0</v>
      </c>
      <c r="O1010">
        <v>-3.114169E-3</v>
      </c>
      <c r="P1010">
        <v>0.98542909999999995</v>
      </c>
      <c r="Q1010">
        <v>0.16996169999999999</v>
      </c>
      <c r="R1010">
        <v>6.5218840000000004E-3</v>
      </c>
      <c r="S1010">
        <v>3.0752259999999998</v>
      </c>
      <c r="T1010">
        <v>-0.1530899</v>
      </c>
      <c r="U1010">
        <v>-0.69143679999999996</v>
      </c>
      <c r="V1010">
        <v>-9.5074140000000005E-3</v>
      </c>
      <c r="W1010">
        <v>0.18308849999999999</v>
      </c>
      <c r="X1010">
        <v>0.98305050000000005</v>
      </c>
      <c r="Y1010">
        <v>0.21607390000000001</v>
      </c>
      <c r="Z1010">
        <v>-5.1557620000000004E-3</v>
      </c>
      <c r="AA1010">
        <v>0.97636339999999999</v>
      </c>
      <c r="AB1010">
        <v>33</v>
      </c>
      <c r="AC1010">
        <v>22.091099999999901</v>
      </c>
      <c r="AD1010">
        <v>-1.110115</v>
      </c>
      <c r="AE1010">
        <v>-5.0131999999999799</v>
      </c>
      <c r="AF1010">
        <v>4.932528415687</v>
      </c>
      <c r="AG1010">
        <v>-1.110115</v>
      </c>
      <c r="AH1010">
        <v>22.053643159680298</v>
      </c>
      <c r="AI1010">
        <v>92.812300197575595</v>
      </c>
      <c r="AJ1010">
        <v>77.392688081726206</v>
      </c>
      <c r="AK1010">
        <v>22.625767799111198</v>
      </c>
      <c r="AL1010">
        <v>79.450292259379395</v>
      </c>
      <c r="AM1010">
        <v>90.554109593917801</v>
      </c>
      <c r="AN1010">
        <v>1.00000003765173</v>
      </c>
    </row>
    <row r="1011" spans="1:40" x14ac:dyDescent="0.25">
      <c r="A1011" t="str">
        <f>"20190312172108780"</f>
        <v>20190312172108780</v>
      </c>
      <c r="B1011" t="str">
        <f>"1552382468771751"</f>
        <v>1552382468771751</v>
      </c>
      <c r="C1011" t="s">
        <v>40</v>
      </c>
      <c r="D1011">
        <v>3.2758759999999998</v>
      </c>
      <c r="E1011">
        <v>0.57703570000000004</v>
      </c>
      <c r="F1011" t="s">
        <v>43</v>
      </c>
      <c r="G1011">
        <v>-282.584</v>
      </c>
      <c r="H1011">
        <v>-0.05</v>
      </c>
      <c r="I1011">
        <v>363.8528</v>
      </c>
      <c r="J1011">
        <v>-304.06119999999999</v>
      </c>
      <c r="K1011">
        <v>1.060109</v>
      </c>
      <c r="L1011">
        <v>368.00380000000001</v>
      </c>
      <c r="M1011">
        <v>0.99990619999999997</v>
      </c>
      <c r="N1011">
        <v>0</v>
      </c>
      <c r="O1011">
        <v>-3.2103959999999999E-3</v>
      </c>
      <c r="P1011">
        <v>0.98543159999999996</v>
      </c>
      <c r="Q1011">
        <v>0.1699494</v>
      </c>
      <c r="R1011">
        <v>6.4748649999999998E-3</v>
      </c>
      <c r="S1011">
        <v>3.0754700000000001</v>
      </c>
      <c r="T1011">
        <v>-0.15771399999999999</v>
      </c>
      <c r="U1011">
        <v>-0.58981319999999904</v>
      </c>
      <c r="V1011">
        <v>-9.5557390000000006E-3</v>
      </c>
      <c r="W1011">
        <v>0.18306420000000001</v>
      </c>
      <c r="X1011">
        <v>0.98305450000000005</v>
      </c>
      <c r="Y1011">
        <v>0.18496299999999999</v>
      </c>
      <c r="Z1011">
        <v>-4.5336959999999898E-3</v>
      </c>
      <c r="AA1011">
        <v>0.98273500000000003</v>
      </c>
      <c r="AB1011">
        <v>33</v>
      </c>
      <c r="AC1011">
        <v>21.4771999999999</v>
      </c>
      <c r="AD1011">
        <v>-1.110109</v>
      </c>
      <c r="AE1011">
        <v>-4.1510000000000096</v>
      </c>
      <c r="AF1011">
        <v>4.0715362493427296</v>
      </c>
      <c r="AG1011">
        <v>-1.110109</v>
      </c>
      <c r="AH1011">
        <v>21.435212110904502</v>
      </c>
      <c r="AI1011">
        <v>92.912658629632006</v>
      </c>
      <c r="AJ1011">
        <v>79.245010212565205</v>
      </c>
      <c r="AK1011">
        <v>21.846694662146501</v>
      </c>
      <c r="AL1011">
        <v>79.451707886043906</v>
      </c>
      <c r="AM1011">
        <v>90.556923620985401</v>
      </c>
      <c r="AN1011">
        <v>0.99999998171986204</v>
      </c>
    </row>
    <row r="1012" spans="1:40" x14ac:dyDescent="0.25">
      <c r="A1012" t="str">
        <f>"20190312172108791"</f>
        <v>20190312172108791</v>
      </c>
      <c r="B1012" t="str">
        <f>"1552382468782488"</f>
        <v>1552382468782488</v>
      </c>
      <c r="C1012" t="s">
        <v>40</v>
      </c>
      <c r="D1012">
        <v>3.2611409999999998</v>
      </c>
      <c r="E1012">
        <v>0.52359699999999998</v>
      </c>
      <c r="F1012" t="s">
        <v>43</v>
      </c>
      <c r="G1012">
        <v>-282.43180000000001</v>
      </c>
      <c r="H1012">
        <v>-0.05</v>
      </c>
      <c r="I1012">
        <v>363.85449999999997</v>
      </c>
      <c r="J1012">
        <v>-303.8895</v>
      </c>
      <c r="K1012">
        <v>1.0601039999999999</v>
      </c>
      <c r="L1012">
        <v>368.00310000000002</v>
      </c>
      <c r="M1012">
        <v>0.99990610000000002</v>
      </c>
      <c r="N1012">
        <v>0</v>
      </c>
      <c r="O1012">
        <v>-3.30723E-3</v>
      </c>
      <c r="P1012">
        <v>0.9854311</v>
      </c>
      <c r="Q1012">
        <v>0.16995850000000001</v>
      </c>
      <c r="R1012">
        <v>6.350456E-3</v>
      </c>
      <c r="S1012">
        <v>3.0754090000000001</v>
      </c>
      <c r="T1012">
        <v>-0.15784219999999999</v>
      </c>
      <c r="U1012">
        <v>-0.58996579999999998</v>
      </c>
      <c r="V1012">
        <v>-9.5262149999999993E-3</v>
      </c>
      <c r="W1012">
        <v>0.18306130000000001</v>
      </c>
      <c r="X1012">
        <v>0.98305540000000002</v>
      </c>
      <c r="Y1012">
        <v>0.1849182</v>
      </c>
      <c r="Z1012">
        <v>-4.5313869999999996E-3</v>
      </c>
      <c r="AA1012">
        <v>0.98274340000000004</v>
      </c>
      <c r="AB1012">
        <v>33</v>
      </c>
      <c r="AC1012">
        <v>21.4576999999999</v>
      </c>
      <c r="AD1012">
        <v>-1.110104</v>
      </c>
      <c r="AE1012">
        <v>-4.14860000000004</v>
      </c>
      <c r="AF1012">
        <v>4.0671122480373896</v>
      </c>
      <c r="AG1012">
        <v>-1.110104</v>
      </c>
      <c r="AH1012">
        <v>21.416050360461799</v>
      </c>
      <c r="AI1012">
        <v>92.9152666316092</v>
      </c>
      <c r="AJ1012">
        <v>79.2470354478735</v>
      </c>
      <c r="AK1012">
        <v>21.827069110872099</v>
      </c>
      <c r="AL1012">
        <v>79.451877670014198</v>
      </c>
      <c r="AM1012">
        <v>90.5552025150661</v>
      </c>
      <c r="AN1012">
        <v>1.00000005389953</v>
      </c>
    </row>
    <row r="1013" spans="1:40" x14ac:dyDescent="0.25">
      <c r="A1013" t="str">
        <f>"20190312172108802"</f>
        <v>20190312172108802</v>
      </c>
      <c r="B1013" t="str">
        <f>"1552382468792248"</f>
        <v>1552382468792248</v>
      </c>
      <c r="C1013" t="s">
        <v>40</v>
      </c>
      <c r="D1013">
        <v>3.239236</v>
      </c>
      <c r="E1013">
        <v>0.52225779999999999</v>
      </c>
      <c r="F1013" t="s">
        <v>43</v>
      </c>
      <c r="G1013">
        <v>-281.6628</v>
      </c>
      <c r="H1013">
        <v>-0.05</v>
      </c>
      <c r="I1013">
        <v>366.81270000000001</v>
      </c>
      <c r="J1013">
        <v>-303.7296</v>
      </c>
      <c r="K1013">
        <v>1.0600989999999999</v>
      </c>
      <c r="L1013">
        <v>368.0025</v>
      </c>
      <c r="M1013">
        <v>0.99990590000000001</v>
      </c>
      <c r="N1013">
        <v>0</v>
      </c>
      <c r="O1013">
        <v>-3.3973950000000001E-3</v>
      </c>
      <c r="P1013">
        <v>0.98541259999999997</v>
      </c>
      <c r="Q1013">
        <v>0.17006849999999901</v>
      </c>
      <c r="R1013">
        <v>6.2627859999999898E-3</v>
      </c>
      <c r="S1013">
        <v>3.071869</v>
      </c>
      <c r="T1013">
        <v>-0.15342349999999999</v>
      </c>
      <c r="U1013">
        <v>-0.16452030000000001</v>
      </c>
      <c r="V1013">
        <v>-9.5279089999999993E-3</v>
      </c>
      <c r="W1013">
        <v>0.18316070000000001</v>
      </c>
      <c r="X1013">
        <v>0.98303680000000004</v>
      </c>
      <c r="Y1013">
        <v>5.002931E-2</v>
      </c>
      <c r="Z1013">
        <v>-1.078213E-3</v>
      </c>
      <c r="AA1013">
        <v>0.99874719999999995</v>
      </c>
      <c r="AB1013">
        <v>33</v>
      </c>
      <c r="AC1013">
        <v>22.066800000000001</v>
      </c>
      <c r="AD1013">
        <v>-1.1100989999999999</v>
      </c>
      <c r="AE1013">
        <v>-1.18979999999999</v>
      </c>
      <c r="AF1013">
        <v>1.11201083932936</v>
      </c>
      <c r="AG1013">
        <v>-1.1100989999999999</v>
      </c>
      <c r="AH1013">
        <v>22.015162415181099</v>
      </c>
      <c r="AI1013">
        <v>92.882985053313206</v>
      </c>
      <c r="AJ1013">
        <v>87.108382678796005</v>
      </c>
      <c r="AK1013">
        <v>22.071163631838498</v>
      </c>
      <c r="AL1013">
        <v>79.446083802430195</v>
      </c>
      <c r="AM1013">
        <v>90.555311743993698</v>
      </c>
      <c r="AN1013">
        <v>0.99999998661432099</v>
      </c>
    </row>
    <row r="1014" spans="1:40" x14ac:dyDescent="0.25">
      <c r="A1014" t="str">
        <f>"20190312172108813"</f>
        <v>20190312172108813</v>
      </c>
      <c r="B1014" t="str">
        <f>"1552382468802007"</f>
        <v>1552382468802007</v>
      </c>
      <c r="C1014" t="s">
        <v>40</v>
      </c>
      <c r="D1014">
        <v>3.2208709999999998</v>
      </c>
      <c r="E1014">
        <v>0.52123169999999996</v>
      </c>
      <c r="F1014" t="s">
        <v>43</v>
      </c>
      <c r="G1014">
        <v>-280.65210000000002</v>
      </c>
      <c r="H1014">
        <v>-0.05</v>
      </c>
      <c r="I1014">
        <v>366.84609999999998</v>
      </c>
      <c r="J1014">
        <v>-303.5573</v>
      </c>
      <c r="K1014">
        <v>1.060095</v>
      </c>
      <c r="L1014">
        <v>368.0018</v>
      </c>
      <c r="M1014">
        <v>0.99990559999999995</v>
      </c>
      <c r="N1014">
        <v>0</v>
      </c>
      <c r="O1014">
        <v>-3.4947089999999999E-3</v>
      </c>
      <c r="P1014">
        <v>0.9854174</v>
      </c>
      <c r="Q1014">
        <v>0.17004620000000001</v>
      </c>
      <c r="R1014">
        <v>6.0802119999999998E-3</v>
      </c>
      <c r="S1014">
        <v>3.0709230000000001</v>
      </c>
      <c r="T1014">
        <v>-0.14772109999999999</v>
      </c>
      <c r="U1014">
        <v>-0.1538696</v>
      </c>
      <c r="V1014">
        <v>-9.4407799999999993E-3</v>
      </c>
      <c r="W1014">
        <v>0.1831284</v>
      </c>
      <c r="X1014">
        <v>0.98304369999999996</v>
      </c>
      <c r="Y1014">
        <v>4.6502019999999998E-2</v>
      </c>
      <c r="Z1014">
        <v>-9.4918599999999998E-4</v>
      </c>
      <c r="AA1014">
        <v>0.99891779999999997</v>
      </c>
      <c r="AB1014">
        <v>33</v>
      </c>
      <c r="AC1014">
        <v>22.905199999999901</v>
      </c>
      <c r="AD1014">
        <v>-1.1100950000000001</v>
      </c>
      <c r="AE1014">
        <v>-1.1557000000000199</v>
      </c>
      <c r="AF1014">
        <v>1.07312467473595</v>
      </c>
      <c r="AG1014">
        <v>-1.1100950000000001</v>
      </c>
      <c r="AH1014">
        <v>22.855551745552599</v>
      </c>
      <c r="AI1014">
        <v>92.777617747290506</v>
      </c>
      <c r="AJ1014">
        <v>87.311795716413599</v>
      </c>
      <c r="AK1014">
        <v>22.907643987764999</v>
      </c>
      <c r="AL1014">
        <v>79.447966734747595</v>
      </c>
      <c r="AM1014">
        <v>90.550230087151903</v>
      </c>
      <c r="AN1014">
        <v>1.0000000276616201</v>
      </c>
    </row>
    <row r="1015" spans="1:40" x14ac:dyDescent="0.25">
      <c r="A1015" t="str">
        <f>"20190312172108825"</f>
        <v>20190312172108825</v>
      </c>
      <c r="B1015" t="str">
        <f>"1552382468822504"</f>
        <v>1552382468822504</v>
      </c>
      <c r="C1015" t="s">
        <v>40</v>
      </c>
      <c r="D1015">
        <v>3.2117830000000001</v>
      </c>
      <c r="E1015">
        <v>0.52052379999999998</v>
      </c>
      <c r="F1015" t="s">
        <v>43</v>
      </c>
      <c r="G1015">
        <v>-279.91770000000002</v>
      </c>
      <c r="H1015">
        <v>-0.05</v>
      </c>
      <c r="I1015">
        <v>366.87599999999998</v>
      </c>
      <c r="J1015">
        <v>-303.39089999999999</v>
      </c>
      <c r="K1015">
        <v>1.0600879999999999</v>
      </c>
      <c r="L1015">
        <v>368.00110000000001</v>
      </c>
      <c r="M1015">
        <v>0.9999055</v>
      </c>
      <c r="N1015">
        <v>0</v>
      </c>
      <c r="O1015">
        <v>-3.5889310000000001E-3</v>
      </c>
      <c r="P1015">
        <v>0.98545890000000003</v>
      </c>
      <c r="Q1015">
        <v>0.1698104</v>
      </c>
      <c r="R1015">
        <v>5.962401E-3</v>
      </c>
      <c r="S1015">
        <v>3.0701900000000002</v>
      </c>
      <c r="T1015">
        <v>-0.14417369999999999</v>
      </c>
      <c r="U1015">
        <v>-0.1462097</v>
      </c>
      <c r="V1015">
        <v>-9.4163719999999992E-3</v>
      </c>
      <c r="W1015">
        <v>0.18288409999999999</v>
      </c>
      <c r="X1015">
        <v>0.9830894</v>
      </c>
      <c r="Y1015">
        <v>4.3938600000000001E-2</v>
      </c>
      <c r="Z1015">
        <v>-8.6215360000000004E-4</v>
      </c>
      <c r="AA1015">
        <v>0.99903390000000003</v>
      </c>
      <c r="AB1015">
        <v>33</v>
      </c>
      <c r="AC1015">
        <v>23.473199999999899</v>
      </c>
      <c r="AD1015">
        <v>-1.110088</v>
      </c>
      <c r="AE1015">
        <v>-1.12510000000003</v>
      </c>
      <c r="AF1015">
        <v>1.0385242958365</v>
      </c>
      <c r="AG1015">
        <v>-1.110088</v>
      </c>
      <c r="AH1015">
        <v>23.424817384265801</v>
      </c>
      <c r="AI1015">
        <v>92.710524148954804</v>
      </c>
      <c r="AJ1015">
        <v>87.461490568566404</v>
      </c>
      <c r="AK1015">
        <v>23.474089919888002</v>
      </c>
      <c r="AL1015">
        <v>79.462204412668498</v>
      </c>
      <c r="AM1015">
        <v>90.548782110262295</v>
      </c>
      <c r="AN1015">
        <v>1.0000000152434001</v>
      </c>
    </row>
    <row r="1016" spans="1:40" x14ac:dyDescent="0.25">
      <c r="A1016" t="str">
        <f>"20190312172108837"</f>
        <v>20190312172108837</v>
      </c>
      <c r="B1016" t="str">
        <f>"1552382468832263"</f>
        <v>1552382468832263</v>
      </c>
      <c r="C1016" t="s">
        <v>40</v>
      </c>
      <c r="D1016">
        <v>3.1976580000000001</v>
      </c>
      <c r="E1016">
        <v>0.52032429999999996</v>
      </c>
      <c r="F1016" t="s">
        <v>43</v>
      </c>
      <c r="G1016">
        <v>-279.71960000000001</v>
      </c>
      <c r="H1016">
        <v>-0.05</v>
      </c>
      <c r="I1016">
        <v>366.9119</v>
      </c>
      <c r="J1016">
        <v>-303.21429999999998</v>
      </c>
      <c r="K1016">
        <v>1.060084</v>
      </c>
      <c r="L1016">
        <v>368.00040000000001</v>
      </c>
      <c r="M1016">
        <v>0.99990520000000005</v>
      </c>
      <c r="N1016">
        <v>0</v>
      </c>
      <c r="O1016">
        <v>-3.6886380000000002E-3</v>
      </c>
      <c r="P1016">
        <v>0.98545210000000005</v>
      </c>
      <c r="Q1016">
        <v>0.16985510000000001</v>
      </c>
      <c r="R1016">
        <v>5.7969629999999996E-3</v>
      </c>
      <c r="S1016">
        <v>3.0699459999999998</v>
      </c>
      <c r="T1016">
        <v>-0.1439676</v>
      </c>
      <c r="U1016">
        <v>-0.1412659</v>
      </c>
      <c r="V1016">
        <v>-9.3492750000000006E-3</v>
      </c>
      <c r="W1016">
        <v>0.18291879999999999</v>
      </c>
      <c r="X1016">
        <v>0.9830835</v>
      </c>
      <c r="Y1016">
        <v>4.223946E-2</v>
      </c>
      <c r="Z1016">
        <v>-8.1655379999999997E-4</v>
      </c>
      <c r="AA1016">
        <v>0.99910719999999997</v>
      </c>
      <c r="AB1016">
        <v>33</v>
      </c>
      <c r="AC1016">
        <v>23.494699999999899</v>
      </c>
      <c r="AD1016">
        <v>-1.1100840000000001</v>
      </c>
      <c r="AE1016">
        <v>-1.08850000000001</v>
      </c>
      <c r="AF1016">
        <v>0.99959480836057402</v>
      </c>
      <c r="AG1016">
        <v>-1.1100840000000001</v>
      </c>
      <c r="AH1016">
        <v>23.446326116970098</v>
      </c>
      <c r="AI1016">
        <v>92.708231219185294</v>
      </c>
      <c r="AJ1016">
        <v>87.558768836237306</v>
      </c>
      <c r="AK1016">
        <v>23.493864830020399</v>
      </c>
      <c r="AL1016">
        <v>79.460181250116705</v>
      </c>
      <c r="AM1016">
        <v>90.544875232428097</v>
      </c>
      <c r="AN1016">
        <v>0.99999993215435501</v>
      </c>
    </row>
    <row r="1017" spans="1:40" x14ac:dyDescent="0.25">
      <c r="A1017" t="str">
        <f>"20190312172108847"</f>
        <v>20190312172108847</v>
      </c>
      <c r="B1017" t="str">
        <f>"1552382468842023"</f>
        <v>1552382468842023</v>
      </c>
      <c r="C1017" t="s">
        <v>40</v>
      </c>
      <c r="D1017">
        <v>3.1951269999999998</v>
      </c>
      <c r="E1017">
        <v>0.52052240000000005</v>
      </c>
      <c r="F1017" t="s">
        <v>43</v>
      </c>
      <c r="G1017">
        <v>-279.69830000000002</v>
      </c>
      <c r="H1017">
        <v>-0.05</v>
      </c>
      <c r="I1017">
        <v>366.92689999999999</v>
      </c>
      <c r="J1017">
        <v>-303.05939999999998</v>
      </c>
      <c r="K1017">
        <v>1.060082</v>
      </c>
      <c r="L1017">
        <v>367.99970000000002</v>
      </c>
      <c r="M1017">
        <v>0.99990489999999999</v>
      </c>
      <c r="N1017">
        <v>0</v>
      </c>
      <c r="O1017">
        <v>-3.7759619999999999E-3</v>
      </c>
      <c r="P1017">
        <v>0.98547799999999997</v>
      </c>
      <c r="Q1017">
        <v>0.16970079999999901</v>
      </c>
      <c r="R1017">
        <v>5.9275660000000004E-3</v>
      </c>
      <c r="S1017">
        <v>3.070068</v>
      </c>
      <c r="T1017">
        <v>-0.14492389999999999</v>
      </c>
      <c r="U1017">
        <v>-0.1401367</v>
      </c>
      <c r="V1017">
        <v>-9.5661389999999995E-3</v>
      </c>
      <c r="W1017">
        <v>0.18275759999999999</v>
      </c>
      <c r="X1017">
        <v>0.98311150000000003</v>
      </c>
      <c r="Y1017">
        <v>4.1783720000000003E-2</v>
      </c>
      <c r="Z1017">
        <v>-8.070827E-4</v>
      </c>
      <c r="AA1017">
        <v>0.99912639999999997</v>
      </c>
      <c r="AB1017">
        <v>33</v>
      </c>
      <c r="AC1017">
        <v>23.361099999999901</v>
      </c>
      <c r="AD1017">
        <v>-1.110082</v>
      </c>
      <c r="AE1017">
        <v>-1.07280000000002</v>
      </c>
      <c r="AF1017">
        <v>0.9823604642864</v>
      </c>
      <c r="AG1017">
        <v>-1.110082</v>
      </c>
      <c r="AH1017">
        <v>23.312455937193299</v>
      </c>
      <c r="AI1017">
        <v>92.723811695250603</v>
      </c>
      <c r="AJ1017">
        <v>87.5870483441077</v>
      </c>
      <c r="AK1017">
        <v>23.359535867651498</v>
      </c>
      <c r="AL1017">
        <v>79.469576802693098</v>
      </c>
      <c r="AM1017">
        <v>90.557497388160002</v>
      </c>
      <c r="AN1017">
        <v>1.00000003640268</v>
      </c>
    </row>
    <row r="1018" spans="1:40" x14ac:dyDescent="0.25">
      <c r="A1018" t="str">
        <f>"20190312172108858"</f>
        <v>20190312172108858</v>
      </c>
      <c r="B1018" t="str">
        <f>"1552382468851783"</f>
        <v>1552382468851783</v>
      </c>
      <c r="C1018" t="s">
        <v>40</v>
      </c>
      <c r="D1018">
        <v>3.179767</v>
      </c>
      <c r="E1018">
        <v>0.5207292</v>
      </c>
      <c r="F1018" t="s">
        <v>43</v>
      </c>
      <c r="G1018">
        <v>-280.15269999999998</v>
      </c>
      <c r="H1018">
        <v>-0.05</v>
      </c>
      <c r="I1018">
        <v>366.947</v>
      </c>
      <c r="J1018">
        <v>-302.89299999999997</v>
      </c>
      <c r="K1018">
        <v>1.0600780000000001</v>
      </c>
      <c r="L1018">
        <v>367.99900000000002</v>
      </c>
      <c r="M1018">
        <v>0.99990460000000003</v>
      </c>
      <c r="N1018">
        <v>0</v>
      </c>
      <c r="O1018">
        <v>-3.8696020000000002E-3</v>
      </c>
      <c r="P1018">
        <v>0.9854001</v>
      </c>
      <c r="Q1018">
        <v>0.1701597</v>
      </c>
      <c r="R1018">
        <v>5.6743990000000001E-3</v>
      </c>
      <c r="S1018">
        <v>3.0706790000000002</v>
      </c>
      <c r="T1018">
        <v>-0.1488082</v>
      </c>
      <c r="U1018">
        <v>-0.141113299999999</v>
      </c>
      <c r="V1018">
        <v>-9.4045440000000008E-3</v>
      </c>
      <c r="W1018">
        <v>0.1832076</v>
      </c>
      <c r="X1018">
        <v>0.98302920000000005</v>
      </c>
      <c r="Y1018">
        <v>4.1995780000000003E-2</v>
      </c>
      <c r="Z1018">
        <v>-8.2911889999999998E-4</v>
      </c>
      <c r="AA1018">
        <v>0.99911740000000004</v>
      </c>
      <c r="AB1018">
        <v>33</v>
      </c>
      <c r="AC1018">
        <v>22.740299999999898</v>
      </c>
      <c r="AD1018">
        <v>-1.1100779999999999</v>
      </c>
      <c r="AE1018">
        <v>-1.05200000000007</v>
      </c>
      <c r="AF1018">
        <v>0.96170168405294298</v>
      </c>
      <c r="AG1018">
        <v>-1.1100779999999999</v>
      </c>
      <c r="AH1018">
        <v>22.6902466790897</v>
      </c>
      <c r="AI1018">
        <v>92.798347640511693</v>
      </c>
      <c r="AJ1018">
        <v>87.573032622715402</v>
      </c>
      <c r="AK1018">
        <v>22.737731585475601</v>
      </c>
      <c r="AL1018">
        <v>79.443349869639306</v>
      </c>
      <c r="AM1018">
        <v>90.548126384349999</v>
      </c>
      <c r="AN1018">
        <v>0.99999993909912199</v>
      </c>
    </row>
    <row r="1019" spans="1:40" x14ac:dyDescent="0.25">
      <c r="A1019" t="str">
        <f>"20190312172108869"</f>
        <v>20190312172108869</v>
      </c>
      <c r="B1019" t="str">
        <f>"1552382468862519"</f>
        <v>1552382468862519</v>
      </c>
      <c r="C1019" t="s">
        <v>40</v>
      </c>
      <c r="D1019">
        <v>3.1872820000000002</v>
      </c>
      <c r="E1019">
        <v>0.52088599999999996</v>
      </c>
      <c r="F1019" t="s">
        <v>43</v>
      </c>
      <c r="G1019">
        <v>-280.13029999999998</v>
      </c>
      <c r="H1019">
        <v>-0.05</v>
      </c>
      <c r="I1019">
        <v>366.9314</v>
      </c>
      <c r="J1019">
        <v>-302.74419999999998</v>
      </c>
      <c r="K1019">
        <v>1.060076</v>
      </c>
      <c r="L1019">
        <v>367.9984</v>
      </c>
      <c r="M1019">
        <v>0.99990460000000003</v>
      </c>
      <c r="N1019">
        <v>0</v>
      </c>
      <c r="O1019">
        <v>-3.9538330000000003E-3</v>
      </c>
      <c r="P1019">
        <v>0.98539560000000004</v>
      </c>
      <c r="Q1019">
        <v>0.17018720000000001</v>
      </c>
      <c r="R1019">
        <v>5.6646500000000002E-3</v>
      </c>
      <c r="S1019">
        <v>3.0711059999999999</v>
      </c>
      <c r="T1019">
        <v>-0.14977009999999999</v>
      </c>
      <c r="U1019">
        <v>-0.144043</v>
      </c>
      <c r="V1019">
        <v>-9.4776280000000001E-3</v>
      </c>
      <c r="W1019">
        <v>0.18322820000000001</v>
      </c>
      <c r="X1019">
        <v>0.98302469999999997</v>
      </c>
      <c r="Y1019">
        <v>4.2854799999999998E-2</v>
      </c>
      <c r="Z1019">
        <v>-8.5115669999999996E-4</v>
      </c>
      <c r="AA1019">
        <v>0.999081</v>
      </c>
      <c r="AB1019">
        <v>33</v>
      </c>
      <c r="AC1019">
        <v>22.613900000000001</v>
      </c>
      <c r="AD1019">
        <v>-1.1100760000000001</v>
      </c>
      <c r="AE1019">
        <v>-1.0669999999999999</v>
      </c>
      <c r="AF1019">
        <v>0.97522750294890403</v>
      </c>
      <c r="AG1019">
        <v>-1.1100760000000001</v>
      </c>
      <c r="AH1019">
        <v>22.563692426112301</v>
      </c>
      <c r="AI1019">
        <v>92.813912184692299</v>
      </c>
      <c r="AJ1019">
        <v>87.5251539368533</v>
      </c>
      <c r="AK1019">
        <v>22.6120223179724</v>
      </c>
      <c r="AL1019">
        <v>79.442149687065097</v>
      </c>
      <c r="AM1019">
        <v>90.552388215166104</v>
      </c>
      <c r="AN1019">
        <v>0.99999997975891697</v>
      </c>
    </row>
    <row r="1020" spans="1:40" x14ac:dyDescent="0.25">
      <c r="A1020" t="str">
        <f>"20190312172108878"</f>
        <v>20190312172108878</v>
      </c>
      <c r="B1020" t="str">
        <f>"1552382468872279"</f>
        <v>1552382468872279</v>
      </c>
      <c r="C1020" t="s">
        <v>40</v>
      </c>
      <c r="D1020">
        <v>3.1614979999999999</v>
      </c>
      <c r="E1020">
        <v>0.52114119999999997</v>
      </c>
      <c r="F1020" t="s">
        <v>43</v>
      </c>
      <c r="G1020">
        <v>-280.34370000000001</v>
      </c>
      <c r="H1020">
        <v>-0.05</v>
      </c>
      <c r="I1020">
        <v>366.94009999999997</v>
      </c>
      <c r="J1020">
        <v>-302.60210000000001</v>
      </c>
      <c r="K1020">
        <v>1.0600719999999999</v>
      </c>
      <c r="L1020">
        <v>367.99770000000001</v>
      </c>
      <c r="M1020">
        <v>0.99990429999999997</v>
      </c>
      <c r="N1020">
        <v>0</v>
      </c>
      <c r="O1020">
        <v>-4.0340130000000004E-3</v>
      </c>
      <c r="P1020">
        <v>0.98534650000000001</v>
      </c>
      <c r="Q1020">
        <v>0.17047509999999999</v>
      </c>
      <c r="R1020">
        <v>5.5522409999999899E-3</v>
      </c>
      <c r="S1020">
        <v>3.071564</v>
      </c>
      <c r="T1020">
        <v>-0.15221379999999901</v>
      </c>
      <c r="U1020">
        <v>-0.14511109999999999</v>
      </c>
      <c r="V1020">
        <v>-9.444315E-3</v>
      </c>
      <c r="W1020">
        <v>0.18350949999999999</v>
      </c>
      <c r="X1020">
        <v>0.98297259999999997</v>
      </c>
      <c r="Y1020">
        <v>4.3112659999999997E-2</v>
      </c>
      <c r="Z1020">
        <v>-8.6730460000000004E-4</v>
      </c>
      <c r="AA1020">
        <v>0.99906989999999996</v>
      </c>
      <c r="AB1020">
        <v>33</v>
      </c>
      <c r="AC1020">
        <v>22.258399999999899</v>
      </c>
      <c r="AD1020">
        <v>-1.1100719999999999</v>
      </c>
      <c r="AE1020">
        <v>-1.0576000000000301</v>
      </c>
      <c r="AF1020">
        <v>0.96539710778667398</v>
      </c>
      <c r="AG1020">
        <v>-1.1100719999999999</v>
      </c>
      <c r="AH1020">
        <v>22.207375369221001</v>
      </c>
      <c r="AI1020">
        <v>92.858945795153204</v>
      </c>
      <c r="AJ1020">
        <v>87.510810052217593</v>
      </c>
      <c r="AK1020">
        <v>22.256050238314799</v>
      </c>
      <c r="AL1020">
        <v>79.425754947107094</v>
      </c>
      <c r="AM1020">
        <v>90.550475913786499</v>
      </c>
      <c r="AN1020">
        <v>1.0000000320134099</v>
      </c>
    </row>
    <row r="1021" spans="1:40" x14ac:dyDescent="0.25">
      <c r="A1021" t="str">
        <f>"20190312172108888"</f>
        <v>20190312172108888</v>
      </c>
      <c r="B1021" t="str">
        <f>"1552382468882039"</f>
        <v>1552382468882039</v>
      </c>
      <c r="C1021" t="s">
        <v>40</v>
      </c>
      <c r="D1021">
        <v>3.189543</v>
      </c>
      <c r="E1021">
        <v>0.52131130000000003</v>
      </c>
      <c r="F1021" t="s">
        <v>43</v>
      </c>
      <c r="G1021">
        <v>-280.3098</v>
      </c>
      <c r="H1021">
        <v>-0.05</v>
      </c>
      <c r="I1021">
        <v>366.9282</v>
      </c>
      <c r="J1021">
        <v>-302.44979999999998</v>
      </c>
      <c r="K1021">
        <v>1.0600719999999999</v>
      </c>
      <c r="L1021">
        <v>367.99700000000001</v>
      </c>
      <c r="M1021">
        <v>0.99990400000000002</v>
      </c>
      <c r="N1021">
        <v>0</v>
      </c>
      <c r="O1021">
        <v>-4.1201529999999997E-3</v>
      </c>
      <c r="P1021">
        <v>0.98535139999999999</v>
      </c>
      <c r="Q1021">
        <v>0.17044819999999999</v>
      </c>
      <c r="R1021">
        <v>5.4641350000000002E-3</v>
      </c>
      <c r="S1021">
        <v>3.071869</v>
      </c>
      <c r="T1021">
        <v>-0.15296670000000001</v>
      </c>
      <c r="U1021">
        <v>-0.14736939999999901</v>
      </c>
      <c r="V1021">
        <v>-9.4406249999999994E-3</v>
      </c>
      <c r="W1021">
        <v>0.18347669999999999</v>
      </c>
      <c r="X1021">
        <v>0.98297880000000004</v>
      </c>
      <c r="Y1021">
        <v>4.3753569999999999E-2</v>
      </c>
      <c r="Z1021">
        <v>-8.8314229999999995E-4</v>
      </c>
      <c r="AA1021">
        <v>0.99904199999999999</v>
      </c>
      <c r="AB1021">
        <v>33</v>
      </c>
      <c r="AC1021">
        <v>22.139999999999901</v>
      </c>
      <c r="AD1021">
        <v>-1.1100719999999999</v>
      </c>
      <c r="AE1021">
        <v>-1.06879999999995</v>
      </c>
      <c r="AF1021">
        <v>0.97511711343785701</v>
      </c>
      <c r="AG1021">
        <v>-1.1100719999999999</v>
      </c>
      <c r="AH1021">
        <v>22.088816201040601</v>
      </c>
      <c r="AI1021">
        <v>92.874180709360601</v>
      </c>
      <c r="AJ1021">
        <v>87.472302559359406</v>
      </c>
      <c r="AK1021">
        <v>22.1381777568403</v>
      </c>
      <c r="AL1021">
        <v>79.427667147217704</v>
      </c>
      <c r="AM1021">
        <v>90.550257379409103</v>
      </c>
      <c r="AN1021">
        <v>1.0000000730463501</v>
      </c>
    </row>
    <row r="1022" spans="1:40" x14ac:dyDescent="0.25">
      <c r="A1022" t="str">
        <f>"20190312172108900"</f>
        <v>20190312172108900</v>
      </c>
      <c r="B1022" t="str">
        <f>"1552382468891800"</f>
        <v>1552382468891800</v>
      </c>
      <c r="C1022" t="s">
        <v>40</v>
      </c>
      <c r="D1022">
        <v>3.196278</v>
      </c>
      <c r="E1022">
        <v>0.52123450000000005</v>
      </c>
      <c r="F1022" t="s">
        <v>43</v>
      </c>
      <c r="G1022">
        <v>-280.46080000000001</v>
      </c>
      <c r="H1022">
        <v>-0.05</v>
      </c>
      <c r="I1022">
        <v>366.92649999999998</v>
      </c>
      <c r="J1022">
        <v>-302.2722</v>
      </c>
      <c r="K1022">
        <v>1.060071</v>
      </c>
      <c r="L1022">
        <v>367.99619999999999</v>
      </c>
      <c r="M1022">
        <v>0.99990369999999995</v>
      </c>
      <c r="N1022">
        <v>0</v>
      </c>
      <c r="O1022">
        <v>-4.2207099999999999E-3</v>
      </c>
      <c r="P1022">
        <v>0.98536489999999999</v>
      </c>
      <c r="Q1022">
        <v>0.17036950000000001</v>
      </c>
      <c r="R1022">
        <v>5.546268E-3</v>
      </c>
      <c r="S1022">
        <v>3.0722659999999999</v>
      </c>
      <c r="T1022">
        <v>-0.15509719999999999</v>
      </c>
      <c r="U1022">
        <v>-0.1495667</v>
      </c>
      <c r="V1022">
        <v>-9.6226439999999996E-3</v>
      </c>
      <c r="W1022">
        <v>0.18339179999999999</v>
      </c>
      <c r="X1022">
        <v>0.9829928</v>
      </c>
      <c r="Y1022">
        <v>4.4357750000000001E-2</v>
      </c>
      <c r="Z1022">
        <v>-9.0545779999999998E-4</v>
      </c>
      <c r="AA1022">
        <v>0.99901530000000005</v>
      </c>
      <c r="AB1022">
        <v>33</v>
      </c>
      <c r="AC1022">
        <v>21.8113999999999</v>
      </c>
      <c r="AD1022">
        <v>-1.11007099999999</v>
      </c>
      <c r="AE1022">
        <v>-1.0697000000000101</v>
      </c>
      <c r="AF1022">
        <v>0.97510317174870798</v>
      </c>
      <c r="AG1022">
        <v>-1.11007099999999</v>
      </c>
      <c r="AH1022">
        <v>21.7594946225631</v>
      </c>
      <c r="AI1022">
        <v>92.917516806363395</v>
      </c>
      <c r="AJ1022">
        <v>87.434134216551797</v>
      </c>
      <c r="AK1022">
        <v>21.809600868653</v>
      </c>
      <c r="AL1022">
        <v>79.432614701456004</v>
      </c>
      <c r="AM1022">
        <v>90.560857901473597</v>
      </c>
      <c r="AN1022">
        <v>0.99999999621831503</v>
      </c>
    </row>
    <row r="1023" spans="1:40" x14ac:dyDescent="0.25">
      <c r="A1023" t="str">
        <f>"20190312172108912"</f>
        <v>20190312172108912</v>
      </c>
      <c r="B1023" t="str">
        <f>"1552382468902535"</f>
        <v>1552382468902535</v>
      </c>
      <c r="C1023" t="s">
        <v>40</v>
      </c>
      <c r="D1023">
        <v>3.2067060000000001</v>
      </c>
      <c r="E1023">
        <v>0.52139679999999999</v>
      </c>
      <c r="F1023" t="s">
        <v>43</v>
      </c>
      <c r="G1023">
        <v>-280.28129999999999</v>
      </c>
      <c r="H1023">
        <v>-0.05</v>
      </c>
      <c r="I1023">
        <v>366.93490000000003</v>
      </c>
      <c r="J1023">
        <v>-302.08909999999997</v>
      </c>
      <c r="K1023">
        <v>1.0600689999999999</v>
      </c>
      <c r="L1023">
        <v>367.99529999999999</v>
      </c>
      <c r="M1023">
        <v>0.9999034</v>
      </c>
      <c r="N1023">
        <v>0</v>
      </c>
      <c r="O1023">
        <v>-4.3242539999999996E-3</v>
      </c>
      <c r="P1023">
        <v>0.98536310000000005</v>
      </c>
      <c r="Q1023">
        <v>0.17038249999999999</v>
      </c>
      <c r="R1023">
        <v>5.4454350000000002E-3</v>
      </c>
      <c r="S1023">
        <v>3.0722049999999999</v>
      </c>
      <c r="T1023">
        <v>-0.15508069999999999</v>
      </c>
      <c r="U1023">
        <v>-0.14825439999999901</v>
      </c>
      <c r="V1023">
        <v>-9.6235680000000007E-3</v>
      </c>
      <c r="W1023">
        <v>0.1833988</v>
      </c>
      <c r="X1023">
        <v>0.98299150000000002</v>
      </c>
      <c r="Y1023">
        <v>4.3830359999999999E-2</v>
      </c>
      <c r="Z1023">
        <v>-8.868735E-4</v>
      </c>
      <c r="AA1023">
        <v>0.9990386</v>
      </c>
      <c r="AB1023">
        <v>33</v>
      </c>
      <c r="AC1023">
        <v>21.807799999999901</v>
      </c>
      <c r="AD1023">
        <v>-1.110069</v>
      </c>
      <c r="AE1023">
        <v>-1.06039999999995</v>
      </c>
      <c r="AF1023">
        <v>0.96358856947990601</v>
      </c>
      <c r="AG1023">
        <v>-1.110069</v>
      </c>
      <c r="AH1023">
        <v>21.755944079147699</v>
      </c>
      <c r="AI1023">
        <v>92.918054473995198</v>
      </c>
      <c r="AJ1023">
        <v>87.463980448294095</v>
      </c>
      <c r="AK1023">
        <v>21.805546516677701</v>
      </c>
      <c r="AL1023">
        <v>79.432206869046695</v>
      </c>
      <c r="AM1023">
        <v>90.560912495328907</v>
      </c>
      <c r="AN1023">
        <v>1.0000000109873699</v>
      </c>
    </row>
    <row r="1024" spans="1:40" x14ac:dyDescent="0.25">
      <c r="A1024" t="str">
        <f>"20190312172108925"</f>
        <v>20190312172108925</v>
      </c>
      <c r="B1024" t="str">
        <f>"1552382468922056"</f>
        <v>1552382468922056</v>
      </c>
      <c r="C1024" t="s">
        <v>40</v>
      </c>
      <c r="D1024">
        <v>3.199821</v>
      </c>
      <c r="E1024">
        <v>0.52145589999999997</v>
      </c>
      <c r="F1024" t="s">
        <v>43</v>
      </c>
      <c r="G1024">
        <v>-280.2516</v>
      </c>
      <c r="H1024">
        <v>-0.05</v>
      </c>
      <c r="I1024">
        <v>366.9298</v>
      </c>
      <c r="J1024">
        <v>-301.8972</v>
      </c>
      <c r="K1024">
        <v>1.060068</v>
      </c>
      <c r="L1024">
        <v>367.99430000000001</v>
      </c>
      <c r="M1024">
        <v>0.99990290000000004</v>
      </c>
      <c r="N1024">
        <v>0</v>
      </c>
      <c r="O1024">
        <v>-4.4325659999999998E-3</v>
      </c>
      <c r="P1024">
        <v>0.98534600000000006</v>
      </c>
      <c r="Q1024">
        <v>0.170478399999999</v>
      </c>
      <c r="R1024">
        <v>5.5241719999999999E-3</v>
      </c>
      <c r="S1024">
        <v>3.0724490000000002</v>
      </c>
      <c r="T1024">
        <v>-0.15618290000000001</v>
      </c>
      <c r="U1024">
        <v>-0.14990229999999999</v>
      </c>
      <c r="V1024">
        <v>-9.8094849999999997E-3</v>
      </c>
      <c r="W1024">
        <v>0.1834884</v>
      </c>
      <c r="X1024">
        <v>0.98297290000000004</v>
      </c>
      <c r="Y1024">
        <v>4.4251800000000001E-2</v>
      </c>
      <c r="Z1024">
        <v>-8.9828539999999902E-4</v>
      </c>
      <c r="AA1024">
        <v>0.99902000000000002</v>
      </c>
      <c r="AB1024">
        <v>33</v>
      </c>
      <c r="AC1024">
        <v>21.645600000000002</v>
      </c>
      <c r="AD1024">
        <v>-1.1100680000000001</v>
      </c>
      <c r="AE1024">
        <v>-1.0645</v>
      </c>
      <c r="AF1024">
        <v>0.96600113803499998</v>
      </c>
      <c r="AG1024">
        <v>-1.1100680000000001</v>
      </c>
      <c r="AH1024">
        <v>21.5934518953989</v>
      </c>
      <c r="AI1024">
        <v>92.939913986209206</v>
      </c>
      <c r="AJ1024">
        <v>87.438533202767999</v>
      </c>
      <c r="AK1024">
        <v>21.6435342290075</v>
      </c>
      <c r="AL1024">
        <v>79.426984113012793</v>
      </c>
      <c r="AM1024">
        <v>90.571758827901505</v>
      </c>
      <c r="AN1024">
        <v>0.99999997053246703</v>
      </c>
    </row>
    <row r="1025" spans="1:40" x14ac:dyDescent="0.25">
      <c r="A1025" t="str">
        <f>"20190312172108939"</f>
        <v>20190312172108939</v>
      </c>
      <c r="B1025" t="str">
        <f>"1552382468931815"</f>
        <v>1552382468931815</v>
      </c>
      <c r="C1025" t="s">
        <v>40</v>
      </c>
      <c r="D1025">
        <v>3.1814450000000001</v>
      </c>
      <c r="E1025">
        <v>0.52144190000000001</v>
      </c>
      <c r="F1025" t="s">
        <v>43</v>
      </c>
      <c r="G1025">
        <v>-280.0215</v>
      </c>
      <c r="H1025">
        <v>-0.05</v>
      </c>
      <c r="I1025">
        <v>366.92349999999999</v>
      </c>
      <c r="J1025">
        <v>-301.69889999999998</v>
      </c>
      <c r="K1025">
        <v>1.060065</v>
      </c>
      <c r="L1025">
        <v>367.99329999999998</v>
      </c>
      <c r="M1025">
        <v>0.99990250000000003</v>
      </c>
      <c r="N1025">
        <v>0</v>
      </c>
      <c r="O1025">
        <v>-4.5448110000000002E-3</v>
      </c>
      <c r="P1025">
        <v>0.98532140000000001</v>
      </c>
      <c r="Q1025">
        <v>0.1706231</v>
      </c>
      <c r="R1025">
        <v>5.4523280000000002E-3</v>
      </c>
      <c r="S1025">
        <v>3.0724179999999999</v>
      </c>
      <c r="T1025">
        <v>-0.15590789999999999</v>
      </c>
      <c r="U1025">
        <v>-0.15039060000000001</v>
      </c>
      <c r="V1025">
        <v>-9.8476620000000001E-3</v>
      </c>
      <c r="W1025">
        <v>0.18362619999999999</v>
      </c>
      <c r="X1025">
        <v>0.98294680000000001</v>
      </c>
      <c r="Y1025">
        <v>4.4298789999999998E-2</v>
      </c>
      <c r="Z1025">
        <v>-8.9221310000000002E-4</v>
      </c>
      <c r="AA1025">
        <v>0.99901799999999996</v>
      </c>
      <c r="AB1025">
        <v>33</v>
      </c>
      <c r="AC1025">
        <v>21.677399999999899</v>
      </c>
      <c r="AD1025">
        <v>-1.1100649999999901</v>
      </c>
      <c r="AE1025">
        <v>-1.0697999999999801</v>
      </c>
      <c r="AF1025">
        <v>0.96872655455791001</v>
      </c>
      <c r="AG1025">
        <v>-1.1100649999999901</v>
      </c>
      <c r="AH1025">
        <v>21.625467852194099</v>
      </c>
      <c r="AI1025">
        <v>92.935553388376903</v>
      </c>
      <c r="AJ1025">
        <v>87.435113892063896</v>
      </c>
      <c r="AK1025">
        <v>21.675597691136701</v>
      </c>
      <c r="AL1025">
        <v>79.418952437319803</v>
      </c>
      <c r="AM1025">
        <v>90.573999116198394</v>
      </c>
      <c r="AN1025">
        <v>0.99999998470177298</v>
      </c>
    </row>
    <row r="1026" spans="1:40" x14ac:dyDescent="0.25">
      <c r="A1026" t="str">
        <f>"20190312172108950"</f>
        <v>20190312172108950</v>
      </c>
      <c r="B1026" t="str">
        <f>"1552382468942551"</f>
        <v>1552382468942551</v>
      </c>
      <c r="C1026" t="s">
        <v>40</v>
      </c>
      <c r="D1026">
        <v>3.1794030000000002</v>
      </c>
      <c r="E1026">
        <v>0.52147140000000003</v>
      </c>
      <c r="F1026" t="s">
        <v>43</v>
      </c>
      <c r="G1026">
        <v>-279.77289999999999</v>
      </c>
      <c r="H1026">
        <v>-0.05</v>
      </c>
      <c r="I1026">
        <v>366.92079999999999</v>
      </c>
      <c r="J1026">
        <v>-301.5224</v>
      </c>
      <c r="K1026">
        <v>1.060063</v>
      </c>
      <c r="L1026">
        <v>367.99239999999998</v>
      </c>
      <c r="M1026">
        <v>0.99990199999999996</v>
      </c>
      <c r="N1026">
        <v>0</v>
      </c>
      <c r="O1026">
        <v>-4.6443140000000001E-3</v>
      </c>
      <c r="P1026">
        <v>0.98534650000000001</v>
      </c>
      <c r="Q1026">
        <v>0.17048389999999999</v>
      </c>
      <c r="R1026">
        <v>5.2601699999999998E-3</v>
      </c>
      <c r="S1026">
        <v>3.072479</v>
      </c>
      <c r="T1026">
        <v>-0.15555350000000001</v>
      </c>
      <c r="U1026">
        <v>-0.15029909999999999</v>
      </c>
      <c r="V1026">
        <v>-9.7537189999999992E-3</v>
      </c>
      <c r="W1026">
        <v>0.1834828</v>
      </c>
      <c r="X1026">
        <v>0.98297449999999997</v>
      </c>
      <c r="Y1026">
        <v>4.4169229999999997E-2</v>
      </c>
      <c r="Z1026">
        <v>-8.8186310000000002E-4</v>
      </c>
      <c r="AA1026">
        <v>0.99902369999999996</v>
      </c>
      <c r="AB1026">
        <v>33</v>
      </c>
      <c r="AC1026">
        <v>21.749500000000001</v>
      </c>
      <c r="AD1026">
        <v>-1.110063</v>
      </c>
      <c r="AE1026">
        <v>-1.0715999999999799</v>
      </c>
      <c r="AF1026">
        <v>0.96805251712285101</v>
      </c>
      <c r="AG1026">
        <v>-1.110063</v>
      </c>
      <c r="AH1026">
        <v>21.697858065243999</v>
      </c>
      <c r="AI1026">
        <v>92.925794854941003</v>
      </c>
      <c r="AJ1026">
        <v>87.445436047387702</v>
      </c>
      <c r="AK1026">
        <v>21.747790925961901</v>
      </c>
      <c r="AL1026">
        <v>79.427310508249505</v>
      </c>
      <c r="AM1026">
        <v>90.568507721356397</v>
      </c>
      <c r="AN1026">
        <v>0.99999997029021004</v>
      </c>
    </row>
    <row r="1027" spans="1:40" x14ac:dyDescent="0.25">
      <c r="A1027" t="str">
        <f>"20190312172108961"</f>
        <v>20190312172108961</v>
      </c>
      <c r="B1027" t="str">
        <f>"1552382468952312"</f>
        <v>1552382468952312</v>
      </c>
      <c r="C1027" t="s">
        <v>40</v>
      </c>
      <c r="D1027">
        <v>3.187894</v>
      </c>
      <c r="E1027">
        <v>0.52153490000000002</v>
      </c>
      <c r="F1027" t="s">
        <v>43</v>
      </c>
      <c r="G1027">
        <v>-279.70400000000001</v>
      </c>
      <c r="H1027">
        <v>-0.05</v>
      </c>
      <c r="I1027">
        <v>366.9203</v>
      </c>
      <c r="J1027">
        <v>-301.36790000000002</v>
      </c>
      <c r="K1027">
        <v>1.0600540000000001</v>
      </c>
      <c r="L1027">
        <v>367.99160000000001</v>
      </c>
      <c r="M1027">
        <v>0.9999017</v>
      </c>
      <c r="N1027">
        <v>0</v>
      </c>
      <c r="O1027">
        <v>-4.7314239999999997E-3</v>
      </c>
      <c r="P1027">
        <v>0.98530050000000002</v>
      </c>
      <c r="Q1027">
        <v>0.17074819999999999</v>
      </c>
      <c r="R1027">
        <v>5.2896760000000001E-3</v>
      </c>
      <c r="S1027">
        <v>3.072479</v>
      </c>
      <c r="T1027">
        <v>-0.15631999999999999</v>
      </c>
      <c r="U1027">
        <v>-0.15097049999999901</v>
      </c>
      <c r="V1027">
        <v>-9.8690050000000001E-3</v>
      </c>
      <c r="W1027">
        <v>0.18374190000000001</v>
      </c>
      <c r="X1027">
        <v>0.98292500000000005</v>
      </c>
      <c r="Y1027">
        <v>4.4299430000000001E-2</v>
      </c>
      <c r="Z1027">
        <v>-8.8508009999999895E-4</v>
      </c>
      <c r="AA1027">
        <v>0.99901790000000001</v>
      </c>
      <c r="AB1027">
        <v>33</v>
      </c>
      <c r="AC1027">
        <v>21.663900000000002</v>
      </c>
      <c r="AD1027">
        <v>-1.1100540000000001</v>
      </c>
      <c r="AE1027">
        <v>-1.0712999999999999</v>
      </c>
      <c r="AF1027">
        <v>0.96624727038214897</v>
      </c>
      <c r="AG1027">
        <v>-1.1100540000000001</v>
      </c>
      <c r="AH1027">
        <v>21.612122098829101</v>
      </c>
      <c r="AI1027">
        <v>92.937345299815803</v>
      </c>
      <c r="AJ1027">
        <v>87.440091831482803</v>
      </c>
      <c r="AK1027">
        <v>21.662171527460799</v>
      </c>
      <c r="AL1027">
        <v>79.4122089419795</v>
      </c>
      <c r="AM1027">
        <v>90.575255827714301</v>
      </c>
      <c r="AN1027">
        <v>1.0000000193501499</v>
      </c>
    </row>
    <row r="1028" spans="1:40" x14ac:dyDescent="0.25">
      <c r="A1028" t="str">
        <f>"20190312172108971"</f>
        <v>20190312172108971</v>
      </c>
      <c r="B1028" t="str">
        <f>"1552382468962072"</f>
        <v>1552382468962072</v>
      </c>
      <c r="C1028" t="s">
        <v>40</v>
      </c>
      <c r="D1028">
        <v>3.1862020000000002</v>
      </c>
      <c r="E1028">
        <v>0.52160189999999995</v>
      </c>
      <c r="F1028" t="s">
        <v>43</v>
      </c>
      <c r="G1028">
        <v>-279.46089999999998</v>
      </c>
      <c r="H1028">
        <v>-0.05</v>
      </c>
      <c r="I1028">
        <v>366.91140000000001</v>
      </c>
      <c r="J1028">
        <v>-301.2097</v>
      </c>
      <c r="K1028">
        <v>1.0600529999999999</v>
      </c>
      <c r="L1028">
        <v>367.99079999999998</v>
      </c>
      <c r="M1028">
        <v>0.99990120000000005</v>
      </c>
      <c r="N1028">
        <v>0</v>
      </c>
      <c r="O1028">
        <v>-4.8210350000000004E-3</v>
      </c>
      <c r="P1028">
        <v>0.98531480000000005</v>
      </c>
      <c r="Q1028">
        <v>0.17067360000000001</v>
      </c>
      <c r="R1028">
        <v>5.0321580000000001E-3</v>
      </c>
      <c r="S1028">
        <v>3.0725099999999999</v>
      </c>
      <c r="T1028">
        <v>-0.15568779999999999</v>
      </c>
      <c r="U1028">
        <v>-0.15148929999999999</v>
      </c>
      <c r="V1028">
        <v>-9.6999489999999994E-3</v>
      </c>
      <c r="W1028">
        <v>0.1836641</v>
      </c>
      <c r="X1028">
        <v>0.98294119999999996</v>
      </c>
      <c r="Y1028">
        <v>4.4378109999999998E-2</v>
      </c>
      <c r="Z1028">
        <v>-8.7894850000000001E-4</v>
      </c>
      <c r="AA1028">
        <v>0.99901439999999997</v>
      </c>
      <c r="AB1028">
        <v>33</v>
      </c>
      <c r="AC1028">
        <v>21.748799999999999</v>
      </c>
      <c r="AD1028">
        <v>-1.110053</v>
      </c>
      <c r="AE1028">
        <v>-1.0793999999999599</v>
      </c>
      <c r="AF1028">
        <v>0.97200069311038795</v>
      </c>
      <c r="AG1028">
        <v>-1.110053</v>
      </c>
      <c r="AH1028">
        <v>21.6973675424227</v>
      </c>
      <c r="AI1028">
        <v>92.925810728593703</v>
      </c>
      <c r="AJ1028">
        <v>87.434973303729507</v>
      </c>
      <c r="AK1028">
        <v>21.7474771245125</v>
      </c>
      <c r="AL1028">
        <v>79.416743484421502</v>
      </c>
      <c r="AM1028">
        <v>90.565393026046195</v>
      </c>
      <c r="AN1028">
        <v>0.99999999664842598</v>
      </c>
    </row>
    <row r="1029" spans="1:40" x14ac:dyDescent="0.25">
      <c r="A1029" t="str">
        <f>"20190312172108982"</f>
        <v>20190312172108982</v>
      </c>
      <c r="B1029" t="str">
        <f>"1552382468971832"</f>
        <v>1552382468971832</v>
      </c>
      <c r="C1029" t="s">
        <v>40</v>
      </c>
      <c r="D1029">
        <v>3.2061039999999998</v>
      </c>
      <c r="E1029">
        <v>0.52164179999999905</v>
      </c>
      <c r="F1029" t="s">
        <v>43</v>
      </c>
      <c r="G1029">
        <v>-279.36989999999997</v>
      </c>
      <c r="H1029">
        <v>-0.05</v>
      </c>
      <c r="I1029">
        <v>366.90359999999998</v>
      </c>
      <c r="J1029">
        <v>-301.0557</v>
      </c>
      <c r="K1029">
        <v>1.0600499999999999</v>
      </c>
      <c r="L1029">
        <v>367.99</v>
      </c>
      <c r="M1029">
        <v>0.99990100000000004</v>
      </c>
      <c r="N1029">
        <v>0</v>
      </c>
      <c r="O1029">
        <v>-4.9081439999999997E-3</v>
      </c>
      <c r="P1029">
        <v>0.98533199999999999</v>
      </c>
      <c r="Q1029">
        <v>0.17057999999999901</v>
      </c>
      <c r="R1029">
        <v>4.8637919999999996E-3</v>
      </c>
      <c r="S1029">
        <v>3.0725099999999999</v>
      </c>
      <c r="T1029">
        <v>-0.15616669999999999</v>
      </c>
      <c r="U1029">
        <v>-0.15295410000000001</v>
      </c>
      <c r="V1029">
        <v>-9.6176339999999999E-3</v>
      </c>
      <c r="W1029">
        <v>0.1835666</v>
      </c>
      <c r="X1029">
        <v>0.98296019999999995</v>
      </c>
      <c r="Y1029">
        <v>4.4765489999999998E-2</v>
      </c>
      <c r="Z1029">
        <v>-8.8704840000000001E-4</v>
      </c>
      <c r="AA1029">
        <v>0.99899720000000003</v>
      </c>
      <c r="AB1029">
        <v>33</v>
      </c>
      <c r="AC1029">
        <v>21.6858</v>
      </c>
      <c r="AD1029">
        <v>-1.11005</v>
      </c>
      <c r="AE1029">
        <v>-1.08640000000002</v>
      </c>
      <c r="AF1029">
        <v>0.97738609263076204</v>
      </c>
      <c r="AG1029">
        <v>-1.11005</v>
      </c>
      <c r="AH1029">
        <v>21.634327101274799</v>
      </c>
      <c r="AI1029">
        <v>92.934263574152098</v>
      </c>
      <c r="AJ1029">
        <v>87.413275419463105</v>
      </c>
      <c r="AK1029">
        <v>21.6848242718617</v>
      </c>
      <c r="AL1029">
        <v>79.422426213647299</v>
      </c>
      <c r="AM1029">
        <v>90.560584501224398</v>
      </c>
      <c r="AN1029">
        <v>0.99999997515167804</v>
      </c>
    </row>
    <row r="1030" spans="1:40" x14ac:dyDescent="0.25">
      <c r="A1030" t="str">
        <f>"20190312172108995"</f>
        <v>20190312172108995</v>
      </c>
      <c r="B1030" t="str">
        <f>"1552382468992327"</f>
        <v>1552382468992327</v>
      </c>
      <c r="C1030" t="s">
        <v>40</v>
      </c>
      <c r="D1030">
        <v>3.1907740000000002</v>
      </c>
      <c r="E1030">
        <v>0.52177759999999995</v>
      </c>
      <c r="F1030" t="s">
        <v>43</v>
      </c>
      <c r="G1030">
        <v>-279.24860000000001</v>
      </c>
      <c r="H1030">
        <v>-0.05</v>
      </c>
      <c r="I1030">
        <v>366.90069999999997</v>
      </c>
      <c r="J1030">
        <v>-300.87009999999998</v>
      </c>
      <c r="K1030">
        <v>1.0600480000000001</v>
      </c>
      <c r="L1030">
        <v>367.98899999999998</v>
      </c>
      <c r="M1030">
        <v>0.99990049999999997</v>
      </c>
      <c r="N1030">
        <v>0</v>
      </c>
      <c r="O1030">
        <v>-5.0128949999999999E-3</v>
      </c>
      <c r="P1030">
        <v>0.98531899999999994</v>
      </c>
      <c r="Q1030">
        <v>0.17065459999999999</v>
      </c>
      <c r="R1030">
        <v>4.850142E-3</v>
      </c>
      <c r="S1030">
        <v>3.072479</v>
      </c>
      <c r="T1030">
        <v>-0.1563985</v>
      </c>
      <c r="U1030">
        <v>-0.1534729</v>
      </c>
      <c r="V1030">
        <v>-9.7070309999999996E-3</v>
      </c>
      <c r="W1030">
        <v>0.18363699999999999</v>
      </c>
      <c r="X1030">
        <v>0.98294619999999999</v>
      </c>
      <c r="Y1030">
        <v>4.4829500000000001E-2</v>
      </c>
      <c r="Z1030">
        <v>-8.8467009999999998E-4</v>
      </c>
      <c r="AA1030">
        <v>0.99899420000000005</v>
      </c>
      <c r="AB1030">
        <v>33</v>
      </c>
      <c r="AC1030">
        <v>21.621499999999902</v>
      </c>
      <c r="AD1030">
        <v>-1.1100479999999999</v>
      </c>
      <c r="AE1030">
        <v>-1.08830000000006</v>
      </c>
      <c r="AF1030">
        <v>0.97732108141632701</v>
      </c>
      <c r="AG1030">
        <v>-1.1100479999999999</v>
      </c>
      <c r="AH1030">
        <v>21.5699739099318</v>
      </c>
      <c r="AI1030">
        <v>92.942979698105304</v>
      </c>
      <c r="AJ1030">
        <v>87.405740888753698</v>
      </c>
      <c r="AK1030">
        <v>21.620618342998998</v>
      </c>
      <c r="AL1030">
        <v>79.418323135885899</v>
      </c>
      <c r="AM1030">
        <v>90.5658029186622</v>
      </c>
      <c r="AN1030">
        <v>1.0000000031571299</v>
      </c>
    </row>
    <row r="1031" spans="1:40" x14ac:dyDescent="0.25">
      <c r="A1031" t="str">
        <f>"20190312172109005"</f>
        <v>20190312172109005</v>
      </c>
      <c r="B1031" t="str">
        <f>"1552382469002088"</f>
        <v>1552382469002088</v>
      </c>
      <c r="C1031" t="s">
        <v>40</v>
      </c>
      <c r="D1031">
        <v>3.2008489999999998</v>
      </c>
      <c r="E1031">
        <v>0.52183420000000003</v>
      </c>
      <c r="F1031" t="s">
        <v>43</v>
      </c>
      <c r="G1031">
        <v>-279.06110000000001</v>
      </c>
      <c r="H1031">
        <v>-0.05</v>
      </c>
      <c r="I1031">
        <v>366.89240000000001</v>
      </c>
      <c r="J1031">
        <v>-300.71539999999999</v>
      </c>
      <c r="K1031">
        <v>1.060047</v>
      </c>
      <c r="L1031">
        <v>367.98809999999997</v>
      </c>
      <c r="M1031">
        <v>0.99990029999999996</v>
      </c>
      <c r="N1031">
        <v>0</v>
      </c>
      <c r="O1031">
        <v>-5.1002479999999999E-3</v>
      </c>
      <c r="P1031">
        <v>0.98530379999999995</v>
      </c>
      <c r="Q1031">
        <v>0.1707506</v>
      </c>
      <c r="R1031">
        <v>4.5893920000000003E-3</v>
      </c>
      <c r="S1031">
        <v>3.07254</v>
      </c>
      <c r="T1031">
        <v>-0.15638750000000001</v>
      </c>
      <c r="U1031">
        <v>-0.15448000000000001</v>
      </c>
      <c r="V1031">
        <v>-9.5325040000000007E-3</v>
      </c>
      <c r="W1031">
        <v>0.18372930000000001</v>
      </c>
      <c r="X1031">
        <v>0.98293070000000005</v>
      </c>
      <c r="Y1031">
        <v>4.5067669999999997E-2</v>
      </c>
      <c r="Z1031">
        <v>-8.8619649999999996E-4</v>
      </c>
      <c r="AA1031">
        <v>0.99898359999999997</v>
      </c>
      <c r="AB1031">
        <v>33</v>
      </c>
      <c r="AC1031">
        <v>21.6542999999999</v>
      </c>
      <c r="AD1031">
        <v>-1.110047</v>
      </c>
      <c r="AE1031">
        <v>-1.0956999999999599</v>
      </c>
      <c r="AF1031">
        <v>0.98265822341396303</v>
      </c>
      <c r="AG1031">
        <v>-1.110047</v>
      </c>
      <c r="AH1031">
        <v>21.602983510619701</v>
      </c>
      <c r="AI1031">
        <v>92.938464405393802</v>
      </c>
      <c r="AJ1031">
        <v>87.395573358553705</v>
      </c>
      <c r="AK1031">
        <v>21.653792233379299</v>
      </c>
      <c r="AL1031">
        <v>79.412943621537394</v>
      </c>
      <c r="AM1031">
        <v>90.555639502853495</v>
      </c>
      <c r="AN1031">
        <v>1.0000000426567399</v>
      </c>
    </row>
    <row r="1032" spans="1:40" x14ac:dyDescent="0.25">
      <c r="A1032" t="str">
        <f>"20190312172109016"</f>
        <v>20190312172109016</v>
      </c>
      <c r="B1032" t="str">
        <f>"1552382469011848"</f>
        <v>1552382469011848</v>
      </c>
      <c r="C1032" t="s">
        <v>40</v>
      </c>
      <c r="D1032">
        <v>3.2118350000000002</v>
      </c>
      <c r="E1032">
        <v>0.52187570000000005</v>
      </c>
      <c r="F1032" t="s">
        <v>42</v>
      </c>
      <c r="G1032">
        <v>-279.87729999999999</v>
      </c>
      <c r="H1032" s="1">
        <v>-7.4270669999999995E-7</v>
      </c>
      <c r="I1032">
        <v>366.92959999999999</v>
      </c>
      <c r="J1032">
        <v>-300.54730000000001</v>
      </c>
      <c r="K1032">
        <v>1.0600480000000001</v>
      </c>
      <c r="L1032">
        <v>367.9871</v>
      </c>
      <c r="M1032">
        <v>0.99989969999999995</v>
      </c>
      <c r="N1032">
        <v>0</v>
      </c>
      <c r="O1032">
        <v>-5.1948740000000004E-3</v>
      </c>
      <c r="P1032">
        <v>0.98531100000000005</v>
      </c>
      <c r="Q1032">
        <v>0.17071459999999999</v>
      </c>
      <c r="R1032">
        <v>4.3188230000000003E-3</v>
      </c>
      <c r="S1032">
        <v>3.0725709999999999</v>
      </c>
      <c r="T1032">
        <v>-0.15630239999999901</v>
      </c>
      <c r="U1032">
        <v>-0.15606689999999901</v>
      </c>
      <c r="V1032">
        <v>-9.3549380000000001E-3</v>
      </c>
      <c r="W1032">
        <v>0.1836904</v>
      </c>
      <c r="X1032">
        <v>0.98293969999999997</v>
      </c>
      <c r="Y1032">
        <v>4.5486899999999997E-2</v>
      </c>
      <c r="Z1032">
        <v>-8.9153669999999998E-4</v>
      </c>
      <c r="AA1032">
        <v>0.99896450000000003</v>
      </c>
      <c r="AB1032">
        <v>33</v>
      </c>
      <c r="AC1032">
        <v>20.67</v>
      </c>
      <c r="AD1032">
        <v>-1.06004874270669</v>
      </c>
      <c r="AE1032">
        <v>-1.0575000000000001</v>
      </c>
      <c r="AF1032">
        <v>0.94761256036392405</v>
      </c>
      <c r="AG1032">
        <v>-1.06004874270669</v>
      </c>
      <c r="AH1032">
        <v>20.621121268272301</v>
      </c>
      <c r="AI1032">
        <v>92.939658016252906</v>
      </c>
      <c r="AJ1032">
        <v>87.368909776855304</v>
      </c>
      <c r="AK1032">
        <v>20.670082613822899</v>
      </c>
      <c r="AL1032">
        <v>79.415211265782503</v>
      </c>
      <c r="AM1032">
        <v>90.545285008290705</v>
      </c>
      <c r="AN1032">
        <v>1.0000000658766099</v>
      </c>
    </row>
    <row r="1033" spans="1:40" x14ac:dyDescent="0.25">
      <c r="A1033" t="str">
        <f>"20190312172109027"</f>
        <v>20190312172109027</v>
      </c>
      <c r="B1033" t="str">
        <f>"1552382469021607"</f>
        <v>1552382469021607</v>
      </c>
      <c r="C1033" t="s">
        <v>40</v>
      </c>
      <c r="D1033">
        <v>3.1634709999999999</v>
      </c>
      <c r="E1033">
        <v>0.5219182</v>
      </c>
      <c r="F1033" t="s">
        <v>42</v>
      </c>
      <c r="G1033">
        <v>-279.71620000000001</v>
      </c>
      <c r="H1033" s="1">
        <v>-7.9965739999999999E-7</v>
      </c>
      <c r="I1033">
        <v>366.92149999999998</v>
      </c>
      <c r="J1033">
        <v>-300.39510000000001</v>
      </c>
      <c r="K1033">
        <v>1.0600499999999999</v>
      </c>
      <c r="L1033">
        <v>367.9862</v>
      </c>
      <c r="M1033">
        <v>0.99989930000000005</v>
      </c>
      <c r="N1033">
        <v>0</v>
      </c>
      <c r="O1033">
        <v>-5.2809179999999999E-3</v>
      </c>
      <c r="P1033">
        <v>0.98531429999999998</v>
      </c>
      <c r="Q1033">
        <v>0.1707021</v>
      </c>
      <c r="R1033">
        <v>4.1118680000000003E-3</v>
      </c>
      <c r="S1033">
        <v>3.0725099999999999</v>
      </c>
      <c r="T1033">
        <v>-0.15635270000000001</v>
      </c>
      <c r="U1033">
        <v>-0.15716550000000001</v>
      </c>
      <c r="V1033">
        <v>-9.2331029999999994E-3</v>
      </c>
      <c r="W1033">
        <v>0.18367449999999999</v>
      </c>
      <c r="X1033">
        <v>0.98294380000000003</v>
      </c>
      <c r="Y1033">
        <v>4.5757949999999999E-2</v>
      </c>
      <c r="Z1033">
        <v>-8.9434720000000005E-4</v>
      </c>
      <c r="AA1033">
        <v>0.99895219999999996</v>
      </c>
      <c r="AB1033">
        <v>33</v>
      </c>
      <c r="AC1033">
        <v>20.678899999999999</v>
      </c>
      <c r="AD1033">
        <v>-1.0600507996574</v>
      </c>
      <c r="AE1033">
        <v>-1.06470000000001</v>
      </c>
      <c r="AF1033">
        <v>0.95297446028405497</v>
      </c>
      <c r="AG1033">
        <v>-1.0600507996574</v>
      </c>
      <c r="AH1033">
        <v>20.630165296218699</v>
      </c>
      <c r="AI1033">
        <v>92.938344921221898</v>
      </c>
      <c r="AJ1033">
        <v>87.355201620977695</v>
      </c>
      <c r="AK1033">
        <v>20.6793517347405</v>
      </c>
      <c r="AL1033">
        <v>79.416137792658205</v>
      </c>
      <c r="AM1033">
        <v>90.538181608491797</v>
      </c>
      <c r="AN1033">
        <v>1.0000000430498399</v>
      </c>
    </row>
    <row r="1034" spans="1:40" x14ac:dyDescent="0.25">
      <c r="A1034" t="str">
        <f>"20190312172109038"</f>
        <v>20190312172109038</v>
      </c>
      <c r="B1034" t="str">
        <f>"1552382469032343"</f>
        <v>1552382469032343</v>
      </c>
      <c r="C1034" t="s">
        <v>40</v>
      </c>
      <c r="D1034">
        <v>3.1964800000000002</v>
      </c>
      <c r="E1034">
        <v>0.52200069999999998</v>
      </c>
      <c r="F1034" t="s">
        <v>42</v>
      </c>
      <c r="G1034">
        <v>-279.5924</v>
      </c>
      <c r="H1034" s="1">
        <v>-8.4349999999999995E-7</v>
      </c>
      <c r="I1034">
        <v>366.91500000000002</v>
      </c>
      <c r="J1034">
        <v>-300.22320000000002</v>
      </c>
      <c r="K1034">
        <v>1.060049</v>
      </c>
      <c r="L1034">
        <v>367.98520000000002</v>
      </c>
      <c r="M1034">
        <v>0.99989890000000003</v>
      </c>
      <c r="N1034">
        <v>0</v>
      </c>
      <c r="O1034">
        <v>-5.3779259999999999E-3</v>
      </c>
      <c r="P1034">
        <v>0.98530640000000003</v>
      </c>
      <c r="Q1034">
        <v>0.17074589999999901</v>
      </c>
      <c r="R1034">
        <v>4.1219400000000002E-3</v>
      </c>
      <c r="S1034">
        <v>3.072479</v>
      </c>
      <c r="T1034">
        <v>-0.1565655</v>
      </c>
      <c r="U1034">
        <v>-0.15820310000000001</v>
      </c>
      <c r="V1034">
        <v>-9.3380189999999995E-3</v>
      </c>
      <c r="W1034">
        <v>0.1837153</v>
      </c>
      <c r="X1034">
        <v>0.98293509999999995</v>
      </c>
      <c r="Y1034">
        <v>4.5997669999999997E-2</v>
      </c>
      <c r="Z1034">
        <v>-8.9672729999999896E-4</v>
      </c>
      <c r="AA1034">
        <v>0.99894110000000003</v>
      </c>
      <c r="AB1034">
        <v>33</v>
      </c>
      <c r="AC1034">
        <v>20.630800000000001</v>
      </c>
      <c r="AD1034">
        <v>-1.0600498434999901</v>
      </c>
      <c r="AE1034">
        <v>-1.07019999999999</v>
      </c>
      <c r="AF1034">
        <v>0.95670497321819903</v>
      </c>
      <c r="AG1034">
        <v>-1.0600498434999901</v>
      </c>
      <c r="AH1034">
        <v>20.582064669894098</v>
      </c>
      <c r="AI1034">
        <v>92.945157839309601</v>
      </c>
      <c r="AJ1034">
        <v>87.338666894710101</v>
      </c>
      <c r="AK1034">
        <v>20.631538385495801</v>
      </c>
      <c r="AL1034">
        <v>79.413758772257395</v>
      </c>
      <c r="AM1034">
        <v>90.544301432168893</v>
      </c>
      <c r="AN1034">
        <v>0.99999996043247097</v>
      </c>
    </row>
    <row r="1035" spans="1:40" x14ac:dyDescent="0.25">
      <c r="A1035" t="str">
        <f>"20190312172109048"</f>
        <v>20190312172109048</v>
      </c>
      <c r="B1035" t="str">
        <f>"1552382469042106"</f>
        <v>1552382469042106</v>
      </c>
      <c r="C1035" t="s">
        <v>40</v>
      </c>
      <c r="D1035">
        <v>3.200761</v>
      </c>
      <c r="E1035">
        <v>0.52207490000000001</v>
      </c>
      <c r="F1035" t="s">
        <v>42</v>
      </c>
      <c r="G1035">
        <v>-279.43400000000003</v>
      </c>
      <c r="H1035" s="1">
        <v>-8.9832580000000004E-7</v>
      </c>
      <c r="I1035">
        <v>366.91160000000002</v>
      </c>
      <c r="J1035">
        <v>-300.06880000000001</v>
      </c>
      <c r="K1035">
        <v>1.060049</v>
      </c>
      <c r="L1035">
        <v>367.98430000000002</v>
      </c>
      <c r="M1035">
        <v>0.99989839999999997</v>
      </c>
      <c r="N1035">
        <v>0</v>
      </c>
      <c r="O1035">
        <v>-5.4653999999999996E-3</v>
      </c>
      <c r="P1035">
        <v>0.9853016</v>
      </c>
      <c r="Q1035">
        <v>0.17078070000000001</v>
      </c>
      <c r="R1035">
        <v>3.8698339999999999E-3</v>
      </c>
      <c r="S1035">
        <v>3.07254</v>
      </c>
      <c r="T1035">
        <v>-0.15666910000000001</v>
      </c>
      <c r="U1035">
        <v>-0.15866089999999999</v>
      </c>
      <c r="V1035">
        <v>-9.1725130000000002E-3</v>
      </c>
      <c r="W1035">
        <v>0.1837471</v>
      </c>
      <c r="X1035">
        <v>0.98293079999999999</v>
      </c>
      <c r="Y1035">
        <v>4.6057679999999997E-2</v>
      </c>
      <c r="Z1035">
        <v>-8.9437190000000001E-4</v>
      </c>
      <c r="AA1035">
        <v>0.9989384</v>
      </c>
      <c r="AB1035">
        <v>33</v>
      </c>
      <c r="AC1035">
        <v>20.634799999999899</v>
      </c>
      <c r="AD1035">
        <v>-1.0600498983258</v>
      </c>
      <c r="AE1035">
        <v>-1.07269999999999</v>
      </c>
      <c r="AF1035">
        <v>0.95737698339723398</v>
      </c>
      <c r="AG1035">
        <v>-1.0600498983258</v>
      </c>
      <c r="AH1035">
        <v>20.586172924908102</v>
      </c>
      <c r="AI1035">
        <v>92.944568092262102</v>
      </c>
      <c r="AJ1035">
        <v>87.337330920812306</v>
      </c>
      <c r="AK1035">
        <v>20.6356679603423</v>
      </c>
      <c r="AL1035">
        <v>79.411906114579295</v>
      </c>
      <c r="AM1035">
        <v>90.534657198589002</v>
      </c>
      <c r="AN1035">
        <v>1.0000000446708901</v>
      </c>
    </row>
    <row r="1036" spans="1:40" x14ac:dyDescent="0.25">
      <c r="A1036" t="str">
        <f>"20190312172109058"</f>
        <v>20190312172109058</v>
      </c>
      <c r="B1036" t="str">
        <f>"1552382469051863"</f>
        <v>1552382469051863</v>
      </c>
      <c r="C1036" t="s">
        <v>40</v>
      </c>
      <c r="D1036">
        <v>3.1991779999999999</v>
      </c>
      <c r="E1036">
        <v>0.52213050000000005</v>
      </c>
      <c r="F1036" t="s">
        <v>42</v>
      </c>
      <c r="G1036">
        <v>-279.2987</v>
      </c>
      <c r="H1036" s="1">
        <v>-9.4694450000000005E-7</v>
      </c>
      <c r="I1036">
        <v>366.90199999999999</v>
      </c>
      <c r="J1036">
        <v>-299.9144</v>
      </c>
      <c r="K1036">
        <v>1.0600499999999999</v>
      </c>
      <c r="L1036">
        <v>367.98329999999999</v>
      </c>
      <c r="M1036">
        <v>0.99989799999999995</v>
      </c>
      <c r="N1036">
        <v>0</v>
      </c>
      <c r="O1036">
        <v>-5.5527550000000004E-3</v>
      </c>
      <c r="P1036">
        <v>0.98532750000000002</v>
      </c>
      <c r="Q1036">
        <v>0.17062939999999999</v>
      </c>
      <c r="R1036">
        <v>3.95781E-3</v>
      </c>
      <c r="S1036">
        <v>3.0725709999999999</v>
      </c>
      <c r="T1036">
        <v>-0.15681510000000001</v>
      </c>
      <c r="U1036">
        <v>-0.16009519999999999</v>
      </c>
      <c r="V1036">
        <v>-9.3471409999999998E-3</v>
      </c>
      <c r="W1036">
        <v>0.1835938</v>
      </c>
      <c r="X1036">
        <v>0.98295770000000005</v>
      </c>
      <c r="Y1036">
        <v>4.6434490000000002E-2</v>
      </c>
      <c r="Z1036">
        <v>-9.0033500000000005E-4</v>
      </c>
      <c r="AA1036">
        <v>0.9989209</v>
      </c>
      <c r="AB1036">
        <v>33</v>
      </c>
      <c r="AC1036">
        <v>20.6157</v>
      </c>
      <c r="AD1036">
        <v>-1.0600509469445001</v>
      </c>
      <c r="AE1036">
        <v>-1.0812999999999899</v>
      </c>
      <c r="AF1036">
        <v>0.96425700683628701</v>
      </c>
      <c r="AG1036">
        <v>-1.0600509469445001</v>
      </c>
      <c r="AH1036">
        <v>20.5671569778488</v>
      </c>
      <c r="AI1036">
        <v>92.947236939170494</v>
      </c>
      <c r="AJ1036">
        <v>87.315748059887099</v>
      </c>
      <c r="AK1036">
        <v>20.617018352245399</v>
      </c>
      <c r="AL1036">
        <v>79.420840514654302</v>
      </c>
      <c r="AM1036">
        <v>90.544820584130406</v>
      </c>
      <c r="AN1036">
        <v>0.99999994621629995</v>
      </c>
    </row>
    <row r="1037" spans="1:40" x14ac:dyDescent="0.25">
      <c r="A1037" t="str">
        <f>"20190312172109070"</f>
        <v>20190312172109070</v>
      </c>
      <c r="B1037" t="str">
        <f>"1552382469061624"</f>
        <v>1552382469061624</v>
      </c>
      <c r="C1037" t="s">
        <v>40</v>
      </c>
      <c r="D1037">
        <v>3.1762100000000002</v>
      </c>
      <c r="E1037">
        <v>0.52217060000000004</v>
      </c>
      <c r="F1037" t="s">
        <v>42</v>
      </c>
      <c r="G1037">
        <v>-279.19279999999998</v>
      </c>
      <c r="H1037" s="1">
        <v>-9.8343300000000004E-7</v>
      </c>
      <c r="I1037">
        <v>366.90030000000002</v>
      </c>
      <c r="J1037">
        <v>-299.7663</v>
      </c>
      <c r="K1037">
        <v>1.060049</v>
      </c>
      <c r="L1037">
        <v>367.98239999999998</v>
      </c>
      <c r="M1037">
        <v>0.99989749999999999</v>
      </c>
      <c r="N1037">
        <v>0</v>
      </c>
      <c r="O1037">
        <v>-5.6366569999999998E-3</v>
      </c>
      <c r="P1037">
        <v>0.98531089999999999</v>
      </c>
      <c r="Q1037">
        <v>0.17072860000000001</v>
      </c>
      <c r="R1037">
        <v>3.8200500000000002E-3</v>
      </c>
      <c r="S1037">
        <v>3.0725099999999999</v>
      </c>
      <c r="T1037">
        <v>-0.15717890000000001</v>
      </c>
      <c r="U1037">
        <v>-0.16058349999999999</v>
      </c>
      <c r="V1037">
        <v>-9.2916619999999991E-3</v>
      </c>
      <c r="W1037">
        <v>0.1836904</v>
      </c>
      <c r="X1037">
        <v>0.98294029999999999</v>
      </c>
      <c r="Y1037">
        <v>4.6509769999999999E-2</v>
      </c>
      <c r="Z1037">
        <v>-9.0007200000000002E-4</v>
      </c>
      <c r="AA1037">
        <v>0.99891739999999996</v>
      </c>
      <c r="AB1037">
        <v>33</v>
      </c>
      <c r="AC1037">
        <v>20.573499999999999</v>
      </c>
      <c r="AD1037">
        <v>-1.0600499834329999</v>
      </c>
      <c r="AE1037">
        <v>-1.0820999999999601</v>
      </c>
      <c r="AF1037">
        <v>0.96355598111919105</v>
      </c>
      <c r="AG1037">
        <v>-1.0600499834329999</v>
      </c>
      <c r="AH1037">
        <v>20.524933233543202</v>
      </c>
      <c r="AI1037">
        <v>92.953277975137496</v>
      </c>
      <c r="AJ1037">
        <v>87.312186758909903</v>
      </c>
      <c r="AK1037">
        <v>20.5748640417752</v>
      </c>
      <c r="AL1037">
        <v>79.415211263885993</v>
      </c>
      <c r="AM1037">
        <v>90.541596637031702</v>
      </c>
      <c r="AN1037">
        <v>1.0000000656994801</v>
      </c>
    </row>
    <row r="1038" spans="1:40" x14ac:dyDescent="0.25">
      <c r="A1038" t="str">
        <f>"20190312172109079"</f>
        <v>20190312172109079</v>
      </c>
      <c r="B1038" t="str">
        <f>"1552382469072359"</f>
        <v>1552382469072359</v>
      </c>
      <c r="C1038" t="s">
        <v>40</v>
      </c>
      <c r="D1038">
        <v>3.159392</v>
      </c>
      <c r="E1038">
        <v>0.52218629999999999</v>
      </c>
      <c r="F1038" t="s">
        <v>42</v>
      </c>
      <c r="G1038">
        <v>-279.03930000000003</v>
      </c>
      <c r="H1038" s="1">
        <v>-1.037223E-6</v>
      </c>
      <c r="I1038">
        <v>366.89440000000002</v>
      </c>
      <c r="J1038">
        <v>-299.60969999999998</v>
      </c>
      <c r="K1038">
        <v>1.0600480000000001</v>
      </c>
      <c r="L1038">
        <v>367.98140000000001</v>
      </c>
      <c r="M1038">
        <v>0.99989700000000004</v>
      </c>
      <c r="N1038">
        <v>0</v>
      </c>
      <c r="O1038">
        <v>-5.7249680000000004E-3</v>
      </c>
      <c r="P1038">
        <v>0.98531040000000003</v>
      </c>
      <c r="Q1038">
        <v>0.17073579999999999</v>
      </c>
      <c r="R1038">
        <v>3.5847100000000001E-3</v>
      </c>
      <c r="S1038">
        <v>3.0726010000000001</v>
      </c>
      <c r="T1038">
        <v>-0.1571428</v>
      </c>
      <c r="U1038">
        <v>-0.1612854</v>
      </c>
      <c r="V1038">
        <v>-9.1440140000000007E-3</v>
      </c>
      <c r="W1038">
        <v>0.1836951</v>
      </c>
      <c r="X1038">
        <v>0.9829407</v>
      </c>
      <c r="Y1038">
        <v>4.664753E-2</v>
      </c>
      <c r="Z1038">
        <v>-8.9884139999999997E-4</v>
      </c>
      <c r="AA1038">
        <v>0.99891099999999999</v>
      </c>
      <c r="AB1038">
        <v>33</v>
      </c>
      <c r="AC1038">
        <v>20.5703999999999</v>
      </c>
      <c r="AD1038">
        <v>-1.06004903722299</v>
      </c>
      <c r="AE1038">
        <v>-1.08699999999998</v>
      </c>
      <c r="AF1038">
        <v>0.96664719864371695</v>
      </c>
      <c r="AG1038">
        <v>-1.06004903722299</v>
      </c>
      <c r="AH1038">
        <v>20.5219396375157</v>
      </c>
      <c r="AI1038">
        <v>92.953683597788199</v>
      </c>
      <c r="AJ1038">
        <v>87.303183842864001</v>
      </c>
      <c r="AK1038">
        <v>20.5720226826095</v>
      </c>
      <c r="AL1038">
        <v>79.414936193593604</v>
      </c>
      <c r="AM1038">
        <v>90.532990746603303</v>
      </c>
      <c r="AN1038">
        <v>0.999999961236265</v>
      </c>
    </row>
    <row r="1039" spans="1:40" x14ac:dyDescent="0.25">
      <c r="A1039" t="str">
        <f>"20190312172109089"</f>
        <v>20190312172109089</v>
      </c>
      <c r="B1039" t="str">
        <f>"1552382469082120"</f>
        <v>1552382469082120</v>
      </c>
      <c r="C1039" t="s">
        <v>40</v>
      </c>
      <c r="D1039">
        <v>3.2063329999999999</v>
      </c>
      <c r="E1039">
        <v>0.52222559999999996</v>
      </c>
      <c r="F1039" t="s">
        <v>42</v>
      </c>
      <c r="G1039">
        <v>-278.92579999999998</v>
      </c>
      <c r="H1039" s="1">
        <v>-1.076653E-6</v>
      </c>
      <c r="I1039">
        <v>366.89139999999998</v>
      </c>
      <c r="J1039">
        <v>-299.46660000000003</v>
      </c>
      <c r="K1039">
        <v>1.060052</v>
      </c>
      <c r="L1039">
        <v>367.98050000000001</v>
      </c>
      <c r="M1039">
        <v>0.99989649999999997</v>
      </c>
      <c r="N1039">
        <v>0</v>
      </c>
      <c r="O1039">
        <v>-5.8060119999999897E-3</v>
      </c>
      <c r="P1039">
        <v>0.98530609999999996</v>
      </c>
      <c r="Q1039">
        <v>0.17076279999999999</v>
      </c>
      <c r="R1039">
        <v>3.4365580000000001E-3</v>
      </c>
      <c r="S1039">
        <v>3.0726010000000001</v>
      </c>
      <c r="T1039">
        <v>-0.1574701</v>
      </c>
      <c r="U1039">
        <v>-0.1619263</v>
      </c>
      <c r="V1039">
        <v>-9.0755390000000005E-3</v>
      </c>
      <c r="W1039">
        <v>0.18371989999999999</v>
      </c>
      <c r="X1039">
        <v>0.9829367</v>
      </c>
      <c r="Y1039">
        <v>4.6774059999999999E-2</v>
      </c>
      <c r="Z1039">
        <v>-8.9979610000000005E-4</v>
      </c>
      <c r="AA1039">
        <v>0.99890509999999999</v>
      </c>
      <c r="AB1039">
        <v>33</v>
      </c>
      <c r="AC1039">
        <v>20.540800000000001</v>
      </c>
      <c r="AD1039">
        <v>-1.0600530766529901</v>
      </c>
      <c r="AE1039">
        <v>-1.0891000000000299</v>
      </c>
      <c r="AF1039">
        <v>0.967242337335114</v>
      </c>
      <c r="AG1039">
        <v>-1.0600530766529901</v>
      </c>
      <c r="AH1039">
        <v>20.492353262878801</v>
      </c>
      <c r="AI1039">
        <v>92.957938258605907</v>
      </c>
      <c r="AJ1039">
        <v>87.297635717287704</v>
      </c>
      <c r="AK1039">
        <v>20.5425366621328</v>
      </c>
      <c r="AL1039">
        <v>79.413490660817402</v>
      </c>
      <c r="AM1039">
        <v>90.529001822700096</v>
      </c>
      <c r="AN1039">
        <v>0.99999996163551896</v>
      </c>
    </row>
    <row r="1040" spans="1:40" x14ac:dyDescent="0.25">
      <c r="A1040" t="str">
        <f>"20190312172109101"</f>
        <v>20190312172109101</v>
      </c>
      <c r="B1040" t="str">
        <f>"1552382469091880"</f>
        <v>1552382469091880</v>
      </c>
      <c r="C1040" t="s">
        <v>40</v>
      </c>
      <c r="D1040">
        <v>3.1918229999999999</v>
      </c>
      <c r="E1040">
        <v>0.52225630000000001</v>
      </c>
      <c r="F1040" t="s">
        <v>42</v>
      </c>
      <c r="G1040">
        <v>-278.8032</v>
      </c>
      <c r="H1040" s="1">
        <v>-1.1195349999999999E-6</v>
      </c>
      <c r="I1040">
        <v>366.887</v>
      </c>
      <c r="J1040">
        <v>-299.29680000000002</v>
      </c>
      <c r="K1040">
        <v>1.060052</v>
      </c>
      <c r="L1040">
        <v>367.9794</v>
      </c>
      <c r="M1040">
        <v>0.99989600000000001</v>
      </c>
      <c r="N1040">
        <v>0</v>
      </c>
      <c r="O1040">
        <v>-5.9019529999999997E-3</v>
      </c>
      <c r="P1040">
        <v>0.985317</v>
      </c>
      <c r="Q1040">
        <v>0.17070199999999999</v>
      </c>
      <c r="R1040">
        <v>3.3752230000000001E-3</v>
      </c>
      <c r="S1040">
        <v>3.0726619999999998</v>
      </c>
      <c r="T1040">
        <v>-0.1576302</v>
      </c>
      <c r="U1040">
        <v>-0.16259770000000001</v>
      </c>
      <c r="V1040">
        <v>-9.1089259999999998E-3</v>
      </c>
      <c r="W1040">
        <v>0.1836566</v>
      </c>
      <c r="X1040">
        <v>0.98294820000000005</v>
      </c>
      <c r="Y1040">
        <v>4.6894690000000003E-2</v>
      </c>
      <c r="Z1040">
        <v>-8.9886179999999901E-4</v>
      </c>
      <c r="AA1040">
        <v>0.99889950000000005</v>
      </c>
      <c r="AB1040">
        <v>33</v>
      </c>
      <c r="AC1040">
        <v>20.493600000000001</v>
      </c>
      <c r="AD1040">
        <v>-1.060053119535</v>
      </c>
      <c r="AE1040">
        <v>-1.09240000000005</v>
      </c>
      <c r="AF1040">
        <v>0.96883338203034697</v>
      </c>
      <c r="AG1040">
        <v>-1.060053119535</v>
      </c>
      <c r="AH1040">
        <v>20.445143131957</v>
      </c>
      <c r="AI1040">
        <v>92.964730330111195</v>
      </c>
      <c r="AJ1040">
        <v>87.286956142548306</v>
      </c>
      <c r="AK1040">
        <v>20.495517276335899</v>
      </c>
      <c r="AL1040">
        <v>79.417180049262598</v>
      </c>
      <c r="AM1040">
        <v>90.530941586520001</v>
      </c>
      <c r="AN1040">
        <v>0.99999994156983496</v>
      </c>
    </row>
    <row r="1041" spans="1:40" x14ac:dyDescent="0.25">
      <c r="A1041" t="str">
        <f>"20190312172109113"</f>
        <v>20190312172109113</v>
      </c>
      <c r="B1041" t="str">
        <f>"1552382469101640"</f>
        <v>1552382469101640</v>
      </c>
      <c r="C1041" t="s">
        <v>40</v>
      </c>
      <c r="D1041">
        <v>3.1632280000000002</v>
      </c>
      <c r="E1041">
        <v>0.52229340000000002</v>
      </c>
      <c r="F1041" t="s">
        <v>42</v>
      </c>
      <c r="G1041">
        <v>-278.69799999999998</v>
      </c>
      <c r="H1041" s="1">
        <v>-1.1553260000000001E-6</v>
      </c>
      <c r="I1041">
        <v>366.88709999999998</v>
      </c>
      <c r="J1041">
        <v>-299.11110000000002</v>
      </c>
      <c r="K1041">
        <v>1.0600510000000001</v>
      </c>
      <c r="L1041">
        <v>367.97820000000002</v>
      </c>
      <c r="M1041">
        <v>0.99989550000000005</v>
      </c>
      <c r="N1041">
        <v>0</v>
      </c>
      <c r="O1041">
        <v>-6.0068369999999897E-3</v>
      </c>
      <c r="P1041">
        <v>0.98530240000000002</v>
      </c>
      <c r="Q1041">
        <v>0.170789</v>
      </c>
      <c r="R1041">
        <v>3.2436750000000001E-3</v>
      </c>
      <c r="S1041">
        <v>3.0726930000000001</v>
      </c>
      <c r="T1041">
        <v>-0.15812590000000001</v>
      </c>
      <c r="U1041">
        <v>-0.162933299999999</v>
      </c>
      <c r="V1041">
        <v>-9.0801909999999996E-3</v>
      </c>
      <c r="W1041">
        <v>0.18374099999999999</v>
      </c>
      <c r="X1041">
        <v>0.98293269999999999</v>
      </c>
      <c r="Y1041">
        <v>4.6898009999999997E-2</v>
      </c>
      <c r="Z1041">
        <v>-8.9636830000000003E-4</v>
      </c>
      <c r="AA1041">
        <v>0.99889930000000005</v>
      </c>
      <c r="AB1041">
        <v>33</v>
      </c>
      <c r="AC1041">
        <v>20.4131</v>
      </c>
      <c r="AD1041">
        <v>-1.0600521553260001</v>
      </c>
      <c r="AE1041">
        <v>-1.0911000000000399</v>
      </c>
      <c r="AF1041">
        <v>0.96585432283127703</v>
      </c>
      <c r="AG1041">
        <v>-1.0600521553260001</v>
      </c>
      <c r="AH1041">
        <v>20.3645252295149</v>
      </c>
      <c r="AI1041">
        <v>92.976437362635707</v>
      </c>
      <c r="AJ1041">
        <v>87.284594785020303</v>
      </c>
      <c r="AK1041">
        <v>20.414957089558001</v>
      </c>
      <c r="AL1041">
        <v>79.412260646156597</v>
      </c>
      <c r="AM1041">
        <v>90.5292751202728</v>
      </c>
      <c r="AN1041">
        <v>0.99999994883944099</v>
      </c>
    </row>
    <row r="1042" spans="1:40" x14ac:dyDescent="0.25">
      <c r="A1042" t="str">
        <f>"20190312172109126"</f>
        <v>20190312172109126</v>
      </c>
      <c r="B1042" t="str">
        <f>"1552382469122135"</f>
        <v>1552382469122135</v>
      </c>
      <c r="C1042" t="s">
        <v>40</v>
      </c>
      <c r="D1042">
        <v>3.1661730000000001</v>
      </c>
      <c r="E1042">
        <v>0.52237429999999996</v>
      </c>
      <c r="F1042" t="s">
        <v>42</v>
      </c>
      <c r="G1042">
        <v>-278.52379999999999</v>
      </c>
      <c r="H1042" s="1">
        <v>-1.216373E-6</v>
      </c>
      <c r="I1042">
        <v>366.88040000000001</v>
      </c>
      <c r="J1042">
        <v>-298.93880000000001</v>
      </c>
      <c r="K1042">
        <v>1.0600499999999999</v>
      </c>
      <c r="L1042">
        <v>367.97710000000001</v>
      </c>
      <c r="M1042">
        <v>0.99989490000000003</v>
      </c>
      <c r="N1042">
        <v>0</v>
      </c>
      <c r="O1042">
        <v>-6.1039719999999896E-3</v>
      </c>
      <c r="P1042">
        <v>0.98531279999999999</v>
      </c>
      <c r="Q1042">
        <v>0.17073050000000001</v>
      </c>
      <c r="R1042">
        <v>3.1817970000000001E-3</v>
      </c>
      <c r="S1042">
        <v>3.0727229999999999</v>
      </c>
      <c r="T1042">
        <v>-0.15821589999999999</v>
      </c>
      <c r="U1042">
        <v>-0.16384889999999999</v>
      </c>
      <c r="V1042">
        <v>-9.1140400000000003E-3</v>
      </c>
      <c r="W1042">
        <v>0.18368100000000001</v>
      </c>
      <c r="X1042">
        <v>0.98294369999999998</v>
      </c>
      <c r="Y1042">
        <v>4.709704E-2</v>
      </c>
      <c r="Z1042">
        <v>-8.9698410000000001E-4</v>
      </c>
      <c r="AA1042">
        <v>0.9988899</v>
      </c>
      <c r="AB1042">
        <v>33</v>
      </c>
      <c r="AC1042">
        <v>20.414999999999999</v>
      </c>
      <c r="AD1042">
        <v>-1.060051216373</v>
      </c>
      <c r="AE1042">
        <v>-1.09669999999999</v>
      </c>
      <c r="AF1042">
        <v>0.96944987492545798</v>
      </c>
      <c r="AG1042">
        <v>-1.060051216373</v>
      </c>
      <c r="AH1042">
        <v>20.366559759116399</v>
      </c>
      <c r="AI1042">
        <v>92.976113736611296</v>
      </c>
      <c r="AJ1042">
        <v>87.274773309852094</v>
      </c>
      <c r="AK1042">
        <v>20.417156953478798</v>
      </c>
      <c r="AL1042">
        <v>79.415758960401405</v>
      </c>
      <c r="AM1042">
        <v>90.531242086479395</v>
      </c>
      <c r="AN1042">
        <v>1.0000000464279</v>
      </c>
    </row>
    <row r="1043" spans="1:40" x14ac:dyDescent="0.25">
      <c r="A1043" t="str">
        <f>"20190312172109137"</f>
        <v>20190312172109137</v>
      </c>
      <c r="B1043" t="str">
        <f>"1552382469131895"</f>
        <v>1552382469131895</v>
      </c>
      <c r="C1043" t="s">
        <v>40</v>
      </c>
      <c r="D1043">
        <v>3.2000120000000001</v>
      </c>
      <c r="E1043">
        <v>0.52245900000000001</v>
      </c>
      <c r="F1043" t="s">
        <v>42</v>
      </c>
      <c r="G1043">
        <v>-278.43990000000002</v>
      </c>
      <c r="H1043" s="1">
        <v>-1.2455190000000001E-6</v>
      </c>
      <c r="I1043">
        <v>366.87810000000002</v>
      </c>
      <c r="J1043">
        <v>-298.75970000000001</v>
      </c>
      <c r="K1043">
        <v>1.0600499999999999</v>
      </c>
      <c r="L1043">
        <v>367.97590000000002</v>
      </c>
      <c r="M1043">
        <v>0.99989419999999996</v>
      </c>
      <c r="N1043">
        <v>0</v>
      </c>
      <c r="O1043">
        <v>-6.2055139999999996E-3</v>
      </c>
      <c r="P1043">
        <v>0.98531480000000005</v>
      </c>
      <c r="Q1043">
        <v>0.1707177</v>
      </c>
      <c r="R1043">
        <v>3.189234E-3</v>
      </c>
      <c r="S1043">
        <v>3.072784</v>
      </c>
      <c r="T1043">
        <v>-0.1589016</v>
      </c>
      <c r="U1043">
        <v>-0.16473389999999999</v>
      </c>
      <c r="V1043">
        <v>-9.2218700000000001E-3</v>
      </c>
      <c r="W1043">
        <v>0.18366560000000001</v>
      </c>
      <c r="X1043">
        <v>0.98294559999999997</v>
      </c>
      <c r="Y1043">
        <v>4.7280849999999999E-2</v>
      </c>
      <c r="Z1043">
        <v>-9.0034390000000005E-4</v>
      </c>
      <c r="AA1043">
        <v>0.99888120000000002</v>
      </c>
      <c r="AB1043">
        <v>33</v>
      </c>
      <c r="AC1043">
        <v>20.319799999999901</v>
      </c>
      <c r="AD1043">
        <v>-1.0600512455190001</v>
      </c>
      <c r="AE1043">
        <v>-1.0978000000000001</v>
      </c>
      <c r="AF1043">
        <v>0.96904352561644902</v>
      </c>
      <c r="AG1043">
        <v>-1.0600512455190001</v>
      </c>
      <c r="AH1043">
        <v>20.271213313665701</v>
      </c>
      <c r="AI1043">
        <v>92.990057787386803</v>
      </c>
      <c r="AJ1043">
        <v>87.263120470275894</v>
      </c>
      <c r="AK1043">
        <v>20.3220285209377</v>
      </c>
      <c r="AL1043">
        <v>79.416656881904004</v>
      </c>
      <c r="AM1043">
        <v>90.537525910508705</v>
      </c>
      <c r="AN1043">
        <v>1.0000000740345001</v>
      </c>
    </row>
    <row r="1044" spans="1:40" x14ac:dyDescent="0.25">
      <c r="A1044" t="str">
        <f>"20190312172109149"</f>
        <v>20190312172109149</v>
      </c>
      <c r="B1044" t="str">
        <f>"1552382469141655"</f>
        <v>1552382469141655</v>
      </c>
      <c r="C1044" t="s">
        <v>40</v>
      </c>
      <c r="D1044">
        <v>3.1665369999999999</v>
      </c>
      <c r="E1044">
        <v>0.52249309999999904</v>
      </c>
      <c r="F1044" t="s">
        <v>42</v>
      </c>
      <c r="G1044">
        <v>-278.34570000000002</v>
      </c>
      <c r="H1044" s="1">
        <v>-1.27762E-6</v>
      </c>
      <c r="I1044">
        <v>366.87810000000002</v>
      </c>
      <c r="J1044">
        <v>-298.58890000000002</v>
      </c>
      <c r="K1044">
        <v>1.0600499999999999</v>
      </c>
      <c r="L1044">
        <v>367.97480000000002</v>
      </c>
      <c r="M1044">
        <v>0.9998937</v>
      </c>
      <c r="N1044">
        <v>0</v>
      </c>
      <c r="O1044">
        <v>-6.3018170000000004E-3</v>
      </c>
      <c r="P1044">
        <v>0.98528369999999998</v>
      </c>
      <c r="Q1044">
        <v>0.1708981</v>
      </c>
      <c r="R1044">
        <v>3.164357E-3</v>
      </c>
      <c r="S1044">
        <v>3.0729060000000001</v>
      </c>
      <c r="T1044">
        <v>-0.15956789999999901</v>
      </c>
      <c r="U1044">
        <v>-0.1652527</v>
      </c>
      <c r="V1044">
        <v>-9.2918600000000007E-3</v>
      </c>
      <c r="W1044">
        <v>0.1838437</v>
      </c>
      <c r="X1044">
        <v>0.9829116</v>
      </c>
      <c r="Y1044">
        <v>4.7350259999999998E-2</v>
      </c>
      <c r="Z1044">
        <v>-9.0088039999999998E-4</v>
      </c>
      <c r="AA1044">
        <v>0.99887789999999999</v>
      </c>
      <c r="AB1044">
        <v>33</v>
      </c>
      <c r="AC1044">
        <v>20.243200000000002</v>
      </c>
      <c r="AD1044">
        <v>-1.06005127762</v>
      </c>
      <c r="AE1044">
        <v>-1.09669999999999</v>
      </c>
      <c r="AF1044">
        <v>0.96645581256690205</v>
      </c>
      <c r="AG1044">
        <v>-1.06005127762</v>
      </c>
      <c r="AH1044">
        <v>20.194494956622599</v>
      </c>
      <c r="AI1044">
        <v>93.001388655335603</v>
      </c>
      <c r="AJ1044">
        <v>87.260064067936696</v>
      </c>
      <c r="AK1044">
        <v>20.245379030827898</v>
      </c>
      <c r="AL1044">
        <v>79.406275253612606</v>
      </c>
      <c r="AM1044">
        <v>90.541623990913905</v>
      </c>
      <c r="AN1044">
        <v>1.00000002905325</v>
      </c>
    </row>
    <row r="1045" spans="1:40" x14ac:dyDescent="0.25">
      <c r="A1045" t="str">
        <f>"20190312172109159"</f>
        <v>20190312172109159</v>
      </c>
      <c r="B1045" t="str">
        <f>"1552382469152391"</f>
        <v>1552382469152391</v>
      </c>
      <c r="C1045" t="s">
        <v>40</v>
      </c>
      <c r="D1045">
        <v>3.1551239999999998</v>
      </c>
      <c r="E1045">
        <v>0.52252069999999995</v>
      </c>
      <c r="F1045" t="s">
        <v>42</v>
      </c>
      <c r="G1045">
        <v>-278.15100000000001</v>
      </c>
      <c r="H1045" s="1">
        <v>-1.345644E-6</v>
      </c>
      <c r="I1045">
        <v>366.87139999999999</v>
      </c>
      <c r="J1045">
        <v>-298.43299999999999</v>
      </c>
      <c r="K1045">
        <v>1.0600480000000001</v>
      </c>
      <c r="L1045">
        <v>367.97370000000001</v>
      </c>
      <c r="M1045">
        <v>0.99989320000000004</v>
      </c>
      <c r="N1045">
        <v>0</v>
      </c>
      <c r="O1045">
        <v>-6.3897789999999999E-3</v>
      </c>
      <c r="P1045">
        <v>0.98532059999999999</v>
      </c>
      <c r="Q1045">
        <v>0.1706828</v>
      </c>
      <c r="R1045">
        <v>3.3051230000000001E-3</v>
      </c>
      <c r="S1045">
        <v>3.0729980000000001</v>
      </c>
      <c r="T1045">
        <v>-0.159386</v>
      </c>
      <c r="U1045">
        <v>-0.1658936</v>
      </c>
      <c r="V1045">
        <v>-9.5195660000000001E-3</v>
      </c>
      <c r="W1045">
        <v>0.1836276</v>
      </c>
      <c r="X1045">
        <v>0.98294979999999998</v>
      </c>
      <c r="Y1045">
        <v>4.7468589999999998E-2</v>
      </c>
      <c r="Z1045">
        <v>-8.9833199999999995E-4</v>
      </c>
      <c r="AA1045">
        <v>0.99887230000000005</v>
      </c>
      <c r="AB1045">
        <v>33</v>
      </c>
      <c r="AC1045">
        <v>20.281999999999901</v>
      </c>
      <c r="AD1045">
        <v>-1.0600493456440001</v>
      </c>
      <c r="AE1045">
        <v>-1.10230000000001</v>
      </c>
      <c r="AF1045">
        <v>0.97002679542133796</v>
      </c>
      <c r="AG1045">
        <v>-1.0600493456440001</v>
      </c>
      <c r="AH1045">
        <v>20.233521110908502</v>
      </c>
      <c r="AI1045">
        <v>92.995592690666797</v>
      </c>
      <c r="AJ1045">
        <v>87.255251850566495</v>
      </c>
      <c r="AK1045">
        <v>20.284477640417901</v>
      </c>
      <c r="AL1045">
        <v>79.418871143575203</v>
      </c>
      <c r="AM1045">
        <v>90.554874626327504</v>
      </c>
      <c r="AN1045">
        <v>1.0000000134693099</v>
      </c>
    </row>
    <row r="1046" spans="1:40" x14ac:dyDescent="0.25">
      <c r="A1046" t="str">
        <f>"20190312172109168"</f>
        <v>20190312172109168</v>
      </c>
      <c r="B1046" t="str">
        <f>"1552382469162152"</f>
        <v>1552382469162152</v>
      </c>
      <c r="C1046" t="s">
        <v>40</v>
      </c>
      <c r="D1046">
        <v>3.1401910000000002</v>
      </c>
      <c r="E1046">
        <v>0.52246910000000002</v>
      </c>
      <c r="F1046" t="s">
        <v>42</v>
      </c>
      <c r="G1046">
        <v>-278.09350000000001</v>
      </c>
      <c r="H1046" s="1">
        <v>-1.3632759999999999E-6</v>
      </c>
      <c r="I1046">
        <v>366.87860000000001</v>
      </c>
      <c r="J1046">
        <v>-298.28960000000001</v>
      </c>
      <c r="K1046">
        <v>1.060047</v>
      </c>
      <c r="L1046">
        <v>367.97269999999997</v>
      </c>
      <c r="M1046">
        <v>0.99989280000000003</v>
      </c>
      <c r="N1046">
        <v>0</v>
      </c>
      <c r="O1046">
        <v>-6.4710640000000003E-3</v>
      </c>
      <c r="P1046">
        <v>0.98531460000000004</v>
      </c>
      <c r="Q1046">
        <v>0.1707215</v>
      </c>
      <c r="R1046">
        <v>3.1064030000000002E-3</v>
      </c>
      <c r="S1046">
        <v>3.0729679999999999</v>
      </c>
      <c r="T1046">
        <v>-0.16015550000000001</v>
      </c>
      <c r="U1046">
        <v>-0.16543579999999999</v>
      </c>
      <c r="V1046">
        <v>-9.4013859999999994E-3</v>
      </c>
      <c r="W1046">
        <v>0.1836641</v>
      </c>
      <c r="X1046">
        <v>0.98294409999999999</v>
      </c>
      <c r="Y1046">
        <v>4.7239450000000002E-2</v>
      </c>
      <c r="Z1046">
        <v>-8.9248249999999995E-4</v>
      </c>
      <c r="AA1046">
        <v>0.99888319999999997</v>
      </c>
      <c r="AB1046">
        <v>33</v>
      </c>
      <c r="AC1046">
        <v>20.196100000000001</v>
      </c>
      <c r="AD1046">
        <v>-1.060048363276</v>
      </c>
      <c r="AE1046">
        <v>-1.0940999999999601</v>
      </c>
      <c r="AF1046">
        <v>0.96073650635327701</v>
      </c>
      <c r="AG1046">
        <v>-1.060048363276</v>
      </c>
      <c r="AH1046">
        <v>20.147414638932901</v>
      </c>
      <c r="AI1046">
        <v>93.008405775385398</v>
      </c>
      <c r="AJ1046">
        <v>87.269898801012104</v>
      </c>
      <c r="AK1046">
        <v>20.198144315758601</v>
      </c>
      <c r="AL1046">
        <v>79.416743474334396</v>
      </c>
      <c r="AM1046">
        <v>90.547989773523099</v>
      </c>
      <c r="AN1046">
        <v>0.99999999570617004</v>
      </c>
    </row>
    <row r="1047" spans="1:40" x14ac:dyDescent="0.25">
      <c r="A1047" t="str">
        <f>"20190312172109178"</f>
        <v>20190312172109178</v>
      </c>
      <c r="B1047" t="str">
        <f>"1552382469171912"</f>
        <v>1552382469171912</v>
      </c>
      <c r="C1047" t="s">
        <v>40</v>
      </c>
      <c r="D1047">
        <v>3.1934719999999999</v>
      </c>
      <c r="E1047">
        <v>0.52246910000000002</v>
      </c>
      <c r="F1047" t="s">
        <v>42</v>
      </c>
      <c r="G1047">
        <v>-277.94810000000001</v>
      </c>
      <c r="H1047" s="1">
        <v>-1.4133380000000001E-6</v>
      </c>
      <c r="I1047">
        <v>366.87650000000002</v>
      </c>
      <c r="J1047">
        <v>-298.1354</v>
      </c>
      <c r="K1047">
        <v>1.060047</v>
      </c>
      <c r="L1047">
        <v>367.97160000000002</v>
      </c>
      <c r="M1047">
        <v>0.99989209999999995</v>
      </c>
      <c r="N1047">
        <v>0</v>
      </c>
      <c r="O1047">
        <v>-6.5581900000000002E-3</v>
      </c>
      <c r="P1047">
        <v>0.98534089999999996</v>
      </c>
      <c r="Q1047">
        <v>0.17057130000000001</v>
      </c>
      <c r="R1047">
        <v>2.9688919999999999E-3</v>
      </c>
      <c r="S1047">
        <v>3.0729679999999999</v>
      </c>
      <c r="T1047">
        <v>-0.1601389</v>
      </c>
      <c r="U1047">
        <v>-0.1655884</v>
      </c>
      <c r="V1047">
        <v>-9.3496280000000005E-3</v>
      </c>
      <c r="W1047">
        <v>0.1835128</v>
      </c>
      <c r="X1047">
        <v>0.98297290000000004</v>
      </c>
      <c r="Y1047">
        <v>4.7202040000000001E-2</v>
      </c>
      <c r="Z1047">
        <v>-8.8688139999999998E-4</v>
      </c>
      <c r="AA1047">
        <v>0.99888500000000002</v>
      </c>
      <c r="AB1047">
        <v>33</v>
      </c>
      <c r="AC1047">
        <v>20.1873</v>
      </c>
      <c r="AD1047">
        <v>-1.0600484133379999</v>
      </c>
      <c r="AE1047">
        <v>-1.0951</v>
      </c>
      <c r="AF1047">
        <v>0.960033458227461</v>
      </c>
      <c r="AG1047">
        <v>-1.0600484133379999</v>
      </c>
      <c r="AH1047">
        <v>20.138681437465099</v>
      </c>
      <c r="AI1047">
        <v>93.009710157479802</v>
      </c>
      <c r="AJ1047">
        <v>87.270712352872494</v>
      </c>
      <c r="AK1047">
        <v>20.189399617602302</v>
      </c>
      <c r="AL1047">
        <v>79.425562719139094</v>
      </c>
      <c r="AM1047">
        <v>90.544957109708093</v>
      </c>
      <c r="AN1047">
        <v>1.0000000427209901</v>
      </c>
    </row>
    <row r="1048" spans="1:40" x14ac:dyDescent="0.25">
      <c r="A1048" t="str">
        <f>"20190312172109190"</f>
        <v>20190312172109190</v>
      </c>
      <c r="B1048" t="str">
        <f>"1552382469182648"</f>
        <v>1552382469182648</v>
      </c>
      <c r="C1048" t="s">
        <v>40</v>
      </c>
      <c r="D1048">
        <v>3.1628620000000001</v>
      </c>
      <c r="E1048">
        <v>0.51125690000000001</v>
      </c>
      <c r="F1048" t="s">
        <v>42</v>
      </c>
      <c r="G1048">
        <v>-277.8546</v>
      </c>
      <c r="H1048" s="1">
        <v>-1.445638E-6</v>
      </c>
      <c r="I1048">
        <v>366.87459999999999</v>
      </c>
      <c r="J1048">
        <v>-297.97710000000001</v>
      </c>
      <c r="K1048">
        <v>1.0600459999999901</v>
      </c>
      <c r="L1048">
        <v>367.97039999999998</v>
      </c>
      <c r="M1048">
        <v>0.99989150000000004</v>
      </c>
      <c r="N1048">
        <v>0</v>
      </c>
      <c r="O1048">
        <v>-6.6475809999999996E-3</v>
      </c>
      <c r="P1048">
        <v>0.98531259999999998</v>
      </c>
      <c r="Q1048">
        <v>0.17073650000000001</v>
      </c>
      <c r="R1048">
        <v>2.866487E-3</v>
      </c>
      <c r="S1048">
        <v>3.072937</v>
      </c>
      <c r="T1048">
        <v>-0.16061719999999999</v>
      </c>
      <c r="U1048">
        <v>-0.1661987</v>
      </c>
      <c r="V1048">
        <v>-9.3352769999999995E-3</v>
      </c>
      <c r="W1048">
        <v>0.18367629999999999</v>
      </c>
      <c r="X1048">
        <v>0.98294250000000005</v>
      </c>
      <c r="Y1048">
        <v>4.7310739999999997E-2</v>
      </c>
      <c r="Z1048">
        <v>-8.8770229999999997E-4</v>
      </c>
      <c r="AA1048">
        <v>0.99887979999999998</v>
      </c>
      <c r="AB1048">
        <v>33</v>
      </c>
      <c r="AC1048">
        <v>20.122499999999999</v>
      </c>
      <c r="AD1048">
        <v>-1.06004744563799</v>
      </c>
      <c r="AE1048">
        <v>-1.0957999999999899</v>
      </c>
      <c r="AF1048">
        <v>0.95934382336370005</v>
      </c>
      <c r="AG1048">
        <v>-1.06004744563799</v>
      </c>
      <c r="AH1048">
        <v>20.073797236914199</v>
      </c>
      <c r="AI1048">
        <v>93.019400485297595</v>
      </c>
      <c r="AJ1048">
        <v>87.263867832025198</v>
      </c>
      <c r="AK1048">
        <v>20.124646001039899</v>
      </c>
      <c r="AL1048">
        <v>79.416032890203198</v>
      </c>
      <c r="AM1048">
        <v>90.544137517756596</v>
      </c>
      <c r="AN1048">
        <v>1.0000000444423001</v>
      </c>
    </row>
    <row r="1049" spans="1:40" x14ac:dyDescent="0.25">
      <c r="A1049" t="str">
        <f>"20190312172109201"</f>
        <v>20190312172109201</v>
      </c>
      <c r="B1049" t="str">
        <f>"1552382469192408"</f>
        <v>1552382469192408</v>
      </c>
      <c r="C1049" t="s">
        <v>40</v>
      </c>
      <c r="D1049">
        <v>3.1713439999999999</v>
      </c>
      <c r="E1049">
        <v>0.51187419999999995</v>
      </c>
      <c r="F1049" t="s">
        <v>42</v>
      </c>
      <c r="G1049">
        <v>-259.69850000000002</v>
      </c>
      <c r="H1049" s="1">
        <v>-7.8443349999999898E-7</v>
      </c>
      <c r="I1049">
        <v>367.00139999999999</v>
      </c>
      <c r="J1049">
        <v>-297.81630000000001</v>
      </c>
      <c r="K1049">
        <v>1.0600459999999901</v>
      </c>
      <c r="L1049">
        <v>367.96929999999998</v>
      </c>
      <c r="M1049">
        <v>0.99989099999999997</v>
      </c>
      <c r="N1049">
        <v>0</v>
      </c>
      <c r="O1049">
        <v>-6.7386399999999997E-3</v>
      </c>
      <c r="P1049">
        <v>0.98531679999999999</v>
      </c>
      <c r="Q1049">
        <v>0.17071649999999999</v>
      </c>
      <c r="R1049">
        <v>2.6321109999999999E-3</v>
      </c>
      <c r="S1049">
        <v>3.059631</v>
      </c>
      <c r="T1049">
        <v>-8.4729910000000005E-2</v>
      </c>
      <c r="U1049">
        <v>-7.7453610000000006E-2</v>
      </c>
      <c r="V1049">
        <v>-9.1900160000000005E-3</v>
      </c>
      <c r="W1049">
        <v>0.18365480000000001</v>
      </c>
      <c r="X1049">
        <v>0.98294780000000004</v>
      </c>
      <c r="Y1049">
        <v>1.856441E-2</v>
      </c>
      <c r="Z1049" s="1">
        <v>-7.0402809999999997E-5</v>
      </c>
      <c r="AA1049">
        <v>0.99982769999999999</v>
      </c>
      <c r="AB1049">
        <v>33</v>
      </c>
      <c r="AC1049">
        <v>38.117799999999903</v>
      </c>
      <c r="AD1049">
        <v>-1.06004678443349</v>
      </c>
      <c r="AE1049">
        <v>-0.96789999999998599</v>
      </c>
      <c r="AF1049">
        <v>0.71044462949891696</v>
      </c>
      <c r="AG1049">
        <v>-1.06004678443349</v>
      </c>
      <c r="AH1049">
        <v>38.094015016718998</v>
      </c>
      <c r="AI1049">
        <v>91.593688288328707</v>
      </c>
      <c r="AJ1049">
        <v>88.9315707335155</v>
      </c>
      <c r="AK1049">
        <v>38.115382863757098</v>
      </c>
      <c r="AL1049">
        <v>79.4172851607605</v>
      </c>
      <c r="AM1049">
        <v>90.535668108728302</v>
      </c>
      <c r="AN1049">
        <v>0.99999995974097899</v>
      </c>
    </row>
    <row r="1050" spans="1:40" x14ac:dyDescent="0.25">
      <c r="A1050" t="str">
        <f>"20190312172109210"</f>
        <v>20190312172109210</v>
      </c>
      <c r="B1050" t="str">
        <f>"1552382469202169"</f>
        <v>1552382469202169</v>
      </c>
      <c r="C1050" t="s">
        <v>40</v>
      </c>
      <c r="D1050">
        <v>3.199767</v>
      </c>
      <c r="E1050">
        <v>0.51158779999999904</v>
      </c>
      <c r="F1050" t="s">
        <v>42</v>
      </c>
      <c r="G1050">
        <v>-260.37520000000001</v>
      </c>
      <c r="H1050" s="1">
        <v>-4.5833209999999998E-6</v>
      </c>
      <c r="I1050">
        <v>366.9554</v>
      </c>
      <c r="J1050">
        <v>-297.65960000000001</v>
      </c>
      <c r="K1050">
        <v>1.0600480000000001</v>
      </c>
      <c r="L1050">
        <v>367.96820000000002</v>
      </c>
      <c r="M1050">
        <v>0.99989039999999996</v>
      </c>
      <c r="N1050">
        <v>0</v>
      </c>
      <c r="O1050">
        <v>-6.8271979999999996E-3</v>
      </c>
      <c r="P1050">
        <v>0.98530649999999997</v>
      </c>
      <c r="Q1050">
        <v>0.17077400000000001</v>
      </c>
      <c r="R1050">
        <v>2.722136E-3</v>
      </c>
      <c r="S1050">
        <v>3.0599370000000001</v>
      </c>
      <c r="T1050">
        <v>-8.66344E-2</v>
      </c>
      <c r="U1050">
        <v>-8.2855219999999993E-2</v>
      </c>
      <c r="V1050">
        <v>-9.3675560000000008E-3</v>
      </c>
      <c r="W1050">
        <v>0.1837105</v>
      </c>
      <c r="X1050">
        <v>0.98293569999999997</v>
      </c>
      <c r="Y1050">
        <v>2.0236230000000001E-2</v>
      </c>
      <c r="Z1050" s="1">
        <v>-9.3127190000000004E-5</v>
      </c>
      <c r="AA1050">
        <v>0.9997952</v>
      </c>
      <c r="AB1050">
        <v>33</v>
      </c>
      <c r="AC1050">
        <v>37.284399999999998</v>
      </c>
      <c r="AD1050">
        <v>-1.0600525833209999</v>
      </c>
      <c r="AE1050">
        <v>-1.0128000000000199</v>
      </c>
      <c r="AF1050">
        <v>0.75759449201850804</v>
      </c>
      <c r="AG1050">
        <v>-1.0600525833209999</v>
      </c>
      <c r="AH1050">
        <v>37.260348830236403</v>
      </c>
      <c r="AI1050">
        <v>91.629282114590595</v>
      </c>
      <c r="AJ1050">
        <v>88.8351964430679</v>
      </c>
      <c r="AK1050">
        <v>37.283122935782103</v>
      </c>
      <c r="AL1050">
        <v>79.414038384642794</v>
      </c>
      <c r="AM1050">
        <v>90.546022669550098</v>
      </c>
      <c r="AN1050">
        <v>0.99999994462507402</v>
      </c>
    </row>
    <row r="1051" spans="1:40" x14ac:dyDescent="0.25">
      <c r="A1051" t="str">
        <f>"20190312172109223"</f>
        <v>20190312172109223</v>
      </c>
      <c r="B1051" t="str">
        <f>"1552382469211929"</f>
        <v>1552382469211929</v>
      </c>
      <c r="C1051" t="s">
        <v>40</v>
      </c>
      <c r="D1051">
        <v>3.1802030000000001</v>
      </c>
      <c r="E1051">
        <v>0.51146619999999998</v>
      </c>
      <c r="F1051" t="s">
        <v>42</v>
      </c>
      <c r="G1051">
        <v>-258.04469999999998</v>
      </c>
      <c r="H1051" s="1">
        <v>-1.3676930000000001E-6</v>
      </c>
      <c r="I1051">
        <v>366.92439999999999</v>
      </c>
      <c r="J1051">
        <v>-297.48860000000002</v>
      </c>
      <c r="K1051">
        <v>1.060049</v>
      </c>
      <c r="L1051">
        <v>367.96690000000001</v>
      </c>
      <c r="M1051">
        <v>0.99988969999999999</v>
      </c>
      <c r="N1051">
        <v>0</v>
      </c>
      <c r="O1051">
        <v>-6.9238590000000001E-3</v>
      </c>
      <c r="P1051">
        <v>0.98534699999999997</v>
      </c>
      <c r="Q1051">
        <v>0.170543</v>
      </c>
      <c r="R1051">
        <v>2.5405499999999999E-3</v>
      </c>
      <c r="S1051">
        <v>3.0591430000000002</v>
      </c>
      <c r="T1051">
        <v>-8.1858990000000006E-2</v>
      </c>
      <c r="U1051">
        <v>-8.0596920000000002E-2</v>
      </c>
      <c r="V1051">
        <v>-9.2817260000000006E-3</v>
      </c>
      <c r="W1051">
        <v>0.18347810000000001</v>
      </c>
      <c r="X1051">
        <v>0.98297999999999996</v>
      </c>
      <c r="Y1051">
        <v>1.9409949999999999E-2</v>
      </c>
      <c r="Z1051" s="1">
        <v>-7.4382459999999999E-5</v>
      </c>
      <c r="AA1051">
        <v>0.99981160000000002</v>
      </c>
      <c r="AB1051">
        <v>33</v>
      </c>
      <c r="AC1051">
        <v>39.443899999999999</v>
      </c>
      <c r="AD1051">
        <v>-1.060050367693</v>
      </c>
      <c r="AE1051">
        <v>-1.04250000000001</v>
      </c>
      <c r="AF1051">
        <v>0.76879254609265602</v>
      </c>
      <c r="AG1051">
        <v>-1.060050367693</v>
      </c>
      <c r="AH1051">
        <v>39.421720265633802</v>
      </c>
      <c r="AI1051">
        <v>91.540020100245101</v>
      </c>
      <c r="AJ1051">
        <v>88.882773632631796</v>
      </c>
      <c r="AK1051">
        <v>39.443463051091904</v>
      </c>
      <c r="AL1051">
        <v>79.4275850020951</v>
      </c>
      <c r="AM1051">
        <v>90.540995668381797</v>
      </c>
      <c r="AN1051">
        <v>1.0000000220085701</v>
      </c>
    </row>
    <row r="1052" spans="1:40" x14ac:dyDescent="0.25">
      <c r="A1052" t="str">
        <f>"20190312172109234"</f>
        <v>20190312172109234</v>
      </c>
      <c r="B1052" t="str">
        <f>"1552382469222663"</f>
        <v>1552382469222663</v>
      </c>
      <c r="C1052" t="s">
        <v>40</v>
      </c>
      <c r="D1052">
        <v>3.1828120000000002</v>
      </c>
      <c r="E1052">
        <v>0.51146990000000003</v>
      </c>
      <c r="F1052" t="s">
        <v>42</v>
      </c>
      <c r="G1052">
        <v>-258.0093</v>
      </c>
      <c r="H1052" s="1">
        <v>-1.3767380000000001E-6</v>
      </c>
      <c r="I1052">
        <v>366.93579999999997</v>
      </c>
      <c r="J1052">
        <v>-297.32889999999998</v>
      </c>
      <c r="K1052">
        <v>1.0600480000000001</v>
      </c>
      <c r="L1052">
        <v>367.96570000000003</v>
      </c>
      <c r="M1052">
        <v>0.99988920000000003</v>
      </c>
      <c r="N1052">
        <v>0</v>
      </c>
      <c r="O1052">
        <v>-7.0143239999999997E-3</v>
      </c>
      <c r="P1052">
        <v>0.98534909999999998</v>
      </c>
      <c r="Q1052">
        <v>0.17053399999999999</v>
      </c>
      <c r="R1052">
        <v>2.3802459999999999E-3</v>
      </c>
      <c r="S1052">
        <v>3.0589900000000001</v>
      </c>
      <c r="T1052">
        <v>-8.2136089999999995E-2</v>
      </c>
      <c r="U1052">
        <v>-7.9895019999999997E-2</v>
      </c>
      <c r="V1052">
        <v>-9.2109670000000005E-3</v>
      </c>
      <c r="W1052">
        <v>0.18346779999999999</v>
      </c>
      <c r="X1052">
        <v>0.98298260000000004</v>
      </c>
      <c r="Y1052">
        <v>1.9091670000000002E-2</v>
      </c>
      <c r="Z1052" s="1">
        <v>-6.7938280000000005E-5</v>
      </c>
      <c r="AA1052">
        <v>0.99981770000000003</v>
      </c>
      <c r="AB1052">
        <v>33</v>
      </c>
      <c r="AC1052">
        <v>39.319599999999902</v>
      </c>
      <c r="AD1052">
        <v>-1.0600493767379999</v>
      </c>
      <c r="AE1052">
        <v>-1.02990000000005</v>
      </c>
      <c r="AF1052">
        <v>0.75350317547888701</v>
      </c>
      <c r="AG1052">
        <v>-1.0600493767379999</v>
      </c>
      <c r="AH1052">
        <v>39.297314258822396</v>
      </c>
      <c r="AI1052">
        <v>91.544901408114001</v>
      </c>
      <c r="AJ1052">
        <v>88.901521315915105</v>
      </c>
      <c r="AK1052">
        <v>39.318829836011403</v>
      </c>
      <c r="AL1052">
        <v>79.428185464785798</v>
      </c>
      <c r="AM1052">
        <v>90.5368702241676</v>
      </c>
      <c r="AN1052">
        <v>1.00000003372633</v>
      </c>
    </row>
    <row r="1053" spans="1:40" x14ac:dyDescent="0.25">
      <c r="A1053" t="str">
        <f>"20190312172109246"</f>
        <v>20190312172109246</v>
      </c>
      <c r="B1053" t="str">
        <f>"1552382469242184"</f>
        <v>1552382469242184</v>
      </c>
      <c r="C1053" t="s">
        <v>40</v>
      </c>
      <c r="D1053">
        <v>3.1830699999999998</v>
      </c>
      <c r="E1053">
        <v>0.51101289999999999</v>
      </c>
      <c r="F1053" t="s">
        <v>42</v>
      </c>
      <c r="G1053">
        <v>-257.11219999999997</v>
      </c>
      <c r="H1053" s="1">
        <v>-1.7016900000000001E-6</v>
      </c>
      <c r="I1053">
        <v>366.9076</v>
      </c>
      <c r="J1053">
        <v>-297.16469999999998</v>
      </c>
      <c r="K1053">
        <v>1.060047</v>
      </c>
      <c r="L1053">
        <v>367.96449999999999</v>
      </c>
      <c r="M1053">
        <v>0.99988849999999996</v>
      </c>
      <c r="N1053">
        <v>0</v>
      </c>
      <c r="O1053">
        <v>-7.1068160000000002E-3</v>
      </c>
      <c r="P1053">
        <v>0.98538720000000002</v>
      </c>
      <c r="Q1053">
        <v>0.17031370000000001</v>
      </c>
      <c r="R1053">
        <v>2.2910539999999998E-3</v>
      </c>
      <c r="S1053">
        <v>3.058716</v>
      </c>
      <c r="T1053">
        <v>-8.0622849999999996E-2</v>
      </c>
      <c r="U1053">
        <v>-8.0474850000000001E-2</v>
      </c>
      <c r="V1053">
        <v>-9.2127589999999992E-3</v>
      </c>
      <c r="W1053">
        <v>0.18324699999999999</v>
      </c>
      <c r="X1053">
        <v>0.9830238</v>
      </c>
      <c r="Y1053">
        <v>1.9191079999999999E-2</v>
      </c>
      <c r="Z1053" s="1">
        <v>-6.5565489999999994E-5</v>
      </c>
      <c r="AA1053">
        <v>0.99981580000000003</v>
      </c>
      <c r="AB1053">
        <v>33</v>
      </c>
      <c r="AC1053">
        <v>40.052500000000002</v>
      </c>
      <c r="AD1053">
        <v>-1.06004870169</v>
      </c>
      <c r="AE1053">
        <v>-1.05689999999998</v>
      </c>
      <c r="AF1053">
        <v>0.77166285166130899</v>
      </c>
      <c r="AG1053">
        <v>-1.06004870169</v>
      </c>
      <c r="AH1053">
        <v>40.030979020460599</v>
      </c>
      <c r="AI1053">
        <v>91.516596747060404</v>
      </c>
      <c r="AJ1053">
        <v>88.895666542442399</v>
      </c>
      <c r="AK1053">
        <v>40.052446219215398</v>
      </c>
      <c r="AL1053">
        <v>79.441054881168995</v>
      </c>
      <c r="AM1053">
        <v>90.536952162430694</v>
      </c>
      <c r="AN1053">
        <v>1.00000006465191</v>
      </c>
    </row>
    <row r="1054" spans="1:40" x14ac:dyDescent="0.25">
      <c r="A1054" t="str">
        <f>"20190312172109256"</f>
        <v>20190312172109256</v>
      </c>
      <c r="B1054" t="str">
        <f>"1552382469251943"</f>
        <v>1552382469251943</v>
      </c>
      <c r="C1054" t="s">
        <v>40</v>
      </c>
      <c r="D1054">
        <v>3.1709309999999999</v>
      </c>
      <c r="E1054">
        <v>0.51092510000000002</v>
      </c>
      <c r="F1054" t="s">
        <v>42</v>
      </c>
      <c r="G1054">
        <v>-256.6456</v>
      </c>
      <c r="H1054" s="1">
        <v>-1.8962280000000001E-6</v>
      </c>
      <c r="I1054">
        <v>366.93920000000003</v>
      </c>
      <c r="J1054">
        <v>-296.99489999999997</v>
      </c>
      <c r="K1054">
        <v>1.0600459999999901</v>
      </c>
      <c r="L1054">
        <v>367.96319999999997</v>
      </c>
      <c r="M1054">
        <v>0.99988790000000005</v>
      </c>
      <c r="N1054">
        <v>0</v>
      </c>
      <c r="O1054">
        <v>-7.202529E-3</v>
      </c>
      <c r="P1054">
        <v>0.98538369999999997</v>
      </c>
      <c r="Q1054">
        <v>0.17033400000000001</v>
      </c>
      <c r="R1054">
        <v>2.3631939999999999E-3</v>
      </c>
      <c r="S1054">
        <v>3.0585019999999998</v>
      </c>
      <c r="T1054">
        <v>-8.0015539999999996E-2</v>
      </c>
      <c r="U1054">
        <v>-7.7392580000000002E-2</v>
      </c>
      <c r="V1054">
        <v>-9.3791289999999999E-3</v>
      </c>
      <c r="W1054">
        <v>0.1832657</v>
      </c>
      <c r="X1054">
        <v>0.98301870000000002</v>
      </c>
      <c r="Y1054">
        <v>1.8090760000000001E-2</v>
      </c>
      <c r="Z1054" s="1">
        <v>-4.8185349999999998E-5</v>
      </c>
      <c r="AA1054">
        <v>0.99983630000000001</v>
      </c>
      <c r="AB1054">
        <v>33</v>
      </c>
      <c r="AC1054">
        <v>40.3492999999999</v>
      </c>
      <c r="AD1054">
        <v>-1.06004789622799</v>
      </c>
      <c r="AE1054">
        <v>-1.0239999999999401</v>
      </c>
      <c r="AF1054">
        <v>0.73282591391709695</v>
      </c>
      <c r="AG1054">
        <v>-1.06004789622799</v>
      </c>
      <c r="AH1054">
        <v>40.327812644735999</v>
      </c>
      <c r="AI1054">
        <v>91.505468941385402</v>
      </c>
      <c r="AJ1054">
        <v>88.958951440095504</v>
      </c>
      <c r="AK1054">
        <v>40.348397837725003</v>
      </c>
      <c r="AL1054">
        <v>79.439964566384901</v>
      </c>
      <c r="AM1054">
        <v>90.546651046848794</v>
      </c>
      <c r="AN1054">
        <v>1.0000000247034799</v>
      </c>
    </row>
    <row r="1055" spans="1:40" x14ac:dyDescent="0.25">
      <c r="A1055" t="str">
        <f>"20190312172109268"</f>
        <v>20190312172109268</v>
      </c>
      <c r="B1055" t="str">
        <f>"1552382469262684"</f>
        <v>1552382469262684</v>
      </c>
      <c r="C1055" t="s">
        <v>40</v>
      </c>
      <c r="D1055">
        <v>3.202601</v>
      </c>
      <c r="E1055">
        <v>0.51081809999999905</v>
      </c>
      <c r="F1055" t="s">
        <v>42</v>
      </c>
      <c r="G1055">
        <v>-256.36619999999999</v>
      </c>
      <c r="H1055" s="1">
        <v>-2.0152210000000001E-6</v>
      </c>
      <c r="I1055">
        <v>366.94400000000002</v>
      </c>
      <c r="J1055">
        <v>-296.82040000000001</v>
      </c>
      <c r="K1055">
        <v>1.0600480000000001</v>
      </c>
      <c r="L1055">
        <v>367.96179999999998</v>
      </c>
      <c r="M1055">
        <v>0.99988719999999998</v>
      </c>
      <c r="N1055">
        <v>0</v>
      </c>
      <c r="O1055">
        <v>-7.3012190000000003E-3</v>
      </c>
      <c r="P1055">
        <v>0.98542090000000004</v>
      </c>
      <c r="Q1055">
        <v>0.1701203</v>
      </c>
      <c r="R1055">
        <v>2.2342310000000002E-3</v>
      </c>
      <c r="S1055">
        <v>3.0584720000000001</v>
      </c>
      <c r="T1055">
        <v>-7.9798759999999996E-2</v>
      </c>
      <c r="U1055">
        <v>-7.6721189999999995E-2</v>
      </c>
      <c r="V1055">
        <v>-9.347635E-3</v>
      </c>
      <c r="W1055">
        <v>0.18305099999999999</v>
      </c>
      <c r="X1055">
        <v>0.98305900000000002</v>
      </c>
      <c r="Y1055">
        <v>1.777314E-2</v>
      </c>
      <c r="Z1055" s="1">
        <v>-4.1339179999999997E-5</v>
      </c>
      <c r="AA1055">
        <v>0.99984200000000001</v>
      </c>
      <c r="AB1055">
        <v>33</v>
      </c>
      <c r="AC1055">
        <v>40.4542</v>
      </c>
      <c r="AD1055">
        <v>-1.060050015221</v>
      </c>
      <c r="AE1055">
        <v>-1.0177999999999601</v>
      </c>
      <c r="AF1055">
        <v>0.72188708814570501</v>
      </c>
      <c r="AG1055">
        <v>-1.060050015221</v>
      </c>
      <c r="AH1055">
        <v>40.432808368807699</v>
      </c>
      <c r="AI1055">
        <v>91.501572926244705</v>
      </c>
      <c r="AJ1055">
        <v>88.977150212374497</v>
      </c>
      <c r="AK1055">
        <v>40.453143506920703</v>
      </c>
      <c r="AL1055">
        <v>79.452477621550898</v>
      </c>
      <c r="AM1055">
        <v>90.544793235372595</v>
      </c>
      <c r="AN1055">
        <v>1.0000000221810399</v>
      </c>
    </row>
    <row r="1056" spans="1:40" x14ac:dyDescent="0.25">
      <c r="A1056" t="str">
        <f>"20190312172109279"</f>
        <v>20190312172109279</v>
      </c>
      <c r="B1056" t="str">
        <f>"1552382469272440"</f>
        <v>1552382469272440</v>
      </c>
      <c r="C1056" t="s">
        <v>40</v>
      </c>
      <c r="D1056">
        <v>3.1954389999999999</v>
      </c>
      <c r="E1056">
        <v>0.51069310000000001</v>
      </c>
      <c r="F1056" t="s">
        <v>42</v>
      </c>
      <c r="G1056">
        <v>-256.72340000000003</v>
      </c>
      <c r="H1056" s="1">
        <v>-1.8586540000000001E-6</v>
      </c>
      <c r="I1056">
        <v>366.96280000000002</v>
      </c>
      <c r="J1056">
        <v>-296.65640000000002</v>
      </c>
      <c r="K1056">
        <v>1.060049</v>
      </c>
      <c r="L1056">
        <v>367.96050000000002</v>
      </c>
      <c r="M1056">
        <v>0.99988650000000001</v>
      </c>
      <c r="N1056">
        <v>0</v>
      </c>
      <c r="O1056">
        <v>-7.3939490000000004E-3</v>
      </c>
      <c r="P1056">
        <v>0.98544359999999998</v>
      </c>
      <c r="Q1056">
        <v>0.16999069999999999</v>
      </c>
      <c r="R1056">
        <v>2.0594070000000001E-3</v>
      </c>
      <c r="S1056">
        <v>3.0585330000000002</v>
      </c>
      <c r="T1056">
        <v>-8.0858830000000007E-2</v>
      </c>
      <c r="U1056">
        <v>-7.6202389999999995E-2</v>
      </c>
      <c r="V1056">
        <v>-9.2648929999999997E-3</v>
      </c>
      <c r="W1056">
        <v>0.18292069999999999</v>
      </c>
      <c r="X1056">
        <v>0.98308399999999996</v>
      </c>
      <c r="Y1056">
        <v>1.7510459999999999E-2</v>
      </c>
      <c r="Z1056" s="1">
        <v>-3.5965420000000001E-5</v>
      </c>
      <c r="AA1056">
        <v>0.99984669999999998</v>
      </c>
      <c r="AB1056">
        <v>33</v>
      </c>
      <c r="AC1056">
        <v>39.9329999999999</v>
      </c>
      <c r="AD1056">
        <v>-1.0600508586540001</v>
      </c>
      <c r="AE1056">
        <v>-0.99770000000000802</v>
      </c>
      <c r="AF1056">
        <v>0.70189041768850502</v>
      </c>
      <c r="AG1056">
        <v>-1.0600508586540001</v>
      </c>
      <c r="AH1056">
        <v>39.911178889210603</v>
      </c>
      <c r="AI1056">
        <v>91.521197380173405</v>
      </c>
      <c r="AJ1056">
        <v>88.992482442530203</v>
      </c>
      <c r="AK1056">
        <v>39.931423194120498</v>
      </c>
      <c r="AL1056">
        <v>79.460071092752898</v>
      </c>
      <c r="AM1056">
        <v>90.539957471998406</v>
      </c>
      <c r="AN1056">
        <v>0.999999985893395</v>
      </c>
    </row>
    <row r="1057" spans="1:40" x14ac:dyDescent="0.25">
      <c r="A1057" t="str">
        <f>"20190312172109290"</f>
        <v>20190312172109290</v>
      </c>
      <c r="B1057" t="str">
        <f>"1552382469282200"</f>
        <v>1552382469282200</v>
      </c>
      <c r="C1057" t="s">
        <v>40</v>
      </c>
      <c r="D1057">
        <v>3.196142</v>
      </c>
      <c r="E1057">
        <v>0.51081169999999998</v>
      </c>
      <c r="F1057" t="s">
        <v>42</v>
      </c>
      <c r="G1057">
        <v>-256.92189999999999</v>
      </c>
      <c r="H1057" s="1">
        <v>-1.770106E-6</v>
      </c>
      <c r="I1057">
        <v>366.98200000000003</v>
      </c>
      <c r="J1057">
        <v>-296.49740000000003</v>
      </c>
      <c r="K1057">
        <v>1.060044</v>
      </c>
      <c r="L1057">
        <v>367.95920000000001</v>
      </c>
      <c r="M1057">
        <v>0.99988580000000005</v>
      </c>
      <c r="N1057">
        <v>0</v>
      </c>
      <c r="O1057">
        <v>-7.4840549999999999E-3</v>
      </c>
      <c r="P1057">
        <v>0.98542629999999998</v>
      </c>
      <c r="Q1057">
        <v>0.17009199999999999</v>
      </c>
      <c r="R1057">
        <v>1.9350490000000001E-3</v>
      </c>
      <c r="S1057">
        <v>3.0585019999999998</v>
      </c>
      <c r="T1057">
        <v>-8.1595539999999994E-2</v>
      </c>
      <c r="U1057">
        <v>-7.5317380000000003E-2</v>
      </c>
      <c r="V1057">
        <v>-9.229559E-3</v>
      </c>
      <c r="W1057">
        <v>0.1830205</v>
      </c>
      <c r="X1057">
        <v>0.98306579999999999</v>
      </c>
      <c r="Y1057">
        <v>1.7131569999999999E-2</v>
      </c>
      <c r="Z1057" s="1">
        <v>-2.8837879999999999E-5</v>
      </c>
      <c r="AA1057">
        <v>0.99985329999999994</v>
      </c>
      <c r="AB1057">
        <v>33</v>
      </c>
      <c r="AC1057">
        <v>39.575499999999998</v>
      </c>
      <c r="AD1057">
        <v>-1.060045770106</v>
      </c>
      <c r="AE1057">
        <v>-0.97720000000003804</v>
      </c>
      <c r="AF1057">
        <v>0.68047396440552599</v>
      </c>
      <c r="AG1057">
        <v>-1.060045770106</v>
      </c>
      <c r="AH1057">
        <v>39.553344941202099</v>
      </c>
      <c r="AI1057">
        <v>91.534955736506404</v>
      </c>
      <c r="AJ1057">
        <v>89.014383222539607</v>
      </c>
      <c r="AK1057">
        <v>39.573398108940196</v>
      </c>
      <c r="AL1057">
        <v>79.454255230653104</v>
      </c>
      <c r="AM1057">
        <v>90.537908287383502</v>
      </c>
      <c r="AN1057">
        <v>1.0000000276546099</v>
      </c>
    </row>
    <row r="1058" spans="1:40" x14ac:dyDescent="0.25">
      <c r="A1058" t="str">
        <f>"20190312172109302"</f>
        <v>20190312172109302</v>
      </c>
      <c r="B1058" t="str">
        <f>"1552382469291959"</f>
        <v>1552382469291959</v>
      </c>
      <c r="C1058" t="s">
        <v>40</v>
      </c>
      <c r="D1058">
        <v>3.1877689999999999</v>
      </c>
      <c r="E1058">
        <v>0.51076009999999905</v>
      </c>
      <c r="F1058" t="s">
        <v>42</v>
      </c>
      <c r="G1058">
        <v>-257.33539999999999</v>
      </c>
      <c r="H1058" s="1">
        <v>-1.5954349999999999E-6</v>
      </c>
      <c r="I1058">
        <v>366.97579999999999</v>
      </c>
      <c r="J1058">
        <v>-296.3295</v>
      </c>
      <c r="K1058">
        <v>1.0600449999999999</v>
      </c>
      <c r="L1058">
        <v>367.95780000000002</v>
      </c>
      <c r="M1058">
        <v>0.99988509999999997</v>
      </c>
      <c r="N1058">
        <v>0</v>
      </c>
      <c r="O1058">
        <v>-7.5792860000000002E-3</v>
      </c>
      <c r="P1058">
        <v>0.98543899999999995</v>
      </c>
      <c r="Q1058">
        <v>0.17001910000000001</v>
      </c>
      <c r="R1058">
        <v>1.9616600000000001E-3</v>
      </c>
      <c r="S1058">
        <v>3.0588069999999998</v>
      </c>
      <c r="T1058">
        <v>-8.2796220000000004E-2</v>
      </c>
      <c r="U1058">
        <v>-7.6812740000000004E-2</v>
      </c>
      <c r="V1058">
        <v>-9.3501639999999994E-3</v>
      </c>
      <c r="W1058">
        <v>0.182947</v>
      </c>
      <c r="X1058">
        <v>0.98307829999999996</v>
      </c>
      <c r="Y1058">
        <v>1.752217E-2</v>
      </c>
      <c r="Z1058" s="1">
        <v>-3.1966849999999997E-5</v>
      </c>
      <c r="AA1058">
        <v>0.99984649999999997</v>
      </c>
      <c r="AB1058">
        <v>33</v>
      </c>
      <c r="AC1058">
        <v>38.994100000000003</v>
      </c>
      <c r="AD1058">
        <v>-1.060046595435</v>
      </c>
      <c r="AE1058">
        <v>-0.98200000000002696</v>
      </c>
      <c r="AF1058">
        <v>0.68589231983104904</v>
      </c>
      <c r="AG1058">
        <v>-1.060046595435</v>
      </c>
      <c r="AH1058">
        <v>38.971640974206203</v>
      </c>
      <c r="AI1058">
        <v>91.557846290784894</v>
      </c>
      <c r="AJ1058">
        <v>88.991710965350194</v>
      </c>
      <c r="AK1058">
        <v>38.992088265202298</v>
      </c>
      <c r="AL1058">
        <v>79.458538362456693</v>
      </c>
      <c r="AM1058">
        <v>90.544929922396804</v>
      </c>
      <c r="AN1058">
        <v>0.99999998715335803</v>
      </c>
    </row>
    <row r="1059" spans="1:40" x14ac:dyDescent="0.25">
      <c r="A1059" t="str">
        <f>"20190312172109314"</f>
        <v>20190312172109314</v>
      </c>
      <c r="B1059" t="str">
        <f>"1552382469302697"</f>
        <v>1552382469302697</v>
      </c>
      <c r="C1059" t="s">
        <v>40</v>
      </c>
      <c r="D1059">
        <v>3.2898640000000001</v>
      </c>
      <c r="E1059">
        <v>0.51073469999999999</v>
      </c>
      <c r="F1059" t="s">
        <v>42</v>
      </c>
      <c r="G1059">
        <v>-257.262</v>
      </c>
      <c r="H1059" s="1">
        <v>-1.623685E-6</v>
      </c>
      <c r="I1059">
        <v>366.98489999999998</v>
      </c>
      <c r="J1059">
        <v>-296.15030000000002</v>
      </c>
      <c r="K1059">
        <v>1.0600449999999999</v>
      </c>
      <c r="L1059">
        <v>367.95639999999997</v>
      </c>
      <c r="M1059">
        <v>0.99988440000000001</v>
      </c>
      <c r="N1059">
        <v>0</v>
      </c>
      <c r="O1059">
        <v>-7.6808369999999898E-3</v>
      </c>
      <c r="P1059">
        <v>0.98549620000000004</v>
      </c>
      <c r="Q1059">
        <v>0.16968759999999999</v>
      </c>
      <c r="R1059">
        <v>1.9099220000000001E-3</v>
      </c>
      <c r="S1059">
        <v>3.0588069999999998</v>
      </c>
      <c r="T1059">
        <v>-8.2996609999999998E-2</v>
      </c>
      <c r="U1059">
        <v>-7.6171879999999997E-2</v>
      </c>
      <c r="V1059">
        <v>-9.3990359999999995E-3</v>
      </c>
      <c r="W1059">
        <v>0.18261459999999999</v>
      </c>
      <c r="X1059">
        <v>0.9831396</v>
      </c>
      <c r="Y1059">
        <v>1.7211400000000002E-2</v>
      </c>
      <c r="Z1059" s="1">
        <v>-2.5075029999999998E-5</v>
      </c>
      <c r="AA1059">
        <v>0.99985190000000002</v>
      </c>
      <c r="AB1059">
        <v>33</v>
      </c>
      <c r="AC1059">
        <v>38.888300000000001</v>
      </c>
      <c r="AD1059">
        <v>-1.0600466236849999</v>
      </c>
      <c r="AE1059">
        <v>-0.97149999999999104</v>
      </c>
      <c r="AF1059">
        <v>0.67225172636632702</v>
      </c>
      <c r="AG1059">
        <v>-1.0600466236849999</v>
      </c>
      <c r="AH1059">
        <v>38.865754461835301</v>
      </c>
      <c r="AI1059">
        <v>91.562096707314893</v>
      </c>
      <c r="AJ1059">
        <v>89.009067320345807</v>
      </c>
      <c r="AK1059">
        <v>38.886019224339002</v>
      </c>
      <c r="AL1059">
        <v>79.477909459834294</v>
      </c>
      <c r="AM1059">
        <v>90.547743869235305</v>
      </c>
      <c r="AN1059">
        <v>0.99999995354952298</v>
      </c>
    </row>
    <row r="1060" spans="1:40" x14ac:dyDescent="0.25">
      <c r="A1060" t="str">
        <f>"20190312172109326"</f>
        <v>20190312172109326</v>
      </c>
      <c r="B1060" t="str">
        <f>"1552382469322217"</f>
        <v>1552382469322217</v>
      </c>
      <c r="C1060" t="s">
        <v>40</v>
      </c>
      <c r="D1060">
        <v>3.1913459999999998</v>
      </c>
      <c r="E1060">
        <v>0.51077539999999999</v>
      </c>
      <c r="F1060" t="s">
        <v>42</v>
      </c>
      <c r="G1060">
        <v>-257.47109999999998</v>
      </c>
      <c r="H1060" s="1">
        <v>-1.5443410000000001E-6</v>
      </c>
      <c r="I1060">
        <v>366.99430000000001</v>
      </c>
      <c r="J1060">
        <v>-295.9819</v>
      </c>
      <c r="K1060">
        <v>1.060041</v>
      </c>
      <c r="L1060">
        <v>367.95499999999998</v>
      </c>
      <c r="M1060">
        <v>0.99988370000000004</v>
      </c>
      <c r="N1060">
        <v>0</v>
      </c>
      <c r="O1060">
        <v>-7.7763099999999998E-3</v>
      </c>
      <c r="P1060">
        <v>0.98551670000000002</v>
      </c>
      <c r="Q1060">
        <v>0.16956979999999999</v>
      </c>
      <c r="R1060">
        <v>1.803692E-3</v>
      </c>
      <c r="S1060">
        <v>3.0587460000000002</v>
      </c>
      <c r="T1060">
        <v>-8.3827970000000002E-2</v>
      </c>
      <c r="U1060">
        <v>-7.6080320000000007E-2</v>
      </c>
      <c r="V1060">
        <v>-9.3870580000000002E-3</v>
      </c>
      <c r="W1060">
        <v>0.18249599999999999</v>
      </c>
      <c r="X1060">
        <v>0.98316179999999997</v>
      </c>
      <c r="Y1060">
        <v>1.7086529999999999E-2</v>
      </c>
      <c r="Z1060" s="1">
        <v>-2.100045E-5</v>
      </c>
      <c r="AA1060">
        <v>0.99985400000000002</v>
      </c>
      <c r="AB1060">
        <v>33</v>
      </c>
      <c r="AC1060">
        <v>38.510800000000003</v>
      </c>
      <c r="AD1060">
        <v>-1.060042544341</v>
      </c>
      <c r="AE1060">
        <v>-0.96069999999997402</v>
      </c>
      <c r="AF1060">
        <v>0.66067299054606698</v>
      </c>
      <c r="AG1060">
        <v>-1.060042544341</v>
      </c>
      <c r="AH1060">
        <v>38.4879635982754</v>
      </c>
      <c r="AI1060">
        <v>91.577419747880498</v>
      </c>
      <c r="AJ1060">
        <v>89.016574193595403</v>
      </c>
      <c r="AK1060">
        <v>38.508226665719398</v>
      </c>
      <c r="AL1060">
        <v>79.484821545377997</v>
      </c>
      <c r="AM1060">
        <v>90.547033522898502</v>
      </c>
      <c r="AN1060">
        <v>1.0000000159265601</v>
      </c>
    </row>
    <row r="1061" spans="1:40" x14ac:dyDescent="0.25">
      <c r="A1061" t="str">
        <f>"20190312172109337"</f>
        <v>20190312172109337</v>
      </c>
      <c r="B1061" t="str">
        <f>"1552382469331977"</f>
        <v>1552382469331977</v>
      </c>
      <c r="C1061" t="s">
        <v>40</v>
      </c>
      <c r="D1061">
        <v>3.2514270000000001</v>
      </c>
      <c r="E1061">
        <v>0.51087260000000001</v>
      </c>
      <c r="F1061" t="s">
        <v>42</v>
      </c>
      <c r="G1061">
        <v>-257.8073</v>
      </c>
      <c r="H1061" s="1">
        <v>-1.4283379999999999E-6</v>
      </c>
      <c r="I1061">
        <v>367.00020000000001</v>
      </c>
      <c r="J1061">
        <v>-295.79930000000002</v>
      </c>
      <c r="K1061">
        <v>1.060041</v>
      </c>
      <c r="L1061">
        <v>367.95350000000002</v>
      </c>
      <c r="M1061">
        <v>0.99988290000000002</v>
      </c>
      <c r="N1061">
        <v>0</v>
      </c>
      <c r="O1061">
        <v>-7.8796490000000007E-3</v>
      </c>
      <c r="P1061">
        <v>0.9854986</v>
      </c>
      <c r="Q1061">
        <v>0.1696751</v>
      </c>
      <c r="R1061">
        <v>1.8344170000000001E-3</v>
      </c>
      <c r="S1061">
        <v>3.0588380000000002</v>
      </c>
      <c r="T1061">
        <v>-8.4938589999999994E-2</v>
      </c>
      <c r="U1061">
        <v>-7.6507569999999997E-2</v>
      </c>
      <c r="V1061">
        <v>-9.5200130000000008E-3</v>
      </c>
      <c r="W1061">
        <v>0.1825996</v>
      </c>
      <c r="X1061">
        <v>0.9831413</v>
      </c>
      <c r="Y1061">
        <v>1.712195E-2</v>
      </c>
      <c r="Z1061" s="1">
        <v>-1.8900919999999999E-5</v>
      </c>
      <c r="AA1061">
        <v>0.9998534</v>
      </c>
      <c r="AB1061">
        <v>33</v>
      </c>
      <c r="AC1061">
        <v>37.991999999999997</v>
      </c>
      <c r="AD1061">
        <v>-1.0600424283380001</v>
      </c>
      <c r="AE1061">
        <v>-0.95330000000001203</v>
      </c>
      <c r="AF1061">
        <v>0.65337267704906399</v>
      </c>
      <c r="AG1061">
        <v>-1.0600424283380001</v>
      </c>
      <c r="AH1061">
        <v>37.968792305855096</v>
      </c>
      <c r="AI1061">
        <v>91.598976342755293</v>
      </c>
      <c r="AJ1061">
        <v>89.014142929265105</v>
      </c>
      <c r="AK1061">
        <v>37.9892060323739</v>
      </c>
      <c r="AL1061">
        <v>79.478784409583596</v>
      </c>
      <c r="AM1061">
        <v>90.554792600440805</v>
      </c>
      <c r="AN1061">
        <v>1.00000003016668</v>
      </c>
    </row>
    <row r="1062" spans="1:40" x14ac:dyDescent="0.25">
      <c r="A1062" t="str">
        <f>"20190312172109350"</f>
        <v>20190312172109350</v>
      </c>
      <c r="B1062" t="str">
        <f>"1552382469342712"</f>
        <v>1552382469342712</v>
      </c>
      <c r="C1062" t="s">
        <v>40</v>
      </c>
      <c r="D1062">
        <v>3.2890060000000001</v>
      </c>
      <c r="E1062">
        <v>0.51088999999999996</v>
      </c>
      <c r="F1062" t="s">
        <v>42</v>
      </c>
      <c r="G1062">
        <v>-257.87650000000002</v>
      </c>
      <c r="H1062" s="1">
        <v>-1.4065479999999901E-6</v>
      </c>
      <c r="I1062">
        <v>366.99360000000001</v>
      </c>
      <c r="J1062">
        <v>-295.6266</v>
      </c>
      <c r="K1062">
        <v>1.060041</v>
      </c>
      <c r="L1062">
        <v>367.952</v>
      </c>
      <c r="M1062">
        <v>0.99988220000000005</v>
      </c>
      <c r="N1062">
        <v>0</v>
      </c>
      <c r="O1062">
        <v>-7.977151E-3</v>
      </c>
      <c r="P1062">
        <v>0.98546109999999998</v>
      </c>
      <c r="Q1062">
        <v>0.16989309999999999</v>
      </c>
      <c r="R1062">
        <v>1.7641979999999901E-3</v>
      </c>
      <c r="S1062">
        <v>3.0589900000000001</v>
      </c>
      <c r="T1062">
        <v>-8.5506620000000005E-2</v>
      </c>
      <c r="U1062">
        <v>-7.7423099999999995E-2</v>
      </c>
      <c r="V1062">
        <v>-9.5449369999999999E-3</v>
      </c>
      <c r="W1062">
        <v>0.1828157</v>
      </c>
      <c r="X1062">
        <v>0.98310090000000006</v>
      </c>
      <c r="Y1062">
        <v>1.732218E-2</v>
      </c>
      <c r="Z1062" s="1">
        <v>-1.909927E-5</v>
      </c>
      <c r="AA1062">
        <v>0.99985000000000002</v>
      </c>
      <c r="AB1062">
        <v>33</v>
      </c>
      <c r="AC1062">
        <v>37.750099999999897</v>
      </c>
      <c r="AD1062">
        <v>-1.0600424065480001</v>
      </c>
      <c r="AE1062">
        <v>-0.95839999999998304</v>
      </c>
      <c r="AF1062">
        <v>0.65668788349137797</v>
      </c>
      <c r="AG1062">
        <v>-1.0600424065480001</v>
      </c>
      <c r="AH1062">
        <v>37.726815601462</v>
      </c>
      <c r="AI1062">
        <v>91.609221120727099</v>
      </c>
      <c r="AJ1062">
        <v>89.002787690387194</v>
      </c>
      <c r="AK1062">
        <v>37.747417717066703</v>
      </c>
      <c r="AL1062">
        <v>79.466190835396702</v>
      </c>
      <c r="AM1062">
        <v>90.556267848788593</v>
      </c>
      <c r="AN1062">
        <v>1.00000003278481</v>
      </c>
    </row>
    <row r="1063" spans="1:40" x14ac:dyDescent="0.25">
      <c r="A1063" t="str">
        <f>"20190312172109361"</f>
        <v>20190312172109361</v>
      </c>
      <c r="B1063" t="str">
        <f>"1552382469352473"</f>
        <v>1552382469352473</v>
      </c>
      <c r="C1063" t="s">
        <v>40</v>
      </c>
      <c r="D1063">
        <v>3.2096740000000001</v>
      </c>
      <c r="E1063">
        <v>0.51093180000000005</v>
      </c>
      <c r="F1063" t="s">
        <v>42</v>
      </c>
      <c r="G1063">
        <v>-257.44510000000002</v>
      </c>
      <c r="H1063" s="1">
        <v>-1.5565860000000001E-6</v>
      </c>
      <c r="I1063">
        <v>366.98140000000001</v>
      </c>
      <c r="J1063">
        <v>-295.45769999999999</v>
      </c>
      <c r="K1063">
        <v>1.0600430000000001</v>
      </c>
      <c r="L1063">
        <v>367.95060000000001</v>
      </c>
      <c r="M1063">
        <v>0.99988129999999997</v>
      </c>
      <c r="N1063">
        <v>0</v>
      </c>
      <c r="O1063">
        <v>-8.0723879999999998E-3</v>
      </c>
      <c r="P1063">
        <v>0.98543689999999995</v>
      </c>
      <c r="Q1063">
        <v>0.1700361</v>
      </c>
      <c r="R1063">
        <v>1.4936719999999999E-3</v>
      </c>
      <c r="S1063">
        <v>3.0590820000000001</v>
      </c>
      <c r="T1063">
        <v>-8.4929879999999999E-2</v>
      </c>
      <c r="U1063">
        <v>-7.7758789999999994E-2</v>
      </c>
      <c r="V1063">
        <v>-9.3684270000000004E-3</v>
      </c>
      <c r="W1063">
        <v>0.18295729999999999</v>
      </c>
      <c r="X1063">
        <v>0.98307619999999896</v>
      </c>
      <c r="Y1063">
        <v>1.7335920000000001E-2</v>
      </c>
      <c r="Z1063" s="1">
        <v>-1.6517379999999899E-5</v>
      </c>
      <c r="AA1063">
        <v>0.99984969999999995</v>
      </c>
      <c r="AB1063">
        <v>33</v>
      </c>
      <c r="AC1063">
        <v>38.0125999999999</v>
      </c>
      <c r="AD1063">
        <v>-1.0600445565859999</v>
      </c>
      <c r="AE1063">
        <v>-0.96919999999999995</v>
      </c>
      <c r="AF1063">
        <v>0.66177522717051995</v>
      </c>
      <c r="AG1063">
        <v>-1.0600445565859999</v>
      </c>
      <c r="AH1063">
        <v>37.989661609263301</v>
      </c>
      <c r="AI1063">
        <v>91.598095767334499</v>
      </c>
      <c r="AJ1063">
        <v>89.002015514973493</v>
      </c>
      <c r="AK1063">
        <v>38.010209550850703</v>
      </c>
      <c r="AL1063">
        <v>79.457937987006403</v>
      </c>
      <c r="AM1063">
        <v>90.545995396538501</v>
      </c>
      <c r="AN1063">
        <v>0.99999997802709095</v>
      </c>
    </row>
    <row r="1064" spans="1:40" x14ac:dyDescent="0.25">
      <c r="A1064" t="str">
        <f>"20190312172109371"</f>
        <v>20190312172109371</v>
      </c>
      <c r="B1064" t="str">
        <f>"1552382469362232"</f>
        <v>1552382469362232</v>
      </c>
      <c r="C1064" t="s">
        <v>40</v>
      </c>
      <c r="D1064">
        <v>3.19902</v>
      </c>
      <c r="E1064">
        <v>0.51092029999999999</v>
      </c>
      <c r="F1064" t="s">
        <v>42</v>
      </c>
      <c r="G1064">
        <v>-257.0806</v>
      </c>
      <c r="H1064" s="1">
        <v>-1.706121E-6</v>
      </c>
      <c r="I1064">
        <v>366.959</v>
      </c>
      <c r="J1064">
        <v>-295.30900000000003</v>
      </c>
      <c r="K1064">
        <v>1.060047</v>
      </c>
      <c r="L1064">
        <v>367.94929999999999</v>
      </c>
      <c r="M1064">
        <v>0.99988060000000001</v>
      </c>
      <c r="N1064">
        <v>0</v>
      </c>
      <c r="O1064">
        <v>-8.1565349999999995E-3</v>
      </c>
      <c r="P1064">
        <v>0.9854115</v>
      </c>
      <c r="Q1064">
        <v>0.17018259999999999</v>
      </c>
      <c r="R1064">
        <v>1.4791310000000001E-3</v>
      </c>
      <c r="S1064">
        <v>3.0590519999999999</v>
      </c>
      <c r="T1064">
        <v>-8.4496260000000004E-2</v>
      </c>
      <c r="U1064">
        <v>-7.9040529999999998E-2</v>
      </c>
      <c r="V1064">
        <v>-9.4361389999999996E-3</v>
      </c>
      <c r="W1064">
        <v>0.1831026</v>
      </c>
      <c r="X1064">
        <v>0.98304849999999999</v>
      </c>
      <c r="Y1064">
        <v>1.767063E-2</v>
      </c>
      <c r="Z1064" s="1">
        <v>-1.8730720000000001E-5</v>
      </c>
      <c r="AA1064">
        <v>0.99984379999999995</v>
      </c>
      <c r="AB1064">
        <v>33</v>
      </c>
      <c r="AC1064">
        <v>38.228400000000001</v>
      </c>
      <c r="AD1064">
        <v>-1.060048706121</v>
      </c>
      <c r="AE1064">
        <v>-0.99029999999998997</v>
      </c>
      <c r="AF1064">
        <v>0.67790800470648405</v>
      </c>
      <c r="AG1064">
        <v>-1.060048706121</v>
      </c>
      <c r="AH1064">
        <v>38.205848800700899</v>
      </c>
      <c r="AI1064">
        <v>91.589054798492</v>
      </c>
      <c r="AJ1064">
        <v>88.983475217248696</v>
      </c>
      <c r="AK1064">
        <v>38.226563344148701</v>
      </c>
      <c r="AL1064">
        <v>79.449469861618496</v>
      </c>
      <c r="AM1064">
        <v>90.549956930594007</v>
      </c>
      <c r="AN1064">
        <v>0.999999978099118</v>
      </c>
    </row>
    <row r="1065" spans="1:40" x14ac:dyDescent="0.25">
      <c r="A1065" t="str">
        <f>"20190312172109381"</f>
        <v>20190312172109381</v>
      </c>
      <c r="B1065" t="str">
        <f>"1552382469371991"</f>
        <v>1552382469371991</v>
      </c>
      <c r="C1065" t="s">
        <v>40</v>
      </c>
      <c r="D1065">
        <v>3.1840060000000001</v>
      </c>
      <c r="E1065">
        <v>0.51092229999999905</v>
      </c>
      <c r="F1065" t="s">
        <v>42</v>
      </c>
      <c r="G1065">
        <v>-256.7389</v>
      </c>
      <c r="H1065" s="1">
        <v>-1.8542749999999999E-6</v>
      </c>
      <c r="I1065">
        <v>366.95</v>
      </c>
      <c r="J1065">
        <v>-295.16149999999999</v>
      </c>
      <c r="K1065">
        <v>1.0600480000000001</v>
      </c>
      <c r="L1065">
        <v>367.94799999999998</v>
      </c>
      <c r="M1065">
        <v>0.99988010000000005</v>
      </c>
      <c r="N1065">
        <v>0</v>
      </c>
      <c r="O1065">
        <v>-8.2399669999999904E-3</v>
      </c>
      <c r="P1065">
        <v>0.98536650000000003</v>
      </c>
      <c r="Q1065">
        <v>0.1704446</v>
      </c>
      <c r="R1065">
        <v>1.333809E-3</v>
      </c>
      <c r="S1065">
        <v>3.0590820000000001</v>
      </c>
      <c r="T1065">
        <v>-8.4074850000000007E-2</v>
      </c>
      <c r="U1065">
        <v>-7.9254149999999995E-2</v>
      </c>
      <c r="V1065">
        <v>-9.3728609999999997E-3</v>
      </c>
      <c r="W1065">
        <v>0.1833632</v>
      </c>
      <c r="X1065">
        <v>0.9830006</v>
      </c>
      <c r="Y1065">
        <v>1.7656789999999999E-2</v>
      </c>
      <c r="Z1065" s="1">
        <v>-1.61549E-5</v>
      </c>
      <c r="AA1065">
        <v>0.99984410000000001</v>
      </c>
      <c r="AB1065">
        <v>33</v>
      </c>
      <c r="AC1065">
        <v>38.422599999999903</v>
      </c>
      <c r="AD1065">
        <v>-1.0600498542750001</v>
      </c>
      <c r="AE1065">
        <v>-0.99800000000004696</v>
      </c>
      <c r="AF1065">
        <v>0.68082007601293504</v>
      </c>
      <c r="AG1065">
        <v>-1.0600498542750001</v>
      </c>
      <c r="AH1065">
        <v>38.400310272792503</v>
      </c>
      <c r="AI1065">
        <v>91.581013928715706</v>
      </c>
      <c r="AJ1065">
        <v>88.984278245985095</v>
      </c>
      <c r="AK1065">
        <v>38.420971496256897</v>
      </c>
      <c r="AL1065">
        <v>79.434282166179102</v>
      </c>
      <c r="AM1065">
        <v>90.546295804447894</v>
      </c>
      <c r="AN1065">
        <v>1.00000004661896</v>
      </c>
    </row>
    <row r="1066" spans="1:40" x14ac:dyDescent="0.25">
      <c r="A1066" t="str">
        <f>"20190312172109390"</f>
        <v>20190312172109390</v>
      </c>
      <c r="B1066" t="str">
        <f>"1552382469382728"</f>
        <v>1552382469382728</v>
      </c>
      <c r="C1066" t="s">
        <v>40</v>
      </c>
      <c r="D1066">
        <v>3.1902029999999999</v>
      </c>
      <c r="E1066">
        <v>0.51094200000000001</v>
      </c>
      <c r="F1066" t="s">
        <v>42</v>
      </c>
      <c r="G1066">
        <v>-256.22480000000002</v>
      </c>
      <c r="H1066" s="1">
        <v>-2.0777029999999999E-6</v>
      </c>
      <c r="I1066">
        <v>366.93380000000002</v>
      </c>
      <c r="J1066">
        <v>-295.01339999999999</v>
      </c>
      <c r="K1066">
        <v>1.0600449999999999</v>
      </c>
      <c r="L1066">
        <v>367.94670000000002</v>
      </c>
      <c r="M1066">
        <v>0.99987939999999997</v>
      </c>
      <c r="N1066">
        <v>0</v>
      </c>
      <c r="O1066">
        <v>-8.3230449999999994E-3</v>
      </c>
      <c r="P1066">
        <v>0.9853613</v>
      </c>
      <c r="Q1066">
        <v>0.1704756</v>
      </c>
      <c r="R1066">
        <v>1.1789179999999999E-3</v>
      </c>
      <c r="S1066">
        <v>3.0590519999999999</v>
      </c>
      <c r="T1066">
        <v>-8.3282350000000005E-2</v>
      </c>
      <c r="U1066">
        <v>-7.9681399999999999E-2</v>
      </c>
      <c r="V1066">
        <v>-9.2996869999999992E-3</v>
      </c>
      <c r="W1066">
        <v>0.18339279999999999</v>
      </c>
      <c r="X1066">
        <v>0.98299570000000003</v>
      </c>
      <c r="Y1066">
        <v>1.7713599999999999E-2</v>
      </c>
      <c r="Z1066" s="1">
        <v>-1.4514900000000001E-5</v>
      </c>
      <c r="AA1066">
        <v>0.99984309999999998</v>
      </c>
      <c r="AB1066">
        <v>33</v>
      </c>
      <c r="AC1066">
        <v>38.788599999999903</v>
      </c>
      <c r="AD1066">
        <v>-1.060047077703</v>
      </c>
      <c r="AE1066">
        <v>-1.0128999999999999</v>
      </c>
      <c r="AF1066">
        <v>0.68948329309419598</v>
      </c>
      <c r="AG1066">
        <v>-1.060047077703</v>
      </c>
      <c r="AH1066">
        <v>38.7667535793695</v>
      </c>
      <c r="AI1066">
        <v>91.566071196436198</v>
      </c>
      <c r="AJ1066">
        <v>88.981077482359098</v>
      </c>
      <c r="AK1066">
        <v>38.787372559919099</v>
      </c>
      <c r="AL1066">
        <v>79.432556187629601</v>
      </c>
      <c r="AM1066">
        <v>90.542033825973903</v>
      </c>
      <c r="AN1066">
        <v>0.99999997474431301</v>
      </c>
    </row>
    <row r="1067" spans="1:40" x14ac:dyDescent="0.25">
      <c r="A1067" t="str">
        <f>"20190312172109401"</f>
        <v>20190312172109401</v>
      </c>
      <c r="B1067" t="str">
        <f>"1552382469392487"</f>
        <v>1552382469392487</v>
      </c>
      <c r="C1067" t="s">
        <v>40</v>
      </c>
      <c r="D1067">
        <v>3.2084260000000002</v>
      </c>
      <c r="E1067">
        <v>0.510938</v>
      </c>
      <c r="F1067" t="s">
        <v>42</v>
      </c>
      <c r="G1067">
        <v>-256.13490000000002</v>
      </c>
      <c r="H1067" s="1">
        <v>-2.1179909999999998E-6</v>
      </c>
      <c r="I1067">
        <v>366.92430000000002</v>
      </c>
      <c r="J1067">
        <v>-294.86149999999998</v>
      </c>
      <c r="K1067">
        <v>1.0600480000000001</v>
      </c>
      <c r="L1067">
        <v>367.94529999999997</v>
      </c>
      <c r="M1067">
        <v>0.99987859999999995</v>
      </c>
      <c r="N1067">
        <v>0</v>
      </c>
      <c r="O1067">
        <v>-8.4080279999999997E-3</v>
      </c>
      <c r="P1067">
        <v>0.98536000000000001</v>
      </c>
      <c r="Q1067">
        <v>0.1704831</v>
      </c>
      <c r="R1067">
        <v>1.12633E-3</v>
      </c>
      <c r="S1067">
        <v>3.0590820000000001</v>
      </c>
      <c r="T1067">
        <v>-8.3407519999999999E-2</v>
      </c>
      <c r="U1067">
        <v>-8.0444340000000003E-2</v>
      </c>
      <c r="V1067">
        <v>-9.3310800000000003E-3</v>
      </c>
      <c r="W1067">
        <v>0.1833998</v>
      </c>
      <c r="X1067">
        <v>0.98299409999999998</v>
      </c>
      <c r="Y1067">
        <v>1.7877509999999999E-2</v>
      </c>
      <c r="Z1067" s="1">
        <v>-1.4453999999999999E-5</v>
      </c>
      <c r="AA1067">
        <v>0.99984019999999996</v>
      </c>
      <c r="AB1067">
        <v>33</v>
      </c>
      <c r="AC1067">
        <v>38.726599999999898</v>
      </c>
      <c r="AD1067">
        <v>-1.06005011799099</v>
      </c>
      <c r="AE1067">
        <v>-1.0209999999999499</v>
      </c>
      <c r="AF1067">
        <v>0.69480131803777201</v>
      </c>
      <c r="AG1067">
        <v>-1.06005011799099</v>
      </c>
      <c r="AH1067">
        <v>38.704836245156898</v>
      </c>
      <c r="AI1067">
        <v>91.568575090660403</v>
      </c>
      <c r="AJ1067">
        <v>88.971577930226601</v>
      </c>
      <c r="AK1067">
        <v>38.725583325349803</v>
      </c>
      <c r="AL1067">
        <v>79.432148233821707</v>
      </c>
      <c r="AM1067">
        <v>90.543864347736204</v>
      </c>
      <c r="AN1067">
        <v>0.999999978164407</v>
      </c>
    </row>
    <row r="1068" spans="1:40" x14ac:dyDescent="0.25">
      <c r="A1068" t="str">
        <f>"20190312172109412"</f>
        <v>20190312172109412</v>
      </c>
      <c r="B1068" t="str">
        <f>"1552382469402248"</f>
        <v>1552382469402248</v>
      </c>
      <c r="C1068" t="s">
        <v>40</v>
      </c>
      <c r="D1068">
        <v>3.2124229999999998</v>
      </c>
      <c r="E1068">
        <v>0.51096359999999996</v>
      </c>
      <c r="F1068" t="s">
        <v>42</v>
      </c>
      <c r="G1068">
        <v>-255.94730000000001</v>
      </c>
      <c r="H1068" s="1">
        <v>-2.1992879999999999E-6</v>
      </c>
      <c r="I1068">
        <v>366.9196</v>
      </c>
      <c r="J1068">
        <v>-294.69839999999999</v>
      </c>
      <c r="K1068">
        <v>1.060049</v>
      </c>
      <c r="L1068">
        <v>367.94380000000001</v>
      </c>
      <c r="M1068">
        <v>0.99987789999999999</v>
      </c>
      <c r="N1068">
        <v>0</v>
      </c>
      <c r="O1068">
        <v>-8.4998030000000002E-3</v>
      </c>
      <c r="P1068">
        <v>0.98537980000000003</v>
      </c>
      <c r="Q1068">
        <v>0.17036850000000001</v>
      </c>
      <c r="R1068">
        <v>1.1166940000000001E-3</v>
      </c>
      <c r="S1068">
        <v>3.0590820000000001</v>
      </c>
      <c r="T1068">
        <v>-8.3331230000000006E-2</v>
      </c>
      <c r="U1068">
        <v>-8.0627439999999995E-2</v>
      </c>
      <c r="V1068">
        <v>-9.4123750000000006E-3</v>
      </c>
      <c r="W1068">
        <v>0.18328449999999999</v>
      </c>
      <c r="X1068">
        <v>0.98301490000000002</v>
      </c>
      <c r="Y1068">
        <v>1.78456E-2</v>
      </c>
      <c r="Z1068" s="1">
        <v>-1.150722E-5</v>
      </c>
      <c r="AA1068">
        <v>0.99984070000000003</v>
      </c>
      <c r="AB1068">
        <v>33</v>
      </c>
      <c r="AC1068">
        <v>38.751099999999902</v>
      </c>
      <c r="AD1068">
        <v>-1.060051199288</v>
      </c>
      <c r="AE1068">
        <v>-1.0242</v>
      </c>
      <c r="AF1068">
        <v>0.69423881146162802</v>
      </c>
      <c r="AG1068">
        <v>-1.060051199288</v>
      </c>
      <c r="AH1068">
        <v>38.729444491638603</v>
      </c>
      <c r="AI1068">
        <v>91.567581260159301</v>
      </c>
      <c r="AJ1068">
        <v>88.973063134214996</v>
      </c>
      <c r="AK1068">
        <v>38.750168344193902</v>
      </c>
      <c r="AL1068">
        <v>79.438869086211994</v>
      </c>
      <c r="AM1068">
        <v>90.548590751554201</v>
      </c>
      <c r="AN1068">
        <v>1.00000004718269</v>
      </c>
    </row>
    <row r="1069" spans="1:40" x14ac:dyDescent="0.25">
      <c r="A1069" t="str">
        <f>"20190312172109423"</f>
        <v>20190312172109423</v>
      </c>
      <c r="B1069" t="str">
        <f>"1552382469412008"</f>
        <v>1552382469412008</v>
      </c>
      <c r="C1069" t="s">
        <v>40</v>
      </c>
      <c r="D1069">
        <v>3.2304460000000002</v>
      </c>
      <c r="E1069">
        <v>0.51102199999999998</v>
      </c>
      <c r="F1069" t="s">
        <v>42</v>
      </c>
      <c r="G1069">
        <v>-256.09589999999997</v>
      </c>
      <c r="H1069" s="1">
        <v>-2.134328E-6</v>
      </c>
      <c r="I1069">
        <v>366.92630000000003</v>
      </c>
      <c r="J1069">
        <v>-294.5335</v>
      </c>
      <c r="K1069">
        <v>1.0600480000000001</v>
      </c>
      <c r="L1069">
        <v>367.94229999999999</v>
      </c>
      <c r="M1069">
        <v>0.99987709999999996</v>
      </c>
      <c r="N1069">
        <v>0</v>
      </c>
      <c r="O1069">
        <v>-8.5924130000000001E-3</v>
      </c>
      <c r="P1069">
        <v>0.98539069999999995</v>
      </c>
      <c r="Q1069">
        <v>0.17030789999999901</v>
      </c>
      <c r="R1069">
        <v>8.9424570000000002E-4</v>
      </c>
      <c r="S1069">
        <v>3.0590820000000001</v>
      </c>
      <c r="T1069">
        <v>-8.4004220000000004E-2</v>
      </c>
      <c r="U1069">
        <v>-8.0627439999999995E-2</v>
      </c>
      <c r="V1069">
        <v>-9.2817079999999996E-3</v>
      </c>
      <c r="W1069">
        <v>0.18322260000000001</v>
      </c>
      <c r="X1069">
        <v>0.9830276</v>
      </c>
      <c r="Y1069">
        <v>1.775301E-2</v>
      </c>
      <c r="Z1069" s="1">
        <v>-7.7870059999999999E-6</v>
      </c>
      <c r="AA1069">
        <v>0.99984240000000002</v>
      </c>
      <c r="AB1069">
        <v>33</v>
      </c>
      <c r="AC1069">
        <v>38.437600000000003</v>
      </c>
      <c r="AD1069">
        <v>-1.06005013432799</v>
      </c>
      <c r="AE1069">
        <v>-1.01599999999996</v>
      </c>
      <c r="AF1069">
        <v>0.68514161820709396</v>
      </c>
      <c r="AG1069">
        <v>-1.06005013432799</v>
      </c>
      <c r="AH1069">
        <v>38.4157139428983</v>
      </c>
      <c r="AI1069">
        <v>91.580377764268206</v>
      </c>
      <c r="AJ1069">
        <v>88.978242035833901</v>
      </c>
      <c r="AK1069">
        <v>38.436443683916401</v>
      </c>
      <c r="AL1069">
        <v>79.442475930477201</v>
      </c>
      <c r="AM1069">
        <v>90.540968424899006</v>
      </c>
      <c r="AN1069">
        <v>0.999999966807958</v>
      </c>
    </row>
    <row r="1070" spans="1:40" x14ac:dyDescent="0.25">
      <c r="A1070" t="str">
        <f>"20190312172109435"</f>
        <v>20190312172109435</v>
      </c>
      <c r="B1070" t="str">
        <f>"1552382469432503"</f>
        <v>1552382469432503</v>
      </c>
      <c r="C1070" t="s">
        <v>40</v>
      </c>
      <c r="D1070">
        <v>3.2438549999999999</v>
      </c>
      <c r="E1070">
        <v>0.51109830000000001</v>
      </c>
      <c r="F1070" t="s">
        <v>42</v>
      </c>
      <c r="G1070">
        <v>-256.48910000000001</v>
      </c>
      <c r="H1070" s="1">
        <v>-1.9657149999999999E-6</v>
      </c>
      <c r="I1070">
        <v>366.92599999999999</v>
      </c>
      <c r="J1070">
        <v>-294.36869999999999</v>
      </c>
      <c r="K1070">
        <v>1.0600480000000001</v>
      </c>
      <c r="L1070">
        <v>367.94080000000002</v>
      </c>
      <c r="M1070">
        <v>0.9998764</v>
      </c>
      <c r="N1070">
        <v>0</v>
      </c>
      <c r="O1070">
        <v>-8.6851429999999993E-3</v>
      </c>
      <c r="P1070">
        <v>0.98539569999999999</v>
      </c>
      <c r="Q1070">
        <v>0.1702796</v>
      </c>
      <c r="R1070">
        <v>8.8103159999999999E-4</v>
      </c>
      <c r="S1070">
        <v>3.0592649999999999</v>
      </c>
      <c r="T1070">
        <v>-8.5241620000000004E-2</v>
      </c>
      <c r="U1070">
        <v>-8.1726069999999998E-2</v>
      </c>
      <c r="V1070">
        <v>-9.3595699999999993E-3</v>
      </c>
      <c r="W1070">
        <v>0.18319350000000001</v>
      </c>
      <c r="X1070">
        <v>0.98303229999999997</v>
      </c>
      <c r="Y1070">
        <v>1.801734E-2</v>
      </c>
      <c r="Z1070" s="1">
        <v>-8.9997189999999999E-6</v>
      </c>
      <c r="AA1070">
        <v>0.99983770000000005</v>
      </c>
      <c r="AB1070">
        <v>33</v>
      </c>
      <c r="AC1070">
        <v>37.879599999999897</v>
      </c>
      <c r="AD1070">
        <v>-1.060049965715</v>
      </c>
      <c r="AE1070">
        <v>-1.0148000000000299</v>
      </c>
      <c r="AF1070">
        <v>0.68520748812335097</v>
      </c>
      <c r="AG1070">
        <v>-1.060049965715</v>
      </c>
      <c r="AH1070">
        <v>37.857358986957898</v>
      </c>
      <c r="AI1070">
        <v>91.603666659794698</v>
      </c>
      <c r="AJ1070">
        <v>88.963075821472501</v>
      </c>
      <c r="AK1070">
        <v>37.878395487388303</v>
      </c>
      <c r="AL1070">
        <v>79.444172100159903</v>
      </c>
      <c r="AM1070">
        <v>90.545503596899593</v>
      </c>
      <c r="AN1070">
        <v>0.99999998141806201</v>
      </c>
    </row>
    <row r="1071" spans="1:40" x14ac:dyDescent="0.25">
      <c r="A1071" t="str">
        <f>"20190312172109447"</f>
        <v>20190312172109447</v>
      </c>
      <c r="B1071" t="str">
        <f>"1552382469442263"</f>
        <v>1552382469442263</v>
      </c>
      <c r="C1071" t="s">
        <v>40</v>
      </c>
      <c r="D1071">
        <v>3.193114</v>
      </c>
      <c r="E1071">
        <v>0.51109680000000002</v>
      </c>
      <c r="F1071" t="s">
        <v>42</v>
      </c>
      <c r="G1071">
        <v>-256.79640000000001</v>
      </c>
      <c r="H1071" s="1">
        <v>-1.8334920000000001E-6</v>
      </c>
      <c r="I1071">
        <v>366.92809999999997</v>
      </c>
      <c r="J1071">
        <v>-294.2</v>
      </c>
      <c r="K1071">
        <v>1.0600480000000001</v>
      </c>
      <c r="L1071">
        <v>367.93920000000003</v>
      </c>
      <c r="M1071">
        <v>0.99987550000000003</v>
      </c>
      <c r="N1071">
        <v>0</v>
      </c>
      <c r="O1071">
        <v>-8.7800169999999993E-3</v>
      </c>
      <c r="P1071">
        <v>0.98539639999999995</v>
      </c>
      <c r="Q1071">
        <v>0.17027500000000001</v>
      </c>
      <c r="R1071">
        <v>8.630431E-4</v>
      </c>
      <c r="S1071">
        <v>3.059418</v>
      </c>
      <c r="T1071">
        <v>-8.6317179999999993E-2</v>
      </c>
      <c r="U1071">
        <v>-8.2458500000000004E-2</v>
      </c>
      <c r="V1071">
        <v>-9.4355159999999997E-3</v>
      </c>
      <c r="W1071">
        <v>0.18318789999999999</v>
      </c>
      <c r="X1071">
        <v>0.98303260000000003</v>
      </c>
      <c r="Y1071">
        <v>1.8160220000000001E-2</v>
      </c>
      <c r="Z1071" s="1">
        <v>-8.4518689999999997E-6</v>
      </c>
      <c r="AA1071">
        <v>0.99983509999999998</v>
      </c>
      <c r="AB1071">
        <v>33</v>
      </c>
      <c r="AC1071">
        <v>37.403599999999898</v>
      </c>
      <c r="AD1071">
        <v>-1.0600498334920001</v>
      </c>
      <c r="AE1071">
        <v>-1.0111000000000501</v>
      </c>
      <c r="AF1071">
        <v>0.68208109711165299</v>
      </c>
      <c r="AG1071">
        <v>-1.0600498334920001</v>
      </c>
      <c r="AH1071">
        <v>37.381033600906903</v>
      </c>
      <c r="AI1071">
        <v>91.624085865072701</v>
      </c>
      <c r="AJ1071">
        <v>88.954656196510498</v>
      </c>
      <c r="AK1071">
        <v>37.402280857518001</v>
      </c>
      <c r="AL1071">
        <v>79.444498295527097</v>
      </c>
      <c r="AM1071">
        <v>90.5499295172568</v>
      </c>
      <c r="AN1071">
        <v>0.99999996416567705</v>
      </c>
    </row>
    <row r="1072" spans="1:40" x14ac:dyDescent="0.25">
      <c r="A1072" t="str">
        <f>"20190312172109458"</f>
        <v>20190312172109458</v>
      </c>
      <c r="B1072" t="str">
        <f>"1552382469452024"</f>
        <v>1552382469452024</v>
      </c>
      <c r="C1072" t="s">
        <v>40</v>
      </c>
      <c r="D1072">
        <v>3.206674</v>
      </c>
      <c r="E1072">
        <v>0.51110140000000004</v>
      </c>
      <c r="F1072" t="s">
        <v>42</v>
      </c>
      <c r="G1072">
        <v>-256.68720000000002</v>
      </c>
      <c r="H1072" s="1">
        <v>-1.880206E-6</v>
      </c>
      <c r="I1072">
        <v>366.9289</v>
      </c>
      <c r="J1072">
        <v>-294.02420000000001</v>
      </c>
      <c r="K1072">
        <v>1.0600480000000001</v>
      </c>
      <c r="L1072">
        <v>367.93759999999997</v>
      </c>
      <c r="M1072">
        <v>0.99987459999999995</v>
      </c>
      <c r="N1072">
        <v>0</v>
      </c>
      <c r="O1072">
        <v>-8.8788219999999998E-3</v>
      </c>
      <c r="P1072">
        <v>0.98539160000000003</v>
      </c>
      <c r="Q1072">
        <v>0.17030219999999999</v>
      </c>
      <c r="R1072">
        <v>8.099359E-4</v>
      </c>
      <c r="S1072">
        <v>3.0594790000000001</v>
      </c>
      <c r="T1072">
        <v>-8.6455699999999996E-2</v>
      </c>
      <c r="U1072">
        <v>-8.2397460000000006E-2</v>
      </c>
      <c r="V1072">
        <v>-9.4800000000000006E-3</v>
      </c>
      <c r="W1072">
        <v>0.18321409999999999</v>
      </c>
      <c r="X1072">
        <v>0.98302730000000005</v>
      </c>
      <c r="Y1072">
        <v>1.8041020000000001E-2</v>
      </c>
      <c r="Z1072" s="1">
        <v>-3.9908050000000003E-6</v>
      </c>
      <c r="AA1072">
        <v>0.99983719999999998</v>
      </c>
      <c r="AB1072">
        <v>33</v>
      </c>
      <c r="AC1072">
        <v>37.336999999999897</v>
      </c>
      <c r="AD1072">
        <v>-1.0600498802060001</v>
      </c>
      <c r="AE1072">
        <v>-1.00869999999997</v>
      </c>
      <c r="AF1072">
        <v>0.67657817756615102</v>
      </c>
      <c r="AG1072">
        <v>-1.0600498802060001</v>
      </c>
      <c r="AH1072">
        <v>37.314428678865703</v>
      </c>
      <c r="AI1072">
        <v>91.626986712748206</v>
      </c>
      <c r="AJ1072">
        <v>88.961237566090404</v>
      </c>
      <c r="AK1072">
        <v>37.335613714107303</v>
      </c>
      <c r="AL1072">
        <v>79.442971414820306</v>
      </c>
      <c r="AM1072">
        <v>90.5525249934974</v>
      </c>
      <c r="AN1072">
        <v>0.99999997469204904</v>
      </c>
    </row>
    <row r="1073" spans="1:40" x14ac:dyDescent="0.25">
      <c r="A1073" t="str">
        <f>"20190312172109469"</f>
        <v>20190312172109469</v>
      </c>
      <c r="B1073" t="str">
        <f>"1552382469461784"</f>
        <v>1552382469461784</v>
      </c>
      <c r="C1073" t="s">
        <v>40</v>
      </c>
      <c r="D1073">
        <v>3.2855850000000002</v>
      </c>
      <c r="E1073">
        <v>0.51111890000000004</v>
      </c>
      <c r="F1073" t="s">
        <v>42</v>
      </c>
      <c r="G1073">
        <v>-256.43340000000001</v>
      </c>
      <c r="H1073" s="1">
        <v>-1.9904629999999999E-6</v>
      </c>
      <c r="I1073">
        <v>366.92099999999999</v>
      </c>
      <c r="J1073">
        <v>-293.86790000000002</v>
      </c>
      <c r="K1073">
        <v>1.060052</v>
      </c>
      <c r="L1073">
        <v>367.93610000000001</v>
      </c>
      <c r="M1073">
        <v>0.99987389999999998</v>
      </c>
      <c r="N1073">
        <v>0</v>
      </c>
      <c r="O1073">
        <v>-8.9657060000000004E-3</v>
      </c>
      <c r="P1073">
        <v>0.98539860000000001</v>
      </c>
      <c r="Q1073">
        <v>0.1702621</v>
      </c>
      <c r="R1073">
        <v>7.496909E-4</v>
      </c>
      <c r="S1073">
        <v>3.059418</v>
      </c>
      <c r="T1073">
        <v>-8.6274740000000003E-2</v>
      </c>
      <c r="U1073">
        <v>-8.2733150000000005E-2</v>
      </c>
      <c r="V1073">
        <v>-9.505856E-3</v>
      </c>
      <c r="W1073">
        <v>0.18317339999999999</v>
      </c>
      <c r="X1073">
        <v>0.98303470000000004</v>
      </c>
      <c r="Y1073">
        <v>1.8064340000000002E-2</v>
      </c>
      <c r="Z1073" s="1">
        <v>-1.8621210000000001E-6</v>
      </c>
      <c r="AA1073">
        <v>0.99983679999999997</v>
      </c>
      <c r="AB1073">
        <v>33</v>
      </c>
      <c r="AC1073">
        <v>37.4345</v>
      </c>
      <c r="AD1073">
        <v>-1.060053990463</v>
      </c>
      <c r="AE1073">
        <v>-1.0151000000000101</v>
      </c>
      <c r="AF1073">
        <v>0.67885967082711396</v>
      </c>
      <c r="AG1073">
        <v>-1.060053990463</v>
      </c>
      <c r="AH1073">
        <v>37.412118855801303</v>
      </c>
      <c r="AI1073">
        <v>91.622746502277096</v>
      </c>
      <c r="AJ1073">
        <v>88.960456473874501</v>
      </c>
      <c r="AK1073">
        <v>37.433290026338597</v>
      </c>
      <c r="AL1073">
        <v>79.445344178350496</v>
      </c>
      <c r="AM1073">
        <v>90.554027700479907</v>
      </c>
      <c r="AN1073">
        <v>1.0000000385849701</v>
      </c>
    </row>
    <row r="1074" spans="1:40" x14ac:dyDescent="0.25">
      <c r="A1074" t="str">
        <f>"20190312172109481"</f>
        <v>20190312172109481</v>
      </c>
      <c r="B1074" t="str">
        <f>"1552382469472520"</f>
        <v>1552382469472520</v>
      </c>
      <c r="C1074" t="s">
        <v>40</v>
      </c>
      <c r="D1074">
        <v>3.2027939999999999</v>
      </c>
      <c r="E1074">
        <v>0.51115929999999998</v>
      </c>
      <c r="F1074" t="s">
        <v>42</v>
      </c>
      <c r="G1074">
        <v>-256.33949999999999</v>
      </c>
      <c r="H1074" s="1">
        <v>-2.0315310000000002E-6</v>
      </c>
      <c r="I1074">
        <v>366.91669999999999</v>
      </c>
      <c r="J1074">
        <v>-293.69979999999998</v>
      </c>
      <c r="K1074">
        <v>1.060052</v>
      </c>
      <c r="L1074">
        <v>367.93450000000001</v>
      </c>
      <c r="M1074">
        <v>0.99987309999999996</v>
      </c>
      <c r="N1074">
        <v>0</v>
      </c>
      <c r="O1074">
        <v>-9.0587859999999992E-3</v>
      </c>
      <c r="P1074">
        <v>0.98541299999999998</v>
      </c>
      <c r="Q1074">
        <v>0.1701802</v>
      </c>
      <c r="R1074">
        <v>5.7559460000000001E-4</v>
      </c>
      <c r="S1074">
        <v>3.0594790000000001</v>
      </c>
      <c r="T1074">
        <v>-8.6419940000000001E-2</v>
      </c>
      <c r="U1074">
        <v>-8.3099370000000006E-2</v>
      </c>
      <c r="V1074">
        <v>-9.4235029999999997E-3</v>
      </c>
      <c r="W1074">
        <v>0.1830909</v>
      </c>
      <c r="X1074">
        <v>0.9830508</v>
      </c>
      <c r="Y1074">
        <v>1.8090330000000002E-2</v>
      </c>
      <c r="Z1074" s="1">
        <v>3.9604489999999998E-7</v>
      </c>
      <c r="AA1074">
        <v>0.99983639999999996</v>
      </c>
      <c r="AB1074">
        <v>33</v>
      </c>
      <c r="AC1074">
        <v>37.360300000000002</v>
      </c>
      <c r="AD1074">
        <v>-1.0600540315310001</v>
      </c>
      <c r="AE1074">
        <v>-1.01780000000002</v>
      </c>
      <c r="AF1074">
        <v>0.67874417232652895</v>
      </c>
      <c r="AG1074">
        <v>-1.0600540315310001</v>
      </c>
      <c r="AH1074">
        <v>37.337950121519697</v>
      </c>
      <c r="AI1074">
        <v>91.625967315393893</v>
      </c>
      <c r="AJ1074">
        <v>88.958569137601899</v>
      </c>
      <c r="AK1074">
        <v>37.359161225572599</v>
      </c>
      <c r="AL1074">
        <v>79.450151745659895</v>
      </c>
      <c r="AM1074">
        <v>90.549219239640493</v>
      </c>
      <c r="AN1074">
        <v>0.99999997772612004</v>
      </c>
    </row>
    <row r="1075" spans="1:40" x14ac:dyDescent="0.25">
      <c r="A1075" t="str">
        <f>"20190312172109491"</f>
        <v>20190312172109491</v>
      </c>
      <c r="B1075" t="str">
        <f>"1552382469482280"</f>
        <v>1552382469482280</v>
      </c>
      <c r="C1075" t="s">
        <v>40</v>
      </c>
      <c r="D1075">
        <v>3.2271239999999999</v>
      </c>
      <c r="E1075">
        <v>0.51118839999999999</v>
      </c>
      <c r="F1075" t="s">
        <v>42</v>
      </c>
      <c r="G1075">
        <v>-256.25229999999999</v>
      </c>
      <c r="H1075" s="1">
        <v>-2.069584E-6</v>
      </c>
      <c r="I1075">
        <v>366.91320000000002</v>
      </c>
      <c r="J1075">
        <v>-293.5419</v>
      </c>
      <c r="K1075">
        <v>1.0600579999999999</v>
      </c>
      <c r="L1075">
        <v>367.93299999999999</v>
      </c>
      <c r="M1075">
        <v>0.99987230000000005</v>
      </c>
      <c r="N1075">
        <v>0</v>
      </c>
      <c r="O1075">
        <v>-9.1439869999999993E-3</v>
      </c>
      <c r="P1075">
        <v>0.98542879999999999</v>
      </c>
      <c r="Q1075">
        <v>0.170089299999999</v>
      </c>
      <c r="R1075">
        <v>2.053035E-4</v>
      </c>
      <c r="S1075">
        <v>3.059418</v>
      </c>
      <c r="T1075">
        <v>-8.6604829999999994E-2</v>
      </c>
      <c r="U1075">
        <v>-8.3435060000000005E-2</v>
      </c>
      <c r="V1075">
        <v>-9.1377200000000002E-3</v>
      </c>
      <c r="W1075">
        <v>0.182999</v>
      </c>
      <c r="X1075">
        <v>0.98307060000000002</v>
      </c>
      <c r="Y1075">
        <v>1.8115309999999999E-2</v>
      </c>
      <c r="Z1075" s="1">
        <v>2.454355E-6</v>
      </c>
      <c r="AA1075">
        <v>0.9998359</v>
      </c>
      <c r="AB1075">
        <v>33</v>
      </c>
      <c r="AC1075">
        <v>37.2896</v>
      </c>
      <c r="AD1075">
        <v>-1.0600600695839999</v>
      </c>
      <c r="AE1075">
        <v>-1.01980000000003</v>
      </c>
      <c r="AF1075">
        <v>0.67820477806389001</v>
      </c>
      <c r="AG1075">
        <v>-1.0600600695839999</v>
      </c>
      <c r="AH1075">
        <v>37.267272011680603</v>
      </c>
      <c r="AI1075">
        <v>91.629058016043501</v>
      </c>
      <c r="AJ1075">
        <v>88.957423485382606</v>
      </c>
      <c r="AK1075">
        <v>37.288513677333803</v>
      </c>
      <c r="AL1075">
        <v>79.455507618536899</v>
      </c>
      <c r="AM1075">
        <v>90.532553524734297</v>
      </c>
      <c r="AN1075">
        <v>0.99999996825607795</v>
      </c>
    </row>
    <row r="1076" spans="1:40" x14ac:dyDescent="0.25">
      <c r="A1076" t="str">
        <f>"20190312172109502"</f>
        <v>20190312172109502</v>
      </c>
      <c r="B1076" t="str">
        <f>"1552382469492040"</f>
        <v>1552382469492040</v>
      </c>
      <c r="C1076" t="s">
        <v>40</v>
      </c>
      <c r="D1076">
        <v>3.2108859999999999</v>
      </c>
      <c r="E1076">
        <v>0.51119870000000001</v>
      </c>
      <c r="F1076" t="s">
        <v>42</v>
      </c>
      <c r="G1076">
        <v>-256.28230000000002</v>
      </c>
      <c r="H1076" s="1">
        <v>-2.058704E-6</v>
      </c>
      <c r="I1076">
        <v>366.90190000000001</v>
      </c>
      <c r="J1076">
        <v>-293.38350000000003</v>
      </c>
      <c r="K1076">
        <v>1.0600620000000001</v>
      </c>
      <c r="L1076">
        <v>367.93150000000003</v>
      </c>
      <c r="M1076">
        <v>0.99987159999999997</v>
      </c>
      <c r="N1076">
        <v>0</v>
      </c>
      <c r="O1076">
        <v>-9.2289480000000007E-3</v>
      </c>
      <c r="P1076">
        <v>0.98545099999999997</v>
      </c>
      <c r="Q1076">
        <v>0.16996059999999999</v>
      </c>
      <c r="R1076" s="1">
        <v>1.7385929999999899E-5</v>
      </c>
      <c r="S1076">
        <v>3.0593870000000001</v>
      </c>
      <c r="T1076">
        <v>-8.7041380000000002E-2</v>
      </c>
      <c r="U1076">
        <v>-8.4655759999999997E-2</v>
      </c>
      <c r="V1076">
        <v>-9.0348140000000004E-3</v>
      </c>
      <c r="W1076">
        <v>0.18286959999999999</v>
      </c>
      <c r="X1076">
        <v>0.98309559999999996</v>
      </c>
      <c r="Y1076">
        <v>1.8429129999999998E-2</v>
      </c>
      <c r="Z1076" s="1">
        <v>4.2040479999999997E-7</v>
      </c>
      <c r="AA1076">
        <v>0.9998302</v>
      </c>
      <c r="AB1076">
        <v>33</v>
      </c>
      <c r="AC1076">
        <v>37.101199999999999</v>
      </c>
      <c r="AD1076">
        <v>-1.060064058704</v>
      </c>
      <c r="AE1076">
        <v>-1.0296000000000101</v>
      </c>
      <c r="AF1076">
        <v>0.68656165617876097</v>
      </c>
      <c r="AG1076">
        <v>-1.060064058704</v>
      </c>
      <c r="AH1076">
        <v>37.078875739831503</v>
      </c>
      <c r="AI1076">
        <v>91.637327312928207</v>
      </c>
      <c r="AJ1076">
        <v>88.939218360259204</v>
      </c>
      <c r="AK1076">
        <v>37.100379093024898</v>
      </c>
      <c r="AL1076">
        <v>79.463048635575305</v>
      </c>
      <c r="AM1076">
        <v>90.526543032032194</v>
      </c>
      <c r="AN1076">
        <v>0.99999993860376502</v>
      </c>
    </row>
    <row r="1077" spans="1:40" x14ac:dyDescent="0.25">
      <c r="A1077" t="str">
        <f>"20190312172109513"</f>
        <v>20190312172109513</v>
      </c>
      <c r="B1077" t="str">
        <f>"1552382469501800"</f>
        <v>1552382469501800</v>
      </c>
      <c r="C1077" t="s">
        <v>40</v>
      </c>
      <c r="D1077">
        <v>3.241406</v>
      </c>
      <c r="E1077">
        <v>0.511208</v>
      </c>
      <c r="F1077" t="s">
        <v>42</v>
      </c>
      <c r="G1077">
        <v>-256.2953</v>
      </c>
      <c r="H1077" s="1">
        <v>-2.0536990000000001E-6</v>
      </c>
      <c r="I1077">
        <v>366.89850000000001</v>
      </c>
      <c r="J1077">
        <v>-293.21260000000001</v>
      </c>
      <c r="K1077">
        <v>1.0600639999999999</v>
      </c>
      <c r="L1077">
        <v>367.9298</v>
      </c>
      <c r="M1077">
        <v>0.9998707</v>
      </c>
      <c r="N1077">
        <v>0</v>
      </c>
      <c r="O1077">
        <v>-9.3184259999999994E-3</v>
      </c>
      <c r="P1077">
        <v>0.98545260000000001</v>
      </c>
      <c r="Q1077">
        <v>0.16995060000000001</v>
      </c>
      <c r="R1077" s="1">
        <v>-9.2715019999999997E-5</v>
      </c>
      <c r="S1077">
        <v>3.0593870000000001</v>
      </c>
      <c r="T1077">
        <v>-8.7443950000000006E-2</v>
      </c>
      <c r="U1077">
        <v>-8.5205080000000002E-2</v>
      </c>
      <c r="V1077">
        <v>-9.0142039999999996E-3</v>
      </c>
      <c r="W1077">
        <v>0.18285879999999999</v>
      </c>
      <c r="X1077">
        <v>0.98309789999999997</v>
      </c>
      <c r="Y1077">
        <v>1.8519000000000001E-2</v>
      </c>
      <c r="Z1077" s="1">
        <v>1.6948620000000001E-6</v>
      </c>
      <c r="AA1077">
        <v>0.99982850000000001</v>
      </c>
      <c r="AB1077">
        <v>33</v>
      </c>
      <c r="AC1077">
        <v>36.917299999999997</v>
      </c>
      <c r="AD1077">
        <v>-1.0600660536990001</v>
      </c>
      <c r="AE1077">
        <v>-1.0312999999999799</v>
      </c>
      <c r="AF1077">
        <v>0.68664882143725903</v>
      </c>
      <c r="AG1077">
        <v>-1.0600660536990001</v>
      </c>
      <c r="AH1077">
        <v>36.894910580637202</v>
      </c>
      <c r="AI1077">
        <v>91.645487071598396</v>
      </c>
      <c r="AJ1077">
        <v>88.933794999488697</v>
      </c>
      <c r="AK1077">
        <v>36.9165227695594</v>
      </c>
      <c r="AL1077">
        <v>79.463679110726403</v>
      </c>
      <c r="AM1077">
        <v>90.5253407331586</v>
      </c>
      <c r="AN1077">
        <v>1.0000000387978001</v>
      </c>
    </row>
    <row r="1078" spans="1:40" x14ac:dyDescent="0.25">
      <c r="A1078" t="str">
        <f>"20190312172109527"</f>
        <v>20190312172109527</v>
      </c>
      <c r="B1078" t="str">
        <f>"1552382469522295"</f>
        <v>1552382469522295</v>
      </c>
      <c r="C1078" t="s">
        <v>40</v>
      </c>
      <c r="D1078">
        <v>3.214966</v>
      </c>
      <c r="E1078">
        <v>0.51118829999999904</v>
      </c>
      <c r="F1078" t="s">
        <v>42</v>
      </c>
      <c r="G1078">
        <v>-256.03969999999998</v>
      </c>
      <c r="H1078" s="1">
        <v>-2.164308E-6</v>
      </c>
      <c r="I1078">
        <v>366.89330000000001</v>
      </c>
      <c r="J1078">
        <v>-293.036</v>
      </c>
      <c r="K1078">
        <v>1.0600670000000001</v>
      </c>
      <c r="L1078">
        <v>367.928</v>
      </c>
      <c r="M1078">
        <v>0.99986989999999998</v>
      </c>
      <c r="N1078">
        <v>0</v>
      </c>
      <c r="O1078">
        <v>-9.4088569999999996E-3</v>
      </c>
      <c r="P1078">
        <v>0.98544759999999998</v>
      </c>
      <c r="Q1078">
        <v>0.16998099999999999</v>
      </c>
      <c r="R1078">
        <v>-3.0301699999999999E-4</v>
      </c>
      <c r="S1078">
        <v>3.059326</v>
      </c>
      <c r="T1078">
        <v>-8.7243080000000001E-2</v>
      </c>
      <c r="U1078">
        <v>-8.5296629999999998E-2</v>
      </c>
      <c r="V1078">
        <v>-8.8941469999999998E-3</v>
      </c>
      <c r="W1078">
        <v>0.1828893</v>
      </c>
      <c r="X1078">
        <v>0.98309329999999995</v>
      </c>
      <c r="Y1078">
        <v>1.8459110000000001E-2</v>
      </c>
      <c r="Z1078" s="1">
        <v>5.12242E-6</v>
      </c>
      <c r="AA1078">
        <v>0.99982959999999999</v>
      </c>
      <c r="AB1078">
        <v>33</v>
      </c>
      <c r="AC1078">
        <v>36.996299999999998</v>
      </c>
      <c r="AD1078">
        <v>-1.060069164308</v>
      </c>
      <c r="AE1078">
        <v>-1.0347000000000399</v>
      </c>
      <c r="AF1078">
        <v>0.68596866428728998</v>
      </c>
      <c r="AG1078">
        <v>-1.060069164308</v>
      </c>
      <c r="AH1078">
        <v>36.974065696960601</v>
      </c>
      <c r="AI1078">
        <v>91.641972888000396</v>
      </c>
      <c r="AJ1078">
        <v>88.937130658436899</v>
      </c>
      <c r="AK1078">
        <v>36.995619116385399</v>
      </c>
      <c r="AL1078">
        <v>79.461901405615706</v>
      </c>
      <c r="AM1078">
        <v>90.518346715037197</v>
      </c>
      <c r="AN1078">
        <v>1.0000000192051099</v>
      </c>
    </row>
    <row r="1079" spans="1:40" x14ac:dyDescent="0.25">
      <c r="A1079" t="str">
        <f>"20190312172109537"</f>
        <v>20190312172109537</v>
      </c>
      <c r="B1079" t="str">
        <f>"1552382469532055"</f>
        <v>1552382469532055</v>
      </c>
      <c r="C1079" t="s">
        <v>40</v>
      </c>
      <c r="D1079">
        <v>3.2382390000000001</v>
      </c>
      <c r="E1079">
        <v>0.51115080000000002</v>
      </c>
      <c r="F1079" t="s">
        <v>42</v>
      </c>
      <c r="G1079">
        <v>-255.87960000000001</v>
      </c>
      <c r="H1079" s="1">
        <v>-2.2346729999999999E-6</v>
      </c>
      <c r="I1079">
        <v>366.88389999999998</v>
      </c>
      <c r="J1079">
        <v>-292.86290000000002</v>
      </c>
      <c r="K1079">
        <v>1.0600700000000001</v>
      </c>
      <c r="L1079">
        <v>367.92630000000003</v>
      </c>
      <c r="M1079">
        <v>0.99986900000000001</v>
      </c>
      <c r="N1079">
        <v>0</v>
      </c>
      <c r="O1079">
        <v>-9.4945189999999999E-3</v>
      </c>
      <c r="P1079">
        <v>0.98548899999999995</v>
      </c>
      <c r="Q1079">
        <v>0.1697391</v>
      </c>
      <c r="R1079">
        <v>-3.8277640000000001E-4</v>
      </c>
      <c r="S1079">
        <v>3.0592959999999998</v>
      </c>
      <c r="T1079">
        <v>-8.7281170000000005E-2</v>
      </c>
      <c r="U1079">
        <v>-8.5968020000000006E-2</v>
      </c>
      <c r="V1079">
        <v>-8.9006439999999992E-3</v>
      </c>
      <c r="W1079">
        <v>0.18264929999999999</v>
      </c>
      <c r="X1079">
        <v>0.98313779999999995</v>
      </c>
      <c r="Y1079">
        <v>1.859295E-2</v>
      </c>
      <c r="Z1079" s="1">
        <v>5.6590649999999998E-6</v>
      </c>
      <c r="AA1079">
        <v>0.99982709999999997</v>
      </c>
      <c r="AB1079">
        <v>33</v>
      </c>
      <c r="AC1079">
        <v>36.9833</v>
      </c>
      <c r="AD1079">
        <v>-1.060072234673</v>
      </c>
      <c r="AE1079">
        <v>-1.04240000000004</v>
      </c>
      <c r="AF1079">
        <v>0.690617229492546</v>
      </c>
      <c r="AG1079">
        <v>-1.060072234673</v>
      </c>
      <c r="AH1079">
        <v>36.961187518846103</v>
      </c>
      <c r="AI1079">
        <v>91.642545392464299</v>
      </c>
      <c r="AJ1079">
        <v>88.929556888925305</v>
      </c>
      <c r="AK1079">
        <v>36.982835046866001</v>
      </c>
      <c r="AL1079">
        <v>79.475887365490905</v>
      </c>
      <c r="AM1079">
        <v>90.518701858561798</v>
      </c>
      <c r="AN1079">
        <v>0.99999996102147104</v>
      </c>
    </row>
    <row r="1080" spans="1:40" x14ac:dyDescent="0.25">
      <c r="A1080" t="str">
        <f>"20190312172109548"</f>
        <v>20190312172109548</v>
      </c>
      <c r="B1080" t="str">
        <f>"1552382469542792"</f>
        <v>1552382469542792</v>
      </c>
      <c r="C1080" t="s">
        <v>40</v>
      </c>
      <c r="D1080">
        <v>3.233069</v>
      </c>
      <c r="E1080">
        <v>0.51113649999999999</v>
      </c>
      <c r="F1080" t="s">
        <v>42</v>
      </c>
      <c r="G1080">
        <v>-255.9743</v>
      </c>
      <c r="H1080" s="1">
        <v>-2.1928859999999998E-6</v>
      </c>
      <c r="I1080">
        <v>366.8904</v>
      </c>
      <c r="J1080">
        <v>-292.70920000000001</v>
      </c>
      <c r="K1080">
        <v>1.060076</v>
      </c>
      <c r="L1080">
        <v>367.9248</v>
      </c>
      <c r="M1080">
        <v>0.99986819999999998</v>
      </c>
      <c r="N1080">
        <v>0</v>
      </c>
      <c r="O1080">
        <v>-9.5664630000000007E-3</v>
      </c>
      <c r="P1080">
        <v>0.98551560000000005</v>
      </c>
      <c r="Q1080">
        <v>0.1695846</v>
      </c>
      <c r="R1080">
        <v>-4.6893299999999999E-4</v>
      </c>
      <c r="S1080">
        <v>3.0592959999999998</v>
      </c>
      <c r="T1080">
        <v>-8.7915060000000003E-2</v>
      </c>
      <c r="U1080">
        <v>-8.5906979999999994E-2</v>
      </c>
      <c r="V1080">
        <v>-8.8877729999999999E-3</v>
      </c>
      <c r="W1080">
        <v>0.18249779999999999</v>
      </c>
      <c r="X1080">
        <v>0.98316610000000004</v>
      </c>
      <c r="Y1080">
        <v>1.8501090000000001E-2</v>
      </c>
      <c r="Z1080" s="1">
        <v>9.0861290000000003E-6</v>
      </c>
      <c r="AA1080">
        <v>0.99982879999999996</v>
      </c>
      <c r="AB1080">
        <v>33</v>
      </c>
      <c r="AC1080">
        <v>36.734900000000003</v>
      </c>
      <c r="AD1080">
        <v>-1.0600781928859999</v>
      </c>
      <c r="AE1080">
        <v>-1.0344</v>
      </c>
      <c r="AF1080">
        <v>0.68233159268256904</v>
      </c>
      <c r="AG1080">
        <v>-1.0600781928859999</v>
      </c>
      <c r="AH1080">
        <v>36.712566725227099</v>
      </c>
      <c r="AI1080">
        <v>91.653675043841005</v>
      </c>
      <c r="AJ1080">
        <v>88.935235985993003</v>
      </c>
      <c r="AK1080">
        <v>36.7342060991068</v>
      </c>
      <c r="AL1080">
        <v>79.484716586824305</v>
      </c>
      <c r="AM1080">
        <v>90.517936909392901</v>
      </c>
      <c r="AN1080">
        <v>1.0000000098514701</v>
      </c>
    </row>
    <row r="1081" spans="1:40" x14ac:dyDescent="0.25">
      <c r="A1081" t="str">
        <f>"20190312172109561"</f>
        <v>20190312172109561</v>
      </c>
      <c r="B1081" t="str">
        <f>"1552382469552551"</f>
        <v>1552382469552551</v>
      </c>
      <c r="C1081" t="s">
        <v>40</v>
      </c>
      <c r="D1081">
        <v>3.2007150000000002</v>
      </c>
      <c r="E1081">
        <v>0.51114150000000003</v>
      </c>
      <c r="F1081" t="s">
        <v>42</v>
      </c>
      <c r="G1081">
        <v>-256.03660000000002</v>
      </c>
      <c r="H1081" s="1">
        <v>-2.1661089999999999E-6</v>
      </c>
      <c r="I1081">
        <v>366.89060000000001</v>
      </c>
      <c r="J1081">
        <v>-292.52420000000001</v>
      </c>
      <c r="K1081">
        <v>1.0600769999999999</v>
      </c>
      <c r="L1081">
        <v>367.92290000000003</v>
      </c>
      <c r="M1081">
        <v>0.99986739999999996</v>
      </c>
      <c r="N1081">
        <v>0</v>
      </c>
      <c r="O1081">
        <v>-9.6510250000000006E-3</v>
      </c>
      <c r="P1081">
        <v>0.9855003</v>
      </c>
      <c r="Q1081">
        <v>0.16967380000000001</v>
      </c>
      <c r="R1081">
        <v>-5.5183469999999998E-4</v>
      </c>
      <c r="S1081">
        <v>3.0592649999999999</v>
      </c>
      <c r="T1081">
        <v>-8.8432730000000001E-2</v>
      </c>
      <c r="U1081">
        <v>-8.627319E-2</v>
      </c>
      <c r="V1081">
        <v>-8.8908990000000007E-3</v>
      </c>
      <c r="W1081">
        <v>0.18259069999999999</v>
      </c>
      <c r="X1081">
        <v>0.98314880000000004</v>
      </c>
      <c r="Y1081">
        <v>1.8536380000000002E-2</v>
      </c>
      <c r="Z1081" s="1">
        <v>1.107319E-5</v>
      </c>
      <c r="AA1081">
        <v>0.99982819999999994</v>
      </c>
      <c r="AB1081">
        <v>33</v>
      </c>
      <c r="AC1081">
        <v>36.487599999999901</v>
      </c>
      <c r="AD1081">
        <v>-1.0600791661090001</v>
      </c>
      <c r="AE1081">
        <v>-1.03230000000002</v>
      </c>
      <c r="AF1081">
        <v>0.67950577850586702</v>
      </c>
      <c r="AG1081">
        <v>-1.0600791661090001</v>
      </c>
      <c r="AH1081">
        <v>36.465108987436203</v>
      </c>
      <c r="AI1081">
        <v>91.664890860027597</v>
      </c>
      <c r="AJ1081">
        <v>88.932450528093398</v>
      </c>
      <c r="AK1081">
        <v>36.486842414862998</v>
      </c>
      <c r="AL1081">
        <v>79.479302606172595</v>
      </c>
      <c r="AM1081">
        <v>90.518128184392097</v>
      </c>
      <c r="AN1081">
        <v>0.99999998737647899</v>
      </c>
    </row>
    <row r="1082" spans="1:40" x14ac:dyDescent="0.25">
      <c r="A1082" t="str">
        <f>"20190312172109571"</f>
        <v>20190312172109571</v>
      </c>
      <c r="B1082" t="str">
        <f>"1552382469562312"</f>
        <v>1552382469562312</v>
      </c>
      <c r="C1082" t="s">
        <v>40</v>
      </c>
      <c r="D1082">
        <v>3.2288790000000001</v>
      </c>
      <c r="E1082">
        <v>0.51111209999999996</v>
      </c>
      <c r="F1082" t="s">
        <v>42</v>
      </c>
      <c r="G1082">
        <v>-255.76300000000001</v>
      </c>
      <c r="H1082" s="1">
        <v>-2.2847279999999998E-6</v>
      </c>
      <c r="I1082">
        <v>366.8836</v>
      </c>
      <c r="J1082">
        <v>-292.36590000000001</v>
      </c>
      <c r="K1082">
        <v>1.060087</v>
      </c>
      <c r="L1082">
        <v>367.92129999999997</v>
      </c>
      <c r="M1082">
        <v>0.99986679999999994</v>
      </c>
      <c r="N1082">
        <v>0</v>
      </c>
      <c r="O1082">
        <v>-9.7168649999999999E-3</v>
      </c>
      <c r="P1082">
        <v>0.98553939999999995</v>
      </c>
      <c r="Q1082">
        <v>0.16944600000000001</v>
      </c>
      <c r="R1082">
        <v>-6.1485169999999896E-4</v>
      </c>
      <c r="S1082">
        <v>3.0592959999999998</v>
      </c>
      <c r="T1082">
        <v>-8.8220300000000001E-2</v>
      </c>
      <c r="U1082">
        <v>-8.6486820000000006E-2</v>
      </c>
      <c r="V1082">
        <v>-8.8959620000000003E-3</v>
      </c>
      <c r="W1082">
        <v>0.182367</v>
      </c>
      <c r="X1082">
        <v>0.98319029999999996</v>
      </c>
      <c r="Y1082">
        <v>1.8540060000000001E-2</v>
      </c>
      <c r="Z1082" s="1">
        <v>1.289113E-5</v>
      </c>
      <c r="AA1082">
        <v>0.9998281</v>
      </c>
      <c r="AB1082">
        <v>33</v>
      </c>
      <c r="AC1082">
        <v>36.602899999999998</v>
      </c>
      <c r="AD1082">
        <v>-1.0600892847279999</v>
      </c>
      <c r="AE1082">
        <v>-1.0376999999999701</v>
      </c>
      <c r="AF1082">
        <v>0.68138389923005904</v>
      </c>
      <c r="AG1082">
        <v>-1.0600892847279999</v>
      </c>
      <c r="AH1082">
        <v>36.580596899822297</v>
      </c>
      <c r="AI1082">
        <v>91.659653672725199</v>
      </c>
      <c r="AJ1082">
        <v>88.932879430119996</v>
      </c>
      <c r="AK1082">
        <v>36.602296961488797</v>
      </c>
      <c r="AL1082">
        <v>79.492338825385502</v>
      </c>
      <c r="AM1082">
        <v>90.518401339701796</v>
      </c>
      <c r="AN1082">
        <v>1.0000000134214899</v>
      </c>
    </row>
    <row r="1083" spans="1:40" x14ac:dyDescent="0.25">
      <c r="A1083" t="str">
        <f>"20190312172109581"</f>
        <v>20190312172109581</v>
      </c>
      <c r="B1083" t="str">
        <f>"1552382469572072"</f>
        <v>1552382469572072</v>
      </c>
      <c r="C1083" t="s">
        <v>40</v>
      </c>
      <c r="D1083">
        <v>3.2360869999999999</v>
      </c>
      <c r="E1083">
        <v>0.51108999999999905</v>
      </c>
      <c r="F1083" t="s">
        <v>42</v>
      </c>
      <c r="G1083">
        <v>-255.9631</v>
      </c>
      <c r="H1083" s="1">
        <v>-2.196896E-6</v>
      </c>
      <c r="I1083">
        <v>366.8947</v>
      </c>
      <c r="J1083">
        <v>-292.22120000000001</v>
      </c>
      <c r="K1083">
        <v>1.0600940000000001</v>
      </c>
      <c r="L1083">
        <v>367.91980000000001</v>
      </c>
      <c r="M1083">
        <v>0.99986609999999998</v>
      </c>
      <c r="N1083">
        <v>0</v>
      </c>
      <c r="O1083">
        <v>-9.7755580000000002E-3</v>
      </c>
      <c r="P1083">
        <v>0.98556259999999996</v>
      </c>
      <c r="Q1083">
        <v>0.16931089999999999</v>
      </c>
      <c r="R1083">
        <v>-5.2480349999999996E-4</v>
      </c>
      <c r="S1083">
        <v>3.0592959999999998</v>
      </c>
      <c r="T1083">
        <v>-8.9089870000000002E-2</v>
      </c>
      <c r="U1083">
        <v>-8.627319E-2</v>
      </c>
      <c r="V1083">
        <v>-9.0471470000000002E-3</v>
      </c>
      <c r="W1083">
        <v>0.1822357</v>
      </c>
      <c r="X1083">
        <v>0.98321320000000001</v>
      </c>
      <c r="Y1083">
        <v>1.841162E-2</v>
      </c>
      <c r="Z1083" s="1">
        <v>1.6596140000000001E-5</v>
      </c>
      <c r="AA1083">
        <v>0.99983049999999996</v>
      </c>
      <c r="AB1083">
        <v>33</v>
      </c>
      <c r="AC1083">
        <v>36.258099999999999</v>
      </c>
      <c r="AD1083">
        <v>-1.0600961968960001</v>
      </c>
      <c r="AE1083">
        <v>-1.0250999999999999</v>
      </c>
      <c r="AF1083">
        <v>0.67000504175973197</v>
      </c>
      <c r="AG1083">
        <v>-1.0600961968960001</v>
      </c>
      <c r="AH1083">
        <v>36.235438556494699</v>
      </c>
      <c r="AI1083">
        <v>91.675468790863405</v>
      </c>
      <c r="AJ1083">
        <v>88.940703116411399</v>
      </c>
      <c r="AK1083">
        <v>36.257133340684298</v>
      </c>
      <c r="AL1083">
        <v>79.499989288931104</v>
      </c>
      <c r="AM1083">
        <v>90.527198689554197</v>
      </c>
      <c r="AN1083">
        <v>0.99999994893878297</v>
      </c>
    </row>
    <row r="1084" spans="1:40" x14ac:dyDescent="0.25">
      <c r="A1084" t="str">
        <f>"20190312172109591"</f>
        <v>20190312172109591</v>
      </c>
      <c r="B1084" t="str">
        <f>"1552382469581832"</f>
        <v>1552382469581832</v>
      </c>
      <c r="C1084" t="s">
        <v>40</v>
      </c>
      <c r="D1084">
        <v>3.2337060000000002</v>
      </c>
      <c r="E1084">
        <v>0.51104879999999997</v>
      </c>
      <c r="F1084" t="s">
        <v>42</v>
      </c>
      <c r="G1084">
        <v>-255.96809999999999</v>
      </c>
      <c r="H1084" s="1">
        <v>-2.1938870000000001E-6</v>
      </c>
      <c r="I1084">
        <v>366.89960000000002</v>
      </c>
      <c r="J1084">
        <v>-292.07029999999997</v>
      </c>
      <c r="K1084">
        <v>1.0601069999999999</v>
      </c>
      <c r="L1084">
        <v>367.91829999999999</v>
      </c>
      <c r="M1084">
        <v>0.99986549999999996</v>
      </c>
      <c r="N1084">
        <v>0</v>
      </c>
      <c r="O1084">
        <v>-9.8319749999999997E-3</v>
      </c>
      <c r="P1084">
        <v>0.98556029999999994</v>
      </c>
      <c r="Q1084">
        <v>0.169324799999999</v>
      </c>
      <c r="R1084">
        <v>-4.7729720000000002E-4</v>
      </c>
      <c r="S1084">
        <v>3.0592649999999999</v>
      </c>
      <c r="T1084">
        <v>-8.9457510000000004E-2</v>
      </c>
      <c r="U1084">
        <v>-8.6090089999999994E-2</v>
      </c>
      <c r="V1084">
        <v>-9.1526030000000005E-3</v>
      </c>
      <c r="W1084">
        <v>0.1822531</v>
      </c>
      <c r="X1084">
        <v>0.98320909999999995</v>
      </c>
      <c r="Y1084">
        <v>1.8295740000000001E-2</v>
      </c>
      <c r="Z1084" s="1">
        <v>2.000749E-5</v>
      </c>
      <c r="AA1084">
        <v>0.99983259999999996</v>
      </c>
      <c r="AB1084">
        <v>33</v>
      </c>
      <c r="AC1084">
        <v>36.102199999999897</v>
      </c>
      <c r="AD1084">
        <v>-1.060109193887</v>
      </c>
      <c r="AE1084">
        <v>-1.01869999999996</v>
      </c>
      <c r="AF1084">
        <v>0.66309294095607696</v>
      </c>
      <c r="AG1084">
        <v>-1.060109193887</v>
      </c>
      <c r="AH1084">
        <v>36.079386645358099</v>
      </c>
      <c r="AI1084">
        <v>91.682735511097206</v>
      </c>
      <c r="AJ1084">
        <v>88.947095455877005</v>
      </c>
      <c r="AK1084">
        <v>36.101047968951697</v>
      </c>
      <c r="AL1084">
        <v>79.498976419310296</v>
      </c>
      <c r="AM1084">
        <v>90.533345731501697</v>
      </c>
      <c r="AN1084">
        <v>1.0000000484620399</v>
      </c>
    </row>
    <row r="1085" spans="1:40" x14ac:dyDescent="0.25">
      <c r="A1085" t="str">
        <f>"20190312172109603"</f>
        <v>20190312172109603</v>
      </c>
      <c r="B1085" t="str">
        <f>"1552382469592568"</f>
        <v>1552382469592568</v>
      </c>
      <c r="C1085" t="s">
        <v>40</v>
      </c>
      <c r="D1085">
        <v>3.2190789999999998</v>
      </c>
      <c r="E1085">
        <v>0.51104879999999997</v>
      </c>
      <c r="F1085" t="s">
        <v>42</v>
      </c>
      <c r="G1085">
        <v>-255.7439</v>
      </c>
      <c r="H1085" s="1">
        <v>-2.2891299999999998E-6</v>
      </c>
      <c r="I1085">
        <v>366.90499999999997</v>
      </c>
      <c r="J1085">
        <v>-291.9083</v>
      </c>
      <c r="K1085">
        <v>1.060117</v>
      </c>
      <c r="L1085">
        <v>367.91669999999999</v>
      </c>
      <c r="M1085">
        <v>0.999865</v>
      </c>
      <c r="N1085">
        <v>0</v>
      </c>
      <c r="O1085">
        <v>-9.8899399999999998E-3</v>
      </c>
      <c r="P1085">
        <v>0.98556429999999995</v>
      </c>
      <c r="Q1085">
        <v>0.16930229999999999</v>
      </c>
      <c r="R1085">
        <v>-3.6240559999999998E-4</v>
      </c>
      <c r="S1085">
        <v>3.0592350000000001</v>
      </c>
      <c r="T1085">
        <v>-8.927715E-2</v>
      </c>
      <c r="U1085">
        <v>-8.5327150000000004E-2</v>
      </c>
      <c r="V1085">
        <v>-9.3279790000000001E-3</v>
      </c>
      <c r="W1085">
        <v>0.18223429999999999</v>
      </c>
      <c r="X1085">
        <v>0.9832109</v>
      </c>
      <c r="Y1085">
        <v>1.7989069999999999E-2</v>
      </c>
      <c r="Z1085" s="1">
        <v>2.6131250000000002E-5</v>
      </c>
      <c r="AA1085">
        <v>0.99983820000000001</v>
      </c>
      <c r="AB1085">
        <v>33</v>
      </c>
      <c r="AC1085">
        <v>36.164400000000001</v>
      </c>
      <c r="AD1085">
        <v>-1.06011928913</v>
      </c>
      <c r="AE1085">
        <v>-1.01170000000001</v>
      </c>
      <c r="AF1085">
        <v>0.65339494689337896</v>
      </c>
      <c r="AG1085">
        <v>-1.06011928913</v>
      </c>
      <c r="AH1085">
        <v>36.141605181526998</v>
      </c>
      <c r="AI1085">
        <v>91.679865472658506</v>
      </c>
      <c r="AJ1085">
        <v>88.964276910269405</v>
      </c>
      <c r="AK1085">
        <v>36.163053009407101</v>
      </c>
      <c r="AL1085">
        <v>79.500071544936603</v>
      </c>
      <c r="AM1085">
        <v>90.543563739874003</v>
      </c>
      <c r="AN1085">
        <v>1.00000001258376</v>
      </c>
    </row>
    <row r="1086" spans="1:40" x14ac:dyDescent="0.25">
      <c r="A1086" t="str">
        <f>"20190312172109614"</f>
        <v>20190312172109614</v>
      </c>
      <c r="B1086" t="str">
        <f>"1552382469602327"</f>
        <v>1552382469602327</v>
      </c>
      <c r="C1086" t="s">
        <v>40</v>
      </c>
      <c r="D1086">
        <v>3.2267769999999998</v>
      </c>
      <c r="E1086">
        <v>0.48708279999999898</v>
      </c>
      <c r="F1086" t="s">
        <v>42</v>
      </c>
      <c r="G1086">
        <v>-255.6053</v>
      </c>
      <c r="H1086" s="1">
        <v>-2.348339E-6</v>
      </c>
      <c r="I1086">
        <v>366.90629999999999</v>
      </c>
      <c r="J1086">
        <v>-291.74099999999999</v>
      </c>
      <c r="K1086">
        <v>1.060127</v>
      </c>
      <c r="L1086">
        <v>367.91489999999999</v>
      </c>
      <c r="M1086">
        <v>0.99986439999999999</v>
      </c>
      <c r="N1086">
        <v>0</v>
      </c>
      <c r="O1086">
        <v>-9.9437399999999995E-3</v>
      </c>
      <c r="P1086">
        <v>0.98555150000000002</v>
      </c>
      <c r="Q1086">
        <v>0.16937669999999999</v>
      </c>
      <c r="R1086">
        <v>-2.4846379999999998E-4</v>
      </c>
      <c r="S1086">
        <v>3.0592649999999999</v>
      </c>
      <c r="T1086">
        <v>-8.9336570000000004E-2</v>
      </c>
      <c r="U1086">
        <v>-8.5144040000000004E-2</v>
      </c>
      <c r="V1086">
        <v>-9.4984909999999995E-3</v>
      </c>
      <c r="W1086">
        <v>0.18231449999999999</v>
      </c>
      <c r="X1086">
        <v>0.98319440000000002</v>
      </c>
      <c r="Y1086">
        <v>1.787526E-2</v>
      </c>
      <c r="Z1086" s="1">
        <v>2.937985E-5</v>
      </c>
      <c r="AA1086">
        <v>0.99984019999999996</v>
      </c>
      <c r="AB1086">
        <v>33</v>
      </c>
      <c r="AC1086">
        <v>36.1356999999999</v>
      </c>
      <c r="AD1086">
        <v>-1.060129348339</v>
      </c>
      <c r="AE1086">
        <v>-1.0085999999999999</v>
      </c>
      <c r="AF1086">
        <v>0.64863732155887999</v>
      </c>
      <c r="AG1086">
        <v>-1.060129348339</v>
      </c>
      <c r="AH1086">
        <v>36.1128855941053</v>
      </c>
      <c r="AI1086">
        <v>91.681220153027198</v>
      </c>
      <c r="AJ1086">
        <v>88.9709992819826</v>
      </c>
      <c r="AK1086">
        <v>36.134265047778001</v>
      </c>
      <c r="AL1086">
        <v>79.495398139810703</v>
      </c>
      <c r="AM1086">
        <v>90.553508559285902</v>
      </c>
      <c r="AN1086">
        <v>1.0000000132164399</v>
      </c>
    </row>
    <row r="1087" spans="1:40" x14ac:dyDescent="0.25">
      <c r="A1087" t="str">
        <f>"20190312172109624"</f>
        <v>20190312172109624</v>
      </c>
      <c r="B1087" t="str">
        <f>"1552382469621848"</f>
        <v>1552382469621848</v>
      </c>
      <c r="C1087" t="s">
        <v>40</v>
      </c>
      <c r="D1087">
        <v>3.2774489999999998</v>
      </c>
      <c r="E1087">
        <v>0.48093469999999999</v>
      </c>
      <c r="F1087" t="s">
        <v>42</v>
      </c>
      <c r="G1087">
        <v>-253.71340000000001</v>
      </c>
      <c r="H1087" s="1">
        <v>-2.746244E-6</v>
      </c>
      <c r="I1087">
        <v>369.23869999999999</v>
      </c>
      <c r="J1087">
        <v>-291.58789999999999</v>
      </c>
      <c r="K1087">
        <v>1.060136</v>
      </c>
      <c r="L1087">
        <v>367.91340000000002</v>
      </c>
      <c r="M1087">
        <v>0.99986370000000002</v>
      </c>
      <c r="N1087">
        <v>0</v>
      </c>
      <c r="O1087">
        <v>-9.9895690000000002E-3</v>
      </c>
      <c r="P1087">
        <v>0.98551610000000001</v>
      </c>
      <c r="Q1087">
        <v>0.16958199999999901</v>
      </c>
      <c r="R1087">
        <v>-1.7609909999999999E-4</v>
      </c>
      <c r="S1087">
        <v>3.0586549999999999</v>
      </c>
      <c r="T1087">
        <v>-8.5268620000000003E-2</v>
      </c>
      <c r="U1087">
        <v>0.1064758</v>
      </c>
      <c r="V1087">
        <v>-9.6185950000000006E-3</v>
      </c>
      <c r="W1087">
        <v>0.18252550000000001</v>
      </c>
      <c r="X1087">
        <v>0.98315410000000003</v>
      </c>
      <c r="Y1087">
        <v>-4.4751659999999999E-2</v>
      </c>
      <c r="Z1087">
        <v>9.0186119999999996E-4</v>
      </c>
      <c r="AA1087">
        <v>0.99899769999999999</v>
      </c>
      <c r="AB1087">
        <v>33</v>
      </c>
      <c r="AC1087">
        <v>37.874499999999898</v>
      </c>
      <c r="AD1087">
        <v>-1.060138746244</v>
      </c>
      <c r="AE1087">
        <v>1.3252999999999699</v>
      </c>
      <c r="AF1087">
        <v>-1.7022843969041801</v>
      </c>
      <c r="AG1087">
        <v>-1.060138746244</v>
      </c>
      <c r="AH1087">
        <v>37.829766659826397</v>
      </c>
      <c r="AI1087">
        <v>91.603610923188597</v>
      </c>
      <c r="AJ1087">
        <v>92.576488541965603</v>
      </c>
      <c r="AK1087">
        <v>37.882884154537898</v>
      </c>
      <c r="AL1087">
        <v>79.483102594652706</v>
      </c>
      <c r="AM1087">
        <v>90.560529947797704</v>
      </c>
      <c r="AN1087">
        <v>1.00000002993341</v>
      </c>
    </row>
    <row r="1088" spans="1:40" x14ac:dyDescent="0.25">
      <c r="A1088" t="str">
        <f>"20190312172109636"</f>
        <v>20190312172109636</v>
      </c>
      <c r="B1088" t="str">
        <f>"1552382469632584"</f>
        <v>1552382469632584</v>
      </c>
      <c r="C1088" t="s">
        <v>40</v>
      </c>
      <c r="D1088">
        <v>3.1855910000000001</v>
      </c>
      <c r="E1088">
        <v>0.47959350000000001</v>
      </c>
      <c r="F1088" t="s">
        <v>42</v>
      </c>
      <c r="G1088">
        <v>-245.38919999999999</v>
      </c>
      <c r="H1088" s="1">
        <v>-2.332558E-6</v>
      </c>
      <c r="I1088">
        <v>370.2647</v>
      </c>
      <c r="J1088">
        <v>-291.4237</v>
      </c>
      <c r="K1088">
        <v>1.06014599999999</v>
      </c>
      <c r="L1088">
        <v>367.9117</v>
      </c>
      <c r="M1088">
        <v>0.9998631</v>
      </c>
      <c r="N1088">
        <v>0</v>
      </c>
      <c r="O1088">
        <v>-1.0034929999999999E-2</v>
      </c>
      <c r="P1088">
        <v>0.98553930000000001</v>
      </c>
      <c r="Q1088">
        <v>0.16944719999999999</v>
      </c>
      <c r="R1088" s="1">
        <v>-8.3400399999999995E-5</v>
      </c>
      <c r="S1088">
        <v>3.056152</v>
      </c>
      <c r="T1088">
        <v>-7.0130590000000007E-2</v>
      </c>
      <c r="U1088">
        <v>0.15554809999999999</v>
      </c>
      <c r="V1088">
        <v>-9.7590030000000005E-3</v>
      </c>
      <c r="W1088">
        <v>0.18239839999999999</v>
      </c>
      <c r="X1088">
        <v>0.9831763</v>
      </c>
      <c r="Y1088">
        <v>-6.0832570000000002E-2</v>
      </c>
      <c r="Z1088">
        <v>9.275574E-4</v>
      </c>
      <c r="AA1088">
        <v>0.99814749999999997</v>
      </c>
      <c r="AB1088">
        <v>33</v>
      </c>
      <c r="AC1088">
        <v>46.034500000000001</v>
      </c>
      <c r="AD1088">
        <v>-1.0601483325579999</v>
      </c>
      <c r="AE1088">
        <v>2.3530000000000002</v>
      </c>
      <c r="AF1088">
        <v>-2.8133862667244101</v>
      </c>
      <c r="AG1088">
        <v>-1.0601483325579999</v>
      </c>
      <c r="AH1088">
        <v>45.984243065350199</v>
      </c>
      <c r="AI1088">
        <v>91.318233309314806</v>
      </c>
      <c r="AJ1088">
        <v>93.501079316181404</v>
      </c>
      <c r="AK1088">
        <v>46.082422539033502</v>
      </c>
      <c r="AL1088">
        <v>79.490509178422897</v>
      </c>
      <c r="AM1088">
        <v>90.568698942156502</v>
      </c>
      <c r="AN1088">
        <v>1.0000000256718999</v>
      </c>
    </row>
    <row r="1089" spans="1:40" x14ac:dyDescent="0.25">
      <c r="A1089" t="str">
        <f>"20190312172109648"</f>
        <v>20190312172109648</v>
      </c>
      <c r="B1089" t="str">
        <f>"1552382469642344"</f>
        <v>1552382469642344</v>
      </c>
      <c r="C1089" t="s">
        <v>40</v>
      </c>
      <c r="D1089">
        <v>3.1917900000000001</v>
      </c>
      <c r="E1089">
        <v>0.47870360000000001</v>
      </c>
      <c r="F1089" t="s">
        <v>42</v>
      </c>
      <c r="G1089">
        <v>-242.97479999999999</v>
      </c>
      <c r="H1089" s="1">
        <v>-3.5499749999999998E-6</v>
      </c>
      <c r="I1089">
        <v>370.55079999999998</v>
      </c>
      <c r="J1089">
        <v>-291.25150000000002</v>
      </c>
      <c r="K1089">
        <v>1.060154</v>
      </c>
      <c r="L1089">
        <v>367.90989999999999</v>
      </c>
      <c r="M1089">
        <v>0.99986260000000005</v>
      </c>
      <c r="N1089">
        <v>0</v>
      </c>
      <c r="O1089">
        <v>-1.0077900000000001E-2</v>
      </c>
      <c r="P1089">
        <v>0.98554940000000002</v>
      </c>
      <c r="Q1089">
        <v>0.16938879999999901</v>
      </c>
      <c r="R1089" s="1">
        <v>-6.5704809999999895E-7</v>
      </c>
      <c r="S1089">
        <v>3.0555110000000001</v>
      </c>
      <c r="T1089">
        <v>-6.6860080000000002E-2</v>
      </c>
      <c r="U1089">
        <v>0.16644289999999901</v>
      </c>
      <c r="V1089">
        <v>-9.8870820000000002E-3</v>
      </c>
      <c r="W1089">
        <v>0.18234829999999999</v>
      </c>
      <c r="X1089">
        <v>0.98318430000000001</v>
      </c>
      <c r="Y1089">
        <v>-6.443567E-2</v>
      </c>
      <c r="Z1089">
        <v>9.2474210000000002E-4</v>
      </c>
      <c r="AA1089">
        <v>0.99792139999999996</v>
      </c>
      <c r="AB1089">
        <v>33</v>
      </c>
      <c r="AC1089">
        <v>48.276699999999998</v>
      </c>
      <c r="AD1089">
        <v>-1.060157549975</v>
      </c>
      <c r="AE1089">
        <v>2.6408999999999798</v>
      </c>
      <c r="AF1089">
        <v>-3.12583284825463</v>
      </c>
      <c r="AG1089">
        <v>-1.060157549975</v>
      </c>
      <c r="AH1089">
        <v>48.224444390580899</v>
      </c>
      <c r="AI1089">
        <v>91.256740864104202</v>
      </c>
      <c r="AJ1089">
        <v>93.708634514423593</v>
      </c>
      <c r="AK1089">
        <v>48.337271352510399</v>
      </c>
      <c r="AL1089">
        <v>79.493428516751095</v>
      </c>
      <c r="AM1089">
        <v>90.576157466859101</v>
      </c>
      <c r="AN1089">
        <v>1.00000001233492</v>
      </c>
    </row>
    <row r="1090" spans="1:40" x14ac:dyDescent="0.25">
      <c r="A1090" t="str">
        <f>"20190312172109658"</f>
        <v>20190312172109658</v>
      </c>
      <c r="B1090" t="str">
        <f>"1552382469652315"</f>
        <v>1552382469652315</v>
      </c>
      <c r="C1090" t="s">
        <v>40</v>
      </c>
      <c r="D1090">
        <v>3.212771</v>
      </c>
      <c r="E1090">
        <v>0.47807309999999997</v>
      </c>
      <c r="F1090" t="s">
        <v>42</v>
      </c>
      <c r="G1090">
        <v>-242.61250000000001</v>
      </c>
      <c r="H1090" s="1">
        <v>-3.7540150000000002E-6</v>
      </c>
      <c r="I1090">
        <v>370.67399999999998</v>
      </c>
      <c r="J1090">
        <v>-291.09050000000002</v>
      </c>
      <c r="K1090">
        <v>1.060162</v>
      </c>
      <c r="L1090">
        <v>367.90820000000002</v>
      </c>
      <c r="M1090">
        <v>0.99986220000000003</v>
      </c>
      <c r="N1090">
        <v>0</v>
      </c>
      <c r="O1090">
        <v>-1.0116119999999999E-2</v>
      </c>
      <c r="P1090">
        <v>0.98553710000000005</v>
      </c>
      <c r="Q1090">
        <v>0.16946079999999999</v>
      </c>
      <c r="R1090" s="1">
        <v>-2.9257960000000001E-5</v>
      </c>
      <c r="S1090">
        <v>3.05545</v>
      </c>
      <c r="T1090">
        <v>-6.6598060000000001E-2</v>
      </c>
      <c r="U1090">
        <v>0.17364499999999999</v>
      </c>
      <c r="V1090">
        <v>-9.8986539999999998E-3</v>
      </c>
      <c r="W1090">
        <v>0.18242700000000001</v>
      </c>
      <c r="X1090">
        <v>0.98316959999999998</v>
      </c>
      <c r="Y1090">
        <v>-6.6819260000000005E-2</v>
      </c>
      <c r="Z1090">
        <v>9.4786299999999996E-4</v>
      </c>
      <c r="AA1090">
        <v>0.9977646</v>
      </c>
      <c r="AB1090">
        <v>33</v>
      </c>
      <c r="AC1090">
        <v>48.478000000000002</v>
      </c>
      <c r="AD1090">
        <v>-1.060165754015</v>
      </c>
      <c r="AE1090">
        <v>2.7658000000000098</v>
      </c>
      <c r="AF1090">
        <v>-3.2545587488454202</v>
      </c>
      <c r="AG1090">
        <v>-1.060165754015</v>
      </c>
      <c r="AH1090">
        <v>48.424453373129602</v>
      </c>
      <c r="AI1090">
        <v>91.251364872369805</v>
      </c>
      <c r="AJ1090">
        <v>93.845009237872006</v>
      </c>
      <c r="AK1090">
        <v>48.5452756564639</v>
      </c>
      <c r="AL1090">
        <v>79.488842581666304</v>
      </c>
      <c r="AM1090">
        <v>90.5768403892978</v>
      </c>
      <c r="AN1090">
        <v>1.00000002802208</v>
      </c>
    </row>
    <row r="1091" spans="1:40" x14ac:dyDescent="0.25">
      <c r="A1091" t="str">
        <f>"20190312172109669"</f>
        <v>20190312172109669</v>
      </c>
      <c r="B1091" t="str">
        <f>"1552382469662075"</f>
        <v>1552382469662075</v>
      </c>
      <c r="C1091" t="s">
        <v>40</v>
      </c>
      <c r="D1091">
        <v>3.1963349999999999</v>
      </c>
      <c r="E1091">
        <v>0.47747309999999998</v>
      </c>
      <c r="F1091" t="s">
        <v>42</v>
      </c>
      <c r="G1091">
        <v>-242.44200000000001</v>
      </c>
      <c r="H1091" s="1">
        <v>-3.8547550000000002E-6</v>
      </c>
      <c r="I1091">
        <v>370.74970000000002</v>
      </c>
      <c r="J1091">
        <v>-290.92720000000003</v>
      </c>
      <c r="K1091">
        <v>1.0601700000000001</v>
      </c>
      <c r="L1091">
        <v>367.90649999999999</v>
      </c>
      <c r="M1091">
        <v>0.99986160000000002</v>
      </c>
      <c r="N1091">
        <v>0</v>
      </c>
      <c r="O1091">
        <v>-1.015018E-2</v>
      </c>
      <c r="P1091">
        <v>0.98555329999999997</v>
      </c>
      <c r="Q1091">
        <v>0.16936519999999999</v>
      </c>
      <c r="R1091">
        <v>1.974585E-4</v>
      </c>
      <c r="S1091">
        <v>3.0554809999999999</v>
      </c>
      <c r="T1091">
        <v>-6.6586140000000002E-2</v>
      </c>
      <c r="U1091">
        <v>0.17846679999999901</v>
      </c>
      <c r="V1091">
        <v>-1.0161359999999999E-2</v>
      </c>
      <c r="W1091">
        <v>0.18233940000000001</v>
      </c>
      <c r="X1091">
        <v>0.98318309999999998</v>
      </c>
      <c r="Y1091">
        <v>-6.8421540000000003E-2</v>
      </c>
      <c r="Z1091">
        <v>9.6582500000000002E-4</v>
      </c>
      <c r="AA1091">
        <v>0.99765599999999999</v>
      </c>
      <c r="AB1091">
        <v>33</v>
      </c>
      <c r="AC1091">
        <v>48.485199999999999</v>
      </c>
      <c r="AD1091">
        <v>-1.0601738547549999</v>
      </c>
      <c r="AE1091">
        <v>2.8432000000000199</v>
      </c>
      <c r="AF1091">
        <v>-3.33364136254229</v>
      </c>
      <c r="AG1091">
        <v>-1.0601738547549999</v>
      </c>
      <c r="AH1091">
        <v>48.4307640758216</v>
      </c>
      <c r="AI1091">
        <v>91.251073883543199</v>
      </c>
      <c r="AJ1091">
        <v>93.937637169822395</v>
      </c>
      <c r="AK1091">
        <v>48.556936088516203</v>
      </c>
      <c r="AL1091">
        <v>79.493946578178296</v>
      </c>
      <c r="AM1091">
        <v>90.592140277815005</v>
      </c>
      <c r="AN1091">
        <v>0.99999995907750805</v>
      </c>
    </row>
    <row r="1092" spans="1:40" x14ac:dyDescent="0.25">
      <c r="A1092" t="str">
        <f>"20190312172109681"</f>
        <v>20190312172109681</v>
      </c>
      <c r="B1092" t="str">
        <f>"1552382469671836"</f>
        <v>1552382469671836</v>
      </c>
      <c r="C1092" t="s">
        <v>40</v>
      </c>
      <c r="D1092">
        <v>3.2125849999999998</v>
      </c>
      <c r="E1092">
        <v>0.47700880000000001</v>
      </c>
      <c r="F1092" t="s">
        <v>42</v>
      </c>
      <c r="G1092">
        <v>-242.42</v>
      </c>
      <c r="H1092" s="1">
        <v>-3.8846900000000004E-6</v>
      </c>
      <c r="I1092">
        <v>370.82319999999999</v>
      </c>
      <c r="J1092">
        <v>-290.76889999999997</v>
      </c>
      <c r="K1092">
        <v>1.0601769999999999</v>
      </c>
      <c r="L1092">
        <v>367.9049</v>
      </c>
      <c r="M1092">
        <v>0.99986120000000001</v>
      </c>
      <c r="N1092">
        <v>0</v>
      </c>
      <c r="O1092">
        <v>-1.018281E-2</v>
      </c>
      <c r="P1092">
        <v>0.98553959999999996</v>
      </c>
      <c r="Q1092">
        <v>0.1694456</v>
      </c>
      <c r="R1092">
        <v>3.1007920000000001E-4</v>
      </c>
      <c r="S1092">
        <v>3.0553889999999999</v>
      </c>
      <c r="T1092">
        <v>-6.6778660000000004E-2</v>
      </c>
      <c r="U1092">
        <v>0.18371580000000001</v>
      </c>
      <c r="V1092">
        <v>-1.0308400000000001E-2</v>
      </c>
      <c r="W1092">
        <v>0.18242610000000001</v>
      </c>
      <c r="X1092">
        <v>0.98316550000000003</v>
      </c>
      <c r="Y1092">
        <v>-7.0163149999999994E-2</v>
      </c>
      <c r="Z1092">
        <v>9.8832249999999998E-4</v>
      </c>
      <c r="AA1092">
        <v>0.99753499999999995</v>
      </c>
      <c r="AB1092">
        <v>33</v>
      </c>
      <c r="AC1092">
        <v>48.348899999999901</v>
      </c>
      <c r="AD1092">
        <v>-1.06018088469</v>
      </c>
      <c r="AE1092">
        <v>2.9182999999999799</v>
      </c>
      <c r="AF1092">
        <v>-3.4088860181070602</v>
      </c>
      <c r="AG1092">
        <v>-1.06018088469</v>
      </c>
      <c r="AH1092">
        <v>48.293537348172798</v>
      </c>
      <c r="AI1092">
        <v>91.254483432377299</v>
      </c>
      <c r="AJ1092">
        <v>94.037628504375107</v>
      </c>
      <c r="AK1092">
        <v>48.425305750114497</v>
      </c>
      <c r="AL1092">
        <v>79.488894440162795</v>
      </c>
      <c r="AM1092">
        <v>90.600718975328803</v>
      </c>
      <c r="AN1092">
        <v>0.99999997273100905</v>
      </c>
    </row>
    <row r="1093" spans="1:40" x14ac:dyDescent="0.25">
      <c r="A1093" t="str">
        <f>"20190312172109691"</f>
        <v>20190312172109691</v>
      </c>
      <c r="B1093" t="str">
        <f>"1552382469682571"</f>
        <v>1552382469682571</v>
      </c>
      <c r="C1093" t="s">
        <v>40</v>
      </c>
      <c r="D1093">
        <v>3.2342939999999998</v>
      </c>
      <c r="E1093">
        <v>0.47654259999999898</v>
      </c>
      <c r="F1093" t="s">
        <v>42</v>
      </c>
      <c r="G1093">
        <v>-242.03020000000001</v>
      </c>
      <c r="H1093" s="1">
        <v>-4.0894479999999998E-6</v>
      </c>
      <c r="I1093">
        <v>370.90019999999998</v>
      </c>
      <c r="J1093">
        <v>-290.60809999999998</v>
      </c>
      <c r="K1093">
        <v>1.060179</v>
      </c>
      <c r="L1093">
        <v>367.90320000000003</v>
      </c>
      <c r="M1093">
        <v>0.99986090000000005</v>
      </c>
      <c r="N1093">
        <v>0</v>
      </c>
      <c r="O1093">
        <v>-1.021319E-2</v>
      </c>
      <c r="P1093">
        <v>0.98551250000000001</v>
      </c>
      <c r="Q1093">
        <v>0.16960320000000001</v>
      </c>
      <c r="R1093">
        <v>4.3224780000000003E-4</v>
      </c>
      <c r="S1093">
        <v>3.0553889999999999</v>
      </c>
      <c r="T1093">
        <v>-6.6461919999999994E-2</v>
      </c>
      <c r="U1093">
        <v>0.18777469999999999</v>
      </c>
      <c r="V1093">
        <v>-1.046184E-2</v>
      </c>
      <c r="W1093">
        <v>0.18259020000000001</v>
      </c>
      <c r="X1093">
        <v>0.98313340000000005</v>
      </c>
      <c r="Y1093">
        <v>-7.1513530000000006E-2</v>
      </c>
      <c r="Z1093">
        <v>9.9892870000000008E-4</v>
      </c>
      <c r="AA1093">
        <v>0.99743910000000002</v>
      </c>
      <c r="AB1093">
        <v>33</v>
      </c>
      <c r="AC1093">
        <v>48.5778999999999</v>
      </c>
      <c r="AD1093">
        <v>-1.060183089448</v>
      </c>
      <c r="AE1093">
        <v>2.9969999999999501</v>
      </c>
      <c r="AF1093">
        <v>-3.4913654754086298</v>
      </c>
      <c r="AG1093">
        <v>-1.060183089448</v>
      </c>
      <c r="AH1093">
        <v>48.521730875346698</v>
      </c>
      <c r="AI1093">
        <v>91.248467107093404</v>
      </c>
      <c r="AJ1093">
        <v>94.115606274739505</v>
      </c>
      <c r="AK1093">
        <v>48.658729825239</v>
      </c>
      <c r="AL1093">
        <v>79.479331417629197</v>
      </c>
      <c r="AM1093">
        <v>90.609679880520105</v>
      </c>
      <c r="AN1093">
        <v>0.99999995671389097</v>
      </c>
    </row>
    <row r="1094" spans="1:40" x14ac:dyDescent="0.25">
      <c r="A1094" t="str">
        <f>"20190312172109703"</f>
        <v>20190312172109703</v>
      </c>
      <c r="B1094" t="str">
        <f>"1552382469692331"</f>
        <v>1552382469692331</v>
      </c>
      <c r="C1094" t="s">
        <v>40</v>
      </c>
      <c r="D1094">
        <v>3.1921119999999998</v>
      </c>
      <c r="E1094">
        <v>0.4761283</v>
      </c>
      <c r="F1094" t="s">
        <v>42</v>
      </c>
      <c r="G1094">
        <v>-241.94329999999999</v>
      </c>
      <c r="H1094" s="1">
        <v>-4.1459800000000001E-6</v>
      </c>
      <c r="I1094">
        <v>370.9581</v>
      </c>
      <c r="J1094">
        <v>-290.44639999999998</v>
      </c>
      <c r="K1094">
        <v>1.0601860000000001</v>
      </c>
      <c r="L1094">
        <v>367.9015</v>
      </c>
      <c r="M1094">
        <v>0.99986050000000004</v>
      </c>
      <c r="N1094">
        <v>0</v>
      </c>
      <c r="O1094">
        <v>-1.024298E-2</v>
      </c>
      <c r="P1094">
        <v>0.98552150000000005</v>
      </c>
      <c r="Q1094">
        <v>0.1695509</v>
      </c>
      <c r="R1094">
        <v>4.39717E-4</v>
      </c>
      <c r="S1094">
        <v>3.05545</v>
      </c>
      <c r="T1094">
        <v>-6.6564199999999907E-2</v>
      </c>
      <c r="U1094">
        <v>0.191803</v>
      </c>
      <c r="V1094">
        <v>-1.04999E-2</v>
      </c>
      <c r="W1094">
        <v>0.1825447</v>
      </c>
      <c r="X1094">
        <v>0.9831415</v>
      </c>
      <c r="Y1094">
        <v>-7.2851550000000001E-2</v>
      </c>
      <c r="Z1094">
        <v>1.0156119999999999E-3</v>
      </c>
      <c r="AA1094">
        <v>0.99734230000000001</v>
      </c>
      <c r="AB1094">
        <v>33</v>
      </c>
      <c r="AC1094">
        <v>48.503099999999897</v>
      </c>
      <c r="AD1094">
        <v>-1.0601901459799901</v>
      </c>
      <c r="AE1094">
        <v>3.0566</v>
      </c>
      <c r="AF1094">
        <v>-3.5516089703360501</v>
      </c>
      <c r="AG1094">
        <v>-1.0601901459799901</v>
      </c>
      <c r="AH1094">
        <v>48.446188542452497</v>
      </c>
      <c r="AI1094">
        <v>91.2502991127445</v>
      </c>
      <c r="AJ1094">
        <v>94.192875254877407</v>
      </c>
      <c r="AK1094">
        <v>48.587767120075199</v>
      </c>
      <c r="AL1094">
        <v>79.481983529312501</v>
      </c>
      <c r="AM1094">
        <v>90.611892676472493</v>
      </c>
      <c r="AN1094">
        <v>1.00000001221017</v>
      </c>
    </row>
    <row r="1095" spans="1:40" x14ac:dyDescent="0.25">
      <c r="A1095" t="str">
        <f>"20190312172109714"</f>
        <v>20190312172109714</v>
      </c>
      <c r="B1095" t="str">
        <f>"1552382469702091"</f>
        <v>1552382469702091</v>
      </c>
      <c r="C1095" t="s">
        <v>40</v>
      </c>
      <c r="D1095">
        <v>3.2205629999999998</v>
      </c>
      <c r="E1095">
        <v>0.47579979999999999</v>
      </c>
      <c r="F1095" t="s">
        <v>42</v>
      </c>
      <c r="G1095">
        <v>-242.2141</v>
      </c>
      <c r="H1095" s="1">
        <v>-4.0230609999999996E-6</v>
      </c>
      <c r="I1095">
        <v>370.97730000000001</v>
      </c>
      <c r="J1095">
        <v>-290.27460000000002</v>
      </c>
      <c r="K1095">
        <v>1.06019</v>
      </c>
      <c r="L1095">
        <v>367.8997</v>
      </c>
      <c r="M1095">
        <v>0.99986010000000003</v>
      </c>
      <c r="N1095">
        <v>0</v>
      </c>
      <c r="O1095">
        <v>-1.027314E-2</v>
      </c>
      <c r="P1095">
        <v>0.98551029999999995</v>
      </c>
      <c r="Q1095">
        <v>0.16961579999999901</v>
      </c>
      <c r="R1095">
        <v>4.636245E-4</v>
      </c>
      <c r="S1095">
        <v>3.055542</v>
      </c>
      <c r="T1095">
        <v>-6.7163589999999995E-2</v>
      </c>
      <c r="U1095">
        <v>0.19485469999999999</v>
      </c>
      <c r="V1095">
        <v>-1.0554610000000001E-2</v>
      </c>
      <c r="W1095">
        <v>0.182616</v>
      </c>
      <c r="X1095">
        <v>0.98312770000000005</v>
      </c>
      <c r="Y1095">
        <v>-7.3871259999999994E-2</v>
      </c>
      <c r="Z1095">
        <v>1.0365490000000001E-3</v>
      </c>
      <c r="AA1095">
        <v>0.99726720000000002</v>
      </c>
      <c r="AB1095">
        <v>33</v>
      </c>
      <c r="AC1095">
        <v>48.060499999999998</v>
      </c>
      <c r="AD1095">
        <v>-1.0601940230610001</v>
      </c>
      <c r="AE1095">
        <v>3.0776000000000101</v>
      </c>
      <c r="AF1095">
        <v>-3.5694829268999002</v>
      </c>
      <c r="AG1095">
        <v>-1.0601940230610001</v>
      </c>
      <c r="AH1095">
        <v>48.003079943581703</v>
      </c>
      <c r="AI1095">
        <v>91.261744144189095</v>
      </c>
      <c r="AJ1095">
        <v>94.252656426787198</v>
      </c>
      <c r="AK1095">
        <v>48.147283451944197</v>
      </c>
      <c r="AL1095">
        <v>79.477828781895099</v>
      </c>
      <c r="AM1095">
        <v>90.615089347867794</v>
      </c>
      <c r="AN1095">
        <v>1.0000000388777699</v>
      </c>
    </row>
    <row r="1096" spans="1:40" x14ac:dyDescent="0.25">
      <c r="A1096" t="str">
        <f>"20190312172109727"</f>
        <v>20190312172109727</v>
      </c>
      <c r="B1096" t="str">
        <f>"1552382469722588"</f>
        <v>1552382469722588</v>
      </c>
      <c r="C1096" t="s">
        <v>40</v>
      </c>
      <c r="D1096">
        <v>3.2673589999999999</v>
      </c>
      <c r="E1096">
        <v>0.47539900000000002</v>
      </c>
      <c r="F1096" t="s">
        <v>42</v>
      </c>
      <c r="G1096">
        <v>-242.11150000000001</v>
      </c>
      <c r="H1096" s="1">
        <v>-4.0809129999999999E-6</v>
      </c>
      <c r="I1096">
        <v>371.01240000000001</v>
      </c>
      <c r="J1096">
        <v>-290.10300000000001</v>
      </c>
      <c r="K1096">
        <v>1.060192</v>
      </c>
      <c r="L1096">
        <v>367.89789999999999</v>
      </c>
      <c r="M1096">
        <v>0.99985979999999997</v>
      </c>
      <c r="N1096">
        <v>0</v>
      </c>
      <c r="O1096">
        <v>-1.03026E-2</v>
      </c>
      <c r="P1096">
        <v>0.98552240000000002</v>
      </c>
      <c r="Q1096">
        <v>0.169544899999999</v>
      </c>
      <c r="R1096">
        <v>6.2503389999999997E-4</v>
      </c>
      <c r="S1096">
        <v>3.0556030000000001</v>
      </c>
      <c r="T1096">
        <v>-6.7261639999999998E-2</v>
      </c>
      <c r="U1096">
        <v>0.19747919999999999</v>
      </c>
      <c r="V1096">
        <v>-1.0746479999999999E-2</v>
      </c>
      <c r="W1096">
        <v>0.1825522</v>
      </c>
      <c r="X1096">
        <v>0.98313740000000005</v>
      </c>
      <c r="Y1096">
        <v>-7.4752109999999997E-2</v>
      </c>
      <c r="Z1096">
        <v>1.048345E-3</v>
      </c>
      <c r="AA1096">
        <v>0.99720160000000002</v>
      </c>
      <c r="AB1096">
        <v>33</v>
      </c>
      <c r="AC1096">
        <v>47.991500000000002</v>
      </c>
      <c r="AD1096">
        <v>-1.060196080913</v>
      </c>
      <c r="AE1096">
        <v>3.11450000000002</v>
      </c>
      <c r="AF1096">
        <v>-3.6070620224115402</v>
      </c>
      <c r="AG1096">
        <v>-1.060196080913</v>
      </c>
      <c r="AH1096">
        <v>47.933567489737101</v>
      </c>
      <c r="AI1096">
        <v>91.263491965810005</v>
      </c>
      <c r="AJ1096">
        <v>94.303469471846398</v>
      </c>
      <c r="AK1096">
        <v>48.080784149769102</v>
      </c>
      <c r="AL1096">
        <v>79.481546017037005</v>
      </c>
      <c r="AM1096">
        <v>90.626263864531794</v>
      </c>
      <c r="AN1096">
        <v>0.999999969917994</v>
      </c>
    </row>
    <row r="1097" spans="1:40" x14ac:dyDescent="0.25">
      <c r="A1097" t="str">
        <f>"20190312172109749"</f>
        <v>20190312172109749</v>
      </c>
      <c r="B1097" t="str">
        <f>"1552382469742107"</f>
        <v>1552382469742107</v>
      </c>
      <c r="C1097" t="s">
        <v>40</v>
      </c>
      <c r="D1097">
        <v>3.214785</v>
      </c>
      <c r="E1097">
        <v>0.47506939999999998</v>
      </c>
      <c r="F1097" t="s">
        <v>42</v>
      </c>
      <c r="G1097">
        <v>-241.2234</v>
      </c>
      <c r="H1097" s="1">
        <v>-4.5072900000000002E-6</v>
      </c>
      <c r="I1097">
        <v>371.11470000000003</v>
      </c>
      <c r="J1097">
        <v>-289.77550000000002</v>
      </c>
      <c r="K1097">
        <v>1.0602</v>
      </c>
      <c r="L1097">
        <v>367.89449999999999</v>
      </c>
      <c r="M1097">
        <v>0.99985900000000005</v>
      </c>
      <c r="N1097">
        <v>0</v>
      </c>
      <c r="O1097">
        <v>-1.0357379999999999E-2</v>
      </c>
      <c r="P1097">
        <v>0.98550950000000004</v>
      </c>
      <c r="Q1097">
        <v>0.16961989999999999</v>
      </c>
      <c r="R1097">
        <v>6.7292759999999904E-4</v>
      </c>
      <c r="S1097">
        <v>3.0553889999999999</v>
      </c>
      <c r="T1097">
        <v>-6.627131E-2</v>
      </c>
      <c r="U1097">
        <v>0.20108029999999999</v>
      </c>
      <c r="V1097">
        <v>-1.084942E-2</v>
      </c>
      <c r="W1097">
        <v>0.18264459999999999</v>
      </c>
      <c r="X1097">
        <v>0.98311910000000002</v>
      </c>
      <c r="Y1097">
        <v>-7.5981809999999997E-2</v>
      </c>
      <c r="Z1097">
        <v>1.0474530000000001E-3</v>
      </c>
      <c r="AA1097">
        <v>0.99710860000000001</v>
      </c>
      <c r="AB1097">
        <v>33</v>
      </c>
      <c r="AC1097">
        <v>48.552100000000003</v>
      </c>
      <c r="AD1097">
        <v>-1.0602045072899999</v>
      </c>
      <c r="AE1097">
        <v>3.2202000000000299</v>
      </c>
      <c r="AF1097">
        <v>-3.72117712715561</v>
      </c>
      <c r="AG1097">
        <v>-1.0602045072899999</v>
      </c>
      <c r="AH1097">
        <v>48.493117820021702</v>
      </c>
      <c r="AI1097">
        <v>91.248787333240301</v>
      </c>
      <c r="AJ1097">
        <v>94.388060386985799</v>
      </c>
      <c r="AK1097">
        <v>48.647237010085703</v>
      </c>
      <c r="AL1097">
        <v>79.476161276667398</v>
      </c>
      <c r="AM1097">
        <v>90.632274098526594</v>
      </c>
      <c r="AN1097">
        <v>0.999999962304152</v>
      </c>
    </row>
    <row r="1098" spans="1:40" x14ac:dyDescent="0.25">
      <c r="A1098" t="str">
        <f>"20190312172109762"</f>
        <v>20190312172109762</v>
      </c>
      <c r="B1098" t="str">
        <f>"1552382469752376"</f>
        <v>1552382469752376</v>
      </c>
      <c r="C1098" t="s">
        <v>40</v>
      </c>
      <c r="D1098">
        <v>3.1950639999999999</v>
      </c>
      <c r="E1098">
        <v>0.47497519999999999</v>
      </c>
      <c r="F1098" t="s">
        <v>42</v>
      </c>
      <c r="G1098">
        <v>-240.35220000000001</v>
      </c>
      <c r="H1098" s="1">
        <v>-4.8559079999999998E-6</v>
      </c>
      <c r="I1098">
        <v>371.19409999999999</v>
      </c>
      <c r="J1098">
        <v>-289.59550000000002</v>
      </c>
      <c r="K1098">
        <v>1.060198</v>
      </c>
      <c r="L1098">
        <v>367.89249999999998</v>
      </c>
      <c r="M1098">
        <v>0.99985840000000004</v>
      </c>
      <c r="N1098">
        <v>0</v>
      </c>
      <c r="O1098">
        <v>-1.038675E-2</v>
      </c>
      <c r="P1098">
        <v>0.98556759999999999</v>
      </c>
      <c r="Q1098">
        <v>0.16928190000000001</v>
      </c>
      <c r="R1098">
        <v>5.4536340000000002E-4</v>
      </c>
      <c r="S1098">
        <v>3.0552670000000002</v>
      </c>
      <c r="T1098">
        <v>-6.5540189999999998E-2</v>
      </c>
      <c r="U1098">
        <v>0.20397950000000001</v>
      </c>
      <c r="V1098">
        <v>-1.075211E-2</v>
      </c>
      <c r="W1098">
        <v>0.1823178</v>
      </c>
      <c r="X1098">
        <v>0.98318090000000002</v>
      </c>
      <c r="Y1098">
        <v>-7.6955910000000002E-2</v>
      </c>
      <c r="Z1098">
        <v>1.046974E-3</v>
      </c>
      <c r="AA1098">
        <v>0.99703399999999998</v>
      </c>
      <c r="AB1098">
        <v>33</v>
      </c>
      <c r="AC1098">
        <v>49.243299999999998</v>
      </c>
      <c r="AD1098">
        <v>-1.0602028559079999</v>
      </c>
      <c r="AE1098">
        <v>3.3016000000000001</v>
      </c>
      <c r="AF1098">
        <v>-3.8111858334790298</v>
      </c>
      <c r="AG1098">
        <v>-1.0602028559079999</v>
      </c>
      <c r="AH1098">
        <v>49.183650890669803</v>
      </c>
      <c r="AI1098">
        <v>91.231186996646201</v>
      </c>
      <c r="AJ1098">
        <v>94.430931172628405</v>
      </c>
      <c r="AK1098">
        <v>49.342483546010101</v>
      </c>
      <c r="AL1098">
        <v>79.495206073247999</v>
      </c>
      <c r="AM1098">
        <v>90.626564212490095</v>
      </c>
      <c r="AN1098">
        <v>1.00000003509555</v>
      </c>
    </row>
    <row r="1099" spans="1:40" x14ac:dyDescent="0.25">
      <c r="A1099" t="str">
        <f>"20190312172109772"</f>
        <v>20190312172109772</v>
      </c>
      <c r="B1099" t="str">
        <f>"1552382469762136"</f>
        <v>1552382469762136</v>
      </c>
      <c r="C1099" t="s">
        <v>40</v>
      </c>
      <c r="D1099">
        <v>3.2697940000000001</v>
      </c>
      <c r="E1099">
        <v>0.47490209999999999</v>
      </c>
      <c r="F1099" t="s">
        <v>42</v>
      </c>
      <c r="G1099">
        <v>-240.56399999999999</v>
      </c>
      <c r="H1099" s="1">
        <v>-4.7704169999999999E-6</v>
      </c>
      <c r="I1099">
        <v>371.17059999999998</v>
      </c>
      <c r="J1099">
        <v>-289.41910000000001</v>
      </c>
      <c r="K1099">
        <v>1.0602</v>
      </c>
      <c r="L1099">
        <v>367.89069999999998</v>
      </c>
      <c r="M1099">
        <v>0.99985800000000002</v>
      </c>
      <c r="N1099">
        <v>0</v>
      </c>
      <c r="O1099">
        <v>-1.041516E-2</v>
      </c>
      <c r="P1099">
        <v>0.9855756</v>
      </c>
      <c r="Q1099">
        <v>0.1692361</v>
      </c>
      <c r="R1099">
        <v>5.3956130000000003E-4</v>
      </c>
      <c r="S1099">
        <v>3.0551759999999999</v>
      </c>
      <c r="T1099">
        <v>-6.6061739999999994E-2</v>
      </c>
      <c r="U1099">
        <v>0.2042542</v>
      </c>
      <c r="V1099">
        <v>-1.0775160000000001E-2</v>
      </c>
      <c r="W1099">
        <v>0.18228169999999999</v>
      </c>
      <c r="X1099">
        <v>0.98318729999999999</v>
      </c>
      <c r="Y1099">
        <v>-7.7075110000000002E-2</v>
      </c>
      <c r="Z1099">
        <v>1.057232E-3</v>
      </c>
      <c r="AA1099">
        <v>0.99702469999999999</v>
      </c>
      <c r="AB1099">
        <v>33</v>
      </c>
      <c r="AC1099">
        <v>48.855099999999901</v>
      </c>
      <c r="AD1099">
        <v>-1.0602047704169999</v>
      </c>
      <c r="AE1099">
        <v>3.2798999999999898</v>
      </c>
      <c r="AF1099">
        <v>-3.7868250683797</v>
      </c>
      <c r="AG1099">
        <v>-1.0602047704169999</v>
      </c>
      <c r="AH1099">
        <v>48.795409697372598</v>
      </c>
      <c r="AI1099">
        <v>91.240970920822093</v>
      </c>
      <c r="AJ1099">
        <v>94.437611684417803</v>
      </c>
      <c r="AK1099">
        <v>48.953611570426197</v>
      </c>
      <c r="AL1099">
        <v>79.497309270681399</v>
      </c>
      <c r="AM1099">
        <v>90.627903224660699</v>
      </c>
      <c r="AN1099">
        <v>0.99999999455460198</v>
      </c>
    </row>
    <row r="1100" spans="1:40" x14ac:dyDescent="0.25">
      <c r="A1100" t="str">
        <f>"20190312172109784"</f>
        <v>20190312172109784</v>
      </c>
      <c r="B1100" t="str">
        <f>"1552382469771896"</f>
        <v>1552382469771896</v>
      </c>
      <c r="C1100" t="s">
        <v>40</v>
      </c>
      <c r="D1100">
        <v>3.2054299999999998</v>
      </c>
      <c r="E1100">
        <v>0.47481190000000001</v>
      </c>
      <c r="F1100" t="s">
        <v>42</v>
      </c>
      <c r="G1100">
        <v>-240.26849999999999</v>
      </c>
      <c r="H1100" s="1">
        <v>-4.8872579999999999E-6</v>
      </c>
      <c r="I1100">
        <v>371.18950000000001</v>
      </c>
      <c r="J1100">
        <v>-289.26830000000001</v>
      </c>
      <c r="K1100">
        <v>1.060203</v>
      </c>
      <c r="L1100">
        <v>367.88909999999998</v>
      </c>
      <c r="M1100">
        <v>0.99985749999999995</v>
      </c>
      <c r="N1100">
        <v>0</v>
      </c>
      <c r="O1100">
        <v>-1.043856E-2</v>
      </c>
      <c r="P1100">
        <v>0.9856144</v>
      </c>
      <c r="Q1100">
        <v>0.16900950000000001</v>
      </c>
      <c r="R1100">
        <v>5.5342770000000002E-4</v>
      </c>
      <c r="S1100">
        <v>3.055145</v>
      </c>
      <c r="T1100">
        <v>-6.5901100000000004E-2</v>
      </c>
      <c r="U1100">
        <v>0.2050476</v>
      </c>
      <c r="V1100">
        <v>-1.0813100000000001E-2</v>
      </c>
      <c r="W1100">
        <v>0.18206410000000001</v>
      </c>
      <c r="X1100">
        <v>0.98322719999999997</v>
      </c>
      <c r="Y1100">
        <v>-7.7356919999999996E-2</v>
      </c>
      <c r="Z1100">
        <v>1.0582040000000001E-3</v>
      </c>
      <c r="AA1100">
        <v>0.99700290000000003</v>
      </c>
      <c r="AB1100">
        <v>33</v>
      </c>
      <c r="AC1100">
        <v>48.9998</v>
      </c>
      <c r="AD1100">
        <v>-1.0602078872579901</v>
      </c>
      <c r="AE1100">
        <v>3.3004000000000202</v>
      </c>
      <c r="AF1100">
        <v>-3.8099769053418799</v>
      </c>
      <c r="AG1100">
        <v>-1.0602078872579901</v>
      </c>
      <c r="AH1100">
        <v>48.939867237623901</v>
      </c>
      <c r="AI1100">
        <v>91.237289362250607</v>
      </c>
      <c r="AJ1100">
        <v>94.451507563449596</v>
      </c>
      <c r="AK1100">
        <v>49.099394802988101</v>
      </c>
      <c r="AL1100">
        <v>79.5099889945879</v>
      </c>
      <c r="AM1100">
        <v>90.630088364149799</v>
      </c>
      <c r="AN1100">
        <v>0.99999999323013</v>
      </c>
    </row>
    <row r="1101" spans="1:40" x14ac:dyDescent="0.25">
      <c r="A1101" t="str">
        <f>"20190312172109796"</f>
        <v>20190312172109796</v>
      </c>
      <c r="B1101" t="str">
        <f>"1552382469792391"</f>
        <v>1552382469792391</v>
      </c>
      <c r="C1101" t="s">
        <v>40</v>
      </c>
      <c r="D1101">
        <v>3.266664</v>
      </c>
      <c r="E1101">
        <v>0.47474280000000002</v>
      </c>
      <c r="F1101" t="s">
        <v>42</v>
      </c>
      <c r="G1101">
        <v>-240.6465</v>
      </c>
      <c r="H1101" s="1">
        <v>-4.737769E-6</v>
      </c>
      <c r="I1101">
        <v>371.1651</v>
      </c>
      <c r="J1101">
        <v>-289.0917</v>
      </c>
      <c r="K1101">
        <v>1.060208</v>
      </c>
      <c r="L1101">
        <v>367.88729999999998</v>
      </c>
      <c r="M1101">
        <v>0.99985729999999995</v>
      </c>
      <c r="N1101">
        <v>0</v>
      </c>
      <c r="O1101">
        <v>-1.046565E-2</v>
      </c>
      <c r="P1101">
        <v>0.98559669999999999</v>
      </c>
      <c r="Q1101">
        <v>0.16911279999999901</v>
      </c>
      <c r="R1101">
        <v>4.9827149999999995E-4</v>
      </c>
      <c r="S1101">
        <v>3.0550540000000002</v>
      </c>
      <c r="T1101">
        <v>-6.6616060000000005E-2</v>
      </c>
      <c r="U1101">
        <v>0.2058411</v>
      </c>
      <c r="V1101">
        <v>-1.078521E-2</v>
      </c>
      <c r="W1101">
        <v>0.18217620000000001</v>
      </c>
      <c r="X1101">
        <v>0.98320669999999999</v>
      </c>
      <c r="Y1101">
        <v>-7.7643190000000001E-2</v>
      </c>
      <c r="Z1101">
        <v>1.073411E-3</v>
      </c>
      <c r="AA1101">
        <v>0.99698059999999999</v>
      </c>
      <c r="AB1101">
        <v>33</v>
      </c>
      <c r="AC1101">
        <v>48.4452</v>
      </c>
      <c r="AD1101">
        <v>-1.0602127377689901</v>
      </c>
      <c r="AE1101">
        <v>3.2778000000000098</v>
      </c>
      <c r="AF1101">
        <v>-3.7828720205025101</v>
      </c>
      <c r="AG1101">
        <v>-1.0602127377689901</v>
      </c>
      <c r="AH1101">
        <v>48.385170866168302</v>
      </c>
      <c r="AI1101">
        <v>91.2514428728865</v>
      </c>
      <c r="AJ1101">
        <v>94.470431683977694</v>
      </c>
      <c r="AK1101">
        <v>48.544401649635503</v>
      </c>
      <c r="AL1101">
        <v>79.503456456509895</v>
      </c>
      <c r="AM1101">
        <v>90.628476423584203</v>
      </c>
      <c r="AN1101">
        <v>0.99999995176303502</v>
      </c>
    </row>
    <row r="1102" spans="1:40" x14ac:dyDescent="0.25">
      <c r="A1102" t="str">
        <f>"20190312172109808"</f>
        <v>20190312172109808</v>
      </c>
      <c r="B1102" t="str">
        <f>"1552382469802151"</f>
        <v>1552382469802151</v>
      </c>
      <c r="C1102" t="s">
        <v>40</v>
      </c>
      <c r="D1102">
        <v>3.1964839999999999</v>
      </c>
      <c r="E1102">
        <v>0.47471259999999998</v>
      </c>
      <c r="F1102" t="s">
        <v>42</v>
      </c>
      <c r="G1102">
        <v>-240.2637</v>
      </c>
      <c r="H1102" s="1">
        <v>-4.8876910000000002E-6</v>
      </c>
      <c r="I1102">
        <v>371.18150000000003</v>
      </c>
      <c r="J1102">
        <v>-288.92899999999997</v>
      </c>
      <c r="K1102">
        <v>1.0602129999999901</v>
      </c>
      <c r="L1102">
        <v>367.88549999999998</v>
      </c>
      <c r="M1102">
        <v>0.99985679999999999</v>
      </c>
      <c r="N1102">
        <v>0</v>
      </c>
      <c r="O1102">
        <v>-1.048904E-2</v>
      </c>
      <c r="P1102">
        <v>0.98563299999999998</v>
      </c>
      <c r="Q1102">
        <v>0.16890069999999999</v>
      </c>
      <c r="R1102">
        <v>5.0443410000000004E-4</v>
      </c>
      <c r="S1102">
        <v>3.0550839999999999</v>
      </c>
      <c r="T1102">
        <v>-6.6335619999999998E-2</v>
      </c>
      <c r="U1102">
        <v>0.20611570000000001</v>
      </c>
      <c r="V1102">
        <v>-1.081564E-2</v>
      </c>
      <c r="W1102">
        <v>0.18197269999999999</v>
      </c>
      <c r="X1102">
        <v>0.98324409999999896</v>
      </c>
      <c r="Y1102">
        <v>-7.7755210000000005E-2</v>
      </c>
      <c r="Z1102">
        <v>1.0706019999999999E-3</v>
      </c>
      <c r="AA1102">
        <v>0.99697190000000002</v>
      </c>
      <c r="AB1102">
        <v>33</v>
      </c>
      <c r="AC1102">
        <v>48.665300000000002</v>
      </c>
      <c r="AD1102">
        <v>-1.06021788769099</v>
      </c>
      <c r="AE1102">
        <v>3.2960000000000398</v>
      </c>
      <c r="AF1102">
        <v>-3.8045184680781099</v>
      </c>
      <c r="AG1102">
        <v>-1.06021788769099</v>
      </c>
      <c r="AH1102">
        <v>48.6050835571018</v>
      </c>
      <c r="AI1102">
        <v>91.245779711804204</v>
      </c>
      <c r="AJ1102">
        <v>94.475649115550397</v>
      </c>
      <c r="AK1102">
        <v>48.765280377910003</v>
      </c>
      <c r="AL1102">
        <v>79.515314877037497</v>
      </c>
      <c r="AM1102">
        <v>90.630225528504297</v>
      </c>
      <c r="AN1102">
        <v>1.0000000008993499</v>
      </c>
    </row>
    <row r="1103" spans="1:40" x14ac:dyDescent="0.25">
      <c r="A1103" t="str">
        <f>"20190312172109818"</f>
        <v>20190312172109818</v>
      </c>
      <c r="B1103" t="str">
        <f>"1552382469812886"</f>
        <v>1552382469812886</v>
      </c>
      <c r="C1103" t="s">
        <v>40</v>
      </c>
      <c r="D1103">
        <v>3.1945790000000001</v>
      </c>
      <c r="E1103">
        <v>0.47469230000000001</v>
      </c>
      <c r="F1103" t="s">
        <v>42</v>
      </c>
      <c r="G1103">
        <v>-240.51439999999999</v>
      </c>
      <c r="H1103" s="1">
        <v>-4.7869270000000004E-6</v>
      </c>
      <c r="I1103">
        <v>371.15620000000001</v>
      </c>
      <c r="J1103">
        <v>-288.76119999999997</v>
      </c>
      <c r="K1103">
        <v>1.0602149999999999</v>
      </c>
      <c r="L1103">
        <v>367.88380000000001</v>
      </c>
      <c r="M1103">
        <v>0.99985659999999998</v>
      </c>
      <c r="N1103">
        <v>0</v>
      </c>
      <c r="O1103">
        <v>-1.051266E-2</v>
      </c>
      <c r="P1103">
        <v>0.98558780000000001</v>
      </c>
      <c r="Q1103">
        <v>0.16916510000000001</v>
      </c>
      <c r="R1103">
        <v>2.6249839999999998E-4</v>
      </c>
      <c r="S1103">
        <v>3.0551149999999998</v>
      </c>
      <c r="T1103">
        <v>-6.6903110000000002E-2</v>
      </c>
      <c r="U1103">
        <v>0.2063904</v>
      </c>
      <c r="V1103">
        <v>-1.059708E-2</v>
      </c>
      <c r="W1103">
        <v>0.18224460000000001</v>
      </c>
      <c r="X1103">
        <v>0.98319610000000002</v>
      </c>
      <c r="Y1103">
        <v>-7.7866909999999998E-2</v>
      </c>
      <c r="Z1103">
        <v>1.0814830000000001E-3</v>
      </c>
      <c r="AA1103">
        <v>0.99696320000000005</v>
      </c>
      <c r="AB1103">
        <v>33</v>
      </c>
      <c r="AC1103">
        <v>48.246799999999901</v>
      </c>
      <c r="AD1103">
        <v>-1.06021978692699</v>
      </c>
      <c r="AE1103">
        <v>3.2724000000000002</v>
      </c>
      <c r="AF1103">
        <v>-3.77765018440794</v>
      </c>
      <c r="AG1103">
        <v>-1.06021978692699</v>
      </c>
      <c r="AH1103">
        <v>48.186566167563697</v>
      </c>
      <c r="AI1103">
        <v>91.256586589193105</v>
      </c>
      <c r="AJ1103">
        <v>94.482610774782401</v>
      </c>
      <c r="AK1103">
        <v>48.346042919078101</v>
      </c>
      <c r="AL1103">
        <v>79.499471019584107</v>
      </c>
      <c r="AM1103">
        <v>90.617521214063402</v>
      </c>
      <c r="AN1103">
        <v>0.99999998169444804</v>
      </c>
    </row>
    <row r="1104" spans="1:40" x14ac:dyDescent="0.25">
      <c r="A1104" t="str">
        <f>"20190312172109830"</f>
        <v>20190312172109830</v>
      </c>
      <c r="B1104" t="str">
        <f>"1552382469822648"</f>
        <v>1552382469822648</v>
      </c>
      <c r="C1104" t="s">
        <v>40</v>
      </c>
      <c r="D1104">
        <v>3.2678769999999999</v>
      </c>
      <c r="E1104">
        <v>0.47466229999999998</v>
      </c>
      <c r="F1104" t="s">
        <v>42</v>
      </c>
      <c r="G1104">
        <v>-239.8546</v>
      </c>
      <c r="H1104" s="1">
        <v>-4.6001320000000002E-7</v>
      </c>
      <c r="I1104">
        <v>371.1773</v>
      </c>
      <c r="J1104">
        <v>-288.60390000000001</v>
      </c>
      <c r="K1104">
        <v>1.060216</v>
      </c>
      <c r="L1104">
        <v>367.88200000000001</v>
      </c>
      <c r="M1104">
        <v>0.99985619999999997</v>
      </c>
      <c r="N1104">
        <v>0</v>
      </c>
      <c r="O1104">
        <v>-1.053246E-2</v>
      </c>
      <c r="P1104">
        <v>0.9856201</v>
      </c>
      <c r="Q1104">
        <v>0.16897609999999999</v>
      </c>
      <c r="R1104">
        <v>2.6540830000000001E-4</v>
      </c>
      <c r="S1104">
        <v>3.0551759999999999</v>
      </c>
      <c r="T1104">
        <v>-6.6231129999999999E-2</v>
      </c>
      <c r="U1104">
        <v>0.2057495</v>
      </c>
      <c r="V1104">
        <v>-1.0620879999999999E-2</v>
      </c>
      <c r="W1104">
        <v>0.18206230000000001</v>
      </c>
      <c r="X1104">
        <v>0.98322960000000004</v>
      </c>
      <c r="Y1104">
        <v>-7.7677599999999999E-2</v>
      </c>
      <c r="Z1104">
        <v>1.0689880000000001E-3</v>
      </c>
      <c r="AA1104">
        <v>0.99697800000000003</v>
      </c>
      <c r="AB1104">
        <v>33</v>
      </c>
      <c r="AC1104">
        <v>48.749299999999998</v>
      </c>
      <c r="AD1104">
        <v>-1.06021646001319</v>
      </c>
      <c r="AE1104">
        <v>3.2953000000000499</v>
      </c>
      <c r="AF1104">
        <v>-3.80682019295087</v>
      </c>
      <c r="AG1104">
        <v>-1.06021646001319</v>
      </c>
      <c r="AH1104">
        <v>48.688960160086097</v>
      </c>
      <c r="AI1104">
        <v>91.243641069282504</v>
      </c>
      <c r="AJ1104">
        <v>94.4706623053562</v>
      </c>
      <c r="AK1104">
        <v>48.849061202790701</v>
      </c>
      <c r="AL1104">
        <v>79.510093583069605</v>
      </c>
      <c r="AM1104">
        <v>90.618886912831599</v>
      </c>
      <c r="AN1104">
        <v>0.99999996524471102</v>
      </c>
    </row>
    <row r="1105" spans="1:40" x14ac:dyDescent="0.25">
      <c r="A1105" t="str">
        <f>"20190312172109841"</f>
        <v>20190312172109841</v>
      </c>
      <c r="B1105" t="str">
        <f>"1552382469832408"</f>
        <v>1552382469832408</v>
      </c>
      <c r="C1105" t="s">
        <v>40</v>
      </c>
      <c r="D1105">
        <v>3.1961759999999999</v>
      </c>
      <c r="E1105">
        <v>0.47461439999999999</v>
      </c>
      <c r="F1105" t="s">
        <v>42</v>
      </c>
      <c r="G1105">
        <v>-239.84389999999999</v>
      </c>
      <c r="H1105" s="1">
        <v>-4.6401370000000001E-7</v>
      </c>
      <c r="I1105">
        <v>371.17500000000001</v>
      </c>
      <c r="J1105">
        <v>-288.43770000000001</v>
      </c>
      <c r="K1105">
        <v>1.0602180000000001</v>
      </c>
      <c r="L1105">
        <v>367.88029999999998</v>
      </c>
      <c r="M1105">
        <v>0.99985599999999997</v>
      </c>
      <c r="N1105">
        <v>0</v>
      </c>
      <c r="O1105">
        <v>-1.055296E-2</v>
      </c>
      <c r="P1105">
        <v>0.98558619999999997</v>
      </c>
      <c r="Q1105">
        <v>0.1691744</v>
      </c>
      <c r="R1105">
        <v>1.327144E-4</v>
      </c>
      <c r="S1105">
        <v>3.0551149999999998</v>
      </c>
      <c r="T1105">
        <v>-6.6428959999999995E-2</v>
      </c>
      <c r="U1105">
        <v>0.20632929999999999</v>
      </c>
      <c r="V1105">
        <v>-1.050983E-2</v>
      </c>
      <c r="W1105">
        <v>0.1822676</v>
      </c>
      <c r="X1105">
        <v>0.98319279999999998</v>
      </c>
      <c r="Y1105">
        <v>-7.7887570000000003E-2</v>
      </c>
      <c r="Z1105">
        <v>1.07492E-3</v>
      </c>
      <c r="AA1105">
        <v>0.9969616</v>
      </c>
      <c r="AB1105">
        <v>32</v>
      </c>
      <c r="AC1105">
        <v>48.593800000000002</v>
      </c>
      <c r="AD1105">
        <v>-1.06021846401369</v>
      </c>
      <c r="AE1105">
        <v>3.2947000000000299</v>
      </c>
      <c r="AF1105">
        <v>-3.8055669713202702</v>
      </c>
      <c r="AG1105">
        <v>-1.06021846401369</v>
      </c>
      <c r="AH1105">
        <v>48.533324397399902</v>
      </c>
      <c r="AI1105">
        <v>91.247608423713302</v>
      </c>
      <c r="AJ1105">
        <v>94.483469903538605</v>
      </c>
      <c r="AK1105">
        <v>48.693839243048899</v>
      </c>
      <c r="AL1105">
        <v>79.498131050989997</v>
      </c>
      <c r="AM1105">
        <v>90.612439359117801</v>
      </c>
      <c r="AN1105">
        <v>1.0000000082541101</v>
      </c>
    </row>
    <row r="1106" spans="1:40" x14ac:dyDescent="0.25">
      <c r="A1106" t="str">
        <f>"20190312172109851"</f>
        <v>20190312172109851</v>
      </c>
      <c r="B1106" t="str">
        <f>"1552382469842167"</f>
        <v>1552382469842167</v>
      </c>
      <c r="C1106" t="s">
        <v>40</v>
      </c>
      <c r="D1106">
        <v>3.1975570000000002</v>
      </c>
      <c r="E1106">
        <v>0.47455849999999999</v>
      </c>
      <c r="F1106" t="s">
        <v>42</v>
      </c>
      <c r="G1106">
        <v>-238.98220000000001</v>
      </c>
      <c r="H1106" s="1">
        <v>-8.4451009999999897E-7</v>
      </c>
      <c r="I1106">
        <v>371.2158</v>
      </c>
      <c r="J1106">
        <v>-288.27839999999998</v>
      </c>
      <c r="K1106">
        <v>1.060222</v>
      </c>
      <c r="L1106">
        <v>367.87860000000001</v>
      </c>
      <c r="M1106">
        <v>0.99985570000000001</v>
      </c>
      <c r="N1106">
        <v>0</v>
      </c>
      <c r="O1106">
        <v>-1.0568930000000001E-2</v>
      </c>
      <c r="P1106">
        <v>0.98561140000000003</v>
      </c>
      <c r="Q1106">
        <v>0.1690284</v>
      </c>
      <c r="R1106" s="1">
        <v>-4.2992179999999997E-5</v>
      </c>
      <c r="S1106">
        <v>3.0551149999999998</v>
      </c>
      <c r="T1106">
        <v>-6.5495010000000006E-2</v>
      </c>
      <c r="U1106">
        <v>0.20605470000000001</v>
      </c>
      <c r="V1106">
        <v>-1.035117E-2</v>
      </c>
      <c r="W1106">
        <v>0.18212790000000001</v>
      </c>
      <c r="X1106">
        <v>0.98322030000000005</v>
      </c>
      <c r="Y1106">
        <v>-7.781486E-2</v>
      </c>
      <c r="Z1106">
        <v>1.0593779999999999E-3</v>
      </c>
      <c r="AA1106">
        <v>0.9969673</v>
      </c>
      <c r="AB1106">
        <v>32</v>
      </c>
      <c r="AC1106">
        <v>49.296199999999899</v>
      </c>
      <c r="AD1106">
        <v>-1.0602228445101001</v>
      </c>
      <c r="AE1106">
        <v>3.33719999999999</v>
      </c>
      <c r="AF1106">
        <v>-3.8562921193505901</v>
      </c>
      <c r="AG1106">
        <v>-1.0602228445101001</v>
      </c>
      <c r="AH1106">
        <v>49.235501989845297</v>
      </c>
      <c r="AI1106">
        <v>91.229834529690393</v>
      </c>
      <c r="AJ1106">
        <v>94.478457643691101</v>
      </c>
      <c r="AK1106">
        <v>49.3976691513056</v>
      </c>
      <c r="AL1106">
        <v>79.506270787149901</v>
      </c>
      <c r="AM1106">
        <v>90.603177583076103</v>
      </c>
      <c r="AN1106">
        <v>0.99999993850543201</v>
      </c>
    </row>
    <row r="1107" spans="1:40" x14ac:dyDescent="0.25">
      <c r="A1107" t="str">
        <f>"20190312172109862"</f>
        <v>20190312172109862</v>
      </c>
      <c r="B1107" t="str">
        <f>"1552382469852436"</f>
        <v>1552382469852436</v>
      </c>
      <c r="C1107" t="s">
        <v>40</v>
      </c>
      <c r="D1107">
        <v>3.1853630000000002</v>
      </c>
      <c r="E1107">
        <v>0.47449560000000002</v>
      </c>
      <c r="F1107" t="s">
        <v>42</v>
      </c>
      <c r="G1107">
        <v>-238.73759999999999</v>
      </c>
      <c r="H1107" s="1">
        <v>-9.5175120000000005E-7</v>
      </c>
      <c r="I1107">
        <v>371.2244</v>
      </c>
      <c r="J1107">
        <v>-288.14330000000001</v>
      </c>
      <c r="K1107">
        <v>1.0602259999999999</v>
      </c>
      <c r="L1107">
        <v>367.87709999999998</v>
      </c>
      <c r="M1107">
        <v>0.99985550000000001</v>
      </c>
      <c r="N1107">
        <v>0</v>
      </c>
      <c r="O1107">
        <v>-1.0581790000000001E-2</v>
      </c>
      <c r="P1107">
        <v>0.98560239999999999</v>
      </c>
      <c r="Q1107">
        <v>0.1690806</v>
      </c>
      <c r="R1107" s="1">
        <v>-3.5486179999999998E-5</v>
      </c>
      <c r="S1107">
        <v>3.0550229999999998</v>
      </c>
      <c r="T1107">
        <v>-6.5380450000000007E-2</v>
      </c>
      <c r="U1107">
        <v>0.20632929999999999</v>
      </c>
      <c r="V1107">
        <v>-1.0372630000000001E-2</v>
      </c>
      <c r="W1107">
        <v>0.1821846</v>
      </c>
      <c r="X1107">
        <v>0.98320960000000002</v>
      </c>
      <c r="Y1107">
        <v>-7.7918950000000001E-2</v>
      </c>
      <c r="Z1107">
        <v>1.0589410000000001E-3</v>
      </c>
      <c r="AA1107">
        <v>0.99695909999999999</v>
      </c>
      <c r="AB1107">
        <v>32</v>
      </c>
      <c r="AC1107">
        <v>49.405700000000003</v>
      </c>
      <c r="AD1107">
        <v>-1.0602269517512</v>
      </c>
      <c r="AE1107">
        <v>3.3473000000000099</v>
      </c>
      <c r="AF1107">
        <v>-3.8681863558271701</v>
      </c>
      <c r="AG1107">
        <v>-1.0602269517512</v>
      </c>
      <c r="AH1107">
        <v>49.344889569700101</v>
      </c>
      <c r="AI1107">
        <v>91.227107382904094</v>
      </c>
      <c r="AJ1107">
        <v>94.482296717450595</v>
      </c>
      <c r="AK1107">
        <v>49.507626417740099</v>
      </c>
      <c r="AL1107">
        <v>79.502967160754594</v>
      </c>
      <c r="AM1107">
        <v>90.604434572838898</v>
      </c>
      <c r="AN1107">
        <v>0.99999996873121799</v>
      </c>
    </row>
    <row r="1108" spans="1:40" x14ac:dyDescent="0.25">
      <c r="A1108" t="str">
        <f>"20190312172109871"</f>
        <v>20190312172109871</v>
      </c>
      <c r="B1108" t="str">
        <f>"1552382469862196"</f>
        <v>1552382469862196</v>
      </c>
      <c r="C1108" t="s">
        <v>40</v>
      </c>
      <c r="D1108">
        <v>3.1880829999999998</v>
      </c>
      <c r="E1108">
        <v>0.4744333</v>
      </c>
      <c r="F1108" t="s">
        <v>42</v>
      </c>
      <c r="G1108">
        <v>-238.43860000000001</v>
      </c>
      <c r="H1108" s="1">
        <v>-1.0849570000000001E-6</v>
      </c>
      <c r="I1108">
        <v>371.24299999999999</v>
      </c>
      <c r="J1108">
        <v>-287.99149999999997</v>
      </c>
      <c r="K1108">
        <v>1.0602309999999999</v>
      </c>
      <c r="L1108">
        <v>367.87549999999999</v>
      </c>
      <c r="M1108">
        <v>0.9998553</v>
      </c>
      <c r="N1108">
        <v>0</v>
      </c>
      <c r="O1108">
        <v>-1.0593450000000001E-2</v>
      </c>
      <c r="P1108">
        <v>0.98563679999999998</v>
      </c>
      <c r="Q1108">
        <v>0.1688789</v>
      </c>
      <c r="R1108">
        <v>-1.9964949999999999E-4</v>
      </c>
      <c r="S1108">
        <v>3.0550540000000002</v>
      </c>
      <c r="T1108">
        <v>-6.5165760000000003E-2</v>
      </c>
      <c r="U1108">
        <v>0.2068787</v>
      </c>
      <c r="V1108">
        <v>-1.022204E-2</v>
      </c>
      <c r="W1108">
        <v>0.18198909999999999</v>
      </c>
      <c r="X1108">
        <v>0.98324739999999999</v>
      </c>
      <c r="Y1108">
        <v>-7.8108449999999996E-2</v>
      </c>
      <c r="Z1108">
        <v>1.057714E-3</v>
      </c>
      <c r="AA1108">
        <v>0.99694430000000001</v>
      </c>
      <c r="AB1108">
        <v>32</v>
      </c>
      <c r="AC1108">
        <v>49.552899999999902</v>
      </c>
      <c r="AD1108">
        <v>-1.0602320849569999</v>
      </c>
      <c r="AE1108">
        <v>3.3675000000000601</v>
      </c>
      <c r="AF1108">
        <v>-3.8905208381970402</v>
      </c>
      <c r="AG1108">
        <v>-1.0602320849569999</v>
      </c>
      <c r="AH1108">
        <v>49.491889778779701</v>
      </c>
      <c r="AI1108">
        <v>91.223448830177603</v>
      </c>
      <c r="AJ1108">
        <v>94.494735763039699</v>
      </c>
      <c r="AK1108">
        <v>49.655889865566699</v>
      </c>
      <c r="AL1108">
        <v>79.514359112791894</v>
      </c>
      <c r="AM1108">
        <v>90.595637121530899</v>
      </c>
      <c r="AN1108">
        <v>0.99999998611366503</v>
      </c>
    </row>
    <row r="1109" spans="1:40" x14ac:dyDescent="0.25">
      <c r="A1109" t="str">
        <f>"20190312172109882"</f>
        <v>20190312172109882</v>
      </c>
      <c r="B1109" t="str">
        <f>"1552382469871956"</f>
        <v>1552382469871956</v>
      </c>
      <c r="C1109" t="s">
        <v>40</v>
      </c>
      <c r="D1109">
        <v>3.2108460000000001</v>
      </c>
      <c r="E1109">
        <v>0.47437950000000001</v>
      </c>
      <c r="F1109" t="s">
        <v>42</v>
      </c>
      <c r="G1109">
        <v>-238.7244</v>
      </c>
      <c r="H1109" s="1">
        <v>-9.5350090000000004E-7</v>
      </c>
      <c r="I1109">
        <v>371.2097</v>
      </c>
      <c r="J1109">
        <v>-287.84030000000001</v>
      </c>
      <c r="K1109">
        <v>1.0602339999999999</v>
      </c>
      <c r="L1109">
        <v>367.87389999999999</v>
      </c>
      <c r="M1109">
        <v>0.9998551</v>
      </c>
      <c r="N1109">
        <v>0</v>
      </c>
      <c r="O1109">
        <v>-1.0603909999999999E-2</v>
      </c>
      <c r="P1109">
        <v>0.98561719999999997</v>
      </c>
      <c r="Q1109">
        <v>0.1689938</v>
      </c>
      <c r="R1109" s="1">
        <v>3.9618459999999999E-6</v>
      </c>
      <c r="S1109">
        <v>3.0550229999999998</v>
      </c>
      <c r="T1109">
        <v>-6.5744280000000002E-2</v>
      </c>
      <c r="U1109">
        <v>0.20675660000000001</v>
      </c>
      <c r="V1109">
        <v>-1.043701E-2</v>
      </c>
      <c r="W1109">
        <v>0.1821082</v>
      </c>
      <c r="X1109">
        <v>0.98322310000000002</v>
      </c>
      <c r="Y1109">
        <v>-7.8079540000000003E-2</v>
      </c>
      <c r="Z1109">
        <v>1.0670289999999999E-3</v>
      </c>
      <c r="AA1109">
        <v>0.99694660000000002</v>
      </c>
      <c r="AB1109">
        <v>32</v>
      </c>
      <c r="AC1109">
        <v>49.115900000000003</v>
      </c>
      <c r="AD1109">
        <v>-1.0602349535008999</v>
      </c>
      <c r="AE1109">
        <v>3.3357999999999999</v>
      </c>
      <c r="AF1109">
        <v>-3.8546912555694499</v>
      </c>
      <c r="AG1109">
        <v>-1.0602349535008999</v>
      </c>
      <c r="AH1109">
        <v>49.055009088518297</v>
      </c>
      <c r="AI1109">
        <v>91.234347688788603</v>
      </c>
      <c r="AJ1109">
        <v>94.493009954807903</v>
      </c>
      <c r="AK1109">
        <v>49.217645814351997</v>
      </c>
      <c r="AL1109">
        <v>79.507419321599897</v>
      </c>
      <c r="AM1109">
        <v>90.608177497496001</v>
      </c>
      <c r="AN1109">
        <v>0.99999999602929501</v>
      </c>
    </row>
    <row r="1110" spans="1:40" x14ac:dyDescent="0.25">
      <c r="A1110" t="str">
        <f>"20190312172109892"</f>
        <v>20190312172109892</v>
      </c>
      <c r="B1110" t="str">
        <f>"1552382469882691"</f>
        <v>1552382469882691</v>
      </c>
      <c r="C1110" t="s">
        <v>40</v>
      </c>
      <c r="D1110">
        <v>3.1916069999999999</v>
      </c>
      <c r="E1110">
        <v>0.4743155</v>
      </c>
      <c r="F1110" t="s">
        <v>42</v>
      </c>
      <c r="G1110">
        <v>-238.42439999999999</v>
      </c>
      <c r="H1110" s="1">
        <v>-1.0882499999999999E-6</v>
      </c>
      <c r="I1110">
        <v>371.23250000000002</v>
      </c>
      <c r="J1110">
        <v>-287.68619999999999</v>
      </c>
      <c r="K1110">
        <v>1.0602400000000001</v>
      </c>
      <c r="L1110">
        <v>367.8723</v>
      </c>
      <c r="M1110">
        <v>0.99985500000000005</v>
      </c>
      <c r="N1110">
        <v>0</v>
      </c>
      <c r="O1110">
        <v>-1.061139E-2</v>
      </c>
      <c r="P1110">
        <v>0.9856241</v>
      </c>
      <c r="Q1110">
        <v>0.16895289999999999</v>
      </c>
      <c r="R1110" s="1">
        <v>9.6105040000000005E-5</v>
      </c>
      <c r="S1110">
        <v>3.0550540000000002</v>
      </c>
      <c r="T1110">
        <v>-6.5547110000000006E-2</v>
      </c>
      <c r="U1110">
        <v>0.20764160000000001</v>
      </c>
      <c r="V1110">
        <v>-1.053835E-2</v>
      </c>
      <c r="W1110">
        <v>0.18207209999999999</v>
      </c>
      <c r="X1110">
        <v>0.98322869999999996</v>
      </c>
      <c r="Y1110">
        <v>-7.8373869999999998E-2</v>
      </c>
      <c r="Z1110">
        <v>1.0671229999999999E-3</v>
      </c>
      <c r="AA1110">
        <v>0.99692340000000002</v>
      </c>
      <c r="AB1110">
        <v>32</v>
      </c>
      <c r="AC1110">
        <v>49.261800000000001</v>
      </c>
      <c r="AD1110">
        <v>-1.06024108825</v>
      </c>
      <c r="AE1110">
        <v>3.3602000000000198</v>
      </c>
      <c r="AF1110">
        <v>-3.8810038793951001</v>
      </c>
      <c r="AG1110">
        <v>-1.06024108825</v>
      </c>
      <c r="AH1110">
        <v>49.200681131312997</v>
      </c>
      <c r="AI1110">
        <v>91.230672223766803</v>
      </c>
      <c r="AJ1110">
        <v>94.510215091744797</v>
      </c>
      <c r="AK1110">
        <v>49.364899737184103</v>
      </c>
      <c r="AL1110">
        <v>79.509522818189197</v>
      </c>
      <c r="AM1110">
        <v>90.614078757503293</v>
      </c>
      <c r="AN1110">
        <v>0.99999999146141105</v>
      </c>
    </row>
    <row r="1111" spans="1:40" x14ac:dyDescent="0.25">
      <c r="A1111" t="str">
        <f>"20190312172109904"</f>
        <v>20190312172109904</v>
      </c>
      <c r="B1111" t="str">
        <f>"1552382469902211"</f>
        <v>1552382469902211</v>
      </c>
      <c r="C1111" t="s">
        <v>40</v>
      </c>
      <c r="D1111">
        <v>3.1833680000000002</v>
      </c>
      <c r="E1111">
        <v>0.47416540000000001</v>
      </c>
      <c r="F1111" t="s">
        <v>42</v>
      </c>
      <c r="G1111">
        <v>-238.34270000000001</v>
      </c>
      <c r="H1111" s="1">
        <v>-1.1252499999999999E-6</v>
      </c>
      <c r="I1111">
        <v>371.2398</v>
      </c>
      <c r="J1111">
        <v>-287.52409999999998</v>
      </c>
      <c r="K1111">
        <v>1.060246</v>
      </c>
      <c r="L1111">
        <v>367.87049999999999</v>
      </c>
      <c r="M1111">
        <v>0.99985480000000004</v>
      </c>
      <c r="N1111">
        <v>0</v>
      </c>
      <c r="O1111">
        <v>-1.061791E-2</v>
      </c>
      <c r="P1111">
        <v>0.98562939999999999</v>
      </c>
      <c r="Q1111">
        <v>0.16892109999999999</v>
      </c>
      <c r="R1111">
        <v>1.7199939999999999E-4</v>
      </c>
      <c r="S1111">
        <v>3.0550229999999998</v>
      </c>
      <c r="T1111">
        <v>-6.5642950000000005E-2</v>
      </c>
      <c r="U1111">
        <v>0.20849609999999999</v>
      </c>
      <c r="V1111">
        <v>-1.062279E-2</v>
      </c>
      <c r="W1111">
        <v>0.18204490000000001</v>
      </c>
      <c r="X1111">
        <v>0.98323289999999997</v>
      </c>
      <c r="Y1111">
        <v>-7.8658459999999999E-2</v>
      </c>
      <c r="Z1111">
        <v>1.0718769999999999E-3</v>
      </c>
      <c r="AA1111">
        <v>0.99690100000000004</v>
      </c>
      <c r="AB1111">
        <v>32</v>
      </c>
      <c r="AC1111">
        <v>49.181399999999897</v>
      </c>
      <c r="AD1111">
        <v>-1.0602471252500001</v>
      </c>
      <c r="AE1111">
        <v>3.3693</v>
      </c>
      <c r="AF1111">
        <v>-3.88956090007414</v>
      </c>
      <c r="AG1111">
        <v>-1.0602471252500001</v>
      </c>
      <c r="AH1111">
        <v>49.1201273972612</v>
      </c>
      <c r="AI1111">
        <v>91.232667457236701</v>
      </c>
      <c r="AJ1111">
        <v>94.527500161445701</v>
      </c>
      <c r="AK1111">
        <v>49.285289118408997</v>
      </c>
      <c r="AL1111">
        <v>79.511108504441196</v>
      </c>
      <c r="AM1111">
        <v>90.618996123986804</v>
      </c>
      <c r="AN1111">
        <v>1.0000000624629</v>
      </c>
    </row>
    <row r="1112" spans="1:40" x14ac:dyDescent="0.25">
      <c r="A1112" t="str">
        <f>"20190312172109914"</f>
        <v>20190312172109914</v>
      </c>
      <c r="B1112" t="str">
        <f>"1552382469911973"</f>
        <v>1552382469911973</v>
      </c>
      <c r="C1112" t="s">
        <v>40</v>
      </c>
      <c r="D1112">
        <v>3.2040489999999999</v>
      </c>
      <c r="E1112">
        <v>0.47413240000000001</v>
      </c>
      <c r="F1112" t="s">
        <v>42</v>
      </c>
      <c r="G1112">
        <v>-238.2713</v>
      </c>
      <c r="H1112" s="1">
        <v>-1.1586410000000001E-6</v>
      </c>
      <c r="I1112">
        <v>371.25020000000001</v>
      </c>
      <c r="J1112">
        <v>-287.36169999999998</v>
      </c>
      <c r="K1112">
        <v>1.060249</v>
      </c>
      <c r="L1112">
        <v>367.86880000000002</v>
      </c>
      <c r="M1112">
        <v>0.99985469999999999</v>
      </c>
      <c r="N1112">
        <v>0</v>
      </c>
      <c r="O1112">
        <v>-1.0622650000000001E-2</v>
      </c>
      <c r="P1112">
        <v>0.98560009999999998</v>
      </c>
      <c r="Q1112">
        <v>0.16909399999999999</v>
      </c>
      <c r="R1112">
        <v>3.256248E-4</v>
      </c>
      <c r="S1112">
        <v>3.054932</v>
      </c>
      <c r="T1112">
        <v>-6.5762219999999996E-2</v>
      </c>
      <c r="U1112">
        <v>0.20962520000000001</v>
      </c>
      <c r="V1112">
        <v>-1.078278E-2</v>
      </c>
      <c r="W1112">
        <v>0.1822212</v>
      </c>
      <c r="X1112">
        <v>0.98319840000000003</v>
      </c>
      <c r="Y1112">
        <v>-7.9031799999999999E-2</v>
      </c>
      <c r="Z1112">
        <v>1.077957E-3</v>
      </c>
      <c r="AA1112">
        <v>0.99687150000000002</v>
      </c>
      <c r="AB1112">
        <v>32</v>
      </c>
      <c r="AC1112">
        <v>49.090399999999903</v>
      </c>
      <c r="AD1112">
        <v>-1.060250158641</v>
      </c>
      <c r="AE1112">
        <v>3.3813999999999802</v>
      </c>
      <c r="AF1112">
        <v>-3.9009146011204798</v>
      </c>
      <c r="AG1112">
        <v>-1.060250158641</v>
      </c>
      <c r="AH1112">
        <v>49.028944587034097</v>
      </c>
      <c r="AI1112">
        <v>91.234925873663997</v>
      </c>
      <c r="AJ1112">
        <v>94.549070030656694</v>
      </c>
      <c r="AK1112">
        <v>49.1953114884192</v>
      </c>
      <c r="AL1112">
        <v>79.500834384262305</v>
      </c>
      <c r="AM1112">
        <v>90.628340137702594</v>
      </c>
      <c r="AN1112">
        <v>0.99999996391826296</v>
      </c>
    </row>
    <row r="1113" spans="1:40" x14ac:dyDescent="0.25">
      <c r="A1113" t="str">
        <f>"20190312172109927"</f>
        <v>20190312172109927</v>
      </c>
      <c r="B1113" t="str">
        <f>"1552382469921731"</f>
        <v>1552382469921731</v>
      </c>
      <c r="C1113" t="s">
        <v>40</v>
      </c>
      <c r="D1113">
        <v>3.1766299999999998</v>
      </c>
      <c r="E1113">
        <v>0.47408470000000003</v>
      </c>
      <c r="F1113" t="s">
        <v>42</v>
      </c>
      <c r="G1113">
        <v>-237.86490000000001</v>
      </c>
      <c r="H1113" s="1">
        <v>-1.3411609999999999E-6</v>
      </c>
      <c r="I1113">
        <v>371.28089999999997</v>
      </c>
      <c r="J1113">
        <v>-287.18709999999999</v>
      </c>
      <c r="K1113">
        <v>1.0602510000000001</v>
      </c>
      <c r="L1113">
        <v>367.86689999999999</v>
      </c>
      <c r="M1113">
        <v>0.99985480000000004</v>
      </c>
      <c r="N1113">
        <v>0</v>
      </c>
      <c r="O1113">
        <v>-1.062596E-2</v>
      </c>
      <c r="P1113">
        <v>0.98562430000000001</v>
      </c>
      <c r="Q1113">
        <v>0.1689532</v>
      </c>
      <c r="R1113">
        <v>4.1501320000000001E-4</v>
      </c>
      <c r="S1113">
        <v>3.0550229999999998</v>
      </c>
      <c r="T1113">
        <v>-6.5440239999999997E-2</v>
      </c>
      <c r="U1113">
        <v>0.21060180000000001</v>
      </c>
      <c r="V1113">
        <v>-1.0876830000000001E-2</v>
      </c>
      <c r="W1113">
        <v>0.18208479999999999</v>
      </c>
      <c r="X1113">
        <v>0.98322270000000001</v>
      </c>
      <c r="Y1113">
        <v>-7.935035E-2</v>
      </c>
      <c r="Z1113">
        <v>1.0761150000000001E-3</v>
      </c>
      <c r="AA1113">
        <v>0.99684620000000002</v>
      </c>
      <c r="AB1113">
        <v>32</v>
      </c>
      <c r="AC1113">
        <v>49.322199999999903</v>
      </c>
      <c r="AD1113">
        <v>-1.0602523411610001</v>
      </c>
      <c r="AE1113">
        <v>3.4139999999999802</v>
      </c>
      <c r="AF1113">
        <v>-3.9361392498007501</v>
      </c>
      <c r="AG1113">
        <v>-1.0602523411610001</v>
      </c>
      <c r="AH1113">
        <v>49.260480068619302</v>
      </c>
      <c r="AI1113">
        <v>91.229092547541001</v>
      </c>
      <c r="AJ1113">
        <v>94.568490301324601</v>
      </c>
      <c r="AK1113">
        <v>49.428860231767402</v>
      </c>
      <c r="AL1113">
        <v>79.5087831877577</v>
      </c>
      <c r="AM1113">
        <v>90.633804562940497</v>
      </c>
      <c r="AN1113">
        <v>1.00000002880858</v>
      </c>
    </row>
    <row r="1114" spans="1:40" x14ac:dyDescent="0.25">
      <c r="A1114" t="str">
        <f>"20190312172109938"</f>
        <v>20190312172109938</v>
      </c>
      <c r="B1114" t="str">
        <f>"1552382469932467"</f>
        <v>1552382469932467</v>
      </c>
      <c r="C1114" t="s">
        <v>40</v>
      </c>
      <c r="D1114">
        <v>3.1876679999999999</v>
      </c>
      <c r="E1114">
        <v>0.4740163</v>
      </c>
      <c r="F1114" t="s">
        <v>42</v>
      </c>
      <c r="G1114">
        <v>-238.0779</v>
      </c>
      <c r="H1114" s="1">
        <v>-1.2450909999999999E-6</v>
      </c>
      <c r="I1114">
        <v>371.26319999999998</v>
      </c>
      <c r="J1114">
        <v>-287.02530000000002</v>
      </c>
      <c r="K1114">
        <v>1.0602560000000001</v>
      </c>
      <c r="L1114">
        <v>367.86520000000002</v>
      </c>
      <c r="M1114">
        <v>0.99985460000000004</v>
      </c>
      <c r="N1114">
        <v>0</v>
      </c>
      <c r="O1114">
        <v>-1.062809E-2</v>
      </c>
      <c r="P1114">
        <v>0.98561330000000003</v>
      </c>
      <c r="Q1114">
        <v>0.1690152</v>
      </c>
      <c r="R1114">
        <v>4.658606E-4</v>
      </c>
      <c r="S1114">
        <v>3.0549620000000002</v>
      </c>
      <c r="T1114">
        <v>-6.5955459999999994E-2</v>
      </c>
      <c r="U1114">
        <v>0.21127319999999999</v>
      </c>
      <c r="V1114">
        <v>-1.0931079999999999E-2</v>
      </c>
      <c r="W1114">
        <v>0.18215039999999999</v>
      </c>
      <c r="X1114">
        <v>0.98320989999999997</v>
      </c>
      <c r="Y1114">
        <v>-7.9571470000000005E-2</v>
      </c>
      <c r="Z1114">
        <v>1.087029E-3</v>
      </c>
      <c r="AA1114">
        <v>0.99682859999999995</v>
      </c>
      <c r="AB1114">
        <v>32</v>
      </c>
      <c r="AC1114">
        <v>48.947400000000002</v>
      </c>
      <c r="AD1114">
        <v>-1.0602572450909999</v>
      </c>
      <c r="AE1114">
        <v>3.3979999999999602</v>
      </c>
      <c r="AF1114">
        <v>-3.9162429693343599</v>
      </c>
      <c r="AG1114">
        <v>-1.0602572450909999</v>
      </c>
      <c r="AH1114">
        <v>48.885690081152703</v>
      </c>
      <c r="AI1114">
        <v>91.2384981480199</v>
      </c>
      <c r="AJ1114">
        <v>94.580195699145605</v>
      </c>
      <c r="AK1114">
        <v>49.053764372687397</v>
      </c>
      <c r="AL1114">
        <v>79.504960163836003</v>
      </c>
      <c r="AM1114">
        <v>90.6369738005844</v>
      </c>
      <c r="AN1114">
        <v>0.99999998209406704</v>
      </c>
    </row>
    <row r="1115" spans="1:40" x14ac:dyDescent="0.25">
      <c r="A1115" t="str">
        <f>"20190312172109950"</f>
        <v>20190312172109950</v>
      </c>
      <c r="B1115" t="str">
        <f>"1552382469942227"</f>
        <v>1552382469942227</v>
      </c>
      <c r="C1115" t="s">
        <v>40</v>
      </c>
      <c r="D1115">
        <v>3.1605310000000002</v>
      </c>
      <c r="E1115">
        <v>0.4739641</v>
      </c>
      <c r="F1115" t="s">
        <v>42</v>
      </c>
      <c r="G1115">
        <v>-237.82300000000001</v>
      </c>
      <c r="H1115" s="1">
        <v>-1.358264E-6</v>
      </c>
      <c r="I1115">
        <v>371.27769999999998</v>
      </c>
      <c r="J1115">
        <v>-286.8596</v>
      </c>
      <c r="K1115">
        <v>1.0602590000000001</v>
      </c>
      <c r="L1115">
        <v>367.86340000000001</v>
      </c>
      <c r="M1115">
        <v>0.99985460000000004</v>
      </c>
      <c r="N1115">
        <v>0</v>
      </c>
      <c r="O1115">
        <v>-1.062831E-2</v>
      </c>
      <c r="P1115">
        <v>0.98563990000000001</v>
      </c>
      <c r="Q1115">
        <v>0.16886029999999999</v>
      </c>
      <c r="R1115">
        <v>6.8289320000000002E-4</v>
      </c>
      <c r="S1115">
        <v>3.0549930000000001</v>
      </c>
      <c r="T1115">
        <v>-6.5831780000000006E-2</v>
      </c>
      <c r="U1115">
        <v>0.2118835</v>
      </c>
      <c r="V1115">
        <v>-1.114893E-2</v>
      </c>
      <c r="W1115">
        <v>0.18199899999999999</v>
      </c>
      <c r="X1115">
        <v>0.98323550000000004</v>
      </c>
      <c r="Y1115">
        <v>-7.9769279999999998E-2</v>
      </c>
      <c r="Z1115">
        <v>1.087106E-3</v>
      </c>
      <c r="AA1115">
        <v>0.99681280000000005</v>
      </c>
      <c r="AB1115">
        <v>32</v>
      </c>
      <c r="AC1115">
        <v>49.0366</v>
      </c>
      <c r="AD1115">
        <v>-1.060260358264</v>
      </c>
      <c r="AE1115">
        <v>3.4142999999999599</v>
      </c>
      <c r="AF1115">
        <v>-3.93349959793475</v>
      </c>
      <c r="AG1115">
        <v>-1.060260358264</v>
      </c>
      <c r="AH1115">
        <v>48.974752974999099</v>
      </c>
      <c r="AI1115">
        <v>91.236229852166403</v>
      </c>
      <c r="AJ1115">
        <v>94.591961511990107</v>
      </c>
      <c r="AK1115">
        <v>49.143900944841903</v>
      </c>
      <c r="AL1115">
        <v>79.513782308417305</v>
      </c>
      <c r="AM1115">
        <v>90.649650323040007</v>
      </c>
      <c r="AN1115">
        <v>0.99999999155069696</v>
      </c>
    </row>
    <row r="1116" spans="1:40" x14ac:dyDescent="0.25">
      <c r="A1116" t="str">
        <f>"20190312172109971"</f>
        <v>20190312172109971</v>
      </c>
      <c r="B1116" t="str">
        <f>"1552382469962253"</f>
        <v>1552382469962253</v>
      </c>
      <c r="C1116" t="s">
        <v>40</v>
      </c>
      <c r="D1116">
        <v>3.2099980000000001</v>
      </c>
      <c r="E1116">
        <v>0.4739951</v>
      </c>
      <c r="F1116" t="s">
        <v>42</v>
      </c>
      <c r="G1116">
        <v>-238.07919999999999</v>
      </c>
      <c r="H1116" s="1">
        <v>-1.2457180000000001E-6</v>
      </c>
      <c r="I1116">
        <v>371.26769999999999</v>
      </c>
      <c r="J1116">
        <v>-286.55259999999998</v>
      </c>
      <c r="K1116">
        <v>1.0602659999999999</v>
      </c>
      <c r="L1116">
        <v>367.86020000000002</v>
      </c>
      <c r="M1116">
        <v>0.99985440000000003</v>
      </c>
      <c r="N1116">
        <v>0</v>
      </c>
      <c r="O1116">
        <v>-1.0627350000000001E-2</v>
      </c>
      <c r="P1116">
        <v>0.98562810000000001</v>
      </c>
      <c r="Q1116">
        <v>0.1689281</v>
      </c>
      <c r="R1116">
        <v>9.6838549999999995E-4</v>
      </c>
      <c r="S1116">
        <v>3.0549010000000001</v>
      </c>
      <c r="T1116">
        <v>-6.6399340000000001E-2</v>
      </c>
      <c r="U1116">
        <v>0.21319579999999999</v>
      </c>
      <c r="V1116">
        <v>-1.143477E-2</v>
      </c>
      <c r="W1116">
        <v>0.18207209999999999</v>
      </c>
      <c r="X1116">
        <v>0.9832187</v>
      </c>
      <c r="Y1116">
        <v>-8.0196020000000007E-2</v>
      </c>
      <c r="Z1116">
        <v>1.101103E-3</v>
      </c>
      <c r="AA1116">
        <v>0.99677850000000001</v>
      </c>
      <c r="AB1116">
        <v>32</v>
      </c>
      <c r="AC1116">
        <v>48.473399999999998</v>
      </c>
      <c r="AD1116">
        <v>-1.060267245718</v>
      </c>
      <c r="AE1116">
        <v>3.40749999999997</v>
      </c>
      <c r="AF1116">
        <v>-3.9206306939010802</v>
      </c>
      <c r="AG1116">
        <v>-1.060267245718</v>
      </c>
      <c r="AH1116">
        <v>48.411398348731097</v>
      </c>
      <c r="AI1116">
        <v>91.250552212949501</v>
      </c>
      <c r="AJ1116">
        <v>94.630033804192806</v>
      </c>
      <c r="AK1116">
        <v>48.581467678012999</v>
      </c>
      <c r="AL1116">
        <v>79.509522991493299</v>
      </c>
      <c r="AM1116">
        <v>90.666316176595302</v>
      </c>
      <c r="AN1116">
        <v>1.0000000077965201</v>
      </c>
    </row>
    <row r="1117" spans="1:40" x14ac:dyDescent="0.25">
      <c r="A1117" t="str">
        <f>"20190312172109983"</f>
        <v>20190312172109983</v>
      </c>
      <c r="B1117" t="str">
        <f>"1552382469972013"</f>
        <v>1552382469972013</v>
      </c>
      <c r="C1117" t="s">
        <v>40</v>
      </c>
      <c r="D1117">
        <v>2.9403820000000001</v>
      </c>
      <c r="E1117">
        <v>0.47395789999999999</v>
      </c>
      <c r="F1117" t="s">
        <v>42</v>
      </c>
      <c r="G1117">
        <v>-238.24799999999999</v>
      </c>
      <c r="H1117" s="1">
        <v>-1.164837E-6</v>
      </c>
      <c r="I1117">
        <v>371.23590000000002</v>
      </c>
      <c r="J1117">
        <v>-286.38740000000001</v>
      </c>
      <c r="K1117">
        <v>1.060268</v>
      </c>
      <c r="L1117">
        <v>367.85840000000002</v>
      </c>
      <c r="M1117">
        <v>0.99985449999999998</v>
      </c>
      <c r="N1117">
        <v>0</v>
      </c>
      <c r="O1117">
        <v>-1.062663E-2</v>
      </c>
      <c r="P1117">
        <v>0.98564430000000003</v>
      </c>
      <c r="Q1117">
        <v>0.16883290000000001</v>
      </c>
      <c r="R1117">
        <v>1.073828E-3</v>
      </c>
      <c r="S1117">
        <v>3.0550540000000002</v>
      </c>
      <c r="T1117">
        <v>-6.7057130000000006E-2</v>
      </c>
      <c r="U1117">
        <v>0.213501</v>
      </c>
      <c r="V1117">
        <v>-1.1540460000000001E-2</v>
      </c>
      <c r="W1117">
        <v>0.18197930000000001</v>
      </c>
      <c r="X1117">
        <v>0.98323459999999996</v>
      </c>
      <c r="Y1117">
        <v>-8.0290490000000006E-2</v>
      </c>
      <c r="Z1117">
        <v>1.1129689999999999E-3</v>
      </c>
      <c r="AA1117">
        <v>0.99677090000000002</v>
      </c>
      <c r="AB1117">
        <v>32</v>
      </c>
      <c r="AC1117">
        <v>48.139400000000002</v>
      </c>
      <c r="AD1117">
        <v>-1.060269164837</v>
      </c>
      <c r="AE1117">
        <v>3.3774999999999902</v>
      </c>
      <c r="AF1117">
        <v>-3.8870380348042701</v>
      </c>
      <c r="AG1117">
        <v>-1.060269164837</v>
      </c>
      <c r="AH1117">
        <v>48.077578552433401</v>
      </c>
      <c r="AI1117">
        <v>91.259248539998694</v>
      </c>
      <c r="AJ1117">
        <v>94.622269202361096</v>
      </c>
      <c r="AK1117">
        <v>48.246106525307503</v>
      </c>
      <c r="AL1117">
        <v>79.514929904346303</v>
      </c>
      <c r="AM1117">
        <v>90.672463408353806</v>
      </c>
      <c r="AN1117">
        <v>0.99999996324133</v>
      </c>
    </row>
    <row r="1118" spans="1:40" x14ac:dyDescent="0.25">
      <c r="A1118" t="str">
        <f>"20190312172110049"</f>
        <v>20190312172110049</v>
      </c>
      <c r="B1118" t="str">
        <f>"1552382470042285"</f>
        <v>1552382470042285</v>
      </c>
      <c r="C1118" t="s">
        <v>40</v>
      </c>
      <c r="D1118">
        <v>9.0837190000000003</v>
      </c>
      <c r="E1118">
        <v>0.47395789999999999</v>
      </c>
      <c r="F1118" t="s">
        <v>42</v>
      </c>
      <c r="G1118">
        <v>-238.8656</v>
      </c>
      <c r="H1118" s="1">
        <v>-8.8684799999999997E-7</v>
      </c>
      <c r="I1118">
        <v>371.18689999999998</v>
      </c>
      <c r="J1118">
        <v>-285.41809999999998</v>
      </c>
      <c r="K1118">
        <v>1.0602769999999999</v>
      </c>
      <c r="L1118">
        <v>367.84809999999999</v>
      </c>
      <c r="M1118">
        <v>0.99985440000000003</v>
      </c>
      <c r="N1118">
        <v>0</v>
      </c>
      <c r="O1118">
        <v>-1.0620920000000001E-2</v>
      </c>
      <c r="P1118">
        <v>0.98563440000000002</v>
      </c>
      <c r="Q1118">
        <v>0.16888909999999999</v>
      </c>
      <c r="R1118">
        <v>1.190846E-3</v>
      </c>
      <c r="S1118">
        <v>3.0551759999999999</v>
      </c>
      <c r="T1118">
        <v>-6.8164589999999997E-2</v>
      </c>
      <c r="U1118">
        <v>0.21398929999999999</v>
      </c>
      <c r="V1118">
        <v>-1.1652829999999999E-2</v>
      </c>
      <c r="W1118">
        <v>0.18204580000000001</v>
      </c>
      <c r="X1118">
        <v>0.98322100000000001</v>
      </c>
      <c r="Y1118">
        <v>-8.0439789999999997E-2</v>
      </c>
      <c r="Z1118">
        <v>1.13283E-3</v>
      </c>
      <c r="AA1118">
        <v>0.99675879999999994</v>
      </c>
      <c r="AB1118">
        <v>32</v>
      </c>
      <c r="AC1118">
        <v>46.552499999999903</v>
      </c>
      <c r="AD1118">
        <v>-1.0602778868480001</v>
      </c>
      <c r="AE1118">
        <v>3.3387999999999902</v>
      </c>
      <c r="AF1118">
        <v>-3.83110893175366</v>
      </c>
      <c r="AG1118">
        <v>-1.0602778868480001</v>
      </c>
      <c r="AH1118">
        <v>46.490416291947703</v>
      </c>
      <c r="AI1118">
        <v>91.302070519445095</v>
      </c>
      <c r="AJ1118">
        <v>94.710895897969195</v>
      </c>
      <c r="AK1118">
        <v>46.660051348481197</v>
      </c>
      <c r="AL1118">
        <v>79.511055381238293</v>
      </c>
      <c r="AM1118">
        <v>90.679019997238598</v>
      </c>
      <c r="AN1118">
        <v>0.99999999829282404</v>
      </c>
    </row>
    <row r="1119" spans="1:40" x14ac:dyDescent="0.25">
      <c r="A1119" t="str">
        <f>"20190312172110083"</f>
        <v>20190312172110083</v>
      </c>
      <c r="B1119" t="str">
        <f>"1552382470072072"</f>
        <v>1552382470072072</v>
      </c>
      <c r="C1119" t="s">
        <v>40</v>
      </c>
      <c r="D1119">
        <v>3.389186</v>
      </c>
      <c r="E1119">
        <v>0.4744102</v>
      </c>
      <c r="F1119" t="s">
        <v>42</v>
      </c>
      <c r="G1119">
        <v>-237.80510000000001</v>
      </c>
      <c r="H1119" s="1">
        <v>-1.340911E-6</v>
      </c>
      <c r="I1119">
        <v>371.18349999999998</v>
      </c>
      <c r="J1119">
        <v>-284.93959999999998</v>
      </c>
      <c r="K1119">
        <v>1.0602780000000001</v>
      </c>
      <c r="L1119">
        <v>367.84300000000002</v>
      </c>
      <c r="M1119">
        <v>0.99985440000000003</v>
      </c>
      <c r="N1119">
        <v>0</v>
      </c>
      <c r="O1119">
        <v>-1.061986E-2</v>
      </c>
      <c r="P1119">
        <v>0.98564490000000005</v>
      </c>
      <c r="Q1119">
        <v>0.1688279</v>
      </c>
      <c r="R1119">
        <v>1.2384309999999999E-3</v>
      </c>
      <c r="S1119">
        <v>3.0551149999999998</v>
      </c>
      <c r="T1119">
        <v>-6.8033220000000005E-2</v>
      </c>
      <c r="U1119">
        <v>0.21401980000000001</v>
      </c>
      <c r="V1119">
        <v>-1.169984E-2</v>
      </c>
      <c r="W1119">
        <v>0.1819877</v>
      </c>
      <c r="X1119">
        <v>0.98323119999999997</v>
      </c>
      <c r="Y1119">
        <v>-8.0450110000000005E-2</v>
      </c>
      <c r="Z1119">
        <v>1.1307610000000001E-3</v>
      </c>
      <c r="AA1119">
        <v>0.99675800000000003</v>
      </c>
      <c r="AB1119">
        <v>32</v>
      </c>
      <c r="AC1119">
        <v>47.134499999999903</v>
      </c>
      <c r="AD1119">
        <v>-1.0602793409110001</v>
      </c>
      <c r="AE1119">
        <v>3.3404999999999601</v>
      </c>
      <c r="AF1119">
        <v>-3.8389851615269199</v>
      </c>
      <c r="AG1119">
        <v>-1.0602793409110001</v>
      </c>
      <c r="AH1119">
        <v>47.072662297473997</v>
      </c>
      <c r="AI1119">
        <v>91.286061489057303</v>
      </c>
      <c r="AJ1119">
        <v>94.662407393231703</v>
      </c>
      <c r="AK1119">
        <v>47.240846045802598</v>
      </c>
      <c r="AL1119">
        <v>79.514440846273899</v>
      </c>
      <c r="AM1119">
        <v>90.681751978730105</v>
      </c>
      <c r="AN1119">
        <v>1.00000000093037</v>
      </c>
    </row>
    <row r="1120" spans="1:40" x14ac:dyDescent="0.25">
      <c r="A1120" t="str">
        <f>"20190312172110093"</f>
        <v>20190312172110093</v>
      </c>
      <c r="B1120" t="str">
        <f>"1552382470081832"</f>
        <v>1552382470081832</v>
      </c>
      <c r="C1120" t="s">
        <v>40</v>
      </c>
      <c r="D1120">
        <v>3.1783269999999999</v>
      </c>
      <c r="E1120">
        <v>0.474887</v>
      </c>
      <c r="F1120" t="s">
        <v>42</v>
      </c>
      <c r="G1120">
        <v>-243.31270000000001</v>
      </c>
      <c r="H1120" s="1">
        <v>-3.4339790000000001E-6</v>
      </c>
      <c r="I1120">
        <v>370.71519999999998</v>
      </c>
      <c r="J1120">
        <v>-284.78699999999998</v>
      </c>
      <c r="K1120">
        <v>1.0602720000000001</v>
      </c>
      <c r="L1120">
        <v>367.84140000000002</v>
      </c>
      <c r="M1120">
        <v>0.99985420000000003</v>
      </c>
      <c r="N1120">
        <v>0</v>
      </c>
      <c r="O1120">
        <v>-1.0619750000000001E-2</v>
      </c>
      <c r="P1120">
        <v>0.9856222</v>
      </c>
      <c r="Q1120">
        <v>0.1689599</v>
      </c>
      <c r="R1120">
        <v>1.1275390000000001E-3</v>
      </c>
      <c r="S1120">
        <v>3.0567630000000001</v>
      </c>
      <c r="T1120">
        <v>-7.7858979999999994E-2</v>
      </c>
      <c r="U1120">
        <v>0.21090700000000001</v>
      </c>
      <c r="V1120">
        <v>-1.1588909999999999E-2</v>
      </c>
      <c r="W1120">
        <v>0.1821199</v>
      </c>
      <c r="X1120">
        <v>0.98320799999999997</v>
      </c>
      <c r="Y1120">
        <v>-7.9395750000000001E-2</v>
      </c>
      <c r="Z1120">
        <v>1.2799599999999999E-3</v>
      </c>
      <c r="AA1120">
        <v>0.99684229999999996</v>
      </c>
      <c r="AB1120">
        <v>32</v>
      </c>
      <c r="AC1120">
        <v>41.474299999999999</v>
      </c>
      <c r="AD1120">
        <v>-1.0602754339789999</v>
      </c>
      <c r="AE1120">
        <v>2.8737999999999602</v>
      </c>
      <c r="AF1120">
        <v>-3.31196979549176</v>
      </c>
      <c r="AG1120">
        <v>-1.0602754339789999</v>
      </c>
      <c r="AH1120">
        <v>41.414501888984702</v>
      </c>
      <c r="AI1120">
        <v>91.461875246321</v>
      </c>
      <c r="AJ1120">
        <v>94.572284905821604</v>
      </c>
      <c r="AK1120">
        <v>41.5602489722434</v>
      </c>
      <c r="AL1120">
        <v>79.506737241884295</v>
      </c>
      <c r="AM1120">
        <v>90.675304600043802</v>
      </c>
      <c r="AN1120">
        <v>0.99999996603749797</v>
      </c>
    </row>
    <row r="1121" spans="1:40" x14ac:dyDescent="0.25">
      <c r="A1121" t="str">
        <f>"20190312172110106"</f>
        <v>20190312172110106</v>
      </c>
      <c r="B1121" t="str">
        <f>"1552382470102328"</f>
        <v>1552382470102328</v>
      </c>
      <c r="C1121" t="s">
        <v>40</v>
      </c>
      <c r="D1121">
        <v>3.2192699999999999</v>
      </c>
      <c r="E1121">
        <v>0.47572510000000001</v>
      </c>
      <c r="F1121" t="s">
        <v>42</v>
      </c>
      <c r="G1121">
        <v>-242.4109</v>
      </c>
      <c r="H1121" s="1">
        <v>-3.8583129999999997E-6</v>
      </c>
      <c r="I1121">
        <v>370.70780000000002</v>
      </c>
      <c r="J1121">
        <v>-284.62099999999998</v>
      </c>
      <c r="K1121">
        <v>1.06027</v>
      </c>
      <c r="L1121">
        <v>367.83969999999999</v>
      </c>
      <c r="M1121">
        <v>0.99985429999999997</v>
      </c>
      <c r="N1121">
        <v>0</v>
      </c>
      <c r="O1121">
        <v>-1.061951E-2</v>
      </c>
      <c r="P1121">
        <v>0.98560599999999998</v>
      </c>
      <c r="Q1121">
        <v>0.1690567</v>
      </c>
      <c r="R1121">
        <v>1.1331500000000001E-3</v>
      </c>
      <c r="S1121">
        <v>3.0566409999999999</v>
      </c>
      <c r="T1121">
        <v>-7.6479140000000001E-2</v>
      </c>
      <c r="U1121">
        <v>0.20675660000000001</v>
      </c>
      <c r="V1121">
        <v>-1.159432E-2</v>
      </c>
      <c r="W1121">
        <v>0.1822175</v>
      </c>
      <c r="X1121">
        <v>0.98318989999999995</v>
      </c>
      <c r="Y1121">
        <v>-7.8052360000000001E-2</v>
      </c>
      <c r="Z1121">
        <v>1.2405999999999999E-3</v>
      </c>
      <c r="AA1121">
        <v>0.99694850000000002</v>
      </c>
      <c r="AB1121">
        <v>32</v>
      </c>
      <c r="AC1121">
        <v>42.210099999999898</v>
      </c>
      <c r="AD1121">
        <v>-1.060273858313</v>
      </c>
      <c r="AE1121">
        <v>2.8681000000000201</v>
      </c>
      <c r="AF1121">
        <v>-3.3141473656942302</v>
      </c>
      <c r="AG1121">
        <v>-1.060273858313</v>
      </c>
      <c r="AH1121">
        <v>42.1507855436152</v>
      </c>
      <c r="AI1121">
        <v>91.436500298589905</v>
      </c>
      <c r="AJ1121">
        <v>94.495688591774993</v>
      </c>
      <c r="AK1121">
        <v>42.294165973098501</v>
      </c>
      <c r="AL1121">
        <v>79.501050504291896</v>
      </c>
      <c r="AM1121">
        <v>90.675632256957996</v>
      </c>
      <c r="AN1121">
        <v>1.0000000125122599</v>
      </c>
    </row>
    <row r="1122" spans="1:40" x14ac:dyDescent="0.25">
      <c r="A1122" t="str">
        <f>"20190312172110116"</f>
        <v>20190312172110116</v>
      </c>
      <c r="B1122" t="str">
        <f>"1552382470112088"</f>
        <v>1552382470112088</v>
      </c>
      <c r="C1122" t="s">
        <v>40</v>
      </c>
      <c r="D1122">
        <v>3.2166160000000001</v>
      </c>
      <c r="E1122">
        <v>0.47620750000000001</v>
      </c>
      <c r="F1122" t="s">
        <v>42</v>
      </c>
      <c r="G1122">
        <v>-243.36689999999999</v>
      </c>
      <c r="H1122" s="1">
        <v>-3.3628409999999999E-6</v>
      </c>
      <c r="I1122">
        <v>370.54410000000001</v>
      </c>
      <c r="J1122">
        <v>-284.45890000000003</v>
      </c>
      <c r="K1122">
        <v>1.060271</v>
      </c>
      <c r="L1122">
        <v>367.83800000000002</v>
      </c>
      <c r="M1122">
        <v>0.99985429999999997</v>
      </c>
      <c r="N1122">
        <v>0</v>
      </c>
      <c r="O1122">
        <v>-1.0619399999999999E-2</v>
      </c>
      <c r="P1122">
        <v>0.98561390000000004</v>
      </c>
      <c r="Q1122">
        <v>0.16901050000000001</v>
      </c>
      <c r="R1122">
        <v>9.0746529999999998E-4</v>
      </c>
      <c r="S1122">
        <v>3.0570680000000001</v>
      </c>
      <c r="T1122">
        <v>-7.856995E-2</v>
      </c>
      <c r="U1122">
        <v>0.2004089</v>
      </c>
      <c r="V1122">
        <v>-1.136798E-2</v>
      </c>
      <c r="W1122">
        <v>0.18217149999999999</v>
      </c>
      <c r="X1122">
        <v>0.98320099999999999</v>
      </c>
      <c r="Y1122">
        <v>-7.5980950000000005E-2</v>
      </c>
      <c r="Z1122">
        <v>1.2478260000000001E-3</v>
      </c>
      <c r="AA1122">
        <v>0.99710849999999995</v>
      </c>
      <c r="AB1122">
        <v>32</v>
      </c>
      <c r="AC1122">
        <v>41.091999999999999</v>
      </c>
      <c r="AD1122">
        <v>-1.0602743628409901</v>
      </c>
      <c r="AE1122">
        <v>2.70609999999999</v>
      </c>
      <c r="AF1122">
        <v>-3.1402770788201</v>
      </c>
      <c r="AG1122">
        <v>-1.0602743628409901</v>
      </c>
      <c r="AH1122">
        <v>41.0337418630941</v>
      </c>
      <c r="AI1122">
        <v>91.475827671737406</v>
      </c>
      <c r="AJ1122">
        <v>94.376266670290804</v>
      </c>
      <c r="AK1122">
        <v>41.167383851093902</v>
      </c>
      <c r="AL1122">
        <v>79.503730272564098</v>
      </c>
      <c r="AM1122">
        <v>90.6624365244638</v>
      </c>
      <c r="AN1122">
        <v>0.99999994639126299</v>
      </c>
    </row>
    <row r="1123" spans="1:40" x14ac:dyDescent="0.25">
      <c r="A1123" t="str">
        <f>"20190312172110129"</f>
        <v>20190312172110129</v>
      </c>
      <c r="B1123" t="str">
        <f>"1552382470121847"</f>
        <v>1552382470121847</v>
      </c>
      <c r="C1123" t="s">
        <v>40</v>
      </c>
      <c r="D1123">
        <v>3.2209639999999999</v>
      </c>
      <c r="E1123">
        <v>0.4766881</v>
      </c>
      <c r="F1123" t="s">
        <v>42</v>
      </c>
      <c r="G1123">
        <v>-243.27930000000001</v>
      </c>
      <c r="H1123" s="1">
        <v>-3.385675E-6</v>
      </c>
      <c r="I1123">
        <v>370.4742</v>
      </c>
      <c r="J1123">
        <v>-284.27800000000002</v>
      </c>
      <c r="K1123">
        <v>1.060271</v>
      </c>
      <c r="L1123">
        <v>367.83600000000001</v>
      </c>
      <c r="M1123">
        <v>0.99985429999999997</v>
      </c>
      <c r="N1123">
        <v>0</v>
      </c>
      <c r="O1123">
        <v>-1.061952E-2</v>
      </c>
      <c r="P1123">
        <v>0.98562099999999997</v>
      </c>
      <c r="Q1123">
        <v>0.16896920000000001</v>
      </c>
      <c r="R1123">
        <v>8.8601420000000003E-4</v>
      </c>
      <c r="S1123">
        <v>3.0570979999999999</v>
      </c>
      <c r="T1123">
        <v>-7.8712879999999999E-2</v>
      </c>
      <c r="U1123">
        <v>0.1957092</v>
      </c>
      <c r="V1123">
        <v>-1.134744E-2</v>
      </c>
      <c r="W1123">
        <v>0.18213070000000001</v>
      </c>
      <c r="X1123">
        <v>0.98320879999999999</v>
      </c>
      <c r="Y1123">
        <v>-7.4454279999999998E-2</v>
      </c>
      <c r="Z1123">
        <v>1.2305160000000001E-3</v>
      </c>
      <c r="AA1123">
        <v>0.99722370000000005</v>
      </c>
      <c r="AB1123">
        <v>32</v>
      </c>
      <c r="AC1123">
        <v>40.998699999999999</v>
      </c>
      <c r="AD1123">
        <v>-1.0602743856750001</v>
      </c>
      <c r="AE1123">
        <v>2.6381999999999799</v>
      </c>
      <c r="AF1123">
        <v>-3.0714309068135699</v>
      </c>
      <c r="AG1123">
        <v>-1.0602743856750001</v>
      </c>
      <c r="AH1123">
        <v>40.941100300717601</v>
      </c>
      <c r="AI1123">
        <v>91.479333764807393</v>
      </c>
      <c r="AJ1123">
        <v>94.290333972893606</v>
      </c>
      <c r="AK1123">
        <v>41.069837635686703</v>
      </c>
      <c r="AL1123">
        <v>79.506107755657197</v>
      </c>
      <c r="AM1123">
        <v>90.661234475788504</v>
      </c>
      <c r="AN1123">
        <v>0.99999995033723998</v>
      </c>
    </row>
    <row r="1124" spans="1:40" x14ac:dyDescent="0.25">
      <c r="A1124" t="str">
        <f>"20190312172110140"</f>
        <v>20190312172110140</v>
      </c>
      <c r="B1124" t="str">
        <f>"1552382470132586"</f>
        <v>1552382470132586</v>
      </c>
      <c r="C1124" t="s">
        <v>40</v>
      </c>
      <c r="D1124">
        <v>3.2138460000000002</v>
      </c>
      <c r="E1124">
        <v>0.47717619999999999</v>
      </c>
      <c r="F1124" t="s">
        <v>42</v>
      </c>
      <c r="G1124">
        <v>-243.14250000000001</v>
      </c>
      <c r="H1124" s="1">
        <v>-3.4370409999999999E-6</v>
      </c>
      <c r="I1124">
        <v>370.42430000000002</v>
      </c>
      <c r="J1124">
        <v>-284.1139</v>
      </c>
      <c r="K1124">
        <v>1.060271</v>
      </c>
      <c r="L1124">
        <v>367.83429999999998</v>
      </c>
      <c r="M1124">
        <v>0.99985420000000003</v>
      </c>
      <c r="N1124">
        <v>0</v>
      </c>
      <c r="O1124">
        <v>-1.0619750000000001E-2</v>
      </c>
      <c r="P1124">
        <v>0.98562689999999997</v>
      </c>
      <c r="Q1124">
        <v>0.1689351</v>
      </c>
      <c r="R1124">
        <v>6.9488310000000001E-4</v>
      </c>
      <c r="S1124">
        <v>3.0571290000000002</v>
      </c>
      <c r="T1124">
        <v>-7.8797939999999997E-2</v>
      </c>
      <c r="U1124">
        <v>0.1923523</v>
      </c>
      <c r="V1124">
        <v>-1.115622E-2</v>
      </c>
      <c r="W1124">
        <v>0.18209739999999999</v>
      </c>
      <c r="X1124">
        <v>0.98321720000000001</v>
      </c>
      <c r="Y1124">
        <v>-7.3363499999999998E-2</v>
      </c>
      <c r="Z1124">
        <v>1.21784E-3</v>
      </c>
      <c r="AA1124">
        <v>0.99730450000000004</v>
      </c>
      <c r="AB1124">
        <v>32</v>
      </c>
      <c r="AC1124">
        <v>40.971399999999903</v>
      </c>
      <c r="AD1124">
        <v>-1.060274437041</v>
      </c>
      <c r="AE1124">
        <v>2.5900000000000301</v>
      </c>
      <c r="AF1124">
        <v>-3.0229824408955501</v>
      </c>
      <c r="AG1124">
        <v>-1.060274437041</v>
      </c>
      <c r="AH1124">
        <v>40.914290644417498</v>
      </c>
      <c r="AI1124">
        <v>91.480427110201504</v>
      </c>
      <c r="AJ1124">
        <v>94.225662509612803</v>
      </c>
      <c r="AK1124">
        <v>41.039514905218802</v>
      </c>
      <c r="AL1124">
        <v>79.5080486101254</v>
      </c>
      <c r="AM1124">
        <v>90.650087174715296</v>
      </c>
      <c r="AN1124">
        <v>0.99999999335364398</v>
      </c>
    </row>
    <row r="1125" spans="1:40" x14ac:dyDescent="0.25">
      <c r="A1125" t="str">
        <f>"20190312172110152"</f>
        <v>20190312172110152</v>
      </c>
      <c r="B1125" t="str">
        <f>"1552382470142344"</f>
        <v>1552382470142344</v>
      </c>
      <c r="C1125" t="s">
        <v>40</v>
      </c>
      <c r="D1125">
        <v>3.1900339999999998</v>
      </c>
      <c r="E1125">
        <v>0.4776765</v>
      </c>
      <c r="F1125" t="s">
        <v>42</v>
      </c>
      <c r="G1125">
        <v>-242.9855</v>
      </c>
      <c r="H1125" s="1">
        <v>-3.493825E-6</v>
      </c>
      <c r="I1125">
        <v>370.35879999999997</v>
      </c>
      <c r="J1125">
        <v>-283.93869999999998</v>
      </c>
      <c r="K1125">
        <v>1.060271</v>
      </c>
      <c r="L1125">
        <v>367.83240000000001</v>
      </c>
      <c r="M1125">
        <v>0.99985429999999997</v>
      </c>
      <c r="N1125">
        <v>0</v>
      </c>
      <c r="O1125">
        <v>-1.0619399999999999E-2</v>
      </c>
      <c r="P1125">
        <v>0.98564549999999995</v>
      </c>
      <c r="Q1125">
        <v>0.16882749999999999</v>
      </c>
      <c r="R1125">
        <v>5.4182999999999998E-4</v>
      </c>
      <c r="S1125">
        <v>3.057159</v>
      </c>
      <c r="T1125">
        <v>-7.8812480000000004E-2</v>
      </c>
      <c r="U1125">
        <v>0.1876526</v>
      </c>
      <c r="V1125">
        <v>-1.100314E-2</v>
      </c>
      <c r="W1125">
        <v>0.18199009999999999</v>
      </c>
      <c r="X1125">
        <v>0.98323879999999997</v>
      </c>
      <c r="Y1125">
        <v>-7.1835700000000002E-2</v>
      </c>
      <c r="Z1125">
        <v>1.1984299999999999E-3</v>
      </c>
      <c r="AA1125">
        <v>0.99741579999999996</v>
      </c>
      <c r="AB1125">
        <v>32</v>
      </c>
      <c r="AC1125">
        <v>40.953199999999903</v>
      </c>
      <c r="AD1125">
        <v>-1.0602744938249999</v>
      </c>
      <c r="AE1125">
        <v>2.5263999999999598</v>
      </c>
      <c r="AF1125">
        <v>-2.9592187660804101</v>
      </c>
      <c r="AG1125">
        <v>-1.0602744938249999</v>
      </c>
      <c r="AH1125">
        <v>40.8967504514819</v>
      </c>
      <c r="AI1125">
        <v>91.481226322599596</v>
      </c>
      <c r="AJ1125">
        <v>94.138611585547594</v>
      </c>
      <c r="AK1125">
        <v>41.017378697310299</v>
      </c>
      <c r="AL1125">
        <v>79.514301009302002</v>
      </c>
      <c r="AM1125">
        <v>90.641153673509194</v>
      </c>
      <c r="AN1125">
        <v>1.0000000017066499</v>
      </c>
    </row>
    <row r="1126" spans="1:40" x14ac:dyDescent="0.25">
      <c r="A1126" t="str">
        <f>"20190312172110167"</f>
        <v>20190312172110167</v>
      </c>
      <c r="B1126" t="str">
        <f>"1552382470162370"</f>
        <v>1552382470162370</v>
      </c>
      <c r="C1126" t="s">
        <v>40</v>
      </c>
      <c r="D1126">
        <v>3.2242130000000002</v>
      </c>
      <c r="E1126">
        <v>0.4784988</v>
      </c>
      <c r="F1126" t="s">
        <v>42</v>
      </c>
      <c r="G1126">
        <v>-243.0668</v>
      </c>
      <c r="H1126" s="1">
        <v>-3.43544E-6</v>
      </c>
      <c r="I1126">
        <v>370.28370000000001</v>
      </c>
      <c r="J1126">
        <v>-283.7559</v>
      </c>
      <c r="K1126">
        <v>1.0602689999999999</v>
      </c>
      <c r="L1126">
        <v>367.83049999999997</v>
      </c>
      <c r="M1126">
        <v>0.99985429999999997</v>
      </c>
      <c r="N1126">
        <v>0</v>
      </c>
      <c r="O1126">
        <v>-1.061928E-2</v>
      </c>
      <c r="P1126">
        <v>0.98566410000000004</v>
      </c>
      <c r="Q1126">
        <v>0.16871929999999999</v>
      </c>
      <c r="R1126">
        <v>5.1001460000000003E-4</v>
      </c>
      <c r="S1126">
        <v>3.057159</v>
      </c>
      <c r="T1126">
        <v>-7.9306959999999996E-2</v>
      </c>
      <c r="U1126">
        <v>0.1833496</v>
      </c>
      <c r="V1126">
        <v>-1.097148E-2</v>
      </c>
      <c r="W1126">
        <v>0.18188219999999999</v>
      </c>
      <c r="X1126">
        <v>0.98325910000000005</v>
      </c>
      <c r="Y1126">
        <v>-7.043692E-2</v>
      </c>
      <c r="Z1126">
        <v>1.1878710000000001E-3</v>
      </c>
      <c r="AA1126">
        <v>0.9975155</v>
      </c>
      <c r="AB1126">
        <v>32</v>
      </c>
      <c r="AC1126">
        <v>40.689100000000003</v>
      </c>
      <c r="AD1126">
        <v>-1.0602724354399999</v>
      </c>
      <c r="AE1126">
        <v>2.45320000000003</v>
      </c>
      <c r="AF1126">
        <v>-2.8832385186929299</v>
      </c>
      <c r="AG1126">
        <v>-1.0602724354399999</v>
      </c>
      <c r="AH1126">
        <v>40.633261117787498</v>
      </c>
      <c r="AI1126">
        <v>91.490973039202899</v>
      </c>
      <c r="AJ1126">
        <v>94.058767947163702</v>
      </c>
      <c r="AK1126">
        <v>40.749222704971103</v>
      </c>
      <c r="AL1126">
        <v>79.520587954774101</v>
      </c>
      <c r="AM1126">
        <v>90.639295798779898</v>
      </c>
      <c r="AN1126">
        <v>0.99999998289152003</v>
      </c>
    </row>
    <row r="1127" spans="1:40" x14ac:dyDescent="0.25">
      <c r="A1127" t="str">
        <f>"20190312172110179"</f>
        <v>20190312172110179</v>
      </c>
      <c r="B1127" t="str">
        <f>"1552382470172130"</f>
        <v>1552382470172130</v>
      </c>
      <c r="C1127" t="s">
        <v>40</v>
      </c>
      <c r="D1127">
        <v>3.2110300000000001</v>
      </c>
      <c r="E1127">
        <v>0.47894039999999999</v>
      </c>
      <c r="F1127" t="s">
        <v>42</v>
      </c>
      <c r="G1127">
        <v>-243.82910000000001</v>
      </c>
      <c r="H1127" s="1">
        <v>-3.0357820000000002E-6</v>
      </c>
      <c r="I1127">
        <v>370.13600000000002</v>
      </c>
      <c r="J1127">
        <v>-283.54930000000002</v>
      </c>
      <c r="K1127">
        <v>1.060271</v>
      </c>
      <c r="L1127">
        <v>367.82830000000001</v>
      </c>
      <c r="M1127">
        <v>0.99985429999999997</v>
      </c>
      <c r="N1127">
        <v>0</v>
      </c>
      <c r="O1127">
        <v>-1.061952E-2</v>
      </c>
      <c r="P1127">
        <v>0.98566889999999996</v>
      </c>
      <c r="Q1127">
        <v>0.16869189999999901</v>
      </c>
      <c r="R1127">
        <v>4.1165990000000002E-4</v>
      </c>
      <c r="S1127">
        <v>3.0574340000000002</v>
      </c>
      <c r="T1127">
        <v>-8.119142E-2</v>
      </c>
      <c r="U1127">
        <v>0.17654420000000001</v>
      </c>
      <c r="V1127">
        <v>-1.0873539999999999E-2</v>
      </c>
      <c r="W1127">
        <v>0.18185509999999999</v>
      </c>
      <c r="X1127">
        <v>0.98326519999999995</v>
      </c>
      <c r="Y1127">
        <v>-6.8218429999999997E-2</v>
      </c>
      <c r="Z1127">
        <v>1.186636E-3</v>
      </c>
      <c r="AA1127">
        <v>0.99766969999999999</v>
      </c>
      <c r="AB1127">
        <v>32</v>
      </c>
      <c r="AC1127">
        <v>39.720199999999998</v>
      </c>
      <c r="AD1127">
        <v>-1.060274035782</v>
      </c>
      <c r="AE1127">
        <v>2.3076999999999499</v>
      </c>
      <c r="AF1127">
        <v>-2.72748006128815</v>
      </c>
      <c r="AG1127">
        <v>-1.060274035782</v>
      </c>
      <c r="AH1127">
        <v>39.665282685594597</v>
      </c>
      <c r="AI1127">
        <v>91.527576523981494</v>
      </c>
      <c r="AJ1127">
        <v>93.933603436054597</v>
      </c>
      <c r="AK1127">
        <v>39.773081085626302</v>
      </c>
      <c r="AL1127">
        <v>79.522166999289595</v>
      </c>
      <c r="AM1127">
        <v>90.633585482112096</v>
      </c>
      <c r="AN1127">
        <v>0.99999998239958998</v>
      </c>
    </row>
    <row r="1128" spans="1:40" x14ac:dyDescent="0.25">
      <c r="A1128" t="str">
        <f>"20190312172110190"</f>
        <v>20190312172110190</v>
      </c>
      <c r="B1128" t="str">
        <f>"1552382470181890"</f>
        <v>1552382470181890</v>
      </c>
      <c r="C1128" t="s">
        <v>40</v>
      </c>
      <c r="D1128">
        <v>3.2358790000000002</v>
      </c>
      <c r="E1128">
        <v>0.47936719999999999</v>
      </c>
      <c r="F1128" t="s">
        <v>42</v>
      </c>
      <c r="G1128">
        <v>-244.20699999999999</v>
      </c>
      <c r="H1128" s="1">
        <v>-2.8343699999999999E-6</v>
      </c>
      <c r="I1128">
        <v>370.05040000000002</v>
      </c>
      <c r="J1128">
        <v>-283.3938</v>
      </c>
      <c r="K1128">
        <v>1.06027</v>
      </c>
      <c r="L1128">
        <v>367.82659999999998</v>
      </c>
      <c r="M1128">
        <v>0.99985429999999997</v>
      </c>
      <c r="N1128">
        <v>0</v>
      </c>
      <c r="O1128">
        <v>-1.061952E-2</v>
      </c>
      <c r="P1128">
        <v>0.98565360000000002</v>
      </c>
      <c r="Q1128">
        <v>0.16878070000000001</v>
      </c>
      <c r="R1128">
        <v>5.2345780000000001E-4</v>
      </c>
      <c r="S1128">
        <v>3.0576479999999999</v>
      </c>
      <c r="T1128">
        <v>-8.2403420000000005E-2</v>
      </c>
      <c r="U1128">
        <v>0.17269899999999999</v>
      </c>
      <c r="V1128">
        <v>-1.098495E-2</v>
      </c>
      <c r="W1128">
        <v>0.1819432</v>
      </c>
      <c r="X1128">
        <v>0.98324769999999995</v>
      </c>
      <c r="Y1128">
        <v>-6.6963430000000004E-2</v>
      </c>
      <c r="Z1128">
        <v>1.1874069999999999E-3</v>
      </c>
      <c r="AA1128">
        <v>0.99775480000000005</v>
      </c>
      <c r="AB1128">
        <v>32</v>
      </c>
      <c r="AC1128">
        <v>39.186799999999998</v>
      </c>
      <c r="AD1128">
        <v>-1.0602728343700001</v>
      </c>
      <c r="AE1128">
        <v>2.2238000000000402</v>
      </c>
      <c r="AF1128">
        <v>-2.6379317893029302</v>
      </c>
      <c r="AG1128">
        <v>-1.0602728343700001</v>
      </c>
      <c r="AH1128">
        <v>39.132416207282098</v>
      </c>
      <c r="AI1128">
        <v>91.548507547553896</v>
      </c>
      <c r="AJ1128">
        <v>93.856496902828695</v>
      </c>
      <c r="AK1128">
        <v>39.235556078998997</v>
      </c>
      <c r="AL1128">
        <v>79.517033982701093</v>
      </c>
      <c r="AM1128">
        <v>90.640088035891196</v>
      </c>
      <c r="AN1128">
        <v>1.0000000183540101</v>
      </c>
    </row>
    <row r="1129" spans="1:40" x14ac:dyDescent="0.25">
      <c r="A1129" t="str">
        <f>"20190312172110201"</f>
        <v>20190312172110201</v>
      </c>
      <c r="B1129" t="str">
        <f>"1552382470192626"</f>
        <v>1552382470192626</v>
      </c>
      <c r="C1129" t="s">
        <v>40</v>
      </c>
      <c r="D1129">
        <v>3.203227</v>
      </c>
      <c r="E1129">
        <v>0.47971360000000002</v>
      </c>
      <c r="F1129" t="s">
        <v>42</v>
      </c>
      <c r="G1129">
        <v>-244.2901</v>
      </c>
      <c r="H1129" s="1">
        <v>-2.7800079999999999E-6</v>
      </c>
      <c r="I1129">
        <v>369.99380000000002</v>
      </c>
      <c r="J1129">
        <v>-283.2432</v>
      </c>
      <c r="K1129">
        <v>1.0602769999999999</v>
      </c>
      <c r="L1129">
        <v>367.82499999999999</v>
      </c>
      <c r="M1129">
        <v>0.99985429999999997</v>
      </c>
      <c r="N1129">
        <v>0</v>
      </c>
      <c r="O1129">
        <v>-1.0619399999999999E-2</v>
      </c>
      <c r="P1129">
        <v>0.98565409999999998</v>
      </c>
      <c r="Q1129">
        <v>0.16877829999999999</v>
      </c>
      <c r="R1129">
        <v>4.4294910000000002E-4</v>
      </c>
      <c r="S1129">
        <v>3.0577700000000001</v>
      </c>
      <c r="T1129">
        <v>-8.2909640000000007E-2</v>
      </c>
      <c r="U1129">
        <v>0.16946410000000001</v>
      </c>
      <c r="V1129">
        <v>-1.090431E-2</v>
      </c>
      <c r="W1129">
        <v>0.18194080000000001</v>
      </c>
      <c r="X1129">
        <v>0.98324900000000004</v>
      </c>
      <c r="Y1129">
        <v>-6.5908820000000007E-2</v>
      </c>
      <c r="Z1129">
        <v>1.1803989999999999E-3</v>
      </c>
      <c r="AA1129">
        <v>0.99782499999999996</v>
      </c>
      <c r="AB1129">
        <v>32</v>
      </c>
      <c r="AC1129">
        <v>38.953099999999999</v>
      </c>
      <c r="AD1129">
        <v>-1.0602797800079999</v>
      </c>
      <c r="AE1129">
        <v>2.1688000000000298</v>
      </c>
      <c r="AF1129">
        <v>-2.58046723339644</v>
      </c>
      <c r="AG1129">
        <v>-1.0602797800079999</v>
      </c>
      <c r="AH1129">
        <v>38.899138602795098</v>
      </c>
      <c r="AI1129">
        <v>91.557910797431404</v>
      </c>
      <c r="AJ1129">
        <v>93.795291600806493</v>
      </c>
      <c r="AK1129">
        <v>38.999051121713102</v>
      </c>
      <c r="AL1129">
        <v>79.517173391874607</v>
      </c>
      <c r="AM1129">
        <v>90.635388726449406</v>
      </c>
      <c r="AN1129">
        <v>0.99999997734110702</v>
      </c>
    </row>
    <row r="1130" spans="1:40" x14ac:dyDescent="0.25">
      <c r="A1130" t="str">
        <f>"20190312172110212"</f>
        <v>20190312172110212</v>
      </c>
      <c r="B1130" t="str">
        <f>"1552382470202386"</f>
        <v>1552382470202386</v>
      </c>
      <c r="C1130" t="s">
        <v>40</v>
      </c>
      <c r="D1130">
        <v>3.1994009999999999</v>
      </c>
      <c r="E1130">
        <v>0.48001450000000001</v>
      </c>
      <c r="F1130" t="s">
        <v>42</v>
      </c>
      <c r="G1130">
        <v>-244.35480000000001</v>
      </c>
      <c r="H1130" s="1">
        <v>-2.735318E-6</v>
      </c>
      <c r="I1130">
        <v>369.94060000000002</v>
      </c>
      <c r="J1130">
        <v>-283.0856</v>
      </c>
      <c r="K1130">
        <v>1.060276</v>
      </c>
      <c r="L1130">
        <v>367.82339999999999</v>
      </c>
      <c r="M1130">
        <v>0.99985429999999997</v>
      </c>
      <c r="N1130">
        <v>0</v>
      </c>
      <c r="O1130">
        <v>-1.0619399999999999E-2</v>
      </c>
      <c r="P1130">
        <v>0.98564580000000002</v>
      </c>
      <c r="Q1130">
        <v>0.16882620000000001</v>
      </c>
      <c r="R1130">
        <v>3.6454670000000001E-4</v>
      </c>
      <c r="S1130">
        <v>3.0578609999999999</v>
      </c>
      <c r="T1130">
        <v>-8.3371459999999994E-2</v>
      </c>
      <c r="U1130">
        <v>0.16635129999999901</v>
      </c>
      <c r="V1130">
        <v>-1.082545E-2</v>
      </c>
      <c r="W1130">
        <v>0.18198819999999999</v>
      </c>
      <c r="X1130">
        <v>0.98324109999999998</v>
      </c>
      <c r="Y1130">
        <v>-6.4894510000000002E-2</v>
      </c>
      <c r="Z1130">
        <v>1.173154E-3</v>
      </c>
      <c r="AA1130">
        <v>0.99789139999999998</v>
      </c>
      <c r="AB1130">
        <v>32</v>
      </c>
      <c r="AC1130">
        <v>38.730799999999903</v>
      </c>
      <c r="AD1130">
        <v>-1.0602787353180001</v>
      </c>
      <c r="AE1130">
        <v>2.11720000000002</v>
      </c>
      <c r="AF1130">
        <v>-2.5265273907747199</v>
      </c>
      <c r="AG1130">
        <v>-1.0602787353180001</v>
      </c>
      <c r="AH1130">
        <v>38.677231018738198</v>
      </c>
      <c r="AI1130">
        <v>91.566947293757806</v>
      </c>
      <c r="AJ1130">
        <v>93.737443841851203</v>
      </c>
      <c r="AK1130">
        <v>38.774163188001197</v>
      </c>
      <c r="AL1130">
        <v>79.514411468894096</v>
      </c>
      <c r="AM1130">
        <v>90.630799033880606</v>
      </c>
      <c r="AN1130">
        <v>0.99999997801807505</v>
      </c>
    </row>
    <row r="1131" spans="1:40" x14ac:dyDescent="0.25">
      <c r="A1131" t="str">
        <f>"20190312172110221"</f>
        <v>20190312172110221</v>
      </c>
      <c r="B1131" t="str">
        <f>"1552382470212146"</f>
        <v>1552382470212146</v>
      </c>
      <c r="C1131" t="s">
        <v>40</v>
      </c>
      <c r="D1131">
        <v>3.2084959999999998</v>
      </c>
      <c r="E1131">
        <v>0.48032599999999998</v>
      </c>
      <c r="F1131" t="s">
        <v>42</v>
      </c>
      <c r="G1131">
        <v>-244.31829999999999</v>
      </c>
      <c r="H1131" s="1">
        <v>-2.7432389999999999E-6</v>
      </c>
      <c r="I1131">
        <v>369.90559999999999</v>
      </c>
      <c r="J1131">
        <v>-282.9436</v>
      </c>
      <c r="K1131">
        <v>1.060276</v>
      </c>
      <c r="L1131">
        <v>367.82190000000003</v>
      </c>
      <c r="M1131">
        <v>0.99985429999999997</v>
      </c>
      <c r="N1131">
        <v>0</v>
      </c>
      <c r="O1131">
        <v>-1.0619399999999999E-2</v>
      </c>
      <c r="P1131">
        <v>0.98563259999999997</v>
      </c>
      <c r="Q1131">
        <v>0.16890350000000001</v>
      </c>
      <c r="R1131" s="1">
        <v>7.2300900000000004E-5</v>
      </c>
      <c r="S1131">
        <v>3.057922</v>
      </c>
      <c r="T1131">
        <v>-8.3633659999999999E-2</v>
      </c>
      <c r="U1131">
        <v>0.16424559999999999</v>
      </c>
      <c r="V1131">
        <v>-1.0533209999999999E-2</v>
      </c>
      <c r="W1131">
        <v>0.18206559999999999</v>
      </c>
      <c r="X1131">
        <v>0.98323000000000005</v>
      </c>
      <c r="Y1131">
        <v>-6.4208329999999994E-2</v>
      </c>
      <c r="Z1131">
        <v>1.1674649999999999E-3</v>
      </c>
      <c r="AA1131">
        <v>0.99793580000000004</v>
      </c>
      <c r="AB1131">
        <v>32</v>
      </c>
      <c r="AC1131">
        <v>38.625300000000003</v>
      </c>
      <c r="AD1131">
        <v>-1.060278743239</v>
      </c>
      <c r="AE1131">
        <v>2.0836999999999599</v>
      </c>
      <c r="AF1131">
        <v>-2.4919243575880201</v>
      </c>
      <c r="AG1131">
        <v>-1.060278743239</v>
      </c>
      <c r="AH1131">
        <v>38.572011461025703</v>
      </c>
      <c r="AI1131">
        <v>91.571292636834002</v>
      </c>
      <c r="AJ1131">
        <v>93.696426542325398</v>
      </c>
      <c r="AK1131">
        <v>38.666961946431798</v>
      </c>
      <c r="AL1131">
        <v>79.509902002007493</v>
      </c>
      <c r="AM1131">
        <v>90.613778456722301</v>
      </c>
      <c r="AN1131">
        <v>1.0000000320581299</v>
      </c>
    </row>
    <row r="1132" spans="1:40" x14ac:dyDescent="0.25">
      <c r="A1132" t="str">
        <f>"20190312172110232"</f>
        <v>20190312172110232</v>
      </c>
      <c r="B1132" t="str">
        <f>"1552382470221906"</f>
        <v>1552382470221906</v>
      </c>
      <c r="C1132" t="s">
        <v>40</v>
      </c>
      <c r="D1132">
        <v>3.19929</v>
      </c>
      <c r="E1132">
        <v>0.48065029999999997</v>
      </c>
      <c r="F1132" t="s">
        <v>42</v>
      </c>
      <c r="G1132">
        <v>-244.36410000000001</v>
      </c>
      <c r="H1132" s="1">
        <v>-2.7068990000000001E-6</v>
      </c>
      <c r="I1132">
        <v>369.8503</v>
      </c>
      <c r="J1132">
        <v>-282.79180000000002</v>
      </c>
      <c r="K1132">
        <v>1.0602799999999999</v>
      </c>
      <c r="L1132">
        <v>367.8202</v>
      </c>
      <c r="M1132">
        <v>0.99985429999999997</v>
      </c>
      <c r="N1132">
        <v>0</v>
      </c>
      <c r="O1132">
        <v>-1.0619399999999999E-2</v>
      </c>
      <c r="P1132">
        <v>0.98566609999999999</v>
      </c>
      <c r="Q1132">
        <v>0.16870889999999999</v>
      </c>
      <c r="R1132">
        <v>-1.079859E-4</v>
      </c>
      <c r="S1132">
        <v>3.0581670000000001</v>
      </c>
      <c r="T1132">
        <v>-8.4047440000000001E-2</v>
      </c>
      <c r="U1132">
        <v>0.1607971</v>
      </c>
      <c r="V1132">
        <v>-1.035355E-2</v>
      </c>
      <c r="W1132">
        <v>0.181871</v>
      </c>
      <c r="X1132">
        <v>0.98326789999999997</v>
      </c>
      <c r="Y1132">
        <v>-6.3082029999999997E-2</v>
      </c>
      <c r="Z1132">
        <v>1.1577169999999999E-3</v>
      </c>
      <c r="AA1132">
        <v>0.99800770000000005</v>
      </c>
      <c r="AB1132">
        <v>32</v>
      </c>
      <c r="AC1132">
        <v>38.427700000000002</v>
      </c>
      <c r="AD1132">
        <v>-1.0602827068989999</v>
      </c>
      <c r="AE1132">
        <v>2.0301</v>
      </c>
      <c r="AF1132">
        <v>-2.4362515216487299</v>
      </c>
      <c r="AG1132">
        <v>-1.0602827068989999</v>
      </c>
      <c r="AH1132">
        <v>38.3748390329215</v>
      </c>
      <c r="AI1132">
        <v>91.579480517821196</v>
      </c>
      <c r="AJ1132">
        <v>93.632584632716103</v>
      </c>
      <c r="AK1132">
        <v>38.4667101751361</v>
      </c>
      <c r="AL1132">
        <v>79.521240838208897</v>
      </c>
      <c r="AM1132">
        <v>90.603287054471494</v>
      </c>
      <c r="AN1132">
        <v>1.0000000099045001</v>
      </c>
    </row>
    <row r="1133" spans="1:40" x14ac:dyDescent="0.25">
      <c r="A1133" t="str">
        <f>"20190312172110243"</f>
        <v>20190312172110243</v>
      </c>
      <c r="B1133" t="str">
        <f>"1552382470232642"</f>
        <v>1552382470232642</v>
      </c>
      <c r="C1133" t="s">
        <v>40</v>
      </c>
      <c r="D1133">
        <v>3.2153100000000001</v>
      </c>
      <c r="E1133">
        <v>0.48097839999999997</v>
      </c>
      <c r="F1133" t="s">
        <v>42</v>
      </c>
      <c r="G1133">
        <v>-244.6747</v>
      </c>
      <c r="H1133" s="1">
        <v>-2.5435249999999999E-6</v>
      </c>
      <c r="I1133">
        <v>369.78820000000002</v>
      </c>
      <c r="J1133">
        <v>-282.6422</v>
      </c>
      <c r="K1133">
        <v>1.0602799999999999</v>
      </c>
      <c r="L1133">
        <v>367.8186</v>
      </c>
      <c r="M1133">
        <v>0.99985429999999997</v>
      </c>
      <c r="N1133">
        <v>0</v>
      </c>
      <c r="O1133">
        <v>-1.0619389999999999E-2</v>
      </c>
      <c r="P1133">
        <v>0.98568679999999997</v>
      </c>
      <c r="Q1133">
        <v>0.16858779999999901</v>
      </c>
      <c r="R1133" s="1">
        <v>-2.011191E-5</v>
      </c>
      <c r="S1133">
        <v>3.0582280000000002</v>
      </c>
      <c r="T1133">
        <v>-8.5069119999999998E-2</v>
      </c>
      <c r="U1133">
        <v>0.15789790000000001</v>
      </c>
      <c r="V1133">
        <v>-1.044146E-2</v>
      </c>
      <c r="W1133">
        <v>0.18174999999999999</v>
      </c>
      <c r="X1133">
        <v>0.98328939999999998</v>
      </c>
      <c r="Y1133">
        <v>-6.2137100000000001E-2</v>
      </c>
      <c r="Z1133">
        <v>1.158659E-3</v>
      </c>
      <c r="AA1133">
        <v>0.99806700000000004</v>
      </c>
      <c r="AB1133">
        <v>32</v>
      </c>
      <c r="AC1133">
        <v>37.967500000000001</v>
      </c>
      <c r="AD1133">
        <v>-1.0602825435249901</v>
      </c>
      <c r="AE1133">
        <v>1.96960000000001</v>
      </c>
      <c r="AF1133">
        <v>-2.3708726235790301</v>
      </c>
      <c r="AG1133">
        <v>-1.0602825435249901</v>
      </c>
      <c r="AH1133">
        <v>37.914951742829899</v>
      </c>
      <c r="AI1133">
        <v>91.598724308615999</v>
      </c>
      <c r="AJ1133">
        <v>93.578122861262798</v>
      </c>
      <c r="AK1133">
        <v>38.003799832785901</v>
      </c>
      <c r="AL1133">
        <v>79.528291717921505</v>
      </c>
      <c r="AM1133">
        <v>90.608395763190998</v>
      </c>
      <c r="AN1133">
        <v>1.0000000653696399</v>
      </c>
    </row>
    <row r="1134" spans="1:40" x14ac:dyDescent="0.25">
      <c r="A1134" t="str">
        <f>"20190312172110253"</f>
        <v>20190312172110253</v>
      </c>
      <c r="B1134" t="str">
        <f>"1552382470242402"</f>
        <v>1552382470242402</v>
      </c>
      <c r="C1134" t="s">
        <v>40</v>
      </c>
      <c r="D1134">
        <v>3.285987</v>
      </c>
      <c r="E1134">
        <v>0.48142669999999999</v>
      </c>
      <c r="F1134" t="s">
        <v>42</v>
      </c>
      <c r="G1134">
        <v>-244.88570000000001</v>
      </c>
      <c r="H1134" s="1">
        <v>-2.4306699999999999E-6</v>
      </c>
      <c r="I1134">
        <v>369.73899999999998</v>
      </c>
      <c r="J1134">
        <v>-282.49299999999999</v>
      </c>
      <c r="K1134">
        <v>1.0602799999999999</v>
      </c>
      <c r="L1134">
        <v>367.81700000000001</v>
      </c>
      <c r="M1134">
        <v>0.99985429999999997</v>
      </c>
      <c r="N1134">
        <v>0</v>
      </c>
      <c r="O1134">
        <v>-1.061927E-2</v>
      </c>
      <c r="P1134">
        <v>0.98569180000000001</v>
      </c>
      <c r="Q1134">
        <v>0.16855780000000001</v>
      </c>
      <c r="R1134" s="1">
        <v>-9.115553E-5</v>
      </c>
      <c r="S1134">
        <v>3.0582579999999999</v>
      </c>
      <c r="T1134">
        <v>-8.5882429999999996E-2</v>
      </c>
      <c r="U1134">
        <v>0.15554809999999999</v>
      </c>
      <c r="V1134">
        <v>-1.0370249999999999E-2</v>
      </c>
      <c r="W1134">
        <v>0.18171950000000001</v>
      </c>
      <c r="X1134">
        <v>0.98329569999999999</v>
      </c>
      <c r="Y1134">
        <v>-6.1371330000000002E-2</v>
      </c>
      <c r="Z1134">
        <v>1.158996E-3</v>
      </c>
      <c r="AA1134">
        <v>0.99811430000000001</v>
      </c>
      <c r="AB1134">
        <v>32</v>
      </c>
      <c r="AC1134">
        <v>37.607299999999903</v>
      </c>
      <c r="AD1134">
        <v>-1.0602824306699901</v>
      </c>
      <c r="AE1134">
        <v>1.9220000000000801</v>
      </c>
      <c r="AF1134">
        <v>-2.3194504790132302</v>
      </c>
      <c r="AG1134">
        <v>-1.0602824306699901</v>
      </c>
      <c r="AH1134">
        <v>37.554993277657999</v>
      </c>
      <c r="AI1134">
        <v>91.6141164705368</v>
      </c>
      <c r="AJ1134">
        <v>93.534180751373995</v>
      </c>
      <c r="AK1134">
        <v>37.641487343652003</v>
      </c>
      <c r="AL1134">
        <v>79.530067888205906</v>
      </c>
      <c r="AM1134">
        <v>90.604242985768707</v>
      </c>
      <c r="AN1134">
        <v>0.99999997620190095</v>
      </c>
    </row>
    <row r="1135" spans="1:40" x14ac:dyDescent="0.25">
      <c r="A1135" t="str">
        <f>"20190312172110262"</f>
        <v>20190312172110262</v>
      </c>
      <c r="B1135" t="str">
        <f>"1552382470252161"</f>
        <v>1552382470252161</v>
      </c>
      <c r="C1135" t="s">
        <v>40</v>
      </c>
      <c r="D1135">
        <v>3.2736399999999999</v>
      </c>
      <c r="E1135">
        <v>0.48218749999999999</v>
      </c>
      <c r="F1135" t="s">
        <v>42</v>
      </c>
      <c r="G1135">
        <v>-244.83199999999999</v>
      </c>
      <c r="H1135" s="1">
        <v>-2.4424160000000001E-6</v>
      </c>
      <c r="I1135">
        <v>369.68779999999998</v>
      </c>
      <c r="J1135">
        <v>-282.3569</v>
      </c>
      <c r="K1135">
        <v>1.0602799999999999</v>
      </c>
      <c r="L1135">
        <v>367.81560000000002</v>
      </c>
      <c r="M1135">
        <v>0.99985429999999997</v>
      </c>
      <c r="N1135">
        <v>0</v>
      </c>
      <c r="O1135">
        <v>-1.061927E-2</v>
      </c>
      <c r="P1135">
        <v>0.98572139999999997</v>
      </c>
      <c r="Q1135">
        <v>0.1683846</v>
      </c>
      <c r="R1135" s="1">
        <v>-7.6378700000000001E-5</v>
      </c>
      <c r="S1135">
        <v>3.0582889999999998</v>
      </c>
      <c r="T1135">
        <v>-8.6101170000000005E-2</v>
      </c>
      <c r="U1135">
        <v>0.15191650000000001</v>
      </c>
      <c r="V1135">
        <v>-1.03856E-2</v>
      </c>
      <c r="W1135">
        <v>0.1815465</v>
      </c>
      <c r="X1135">
        <v>0.98332750000000002</v>
      </c>
      <c r="Y1135">
        <v>-6.018888E-2</v>
      </c>
      <c r="Z1135">
        <v>1.1453380000000001E-3</v>
      </c>
      <c r="AA1135">
        <v>0.99818629999999997</v>
      </c>
      <c r="AB1135">
        <v>32</v>
      </c>
      <c r="AC1135">
        <v>37.524900000000002</v>
      </c>
      <c r="AD1135">
        <v>-1.06028244241599</v>
      </c>
      <c r="AE1135">
        <v>1.8721999999999599</v>
      </c>
      <c r="AF1135">
        <v>-2.2688101999811399</v>
      </c>
      <c r="AG1135">
        <v>-1.06028244241599</v>
      </c>
      <c r="AH1135">
        <v>37.473057500756902</v>
      </c>
      <c r="AI1135">
        <v>91.617763738715695</v>
      </c>
      <c r="AJ1135">
        <v>93.464749526845495</v>
      </c>
      <c r="AK1135">
        <v>37.5566470419853</v>
      </c>
      <c r="AL1135">
        <v>79.540147786903205</v>
      </c>
      <c r="AM1135">
        <v>90.605117749021503</v>
      </c>
      <c r="AN1135">
        <v>0.99999998230292897</v>
      </c>
    </row>
    <row r="1136" spans="1:40" x14ac:dyDescent="0.25">
      <c r="A1136" t="str">
        <f>"20190312172110272"</f>
        <v>20190312172110272</v>
      </c>
      <c r="B1136" t="str">
        <f>"1552382470261922"</f>
        <v>1552382470261922</v>
      </c>
      <c r="C1136" t="s">
        <v>40</v>
      </c>
      <c r="D1136">
        <v>3.2262900000000001</v>
      </c>
      <c r="E1136">
        <v>0.48218749999999999</v>
      </c>
      <c r="F1136" t="s">
        <v>42</v>
      </c>
      <c r="G1136">
        <v>-244.91130000000001</v>
      </c>
      <c r="H1136" s="1">
        <v>-2.3885250000000001E-6</v>
      </c>
      <c r="I1136">
        <v>369.60169999999999</v>
      </c>
      <c r="J1136">
        <v>-282.20729999999998</v>
      </c>
      <c r="K1136">
        <v>1.0602799999999999</v>
      </c>
      <c r="L1136">
        <v>367.81400000000002</v>
      </c>
      <c r="M1136">
        <v>0.99985429999999997</v>
      </c>
      <c r="N1136">
        <v>0</v>
      </c>
      <c r="O1136">
        <v>-1.061903E-2</v>
      </c>
      <c r="P1136">
        <v>0.98571359999999997</v>
      </c>
      <c r="Q1136">
        <v>0.16843079999999999</v>
      </c>
      <c r="R1136">
        <v>1.522196E-4</v>
      </c>
      <c r="S1136">
        <v>3.0582280000000002</v>
      </c>
      <c r="T1136">
        <v>-8.6594699999999997E-2</v>
      </c>
      <c r="U1136">
        <v>0.145874</v>
      </c>
      <c r="V1136">
        <v>-1.061432E-2</v>
      </c>
      <c r="W1136">
        <v>0.181592</v>
      </c>
      <c r="X1136">
        <v>0.98331670000000004</v>
      </c>
      <c r="Y1136">
        <v>-5.8222410000000002E-2</v>
      </c>
      <c r="Z1136">
        <v>1.124152E-3</v>
      </c>
      <c r="AA1136">
        <v>0.99830300000000005</v>
      </c>
      <c r="AB1136">
        <v>32</v>
      </c>
      <c r="AC1136">
        <v>37.2959999999999</v>
      </c>
      <c r="AD1136">
        <v>-1.0602823885249999</v>
      </c>
      <c r="AE1136">
        <v>1.7876999999999701</v>
      </c>
      <c r="AF1136">
        <v>-2.1819225164078402</v>
      </c>
      <c r="AG1136">
        <v>-1.0602823885249999</v>
      </c>
      <c r="AH1136">
        <v>37.244879117768399</v>
      </c>
      <c r="AI1136">
        <v>91.627858916289696</v>
      </c>
      <c r="AJ1136">
        <v>93.352735506980693</v>
      </c>
      <c r="AK1136">
        <v>37.323799446307802</v>
      </c>
      <c r="AL1136">
        <v>79.537497219740104</v>
      </c>
      <c r="AM1136">
        <v>90.618449904739904</v>
      </c>
      <c r="AN1136">
        <v>1.00000002537597</v>
      </c>
    </row>
    <row r="1137" spans="1:40" x14ac:dyDescent="0.25">
      <c r="A1137" t="str">
        <f>"20190312172110284"</f>
        <v>20190312172110284</v>
      </c>
      <c r="B1137" t="str">
        <f>"1552382470272658"</f>
        <v>1552382470272658</v>
      </c>
      <c r="C1137" t="s">
        <v>40</v>
      </c>
      <c r="D1137">
        <v>3.2237770000000001</v>
      </c>
      <c r="E1137">
        <v>0.54335699999999998</v>
      </c>
      <c r="F1137" t="s">
        <v>42</v>
      </c>
      <c r="G1137">
        <v>-244.7105</v>
      </c>
      <c r="H1137" s="1">
        <v>-2.481987E-6</v>
      </c>
      <c r="I1137">
        <v>369.61</v>
      </c>
      <c r="J1137">
        <v>-282.05739999999997</v>
      </c>
      <c r="K1137">
        <v>1.060281</v>
      </c>
      <c r="L1137">
        <v>367.81240000000003</v>
      </c>
      <c r="M1137">
        <v>0.99985440000000003</v>
      </c>
      <c r="N1137">
        <v>0</v>
      </c>
      <c r="O1137">
        <v>-1.0618910000000001E-2</v>
      </c>
      <c r="P1137">
        <v>0.98571850000000005</v>
      </c>
      <c r="Q1137">
        <v>0.16840269999999999</v>
      </c>
      <c r="R1137" s="1">
        <v>9.2798840000000006E-5</v>
      </c>
      <c r="S1137">
        <v>3.0582280000000002</v>
      </c>
      <c r="T1137">
        <v>-8.6476209999999998E-2</v>
      </c>
      <c r="U1137">
        <v>0.14648439999999999</v>
      </c>
      <c r="V1137">
        <v>-1.055436E-2</v>
      </c>
      <c r="W1137">
        <v>0.1815639</v>
      </c>
      <c r="X1137">
        <v>0.98332249999999999</v>
      </c>
      <c r="Y1137">
        <v>-5.8421059999999997E-2</v>
      </c>
      <c r="Z1137">
        <v>1.1254119999999999E-3</v>
      </c>
      <c r="AA1137">
        <v>0.99829140000000005</v>
      </c>
      <c r="AB1137">
        <v>32</v>
      </c>
      <c r="AC1137">
        <v>37.346899999999899</v>
      </c>
      <c r="AD1137">
        <v>-1.060283481987</v>
      </c>
      <c r="AE1137">
        <v>1.7975999999999801</v>
      </c>
      <c r="AF1137">
        <v>-2.19235442988915</v>
      </c>
      <c r="AG1137">
        <v>-1.060283481987</v>
      </c>
      <c r="AH1137">
        <v>37.295712815664999</v>
      </c>
      <c r="AI1137">
        <v>91.625624036791706</v>
      </c>
      <c r="AJ1137">
        <v>93.3641473331529</v>
      </c>
      <c r="AK1137">
        <v>37.375136299911802</v>
      </c>
      <c r="AL1137">
        <v>79.539134090715706</v>
      </c>
      <c r="AM1137">
        <v>90.614952940435998</v>
      </c>
      <c r="AN1137">
        <v>0.99999999165223397</v>
      </c>
    </row>
    <row r="1138" spans="1:40" x14ac:dyDescent="0.25">
      <c r="A1138" t="str">
        <f>"20190312172110295"</f>
        <v>20190312172110295</v>
      </c>
      <c r="B1138" t="str">
        <f>"1552382470292178"</f>
        <v>1552382470292178</v>
      </c>
      <c r="C1138" t="s">
        <v>40</v>
      </c>
      <c r="D1138">
        <v>3.1977690000000001</v>
      </c>
      <c r="E1138">
        <v>0.54457119999999903</v>
      </c>
      <c r="F1138" t="s">
        <v>42</v>
      </c>
      <c r="G1138">
        <v>-249.3682</v>
      </c>
      <c r="H1138" s="1">
        <v>-1.6782150000000001E-6</v>
      </c>
      <c r="I1138">
        <v>364.16160000000002</v>
      </c>
      <c r="J1138">
        <v>-281.89830000000001</v>
      </c>
      <c r="K1138">
        <v>1.0602739999999999</v>
      </c>
      <c r="L1138">
        <v>367.8107</v>
      </c>
      <c r="M1138">
        <v>0.99985440000000003</v>
      </c>
      <c r="N1138">
        <v>0</v>
      </c>
      <c r="O1138">
        <v>-1.0618900000000001E-2</v>
      </c>
      <c r="P1138">
        <v>0.98570539999999995</v>
      </c>
      <c r="Q1138">
        <v>0.16847799999999999</v>
      </c>
      <c r="R1138" s="1">
        <v>-4.811399E-5</v>
      </c>
      <c r="S1138">
        <v>3.0604550000000001</v>
      </c>
      <c r="T1138">
        <v>-9.9266649999999998E-2</v>
      </c>
      <c r="U1138">
        <v>-0.34179690000000001</v>
      </c>
      <c r="V1138">
        <v>-1.041308E-2</v>
      </c>
      <c r="W1138">
        <v>0.18163789999999999</v>
      </c>
      <c r="X1138">
        <v>0.98331029999999997</v>
      </c>
      <c r="Y1138">
        <v>0.1003846</v>
      </c>
      <c r="Z1138">
        <v>-1.279287E-3</v>
      </c>
      <c r="AA1138">
        <v>0.9949479</v>
      </c>
      <c r="AB1138">
        <v>32</v>
      </c>
      <c r="AC1138">
        <v>32.530099999999997</v>
      </c>
      <c r="AD1138">
        <v>-1.060275678215</v>
      </c>
      <c r="AE1138">
        <v>-3.64909999999997</v>
      </c>
      <c r="AF1138">
        <v>3.29996737269951</v>
      </c>
      <c r="AG1138">
        <v>-1.060275678215</v>
      </c>
      <c r="AH1138">
        <v>32.532886691618998</v>
      </c>
      <c r="AI1138">
        <v>91.857136754071703</v>
      </c>
      <c r="AJ1138">
        <v>84.208023531880897</v>
      </c>
      <c r="AK1138">
        <v>32.717009118567297</v>
      </c>
      <c r="AL1138">
        <v>79.534822097264296</v>
      </c>
      <c r="AM1138">
        <v>90.606729365606597</v>
      </c>
      <c r="AN1138">
        <v>0.99999995251879104</v>
      </c>
    </row>
    <row r="1139" spans="1:40" x14ac:dyDescent="0.25">
      <c r="A1139" t="str">
        <f>"20190312172110306"</f>
        <v>20190312172110306</v>
      </c>
      <c r="B1139" t="str">
        <f>"1552382470301937"</f>
        <v>1552382470301937</v>
      </c>
      <c r="C1139" t="s">
        <v>40</v>
      </c>
      <c r="D1139">
        <v>3.2008709999999998</v>
      </c>
      <c r="E1139">
        <v>0.54494589999999998</v>
      </c>
      <c r="F1139" t="s">
        <v>42</v>
      </c>
      <c r="G1139">
        <v>-249.15559999999999</v>
      </c>
      <c r="H1139" s="1">
        <v>-1.7909779999999999E-6</v>
      </c>
      <c r="I1139">
        <v>364.0446</v>
      </c>
      <c r="J1139">
        <v>-281.73129999999998</v>
      </c>
      <c r="K1139">
        <v>1.060273</v>
      </c>
      <c r="L1139">
        <v>367.80889999999999</v>
      </c>
      <c r="M1139">
        <v>0.99985440000000003</v>
      </c>
      <c r="N1139">
        <v>0</v>
      </c>
      <c r="O1139">
        <v>-1.061866E-2</v>
      </c>
      <c r="P1139">
        <v>0.98565259999999999</v>
      </c>
      <c r="Q1139">
        <v>0.1687872</v>
      </c>
      <c r="R1139">
        <v>-1.384863E-4</v>
      </c>
      <c r="S1139">
        <v>3.060425</v>
      </c>
      <c r="T1139">
        <v>-9.9103090000000005E-2</v>
      </c>
      <c r="U1139">
        <v>-0.35202030000000001</v>
      </c>
      <c r="V1139">
        <v>-1.032246E-2</v>
      </c>
      <c r="W1139">
        <v>0.181946</v>
      </c>
      <c r="X1139">
        <v>0.98325430000000003</v>
      </c>
      <c r="Y1139">
        <v>0.1036653</v>
      </c>
      <c r="Z1139">
        <v>-1.329893E-3</v>
      </c>
      <c r="AA1139">
        <v>0.99461129999999998</v>
      </c>
      <c r="AB1139">
        <v>32</v>
      </c>
      <c r="AC1139">
        <v>32.575699999999898</v>
      </c>
      <c r="AD1139">
        <v>-1.0602747909779999</v>
      </c>
      <c r="AE1139">
        <v>-3.7642999999999902</v>
      </c>
      <c r="AF1139">
        <v>3.41457693802603</v>
      </c>
      <c r="AG1139">
        <v>-1.0602747909779999</v>
      </c>
      <c r="AH1139">
        <v>32.579779079245</v>
      </c>
      <c r="AI1139">
        <v>91.853826612819901</v>
      </c>
      <c r="AJ1139">
        <v>84.016865587994204</v>
      </c>
      <c r="AK1139">
        <v>32.775379832284102</v>
      </c>
      <c r="AL1139">
        <v>79.516870205068003</v>
      </c>
      <c r="AM1139">
        <v>90.601483935185598</v>
      </c>
      <c r="AN1139">
        <v>0.99999995928246999</v>
      </c>
    </row>
    <row r="1140" spans="1:40" x14ac:dyDescent="0.25">
      <c r="A1140" t="str">
        <f>"20190312172110317"</f>
        <v>20190312172110317</v>
      </c>
      <c r="B1140" t="str">
        <f>"1552382470312674"</f>
        <v>1552382470312674</v>
      </c>
      <c r="C1140" t="s">
        <v>40</v>
      </c>
      <c r="D1140">
        <v>3.218423</v>
      </c>
      <c r="E1140">
        <v>0.54517850000000001</v>
      </c>
      <c r="F1140" t="s">
        <v>42</v>
      </c>
      <c r="G1140">
        <v>-248.8458</v>
      </c>
      <c r="H1140" s="1">
        <v>-1.9234070000000001E-6</v>
      </c>
      <c r="I1140">
        <v>363.99400000000003</v>
      </c>
      <c r="J1140">
        <v>-281.5727</v>
      </c>
      <c r="K1140">
        <v>1.0602799999999999</v>
      </c>
      <c r="L1140">
        <v>367.80720000000002</v>
      </c>
      <c r="M1140">
        <v>0.99985440000000003</v>
      </c>
      <c r="N1140">
        <v>0</v>
      </c>
      <c r="O1140">
        <v>-1.061866E-2</v>
      </c>
      <c r="P1140">
        <v>0.98562269999999996</v>
      </c>
      <c r="Q1140">
        <v>0.16896159999999999</v>
      </c>
      <c r="R1140">
        <v>-4.0551690000000001E-4</v>
      </c>
      <c r="S1140">
        <v>3.0605769999999999</v>
      </c>
      <c r="T1140">
        <v>-9.8677280000000006E-2</v>
      </c>
      <c r="U1140">
        <v>-0.35504150000000001</v>
      </c>
      <c r="V1140">
        <v>-1.005488E-2</v>
      </c>
      <c r="W1140">
        <v>0.18211939999999999</v>
      </c>
      <c r="X1140">
        <v>0.98322500000000002</v>
      </c>
      <c r="Y1140">
        <v>0.104628399999999</v>
      </c>
      <c r="Z1140">
        <v>-1.3395130000000001E-3</v>
      </c>
      <c r="AA1140">
        <v>0.99451049999999996</v>
      </c>
      <c r="AB1140">
        <v>32</v>
      </c>
      <c r="AC1140">
        <v>32.726900000000001</v>
      </c>
      <c r="AD1140">
        <v>-1.06028192340699</v>
      </c>
      <c r="AE1140">
        <v>-3.8131999999999899</v>
      </c>
      <c r="AF1140">
        <v>3.4618531761943299</v>
      </c>
      <c r="AG1140">
        <v>-1.06028192340699</v>
      </c>
      <c r="AH1140">
        <v>32.731653527438901</v>
      </c>
      <c r="AI1140">
        <v>91.845059293947699</v>
      </c>
      <c r="AJ1140">
        <v>83.962574788622803</v>
      </c>
      <c r="AK1140">
        <v>32.931288584125198</v>
      </c>
      <c r="AL1140">
        <v>79.506766615889902</v>
      </c>
      <c r="AM1140">
        <v>90.585910758859498</v>
      </c>
      <c r="AN1140">
        <v>0.999999988546587</v>
      </c>
    </row>
    <row r="1141" spans="1:40" x14ac:dyDescent="0.25">
      <c r="A1141" t="str">
        <f>"20190312172110329"</f>
        <v>20190312172110329</v>
      </c>
      <c r="B1141" t="str">
        <f>"1552382470322434"</f>
        <v>1552382470322434</v>
      </c>
      <c r="C1141" t="s">
        <v>40</v>
      </c>
      <c r="D1141">
        <v>3.219703</v>
      </c>
      <c r="E1141">
        <v>0.54510530000000001</v>
      </c>
      <c r="F1141" t="s">
        <v>42</v>
      </c>
      <c r="G1141">
        <v>-249.08869999999999</v>
      </c>
      <c r="H1141" s="1">
        <v>-1.8256430000000001E-6</v>
      </c>
      <c r="I1141">
        <v>364.01089999999999</v>
      </c>
      <c r="J1141">
        <v>-281.40710000000001</v>
      </c>
      <c r="K1141">
        <v>1.0602799999999999</v>
      </c>
      <c r="L1141">
        <v>367.80549999999999</v>
      </c>
      <c r="M1141">
        <v>0.99985440000000003</v>
      </c>
      <c r="N1141">
        <v>0</v>
      </c>
      <c r="O1141">
        <v>-1.0618529999999999E-2</v>
      </c>
      <c r="P1141">
        <v>0.9855585</v>
      </c>
      <c r="Q1141">
        <v>0.1693347</v>
      </c>
      <c r="R1141">
        <v>-3.9448960000000003E-4</v>
      </c>
      <c r="S1141">
        <v>3.06073</v>
      </c>
      <c r="T1141">
        <v>-9.990251E-2</v>
      </c>
      <c r="U1141">
        <v>-0.35769649999999997</v>
      </c>
      <c r="V1141">
        <v>-1.0064490000000001E-2</v>
      </c>
      <c r="W1141">
        <v>0.1824913</v>
      </c>
      <c r="X1141">
        <v>0.98315600000000003</v>
      </c>
      <c r="Y1141">
        <v>0.10547239999999999</v>
      </c>
      <c r="Z1141">
        <v>-1.3697290000000001E-3</v>
      </c>
      <c r="AA1141">
        <v>0.99442129999999995</v>
      </c>
      <c r="AB1141">
        <v>32</v>
      </c>
      <c r="AC1141">
        <v>32.318399999999997</v>
      </c>
      <c r="AD1141">
        <v>-1.060281825643</v>
      </c>
      <c r="AE1141">
        <v>-3.7946</v>
      </c>
      <c r="AF1141">
        <v>3.4475213191805798</v>
      </c>
      <c r="AG1141">
        <v>-1.060281825643</v>
      </c>
      <c r="AH1141">
        <v>32.322557834302799</v>
      </c>
      <c r="AI1141">
        <v>91.868219425537006</v>
      </c>
      <c r="AJ1141">
        <v>83.911854252080701</v>
      </c>
      <c r="AK1141">
        <v>32.523181667048597</v>
      </c>
      <c r="AL1141">
        <v>79.485095738134405</v>
      </c>
      <c r="AM1141">
        <v>90.586511863694099</v>
      </c>
      <c r="AN1141">
        <v>1.0000000444353201</v>
      </c>
    </row>
    <row r="1142" spans="1:40" x14ac:dyDescent="0.25">
      <c r="A1142" t="str">
        <f>"20190312172110340"</f>
        <v>20190312172110340</v>
      </c>
      <c r="B1142" t="str">
        <f>"1552382470332194"</f>
        <v>1552382470332194</v>
      </c>
      <c r="C1142" t="s">
        <v>40</v>
      </c>
      <c r="D1142">
        <v>3.1819829999999998</v>
      </c>
      <c r="E1142">
        <v>0.54517919999999997</v>
      </c>
      <c r="F1142" t="s">
        <v>42</v>
      </c>
      <c r="G1142">
        <v>-249.078</v>
      </c>
      <c r="H1142" s="1">
        <v>-1.8235899999999999E-6</v>
      </c>
      <c r="I1142">
        <v>364.03410000000002</v>
      </c>
      <c r="J1142">
        <v>-281.2407</v>
      </c>
      <c r="K1142">
        <v>1.0602959999999999</v>
      </c>
      <c r="L1142">
        <v>367.80369999999999</v>
      </c>
      <c r="M1142">
        <v>0.99985360000000001</v>
      </c>
      <c r="N1142">
        <v>0</v>
      </c>
      <c r="O1142">
        <v>-1.061839E-2</v>
      </c>
      <c r="P1142">
        <v>0.98557989999999995</v>
      </c>
      <c r="Q1142">
        <v>0.1692089</v>
      </c>
      <c r="R1142">
        <v>-5.7590150000000004E-4</v>
      </c>
      <c r="S1142">
        <v>3.0610659999999998</v>
      </c>
      <c r="T1142">
        <v>-0.1003922</v>
      </c>
      <c r="U1142">
        <v>-0.35708620000000002</v>
      </c>
      <c r="V1142">
        <v>-9.8836749999999998E-3</v>
      </c>
      <c r="W1142">
        <v>0.1824153</v>
      </c>
      <c r="X1142">
        <v>0.98317189999999999</v>
      </c>
      <c r="Y1142">
        <v>0.105264</v>
      </c>
      <c r="Z1142">
        <v>-1.372903E-3</v>
      </c>
      <c r="AA1142">
        <v>0.99444339999999998</v>
      </c>
      <c r="AB1142">
        <v>32</v>
      </c>
      <c r="AC1142">
        <v>32.162700000000001</v>
      </c>
      <c r="AD1142">
        <v>-1.06029782358999</v>
      </c>
      <c r="AE1142">
        <v>-3.7695999999999601</v>
      </c>
      <c r="AF1142">
        <v>3.4241696369533901</v>
      </c>
      <c r="AG1142">
        <v>-1.06029782358999</v>
      </c>
      <c r="AH1142">
        <v>32.166432276842698</v>
      </c>
      <c r="AI1142">
        <v>91.877350161843907</v>
      </c>
      <c r="AJ1142">
        <v>83.923653347585798</v>
      </c>
      <c r="AK1142">
        <v>32.365545485871998</v>
      </c>
      <c r="AL1142">
        <v>79.489524157257804</v>
      </c>
      <c r="AM1142">
        <v>90.575966205170801</v>
      </c>
      <c r="AN1142">
        <v>1.0000000068276</v>
      </c>
    </row>
    <row r="1143" spans="1:40" x14ac:dyDescent="0.25">
      <c r="A1143" t="str">
        <f>"20190312172110352"</f>
        <v>20190312172110352</v>
      </c>
      <c r="B1143" t="str">
        <f>"1552382470341954"</f>
        <v>1552382470341954</v>
      </c>
      <c r="C1143" t="s">
        <v>40</v>
      </c>
      <c r="D1143">
        <v>3.1891639999999999</v>
      </c>
      <c r="E1143">
        <v>0.54520100000000005</v>
      </c>
      <c r="F1143" t="s">
        <v>42</v>
      </c>
      <c r="G1143">
        <v>-249.4736</v>
      </c>
      <c r="H1143" s="1">
        <v>-1.6570679999999999E-6</v>
      </c>
      <c r="I1143">
        <v>364.089</v>
      </c>
      <c r="J1143">
        <v>-281.07260000000002</v>
      </c>
      <c r="K1143">
        <v>1.060452</v>
      </c>
      <c r="L1143">
        <v>367.80189999999999</v>
      </c>
      <c r="M1143">
        <v>0.99984600000000001</v>
      </c>
      <c r="N1143">
        <v>0</v>
      </c>
      <c r="O1143">
        <v>-1.061838E-2</v>
      </c>
      <c r="P1143">
        <v>0.98567159999999998</v>
      </c>
      <c r="Q1143">
        <v>0.16867650000000001</v>
      </c>
      <c r="R1143">
        <v>-5.6361360000000001E-4</v>
      </c>
      <c r="S1143">
        <v>3.0612180000000002</v>
      </c>
      <c r="T1143">
        <v>-0.1021751</v>
      </c>
      <c r="U1143">
        <v>-0.35797119999999999</v>
      </c>
      <c r="V1143">
        <v>-9.8972360000000002E-3</v>
      </c>
      <c r="W1143">
        <v>0.1824345</v>
      </c>
      <c r="X1143">
        <v>0.98316820000000005</v>
      </c>
      <c r="Y1143">
        <v>0.10553990000000001</v>
      </c>
      <c r="Z1143">
        <v>-1.401766E-3</v>
      </c>
      <c r="AA1143">
        <v>0.99441409999999997</v>
      </c>
      <c r="AB1143">
        <v>32</v>
      </c>
      <c r="AC1143">
        <v>31.599</v>
      </c>
      <c r="AD1143">
        <v>-1.0604536570680001</v>
      </c>
      <c r="AE1143">
        <v>-3.7128999999999901</v>
      </c>
      <c r="AF1143">
        <v>3.3733801459034898</v>
      </c>
      <c r="AG1143">
        <v>-1.0604536570680001</v>
      </c>
      <c r="AH1143">
        <v>31.6015403457735</v>
      </c>
      <c r="AI1143">
        <v>91.911105109037806</v>
      </c>
      <c r="AJ1143">
        <v>83.906902047358301</v>
      </c>
      <c r="AK1143">
        <v>31.798767394242201</v>
      </c>
      <c r="AL1143">
        <v>79.488405292574498</v>
      </c>
      <c r="AM1143">
        <v>90.5767585826854</v>
      </c>
      <c r="AN1143">
        <v>1.0000000057809599</v>
      </c>
    </row>
    <row r="1144" spans="1:40" x14ac:dyDescent="0.25">
      <c r="A1144" t="str">
        <f>"20190312172110365"</f>
        <v>20190312172110365</v>
      </c>
      <c r="B1144" t="str">
        <f>"1552382470362449"</f>
        <v>1552382470362449</v>
      </c>
      <c r="C1144" t="s">
        <v>40</v>
      </c>
      <c r="D1144">
        <v>3.1767569999999998</v>
      </c>
      <c r="E1144">
        <v>0.54536609999999996</v>
      </c>
      <c r="F1144" t="s">
        <v>42</v>
      </c>
      <c r="G1144">
        <v>-250.06909999999999</v>
      </c>
      <c r="H1144" s="1">
        <v>-5.2078170000000002E-6</v>
      </c>
      <c r="I1144">
        <v>364.17520000000002</v>
      </c>
      <c r="J1144">
        <v>-280.90949999999998</v>
      </c>
      <c r="K1144">
        <v>1.060681</v>
      </c>
      <c r="L1144">
        <v>367.80020000000002</v>
      </c>
      <c r="M1144">
        <v>0.99983750000000005</v>
      </c>
      <c r="N1144">
        <v>0</v>
      </c>
      <c r="O1144">
        <v>-1.061843E-2</v>
      </c>
      <c r="P1144">
        <v>0.98579439999999996</v>
      </c>
      <c r="Q1144">
        <v>0.16795650000000001</v>
      </c>
      <c r="R1144">
        <v>-6.3342040000000002E-4</v>
      </c>
      <c r="S1144">
        <v>3.0612789999999999</v>
      </c>
      <c r="T1144">
        <v>-0.10470889999999999</v>
      </c>
      <c r="U1144">
        <v>-0.3580933</v>
      </c>
      <c r="V1144">
        <v>-9.8290319999999997E-3</v>
      </c>
      <c r="W1144">
        <v>0.18230370000000001</v>
      </c>
      <c r="X1144">
        <v>0.98319319999999999</v>
      </c>
      <c r="Y1144">
        <v>0.1055739</v>
      </c>
      <c r="Z1144">
        <v>-1.437051E-3</v>
      </c>
      <c r="AA1144">
        <v>0.99441040000000003</v>
      </c>
      <c r="AB1144">
        <v>32</v>
      </c>
      <c r="AC1144">
        <v>30.840399999999899</v>
      </c>
      <c r="AD1144">
        <v>-1.0606862078170001</v>
      </c>
      <c r="AE1144">
        <v>-3.625</v>
      </c>
      <c r="AF1144">
        <v>3.2934416102755999</v>
      </c>
      <c r="AG1144">
        <v>-1.0606862078170001</v>
      </c>
      <c r="AH1144">
        <v>30.841173143814899</v>
      </c>
      <c r="AI1144">
        <v>91.958606659322399</v>
      </c>
      <c r="AJ1144">
        <v>83.904645252623794</v>
      </c>
      <c r="AK1144">
        <v>31.034654400500699</v>
      </c>
      <c r="AL1144">
        <v>79.496027964526704</v>
      </c>
      <c r="AM1144">
        <v>90.572769716499096</v>
      </c>
      <c r="AN1144">
        <v>1.00000005871499</v>
      </c>
    </row>
    <row r="1145" spans="1:40" x14ac:dyDescent="0.25">
      <c r="A1145" t="str">
        <f>"20190312172110377"</f>
        <v>20190312172110377</v>
      </c>
      <c r="B1145" t="str">
        <f>"1552382470372210"</f>
        <v>1552382470372210</v>
      </c>
      <c r="C1145" t="s">
        <v>40</v>
      </c>
      <c r="D1145">
        <v>3.189038</v>
      </c>
      <c r="E1145">
        <v>0.5454755</v>
      </c>
      <c r="F1145" t="s">
        <v>42</v>
      </c>
      <c r="G1145">
        <v>-250.6635</v>
      </c>
      <c r="H1145" s="1">
        <v>-4.9404189999999996E-6</v>
      </c>
      <c r="I1145">
        <v>364.245</v>
      </c>
      <c r="J1145">
        <v>-280.73340000000002</v>
      </c>
      <c r="K1145">
        <v>1.0610630000000001</v>
      </c>
      <c r="L1145">
        <v>367.79829999999998</v>
      </c>
      <c r="M1145">
        <v>0.99982660000000001</v>
      </c>
      <c r="N1145">
        <v>0</v>
      </c>
      <c r="O1145">
        <v>-1.061839E-2</v>
      </c>
      <c r="P1145">
        <v>0.98592740000000001</v>
      </c>
      <c r="Q1145">
        <v>0.16717409999999999</v>
      </c>
      <c r="R1145">
        <v>-5.0874749999999999E-4</v>
      </c>
      <c r="S1145">
        <v>3.0612789999999999</v>
      </c>
      <c r="T1145">
        <v>-0.1073547</v>
      </c>
      <c r="U1145">
        <v>-0.35983280000000001</v>
      </c>
      <c r="V1145">
        <v>-9.9547860000000002E-3</v>
      </c>
      <c r="W1145">
        <v>0.18224470000000001</v>
      </c>
      <c r="X1145">
        <v>0.98320280000000004</v>
      </c>
      <c r="Y1145">
        <v>0.1061281</v>
      </c>
      <c r="Z1145">
        <v>-1.4829699999999999E-3</v>
      </c>
      <c r="AA1145">
        <v>0.9943514</v>
      </c>
      <c r="AB1145">
        <v>32</v>
      </c>
      <c r="AC1145">
        <v>30.069900000000001</v>
      </c>
      <c r="AD1145">
        <v>-1.06106794041899</v>
      </c>
      <c r="AE1145">
        <v>-3.5532999999999699</v>
      </c>
      <c r="AF1145">
        <v>3.2298021251382498</v>
      </c>
      <c r="AG1145">
        <v>-1.06106794041899</v>
      </c>
      <c r="AH1145">
        <v>30.069014212414501</v>
      </c>
      <c r="AI1145">
        <v>92.009451447954405</v>
      </c>
      <c r="AJ1145">
        <v>83.869196183918206</v>
      </c>
      <c r="AK1145">
        <v>30.260586621017701</v>
      </c>
      <c r="AL1145">
        <v>79.499465250729003</v>
      </c>
      <c r="AM1145">
        <v>90.580091650465704</v>
      </c>
      <c r="AN1145">
        <v>0.99999998718511696</v>
      </c>
    </row>
    <row r="1146" spans="1:40" x14ac:dyDescent="0.25">
      <c r="A1146" t="str">
        <f>"20190312172110389"</f>
        <v>20190312172110389</v>
      </c>
      <c r="B1146" t="str">
        <f>"1552382470381970"</f>
        <v>1552382470381970</v>
      </c>
      <c r="C1146" t="s">
        <v>40</v>
      </c>
      <c r="D1146">
        <v>3.2009560000000001</v>
      </c>
      <c r="E1146">
        <v>0.54548730000000001</v>
      </c>
      <c r="F1146" t="s">
        <v>42</v>
      </c>
      <c r="G1146">
        <v>-251.20769999999999</v>
      </c>
      <c r="H1146" s="1">
        <v>-4.6929800000000001E-6</v>
      </c>
      <c r="I1146">
        <v>364.32400000000001</v>
      </c>
      <c r="J1146">
        <v>-280.56529999999998</v>
      </c>
      <c r="K1146">
        <v>1.0614209999999999</v>
      </c>
      <c r="L1146">
        <v>367.79649999999998</v>
      </c>
      <c r="M1146">
        <v>0.99982570000000004</v>
      </c>
      <c r="N1146">
        <v>0</v>
      </c>
      <c r="O1146">
        <v>-1.061863E-2</v>
      </c>
      <c r="P1146">
        <v>0.98593109999999995</v>
      </c>
      <c r="Q1146">
        <v>0.1671532</v>
      </c>
      <c r="R1146">
        <v>-5.2570459999999998E-4</v>
      </c>
      <c r="S1146">
        <v>3.06134</v>
      </c>
      <c r="T1146">
        <v>-0.11001519999999999</v>
      </c>
      <c r="U1146">
        <v>-0.36022949999999998</v>
      </c>
      <c r="V1146">
        <v>-9.9378320000000006E-3</v>
      </c>
      <c r="W1146">
        <v>0.18228539999999999</v>
      </c>
      <c r="X1146">
        <v>0.98319540000000005</v>
      </c>
      <c r="Y1146">
        <v>0.1062496</v>
      </c>
      <c r="Z1146">
        <v>-1.521824E-3</v>
      </c>
      <c r="AA1146">
        <v>0.99433830000000001</v>
      </c>
      <c r="AB1146">
        <v>32</v>
      </c>
      <c r="AC1146">
        <v>29.357599999999898</v>
      </c>
      <c r="AD1146">
        <v>-1.0614256929799999</v>
      </c>
      <c r="AE1146">
        <v>-3.4724999999999602</v>
      </c>
      <c r="AF1146">
        <v>3.1564607650799399</v>
      </c>
      <c r="AG1146">
        <v>-1.0614256929799999</v>
      </c>
      <c r="AH1146">
        <v>29.354978966741101</v>
      </c>
      <c r="AI1146">
        <v>92.058956525173798</v>
      </c>
      <c r="AJ1146">
        <v>83.862722027597798</v>
      </c>
      <c r="AK1146">
        <v>29.543267578266001</v>
      </c>
      <c r="AL1146">
        <v>79.497093308340297</v>
      </c>
      <c r="AM1146">
        <v>90.5791081218008</v>
      </c>
      <c r="AN1146">
        <v>0.99999996106958899</v>
      </c>
    </row>
    <row r="1147" spans="1:40" x14ac:dyDescent="0.25">
      <c r="A1147" t="str">
        <f>"20190312172110399"</f>
        <v>20190312172110399</v>
      </c>
      <c r="B1147" t="str">
        <f>"1552382470392706"</f>
        <v>1552382470392706</v>
      </c>
      <c r="C1147" t="s">
        <v>40</v>
      </c>
      <c r="D1147">
        <v>3.1876139999999999</v>
      </c>
      <c r="E1147">
        <v>0.54557650000000002</v>
      </c>
      <c r="F1147" t="s">
        <v>42</v>
      </c>
      <c r="G1147">
        <v>-251.0642</v>
      </c>
      <c r="H1147" s="1">
        <v>-4.7548569999999999E-6</v>
      </c>
      <c r="I1147">
        <v>364.32209999999998</v>
      </c>
      <c r="J1147">
        <v>-280.42020000000002</v>
      </c>
      <c r="K1147">
        <v>1.061728</v>
      </c>
      <c r="L1147">
        <v>367.79500000000002</v>
      </c>
      <c r="M1147">
        <v>0.99982720000000003</v>
      </c>
      <c r="N1147">
        <v>0</v>
      </c>
      <c r="O1147">
        <v>-1.061865E-2</v>
      </c>
      <c r="P1147">
        <v>0.9859059</v>
      </c>
      <c r="Q1147">
        <v>0.16730129999999999</v>
      </c>
      <c r="R1147">
        <v>-5.5831019999999997E-4</v>
      </c>
      <c r="S1147">
        <v>3.0612490000000001</v>
      </c>
      <c r="T1147">
        <v>-0.11014110000000001</v>
      </c>
      <c r="U1147">
        <v>-0.36053469999999999</v>
      </c>
      <c r="V1147">
        <v>-9.9054069999999998E-3</v>
      </c>
      <c r="W1147">
        <v>0.18232670000000001</v>
      </c>
      <c r="X1147">
        <v>0.98318810000000001</v>
      </c>
      <c r="Y1147">
        <v>0.10635070000000001</v>
      </c>
      <c r="Z1147">
        <v>-1.525411E-3</v>
      </c>
      <c r="AA1147">
        <v>0.99432750000000003</v>
      </c>
      <c r="AB1147">
        <v>31</v>
      </c>
      <c r="AC1147">
        <v>29.356000000000002</v>
      </c>
      <c r="AD1147">
        <v>-1.0617327548569999</v>
      </c>
      <c r="AE1147">
        <v>-3.4729000000000299</v>
      </c>
      <c r="AF1147">
        <v>3.1568743017977701</v>
      </c>
      <c r="AG1147">
        <v>-1.0617327548569999</v>
      </c>
      <c r="AH1147">
        <v>29.3533595580579</v>
      </c>
      <c r="AI1147">
        <v>92.059660798379397</v>
      </c>
      <c r="AJ1147">
        <v>83.861588054180402</v>
      </c>
      <c r="AK1147">
        <v>29.5417137137424</v>
      </c>
      <c r="AL1147">
        <v>79.494686982764406</v>
      </c>
      <c r="AM1147">
        <v>90.577223030555302</v>
      </c>
      <c r="AN1147">
        <v>0.99999999130116701</v>
      </c>
    </row>
    <row r="1148" spans="1:40" x14ac:dyDescent="0.25">
      <c r="A1148" t="str">
        <f>"20190312172110409"</f>
        <v>20190312172110409</v>
      </c>
      <c r="B1148" t="str">
        <f>"1552382470402466"</f>
        <v>1552382470402466</v>
      </c>
      <c r="C1148" t="s">
        <v>40</v>
      </c>
      <c r="D1148">
        <v>3.2121960000000001</v>
      </c>
      <c r="E1148">
        <v>0.545566</v>
      </c>
      <c r="F1148" t="s">
        <v>42</v>
      </c>
      <c r="G1148">
        <v>-250.81360000000001</v>
      </c>
      <c r="H1148" s="1">
        <v>-4.8662869999999997E-6</v>
      </c>
      <c r="I1148">
        <v>364.29989999999998</v>
      </c>
      <c r="J1148">
        <v>-280.28469999999999</v>
      </c>
      <c r="K1148">
        <v>1.0620130000000001</v>
      </c>
      <c r="L1148">
        <v>367.79360000000003</v>
      </c>
      <c r="M1148">
        <v>0.99983849999999996</v>
      </c>
      <c r="N1148">
        <v>0</v>
      </c>
      <c r="O1148">
        <v>-1.061842E-2</v>
      </c>
      <c r="P1148">
        <v>0.98575869999999999</v>
      </c>
      <c r="Q1148">
        <v>0.1681665</v>
      </c>
      <c r="R1148">
        <v>-3.9618699999999999E-4</v>
      </c>
      <c r="S1148">
        <v>3.0612789999999999</v>
      </c>
      <c r="T1148">
        <v>-0.10978159999999999</v>
      </c>
      <c r="U1148">
        <v>-0.36138920000000002</v>
      </c>
      <c r="V1148">
        <v>-1.0065050000000001E-2</v>
      </c>
      <c r="W1148">
        <v>0.18244299999999999</v>
      </c>
      <c r="X1148">
        <v>0.98316490000000001</v>
      </c>
      <c r="Y1148">
        <v>0.10662389999999999</v>
      </c>
      <c r="Z1148">
        <v>-1.525289E-3</v>
      </c>
      <c r="AA1148">
        <v>0.99429829999999997</v>
      </c>
      <c r="AB1148">
        <v>31</v>
      </c>
      <c r="AC1148">
        <v>29.4710999999999</v>
      </c>
      <c r="AD1148">
        <v>-1.0620178662869999</v>
      </c>
      <c r="AE1148">
        <v>-3.49370000000004</v>
      </c>
      <c r="AF1148">
        <v>3.17646582717934</v>
      </c>
      <c r="AG1148">
        <v>-1.0620178662869999</v>
      </c>
      <c r="AH1148">
        <v>29.468802173300201</v>
      </c>
      <c r="AI1148">
        <v>92.052096396342606</v>
      </c>
      <c r="AJ1148">
        <v>83.847795776055605</v>
      </c>
      <c r="AK1148">
        <v>29.658525226798702</v>
      </c>
      <c r="AL1148">
        <v>79.487909766198996</v>
      </c>
      <c r="AM1148">
        <v>90.5865391863573</v>
      </c>
      <c r="AN1148">
        <v>0.99999998703625603</v>
      </c>
    </row>
    <row r="1149" spans="1:40" x14ac:dyDescent="0.25">
      <c r="A1149" t="str">
        <f>"20190312172110419"</f>
        <v>20190312172110419</v>
      </c>
      <c r="B1149" t="str">
        <f>"1552382470412227"</f>
        <v>1552382470412227</v>
      </c>
      <c r="C1149" t="s">
        <v>40</v>
      </c>
      <c r="D1149">
        <v>3.1994440000000002</v>
      </c>
      <c r="E1149">
        <v>0.54570790000000002</v>
      </c>
      <c r="F1149" t="s">
        <v>42</v>
      </c>
      <c r="G1149">
        <v>-249.9573</v>
      </c>
      <c r="H1149" s="1">
        <v>-1.4368599999999999E-6</v>
      </c>
      <c r="I1149">
        <v>364.21850000000001</v>
      </c>
      <c r="J1149">
        <v>-280.14429999999999</v>
      </c>
      <c r="K1149">
        <v>1.062306</v>
      </c>
      <c r="L1149">
        <v>367.7921</v>
      </c>
      <c r="M1149">
        <v>0.99985000000000002</v>
      </c>
      <c r="N1149">
        <v>0</v>
      </c>
      <c r="O1149">
        <v>-1.061836E-2</v>
      </c>
      <c r="P1149">
        <v>0.98563809999999996</v>
      </c>
      <c r="Q1149">
        <v>0.1688711</v>
      </c>
      <c r="R1149">
        <v>-5.4287680000000003E-4</v>
      </c>
      <c r="S1149">
        <v>3.061493</v>
      </c>
      <c r="T1149">
        <v>-0.10720830000000001</v>
      </c>
      <c r="U1149">
        <v>-0.36090090000000002</v>
      </c>
      <c r="V1149">
        <v>-9.916612E-3</v>
      </c>
      <c r="W1149">
        <v>0.18235009999999999</v>
      </c>
      <c r="X1149">
        <v>0.98318360000000005</v>
      </c>
      <c r="Y1149">
        <v>0.1064624</v>
      </c>
      <c r="Z1149">
        <v>-1.4866580000000001E-3</v>
      </c>
      <c r="AA1149">
        <v>0.99431559999999997</v>
      </c>
      <c r="AB1149">
        <v>31</v>
      </c>
      <c r="AC1149">
        <v>30.186999999999902</v>
      </c>
      <c r="AD1149">
        <v>-1.0623074368600001</v>
      </c>
      <c r="AE1149">
        <v>-3.5735999999999901</v>
      </c>
      <c r="AF1149">
        <v>3.2488642675095298</v>
      </c>
      <c r="AG1149">
        <v>-1.0623074368600001</v>
      </c>
      <c r="AH1149">
        <v>30.1863810462964</v>
      </c>
      <c r="AI1149">
        <v>92.003935743973102</v>
      </c>
      <c r="AJ1149">
        <v>83.857083389269803</v>
      </c>
      <c r="AK1149">
        <v>30.379289273966101</v>
      </c>
      <c r="AL1149">
        <v>79.493322907421899</v>
      </c>
      <c r="AM1149">
        <v>90.577878585942798</v>
      </c>
      <c r="AN1149">
        <v>0.99999994473626197</v>
      </c>
    </row>
    <row r="1150" spans="1:40" x14ac:dyDescent="0.25">
      <c r="A1150" t="str">
        <f>"20190312172110429"</f>
        <v>20190312172110429</v>
      </c>
      <c r="B1150" t="str">
        <f>"1552382470421986"</f>
        <v>1552382470421986</v>
      </c>
      <c r="C1150" t="s">
        <v>40</v>
      </c>
      <c r="D1150">
        <v>3.2091419999999999</v>
      </c>
      <c r="E1150">
        <v>0.5457379</v>
      </c>
      <c r="F1150" t="s">
        <v>42</v>
      </c>
      <c r="G1150">
        <v>-249.52350000000001</v>
      </c>
      <c r="H1150" s="1">
        <v>-1.6162129999999901E-6</v>
      </c>
      <c r="I1150">
        <v>364.1705</v>
      </c>
      <c r="J1150">
        <v>-279.9957</v>
      </c>
      <c r="K1150">
        <v>1.062757</v>
      </c>
      <c r="L1150">
        <v>367.79050000000001</v>
      </c>
      <c r="M1150">
        <v>0.9998629</v>
      </c>
      <c r="N1150">
        <v>0</v>
      </c>
      <c r="O1150">
        <v>-1.0618010000000001E-2</v>
      </c>
      <c r="P1150">
        <v>0.98550199999999999</v>
      </c>
      <c r="Q1150">
        <v>0.16966319999999999</v>
      </c>
      <c r="R1150">
        <v>-5.7732309999999995E-4</v>
      </c>
      <c r="S1150">
        <v>3.0617369999999999</v>
      </c>
      <c r="T1150">
        <v>-0.1062189</v>
      </c>
      <c r="U1150">
        <v>-0.36212159999999999</v>
      </c>
      <c r="V1150">
        <v>-9.8803710000000006E-3</v>
      </c>
      <c r="W1150">
        <v>0.1821748</v>
      </c>
      <c r="X1150">
        <v>0.98321650000000005</v>
      </c>
      <c r="Y1150">
        <v>0.1068455</v>
      </c>
      <c r="Z1150">
        <v>-1.4794329999999901E-3</v>
      </c>
      <c r="AA1150">
        <v>0.99427460000000001</v>
      </c>
      <c r="AB1150">
        <v>31</v>
      </c>
      <c r="AC1150">
        <v>30.472199999999901</v>
      </c>
      <c r="AD1150">
        <v>-1.0627586162130001</v>
      </c>
      <c r="AE1150">
        <v>-3.62</v>
      </c>
      <c r="AF1150">
        <v>3.29226680502711</v>
      </c>
      <c r="AG1150">
        <v>-1.0627586162130001</v>
      </c>
      <c r="AH1150">
        <v>30.472372700477401</v>
      </c>
      <c r="AI1150">
        <v>91.985898203645803</v>
      </c>
      <c r="AJ1150">
        <v>83.833623320254603</v>
      </c>
      <c r="AK1150">
        <v>30.668126362538398</v>
      </c>
      <c r="AL1150">
        <v>79.503538363939697</v>
      </c>
      <c r="AM1150">
        <v>90.575747563094794</v>
      </c>
      <c r="AN1150">
        <v>0.99999998267919299</v>
      </c>
    </row>
    <row r="1151" spans="1:40" x14ac:dyDescent="0.25">
      <c r="A1151" t="str">
        <f>"20190312172110440"</f>
        <v>20190312172110440</v>
      </c>
      <c r="B1151" t="str">
        <f>"1552382470432722"</f>
        <v>1552382470432722</v>
      </c>
      <c r="C1151" t="s">
        <v>40</v>
      </c>
      <c r="D1151">
        <v>3.2066330000000001</v>
      </c>
      <c r="E1151">
        <v>0.54582969999999997</v>
      </c>
      <c r="F1151" t="s">
        <v>42</v>
      </c>
      <c r="G1151">
        <v>-248.74789999999999</v>
      </c>
      <c r="H1151" s="1">
        <v>-1.9351349999999998E-6</v>
      </c>
      <c r="I1151">
        <v>364.09120000000001</v>
      </c>
      <c r="J1151">
        <v>-279.84030000000001</v>
      </c>
      <c r="K1151">
        <v>1.0632509999999999</v>
      </c>
      <c r="L1151">
        <v>367.78879999999998</v>
      </c>
      <c r="M1151">
        <v>0.99987550000000003</v>
      </c>
      <c r="N1151">
        <v>0</v>
      </c>
      <c r="O1151">
        <v>-1.061786E-2</v>
      </c>
      <c r="P1151">
        <v>0.98537399999999997</v>
      </c>
      <c r="Q1151">
        <v>0.1704058</v>
      </c>
      <c r="R1151">
        <v>-4.8800649999999998E-4</v>
      </c>
      <c r="S1151">
        <v>3.0619200000000002</v>
      </c>
      <c r="T1151">
        <v>-0.1041381</v>
      </c>
      <c r="U1151">
        <v>-0.36248780000000003</v>
      </c>
      <c r="V1151">
        <v>-9.9685550000000005E-3</v>
      </c>
      <c r="W1151">
        <v>0.18190329999999999</v>
      </c>
      <c r="X1151">
        <v>0.98326590000000003</v>
      </c>
      <c r="Y1151">
        <v>0.10695830000000001</v>
      </c>
      <c r="Z1151">
        <v>-1.4522929999999999E-3</v>
      </c>
      <c r="AA1151">
        <v>0.99426250000000005</v>
      </c>
      <c r="AB1151">
        <v>32</v>
      </c>
      <c r="AC1151">
        <v>31.092400000000001</v>
      </c>
      <c r="AD1151">
        <v>-1.063252935135</v>
      </c>
      <c r="AE1151">
        <v>-3.69759999999996</v>
      </c>
      <c r="AF1151">
        <v>3.3633560178287598</v>
      </c>
      <c r="AG1151">
        <v>-1.063252935135</v>
      </c>
      <c r="AH1151">
        <v>31.094055878179301</v>
      </c>
      <c r="AI1151">
        <v>91.947102051768098</v>
      </c>
      <c r="AJ1151">
        <v>83.826480040882004</v>
      </c>
      <c r="AK1151">
        <v>31.2934974309692</v>
      </c>
      <c r="AL1151">
        <v>79.519358753442802</v>
      </c>
      <c r="AM1151">
        <v>90.580856675816506</v>
      </c>
      <c r="AN1151">
        <v>1.00000000637124</v>
      </c>
    </row>
    <row r="1152" spans="1:40" x14ac:dyDescent="0.25">
      <c r="A1152" t="str">
        <f>"20190312172110451"</f>
        <v>20190312172110451</v>
      </c>
      <c r="B1152" t="str">
        <f>"1552382470442483"</f>
        <v>1552382470442483</v>
      </c>
      <c r="C1152" t="s">
        <v>40</v>
      </c>
      <c r="D1152">
        <v>3.1815549999999999</v>
      </c>
      <c r="E1152">
        <v>0.54584500000000002</v>
      </c>
      <c r="F1152" t="s">
        <v>42</v>
      </c>
      <c r="G1152">
        <v>-248.12819999999999</v>
      </c>
      <c r="H1152" s="1">
        <v>-2.1893770000000002E-6</v>
      </c>
      <c r="I1152">
        <v>364.0301</v>
      </c>
      <c r="J1152">
        <v>-279.68029999999999</v>
      </c>
      <c r="K1152">
        <v>1.0639209999999999</v>
      </c>
      <c r="L1152">
        <v>367.78710000000001</v>
      </c>
      <c r="M1152">
        <v>0.99988630000000001</v>
      </c>
      <c r="N1152">
        <v>0</v>
      </c>
      <c r="O1152">
        <v>-1.061761E-2</v>
      </c>
      <c r="P1152">
        <v>0.98518620000000001</v>
      </c>
      <c r="Q1152">
        <v>0.1714878</v>
      </c>
      <c r="R1152">
        <v>-2.6533379999999998E-4</v>
      </c>
      <c r="S1152">
        <v>3.062103</v>
      </c>
      <c r="T1152">
        <v>-0.1026672</v>
      </c>
      <c r="U1152">
        <v>-0.36294559999999998</v>
      </c>
      <c r="V1152">
        <v>-1.01882E-2</v>
      </c>
      <c r="W1152">
        <v>0.18203179999999999</v>
      </c>
      <c r="X1152">
        <v>0.98323990000000006</v>
      </c>
      <c r="Y1152">
        <v>0.1070998</v>
      </c>
      <c r="Z1152">
        <v>-1.4340689999999901E-3</v>
      </c>
      <c r="AA1152">
        <v>0.99424729999999995</v>
      </c>
      <c r="AB1152">
        <v>32</v>
      </c>
      <c r="AC1152">
        <v>31.552099999999999</v>
      </c>
      <c r="AD1152">
        <v>-1.06392318937699</v>
      </c>
      <c r="AE1152">
        <v>-3.7570000000000001</v>
      </c>
      <c r="AF1152">
        <v>3.4179292131819698</v>
      </c>
      <c r="AG1152">
        <v>-1.06392318937699</v>
      </c>
      <c r="AH1152">
        <v>31.554837340578398</v>
      </c>
      <c r="AI1152">
        <v>91.919868605329398</v>
      </c>
      <c r="AJ1152">
        <v>83.817987817256096</v>
      </c>
      <c r="AK1152">
        <v>31.7572343293552</v>
      </c>
      <c r="AL1152">
        <v>79.511871576850297</v>
      </c>
      <c r="AM1152">
        <v>90.5936699379603</v>
      </c>
      <c r="AN1152">
        <v>1.00000003829124</v>
      </c>
    </row>
    <row r="1153" spans="1:40" x14ac:dyDescent="0.25">
      <c r="A1153" t="str">
        <f>"20190312172110462"</f>
        <v>20190312172110462</v>
      </c>
      <c r="B1153" t="str">
        <f>"1552382470452243"</f>
        <v>1552382470452243</v>
      </c>
      <c r="C1153" t="s">
        <v>40</v>
      </c>
      <c r="D1153">
        <v>3.2105700000000001</v>
      </c>
      <c r="E1153">
        <v>0.54582659999999905</v>
      </c>
      <c r="F1153" t="s">
        <v>42</v>
      </c>
      <c r="G1153">
        <v>-247.13659999999999</v>
      </c>
      <c r="H1153" s="1">
        <v>-2.596153E-6</v>
      </c>
      <c r="I1153">
        <v>363.9325</v>
      </c>
      <c r="J1153">
        <v>-279.53320000000002</v>
      </c>
      <c r="K1153">
        <v>1.0645610000000001</v>
      </c>
      <c r="L1153">
        <v>367.78559999999999</v>
      </c>
      <c r="M1153">
        <v>0.99989539999999999</v>
      </c>
      <c r="N1153">
        <v>0</v>
      </c>
      <c r="O1153">
        <v>-1.061754E-2</v>
      </c>
      <c r="P1153">
        <v>0.9850468</v>
      </c>
      <c r="Q1153">
        <v>0.17228869999999999</v>
      </c>
      <c r="R1153" s="1">
        <v>-1.473352E-5</v>
      </c>
      <c r="S1153">
        <v>3.0624389999999999</v>
      </c>
      <c r="T1153">
        <v>-0.1001176</v>
      </c>
      <c r="U1153">
        <v>-0.3627319</v>
      </c>
      <c r="V1153">
        <v>-1.043728E-2</v>
      </c>
      <c r="W1153">
        <v>0.18196850000000001</v>
      </c>
      <c r="X1153">
        <v>0.98324889999999998</v>
      </c>
      <c r="Y1153">
        <v>0.10702150000000001</v>
      </c>
      <c r="Z1153">
        <v>-1.397059E-3</v>
      </c>
      <c r="AA1153">
        <v>0.99425569999999996</v>
      </c>
      <c r="AB1153">
        <v>32</v>
      </c>
      <c r="AC1153">
        <v>32.396599999999999</v>
      </c>
      <c r="AD1153">
        <v>-1.064563596153</v>
      </c>
      <c r="AE1153">
        <v>-3.85309999999998</v>
      </c>
      <c r="AF1153">
        <v>3.5051619118539401</v>
      </c>
      <c r="AG1153">
        <v>-1.064563596153</v>
      </c>
      <c r="AH1153">
        <v>32.401187242266403</v>
      </c>
      <c r="AI1153">
        <v>91.870907961700198</v>
      </c>
      <c r="AJ1153">
        <v>83.825750839734297</v>
      </c>
      <c r="AK1153">
        <v>32.607612460696501</v>
      </c>
      <c r="AL1153">
        <v>79.515558912702204</v>
      </c>
      <c r="AM1153">
        <v>90.608177272035903</v>
      </c>
      <c r="AN1153">
        <v>0.99999993557862699</v>
      </c>
    </row>
    <row r="1154" spans="1:40" x14ac:dyDescent="0.25">
      <c r="A1154" t="str">
        <f>"20190312172110473"</f>
        <v>20190312172110473</v>
      </c>
      <c r="B1154" t="str">
        <f>"1552382470462002"</f>
        <v>1552382470462002</v>
      </c>
      <c r="C1154" t="s">
        <v>40</v>
      </c>
      <c r="D1154">
        <v>3.2017540000000002</v>
      </c>
      <c r="E1154">
        <v>0.545879</v>
      </c>
      <c r="F1154" t="s">
        <v>42</v>
      </c>
      <c r="G1154">
        <v>-246.38939999999999</v>
      </c>
      <c r="H1154" s="1">
        <v>-2.899495E-6</v>
      </c>
      <c r="I1154">
        <v>363.87079999999997</v>
      </c>
      <c r="J1154">
        <v>-279.37479999999999</v>
      </c>
      <c r="K1154">
        <v>1.0653280000000001</v>
      </c>
      <c r="L1154">
        <v>367.78390000000002</v>
      </c>
      <c r="M1154">
        <v>0.99990369999999995</v>
      </c>
      <c r="N1154">
        <v>0</v>
      </c>
      <c r="O1154">
        <v>-1.0617390000000001E-2</v>
      </c>
      <c r="P1154">
        <v>0.98486719999999905</v>
      </c>
      <c r="Q1154">
        <v>0.17331170000000001</v>
      </c>
      <c r="R1154">
        <v>1.615128E-4</v>
      </c>
      <c r="S1154">
        <v>3.0627140000000002</v>
      </c>
      <c r="T1154">
        <v>-9.8373059999999998E-2</v>
      </c>
      <c r="U1154">
        <v>-0.3617554</v>
      </c>
      <c r="V1154">
        <v>-1.061142E-2</v>
      </c>
      <c r="W1154">
        <v>0.1821035</v>
      </c>
      <c r="X1154">
        <v>0.98322209999999999</v>
      </c>
      <c r="Y1154">
        <v>0.10670060000000001</v>
      </c>
      <c r="Z1154">
        <v>-1.3675029999999999E-3</v>
      </c>
      <c r="AA1154">
        <v>0.99429020000000001</v>
      </c>
      <c r="AB1154">
        <v>32</v>
      </c>
      <c r="AC1154">
        <v>32.985399999999998</v>
      </c>
      <c r="AD1154">
        <v>-1.0653308994949999</v>
      </c>
      <c r="AE1154">
        <v>-3.91310000000004</v>
      </c>
      <c r="AF1154">
        <v>3.55898572087552</v>
      </c>
      <c r="AG1154">
        <v>-1.0653308994949999</v>
      </c>
      <c r="AH1154">
        <v>32.991153708306101</v>
      </c>
      <c r="AI1154">
        <v>91.838857424255906</v>
      </c>
      <c r="AJ1154">
        <v>83.842915437871994</v>
      </c>
      <c r="AK1154">
        <v>33.199661629177697</v>
      </c>
      <c r="AL1154">
        <v>79.507693153043206</v>
      </c>
      <c r="AM1154">
        <v>90.618340430402696</v>
      </c>
      <c r="AN1154">
        <v>0.99999999243753801</v>
      </c>
    </row>
    <row r="1155" spans="1:40" x14ac:dyDescent="0.25">
      <c r="A1155" t="str">
        <f>"20190312172110486"</f>
        <v>20190312172110486</v>
      </c>
      <c r="B1155" t="str">
        <f>"1552382470482497"</f>
        <v>1552382470482497</v>
      </c>
      <c r="C1155" t="s">
        <v>40</v>
      </c>
      <c r="D1155">
        <v>3.1950069999999999</v>
      </c>
      <c r="E1155">
        <v>0.54613730000000005</v>
      </c>
      <c r="F1155" t="s">
        <v>42</v>
      </c>
      <c r="G1155">
        <v>-245.2028</v>
      </c>
      <c r="H1155" s="1">
        <v>-3.3871339999999998E-6</v>
      </c>
      <c r="I1155">
        <v>363.75069999999999</v>
      </c>
      <c r="J1155">
        <v>-279.20519999999999</v>
      </c>
      <c r="K1155">
        <v>1.0661700000000001</v>
      </c>
      <c r="L1155">
        <v>367.78210000000001</v>
      </c>
      <c r="M1155">
        <v>0.99991180000000002</v>
      </c>
      <c r="N1155">
        <v>0</v>
      </c>
      <c r="O1155">
        <v>-1.061731E-2</v>
      </c>
      <c r="P1155">
        <v>0.98470230000000003</v>
      </c>
      <c r="Q1155">
        <v>0.1742456</v>
      </c>
      <c r="R1155">
        <v>2.6579009999999999E-4</v>
      </c>
      <c r="S1155">
        <v>3.0629580000000001</v>
      </c>
      <c r="T1155">
        <v>-9.5489379999999999E-2</v>
      </c>
      <c r="U1155">
        <v>-0.36151119999999998</v>
      </c>
      <c r="V1155">
        <v>-1.071364E-2</v>
      </c>
      <c r="W1155">
        <v>0.18209790000000001</v>
      </c>
      <c r="X1155">
        <v>0.98322200000000004</v>
      </c>
      <c r="Y1155">
        <v>0.10661619999999999</v>
      </c>
      <c r="Z1155">
        <v>-1.3260329999999999E-3</v>
      </c>
      <c r="AA1155">
        <v>0.99429940000000006</v>
      </c>
      <c r="AB1155">
        <v>32</v>
      </c>
      <c r="AC1155">
        <v>34.002399999999902</v>
      </c>
      <c r="AD1155">
        <v>-1.066173387134</v>
      </c>
      <c r="AE1155">
        <v>-4.0314000000000103</v>
      </c>
      <c r="AF1155">
        <v>3.6665922638114798</v>
      </c>
      <c r="AG1155">
        <v>-1.066173387134</v>
      </c>
      <c r="AH1155">
        <v>34.010312312683297</v>
      </c>
      <c r="AI1155">
        <v>91.785212888075193</v>
      </c>
      <c r="AJ1155">
        <v>83.846807557366603</v>
      </c>
      <c r="AK1155">
        <v>34.223996963048201</v>
      </c>
      <c r="AL1155">
        <v>79.508019166564495</v>
      </c>
      <c r="AM1155">
        <v>90.624296509207099</v>
      </c>
      <c r="AN1155">
        <v>0.99999996427522897</v>
      </c>
    </row>
    <row r="1156" spans="1:40" x14ac:dyDescent="0.25">
      <c r="A1156" t="str">
        <f>"20190312172110496"</f>
        <v>20190312172110496</v>
      </c>
      <c r="B1156" t="str">
        <f>"1552382470492258"</f>
        <v>1552382470492258</v>
      </c>
      <c r="C1156" t="s">
        <v>40</v>
      </c>
      <c r="D1156">
        <v>3.2091880000000002</v>
      </c>
      <c r="E1156">
        <v>0.54618940000000005</v>
      </c>
      <c r="F1156" t="s">
        <v>42</v>
      </c>
      <c r="G1156">
        <v>-244.4794</v>
      </c>
      <c r="H1156" s="1">
        <v>-3.6890810000000001E-6</v>
      </c>
      <c r="I1156">
        <v>363.65980000000002</v>
      </c>
      <c r="J1156">
        <v>-279.05470000000003</v>
      </c>
      <c r="K1156">
        <v>1.0669390000000001</v>
      </c>
      <c r="L1156">
        <v>367.78050000000002</v>
      </c>
      <c r="M1156">
        <v>0.99991819999999998</v>
      </c>
      <c r="N1156">
        <v>0</v>
      </c>
      <c r="O1156">
        <v>-1.0617379999999999E-2</v>
      </c>
      <c r="P1156">
        <v>0.98456140000000003</v>
      </c>
      <c r="Q1156">
        <v>0.1750389</v>
      </c>
      <c r="R1156">
        <v>3.7518799999999999E-4</v>
      </c>
      <c r="S1156">
        <v>3.0633240000000002</v>
      </c>
      <c r="T1156">
        <v>-9.405231E-2</v>
      </c>
      <c r="U1156">
        <v>-0.36364750000000001</v>
      </c>
      <c r="V1156">
        <v>-1.0821539999999999E-2</v>
      </c>
      <c r="W1156">
        <v>0.1820669</v>
      </c>
      <c r="X1156">
        <v>0.98322659999999995</v>
      </c>
      <c r="Y1156">
        <v>0.1072872</v>
      </c>
      <c r="Z1156">
        <v>-1.3161410000000001E-3</v>
      </c>
      <c r="AA1156">
        <v>0.99422719999999998</v>
      </c>
      <c r="AB1156">
        <v>32</v>
      </c>
      <c r="AC1156">
        <v>34.575299999999999</v>
      </c>
      <c r="AD1156">
        <v>-1.0669426890810001</v>
      </c>
      <c r="AE1156">
        <v>-4.1206999999999896</v>
      </c>
      <c r="AF1156">
        <v>3.7498385167653399</v>
      </c>
      <c r="AG1156">
        <v>-1.0669426890810001</v>
      </c>
      <c r="AH1156">
        <v>34.5846312506605</v>
      </c>
      <c r="AI1156">
        <v>91.756736252119296</v>
      </c>
      <c r="AJ1156">
        <v>83.811878903543501</v>
      </c>
      <c r="AK1156">
        <v>34.803683344550798</v>
      </c>
      <c r="AL1156">
        <v>79.509825957737704</v>
      </c>
      <c r="AM1156">
        <v>90.630580515070207</v>
      </c>
      <c r="AN1156">
        <v>1.0000000043755699</v>
      </c>
    </row>
    <row r="1157" spans="1:40" x14ac:dyDescent="0.25">
      <c r="A1157" t="str">
        <f>"20190312172110507"</f>
        <v>20190312172110507</v>
      </c>
      <c r="B1157" t="str">
        <f>"1552382470502019"</f>
        <v>1552382470502019</v>
      </c>
      <c r="C1157" t="s">
        <v>40</v>
      </c>
      <c r="D1157">
        <v>3.2016209999999998</v>
      </c>
      <c r="E1157">
        <v>0.54623869999999997</v>
      </c>
      <c r="F1157" t="s">
        <v>42</v>
      </c>
      <c r="G1157">
        <v>-243.6414</v>
      </c>
      <c r="H1157" s="1">
        <v>-4.0578789999999998E-6</v>
      </c>
      <c r="I1157">
        <v>363.57479999999998</v>
      </c>
      <c r="J1157">
        <v>-278.8929</v>
      </c>
      <c r="K1157">
        <v>1.06777099999999</v>
      </c>
      <c r="L1157">
        <v>367.77870000000001</v>
      </c>
      <c r="M1157">
        <v>0.99992409999999998</v>
      </c>
      <c r="N1157">
        <v>0</v>
      </c>
      <c r="O1157">
        <v>-1.0617690000000001E-2</v>
      </c>
      <c r="P1157">
        <v>0.98441020000000001</v>
      </c>
      <c r="Q1157">
        <v>0.17588870000000001</v>
      </c>
      <c r="R1157">
        <v>2.950467E-4</v>
      </c>
      <c r="S1157">
        <v>3.0635680000000001</v>
      </c>
      <c r="T1157">
        <v>-9.2300419999999994E-2</v>
      </c>
      <c r="U1157">
        <v>-0.3638306</v>
      </c>
      <c r="V1157">
        <v>-1.074045E-2</v>
      </c>
      <c r="W1157">
        <v>0.18205760000000001</v>
      </c>
      <c r="X1157">
        <v>0.98322920000000003</v>
      </c>
      <c r="Y1157">
        <v>0.1073379</v>
      </c>
      <c r="Z1157">
        <v>-1.292283E-3</v>
      </c>
      <c r="AA1157">
        <v>0.99422169999999999</v>
      </c>
      <c r="AB1157">
        <v>32</v>
      </c>
      <c r="AC1157">
        <v>35.251499999999901</v>
      </c>
      <c r="AD1157">
        <v>-1.06777505787899</v>
      </c>
      <c r="AE1157">
        <v>-4.2039000000000302</v>
      </c>
      <c r="AF1157">
        <v>3.82590517863924</v>
      </c>
      <c r="AG1157">
        <v>-1.06777505787899</v>
      </c>
      <c r="AH1157">
        <v>35.2622500753331</v>
      </c>
      <c r="AI1157">
        <v>91.724328164164206</v>
      </c>
      <c r="AJ1157">
        <v>83.807710095720694</v>
      </c>
      <c r="AK1157">
        <v>35.485264186497098</v>
      </c>
      <c r="AL1157">
        <v>79.510367748507903</v>
      </c>
      <c r="AM1157">
        <v>90.625854052912899</v>
      </c>
      <c r="AN1157">
        <v>0.99999999335830103</v>
      </c>
    </row>
    <row r="1158" spans="1:40" x14ac:dyDescent="0.25">
      <c r="A1158" t="str">
        <f>"20190312172110518"</f>
        <v>20190312172110518</v>
      </c>
      <c r="B1158" t="str">
        <f>"1552382470512754"</f>
        <v>1552382470512754</v>
      </c>
      <c r="C1158" t="s">
        <v>40</v>
      </c>
      <c r="D1158">
        <v>3.196116</v>
      </c>
      <c r="E1158">
        <v>0.54625859999999904</v>
      </c>
      <c r="F1158" t="s">
        <v>42</v>
      </c>
      <c r="G1158">
        <v>-242.3939</v>
      </c>
      <c r="H1158" s="1">
        <v>-4.6716899999999998E-6</v>
      </c>
      <c r="I1158">
        <v>363.4391</v>
      </c>
      <c r="J1158">
        <v>-278.73390000000001</v>
      </c>
      <c r="K1158">
        <v>1.0685929999999999</v>
      </c>
      <c r="L1158">
        <v>367.77710000000002</v>
      </c>
      <c r="M1158">
        <v>0.99992910000000002</v>
      </c>
      <c r="N1158">
        <v>0</v>
      </c>
      <c r="O1158">
        <v>-1.0617720000000001E-2</v>
      </c>
      <c r="P1158">
        <v>0.98426199999999997</v>
      </c>
      <c r="Q1158">
        <v>0.17671529999999999</v>
      </c>
      <c r="R1158">
        <v>4.1945280000000001E-4</v>
      </c>
      <c r="S1158">
        <v>3.063599</v>
      </c>
      <c r="T1158">
        <v>-8.9625239999999995E-2</v>
      </c>
      <c r="U1158">
        <v>-0.36425780000000002</v>
      </c>
      <c r="V1158">
        <v>-1.0863299999999999E-2</v>
      </c>
      <c r="W1158">
        <v>0.1820505</v>
      </c>
      <c r="X1158">
        <v>0.98322920000000003</v>
      </c>
      <c r="Y1158">
        <v>0.107476</v>
      </c>
      <c r="Z1158">
        <v>-1.2568340000000001E-3</v>
      </c>
      <c r="AA1158">
        <v>0.9942069</v>
      </c>
      <c r="AB1158">
        <v>32</v>
      </c>
      <c r="AC1158">
        <v>36.340000000000003</v>
      </c>
      <c r="AD1158">
        <v>-1.0685976716900001</v>
      </c>
      <c r="AE1158">
        <v>-4.3380000000000196</v>
      </c>
      <c r="AF1158">
        <v>3.9485356345298301</v>
      </c>
      <c r="AG1158">
        <v>-1.0685976716900001</v>
      </c>
      <c r="AH1158">
        <v>36.3530194839446</v>
      </c>
      <c r="AI1158">
        <v>91.673886384226805</v>
      </c>
      <c r="AJ1158">
        <v>83.801037547628198</v>
      </c>
      <c r="AK1158">
        <v>36.582439233068499</v>
      </c>
      <c r="AL1158">
        <v>79.5107818275103</v>
      </c>
      <c r="AM1158">
        <v>90.6330120350611</v>
      </c>
      <c r="AN1158">
        <v>1.00000002778488</v>
      </c>
    </row>
    <row r="1159" spans="1:40" x14ac:dyDescent="0.25">
      <c r="A1159" t="str">
        <f>"20190312172110531"</f>
        <v>20190312172110531</v>
      </c>
      <c r="B1159" t="str">
        <f>"1552382470522514"</f>
        <v>1552382470522514</v>
      </c>
      <c r="C1159" t="s">
        <v>40</v>
      </c>
      <c r="D1159">
        <v>3.2028690000000002</v>
      </c>
      <c r="E1159">
        <v>0.54630400000000001</v>
      </c>
      <c r="F1159" t="s">
        <v>42</v>
      </c>
      <c r="G1159">
        <v>-241.10409999999999</v>
      </c>
      <c r="H1159" s="1">
        <v>-5.3048450000000002E-6</v>
      </c>
      <c r="I1159">
        <v>363.30689999999998</v>
      </c>
      <c r="J1159">
        <v>-278.57870000000003</v>
      </c>
      <c r="K1159">
        <v>1.0694870000000001</v>
      </c>
      <c r="L1159">
        <v>367.77539999999999</v>
      </c>
      <c r="M1159">
        <v>0.99993120000000002</v>
      </c>
      <c r="N1159">
        <v>0</v>
      </c>
      <c r="O1159">
        <v>-1.061782E-2</v>
      </c>
      <c r="P1159">
        <v>0.98420249999999998</v>
      </c>
      <c r="Q1159">
        <v>0.17704710000000001</v>
      </c>
      <c r="R1159">
        <v>2.857801E-4</v>
      </c>
      <c r="S1159">
        <v>3.0637509999999999</v>
      </c>
      <c r="T1159">
        <v>-8.7003289999999997E-2</v>
      </c>
      <c r="U1159">
        <v>-0.36395260000000001</v>
      </c>
      <c r="V1159">
        <v>-1.072938E-2</v>
      </c>
      <c r="W1159">
        <v>0.18196850000000001</v>
      </c>
      <c r="X1159">
        <v>0.98324579999999995</v>
      </c>
      <c r="Y1159">
        <v>0.10737480000000001</v>
      </c>
      <c r="Z1159">
        <v>-1.2185939999999999E-3</v>
      </c>
      <c r="AA1159">
        <v>0.99421789999999999</v>
      </c>
      <c r="AB1159">
        <v>32</v>
      </c>
      <c r="AC1159">
        <v>37.474600000000002</v>
      </c>
      <c r="AD1159">
        <v>-1.069492304845</v>
      </c>
      <c r="AE1159">
        <v>-4.4684999999999997</v>
      </c>
      <c r="AF1159">
        <v>4.0670784767741104</v>
      </c>
      <c r="AG1159">
        <v>-1.069492304845</v>
      </c>
      <c r="AH1159">
        <v>37.489827089637402</v>
      </c>
      <c r="AI1159">
        <v>91.624537650059494</v>
      </c>
      <c r="AJ1159">
        <v>83.808489095402706</v>
      </c>
      <c r="AK1159">
        <v>37.724952966667502</v>
      </c>
      <c r="AL1159">
        <v>79.515559372067898</v>
      </c>
      <c r="AM1159">
        <v>90.625198492487002</v>
      </c>
      <c r="AN1159">
        <v>0.999999978902536</v>
      </c>
    </row>
    <row r="1160" spans="1:40" x14ac:dyDescent="0.25">
      <c r="A1160" t="str">
        <f>"20190312172110542"</f>
        <v>20190312172110542</v>
      </c>
      <c r="B1160" t="str">
        <f>"1552382470532274"</f>
        <v>1552382470532274</v>
      </c>
      <c r="C1160" t="s">
        <v>40</v>
      </c>
      <c r="D1160">
        <v>3.203255</v>
      </c>
      <c r="E1160">
        <v>0.54635610000000001</v>
      </c>
      <c r="F1160" t="s">
        <v>42</v>
      </c>
      <c r="G1160">
        <v>-240.42080000000001</v>
      </c>
      <c r="H1160" s="1">
        <v>-5.6408299999999998E-6</v>
      </c>
      <c r="I1160">
        <v>363.2337</v>
      </c>
      <c r="J1160">
        <v>-278.41140000000001</v>
      </c>
      <c r="K1160">
        <v>1.070508</v>
      </c>
      <c r="L1160">
        <v>367.77359999999999</v>
      </c>
      <c r="M1160">
        <v>0.99993279999999995</v>
      </c>
      <c r="N1160">
        <v>0</v>
      </c>
      <c r="O1160">
        <v>-1.061786E-2</v>
      </c>
      <c r="P1160">
        <v>0.9841453</v>
      </c>
      <c r="Q1160">
        <v>0.17736279999999999</v>
      </c>
      <c r="R1160">
        <v>6.4777490000000003E-4</v>
      </c>
      <c r="S1160">
        <v>3.0637210000000001</v>
      </c>
      <c r="T1160">
        <v>-8.5870150000000006E-2</v>
      </c>
      <c r="U1160">
        <v>-0.36465449999999999</v>
      </c>
      <c r="V1160">
        <v>-1.109041E-2</v>
      </c>
      <c r="W1160">
        <v>0.1819605</v>
      </c>
      <c r="X1160">
        <v>0.98324330000000004</v>
      </c>
      <c r="Y1160">
        <v>0.1076015</v>
      </c>
      <c r="Z1160">
        <v>-1.2058889999999999E-3</v>
      </c>
      <c r="AA1160">
        <v>0.9941934</v>
      </c>
      <c r="AB1160">
        <v>32</v>
      </c>
      <c r="AC1160">
        <v>37.990600000000001</v>
      </c>
      <c r="AD1160">
        <v>-1.07051364083</v>
      </c>
      <c r="AE1160">
        <v>-4.5398999999999798</v>
      </c>
      <c r="AF1160">
        <v>4.1330253298908604</v>
      </c>
      <c r="AG1160">
        <v>-1.07051364083</v>
      </c>
      <c r="AH1160">
        <v>38.006909525569199</v>
      </c>
      <c r="AI1160">
        <v>91.603932374614303</v>
      </c>
      <c r="AJ1160">
        <v>83.793811411474906</v>
      </c>
      <c r="AK1160">
        <v>38.245954943203103</v>
      </c>
      <c r="AL1160">
        <v>79.516025785384699</v>
      </c>
      <c r="AM1160">
        <v>90.646235515051302</v>
      </c>
      <c r="AN1160">
        <v>1.00000000387455</v>
      </c>
    </row>
    <row r="1161" spans="1:40" x14ac:dyDescent="0.25">
      <c r="A1161" t="str">
        <f>"20190312172110554"</f>
        <v>20190312172110554</v>
      </c>
      <c r="B1161" t="str">
        <f>"1552382470542034"</f>
        <v>1552382470542034</v>
      </c>
      <c r="C1161" t="s">
        <v>40</v>
      </c>
      <c r="D1161">
        <v>3.2112970000000001</v>
      </c>
      <c r="E1161">
        <v>0.54640290000000002</v>
      </c>
      <c r="F1161" t="s">
        <v>42</v>
      </c>
      <c r="G1161">
        <v>-239.89150000000001</v>
      </c>
      <c r="H1161" s="1">
        <v>-1.7312039999999999E-6</v>
      </c>
      <c r="I1161">
        <v>363.19630000000001</v>
      </c>
      <c r="J1161">
        <v>-278.23540000000003</v>
      </c>
      <c r="K1161">
        <v>1.0718209999999999</v>
      </c>
      <c r="L1161">
        <v>367.77170000000001</v>
      </c>
      <c r="M1161">
        <v>0.9999323</v>
      </c>
      <c r="N1161">
        <v>0</v>
      </c>
      <c r="O1161">
        <v>-1.061791E-2</v>
      </c>
      <c r="P1161">
        <v>0.98413349999999999</v>
      </c>
      <c r="Q1161">
        <v>0.17742959999999999</v>
      </c>
      <c r="R1161">
        <v>3.5552030000000001E-4</v>
      </c>
      <c r="S1161">
        <v>3.0638730000000001</v>
      </c>
      <c r="T1161">
        <v>-8.5148219999999997E-2</v>
      </c>
      <c r="U1161">
        <v>-0.36407469999999997</v>
      </c>
      <c r="V1161">
        <v>-1.079804E-2</v>
      </c>
      <c r="W1161">
        <v>0.18209649999999999</v>
      </c>
      <c r="X1161">
        <v>0.98322140000000002</v>
      </c>
      <c r="Y1161">
        <v>0.1074108</v>
      </c>
      <c r="Z1161">
        <v>-1.1930669999999999E-3</v>
      </c>
      <c r="AA1161">
        <v>0.99421400000000004</v>
      </c>
      <c r="AB1161">
        <v>31</v>
      </c>
      <c r="AC1161">
        <v>38.343899999999998</v>
      </c>
      <c r="AD1161">
        <v>-1.0718227312039901</v>
      </c>
      <c r="AE1161">
        <v>-4.5754000000000001</v>
      </c>
      <c r="AF1161">
        <v>4.1647968432216302</v>
      </c>
      <c r="AG1161">
        <v>-1.0718227312039901</v>
      </c>
      <c r="AH1161">
        <v>38.360767250708101</v>
      </c>
      <c r="AI1161">
        <v>91.591116742713993</v>
      </c>
      <c r="AJ1161">
        <v>83.803714200858806</v>
      </c>
      <c r="AK1161">
        <v>38.601072534003997</v>
      </c>
      <c r="AL1161">
        <v>79.508101412269596</v>
      </c>
      <c r="AM1161">
        <v>90.629214587382194</v>
      </c>
      <c r="AN1161">
        <v>1.0000000271990199</v>
      </c>
    </row>
    <row r="1162" spans="1:40" x14ac:dyDescent="0.25">
      <c r="A1162" t="str">
        <f>"20190312172110569"</f>
        <v>20190312172110569</v>
      </c>
      <c r="B1162" t="str">
        <f>"1552382470562530"</f>
        <v>1552382470562530</v>
      </c>
      <c r="C1162" t="s">
        <v>40</v>
      </c>
      <c r="D1162">
        <v>3.203023</v>
      </c>
      <c r="E1162">
        <v>0.54652400000000001</v>
      </c>
      <c r="F1162" t="s">
        <v>42</v>
      </c>
      <c r="G1162">
        <v>-239.65309999999999</v>
      </c>
      <c r="H1162" s="1">
        <v>-1.8181170000000001E-6</v>
      </c>
      <c r="I1162">
        <v>363.1746</v>
      </c>
      <c r="J1162">
        <v>-278.04910000000001</v>
      </c>
      <c r="K1162">
        <v>1.0733079999999999</v>
      </c>
      <c r="L1162">
        <v>367.76979999999998</v>
      </c>
      <c r="M1162">
        <v>0.99993209999999999</v>
      </c>
      <c r="N1162">
        <v>0</v>
      </c>
      <c r="O1162">
        <v>-1.061786E-2</v>
      </c>
      <c r="P1162">
        <v>0.9841645</v>
      </c>
      <c r="Q1162">
        <v>0.17725739999999901</v>
      </c>
      <c r="R1162">
        <v>5.2401140000000004E-4</v>
      </c>
      <c r="S1162">
        <v>3.063812</v>
      </c>
      <c r="T1162">
        <v>-8.5112930000000003E-2</v>
      </c>
      <c r="U1162">
        <v>-0.36505130000000002</v>
      </c>
      <c r="V1162">
        <v>-1.0967009999999999E-2</v>
      </c>
      <c r="W1162">
        <v>0.18200269999999999</v>
      </c>
      <c r="X1162">
        <v>0.98323680000000002</v>
      </c>
      <c r="Y1162">
        <v>0.1077255</v>
      </c>
      <c r="Z1162">
        <v>-1.196931E-3</v>
      </c>
      <c r="AA1162">
        <v>0.99417999999999995</v>
      </c>
      <c r="AB1162">
        <v>31</v>
      </c>
      <c r="AC1162">
        <v>38.396000000000001</v>
      </c>
      <c r="AD1162">
        <v>-1.073309818117</v>
      </c>
      <c r="AE1162">
        <v>-4.59519999999997</v>
      </c>
      <c r="AF1162">
        <v>4.1840296352816102</v>
      </c>
      <c r="AG1162">
        <v>-1.073309818117</v>
      </c>
      <c r="AH1162">
        <v>38.413034855217198</v>
      </c>
      <c r="AI1162">
        <v>91.591095976147102</v>
      </c>
      <c r="AJ1162">
        <v>83.783727620441596</v>
      </c>
      <c r="AK1162">
        <v>38.655133484994103</v>
      </c>
      <c r="AL1162">
        <v>79.513566076342897</v>
      </c>
      <c r="AM1162">
        <v>90.639049850754901</v>
      </c>
      <c r="AN1162">
        <v>0.99999993149493205</v>
      </c>
    </row>
    <row r="1163" spans="1:40" x14ac:dyDescent="0.25">
      <c r="A1163" t="str">
        <f>"20190312172110581"</f>
        <v>20190312172110581</v>
      </c>
      <c r="B1163" t="str">
        <f>"1552382470572291"</f>
        <v>1552382470572291</v>
      </c>
      <c r="C1163" t="s">
        <v>40</v>
      </c>
      <c r="D1163">
        <v>3.2162199999999999</v>
      </c>
      <c r="E1163">
        <v>0.54658439999999997</v>
      </c>
      <c r="F1163" t="s">
        <v>42</v>
      </c>
      <c r="G1163">
        <v>-239.9307</v>
      </c>
      <c r="H1163" s="1">
        <v>-1.711406E-6</v>
      </c>
      <c r="I1163">
        <v>363.22059999999999</v>
      </c>
      <c r="J1163">
        <v>-277.87729999999999</v>
      </c>
      <c r="K1163">
        <v>1.07474</v>
      </c>
      <c r="L1163">
        <v>367.7679</v>
      </c>
      <c r="M1163">
        <v>0.99993180000000004</v>
      </c>
      <c r="N1163">
        <v>0</v>
      </c>
      <c r="O1163">
        <v>-1.0618030000000001E-2</v>
      </c>
      <c r="P1163">
        <v>0.98415450000000004</v>
      </c>
      <c r="Q1163">
        <v>0.1773129</v>
      </c>
      <c r="R1163">
        <v>4.4483130000000002E-4</v>
      </c>
      <c r="S1163">
        <v>3.0639949999999998</v>
      </c>
      <c r="T1163">
        <v>-8.6273429999999998E-2</v>
      </c>
      <c r="U1163">
        <v>-0.36566159999999998</v>
      </c>
      <c r="V1163">
        <v>-1.0887519999999999E-2</v>
      </c>
      <c r="W1163">
        <v>0.18212790000000001</v>
      </c>
      <c r="X1163">
        <v>0.98321460000000005</v>
      </c>
      <c r="Y1163">
        <v>0.10791249999999999</v>
      </c>
      <c r="Z1163">
        <v>-1.2157769999999999E-3</v>
      </c>
      <c r="AA1163">
        <v>0.99415960000000003</v>
      </c>
      <c r="AB1163">
        <v>31</v>
      </c>
      <c r="AC1163">
        <v>37.946599999999897</v>
      </c>
      <c r="AD1163">
        <v>-1.0747417114060001</v>
      </c>
      <c r="AE1163">
        <v>-4.5472999999999999</v>
      </c>
      <c r="AF1163">
        <v>4.1408461390034699</v>
      </c>
      <c r="AG1163">
        <v>-1.0747417114060001</v>
      </c>
      <c r="AH1163">
        <v>37.962723559226099</v>
      </c>
      <c r="AI1163">
        <v>91.612079460246704</v>
      </c>
      <c r="AJ1163">
        <v>83.774979166807796</v>
      </c>
      <c r="AK1163">
        <v>38.203011092417299</v>
      </c>
      <c r="AL1163">
        <v>79.506271756576297</v>
      </c>
      <c r="AM1163">
        <v>90.634432655994004</v>
      </c>
      <c r="AN1163">
        <v>1.00000002985165</v>
      </c>
    </row>
    <row r="1164" spans="1:40" x14ac:dyDescent="0.25">
      <c r="A1164" t="str">
        <f>"20190312172110591"</f>
        <v>20190312172110591</v>
      </c>
      <c r="B1164" t="str">
        <f>"1552382470582050"</f>
        <v>1552382470582050</v>
      </c>
      <c r="C1164" t="s">
        <v>40</v>
      </c>
      <c r="D1164">
        <v>3.2325140000000001</v>
      </c>
      <c r="E1164">
        <v>0.54665259999999904</v>
      </c>
      <c r="F1164" t="s">
        <v>42</v>
      </c>
      <c r="G1164">
        <v>-239.65530000000001</v>
      </c>
      <c r="H1164" s="1">
        <v>-1.8104080000000001E-6</v>
      </c>
      <c r="I1164">
        <v>363.20069999999998</v>
      </c>
      <c r="J1164">
        <v>-277.71609999999998</v>
      </c>
      <c r="K1164">
        <v>1.076149</v>
      </c>
      <c r="L1164">
        <v>367.76620000000003</v>
      </c>
      <c r="M1164">
        <v>0.99993209999999999</v>
      </c>
      <c r="N1164">
        <v>0</v>
      </c>
      <c r="O1164">
        <v>-1.061809E-2</v>
      </c>
      <c r="P1164">
        <v>0.98420300000000005</v>
      </c>
      <c r="Q1164">
        <v>0.17704400000000001</v>
      </c>
      <c r="R1164">
        <v>3.021918E-4</v>
      </c>
      <c r="S1164">
        <v>3.0639949999999998</v>
      </c>
      <c r="T1164">
        <v>-8.6154460000000002E-2</v>
      </c>
      <c r="U1164">
        <v>-0.36611939999999998</v>
      </c>
      <c r="V1164">
        <v>-1.074569E-2</v>
      </c>
      <c r="W1164">
        <v>0.18178420000000001</v>
      </c>
      <c r="X1164">
        <v>0.98327969999999998</v>
      </c>
      <c r="Y1164">
        <v>0.108059</v>
      </c>
      <c r="Z1164">
        <v>-1.2161400000000001E-3</v>
      </c>
      <c r="AA1164">
        <v>0.99414369999999996</v>
      </c>
      <c r="AB1164">
        <v>31</v>
      </c>
      <c r="AC1164">
        <v>38.060799999999901</v>
      </c>
      <c r="AD1164">
        <v>-1.076150810408</v>
      </c>
      <c r="AE1164">
        <v>-4.5655000000000401</v>
      </c>
      <c r="AF1164">
        <v>4.1578281428843296</v>
      </c>
      <c r="AG1164">
        <v>-1.076150810408</v>
      </c>
      <c r="AH1164">
        <v>38.077122871132303</v>
      </c>
      <c r="AI1164">
        <v>91.609324287997197</v>
      </c>
      <c r="AJ1164">
        <v>83.768282064169696</v>
      </c>
      <c r="AK1164">
        <v>38.318571497066699</v>
      </c>
      <c r="AL1164">
        <v>79.526297963287504</v>
      </c>
      <c r="AM1164">
        <v>90.626127211134303</v>
      </c>
      <c r="AN1164">
        <v>0.99999996682765202</v>
      </c>
    </row>
    <row r="1165" spans="1:40" x14ac:dyDescent="0.25">
      <c r="A1165" t="str">
        <f>"20190312172110601"</f>
        <v>20190312172110601</v>
      </c>
      <c r="B1165" t="str">
        <f>"1552382470592786"</f>
        <v>1552382470592786</v>
      </c>
      <c r="C1165" t="s">
        <v>40</v>
      </c>
      <c r="D1165">
        <v>3.228326</v>
      </c>
      <c r="E1165">
        <v>0.5467303</v>
      </c>
      <c r="F1165" t="s">
        <v>42</v>
      </c>
      <c r="G1165">
        <v>-239.85669999999999</v>
      </c>
      <c r="H1165" s="1">
        <v>-1.7348239999999999E-6</v>
      </c>
      <c r="I1165">
        <v>363.22719999999998</v>
      </c>
      <c r="J1165">
        <v>-277.5813</v>
      </c>
      <c r="K1165">
        <v>1.0773360000000001</v>
      </c>
      <c r="L1165">
        <v>367.76479999999998</v>
      </c>
      <c r="M1165">
        <v>0.9999323</v>
      </c>
      <c r="N1165">
        <v>0</v>
      </c>
      <c r="O1165">
        <v>-1.061806E-2</v>
      </c>
      <c r="P1165">
        <v>0.98416919999999997</v>
      </c>
      <c r="Q1165">
        <v>0.1772319</v>
      </c>
      <c r="R1165">
        <v>1.68077599999999E-4</v>
      </c>
      <c r="S1165">
        <v>3.063965</v>
      </c>
      <c r="T1165">
        <v>-8.7092820000000001E-2</v>
      </c>
      <c r="U1165">
        <v>-0.3673401</v>
      </c>
      <c r="V1165">
        <v>-1.061087E-2</v>
      </c>
      <c r="W1165">
        <v>0.1819113</v>
      </c>
      <c r="X1165">
        <v>0.98325770000000001</v>
      </c>
      <c r="Y1165">
        <v>0.10844959999999999</v>
      </c>
      <c r="Z1165">
        <v>-1.2348960000000001E-3</v>
      </c>
      <c r="AA1165">
        <v>0.99410120000000002</v>
      </c>
      <c r="AB1165">
        <v>31</v>
      </c>
      <c r="AC1165">
        <v>37.724600000000002</v>
      </c>
      <c r="AD1165">
        <v>-1.0773377348240001</v>
      </c>
      <c r="AE1165">
        <v>-4.5375999999999896</v>
      </c>
      <c r="AF1165">
        <v>4.1334545996313503</v>
      </c>
      <c r="AG1165">
        <v>-1.0773377348240001</v>
      </c>
      <c r="AH1165">
        <v>37.740313923605001</v>
      </c>
      <c r="AI1165">
        <v>91.625411006672906</v>
      </c>
      <c r="AJ1165">
        <v>83.749672954444094</v>
      </c>
      <c r="AK1165">
        <v>37.981276947653299</v>
      </c>
      <c r="AL1165">
        <v>79.518892628455504</v>
      </c>
      <c r="AM1165">
        <v>90.618285998874399</v>
      </c>
      <c r="AN1165">
        <v>1.0000000081195599</v>
      </c>
    </row>
    <row r="1166" spans="1:40" x14ac:dyDescent="0.25">
      <c r="A1166" t="str">
        <f>"20190312172110611"</f>
        <v>20190312172110611</v>
      </c>
      <c r="B1166" t="str">
        <f>"1552382470602546"</f>
        <v>1552382470602546</v>
      </c>
      <c r="C1166" t="s">
        <v>40</v>
      </c>
      <c r="D1166">
        <v>3.226121</v>
      </c>
      <c r="E1166">
        <v>0.54680090000000003</v>
      </c>
      <c r="F1166" t="s">
        <v>42</v>
      </c>
      <c r="G1166">
        <v>-239.47</v>
      </c>
      <c r="H1166" s="1">
        <v>-1.878435E-6</v>
      </c>
      <c r="I1166">
        <v>363.18209999999999</v>
      </c>
      <c r="J1166">
        <v>-277.43869999999998</v>
      </c>
      <c r="K1166">
        <v>1.078649</v>
      </c>
      <c r="L1166">
        <v>367.76330000000002</v>
      </c>
      <c r="M1166">
        <v>0.99993259999999995</v>
      </c>
      <c r="N1166">
        <v>0</v>
      </c>
      <c r="O1166">
        <v>-1.061817E-2</v>
      </c>
      <c r="P1166">
        <v>0.9841763</v>
      </c>
      <c r="Q1166">
        <v>0.1771924</v>
      </c>
      <c r="R1166">
        <v>2.294919E-4</v>
      </c>
      <c r="S1166">
        <v>3.0638730000000001</v>
      </c>
      <c r="T1166">
        <v>-8.6609839999999993E-2</v>
      </c>
      <c r="U1166">
        <v>-0.36840820000000002</v>
      </c>
      <c r="V1166">
        <v>-1.067248E-2</v>
      </c>
      <c r="W1166">
        <v>0.18181700000000001</v>
      </c>
      <c r="X1166">
        <v>0.98327450000000005</v>
      </c>
      <c r="Y1166">
        <v>0.108795</v>
      </c>
      <c r="Z1166">
        <v>-1.232922E-3</v>
      </c>
      <c r="AA1166">
        <v>0.99406340000000004</v>
      </c>
      <c r="AB1166">
        <v>31</v>
      </c>
      <c r="AC1166">
        <v>37.968699999999899</v>
      </c>
      <c r="AD1166">
        <v>-1.078650878435</v>
      </c>
      <c r="AE1166">
        <v>-4.5812000000000204</v>
      </c>
      <c r="AF1166">
        <v>4.1744584461945999</v>
      </c>
      <c r="AG1166">
        <v>-1.078650878435</v>
      </c>
      <c r="AH1166">
        <v>37.984987403628303</v>
      </c>
      <c r="AI1166">
        <v>91.616848635570605</v>
      </c>
      <c r="AJ1166">
        <v>83.728499273068195</v>
      </c>
      <c r="AK1166">
        <v>38.228900835498202</v>
      </c>
      <c r="AL1166">
        <v>79.524387512403393</v>
      </c>
      <c r="AM1166">
        <v>90.621865053507094</v>
      </c>
      <c r="AN1166">
        <v>1.00000003283429</v>
      </c>
    </row>
    <row r="1167" spans="1:40" x14ac:dyDescent="0.25">
      <c r="A1167" t="str">
        <f>"20190312172110622"</f>
        <v>20190312172110622</v>
      </c>
      <c r="B1167" t="str">
        <f>"1552382470612307"</f>
        <v>1552382470612307</v>
      </c>
      <c r="C1167" t="s">
        <v>40</v>
      </c>
      <c r="D1167">
        <v>3.221724</v>
      </c>
      <c r="E1167">
        <v>0.54689309999999902</v>
      </c>
      <c r="F1167" t="s">
        <v>42</v>
      </c>
      <c r="G1167">
        <v>-239.482</v>
      </c>
      <c r="H1167" s="1">
        <v>-1.870842E-6</v>
      </c>
      <c r="I1167">
        <v>363.1952</v>
      </c>
      <c r="J1167">
        <v>-277.2998</v>
      </c>
      <c r="K1167">
        <v>1.079931</v>
      </c>
      <c r="L1167">
        <v>367.76179999999999</v>
      </c>
      <c r="M1167">
        <v>0.99993279999999995</v>
      </c>
      <c r="N1167">
        <v>0</v>
      </c>
      <c r="O1167">
        <v>-1.061808E-2</v>
      </c>
      <c r="P1167">
        <v>0.98418609999999895</v>
      </c>
      <c r="Q1167">
        <v>0.17713760000000001</v>
      </c>
      <c r="R1167">
        <v>3.9547589999999999E-4</v>
      </c>
      <c r="S1167">
        <v>3.0639949999999998</v>
      </c>
      <c r="T1167">
        <v>-8.707231E-2</v>
      </c>
      <c r="U1167">
        <v>-0.36874390000000001</v>
      </c>
      <c r="V1167">
        <v>-1.083865E-2</v>
      </c>
      <c r="W1167">
        <v>0.1817242</v>
      </c>
      <c r="X1167">
        <v>0.98328979999999999</v>
      </c>
      <c r="Y1167">
        <v>0.1088973</v>
      </c>
      <c r="Z1167">
        <v>-1.240896E-3</v>
      </c>
      <c r="AA1167">
        <v>0.99405220000000005</v>
      </c>
      <c r="AB1167">
        <v>31</v>
      </c>
      <c r="AC1167">
        <v>37.817799999999998</v>
      </c>
      <c r="AD1167">
        <v>-1.079932870842</v>
      </c>
      <c r="AE1167">
        <v>-4.5665999999999896</v>
      </c>
      <c r="AF1167">
        <v>4.1614410806807296</v>
      </c>
      <c r="AG1167">
        <v>-1.079932870842</v>
      </c>
      <c r="AH1167">
        <v>37.8337486855159</v>
      </c>
      <c r="AI1167">
        <v>91.625219949837401</v>
      </c>
      <c r="AJ1167">
        <v>83.723107420172596</v>
      </c>
      <c r="AK1167">
        <v>38.077242369587097</v>
      </c>
      <c r="AL1167">
        <v>79.529794247970798</v>
      </c>
      <c r="AM1167">
        <v>90.631536858160302</v>
      </c>
      <c r="AN1167">
        <v>0.99999999599175105</v>
      </c>
    </row>
    <row r="1168" spans="1:40" x14ac:dyDescent="0.25">
      <c r="A1168" t="str">
        <f>"20190312172110631"</f>
        <v>20190312172110631</v>
      </c>
      <c r="B1168" t="str">
        <f>"1552382470622067"</f>
        <v>1552382470622067</v>
      </c>
      <c r="C1168" t="s">
        <v>40</v>
      </c>
      <c r="D1168">
        <v>3.218512</v>
      </c>
      <c r="E1168">
        <v>0.54684140000000003</v>
      </c>
      <c r="F1168" t="s">
        <v>42</v>
      </c>
      <c r="G1168">
        <v>-239.4821</v>
      </c>
      <c r="H1168" s="1">
        <v>-1.868057E-6</v>
      </c>
      <c r="I1168">
        <v>363.20569999999998</v>
      </c>
      <c r="J1168">
        <v>-277.15530000000001</v>
      </c>
      <c r="K1168">
        <v>1.0813060000000001</v>
      </c>
      <c r="L1168">
        <v>367.76029999999997</v>
      </c>
      <c r="M1168">
        <v>0.9999325</v>
      </c>
      <c r="N1168">
        <v>0</v>
      </c>
      <c r="O1168">
        <v>-1.06178E-2</v>
      </c>
      <c r="P1168">
        <v>0.98415960000000002</v>
      </c>
      <c r="Q1168">
        <v>0.1772842</v>
      </c>
      <c r="R1168">
        <v>1.177769E-4</v>
      </c>
      <c r="S1168">
        <v>3.0640559999999999</v>
      </c>
      <c r="T1168">
        <v>-8.7497710000000006E-2</v>
      </c>
      <c r="U1168">
        <v>-0.36914059999999999</v>
      </c>
      <c r="V1168">
        <v>-1.056025E-2</v>
      </c>
      <c r="W1168">
        <v>0.18190609999999999</v>
      </c>
      <c r="X1168">
        <v>0.9832592</v>
      </c>
      <c r="Y1168">
        <v>0.1090216</v>
      </c>
      <c r="Z1168">
        <v>-1.248699E-3</v>
      </c>
      <c r="AA1168">
        <v>0.99403859999999999</v>
      </c>
      <c r="AB1168">
        <v>31</v>
      </c>
      <c r="AC1168">
        <v>37.673200000000001</v>
      </c>
      <c r="AD1168">
        <v>-1.0813078680570001</v>
      </c>
      <c r="AE1168">
        <v>-4.55459999999999</v>
      </c>
      <c r="AF1168">
        <v>4.1509619010965499</v>
      </c>
      <c r="AG1168">
        <v>-1.0813078680570001</v>
      </c>
      <c r="AH1168">
        <v>37.688835034826603</v>
      </c>
      <c r="AI1168">
        <v>91.633515928159795</v>
      </c>
      <c r="AJ1168">
        <v>83.714905878856896</v>
      </c>
      <c r="AK1168">
        <v>37.932149921830799</v>
      </c>
      <c r="AL1168">
        <v>79.519195548913601</v>
      </c>
      <c r="AM1168">
        <v>90.615335704992901</v>
      </c>
      <c r="AN1168">
        <v>1.00000000124095</v>
      </c>
    </row>
    <row r="1169" spans="1:40" x14ac:dyDescent="0.25">
      <c r="A1169" t="str">
        <f>"20190312172110641"</f>
        <v>20190312172110641</v>
      </c>
      <c r="B1169" t="str">
        <f>"1552382470631827"</f>
        <v>1552382470631827</v>
      </c>
      <c r="C1169" t="s">
        <v>40</v>
      </c>
      <c r="D1169">
        <v>3.2344740000000001</v>
      </c>
      <c r="E1169">
        <v>0.54684140000000003</v>
      </c>
      <c r="F1169" t="s">
        <v>42</v>
      </c>
      <c r="G1169">
        <v>-239.13</v>
      </c>
      <c r="H1169" s="1">
        <v>-1.9973669999999999E-6</v>
      </c>
      <c r="I1169">
        <v>363.17</v>
      </c>
      <c r="J1169">
        <v>-277.01549999999997</v>
      </c>
      <c r="K1169">
        <v>1.082638</v>
      </c>
      <c r="L1169">
        <v>367.75880000000001</v>
      </c>
      <c r="M1169">
        <v>0.99993240000000005</v>
      </c>
      <c r="N1169">
        <v>0</v>
      </c>
      <c r="O1169">
        <v>-1.061757E-2</v>
      </c>
      <c r="P1169">
        <v>0.98418030000000001</v>
      </c>
      <c r="Q1169">
        <v>0.17716960000000001</v>
      </c>
      <c r="R1169">
        <v>3.3645799999999998E-4</v>
      </c>
      <c r="S1169">
        <v>3.0640260000000001</v>
      </c>
      <c r="T1169">
        <v>-8.7129949999999998E-2</v>
      </c>
      <c r="U1169">
        <v>-0.36987300000000001</v>
      </c>
      <c r="V1169">
        <v>-1.077932E-2</v>
      </c>
      <c r="W1169">
        <v>0.1818438</v>
      </c>
      <c r="X1169">
        <v>0.98326829999999998</v>
      </c>
      <c r="Y1169">
        <v>0.10925749999999999</v>
      </c>
      <c r="Z1169">
        <v>-1.2467940000000001E-3</v>
      </c>
      <c r="AA1169">
        <v>0.99401269999999997</v>
      </c>
      <c r="AB1169">
        <v>31</v>
      </c>
      <c r="AC1169">
        <v>37.885499999999901</v>
      </c>
      <c r="AD1169">
        <v>-1.082639997367</v>
      </c>
      <c r="AE1169">
        <v>-4.5887999999999902</v>
      </c>
      <c r="AF1169">
        <v>4.1829183843120097</v>
      </c>
      <c r="AG1169">
        <v>-1.082639997367</v>
      </c>
      <c r="AH1169">
        <v>37.901583050289197</v>
      </c>
      <c r="AI1169">
        <v>91.626311892820794</v>
      </c>
      <c r="AJ1169">
        <v>83.702173553341396</v>
      </c>
      <c r="AK1169">
        <v>38.147069524298701</v>
      </c>
      <c r="AL1169">
        <v>79.522825135497598</v>
      </c>
      <c r="AM1169">
        <v>90.628093880377193</v>
      </c>
      <c r="AN1169">
        <v>0.99999995556149501</v>
      </c>
    </row>
    <row r="1170" spans="1:40" x14ac:dyDescent="0.25">
      <c r="A1170" t="str">
        <f>"20190312172110652"</f>
        <v>20190312172110652</v>
      </c>
      <c r="B1170" t="str">
        <f>"1552382470642563"</f>
        <v>1552382470642563</v>
      </c>
      <c r="C1170" t="s">
        <v>40</v>
      </c>
      <c r="D1170">
        <v>3.2065549999999998</v>
      </c>
      <c r="E1170">
        <v>0.53533050000000004</v>
      </c>
      <c r="F1170" t="s">
        <v>42</v>
      </c>
      <c r="G1170">
        <v>-239.09790000000001</v>
      </c>
      <c r="H1170" s="1">
        <v>-2.00269E-6</v>
      </c>
      <c r="I1170">
        <v>363.19099999999997</v>
      </c>
      <c r="J1170">
        <v>-276.86759999999998</v>
      </c>
      <c r="K1170">
        <v>1.084052</v>
      </c>
      <c r="L1170">
        <v>367.75720000000001</v>
      </c>
      <c r="M1170">
        <v>0.99993169999999998</v>
      </c>
      <c r="N1170">
        <v>0</v>
      </c>
      <c r="O1170">
        <v>-1.061719E-2</v>
      </c>
      <c r="P1170">
        <v>0.98419109999999999</v>
      </c>
      <c r="Q1170">
        <v>0.1771095</v>
      </c>
      <c r="R1170">
        <v>4.6557750000000001E-4</v>
      </c>
      <c r="S1170">
        <v>3.0640869999999998</v>
      </c>
      <c r="T1170">
        <v>-8.748686E-2</v>
      </c>
      <c r="U1170">
        <v>-0.3691101</v>
      </c>
      <c r="V1170">
        <v>-1.090764E-2</v>
      </c>
      <c r="W1170">
        <v>0.1819202</v>
      </c>
      <c r="X1170">
        <v>0.98325280000000004</v>
      </c>
      <c r="Y1170">
        <v>0.10901130000000001</v>
      </c>
      <c r="Z1170">
        <v>-1.248402E-3</v>
      </c>
      <c r="AA1170">
        <v>0.99403969999999997</v>
      </c>
      <c r="AB1170">
        <v>31</v>
      </c>
      <c r="AC1170">
        <v>37.769699999999901</v>
      </c>
      <c r="AD1170">
        <v>-1.0840540026899901</v>
      </c>
      <c r="AE1170">
        <v>-4.5662000000000296</v>
      </c>
      <c r="AF1170">
        <v>4.1615509117602603</v>
      </c>
      <c r="AG1170">
        <v>-1.0840540026899901</v>
      </c>
      <c r="AH1170">
        <v>37.785373198112403</v>
      </c>
      <c r="AI1170">
        <v>91.633480614597005</v>
      </c>
      <c r="AJ1170">
        <v>83.714971021538801</v>
      </c>
      <c r="AK1170">
        <v>38.029305894172701</v>
      </c>
      <c r="AL1170">
        <v>79.518373980676103</v>
      </c>
      <c r="AM1170">
        <v>90.635580291829797</v>
      </c>
      <c r="AN1170">
        <v>1.0000000022431199</v>
      </c>
    </row>
    <row r="1171" spans="1:40" x14ac:dyDescent="0.25">
      <c r="A1171" t="str">
        <f>"20190312172110664"</f>
        <v>20190312172110664</v>
      </c>
      <c r="B1171" t="str">
        <f>"1552382470652322"</f>
        <v>1552382470652322</v>
      </c>
      <c r="C1171" t="s">
        <v>40</v>
      </c>
      <c r="D1171">
        <v>3.2174049999999998</v>
      </c>
      <c r="E1171">
        <v>0.535645699999999</v>
      </c>
      <c r="F1171" t="s">
        <v>42</v>
      </c>
      <c r="G1171">
        <v>-246.61369999999999</v>
      </c>
      <c r="H1171" s="1">
        <v>-2.5049520000000001E-6</v>
      </c>
      <c r="I1171">
        <v>365.0299</v>
      </c>
      <c r="J1171">
        <v>-276.7072</v>
      </c>
      <c r="K1171">
        <v>1.085575</v>
      </c>
      <c r="L1171">
        <v>367.75549999999998</v>
      </c>
      <c r="M1171">
        <v>0.99993069999999895</v>
      </c>
      <c r="N1171">
        <v>0</v>
      </c>
      <c r="O1171">
        <v>-1.061703E-2</v>
      </c>
      <c r="P1171">
        <v>0.98425280000000004</v>
      </c>
      <c r="Q1171">
        <v>0.17676610000000001</v>
      </c>
      <c r="R1171">
        <v>5.1749680000000005E-4</v>
      </c>
      <c r="S1171">
        <v>3.068146</v>
      </c>
      <c r="T1171">
        <v>-0.1099373</v>
      </c>
      <c r="U1171">
        <v>-0.27658080000000002</v>
      </c>
      <c r="V1171">
        <v>-1.09605E-2</v>
      </c>
      <c r="W1171">
        <v>0.18174999999999999</v>
      </c>
      <c r="X1171">
        <v>0.98328369999999998</v>
      </c>
      <c r="Y1171">
        <v>7.9158889999999996E-2</v>
      </c>
      <c r="Z1171">
        <v>-1.035392E-3</v>
      </c>
      <c r="AA1171">
        <v>0.99686149999999996</v>
      </c>
      <c r="AB1171">
        <v>31</v>
      </c>
      <c r="AC1171">
        <v>30.093499999999999</v>
      </c>
      <c r="AD1171">
        <v>-1.085577504952</v>
      </c>
      <c r="AE1171">
        <v>-2.72559999999998</v>
      </c>
      <c r="AF1171">
        <v>2.4028372863265202</v>
      </c>
      <c r="AG1171">
        <v>-1.085577504952</v>
      </c>
      <c r="AH1171">
        <v>30.0819149809968</v>
      </c>
      <c r="AI1171">
        <v>92.060201545218803</v>
      </c>
      <c r="AJ1171">
        <v>85.4331113451059</v>
      </c>
      <c r="AK1171">
        <v>30.197246802775599</v>
      </c>
      <c r="AL1171">
        <v>79.528291183167596</v>
      </c>
      <c r="AM1171">
        <v>90.638640082841505</v>
      </c>
      <c r="AN1171">
        <v>1.00000001487297</v>
      </c>
    </row>
    <row r="1172" spans="1:40" x14ac:dyDescent="0.25">
      <c r="A1172" t="str">
        <f>"20190312172110674"</f>
        <v>20190312172110674</v>
      </c>
      <c r="B1172" t="str">
        <f>"1552382470662084"</f>
        <v>1552382470662084</v>
      </c>
      <c r="C1172" t="s">
        <v>40</v>
      </c>
      <c r="D1172">
        <v>3.2052230000000002</v>
      </c>
      <c r="E1172">
        <v>0.53559840000000003</v>
      </c>
      <c r="F1172" t="s">
        <v>42</v>
      </c>
      <c r="G1172">
        <v>-246.48349999999999</v>
      </c>
      <c r="H1172" s="1">
        <v>-2.5608699999999999E-6</v>
      </c>
      <c r="I1172">
        <v>365.00760000000002</v>
      </c>
      <c r="J1172">
        <v>-276.55070000000001</v>
      </c>
      <c r="K1172">
        <v>1.087037</v>
      </c>
      <c r="L1172">
        <v>367.75380000000001</v>
      </c>
      <c r="M1172">
        <v>0.99992979999999998</v>
      </c>
      <c r="N1172">
        <v>0</v>
      </c>
      <c r="O1172">
        <v>-1.0617E-2</v>
      </c>
      <c r="P1172">
        <v>0.98428110000000002</v>
      </c>
      <c r="Q1172">
        <v>0.1766093</v>
      </c>
      <c r="R1172">
        <v>5.3762549999999997E-4</v>
      </c>
      <c r="S1172">
        <v>3.0679319999999999</v>
      </c>
      <c r="T1172">
        <v>-0.1101941</v>
      </c>
      <c r="U1172">
        <v>-0.27893069999999998</v>
      </c>
      <c r="V1172">
        <v>-1.0980999999999999E-2</v>
      </c>
      <c r="W1172">
        <v>0.18181140000000001</v>
      </c>
      <c r="X1172">
        <v>0.98327209999999998</v>
      </c>
      <c r="Y1172">
        <v>7.9921740000000005E-2</v>
      </c>
      <c r="Z1172">
        <v>-1.0515139999999999E-3</v>
      </c>
      <c r="AA1172">
        <v>0.99680060000000004</v>
      </c>
      <c r="AB1172">
        <v>31</v>
      </c>
      <c r="AC1172">
        <v>30.0672</v>
      </c>
      <c r="AD1172">
        <v>-1.0870395608700001</v>
      </c>
      <c r="AE1172">
        <v>-2.74619999999998</v>
      </c>
      <c r="AF1172">
        <v>2.4236755873395999</v>
      </c>
      <c r="AG1172">
        <v>-1.0870395608700001</v>
      </c>
      <c r="AH1172">
        <v>30.0557016925246</v>
      </c>
      <c r="AI1172">
        <v>92.064645993110403</v>
      </c>
      <c r="AJ1172">
        <v>85.389675168233694</v>
      </c>
      <c r="AK1172">
        <v>30.17285307341</v>
      </c>
      <c r="AL1172">
        <v>79.524713407240398</v>
      </c>
      <c r="AM1172">
        <v>90.639842013508698</v>
      </c>
      <c r="AN1172">
        <v>0.99999999508468496</v>
      </c>
    </row>
    <row r="1173" spans="1:40" x14ac:dyDescent="0.25">
      <c r="A1173" t="str">
        <f>"20190312172110686"</f>
        <v>20190312172110686</v>
      </c>
      <c r="B1173" t="str">
        <f>"1552382470682578"</f>
        <v>1552382470682578</v>
      </c>
      <c r="C1173" t="s">
        <v>40</v>
      </c>
      <c r="D1173">
        <v>3.2096399999999998</v>
      </c>
      <c r="E1173">
        <v>0.53548050000000003</v>
      </c>
      <c r="F1173" t="s">
        <v>42</v>
      </c>
      <c r="G1173">
        <v>-246.70529999999999</v>
      </c>
      <c r="H1173" s="1">
        <v>-2.4658359999999999E-6</v>
      </c>
      <c r="I1173">
        <v>365.04469999999998</v>
      </c>
      <c r="J1173">
        <v>-276.39319999999998</v>
      </c>
      <c r="K1173">
        <v>1.0884659999999999</v>
      </c>
      <c r="L1173">
        <v>367.75220000000002</v>
      </c>
      <c r="M1173">
        <v>0.99992840000000005</v>
      </c>
      <c r="N1173">
        <v>0</v>
      </c>
      <c r="O1173">
        <v>-1.061672E-2</v>
      </c>
      <c r="P1173">
        <v>0.98432629999999999</v>
      </c>
      <c r="Q1173">
        <v>0.17635670000000001</v>
      </c>
      <c r="R1173">
        <v>6.8343519999999999E-4</v>
      </c>
      <c r="S1173">
        <v>3.068146</v>
      </c>
      <c r="T1173">
        <v>-0.11174920000000001</v>
      </c>
      <c r="U1173">
        <v>-0.27850340000000001</v>
      </c>
      <c r="V1173">
        <v>-1.1126840000000001E-2</v>
      </c>
      <c r="W1173">
        <v>0.18180250000000001</v>
      </c>
      <c r="X1173">
        <v>0.98327209999999998</v>
      </c>
      <c r="Y1173">
        <v>7.9776910000000006E-2</v>
      </c>
      <c r="Z1173">
        <v>-1.0636549999999999E-3</v>
      </c>
      <c r="AA1173">
        <v>0.99681220000000004</v>
      </c>
      <c r="AB1173">
        <v>31</v>
      </c>
      <c r="AC1173">
        <v>29.6878999999999</v>
      </c>
      <c r="AD1173">
        <v>-1.088468465836</v>
      </c>
      <c r="AE1173">
        <v>-2.7075000000000302</v>
      </c>
      <c r="AF1173">
        <v>2.3889696486158898</v>
      </c>
      <c r="AG1173">
        <v>-1.088468465836</v>
      </c>
      <c r="AH1173">
        <v>29.675410518345601</v>
      </c>
      <c r="AI1173">
        <v>92.093850206826502</v>
      </c>
      <c r="AJ1173">
        <v>85.397424055662498</v>
      </c>
      <c r="AK1173">
        <v>29.791306265678699</v>
      </c>
      <c r="AL1173">
        <v>79.525231918796806</v>
      </c>
      <c r="AM1173">
        <v>90.648339112686401</v>
      </c>
      <c r="AN1173">
        <v>0.99999998910652199</v>
      </c>
    </row>
    <row r="1174" spans="1:40" x14ac:dyDescent="0.25">
      <c r="A1174" t="str">
        <f>"20190312172110698"</f>
        <v>20190312172110698</v>
      </c>
      <c r="B1174" t="str">
        <f>"1552382470692338"</f>
        <v>1552382470692338</v>
      </c>
      <c r="C1174" t="s">
        <v>40</v>
      </c>
      <c r="D1174">
        <v>3.1980219999999999</v>
      </c>
      <c r="E1174">
        <v>0.53525710000000004</v>
      </c>
      <c r="F1174" t="s">
        <v>42</v>
      </c>
      <c r="G1174">
        <v>-247.10910000000001</v>
      </c>
      <c r="H1174" s="1">
        <v>-2.29371E-6</v>
      </c>
      <c r="I1174">
        <v>365.10879999999997</v>
      </c>
      <c r="J1174">
        <v>-276.22539999999998</v>
      </c>
      <c r="K1174">
        <v>1.089958</v>
      </c>
      <c r="L1174">
        <v>367.75040000000001</v>
      </c>
      <c r="M1174">
        <v>0.99992669999999995</v>
      </c>
      <c r="N1174">
        <v>0</v>
      </c>
      <c r="O1174">
        <v>-1.0616449999999999E-2</v>
      </c>
      <c r="P1174">
        <v>0.98439359999999998</v>
      </c>
      <c r="Q1174">
        <v>0.17598059999999999</v>
      </c>
      <c r="R1174">
        <v>6.8363919999999995E-4</v>
      </c>
      <c r="S1174">
        <v>3.06839</v>
      </c>
      <c r="T1174">
        <v>-0.1140499</v>
      </c>
      <c r="U1174">
        <v>-0.27697749999999999</v>
      </c>
      <c r="V1174">
        <v>-1.112751E-2</v>
      </c>
      <c r="W1174">
        <v>0.18170639999999999</v>
      </c>
      <c r="X1174">
        <v>0.98328979999999999</v>
      </c>
      <c r="Y1174">
        <v>7.927679E-2</v>
      </c>
      <c r="Z1174">
        <v>-1.076214E-3</v>
      </c>
      <c r="AA1174">
        <v>0.99685199999999996</v>
      </c>
      <c r="AB1174">
        <v>31</v>
      </c>
      <c r="AC1174">
        <v>29.116299999999899</v>
      </c>
      <c r="AD1174">
        <v>-1.0899602937099999</v>
      </c>
      <c r="AE1174">
        <v>-2.6416000000000301</v>
      </c>
      <c r="AF1174">
        <v>2.3290968928765099</v>
      </c>
      <c r="AG1174">
        <v>-1.0899602937099999</v>
      </c>
      <c r="AH1174">
        <v>29.102254235464699</v>
      </c>
      <c r="AI1174">
        <v>92.138053797715102</v>
      </c>
      <c r="AJ1174">
        <v>85.4242857315419</v>
      </c>
      <c r="AK1174">
        <v>29.215644907547301</v>
      </c>
      <c r="AL1174">
        <v>79.530830723884193</v>
      </c>
      <c r="AM1174">
        <v>90.648366478610697</v>
      </c>
      <c r="AN1174">
        <v>0.99999993403189702</v>
      </c>
    </row>
    <row r="1175" spans="1:40" x14ac:dyDescent="0.25">
      <c r="A1175" t="str">
        <f>"20190312172110709"</f>
        <v>20190312172110709</v>
      </c>
      <c r="B1175" t="str">
        <f>"1552382470702098"</f>
        <v>1552382470702098</v>
      </c>
      <c r="C1175" t="s">
        <v>40</v>
      </c>
      <c r="D1175">
        <v>3.2175029999999998</v>
      </c>
      <c r="E1175">
        <v>0.53519280000000002</v>
      </c>
      <c r="F1175" t="s">
        <v>42</v>
      </c>
      <c r="G1175">
        <v>-247.36539999999999</v>
      </c>
      <c r="H1175" s="1">
        <v>-2.1812029999999998E-6</v>
      </c>
      <c r="I1175">
        <v>365.1617</v>
      </c>
      <c r="J1175">
        <v>-276.06659999999999</v>
      </c>
      <c r="K1175">
        <v>1.091297</v>
      </c>
      <c r="L1175">
        <v>367.74869999999999</v>
      </c>
      <c r="M1175">
        <v>0.99992510000000001</v>
      </c>
      <c r="N1175">
        <v>0</v>
      </c>
      <c r="O1175">
        <v>-1.061671E-2</v>
      </c>
      <c r="P1175">
        <v>0.98449089999999995</v>
      </c>
      <c r="Q1175">
        <v>0.1754358</v>
      </c>
      <c r="R1175">
        <v>7.2396359999999998E-4</v>
      </c>
      <c r="S1175">
        <v>3.0684809999999998</v>
      </c>
      <c r="T1175">
        <v>-0.11588809999999999</v>
      </c>
      <c r="U1175">
        <v>-0.27523799999999998</v>
      </c>
      <c r="V1175">
        <v>-1.116931E-2</v>
      </c>
      <c r="W1175">
        <v>0.18144660000000001</v>
      </c>
      <c r="X1175">
        <v>0.98333729999999997</v>
      </c>
      <c r="Y1175">
        <v>7.871214E-2</v>
      </c>
      <c r="Z1175">
        <v>-1.082894E-3</v>
      </c>
      <c r="AA1175">
        <v>0.99689680000000003</v>
      </c>
      <c r="AB1175">
        <v>31</v>
      </c>
      <c r="AC1175">
        <v>28.7012</v>
      </c>
      <c r="AD1175">
        <v>-1.091299181203</v>
      </c>
      <c r="AE1175">
        <v>-2.5869999999999802</v>
      </c>
      <c r="AF1175">
        <v>2.2788681482123998</v>
      </c>
      <c r="AG1175">
        <v>-1.091299181203</v>
      </c>
      <c r="AH1175">
        <v>28.685910417862299</v>
      </c>
      <c r="AI1175">
        <v>92.171819029576</v>
      </c>
      <c r="AJ1175">
        <v>85.457843803048306</v>
      </c>
      <c r="AK1175">
        <v>28.796972591601602</v>
      </c>
      <c r="AL1175">
        <v>79.545967792805698</v>
      </c>
      <c r="AM1175">
        <v>90.650770395362102</v>
      </c>
      <c r="AN1175">
        <v>0.99999993385436003</v>
      </c>
    </row>
    <row r="1176" spans="1:40" x14ac:dyDescent="0.25">
      <c r="A1176" t="str">
        <f>"20190312172110719"</f>
        <v>20190312172110719</v>
      </c>
      <c r="B1176" t="str">
        <f>"1552382470711859"</f>
        <v>1552382470711859</v>
      </c>
      <c r="C1176" t="s">
        <v>40</v>
      </c>
      <c r="D1176">
        <v>3.1993870000000002</v>
      </c>
      <c r="E1176">
        <v>0.53522969999999903</v>
      </c>
      <c r="F1176" t="s">
        <v>42</v>
      </c>
      <c r="G1176">
        <v>-247.87010000000001</v>
      </c>
      <c r="H1176" s="1">
        <v>-1.970569E-6</v>
      </c>
      <c r="I1176">
        <v>365.22500000000002</v>
      </c>
      <c r="J1176">
        <v>-275.91750000000002</v>
      </c>
      <c r="K1176">
        <v>1.092535</v>
      </c>
      <c r="L1176">
        <v>367.74709999999999</v>
      </c>
      <c r="M1176">
        <v>0.99992340000000002</v>
      </c>
      <c r="N1176">
        <v>0</v>
      </c>
      <c r="O1176">
        <v>-1.061661E-2</v>
      </c>
      <c r="P1176">
        <v>0.98453840000000004</v>
      </c>
      <c r="Q1176">
        <v>0.17516689999999999</v>
      </c>
      <c r="R1176">
        <v>9.4484630000000005E-4</v>
      </c>
      <c r="S1176">
        <v>3.0686040000000001</v>
      </c>
      <c r="T1176">
        <v>-0.1187653</v>
      </c>
      <c r="U1176">
        <v>-0.27465820000000002</v>
      </c>
      <c r="V1176">
        <v>-1.1390620000000001E-2</v>
      </c>
      <c r="W1176">
        <v>0.18144850000000001</v>
      </c>
      <c r="X1176">
        <v>0.9833345</v>
      </c>
      <c r="Y1176">
        <v>7.8519539999999999E-2</v>
      </c>
      <c r="Z1176">
        <v>-1.1060099999999999E-3</v>
      </c>
      <c r="AA1176">
        <v>0.99691189999999996</v>
      </c>
      <c r="AB1176">
        <v>31</v>
      </c>
      <c r="AC1176">
        <v>28.0474</v>
      </c>
      <c r="AD1176">
        <v>-1.092536970569</v>
      </c>
      <c r="AE1176">
        <v>-2.52209999999996</v>
      </c>
      <c r="AF1176">
        <v>2.2208407469028302</v>
      </c>
      <c r="AG1176">
        <v>-1.092536970569</v>
      </c>
      <c r="AH1176">
        <v>28.0304050383535</v>
      </c>
      <c r="AI1176">
        <v>92.2251133635136</v>
      </c>
      <c r="AJ1176">
        <v>85.469935353776805</v>
      </c>
      <c r="AK1176">
        <v>28.139462988289502</v>
      </c>
      <c r="AL1176">
        <v>79.545858021247696</v>
      </c>
      <c r="AM1176">
        <v>90.663665582697107</v>
      </c>
      <c r="AN1176">
        <v>1.0000000216332401</v>
      </c>
    </row>
    <row r="1177" spans="1:40" x14ac:dyDescent="0.25">
      <c r="A1177" t="str">
        <f>"20190312172110731"</f>
        <v>20190312172110731</v>
      </c>
      <c r="B1177" t="str">
        <f>"1552382470722594"</f>
        <v>1552382470722594</v>
      </c>
      <c r="C1177" t="s">
        <v>40</v>
      </c>
      <c r="D1177">
        <v>3.2139160000000002</v>
      </c>
      <c r="E1177">
        <v>0.53507689999999997</v>
      </c>
      <c r="F1177" t="s">
        <v>42</v>
      </c>
      <c r="G1177">
        <v>-248.23259999999999</v>
      </c>
      <c r="H1177" s="1">
        <v>-1.818497E-6</v>
      </c>
      <c r="I1177">
        <v>365.27330000000001</v>
      </c>
      <c r="J1177">
        <v>-275.76240000000001</v>
      </c>
      <c r="K1177">
        <v>1.093723</v>
      </c>
      <c r="L1177">
        <v>367.74549999999999</v>
      </c>
      <c r="M1177">
        <v>0.99992139999999996</v>
      </c>
      <c r="N1177">
        <v>0</v>
      </c>
      <c r="O1177">
        <v>-1.0616489999999999E-2</v>
      </c>
      <c r="P1177">
        <v>0.98459529999999995</v>
      </c>
      <c r="Q1177">
        <v>0.17484649999999999</v>
      </c>
      <c r="R1177">
        <v>9.2937239999999995E-4</v>
      </c>
      <c r="S1177">
        <v>3.0689389999999999</v>
      </c>
      <c r="T1177">
        <v>-0.1211106</v>
      </c>
      <c r="U1177">
        <v>-0.274231</v>
      </c>
      <c r="V1177">
        <v>-1.1375690000000001E-2</v>
      </c>
      <c r="W1177">
        <v>0.181418</v>
      </c>
      <c r="X1177">
        <v>0.98334029999999994</v>
      </c>
      <c r="Y1177">
        <v>7.8370389999999998E-2</v>
      </c>
      <c r="Z1177">
        <v>-1.124786E-3</v>
      </c>
      <c r="AA1177">
        <v>0.99692369999999997</v>
      </c>
      <c r="AB1177">
        <v>31</v>
      </c>
      <c r="AC1177">
        <v>27.529800000000002</v>
      </c>
      <c r="AD1177">
        <v>-1.0937248184970001</v>
      </c>
      <c r="AE1177">
        <v>-2.47219999999998</v>
      </c>
      <c r="AF1177">
        <v>2.1763766647961802</v>
      </c>
      <c r="AG1177">
        <v>-1.0937248184970001</v>
      </c>
      <c r="AH1177">
        <v>27.511419171509498</v>
      </c>
      <c r="AI1177">
        <v>92.269529285064394</v>
      </c>
      <c r="AJ1177">
        <v>85.4768582880819</v>
      </c>
      <c r="AK1177">
        <v>27.6190339113476</v>
      </c>
      <c r="AL1177">
        <v>79.5476350318649</v>
      </c>
      <c r="AM1177">
        <v>90.662791866559303</v>
      </c>
      <c r="AN1177">
        <v>1.00000002132553</v>
      </c>
    </row>
    <row r="1178" spans="1:40" x14ac:dyDescent="0.25">
      <c r="A1178" t="str">
        <f>"20190312172110742"</f>
        <v>20190312172110742</v>
      </c>
      <c r="B1178" t="str">
        <f>"1552382470732356"</f>
        <v>1552382470732356</v>
      </c>
      <c r="C1178" t="s">
        <v>40</v>
      </c>
      <c r="D1178">
        <v>3.217177</v>
      </c>
      <c r="E1178">
        <v>0.53507660000000001</v>
      </c>
      <c r="F1178" t="s">
        <v>42</v>
      </c>
      <c r="G1178">
        <v>-248.21539999999999</v>
      </c>
      <c r="H1178" s="1">
        <v>-1.8196079999999999E-6</v>
      </c>
      <c r="I1178">
        <v>365.29399999999998</v>
      </c>
      <c r="J1178">
        <v>-275.6019</v>
      </c>
      <c r="K1178">
        <v>1.094929</v>
      </c>
      <c r="L1178">
        <v>367.74380000000002</v>
      </c>
      <c r="M1178">
        <v>0.99991929999999996</v>
      </c>
      <c r="N1178">
        <v>0</v>
      </c>
      <c r="O1178">
        <v>-1.061633E-2</v>
      </c>
      <c r="P1178">
        <v>0.98467819999999995</v>
      </c>
      <c r="Q1178">
        <v>0.17437929999999999</v>
      </c>
      <c r="R1178">
        <v>8.5026959999999995E-4</v>
      </c>
      <c r="S1178">
        <v>3.068848</v>
      </c>
      <c r="T1178">
        <v>-0.1218451</v>
      </c>
      <c r="U1178">
        <v>-0.27310180000000001</v>
      </c>
      <c r="V1178">
        <v>-1.129727E-2</v>
      </c>
      <c r="W1178">
        <v>0.18125060000000001</v>
      </c>
      <c r="X1178">
        <v>0.98337200000000002</v>
      </c>
      <c r="Y1178">
        <v>7.8008880000000003E-2</v>
      </c>
      <c r="Z1178">
        <v>-1.1244999999999901E-3</v>
      </c>
      <c r="AA1178">
        <v>0.99695210000000001</v>
      </c>
      <c r="AB1178">
        <v>31</v>
      </c>
      <c r="AC1178">
        <v>27.386500000000002</v>
      </c>
      <c r="AD1178">
        <v>-1.0949308196080001</v>
      </c>
      <c r="AE1178">
        <v>-2.4497999999999802</v>
      </c>
      <c r="AF1178">
        <v>2.1554926297152099</v>
      </c>
      <c r="AG1178">
        <v>-1.0949308196080001</v>
      </c>
      <c r="AH1178">
        <v>27.3675665373373</v>
      </c>
      <c r="AI1178">
        <v>92.284021220788702</v>
      </c>
      <c r="AJ1178">
        <v>85.496632581589694</v>
      </c>
      <c r="AK1178">
        <v>27.474146395330798</v>
      </c>
      <c r="AL1178">
        <v>79.557387275118899</v>
      </c>
      <c r="AM1178">
        <v>90.658201999649805</v>
      </c>
      <c r="AN1178">
        <v>0.99999994934690495</v>
      </c>
    </row>
    <row r="1179" spans="1:40" x14ac:dyDescent="0.25">
      <c r="A1179" t="str">
        <f>"20190312172110754"</f>
        <v>20190312172110754</v>
      </c>
      <c r="B1179" t="str">
        <f>"1552382470742115"</f>
        <v>1552382470742115</v>
      </c>
      <c r="C1179" t="s">
        <v>40</v>
      </c>
      <c r="D1179">
        <v>3.2289659999999998</v>
      </c>
      <c r="E1179">
        <v>0.53514700000000004</v>
      </c>
      <c r="F1179" t="s">
        <v>42</v>
      </c>
      <c r="G1179">
        <v>-248.5102</v>
      </c>
      <c r="H1179" s="1">
        <v>-1.696707E-6</v>
      </c>
      <c r="I1179">
        <v>365.3304</v>
      </c>
      <c r="J1179">
        <v>-275.42899999999997</v>
      </c>
      <c r="K1179">
        <v>1.0961399999999999</v>
      </c>
      <c r="L1179">
        <v>367.74189999999999</v>
      </c>
      <c r="M1179">
        <v>0.99991699999999994</v>
      </c>
      <c r="N1179">
        <v>0</v>
      </c>
      <c r="O1179">
        <v>-1.06163E-2</v>
      </c>
      <c r="P1179">
        <v>0.98472400000000004</v>
      </c>
      <c r="Q1179">
        <v>0.17412069999999999</v>
      </c>
      <c r="R1179">
        <v>8.2065259999999896E-4</v>
      </c>
      <c r="S1179">
        <v>3.0689090000000001</v>
      </c>
      <c r="T1179">
        <v>-0.1240323</v>
      </c>
      <c r="U1179">
        <v>-0.27337650000000002</v>
      </c>
      <c r="V1179">
        <v>-1.1268530000000001E-2</v>
      </c>
      <c r="W1179">
        <v>0.1813121</v>
      </c>
      <c r="X1179">
        <v>0.98336109999999999</v>
      </c>
      <c r="Y1179">
        <v>7.8093689999999993E-2</v>
      </c>
      <c r="Z1179">
        <v>-1.1463510000000001E-3</v>
      </c>
      <c r="AA1179">
        <v>0.99694539999999998</v>
      </c>
      <c r="AB1179">
        <v>31</v>
      </c>
      <c r="AC1179">
        <v>26.918800000000001</v>
      </c>
      <c r="AD1179">
        <v>-1.0961416967069999</v>
      </c>
      <c r="AE1179">
        <v>-2.4114999999999802</v>
      </c>
      <c r="AF1179">
        <v>2.1220877120143999</v>
      </c>
      <c r="AG1179">
        <v>-1.0961416967069999</v>
      </c>
      <c r="AH1179">
        <v>26.898638116836501</v>
      </c>
      <c r="AI1179">
        <v>92.3263388343549</v>
      </c>
      <c r="AJ1179">
        <v>85.489163533831302</v>
      </c>
      <c r="AK1179">
        <v>27.0044721373567</v>
      </c>
      <c r="AL1179">
        <v>79.553805335811603</v>
      </c>
      <c r="AM1179">
        <v>90.656534971964703</v>
      </c>
      <c r="AN1179">
        <v>1.0000000551839801</v>
      </c>
    </row>
    <row r="1180" spans="1:40" x14ac:dyDescent="0.25">
      <c r="A1180" t="str">
        <f>"20190312172110767"</f>
        <v>20190312172110767</v>
      </c>
      <c r="B1180" t="str">
        <f>"1552382470762613"</f>
        <v>1552382470762613</v>
      </c>
      <c r="C1180" t="s">
        <v>40</v>
      </c>
      <c r="D1180">
        <v>3.2305609999999998</v>
      </c>
      <c r="E1180">
        <v>0.53511699999999995</v>
      </c>
      <c r="F1180" t="s">
        <v>42</v>
      </c>
      <c r="G1180">
        <v>-248.56870000000001</v>
      </c>
      <c r="H1180" s="1">
        <v>-1.67072999999999E-6</v>
      </c>
      <c r="I1180">
        <v>365.34359999999998</v>
      </c>
      <c r="J1180">
        <v>-275.25400000000002</v>
      </c>
      <c r="K1180">
        <v>1.0972930000000001</v>
      </c>
      <c r="L1180">
        <v>367.74009999999998</v>
      </c>
      <c r="M1180">
        <v>0.99991459999999999</v>
      </c>
      <c r="N1180">
        <v>0</v>
      </c>
      <c r="O1180">
        <v>-1.061606E-2</v>
      </c>
      <c r="P1180">
        <v>0.98478639999999995</v>
      </c>
      <c r="Q1180">
        <v>0.17376829999999999</v>
      </c>
      <c r="R1180">
        <v>7.2371679999999996E-4</v>
      </c>
      <c r="S1180">
        <v>3.0688780000000002</v>
      </c>
      <c r="T1180">
        <v>-0.1252376</v>
      </c>
      <c r="U1180">
        <v>-0.27401730000000002</v>
      </c>
      <c r="V1180">
        <v>-1.117201E-2</v>
      </c>
      <c r="W1180">
        <v>0.18127779999999999</v>
      </c>
      <c r="X1180">
        <v>0.98336849999999998</v>
      </c>
      <c r="Y1180">
        <v>7.8300069999999999E-2</v>
      </c>
      <c r="Z1180">
        <v>-1.1616930000000001E-3</v>
      </c>
      <c r="AA1180">
        <v>0.99692919999999996</v>
      </c>
      <c r="AB1180">
        <v>31</v>
      </c>
      <c r="AC1180">
        <v>26.685300000000002</v>
      </c>
      <c r="AD1180">
        <v>-1.09729467073</v>
      </c>
      <c r="AE1180">
        <v>-2.3965000000000001</v>
      </c>
      <c r="AF1180">
        <v>2.1095256378912102</v>
      </c>
      <c r="AG1180">
        <v>-1.09729467073</v>
      </c>
      <c r="AH1180">
        <v>26.664513570330499</v>
      </c>
      <c r="AI1180">
        <v>92.349167061764902</v>
      </c>
      <c r="AJ1180">
        <v>85.476546341260303</v>
      </c>
      <c r="AK1180">
        <v>26.770327565304001</v>
      </c>
      <c r="AL1180">
        <v>79.555803437500501</v>
      </c>
      <c r="AM1180">
        <v>90.650907044395197</v>
      </c>
      <c r="AN1180">
        <v>1.00000003068626</v>
      </c>
    </row>
    <row r="1181" spans="1:40" x14ac:dyDescent="0.25">
      <c r="A1181" t="str">
        <f>"20190312172110781"</f>
        <v>20190312172110781</v>
      </c>
      <c r="B1181" t="str">
        <f>"1552382470772370"</f>
        <v>1552382470772370</v>
      </c>
      <c r="C1181" t="s">
        <v>40</v>
      </c>
      <c r="D1181">
        <v>3.2564150000000001</v>
      </c>
      <c r="E1181">
        <v>0.53505599999999998</v>
      </c>
      <c r="F1181" t="s">
        <v>42</v>
      </c>
      <c r="G1181">
        <v>-248.5652</v>
      </c>
      <c r="H1181" s="1">
        <v>-1.669223E-6</v>
      </c>
      <c r="I1181">
        <v>365.35430000000002</v>
      </c>
      <c r="J1181">
        <v>-275.0686</v>
      </c>
      <c r="K1181">
        <v>1.0984560000000001</v>
      </c>
      <c r="L1181">
        <v>367.73809999999997</v>
      </c>
      <c r="M1181">
        <v>0.99991200000000002</v>
      </c>
      <c r="N1181">
        <v>0</v>
      </c>
      <c r="O1181">
        <v>-1.0616179999999999E-2</v>
      </c>
      <c r="P1181">
        <v>0.9848403</v>
      </c>
      <c r="Q1181">
        <v>0.17346329999999999</v>
      </c>
      <c r="R1181">
        <v>7.6315550000000002E-4</v>
      </c>
      <c r="S1181">
        <v>3.0687869999999999</v>
      </c>
      <c r="T1181">
        <v>-0.12617149999999999</v>
      </c>
      <c r="U1181">
        <v>-0.27432250000000002</v>
      </c>
      <c r="V1181">
        <v>-1.121228E-2</v>
      </c>
      <c r="W1181">
        <v>0.18130360000000001</v>
      </c>
      <c r="X1181">
        <v>0.98336330000000005</v>
      </c>
      <c r="Y1181">
        <v>7.8400010000000006E-2</v>
      </c>
      <c r="Z1181">
        <v>-1.1724210000000001E-3</v>
      </c>
      <c r="AA1181">
        <v>0.99692130000000001</v>
      </c>
      <c r="AB1181">
        <v>31</v>
      </c>
      <c r="AC1181">
        <v>26.503399999999999</v>
      </c>
      <c r="AD1181">
        <v>-1.0984576692229999</v>
      </c>
      <c r="AE1181">
        <v>-2.3837999999999502</v>
      </c>
      <c r="AF1181">
        <v>2.0987157199112998</v>
      </c>
      <c r="AG1181">
        <v>-1.0984576692229999</v>
      </c>
      <c r="AH1181">
        <v>26.4820890783114</v>
      </c>
      <c r="AI1181">
        <v>92.367809868268907</v>
      </c>
      <c r="AJ1181">
        <v>85.468757996169103</v>
      </c>
      <c r="AK1181">
        <v>26.5878216271228</v>
      </c>
      <c r="AL1181">
        <v>79.554300451968999</v>
      </c>
      <c r="AM1181">
        <v>90.653256518511796</v>
      </c>
      <c r="AN1181">
        <v>1.00000004519132</v>
      </c>
    </row>
    <row r="1182" spans="1:40" x14ac:dyDescent="0.25">
      <c r="A1182" t="str">
        <f>"20190312172110792"</f>
        <v>20190312172110792</v>
      </c>
      <c r="B1182" t="str">
        <f>"1552382470782130"</f>
        <v>1552382470782130</v>
      </c>
      <c r="C1182" t="s">
        <v>40</v>
      </c>
      <c r="D1182">
        <v>3.2608350000000002</v>
      </c>
      <c r="E1182">
        <v>0.53506089999999995</v>
      </c>
      <c r="F1182" t="s">
        <v>42</v>
      </c>
      <c r="G1182">
        <v>-248.4666</v>
      </c>
      <c r="H1182" s="1">
        <v>-1.703865E-6</v>
      </c>
      <c r="I1182">
        <v>365.3664</v>
      </c>
      <c r="J1182">
        <v>-274.88350000000003</v>
      </c>
      <c r="K1182">
        <v>1.099499</v>
      </c>
      <c r="L1182">
        <v>367.73610000000002</v>
      </c>
      <c r="M1182">
        <v>0.99990950000000001</v>
      </c>
      <c r="N1182">
        <v>0</v>
      </c>
      <c r="O1182">
        <v>-1.061615E-2</v>
      </c>
      <c r="P1182">
        <v>0.98486850000000004</v>
      </c>
      <c r="Q1182">
        <v>0.17330279999999901</v>
      </c>
      <c r="R1182">
        <v>7.2400830000000005E-4</v>
      </c>
      <c r="S1182">
        <v>3.0686650000000002</v>
      </c>
      <c r="T1182">
        <v>-0.1267124</v>
      </c>
      <c r="U1182">
        <v>-0.2735901</v>
      </c>
      <c r="V1182">
        <v>-1.1173509999999999E-2</v>
      </c>
      <c r="W1182">
        <v>0.1814569</v>
      </c>
      <c r="X1182">
        <v>0.98333539999999997</v>
      </c>
      <c r="Y1182">
        <v>7.8167159999999999E-2</v>
      </c>
      <c r="Z1182">
        <v>-1.172707E-3</v>
      </c>
      <c r="AA1182">
        <v>0.99693960000000004</v>
      </c>
      <c r="AB1182">
        <v>31</v>
      </c>
      <c r="AC1182">
        <v>26.416899999999998</v>
      </c>
      <c r="AD1182">
        <v>-1.099500703865</v>
      </c>
      <c r="AE1182">
        <v>-2.3697000000000199</v>
      </c>
      <c r="AF1182">
        <v>2.0855271478852302</v>
      </c>
      <c r="AG1182">
        <v>-1.099500703865</v>
      </c>
      <c r="AH1182">
        <v>26.395209315732998</v>
      </c>
      <c r="AI1182">
        <v>92.377892342694096</v>
      </c>
      <c r="AJ1182">
        <v>85.482355392476094</v>
      </c>
      <c r="AK1182">
        <v>26.500290566401802</v>
      </c>
      <c r="AL1182">
        <v>79.545368186884104</v>
      </c>
      <c r="AM1182">
        <v>90.651016341533307</v>
      </c>
      <c r="AN1182">
        <v>0.99999998138824397</v>
      </c>
    </row>
    <row r="1183" spans="1:40" x14ac:dyDescent="0.25">
      <c r="A1183" t="str">
        <f>"20190312172110806"</f>
        <v>20190312172110806</v>
      </c>
      <c r="B1183" t="str">
        <f>"1552382470802626"</f>
        <v>1552382470802626</v>
      </c>
      <c r="C1183" t="s">
        <v>40</v>
      </c>
      <c r="D1183">
        <v>3.2279949999999999</v>
      </c>
      <c r="E1183">
        <v>0.53505059999999904</v>
      </c>
      <c r="F1183" t="s">
        <v>42</v>
      </c>
      <c r="G1183">
        <v>-248.28630000000001</v>
      </c>
      <c r="H1183" s="1">
        <v>-1.7741610000000001E-6</v>
      </c>
      <c r="I1183">
        <v>365.36239999999998</v>
      </c>
      <c r="J1183">
        <v>-274.70850000000002</v>
      </c>
      <c r="K1183">
        <v>1.10043</v>
      </c>
      <c r="L1183">
        <v>367.73430000000002</v>
      </c>
      <c r="M1183">
        <v>0.99990699999999999</v>
      </c>
      <c r="N1183">
        <v>0</v>
      </c>
      <c r="O1183">
        <v>-1.061582E-2</v>
      </c>
      <c r="P1183">
        <v>0.98493489999999995</v>
      </c>
      <c r="Q1183">
        <v>0.17292449999999901</v>
      </c>
      <c r="R1183">
        <v>7.6146799999999995E-4</v>
      </c>
      <c r="S1183">
        <v>3.0686040000000001</v>
      </c>
      <c r="T1183">
        <v>-0.1268532</v>
      </c>
      <c r="U1183">
        <v>-0.27386470000000002</v>
      </c>
      <c r="V1183">
        <v>-1.1211209999999999E-2</v>
      </c>
      <c r="W1183">
        <v>0.1813669</v>
      </c>
      <c r="X1183">
        <v>0.98335159999999999</v>
      </c>
      <c r="Y1183">
        <v>7.8257549999999995E-2</v>
      </c>
      <c r="Z1183">
        <v>-1.1759030000000001E-3</v>
      </c>
      <c r="AA1183">
        <v>0.9969325</v>
      </c>
      <c r="AB1183">
        <v>31</v>
      </c>
      <c r="AC1183">
        <v>26.4222</v>
      </c>
      <c r="AD1183">
        <v>-1.1004317741609999</v>
      </c>
      <c r="AE1183">
        <v>-2.3719000000000299</v>
      </c>
      <c r="AF1183">
        <v>2.0876705027295999</v>
      </c>
      <c r="AG1183">
        <v>-1.1004317741609999</v>
      </c>
      <c r="AH1183">
        <v>26.400464595157999</v>
      </c>
      <c r="AI1183">
        <v>92.379418235721303</v>
      </c>
      <c r="AJ1183">
        <v>85.478628201315502</v>
      </c>
      <c r="AK1183">
        <v>26.505732381085799</v>
      </c>
      <c r="AL1183">
        <v>79.550612078239297</v>
      </c>
      <c r="AM1183">
        <v>90.6532019540238</v>
      </c>
      <c r="AN1183">
        <v>1.0000000064339101</v>
      </c>
    </row>
    <row r="1184" spans="1:40" x14ac:dyDescent="0.25">
      <c r="A1184" t="str">
        <f>"20190312172110821"</f>
        <v>20190312172110821</v>
      </c>
      <c r="B1184" t="str">
        <f>"1552382470812387"</f>
        <v>1552382470812387</v>
      </c>
      <c r="C1184" t="s">
        <v>40</v>
      </c>
      <c r="D1184">
        <v>3.2332459999999998</v>
      </c>
      <c r="E1184">
        <v>0.535076</v>
      </c>
      <c r="F1184" t="s">
        <v>42</v>
      </c>
      <c r="G1184">
        <v>-248.49969999999999</v>
      </c>
      <c r="H1184" s="1">
        <v>-1.682717E-6</v>
      </c>
      <c r="I1184">
        <v>365.39819999999997</v>
      </c>
      <c r="J1184">
        <v>-274.4982</v>
      </c>
      <c r="K1184">
        <v>1.1014699999999999</v>
      </c>
      <c r="L1184">
        <v>367.73200000000003</v>
      </c>
      <c r="M1184">
        <v>0.99990400000000002</v>
      </c>
      <c r="N1184">
        <v>0</v>
      </c>
      <c r="O1184">
        <v>-1.0615619999999999E-2</v>
      </c>
      <c r="P1184">
        <v>0.98498830000000004</v>
      </c>
      <c r="Q1184">
        <v>0.17262</v>
      </c>
      <c r="R1184">
        <v>7.9886059999999997E-4</v>
      </c>
      <c r="S1184">
        <v>3.068756</v>
      </c>
      <c r="T1184">
        <v>-0.12884789999999999</v>
      </c>
      <c r="U1184">
        <v>-0.27352910000000002</v>
      </c>
      <c r="V1184">
        <v>-1.1248660000000001E-2</v>
      </c>
      <c r="W1184">
        <v>0.181395</v>
      </c>
      <c r="X1184">
        <v>0.98334600000000005</v>
      </c>
      <c r="Y1184">
        <v>7.8143400000000002E-2</v>
      </c>
      <c r="Z1184">
        <v>-1.191941E-3</v>
      </c>
      <c r="AA1184">
        <v>0.99694139999999998</v>
      </c>
      <c r="AB1184">
        <v>31</v>
      </c>
      <c r="AC1184">
        <v>25.9985</v>
      </c>
      <c r="AD1184">
        <v>-1.1014716827169999</v>
      </c>
      <c r="AE1184">
        <v>-2.3337999999999899</v>
      </c>
      <c r="AF1184">
        <v>2.0540099913358798</v>
      </c>
      <c r="AG1184">
        <v>-1.1014716827169999</v>
      </c>
      <c r="AH1184">
        <v>25.975558770026598</v>
      </c>
      <c r="AI1184">
        <v>92.420577717964804</v>
      </c>
      <c r="AJ1184">
        <v>85.478760202090996</v>
      </c>
      <c r="AK1184">
        <v>26.079912774536702</v>
      </c>
      <c r="AL1184">
        <v>79.548975023162797</v>
      </c>
      <c r="AM1184">
        <v>90.6553874561246</v>
      </c>
      <c r="AN1184">
        <v>1.0000000170463901</v>
      </c>
    </row>
    <row r="1185" spans="1:40" x14ac:dyDescent="0.25">
      <c r="A1185" t="str">
        <f>"20190312172110833"</f>
        <v>20190312172110833</v>
      </c>
      <c r="B1185" t="str">
        <f>"1552382470822147"</f>
        <v>1552382470822147</v>
      </c>
      <c r="C1185" t="s">
        <v>40</v>
      </c>
      <c r="D1185">
        <v>3.2451539999999999</v>
      </c>
      <c r="E1185">
        <v>0.53512040000000005</v>
      </c>
      <c r="F1185" t="s">
        <v>42</v>
      </c>
      <c r="G1185">
        <v>-248.45179999999999</v>
      </c>
      <c r="H1185" s="1">
        <v>-1.6982549999999999E-6</v>
      </c>
      <c r="I1185">
        <v>365.40879999999999</v>
      </c>
      <c r="J1185">
        <v>-274.31459999999998</v>
      </c>
      <c r="K1185">
        <v>1.102276</v>
      </c>
      <c r="L1185">
        <v>367.73009999999999</v>
      </c>
      <c r="M1185">
        <v>0.9999015</v>
      </c>
      <c r="N1185">
        <v>0</v>
      </c>
      <c r="O1185">
        <v>-1.061554E-2</v>
      </c>
      <c r="P1185">
        <v>0.98506009999999999</v>
      </c>
      <c r="Q1185">
        <v>0.1722091</v>
      </c>
      <c r="R1185">
        <v>7.7399700000000001E-4</v>
      </c>
      <c r="S1185">
        <v>3.0687259999999998</v>
      </c>
      <c r="T1185">
        <v>-0.12977279999999999</v>
      </c>
      <c r="U1185">
        <v>-0.27371220000000002</v>
      </c>
      <c r="V1185">
        <v>-1.122458E-2</v>
      </c>
      <c r="W1185">
        <v>0.18125430000000001</v>
      </c>
      <c r="X1185">
        <v>0.98337220000000003</v>
      </c>
      <c r="Y1185">
        <v>7.8202450000000007E-2</v>
      </c>
      <c r="Z1185">
        <v>-1.2017460000000001E-3</v>
      </c>
      <c r="AA1185">
        <v>0.99693679999999996</v>
      </c>
      <c r="AB1185">
        <v>31</v>
      </c>
      <c r="AC1185">
        <v>25.8628</v>
      </c>
      <c r="AD1185">
        <v>-1.102277698255</v>
      </c>
      <c r="AE1185">
        <v>-2.3212999999999999</v>
      </c>
      <c r="AF1185">
        <v>2.0429287448915101</v>
      </c>
      <c r="AG1185">
        <v>-1.102277698255</v>
      </c>
      <c r="AH1185">
        <v>25.839423753818298</v>
      </c>
      <c r="AI1185">
        <v>92.435096050179894</v>
      </c>
      <c r="AJ1185">
        <v>85.4794574401962</v>
      </c>
      <c r="AK1185">
        <v>25.943484613871</v>
      </c>
      <c r="AL1185">
        <v>79.557172225057101</v>
      </c>
      <c r="AM1185">
        <v>90.653967167950995</v>
      </c>
      <c r="AN1185">
        <v>0.99999999809875295</v>
      </c>
    </row>
    <row r="1186" spans="1:40" x14ac:dyDescent="0.25">
      <c r="A1186" t="str">
        <f>"20190312172110844"</f>
        <v>20190312172110844</v>
      </c>
      <c r="B1186" t="str">
        <f>"1552382470842642"</f>
        <v>1552382470842642</v>
      </c>
      <c r="C1186" t="s">
        <v>40</v>
      </c>
      <c r="D1186">
        <v>3.2183470000000001</v>
      </c>
      <c r="E1186">
        <v>0.53517749999999997</v>
      </c>
      <c r="F1186" t="s">
        <v>42</v>
      </c>
      <c r="G1186">
        <v>-248.5188</v>
      </c>
      <c r="H1186" s="1">
        <v>-1.668064E-6</v>
      </c>
      <c r="I1186">
        <v>365.42559999999997</v>
      </c>
      <c r="J1186">
        <v>-274.16239999999999</v>
      </c>
      <c r="K1186">
        <v>1.1029059999999999</v>
      </c>
      <c r="L1186">
        <v>367.7285</v>
      </c>
      <c r="M1186">
        <v>0.99989950000000005</v>
      </c>
      <c r="N1186">
        <v>0</v>
      </c>
      <c r="O1186">
        <v>-1.061549E-2</v>
      </c>
      <c r="P1186">
        <v>0.98508379999999995</v>
      </c>
      <c r="Q1186">
        <v>0.17207510000000001</v>
      </c>
      <c r="R1186">
        <v>7.5677039999999995E-4</v>
      </c>
      <c r="S1186">
        <v>3.0686339999999999</v>
      </c>
      <c r="T1186">
        <v>-0.13112550000000001</v>
      </c>
      <c r="U1186">
        <v>-0.27413939999999998</v>
      </c>
      <c r="V1186">
        <v>-1.1207989999999999E-2</v>
      </c>
      <c r="W1186">
        <v>0.18133740000000001</v>
      </c>
      <c r="X1186">
        <v>0.98335709999999998</v>
      </c>
      <c r="Y1186">
        <v>7.8341450000000007E-2</v>
      </c>
      <c r="Z1186">
        <v>-1.2172540000000001E-3</v>
      </c>
      <c r="AA1186">
        <v>0.99692579999999997</v>
      </c>
      <c r="AB1186">
        <v>31</v>
      </c>
      <c r="AC1186">
        <v>25.6435999999999</v>
      </c>
      <c r="AD1186">
        <v>-1.102907668064</v>
      </c>
      <c r="AE1186">
        <v>-2.3029000000000202</v>
      </c>
      <c r="AF1186">
        <v>2.0268196525037898</v>
      </c>
      <c r="AG1186">
        <v>-1.102907668064</v>
      </c>
      <c r="AH1186">
        <v>25.619590955334601</v>
      </c>
      <c r="AI1186">
        <v>92.457357617177706</v>
      </c>
      <c r="AJ1186">
        <v>85.476631677258197</v>
      </c>
      <c r="AK1186">
        <v>25.723293800497402</v>
      </c>
      <c r="AL1186">
        <v>79.552331040591099</v>
      </c>
      <c r="AM1186">
        <v>90.653010710437002</v>
      </c>
      <c r="AN1186">
        <v>1.0000000288994999</v>
      </c>
    </row>
    <row r="1187" spans="1:40" x14ac:dyDescent="0.25">
      <c r="A1187" t="str">
        <f>"20190312172110855"</f>
        <v>20190312172110855</v>
      </c>
      <c r="B1187" t="str">
        <f>"1552382470842642"</f>
        <v>1552382470842642</v>
      </c>
      <c r="C1187" t="s">
        <v>40</v>
      </c>
      <c r="D1187">
        <v>3.2183470000000001</v>
      </c>
      <c r="E1187">
        <v>0.53517749999999997</v>
      </c>
      <c r="F1187" t="s">
        <v>42</v>
      </c>
      <c r="G1187">
        <v>-248.3571</v>
      </c>
      <c r="H1187" s="1">
        <v>-1.732034E-6</v>
      </c>
      <c r="I1187">
        <v>365.41860000000003</v>
      </c>
      <c r="J1187">
        <v>-274.01799999999997</v>
      </c>
      <c r="K1187">
        <v>1.103459</v>
      </c>
      <c r="L1187">
        <v>367.7269</v>
      </c>
      <c r="M1187">
        <v>0.9998977</v>
      </c>
      <c r="N1187">
        <v>0</v>
      </c>
      <c r="O1187">
        <v>-1.0615360000000001E-2</v>
      </c>
      <c r="P1187">
        <v>0.9851261</v>
      </c>
      <c r="Q1187">
        <v>0.1718314</v>
      </c>
      <c r="R1187">
        <v>8.8613389999999998E-4</v>
      </c>
      <c r="S1187">
        <v>3.0684809999999998</v>
      </c>
      <c r="T1187">
        <v>-0.1311455</v>
      </c>
      <c r="U1187">
        <v>-0.27465820000000002</v>
      </c>
      <c r="V1187">
        <v>-1.133751E-2</v>
      </c>
      <c r="W1187">
        <v>0.18128949999999999</v>
      </c>
      <c r="X1187">
        <v>0.98336440000000003</v>
      </c>
      <c r="Y1187">
        <v>7.8512990000000005E-2</v>
      </c>
      <c r="Z1187">
        <v>-1.2211520000000001E-3</v>
      </c>
      <c r="AA1187">
        <v>0.99691240000000003</v>
      </c>
      <c r="AB1187">
        <v>31</v>
      </c>
      <c r="AC1187">
        <v>25.660899999999899</v>
      </c>
      <c r="AD1187">
        <v>-1.103460732034</v>
      </c>
      <c r="AE1187">
        <v>-2.3082999999999698</v>
      </c>
      <c r="AF1187">
        <v>2.0320303686958798</v>
      </c>
      <c r="AG1187">
        <v>-1.103460732034</v>
      </c>
      <c r="AH1187">
        <v>25.6369327966861</v>
      </c>
      <c r="AI1187">
        <v>92.456898408547602</v>
      </c>
      <c r="AJ1187">
        <v>85.468105909243107</v>
      </c>
      <c r="AK1187">
        <v>25.741000295797399</v>
      </c>
      <c r="AL1187">
        <v>79.555121274197006</v>
      </c>
      <c r="AM1187">
        <v>90.660551361412701</v>
      </c>
      <c r="AN1187">
        <v>0.99999998256530498</v>
      </c>
    </row>
    <row r="1188" spans="1:40" x14ac:dyDescent="0.25">
      <c r="A1188" t="str">
        <f>"20190312172110865"</f>
        <v>20190312172110865</v>
      </c>
      <c r="B1188" t="str">
        <f>"1552382470862164"</f>
        <v>1552382470862164</v>
      </c>
      <c r="C1188" t="s">
        <v>40</v>
      </c>
      <c r="D1188">
        <v>3.2360190000000002</v>
      </c>
      <c r="E1188">
        <v>0.53525339999999999</v>
      </c>
      <c r="F1188" t="s">
        <v>42</v>
      </c>
      <c r="G1188">
        <v>-248.33949999999999</v>
      </c>
      <c r="H1188" s="1">
        <v>-1.7357E-6</v>
      </c>
      <c r="I1188">
        <v>365.43029999999999</v>
      </c>
      <c r="J1188">
        <v>-273.87909999999999</v>
      </c>
      <c r="K1188">
        <v>1.103961</v>
      </c>
      <c r="L1188">
        <v>367.72539999999998</v>
      </c>
      <c r="M1188">
        <v>0.9998956</v>
      </c>
      <c r="N1188">
        <v>0</v>
      </c>
      <c r="O1188">
        <v>-1.0615289999999999E-2</v>
      </c>
      <c r="P1188">
        <v>0.98515940000000002</v>
      </c>
      <c r="Q1188">
        <v>0.17163909999999999</v>
      </c>
      <c r="R1188">
        <v>9.5914399999999999E-4</v>
      </c>
      <c r="S1188">
        <v>3.0685419999999999</v>
      </c>
      <c r="T1188">
        <v>-0.1318617</v>
      </c>
      <c r="U1188">
        <v>-0.27444459999999998</v>
      </c>
      <c r="V1188">
        <v>-1.141115E-2</v>
      </c>
      <c r="W1188">
        <v>0.18127869999999999</v>
      </c>
      <c r="X1188">
        <v>0.9833655</v>
      </c>
      <c r="Y1188">
        <v>7.8441819999999995E-2</v>
      </c>
      <c r="Z1188">
        <v>-1.2262709999999999E-3</v>
      </c>
      <c r="AA1188">
        <v>0.99691799999999997</v>
      </c>
      <c r="AB1188">
        <v>31</v>
      </c>
      <c r="AC1188">
        <v>25.5396</v>
      </c>
      <c r="AD1188">
        <v>-1.1039627356999999</v>
      </c>
      <c r="AE1188">
        <v>-2.2950999999999899</v>
      </c>
      <c r="AF1188">
        <v>2.0201031663690201</v>
      </c>
      <c r="AG1188">
        <v>-1.1039627356999999</v>
      </c>
      <c r="AH1188">
        <v>25.515233252022501</v>
      </c>
      <c r="AI1188">
        <v>92.469741594798506</v>
      </c>
      <c r="AJ1188">
        <v>85.4731962332568</v>
      </c>
      <c r="AK1188">
        <v>25.6188734808871</v>
      </c>
      <c r="AL1188">
        <v>79.555750087057802</v>
      </c>
      <c r="AM1188">
        <v>90.6648406823644</v>
      </c>
      <c r="AN1188">
        <v>0.99999994400412895</v>
      </c>
    </row>
    <row r="1189" spans="1:40" x14ac:dyDescent="0.25">
      <c r="A1189" t="str">
        <f>"20190312172110875"</f>
        <v>20190312172110875</v>
      </c>
      <c r="B1189" t="str">
        <f>"1552382470871922"</f>
        <v>1552382470871922</v>
      </c>
      <c r="C1189" t="s">
        <v>40</v>
      </c>
      <c r="D1189">
        <v>3.2475290000000001</v>
      </c>
      <c r="E1189">
        <v>0.53527840000000004</v>
      </c>
      <c r="F1189" t="s">
        <v>42</v>
      </c>
      <c r="G1189">
        <v>-248.2903</v>
      </c>
      <c r="H1189" s="1">
        <v>-1.7531119999999999E-6</v>
      </c>
      <c r="I1189">
        <v>365.43579999999997</v>
      </c>
      <c r="J1189">
        <v>-273.7244</v>
      </c>
      <c r="K1189">
        <v>1.104481</v>
      </c>
      <c r="L1189">
        <v>367.72379999999998</v>
      </c>
      <c r="M1189">
        <v>0.9998939</v>
      </c>
      <c r="N1189">
        <v>0</v>
      </c>
      <c r="O1189">
        <v>-1.061541E-2</v>
      </c>
      <c r="P1189">
        <v>0.98521740000000002</v>
      </c>
      <c r="Q1189">
        <v>0.17130609999999999</v>
      </c>
      <c r="R1189">
        <v>1.0045690000000001E-3</v>
      </c>
      <c r="S1189">
        <v>3.0685419999999999</v>
      </c>
      <c r="T1189">
        <v>-0.13238420000000001</v>
      </c>
      <c r="U1189">
        <v>-0.2745667</v>
      </c>
      <c r="V1189">
        <v>-1.1456930000000001E-2</v>
      </c>
      <c r="W1189">
        <v>0.18113899999999999</v>
      </c>
      <c r="X1189">
        <v>0.98339069999999995</v>
      </c>
      <c r="Y1189">
        <v>7.848049E-2</v>
      </c>
      <c r="Z1189">
        <v>-1.231949E-3</v>
      </c>
      <c r="AA1189">
        <v>0.99691490000000005</v>
      </c>
      <c r="AB1189">
        <v>31</v>
      </c>
      <c r="AC1189">
        <v>25.434100000000001</v>
      </c>
      <c r="AD1189">
        <v>-1.1044827531119901</v>
      </c>
      <c r="AE1189">
        <v>-2.28800000000001</v>
      </c>
      <c r="AF1189">
        <v>2.0140966342978901</v>
      </c>
      <c r="AG1189">
        <v>-1.1044827531119901</v>
      </c>
      <c r="AH1189">
        <v>25.409424747806501</v>
      </c>
      <c r="AI1189">
        <v>92.481161680876298</v>
      </c>
      <c r="AJ1189">
        <v>85.467884131937595</v>
      </c>
      <c r="AK1189">
        <v>25.513042417921401</v>
      </c>
      <c r="AL1189">
        <v>79.563888942767804</v>
      </c>
      <c r="AM1189">
        <v>90.667490589208697</v>
      </c>
      <c r="AN1189">
        <v>0.99999993370625495</v>
      </c>
    </row>
    <row r="1190" spans="1:40" x14ac:dyDescent="0.25">
      <c r="A1190" t="str">
        <f>"20190312172110887"</f>
        <v>20190312172110887</v>
      </c>
      <c r="B1190" t="str">
        <f>"1552382470882658"</f>
        <v>1552382470882658</v>
      </c>
      <c r="C1190" t="s">
        <v>40</v>
      </c>
      <c r="D1190">
        <v>3.2284220000000001</v>
      </c>
      <c r="E1190">
        <v>0.53530290000000003</v>
      </c>
      <c r="F1190" t="s">
        <v>42</v>
      </c>
      <c r="G1190">
        <v>-248.27860000000001</v>
      </c>
      <c r="H1190" s="1">
        <v>-1.7553989999999999E-6</v>
      </c>
      <c r="I1190">
        <v>365.44409999999999</v>
      </c>
      <c r="J1190">
        <v>-273.56200000000001</v>
      </c>
      <c r="K1190">
        <v>1.104973</v>
      </c>
      <c r="L1190">
        <v>367.72210000000001</v>
      </c>
      <c r="M1190">
        <v>0.9998918</v>
      </c>
      <c r="N1190">
        <v>0</v>
      </c>
      <c r="O1190">
        <v>-1.061519E-2</v>
      </c>
      <c r="P1190">
        <v>0.98523269999999996</v>
      </c>
      <c r="Q1190">
        <v>0.17121839999999999</v>
      </c>
      <c r="R1190">
        <v>1.0571770000000001E-3</v>
      </c>
      <c r="S1190">
        <v>3.068451</v>
      </c>
      <c r="T1190">
        <v>-0.13318679999999999</v>
      </c>
      <c r="U1190">
        <v>-0.27490229999999999</v>
      </c>
      <c r="V1190">
        <v>-1.151017E-2</v>
      </c>
      <c r="W1190">
        <v>0.18124219999999999</v>
      </c>
      <c r="X1190">
        <v>0.98337110000000005</v>
      </c>
      <c r="Y1190">
        <v>7.8590660000000007E-2</v>
      </c>
      <c r="Z1190">
        <v>-1.2418360000000001E-3</v>
      </c>
      <c r="AA1190">
        <v>0.99690619999999996</v>
      </c>
      <c r="AB1190">
        <v>31</v>
      </c>
      <c r="AC1190">
        <v>25.2834</v>
      </c>
      <c r="AD1190">
        <v>-1.1049747553989999</v>
      </c>
      <c r="AE1190">
        <v>-2.27800000000002</v>
      </c>
      <c r="AF1190">
        <v>2.00566964021814</v>
      </c>
      <c r="AG1190">
        <v>-1.1049747553989999</v>
      </c>
      <c r="AH1190">
        <v>25.258303046098099</v>
      </c>
      <c r="AI1190">
        <v>92.497070683823907</v>
      </c>
      <c r="AJ1190">
        <v>85.459877694452601</v>
      </c>
      <c r="AK1190">
        <v>25.361891741041099</v>
      </c>
      <c r="AL1190">
        <v>79.5578768799664</v>
      </c>
      <c r="AM1190">
        <v>90.67060547941</v>
      </c>
      <c r="AN1190">
        <v>0.99999996969473903</v>
      </c>
    </row>
    <row r="1191" spans="1:40" x14ac:dyDescent="0.25">
      <c r="A1191" t="str">
        <f>"20190312172110899"</f>
        <v>20190312172110899</v>
      </c>
      <c r="B1191" t="str">
        <f>"1552382470892418"</f>
        <v>1552382470892418</v>
      </c>
      <c r="C1191" t="s">
        <v>40</v>
      </c>
      <c r="D1191">
        <v>3.2395200000000002</v>
      </c>
      <c r="E1191">
        <v>0.53532819999999903</v>
      </c>
      <c r="F1191" t="s">
        <v>42</v>
      </c>
      <c r="G1191">
        <v>-248.1216</v>
      </c>
      <c r="H1191" s="1">
        <v>-1.816251E-6</v>
      </c>
      <c r="I1191">
        <v>365.44189999999998</v>
      </c>
      <c r="J1191">
        <v>-273.39850000000001</v>
      </c>
      <c r="K1191">
        <v>1.10545</v>
      </c>
      <c r="L1191">
        <v>367.72039999999998</v>
      </c>
      <c r="M1191">
        <v>0.99988999999999995</v>
      </c>
      <c r="N1191">
        <v>0</v>
      </c>
      <c r="O1191">
        <v>-1.0615080000000001E-2</v>
      </c>
      <c r="P1191">
        <v>0.98525680000000004</v>
      </c>
      <c r="Q1191">
        <v>0.17107919999999999</v>
      </c>
      <c r="R1191">
        <v>1.0143070000000001E-3</v>
      </c>
      <c r="S1191">
        <v>3.0684809999999998</v>
      </c>
      <c r="T1191">
        <v>-0.13327649999999999</v>
      </c>
      <c r="U1191">
        <v>-0.2750244</v>
      </c>
      <c r="V1191">
        <v>-1.146693E-2</v>
      </c>
      <c r="W1191">
        <v>0.18128859999999999</v>
      </c>
      <c r="X1191">
        <v>0.98336310000000005</v>
      </c>
      <c r="Y1191">
        <v>7.8629080000000004E-2</v>
      </c>
      <c r="Z1191">
        <v>-1.243493E-3</v>
      </c>
      <c r="AA1191">
        <v>0.99690319999999999</v>
      </c>
      <c r="AB1191">
        <v>31</v>
      </c>
      <c r="AC1191">
        <v>25.276900000000001</v>
      </c>
      <c r="AD1191">
        <v>-1.1054518162510001</v>
      </c>
      <c r="AE1191">
        <v>-2.2785000000000002</v>
      </c>
      <c r="AF1191">
        <v>2.00623463295898</v>
      </c>
      <c r="AG1191">
        <v>-1.1054518162510001</v>
      </c>
      <c r="AH1191">
        <v>25.251755360917599</v>
      </c>
      <c r="AI1191">
        <v>92.498785877698197</v>
      </c>
      <c r="AJ1191">
        <v>85.457431462018903</v>
      </c>
      <c r="AK1191">
        <v>25.355436299306</v>
      </c>
      <c r="AL1191">
        <v>79.555174069869906</v>
      </c>
      <c r="AM1191">
        <v>90.668091894095596</v>
      </c>
      <c r="AN1191">
        <v>1.00000001670759</v>
      </c>
    </row>
    <row r="1192" spans="1:40" x14ac:dyDescent="0.25">
      <c r="A1192" t="str">
        <f>"20190312172110909"</f>
        <v>20190312172110909</v>
      </c>
      <c r="B1192" t="str">
        <f>"1552382470902179"</f>
        <v>1552382470902179</v>
      </c>
      <c r="C1192" t="s">
        <v>40</v>
      </c>
      <c r="D1192">
        <v>3.2674180000000002</v>
      </c>
      <c r="E1192">
        <v>0.53534939999999998</v>
      </c>
      <c r="F1192" t="s">
        <v>42</v>
      </c>
      <c r="G1192">
        <v>-248.08699999999999</v>
      </c>
      <c r="H1192" s="1">
        <v>-1.8275639999999999E-6</v>
      </c>
      <c r="I1192">
        <v>365.44940000000003</v>
      </c>
      <c r="J1192">
        <v>-273.24970000000002</v>
      </c>
      <c r="K1192">
        <v>1.1058319999999999</v>
      </c>
      <c r="L1192">
        <v>367.71879999999999</v>
      </c>
      <c r="M1192">
        <v>0.99988829999999995</v>
      </c>
      <c r="N1192">
        <v>0</v>
      </c>
      <c r="O1192">
        <v>-1.0615070000000001E-2</v>
      </c>
      <c r="P1192">
        <v>0.98532260000000005</v>
      </c>
      <c r="Q1192">
        <v>0.1706992</v>
      </c>
      <c r="R1192">
        <v>1.1254189999999999E-3</v>
      </c>
      <c r="S1192">
        <v>3.0684200000000001</v>
      </c>
      <c r="T1192">
        <v>-0.13400960000000001</v>
      </c>
      <c r="U1192">
        <v>-0.27529910000000002</v>
      </c>
      <c r="V1192">
        <v>-1.157854E-2</v>
      </c>
      <c r="W1192">
        <v>0.18106439999999999</v>
      </c>
      <c r="X1192">
        <v>0.98340309999999997</v>
      </c>
      <c r="Y1192">
        <v>7.87186E-2</v>
      </c>
      <c r="Z1192">
        <v>-1.252296E-3</v>
      </c>
      <c r="AA1192">
        <v>0.99689609999999995</v>
      </c>
      <c r="AB1192">
        <v>31</v>
      </c>
      <c r="AC1192">
        <v>25.162700000000001</v>
      </c>
      <c r="AD1192">
        <v>-1.1058338275639901</v>
      </c>
      <c r="AE1192">
        <v>-2.2693999999999601</v>
      </c>
      <c r="AF1192">
        <v>1.9983251530647601</v>
      </c>
      <c r="AG1192">
        <v>-1.1058338275639901</v>
      </c>
      <c r="AH1192">
        <v>25.137215790073402</v>
      </c>
      <c r="AI1192">
        <v>92.511014193687302</v>
      </c>
      <c r="AJ1192">
        <v>85.454734711496997</v>
      </c>
      <c r="AK1192">
        <v>25.240756516956299</v>
      </c>
      <c r="AL1192">
        <v>79.568235966697799</v>
      </c>
      <c r="AM1192">
        <v>90.6745665359322</v>
      </c>
      <c r="AN1192">
        <v>1.00000001831275</v>
      </c>
    </row>
    <row r="1193" spans="1:40" x14ac:dyDescent="0.25">
      <c r="A1193" t="str">
        <f>"20190312172110920"</f>
        <v>20190312172110920</v>
      </c>
      <c r="B1193" t="str">
        <f>"1552382470911939"</f>
        <v>1552382470911939</v>
      </c>
      <c r="C1193" t="s">
        <v>40</v>
      </c>
      <c r="D1193">
        <v>3.2748620000000002</v>
      </c>
      <c r="E1193">
        <v>0.53537950000000001</v>
      </c>
      <c r="F1193" t="s">
        <v>42</v>
      </c>
      <c r="G1193">
        <v>-247.89619999999999</v>
      </c>
      <c r="H1193" s="1">
        <v>-1.902034E-6</v>
      </c>
      <c r="I1193">
        <v>365.44490000000002</v>
      </c>
      <c r="J1193">
        <v>-273.09370000000001</v>
      </c>
      <c r="K1193">
        <v>1.106222</v>
      </c>
      <c r="L1193">
        <v>367.71710000000002</v>
      </c>
      <c r="M1193">
        <v>0.99988650000000001</v>
      </c>
      <c r="N1193">
        <v>0</v>
      </c>
      <c r="O1193">
        <v>-1.061497E-2</v>
      </c>
      <c r="P1193">
        <v>0.98533150000000003</v>
      </c>
      <c r="Q1193">
        <v>0.17064660000000001</v>
      </c>
      <c r="R1193">
        <v>1.2825460000000001E-3</v>
      </c>
      <c r="S1193">
        <v>3.0682070000000001</v>
      </c>
      <c r="T1193">
        <v>-0.13382450000000001</v>
      </c>
      <c r="U1193">
        <v>-0.275177</v>
      </c>
      <c r="V1193">
        <v>-1.1735860000000001E-2</v>
      </c>
      <c r="W1193">
        <v>0.18117230000000001</v>
      </c>
      <c r="X1193">
        <v>0.98338130000000001</v>
      </c>
      <c r="Y1193">
        <v>7.8685690000000003E-2</v>
      </c>
      <c r="Z1193">
        <v>-1.249944E-3</v>
      </c>
      <c r="AA1193">
        <v>0.99689870000000003</v>
      </c>
      <c r="AB1193">
        <v>31</v>
      </c>
      <c r="AC1193">
        <v>25.197500000000002</v>
      </c>
      <c r="AD1193">
        <v>-1.1062239020339999</v>
      </c>
      <c r="AE1193">
        <v>-2.27219999999999</v>
      </c>
      <c r="AF1193">
        <v>2.0007608181254</v>
      </c>
      <c r="AG1193">
        <v>-1.1062239020339999</v>
      </c>
      <c r="AH1193">
        <v>25.172075669689399</v>
      </c>
      <c r="AI1193">
        <v>92.508427249037396</v>
      </c>
      <c r="AJ1193">
        <v>85.455493749620501</v>
      </c>
      <c r="AK1193">
        <v>25.275683347702898</v>
      </c>
      <c r="AL1193">
        <v>79.561949139251098</v>
      </c>
      <c r="AM1193">
        <v>90.683746301450597</v>
      </c>
      <c r="AN1193">
        <v>0.999999956943458</v>
      </c>
    </row>
    <row r="1194" spans="1:40" x14ac:dyDescent="0.25">
      <c r="A1194" t="str">
        <f>"20190312172110931"</f>
        <v>20190312172110931</v>
      </c>
      <c r="B1194" t="str">
        <f>"1552382470922674"</f>
        <v>1552382470922674</v>
      </c>
      <c r="C1194" t="s">
        <v>40</v>
      </c>
      <c r="D1194">
        <v>3.2688220000000001</v>
      </c>
      <c r="E1194">
        <v>0.53540239999999995</v>
      </c>
      <c r="F1194" t="s">
        <v>42</v>
      </c>
      <c r="G1194">
        <v>-247.5189</v>
      </c>
      <c r="H1194" s="1">
        <v>-2.0524570000000001E-6</v>
      </c>
      <c r="I1194">
        <v>365.42399999999998</v>
      </c>
      <c r="J1194">
        <v>-272.9366</v>
      </c>
      <c r="K1194">
        <v>1.106565</v>
      </c>
      <c r="L1194">
        <v>367.71550000000002</v>
      </c>
      <c r="M1194">
        <v>0.99988480000000002</v>
      </c>
      <c r="N1194">
        <v>0</v>
      </c>
      <c r="O1194">
        <v>-1.0614699999999999E-2</v>
      </c>
      <c r="P1194">
        <v>0.98535799999999996</v>
      </c>
      <c r="Q1194">
        <v>0.17049259999999999</v>
      </c>
      <c r="R1194">
        <v>1.3806139999999901E-3</v>
      </c>
      <c r="S1194">
        <v>3.0680239999999999</v>
      </c>
      <c r="T1194">
        <v>-0.13270609999999999</v>
      </c>
      <c r="U1194">
        <v>-0.27508539999999998</v>
      </c>
      <c r="V1194">
        <v>-1.183388E-2</v>
      </c>
      <c r="W1194">
        <v>0.1811662</v>
      </c>
      <c r="X1194">
        <v>0.98338130000000001</v>
      </c>
      <c r="Y1194">
        <v>7.8662800000000005E-2</v>
      </c>
      <c r="Z1194">
        <v>-1.239101E-3</v>
      </c>
      <c r="AA1194">
        <v>0.99690049999999997</v>
      </c>
      <c r="AB1194">
        <v>31</v>
      </c>
      <c r="AC1194">
        <v>25.4177</v>
      </c>
      <c r="AD1194">
        <v>-1.1065670524569999</v>
      </c>
      <c r="AE1194">
        <v>-2.2914999999999801</v>
      </c>
      <c r="AF1194">
        <v>2.01776027301125</v>
      </c>
      <c r="AG1194">
        <v>-1.1065670524569999</v>
      </c>
      <c r="AH1194">
        <v>25.3928532612127</v>
      </c>
      <c r="AI1194">
        <v>92.487419908216395</v>
      </c>
      <c r="AJ1194">
        <v>85.456724022491699</v>
      </c>
      <c r="AK1194">
        <v>25.496918321758201</v>
      </c>
      <c r="AL1194">
        <v>79.562305052412597</v>
      </c>
      <c r="AM1194">
        <v>90.689456523769493</v>
      </c>
      <c r="AN1194">
        <v>1.0000000069639901</v>
      </c>
    </row>
    <row r="1195" spans="1:40" x14ac:dyDescent="0.25">
      <c r="A1195" t="str">
        <f>"20190312172110943"</f>
        <v>20190312172110943</v>
      </c>
      <c r="B1195" t="str">
        <f>"1552382470932435"</f>
        <v>1552382470932435</v>
      </c>
      <c r="C1195" t="s">
        <v>40</v>
      </c>
      <c r="D1195">
        <v>3.2751000000000001</v>
      </c>
      <c r="E1195">
        <v>0.53544630000000004</v>
      </c>
      <c r="F1195" t="s">
        <v>42</v>
      </c>
      <c r="G1195">
        <v>-247.23500000000001</v>
      </c>
      <c r="H1195" s="1">
        <v>-2.1643659999999999E-6</v>
      </c>
      <c r="I1195">
        <v>365.41320000000002</v>
      </c>
      <c r="J1195">
        <v>-272.78390000000002</v>
      </c>
      <c r="K1195">
        <v>1.106884</v>
      </c>
      <c r="L1195">
        <v>367.71390000000002</v>
      </c>
      <c r="M1195">
        <v>0.99988339999999998</v>
      </c>
      <c r="N1195">
        <v>0</v>
      </c>
      <c r="O1195">
        <v>-1.061464E-2</v>
      </c>
      <c r="P1195">
        <v>0.98537989999999998</v>
      </c>
      <c r="Q1195">
        <v>0.1703684</v>
      </c>
      <c r="R1195">
        <v>1.169146E-3</v>
      </c>
      <c r="S1195">
        <v>3.0678100000000001</v>
      </c>
      <c r="T1195">
        <v>-0.13208320000000001</v>
      </c>
      <c r="U1195">
        <v>-0.27481080000000002</v>
      </c>
      <c r="V1195">
        <v>-1.1622840000000001E-2</v>
      </c>
      <c r="W1195">
        <v>0.1811817</v>
      </c>
      <c r="X1195">
        <v>0.98338099999999995</v>
      </c>
      <c r="Y1195">
        <v>7.8581129999999999E-2</v>
      </c>
      <c r="Z1195">
        <v>-1.231628E-3</v>
      </c>
      <c r="AA1195">
        <v>0.99690690000000004</v>
      </c>
      <c r="AB1195">
        <v>31</v>
      </c>
      <c r="AC1195">
        <v>25.5489</v>
      </c>
      <c r="AD1195">
        <v>-1.106886164366</v>
      </c>
      <c r="AE1195">
        <v>-2.3007</v>
      </c>
      <c r="AF1195">
        <v>2.0255902257098799</v>
      </c>
      <c r="AG1195">
        <v>-1.106886164366</v>
      </c>
      <c r="AH1195">
        <v>25.524359513430799</v>
      </c>
      <c r="AI1195">
        <v>92.475352998138405</v>
      </c>
      <c r="AJ1195">
        <v>85.462567880775296</v>
      </c>
      <c r="AK1195">
        <v>25.628522027503301</v>
      </c>
      <c r="AL1195">
        <v>79.561402425092197</v>
      </c>
      <c r="AM1195">
        <v>90.677162433554599</v>
      </c>
      <c r="AN1195">
        <v>1.00000004499277</v>
      </c>
    </row>
    <row r="1196" spans="1:40" x14ac:dyDescent="0.25">
      <c r="A1196" t="str">
        <f>"20190312172110954"</f>
        <v>20190312172110954</v>
      </c>
      <c r="B1196" t="str">
        <f>"1552382470951956"</f>
        <v>1552382470951956</v>
      </c>
      <c r="C1196" t="s">
        <v>40</v>
      </c>
      <c r="D1196">
        <v>3.2360449999999998</v>
      </c>
      <c r="E1196">
        <v>0.53554789999999997</v>
      </c>
      <c r="F1196" t="s">
        <v>42</v>
      </c>
      <c r="G1196">
        <v>-246.9949</v>
      </c>
      <c r="H1196" s="1">
        <v>-2.2608550000000001E-6</v>
      </c>
      <c r="I1196">
        <v>365.3972</v>
      </c>
      <c r="J1196">
        <v>-272.62</v>
      </c>
      <c r="K1196">
        <v>1.1071899999999999</v>
      </c>
      <c r="L1196">
        <v>367.71210000000002</v>
      </c>
      <c r="M1196">
        <v>0.99988189999999999</v>
      </c>
      <c r="N1196">
        <v>0</v>
      </c>
      <c r="O1196">
        <v>-1.061458E-2</v>
      </c>
      <c r="P1196">
        <v>0.98542719999999995</v>
      </c>
      <c r="Q1196">
        <v>0.17009349999999901</v>
      </c>
      <c r="R1196">
        <v>1.301413E-3</v>
      </c>
      <c r="S1196">
        <v>3.0676269999999999</v>
      </c>
      <c r="T1196">
        <v>-0.1316649</v>
      </c>
      <c r="U1196">
        <v>-0.27557369999999998</v>
      </c>
      <c r="V1196">
        <v>-1.1755369999999999E-2</v>
      </c>
      <c r="W1196">
        <v>0.1810466</v>
      </c>
      <c r="X1196">
        <v>0.98340430000000001</v>
      </c>
      <c r="Y1196">
        <v>7.8832589999999994E-2</v>
      </c>
      <c r="Z1196">
        <v>-1.2331760000000001E-3</v>
      </c>
      <c r="AA1196">
        <v>0.99688710000000003</v>
      </c>
      <c r="AB1196">
        <v>31</v>
      </c>
      <c r="AC1196">
        <v>25.6251</v>
      </c>
      <c r="AD1196">
        <v>-1.107192260855</v>
      </c>
      <c r="AE1196">
        <v>-2.3149000000000202</v>
      </c>
      <c r="AF1196">
        <v>2.03897739678896</v>
      </c>
      <c r="AG1196">
        <v>-1.107192260855</v>
      </c>
      <c r="AH1196">
        <v>25.600822781681298</v>
      </c>
      <c r="AI1196">
        <v>92.4685948472885</v>
      </c>
      <c r="AJ1196">
        <v>85.4462902604009</v>
      </c>
      <c r="AK1196">
        <v>25.705747034975801</v>
      </c>
      <c r="AL1196">
        <v>79.5692731850271</v>
      </c>
      <c r="AM1196">
        <v>90.6848668543538</v>
      </c>
      <c r="AN1196">
        <v>1.0000000386769401</v>
      </c>
    </row>
    <row r="1197" spans="1:40" x14ac:dyDescent="0.25">
      <c r="A1197" t="str">
        <f>"20190312172110969"</f>
        <v>20190312172110969</v>
      </c>
      <c r="B1197" t="str">
        <f>"1552382470962691"</f>
        <v>1552382470962691</v>
      </c>
      <c r="C1197" t="s">
        <v>40</v>
      </c>
      <c r="D1197">
        <v>3.2502749999999998</v>
      </c>
      <c r="E1197">
        <v>0.53554789999999997</v>
      </c>
      <c r="F1197" t="s">
        <v>42</v>
      </c>
      <c r="G1197">
        <v>-246.86689999999999</v>
      </c>
      <c r="H1197" s="1">
        <v>-2.3110680000000002E-6</v>
      </c>
      <c r="I1197">
        <v>365.39319999999998</v>
      </c>
      <c r="J1197">
        <v>-272.42759999999998</v>
      </c>
      <c r="K1197">
        <v>1.1075189999999999</v>
      </c>
      <c r="L1197">
        <v>367.71010000000001</v>
      </c>
      <c r="M1197">
        <v>0.99987999999999999</v>
      </c>
      <c r="N1197">
        <v>0</v>
      </c>
      <c r="O1197">
        <v>-1.061438E-2</v>
      </c>
      <c r="P1197">
        <v>0.98544569999999998</v>
      </c>
      <c r="Q1197">
        <v>0.16998650000000001</v>
      </c>
      <c r="R1197">
        <v>1.0543760000000001E-3</v>
      </c>
      <c r="S1197">
        <v>3.0675050000000001</v>
      </c>
      <c r="T1197">
        <v>-0.13188</v>
      </c>
      <c r="U1197">
        <v>-0.27621459999999998</v>
      </c>
      <c r="V1197">
        <v>-1.150814E-2</v>
      </c>
      <c r="W1197">
        <v>0.18109439999999999</v>
      </c>
      <c r="X1197">
        <v>0.98339840000000001</v>
      </c>
      <c r="Y1197">
        <v>7.9042490000000007E-2</v>
      </c>
      <c r="Z1197">
        <v>-1.2397350000000001E-3</v>
      </c>
      <c r="AA1197">
        <v>0.99687049999999999</v>
      </c>
      <c r="AB1197">
        <v>31</v>
      </c>
      <c r="AC1197">
        <v>25.560700000000001</v>
      </c>
      <c r="AD1197">
        <v>-1.107521311068</v>
      </c>
      <c r="AE1197">
        <v>-2.3169000000000302</v>
      </c>
      <c r="AF1197">
        <v>2.04163945192369</v>
      </c>
      <c r="AG1197">
        <v>-1.107521311068</v>
      </c>
      <c r="AH1197">
        <v>25.536302527446299</v>
      </c>
      <c r="AI1197">
        <v>92.475498974687397</v>
      </c>
      <c r="AJ1197">
        <v>85.428898424362202</v>
      </c>
      <c r="AK1197">
        <v>25.641716827844899</v>
      </c>
      <c r="AL1197">
        <v>79.566488176339803</v>
      </c>
      <c r="AM1197">
        <v>90.670468606743498</v>
      </c>
      <c r="AN1197">
        <v>1.0000000160600799</v>
      </c>
    </row>
    <row r="1198" spans="1:40" x14ac:dyDescent="0.25">
      <c r="A1198" t="str">
        <f>"20190312172110982"</f>
        <v>20190312172110982</v>
      </c>
      <c r="B1198" t="str">
        <f>"1552382470972450"</f>
        <v>1552382470972450</v>
      </c>
      <c r="C1198" t="s">
        <v>40</v>
      </c>
      <c r="D1198">
        <v>3.231185</v>
      </c>
      <c r="E1198">
        <v>0.53852419999999901</v>
      </c>
      <c r="F1198" t="s">
        <v>42</v>
      </c>
      <c r="G1198">
        <v>-246.7304</v>
      </c>
      <c r="H1198" s="1">
        <v>-2.3639700000000002E-6</v>
      </c>
      <c r="I1198">
        <v>365.3913</v>
      </c>
      <c r="J1198">
        <v>-272.25839999999999</v>
      </c>
      <c r="K1198">
        <v>1.1077900000000001</v>
      </c>
      <c r="L1198">
        <v>367.70830000000001</v>
      </c>
      <c r="M1198">
        <v>0.99987859999999995</v>
      </c>
      <c r="N1198">
        <v>0</v>
      </c>
      <c r="O1198">
        <v>-1.061453E-2</v>
      </c>
      <c r="P1198">
        <v>0.98546400000000001</v>
      </c>
      <c r="Q1198">
        <v>0.169879799999999</v>
      </c>
      <c r="R1198">
        <v>1.243538E-3</v>
      </c>
      <c r="S1198">
        <v>3.0674440000000001</v>
      </c>
      <c r="T1198">
        <v>-0.13220379999999901</v>
      </c>
      <c r="U1198">
        <v>-0.2767944</v>
      </c>
      <c r="V1198">
        <v>-1.1698E-2</v>
      </c>
      <c r="W1198">
        <v>0.18111740000000001</v>
      </c>
      <c r="X1198">
        <v>0.98339189999999999</v>
      </c>
      <c r="Y1198">
        <v>7.9230549999999997E-2</v>
      </c>
      <c r="Z1198">
        <v>-1.2468259999999999E-3</v>
      </c>
      <c r="AA1198">
        <v>0.99685559999999995</v>
      </c>
      <c r="AB1198">
        <v>31</v>
      </c>
      <c r="AC1198">
        <v>25.527999999999899</v>
      </c>
      <c r="AD1198">
        <v>-1.10779236397</v>
      </c>
      <c r="AE1198">
        <v>-2.3170000000000002</v>
      </c>
      <c r="AF1198">
        <v>2.0420700125389599</v>
      </c>
      <c r="AG1198">
        <v>-1.10779236397</v>
      </c>
      <c r="AH1198">
        <v>25.503522785844201</v>
      </c>
      <c r="AI1198">
        <v>92.479259091380996</v>
      </c>
      <c r="AJ1198">
        <v>85.422086993244903</v>
      </c>
      <c r="AK1198">
        <v>25.6091180704423</v>
      </c>
      <c r="AL1198">
        <v>79.565147965499804</v>
      </c>
      <c r="AM1198">
        <v>90.681533391897105</v>
      </c>
      <c r="AN1198">
        <v>0.99999999238618498</v>
      </c>
    </row>
    <row r="1199" spans="1:40" x14ac:dyDescent="0.25">
      <c r="A1199" t="str">
        <f>"20190312172111000"</f>
        <v>20190312172111000</v>
      </c>
      <c r="B1199" t="str">
        <f>"1552382470991969"</f>
        <v>1552382470991969</v>
      </c>
      <c r="C1199" t="s">
        <v>40</v>
      </c>
      <c r="D1199">
        <v>3.2313000000000001</v>
      </c>
      <c r="E1199">
        <v>0.53834219999999999</v>
      </c>
      <c r="F1199" t="s">
        <v>42</v>
      </c>
      <c r="G1199">
        <v>-247.80170000000001</v>
      </c>
      <c r="H1199" s="1">
        <v>-1.9725519999999999E-6</v>
      </c>
      <c r="I1199">
        <v>365.31619999999998</v>
      </c>
      <c r="J1199">
        <v>-271.98070000000001</v>
      </c>
      <c r="K1199">
        <v>1.108176</v>
      </c>
      <c r="L1199">
        <v>367.70530000000002</v>
      </c>
      <c r="M1199">
        <v>0.9998764</v>
      </c>
      <c r="N1199">
        <v>0</v>
      </c>
      <c r="O1199">
        <v>-1.06141E-2</v>
      </c>
      <c r="P1199">
        <v>0.98548480000000005</v>
      </c>
      <c r="Q1199">
        <v>0.16976229999999901</v>
      </c>
      <c r="R1199">
        <v>9.817382999999999E-4</v>
      </c>
      <c r="S1199">
        <v>3.0686339999999999</v>
      </c>
      <c r="T1199">
        <v>-0.13899739999999999</v>
      </c>
      <c r="U1199">
        <v>-0.30014039999999997</v>
      </c>
      <c r="V1199">
        <v>-1.143572E-2</v>
      </c>
      <c r="W1199">
        <v>0.18119289999999999</v>
      </c>
      <c r="X1199">
        <v>0.98338110000000001</v>
      </c>
      <c r="Y1199">
        <v>8.6697479999999993E-2</v>
      </c>
      <c r="Z1199">
        <v>-1.478509E-3</v>
      </c>
      <c r="AA1199">
        <v>0.99623360000000005</v>
      </c>
      <c r="AB1199">
        <v>31</v>
      </c>
      <c r="AC1199">
        <v>24.178999999999998</v>
      </c>
      <c r="AD1199">
        <v>-1.108177972552</v>
      </c>
      <c r="AE1199">
        <v>-2.38910000000004</v>
      </c>
      <c r="AF1199">
        <v>2.1278832099628802</v>
      </c>
      <c r="AG1199">
        <v>-1.108177972552</v>
      </c>
      <c r="AH1199">
        <v>24.152753030416299</v>
      </c>
      <c r="AI1199">
        <v>92.616883728367497</v>
      </c>
      <c r="AJ1199">
        <v>84.965180497546399</v>
      </c>
      <c r="AK1199">
        <v>24.271617670076601</v>
      </c>
      <c r="AL1199">
        <v>79.560749598631801</v>
      </c>
      <c r="AM1199">
        <v>90.6662614914259</v>
      </c>
      <c r="AN1199">
        <v>1.0000000152697599</v>
      </c>
    </row>
    <row r="1200" spans="1:40" x14ac:dyDescent="0.25">
      <c r="A1200" t="str">
        <f>"20190312172111010"</f>
        <v>20190312172111010</v>
      </c>
      <c r="B1200" t="str">
        <f>"1552382471002707"</f>
        <v>1552382471002707</v>
      </c>
      <c r="C1200" t="s">
        <v>40</v>
      </c>
      <c r="D1200">
        <v>3.2215189999999998</v>
      </c>
      <c r="E1200">
        <v>0.53828339999999997</v>
      </c>
      <c r="F1200" t="s">
        <v>42</v>
      </c>
      <c r="G1200">
        <v>-247.6046</v>
      </c>
      <c r="H1200" s="1">
        <v>-2.0452010000000002E-6</v>
      </c>
      <c r="I1200">
        <v>365.32760000000002</v>
      </c>
      <c r="J1200">
        <v>-271.83879999999999</v>
      </c>
      <c r="K1200">
        <v>1.108339</v>
      </c>
      <c r="L1200">
        <v>367.7038</v>
      </c>
      <c r="M1200">
        <v>0.99987539999999997</v>
      </c>
      <c r="N1200">
        <v>0</v>
      </c>
      <c r="O1200">
        <v>-1.0614139999999999E-2</v>
      </c>
      <c r="P1200">
        <v>0.98548440000000004</v>
      </c>
      <c r="Q1200">
        <v>0.16976449999999901</v>
      </c>
      <c r="R1200">
        <v>9.7051730000000005E-4</v>
      </c>
      <c r="S1200">
        <v>3.0685419999999999</v>
      </c>
      <c r="T1200">
        <v>-0.1395014</v>
      </c>
      <c r="U1200">
        <v>-0.29931639999999998</v>
      </c>
      <c r="V1200">
        <v>-1.1424739999999999E-2</v>
      </c>
      <c r="W1200">
        <v>0.1812839</v>
      </c>
      <c r="X1200">
        <v>0.98336449999999997</v>
      </c>
      <c r="Y1200">
        <v>8.6434999999999998E-2</v>
      </c>
      <c r="Z1200">
        <v>-1.477976E-3</v>
      </c>
      <c r="AA1200">
        <v>0.99625640000000004</v>
      </c>
      <c r="AB1200">
        <v>31</v>
      </c>
      <c r="AC1200">
        <v>24.234199999999898</v>
      </c>
      <c r="AD1200">
        <v>-1.1083410452010001</v>
      </c>
      <c r="AE1200">
        <v>-2.3761999999999799</v>
      </c>
      <c r="AF1200">
        <v>2.11444281084278</v>
      </c>
      <c r="AG1200">
        <v>-1.1083410452010001</v>
      </c>
      <c r="AH1200">
        <v>24.2079053570924</v>
      </c>
      <c r="AI1200">
        <v>92.611485284376101</v>
      </c>
      <c r="AJ1200">
        <v>85.008161097160396</v>
      </c>
      <c r="AK1200">
        <v>24.3253359699459</v>
      </c>
      <c r="AL1200">
        <v>79.555448338351695</v>
      </c>
      <c r="AM1200">
        <v>90.6656330736526</v>
      </c>
      <c r="AN1200">
        <v>1.0000000584717601</v>
      </c>
    </row>
    <row r="1201" spans="1:40" x14ac:dyDescent="0.25">
      <c r="A1201" t="str">
        <f>"20190312172111021"</f>
        <v>20190312172111021</v>
      </c>
      <c r="B1201" t="str">
        <f>"1552382471012467"</f>
        <v>1552382471012467</v>
      </c>
      <c r="C1201" t="s">
        <v>40</v>
      </c>
      <c r="D1201">
        <v>3.2097690000000001</v>
      </c>
      <c r="E1201">
        <v>0.53833369999999903</v>
      </c>
      <c r="F1201" t="s">
        <v>42</v>
      </c>
      <c r="G1201">
        <v>-247.4196</v>
      </c>
      <c r="H1201" s="1">
        <v>-2.1166120000000001E-6</v>
      </c>
      <c r="I1201">
        <v>365.32619999999997</v>
      </c>
      <c r="J1201">
        <v>-271.68729999999999</v>
      </c>
      <c r="K1201">
        <v>1.108517</v>
      </c>
      <c r="L1201">
        <v>367.7022</v>
      </c>
      <c r="M1201">
        <v>0.99987409999999999</v>
      </c>
      <c r="N1201">
        <v>0</v>
      </c>
      <c r="O1201">
        <v>-1.0613859999999999E-2</v>
      </c>
      <c r="P1201">
        <v>0.98548840000000004</v>
      </c>
      <c r="Q1201">
        <v>0.16974069999999999</v>
      </c>
      <c r="R1201">
        <v>9.3304779999999995E-4</v>
      </c>
      <c r="S1201">
        <v>3.0684809999999998</v>
      </c>
      <c r="T1201">
        <v>-0.139272799999999</v>
      </c>
      <c r="U1201">
        <v>-0.29876710000000001</v>
      </c>
      <c r="V1201">
        <v>-1.1387069999999999E-2</v>
      </c>
      <c r="W1201">
        <v>0.18135370000000001</v>
      </c>
      <c r="X1201">
        <v>0.983352</v>
      </c>
      <c r="Y1201">
        <v>8.6260909999999996E-2</v>
      </c>
      <c r="Z1201">
        <v>-1.4716709999999999E-3</v>
      </c>
      <c r="AA1201">
        <v>0.99627149999999998</v>
      </c>
      <c r="AB1201">
        <v>31</v>
      </c>
      <c r="AC1201">
        <v>24.267699999999898</v>
      </c>
      <c r="AD1201">
        <v>-1.1085191166120001</v>
      </c>
      <c r="AE1201">
        <v>-2.3760000000000301</v>
      </c>
      <c r="AF1201">
        <v>2.1139053616038201</v>
      </c>
      <c r="AG1201">
        <v>-1.1085191166120001</v>
      </c>
      <c r="AH1201">
        <v>24.2414523518765</v>
      </c>
      <c r="AI1201">
        <v>92.608327010446303</v>
      </c>
      <c r="AJ1201">
        <v>85.016295012659995</v>
      </c>
      <c r="AK1201">
        <v>24.358682695047602</v>
      </c>
      <c r="AL1201">
        <v>79.551380992872495</v>
      </c>
      <c r="AM1201">
        <v>90.663446957172596</v>
      </c>
      <c r="AN1201">
        <v>0.99999999288543695</v>
      </c>
    </row>
    <row r="1202" spans="1:40" x14ac:dyDescent="0.25">
      <c r="A1202" t="str">
        <f>"20190312172111032"</f>
        <v>20190312172111032</v>
      </c>
      <c r="B1202" t="str">
        <f>"1552382471022227"</f>
        <v>1552382471022227</v>
      </c>
      <c r="C1202" t="s">
        <v>40</v>
      </c>
      <c r="D1202">
        <v>3.218782</v>
      </c>
      <c r="E1202">
        <v>0.53849419999999903</v>
      </c>
      <c r="F1202" t="s">
        <v>42</v>
      </c>
      <c r="G1202">
        <v>-247.268</v>
      </c>
      <c r="H1202" s="1">
        <v>-2.1767549999999999E-6</v>
      </c>
      <c r="I1202">
        <v>365.31900000000002</v>
      </c>
      <c r="J1202">
        <v>-271.53030000000001</v>
      </c>
      <c r="K1202">
        <v>1.1086739999999999</v>
      </c>
      <c r="L1202">
        <v>367.70049999999998</v>
      </c>
      <c r="M1202">
        <v>0.99987300000000001</v>
      </c>
      <c r="N1202">
        <v>0</v>
      </c>
      <c r="O1202">
        <v>-1.06138E-2</v>
      </c>
      <c r="P1202">
        <v>0.98550090000000001</v>
      </c>
      <c r="Q1202">
        <v>0.1696676</v>
      </c>
      <c r="R1202">
        <v>9.9784549999999998E-4</v>
      </c>
      <c r="S1202">
        <v>3.068451</v>
      </c>
      <c r="T1202">
        <v>-0.13929339999999901</v>
      </c>
      <c r="U1202">
        <v>-0.29946899999999999</v>
      </c>
      <c r="V1202">
        <v>-1.145175E-2</v>
      </c>
      <c r="W1202">
        <v>0.18136920000000001</v>
      </c>
      <c r="X1202">
        <v>0.98334840000000001</v>
      </c>
      <c r="Y1202">
        <v>8.6487439999999999E-2</v>
      </c>
      <c r="Z1202">
        <v>-1.477016E-3</v>
      </c>
      <c r="AA1202">
        <v>0.99625180000000002</v>
      </c>
      <c r="AB1202">
        <v>31</v>
      </c>
      <c r="AC1202">
        <v>24.2623</v>
      </c>
      <c r="AD1202">
        <v>-1.108676176755</v>
      </c>
      <c r="AE1202">
        <v>-2.38149999999996</v>
      </c>
      <c r="AF1202">
        <v>2.11944910627088</v>
      </c>
      <c r="AG1202">
        <v>-1.108676176755</v>
      </c>
      <c r="AH1202">
        <v>24.236087938984799</v>
      </c>
      <c r="AI1202">
        <v>92.609216658345503</v>
      </c>
      <c r="AJ1202">
        <v>85.002190891711393</v>
      </c>
      <c r="AK1202">
        <v>24.3538330856804</v>
      </c>
      <c r="AL1202">
        <v>79.550478034347805</v>
      </c>
      <c r="AM1202">
        <v>90.667217522636804</v>
      </c>
      <c r="AN1202">
        <v>1.0000000025346301</v>
      </c>
    </row>
    <row r="1203" spans="1:40" x14ac:dyDescent="0.25">
      <c r="A1203" t="str">
        <f>"20190312172111043"</f>
        <v>20190312172111043</v>
      </c>
      <c r="B1203" t="str">
        <f>"1552382471031987"</f>
        <v>1552382471031987</v>
      </c>
      <c r="C1203" t="s">
        <v>40</v>
      </c>
      <c r="D1203">
        <v>3.2115200000000002</v>
      </c>
      <c r="E1203">
        <v>0.53865249999999998</v>
      </c>
      <c r="F1203" t="s">
        <v>42</v>
      </c>
      <c r="G1203">
        <v>-247.2175</v>
      </c>
      <c r="H1203" s="1">
        <v>-2.196482E-6</v>
      </c>
      <c r="I1203">
        <v>365.31779999999998</v>
      </c>
      <c r="J1203">
        <v>-271.38170000000002</v>
      </c>
      <c r="K1203">
        <v>1.1088150000000001</v>
      </c>
      <c r="L1203">
        <v>367.69889999999998</v>
      </c>
      <c r="M1203">
        <v>0.99987210000000004</v>
      </c>
      <c r="N1203">
        <v>0</v>
      </c>
      <c r="O1203">
        <v>-1.0613930000000001E-2</v>
      </c>
      <c r="P1203">
        <v>0.98555479999999995</v>
      </c>
      <c r="Q1203">
        <v>0.16935510000000001</v>
      </c>
      <c r="R1203">
        <v>1.0279379999999999E-3</v>
      </c>
      <c r="S1203">
        <v>3.0685419999999999</v>
      </c>
      <c r="T1203">
        <v>-0.13992669999999999</v>
      </c>
      <c r="U1203">
        <v>-0.30072019999999999</v>
      </c>
      <c r="V1203">
        <v>-1.1482249999999999E-2</v>
      </c>
      <c r="W1203">
        <v>0.18113899999999999</v>
      </c>
      <c r="X1203">
        <v>0.98339049999999995</v>
      </c>
      <c r="Y1203">
        <v>8.6885710000000005E-2</v>
      </c>
      <c r="Z1203">
        <v>-1.4926989999999999E-3</v>
      </c>
      <c r="AA1203">
        <v>0.99621720000000002</v>
      </c>
      <c r="AB1203">
        <v>31</v>
      </c>
      <c r="AC1203">
        <v>24.164200000000001</v>
      </c>
      <c r="AD1203">
        <v>-1.1088171964819999</v>
      </c>
      <c r="AE1203">
        <v>-2.3811</v>
      </c>
      <c r="AF1203">
        <v>2.1200493310622601</v>
      </c>
      <c r="AG1203">
        <v>-1.1088171964819999</v>
      </c>
      <c r="AH1203">
        <v>24.137777628752101</v>
      </c>
      <c r="AI1203">
        <v>92.620074971452695</v>
      </c>
      <c r="AJ1203">
        <v>84.9805252819597</v>
      </c>
      <c r="AK1203">
        <v>24.256058904868201</v>
      </c>
      <c r="AL1203">
        <v>79.563889931927605</v>
      </c>
      <c r="AM1203">
        <v>90.668965756299698</v>
      </c>
      <c r="AN1203">
        <v>1.00000002743815</v>
      </c>
    </row>
    <row r="1204" spans="1:40" x14ac:dyDescent="0.25">
      <c r="A1204" t="str">
        <f>"20190312172111055"</f>
        <v>20190312172111055</v>
      </c>
      <c r="B1204" t="str">
        <f>"1552382471052483"</f>
        <v>1552382471052483</v>
      </c>
      <c r="C1204" t="s">
        <v>40</v>
      </c>
      <c r="D1204">
        <v>3.2581820000000001</v>
      </c>
      <c r="E1204">
        <v>0.53855839999999999</v>
      </c>
      <c r="F1204" t="s">
        <v>42</v>
      </c>
      <c r="G1204">
        <v>-247.2045</v>
      </c>
      <c r="H1204" s="1">
        <v>-2.2005240000000002E-6</v>
      </c>
      <c r="I1204">
        <v>365.32130000000001</v>
      </c>
      <c r="J1204">
        <v>-271.21969999999999</v>
      </c>
      <c r="K1204">
        <v>1.1089519999999999</v>
      </c>
      <c r="L1204">
        <v>367.69720000000001</v>
      </c>
      <c r="M1204">
        <v>0.99987110000000001</v>
      </c>
      <c r="N1204">
        <v>0</v>
      </c>
      <c r="O1204">
        <v>-1.0613829999999999E-2</v>
      </c>
      <c r="P1204">
        <v>0.98558159999999895</v>
      </c>
      <c r="Q1204">
        <v>0.1691965</v>
      </c>
      <c r="R1204">
        <v>1.251432E-3</v>
      </c>
      <c r="S1204">
        <v>3.0684809999999998</v>
      </c>
      <c r="T1204">
        <v>-0.1407273</v>
      </c>
      <c r="U1204">
        <v>-0.30175780000000002</v>
      </c>
      <c r="V1204">
        <v>-1.1706090000000001E-2</v>
      </c>
      <c r="W1204">
        <v>0.181063</v>
      </c>
      <c r="X1204">
        <v>0.98340179999999999</v>
      </c>
      <c r="Y1204">
        <v>8.7220099999999995E-2</v>
      </c>
      <c r="Z1204">
        <v>-1.508885E-3</v>
      </c>
      <c r="AA1204">
        <v>0.99618790000000002</v>
      </c>
      <c r="AB1204">
        <v>31</v>
      </c>
      <c r="AC1204">
        <v>24.0152</v>
      </c>
      <c r="AD1204">
        <v>-1.1089542005239901</v>
      </c>
      <c r="AE1204">
        <v>-2.3759000000000001</v>
      </c>
      <c r="AF1204">
        <v>2.1163853082141202</v>
      </c>
      <c r="AG1204">
        <v>-1.1089542005239901</v>
      </c>
      <c r="AH1204">
        <v>23.988410847801099</v>
      </c>
      <c r="AI1204">
        <v>92.636600878996703</v>
      </c>
      <c r="AJ1204">
        <v>84.958115790185403</v>
      </c>
      <c r="AK1204">
        <v>24.107109349621101</v>
      </c>
      <c r="AL1204">
        <v>79.568317033804405</v>
      </c>
      <c r="AM1204">
        <v>90.681997811106896</v>
      </c>
      <c r="AN1204">
        <v>0.99999997137766305</v>
      </c>
    </row>
    <row r="1205" spans="1:40" x14ac:dyDescent="0.25">
      <c r="A1205" t="str">
        <f>"20190312172111066"</f>
        <v>20190312172111066</v>
      </c>
      <c r="B1205" t="str">
        <f>"1552382471062243"</f>
        <v>1552382471062243</v>
      </c>
      <c r="C1205" t="s">
        <v>40</v>
      </c>
      <c r="D1205">
        <v>3.259115</v>
      </c>
      <c r="E1205">
        <v>0.52541249999999995</v>
      </c>
      <c r="F1205" t="s">
        <v>42</v>
      </c>
      <c r="G1205">
        <v>-247.0538</v>
      </c>
      <c r="H1205" s="1">
        <v>-2.2553630000000001E-6</v>
      </c>
      <c r="I1205">
        <v>365.33269999999999</v>
      </c>
      <c r="J1205">
        <v>-271.07010000000002</v>
      </c>
      <c r="K1205">
        <v>1.1090690000000001</v>
      </c>
      <c r="L1205">
        <v>367.69569999999999</v>
      </c>
      <c r="M1205">
        <v>0.99987020000000004</v>
      </c>
      <c r="N1205">
        <v>0</v>
      </c>
      <c r="O1205">
        <v>-1.061379E-2</v>
      </c>
      <c r="P1205">
        <v>0.98559169999999996</v>
      </c>
      <c r="Q1205">
        <v>0.16913729999999999</v>
      </c>
      <c r="R1205">
        <v>1.274676E-3</v>
      </c>
      <c r="S1205">
        <v>3.0684809999999998</v>
      </c>
      <c r="T1205">
        <v>-0.14081009999999999</v>
      </c>
      <c r="U1205">
        <v>-0.3002319</v>
      </c>
      <c r="V1205">
        <v>-1.172951E-2</v>
      </c>
      <c r="W1205">
        <v>0.18107519999999999</v>
      </c>
      <c r="X1205">
        <v>0.98339929999999998</v>
      </c>
      <c r="Y1205">
        <v>8.6729879999999995E-2</v>
      </c>
      <c r="Z1205">
        <v>-1.4985949999999999E-3</v>
      </c>
      <c r="AA1205">
        <v>0.99623070000000002</v>
      </c>
      <c r="AB1205">
        <v>31</v>
      </c>
      <c r="AC1205">
        <v>24.016300000000001</v>
      </c>
      <c r="AD1205">
        <v>-1.109071255363</v>
      </c>
      <c r="AE1205">
        <v>-2.3629999999999902</v>
      </c>
      <c r="AF1205">
        <v>2.1035012964654798</v>
      </c>
      <c r="AG1205">
        <v>-1.109071255363</v>
      </c>
      <c r="AH1205">
        <v>23.9893603715628</v>
      </c>
      <c r="AI1205">
        <v>92.636898798810407</v>
      </c>
      <c r="AJ1205">
        <v>84.988850060223001</v>
      </c>
      <c r="AK1205">
        <v>24.106931944783302</v>
      </c>
      <c r="AL1205">
        <v>79.567606540167503</v>
      </c>
      <c r="AM1205">
        <v>90.683363870139104</v>
      </c>
      <c r="AN1205">
        <v>0.99999999635018499</v>
      </c>
    </row>
    <row r="1206" spans="1:40" x14ac:dyDescent="0.25">
      <c r="A1206" t="str">
        <f>"20190312172111077"</f>
        <v>20190312172111077</v>
      </c>
      <c r="B1206" t="str">
        <f>"1552382471072003"</f>
        <v>1552382471072003</v>
      </c>
      <c r="C1206" t="s">
        <v>40</v>
      </c>
      <c r="D1206">
        <v>3.3006280000000001</v>
      </c>
      <c r="E1206">
        <v>0.51568029999999998</v>
      </c>
      <c r="F1206" t="s">
        <v>42</v>
      </c>
      <c r="G1206">
        <v>-247.96449999999999</v>
      </c>
      <c r="H1206" s="1">
        <v>-1.6680730000000001E-6</v>
      </c>
      <c r="I1206">
        <v>366.22559999999999</v>
      </c>
      <c r="J1206">
        <v>-270.90800000000002</v>
      </c>
      <c r="K1206">
        <v>1.1091879999999901</v>
      </c>
      <c r="L1206">
        <v>367.69389999999999</v>
      </c>
      <c r="M1206">
        <v>0.99986929999999996</v>
      </c>
      <c r="N1206">
        <v>0</v>
      </c>
      <c r="O1206">
        <v>-1.0613650000000001E-2</v>
      </c>
      <c r="P1206">
        <v>0.98563670000000003</v>
      </c>
      <c r="Q1206">
        <v>0.16887559999999999</v>
      </c>
      <c r="R1206">
        <v>1.221525E-3</v>
      </c>
      <c r="S1206">
        <v>3.0694270000000001</v>
      </c>
      <c r="T1206">
        <v>-0.14733280000000001</v>
      </c>
      <c r="U1206">
        <v>-0.19528200000000001</v>
      </c>
      <c r="V1206">
        <v>-1.167693E-2</v>
      </c>
      <c r="W1206">
        <v>0.18088850000000001</v>
      </c>
      <c r="X1206">
        <v>0.98343429999999998</v>
      </c>
      <c r="Y1206">
        <v>5.2848239999999998E-2</v>
      </c>
      <c r="Z1206">
        <v>-7.5771469999999996E-4</v>
      </c>
      <c r="AA1206">
        <v>0.99860230000000005</v>
      </c>
      <c r="AB1206">
        <v>31</v>
      </c>
      <c r="AC1206">
        <v>22.9435</v>
      </c>
      <c r="AD1206">
        <v>-1.10918966807299</v>
      </c>
      <c r="AE1206">
        <v>-1.4682999999999899</v>
      </c>
      <c r="AF1206">
        <v>1.22184087837703</v>
      </c>
      <c r="AG1206">
        <v>-1.10918966807299</v>
      </c>
      <c r="AH1206">
        <v>22.904479105843599</v>
      </c>
      <c r="AI1206">
        <v>92.768552615745705</v>
      </c>
      <c r="AJ1206">
        <v>86.9464473376988</v>
      </c>
      <c r="AK1206">
        <v>22.963848979686698</v>
      </c>
      <c r="AL1206">
        <v>79.578483433172295</v>
      </c>
      <c r="AM1206">
        <v>90.680276626820202</v>
      </c>
      <c r="AN1206">
        <v>1.00000001127148</v>
      </c>
    </row>
    <row r="1207" spans="1:40" x14ac:dyDescent="0.25">
      <c r="A1207" t="str">
        <f>"20190312172111089"</f>
        <v>20190312172111089</v>
      </c>
      <c r="B1207" t="str">
        <f>"1552382471081762"</f>
        <v>1552382471081762</v>
      </c>
      <c r="C1207" t="s">
        <v>40</v>
      </c>
      <c r="D1207">
        <v>3.2314799999999999</v>
      </c>
      <c r="E1207">
        <v>0.50686640000000005</v>
      </c>
      <c r="F1207" t="s">
        <v>42</v>
      </c>
      <c r="G1207">
        <v>-244.38669999999999</v>
      </c>
      <c r="H1207" s="1">
        <v>-3.1554019999999999E-6</v>
      </c>
      <c r="I1207">
        <v>366.67649999999998</v>
      </c>
      <c r="J1207">
        <v>-270.74779999999998</v>
      </c>
      <c r="K1207">
        <v>1.1092879999999901</v>
      </c>
      <c r="L1207">
        <v>367.69220000000001</v>
      </c>
      <c r="M1207">
        <v>0.99986850000000005</v>
      </c>
      <c r="N1207">
        <v>0</v>
      </c>
      <c r="O1207">
        <v>-1.0613589999999999E-2</v>
      </c>
      <c r="P1207">
        <v>0.9856471</v>
      </c>
      <c r="Q1207">
        <v>0.16881370000000001</v>
      </c>
      <c r="R1207">
        <v>1.361791E-3</v>
      </c>
      <c r="S1207">
        <v>3.0658259999999999</v>
      </c>
      <c r="T1207">
        <v>-0.128221</v>
      </c>
      <c r="U1207">
        <v>-0.1176147</v>
      </c>
      <c r="V1207">
        <v>-1.181713E-2</v>
      </c>
      <c r="W1207">
        <v>0.18089369999999999</v>
      </c>
      <c r="X1207">
        <v>0.98343159999999996</v>
      </c>
      <c r="Y1207">
        <v>2.7711280000000001E-2</v>
      </c>
      <c r="Z1207">
        <v>-1.3547750000000001E-4</v>
      </c>
      <c r="AA1207">
        <v>0.99961599999999995</v>
      </c>
      <c r="AB1207">
        <v>31</v>
      </c>
      <c r="AC1207">
        <v>26.3611</v>
      </c>
      <c r="AD1207">
        <v>-1.10929115540199</v>
      </c>
      <c r="AE1207">
        <v>-1.01570000000003</v>
      </c>
      <c r="AF1207">
        <v>0.73453706718379397</v>
      </c>
      <c r="AG1207">
        <v>-1.10929115540199</v>
      </c>
      <c r="AH1207">
        <v>26.323851412473601</v>
      </c>
      <c r="AI1207">
        <v>92.412087546348502</v>
      </c>
      <c r="AJ1207">
        <v>88.401641338767902</v>
      </c>
      <c r="AK1207">
        <v>26.357451029196799</v>
      </c>
      <c r="AL1207">
        <v>79.578179784174395</v>
      </c>
      <c r="AM1207">
        <v>90.688445531368103</v>
      </c>
      <c r="AN1207">
        <v>0.99999994356984101</v>
      </c>
    </row>
    <row r="1208" spans="1:40" x14ac:dyDescent="0.25">
      <c r="A1208" t="str">
        <f>"20190312172111099"</f>
        <v>20190312172111099</v>
      </c>
      <c r="B1208" t="str">
        <f>"1552382471092500"</f>
        <v>1552382471092500</v>
      </c>
      <c r="C1208" t="s">
        <v>40</v>
      </c>
      <c r="D1208">
        <v>3.3428230000000001</v>
      </c>
      <c r="E1208">
        <v>0.50139750000000005</v>
      </c>
      <c r="F1208" t="s">
        <v>42</v>
      </c>
      <c r="G1208">
        <v>-242.1472</v>
      </c>
      <c r="H1208" s="1">
        <v>-4.1118000000000002E-6</v>
      </c>
      <c r="I1208">
        <v>367.25299999999999</v>
      </c>
      <c r="J1208">
        <v>-270.59769999999997</v>
      </c>
      <c r="K1208">
        <v>1.1093789999999999</v>
      </c>
      <c r="L1208">
        <v>367.69060000000002</v>
      </c>
      <c r="M1208">
        <v>0.99986770000000003</v>
      </c>
      <c r="N1208">
        <v>0</v>
      </c>
      <c r="O1208">
        <v>-1.06135E-2</v>
      </c>
      <c r="P1208">
        <v>0.98569680000000004</v>
      </c>
      <c r="Q1208">
        <v>0.16852329999999999</v>
      </c>
      <c r="R1208">
        <v>1.3997650000000001E-3</v>
      </c>
      <c r="S1208">
        <v>3.064117</v>
      </c>
      <c r="T1208">
        <v>-0.11884359999999999</v>
      </c>
      <c r="U1208">
        <v>-4.705811E-2</v>
      </c>
      <c r="V1208">
        <v>-1.1855620000000001E-2</v>
      </c>
      <c r="W1208">
        <v>0.1806654</v>
      </c>
      <c r="X1208">
        <v>0.98347320000000005</v>
      </c>
      <c r="Y1208">
        <v>4.7464839999999996E-3</v>
      </c>
      <c r="Z1208">
        <v>3.1948129999999998E-4</v>
      </c>
      <c r="AA1208">
        <v>0.99998869999999895</v>
      </c>
      <c r="AB1208">
        <v>31</v>
      </c>
      <c r="AC1208">
        <v>28.450499999999899</v>
      </c>
      <c r="AD1208">
        <v>-1.1093831117999999</v>
      </c>
      <c r="AE1208">
        <v>-0.43759999999997401</v>
      </c>
      <c r="AF1208">
        <v>0.135387218806795</v>
      </c>
      <c r="AG1208">
        <v>-1.1093831117999999</v>
      </c>
      <c r="AH1208">
        <v>28.410354693137201</v>
      </c>
      <c r="AI1208">
        <v>92.236155551371695</v>
      </c>
      <c r="AJ1208">
        <v>89.726963721399997</v>
      </c>
      <c r="AK1208">
        <v>28.432328683694301</v>
      </c>
      <c r="AL1208">
        <v>79.591480545281001</v>
      </c>
      <c r="AM1208">
        <v>90.6906584626268</v>
      </c>
      <c r="AN1208">
        <v>1.0000000388004899</v>
      </c>
    </row>
    <row r="1209" spans="1:40" x14ac:dyDescent="0.25">
      <c r="A1209" t="str">
        <f>"20190312172111111"</f>
        <v>20190312172111111</v>
      </c>
      <c r="B1209" t="str">
        <f>"1552382471102259"</f>
        <v>1552382471102259</v>
      </c>
      <c r="C1209" t="s">
        <v>40</v>
      </c>
      <c r="D1209">
        <v>3.2056870000000002</v>
      </c>
      <c r="E1209">
        <v>0.49595299999999998</v>
      </c>
      <c r="F1209" t="s">
        <v>42</v>
      </c>
      <c r="G1209">
        <v>-237.05879999999999</v>
      </c>
      <c r="H1209" s="1">
        <v>-1.5919120000000001E-6</v>
      </c>
      <c r="I1209">
        <v>367.65550000000002</v>
      </c>
      <c r="J1209">
        <v>-270.44479999999999</v>
      </c>
      <c r="K1209">
        <v>1.1094569999999999</v>
      </c>
      <c r="L1209">
        <v>367.68900000000002</v>
      </c>
      <c r="M1209">
        <v>0.99986699999999995</v>
      </c>
      <c r="N1209">
        <v>0</v>
      </c>
      <c r="O1209">
        <v>-1.061349E-2</v>
      </c>
      <c r="P1209">
        <v>0.98570539999999995</v>
      </c>
      <c r="Q1209">
        <v>0.16847179999999901</v>
      </c>
      <c r="R1209">
        <v>1.5048590000000001E-3</v>
      </c>
      <c r="S1209">
        <v>3.0608520000000001</v>
      </c>
      <c r="T1209">
        <v>-0.1012448</v>
      </c>
      <c r="U1209">
        <v>-3.2043459999999998E-3</v>
      </c>
      <c r="V1209">
        <v>-1.196066E-2</v>
      </c>
      <c r="W1209">
        <v>0.18067</v>
      </c>
      <c r="X1209">
        <v>0.98347099999999998</v>
      </c>
      <c r="Y1209">
        <v>-9.5564459999999997E-3</v>
      </c>
      <c r="Z1209">
        <v>5.0899889999999996E-4</v>
      </c>
      <c r="AA1209">
        <v>0.99995420000000002</v>
      </c>
      <c r="AB1209">
        <v>31</v>
      </c>
      <c r="AC1209">
        <v>33.386000000000003</v>
      </c>
      <c r="AD1209">
        <v>-1.1094585919119999</v>
      </c>
      <c r="AE1209">
        <v>-3.3500000000003603E-2</v>
      </c>
      <c r="AF1209">
        <v>-0.32051708231711701</v>
      </c>
      <c r="AG1209">
        <v>-1.1094585919119999</v>
      </c>
      <c r="AH1209">
        <v>33.347648526068198</v>
      </c>
      <c r="AI1209">
        <v>91.905409443677499</v>
      </c>
      <c r="AJ1209">
        <v>90.550674828127001</v>
      </c>
      <c r="AK1209">
        <v>33.367638390893099</v>
      </c>
      <c r="AL1209">
        <v>79.5912117147804</v>
      </c>
      <c r="AM1209">
        <v>90.696778608266698</v>
      </c>
      <c r="AN1209">
        <v>0.99999995706431699</v>
      </c>
    </row>
    <row r="1210" spans="1:40" x14ac:dyDescent="0.25">
      <c r="A1210" t="str">
        <f>"20190312172111121"</f>
        <v>20190312172111121</v>
      </c>
      <c r="B1210" t="str">
        <f>"1552382471112018"</f>
        <v>1552382471112018</v>
      </c>
      <c r="C1210" t="s">
        <v>40</v>
      </c>
      <c r="D1210">
        <v>3.1733549999999999</v>
      </c>
      <c r="E1210">
        <v>0.49205589999999999</v>
      </c>
      <c r="F1210" t="s">
        <v>42</v>
      </c>
      <c r="G1210">
        <v>-234.375</v>
      </c>
      <c r="H1210" s="1">
        <v>-2.65253E-6</v>
      </c>
      <c r="I1210">
        <v>368.1671</v>
      </c>
      <c r="J1210">
        <v>-270.2928</v>
      </c>
      <c r="K1210">
        <v>1.1095349999999999</v>
      </c>
      <c r="L1210">
        <v>367.68740000000003</v>
      </c>
      <c r="M1210">
        <v>0.99986629999999999</v>
      </c>
      <c r="N1210">
        <v>0</v>
      </c>
      <c r="O1210">
        <v>-1.061347E-2</v>
      </c>
      <c r="P1210">
        <v>0.98574819999999996</v>
      </c>
      <c r="Q1210">
        <v>0.16822089999999901</v>
      </c>
      <c r="R1210">
        <v>1.6579909999999999E-3</v>
      </c>
      <c r="S1210">
        <v>3.0595699999999999</v>
      </c>
      <c r="T1210">
        <v>-9.4107990000000002E-2</v>
      </c>
      <c r="U1210">
        <v>4.0557860000000001E-2</v>
      </c>
      <c r="V1210">
        <v>-1.2114450000000001E-2</v>
      </c>
      <c r="W1210">
        <v>0.18047440000000001</v>
      </c>
      <c r="X1210">
        <v>0.98350510000000002</v>
      </c>
      <c r="Y1210">
        <v>-2.3851219999999999E-2</v>
      </c>
      <c r="Z1210">
        <v>6.9310200000000002E-4</v>
      </c>
      <c r="AA1210">
        <v>0.99971529999999997</v>
      </c>
      <c r="AB1210">
        <v>31</v>
      </c>
      <c r="AC1210">
        <v>35.9178</v>
      </c>
      <c r="AD1210">
        <v>-1.10953765252999</v>
      </c>
      <c r="AE1210">
        <v>0.47969999999997898</v>
      </c>
      <c r="AF1210">
        <v>-0.86009436355028401</v>
      </c>
      <c r="AG1210">
        <v>-1.10953765252999</v>
      </c>
      <c r="AH1210">
        <v>35.876455763939397</v>
      </c>
      <c r="AI1210">
        <v>91.770891903706598</v>
      </c>
      <c r="AJ1210">
        <v>91.373333518116397</v>
      </c>
      <c r="AK1210">
        <v>35.903912242240303</v>
      </c>
      <c r="AL1210">
        <v>79.602606791076695</v>
      </c>
      <c r="AM1210">
        <v>90.705712410747793</v>
      </c>
      <c r="AN1210">
        <v>1.00000002534008</v>
      </c>
    </row>
    <row r="1211" spans="1:40" x14ac:dyDescent="0.25">
      <c r="A1211" t="str">
        <f>"20190312172111144"</f>
        <v>20190312172111144</v>
      </c>
      <c r="B1211" t="str">
        <f>"1552382471132515"</f>
        <v>1552382471132515</v>
      </c>
      <c r="C1211" t="s">
        <v>40</v>
      </c>
      <c r="D1211">
        <v>3.1848670000000001</v>
      </c>
      <c r="E1211">
        <v>0.48905549999999998</v>
      </c>
      <c r="F1211" t="s">
        <v>42</v>
      </c>
      <c r="G1211">
        <v>-231.91980000000001</v>
      </c>
      <c r="H1211" s="1">
        <v>-3.631127E-6</v>
      </c>
      <c r="I1211">
        <v>368.58789999999999</v>
      </c>
      <c r="J1211">
        <v>-269.98379999999997</v>
      </c>
      <c r="K1211">
        <v>1.1096699999999999</v>
      </c>
      <c r="L1211">
        <v>367.6841</v>
      </c>
      <c r="M1211">
        <v>0.99986489999999995</v>
      </c>
      <c r="N1211">
        <v>0</v>
      </c>
      <c r="O1211">
        <v>-1.0613269999999999E-2</v>
      </c>
      <c r="P1211">
        <v>0.98573160000000004</v>
      </c>
      <c r="Q1211">
        <v>0.1683154</v>
      </c>
      <c r="R1211">
        <v>1.733863E-3</v>
      </c>
      <c r="S1211">
        <v>3.0583800000000001</v>
      </c>
      <c r="T1211">
        <v>-8.8431480000000007E-2</v>
      </c>
      <c r="U1211">
        <v>7.1777339999999995E-2</v>
      </c>
      <c r="V1211">
        <v>-1.2189520000000001E-2</v>
      </c>
      <c r="W1211">
        <v>0.18066769999999999</v>
      </c>
      <c r="X1211">
        <v>0.98346869999999997</v>
      </c>
      <c r="Y1211">
        <v>-3.4053809999999997E-2</v>
      </c>
      <c r="Z1211">
        <v>7.9895379999999998E-4</v>
      </c>
      <c r="AA1211">
        <v>0.99941970000000002</v>
      </c>
      <c r="AB1211">
        <v>31</v>
      </c>
      <c r="AC1211">
        <v>38.063999999999901</v>
      </c>
      <c r="AD1211">
        <v>-1.1096736311269999</v>
      </c>
      <c r="AE1211">
        <v>0.90379999999998895</v>
      </c>
      <c r="AF1211">
        <v>-1.3066545384868999</v>
      </c>
      <c r="AG1211">
        <v>-1.1096736311269999</v>
      </c>
      <c r="AH1211">
        <v>38.019968273219703</v>
      </c>
      <c r="AI1211">
        <v>91.670808562618902</v>
      </c>
      <c r="AJ1211">
        <v>91.968342930621503</v>
      </c>
      <c r="AK1211">
        <v>38.058595732727703</v>
      </c>
      <c r="AL1211">
        <v>79.591346604918101</v>
      </c>
      <c r="AM1211">
        <v>90.710111353903599</v>
      </c>
      <c r="AN1211">
        <v>1.0000000430503999</v>
      </c>
    </row>
    <row r="1212" spans="1:40" x14ac:dyDescent="0.25">
      <c r="A1212" t="str">
        <f>"20190312172111155"</f>
        <v>20190312172111155</v>
      </c>
      <c r="B1212" t="str">
        <f>"1552382471152035"</f>
        <v>1552382471152035</v>
      </c>
      <c r="C1212" t="s">
        <v>40</v>
      </c>
      <c r="D1212">
        <v>3.1917689999999999</v>
      </c>
      <c r="E1212">
        <v>0.4849794</v>
      </c>
      <c r="F1212" t="s">
        <v>42</v>
      </c>
      <c r="G1212">
        <v>-229.8383</v>
      </c>
      <c r="H1212" s="1">
        <v>-2.2036490000000001E-7</v>
      </c>
      <c r="I1212">
        <v>368.94260000000003</v>
      </c>
      <c r="J1212">
        <v>-269.82400000000001</v>
      </c>
      <c r="K1212">
        <v>1.109728</v>
      </c>
      <c r="L1212">
        <v>367.68239999999997</v>
      </c>
      <c r="M1212">
        <v>0.99986439999999999</v>
      </c>
      <c r="N1212">
        <v>0</v>
      </c>
      <c r="O1212">
        <v>-1.061321E-2</v>
      </c>
      <c r="P1212">
        <v>0.98570659999999999</v>
      </c>
      <c r="Q1212">
        <v>0.1684619</v>
      </c>
      <c r="R1212">
        <v>1.769849E-3</v>
      </c>
      <c r="S1212">
        <v>3.0576479999999999</v>
      </c>
      <c r="T1212">
        <v>-8.4516999999999995E-2</v>
      </c>
      <c r="U1212">
        <v>9.5855709999999997E-2</v>
      </c>
      <c r="V1212">
        <v>-1.222518E-2</v>
      </c>
      <c r="W1212">
        <v>0.1808604</v>
      </c>
      <c r="X1212">
        <v>0.9834328</v>
      </c>
      <c r="Y1212">
        <v>-4.1921119999999999E-2</v>
      </c>
      <c r="Z1212">
        <v>8.7238679999999903E-4</v>
      </c>
      <c r="AA1212">
        <v>0.99912049999999997</v>
      </c>
      <c r="AB1212">
        <v>31</v>
      </c>
      <c r="AC1212">
        <v>39.985700000000001</v>
      </c>
      <c r="AD1212">
        <v>-1.1097282203648999</v>
      </c>
      <c r="AE1212">
        <v>1.2602000000000499</v>
      </c>
      <c r="AF1212">
        <v>-1.68324407905753</v>
      </c>
      <c r="AG1212">
        <v>-1.1097282203648999</v>
      </c>
      <c r="AH1212">
        <v>39.939339558213398</v>
      </c>
      <c r="AI1212">
        <v>91.590162478543306</v>
      </c>
      <c r="AJ1212">
        <v>92.4133033453233</v>
      </c>
      <c r="AK1212">
        <v>39.9901944443763</v>
      </c>
      <c r="AL1212">
        <v>79.580120386570997</v>
      </c>
      <c r="AM1212">
        <v>90.712214540940195</v>
      </c>
      <c r="AN1212">
        <v>1.00000000571501</v>
      </c>
    </row>
    <row r="1213" spans="1:40" x14ac:dyDescent="0.25">
      <c r="A1213" t="str">
        <f>"20190312172111168"</f>
        <v>20190312172111168</v>
      </c>
      <c r="B1213" t="str">
        <f>"1552382471161795"</f>
        <v>1552382471161795</v>
      </c>
      <c r="C1213" t="s">
        <v>40</v>
      </c>
      <c r="D1213">
        <v>3.206337</v>
      </c>
      <c r="E1213">
        <v>0.483485</v>
      </c>
      <c r="F1213" t="s">
        <v>42</v>
      </c>
      <c r="G1213">
        <v>-228.0411</v>
      </c>
      <c r="H1213" s="1">
        <v>-8.5420569999999898E-7</v>
      </c>
      <c r="I1213">
        <v>369.43869999999998</v>
      </c>
      <c r="J1213">
        <v>-269.65410000000003</v>
      </c>
      <c r="K1213">
        <v>1.1097859999999999</v>
      </c>
      <c r="L1213">
        <v>367.68060000000003</v>
      </c>
      <c r="M1213">
        <v>0.99986390000000003</v>
      </c>
      <c r="N1213">
        <v>0</v>
      </c>
      <c r="O1213">
        <v>-1.061314E-2</v>
      </c>
      <c r="P1213">
        <v>0.98571319999999996</v>
      </c>
      <c r="Q1213">
        <v>0.16842489999999999</v>
      </c>
      <c r="R1213">
        <v>1.7101600000000001E-3</v>
      </c>
      <c r="S1213">
        <v>3.057159</v>
      </c>
      <c r="T1213">
        <v>-8.1196069999999995E-2</v>
      </c>
      <c r="U1213">
        <v>0.1285095</v>
      </c>
      <c r="V1213">
        <v>-1.2166079999999999E-2</v>
      </c>
      <c r="W1213">
        <v>0.18087030000000001</v>
      </c>
      <c r="X1213">
        <v>0.98343170000000002</v>
      </c>
      <c r="Y1213">
        <v>-5.2578529999999998E-2</v>
      </c>
      <c r="Z1213">
        <v>9.7953199999999997E-4</v>
      </c>
      <c r="AA1213">
        <v>0.99861630000000001</v>
      </c>
      <c r="AB1213">
        <v>31</v>
      </c>
      <c r="AC1213">
        <v>41.613</v>
      </c>
      <c r="AD1213">
        <v>-1.1097868542056999</v>
      </c>
      <c r="AE1213">
        <v>1.75809999999995</v>
      </c>
      <c r="AF1213">
        <v>-2.1981201728843098</v>
      </c>
      <c r="AG1213">
        <v>-1.1097868542056999</v>
      </c>
      <c r="AH1213">
        <v>41.562486925172102</v>
      </c>
      <c r="AI1213">
        <v>91.527394648787705</v>
      </c>
      <c r="AJ1213">
        <v>93.0273882025799</v>
      </c>
      <c r="AK1213">
        <v>41.6353657190772</v>
      </c>
      <c r="AL1213">
        <v>79.579543520557394</v>
      </c>
      <c r="AM1213">
        <v>90.708772637916397</v>
      </c>
      <c r="AN1213">
        <v>0.999999993744773</v>
      </c>
    </row>
    <row r="1214" spans="1:40" x14ac:dyDescent="0.25">
      <c r="A1214" t="str">
        <f>"20190312172111180"</f>
        <v>20190312172111180</v>
      </c>
      <c r="B1214" t="str">
        <f>"1552382471172531"</f>
        <v>1552382471172531</v>
      </c>
      <c r="C1214" t="s">
        <v>40</v>
      </c>
      <c r="D1214">
        <v>3.2016879999999999</v>
      </c>
      <c r="E1214">
        <v>0.4824078</v>
      </c>
      <c r="F1214" t="s">
        <v>42</v>
      </c>
      <c r="G1214">
        <v>-227.60480000000001</v>
      </c>
      <c r="H1214" s="1">
        <v>-1.01131E-6</v>
      </c>
      <c r="I1214">
        <v>369.60809999999998</v>
      </c>
      <c r="J1214">
        <v>-269.48410000000001</v>
      </c>
      <c r="K1214">
        <v>1.109839</v>
      </c>
      <c r="L1214">
        <v>367.67880000000002</v>
      </c>
      <c r="M1214">
        <v>0.99986330000000001</v>
      </c>
      <c r="N1214">
        <v>0</v>
      </c>
      <c r="O1214">
        <v>-1.061307E-2</v>
      </c>
      <c r="P1214">
        <v>0.98572210000000005</v>
      </c>
      <c r="Q1214">
        <v>0.16837009999999999</v>
      </c>
      <c r="R1214">
        <v>1.9108860000000001E-3</v>
      </c>
      <c r="S1214">
        <v>3.0570369999999998</v>
      </c>
      <c r="T1214">
        <v>-8.0682870000000004E-2</v>
      </c>
      <c r="U1214">
        <v>0.1401367</v>
      </c>
      <c r="V1214">
        <v>-1.236634E-2</v>
      </c>
      <c r="W1214">
        <v>0.18085950000000001</v>
      </c>
      <c r="X1214">
        <v>0.98343119999999995</v>
      </c>
      <c r="Y1214">
        <v>-5.6369540000000003E-2</v>
      </c>
      <c r="Z1214">
        <v>1.0232920000000001E-3</v>
      </c>
      <c r="AA1214">
        <v>0.99840949999999995</v>
      </c>
      <c r="AB1214">
        <v>31</v>
      </c>
      <c r="AC1214">
        <v>41.879300000000001</v>
      </c>
      <c r="AD1214">
        <v>-1.10984001131</v>
      </c>
      <c r="AE1214">
        <v>1.9292999999999501</v>
      </c>
      <c r="AF1214">
        <v>-2.3720326457577201</v>
      </c>
      <c r="AG1214">
        <v>-1.10984001131</v>
      </c>
      <c r="AH1214">
        <v>41.827150580109802</v>
      </c>
      <c r="AI1214">
        <v>91.517490311801495</v>
      </c>
      <c r="AJ1214">
        <v>93.245787541320894</v>
      </c>
      <c r="AK1214">
        <v>41.9090540262414</v>
      </c>
      <c r="AL1214">
        <v>79.5801728111405</v>
      </c>
      <c r="AM1214">
        <v>90.720438550434196</v>
      </c>
      <c r="AN1214">
        <v>1.0000000051193401</v>
      </c>
    </row>
    <row r="1215" spans="1:40" x14ac:dyDescent="0.25">
      <c r="A1215" t="str">
        <f>"20190312172111191"</f>
        <v>20190312172111191</v>
      </c>
      <c r="B1215" t="str">
        <f>"1552382471182292"</f>
        <v>1552382471182292</v>
      </c>
      <c r="C1215" t="s">
        <v>40</v>
      </c>
      <c r="D1215">
        <v>3.1962079999999999</v>
      </c>
      <c r="E1215">
        <v>0.48147610000000002</v>
      </c>
      <c r="F1215" t="s">
        <v>42</v>
      </c>
      <c r="G1215">
        <v>-227.28290000000001</v>
      </c>
      <c r="H1215" s="1">
        <v>-1.1816869999999999E-6</v>
      </c>
      <c r="I1215">
        <v>369.7432</v>
      </c>
      <c r="J1215">
        <v>-269.33240000000001</v>
      </c>
      <c r="K1215">
        <v>1.1098790000000001</v>
      </c>
      <c r="L1215">
        <v>367.67720000000003</v>
      </c>
      <c r="M1215">
        <v>0.99986280000000005</v>
      </c>
      <c r="N1215">
        <v>0</v>
      </c>
      <c r="O1215">
        <v>-1.061318E-2</v>
      </c>
      <c r="P1215">
        <v>0.98569830000000003</v>
      </c>
      <c r="Q1215">
        <v>0.168512</v>
      </c>
      <c r="R1215">
        <v>1.662747E-3</v>
      </c>
      <c r="S1215">
        <v>3.0568849999999999</v>
      </c>
      <c r="T1215">
        <v>-8.0392119999999997E-2</v>
      </c>
      <c r="U1215">
        <v>0.14953610000000001</v>
      </c>
      <c r="V1215">
        <v>-1.2117869999999999E-2</v>
      </c>
      <c r="W1215">
        <v>0.1810368</v>
      </c>
      <c r="X1215">
        <v>0.98340170000000005</v>
      </c>
      <c r="Y1215">
        <v>-5.9433840000000002E-2</v>
      </c>
      <c r="Z1215">
        <v>1.05985E-3</v>
      </c>
      <c r="AA1215">
        <v>0.99823170000000006</v>
      </c>
      <c r="AB1215">
        <v>31</v>
      </c>
      <c r="AC1215">
        <v>42.049500000000002</v>
      </c>
      <c r="AD1215">
        <v>-1.1098801816869901</v>
      </c>
      <c r="AE1215">
        <v>2.0659999999999701</v>
      </c>
      <c r="AF1215">
        <v>-2.51045386915174</v>
      </c>
      <c r="AG1215">
        <v>-1.1098801816869901</v>
      </c>
      <c r="AH1215">
        <v>41.9960155916378</v>
      </c>
      <c r="AI1215">
        <v>91.511177007579903</v>
      </c>
      <c r="AJ1215">
        <v>93.420977975999094</v>
      </c>
      <c r="AK1215">
        <v>42.085621514003201</v>
      </c>
      <c r="AL1215">
        <v>79.569844075550193</v>
      </c>
      <c r="AM1215">
        <v>90.705985834220101</v>
      </c>
      <c r="AN1215">
        <v>1.00000003464523</v>
      </c>
    </row>
    <row r="1216" spans="1:40" x14ac:dyDescent="0.25">
      <c r="A1216" t="str">
        <f>"20190312172111202"</f>
        <v>20190312172111202</v>
      </c>
      <c r="B1216" t="str">
        <f>"1552382471192051"</f>
        <v>1552382471192051</v>
      </c>
      <c r="C1216" t="s">
        <v>40</v>
      </c>
      <c r="D1216">
        <v>3.2427109999999999</v>
      </c>
      <c r="E1216">
        <v>0.48070689999999999</v>
      </c>
      <c r="F1216" t="s">
        <v>42</v>
      </c>
      <c r="G1216">
        <v>-226.70570000000001</v>
      </c>
      <c r="H1216" s="1">
        <v>-1.4596280000000001E-6</v>
      </c>
      <c r="I1216">
        <v>369.85719999999998</v>
      </c>
      <c r="J1216">
        <v>-269.17219999999998</v>
      </c>
      <c r="K1216">
        <v>1.1099209999999999</v>
      </c>
      <c r="L1216">
        <v>367.6755</v>
      </c>
      <c r="M1216">
        <v>0.99986240000000004</v>
      </c>
      <c r="N1216">
        <v>0</v>
      </c>
      <c r="O1216">
        <v>-1.0613289999999999E-2</v>
      </c>
      <c r="P1216">
        <v>0.98568940000000005</v>
      </c>
      <c r="Q1216">
        <v>0.16856260000000001</v>
      </c>
      <c r="R1216">
        <v>1.8328070000000001E-3</v>
      </c>
      <c r="S1216">
        <v>3.0568849999999999</v>
      </c>
      <c r="T1216">
        <v>-7.9592700000000002E-2</v>
      </c>
      <c r="U1216">
        <v>0.1563416</v>
      </c>
      <c r="V1216">
        <v>-1.2287889999999999E-2</v>
      </c>
      <c r="W1216">
        <v>0.18112349999999999</v>
      </c>
      <c r="X1216">
        <v>0.98338360000000002</v>
      </c>
      <c r="Y1216">
        <v>-6.1650320000000002E-2</v>
      </c>
      <c r="Z1216">
        <v>1.078091E-3</v>
      </c>
      <c r="AA1216">
        <v>0.99809720000000002</v>
      </c>
      <c r="AB1216">
        <v>31</v>
      </c>
      <c r="AC1216">
        <v>42.466499999999897</v>
      </c>
      <c r="AD1216">
        <v>-1.109922459628</v>
      </c>
      <c r="AE1216">
        <v>2.18169999999997</v>
      </c>
      <c r="AF1216">
        <v>-2.6305307956943502</v>
      </c>
      <c r="AG1216">
        <v>-1.109922459628</v>
      </c>
      <c r="AH1216">
        <v>42.4120549472131</v>
      </c>
      <c r="AI1216">
        <v>91.496213211204505</v>
      </c>
      <c r="AJ1216">
        <v>93.549120471705507</v>
      </c>
      <c r="AK1216">
        <v>42.508046590956297</v>
      </c>
      <c r="AL1216">
        <v>79.564792765415305</v>
      </c>
      <c r="AM1216">
        <v>90.715903333001506</v>
      </c>
      <c r="AN1216">
        <v>1.0000000096209301</v>
      </c>
    </row>
    <row r="1217" spans="1:40" x14ac:dyDescent="0.25">
      <c r="A1217" t="str">
        <f>"20190312172111213"</f>
        <v>20190312172111213</v>
      </c>
      <c r="B1217" t="str">
        <f>"1552382471201811"</f>
        <v>1552382471201811</v>
      </c>
      <c r="C1217" t="s">
        <v>40</v>
      </c>
      <c r="D1217">
        <v>3.1960950000000001</v>
      </c>
      <c r="E1217">
        <v>0.48003269999999998</v>
      </c>
      <c r="F1217" t="s">
        <v>42</v>
      </c>
      <c r="G1217">
        <v>-227.0994</v>
      </c>
      <c r="H1217" s="1">
        <v>-1.3068919999999999E-6</v>
      </c>
      <c r="I1217">
        <v>369.9178</v>
      </c>
      <c r="J1217">
        <v>-269.01850000000002</v>
      </c>
      <c r="K1217">
        <v>1.1099540000000001</v>
      </c>
      <c r="L1217">
        <v>367.6739</v>
      </c>
      <c r="M1217">
        <v>0.99986189999999997</v>
      </c>
      <c r="N1217">
        <v>0</v>
      </c>
      <c r="O1217">
        <v>-1.06129E-2</v>
      </c>
      <c r="P1217">
        <v>0.98569660000000003</v>
      </c>
      <c r="Q1217">
        <v>0.1685188</v>
      </c>
      <c r="R1217">
        <v>1.887651E-3</v>
      </c>
      <c r="S1217">
        <v>3.0570369999999998</v>
      </c>
      <c r="T1217">
        <v>-8.0647350000000007E-2</v>
      </c>
      <c r="U1217">
        <v>0.162933299999999</v>
      </c>
      <c r="V1217">
        <v>-1.2342779999999999E-2</v>
      </c>
      <c r="W1217">
        <v>0.18111179999999999</v>
      </c>
      <c r="X1217">
        <v>0.98338510000000001</v>
      </c>
      <c r="Y1217">
        <v>-6.3792169999999995E-2</v>
      </c>
      <c r="Z1217">
        <v>1.120474E-3</v>
      </c>
      <c r="AA1217">
        <v>0.99796260000000003</v>
      </c>
      <c r="AB1217">
        <v>31</v>
      </c>
      <c r="AC1217">
        <v>41.9191</v>
      </c>
      <c r="AD1217">
        <v>-1.1099553068920001</v>
      </c>
      <c r="AE1217">
        <v>2.2438999999999898</v>
      </c>
      <c r="AF1217">
        <v>-2.6868148325409198</v>
      </c>
      <c r="AG1217">
        <v>-1.1099553068920001</v>
      </c>
      <c r="AH1217">
        <v>41.863655335008602</v>
      </c>
      <c r="AI1217">
        <v>91.515643458285396</v>
      </c>
      <c r="AJ1217">
        <v>93.672214032616694</v>
      </c>
      <c r="AK1217">
        <v>41.964468455302203</v>
      </c>
      <c r="AL1217">
        <v>79.565474736801093</v>
      </c>
      <c r="AM1217">
        <v>90.719099841091406</v>
      </c>
      <c r="AN1217">
        <v>1.0000000416096799</v>
      </c>
    </row>
    <row r="1218" spans="1:40" x14ac:dyDescent="0.25">
      <c r="A1218" t="str">
        <f>"20190312172111224"</f>
        <v>20190312172111224</v>
      </c>
      <c r="B1218" t="str">
        <f>"1552382471212548"</f>
        <v>1552382471212548</v>
      </c>
      <c r="C1218" t="s">
        <v>40</v>
      </c>
      <c r="D1218">
        <v>3.2645059999999999</v>
      </c>
      <c r="E1218">
        <v>0.4794426</v>
      </c>
      <c r="F1218" t="s">
        <v>42</v>
      </c>
      <c r="G1218">
        <v>-226.89689999999999</v>
      </c>
      <c r="H1218" s="1">
        <v>-1.414624E-6</v>
      </c>
      <c r="I1218">
        <v>369.99619999999999</v>
      </c>
      <c r="J1218">
        <v>-268.87540000000001</v>
      </c>
      <c r="K1218">
        <v>1.109977</v>
      </c>
      <c r="L1218">
        <v>367.67239999999998</v>
      </c>
      <c r="M1218">
        <v>0.99986160000000002</v>
      </c>
      <c r="N1218">
        <v>0</v>
      </c>
      <c r="O1218">
        <v>-1.061309E-2</v>
      </c>
      <c r="P1218">
        <v>0.98570579999999997</v>
      </c>
      <c r="Q1218">
        <v>0.16846810000000001</v>
      </c>
      <c r="R1218">
        <v>1.727693E-3</v>
      </c>
      <c r="S1218">
        <v>3.0569760000000001</v>
      </c>
      <c r="T1218">
        <v>-8.0554840000000003E-2</v>
      </c>
      <c r="U1218">
        <v>0.16854859999999999</v>
      </c>
      <c r="V1218">
        <v>-1.21834E-2</v>
      </c>
      <c r="W1218">
        <v>0.1810898</v>
      </c>
      <c r="X1218">
        <v>0.98339109999999996</v>
      </c>
      <c r="Y1218">
        <v>-6.5620479999999995E-2</v>
      </c>
      <c r="Z1218">
        <v>1.143228E-3</v>
      </c>
      <c r="AA1218">
        <v>0.99784399999999995</v>
      </c>
      <c r="AB1218">
        <v>31</v>
      </c>
      <c r="AC1218">
        <v>41.978499999999997</v>
      </c>
      <c r="AD1218">
        <v>-1.1099784146239999</v>
      </c>
      <c r="AE1218">
        <v>2.3237999999999999</v>
      </c>
      <c r="AF1218">
        <v>-2.7672984012514799</v>
      </c>
      <c r="AG1218">
        <v>-1.1099784146239999</v>
      </c>
      <c r="AH1218">
        <v>41.922249915721103</v>
      </c>
      <c r="AI1218">
        <v>91.513378071153994</v>
      </c>
      <c r="AJ1218">
        <v>93.776629996400203</v>
      </c>
      <c r="AK1218">
        <v>42.028145694506598</v>
      </c>
      <c r="AL1218">
        <v>79.566756032489906</v>
      </c>
      <c r="AM1218">
        <v>90.709810865794296</v>
      </c>
      <c r="AN1218">
        <v>1.0000000032294001</v>
      </c>
    </row>
    <row r="1219" spans="1:40" x14ac:dyDescent="0.25">
      <c r="A1219" t="str">
        <f>"20190312172111234"</f>
        <v>20190312172111234</v>
      </c>
      <c r="B1219" t="str">
        <f>"1552382471222307"</f>
        <v>1552382471222307</v>
      </c>
      <c r="C1219" t="s">
        <v>40</v>
      </c>
      <c r="D1219">
        <v>3.1854710000000002</v>
      </c>
      <c r="E1219">
        <v>0.47890700000000003</v>
      </c>
      <c r="F1219" t="s">
        <v>42</v>
      </c>
      <c r="G1219">
        <v>-226.4333</v>
      </c>
      <c r="H1219" s="1">
        <v>-1.6333680000000001E-6</v>
      </c>
      <c r="I1219">
        <v>370.07089999999999</v>
      </c>
      <c r="J1219">
        <v>-268.7285</v>
      </c>
      <c r="K1219">
        <v>1.1100030000000001</v>
      </c>
      <c r="L1219">
        <v>367.67079999999999</v>
      </c>
      <c r="M1219">
        <v>0.99986120000000001</v>
      </c>
      <c r="N1219">
        <v>0</v>
      </c>
      <c r="O1219">
        <v>-1.06129E-2</v>
      </c>
      <c r="P1219">
        <v>0.98571319999999996</v>
      </c>
      <c r="Q1219">
        <v>0.1684223</v>
      </c>
      <c r="R1219">
        <v>1.89386E-3</v>
      </c>
      <c r="S1219">
        <v>3.0568849999999999</v>
      </c>
      <c r="T1219">
        <v>-7.9945799999999997E-2</v>
      </c>
      <c r="U1219">
        <v>0.17276</v>
      </c>
      <c r="V1219">
        <v>-1.2348970000000001E-2</v>
      </c>
      <c r="W1219">
        <v>0.1810705</v>
      </c>
      <c r="X1219">
        <v>0.98339259999999995</v>
      </c>
      <c r="Y1219">
        <v>-6.6992270000000007E-2</v>
      </c>
      <c r="Z1219">
        <v>1.152494E-3</v>
      </c>
      <c r="AA1219">
        <v>0.9977528</v>
      </c>
      <c r="AB1219">
        <v>31</v>
      </c>
      <c r="AC1219">
        <v>42.295200000000001</v>
      </c>
      <c r="AD1219">
        <v>-1.110004633368</v>
      </c>
      <c r="AE1219">
        <v>2.4001000000000001</v>
      </c>
      <c r="AF1219">
        <v>-2.84692201103885</v>
      </c>
      <c r="AG1219">
        <v>-1.110004633368</v>
      </c>
      <c r="AH1219">
        <v>42.2383448175936</v>
      </c>
      <c r="AI1219">
        <v>91.501954526667404</v>
      </c>
      <c r="AJ1219">
        <v>93.855981520668806</v>
      </c>
      <c r="AK1219">
        <v>42.348729002804497</v>
      </c>
      <c r="AL1219">
        <v>79.567880546826302</v>
      </c>
      <c r="AM1219">
        <v>90.719454950843698</v>
      </c>
      <c r="AN1219">
        <v>1.0000000143825301</v>
      </c>
    </row>
    <row r="1220" spans="1:40" x14ac:dyDescent="0.25">
      <c r="A1220" t="str">
        <f>"20190312172111245"</f>
        <v>20190312172111245</v>
      </c>
      <c r="B1220" t="str">
        <f>"1552382471241826"</f>
        <v>1552382471241826</v>
      </c>
      <c r="C1220" t="s">
        <v>40</v>
      </c>
      <c r="D1220">
        <v>3.2723629999999999</v>
      </c>
      <c r="E1220">
        <v>0.4780489</v>
      </c>
      <c r="F1220" t="s">
        <v>42</v>
      </c>
      <c r="G1220">
        <v>-226.08189999999999</v>
      </c>
      <c r="H1220" s="1">
        <v>-1.803908E-6</v>
      </c>
      <c r="I1220">
        <v>370.1454</v>
      </c>
      <c r="J1220">
        <v>-268.5813</v>
      </c>
      <c r="K1220">
        <v>1.110028</v>
      </c>
      <c r="L1220">
        <v>367.66930000000002</v>
      </c>
      <c r="M1220">
        <v>0.99986090000000005</v>
      </c>
      <c r="N1220">
        <v>0</v>
      </c>
      <c r="O1220">
        <v>-1.061283E-2</v>
      </c>
      <c r="P1220">
        <v>0.98572519999999997</v>
      </c>
      <c r="Q1220">
        <v>0.168353</v>
      </c>
      <c r="R1220">
        <v>1.860235E-3</v>
      </c>
      <c r="S1220">
        <v>3.0567319999999998</v>
      </c>
      <c r="T1220">
        <v>-7.9560519999999996E-2</v>
      </c>
      <c r="U1220">
        <v>0.1773682</v>
      </c>
      <c r="V1220">
        <v>-1.231577E-2</v>
      </c>
      <c r="W1220">
        <v>0.1810274</v>
      </c>
      <c r="X1220">
        <v>0.98340090000000002</v>
      </c>
      <c r="Y1220">
        <v>-6.8493899999999996E-2</v>
      </c>
      <c r="Z1220">
        <v>1.1664710000000001E-3</v>
      </c>
      <c r="AA1220">
        <v>0.99765090000000001</v>
      </c>
      <c r="AB1220">
        <v>31</v>
      </c>
      <c r="AC1220">
        <v>42.499400000000001</v>
      </c>
      <c r="AD1220">
        <v>-1.1100298039080001</v>
      </c>
      <c r="AE1220">
        <v>2.47609999999997</v>
      </c>
      <c r="AF1220">
        <v>-2.9250480946784099</v>
      </c>
      <c r="AG1220">
        <v>-1.1100298039080001</v>
      </c>
      <c r="AH1220">
        <v>42.441870172980998</v>
      </c>
      <c r="AI1220">
        <v>91.494635398799005</v>
      </c>
      <c r="AJ1220">
        <v>93.942529355393702</v>
      </c>
      <c r="AK1220">
        <v>42.557025463510897</v>
      </c>
      <c r="AL1220">
        <v>79.5703909584483</v>
      </c>
      <c r="AM1220">
        <v>90.717514855382504</v>
      </c>
      <c r="AN1220">
        <v>0.99999996393113</v>
      </c>
    </row>
    <row r="1221" spans="1:40" x14ac:dyDescent="0.25">
      <c r="A1221" t="str">
        <f>"20190312172111255"</f>
        <v>20190312172111255</v>
      </c>
      <c r="B1221" t="str">
        <f>"1552382471252563"</f>
        <v>1552382471252563</v>
      </c>
      <c r="C1221" t="s">
        <v>40</v>
      </c>
      <c r="D1221">
        <v>3.264386</v>
      </c>
      <c r="E1221">
        <v>0.4776762</v>
      </c>
      <c r="F1221" t="s">
        <v>42</v>
      </c>
      <c r="G1221">
        <v>-225.60400000000001</v>
      </c>
      <c r="H1221" s="1">
        <v>-2.0370850000000002E-6</v>
      </c>
      <c r="I1221">
        <v>370.25110000000001</v>
      </c>
      <c r="J1221">
        <v>-268.43270000000001</v>
      </c>
      <c r="K1221">
        <v>1.1100509999999999</v>
      </c>
      <c r="L1221">
        <v>367.66770000000002</v>
      </c>
      <c r="M1221">
        <v>0.99986059999999999</v>
      </c>
      <c r="N1221">
        <v>0</v>
      </c>
      <c r="O1221">
        <v>-1.0612750000000001E-2</v>
      </c>
      <c r="P1221">
        <v>0.98572800000000005</v>
      </c>
      <c r="Q1221">
        <v>0.16833389999999901</v>
      </c>
      <c r="R1221">
        <v>2.0451190000000002E-3</v>
      </c>
      <c r="S1221">
        <v>3.0565799999999999</v>
      </c>
      <c r="T1221">
        <v>-7.8945989999999994E-2</v>
      </c>
      <c r="U1221">
        <v>0.18362429999999999</v>
      </c>
      <c r="V1221">
        <v>-1.2500519999999999E-2</v>
      </c>
      <c r="W1221">
        <v>0.181033</v>
      </c>
      <c r="X1221">
        <v>0.98339750000000004</v>
      </c>
      <c r="Y1221">
        <v>-7.0531159999999996E-2</v>
      </c>
      <c r="Z1221">
        <v>1.1837320000000001E-3</v>
      </c>
      <c r="AA1221">
        <v>0.99750890000000003</v>
      </c>
      <c r="AB1221">
        <v>31</v>
      </c>
      <c r="AC1221">
        <v>42.828699999999998</v>
      </c>
      <c r="AD1221">
        <v>-1.1100530370849999</v>
      </c>
      <c r="AE1221">
        <v>2.5833999999999802</v>
      </c>
      <c r="AF1221">
        <v>-3.0357905915180998</v>
      </c>
      <c r="AG1221">
        <v>-1.1100530370849999</v>
      </c>
      <c r="AH1221">
        <v>42.770240954656202</v>
      </c>
      <c r="AI1221">
        <v>91.482983849513204</v>
      </c>
      <c r="AJ1221">
        <v>94.059990382476201</v>
      </c>
      <c r="AK1221">
        <v>42.892210873071697</v>
      </c>
      <c r="AL1221">
        <v>79.570064317399996</v>
      </c>
      <c r="AM1221">
        <v>90.728279728746898</v>
      </c>
      <c r="AN1221">
        <v>0.99999992654775705</v>
      </c>
    </row>
    <row r="1222" spans="1:40" x14ac:dyDescent="0.25">
      <c r="A1222" t="str">
        <f>"20190312172111267"</f>
        <v>20190312172111267</v>
      </c>
      <c r="B1222" t="str">
        <f>"1552382471262323"</f>
        <v>1552382471262323</v>
      </c>
      <c r="C1222" t="s">
        <v>40</v>
      </c>
      <c r="D1222">
        <v>3.2622870000000002</v>
      </c>
      <c r="E1222">
        <v>0.4773172</v>
      </c>
      <c r="F1222" t="s">
        <v>42</v>
      </c>
      <c r="G1222">
        <v>-225.1206</v>
      </c>
      <c r="H1222" s="1">
        <v>-2.2626320000000002E-6</v>
      </c>
      <c r="I1222">
        <v>370.31950000000001</v>
      </c>
      <c r="J1222">
        <v>-268.274</v>
      </c>
      <c r="K1222">
        <v>1.1100719999999999</v>
      </c>
      <c r="L1222">
        <v>367.666</v>
      </c>
      <c r="M1222">
        <v>0.99986030000000004</v>
      </c>
      <c r="N1222">
        <v>0</v>
      </c>
      <c r="O1222">
        <v>-1.061279E-2</v>
      </c>
      <c r="P1222">
        <v>0.98573149999999998</v>
      </c>
      <c r="Q1222">
        <v>0.16831299999999999</v>
      </c>
      <c r="R1222">
        <v>2.0760990000000001E-3</v>
      </c>
      <c r="S1222">
        <v>3.0564269999999998</v>
      </c>
      <c r="T1222">
        <v>-7.83335E-2</v>
      </c>
      <c r="U1222">
        <v>0.18713379999999999</v>
      </c>
      <c r="V1222">
        <v>-1.2531459999999999E-2</v>
      </c>
      <c r="W1222">
        <v>0.18103630000000001</v>
      </c>
      <c r="X1222">
        <v>0.98339659999999995</v>
      </c>
      <c r="Y1222">
        <v>-7.1675349999999999E-2</v>
      </c>
      <c r="Z1222">
        <v>1.189217E-3</v>
      </c>
      <c r="AA1222">
        <v>0.99742730000000002</v>
      </c>
      <c r="AB1222">
        <v>31</v>
      </c>
      <c r="AC1222">
        <v>43.153399999999998</v>
      </c>
      <c r="AD1222">
        <v>-1.1100742626319999</v>
      </c>
      <c r="AE1222">
        <v>2.6535000000000002</v>
      </c>
      <c r="AF1222">
        <v>-3.10931695176241</v>
      </c>
      <c r="AG1222">
        <v>-1.1100742626319999</v>
      </c>
      <c r="AH1222">
        <v>43.094396933397803</v>
      </c>
      <c r="AI1222">
        <v>91.471739112651505</v>
      </c>
      <c r="AJ1222">
        <v>94.126814006043304</v>
      </c>
      <c r="AK1222">
        <v>43.220679816822901</v>
      </c>
      <c r="AL1222">
        <v>79.569873115155602</v>
      </c>
      <c r="AM1222">
        <v>90.730082764969495</v>
      </c>
      <c r="AN1222">
        <v>1.0000000261494899</v>
      </c>
    </row>
    <row r="1223" spans="1:40" x14ac:dyDescent="0.25">
      <c r="A1223" t="str">
        <f>"20190312172111278"</f>
        <v>20190312172111278</v>
      </c>
      <c r="B1223" t="str">
        <f>"1552382471272083"</f>
        <v>1552382471272083</v>
      </c>
      <c r="C1223" t="s">
        <v>40</v>
      </c>
      <c r="D1223">
        <v>3.2257189999999998</v>
      </c>
      <c r="E1223">
        <v>0.47696319999999998</v>
      </c>
      <c r="F1223" t="s">
        <v>42</v>
      </c>
      <c r="G1223">
        <v>-224.8424</v>
      </c>
      <c r="H1223" s="1">
        <v>-2.3949079999999999E-6</v>
      </c>
      <c r="I1223">
        <v>370.36810000000003</v>
      </c>
      <c r="J1223">
        <v>-268.11380000000003</v>
      </c>
      <c r="K1223">
        <v>1.1100920000000001</v>
      </c>
      <c r="L1223">
        <v>367.66430000000003</v>
      </c>
      <c r="M1223">
        <v>0.99985999999999997</v>
      </c>
      <c r="N1223">
        <v>0</v>
      </c>
      <c r="O1223">
        <v>-1.0612709999999999E-2</v>
      </c>
      <c r="P1223">
        <v>0.98577510000000002</v>
      </c>
      <c r="Q1223">
        <v>0.16805729999999999</v>
      </c>
      <c r="R1223">
        <v>2.1540180000000002E-3</v>
      </c>
      <c r="S1223">
        <v>3.0563660000000001</v>
      </c>
      <c r="T1223">
        <v>-7.8118090000000001E-2</v>
      </c>
      <c r="U1223">
        <v>0.19015499999999999</v>
      </c>
      <c r="V1223">
        <v>-1.2609850000000001E-2</v>
      </c>
      <c r="W1223">
        <v>0.18080460000000001</v>
      </c>
      <c r="X1223">
        <v>0.98343820000000004</v>
      </c>
      <c r="Y1223">
        <v>-7.2658509999999996E-2</v>
      </c>
      <c r="Z1223">
        <v>1.198483E-3</v>
      </c>
      <c r="AA1223">
        <v>0.99735620000000003</v>
      </c>
      <c r="AB1223">
        <v>31</v>
      </c>
      <c r="AC1223">
        <v>43.2714</v>
      </c>
      <c r="AD1223">
        <v>-1.110094394908</v>
      </c>
      <c r="AE1223">
        <v>2.7038000000000002</v>
      </c>
      <c r="AF1223">
        <v>-3.16084077303434</v>
      </c>
      <c r="AG1223">
        <v>-1.110094394908</v>
      </c>
      <c r="AH1223">
        <v>43.2119367813049</v>
      </c>
      <c r="AI1223">
        <v>91.467658619901599</v>
      </c>
      <c r="AJ1223">
        <v>94.1835863657017</v>
      </c>
      <c r="AK1223">
        <v>43.341604773584201</v>
      </c>
      <c r="AL1223">
        <v>79.583371048020595</v>
      </c>
      <c r="AM1223">
        <v>90.734618194111505</v>
      </c>
      <c r="AN1223">
        <v>1.0000000024587099</v>
      </c>
    </row>
    <row r="1224" spans="1:40" x14ac:dyDescent="0.25">
      <c r="A1224" t="str">
        <f>"20190312172111289"</f>
        <v>20190312172111289</v>
      </c>
      <c r="B1224" t="str">
        <f>"1552382471281843"</f>
        <v>1552382471281843</v>
      </c>
      <c r="C1224" t="s">
        <v>40</v>
      </c>
      <c r="D1224">
        <v>3.2058900000000001</v>
      </c>
      <c r="E1224">
        <v>0.4766282</v>
      </c>
      <c r="F1224" t="s">
        <v>42</v>
      </c>
      <c r="G1224">
        <v>-225.0401</v>
      </c>
      <c r="H1224" s="1">
        <v>-2.3157780000000002E-6</v>
      </c>
      <c r="I1224">
        <v>370.38929999999999</v>
      </c>
      <c r="J1224">
        <v>-267.9674</v>
      </c>
      <c r="K1224">
        <v>1.110106</v>
      </c>
      <c r="L1224">
        <v>367.6628</v>
      </c>
      <c r="M1224">
        <v>0.99985959999999996</v>
      </c>
      <c r="N1224">
        <v>0</v>
      </c>
      <c r="O1224">
        <v>-1.0612470000000001E-2</v>
      </c>
      <c r="P1224">
        <v>0.98578290000000002</v>
      </c>
      <c r="Q1224">
        <v>0.168011299999999</v>
      </c>
      <c r="R1224">
        <v>2.1222139999999999E-3</v>
      </c>
      <c r="S1224">
        <v>3.056305</v>
      </c>
      <c r="T1224">
        <v>-7.8766820000000001E-2</v>
      </c>
      <c r="U1224">
        <v>0.19335939999999999</v>
      </c>
      <c r="V1224">
        <v>-1.2578020000000001E-2</v>
      </c>
      <c r="W1224">
        <v>0.18077789999999999</v>
      </c>
      <c r="X1224">
        <v>0.98344350000000003</v>
      </c>
      <c r="Y1224">
        <v>-7.370024E-2</v>
      </c>
      <c r="Z1224">
        <v>1.22182E-3</v>
      </c>
      <c r="AA1224">
        <v>0.99727969999999999</v>
      </c>
      <c r="AB1224">
        <v>31</v>
      </c>
      <c r="AC1224">
        <v>42.927300000000002</v>
      </c>
      <c r="AD1224">
        <v>-1.1101083157780001</v>
      </c>
      <c r="AE1224">
        <v>2.7264999999999802</v>
      </c>
      <c r="AF1224">
        <v>-3.17983145852893</v>
      </c>
      <c r="AG1224">
        <v>-1.1101083157780001</v>
      </c>
      <c r="AH1224">
        <v>42.867392488380403</v>
      </c>
      <c r="AI1224">
        <v>91.479356475256694</v>
      </c>
      <c r="AJ1224">
        <v>94.242335411055805</v>
      </c>
      <c r="AK1224">
        <v>42.999500082329597</v>
      </c>
      <c r="AL1224">
        <v>79.584926310551793</v>
      </c>
      <c r="AM1224">
        <v>90.732760112093302</v>
      </c>
      <c r="AN1224">
        <v>0.99999998670389001</v>
      </c>
    </row>
    <row r="1225" spans="1:40" x14ac:dyDescent="0.25">
      <c r="A1225" t="str">
        <f>"20190312172111301"</f>
        <v>20190312172111301</v>
      </c>
      <c r="B1225" t="str">
        <f>"1552382471292579"</f>
        <v>1552382471292579</v>
      </c>
      <c r="C1225" t="s">
        <v>40</v>
      </c>
      <c r="D1225">
        <v>3.2966600000000001</v>
      </c>
      <c r="E1225">
        <v>0.4763232</v>
      </c>
      <c r="F1225" t="s">
        <v>42</v>
      </c>
      <c r="G1225">
        <v>-224.83920000000001</v>
      </c>
      <c r="H1225" s="1">
        <v>-2.4117870000000002E-6</v>
      </c>
      <c r="I1225">
        <v>370.42619999999999</v>
      </c>
      <c r="J1225">
        <v>-267.80380000000002</v>
      </c>
      <c r="K1225">
        <v>1.110123</v>
      </c>
      <c r="L1225">
        <v>367.661</v>
      </c>
      <c r="M1225">
        <v>0.99985939999999995</v>
      </c>
      <c r="N1225">
        <v>0</v>
      </c>
      <c r="O1225">
        <v>-1.061249E-2</v>
      </c>
      <c r="P1225">
        <v>0.98580400000000001</v>
      </c>
      <c r="Q1225">
        <v>0.1678847</v>
      </c>
      <c r="R1225">
        <v>2.2450489999999998E-3</v>
      </c>
      <c r="S1225">
        <v>3.0562130000000001</v>
      </c>
      <c r="T1225">
        <v>-7.8665849999999996E-2</v>
      </c>
      <c r="U1225">
        <v>0.19583130000000001</v>
      </c>
      <c r="V1225">
        <v>-1.2700670000000001E-2</v>
      </c>
      <c r="W1225">
        <v>0.1806719</v>
      </c>
      <c r="X1225">
        <v>0.98346140000000004</v>
      </c>
      <c r="Y1225">
        <v>-7.4505310000000005E-2</v>
      </c>
      <c r="Z1225">
        <v>1.2306089999999999E-3</v>
      </c>
      <c r="AA1225">
        <v>0.99721990000000005</v>
      </c>
      <c r="AB1225">
        <v>31</v>
      </c>
      <c r="AC1225">
        <v>42.964599999999997</v>
      </c>
      <c r="AD1225">
        <v>-1.1101254117870001</v>
      </c>
      <c r="AE1225">
        <v>2.7651999999999899</v>
      </c>
      <c r="AF1225">
        <v>-3.2189039678977398</v>
      </c>
      <c r="AG1225">
        <v>-1.1101254117870001</v>
      </c>
      <c r="AH1225">
        <v>42.904306782297603</v>
      </c>
      <c r="AI1225">
        <v>91.478014151787605</v>
      </c>
      <c r="AJ1225">
        <v>94.290588799008205</v>
      </c>
      <c r="AK1225">
        <v>43.039206099252702</v>
      </c>
      <c r="AL1225">
        <v>79.591101313566398</v>
      </c>
      <c r="AM1225">
        <v>90.739891100509794</v>
      </c>
      <c r="AN1225">
        <v>0.99999998387900901</v>
      </c>
    </row>
    <row r="1226" spans="1:40" x14ac:dyDescent="0.25">
      <c r="A1226" t="str">
        <f>"20190312172111311"</f>
        <v>20190312172111311</v>
      </c>
      <c r="B1226" t="str">
        <f>"1552382471302339"</f>
        <v>1552382471302339</v>
      </c>
      <c r="C1226" t="s">
        <v>40</v>
      </c>
      <c r="D1226">
        <v>3.189514</v>
      </c>
      <c r="E1226">
        <v>0.47605449999999999</v>
      </c>
      <c r="F1226" t="s">
        <v>42</v>
      </c>
      <c r="G1226">
        <v>-224.7627</v>
      </c>
      <c r="H1226" s="1">
        <v>-2.4540679999999999E-6</v>
      </c>
      <c r="I1226">
        <v>370.46190000000001</v>
      </c>
      <c r="J1226">
        <v>-267.66019999999997</v>
      </c>
      <c r="K1226">
        <v>1.110139</v>
      </c>
      <c r="L1226">
        <v>367.65949999999998</v>
      </c>
      <c r="M1226">
        <v>0.99985919999999895</v>
      </c>
      <c r="N1226">
        <v>0</v>
      </c>
      <c r="O1226">
        <v>-1.0612480000000001E-2</v>
      </c>
      <c r="P1226">
        <v>0.9858325</v>
      </c>
      <c r="Q1226">
        <v>0.16771820000000001</v>
      </c>
      <c r="R1226">
        <v>2.285535E-3</v>
      </c>
      <c r="S1226">
        <v>3.0561829999999999</v>
      </c>
      <c r="T1226">
        <v>-7.8825590000000001E-2</v>
      </c>
      <c r="U1226">
        <v>0.19888310000000001</v>
      </c>
      <c r="V1226">
        <v>-1.274135E-2</v>
      </c>
      <c r="W1226">
        <v>0.1805223</v>
      </c>
      <c r="X1226">
        <v>0.98348840000000004</v>
      </c>
      <c r="Y1226">
        <v>-7.5497079999999994E-2</v>
      </c>
      <c r="Z1226">
        <v>1.245854E-3</v>
      </c>
      <c r="AA1226">
        <v>0.99714519999999995</v>
      </c>
      <c r="AB1226">
        <v>31</v>
      </c>
      <c r="AC1226">
        <v>42.897499999999901</v>
      </c>
      <c r="AD1226">
        <v>-1.1101414540679999</v>
      </c>
      <c r="AE1226">
        <v>2.8024000000000302</v>
      </c>
      <c r="AF1226">
        <v>-3.2553585722621001</v>
      </c>
      <c r="AG1226">
        <v>-1.1101414540679999</v>
      </c>
      <c r="AH1226">
        <v>42.836774246908298</v>
      </c>
      <c r="AI1226">
        <v>91.480256917187504</v>
      </c>
      <c r="AJ1226">
        <v>94.345810148734401</v>
      </c>
      <c r="AK1226">
        <v>42.974632067798098</v>
      </c>
      <c r="AL1226">
        <v>79.599816625192901</v>
      </c>
      <c r="AM1226">
        <v>90.742240317426905</v>
      </c>
      <c r="AN1226">
        <v>1.00000003786583</v>
      </c>
    </row>
    <row r="1227" spans="1:40" x14ac:dyDescent="0.25">
      <c r="A1227" t="str">
        <f>"20190312172111322"</f>
        <v>20190312172111322</v>
      </c>
      <c r="B1227" t="str">
        <f>"1552382471312100"</f>
        <v>1552382471312100</v>
      </c>
      <c r="C1227" t="s">
        <v>40</v>
      </c>
      <c r="D1227">
        <v>3.1949540000000001</v>
      </c>
      <c r="E1227">
        <v>0.47583989999999998</v>
      </c>
      <c r="F1227" t="s">
        <v>42</v>
      </c>
      <c r="G1227">
        <v>-224.69839999999999</v>
      </c>
      <c r="H1227" s="1">
        <v>-2.4875680000000001E-6</v>
      </c>
      <c r="I1227">
        <v>370.48410000000001</v>
      </c>
      <c r="J1227">
        <v>-267.51260000000002</v>
      </c>
      <c r="K1227">
        <v>1.1101540000000001</v>
      </c>
      <c r="L1227">
        <v>367.65789999999998</v>
      </c>
      <c r="M1227">
        <v>0.99985900000000005</v>
      </c>
      <c r="N1227">
        <v>0</v>
      </c>
      <c r="O1227">
        <v>-1.061235E-2</v>
      </c>
      <c r="P1227">
        <v>0.98584459999999996</v>
      </c>
      <c r="Q1227">
        <v>0.1676474</v>
      </c>
      <c r="R1227">
        <v>2.25399E-3</v>
      </c>
      <c r="S1227">
        <v>3.0560909999999999</v>
      </c>
      <c r="T1227">
        <v>-7.8969719999999993E-2</v>
      </c>
      <c r="U1227">
        <v>0.20092769999999999</v>
      </c>
      <c r="V1227">
        <v>-1.271006E-2</v>
      </c>
      <c r="W1227">
        <v>0.18046789999999999</v>
      </c>
      <c r="X1227">
        <v>0.98349880000000001</v>
      </c>
      <c r="Y1227">
        <v>-7.6162850000000004E-2</v>
      </c>
      <c r="Z1227">
        <v>1.25673E-3</v>
      </c>
      <c r="AA1227">
        <v>0.99709460000000005</v>
      </c>
      <c r="AB1227">
        <v>31</v>
      </c>
      <c r="AC1227">
        <v>42.8142</v>
      </c>
      <c r="AD1227">
        <v>-1.1101564875679999</v>
      </c>
      <c r="AE1227">
        <v>2.82620000000002</v>
      </c>
      <c r="AF1227">
        <v>-3.2782440262260302</v>
      </c>
      <c r="AG1227">
        <v>-1.1101564875679999</v>
      </c>
      <c r="AH1227">
        <v>42.753173241655901</v>
      </c>
      <c r="AI1227">
        <v>91.483093300439904</v>
      </c>
      <c r="AJ1227">
        <v>94.384767414326603</v>
      </c>
      <c r="AK1227">
        <v>42.8930431836379</v>
      </c>
      <c r="AL1227">
        <v>79.602985680346606</v>
      </c>
      <c r="AM1227">
        <v>90.740409910239094</v>
      </c>
      <c r="AN1227">
        <v>1.0000000490785199</v>
      </c>
    </row>
    <row r="1228" spans="1:40" x14ac:dyDescent="0.25">
      <c r="A1228" t="str">
        <f>"20190312172111333"</f>
        <v>20190312172111333</v>
      </c>
      <c r="B1228" t="str">
        <f>"1552382471321860"</f>
        <v>1552382471321860</v>
      </c>
      <c r="C1228" t="s">
        <v>40</v>
      </c>
      <c r="D1228">
        <v>3.188132</v>
      </c>
      <c r="E1228">
        <v>0.47561730000000002</v>
      </c>
      <c r="F1228" t="s">
        <v>42</v>
      </c>
      <c r="G1228">
        <v>-224.54949999999999</v>
      </c>
      <c r="H1228" s="1">
        <v>-2.557436E-6</v>
      </c>
      <c r="I1228">
        <v>370.50670000000002</v>
      </c>
      <c r="J1228">
        <v>-267.34890000000001</v>
      </c>
      <c r="K1228">
        <v>1.1101669999999999</v>
      </c>
      <c r="L1228">
        <v>367.65620000000001</v>
      </c>
      <c r="M1228">
        <v>0.99985869999999999</v>
      </c>
      <c r="N1228">
        <v>0</v>
      </c>
      <c r="O1228">
        <v>-1.061234E-2</v>
      </c>
      <c r="P1228">
        <v>0.9858536</v>
      </c>
      <c r="Q1228">
        <v>0.16759389999999999</v>
      </c>
      <c r="R1228">
        <v>2.275362E-3</v>
      </c>
      <c r="S1228">
        <v>3.0560299999999998</v>
      </c>
      <c r="T1228">
        <v>-7.8966980000000006E-2</v>
      </c>
      <c r="U1228">
        <v>0.2026367</v>
      </c>
      <c r="V1228">
        <v>-1.273125E-2</v>
      </c>
      <c r="W1228">
        <v>0.18043129999999999</v>
      </c>
      <c r="X1228">
        <v>0.98350519999999997</v>
      </c>
      <c r="Y1228">
        <v>-7.6719140000000005E-2</v>
      </c>
      <c r="Z1228">
        <v>1.263866E-3</v>
      </c>
      <c r="AA1228">
        <v>0.99705200000000005</v>
      </c>
      <c r="AB1228">
        <v>31</v>
      </c>
      <c r="AC1228">
        <v>42.799399999999999</v>
      </c>
      <c r="AD1228">
        <v>-1.110169557436</v>
      </c>
      <c r="AE1228">
        <v>2.85050000000001</v>
      </c>
      <c r="AF1228">
        <v>-3.30236773214114</v>
      </c>
      <c r="AG1228">
        <v>-1.110169557436</v>
      </c>
      <c r="AH1228">
        <v>42.738108049049401</v>
      </c>
      <c r="AI1228">
        <v>91.483566197531601</v>
      </c>
      <c r="AJ1228">
        <v>94.418457301412602</v>
      </c>
      <c r="AK1228">
        <v>42.879878599370699</v>
      </c>
      <c r="AL1228">
        <v>79.605117278997398</v>
      </c>
      <c r="AM1228">
        <v>90.741639345936605</v>
      </c>
      <c r="AN1228">
        <v>1.0000000085866401</v>
      </c>
    </row>
    <row r="1229" spans="1:40" x14ac:dyDescent="0.25">
      <c r="A1229" t="str">
        <f>"20190312172111345"</f>
        <v>20190312172111345</v>
      </c>
      <c r="B1229" t="str">
        <f>"1552382471342355"</f>
        <v>1552382471342355</v>
      </c>
      <c r="C1229" t="s">
        <v>40</v>
      </c>
      <c r="D1229">
        <v>3.1974809999999998</v>
      </c>
      <c r="E1229">
        <v>0.47520790000000002</v>
      </c>
      <c r="F1229" t="s">
        <v>42</v>
      </c>
      <c r="G1229">
        <v>-224.40119999999999</v>
      </c>
      <c r="H1229" s="1">
        <v>-2.6267269999999999E-6</v>
      </c>
      <c r="I1229">
        <v>370.52800000000002</v>
      </c>
      <c r="J1229">
        <v>-267.20280000000002</v>
      </c>
      <c r="K1229">
        <v>1.1101780000000001</v>
      </c>
      <c r="L1229">
        <v>367.65469999999999</v>
      </c>
      <c r="M1229">
        <v>0.99985860000000004</v>
      </c>
      <c r="N1229">
        <v>0</v>
      </c>
      <c r="O1229">
        <v>-1.0612190000000001E-2</v>
      </c>
      <c r="P1229">
        <v>0.98584559999999999</v>
      </c>
      <c r="Q1229">
        <v>0.1676406</v>
      </c>
      <c r="R1229">
        <v>2.3127899999999999E-3</v>
      </c>
      <c r="S1229">
        <v>3.056</v>
      </c>
      <c r="T1229">
        <v>-7.8995350000000006E-2</v>
      </c>
      <c r="U1229">
        <v>0.20434569999999999</v>
      </c>
      <c r="V1229">
        <v>-1.276863E-2</v>
      </c>
      <c r="W1229">
        <v>0.18049129999999999</v>
      </c>
      <c r="X1229">
        <v>0.98349370000000003</v>
      </c>
      <c r="Y1229">
        <v>-7.7274519999999999E-2</v>
      </c>
      <c r="Z1229">
        <v>1.2714740000000001E-3</v>
      </c>
      <c r="AA1229">
        <v>0.99700900000000003</v>
      </c>
      <c r="AB1229">
        <v>31</v>
      </c>
      <c r="AC1229">
        <v>42.801600000000001</v>
      </c>
      <c r="AD1229">
        <v>-1.110180626727</v>
      </c>
      <c r="AE1229">
        <v>2.8733000000000199</v>
      </c>
      <c r="AF1229">
        <v>-3.3251684953109799</v>
      </c>
      <c r="AG1229">
        <v>-1.110180626727</v>
      </c>
      <c r="AH1229">
        <v>42.7400695142532</v>
      </c>
      <c r="AI1229">
        <v>91.483452365947102</v>
      </c>
      <c r="AJ1229">
        <v>94.4486385550412</v>
      </c>
      <c r="AK1229">
        <v>42.883595798736003</v>
      </c>
      <c r="AL1229">
        <v>79.601622086720397</v>
      </c>
      <c r="AM1229">
        <v>90.7438253124092</v>
      </c>
      <c r="AN1229">
        <v>1.0000000026137199</v>
      </c>
    </row>
    <row r="1230" spans="1:40" x14ac:dyDescent="0.25">
      <c r="A1230" t="str">
        <f>"20190312172111356"</f>
        <v>20190312172111356</v>
      </c>
      <c r="B1230" t="str">
        <f>"1552382471352115"</f>
        <v>1552382471352115</v>
      </c>
      <c r="C1230" t="s">
        <v>40</v>
      </c>
      <c r="D1230">
        <v>3.2608030000000001</v>
      </c>
      <c r="E1230">
        <v>0.47502169999999999</v>
      </c>
      <c r="F1230" t="s">
        <v>42</v>
      </c>
      <c r="G1230">
        <v>-223.96260000000001</v>
      </c>
      <c r="H1230" s="1">
        <v>-2.8319680000000001E-6</v>
      </c>
      <c r="I1230">
        <v>370.59219999999999</v>
      </c>
      <c r="J1230">
        <v>-267.02800000000002</v>
      </c>
      <c r="K1230">
        <v>1.110195</v>
      </c>
      <c r="L1230">
        <v>367.65280000000001</v>
      </c>
      <c r="M1230">
        <v>0.99985829999999998</v>
      </c>
      <c r="N1230">
        <v>0</v>
      </c>
      <c r="O1230">
        <v>-1.0612170000000001E-2</v>
      </c>
      <c r="P1230">
        <v>0.98585279999999997</v>
      </c>
      <c r="Q1230">
        <v>0.16759859999999999</v>
      </c>
      <c r="R1230">
        <v>2.2485040000000001E-3</v>
      </c>
      <c r="S1230">
        <v>3.055939</v>
      </c>
      <c r="T1230">
        <v>-7.8460340000000003E-2</v>
      </c>
      <c r="U1230">
        <v>0.20761109999999999</v>
      </c>
      <c r="V1230">
        <v>-1.2704439999999999E-2</v>
      </c>
      <c r="W1230">
        <v>0.18046509999999999</v>
      </c>
      <c r="X1230">
        <v>0.98349929999999997</v>
      </c>
      <c r="Y1230">
        <v>-7.8336359999999994E-2</v>
      </c>
      <c r="Z1230">
        <v>1.276459E-3</v>
      </c>
      <c r="AA1230">
        <v>0.99692619999999998</v>
      </c>
      <c r="AB1230">
        <v>31</v>
      </c>
      <c r="AC1230">
        <v>43.065399999999997</v>
      </c>
      <c r="AD1230">
        <v>-1.1101978319679999</v>
      </c>
      <c r="AE1230">
        <v>2.9393999999999698</v>
      </c>
      <c r="AF1230">
        <v>-3.3940456861858501</v>
      </c>
      <c r="AG1230">
        <v>-1.1101978319679999</v>
      </c>
      <c r="AH1230">
        <v>43.003332065556698</v>
      </c>
      <c r="AI1230">
        <v>91.474268495321596</v>
      </c>
      <c r="AJ1230">
        <v>94.512724977571906</v>
      </c>
      <c r="AK1230">
        <v>43.151345912805098</v>
      </c>
      <c r="AL1230">
        <v>79.6031478932791</v>
      </c>
      <c r="AM1230">
        <v>90.740082183824697</v>
      </c>
      <c r="AN1230">
        <v>0.99999996410710601</v>
      </c>
    </row>
    <row r="1231" spans="1:40" x14ac:dyDescent="0.25">
      <c r="A1231" t="str">
        <f>"20190312172111370"</f>
        <v>20190312172111370</v>
      </c>
      <c r="B1231" t="str">
        <f>"1552382471361875"</f>
        <v>1552382471361875</v>
      </c>
      <c r="C1231" t="s">
        <v>40</v>
      </c>
      <c r="D1231">
        <v>3.2776350000000001</v>
      </c>
      <c r="E1231">
        <v>0.4748424</v>
      </c>
      <c r="F1231" t="s">
        <v>42</v>
      </c>
      <c r="G1231">
        <v>-223.85300000000001</v>
      </c>
      <c r="H1231" s="1">
        <v>-2.8819139999999998E-6</v>
      </c>
      <c r="I1231">
        <v>370.60320000000002</v>
      </c>
      <c r="J1231">
        <v>-266.84769999999997</v>
      </c>
      <c r="K1231">
        <v>1.1102050000000001</v>
      </c>
      <c r="L1231">
        <v>367.65089999999998</v>
      </c>
      <c r="M1231">
        <v>0.99985820000000003</v>
      </c>
      <c r="N1231">
        <v>0</v>
      </c>
      <c r="O1231">
        <v>-1.0612150000000001E-2</v>
      </c>
      <c r="P1231">
        <v>0.98583799999999999</v>
      </c>
      <c r="Q1231">
        <v>0.167689</v>
      </c>
      <c r="R1231">
        <v>2.0013119999999999E-3</v>
      </c>
      <c r="S1231">
        <v>3.055939</v>
      </c>
      <c r="T1231">
        <v>-7.8579899999999994E-2</v>
      </c>
      <c r="U1231">
        <v>0.20883180000000001</v>
      </c>
      <c r="V1231">
        <v>-1.2457050000000001E-2</v>
      </c>
      <c r="W1231">
        <v>0.18057010000000001</v>
      </c>
      <c r="X1231">
        <v>0.9834832</v>
      </c>
      <c r="Y1231">
        <v>-7.8732510000000006E-2</v>
      </c>
      <c r="Z1231">
        <v>1.2834719999999999E-3</v>
      </c>
      <c r="AA1231">
        <v>0.99689499999999998</v>
      </c>
      <c r="AB1231">
        <v>31</v>
      </c>
      <c r="AC1231">
        <v>42.994700000000002</v>
      </c>
      <c r="AD1231">
        <v>-1.110207881914</v>
      </c>
      <c r="AE1231">
        <v>2.9523000000000299</v>
      </c>
      <c r="AF1231">
        <v>-3.4061784456251099</v>
      </c>
      <c r="AG1231">
        <v>-1.110207881914</v>
      </c>
      <c r="AH1231">
        <v>42.932453697346403</v>
      </c>
      <c r="AI1231">
        <v>91.476666763462802</v>
      </c>
      <c r="AJ1231">
        <v>94.536235237379501</v>
      </c>
      <c r="AK1231">
        <v>43.0816688815475</v>
      </c>
      <c r="AL1231">
        <v>79.597031434088805</v>
      </c>
      <c r="AM1231">
        <v>90.725684205538698</v>
      </c>
      <c r="AN1231">
        <v>0.99999997189547496</v>
      </c>
    </row>
    <row r="1232" spans="1:40" x14ac:dyDescent="0.25">
      <c r="A1232" t="str">
        <f>"20190312172111383"</f>
        <v>20190312172111383</v>
      </c>
      <c r="B1232" t="str">
        <f>"1552382471372611"</f>
        <v>1552382471372611</v>
      </c>
      <c r="C1232" t="s">
        <v>40</v>
      </c>
      <c r="D1232">
        <v>3.1964640000000002</v>
      </c>
      <c r="E1232">
        <v>0.47467379999999998</v>
      </c>
      <c r="F1232" t="s">
        <v>42</v>
      </c>
      <c r="G1232">
        <v>-223.36529999999999</v>
      </c>
      <c r="H1232" s="1">
        <v>-3.0988840000000001E-6</v>
      </c>
      <c r="I1232">
        <v>370.63229999999999</v>
      </c>
      <c r="J1232">
        <v>-266.68020000000001</v>
      </c>
      <c r="K1232">
        <v>1.110214</v>
      </c>
      <c r="L1232">
        <v>367.64909999999998</v>
      </c>
      <c r="M1232">
        <v>0.99985809999999997</v>
      </c>
      <c r="N1232">
        <v>0</v>
      </c>
      <c r="O1232">
        <v>-1.061199E-2</v>
      </c>
      <c r="P1232">
        <v>0.98585120000000004</v>
      </c>
      <c r="Q1232">
        <v>0.16760920000000001</v>
      </c>
      <c r="R1232">
        <v>2.2182489999999998E-3</v>
      </c>
      <c r="S1232">
        <v>3.055939</v>
      </c>
      <c r="T1232">
        <v>-7.80251E-2</v>
      </c>
      <c r="U1232">
        <v>0.20953369999999999</v>
      </c>
      <c r="V1232">
        <v>-1.267386E-2</v>
      </c>
      <c r="W1232">
        <v>0.1805031</v>
      </c>
      <c r="X1232">
        <v>0.98349279999999994</v>
      </c>
      <c r="Y1232">
        <v>-7.8960580000000002E-2</v>
      </c>
      <c r="Z1232">
        <v>1.2773070000000001E-3</v>
      </c>
      <c r="AA1232">
        <v>0.99687689999999995</v>
      </c>
      <c r="AB1232">
        <v>31</v>
      </c>
      <c r="AC1232">
        <v>43.314900000000002</v>
      </c>
      <c r="AD1232">
        <v>-1.1102170988840001</v>
      </c>
      <c r="AE1232">
        <v>2.9832000000000098</v>
      </c>
      <c r="AF1232">
        <v>-3.4404790222918802</v>
      </c>
      <c r="AG1232">
        <v>-1.1102170988840001</v>
      </c>
      <c r="AH1232">
        <v>43.252519002283599</v>
      </c>
      <c r="AI1232">
        <v>91.465732672887498</v>
      </c>
      <c r="AJ1232">
        <v>94.547960450460195</v>
      </c>
      <c r="AK1232">
        <v>43.403339479265703</v>
      </c>
      <c r="AL1232">
        <v>79.600935118098803</v>
      </c>
      <c r="AM1232">
        <v>90.738305858341903</v>
      </c>
      <c r="AN1232">
        <v>1.00000004174437</v>
      </c>
    </row>
    <row r="1233" spans="1:40" x14ac:dyDescent="0.25">
      <c r="A1233" t="str">
        <f>"20190312172111395"</f>
        <v>20190312172111395</v>
      </c>
      <c r="B1233" t="str">
        <f>"1552382471382372"</f>
        <v>1552382471382372</v>
      </c>
      <c r="C1233" t="s">
        <v>40</v>
      </c>
      <c r="D1233">
        <v>3.2599860000000001</v>
      </c>
      <c r="E1233">
        <v>0.47450979999999998</v>
      </c>
      <c r="F1233" t="s">
        <v>42</v>
      </c>
      <c r="G1233">
        <v>-223.15029999999999</v>
      </c>
      <c r="H1233" s="1">
        <v>-3.20022E-6</v>
      </c>
      <c r="I1233">
        <v>370.66649999999998</v>
      </c>
      <c r="J1233">
        <v>-266.5147</v>
      </c>
      <c r="K1233">
        <v>1.1102240000000001</v>
      </c>
      <c r="L1233">
        <v>367.64729999999997</v>
      </c>
      <c r="M1233">
        <v>0.99985780000000002</v>
      </c>
      <c r="N1233">
        <v>0</v>
      </c>
      <c r="O1233">
        <v>-1.061195E-2</v>
      </c>
      <c r="P1233">
        <v>0.98585080000000003</v>
      </c>
      <c r="Q1233">
        <v>0.1676135</v>
      </c>
      <c r="R1233">
        <v>1.978559E-3</v>
      </c>
      <c r="S1233">
        <v>3.0558169999999998</v>
      </c>
      <c r="T1233">
        <v>-7.7937480000000003E-2</v>
      </c>
      <c r="U1233">
        <v>0.2118225</v>
      </c>
      <c r="V1233">
        <v>-1.243466E-2</v>
      </c>
      <c r="W1233">
        <v>0.1805186</v>
      </c>
      <c r="X1233">
        <v>0.98349299999999995</v>
      </c>
      <c r="Y1233">
        <v>-7.9706200000000005E-2</v>
      </c>
      <c r="Z1233">
        <v>1.2853859999999999E-3</v>
      </c>
      <c r="AA1233">
        <v>0.99681759999999997</v>
      </c>
      <c r="AB1233">
        <v>31</v>
      </c>
      <c r="AC1233">
        <v>43.364400000000003</v>
      </c>
      <c r="AD1233">
        <v>-1.11022720022</v>
      </c>
      <c r="AE1233">
        <v>3.0192000000000099</v>
      </c>
      <c r="AF1233">
        <v>-3.4769822509491601</v>
      </c>
      <c r="AG1233">
        <v>-1.11022720022</v>
      </c>
      <c r="AH1233">
        <v>43.301669154832403</v>
      </c>
      <c r="AI1233">
        <v>91.463995537524994</v>
      </c>
      <c r="AJ1233">
        <v>94.590813876570493</v>
      </c>
      <c r="AK1233">
        <v>43.455224790628897</v>
      </c>
      <c r="AL1233">
        <v>79.600032113400005</v>
      </c>
      <c r="AM1233">
        <v>90.724372800128094</v>
      </c>
      <c r="AN1233">
        <v>1.0000000333821299</v>
      </c>
    </row>
    <row r="1234" spans="1:40" x14ac:dyDescent="0.25">
      <c r="A1234" t="str">
        <f>"20190312172111407"</f>
        <v>20190312172111407</v>
      </c>
      <c r="B1234" t="str">
        <f>"1552382471401891"</f>
        <v>1552382471401891</v>
      </c>
      <c r="C1234" t="s">
        <v>40</v>
      </c>
      <c r="D1234">
        <v>3.2476790000000002</v>
      </c>
      <c r="E1234">
        <v>0.47436850000000003</v>
      </c>
      <c r="F1234" t="s">
        <v>42</v>
      </c>
      <c r="G1234">
        <v>-222.83959999999999</v>
      </c>
      <c r="H1234" s="1">
        <v>-3.3380410000000001E-6</v>
      </c>
      <c r="I1234">
        <v>370.68349999999998</v>
      </c>
      <c r="J1234">
        <v>-266.34390000000002</v>
      </c>
      <c r="K1234">
        <v>1.1102289999999999</v>
      </c>
      <c r="L1234">
        <v>367.64550000000003</v>
      </c>
      <c r="M1234">
        <v>0.99985760000000001</v>
      </c>
      <c r="N1234">
        <v>0</v>
      </c>
      <c r="O1234">
        <v>-1.061166E-2</v>
      </c>
      <c r="P1234">
        <v>0.98585699999999998</v>
      </c>
      <c r="Q1234">
        <v>0.16757900000000001</v>
      </c>
      <c r="R1234">
        <v>1.880126E-3</v>
      </c>
      <c r="S1234">
        <v>3.055847</v>
      </c>
      <c r="T1234">
        <v>-7.7679869999999998E-2</v>
      </c>
      <c r="U1234">
        <v>0.21243290000000001</v>
      </c>
      <c r="V1234">
        <v>-1.2335759999999999E-2</v>
      </c>
      <c r="W1234">
        <v>0.18049509999999999</v>
      </c>
      <c r="X1234">
        <v>0.98349850000000005</v>
      </c>
      <c r="Y1234">
        <v>-7.9903509999999997E-2</v>
      </c>
      <c r="Z1234">
        <v>1.283614E-3</v>
      </c>
      <c r="AA1234">
        <v>0.99680179999999996</v>
      </c>
      <c r="AB1234">
        <v>31</v>
      </c>
      <c r="AC1234">
        <v>43.504300000000001</v>
      </c>
      <c r="AD1234">
        <v>-1.110232338041</v>
      </c>
      <c r="AE1234">
        <v>3.0379999999999501</v>
      </c>
      <c r="AF1234">
        <v>-3.4972548863671098</v>
      </c>
      <c r="AG1234">
        <v>-1.110232338041</v>
      </c>
      <c r="AH1234">
        <v>43.441454091849501</v>
      </c>
      <c r="AI1234">
        <v>91.459269245483497</v>
      </c>
      <c r="AJ1234">
        <v>94.602671288342805</v>
      </c>
      <c r="AK1234">
        <v>43.596139062982601</v>
      </c>
      <c r="AL1234">
        <v>79.601400445279495</v>
      </c>
      <c r="AM1234">
        <v>90.718608035125499</v>
      </c>
      <c r="AN1234">
        <v>0.99999997580051803</v>
      </c>
    </row>
    <row r="1235" spans="1:40" x14ac:dyDescent="0.25">
      <c r="A1235" t="str">
        <f>"20190312172111418"</f>
        <v>20190312172111418</v>
      </c>
      <c r="B1235" t="str">
        <f>"1552382471412627"</f>
        <v>1552382471412627</v>
      </c>
      <c r="C1235" t="s">
        <v>40</v>
      </c>
      <c r="D1235">
        <v>3.266994</v>
      </c>
      <c r="E1235">
        <v>0.47423110000000002</v>
      </c>
      <c r="F1235" t="s">
        <v>42</v>
      </c>
      <c r="G1235">
        <v>-222.59549999999999</v>
      </c>
      <c r="H1235" s="1">
        <v>-3.4467840000000002E-6</v>
      </c>
      <c r="I1235">
        <v>370.6986</v>
      </c>
      <c r="J1235">
        <v>-266.1893</v>
      </c>
      <c r="K1235">
        <v>1.1102350000000001</v>
      </c>
      <c r="L1235">
        <v>367.64389999999997</v>
      </c>
      <c r="M1235">
        <v>0.99985769999999996</v>
      </c>
      <c r="N1235">
        <v>0</v>
      </c>
      <c r="O1235">
        <v>-1.061173E-2</v>
      </c>
      <c r="P1235">
        <v>0.98586510000000005</v>
      </c>
      <c r="Q1235">
        <v>0.16753170000000001</v>
      </c>
      <c r="R1235">
        <v>1.90212E-3</v>
      </c>
      <c r="S1235">
        <v>3.0557560000000001</v>
      </c>
      <c r="T1235">
        <v>-7.7547790000000005E-2</v>
      </c>
      <c r="U1235">
        <v>0.2132568</v>
      </c>
      <c r="V1235">
        <v>-1.235789E-2</v>
      </c>
      <c r="W1235">
        <v>0.18045710000000001</v>
      </c>
      <c r="X1235">
        <v>0.98350519999999997</v>
      </c>
      <c r="Y1235">
        <v>-8.0173110000000006E-2</v>
      </c>
      <c r="Z1235">
        <v>1.284877E-3</v>
      </c>
      <c r="AA1235">
        <v>0.99678009999999995</v>
      </c>
      <c r="AB1235">
        <v>31</v>
      </c>
      <c r="AC1235">
        <v>43.593800000000002</v>
      </c>
      <c r="AD1235">
        <v>-1.1102384467839901</v>
      </c>
      <c r="AE1235">
        <v>3.05470000000002</v>
      </c>
      <c r="AF1235">
        <v>-3.5149047301830501</v>
      </c>
      <c r="AG1235">
        <v>-1.1102384467839901</v>
      </c>
      <c r="AH1235">
        <v>43.5308300077415</v>
      </c>
      <c r="AI1235">
        <v>91.456254423622497</v>
      </c>
      <c r="AJ1235">
        <v>94.616342927233603</v>
      </c>
      <c r="AK1235">
        <v>43.686615179410197</v>
      </c>
      <c r="AL1235">
        <v>79.603614081884501</v>
      </c>
      <c r="AM1235">
        <v>90.719892158110099</v>
      </c>
      <c r="AN1235">
        <v>0.99999998040634996</v>
      </c>
    </row>
    <row r="1236" spans="1:40" x14ac:dyDescent="0.25">
      <c r="A1236" t="str">
        <f>"20190312172111428"</f>
        <v>20190312172111428</v>
      </c>
      <c r="B1236" t="str">
        <f>"1552382471422386"</f>
        <v>1552382471422386</v>
      </c>
      <c r="C1236" t="s">
        <v>40</v>
      </c>
      <c r="D1236">
        <v>3.2047490000000001</v>
      </c>
      <c r="E1236">
        <v>0.47409980000000002</v>
      </c>
      <c r="F1236" t="s">
        <v>42</v>
      </c>
      <c r="G1236">
        <v>-222.39259999999999</v>
      </c>
      <c r="H1236" s="1">
        <v>-3.5392840000000001E-6</v>
      </c>
      <c r="I1236">
        <v>370.7192</v>
      </c>
      <c r="J1236">
        <v>-266.0498</v>
      </c>
      <c r="K1236">
        <v>1.110242</v>
      </c>
      <c r="L1236">
        <v>367.64240000000001</v>
      </c>
      <c r="M1236">
        <v>0.99985749999999995</v>
      </c>
      <c r="N1236">
        <v>0</v>
      </c>
      <c r="O1236">
        <v>-1.0611539999999999E-2</v>
      </c>
      <c r="P1236">
        <v>0.98586770000000001</v>
      </c>
      <c r="Q1236">
        <v>0.16751729999999901</v>
      </c>
      <c r="R1236">
        <v>1.702346E-3</v>
      </c>
      <c r="S1236">
        <v>3.0557249999999998</v>
      </c>
      <c r="T1236">
        <v>-7.7461959999999996E-2</v>
      </c>
      <c r="U1236">
        <v>0.21456910000000001</v>
      </c>
      <c r="V1236">
        <v>-1.2157650000000001E-2</v>
      </c>
      <c r="W1236">
        <v>0.18045050000000001</v>
      </c>
      <c r="X1236">
        <v>0.98350890000000002</v>
      </c>
      <c r="Y1236">
        <v>-8.0599519999999994E-2</v>
      </c>
      <c r="Z1236">
        <v>1.288841E-3</v>
      </c>
      <c r="AA1236">
        <v>0.99674569999999996</v>
      </c>
      <c r="AB1236">
        <v>31</v>
      </c>
      <c r="AC1236">
        <v>43.657200000000003</v>
      </c>
      <c r="AD1236">
        <v>-1.110245539284</v>
      </c>
      <c r="AE1236">
        <v>3.0767999999999902</v>
      </c>
      <c r="AF1236">
        <v>-3.5376601707664799</v>
      </c>
      <c r="AG1236">
        <v>-1.110245539284</v>
      </c>
      <c r="AH1236">
        <v>43.594034660774398</v>
      </c>
      <c r="AI1236">
        <v>91.454105939567796</v>
      </c>
      <c r="AJ1236">
        <v>94.639391937869306</v>
      </c>
      <c r="AK1236">
        <v>43.751429035474096</v>
      </c>
      <c r="AL1236">
        <v>79.603998477118594</v>
      </c>
      <c r="AM1236">
        <v>90.7082259817128</v>
      </c>
      <c r="AN1236">
        <v>0.99999997389148998</v>
      </c>
    </row>
    <row r="1237" spans="1:40" x14ac:dyDescent="0.25">
      <c r="A1237" t="str">
        <f>"20190312172111438"</f>
        <v>20190312172111438</v>
      </c>
      <c r="B1237" t="str">
        <f>"1552382471432149"</f>
        <v>1552382471432149</v>
      </c>
      <c r="C1237" t="s">
        <v>40</v>
      </c>
      <c r="D1237">
        <v>3.1559520000000001</v>
      </c>
      <c r="E1237">
        <v>0.47397470000000003</v>
      </c>
      <c r="F1237" t="s">
        <v>42</v>
      </c>
      <c r="G1237">
        <v>-222.20050000000001</v>
      </c>
      <c r="H1237" s="1">
        <v>-3.623788E-6</v>
      </c>
      <c r="I1237">
        <v>370.72710000000001</v>
      </c>
      <c r="J1237">
        <v>-265.90839999999997</v>
      </c>
      <c r="K1237">
        <v>1.110249</v>
      </c>
      <c r="L1237">
        <v>367.64089999999999</v>
      </c>
      <c r="M1237">
        <v>0.99985740000000001</v>
      </c>
      <c r="N1237">
        <v>0</v>
      </c>
      <c r="O1237">
        <v>-1.0611590000000001E-2</v>
      </c>
      <c r="P1237">
        <v>0.98591969999999995</v>
      </c>
      <c r="Q1237">
        <v>0.167212</v>
      </c>
      <c r="R1237">
        <v>1.596419E-3</v>
      </c>
      <c r="S1237">
        <v>3.0557859999999999</v>
      </c>
      <c r="T1237">
        <v>-7.7370999999999995E-2</v>
      </c>
      <c r="U1237">
        <v>0.21496580000000001</v>
      </c>
      <c r="V1237">
        <v>-1.205233E-2</v>
      </c>
      <c r="W1237">
        <v>0.1801527</v>
      </c>
      <c r="X1237">
        <v>0.98356480000000002</v>
      </c>
      <c r="Y1237">
        <v>-8.0726969999999995E-2</v>
      </c>
      <c r="Z1237">
        <v>1.2889100000000001E-3</v>
      </c>
      <c r="AA1237">
        <v>0.99673540000000005</v>
      </c>
      <c r="AB1237">
        <v>31</v>
      </c>
      <c r="AC1237">
        <v>43.707899999999903</v>
      </c>
      <c r="AD1237">
        <v>-1.1102526237879999</v>
      </c>
      <c r="AE1237">
        <v>3.0862000000000198</v>
      </c>
      <c r="AF1237">
        <v>-3.5475988339749902</v>
      </c>
      <c r="AG1237">
        <v>-1.1102526237879999</v>
      </c>
      <c r="AH1237">
        <v>43.644664574463597</v>
      </c>
      <c r="AI1237">
        <v>91.452413446289</v>
      </c>
      <c r="AJ1237">
        <v>94.646995336918195</v>
      </c>
      <c r="AK1237">
        <v>43.802681016039202</v>
      </c>
      <c r="AL1237">
        <v>79.621345569310094</v>
      </c>
      <c r="AM1237">
        <v>90.702051438449601</v>
      </c>
      <c r="AN1237">
        <v>0.99999998488737896</v>
      </c>
    </row>
    <row r="1238" spans="1:40" x14ac:dyDescent="0.25">
      <c r="A1238" t="str">
        <f>"20190312172111448"</f>
        <v>20190312172111448</v>
      </c>
      <c r="B1238" t="str">
        <f>"1552382471441907"</f>
        <v>1552382471441907</v>
      </c>
      <c r="C1238" t="s">
        <v>40</v>
      </c>
      <c r="D1238">
        <v>3.1573410000000002</v>
      </c>
      <c r="E1238">
        <v>0.47385159999999998</v>
      </c>
      <c r="F1238" t="s">
        <v>42</v>
      </c>
      <c r="G1238">
        <v>-222.59729999999999</v>
      </c>
      <c r="H1238" s="1">
        <v>-3.4451350000000002E-6</v>
      </c>
      <c r="I1238">
        <v>370.69540000000001</v>
      </c>
      <c r="J1238">
        <v>-265.77980000000002</v>
      </c>
      <c r="K1238">
        <v>1.1102510000000001</v>
      </c>
      <c r="L1238">
        <v>367.6395</v>
      </c>
      <c r="M1238">
        <v>0.99985729999999995</v>
      </c>
      <c r="N1238">
        <v>0</v>
      </c>
      <c r="O1238">
        <v>-1.0611509999999999E-2</v>
      </c>
      <c r="P1238">
        <v>0.98590330000000004</v>
      </c>
      <c r="Q1238">
        <v>0.16730909999999999</v>
      </c>
      <c r="R1238">
        <v>1.577029E-3</v>
      </c>
      <c r="S1238">
        <v>3.0558169999999998</v>
      </c>
      <c r="T1238">
        <v>-7.8333739999999999E-2</v>
      </c>
      <c r="U1238">
        <v>0.21551509999999999</v>
      </c>
      <c r="V1238">
        <v>-1.2032869999999999E-2</v>
      </c>
      <c r="W1238">
        <v>0.1802559</v>
      </c>
      <c r="X1238">
        <v>0.98354609999999998</v>
      </c>
      <c r="Y1238">
        <v>-8.0903710000000004E-2</v>
      </c>
      <c r="Z1238">
        <v>1.3071809999999999E-3</v>
      </c>
      <c r="AA1238">
        <v>0.99672110000000003</v>
      </c>
      <c r="AB1238">
        <v>31</v>
      </c>
      <c r="AC1238">
        <v>43.182499999999997</v>
      </c>
      <c r="AD1238">
        <v>-1.110254445135</v>
      </c>
      <c r="AE1238">
        <v>3.0558999999999998</v>
      </c>
      <c r="AF1238">
        <v>-3.5116892243591402</v>
      </c>
      <c r="AG1238">
        <v>-1.110254445135</v>
      </c>
      <c r="AH1238">
        <v>43.119276086285502</v>
      </c>
      <c r="AI1238">
        <v>91.470086406115499</v>
      </c>
      <c r="AJ1238">
        <v>94.655966165924198</v>
      </c>
      <c r="AK1238">
        <v>43.276282145613401</v>
      </c>
      <c r="AL1238">
        <v>79.615333922035404</v>
      </c>
      <c r="AM1238">
        <v>90.700931326547803</v>
      </c>
      <c r="AN1238">
        <v>0.99999995513522699</v>
      </c>
    </row>
    <row r="1239" spans="1:40" x14ac:dyDescent="0.25">
      <c r="A1239" t="str">
        <f>"20190312172111457"</f>
        <v>20190312172111457</v>
      </c>
      <c r="B1239" t="str">
        <f>"1552382471452643"</f>
        <v>1552382471452643</v>
      </c>
      <c r="C1239" t="s">
        <v>40</v>
      </c>
      <c r="D1239">
        <v>3.1993510000000001</v>
      </c>
      <c r="E1239">
        <v>0.47374949999999999</v>
      </c>
      <c r="F1239" t="s">
        <v>42</v>
      </c>
      <c r="G1239">
        <v>-222.34059999999999</v>
      </c>
      <c r="H1239" s="1">
        <v>-3.5606639999999999E-6</v>
      </c>
      <c r="I1239">
        <v>370.71570000000003</v>
      </c>
      <c r="J1239">
        <v>-265.6429</v>
      </c>
      <c r="K1239">
        <v>1.1102510000000001</v>
      </c>
      <c r="L1239">
        <v>367.63810000000001</v>
      </c>
      <c r="M1239">
        <v>0.99985710000000005</v>
      </c>
      <c r="N1239">
        <v>0</v>
      </c>
      <c r="O1239">
        <v>-1.061143E-2</v>
      </c>
      <c r="P1239">
        <v>0.98591430000000002</v>
      </c>
      <c r="Q1239">
        <v>0.16724459999999999</v>
      </c>
      <c r="R1239">
        <v>1.3989229999999901E-3</v>
      </c>
      <c r="S1239">
        <v>3.0557859999999999</v>
      </c>
      <c r="T1239">
        <v>-7.8102229999999995E-2</v>
      </c>
      <c r="U1239">
        <v>0.21640010000000001</v>
      </c>
      <c r="V1239">
        <v>-1.1854780000000001E-2</v>
      </c>
      <c r="W1239">
        <v>0.18019769999999999</v>
      </c>
      <c r="X1239">
        <v>0.98355899999999996</v>
      </c>
      <c r="Y1239">
        <v>-8.1191650000000004E-2</v>
      </c>
      <c r="Z1239">
        <v>1.3069920000000001E-3</v>
      </c>
      <c r="AA1239">
        <v>0.99669770000000002</v>
      </c>
      <c r="AB1239">
        <v>31</v>
      </c>
      <c r="AC1239">
        <v>43.302300000000002</v>
      </c>
      <c r="AD1239">
        <v>-1.110254560664</v>
      </c>
      <c r="AE1239">
        <v>3.0776000000000101</v>
      </c>
      <c r="AF1239">
        <v>-3.5346538420603499</v>
      </c>
      <c r="AG1239">
        <v>-1.110254560664</v>
      </c>
      <c r="AH1239">
        <v>43.238918991897997</v>
      </c>
      <c r="AI1239">
        <v>91.465984262916294</v>
      </c>
      <c r="AJ1239">
        <v>94.673369080026504</v>
      </c>
      <c r="AK1239">
        <v>43.397356584941697</v>
      </c>
      <c r="AL1239">
        <v>79.618724800663102</v>
      </c>
      <c r="AM1239">
        <v>90.690549293557893</v>
      </c>
      <c r="AN1239">
        <v>1.0000000266875599</v>
      </c>
    </row>
    <row r="1240" spans="1:40" x14ac:dyDescent="0.25">
      <c r="A1240" t="str">
        <f>"20190312172111468"</f>
        <v>20190312172111468</v>
      </c>
      <c r="B1240" t="str">
        <f>"1552382471462403"</f>
        <v>1552382471462403</v>
      </c>
      <c r="C1240" t="s">
        <v>40</v>
      </c>
      <c r="D1240">
        <v>3.1963710000000001</v>
      </c>
      <c r="E1240">
        <v>0.47363519999999998</v>
      </c>
      <c r="F1240" t="s">
        <v>42</v>
      </c>
      <c r="G1240">
        <v>-222.61670000000001</v>
      </c>
      <c r="H1240" s="1">
        <v>-3.4356249999999998E-6</v>
      </c>
      <c r="I1240">
        <v>370.69080000000002</v>
      </c>
      <c r="J1240">
        <v>-265.5034</v>
      </c>
      <c r="K1240">
        <v>1.1102540000000001</v>
      </c>
      <c r="L1240">
        <v>367.63659999999999</v>
      </c>
      <c r="M1240">
        <v>0.9998572</v>
      </c>
      <c r="N1240">
        <v>0</v>
      </c>
      <c r="O1240">
        <v>-1.061147E-2</v>
      </c>
      <c r="P1240">
        <v>0.98592000000000002</v>
      </c>
      <c r="Q1240">
        <v>0.16721529999999901</v>
      </c>
      <c r="R1240">
        <v>1.1700359999999999E-3</v>
      </c>
      <c r="S1240">
        <v>3.0559690000000002</v>
      </c>
      <c r="T1240">
        <v>-7.8856469999999998E-2</v>
      </c>
      <c r="U1240">
        <v>0.2168274</v>
      </c>
      <c r="V1240">
        <v>-1.1625959999999999E-2</v>
      </c>
      <c r="W1240">
        <v>0.18017430000000001</v>
      </c>
      <c r="X1240">
        <v>0.98356600000000005</v>
      </c>
      <c r="Y1240">
        <v>-8.1325499999999995E-2</v>
      </c>
      <c r="Z1240">
        <v>1.321249E-3</v>
      </c>
      <c r="AA1240">
        <v>0.99668670000000004</v>
      </c>
      <c r="AB1240">
        <v>31</v>
      </c>
      <c r="AC1240">
        <v>42.886699999999898</v>
      </c>
      <c r="AD1240">
        <v>-1.1102574356249999</v>
      </c>
      <c r="AE1240">
        <v>3.05420000000003</v>
      </c>
      <c r="AF1240">
        <v>-3.5068199057569802</v>
      </c>
      <c r="AG1240">
        <v>-1.1102574356249999</v>
      </c>
      <c r="AH1240">
        <v>42.823317354351197</v>
      </c>
      <c r="AI1240">
        <v>91.480191976107605</v>
      </c>
      <c r="AJ1240">
        <v>94.681529868717803</v>
      </c>
      <c r="AK1240">
        <v>42.981007045627202</v>
      </c>
      <c r="AL1240">
        <v>79.620087643895204</v>
      </c>
      <c r="AM1240">
        <v>90.677216801515598</v>
      </c>
      <c r="AN1240">
        <v>1.0000000088412</v>
      </c>
    </row>
    <row r="1241" spans="1:40" x14ac:dyDescent="0.25">
      <c r="A1241" t="str">
        <f>"20190312172111479"</f>
        <v>20190312172111479</v>
      </c>
      <c r="B1241" t="str">
        <f>"1552382471472163"</f>
        <v>1552382471472163</v>
      </c>
      <c r="C1241" t="s">
        <v>40</v>
      </c>
      <c r="D1241">
        <v>3.2753540000000001</v>
      </c>
      <c r="E1241">
        <v>0.47354689999999999</v>
      </c>
      <c r="F1241" t="s">
        <v>42</v>
      </c>
      <c r="G1241">
        <v>-222.52860000000001</v>
      </c>
      <c r="H1241" s="1">
        <v>-3.4726040000000001E-6</v>
      </c>
      <c r="I1241">
        <v>370.68779999999998</v>
      </c>
      <c r="J1241">
        <v>-265.34300000000002</v>
      </c>
      <c r="K1241">
        <v>1.110258</v>
      </c>
      <c r="L1241">
        <v>367.63490000000002</v>
      </c>
      <c r="M1241">
        <v>0.999857</v>
      </c>
      <c r="N1241">
        <v>0</v>
      </c>
      <c r="O1241">
        <v>-1.0611270000000001E-2</v>
      </c>
      <c r="P1241">
        <v>0.98591110000000004</v>
      </c>
      <c r="Q1241">
        <v>0.1672669</v>
      </c>
      <c r="R1241">
        <v>1.096533E-3</v>
      </c>
      <c r="S1241">
        <v>3.056</v>
      </c>
      <c r="T1241">
        <v>-7.8951839999999995E-2</v>
      </c>
      <c r="U1241">
        <v>0.21698000000000001</v>
      </c>
      <c r="V1241">
        <v>-1.1552669999999999E-2</v>
      </c>
      <c r="W1241">
        <v>0.18023239999999999</v>
      </c>
      <c r="X1241">
        <v>0.98355619999999999</v>
      </c>
      <c r="Y1241">
        <v>-8.137403E-2</v>
      </c>
      <c r="Z1241">
        <v>1.3234519999999999E-3</v>
      </c>
      <c r="AA1241">
        <v>0.99668279999999998</v>
      </c>
      <c r="AB1241">
        <v>31</v>
      </c>
      <c r="AC1241">
        <v>42.814399999999999</v>
      </c>
      <c r="AD1241">
        <v>-1.1102614726040001</v>
      </c>
      <c r="AE1241">
        <v>3.0528999999999602</v>
      </c>
      <c r="AF1241">
        <v>-3.50473773959714</v>
      </c>
      <c r="AG1241">
        <v>-1.1102614726040001</v>
      </c>
      <c r="AH1241">
        <v>42.750987942924098</v>
      </c>
      <c r="AI1241">
        <v>91.482689713562806</v>
      </c>
      <c r="AJ1241">
        <v>94.686643223712395</v>
      </c>
      <c r="AK1241">
        <v>42.908773429881997</v>
      </c>
      <c r="AL1241">
        <v>79.616703162385605</v>
      </c>
      <c r="AM1241">
        <v>90.672954728202996</v>
      </c>
      <c r="AN1241">
        <v>0.99999999037616405</v>
      </c>
    </row>
    <row r="1242" spans="1:40" x14ac:dyDescent="0.25">
      <c r="A1242" t="str">
        <f>"20190312172111491"</f>
        <v>20190312172111491</v>
      </c>
      <c r="B1242" t="str">
        <f>"1552382471481923"</f>
        <v>1552382471481923</v>
      </c>
      <c r="C1242" t="s">
        <v>40</v>
      </c>
      <c r="D1242">
        <v>3.1789849999999999</v>
      </c>
      <c r="E1242">
        <v>0.47343740000000001</v>
      </c>
      <c r="F1242" t="s">
        <v>42</v>
      </c>
      <c r="G1242">
        <v>-222.24709999999999</v>
      </c>
      <c r="H1242" s="1">
        <v>-3.598279E-6</v>
      </c>
      <c r="I1242">
        <v>370.7063</v>
      </c>
      <c r="J1242">
        <v>-265.1857</v>
      </c>
      <c r="K1242">
        <v>1.11026</v>
      </c>
      <c r="L1242">
        <v>367.63319999999999</v>
      </c>
      <c r="M1242">
        <v>0.999857</v>
      </c>
      <c r="N1242">
        <v>0</v>
      </c>
      <c r="O1242">
        <v>-1.061133E-2</v>
      </c>
      <c r="P1242">
        <v>0.98593520000000001</v>
      </c>
      <c r="Q1242">
        <v>0.1671252</v>
      </c>
      <c r="R1242">
        <v>1.103969E-3</v>
      </c>
      <c r="S1242">
        <v>3.056</v>
      </c>
      <c r="T1242">
        <v>-7.8730339999999996E-2</v>
      </c>
      <c r="U1242">
        <v>0.217804</v>
      </c>
      <c r="V1242">
        <v>-1.1559989999999999E-2</v>
      </c>
      <c r="W1242">
        <v>0.18009919999999999</v>
      </c>
      <c r="X1242">
        <v>0.98358049999999997</v>
      </c>
      <c r="Y1242">
        <v>-8.1641539999999999E-2</v>
      </c>
      <c r="Z1242">
        <v>1.3231709999999999E-3</v>
      </c>
      <c r="AA1242">
        <v>0.99666089999999996</v>
      </c>
      <c r="AB1242">
        <v>31</v>
      </c>
      <c r="AC1242">
        <v>42.938600000000001</v>
      </c>
      <c r="AD1242">
        <v>-1.1102635982789999</v>
      </c>
      <c r="AE1242">
        <v>3.0731000000000099</v>
      </c>
      <c r="AF1242">
        <v>-3.5262565208450298</v>
      </c>
      <c r="AG1242">
        <v>-1.1102635982789999</v>
      </c>
      <c r="AH1242">
        <v>42.875050037144298</v>
      </c>
      <c r="AI1242">
        <v>91.478372277234897</v>
      </c>
      <c r="AJ1242">
        <v>94.701706663393907</v>
      </c>
      <c r="AK1242">
        <v>43.034138611061898</v>
      </c>
      <c r="AL1242">
        <v>79.624461788582593</v>
      </c>
      <c r="AM1242">
        <v>90.6733644515772</v>
      </c>
      <c r="AN1242">
        <v>0.99999997759484405</v>
      </c>
    </row>
    <row r="1243" spans="1:40" x14ac:dyDescent="0.25">
      <c r="A1243" t="str">
        <f>"20190312172111501"</f>
        <v>20190312172111501</v>
      </c>
      <c r="B1243" t="str">
        <f>"1552382471492659"</f>
        <v>1552382471492659</v>
      </c>
      <c r="C1243" t="s">
        <v>40</v>
      </c>
      <c r="D1243">
        <v>3.191589</v>
      </c>
      <c r="E1243">
        <v>0.47332879999999999</v>
      </c>
      <c r="F1243" t="s">
        <v>42</v>
      </c>
      <c r="G1243">
        <v>-222.27619999999999</v>
      </c>
      <c r="H1243" s="1">
        <v>-3.5833009999999999E-6</v>
      </c>
      <c r="I1243">
        <v>370.69690000000003</v>
      </c>
      <c r="J1243">
        <v>-265.04160000000002</v>
      </c>
      <c r="K1243">
        <v>1.1102639999999999</v>
      </c>
      <c r="L1243">
        <v>367.63159999999999</v>
      </c>
      <c r="M1243">
        <v>0.99985679999999999</v>
      </c>
      <c r="N1243">
        <v>0</v>
      </c>
      <c r="O1243">
        <v>-1.0611260000000001E-2</v>
      </c>
      <c r="P1243">
        <v>0.98595980000000005</v>
      </c>
      <c r="Q1243">
        <v>0.16697960000000001</v>
      </c>
      <c r="R1243">
        <v>1.1980179999999999E-3</v>
      </c>
      <c r="S1243">
        <v>3.056</v>
      </c>
      <c r="T1243">
        <v>-7.9072359999999994E-2</v>
      </c>
      <c r="U1243">
        <v>0.2182007</v>
      </c>
      <c r="V1243">
        <v>-1.1654090000000001E-2</v>
      </c>
      <c r="W1243">
        <v>0.17996229999999999</v>
      </c>
      <c r="X1243">
        <v>0.98360449999999999</v>
      </c>
      <c r="Y1243">
        <v>-8.1769919999999996E-2</v>
      </c>
      <c r="Z1243">
        <v>1.3305669999999999E-3</v>
      </c>
      <c r="AA1243">
        <v>0.99665029999999999</v>
      </c>
      <c r="AB1243">
        <v>31</v>
      </c>
      <c r="AC1243">
        <v>42.7654</v>
      </c>
      <c r="AD1243">
        <v>-1.1102675833009901</v>
      </c>
      <c r="AE1243">
        <v>3.0653000000000299</v>
      </c>
      <c r="AF1243">
        <v>-3.5166034724058002</v>
      </c>
      <c r="AG1243">
        <v>-1.1102675833009901</v>
      </c>
      <c r="AH1243">
        <v>42.701827720437798</v>
      </c>
      <c r="AI1243">
        <v>91.484358976419998</v>
      </c>
      <c r="AJ1243">
        <v>94.707828743111406</v>
      </c>
      <c r="AK1243">
        <v>42.860766264202702</v>
      </c>
      <c r="AL1243">
        <v>79.632436417149506</v>
      </c>
      <c r="AM1243">
        <v>90.678828662966097</v>
      </c>
      <c r="AN1243">
        <v>1.0000000298276299</v>
      </c>
    </row>
    <row r="1244" spans="1:40" x14ac:dyDescent="0.25">
      <c r="A1244" t="str">
        <f>"20190312172111513"</f>
        <v>20190312172111513</v>
      </c>
      <c r="B1244" t="str">
        <f>"1552382471502419"</f>
        <v>1552382471502419</v>
      </c>
      <c r="C1244" t="s">
        <v>40</v>
      </c>
      <c r="D1244">
        <v>3.1895920000000002</v>
      </c>
      <c r="E1244">
        <v>0.4732364</v>
      </c>
      <c r="F1244" t="s">
        <v>42</v>
      </c>
      <c r="G1244">
        <v>-222.36580000000001</v>
      </c>
      <c r="H1244" s="1">
        <v>-3.5461790000000001E-6</v>
      </c>
      <c r="I1244">
        <v>370.70179999999999</v>
      </c>
      <c r="J1244">
        <v>-264.87979999999999</v>
      </c>
      <c r="K1244">
        <v>1.1102669999999999</v>
      </c>
      <c r="L1244">
        <v>367.62990000000002</v>
      </c>
      <c r="M1244">
        <v>0.99985670000000004</v>
      </c>
      <c r="N1244">
        <v>0</v>
      </c>
      <c r="O1244">
        <v>-1.061111E-2</v>
      </c>
      <c r="P1244">
        <v>0.985958</v>
      </c>
      <c r="Q1244">
        <v>0.1669891</v>
      </c>
      <c r="R1244">
        <v>1.269198E-3</v>
      </c>
      <c r="S1244">
        <v>3.0559080000000001</v>
      </c>
      <c r="T1244">
        <v>-7.9503180000000007E-2</v>
      </c>
      <c r="U1244">
        <v>0.21984860000000001</v>
      </c>
      <c r="V1244">
        <v>-1.1725340000000001E-2</v>
      </c>
      <c r="W1244">
        <v>0.17998430000000001</v>
      </c>
      <c r="X1244">
        <v>0.98359960000000002</v>
      </c>
      <c r="Y1244">
        <v>-8.2306050000000006E-2</v>
      </c>
      <c r="Z1244">
        <v>1.344788E-3</v>
      </c>
      <c r="AA1244">
        <v>0.9966062</v>
      </c>
      <c r="AB1244">
        <v>31</v>
      </c>
      <c r="AC1244">
        <v>42.513999999999903</v>
      </c>
      <c r="AD1244">
        <v>-1.1102705461789999</v>
      </c>
      <c r="AE1244">
        <v>3.0718999999999701</v>
      </c>
      <c r="AF1244">
        <v>-3.5204984423291399</v>
      </c>
      <c r="AG1244">
        <v>-1.1102705461789999</v>
      </c>
      <c r="AH1244">
        <v>42.450205673805002</v>
      </c>
      <c r="AI1244">
        <v>91.493086432823603</v>
      </c>
      <c r="AJ1244">
        <v>94.740828920812305</v>
      </c>
      <c r="AK1244">
        <v>42.6104045007379</v>
      </c>
      <c r="AL1244">
        <v>79.631154699512905</v>
      </c>
      <c r="AM1244">
        <v>90.682981850618702</v>
      </c>
      <c r="AN1244">
        <v>1.0000000024823801</v>
      </c>
    </row>
    <row r="1245" spans="1:40" x14ac:dyDescent="0.25">
      <c r="A1245" t="str">
        <f>"20190312172111523"</f>
        <v>20190312172111523</v>
      </c>
      <c r="B1245" t="str">
        <f>"1552382471512179"</f>
        <v>1552382471512179</v>
      </c>
      <c r="C1245" t="s">
        <v>40</v>
      </c>
      <c r="D1245">
        <v>3.2090320000000001</v>
      </c>
      <c r="E1245">
        <v>0.47313929999999998</v>
      </c>
      <c r="F1245" t="s">
        <v>42</v>
      </c>
      <c r="G1245">
        <v>-222.1739</v>
      </c>
      <c r="H1245" s="1">
        <v>-3.6320219999999999E-6</v>
      </c>
      <c r="I1245">
        <v>370.71499999999997</v>
      </c>
      <c r="J1245">
        <v>-264.74090000000001</v>
      </c>
      <c r="K1245">
        <v>1.1102730000000001</v>
      </c>
      <c r="L1245">
        <v>367.6284</v>
      </c>
      <c r="M1245">
        <v>0.99985650000000004</v>
      </c>
      <c r="N1245">
        <v>0</v>
      </c>
      <c r="O1245">
        <v>-1.061107E-2</v>
      </c>
      <c r="P1245">
        <v>0.98595250000000001</v>
      </c>
      <c r="Q1245">
        <v>0.16702239999999999</v>
      </c>
      <c r="R1245">
        <v>1.1954050000000001E-3</v>
      </c>
      <c r="S1245">
        <v>3.0559080000000001</v>
      </c>
      <c r="T1245">
        <v>-7.9447509999999999E-2</v>
      </c>
      <c r="U1245">
        <v>0.22076419999999999</v>
      </c>
      <c r="V1245">
        <v>-1.16516E-2</v>
      </c>
      <c r="W1245">
        <v>0.180029299999999</v>
      </c>
      <c r="X1245">
        <v>0.98359220000000003</v>
      </c>
      <c r="Y1245">
        <v>-8.2602990000000001E-2</v>
      </c>
      <c r="Z1245">
        <v>1.3476860000000001E-3</v>
      </c>
      <c r="AA1245">
        <v>0.99658159999999896</v>
      </c>
      <c r="AB1245">
        <v>31</v>
      </c>
      <c r="AC1245">
        <v>42.567</v>
      </c>
      <c r="AD1245">
        <v>-1.1102766320219899</v>
      </c>
      <c r="AE1245">
        <v>3.08659999999997</v>
      </c>
      <c r="AF1245">
        <v>-3.5357541225392501</v>
      </c>
      <c r="AG1245">
        <v>-1.1102766320219899</v>
      </c>
      <c r="AH1245">
        <v>42.503083458356002</v>
      </c>
      <c r="AI1245">
        <v>91.491206457232806</v>
      </c>
      <c r="AJ1245">
        <v>94.755382228029802</v>
      </c>
      <c r="AK1245">
        <v>42.664345475849501</v>
      </c>
      <c r="AL1245">
        <v>79.628533152652807</v>
      </c>
      <c r="AM1245">
        <v>90.678692125020504</v>
      </c>
      <c r="AN1245">
        <v>0.99999996227094401</v>
      </c>
    </row>
    <row r="1246" spans="1:40" x14ac:dyDescent="0.25">
      <c r="A1246" t="str">
        <f>"20190312172111534"</f>
        <v>20190312172111534</v>
      </c>
      <c r="B1246" t="str">
        <f>"1552382471521939"</f>
        <v>1552382471521939</v>
      </c>
      <c r="C1246" t="s">
        <v>40</v>
      </c>
      <c r="D1246">
        <v>3.3079350000000001</v>
      </c>
      <c r="E1246">
        <v>0.47302270000000002</v>
      </c>
      <c r="F1246" t="s">
        <v>42</v>
      </c>
      <c r="G1246">
        <v>-222.02789999999999</v>
      </c>
      <c r="H1246" s="1">
        <v>-3.6960930000000001E-6</v>
      </c>
      <c r="I1246">
        <v>370.72050000000002</v>
      </c>
      <c r="J1246">
        <v>-264.58859999999999</v>
      </c>
      <c r="K1246">
        <v>1.1102810000000001</v>
      </c>
      <c r="L1246">
        <v>367.62689999999998</v>
      </c>
      <c r="M1246">
        <v>0.99985630000000003</v>
      </c>
      <c r="N1246">
        <v>0</v>
      </c>
      <c r="O1246">
        <v>-1.0610929999999999E-2</v>
      </c>
      <c r="P1246">
        <v>0.98598339999999995</v>
      </c>
      <c r="Q1246">
        <v>0.16683899999999999</v>
      </c>
      <c r="R1246">
        <v>1.192734E-3</v>
      </c>
      <c r="S1246">
        <v>3.0559080000000001</v>
      </c>
      <c r="T1246">
        <v>-7.9434749999999998E-2</v>
      </c>
      <c r="U1246">
        <v>0.2212219</v>
      </c>
      <c r="V1246">
        <v>-1.164915E-2</v>
      </c>
      <c r="W1246">
        <v>0.17986189999999999</v>
      </c>
      <c r="X1246">
        <v>0.98362289999999997</v>
      </c>
      <c r="Y1246">
        <v>-8.2751329999999998E-2</v>
      </c>
      <c r="Z1246">
        <v>1.3493839999999999E-3</v>
      </c>
      <c r="AA1246">
        <v>0.99656929999999999</v>
      </c>
      <c r="AB1246">
        <v>31</v>
      </c>
      <c r="AC1246">
        <v>42.560699999999997</v>
      </c>
      <c r="AD1246">
        <v>-1.110284696093</v>
      </c>
      <c r="AE1246">
        <v>3.0936000000000301</v>
      </c>
      <c r="AF1246">
        <v>-3.5426756410750202</v>
      </c>
      <c r="AG1246">
        <v>-1.110284696093</v>
      </c>
      <c r="AH1246">
        <v>42.496706128954202</v>
      </c>
      <c r="AI1246">
        <v>91.491419344326999</v>
      </c>
      <c r="AJ1246">
        <v>94.765360170180699</v>
      </c>
      <c r="AK1246">
        <v>42.658566720120099</v>
      </c>
      <c r="AL1246">
        <v>79.638284102521595</v>
      </c>
      <c r="AM1246">
        <v>90.678528252393093</v>
      </c>
      <c r="AN1246">
        <v>1.0000000075858699</v>
      </c>
    </row>
    <row r="1247" spans="1:40" x14ac:dyDescent="0.25">
      <c r="A1247" t="str">
        <f>"20190312172111546"</f>
        <v>20190312172111546</v>
      </c>
      <c r="B1247" t="str">
        <f>"1552382471542435"</f>
        <v>1552382471542435</v>
      </c>
      <c r="C1247" t="s">
        <v>40</v>
      </c>
      <c r="D1247">
        <v>3.2510020000000002</v>
      </c>
      <c r="E1247">
        <v>0.47290589999999999</v>
      </c>
      <c r="F1247" t="s">
        <v>42</v>
      </c>
      <c r="G1247">
        <v>-222.4897</v>
      </c>
      <c r="H1247" s="1">
        <v>-3.488611E-6</v>
      </c>
      <c r="I1247">
        <v>370.68520000000001</v>
      </c>
      <c r="J1247">
        <v>-264.43450000000001</v>
      </c>
      <c r="K1247">
        <v>1.1102860000000001</v>
      </c>
      <c r="L1247">
        <v>367.62520000000001</v>
      </c>
      <c r="M1247">
        <v>0.99985610000000003</v>
      </c>
      <c r="N1247">
        <v>0</v>
      </c>
      <c r="O1247">
        <v>-1.0610929999999999E-2</v>
      </c>
      <c r="P1247">
        <v>0.98597279999999998</v>
      </c>
      <c r="Q1247">
        <v>0.16690179999999999</v>
      </c>
      <c r="R1247">
        <v>1.226298E-3</v>
      </c>
      <c r="S1247">
        <v>3.0560299999999998</v>
      </c>
      <c r="T1247">
        <v>-8.0597160000000001E-2</v>
      </c>
      <c r="U1247">
        <v>0.2220154</v>
      </c>
      <c r="V1247">
        <v>-1.168275E-2</v>
      </c>
      <c r="W1247">
        <v>0.17994109999999999</v>
      </c>
      <c r="X1247">
        <v>0.98360800000000004</v>
      </c>
      <c r="Y1247">
        <v>-8.3004850000000005E-2</v>
      </c>
      <c r="Z1247">
        <v>1.372395E-3</v>
      </c>
      <c r="AA1247">
        <v>0.9965482</v>
      </c>
      <c r="AB1247">
        <v>31</v>
      </c>
      <c r="AC1247">
        <v>41.944800000000001</v>
      </c>
      <c r="AD1247">
        <v>-1.110289488611</v>
      </c>
      <c r="AE1247">
        <v>3.06</v>
      </c>
      <c r="AF1247">
        <v>-3.5024989078233602</v>
      </c>
      <c r="AG1247">
        <v>-1.110289488611</v>
      </c>
      <c r="AH1247">
        <v>41.880776474249103</v>
      </c>
      <c r="AI1247">
        <v>91.513316212696495</v>
      </c>
      <c r="AJ1247">
        <v>94.780534801103201</v>
      </c>
      <c r="AK1247">
        <v>42.041642206672201</v>
      </c>
      <c r="AL1247">
        <v>79.633670848042797</v>
      </c>
      <c r="AM1247">
        <v>90.680495475666405</v>
      </c>
      <c r="AN1247">
        <v>0.99999999189038602</v>
      </c>
    </row>
    <row r="1248" spans="1:40" x14ac:dyDescent="0.25">
      <c r="A1248" t="str">
        <f>"20190312172111557"</f>
        <v>20190312172111557</v>
      </c>
      <c r="B1248" t="str">
        <f>"1552382471552195"</f>
        <v>1552382471552195</v>
      </c>
      <c r="C1248" t="s">
        <v>40</v>
      </c>
      <c r="D1248">
        <v>3.2280920000000002</v>
      </c>
      <c r="E1248">
        <v>0.45518059999999999</v>
      </c>
      <c r="F1248" t="s">
        <v>42</v>
      </c>
      <c r="G1248">
        <v>-222.19749999999999</v>
      </c>
      <c r="H1248" s="1">
        <v>-3.6216970000000001E-6</v>
      </c>
      <c r="I1248">
        <v>370.71440000000001</v>
      </c>
      <c r="J1248">
        <v>-264.27820000000003</v>
      </c>
      <c r="K1248">
        <v>1.110298</v>
      </c>
      <c r="L1248">
        <v>367.62360000000001</v>
      </c>
      <c r="M1248">
        <v>0.99985590000000002</v>
      </c>
      <c r="N1248">
        <v>0</v>
      </c>
      <c r="O1248">
        <v>-1.0610929999999999E-2</v>
      </c>
      <c r="P1248">
        <v>0.98595750000000004</v>
      </c>
      <c r="Q1248">
        <v>0.1669948</v>
      </c>
      <c r="R1248">
        <v>9.9583529999999992E-4</v>
      </c>
      <c r="S1248">
        <v>3.0559690000000002</v>
      </c>
      <c r="T1248">
        <v>-8.0332520000000004E-2</v>
      </c>
      <c r="U1248">
        <v>0.22351070000000001</v>
      </c>
      <c r="V1248">
        <v>-1.145176E-2</v>
      </c>
      <c r="W1248">
        <v>0.18005189999999999</v>
      </c>
      <c r="X1248">
        <v>0.98359039999999998</v>
      </c>
      <c r="Y1248">
        <v>-8.3491360000000001E-2</v>
      </c>
      <c r="Z1248">
        <v>1.3742779999999901E-3</v>
      </c>
      <c r="AA1248">
        <v>0.99650749999999999</v>
      </c>
      <c r="AB1248">
        <v>31</v>
      </c>
      <c r="AC1248">
        <v>42.0807</v>
      </c>
      <c r="AD1248">
        <v>-1.1103016216969901</v>
      </c>
      <c r="AE1248">
        <v>3.0908000000000002</v>
      </c>
      <c r="AF1248">
        <v>-3.53473295856837</v>
      </c>
      <c r="AG1248">
        <v>-1.1103016216969901</v>
      </c>
      <c r="AH1248">
        <v>42.016437725466602</v>
      </c>
      <c r="AI1248">
        <v>91.508386372190799</v>
      </c>
      <c r="AJ1248">
        <v>94.808820656856099</v>
      </c>
      <c r="AK1248">
        <v>42.179475410648998</v>
      </c>
      <c r="AL1248">
        <v>79.627216651762794</v>
      </c>
      <c r="AM1248">
        <v>90.667053959461995</v>
      </c>
      <c r="AN1248">
        <v>0.99999995223643201</v>
      </c>
    </row>
    <row r="1249" spans="1:40" x14ac:dyDescent="0.25">
      <c r="A1249" t="str">
        <f>"20190312172111570"</f>
        <v>20190312172111570</v>
      </c>
      <c r="B1249" t="str">
        <f>"1552382471561955"</f>
        <v>1552382471561955</v>
      </c>
      <c r="C1249" t="s">
        <v>40</v>
      </c>
      <c r="D1249">
        <v>3.168158</v>
      </c>
      <c r="E1249">
        <v>0.44992939999999998</v>
      </c>
      <c r="F1249" t="s">
        <v>42</v>
      </c>
      <c r="G1249">
        <v>-214.5498</v>
      </c>
      <c r="H1249" s="1">
        <v>-3.3687559999999999E-6</v>
      </c>
      <c r="I1249">
        <v>373.5564</v>
      </c>
      <c r="J1249">
        <v>-264.09949999999998</v>
      </c>
      <c r="K1249">
        <v>1.110303</v>
      </c>
      <c r="L1249">
        <v>367.62169999999998</v>
      </c>
      <c r="M1249">
        <v>0.99985559999999996</v>
      </c>
      <c r="N1249">
        <v>0</v>
      </c>
      <c r="O1249">
        <v>-1.0610700000000001E-2</v>
      </c>
      <c r="P1249">
        <v>0.98593090000000005</v>
      </c>
      <c r="Q1249">
        <v>0.1671512</v>
      </c>
      <c r="R1249">
        <v>8.7372030000000002E-4</v>
      </c>
      <c r="S1249">
        <v>3.053925</v>
      </c>
      <c r="T1249">
        <v>-6.8185930000000006E-2</v>
      </c>
      <c r="U1249">
        <v>0.36434939999999999</v>
      </c>
      <c r="V1249">
        <v>-1.132944E-2</v>
      </c>
      <c r="W1249">
        <v>0.18022769999999999</v>
      </c>
      <c r="X1249">
        <v>0.98355970000000004</v>
      </c>
      <c r="Y1249">
        <v>-0.1289611</v>
      </c>
      <c r="Z1249">
        <v>1.670511E-3</v>
      </c>
      <c r="AA1249">
        <v>0.99164830000000004</v>
      </c>
      <c r="AB1249">
        <v>31</v>
      </c>
      <c r="AC1249">
        <v>49.549699999999902</v>
      </c>
      <c r="AD1249">
        <v>-1.110306368756</v>
      </c>
      <c r="AE1249">
        <v>5.9347000000000198</v>
      </c>
      <c r="AF1249">
        <v>-6.45697287829885</v>
      </c>
      <c r="AG1249">
        <v>-1.110306368756</v>
      </c>
      <c r="AH1249">
        <v>49.459450102964901</v>
      </c>
      <c r="AI1249">
        <v>91.275189401670403</v>
      </c>
      <c r="AJ1249">
        <v>97.437946372186204</v>
      </c>
      <c r="AK1249">
        <v>49.891507127679198</v>
      </c>
      <c r="AL1249">
        <v>79.616977370197901</v>
      </c>
      <c r="AM1249">
        <v>90.659950167800204</v>
      </c>
      <c r="AN1249">
        <v>1.00000003176104</v>
      </c>
    </row>
    <row r="1250" spans="1:40" x14ac:dyDescent="0.25">
      <c r="A1250" t="str">
        <f>"20190312172111583"</f>
        <v>20190312172111583</v>
      </c>
      <c r="B1250" t="str">
        <f>"1552382471572691"</f>
        <v>1552382471572691</v>
      </c>
      <c r="C1250" t="s">
        <v>40</v>
      </c>
      <c r="D1250">
        <v>3.1650369999999999</v>
      </c>
      <c r="E1250">
        <v>0.44697969999999998</v>
      </c>
      <c r="F1250" t="s">
        <v>42</v>
      </c>
      <c r="G1250">
        <v>-220.87970000000001</v>
      </c>
      <c r="H1250" s="1">
        <v>-4.6411439999999999E-6</v>
      </c>
      <c r="I1250">
        <v>373.3623</v>
      </c>
      <c r="J1250">
        <v>-263.92570000000001</v>
      </c>
      <c r="K1250">
        <v>1.110309</v>
      </c>
      <c r="L1250">
        <v>367.6198</v>
      </c>
      <c r="M1250">
        <v>0.9998553</v>
      </c>
      <c r="N1250">
        <v>0</v>
      </c>
      <c r="O1250">
        <v>-1.061059E-2</v>
      </c>
      <c r="P1250">
        <v>0.98593699999999995</v>
      </c>
      <c r="Q1250">
        <v>0.16711589999999901</v>
      </c>
      <c r="R1250">
        <v>7.5225759999999998E-4</v>
      </c>
      <c r="S1250">
        <v>3.0557859999999999</v>
      </c>
      <c r="T1250">
        <v>-7.8502180000000005E-2</v>
      </c>
      <c r="U1250">
        <v>0.40588380000000002</v>
      </c>
      <c r="V1250">
        <v>-1.1207999999999999E-2</v>
      </c>
      <c r="W1250">
        <v>0.18021090000000001</v>
      </c>
      <c r="X1250">
        <v>0.98356410000000005</v>
      </c>
      <c r="Y1250">
        <v>-0.14213049999999999</v>
      </c>
      <c r="Z1250">
        <v>2.0887810000000001E-3</v>
      </c>
      <c r="AA1250">
        <v>0.9898458</v>
      </c>
      <c r="AB1250">
        <v>31</v>
      </c>
      <c r="AC1250">
        <v>43.0459999999999</v>
      </c>
      <c r="AD1250">
        <v>-1.110313641144</v>
      </c>
      <c r="AE1250">
        <v>5.7424999999999997</v>
      </c>
      <c r="AF1250">
        <v>-6.19491102709814</v>
      </c>
      <c r="AG1250">
        <v>-1.110313641144</v>
      </c>
      <c r="AH1250">
        <v>42.954561135089698</v>
      </c>
      <c r="AI1250">
        <v>91.465527877826901</v>
      </c>
      <c r="AJ1250">
        <v>98.206617468249306</v>
      </c>
      <c r="AK1250">
        <v>43.413178198831801</v>
      </c>
      <c r="AL1250">
        <v>79.617955243381004</v>
      </c>
      <c r="AM1250">
        <v>90.652873872754597</v>
      </c>
      <c r="AN1250">
        <v>0.99999996327580898</v>
      </c>
    </row>
    <row r="1251" spans="1:40" x14ac:dyDescent="0.25">
      <c r="A1251" t="str">
        <f>"20190312172111595"</f>
        <v>20190312172111595</v>
      </c>
      <c r="B1251" t="str">
        <f>"1552382471582451"</f>
        <v>1552382471582451</v>
      </c>
      <c r="C1251" t="s">
        <v>40</v>
      </c>
      <c r="D1251">
        <v>3.1333609999999998</v>
      </c>
      <c r="E1251">
        <v>0.44490590000000002</v>
      </c>
      <c r="F1251" t="s">
        <v>42</v>
      </c>
      <c r="G1251">
        <v>-222.2775</v>
      </c>
      <c r="H1251" s="1">
        <v>-4.1843050000000003E-6</v>
      </c>
      <c r="I1251">
        <v>373.46859999999998</v>
      </c>
      <c r="J1251">
        <v>-263.76369999999997</v>
      </c>
      <c r="K1251">
        <v>1.1103130000000001</v>
      </c>
      <c r="L1251">
        <v>367.61810000000003</v>
      </c>
      <c r="M1251">
        <v>0.99985500000000005</v>
      </c>
      <c r="N1251">
        <v>0</v>
      </c>
      <c r="O1251">
        <v>-1.061058E-2</v>
      </c>
      <c r="P1251">
        <v>0.98590770000000005</v>
      </c>
      <c r="Q1251">
        <v>0.16728889999999999</v>
      </c>
      <c r="R1251">
        <v>6.9354200000000001E-4</v>
      </c>
      <c r="S1251">
        <v>3.056244</v>
      </c>
      <c r="T1251">
        <v>-8.1477279999999999E-2</v>
      </c>
      <c r="U1251">
        <v>0.4291992</v>
      </c>
      <c r="V1251">
        <v>-1.1148989999999999E-2</v>
      </c>
      <c r="W1251">
        <v>0.18040039999999999</v>
      </c>
      <c r="X1251">
        <v>0.98353009999999996</v>
      </c>
      <c r="Y1251">
        <v>-0.1495137</v>
      </c>
      <c r="Z1251">
        <v>2.2644000000000002E-3</v>
      </c>
      <c r="AA1251">
        <v>0.98875710000000006</v>
      </c>
      <c r="AB1251">
        <v>31</v>
      </c>
      <c r="AC1251">
        <v>41.486199999999897</v>
      </c>
      <c r="AD1251">
        <v>-1.1103171843049999</v>
      </c>
      <c r="AE1251">
        <v>5.8504999999999496</v>
      </c>
      <c r="AF1251">
        <v>-6.2859875178166096</v>
      </c>
      <c r="AG1251">
        <v>-1.1103171843049999</v>
      </c>
      <c r="AH1251">
        <v>41.392710567835202</v>
      </c>
      <c r="AI1251">
        <v>91.519123356201604</v>
      </c>
      <c r="AJ1251">
        <v>98.635084583437603</v>
      </c>
      <c r="AK1251">
        <v>41.8820120275577</v>
      </c>
      <c r="AL1251">
        <v>79.606917490449007</v>
      </c>
      <c r="AM1251">
        <v>90.649459242681104</v>
      </c>
      <c r="AN1251">
        <v>1.00000003095209</v>
      </c>
    </row>
    <row r="1252" spans="1:40" x14ac:dyDescent="0.25">
      <c r="A1252" t="str">
        <f>"20190312172111607"</f>
        <v>20190312172111607</v>
      </c>
      <c r="B1252" t="str">
        <f>"1552382471601970"</f>
        <v>1552382471601970</v>
      </c>
      <c r="C1252" t="s">
        <v>40</v>
      </c>
      <c r="D1252">
        <v>3.1408179999999999</v>
      </c>
      <c r="E1252">
        <v>0.44133339999999999</v>
      </c>
      <c r="F1252" t="s">
        <v>42</v>
      </c>
      <c r="G1252">
        <v>-221.7415</v>
      </c>
      <c r="H1252" s="1">
        <v>-4.4148069999999996E-6</v>
      </c>
      <c r="I1252">
        <v>373.73970000000003</v>
      </c>
      <c r="J1252">
        <v>-263.59980000000002</v>
      </c>
      <c r="K1252">
        <v>1.110314</v>
      </c>
      <c r="L1252">
        <v>367.6164</v>
      </c>
      <c r="M1252">
        <v>0.99985500000000005</v>
      </c>
      <c r="N1252">
        <v>0</v>
      </c>
      <c r="O1252">
        <v>-1.061056E-2</v>
      </c>
      <c r="P1252">
        <v>0.98589990000000005</v>
      </c>
      <c r="Q1252">
        <v>0.1673366</v>
      </c>
      <c r="R1252">
        <v>5.564732E-4</v>
      </c>
      <c r="S1252">
        <v>3.0562740000000002</v>
      </c>
      <c r="T1252">
        <v>-8.075309E-2</v>
      </c>
      <c r="U1252">
        <v>0.44522089999999998</v>
      </c>
      <c r="V1252">
        <v>-1.1011440000000001E-2</v>
      </c>
      <c r="W1252">
        <v>0.1804637</v>
      </c>
      <c r="X1252">
        <v>0.98351999999999995</v>
      </c>
      <c r="Y1252">
        <v>-0.154589</v>
      </c>
      <c r="Z1252">
        <v>2.310117E-3</v>
      </c>
      <c r="AA1252">
        <v>0.98797619999999997</v>
      </c>
      <c r="AB1252">
        <v>31</v>
      </c>
      <c r="AC1252">
        <v>41.8583</v>
      </c>
      <c r="AD1252">
        <v>-1.110318414807</v>
      </c>
      <c r="AE1252">
        <v>6.1233000000000199</v>
      </c>
      <c r="AF1252">
        <v>-6.5626138629083703</v>
      </c>
      <c r="AG1252">
        <v>-1.110318414807</v>
      </c>
      <c r="AH1252">
        <v>41.762197170271598</v>
      </c>
      <c r="AI1252">
        <v>91.504492270330701</v>
      </c>
      <c r="AJ1252">
        <v>98.930567177279897</v>
      </c>
      <c r="AK1252">
        <v>42.289263651481797</v>
      </c>
      <c r="AL1252">
        <v>79.603229767054998</v>
      </c>
      <c r="AM1252">
        <v>90.641453838267495</v>
      </c>
      <c r="AN1252">
        <v>0.99999999461428102</v>
      </c>
    </row>
    <row r="1253" spans="1:40" x14ac:dyDescent="0.25">
      <c r="A1253" t="str">
        <f>"20190312172111618"</f>
        <v>20190312172111618</v>
      </c>
      <c r="B1253" t="str">
        <f>"1552382471612707"</f>
        <v>1552382471612707</v>
      </c>
      <c r="C1253" t="s">
        <v>40</v>
      </c>
      <c r="D1253">
        <v>3.1629350000000001</v>
      </c>
      <c r="E1253">
        <v>0.44024479999999999</v>
      </c>
      <c r="F1253" t="s">
        <v>42</v>
      </c>
      <c r="G1253">
        <v>-224.75229999999999</v>
      </c>
      <c r="H1253" s="1">
        <v>-3.3016299999999998E-6</v>
      </c>
      <c r="I1253">
        <v>373.63049999999998</v>
      </c>
      <c r="J1253">
        <v>-263.43970000000002</v>
      </c>
      <c r="K1253">
        <v>1.1103179999999999</v>
      </c>
      <c r="L1253">
        <v>367.61470000000003</v>
      </c>
      <c r="M1253">
        <v>0.99985469999999999</v>
      </c>
      <c r="N1253">
        <v>0</v>
      </c>
      <c r="O1253">
        <v>-1.0610430000000001E-2</v>
      </c>
      <c r="P1253">
        <v>0.9859424</v>
      </c>
      <c r="Q1253">
        <v>0.1670857</v>
      </c>
      <c r="R1253">
        <v>4.3013369999999999E-4</v>
      </c>
      <c r="S1253">
        <v>3.0574340000000002</v>
      </c>
      <c r="T1253">
        <v>-8.7385539999999998E-2</v>
      </c>
      <c r="U1253">
        <v>0.47332760000000001</v>
      </c>
      <c r="V1253">
        <v>-1.0885769999999999E-2</v>
      </c>
      <c r="W1253">
        <v>0.18022820000000001</v>
      </c>
      <c r="X1253">
        <v>0.98356460000000001</v>
      </c>
      <c r="Y1253">
        <v>-0.16339799999999999</v>
      </c>
      <c r="Z1253">
        <v>2.6222630000000001E-3</v>
      </c>
      <c r="AA1253">
        <v>0.98655680000000001</v>
      </c>
      <c r="AB1253">
        <v>31</v>
      </c>
      <c r="AC1253">
        <v>38.687399999999997</v>
      </c>
      <c r="AD1253">
        <v>-1.11032130163</v>
      </c>
      <c r="AE1253">
        <v>6.0157999999999499</v>
      </c>
      <c r="AF1253">
        <v>-6.4208239428776297</v>
      </c>
      <c r="AG1253">
        <v>-1.11032130163</v>
      </c>
      <c r="AH1253">
        <v>38.590350254074202</v>
      </c>
      <c r="AI1253">
        <v>91.625721986084102</v>
      </c>
      <c r="AJ1253">
        <v>99.446573864674605</v>
      </c>
      <c r="AK1253">
        <v>39.136618737831803</v>
      </c>
      <c r="AL1253">
        <v>79.616948050722101</v>
      </c>
      <c r="AM1253">
        <v>90.634104981918696</v>
      </c>
      <c r="AN1253">
        <v>1.0000000132184399</v>
      </c>
    </row>
    <row r="1254" spans="1:40" x14ac:dyDescent="0.25">
      <c r="A1254" t="str">
        <f>"20190312172111628"</f>
        <v>20190312172111628</v>
      </c>
      <c r="B1254" t="str">
        <f>"1552382471622467"</f>
        <v>1552382471622467</v>
      </c>
      <c r="C1254" t="s">
        <v>40</v>
      </c>
      <c r="D1254">
        <v>3.10446</v>
      </c>
      <c r="E1254">
        <v>0.43987270000000001</v>
      </c>
      <c r="F1254" t="s">
        <v>42</v>
      </c>
      <c r="G1254">
        <v>-226.27950000000001</v>
      </c>
      <c r="H1254" s="1">
        <v>-2.603427E-6</v>
      </c>
      <c r="I1254">
        <v>373.46879999999999</v>
      </c>
      <c r="J1254">
        <v>-263.30889999999999</v>
      </c>
      <c r="K1254">
        <v>1.1103130000000001</v>
      </c>
      <c r="L1254">
        <v>367.61329999999998</v>
      </c>
      <c r="M1254">
        <v>0.99985460000000004</v>
      </c>
      <c r="N1254">
        <v>0</v>
      </c>
      <c r="O1254">
        <v>-1.0610390000000001E-2</v>
      </c>
      <c r="P1254">
        <v>0.98593439999999999</v>
      </c>
      <c r="Q1254">
        <v>0.16713259999999999</v>
      </c>
      <c r="R1254">
        <v>1.438977E-4</v>
      </c>
      <c r="S1254">
        <v>3.058014</v>
      </c>
      <c r="T1254">
        <v>-9.1371179999999996E-2</v>
      </c>
      <c r="U1254">
        <v>0.48175050000000003</v>
      </c>
      <c r="V1254">
        <v>-1.059909E-2</v>
      </c>
      <c r="W1254">
        <v>0.1802868</v>
      </c>
      <c r="X1254">
        <v>0.98355700000000001</v>
      </c>
      <c r="Y1254">
        <v>-0.1660142</v>
      </c>
      <c r="Z1254">
        <v>2.7795580000000001E-3</v>
      </c>
      <c r="AA1254">
        <v>0.98611939999999998</v>
      </c>
      <c r="AB1254">
        <v>31</v>
      </c>
      <c r="AC1254">
        <v>37.029399999999903</v>
      </c>
      <c r="AD1254">
        <v>-1.1103156034270001</v>
      </c>
      <c r="AE1254">
        <v>5.8555000000000001</v>
      </c>
      <c r="AF1254">
        <v>-6.2426259986644901</v>
      </c>
      <c r="AG1254">
        <v>-1.1103156034270001</v>
      </c>
      <c r="AH1254">
        <v>36.932784948230399</v>
      </c>
      <c r="AI1254">
        <v>91.697903224029204</v>
      </c>
      <c r="AJ1254">
        <v>99.593835850748107</v>
      </c>
      <c r="AK1254">
        <v>37.4731074789728</v>
      </c>
      <c r="AL1254">
        <v>79.613534692056703</v>
      </c>
      <c r="AM1254">
        <v>90.617411718619394</v>
      </c>
      <c r="AN1254">
        <v>1.0000000216060301</v>
      </c>
    </row>
    <row r="1255" spans="1:40" x14ac:dyDescent="0.25">
      <c r="A1255" t="str">
        <f>"20190312172111639"</f>
        <v>20190312172111639</v>
      </c>
      <c r="B1255" t="str">
        <f>"1552382471632227"</f>
        <v>1552382471632227</v>
      </c>
      <c r="C1255" t="s">
        <v>40</v>
      </c>
      <c r="D1255">
        <v>3.14358</v>
      </c>
      <c r="E1255">
        <v>0.43922670000000003</v>
      </c>
      <c r="F1255" t="s">
        <v>42</v>
      </c>
      <c r="G1255">
        <v>-226.3203</v>
      </c>
      <c r="H1255" s="1">
        <v>-2.585422E-6</v>
      </c>
      <c r="I1255">
        <v>373.46679999999998</v>
      </c>
      <c r="J1255">
        <v>-263.16160000000002</v>
      </c>
      <c r="K1255">
        <v>1.1103149999999999</v>
      </c>
      <c r="L1255">
        <v>367.61169999999998</v>
      </c>
      <c r="M1255">
        <v>0.99985440000000003</v>
      </c>
      <c r="N1255">
        <v>0</v>
      </c>
      <c r="O1255">
        <v>-1.061023E-2</v>
      </c>
      <c r="P1255">
        <v>0.98596669999999997</v>
      </c>
      <c r="Q1255">
        <v>0.16694329999999999</v>
      </c>
      <c r="R1255" s="1">
        <v>3.945315E-5</v>
      </c>
      <c r="S1255">
        <v>3.0582889999999998</v>
      </c>
      <c r="T1255">
        <v>-9.1802720000000004E-2</v>
      </c>
      <c r="U1255">
        <v>0.48397829999999997</v>
      </c>
      <c r="V1255">
        <v>-1.049485E-2</v>
      </c>
      <c r="W1255">
        <v>0.18011089999999999</v>
      </c>
      <c r="X1255">
        <v>0.98359030000000003</v>
      </c>
      <c r="Y1255">
        <v>-0.1667003</v>
      </c>
      <c r="Z1255">
        <v>2.8025010000000002E-3</v>
      </c>
      <c r="AA1255">
        <v>0.98600359999999998</v>
      </c>
      <c r="AB1255">
        <v>31</v>
      </c>
      <c r="AC1255">
        <v>36.841299999999997</v>
      </c>
      <c r="AD1255">
        <v>-1.110317585422</v>
      </c>
      <c r="AE1255">
        <v>5.8550999999999904</v>
      </c>
      <c r="AF1255">
        <v>-6.2401716824015496</v>
      </c>
      <c r="AG1255">
        <v>-1.110317585422</v>
      </c>
      <c r="AH1255">
        <v>36.744543831755898</v>
      </c>
      <c r="AI1255">
        <v>91.706374975793295</v>
      </c>
      <c r="AJ1255">
        <v>99.638344656737104</v>
      </c>
      <c r="AK1255">
        <v>37.287183443780897</v>
      </c>
      <c r="AL1255">
        <v>79.623780290058093</v>
      </c>
      <c r="AM1255">
        <v>90.611319361240803</v>
      </c>
      <c r="AN1255">
        <v>0.99999997821471098</v>
      </c>
    </row>
    <row r="1256" spans="1:40" x14ac:dyDescent="0.25">
      <c r="A1256" t="str">
        <f>"20190312172111648"</f>
        <v>20190312172111648</v>
      </c>
      <c r="B1256" t="str">
        <f>"1552382471641987"</f>
        <v>1552382471641987</v>
      </c>
      <c r="C1256" t="s">
        <v>40</v>
      </c>
      <c r="D1256">
        <v>3.3438430000000001</v>
      </c>
      <c r="E1256">
        <v>0.43886789999999998</v>
      </c>
      <c r="F1256" t="s">
        <v>42</v>
      </c>
      <c r="G1256">
        <v>-227.76769999999999</v>
      </c>
      <c r="H1256" s="1">
        <v>-1.9118320000000001E-6</v>
      </c>
      <c r="I1256">
        <v>373.26889999999997</v>
      </c>
      <c r="J1256">
        <v>-263.02659999999997</v>
      </c>
      <c r="K1256">
        <v>1.1103160000000001</v>
      </c>
      <c r="L1256">
        <v>367.6103</v>
      </c>
      <c r="M1256">
        <v>0.99985429999999997</v>
      </c>
      <c r="N1256">
        <v>0</v>
      </c>
      <c r="O1256">
        <v>-1.061019E-2</v>
      </c>
      <c r="P1256">
        <v>0.98599329999999996</v>
      </c>
      <c r="Q1256">
        <v>0.16678599999999999</v>
      </c>
      <c r="R1256">
        <v>-1.7414709999999999E-4</v>
      </c>
      <c r="S1256">
        <v>3.0588989999999998</v>
      </c>
      <c r="T1256">
        <v>-9.5958349999999998E-2</v>
      </c>
      <c r="U1256">
        <v>0.48892210000000003</v>
      </c>
      <c r="V1256">
        <v>-1.0281729999999999E-2</v>
      </c>
      <c r="W1256">
        <v>0.1799646</v>
      </c>
      <c r="X1256">
        <v>0.98361929999999997</v>
      </c>
      <c r="Y1256">
        <v>-0.168216</v>
      </c>
      <c r="Z1256">
        <v>2.9519749999999999E-3</v>
      </c>
      <c r="AA1256">
        <v>0.98574569999999995</v>
      </c>
      <c r="AB1256">
        <v>31</v>
      </c>
      <c r="AC1256">
        <v>35.258899999999898</v>
      </c>
      <c r="AD1256">
        <v>-1.1103179118319999</v>
      </c>
      <c r="AE1256">
        <v>5.6585999999999697</v>
      </c>
      <c r="AF1256">
        <v>-6.0265923074308496</v>
      </c>
      <c r="AG1256">
        <v>-1.1103179118319999</v>
      </c>
      <c r="AH1256">
        <v>35.162877121079397</v>
      </c>
      <c r="AI1256">
        <v>91.782619478869805</v>
      </c>
      <c r="AJ1256">
        <v>99.725474068859597</v>
      </c>
      <c r="AK1256">
        <v>35.692864106673298</v>
      </c>
      <c r="AL1256">
        <v>79.6323016052702</v>
      </c>
      <c r="AM1256">
        <v>90.598888493385402</v>
      </c>
      <c r="AN1256">
        <v>0.99999994927872005</v>
      </c>
    </row>
    <row r="1257" spans="1:40" x14ac:dyDescent="0.25">
      <c r="A1257" t="str">
        <f>"20190312172111658"</f>
        <v>20190312172111658</v>
      </c>
      <c r="B1257" t="str">
        <f>"1552382471652723"</f>
        <v>1552382471652723</v>
      </c>
      <c r="C1257" t="s">
        <v>40</v>
      </c>
      <c r="D1257">
        <v>3.2199849999999999</v>
      </c>
      <c r="E1257">
        <v>0.43862800000000002</v>
      </c>
      <c r="F1257" t="s">
        <v>42</v>
      </c>
      <c r="G1257">
        <v>-227.98670000000001</v>
      </c>
      <c r="H1257" s="1">
        <v>-1.808972E-6</v>
      </c>
      <c r="I1257">
        <v>373.23540000000003</v>
      </c>
      <c r="J1257">
        <v>-262.88819999999998</v>
      </c>
      <c r="K1257">
        <v>1.110325</v>
      </c>
      <c r="L1257">
        <v>367.60879999999997</v>
      </c>
      <c r="M1257">
        <v>0.99985409999999997</v>
      </c>
      <c r="N1257">
        <v>0</v>
      </c>
      <c r="O1257">
        <v>-1.061002E-2</v>
      </c>
      <c r="P1257">
        <v>0.98599150000000002</v>
      </c>
      <c r="Q1257">
        <v>0.16679550000000001</v>
      </c>
      <c r="R1257">
        <v>-3.8673359999999999E-4</v>
      </c>
      <c r="S1257">
        <v>3.0590820000000001</v>
      </c>
      <c r="T1257">
        <v>-9.6933720000000001E-2</v>
      </c>
      <c r="U1257">
        <v>0.49108889999999999</v>
      </c>
      <c r="V1257">
        <v>-1.006875E-2</v>
      </c>
      <c r="W1257">
        <v>0.17998529999999999</v>
      </c>
      <c r="X1257">
        <v>0.98361779999999999</v>
      </c>
      <c r="Y1257">
        <v>-0.16888529999999999</v>
      </c>
      <c r="Z1257">
        <v>2.9921520000000001E-3</v>
      </c>
      <c r="AA1257">
        <v>0.98563120000000004</v>
      </c>
      <c r="AB1257">
        <v>31</v>
      </c>
      <c r="AC1257">
        <v>34.901499999999899</v>
      </c>
      <c r="AD1257">
        <v>-1.110326808972</v>
      </c>
      <c r="AE1257">
        <v>5.6266000000000496</v>
      </c>
      <c r="AF1257">
        <v>-5.9907125573021602</v>
      </c>
      <c r="AG1257">
        <v>-1.110326808972</v>
      </c>
      <c r="AH1257">
        <v>34.805497915573497</v>
      </c>
      <c r="AI1257">
        <v>91.800706796788106</v>
      </c>
      <c r="AJ1257">
        <v>99.766043488683707</v>
      </c>
      <c r="AK1257">
        <v>35.334744200544698</v>
      </c>
      <c r="AL1257">
        <v>79.6310967641746</v>
      </c>
      <c r="AM1257">
        <v>90.586484639895502</v>
      </c>
      <c r="AN1257">
        <v>1.00000003220974</v>
      </c>
    </row>
    <row r="1258" spans="1:40" x14ac:dyDescent="0.25">
      <c r="A1258" t="str">
        <f>"20190312172111669"</f>
        <v>20190312172111669</v>
      </c>
      <c r="B1258" t="str">
        <f>"1552382471662550"</f>
        <v>1552382471662550</v>
      </c>
      <c r="C1258" t="s">
        <v>40</v>
      </c>
      <c r="D1258">
        <v>3.1898179999999998</v>
      </c>
      <c r="E1258">
        <v>0.43830370000000002</v>
      </c>
      <c r="F1258" t="s">
        <v>42</v>
      </c>
      <c r="G1258">
        <v>-228.1018</v>
      </c>
      <c r="H1258" s="1">
        <v>-1.7523440000000001E-6</v>
      </c>
      <c r="I1258">
        <v>373.2081</v>
      </c>
      <c r="J1258">
        <v>-262.7484</v>
      </c>
      <c r="K1258">
        <v>1.1103259999999999</v>
      </c>
      <c r="L1258">
        <v>367.60730000000001</v>
      </c>
      <c r="M1258">
        <v>0.99985400000000002</v>
      </c>
      <c r="N1258">
        <v>0</v>
      </c>
      <c r="O1258">
        <v>-1.060997E-2</v>
      </c>
      <c r="P1258">
        <v>0.9860025</v>
      </c>
      <c r="Q1258">
        <v>0.16672999999999999</v>
      </c>
      <c r="R1258">
        <v>-7.6047419999999998E-4</v>
      </c>
      <c r="S1258">
        <v>3.0592959999999998</v>
      </c>
      <c r="T1258">
        <v>-9.7647310000000001E-2</v>
      </c>
      <c r="U1258">
        <v>0.49243160000000002</v>
      </c>
      <c r="V1258">
        <v>-9.6955070000000008E-3</v>
      </c>
      <c r="W1258">
        <v>0.1799299</v>
      </c>
      <c r="X1258">
        <v>0.9836317</v>
      </c>
      <c r="Y1258">
        <v>-0.16929469999999999</v>
      </c>
      <c r="Z1258">
        <v>3.0203449999999998E-3</v>
      </c>
      <c r="AA1258">
        <v>0.98556080000000001</v>
      </c>
      <c r="AB1258">
        <v>31</v>
      </c>
      <c r="AC1258">
        <v>34.646599999999999</v>
      </c>
      <c r="AD1258">
        <v>-1.1103277523439901</v>
      </c>
      <c r="AE1258">
        <v>5.6007999999999898</v>
      </c>
      <c r="AF1258">
        <v>-5.9621497175236602</v>
      </c>
      <c r="AG1258">
        <v>-1.1103277523439901</v>
      </c>
      <c r="AH1258">
        <v>34.550639129810598</v>
      </c>
      <c r="AI1258">
        <v>91.813847819917896</v>
      </c>
      <c r="AJ1258">
        <v>99.790689273491395</v>
      </c>
      <c r="AK1258">
        <v>35.0788643095838</v>
      </c>
      <c r="AL1258">
        <v>79.634323780736807</v>
      </c>
      <c r="AM1258">
        <v>90.564737433425705</v>
      </c>
      <c r="AN1258">
        <v>1.0000000465074399</v>
      </c>
    </row>
    <row r="1259" spans="1:40" x14ac:dyDescent="0.25">
      <c r="A1259" t="str">
        <f>"20190312172111681"</f>
        <v>20190312172111681</v>
      </c>
      <c r="B1259" t="str">
        <f>"1552382471672310"</f>
        <v>1552382471672310</v>
      </c>
      <c r="C1259" t="s">
        <v>40</v>
      </c>
      <c r="D1259">
        <v>3.1804250000000001</v>
      </c>
      <c r="E1259">
        <v>0.43803520000000001</v>
      </c>
      <c r="F1259" t="s">
        <v>42</v>
      </c>
      <c r="G1259">
        <v>-228.93440000000001</v>
      </c>
      <c r="H1259" s="1">
        <v>-1.3577679999999999E-6</v>
      </c>
      <c r="I1259">
        <v>373.0677</v>
      </c>
      <c r="J1259">
        <v>-262.58999999999997</v>
      </c>
      <c r="K1259">
        <v>1.1103270000000001</v>
      </c>
      <c r="L1259">
        <v>367.60559999999998</v>
      </c>
      <c r="M1259">
        <v>0.99985369999999996</v>
      </c>
      <c r="N1259">
        <v>0</v>
      </c>
      <c r="O1259">
        <v>-1.060993E-2</v>
      </c>
      <c r="P1259">
        <v>0.98597460000000003</v>
      </c>
      <c r="Q1259">
        <v>0.16689419999999999</v>
      </c>
      <c r="R1259">
        <v>-1.018723E-3</v>
      </c>
      <c r="S1259">
        <v>3.0599980000000002</v>
      </c>
      <c r="T1259">
        <v>-0.10047879999999999</v>
      </c>
      <c r="U1259">
        <v>0.49414059999999999</v>
      </c>
      <c r="V1259">
        <v>-9.4367610000000001E-3</v>
      </c>
      <c r="W1259">
        <v>0.18010489999999901</v>
      </c>
      <c r="X1259">
        <v>0.98360219999999998</v>
      </c>
      <c r="Y1259">
        <v>-0.1697902</v>
      </c>
      <c r="Z1259">
        <v>3.115119E-3</v>
      </c>
      <c r="AA1259">
        <v>0.98547530000000005</v>
      </c>
      <c r="AB1259">
        <v>31</v>
      </c>
      <c r="AC1259">
        <v>33.6555999999999</v>
      </c>
      <c r="AD1259">
        <v>-1.1103283577680001</v>
      </c>
      <c r="AE1259">
        <v>5.4621000000000199</v>
      </c>
      <c r="AF1259">
        <v>-5.8127439793695697</v>
      </c>
      <c r="AG1259">
        <v>-1.1103283577680001</v>
      </c>
      <c r="AH1259">
        <v>33.560158129275301</v>
      </c>
      <c r="AI1259">
        <v>91.867143856514204</v>
      </c>
      <c r="AJ1259">
        <v>99.826353702655794</v>
      </c>
      <c r="AK1259">
        <v>34.077925924177499</v>
      </c>
      <c r="AL1259">
        <v>79.624130613377702</v>
      </c>
      <c r="AM1259">
        <v>90.549683590650204</v>
      </c>
      <c r="AN1259">
        <v>1.0000000576535</v>
      </c>
    </row>
    <row r="1260" spans="1:40" x14ac:dyDescent="0.25">
      <c r="A1260" t="str">
        <f>"20190312172111690"</f>
        <v>20190312172111690</v>
      </c>
      <c r="B1260" t="str">
        <f>"1552382471682070"</f>
        <v>1552382471682070</v>
      </c>
      <c r="C1260" t="s">
        <v>40</v>
      </c>
      <c r="D1260">
        <v>3.1646030000000001</v>
      </c>
      <c r="E1260">
        <v>0.43797150000000001</v>
      </c>
      <c r="F1260" t="s">
        <v>42</v>
      </c>
      <c r="G1260">
        <v>-229.1208</v>
      </c>
      <c r="H1260" s="1">
        <v>-1.2672680000000001E-6</v>
      </c>
      <c r="I1260">
        <v>373.02800000000002</v>
      </c>
      <c r="J1260">
        <v>-262.4452</v>
      </c>
      <c r="K1260">
        <v>1.1103270000000001</v>
      </c>
      <c r="L1260">
        <v>367.60410000000002</v>
      </c>
      <c r="M1260">
        <v>0.99985360000000001</v>
      </c>
      <c r="N1260">
        <v>0</v>
      </c>
      <c r="O1260">
        <v>-1.0609749999999999E-2</v>
      </c>
      <c r="P1260">
        <v>0.98599700000000001</v>
      </c>
      <c r="Q1260">
        <v>0.166758399999999</v>
      </c>
      <c r="R1260">
        <v>-1.218135E-3</v>
      </c>
      <c r="S1260">
        <v>3.0603639999999999</v>
      </c>
      <c r="T1260">
        <v>-0.1015263</v>
      </c>
      <c r="U1260">
        <v>0.49581910000000001</v>
      </c>
      <c r="V1260">
        <v>-9.2371769999999992E-3</v>
      </c>
      <c r="W1260">
        <v>0.1799782</v>
      </c>
      <c r="X1260">
        <v>0.98362720000000003</v>
      </c>
      <c r="Y1260">
        <v>-0.170295899999999</v>
      </c>
      <c r="Z1260">
        <v>3.1553950000000001E-3</v>
      </c>
      <c r="AA1260">
        <v>0.98538789999999998</v>
      </c>
      <c r="AB1260">
        <v>31</v>
      </c>
      <c r="AC1260">
        <v>33.324399999999997</v>
      </c>
      <c r="AD1260">
        <v>-1.1103282672679999</v>
      </c>
      <c r="AE1260">
        <v>5.4238999999999997</v>
      </c>
      <c r="AF1260">
        <v>-5.7709488462457497</v>
      </c>
      <c r="AG1260">
        <v>-1.1103282672679999</v>
      </c>
      <c r="AH1260">
        <v>33.229035682400699</v>
      </c>
      <c r="AI1260">
        <v>91.885587618517405</v>
      </c>
      <c r="AJ1260">
        <v>99.852393982961701</v>
      </c>
      <c r="AK1260">
        <v>33.744710575575198</v>
      </c>
      <c r="AL1260">
        <v>79.631509699426303</v>
      </c>
      <c r="AM1260">
        <v>90.538045002601294</v>
      </c>
      <c r="AN1260">
        <v>0.99999997324700396</v>
      </c>
    </row>
    <row r="1261" spans="1:40" x14ac:dyDescent="0.25">
      <c r="A1261" t="str">
        <f>"20190312172111703"</f>
        <v>20190312172111703</v>
      </c>
      <c r="B1261" t="str">
        <f>"1552382471692805"</f>
        <v>1552382471692805</v>
      </c>
      <c r="C1261" t="s">
        <v>40</v>
      </c>
      <c r="D1261">
        <v>3.2224349999999999</v>
      </c>
      <c r="E1261">
        <v>0.43794379999999999</v>
      </c>
      <c r="F1261" t="s">
        <v>42</v>
      </c>
      <c r="G1261">
        <v>-229.1397</v>
      </c>
      <c r="H1261" s="1">
        <v>-1.2511810000000001E-6</v>
      </c>
      <c r="I1261">
        <v>372.99810000000002</v>
      </c>
      <c r="J1261">
        <v>-262.29250000000002</v>
      </c>
      <c r="K1261">
        <v>1.110325</v>
      </c>
      <c r="L1261">
        <v>367.60250000000002</v>
      </c>
      <c r="M1261">
        <v>0.99985360000000001</v>
      </c>
      <c r="N1261">
        <v>0</v>
      </c>
      <c r="O1261">
        <v>-1.060969E-2</v>
      </c>
      <c r="P1261">
        <v>0.98600390000000004</v>
      </c>
      <c r="Q1261">
        <v>0.16671830000000001</v>
      </c>
      <c r="R1261">
        <v>-1.256203E-3</v>
      </c>
      <c r="S1261">
        <v>3.0605159999999998</v>
      </c>
      <c r="T1261">
        <v>-0.1020303</v>
      </c>
      <c r="U1261">
        <v>0.49566650000000001</v>
      </c>
      <c r="V1261">
        <v>-9.1992359999999995E-3</v>
      </c>
      <c r="W1261">
        <v>0.1799482</v>
      </c>
      <c r="X1261">
        <v>0.98363310000000004</v>
      </c>
      <c r="Y1261">
        <v>-0.17023929999999901</v>
      </c>
      <c r="Z1261">
        <v>3.169968E-3</v>
      </c>
      <c r="AA1261">
        <v>0.98539759999999998</v>
      </c>
      <c r="AB1261">
        <v>31</v>
      </c>
      <c r="AC1261">
        <v>33.152799999999999</v>
      </c>
      <c r="AD1261">
        <v>-1.1103262511809999</v>
      </c>
      <c r="AE1261">
        <v>5.3956</v>
      </c>
      <c r="AF1261">
        <v>-5.74079582893809</v>
      </c>
      <c r="AG1261">
        <v>-1.1103262511809999</v>
      </c>
      <c r="AH1261">
        <v>33.057560363430198</v>
      </c>
      <c r="AI1261">
        <v>91.895361533675796</v>
      </c>
      <c r="AJ1261">
        <v>99.851767132587</v>
      </c>
      <c r="AK1261">
        <v>33.570699401642599</v>
      </c>
      <c r="AL1261">
        <v>79.633257676208203</v>
      </c>
      <c r="AM1261">
        <v>90.5358319390688</v>
      </c>
      <c r="AN1261">
        <v>1.00000002802091</v>
      </c>
    </row>
    <row r="1262" spans="1:40" x14ac:dyDescent="0.25">
      <c r="A1262" t="str">
        <f>"20190312172111714"</f>
        <v>20190312172111714</v>
      </c>
      <c r="B1262" t="str">
        <f>"1552382471702565"</f>
        <v>1552382471702565</v>
      </c>
      <c r="C1262" t="s">
        <v>40</v>
      </c>
      <c r="D1262">
        <v>3.1563819999999998</v>
      </c>
      <c r="E1262">
        <v>0.4379632</v>
      </c>
      <c r="F1262" t="s">
        <v>42</v>
      </c>
      <c r="G1262">
        <v>-229.0822</v>
      </c>
      <c r="H1262" s="1">
        <v>-1.271298E-6</v>
      </c>
      <c r="I1262">
        <v>372.98099999999999</v>
      </c>
      <c r="J1262">
        <v>-262.13569999999999</v>
      </c>
      <c r="K1262">
        <v>1.1103270000000001</v>
      </c>
      <c r="L1262">
        <v>367.60079999999999</v>
      </c>
      <c r="M1262">
        <v>0.99985349999999995</v>
      </c>
      <c r="N1262">
        <v>0</v>
      </c>
      <c r="O1262">
        <v>-1.0609749999999999E-2</v>
      </c>
      <c r="P1262">
        <v>0.98605310000000002</v>
      </c>
      <c r="Q1262">
        <v>0.16642699999999999</v>
      </c>
      <c r="R1262">
        <v>-1.3414799999999999E-3</v>
      </c>
      <c r="S1262">
        <v>3.0605159999999998</v>
      </c>
      <c r="T1262">
        <v>-0.1023226</v>
      </c>
      <c r="U1262">
        <v>0.49566650000000001</v>
      </c>
      <c r="V1262">
        <v>-9.1148210000000004E-3</v>
      </c>
      <c r="W1262">
        <v>0.179666299999999</v>
      </c>
      <c r="X1262">
        <v>0.98368540000000004</v>
      </c>
      <c r="Y1262">
        <v>-0.1702388</v>
      </c>
      <c r="Z1262">
        <v>3.1790379999999999E-3</v>
      </c>
      <c r="AA1262">
        <v>0.98539770000000004</v>
      </c>
      <c r="AB1262">
        <v>30</v>
      </c>
      <c r="AC1262">
        <v>33.0534999999999</v>
      </c>
      <c r="AD1262">
        <v>-1.110328271298</v>
      </c>
      <c r="AE1262">
        <v>5.3802000000000003</v>
      </c>
      <c r="AF1262">
        <v>-5.7243254543361202</v>
      </c>
      <c r="AG1262">
        <v>-1.110328271298</v>
      </c>
      <c r="AH1262">
        <v>32.958320867272903</v>
      </c>
      <c r="AI1262">
        <v>91.901060436504096</v>
      </c>
      <c r="AJ1262">
        <v>99.853055759073001</v>
      </c>
      <c r="AK1262">
        <v>33.470160518995399</v>
      </c>
      <c r="AL1262">
        <v>79.6496767999501</v>
      </c>
      <c r="AM1262">
        <v>90.530887038476607</v>
      </c>
      <c r="AN1262">
        <v>1.0000000127453501</v>
      </c>
    </row>
    <row r="1263" spans="1:40" x14ac:dyDescent="0.25">
      <c r="A1263" t="str">
        <f>"20190312172111725"</f>
        <v>20190312172111725</v>
      </c>
      <c r="B1263" t="str">
        <f>"1552382471722086"</f>
        <v>1552382471722086</v>
      </c>
      <c r="C1263" t="s">
        <v>40</v>
      </c>
      <c r="D1263">
        <v>3.2359059999999999</v>
      </c>
      <c r="E1263">
        <v>0.43754120000000002</v>
      </c>
      <c r="F1263" t="s">
        <v>42</v>
      </c>
      <c r="G1263">
        <v>-229.35239999999999</v>
      </c>
      <c r="H1263" s="1">
        <v>-1.1357279999999999E-6</v>
      </c>
      <c r="I1263">
        <v>372.90710000000001</v>
      </c>
      <c r="J1263">
        <v>-261.99770000000001</v>
      </c>
      <c r="K1263">
        <v>1.110325</v>
      </c>
      <c r="L1263">
        <v>367.59930000000003</v>
      </c>
      <c r="M1263">
        <v>0.9998534</v>
      </c>
      <c r="N1263">
        <v>0</v>
      </c>
      <c r="O1263">
        <v>-1.0609560000000001E-2</v>
      </c>
      <c r="P1263">
        <v>0.98606170000000004</v>
      </c>
      <c r="Q1263">
        <v>0.1663762</v>
      </c>
      <c r="R1263">
        <v>-1.377652E-3</v>
      </c>
      <c r="S1263">
        <v>3.060638</v>
      </c>
      <c r="T1263">
        <v>-0.1036595</v>
      </c>
      <c r="U1263">
        <v>0.49539179999999999</v>
      </c>
      <c r="V1263">
        <v>-9.0787760000000002E-3</v>
      </c>
      <c r="W1263">
        <v>0.1796227</v>
      </c>
      <c r="X1263">
        <v>0.9836937</v>
      </c>
      <c r="Y1263">
        <v>-0.17014370000000001</v>
      </c>
      <c r="Z1263">
        <v>3.218842E-3</v>
      </c>
      <c r="AA1263">
        <v>0.98541400000000001</v>
      </c>
      <c r="AB1263">
        <v>30</v>
      </c>
      <c r="AC1263">
        <v>32.645299999999999</v>
      </c>
      <c r="AD1263">
        <v>-1.1103261357279901</v>
      </c>
      <c r="AE1263">
        <v>5.3077999999999799</v>
      </c>
      <c r="AF1263">
        <v>-5.6475199422587004</v>
      </c>
      <c r="AG1263">
        <v>-1.1103261357279901</v>
      </c>
      <c r="AH1263">
        <v>32.550459061901499</v>
      </c>
      <c r="AI1263">
        <v>91.924918894704106</v>
      </c>
      <c r="AJ1263">
        <v>99.8428606015855</v>
      </c>
      <c r="AK1263">
        <v>33.055403352045403</v>
      </c>
      <c r="AL1263">
        <v>79.652216252262207</v>
      </c>
      <c r="AM1263">
        <v>90.528783278044202</v>
      </c>
      <c r="AN1263">
        <v>1.00000001697431</v>
      </c>
    </row>
    <row r="1264" spans="1:40" x14ac:dyDescent="0.25">
      <c r="A1264" t="str">
        <f>"20190312172111735"</f>
        <v>20190312172111735</v>
      </c>
      <c r="B1264" t="str">
        <f>"1552382471732822"</f>
        <v>1552382471732822</v>
      </c>
      <c r="C1264" t="s">
        <v>40</v>
      </c>
      <c r="D1264">
        <v>3.195363</v>
      </c>
      <c r="E1264">
        <v>0.43734089999999998</v>
      </c>
      <c r="F1264" t="s">
        <v>42</v>
      </c>
      <c r="G1264">
        <v>-230.3374</v>
      </c>
      <c r="H1264" s="1">
        <v>-4.7182440000000004E-6</v>
      </c>
      <c r="I1264">
        <v>372.75670000000002</v>
      </c>
      <c r="J1264">
        <v>-261.84519999999998</v>
      </c>
      <c r="K1264">
        <v>1.110325</v>
      </c>
      <c r="L1264">
        <v>367.59769999999997</v>
      </c>
      <c r="M1264">
        <v>0.9998532</v>
      </c>
      <c r="N1264">
        <v>0</v>
      </c>
      <c r="O1264">
        <v>-1.0609489999999999E-2</v>
      </c>
      <c r="P1264">
        <v>0.9860717</v>
      </c>
      <c r="Q1264">
        <v>0.1663134</v>
      </c>
      <c r="R1264">
        <v>-1.6389060000000001E-3</v>
      </c>
      <c r="S1264">
        <v>3.061188</v>
      </c>
      <c r="T1264">
        <v>-0.1073557</v>
      </c>
      <c r="U1264">
        <v>0.49865720000000002</v>
      </c>
      <c r="V1264">
        <v>-8.8175949999999993E-3</v>
      </c>
      <c r="W1264">
        <v>0.1795677</v>
      </c>
      <c r="X1264">
        <v>0.98370610000000003</v>
      </c>
      <c r="Y1264">
        <v>-0.17113200000000001</v>
      </c>
      <c r="Z1264">
        <v>3.349884E-3</v>
      </c>
      <c r="AA1264">
        <v>0.98524239999999996</v>
      </c>
      <c r="AB1264">
        <v>30</v>
      </c>
      <c r="AC1264">
        <v>31.5077999999999</v>
      </c>
      <c r="AD1264">
        <v>-1.110329718244</v>
      </c>
      <c r="AE1264">
        <v>5.1590000000000398</v>
      </c>
      <c r="AF1264">
        <v>-5.4863861818640602</v>
      </c>
      <c r="AG1264">
        <v>-1.110329718244</v>
      </c>
      <c r="AH1264">
        <v>31.413295118089302</v>
      </c>
      <c r="AI1264">
        <v>91.994164639172595</v>
      </c>
      <c r="AJ1264">
        <v>99.906882630587504</v>
      </c>
      <c r="AK1264">
        <v>31.908123974874201</v>
      </c>
      <c r="AL1264">
        <v>79.655419427369907</v>
      </c>
      <c r="AM1264">
        <v>90.513565432685795</v>
      </c>
      <c r="AN1264">
        <v>1.0000000000210401</v>
      </c>
    </row>
    <row r="1265" spans="1:40" x14ac:dyDescent="0.25">
      <c r="A1265" t="str">
        <f>"20190312172111748"</f>
        <v>20190312172111748</v>
      </c>
      <c r="B1265" t="str">
        <f>"1552382471742582"</f>
        <v>1552382471742582</v>
      </c>
      <c r="C1265" t="s">
        <v>40</v>
      </c>
      <c r="D1265">
        <v>3.1417989999999998</v>
      </c>
      <c r="E1265">
        <v>0.43724239999999998</v>
      </c>
      <c r="F1265" t="s">
        <v>42</v>
      </c>
      <c r="G1265">
        <v>-230.5196</v>
      </c>
      <c r="H1265" s="1">
        <v>-4.6478779999999998E-6</v>
      </c>
      <c r="I1265">
        <v>372.70960000000002</v>
      </c>
      <c r="J1265">
        <v>-261.68090000000001</v>
      </c>
      <c r="K1265">
        <v>1.1103259999999999</v>
      </c>
      <c r="L1265">
        <v>367.59589999999997</v>
      </c>
      <c r="M1265">
        <v>0.9998532</v>
      </c>
      <c r="N1265">
        <v>0</v>
      </c>
      <c r="O1265">
        <v>-1.06093E-2</v>
      </c>
      <c r="P1265">
        <v>0.98605500000000001</v>
      </c>
      <c r="Q1265">
        <v>0.16641059999999999</v>
      </c>
      <c r="R1265">
        <v>-1.8477039999999999E-3</v>
      </c>
      <c r="S1265">
        <v>3.0615540000000001</v>
      </c>
      <c r="T1265">
        <v>-0.108516</v>
      </c>
      <c r="U1265">
        <v>0.49960329999999997</v>
      </c>
      <c r="V1265">
        <v>-8.6082269999999995E-3</v>
      </c>
      <c r="W1265">
        <v>0.1796719</v>
      </c>
      <c r="X1265">
        <v>0.98368900000000004</v>
      </c>
      <c r="Y1265">
        <v>-0.17140710000000001</v>
      </c>
      <c r="Z1265">
        <v>3.3904199999999999E-3</v>
      </c>
      <c r="AA1265">
        <v>0.98519440000000003</v>
      </c>
      <c r="AB1265">
        <v>30</v>
      </c>
      <c r="AC1265">
        <v>31.161300000000001</v>
      </c>
      <c r="AD1265">
        <v>-1.110330647878</v>
      </c>
      <c r="AE1265">
        <v>5.1137000000000503</v>
      </c>
      <c r="AF1265">
        <v>-5.4373193616468498</v>
      </c>
      <c r="AG1265">
        <v>-1.110330647878</v>
      </c>
      <c r="AH1265">
        <v>31.0668794742698</v>
      </c>
      <c r="AI1265">
        <v>92.016258480571807</v>
      </c>
      <c r="AJ1265">
        <v>99.927346838548104</v>
      </c>
      <c r="AK1265">
        <v>31.558648200722502</v>
      </c>
      <c r="AL1265">
        <v>79.649351245275795</v>
      </c>
      <c r="AM1265">
        <v>90.501380504138595</v>
      </c>
      <c r="AN1265">
        <v>1.0000000709713399</v>
      </c>
    </row>
    <row r="1266" spans="1:40" x14ac:dyDescent="0.25">
      <c r="A1266" t="str">
        <f>"20190312172111760"</f>
        <v>20190312172111760</v>
      </c>
      <c r="B1266" t="str">
        <f>"1552382471752343"</f>
        <v>1552382471752343</v>
      </c>
      <c r="C1266" t="s">
        <v>40</v>
      </c>
      <c r="D1266">
        <v>3.1909320000000001</v>
      </c>
      <c r="E1266">
        <v>0.43724600000000002</v>
      </c>
      <c r="F1266" t="s">
        <v>42</v>
      </c>
      <c r="G1266">
        <v>-230.1935</v>
      </c>
      <c r="H1266" s="1">
        <v>-4.7631339999999999E-6</v>
      </c>
      <c r="I1266">
        <v>372.73360000000002</v>
      </c>
      <c r="J1266">
        <v>-261.51639999999998</v>
      </c>
      <c r="K1266">
        <v>1.1103259999999999</v>
      </c>
      <c r="L1266">
        <v>367.5942</v>
      </c>
      <c r="M1266">
        <v>0.99985310000000005</v>
      </c>
      <c r="N1266">
        <v>0</v>
      </c>
      <c r="O1266">
        <v>-1.060935E-2</v>
      </c>
      <c r="P1266">
        <v>0.98606859999999996</v>
      </c>
      <c r="Q1266">
        <v>0.166327799999999</v>
      </c>
      <c r="R1266">
        <v>-1.9648109999999999E-3</v>
      </c>
      <c r="S1266">
        <v>3.0615540000000001</v>
      </c>
      <c r="T1266">
        <v>-0.1079582</v>
      </c>
      <c r="U1266">
        <v>0.49954219999999999</v>
      </c>
      <c r="V1266">
        <v>-8.4910809999999993E-3</v>
      </c>
      <c r="W1266">
        <v>0.17959639999999999</v>
      </c>
      <c r="X1266">
        <v>0.98370369999999996</v>
      </c>
      <c r="Y1266">
        <v>-0.17138919999999999</v>
      </c>
      <c r="Z1266">
        <v>3.3726960000000001E-3</v>
      </c>
      <c r="AA1266">
        <v>0.98519760000000001</v>
      </c>
      <c r="AB1266">
        <v>30</v>
      </c>
      <c r="AC1266">
        <v>31.322899999999901</v>
      </c>
      <c r="AD1266">
        <v>-1.110330763134</v>
      </c>
      <c r="AE1266">
        <v>5.1394000000000197</v>
      </c>
      <c r="AF1266">
        <v>-5.4647696680307698</v>
      </c>
      <c r="AG1266">
        <v>-1.110330763134</v>
      </c>
      <c r="AH1266">
        <v>31.228394748962401</v>
      </c>
      <c r="AI1266">
        <v>92.005847925321206</v>
      </c>
      <c r="AJ1266">
        <v>99.925890508314396</v>
      </c>
      <c r="AK1266">
        <v>31.722376653164201</v>
      </c>
      <c r="AL1266">
        <v>79.653747522368505</v>
      </c>
      <c r="AM1266">
        <v>90.494550363800698</v>
      </c>
      <c r="AN1266">
        <v>0.99999996737159802</v>
      </c>
    </row>
    <row r="1267" spans="1:40" x14ac:dyDescent="0.25">
      <c r="A1267" t="str">
        <f>"20190312172111773"</f>
        <v>20190312172111773</v>
      </c>
      <c r="B1267" t="str">
        <f>"1552382471761999"</f>
        <v>1552382471761999</v>
      </c>
      <c r="C1267" t="s">
        <v>40</v>
      </c>
      <c r="D1267">
        <v>3.2316720000000001</v>
      </c>
      <c r="E1267">
        <v>0.43724600000000002</v>
      </c>
      <c r="F1267" t="s">
        <v>42</v>
      </c>
      <c r="G1267">
        <v>-230.73759999999999</v>
      </c>
      <c r="H1267" s="1">
        <v>-4.5574739999999997E-6</v>
      </c>
      <c r="I1267">
        <v>372.6182</v>
      </c>
      <c r="J1267">
        <v>-261.33440000000002</v>
      </c>
      <c r="K1267">
        <v>1.1103270000000001</v>
      </c>
      <c r="L1267">
        <v>367.59230000000002</v>
      </c>
      <c r="M1267">
        <v>0.99985299999999999</v>
      </c>
      <c r="N1267">
        <v>0</v>
      </c>
      <c r="O1267">
        <v>-1.060928E-2</v>
      </c>
      <c r="P1267">
        <v>0.98607560000000005</v>
      </c>
      <c r="Q1267">
        <v>0.16628309999999999</v>
      </c>
      <c r="R1267">
        <v>-2.1955870000000001E-3</v>
      </c>
      <c r="S1267">
        <v>3.0620120000000002</v>
      </c>
      <c r="T1267">
        <v>-0.1104604</v>
      </c>
      <c r="U1267">
        <v>0.49981690000000001</v>
      </c>
      <c r="V1267">
        <v>-8.2603580000000006E-3</v>
      </c>
      <c r="W1267">
        <v>0.17955839999999901</v>
      </c>
      <c r="X1267">
        <v>0.98371260000000005</v>
      </c>
      <c r="Y1267">
        <v>-0.17144670000000001</v>
      </c>
      <c r="Z1267">
        <v>3.4513120000000002E-3</v>
      </c>
      <c r="AA1267">
        <v>0.98518740000000005</v>
      </c>
      <c r="AB1267">
        <v>30</v>
      </c>
      <c r="AC1267">
        <v>30.596800000000002</v>
      </c>
      <c r="AD1267">
        <v>-1.110331557474</v>
      </c>
      <c r="AE1267">
        <v>5.0258999999999698</v>
      </c>
      <c r="AF1267">
        <v>-5.34340469793724</v>
      </c>
      <c r="AG1267">
        <v>-1.110331557474</v>
      </c>
      <c r="AH1267">
        <v>30.502638073779401</v>
      </c>
      <c r="AI1267">
        <v>92.053470211271303</v>
      </c>
      <c r="AJ1267">
        <v>99.936165526098307</v>
      </c>
      <c r="AK1267">
        <v>30.987025339542299</v>
      </c>
      <c r="AL1267">
        <v>79.655960725731205</v>
      </c>
      <c r="AM1267">
        <v>90.481108534264905</v>
      </c>
      <c r="AN1267">
        <v>0.99999996596180296</v>
      </c>
    </row>
    <row r="1268" spans="1:40" x14ac:dyDescent="0.25">
      <c r="A1268" t="str">
        <f>"20190312172111787"</f>
        <v>20190312172111787</v>
      </c>
      <c r="B1268" t="str">
        <f>"1552382471782494"</f>
        <v>1552382471782494</v>
      </c>
      <c r="C1268" t="s">
        <v>40</v>
      </c>
      <c r="D1268">
        <v>3.2102059999999999</v>
      </c>
      <c r="E1268">
        <v>0.47035450000000001</v>
      </c>
      <c r="F1268" t="s">
        <v>42</v>
      </c>
      <c r="G1268">
        <v>-230.54409999999999</v>
      </c>
      <c r="H1268" s="1">
        <v>-4.6222280000000003E-6</v>
      </c>
      <c r="I1268">
        <v>372.61189999999999</v>
      </c>
      <c r="J1268">
        <v>-261.14769999999999</v>
      </c>
      <c r="K1268">
        <v>1.1103270000000001</v>
      </c>
      <c r="L1268">
        <v>367.59030000000001</v>
      </c>
      <c r="M1268">
        <v>0.99985279999999999</v>
      </c>
      <c r="N1268">
        <v>0</v>
      </c>
      <c r="O1268">
        <v>-1.0609199999999999E-2</v>
      </c>
      <c r="P1268">
        <v>0.98611190000000004</v>
      </c>
      <c r="Q1268">
        <v>0.16606319999999999</v>
      </c>
      <c r="R1268">
        <v>-2.5473010000000001E-3</v>
      </c>
      <c r="S1268">
        <v>3.062103</v>
      </c>
      <c r="T1268">
        <v>-0.1104226</v>
      </c>
      <c r="U1268">
        <v>0.4992065</v>
      </c>
      <c r="V1268">
        <v>-7.909335E-3</v>
      </c>
      <c r="W1268">
        <v>0.17934539999999999</v>
      </c>
      <c r="X1268">
        <v>0.98375440000000003</v>
      </c>
      <c r="Y1268">
        <v>-0.17125079999999901</v>
      </c>
      <c r="Z1268">
        <v>3.4465749999999999E-3</v>
      </c>
      <c r="AA1268">
        <v>0.98522140000000002</v>
      </c>
      <c r="AB1268">
        <v>30</v>
      </c>
      <c r="AC1268">
        <v>30.6036</v>
      </c>
      <c r="AD1268">
        <v>-1.110331622228</v>
      </c>
      <c r="AE1268">
        <v>5.0215999999999701</v>
      </c>
      <c r="AF1268">
        <v>-5.3391827783377996</v>
      </c>
      <c r="AG1268">
        <v>-1.110331622228</v>
      </c>
      <c r="AH1268">
        <v>30.509490111048098</v>
      </c>
      <c r="AI1268">
        <v>92.0530714749287</v>
      </c>
      <c r="AJ1268">
        <v>99.9262856104382</v>
      </c>
      <c r="AK1268">
        <v>30.993042701354199</v>
      </c>
      <c r="AL1268">
        <v>79.668366721468104</v>
      </c>
      <c r="AM1268">
        <v>90.460645207971496</v>
      </c>
      <c r="AN1268">
        <v>1.00000002480033</v>
      </c>
    </row>
    <row r="1269" spans="1:40" x14ac:dyDescent="0.25">
      <c r="A1269" t="str">
        <f>"20190312172111801"</f>
        <v>20190312172111801</v>
      </c>
      <c r="B1269" t="str">
        <f>"1552382471792255"</f>
        <v>1552382471792255</v>
      </c>
      <c r="C1269" t="s">
        <v>40</v>
      </c>
      <c r="D1269">
        <v>3.4606140000000001</v>
      </c>
      <c r="E1269">
        <v>0.52141919999999997</v>
      </c>
      <c r="F1269" t="s">
        <v>42</v>
      </c>
      <c r="G1269">
        <v>-247.12729999999999</v>
      </c>
      <c r="H1269" s="1">
        <v>-1.5081100000000001E-6</v>
      </c>
      <c r="I1269">
        <v>368.65989999999999</v>
      </c>
      <c r="J1269">
        <v>-260.95839999999998</v>
      </c>
      <c r="K1269">
        <v>1.110328</v>
      </c>
      <c r="L1269">
        <v>367.5883</v>
      </c>
      <c r="M1269">
        <v>0.99985279999999999</v>
      </c>
      <c r="N1269">
        <v>0</v>
      </c>
      <c r="O1269">
        <v>-1.0609E-2</v>
      </c>
      <c r="P1269">
        <v>0.98610140000000002</v>
      </c>
      <c r="Q1269">
        <v>0.1661232</v>
      </c>
      <c r="R1269">
        <v>-2.6736400000000001E-3</v>
      </c>
      <c r="S1269">
        <v>3.0839840000000001</v>
      </c>
      <c r="T1269">
        <v>-0.24423120000000001</v>
      </c>
      <c r="U1269">
        <v>0.23526</v>
      </c>
      <c r="V1269">
        <v>-7.7821169999999999E-3</v>
      </c>
      <c r="W1269">
        <v>0.1794116</v>
      </c>
      <c r="X1269">
        <v>0.98374329999999999</v>
      </c>
      <c r="Y1269">
        <v>-8.6336560000000007E-2</v>
      </c>
      <c r="Z1269">
        <v>4.2461579999999999E-3</v>
      </c>
      <c r="AA1269">
        <v>0.99625699999999995</v>
      </c>
      <c r="AB1269">
        <v>30</v>
      </c>
      <c r="AC1269">
        <v>13.8310999999999</v>
      </c>
      <c r="AD1269">
        <v>-1.11032950811</v>
      </c>
      <c r="AE1269">
        <v>1.0715999999999799</v>
      </c>
      <c r="AF1269">
        <v>-1.21053241862052</v>
      </c>
      <c r="AG1269">
        <v>-1.11032950811</v>
      </c>
      <c r="AH1269">
        <v>13.7309902711376</v>
      </c>
      <c r="AI1269">
        <v>94.605266701486698</v>
      </c>
      <c r="AJ1269">
        <v>95.038204767260098</v>
      </c>
      <c r="AK1269">
        <v>13.828894177742001</v>
      </c>
      <c r="AL1269">
        <v>79.664510757019499</v>
      </c>
      <c r="AM1269">
        <v>90.453241368043507</v>
      </c>
      <c r="AN1269">
        <v>0.99999998192722495</v>
      </c>
    </row>
    <row r="1270" spans="1:40" x14ac:dyDescent="0.25">
      <c r="A1270" t="str">
        <f>"20190312172111814"</f>
        <v>20190312172111814</v>
      </c>
      <c r="B1270" t="str">
        <f>"1552382471802014"</f>
        <v>1552382471802014</v>
      </c>
      <c r="C1270" t="s">
        <v>40</v>
      </c>
      <c r="D1270">
        <v>3.3936510000000002</v>
      </c>
      <c r="E1270">
        <v>0.52998730000000005</v>
      </c>
      <c r="F1270" t="s">
        <v>41</v>
      </c>
      <c r="G1270">
        <v>-259.99869999999999</v>
      </c>
      <c r="H1270">
        <v>0.98397310000000004</v>
      </c>
      <c r="I1270">
        <v>367.53539999999998</v>
      </c>
      <c r="J1270">
        <v>-260.77050000000003</v>
      </c>
      <c r="K1270">
        <v>1.1103240000000001</v>
      </c>
      <c r="L1270">
        <v>367.58629999999999</v>
      </c>
      <c r="M1270">
        <v>0.99985279999999999</v>
      </c>
      <c r="N1270">
        <v>0</v>
      </c>
      <c r="O1270">
        <v>-1.060904E-2</v>
      </c>
      <c r="P1270">
        <v>0.98613419999999896</v>
      </c>
      <c r="Q1270">
        <v>0.1659244</v>
      </c>
      <c r="R1270">
        <v>-2.932011E-3</v>
      </c>
      <c r="S1270">
        <v>3.11084</v>
      </c>
      <c r="T1270">
        <v>-0.40965970000000002</v>
      </c>
      <c r="U1270">
        <v>-0.17089840000000001</v>
      </c>
      <c r="V1270">
        <v>-7.5248579999999997E-3</v>
      </c>
      <c r="W1270">
        <v>0.17921879999999901</v>
      </c>
      <c r="X1270">
        <v>0.9837804</v>
      </c>
      <c r="Y1270">
        <v>4.3969500000000002E-2</v>
      </c>
      <c r="Z1270">
        <v>-1.4904880000000001E-3</v>
      </c>
      <c r="AA1270">
        <v>0.99903180000000003</v>
      </c>
      <c r="AB1270">
        <v>30</v>
      </c>
      <c r="AC1270">
        <v>0.77180000000004101</v>
      </c>
      <c r="AD1270">
        <v>-0.12635089999999999</v>
      </c>
      <c r="AE1270">
        <v>-5.0900000000012803E-2</v>
      </c>
      <c r="AF1270">
        <v>4.15982953572736E-2</v>
      </c>
      <c r="AG1270">
        <v>-0.12635089999999999</v>
      </c>
      <c r="AH1270">
        <v>0.75222374169008099</v>
      </c>
      <c r="AI1270">
        <v>99.520675267955596</v>
      </c>
      <c r="AJ1270">
        <v>86.834742803060195</v>
      </c>
      <c r="AK1270">
        <v>0.76389497031310905</v>
      </c>
      <c r="AL1270">
        <v>79.675738928419506</v>
      </c>
      <c r="AM1270">
        <v>90.438242311993207</v>
      </c>
      <c r="AN1270">
        <v>0.99999993859275804</v>
      </c>
    </row>
    <row r="1271" spans="1:40" x14ac:dyDescent="0.25">
      <c r="A1271" t="str">
        <f>"20190312172111828"</f>
        <v>20190312172111828</v>
      </c>
      <c r="B1271" t="str">
        <f>"1552382471822511"</f>
        <v>1552382471822511</v>
      </c>
      <c r="C1271" t="s">
        <v>40</v>
      </c>
      <c r="D1271">
        <v>3.4496980000000002</v>
      </c>
      <c r="E1271">
        <v>0.53812399999999905</v>
      </c>
      <c r="F1271" t="s">
        <v>41</v>
      </c>
      <c r="G1271">
        <v>-259.9914</v>
      </c>
      <c r="H1271">
        <v>0.99900560000000005</v>
      </c>
      <c r="I1271">
        <v>367.52620000000002</v>
      </c>
      <c r="J1271">
        <v>-260.59710000000001</v>
      </c>
      <c r="K1271">
        <v>1.1103320000000001</v>
      </c>
      <c r="L1271">
        <v>367.58440000000002</v>
      </c>
      <c r="M1271">
        <v>0.99985270000000004</v>
      </c>
      <c r="N1271">
        <v>0</v>
      </c>
      <c r="O1271">
        <v>-1.0608950000000001E-2</v>
      </c>
      <c r="P1271">
        <v>0.9861605</v>
      </c>
      <c r="Q1271">
        <v>0.16576959999999999</v>
      </c>
      <c r="R1271">
        <v>-2.814651E-3</v>
      </c>
      <c r="S1271">
        <v>3.116425</v>
      </c>
      <c r="T1271">
        <v>-0.44538830000000001</v>
      </c>
      <c r="U1271">
        <v>-0.23959349999999999</v>
      </c>
      <c r="V1271">
        <v>-7.6418780000000004E-3</v>
      </c>
      <c r="W1271">
        <v>0.17906820000000001</v>
      </c>
      <c r="X1271">
        <v>0.98380699999999999</v>
      </c>
      <c r="Y1271">
        <v>6.5517160000000005E-2</v>
      </c>
      <c r="Z1271">
        <v>-3.145012E-3</v>
      </c>
      <c r="AA1271">
        <v>0.99784649999999997</v>
      </c>
      <c r="AB1271">
        <v>30</v>
      </c>
      <c r="AC1271">
        <v>0.60570000000001301</v>
      </c>
      <c r="AD1271">
        <v>-0.11132639999999901</v>
      </c>
      <c r="AE1271">
        <v>-5.8199999999999301E-2</v>
      </c>
      <c r="AF1271">
        <v>5.0093535733967798E-2</v>
      </c>
      <c r="AG1271">
        <v>-0.11132639999999901</v>
      </c>
      <c r="AH1271">
        <v>0.58664679256793695</v>
      </c>
      <c r="AI1271">
        <v>100.707042342432</v>
      </c>
      <c r="AJ1271">
        <v>85.119375422548899</v>
      </c>
      <c r="AK1271">
        <v>0.59921397587968395</v>
      </c>
      <c r="AL1271">
        <v>79.684510362402705</v>
      </c>
      <c r="AM1271">
        <v>90.445045167607205</v>
      </c>
      <c r="AN1271">
        <v>1.0000000158997999</v>
      </c>
    </row>
    <row r="1272" spans="1:40" x14ac:dyDescent="0.25">
      <c r="A1272" t="str">
        <f>"20190312172111839"</f>
        <v>20190312172111839</v>
      </c>
      <c r="B1272" t="str">
        <f>"1552382471832271"</f>
        <v>1552382471832271</v>
      </c>
      <c r="C1272" t="s">
        <v>40</v>
      </c>
      <c r="D1272">
        <v>3.3507259999999999</v>
      </c>
      <c r="E1272">
        <v>0.54050540000000002</v>
      </c>
      <c r="F1272" t="s">
        <v>41</v>
      </c>
      <c r="G1272">
        <v>-259.73320000000001</v>
      </c>
      <c r="H1272">
        <v>0.97367079999999995</v>
      </c>
      <c r="I1272">
        <v>367.50009999999997</v>
      </c>
      <c r="J1272">
        <v>-260.43950000000001</v>
      </c>
      <c r="K1272">
        <v>1.1103339999999999</v>
      </c>
      <c r="L1272">
        <v>367.58280000000002</v>
      </c>
      <c r="M1272">
        <v>0.99985250000000003</v>
      </c>
      <c r="N1272">
        <v>0</v>
      </c>
      <c r="O1272">
        <v>-1.060873E-2</v>
      </c>
      <c r="P1272">
        <v>0.98619190000000001</v>
      </c>
      <c r="Q1272">
        <v>0.16558059999999999</v>
      </c>
      <c r="R1272">
        <v>-2.9576139999999999E-3</v>
      </c>
      <c r="S1272">
        <v>3.1243289999999999</v>
      </c>
      <c r="T1272">
        <v>-0.49443280000000001</v>
      </c>
      <c r="U1272">
        <v>-0.30395509999999998</v>
      </c>
      <c r="V1272">
        <v>-7.4995230000000001E-3</v>
      </c>
      <c r="W1272">
        <v>0.178883399999999</v>
      </c>
      <c r="X1272">
        <v>0.98384170000000004</v>
      </c>
      <c r="Y1272">
        <v>8.5342959999999995E-2</v>
      </c>
      <c r="Z1272">
        <v>-5.0310590000000001E-3</v>
      </c>
      <c r="AA1272">
        <v>0.99633890000000003</v>
      </c>
      <c r="AB1272">
        <v>30</v>
      </c>
      <c r="AC1272">
        <v>0.70629999999999804</v>
      </c>
      <c r="AD1272">
        <v>-0.13666319999999901</v>
      </c>
      <c r="AE1272">
        <v>-8.2700000000045196E-2</v>
      </c>
      <c r="AF1272">
        <v>7.2523236548831499E-2</v>
      </c>
      <c r="AG1272">
        <v>-0.13666319999999901</v>
      </c>
      <c r="AH1272">
        <v>0.68195136123567301</v>
      </c>
      <c r="AI1272">
        <v>101.270068599056</v>
      </c>
      <c r="AJ1272">
        <v>83.929602303506002</v>
      </c>
      <c r="AK1272">
        <v>0.69928113742967901</v>
      </c>
      <c r="AL1272">
        <v>79.695272248422</v>
      </c>
      <c r="AM1272">
        <v>90.436739664611494</v>
      </c>
      <c r="AN1272">
        <v>1.0000000021498301</v>
      </c>
    </row>
    <row r="1273" spans="1:40" x14ac:dyDescent="0.25">
      <c r="A1273" t="str">
        <f>"20190312172111849"</f>
        <v>20190312172111849</v>
      </c>
      <c r="B1273" t="str">
        <f>"1552382471842031"</f>
        <v>1552382471842031</v>
      </c>
      <c r="C1273" t="s">
        <v>40</v>
      </c>
      <c r="D1273">
        <v>3.3525070000000001</v>
      </c>
      <c r="E1273">
        <v>0.54244979999999998</v>
      </c>
      <c r="F1273" t="s">
        <v>41</v>
      </c>
      <c r="G1273">
        <v>-259.72269999999997</v>
      </c>
      <c r="H1273">
        <v>0.99478440000000001</v>
      </c>
      <c r="I1273">
        <v>367.50830000000002</v>
      </c>
      <c r="J1273">
        <v>-260.29649999999998</v>
      </c>
      <c r="K1273">
        <v>1.110336</v>
      </c>
      <c r="L1273">
        <v>367.5813</v>
      </c>
      <c r="M1273">
        <v>0.99985270000000004</v>
      </c>
      <c r="N1273">
        <v>0</v>
      </c>
      <c r="O1273">
        <v>-1.060875E-2</v>
      </c>
      <c r="P1273">
        <v>0.98619159999999995</v>
      </c>
      <c r="Q1273">
        <v>0.16558200000000001</v>
      </c>
      <c r="R1273">
        <v>-3.0459039999999999E-3</v>
      </c>
      <c r="S1273">
        <v>3.1256710000000001</v>
      </c>
      <c r="T1273">
        <v>-0.50412469999999998</v>
      </c>
      <c r="U1273">
        <v>-0.32351679999999999</v>
      </c>
      <c r="V1273">
        <v>-7.41085099999999E-3</v>
      </c>
      <c r="W1273">
        <v>0.17888760000000001</v>
      </c>
      <c r="X1273">
        <v>0.98384159999999998</v>
      </c>
      <c r="Y1273">
        <v>9.1361750000000005E-2</v>
      </c>
      <c r="Z1273">
        <v>-5.6057149999999998E-3</v>
      </c>
      <c r="AA1273">
        <v>0.99580199999999996</v>
      </c>
      <c r="AB1273">
        <v>30</v>
      </c>
      <c r="AC1273">
        <v>0.57380000000000497</v>
      </c>
      <c r="AD1273">
        <v>-0.11555159999999901</v>
      </c>
      <c r="AE1273">
        <v>-7.2999999999978998E-2</v>
      </c>
      <c r="AF1273">
        <v>6.4340353893891894E-2</v>
      </c>
      <c r="AG1273">
        <v>-0.11555159999999901</v>
      </c>
      <c r="AH1273">
        <v>0.55249341237212402</v>
      </c>
      <c r="AI1273">
        <v>101.73579949461801</v>
      </c>
      <c r="AJ1273">
        <v>83.357567259988102</v>
      </c>
      <c r="AK1273">
        <v>0.56810282882269303</v>
      </c>
      <c r="AL1273">
        <v>79.695027576218195</v>
      </c>
      <c r="AM1273">
        <v>90.431576032604596</v>
      </c>
      <c r="AN1273">
        <v>0.99999999401843198</v>
      </c>
    </row>
    <row r="1274" spans="1:40" x14ac:dyDescent="0.25">
      <c r="A1274" t="str">
        <f>"20190312172111860"</f>
        <v>20190312172111860</v>
      </c>
      <c r="B1274" t="str">
        <f>"1552382471852766"</f>
        <v>1552382471852766</v>
      </c>
      <c r="C1274" t="s">
        <v>40</v>
      </c>
      <c r="D1274">
        <v>3.3916940000000002</v>
      </c>
      <c r="E1274">
        <v>0.54390680000000002</v>
      </c>
      <c r="F1274" t="s">
        <v>41</v>
      </c>
      <c r="G1274">
        <v>-259.4622</v>
      </c>
      <c r="H1274">
        <v>0.97395189999999998</v>
      </c>
      <c r="I1274">
        <v>367.4907</v>
      </c>
      <c r="J1274">
        <v>-260.15170000000001</v>
      </c>
      <c r="K1274">
        <v>1.1103350000000001</v>
      </c>
      <c r="L1274">
        <v>367.5797</v>
      </c>
      <c r="M1274">
        <v>0.99985250000000003</v>
      </c>
      <c r="N1274">
        <v>0</v>
      </c>
      <c r="O1274">
        <v>-1.0608650000000001E-2</v>
      </c>
      <c r="P1274">
        <v>0.98619230000000002</v>
      </c>
      <c r="Q1274">
        <v>0.16557049999999901</v>
      </c>
      <c r="R1274">
        <v>-3.3401809999999998E-3</v>
      </c>
      <c r="S1274">
        <v>3.126862</v>
      </c>
      <c r="T1274">
        <v>-0.51124029999999998</v>
      </c>
      <c r="U1274">
        <v>-0.3388062</v>
      </c>
      <c r="V1274">
        <v>-7.1162469999999896E-3</v>
      </c>
      <c r="W1274">
        <v>0.17887910000000001</v>
      </c>
      <c r="X1274">
        <v>0.98384539999999998</v>
      </c>
      <c r="Y1274">
        <v>9.6047939999999998E-2</v>
      </c>
      <c r="Z1274">
        <v>-6.0597659999999899E-3</v>
      </c>
      <c r="AA1274">
        <v>0.99535830000000003</v>
      </c>
      <c r="AB1274">
        <v>30</v>
      </c>
      <c r="AC1274">
        <v>0.68950000000000899</v>
      </c>
      <c r="AD1274">
        <v>-0.13638310000000001</v>
      </c>
      <c r="AE1274">
        <v>-8.8999999999998594E-2</v>
      </c>
      <c r="AF1274">
        <v>7.8652812091348098E-2</v>
      </c>
      <c r="AG1274">
        <v>-0.13638310000000001</v>
      </c>
      <c r="AH1274">
        <v>0.66482072145531002</v>
      </c>
      <c r="AI1274">
        <v>101.514833885996</v>
      </c>
      <c r="AJ1274">
        <v>83.252881716097704</v>
      </c>
      <c r="AK1274">
        <v>0.68320802578120099</v>
      </c>
      <c r="AL1274">
        <v>79.695523389411605</v>
      </c>
      <c r="AM1274">
        <v>90.414418575099901</v>
      </c>
      <c r="AN1274">
        <v>1.00000007224466</v>
      </c>
    </row>
    <row r="1275" spans="1:40" x14ac:dyDescent="0.25">
      <c r="A1275" t="str">
        <f>"20190312172111870"</f>
        <v>20190312172111870</v>
      </c>
      <c r="B1275" t="str">
        <f>"1552382471862527"</f>
        <v>1552382471862527</v>
      </c>
      <c r="C1275" t="s">
        <v>40</v>
      </c>
      <c r="D1275">
        <v>3.3495430000000002</v>
      </c>
      <c r="E1275">
        <v>0.54489849999999995</v>
      </c>
      <c r="F1275" t="s">
        <v>41</v>
      </c>
      <c r="G1275">
        <v>-259.20179999999999</v>
      </c>
      <c r="H1275">
        <v>0.9528643</v>
      </c>
      <c r="I1275">
        <v>367.47289999999998</v>
      </c>
      <c r="J1275">
        <v>-260.00790000000001</v>
      </c>
      <c r="K1275">
        <v>1.1103350000000001</v>
      </c>
      <c r="L1275">
        <v>367.57819999999998</v>
      </c>
      <c r="M1275">
        <v>0.99985250000000003</v>
      </c>
      <c r="N1275">
        <v>0</v>
      </c>
      <c r="O1275">
        <v>-1.0608670000000001E-2</v>
      </c>
      <c r="P1275">
        <v>0.98621650000000005</v>
      </c>
      <c r="Q1275">
        <v>0.16542379999999901</v>
      </c>
      <c r="R1275">
        <v>-3.4701419999999998E-3</v>
      </c>
      <c r="S1275">
        <v>3.127869</v>
      </c>
      <c r="T1275">
        <v>-0.51871699999999998</v>
      </c>
      <c r="U1275">
        <v>-0.35070800000000002</v>
      </c>
      <c r="V1275">
        <v>-6.9864819999999996E-3</v>
      </c>
      <c r="W1275">
        <v>0.17873510000000001</v>
      </c>
      <c r="X1275">
        <v>0.98387239999999998</v>
      </c>
      <c r="Y1275">
        <v>9.9674529999999997E-2</v>
      </c>
      <c r="Z1275">
        <v>-6.4417819999999897E-3</v>
      </c>
      <c r="AA1275">
        <v>0.99499919999999997</v>
      </c>
      <c r="AB1275">
        <v>30</v>
      </c>
      <c r="AC1275">
        <v>0.80610000000001403</v>
      </c>
      <c r="AD1275">
        <v>-0.15747069999999999</v>
      </c>
      <c r="AE1275">
        <v>-0.10529999999999901</v>
      </c>
      <c r="AF1275">
        <v>9.3243078611633001E-2</v>
      </c>
      <c r="AG1275">
        <v>-0.15747069999999999</v>
      </c>
      <c r="AH1275">
        <v>0.77798125570539101</v>
      </c>
      <c r="AI1275">
        <v>101.363421455927</v>
      </c>
      <c r="AJ1275">
        <v>83.165552071391502</v>
      </c>
      <c r="AK1275">
        <v>0.79921594534668905</v>
      </c>
      <c r="AL1275">
        <v>79.703908093323605</v>
      </c>
      <c r="AM1275">
        <v>90.406850730073202</v>
      </c>
      <c r="AN1275">
        <v>0.99999997319225198</v>
      </c>
    </row>
    <row r="1276" spans="1:40" x14ac:dyDescent="0.25">
      <c r="A1276" t="str">
        <f>"20190312172111882"</f>
        <v>20190312172111882</v>
      </c>
      <c r="B1276" t="str">
        <f>"1552382471872287"</f>
        <v>1552382471872287</v>
      </c>
      <c r="C1276" t="s">
        <v>40</v>
      </c>
      <c r="D1276">
        <v>3.3780100000000002</v>
      </c>
      <c r="E1276">
        <v>0.54582459999999999</v>
      </c>
      <c r="F1276" t="s">
        <v>41</v>
      </c>
      <c r="G1276">
        <v>-259.19200000000001</v>
      </c>
      <c r="H1276">
        <v>0.97313000000000005</v>
      </c>
      <c r="I1276">
        <v>367.48430000000002</v>
      </c>
      <c r="J1276">
        <v>-259.86610000000002</v>
      </c>
      <c r="K1276">
        <v>1.1103350000000001</v>
      </c>
      <c r="L1276">
        <v>367.57670000000002</v>
      </c>
      <c r="M1276">
        <v>0.99985250000000003</v>
      </c>
      <c r="N1276">
        <v>0</v>
      </c>
      <c r="O1276">
        <v>-1.060856E-2</v>
      </c>
      <c r="P1276">
        <v>0.98624889999999998</v>
      </c>
      <c r="Q1276">
        <v>0.16522829999999999</v>
      </c>
      <c r="R1276">
        <v>-3.6012430000000001E-3</v>
      </c>
      <c r="S1276">
        <v>3.1289669999999998</v>
      </c>
      <c r="T1276">
        <v>-0.52634049999999999</v>
      </c>
      <c r="U1276">
        <v>-0.3587341</v>
      </c>
      <c r="V1276">
        <v>-6.8558339999999999E-3</v>
      </c>
      <c r="W1276">
        <v>0.17854229999999999</v>
      </c>
      <c r="X1276">
        <v>0.98390840000000002</v>
      </c>
      <c r="Y1276">
        <v>0.102088</v>
      </c>
      <c r="Z1276">
        <v>-6.7329499999999997E-3</v>
      </c>
      <c r="AA1276">
        <v>0.99475259999999999</v>
      </c>
      <c r="AB1276">
        <v>30</v>
      </c>
      <c r="AC1276">
        <v>0.67410000000000903</v>
      </c>
      <c r="AD1276">
        <v>-0.13720499999999999</v>
      </c>
      <c r="AE1276">
        <v>-9.2399999999997803E-2</v>
      </c>
      <c r="AF1276">
        <v>8.1912067233275002E-2</v>
      </c>
      <c r="AG1276">
        <v>-0.13720499999999999</v>
      </c>
      <c r="AH1276">
        <v>0.64866523727085701</v>
      </c>
      <c r="AI1276">
        <v>101.851680264162</v>
      </c>
      <c r="AJ1276">
        <v>82.802904639076502</v>
      </c>
      <c r="AK1276">
        <v>0.66805792325747204</v>
      </c>
      <c r="AL1276">
        <v>79.715136084932993</v>
      </c>
      <c r="AM1276">
        <v>90.399228216899303</v>
      </c>
      <c r="AN1276">
        <v>1.0000000474698401</v>
      </c>
    </row>
    <row r="1277" spans="1:40" x14ac:dyDescent="0.25">
      <c r="A1277" t="str">
        <f>"20190312172111892"</f>
        <v>20190312172111892</v>
      </c>
      <c r="B1277" t="str">
        <f>"1552382471882047"</f>
        <v>1552382471882047</v>
      </c>
      <c r="C1277" t="s">
        <v>40</v>
      </c>
      <c r="D1277">
        <v>3.409341</v>
      </c>
      <c r="E1277">
        <v>0.54635630000000002</v>
      </c>
      <c r="F1277" t="s">
        <v>41</v>
      </c>
      <c r="G1277">
        <v>-258.93200000000002</v>
      </c>
      <c r="H1277">
        <v>0.9515865</v>
      </c>
      <c r="I1277">
        <v>367.4674</v>
      </c>
      <c r="J1277">
        <v>-259.71300000000002</v>
      </c>
      <c r="K1277">
        <v>1.110336</v>
      </c>
      <c r="L1277">
        <v>367.57510000000002</v>
      </c>
      <c r="M1277">
        <v>0.99985250000000003</v>
      </c>
      <c r="N1277">
        <v>0</v>
      </c>
      <c r="O1277">
        <v>-1.0608579999999999E-2</v>
      </c>
      <c r="P1277">
        <v>0.98624650000000003</v>
      </c>
      <c r="Q1277">
        <v>0.1652419</v>
      </c>
      <c r="R1277">
        <v>-3.64103E-3</v>
      </c>
      <c r="S1277">
        <v>3.129578</v>
      </c>
      <c r="T1277">
        <v>-0.53196650000000001</v>
      </c>
      <c r="U1277">
        <v>-0.3660583</v>
      </c>
      <c r="V1277">
        <v>-6.8159350000000004E-3</v>
      </c>
      <c r="W1277">
        <v>0.17855770000000001</v>
      </c>
      <c r="X1277">
        <v>0.9839059</v>
      </c>
      <c r="Y1277">
        <v>0.1043056</v>
      </c>
      <c r="Z1277">
        <v>-6.9882290000000003E-3</v>
      </c>
      <c r="AA1277">
        <v>0.99452070000000004</v>
      </c>
      <c r="AB1277">
        <v>30</v>
      </c>
      <c r="AC1277">
        <v>0.78099999999994896</v>
      </c>
      <c r="AD1277">
        <v>-0.15874949999999999</v>
      </c>
      <c r="AE1277">
        <v>-0.107700000000022</v>
      </c>
      <c r="AF1277">
        <v>9.5534401992902099E-2</v>
      </c>
      <c r="AG1277">
        <v>-0.15874949999999999</v>
      </c>
      <c r="AH1277">
        <v>0.75162381157728897</v>
      </c>
      <c r="AI1277">
        <v>101.833602491029</v>
      </c>
      <c r="AJ1277">
        <v>82.756318171109498</v>
      </c>
      <c r="AK1277">
        <v>0.77412310380479099</v>
      </c>
      <c r="AL1277">
        <v>79.7142394981027</v>
      </c>
      <c r="AM1277">
        <v>90.396905905461907</v>
      </c>
      <c r="AN1277">
        <v>1.00000006462701</v>
      </c>
    </row>
    <row r="1278" spans="1:40" x14ac:dyDescent="0.25">
      <c r="A1278" t="str">
        <f>"20190312172111903"</f>
        <v>20190312172111903</v>
      </c>
      <c r="B1278" t="str">
        <f>"1552382471892783"</f>
        <v>1552382471892783</v>
      </c>
      <c r="C1278" t="s">
        <v>40</v>
      </c>
      <c r="D1278">
        <v>3.379394</v>
      </c>
      <c r="E1278">
        <v>0.54703760000000001</v>
      </c>
      <c r="F1278" t="s">
        <v>41</v>
      </c>
      <c r="G1278">
        <v>-258.92129999999997</v>
      </c>
      <c r="H1278">
        <v>0.97355650000000005</v>
      </c>
      <c r="I1278">
        <v>367.48129999999998</v>
      </c>
      <c r="J1278">
        <v>-259.56700000000001</v>
      </c>
      <c r="K1278">
        <v>1.1103379999999901</v>
      </c>
      <c r="L1278">
        <v>367.57350000000002</v>
      </c>
      <c r="M1278">
        <v>0.99985239999999997</v>
      </c>
      <c r="N1278">
        <v>0</v>
      </c>
      <c r="O1278">
        <v>-1.0608589999999999E-2</v>
      </c>
      <c r="P1278">
        <v>0.98626930000000002</v>
      </c>
      <c r="Q1278">
        <v>0.16510520000000001</v>
      </c>
      <c r="R1278">
        <v>-3.6520979999999999E-3</v>
      </c>
      <c r="S1278">
        <v>3.1311650000000002</v>
      </c>
      <c r="T1278">
        <v>-0.54106500000000002</v>
      </c>
      <c r="U1278">
        <v>-0.37078860000000002</v>
      </c>
      <c r="V1278">
        <v>-6.8057819999999998E-3</v>
      </c>
      <c r="W1278">
        <v>0.1784231</v>
      </c>
      <c r="X1278">
        <v>0.98393030000000004</v>
      </c>
      <c r="Y1278">
        <v>0.1056656</v>
      </c>
      <c r="Z1278">
        <v>-7.218141E-3</v>
      </c>
      <c r="AA1278">
        <v>0.99437549999999997</v>
      </c>
      <c r="AB1278">
        <v>30</v>
      </c>
      <c r="AC1278">
        <v>0.64570000000003303</v>
      </c>
      <c r="AD1278">
        <v>-0.136781499999999</v>
      </c>
      <c r="AE1278">
        <v>-9.2200000000047994E-2</v>
      </c>
      <c r="AF1278">
        <v>8.1749123296397705E-2</v>
      </c>
      <c r="AG1278">
        <v>-0.136781499999999</v>
      </c>
      <c r="AH1278">
        <v>0.61940229813605197</v>
      </c>
      <c r="AI1278">
        <v>102.348911909214</v>
      </c>
      <c r="AJ1278">
        <v>82.481518875321797</v>
      </c>
      <c r="AK1278">
        <v>0.63957118824897197</v>
      </c>
      <c r="AL1278">
        <v>79.722076475613306</v>
      </c>
      <c r="AM1278">
        <v>90.396304866575804</v>
      </c>
      <c r="AN1278">
        <v>0.99999997827016496</v>
      </c>
    </row>
    <row r="1279" spans="1:40" x14ac:dyDescent="0.25">
      <c r="A1279" t="str">
        <f>"20190312172111915"</f>
        <v>20190312172111915</v>
      </c>
      <c r="B1279" t="str">
        <f>"1552382471902544"</f>
        <v>1552382471902544</v>
      </c>
      <c r="C1279" t="s">
        <v>40</v>
      </c>
      <c r="D1279">
        <v>3.3958020000000002</v>
      </c>
      <c r="E1279">
        <v>0.54749139999999996</v>
      </c>
      <c r="F1279" t="s">
        <v>41</v>
      </c>
      <c r="G1279">
        <v>-258.661</v>
      </c>
      <c r="H1279">
        <v>0.95309710000000003</v>
      </c>
      <c r="I1279">
        <v>367.46420000000001</v>
      </c>
      <c r="J1279">
        <v>-259.4117</v>
      </c>
      <c r="K1279">
        <v>1.1103400000000001</v>
      </c>
      <c r="L1279">
        <v>367.57190000000003</v>
      </c>
      <c r="M1279">
        <v>0.99985239999999997</v>
      </c>
      <c r="N1279">
        <v>0</v>
      </c>
      <c r="O1279">
        <v>-1.0608360000000001E-2</v>
      </c>
      <c r="P1279">
        <v>0.98628780000000005</v>
      </c>
      <c r="Q1279">
        <v>0.1649969</v>
      </c>
      <c r="R1279">
        <v>-3.518125E-3</v>
      </c>
      <c r="S1279">
        <v>3.1313780000000002</v>
      </c>
      <c r="T1279">
        <v>-0.54364409999999996</v>
      </c>
      <c r="U1279">
        <v>-0.37646479999999999</v>
      </c>
      <c r="V1279">
        <v>-6.9396329999999997E-3</v>
      </c>
      <c r="W1279">
        <v>0.17831659999999999</v>
      </c>
      <c r="X1279">
        <v>0.98394870000000001</v>
      </c>
      <c r="Y1279">
        <v>0.1073968</v>
      </c>
      <c r="Z1279">
        <v>-7.3994899999999999E-3</v>
      </c>
      <c r="AA1279">
        <v>0.99418870000000004</v>
      </c>
      <c r="AB1279">
        <v>30</v>
      </c>
      <c r="AC1279">
        <v>0.75069999999999404</v>
      </c>
      <c r="AD1279">
        <v>-0.15724289999999899</v>
      </c>
      <c r="AE1279">
        <v>-0.107700000000022</v>
      </c>
      <c r="AF1279">
        <v>9.5618917867005201E-2</v>
      </c>
      <c r="AG1279">
        <v>-0.15724289999999899</v>
      </c>
      <c r="AH1279">
        <v>0.72081307147222795</v>
      </c>
      <c r="AI1279">
        <v>102.20243605557501</v>
      </c>
      <c r="AJ1279">
        <v>82.443588972031904</v>
      </c>
      <c r="AK1279">
        <v>0.74393534064439604</v>
      </c>
      <c r="AL1279">
        <v>79.728278216641996</v>
      </c>
      <c r="AM1279">
        <v>90.4040912800901</v>
      </c>
      <c r="AN1279">
        <v>1.00000000628671</v>
      </c>
    </row>
    <row r="1280" spans="1:40" x14ac:dyDescent="0.25">
      <c r="A1280" t="str">
        <f>"20190312172111925"</f>
        <v>20190312172111925</v>
      </c>
      <c r="B1280" t="str">
        <f>"1552382471922062"</f>
        <v>1552382471922062</v>
      </c>
      <c r="C1280" t="s">
        <v>40</v>
      </c>
      <c r="D1280">
        <v>3.3591899999999999</v>
      </c>
      <c r="E1280">
        <v>0.54838759999999998</v>
      </c>
      <c r="F1280" t="s">
        <v>41</v>
      </c>
      <c r="G1280">
        <v>-258.64929999999998</v>
      </c>
      <c r="H1280">
        <v>0.97713989999999995</v>
      </c>
      <c r="I1280">
        <v>367.47899999999998</v>
      </c>
      <c r="J1280">
        <v>-259.26889999999997</v>
      </c>
      <c r="K1280">
        <v>1.110341</v>
      </c>
      <c r="L1280">
        <v>367.57040000000001</v>
      </c>
      <c r="M1280">
        <v>0.99985239999999997</v>
      </c>
      <c r="N1280">
        <v>0</v>
      </c>
      <c r="O1280">
        <v>-1.0608370000000001E-2</v>
      </c>
      <c r="P1280">
        <v>0.98627719999999997</v>
      </c>
      <c r="Q1280">
        <v>0.16506199999999999</v>
      </c>
      <c r="R1280">
        <v>-3.4817699999999999E-3</v>
      </c>
      <c r="S1280">
        <v>3.1319270000000001</v>
      </c>
      <c r="T1280">
        <v>-0.54741799999999996</v>
      </c>
      <c r="U1280">
        <v>-0.38006590000000001</v>
      </c>
      <c r="V1280">
        <v>-6.9756760000000001E-3</v>
      </c>
      <c r="W1280">
        <v>0.17838270000000001</v>
      </c>
      <c r="X1280">
        <v>0.98393640000000004</v>
      </c>
      <c r="Y1280">
        <v>0.1084677</v>
      </c>
      <c r="Z1280">
        <v>-7.540878E-3</v>
      </c>
      <c r="AA1280">
        <v>0.99407140000000005</v>
      </c>
      <c r="AB1280">
        <v>30</v>
      </c>
      <c r="AC1280">
        <v>0.61959999999999105</v>
      </c>
      <c r="AD1280">
        <v>-0.13320109999999999</v>
      </c>
      <c r="AE1280">
        <v>-9.1399999999964607E-2</v>
      </c>
      <c r="AF1280">
        <v>8.1150718132736097E-2</v>
      </c>
      <c r="AG1280">
        <v>-0.13320109999999999</v>
      </c>
      <c r="AH1280">
        <v>0.59368154881485202</v>
      </c>
      <c r="AI1280">
        <v>102.532914068241</v>
      </c>
      <c r="AJ1280">
        <v>82.216440205696699</v>
      </c>
      <c r="AK1280">
        <v>0.61382876561616895</v>
      </c>
      <c r="AL1280">
        <v>79.724428603543402</v>
      </c>
      <c r="AM1280">
        <v>90.406195052938799</v>
      </c>
      <c r="AN1280">
        <v>0.99999994347995202</v>
      </c>
    </row>
    <row r="1281" spans="1:40" x14ac:dyDescent="0.25">
      <c r="A1281" t="str">
        <f>"20190312172111937"</f>
        <v>20190312172111937</v>
      </c>
      <c r="B1281" t="str">
        <f>"1552382471932798"</f>
        <v>1552382471932798</v>
      </c>
      <c r="C1281" t="s">
        <v>40</v>
      </c>
      <c r="D1281">
        <v>3.3867479999999999</v>
      </c>
      <c r="E1281">
        <v>0.54870920000000001</v>
      </c>
      <c r="F1281" t="s">
        <v>41</v>
      </c>
      <c r="G1281">
        <v>-258.38959999999997</v>
      </c>
      <c r="H1281">
        <v>0.9558527</v>
      </c>
      <c r="I1281">
        <v>367.46170000000001</v>
      </c>
      <c r="J1281">
        <v>-259.1053</v>
      </c>
      <c r="K1281">
        <v>1.1103419999999999</v>
      </c>
      <c r="L1281">
        <v>367.5686</v>
      </c>
      <c r="M1281">
        <v>0.99985239999999997</v>
      </c>
      <c r="N1281">
        <v>0</v>
      </c>
      <c r="O1281">
        <v>-1.060826E-2</v>
      </c>
      <c r="P1281">
        <v>0.98628590000000005</v>
      </c>
      <c r="Q1281">
        <v>0.165010299999999</v>
      </c>
      <c r="R1281">
        <v>-3.4492630000000002E-3</v>
      </c>
      <c r="S1281">
        <v>3.1324770000000002</v>
      </c>
      <c r="T1281">
        <v>-0.55040199999999995</v>
      </c>
      <c r="U1281">
        <v>-0.38720700000000002</v>
      </c>
      <c r="V1281">
        <v>-7.0081129999999998E-3</v>
      </c>
      <c r="W1281">
        <v>0.17833299999999999</v>
      </c>
      <c r="X1281">
        <v>0.98394530000000002</v>
      </c>
      <c r="Y1281">
        <v>0.11063190000000001</v>
      </c>
      <c r="Z1281">
        <v>-7.7670609999999996E-3</v>
      </c>
      <c r="AA1281">
        <v>0.99383109999999997</v>
      </c>
      <c r="AB1281">
        <v>30</v>
      </c>
      <c r="AC1281">
        <v>0.71570000000002598</v>
      </c>
      <c r="AD1281">
        <v>-0.154489299999999</v>
      </c>
      <c r="AE1281">
        <v>-0.106899999999996</v>
      </c>
      <c r="AF1281">
        <v>9.4972338863612907E-2</v>
      </c>
      <c r="AG1281">
        <v>-0.154489299999999</v>
      </c>
      <c r="AH1281">
        <v>0.68554814699411704</v>
      </c>
      <c r="AI1281">
        <v>102.583256267442</v>
      </c>
      <c r="AJ1281">
        <v>82.112736906384001</v>
      </c>
      <c r="AK1281">
        <v>0.70912830349012501</v>
      </c>
      <c r="AL1281">
        <v>79.727323848056997</v>
      </c>
      <c r="AM1281">
        <v>90.408080111330506</v>
      </c>
      <c r="AN1281">
        <v>1.0000000629644501</v>
      </c>
    </row>
    <row r="1282" spans="1:40" x14ac:dyDescent="0.25">
      <c r="A1282" t="str">
        <f>"20190312172111949"</f>
        <v>20190312172111949</v>
      </c>
      <c r="B1282" t="str">
        <f>"1552382471942558"</f>
        <v>1552382471942558</v>
      </c>
      <c r="C1282" t="s">
        <v>40</v>
      </c>
      <c r="D1282">
        <v>3.3736329999999999</v>
      </c>
      <c r="E1282">
        <v>0.54901679999999997</v>
      </c>
      <c r="F1282" t="s">
        <v>41</v>
      </c>
      <c r="G1282">
        <v>-258.37689999999998</v>
      </c>
      <c r="H1282">
        <v>0.98181830000000003</v>
      </c>
      <c r="I1282">
        <v>367.47800000000001</v>
      </c>
      <c r="J1282">
        <v>-258.95530000000002</v>
      </c>
      <c r="K1282">
        <v>1.1103430000000001</v>
      </c>
      <c r="L1282">
        <v>367.56700000000001</v>
      </c>
      <c r="M1282">
        <v>0.99985239999999997</v>
      </c>
      <c r="N1282">
        <v>0</v>
      </c>
      <c r="O1282">
        <v>-1.0608279999999999E-2</v>
      </c>
      <c r="P1282">
        <v>0.98629860000000003</v>
      </c>
      <c r="Q1282">
        <v>0.16493669999999999</v>
      </c>
      <c r="R1282">
        <v>-3.3518139999999998E-3</v>
      </c>
      <c r="S1282">
        <v>3.1328429999999998</v>
      </c>
      <c r="T1282">
        <v>-0.55284140000000004</v>
      </c>
      <c r="U1282">
        <v>-0.38964840000000001</v>
      </c>
      <c r="V1282">
        <v>-7.1057949999999998E-3</v>
      </c>
      <c r="W1282">
        <v>0.17826220000000001</v>
      </c>
      <c r="X1282">
        <v>0.98395739999999998</v>
      </c>
      <c r="Y1282">
        <v>0.1113567</v>
      </c>
      <c r="Z1282">
        <v>-7.8629340000000002E-3</v>
      </c>
      <c r="AA1282">
        <v>0.9937494</v>
      </c>
      <c r="AB1282">
        <v>30</v>
      </c>
      <c r="AC1282">
        <v>0.57840000000004399</v>
      </c>
      <c r="AD1282">
        <v>-0.12852469999999899</v>
      </c>
      <c r="AE1282">
        <v>-8.8999999999941695E-2</v>
      </c>
      <c r="AF1282">
        <v>7.9045897522342701E-2</v>
      </c>
      <c r="AG1282">
        <v>-0.12852469999999899</v>
      </c>
      <c r="AH1282">
        <v>0.55265488582651801</v>
      </c>
      <c r="AI1282">
        <v>102.96450765620899</v>
      </c>
      <c r="AJ1282">
        <v>81.860225583234396</v>
      </c>
      <c r="AK1282">
        <v>0.57288242707655501</v>
      </c>
      <c r="AL1282">
        <v>79.731446153027406</v>
      </c>
      <c r="AM1282">
        <v>90.413762817570799</v>
      </c>
      <c r="AN1282">
        <v>1.00000003464309</v>
      </c>
    </row>
    <row r="1283" spans="1:40" x14ac:dyDescent="0.25">
      <c r="A1283" t="str">
        <f>"20190312172111960"</f>
        <v>20190312172111960</v>
      </c>
      <c r="B1283" t="str">
        <f>"1552382471952318"</f>
        <v>1552382471952318</v>
      </c>
      <c r="C1283" t="s">
        <v>40</v>
      </c>
      <c r="D1283">
        <v>3.4483229999999998</v>
      </c>
      <c r="E1283">
        <v>0.54915590000000003</v>
      </c>
      <c r="F1283" t="s">
        <v>41</v>
      </c>
      <c r="G1283">
        <v>-258.11689999999999</v>
      </c>
      <c r="H1283">
        <v>0.96193720000000005</v>
      </c>
      <c r="I1283">
        <v>367.46190000000001</v>
      </c>
      <c r="J1283">
        <v>-258.80079999999998</v>
      </c>
      <c r="K1283">
        <v>1.110341</v>
      </c>
      <c r="L1283">
        <v>367.56540000000001</v>
      </c>
      <c r="M1283">
        <v>0.99985210000000002</v>
      </c>
      <c r="N1283">
        <v>0</v>
      </c>
      <c r="O1283">
        <v>-1.060795E-2</v>
      </c>
      <c r="P1283">
        <v>0.9863054</v>
      </c>
      <c r="Q1283">
        <v>0.1648956</v>
      </c>
      <c r="R1283">
        <v>-3.3502369999999998E-3</v>
      </c>
      <c r="S1283">
        <v>3.1331020000000001</v>
      </c>
      <c r="T1283">
        <v>-0.55483359999999904</v>
      </c>
      <c r="U1283">
        <v>-0.39144899999999999</v>
      </c>
      <c r="V1283">
        <v>-7.1072510000000002E-3</v>
      </c>
      <c r="W1283">
        <v>0.1782251</v>
      </c>
      <c r="X1283">
        <v>0.98396410000000001</v>
      </c>
      <c r="Y1283">
        <v>0.1118905</v>
      </c>
      <c r="Z1283">
        <v>-7.9367080000000007E-3</v>
      </c>
      <c r="AA1283">
        <v>0.99368880000000004</v>
      </c>
      <c r="AB1283">
        <v>30</v>
      </c>
      <c r="AC1283">
        <v>0.68389999999999396</v>
      </c>
      <c r="AD1283">
        <v>-0.1484038</v>
      </c>
      <c r="AE1283">
        <v>-0.103499999999996</v>
      </c>
      <c r="AF1283">
        <v>9.2003525235359498E-2</v>
      </c>
      <c r="AG1283">
        <v>-0.1484038</v>
      </c>
      <c r="AH1283">
        <v>0.65481630536403501</v>
      </c>
      <c r="AI1283">
        <v>102.64928571865001</v>
      </c>
      <c r="AJ1283">
        <v>82.002136956730098</v>
      </c>
      <c r="AK1283">
        <v>0.67769663587830997</v>
      </c>
      <c r="AL1283">
        <v>79.733606316748094</v>
      </c>
      <c r="AM1283">
        <v>90.413844778070398</v>
      </c>
      <c r="AN1283">
        <v>1.00000002468779</v>
      </c>
    </row>
    <row r="1284" spans="1:40" x14ac:dyDescent="0.25">
      <c r="A1284" t="str">
        <f>"20190312172111971"</f>
        <v>20190312172111971</v>
      </c>
      <c r="B1284" t="str">
        <f>"1552382471962079"</f>
        <v>1552382471962079</v>
      </c>
      <c r="C1284" t="s">
        <v>40</v>
      </c>
      <c r="D1284">
        <v>3.3709410000000002</v>
      </c>
      <c r="E1284">
        <v>0.54947449999999998</v>
      </c>
      <c r="F1284" t="s">
        <v>41</v>
      </c>
      <c r="G1284">
        <v>-257.85700000000003</v>
      </c>
      <c r="H1284">
        <v>0.94172199999999995</v>
      </c>
      <c r="I1284">
        <v>367.4468</v>
      </c>
      <c r="J1284">
        <v>-258.63929999999999</v>
      </c>
      <c r="K1284">
        <v>1.1103430000000001</v>
      </c>
      <c r="L1284">
        <v>367.56369999999998</v>
      </c>
      <c r="M1284">
        <v>0.99985219999999997</v>
      </c>
      <c r="N1284">
        <v>0</v>
      </c>
      <c r="O1284">
        <v>-1.0608009999999999E-2</v>
      </c>
      <c r="P1284">
        <v>0.98629770000000005</v>
      </c>
      <c r="Q1284">
        <v>0.16493659999999999</v>
      </c>
      <c r="R1284">
        <v>-3.6114110000000001E-3</v>
      </c>
      <c r="S1284">
        <v>3.133972</v>
      </c>
      <c r="T1284">
        <v>-0.56000360000000005</v>
      </c>
      <c r="U1284">
        <v>-0.39297490000000002</v>
      </c>
      <c r="V1284">
        <v>-6.8458490000000002E-3</v>
      </c>
      <c r="W1284">
        <v>0.17827479999999901</v>
      </c>
      <c r="X1284">
        <v>0.98395690000000002</v>
      </c>
      <c r="Y1284">
        <v>0.1122987</v>
      </c>
      <c r="Z1284">
        <v>-8.0431540000000003E-3</v>
      </c>
      <c r="AA1284">
        <v>0.99364200000000003</v>
      </c>
      <c r="AB1284">
        <v>30</v>
      </c>
      <c r="AC1284">
        <v>0.78229999999996302</v>
      </c>
      <c r="AD1284">
        <v>-0.16862099999999999</v>
      </c>
      <c r="AE1284">
        <v>-0.116899999999986</v>
      </c>
      <c r="AF1284">
        <v>0.103873489164726</v>
      </c>
      <c r="AG1284">
        <v>-0.16862099999999999</v>
      </c>
      <c r="AH1284">
        <v>0.74943798760139302</v>
      </c>
      <c r="AI1284">
        <v>102.563958483018</v>
      </c>
      <c r="AJ1284">
        <v>82.108972979209199</v>
      </c>
      <c r="AK1284">
        <v>0.77516452489279997</v>
      </c>
      <c r="AL1284">
        <v>79.730711860238699</v>
      </c>
      <c r="AM1284">
        <v>90.398627141214007</v>
      </c>
      <c r="AN1284">
        <v>0.99999997551058994</v>
      </c>
    </row>
    <row r="1285" spans="1:40" x14ac:dyDescent="0.25">
      <c r="A1285" t="str">
        <f>"20190312172111985"</f>
        <v>20190312172111985</v>
      </c>
      <c r="B1285" t="str">
        <f>"1552382471982575"</f>
        <v>1552382471982575</v>
      </c>
      <c r="C1285" t="s">
        <v>40</v>
      </c>
      <c r="D1285">
        <v>3.346584</v>
      </c>
      <c r="E1285">
        <v>0.5501587</v>
      </c>
      <c r="F1285" t="s">
        <v>41</v>
      </c>
      <c r="G1285">
        <v>-257.84449999999998</v>
      </c>
      <c r="H1285">
        <v>0.96789349999999996</v>
      </c>
      <c r="I1285">
        <v>367.4631</v>
      </c>
      <c r="J1285">
        <v>-258.46879999999999</v>
      </c>
      <c r="K1285">
        <v>1.110347</v>
      </c>
      <c r="L1285">
        <v>367.56189999999998</v>
      </c>
      <c r="M1285">
        <v>0.99985199999999996</v>
      </c>
      <c r="N1285">
        <v>0</v>
      </c>
      <c r="O1285">
        <v>-1.0607719999999999E-2</v>
      </c>
      <c r="P1285">
        <v>0.98632249999999999</v>
      </c>
      <c r="Q1285">
        <v>0.16478950000000001</v>
      </c>
      <c r="R1285">
        <v>-3.5468840000000001E-3</v>
      </c>
      <c r="S1285">
        <v>3.134201</v>
      </c>
      <c r="T1285">
        <v>-0.56189230000000001</v>
      </c>
      <c r="U1285">
        <v>-0.39569090000000001</v>
      </c>
      <c r="V1285">
        <v>-6.9103029999999996E-3</v>
      </c>
      <c r="W1285">
        <v>0.178137299999999</v>
      </c>
      <c r="X1285">
        <v>0.98398140000000001</v>
      </c>
      <c r="Y1285">
        <v>0.1131146</v>
      </c>
      <c r="Z1285">
        <v>-8.1411959999999998E-3</v>
      </c>
      <c r="AA1285">
        <v>0.9935486</v>
      </c>
      <c r="AB1285">
        <v>30</v>
      </c>
      <c r="AC1285">
        <v>0.62430000000000496</v>
      </c>
      <c r="AD1285">
        <v>-0.14245350000000001</v>
      </c>
      <c r="AE1285">
        <v>-9.8799999999982901E-2</v>
      </c>
      <c r="AF1285">
        <v>8.7715947322256793E-2</v>
      </c>
      <c r="AG1285">
        <v>-0.14245350000000001</v>
      </c>
      <c r="AH1285">
        <v>0.595085928479681</v>
      </c>
      <c r="AI1285">
        <v>103.32355838736601</v>
      </c>
      <c r="AJ1285">
        <v>81.614954122217995</v>
      </c>
      <c r="AK1285">
        <v>0.61815398514562303</v>
      </c>
      <c r="AL1285">
        <v>79.738718675745105</v>
      </c>
      <c r="AM1285">
        <v>90.402370093764205</v>
      </c>
      <c r="AN1285">
        <v>1.0000000227424</v>
      </c>
    </row>
    <row r="1286" spans="1:40" x14ac:dyDescent="0.25">
      <c r="A1286" t="str">
        <f>"20190312172111998"</f>
        <v>20190312172111998</v>
      </c>
      <c r="B1286" t="str">
        <f>"1552382471992335"</f>
        <v>1552382471992335</v>
      </c>
      <c r="C1286" t="s">
        <v>40</v>
      </c>
      <c r="D1286">
        <v>3.3549410000000002</v>
      </c>
      <c r="E1286">
        <v>0.55036249999999998</v>
      </c>
      <c r="F1286" t="s">
        <v>41</v>
      </c>
      <c r="G1286">
        <v>-257.58350000000002</v>
      </c>
      <c r="H1286">
        <v>0.95068140000000001</v>
      </c>
      <c r="I1286">
        <v>367.44850000000002</v>
      </c>
      <c r="J1286">
        <v>-258.29219999999998</v>
      </c>
      <c r="K1286">
        <v>1.1103510000000001</v>
      </c>
      <c r="L1286">
        <v>367.56</v>
      </c>
      <c r="M1286">
        <v>0.99985190000000002</v>
      </c>
      <c r="N1286">
        <v>0</v>
      </c>
      <c r="O1286">
        <v>-1.060768E-2</v>
      </c>
      <c r="P1286">
        <v>0.98632470000000005</v>
      </c>
      <c r="Q1286">
        <v>0.16477439999999999</v>
      </c>
      <c r="R1286">
        <v>-3.6097490000000002E-3</v>
      </c>
      <c r="S1286">
        <v>3.1346280000000002</v>
      </c>
      <c r="T1286">
        <v>-0.565411</v>
      </c>
      <c r="U1286">
        <v>-0.40057369999999998</v>
      </c>
      <c r="V1286">
        <v>-6.8474340000000003E-3</v>
      </c>
      <c r="W1286">
        <v>0.1781345</v>
      </c>
      <c r="X1286">
        <v>0.98398229999999998</v>
      </c>
      <c r="Y1286">
        <v>0.11457829999999999</v>
      </c>
      <c r="Z1286">
        <v>-8.3199529999999997E-3</v>
      </c>
      <c r="AA1286">
        <v>0.99337940000000002</v>
      </c>
      <c r="AB1286">
        <v>30</v>
      </c>
      <c r="AC1286">
        <v>0.70869999999996403</v>
      </c>
      <c r="AD1286">
        <v>-0.15966959999999999</v>
      </c>
      <c r="AE1286">
        <v>-0.11149999999997801</v>
      </c>
      <c r="AF1286">
        <v>9.9068162865140003E-2</v>
      </c>
      <c r="AG1286">
        <v>-0.15966959999999999</v>
      </c>
      <c r="AH1286">
        <v>0.67634131820548604</v>
      </c>
      <c r="AI1286">
        <v>103.147745124018</v>
      </c>
      <c r="AJ1286">
        <v>81.666770551121502</v>
      </c>
      <c r="AK1286">
        <v>0.70195901644581005</v>
      </c>
      <c r="AL1286">
        <v>79.738881237892699</v>
      </c>
      <c r="AM1286">
        <v>90.398709139245199</v>
      </c>
      <c r="AN1286">
        <v>0.99999997707796096</v>
      </c>
    </row>
    <row r="1287" spans="1:40" x14ac:dyDescent="0.25">
      <c r="A1287" t="str">
        <f>"20190312172112015"</f>
        <v>20190312172112015</v>
      </c>
      <c r="B1287" t="str">
        <f>"1552382472012831"</f>
        <v>1552382472012831</v>
      </c>
      <c r="C1287" t="s">
        <v>40</v>
      </c>
      <c r="D1287">
        <v>3.4079320000000002</v>
      </c>
      <c r="E1287">
        <v>0.5506607</v>
      </c>
      <c r="F1287" t="s">
        <v>41</v>
      </c>
      <c r="G1287">
        <v>-257.5693</v>
      </c>
      <c r="H1287">
        <v>0.97981750000000001</v>
      </c>
      <c r="I1287">
        <v>367.46690000000001</v>
      </c>
      <c r="J1287">
        <v>-258.05599999999998</v>
      </c>
      <c r="K1287">
        <v>1.110355</v>
      </c>
      <c r="L1287">
        <v>367.5575</v>
      </c>
      <c r="M1287">
        <v>0.9998515</v>
      </c>
      <c r="N1287">
        <v>0</v>
      </c>
      <c r="O1287">
        <v>-1.0607429999999999E-2</v>
      </c>
      <c r="P1287">
        <v>0.98628729999999998</v>
      </c>
      <c r="Q1287">
        <v>0.16499749999999999</v>
      </c>
      <c r="R1287">
        <v>-3.647492E-3</v>
      </c>
      <c r="S1287">
        <v>3.1347049999999999</v>
      </c>
      <c r="T1287">
        <v>-0.56618889999999999</v>
      </c>
      <c r="U1287">
        <v>-0.40261839999999999</v>
      </c>
      <c r="V1287">
        <v>-6.8091310000000004E-3</v>
      </c>
      <c r="W1287">
        <v>0.17837239999999999</v>
      </c>
      <c r="X1287">
        <v>0.98393949999999997</v>
      </c>
      <c r="Y1287">
        <v>0.11519890000000001</v>
      </c>
      <c r="Z1287">
        <v>-8.3860989999999993E-3</v>
      </c>
      <c r="AA1287">
        <v>0.9933071</v>
      </c>
      <c r="AB1287">
        <v>30</v>
      </c>
      <c r="AC1287">
        <v>0.48669999999998398</v>
      </c>
      <c r="AD1287">
        <v>-0.1305375</v>
      </c>
      <c r="AE1287">
        <v>-9.0599999999994907E-2</v>
      </c>
      <c r="AF1287">
        <v>7.9878105497416002E-2</v>
      </c>
      <c r="AG1287">
        <v>-0.1305375</v>
      </c>
      <c r="AH1287">
        <v>0.45593401654889298</v>
      </c>
      <c r="AI1287">
        <v>105.74911852222399</v>
      </c>
      <c r="AJ1287">
        <v>80.062823280419096</v>
      </c>
      <c r="AK1287">
        <v>0.48093282076659399</v>
      </c>
      <c r="AL1287">
        <v>79.725029044446302</v>
      </c>
      <c r="AM1287">
        <v>90.396496167456405</v>
      </c>
      <c r="AN1287">
        <v>1.0000000085034899</v>
      </c>
    </row>
    <row r="1288" spans="1:40" x14ac:dyDescent="0.25">
      <c r="A1288" t="str">
        <f>"20190312172112029"</f>
        <v>20190312172112029</v>
      </c>
      <c r="B1288" t="str">
        <f>"1552382472022591"</f>
        <v>1552382472022591</v>
      </c>
      <c r="C1288" t="s">
        <v>40</v>
      </c>
      <c r="D1288">
        <v>3.3545319999999998</v>
      </c>
      <c r="E1288">
        <v>0.5507879</v>
      </c>
      <c r="F1288" t="s">
        <v>41</v>
      </c>
      <c r="G1288">
        <v>-257.30329999999998</v>
      </c>
      <c r="H1288">
        <v>0.97367570000000003</v>
      </c>
      <c r="I1288">
        <v>367.46019999999999</v>
      </c>
      <c r="J1288">
        <v>-257.87639999999999</v>
      </c>
      <c r="K1288">
        <v>1.1103590000000001</v>
      </c>
      <c r="L1288">
        <v>367.55560000000003</v>
      </c>
      <c r="M1288">
        <v>0.9998515</v>
      </c>
      <c r="N1288">
        <v>0</v>
      </c>
      <c r="O1288">
        <v>-1.060752E-2</v>
      </c>
      <c r="P1288">
        <v>0.98627670000000001</v>
      </c>
      <c r="Q1288">
        <v>0.16505839999999999</v>
      </c>
      <c r="R1288">
        <v>-3.7451860000000002E-3</v>
      </c>
      <c r="S1288">
        <v>3.1354679999999999</v>
      </c>
      <c r="T1288">
        <v>-0.56942559999999998</v>
      </c>
      <c r="U1288">
        <v>-0.40518189999999998</v>
      </c>
      <c r="V1288">
        <v>-6.7114490000000004E-3</v>
      </c>
      <c r="W1288">
        <v>0.17844649999999901</v>
      </c>
      <c r="X1288">
        <v>0.98392670000000004</v>
      </c>
      <c r="Y1288">
        <v>0.11593729999999999</v>
      </c>
      <c r="Z1288">
        <v>-8.4970710000000001E-3</v>
      </c>
      <c r="AA1288">
        <v>0.9932202</v>
      </c>
      <c r="AB1288">
        <v>30</v>
      </c>
      <c r="AC1288">
        <v>0.57310000000001005</v>
      </c>
      <c r="AD1288">
        <v>-0.13668330000000001</v>
      </c>
      <c r="AE1288">
        <v>-9.5400000000040494E-2</v>
      </c>
      <c r="AF1288">
        <v>8.4630782590714604E-2</v>
      </c>
      <c r="AG1288">
        <v>-0.13668330000000001</v>
      </c>
      <c r="AH1288">
        <v>0.54397219507205896</v>
      </c>
      <c r="AI1288">
        <v>103.943565083834</v>
      </c>
      <c r="AJ1288">
        <v>81.156860291157201</v>
      </c>
      <c r="AK1288">
        <v>0.56723050241706896</v>
      </c>
      <c r="AL1288">
        <v>79.720713842185603</v>
      </c>
      <c r="AM1288">
        <v>90.390813399474197</v>
      </c>
      <c r="AN1288">
        <v>0.99999997394140905</v>
      </c>
    </row>
    <row r="1289" spans="1:40" x14ac:dyDescent="0.25">
      <c r="A1289" t="str">
        <f>"20190312172112042"</f>
        <v>20190312172112042</v>
      </c>
      <c r="B1289" t="str">
        <f>"1552382472032352"</f>
        <v>1552382472032352</v>
      </c>
      <c r="C1289" t="s">
        <v>40</v>
      </c>
      <c r="D1289">
        <v>3.3290730000000002</v>
      </c>
      <c r="E1289">
        <v>0.55062</v>
      </c>
      <c r="F1289" t="s">
        <v>41</v>
      </c>
      <c r="G1289">
        <v>-257.04180000000002</v>
      </c>
      <c r="H1289">
        <v>0.95865239999999996</v>
      </c>
      <c r="I1289">
        <v>367.44709999999998</v>
      </c>
      <c r="J1289">
        <v>-257.70850000000002</v>
      </c>
      <c r="K1289">
        <v>1.1103639999999999</v>
      </c>
      <c r="L1289">
        <v>367.55380000000002</v>
      </c>
      <c r="M1289">
        <v>0.99985139999999995</v>
      </c>
      <c r="N1289">
        <v>0</v>
      </c>
      <c r="O1289">
        <v>-1.060737E-2</v>
      </c>
      <c r="P1289">
        <v>0.98625469999999904</v>
      </c>
      <c r="Q1289">
        <v>0.16518849999999999</v>
      </c>
      <c r="R1289">
        <v>-3.852079E-3</v>
      </c>
      <c r="S1289">
        <v>3.1356350000000002</v>
      </c>
      <c r="T1289">
        <v>-0.57009489999999996</v>
      </c>
      <c r="U1289">
        <v>-0.40664670000000003</v>
      </c>
      <c r="V1289">
        <v>-6.6043040000000001E-3</v>
      </c>
      <c r="W1289">
        <v>0.17858969999999999</v>
      </c>
      <c r="X1289">
        <v>0.98390149999999998</v>
      </c>
      <c r="Y1289">
        <v>0.1163763</v>
      </c>
      <c r="Z1289">
        <v>-8.5456569999999999E-3</v>
      </c>
      <c r="AA1289">
        <v>0.99316839999999995</v>
      </c>
      <c r="AB1289">
        <v>30</v>
      </c>
      <c r="AC1289">
        <v>0.66669999999999097</v>
      </c>
      <c r="AD1289">
        <v>-0.151711599999999</v>
      </c>
      <c r="AE1289">
        <v>-0.10670000000004599</v>
      </c>
      <c r="AF1289">
        <v>9.4833407404254597E-2</v>
      </c>
      <c r="AG1289">
        <v>-0.151711599999999</v>
      </c>
      <c r="AH1289">
        <v>0.63569887630574895</v>
      </c>
      <c r="AI1289">
        <v>103.281072149018</v>
      </c>
      <c r="AJ1289">
        <v>81.515201911925303</v>
      </c>
      <c r="AK1289">
        <v>0.66039597672218897</v>
      </c>
      <c r="AL1289">
        <v>79.712375718916206</v>
      </c>
      <c r="AM1289">
        <v>90.384584293197506</v>
      </c>
      <c r="AN1289">
        <v>1.0000000297398299</v>
      </c>
    </row>
    <row r="1290" spans="1:40" x14ac:dyDescent="0.25">
      <c r="A1290" t="str">
        <f>"20190312172112051"</f>
        <v>20190312172112051</v>
      </c>
      <c r="B1290" t="str">
        <f>"1552382472042111"</f>
        <v>1552382472042111</v>
      </c>
      <c r="C1290" t="s">
        <v>40</v>
      </c>
      <c r="D1290">
        <v>3.3681450000000002</v>
      </c>
      <c r="E1290">
        <v>0.55026869999999894</v>
      </c>
      <c r="F1290" t="s">
        <v>41</v>
      </c>
      <c r="G1290">
        <v>-256.78149999999999</v>
      </c>
      <c r="H1290">
        <v>0.9412819</v>
      </c>
      <c r="I1290">
        <v>367.43380000000002</v>
      </c>
      <c r="J1290">
        <v>-257.56529999999998</v>
      </c>
      <c r="K1290">
        <v>1.1103689999999999</v>
      </c>
      <c r="L1290">
        <v>367.5523</v>
      </c>
      <c r="M1290">
        <v>0.99985109999999999</v>
      </c>
      <c r="N1290">
        <v>0</v>
      </c>
      <c r="O1290">
        <v>-1.060734E-2</v>
      </c>
      <c r="P1290">
        <v>0.98626210000000003</v>
      </c>
      <c r="Q1290">
        <v>0.16514970000000001</v>
      </c>
      <c r="R1290">
        <v>-3.6409739999999999E-3</v>
      </c>
      <c r="S1290">
        <v>3.1360169999999998</v>
      </c>
      <c r="T1290">
        <v>-0.57207759999999996</v>
      </c>
      <c r="U1290">
        <v>-0.40551759999999998</v>
      </c>
      <c r="V1290">
        <v>-6.8154590000000003E-3</v>
      </c>
      <c r="W1290">
        <v>0.17856379999999999</v>
      </c>
      <c r="X1290">
        <v>0.98390469999999997</v>
      </c>
      <c r="Y1290">
        <v>0.1160038</v>
      </c>
      <c r="Z1290">
        <v>-8.5405180000000004E-3</v>
      </c>
      <c r="AA1290">
        <v>0.99321199999999998</v>
      </c>
      <c r="AB1290">
        <v>30</v>
      </c>
      <c r="AC1290">
        <v>0.78379999999998495</v>
      </c>
      <c r="AD1290">
        <v>-0.16908709999999999</v>
      </c>
      <c r="AE1290">
        <v>-0.11849999999998299</v>
      </c>
      <c r="AF1290">
        <v>0.105383745371547</v>
      </c>
      <c r="AG1290">
        <v>-0.16908709999999999</v>
      </c>
      <c r="AH1290">
        <v>0.75085054400314599</v>
      </c>
      <c r="AI1290">
        <v>102.571719736937</v>
      </c>
      <c r="AJ1290">
        <v>82.010582469294704</v>
      </c>
      <c r="AK1290">
        <v>0.77683506653907297</v>
      </c>
      <c r="AL1290">
        <v>79.713883300403694</v>
      </c>
      <c r="AM1290">
        <v>90.396878671919296</v>
      </c>
      <c r="AN1290">
        <v>0.99999996991695395</v>
      </c>
    </row>
    <row r="1291" spans="1:40" x14ac:dyDescent="0.25">
      <c r="A1291" t="str">
        <f>"20190312172112062"</f>
        <v>20190312172112062</v>
      </c>
      <c r="B1291" t="str">
        <f>"1552382472052847"</f>
        <v>1552382472052847</v>
      </c>
      <c r="C1291" t="s">
        <v>40</v>
      </c>
      <c r="D1291">
        <v>3.3000579999999999</v>
      </c>
      <c r="E1291">
        <v>0.55003239999999998</v>
      </c>
      <c r="F1291" t="s">
        <v>41</v>
      </c>
      <c r="G1291">
        <v>-256.7704</v>
      </c>
      <c r="H1291">
        <v>0.96463889999999997</v>
      </c>
      <c r="I1291">
        <v>367.45010000000002</v>
      </c>
      <c r="J1291">
        <v>-257.43110000000001</v>
      </c>
      <c r="K1291">
        <v>1.110363</v>
      </c>
      <c r="L1291">
        <v>367.55079999999998</v>
      </c>
      <c r="M1291">
        <v>0.99985089999999999</v>
      </c>
      <c r="N1291">
        <v>0</v>
      </c>
      <c r="O1291">
        <v>-1.0607180000000001E-2</v>
      </c>
      <c r="P1291">
        <v>0.98625130000000005</v>
      </c>
      <c r="Q1291">
        <v>0.16521060000000001</v>
      </c>
      <c r="R1291">
        <v>-3.7052439999999999E-3</v>
      </c>
      <c r="S1291">
        <v>3.136612</v>
      </c>
      <c r="T1291">
        <v>-0.57513419999999904</v>
      </c>
      <c r="U1291">
        <v>-0.40249629999999997</v>
      </c>
      <c r="V1291">
        <v>-6.751094E-3</v>
      </c>
      <c r="W1291">
        <v>0.17863609999999999</v>
      </c>
      <c r="X1291">
        <v>0.98389199999999999</v>
      </c>
      <c r="Y1291">
        <v>0.1150369</v>
      </c>
      <c r="Z1291">
        <v>-8.4967979999999999E-3</v>
      </c>
      <c r="AA1291">
        <v>0.99332489999999996</v>
      </c>
      <c r="AB1291">
        <v>30</v>
      </c>
      <c r="AC1291">
        <v>0.66070000000001905</v>
      </c>
      <c r="AD1291">
        <v>-0.145724099999999</v>
      </c>
      <c r="AE1291">
        <v>-0.10069999999996</v>
      </c>
      <c r="AF1291">
        <v>8.9433632146713599E-2</v>
      </c>
      <c r="AG1291">
        <v>-0.145724099999999</v>
      </c>
      <c r="AH1291">
        <v>0.63169861434290997</v>
      </c>
      <c r="AI1291">
        <v>102.86612296717701</v>
      </c>
      <c r="AJ1291">
        <v>81.941822579809099</v>
      </c>
      <c r="AK1291">
        <v>0.65442877935075305</v>
      </c>
      <c r="AL1291">
        <v>79.709672922071704</v>
      </c>
      <c r="AM1291">
        <v>90.393135753623696</v>
      </c>
      <c r="AN1291">
        <v>0.99999995057870195</v>
      </c>
    </row>
    <row r="1292" spans="1:40" x14ac:dyDescent="0.25">
      <c r="A1292" t="str">
        <f>"20190312172112072"</f>
        <v>20190312172112072</v>
      </c>
      <c r="B1292" t="str">
        <f>"1552382472062607"</f>
        <v>1552382472062607</v>
      </c>
      <c r="C1292" t="s">
        <v>40</v>
      </c>
      <c r="D1292">
        <v>3.3160120000000002</v>
      </c>
      <c r="E1292">
        <v>0.54980499999999999</v>
      </c>
      <c r="F1292" t="s">
        <v>41</v>
      </c>
      <c r="G1292">
        <v>-256.51319999999998</v>
      </c>
      <c r="H1292">
        <v>0.94140239999999997</v>
      </c>
      <c r="I1292">
        <v>367.43329999999997</v>
      </c>
      <c r="J1292">
        <v>-257.28449999999998</v>
      </c>
      <c r="K1292">
        <v>1.110365</v>
      </c>
      <c r="L1292">
        <v>367.54930000000002</v>
      </c>
      <c r="M1292">
        <v>0.99985089999999999</v>
      </c>
      <c r="N1292">
        <v>0</v>
      </c>
      <c r="O1292">
        <v>-1.060726E-2</v>
      </c>
      <c r="P1292">
        <v>0.98625479999999999</v>
      </c>
      <c r="Q1292">
        <v>0.16518959999999999</v>
      </c>
      <c r="R1292">
        <v>-3.7826040000000002E-3</v>
      </c>
      <c r="S1292">
        <v>3.13707</v>
      </c>
      <c r="T1292">
        <v>-0.57761319999999905</v>
      </c>
      <c r="U1292">
        <v>-0.4005127</v>
      </c>
      <c r="V1292">
        <v>-6.6732249999999996E-3</v>
      </c>
      <c r="W1292">
        <v>0.17862720000000001</v>
      </c>
      <c r="X1292">
        <v>0.98389420000000005</v>
      </c>
      <c r="Y1292">
        <v>0.1143967</v>
      </c>
      <c r="Z1292">
        <v>-8.4737170000000004E-3</v>
      </c>
      <c r="AA1292">
        <v>0.99339900000000003</v>
      </c>
      <c r="AB1292">
        <v>30</v>
      </c>
      <c r="AC1292">
        <v>0.77129999999999599</v>
      </c>
      <c r="AD1292">
        <v>-0.16896259999999999</v>
      </c>
      <c r="AE1292">
        <v>-0.116000000000042</v>
      </c>
      <c r="AF1292">
        <v>0.10297886710844199</v>
      </c>
      <c r="AG1292">
        <v>-0.16896259999999999</v>
      </c>
      <c r="AH1292">
        <v>0.73786168454618195</v>
      </c>
      <c r="AI1292">
        <v>102.7780425463</v>
      </c>
      <c r="AJ1292">
        <v>82.054896465084596</v>
      </c>
      <c r="AK1292">
        <v>0.76393250538972901</v>
      </c>
      <c r="AL1292">
        <v>79.710191732019695</v>
      </c>
      <c r="AM1292">
        <v>90.388600487238506</v>
      </c>
      <c r="AN1292">
        <v>1.0000000026526901</v>
      </c>
    </row>
    <row r="1293" spans="1:40" x14ac:dyDescent="0.25">
      <c r="A1293" t="str">
        <f>"20190312172112084"</f>
        <v>20190312172112084</v>
      </c>
      <c r="B1293" t="str">
        <f>"1552382472072367"</f>
        <v>1552382472072367</v>
      </c>
      <c r="C1293" t="s">
        <v>40</v>
      </c>
      <c r="D1293">
        <v>3.3272029999999999</v>
      </c>
      <c r="E1293">
        <v>0.54959029999999998</v>
      </c>
      <c r="F1293" t="s">
        <v>41</v>
      </c>
      <c r="G1293">
        <v>-256.50170000000003</v>
      </c>
      <c r="H1293">
        <v>0.96564419999999995</v>
      </c>
      <c r="I1293">
        <v>367.44929999999999</v>
      </c>
      <c r="J1293">
        <v>-257.14640000000003</v>
      </c>
      <c r="K1293">
        <v>1.1103670000000001</v>
      </c>
      <c r="L1293">
        <v>367.54790000000003</v>
      </c>
      <c r="M1293">
        <v>0.99985060000000003</v>
      </c>
      <c r="N1293">
        <v>0</v>
      </c>
      <c r="O1293">
        <v>-1.0606859999999999E-2</v>
      </c>
      <c r="P1293">
        <v>0.9862803</v>
      </c>
      <c r="Q1293">
        <v>0.16503429999999999</v>
      </c>
      <c r="R1293">
        <v>-3.8979000000000001E-3</v>
      </c>
      <c r="S1293">
        <v>3.137451</v>
      </c>
      <c r="T1293">
        <v>-0.58017369999999902</v>
      </c>
      <c r="U1293">
        <v>-0.3993835</v>
      </c>
      <c r="V1293">
        <v>-6.558454E-3</v>
      </c>
      <c r="W1293">
        <v>0.17848410000000001</v>
      </c>
      <c r="X1293">
        <v>0.98392089999999999</v>
      </c>
      <c r="Y1293">
        <v>0.1140216</v>
      </c>
      <c r="Z1293">
        <v>-8.4756529999999997E-3</v>
      </c>
      <c r="AA1293">
        <v>0.99344209999999999</v>
      </c>
      <c r="AB1293">
        <v>30</v>
      </c>
      <c r="AC1293">
        <v>0.64470000000000005</v>
      </c>
      <c r="AD1293">
        <v>-0.14472280000000001</v>
      </c>
      <c r="AE1293">
        <v>-9.8600000000033106E-2</v>
      </c>
      <c r="AF1293">
        <v>8.7449564351706199E-2</v>
      </c>
      <c r="AG1293">
        <v>-0.14472280000000001</v>
      </c>
      <c r="AH1293">
        <v>0.61540707350096602</v>
      </c>
      <c r="AI1293">
        <v>103.10650827065599</v>
      </c>
      <c r="AJ1293">
        <v>81.912395608604399</v>
      </c>
      <c r="AK1293">
        <v>0.63821468273627702</v>
      </c>
      <c r="AL1293">
        <v>79.718524251182302</v>
      </c>
      <c r="AM1293">
        <v>90.3819068882664</v>
      </c>
      <c r="AN1293">
        <v>0.99999996236424404</v>
      </c>
    </row>
    <row r="1294" spans="1:40" x14ac:dyDescent="0.25">
      <c r="A1294" t="str">
        <f>"20190312172112094"</f>
        <v>20190312172112094</v>
      </c>
      <c r="B1294" t="str">
        <f>"1552382472082127"</f>
        <v>1552382472082127</v>
      </c>
      <c r="C1294" t="s">
        <v>40</v>
      </c>
      <c r="D1294">
        <v>3.4394260000000001</v>
      </c>
      <c r="E1294">
        <v>0.54959029999999998</v>
      </c>
      <c r="F1294" t="s">
        <v>41</v>
      </c>
      <c r="G1294">
        <v>-256.24470000000002</v>
      </c>
      <c r="H1294">
        <v>0.94284369999999995</v>
      </c>
      <c r="I1294">
        <v>367.43329999999997</v>
      </c>
      <c r="J1294">
        <v>-257.00040000000001</v>
      </c>
      <c r="K1294">
        <v>1.1103730000000001</v>
      </c>
      <c r="L1294">
        <v>367.54629999999997</v>
      </c>
      <c r="M1294">
        <v>0.99985040000000003</v>
      </c>
      <c r="N1294">
        <v>0</v>
      </c>
      <c r="O1294">
        <v>-1.0606829999999999E-2</v>
      </c>
      <c r="P1294">
        <v>0.98627670000000001</v>
      </c>
      <c r="Q1294">
        <v>0.16505510000000001</v>
      </c>
      <c r="R1294">
        <v>-3.8965459999999999E-3</v>
      </c>
      <c r="S1294">
        <v>3.1377410000000001</v>
      </c>
      <c r="T1294">
        <v>-0.58302119999999902</v>
      </c>
      <c r="U1294">
        <v>-0.3977966</v>
      </c>
      <c r="V1294">
        <v>-6.5593530000000004E-3</v>
      </c>
      <c r="W1294">
        <v>0.17851600000000001</v>
      </c>
      <c r="X1294">
        <v>0.98391519999999999</v>
      </c>
      <c r="Y1294">
        <v>0.1135076</v>
      </c>
      <c r="Z1294">
        <v>-8.4689039999999993E-3</v>
      </c>
      <c r="AA1294">
        <v>0.99350099999999997</v>
      </c>
      <c r="AB1294">
        <v>30</v>
      </c>
      <c r="AC1294">
        <v>0.75569999999999005</v>
      </c>
      <c r="AD1294">
        <v>-0.16752929999999999</v>
      </c>
      <c r="AE1294">
        <v>-0.112999999999999</v>
      </c>
      <c r="AF1294">
        <v>0.10016244776979601</v>
      </c>
      <c r="AG1294">
        <v>-0.16752929999999999</v>
      </c>
      <c r="AH1294">
        <v>0.72214237819904004</v>
      </c>
      <c r="AI1294">
        <v>102.941306822643</v>
      </c>
      <c r="AJ1294">
        <v>82.103354098968197</v>
      </c>
      <c r="AK1294">
        <v>0.74805627909448902</v>
      </c>
      <c r="AL1294">
        <v>79.716667636416005</v>
      </c>
      <c r="AM1294">
        <v>90.381961449291296</v>
      </c>
      <c r="AN1294">
        <v>1.0000000540794001</v>
      </c>
    </row>
    <row r="1295" spans="1:40" x14ac:dyDescent="0.25">
      <c r="A1295" t="str">
        <f>"20190312172112105"</f>
        <v>20190312172112105</v>
      </c>
      <c r="B1295" t="str">
        <f>"1552382472102622"</f>
        <v>1552382472102622</v>
      </c>
      <c r="C1295" t="s">
        <v>40</v>
      </c>
      <c r="D1295">
        <v>3.3162389999999999</v>
      </c>
      <c r="E1295">
        <v>0.54253619999999902</v>
      </c>
      <c r="F1295" t="s">
        <v>41</v>
      </c>
      <c r="G1295">
        <v>-256.23270000000002</v>
      </c>
      <c r="H1295">
        <v>0.96775820000000001</v>
      </c>
      <c r="I1295">
        <v>367.44880000000001</v>
      </c>
      <c r="J1295">
        <v>-256.85910000000001</v>
      </c>
      <c r="K1295">
        <v>1.1103719999999999</v>
      </c>
      <c r="L1295">
        <v>367.54480000000001</v>
      </c>
      <c r="M1295">
        <v>0.99985029999999997</v>
      </c>
      <c r="N1295">
        <v>0</v>
      </c>
      <c r="O1295">
        <v>-1.060666E-2</v>
      </c>
      <c r="P1295">
        <v>0.98623959999999999</v>
      </c>
      <c r="Q1295">
        <v>0.1652796</v>
      </c>
      <c r="R1295">
        <v>-3.7851489999999998E-3</v>
      </c>
      <c r="S1295">
        <v>3.1377410000000001</v>
      </c>
      <c r="T1295">
        <v>-0.58300459999999998</v>
      </c>
      <c r="U1295">
        <v>-0.39770509999999998</v>
      </c>
      <c r="V1295">
        <v>-6.6702580000000001E-3</v>
      </c>
      <c r="W1295">
        <v>0.17875060000000001</v>
      </c>
      <c r="X1295">
        <v>0.98387179999999996</v>
      </c>
      <c r="Y1295">
        <v>0.11347980000000001</v>
      </c>
      <c r="Z1295">
        <v>-8.4661589999999991E-3</v>
      </c>
      <c r="AA1295">
        <v>0.99350419999999995</v>
      </c>
      <c r="AB1295">
        <v>30</v>
      </c>
      <c r="AC1295">
        <v>0.62639999999998897</v>
      </c>
      <c r="AD1295">
        <v>-0.14261379999999901</v>
      </c>
      <c r="AE1295">
        <v>-9.6000000000003596E-2</v>
      </c>
      <c r="AF1295">
        <v>8.5042960966548398E-2</v>
      </c>
      <c r="AG1295">
        <v>-0.14261379999999901</v>
      </c>
      <c r="AH1295">
        <v>0.597140862120081</v>
      </c>
      <c r="AI1295">
        <v>103.302819679758</v>
      </c>
      <c r="AJ1295">
        <v>81.894617755154499</v>
      </c>
      <c r="AK1295">
        <v>0.61979691058758202</v>
      </c>
      <c r="AL1295">
        <v>79.703005690273997</v>
      </c>
      <c r="AM1295">
        <v>90.388436558993803</v>
      </c>
      <c r="AN1295">
        <v>0.999999994088693</v>
      </c>
    </row>
    <row r="1296" spans="1:40" x14ac:dyDescent="0.25">
      <c r="A1296" t="str">
        <f>"20190312172112116"</f>
        <v>20190312172112116</v>
      </c>
      <c r="B1296" t="str">
        <f>"1552382472112383"</f>
        <v>1552382472112383</v>
      </c>
      <c r="C1296" t="s">
        <v>40</v>
      </c>
      <c r="D1296">
        <v>3.3363580000000002</v>
      </c>
      <c r="E1296">
        <v>0.54267869999999996</v>
      </c>
      <c r="F1296" t="s">
        <v>41</v>
      </c>
      <c r="G1296">
        <v>-255.98840000000001</v>
      </c>
      <c r="H1296">
        <v>0.91969310000000004</v>
      </c>
      <c r="I1296">
        <v>367.45069999999998</v>
      </c>
      <c r="J1296">
        <v>-256.70890000000003</v>
      </c>
      <c r="K1296">
        <v>1.1103730000000001</v>
      </c>
      <c r="L1296">
        <v>367.54320000000001</v>
      </c>
      <c r="M1296">
        <v>0.99985020000000002</v>
      </c>
      <c r="N1296">
        <v>0</v>
      </c>
      <c r="O1296">
        <v>-1.0606620000000001E-2</v>
      </c>
      <c r="P1296">
        <v>0.98623910000000004</v>
      </c>
      <c r="Q1296">
        <v>0.16528399999999999</v>
      </c>
      <c r="R1296">
        <v>-3.7796209999999999E-3</v>
      </c>
      <c r="S1296">
        <v>3.1564179999999999</v>
      </c>
      <c r="T1296">
        <v>-0.69142119999999996</v>
      </c>
      <c r="U1296">
        <v>-0.34048460000000003</v>
      </c>
      <c r="V1296">
        <v>-6.6758690000000001E-3</v>
      </c>
      <c r="W1296">
        <v>0.17876610000000001</v>
      </c>
      <c r="X1296">
        <v>0.98386899999999999</v>
      </c>
      <c r="Y1296">
        <v>9.472469E-2</v>
      </c>
      <c r="Z1296">
        <v>-7.9350169999999904E-3</v>
      </c>
      <c r="AA1296">
        <v>0.99547189999999997</v>
      </c>
      <c r="AB1296">
        <v>30</v>
      </c>
      <c r="AC1296">
        <v>0.72050000000001502</v>
      </c>
      <c r="AD1296">
        <v>-0.19067989999999899</v>
      </c>
      <c r="AE1296">
        <v>-9.2500000000029503E-2</v>
      </c>
      <c r="AF1296">
        <v>7.9382283889392904E-2</v>
      </c>
      <c r="AG1296">
        <v>-0.19067989999999899</v>
      </c>
      <c r="AH1296">
        <v>0.67493518547655096</v>
      </c>
      <c r="AI1296">
        <v>105.673156191411</v>
      </c>
      <c r="AJ1296">
        <v>83.291993207550703</v>
      </c>
      <c r="AK1296">
        <v>0.70583133669012799</v>
      </c>
      <c r="AL1296">
        <v>79.702103622631796</v>
      </c>
      <c r="AM1296">
        <v>90.388764406928402</v>
      </c>
      <c r="AN1296">
        <v>1.00000004744855</v>
      </c>
    </row>
    <row r="1297" spans="1:40" x14ac:dyDescent="0.25">
      <c r="A1297" t="str">
        <f>"20190312172112127"</f>
        <v>20190312172112127</v>
      </c>
      <c r="B1297" t="str">
        <f>"1552382472122144"</f>
        <v>1552382472122144</v>
      </c>
      <c r="C1297" t="s">
        <v>40</v>
      </c>
      <c r="D1297">
        <v>3.2985579999999999</v>
      </c>
      <c r="E1297">
        <v>0.54276950000000002</v>
      </c>
      <c r="F1297" t="s">
        <v>41</v>
      </c>
      <c r="G1297">
        <v>-255.9727</v>
      </c>
      <c r="H1297">
        <v>0.95210280000000003</v>
      </c>
      <c r="I1297">
        <v>367.46319999999997</v>
      </c>
      <c r="J1297">
        <v>-256.55759999999998</v>
      </c>
      <c r="K1297">
        <v>1.1103730000000001</v>
      </c>
      <c r="L1297">
        <v>367.54160000000002</v>
      </c>
      <c r="M1297">
        <v>0.99985000000000002</v>
      </c>
      <c r="N1297">
        <v>0</v>
      </c>
      <c r="O1297">
        <v>-1.0606330000000001E-2</v>
      </c>
      <c r="P1297">
        <v>0.9862689</v>
      </c>
      <c r="Q1297">
        <v>0.1651041</v>
      </c>
      <c r="R1297">
        <v>-3.811732E-3</v>
      </c>
      <c r="S1297">
        <v>3.1542210000000002</v>
      </c>
      <c r="T1297">
        <v>-0.6782454</v>
      </c>
      <c r="U1297">
        <v>-0.3420105</v>
      </c>
      <c r="V1297">
        <v>-6.6437040000000003E-3</v>
      </c>
      <c r="W1297">
        <v>0.1785967</v>
      </c>
      <c r="X1297">
        <v>0.9839</v>
      </c>
      <c r="Y1297">
        <v>9.5332299999999995E-2</v>
      </c>
      <c r="Z1297">
        <v>-7.8567310000000005E-3</v>
      </c>
      <c r="AA1297">
        <v>0.99541449999999998</v>
      </c>
      <c r="AB1297">
        <v>30</v>
      </c>
      <c r="AC1297">
        <v>0.58489999999997599</v>
      </c>
      <c r="AD1297">
        <v>-0.1582702</v>
      </c>
      <c r="AE1297">
        <v>-7.8400000000044601E-2</v>
      </c>
      <c r="AF1297">
        <v>6.7347178420716206E-2</v>
      </c>
      <c r="AG1297">
        <v>-0.1582702</v>
      </c>
      <c r="AH1297">
        <v>0.54639713866763295</v>
      </c>
      <c r="AI1297">
        <v>106.03919849870201</v>
      </c>
      <c r="AJ1297">
        <v>82.973344466882807</v>
      </c>
      <c r="AK1297">
        <v>0.57283063098392994</v>
      </c>
      <c r="AL1297">
        <v>79.711968462090397</v>
      </c>
      <c r="AM1297">
        <v>90.386879168953996</v>
      </c>
      <c r="AN1297">
        <v>1.0000000650268599</v>
      </c>
    </row>
    <row r="1298" spans="1:40" x14ac:dyDescent="0.25">
      <c r="A1298" t="str">
        <f>"20190312172112138"</f>
        <v>20190312172112138</v>
      </c>
      <c r="B1298" t="str">
        <f>"1552382472131904"</f>
        <v>1552382472131904</v>
      </c>
      <c r="C1298" t="s">
        <v>40</v>
      </c>
      <c r="D1298">
        <v>3.4087299999999998</v>
      </c>
      <c r="E1298">
        <v>0.54293269999999905</v>
      </c>
      <c r="F1298" t="s">
        <v>41</v>
      </c>
      <c r="G1298">
        <v>-255.7159</v>
      </c>
      <c r="H1298">
        <v>0.93044170000000004</v>
      </c>
      <c r="I1298">
        <v>367.4502</v>
      </c>
      <c r="J1298">
        <v>-256.40100000000001</v>
      </c>
      <c r="K1298">
        <v>1.1103730000000001</v>
      </c>
      <c r="L1298">
        <v>367.53989999999999</v>
      </c>
      <c r="M1298">
        <v>0.99984969999999995</v>
      </c>
      <c r="N1298">
        <v>0</v>
      </c>
      <c r="O1298">
        <v>-1.0606279999999999E-2</v>
      </c>
      <c r="P1298">
        <v>0.98630079999999998</v>
      </c>
      <c r="Q1298">
        <v>0.164911999999999</v>
      </c>
      <c r="R1298">
        <v>-3.8689169999999999E-3</v>
      </c>
      <c r="S1298">
        <v>3.1532900000000001</v>
      </c>
      <c r="T1298">
        <v>-0.67408239999999997</v>
      </c>
      <c r="U1298">
        <v>-0.34222409999999998</v>
      </c>
      <c r="V1298">
        <v>-6.5866859999999996E-3</v>
      </c>
      <c r="W1298">
        <v>0.17841609999999999</v>
      </c>
      <c r="X1298">
        <v>0.9839331</v>
      </c>
      <c r="Y1298">
        <v>9.5449939999999997E-2</v>
      </c>
      <c r="Z1298">
        <v>-7.82419E-3</v>
      </c>
      <c r="AA1298">
        <v>0.9954035</v>
      </c>
      <c r="AB1298">
        <v>30</v>
      </c>
      <c r="AC1298">
        <v>0.68510000000000504</v>
      </c>
      <c r="AD1298">
        <v>-0.17993129999999999</v>
      </c>
      <c r="AE1298">
        <v>-8.9699999999993396E-2</v>
      </c>
      <c r="AF1298">
        <v>7.7193084196424094E-2</v>
      </c>
      <c r="AG1298">
        <v>-0.17993129999999999</v>
      </c>
      <c r="AH1298">
        <v>0.64244568767553001</v>
      </c>
      <c r="AI1298">
        <v>105.539775206567</v>
      </c>
      <c r="AJ1298">
        <v>83.148469984603807</v>
      </c>
      <c r="AK1298">
        <v>0.67161782777136803</v>
      </c>
      <c r="AL1298">
        <v>79.722484491095003</v>
      </c>
      <c r="AM1298">
        <v>90.383546067948998</v>
      </c>
      <c r="AN1298">
        <v>1.0000000172236401</v>
      </c>
    </row>
    <row r="1299" spans="1:40" x14ac:dyDescent="0.25">
      <c r="A1299" t="str">
        <f>"20190312172112149"</f>
        <v>20190312172112149</v>
      </c>
      <c r="B1299" t="str">
        <f>"1552382472142639"</f>
        <v>1552382472142639</v>
      </c>
      <c r="C1299" t="s">
        <v>40</v>
      </c>
      <c r="D1299">
        <v>3.361049</v>
      </c>
      <c r="E1299">
        <v>0.54311699999999996</v>
      </c>
      <c r="F1299" t="s">
        <v>41</v>
      </c>
      <c r="G1299">
        <v>-255.70099999999999</v>
      </c>
      <c r="H1299">
        <v>0.96052530000000003</v>
      </c>
      <c r="I1299">
        <v>367.46359999999999</v>
      </c>
      <c r="J1299">
        <v>-256.262</v>
      </c>
      <c r="K1299">
        <v>1.1103730000000001</v>
      </c>
      <c r="L1299">
        <v>367.5385</v>
      </c>
      <c r="M1299">
        <v>0.99984980000000001</v>
      </c>
      <c r="N1299">
        <v>0</v>
      </c>
      <c r="O1299">
        <v>-1.0606340000000001E-2</v>
      </c>
      <c r="P1299">
        <v>0.98626519999999995</v>
      </c>
      <c r="Q1299">
        <v>0.16512679999999999</v>
      </c>
      <c r="R1299">
        <v>-3.748422E-3</v>
      </c>
      <c r="S1299">
        <v>3.153152</v>
      </c>
      <c r="T1299">
        <v>-0.67500909999999903</v>
      </c>
      <c r="U1299">
        <v>-0.34341430000000001</v>
      </c>
      <c r="V1299">
        <v>-6.7069909999999998E-3</v>
      </c>
      <c r="W1299">
        <v>0.1786384</v>
      </c>
      <c r="X1299">
        <v>0.98389190000000004</v>
      </c>
      <c r="Y1299">
        <v>9.5812549999999996E-2</v>
      </c>
      <c r="Z1299">
        <v>-7.8731459999999993E-3</v>
      </c>
      <c r="AA1299">
        <v>0.99536820000000004</v>
      </c>
      <c r="AB1299">
        <v>30</v>
      </c>
      <c r="AC1299">
        <v>0.56100000000000705</v>
      </c>
      <c r="AD1299">
        <v>-0.1498477</v>
      </c>
      <c r="AE1299">
        <v>-7.4900000000013706E-2</v>
      </c>
      <c r="AF1299">
        <v>6.4428787490792297E-2</v>
      </c>
      <c r="AG1299">
        <v>-0.1498477</v>
      </c>
      <c r="AH1299">
        <v>0.52496435357393301</v>
      </c>
      <c r="AI1299">
        <v>105.81836974477901</v>
      </c>
      <c r="AJ1299">
        <v>83.003089121873202</v>
      </c>
      <c r="AK1299">
        <v>0.54972081493802005</v>
      </c>
      <c r="AL1299">
        <v>79.709539150811295</v>
      </c>
      <c r="AM1299">
        <v>90.390567627734399</v>
      </c>
      <c r="AN1299">
        <v>0.99999996628422105</v>
      </c>
    </row>
    <row r="1300" spans="1:40" x14ac:dyDescent="0.25">
      <c r="A1300" t="str">
        <f>"20190312172112161"</f>
        <v>20190312172112161</v>
      </c>
      <c r="B1300" t="str">
        <f>"1552382472152398"</f>
        <v>1552382472152398</v>
      </c>
      <c r="C1300" t="s">
        <v>40</v>
      </c>
      <c r="D1300">
        <v>3.3436539999999999</v>
      </c>
      <c r="E1300">
        <v>0.54393000000000002</v>
      </c>
      <c r="F1300" t="s">
        <v>41</v>
      </c>
      <c r="G1300">
        <v>-255.44569999999999</v>
      </c>
      <c r="H1300">
        <v>0.93658129999999995</v>
      </c>
      <c r="I1300">
        <v>367.44889999999998</v>
      </c>
      <c r="J1300">
        <v>-256.10309999999998</v>
      </c>
      <c r="K1300">
        <v>1.1103780000000001</v>
      </c>
      <c r="L1300">
        <v>367.53680000000003</v>
      </c>
      <c r="M1300">
        <v>0.99984969999999995</v>
      </c>
      <c r="N1300">
        <v>0</v>
      </c>
      <c r="O1300">
        <v>-1.060617E-2</v>
      </c>
      <c r="P1300">
        <v>0.98628910000000003</v>
      </c>
      <c r="Q1300">
        <v>0.16498460000000001</v>
      </c>
      <c r="R1300">
        <v>-3.7698689999999999E-3</v>
      </c>
      <c r="S1300">
        <v>3.1528779999999998</v>
      </c>
      <c r="T1300">
        <v>-0.67143999999999904</v>
      </c>
      <c r="U1300">
        <v>-0.34463500000000002</v>
      </c>
      <c r="V1300">
        <v>-6.6855719999999999E-3</v>
      </c>
      <c r="W1300">
        <v>0.1785061</v>
      </c>
      <c r="X1300">
        <v>0.98391609999999996</v>
      </c>
      <c r="Y1300">
        <v>9.6213649999999998E-2</v>
      </c>
      <c r="Z1300">
        <v>-7.8750780000000006E-3</v>
      </c>
      <c r="AA1300">
        <v>0.99532960000000004</v>
      </c>
      <c r="AB1300">
        <v>30</v>
      </c>
      <c r="AC1300">
        <v>0.65739999999999499</v>
      </c>
      <c r="AD1300">
        <v>-0.1737967</v>
      </c>
      <c r="AE1300">
        <v>-8.7900000000047301E-2</v>
      </c>
      <c r="AF1300">
        <v>7.5722506733088904E-2</v>
      </c>
      <c r="AG1300">
        <v>-0.1737967</v>
      </c>
      <c r="AH1300">
        <v>0.61599857366563904</v>
      </c>
      <c r="AI1300">
        <v>105.64385788721999</v>
      </c>
      <c r="AJ1300">
        <v>82.991992253774896</v>
      </c>
      <c r="AK1300">
        <v>0.64451022778147904</v>
      </c>
      <c r="AL1300">
        <v>79.717243647560693</v>
      </c>
      <c r="AM1300">
        <v>90.389310800139697</v>
      </c>
      <c r="AN1300">
        <v>1.00000000822469</v>
      </c>
    </row>
    <row r="1301" spans="1:40" x14ac:dyDescent="0.25">
      <c r="A1301" t="str">
        <f>"20190312172112171"</f>
        <v>20190312172112171</v>
      </c>
      <c r="B1301" t="str">
        <f>"1552382472162160"</f>
        <v>1552382472162160</v>
      </c>
      <c r="C1301" t="s">
        <v>40</v>
      </c>
      <c r="D1301">
        <v>3.3598379999999999</v>
      </c>
      <c r="E1301">
        <v>0.54393000000000002</v>
      </c>
      <c r="F1301" t="s">
        <v>41</v>
      </c>
      <c r="G1301">
        <v>-255.1884</v>
      </c>
      <c r="H1301">
        <v>0.91599969999999997</v>
      </c>
      <c r="I1301">
        <v>367.43470000000002</v>
      </c>
      <c r="J1301">
        <v>-255.95359999999999</v>
      </c>
      <c r="K1301">
        <v>1.1103799999999999</v>
      </c>
      <c r="L1301">
        <v>367.53519999999997</v>
      </c>
      <c r="M1301">
        <v>0.99984949999999995</v>
      </c>
      <c r="N1301">
        <v>0</v>
      </c>
      <c r="O1301">
        <v>-1.06061E-2</v>
      </c>
      <c r="P1301">
        <v>0.98630609999999996</v>
      </c>
      <c r="Q1301">
        <v>0.1648829</v>
      </c>
      <c r="R1301">
        <v>-3.7552100000000001E-3</v>
      </c>
      <c r="S1301">
        <v>3.152466</v>
      </c>
      <c r="T1301">
        <v>-0.67001929999999998</v>
      </c>
      <c r="U1301">
        <v>-0.35159299999999999</v>
      </c>
      <c r="V1301">
        <v>-6.7002320000000004E-3</v>
      </c>
      <c r="W1301">
        <v>0.178412299999999</v>
      </c>
      <c r="X1301">
        <v>0.98393299999999995</v>
      </c>
      <c r="Y1301">
        <v>9.8358630000000002E-2</v>
      </c>
      <c r="Z1301">
        <v>-8.0836320000000003E-3</v>
      </c>
      <c r="AA1301">
        <v>0.99511819999999895</v>
      </c>
      <c r="AB1301">
        <v>30</v>
      </c>
      <c r="AC1301">
        <v>0.765199999999992</v>
      </c>
      <c r="AD1301">
        <v>-0.19438029999999901</v>
      </c>
      <c r="AE1301">
        <v>-0.100499999999954</v>
      </c>
      <c r="AF1301">
        <v>8.6867385655148302E-2</v>
      </c>
      <c r="AG1301">
        <v>-0.19438029999999901</v>
      </c>
      <c r="AH1301">
        <v>0.72051716487939599</v>
      </c>
      <c r="AI1301">
        <v>104.994126166402</v>
      </c>
      <c r="AJ1301">
        <v>83.125454595790302</v>
      </c>
      <c r="AK1301">
        <v>0.75131526578693497</v>
      </c>
      <c r="AL1301">
        <v>79.722705536434106</v>
      </c>
      <c r="AM1301">
        <v>90.390157746135898</v>
      </c>
      <c r="AN1301">
        <v>0.99999999519457095</v>
      </c>
    </row>
    <row r="1302" spans="1:40" x14ac:dyDescent="0.25">
      <c r="A1302" t="str">
        <f>"20190312172112186"</f>
        <v>20190312172112186</v>
      </c>
      <c r="B1302" t="str">
        <f>"1552382472182655"</f>
        <v>1552382472182655</v>
      </c>
      <c r="C1302" t="s">
        <v>40</v>
      </c>
      <c r="D1302">
        <v>3.3624299999999998</v>
      </c>
      <c r="E1302">
        <v>0.57770669999999902</v>
      </c>
      <c r="F1302" t="s">
        <v>41</v>
      </c>
      <c r="G1302">
        <v>-255.1747</v>
      </c>
      <c r="H1302">
        <v>0.94480850000000005</v>
      </c>
      <c r="I1302">
        <v>367.44819999999999</v>
      </c>
      <c r="J1302">
        <v>-255.78819999999999</v>
      </c>
      <c r="K1302">
        <v>1.1103809999999901</v>
      </c>
      <c r="L1302">
        <v>367.5335</v>
      </c>
      <c r="M1302">
        <v>0.9998494</v>
      </c>
      <c r="N1302">
        <v>0</v>
      </c>
      <c r="O1302">
        <v>-1.060592E-2</v>
      </c>
      <c r="P1302">
        <v>0.98631009999999997</v>
      </c>
      <c r="Q1302">
        <v>0.16486210000000001</v>
      </c>
      <c r="R1302">
        <v>-3.6213819999999998E-3</v>
      </c>
      <c r="S1302">
        <v>3.1523590000000001</v>
      </c>
      <c r="T1302">
        <v>-0.67024050000000002</v>
      </c>
      <c r="U1302">
        <v>-0.3517151</v>
      </c>
      <c r="V1302">
        <v>-6.8339630000000002E-3</v>
      </c>
      <c r="W1302">
        <v>0.17840010000000001</v>
      </c>
      <c r="X1302">
        <v>0.98393430000000004</v>
      </c>
      <c r="Y1302">
        <v>9.8398299999999994E-2</v>
      </c>
      <c r="Z1302">
        <v>-8.0906880000000004E-3</v>
      </c>
      <c r="AA1302">
        <v>0.99511419999999995</v>
      </c>
      <c r="AB1302">
        <v>30</v>
      </c>
      <c r="AC1302">
        <v>0.61349999999998694</v>
      </c>
      <c r="AD1302">
        <v>-0.16557249999999901</v>
      </c>
      <c r="AE1302">
        <v>-8.5300000000017903E-2</v>
      </c>
      <c r="AF1302">
        <v>7.3533527677062505E-2</v>
      </c>
      <c r="AG1302">
        <v>-0.16557249999999901</v>
      </c>
      <c r="AH1302">
        <v>0.57339817212901101</v>
      </c>
      <c r="AI1302">
        <v>105.982297594017</v>
      </c>
      <c r="AJ1302">
        <v>82.692181771846606</v>
      </c>
      <c r="AK1302">
        <v>0.60133758925396796</v>
      </c>
      <c r="AL1302">
        <v>79.7234160202499</v>
      </c>
      <c r="AM1302">
        <v>90.397944193130698</v>
      </c>
      <c r="AN1302">
        <v>1.00000000272339</v>
      </c>
    </row>
    <row r="1303" spans="1:40" x14ac:dyDescent="0.25">
      <c r="A1303" t="str">
        <f>"20190312172112199"</f>
        <v>20190312172112199</v>
      </c>
      <c r="B1303" t="str">
        <f>"1552382472192415"</f>
        <v>1552382472192415</v>
      </c>
      <c r="C1303" t="s">
        <v>40</v>
      </c>
      <c r="D1303">
        <v>3.3084099999999999</v>
      </c>
      <c r="E1303">
        <v>0.57843409999999995</v>
      </c>
      <c r="F1303" t="s">
        <v>41</v>
      </c>
      <c r="G1303">
        <v>-254.9171</v>
      </c>
      <c r="H1303">
        <v>0.92035160000000005</v>
      </c>
      <c r="I1303">
        <v>367.36169999999998</v>
      </c>
      <c r="J1303">
        <v>-255.60159999999999</v>
      </c>
      <c r="K1303">
        <v>1.1103769999999999</v>
      </c>
      <c r="L1303">
        <v>367.53149999999999</v>
      </c>
      <c r="M1303">
        <v>0.99984930000000005</v>
      </c>
      <c r="N1303">
        <v>0</v>
      </c>
      <c r="O1303">
        <v>-1.0605979999999999E-2</v>
      </c>
      <c r="P1303">
        <v>0.98630450000000003</v>
      </c>
      <c r="Q1303">
        <v>0.1648954</v>
      </c>
      <c r="R1303">
        <v>-3.6758020000000001E-3</v>
      </c>
      <c r="S1303">
        <v>3.1544189999999999</v>
      </c>
      <c r="T1303">
        <v>-0.68829169999999995</v>
      </c>
      <c r="U1303">
        <v>-0.62069700000000005</v>
      </c>
      <c r="V1303">
        <v>-6.7799549999999998E-3</v>
      </c>
      <c r="W1303">
        <v>0.17844189999999999</v>
      </c>
      <c r="X1303">
        <v>0.98392710000000005</v>
      </c>
      <c r="Y1303">
        <v>0.17883979999999999</v>
      </c>
      <c r="Z1303">
        <v>-1.6841579999999998E-2</v>
      </c>
      <c r="AA1303">
        <v>0.98373409999999994</v>
      </c>
      <c r="AB1303">
        <v>30</v>
      </c>
      <c r="AC1303">
        <v>0.68449999999998501</v>
      </c>
      <c r="AD1303">
        <v>-0.19002539999999901</v>
      </c>
      <c r="AE1303">
        <v>-0.169800000000009</v>
      </c>
      <c r="AF1303">
        <v>0.151528845275194</v>
      </c>
      <c r="AG1303">
        <v>-0.19002539999999901</v>
      </c>
      <c r="AH1303">
        <v>0.63981168433368096</v>
      </c>
      <c r="AI1303">
        <v>106.119686509068</v>
      </c>
      <c r="AJ1303">
        <v>76.675935194912</v>
      </c>
      <c r="AK1303">
        <v>0.68441919538064899</v>
      </c>
      <c r="AL1303">
        <v>79.720982064019907</v>
      </c>
      <c r="AM1303">
        <v>90.394802276155204</v>
      </c>
      <c r="AN1303">
        <v>1.0000000087899099</v>
      </c>
    </row>
    <row r="1304" spans="1:40" x14ac:dyDescent="0.25">
      <c r="A1304" t="str">
        <f>"20190312172112211"</f>
        <v>20190312172112211</v>
      </c>
      <c r="B1304" t="str">
        <f>"1552382472202175"</f>
        <v>1552382472202175</v>
      </c>
      <c r="C1304" t="s">
        <v>40</v>
      </c>
      <c r="D1304">
        <v>3.3056130000000001</v>
      </c>
      <c r="E1304">
        <v>0.57933710000000005</v>
      </c>
      <c r="F1304" t="s">
        <v>41</v>
      </c>
      <c r="G1304">
        <v>-254.90119999999999</v>
      </c>
      <c r="H1304">
        <v>0.95713590000000004</v>
      </c>
      <c r="I1304">
        <v>367.39190000000002</v>
      </c>
      <c r="J1304">
        <v>-255.44030000000001</v>
      </c>
      <c r="K1304">
        <v>1.110379</v>
      </c>
      <c r="L1304">
        <v>367.52980000000002</v>
      </c>
      <c r="M1304">
        <v>0.99984910000000005</v>
      </c>
      <c r="N1304">
        <v>0</v>
      </c>
      <c r="O1304">
        <v>-1.060591E-2</v>
      </c>
      <c r="P1304">
        <v>0.98628210000000005</v>
      </c>
      <c r="Q1304">
        <v>0.16503029999999999</v>
      </c>
      <c r="R1304">
        <v>-3.5975909999999998E-3</v>
      </c>
      <c r="S1304">
        <v>3.1547390000000002</v>
      </c>
      <c r="T1304">
        <v>-0.69039439999999996</v>
      </c>
      <c r="U1304">
        <v>-0.62719729999999996</v>
      </c>
      <c r="V1304">
        <v>-6.8576590000000003E-3</v>
      </c>
      <c r="W1304">
        <v>0.17858309999999999</v>
      </c>
      <c r="X1304">
        <v>0.98390100000000003</v>
      </c>
      <c r="Y1304">
        <v>0.18070829999999999</v>
      </c>
      <c r="Z1304">
        <v>-1.7087189999999999E-2</v>
      </c>
      <c r="AA1304">
        <v>0.98338829999999999</v>
      </c>
      <c r="AB1304">
        <v>30</v>
      </c>
      <c r="AC1304">
        <v>0.53910000000001901</v>
      </c>
      <c r="AD1304">
        <v>-0.15324309999999899</v>
      </c>
      <c r="AE1304">
        <v>-0.13790000000000099</v>
      </c>
      <c r="AF1304">
        <v>0.122856626735397</v>
      </c>
      <c r="AG1304">
        <v>-0.15324309999999899</v>
      </c>
      <c r="AH1304">
        <v>0.502428279961875</v>
      </c>
      <c r="AI1304">
        <v>106.50328852269</v>
      </c>
      <c r="AJ1304">
        <v>76.259338690696694</v>
      </c>
      <c r="AK1304">
        <v>0.53945470146793495</v>
      </c>
      <c r="AL1304">
        <v>79.712760410382799</v>
      </c>
      <c r="AM1304">
        <v>90.399337489999695</v>
      </c>
      <c r="AN1304">
        <v>1.0000000644467799</v>
      </c>
    </row>
    <row r="1305" spans="1:40" x14ac:dyDescent="0.25">
      <c r="A1305" t="str">
        <f>"20190312172112225"</f>
        <v>20190312172112225</v>
      </c>
      <c r="B1305" t="str">
        <f>"1552382472222670"</f>
        <v>1552382472222670</v>
      </c>
      <c r="C1305" t="s">
        <v>40</v>
      </c>
      <c r="D1305">
        <v>3.2954189999999999</v>
      </c>
      <c r="E1305">
        <v>0.58036209999999999</v>
      </c>
      <c r="F1305" t="s">
        <v>41</v>
      </c>
      <c r="G1305">
        <v>-254.64439999999999</v>
      </c>
      <c r="H1305">
        <v>0.93587260000000005</v>
      </c>
      <c r="I1305">
        <v>367.36970000000002</v>
      </c>
      <c r="J1305">
        <v>-255.2567</v>
      </c>
      <c r="K1305">
        <v>1.1103799999999999</v>
      </c>
      <c r="L1305">
        <v>367.52780000000001</v>
      </c>
      <c r="M1305">
        <v>0.99984919999999999</v>
      </c>
      <c r="N1305">
        <v>0</v>
      </c>
      <c r="O1305">
        <v>-1.0605959999999999E-2</v>
      </c>
      <c r="P1305">
        <v>0.98630930000000006</v>
      </c>
      <c r="Q1305">
        <v>0.16486809999999999</v>
      </c>
      <c r="R1305">
        <v>-3.594547E-3</v>
      </c>
      <c r="S1305">
        <v>3.1551819999999999</v>
      </c>
      <c r="T1305">
        <v>-0.69183459999999997</v>
      </c>
      <c r="U1305">
        <v>-0.63391109999999995</v>
      </c>
      <c r="V1305">
        <v>-6.8606700000000001E-3</v>
      </c>
      <c r="W1305">
        <v>0.17842829999999901</v>
      </c>
      <c r="X1305">
        <v>0.98392900000000005</v>
      </c>
      <c r="Y1305">
        <v>0.18263670000000001</v>
      </c>
      <c r="Z1305">
        <v>-1.7323249999999998E-2</v>
      </c>
      <c r="AA1305">
        <v>0.98302780000000001</v>
      </c>
      <c r="AB1305">
        <v>30</v>
      </c>
      <c r="AC1305">
        <v>0.61230000000000395</v>
      </c>
      <c r="AD1305">
        <v>-0.17450739999999901</v>
      </c>
      <c r="AE1305">
        <v>-0.15809999999999</v>
      </c>
      <c r="AF1305">
        <v>0.14086929335291701</v>
      </c>
      <c r="AG1305">
        <v>-0.17450739999999901</v>
      </c>
      <c r="AH1305">
        <v>0.57049911871274706</v>
      </c>
      <c r="AI1305">
        <v>106.53964380188501</v>
      </c>
      <c r="AJ1305">
        <v>76.129810594395394</v>
      </c>
      <c r="AK1305">
        <v>0.61299774462597501</v>
      </c>
      <c r="AL1305">
        <v>79.721773925627602</v>
      </c>
      <c r="AM1305">
        <v>90.399501453172803</v>
      </c>
      <c r="AN1305">
        <v>1.0000000020373601</v>
      </c>
    </row>
    <row r="1306" spans="1:40" x14ac:dyDescent="0.25">
      <c r="A1306" t="str">
        <f>"20190312172112238"</f>
        <v>20190312172112238</v>
      </c>
      <c r="B1306" t="str">
        <f>"1552382472232442"</f>
        <v>1552382472232442</v>
      </c>
      <c r="C1306" t="s">
        <v>40</v>
      </c>
      <c r="D1306">
        <v>3.341005</v>
      </c>
      <c r="E1306">
        <v>0.58058790000000005</v>
      </c>
      <c r="F1306" t="s">
        <v>41</v>
      </c>
      <c r="G1306">
        <v>-254.3853</v>
      </c>
      <c r="H1306">
        <v>0.91789750000000003</v>
      </c>
      <c r="I1306">
        <v>367.3503</v>
      </c>
      <c r="J1306">
        <v>-255.06970000000001</v>
      </c>
      <c r="K1306">
        <v>1.110385</v>
      </c>
      <c r="L1306">
        <v>367.5258</v>
      </c>
      <c r="M1306">
        <v>0.99984890000000004</v>
      </c>
      <c r="N1306">
        <v>0</v>
      </c>
      <c r="O1306">
        <v>-1.0605649999999999E-2</v>
      </c>
      <c r="P1306">
        <v>0.98623769999999999</v>
      </c>
      <c r="Q1306">
        <v>0.16529730000000001</v>
      </c>
      <c r="R1306">
        <v>-3.4708080000000001E-3</v>
      </c>
      <c r="S1306">
        <v>3.1558380000000001</v>
      </c>
      <c r="T1306">
        <v>-0.69715419999999995</v>
      </c>
      <c r="U1306">
        <v>-0.6420593</v>
      </c>
      <c r="V1306">
        <v>-6.9839719999999997E-3</v>
      </c>
      <c r="W1306">
        <v>0.1788632</v>
      </c>
      <c r="X1306">
        <v>0.98384919999999998</v>
      </c>
      <c r="Y1306">
        <v>0.1849266</v>
      </c>
      <c r="Z1306">
        <v>-1.7693210000000001E-2</v>
      </c>
      <c r="AA1306">
        <v>0.9825931</v>
      </c>
      <c r="AB1306">
        <v>30</v>
      </c>
      <c r="AC1306">
        <v>0.68440000000001</v>
      </c>
      <c r="AD1306">
        <v>-0.19248749999999901</v>
      </c>
      <c r="AE1306">
        <v>-0.17549999999999899</v>
      </c>
      <c r="AF1306">
        <v>0.15660736267015399</v>
      </c>
      <c r="AG1306">
        <v>-0.19248749999999901</v>
      </c>
      <c r="AH1306">
        <v>0.63880980695413603</v>
      </c>
      <c r="AI1306">
        <v>106.31242839558401</v>
      </c>
      <c r="AJ1306">
        <v>76.225326356079194</v>
      </c>
      <c r="AK1306">
        <v>0.685313996033593</v>
      </c>
      <c r="AL1306">
        <v>79.696448929608707</v>
      </c>
      <c r="AM1306">
        <v>90.406714157783597</v>
      </c>
      <c r="AN1306">
        <v>1.00000003425988</v>
      </c>
    </row>
    <row r="1307" spans="1:40" x14ac:dyDescent="0.25">
      <c r="A1307" t="str">
        <f>"20190312172112250"</f>
        <v>20190312172112250</v>
      </c>
      <c r="B1307" t="str">
        <f>"1552382472242190"</f>
        <v>1552382472242190</v>
      </c>
      <c r="C1307" t="s">
        <v>40</v>
      </c>
      <c r="D1307">
        <v>3.3420209999999999</v>
      </c>
      <c r="E1307">
        <v>0.58081039999999995</v>
      </c>
      <c r="F1307" t="s">
        <v>41</v>
      </c>
      <c r="G1307">
        <v>-254.36940000000001</v>
      </c>
      <c r="H1307">
        <v>0.95554950000000005</v>
      </c>
      <c r="I1307">
        <v>367.38290000000001</v>
      </c>
      <c r="J1307">
        <v>-254.91399999999999</v>
      </c>
      <c r="K1307">
        <v>1.1103860000000001</v>
      </c>
      <c r="L1307">
        <v>367.52420000000001</v>
      </c>
      <c r="M1307">
        <v>0.99984879999999998</v>
      </c>
      <c r="N1307">
        <v>0</v>
      </c>
      <c r="O1307">
        <v>-1.060556E-2</v>
      </c>
      <c r="P1307">
        <v>0.98625620000000003</v>
      </c>
      <c r="Q1307">
        <v>0.16518579999999999</v>
      </c>
      <c r="R1307">
        <v>-3.5338430000000001E-3</v>
      </c>
      <c r="S1307">
        <v>3.1565859999999999</v>
      </c>
      <c r="T1307">
        <v>-0.69793499999999997</v>
      </c>
      <c r="U1307">
        <v>-0.6428528</v>
      </c>
      <c r="V1307">
        <v>-6.9207729999999999E-3</v>
      </c>
      <c r="W1307">
        <v>0.1787571</v>
      </c>
      <c r="X1307">
        <v>0.98386890000000005</v>
      </c>
      <c r="Y1307">
        <v>0.1851073</v>
      </c>
      <c r="Z1307">
        <v>-1.7727690000000001E-2</v>
      </c>
      <c r="AA1307">
        <v>0.98255840000000005</v>
      </c>
      <c r="AB1307">
        <v>30</v>
      </c>
      <c r="AC1307">
        <v>0.54460000000000197</v>
      </c>
      <c r="AD1307">
        <v>-0.15483649999999999</v>
      </c>
      <c r="AE1307">
        <v>-0.14130000000000101</v>
      </c>
      <c r="AF1307">
        <v>0.12597497645448399</v>
      </c>
      <c r="AG1307">
        <v>-0.15483649999999999</v>
      </c>
      <c r="AH1307">
        <v>0.50762313863622599</v>
      </c>
      <c r="AI1307">
        <v>106.490998782283</v>
      </c>
      <c r="AJ1307">
        <v>76.062680031544502</v>
      </c>
      <c r="AK1307">
        <v>0.54545878607265197</v>
      </c>
      <c r="AL1307">
        <v>79.702627286285804</v>
      </c>
      <c r="AM1307">
        <v>90.403025793240104</v>
      </c>
      <c r="AN1307">
        <v>1.00000000514326</v>
      </c>
    </row>
    <row r="1308" spans="1:40" x14ac:dyDescent="0.25">
      <c r="A1308" t="str">
        <f>"20190312172112261"</f>
        <v>20190312172112261</v>
      </c>
      <c r="B1308" t="str">
        <f>"1552382472251951"</f>
        <v>1552382472251951</v>
      </c>
      <c r="C1308" t="s">
        <v>40</v>
      </c>
      <c r="D1308">
        <v>3.3331249999999999</v>
      </c>
      <c r="E1308">
        <v>0.5809124</v>
      </c>
      <c r="F1308" t="s">
        <v>41</v>
      </c>
      <c r="G1308">
        <v>-254.11330000000001</v>
      </c>
      <c r="H1308">
        <v>0.93329300000000004</v>
      </c>
      <c r="I1308">
        <v>367.3605</v>
      </c>
      <c r="J1308">
        <v>-254.76429999999999</v>
      </c>
      <c r="K1308">
        <v>1.1103879999999999</v>
      </c>
      <c r="L1308">
        <v>367.52260000000001</v>
      </c>
      <c r="M1308">
        <v>0.99984879999999998</v>
      </c>
      <c r="N1308">
        <v>0</v>
      </c>
      <c r="O1308">
        <v>-1.0605349999999999E-2</v>
      </c>
      <c r="P1308">
        <v>0.98624840000000003</v>
      </c>
      <c r="Q1308">
        <v>0.16523579999999999</v>
      </c>
      <c r="R1308">
        <v>-3.4110590000000001E-3</v>
      </c>
      <c r="S1308">
        <v>3.1564179999999999</v>
      </c>
      <c r="T1308">
        <v>-0.69814309999999902</v>
      </c>
      <c r="U1308">
        <v>-0.64468380000000003</v>
      </c>
      <c r="V1308">
        <v>-7.0431499999999998E-3</v>
      </c>
      <c r="W1308">
        <v>0.1788111</v>
      </c>
      <c r="X1308">
        <v>0.98385820000000002</v>
      </c>
      <c r="Y1308">
        <v>0.18565010000000001</v>
      </c>
      <c r="Z1308">
        <v>-1.779155E-2</v>
      </c>
      <c r="AA1308">
        <v>0.98245479999999996</v>
      </c>
      <c r="AB1308">
        <v>30</v>
      </c>
      <c r="AC1308">
        <v>0.65099999999998204</v>
      </c>
      <c r="AD1308">
        <v>-0.177094999999999</v>
      </c>
      <c r="AE1308">
        <v>-0.16210000000000899</v>
      </c>
      <c r="AF1308">
        <v>0.14507679137610099</v>
      </c>
      <c r="AG1308">
        <v>-0.177094999999999</v>
      </c>
      <c r="AH1308">
        <v>0.61016470761255504</v>
      </c>
      <c r="AI1308">
        <v>105.768057995958</v>
      </c>
      <c r="AJ1308">
        <v>76.625322667941504</v>
      </c>
      <c r="AK1308">
        <v>0.65169846158856304</v>
      </c>
      <c r="AL1308">
        <v>79.6994824555089</v>
      </c>
      <c r="AM1308">
        <v>90.410156541085797</v>
      </c>
      <c r="AN1308">
        <v>0.99999998657618605</v>
      </c>
    </row>
    <row r="1309" spans="1:40" x14ac:dyDescent="0.25">
      <c r="A1309" t="str">
        <f>"20190312172112273"</f>
        <v>20190312172112273</v>
      </c>
      <c r="B1309" t="str">
        <f>"1552382472262687"</f>
        <v>1552382472262687</v>
      </c>
      <c r="C1309" t="s">
        <v>40</v>
      </c>
      <c r="D1309">
        <v>3.3376429999999999</v>
      </c>
      <c r="E1309">
        <v>0.58110600000000001</v>
      </c>
      <c r="F1309" t="s">
        <v>41</v>
      </c>
      <c r="G1309">
        <v>-253.857</v>
      </c>
      <c r="H1309">
        <v>0.90967370000000003</v>
      </c>
      <c r="I1309">
        <v>367.33679999999998</v>
      </c>
      <c r="J1309">
        <v>-254.6148</v>
      </c>
      <c r="K1309">
        <v>1.1103879999999999</v>
      </c>
      <c r="L1309">
        <v>367.52100000000002</v>
      </c>
      <c r="M1309">
        <v>0.99984890000000004</v>
      </c>
      <c r="N1309">
        <v>0</v>
      </c>
      <c r="O1309">
        <v>-1.0605379999999999E-2</v>
      </c>
      <c r="P1309">
        <v>0.98624319999999999</v>
      </c>
      <c r="Q1309">
        <v>0.165265299999999</v>
      </c>
      <c r="R1309">
        <v>-3.4656930000000002E-3</v>
      </c>
      <c r="S1309">
        <v>3.156631</v>
      </c>
      <c r="T1309">
        <v>-0.69836290000000001</v>
      </c>
      <c r="U1309">
        <v>-0.64566040000000002</v>
      </c>
      <c r="V1309">
        <v>-6.988686E-3</v>
      </c>
      <c r="W1309">
        <v>0.17884439999999999</v>
      </c>
      <c r="X1309">
        <v>0.98385259999999997</v>
      </c>
      <c r="Y1309">
        <v>0.1859208</v>
      </c>
      <c r="Z1309">
        <v>-1.7824639999999999E-2</v>
      </c>
      <c r="AA1309">
        <v>0.98240300000000003</v>
      </c>
      <c r="AB1309">
        <v>30</v>
      </c>
      <c r="AC1309">
        <v>0.75780000000000303</v>
      </c>
      <c r="AD1309">
        <v>-0.20071429999999901</v>
      </c>
      <c r="AE1309">
        <v>-0.18419999999997499</v>
      </c>
      <c r="AF1309">
        <v>0.16520877377364401</v>
      </c>
      <c r="AG1309">
        <v>-0.20071429999999901</v>
      </c>
      <c r="AH1309">
        <v>0.712514471845481</v>
      </c>
      <c r="AI1309">
        <v>105.345267778581</v>
      </c>
      <c r="AJ1309">
        <v>76.945666467006603</v>
      </c>
      <c r="AK1309">
        <v>0.75845701377568198</v>
      </c>
      <c r="AL1309">
        <v>79.697543905587196</v>
      </c>
      <c r="AM1309">
        <v>90.406987263637504</v>
      </c>
      <c r="AN1309">
        <v>1.0000000498350601</v>
      </c>
    </row>
    <row r="1310" spans="1:40" x14ac:dyDescent="0.25">
      <c r="A1310" t="str">
        <f>"20190312172112283"</f>
        <v>20190312172112283</v>
      </c>
      <c r="B1310" t="str">
        <f>"1552382472272447"</f>
        <v>1552382472272447</v>
      </c>
      <c r="C1310" t="s">
        <v>40</v>
      </c>
      <c r="D1310">
        <v>3.3225280000000001</v>
      </c>
      <c r="E1310">
        <v>0.58119770000000004</v>
      </c>
      <c r="F1310" t="s">
        <v>41</v>
      </c>
      <c r="G1310">
        <v>-253.8449</v>
      </c>
      <c r="H1310">
        <v>0.93984330000000005</v>
      </c>
      <c r="I1310">
        <v>367.363</v>
      </c>
      <c r="J1310">
        <v>-254.48</v>
      </c>
      <c r="K1310">
        <v>1.1103889999999901</v>
      </c>
      <c r="L1310">
        <v>367.51949999999999</v>
      </c>
      <c r="M1310">
        <v>0.99984879999999998</v>
      </c>
      <c r="N1310">
        <v>0</v>
      </c>
      <c r="O1310">
        <v>-1.060529E-2</v>
      </c>
      <c r="P1310">
        <v>0.98625980000000002</v>
      </c>
      <c r="Q1310">
        <v>0.1651658</v>
      </c>
      <c r="R1310">
        <v>-3.478217E-3</v>
      </c>
      <c r="S1310">
        <v>3.1567539999999998</v>
      </c>
      <c r="T1310">
        <v>-0.69936030000000005</v>
      </c>
      <c r="U1310">
        <v>-0.647003199999999</v>
      </c>
      <c r="V1310">
        <v>-6.9761440000000001E-3</v>
      </c>
      <c r="W1310">
        <v>0.17874870000000001</v>
      </c>
      <c r="X1310">
        <v>0.98387000000000002</v>
      </c>
      <c r="Y1310">
        <v>0.18629499999999999</v>
      </c>
      <c r="Z1310">
        <v>-1.78887E-2</v>
      </c>
      <c r="AA1310">
        <v>0.98233099999999995</v>
      </c>
      <c r="AB1310">
        <v>30</v>
      </c>
      <c r="AC1310">
        <v>0.635099999999994</v>
      </c>
      <c r="AD1310">
        <v>-0.170545699999999</v>
      </c>
      <c r="AE1310">
        <v>-0.156499999999937</v>
      </c>
      <c r="AF1310">
        <v>0.140222490729973</v>
      </c>
      <c r="AG1310">
        <v>-0.170545699999999</v>
      </c>
      <c r="AH1310">
        <v>0.59619355455162704</v>
      </c>
      <c r="AI1310">
        <v>105.560364196924</v>
      </c>
      <c r="AJ1310">
        <v>76.764793224151404</v>
      </c>
      <c r="AK1310">
        <v>0.63576327133919197</v>
      </c>
      <c r="AL1310">
        <v>79.703116089915198</v>
      </c>
      <c r="AM1310">
        <v>90.406249718214198</v>
      </c>
      <c r="AN1310">
        <v>0.99999997061839896</v>
      </c>
    </row>
    <row r="1311" spans="1:40" x14ac:dyDescent="0.25">
      <c r="A1311" t="str">
        <f>"20190312172112293"</f>
        <v>20190312172112293</v>
      </c>
      <c r="B1311" t="str">
        <f>"1552382472282207"</f>
        <v>1552382472282207</v>
      </c>
      <c r="C1311" t="s">
        <v>40</v>
      </c>
      <c r="D1311">
        <v>3.360344</v>
      </c>
      <c r="E1311">
        <v>0.58118239999999999</v>
      </c>
      <c r="F1311" t="s">
        <v>41</v>
      </c>
      <c r="G1311">
        <v>-253.59049999999999</v>
      </c>
      <c r="H1311">
        <v>0.91280320000000004</v>
      </c>
      <c r="I1311">
        <v>367.33699999999999</v>
      </c>
      <c r="J1311">
        <v>-254.3372</v>
      </c>
      <c r="K1311">
        <v>1.1103889999999901</v>
      </c>
      <c r="L1311">
        <v>367.5181</v>
      </c>
      <c r="M1311">
        <v>0.99984879999999998</v>
      </c>
      <c r="N1311">
        <v>0</v>
      </c>
      <c r="O1311">
        <v>-1.060531E-2</v>
      </c>
      <c r="P1311">
        <v>0.98623950000000005</v>
      </c>
      <c r="Q1311">
        <v>0.16528760000000001</v>
      </c>
      <c r="R1311">
        <v>-3.4286199999999998E-3</v>
      </c>
      <c r="S1311">
        <v>3.156952</v>
      </c>
      <c r="T1311">
        <v>-0.70124280000000005</v>
      </c>
      <c r="U1311">
        <v>-0.64782709999999999</v>
      </c>
      <c r="V1311">
        <v>-7.0252419999999897E-3</v>
      </c>
      <c r="W1311">
        <v>0.17887349999999999</v>
      </c>
      <c r="X1311">
        <v>0.98384700000000003</v>
      </c>
      <c r="Y1311">
        <v>0.186503</v>
      </c>
      <c r="Z1311">
        <v>-1.7956799999999998E-2</v>
      </c>
      <c r="AA1311">
        <v>0.98229029999999995</v>
      </c>
      <c r="AB1311">
        <v>30</v>
      </c>
      <c r="AC1311">
        <v>0.74670000000000403</v>
      </c>
      <c r="AD1311">
        <v>-0.19758579999999901</v>
      </c>
      <c r="AE1311">
        <v>-0.181100000000014</v>
      </c>
      <c r="AF1311">
        <v>0.162428728602242</v>
      </c>
      <c r="AG1311">
        <v>-0.19758579999999901</v>
      </c>
      <c r="AH1311">
        <v>0.70214615488149101</v>
      </c>
      <c r="AI1311">
        <v>105.33162748833399</v>
      </c>
      <c r="AJ1311">
        <v>76.974784298672503</v>
      </c>
      <c r="AK1311">
        <v>0.74728338871665301</v>
      </c>
      <c r="AL1311">
        <v>79.695848765631794</v>
      </c>
      <c r="AM1311">
        <v>90.409118364645593</v>
      </c>
      <c r="AN1311">
        <v>1.0000000012182</v>
      </c>
    </row>
    <row r="1312" spans="1:40" x14ac:dyDescent="0.25">
      <c r="A1312" t="str">
        <f>"20190312172112305"</f>
        <v>20190312172112305</v>
      </c>
      <c r="B1312" t="str">
        <f>"1552382472302704"</f>
        <v>1552382472302704</v>
      </c>
      <c r="C1312" t="s">
        <v>40</v>
      </c>
      <c r="D1312">
        <v>3.3480050000000001</v>
      </c>
      <c r="E1312">
        <v>0.58133210000000002</v>
      </c>
      <c r="F1312" t="s">
        <v>41</v>
      </c>
      <c r="G1312">
        <v>-253.57859999999999</v>
      </c>
      <c r="H1312">
        <v>0.94195260000000003</v>
      </c>
      <c r="I1312">
        <v>367.36250000000001</v>
      </c>
      <c r="J1312">
        <v>-254.1875</v>
      </c>
      <c r="K1312">
        <v>1.1103879999999999</v>
      </c>
      <c r="L1312">
        <v>367.51650000000001</v>
      </c>
      <c r="M1312">
        <v>0.99984870000000003</v>
      </c>
      <c r="N1312">
        <v>0</v>
      </c>
      <c r="O1312">
        <v>-1.060533E-2</v>
      </c>
      <c r="P1312">
        <v>0.98623289999999997</v>
      </c>
      <c r="Q1312">
        <v>0.16532369999999999</v>
      </c>
      <c r="R1312">
        <v>-3.6184670000000002E-3</v>
      </c>
      <c r="S1312">
        <v>3.1571039999999999</v>
      </c>
      <c r="T1312">
        <v>-0.70105119999999999</v>
      </c>
      <c r="U1312">
        <v>-0.64755249999999998</v>
      </c>
      <c r="V1312">
        <v>-6.8356619999999898E-3</v>
      </c>
      <c r="W1312">
        <v>0.17891189999999901</v>
      </c>
      <c r="X1312">
        <v>0.98384139999999998</v>
      </c>
      <c r="Y1312">
        <v>0.1864162</v>
      </c>
      <c r="Z1312">
        <v>-1.7941889999999999E-2</v>
      </c>
      <c r="AA1312">
        <v>0.98230700000000004</v>
      </c>
      <c r="AB1312">
        <v>30</v>
      </c>
      <c r="AC1312">
        <v>0.60890000000000499</v>
      </c>
      <c r="AD1312">
        <v>-0.16843539999999901</v>
      </c>
      <c r="AE1312">
        <v>-0.153999999999996</v>
      </c>
      <c r="AF1312">
        <v>0.137634523809231</v>
      </c>
      <c r="AG1312">
        <v>-0.16843539999999901</v>
      </c>
      <c r="AH1312">
        <v>0.56953818956603397</v>
      </c>
      <c r="AI1312">
        <v>106.038116796171</v>
      </c>
      <c r="AJ1312">
        <v>76.414376823720602</v>
      </c>
      <c r="AK1312">
        <v>0.60966178779017299</v>
      </c>
      <c r="AL1312">
        <v>79.693613014210598</v>
      </c>
      <c r="AM1312">
        <v>90.398080707672605</v>
      </c>
      <c r="AN1312">
        <v>1.0000000472952699</v>
      </c>
    </row>
    <row r="1313" spans="1:40" x14ac:dyDescent="0.25">
      <c r="A1313" t="str">
        <f>"20190312172112317"</f>
        <v>20190312172112317</v>
      </c>
      <c r="B1313" t="str">
        <f>"1552382472312464"</f>
        <v>1552382472312464</v>
      </c>
      <c r="C1313" t="s">
        <v>40</v>
      </c>
      <c r="D1313">
        <v>3.3338969999999999</v>
      </c>
      <c r="E1313">
        <v>0.58144309999999999</v>
      </c>
      <c r="F1313" t="s">
        <v>41</v>
      </c>
      <c r="G1313">
        <v>-253.32329999999999</v>
      </c>
      <c r="H1313">
        <v>0.91793219999999998</v>
      </c>
      <c r="I1313">
        <v>367.33839999999998</v>
      </c>
      <c r="J1313">
        <v>-254.0343</v>
      </c>
      <c r="K1313">
        <v>1.1103889999999901</v>
      </c>
      <c r="L1313">
        <v>367.51479999999998</v>
      </c>
      <c r="M1313">
        <v>0.99984870000000003</v>
      </c>
      <c r="N1313">
        <v>0</v>
      </c>
      <c r="O1313">
        <v>-1.0605109999999999E-2</v>
      </c>
      <c r="P1313">
        <v>0.9862242</v>
      </c>
      <c r="Q1313">
        <v>0.16537579999999999</v>
      </c>
      <c r="R1313">
        <v>-3.5830480000000001E-3</v>
      </c>
      <c r="S1313">
        <v>3.157394</v>
      </c>
      <c r="T1313">
        <v>-0.70323500000000005</v>
      </c>
      <c r="U1313">
        <v>-0.64965819999999996</v>
      </c>
      <c r="V1313">
        <v>-6.8707769999999998E-3</v>
      </c>
      <c r="W1313">
        <v>0.178967299999999</v>
      </c>
      <c r="X1313">
        <v>0.98383100000000001</v>
      </c>
      <c r="Y1313">
        <v>0.18698980000000001</v>
      </c>
      <c r="Z1313">
        <v>-1.8056269999999999E-2</v>
      </c>
      <c r="AA1313">
        <v>0.98219590000000001</v>
      </c>
      <c r="AB1313">
        <v>30</v>
      </c>
      <c r="AC1313">
        <v>0.71100000000001196</v>
      </c>
      <c r="AD1313">
        <v>-0.19245679999999901</v>
      </c>
      <c r="AE1313">
        <v>-0.176400000000001</v>
      </c>
      <c r="AF1313">
        <v>0.15794734676997299</v>
      </c>
      <c r="AG1313">
        <v>-0.19245679999999901</v>
      </c>
      <c r="AH1313">
        <v>0.66680684144637103</v>
      </c>
      <c r="AI1313">
        <v>105.68755611438</v>
      </c>
      <c r="AJ1313">
        <v>76.673889466207498</v>
      </c>
      <c r="AK1313">
        <v>0.71177127507198501</v>
      </c>
      <c r="AL1313">
        <v>79.690385943721296</v>
      </c>
      <c r="AM1313">
        <v>90.400129823407596</v>
      </c>
      <c r="AN1313">
        <v>0.99999996930343604</v>
      </c>
    </row>
    <row r="1314" spans="1:40" x14ac:dyDescent="0.25">
      <c r="A1314" t="str">
        <f>"20190312172112329"</f>
        <v>20190312172112329</v>
      </c>
      <c r="B1314" t="str">
        <f>"1552382472322223"</f>
        <v>1552382472322223</v>
      </c>
      <c r="C1314" t="s">
        <v>40</v>
      </c>
      <c r="D1314">
        <v>3.3599209999999999</v>
      </c>
      <c r="E1314">
        <v>0.58150539999999995</v>
      </c>
      <c r="F1314" t="s">
        <v>41</v>
      </c>
      <c r="G1314">
        <v>-253.31039999999999</v>
      </c>
      <c r="H1314">
        <v>0.94892279999999996</v>
      </c>
      <c r="I1314">
        <v>367.36540000000002</v>
      </c>
      <c r="J1314">
        <v>-253.88550000000001</v>
      </c>
      <c r="K1314">
        <v>1.1103889999999901</v>
      </c>
      <c r="L1314">
        <v>367.51330000000002</v>
      </c>
      <c r="M1314">
        <v>0.99984859999999998</v>
      </c>
      <c r="N1314">
        <v>0</v>
      </c>
      <c r="O1314">
        <v>-1.060501E-2</v>
      </c>
      <c r="P1314">
        <v>0.98618850000000002</v>
      </c>
      <c r="Q1314">
        <v>0.1655886</v>
      </c>
      <c r="R1314">
        <v>-3.5773179999999999E-3</v>
      </c>
      <c r="S1314">
        <v>3.1576689999999998</v>
      </c>
      <c r="T1314">
        <v>-0.70442749999999998</v>
      </c>
      <c r="U1314">
        <v>-0.65063479999999996</v>
      </c>
      <c r="V1314">
        <v>-6.8761330000000004E-3</v>
      </c>
      <c r="W1314">
        <v>0.17918220000000001</v>
      </c>
      <c r="X1314">
        <v>0.98379190000000005</v>
      </c>
      <c r="Y1314">
        <v>0.18724550000000001</v>
      </c>
      <c r="Z1314">
        <v>-1.8112050000000001E-2</v>
      </c>
      <c r="AA1314">
        <v>0.98214610000000002</v>
      </c>
      <c r="AB1314">
        <v>30</v>
      </c>
      <c r="AC1314">
        <v>0.57510000000002004</v>
      </c>
      <c r="AD1314">
        <v>-0.161466199999999</v>
      </c>
      <c r="AE1314">
        <v>-0.14789999999999201</v>
      </c>
      <c r="AF1314">
        <v>0.132030211414324</v>
      </c>
      <c r="AG1314">
        <v>-0.161466199999999</v>
      </c>
      <c r="AH1314">
        <v>0.53693667283270996</v>
      </c>
      <c r="AI1314">
        <v>106.278785451388</v>
      </c>
      <c r="AJ1314">
        <v>76.185316445138298</v>
      </c>
      <c r="AK1314">
        <v>0.57602456640425603</v>
      </c>
      <c r="AL1314">
        <v>79.677871331086095</v>
      </c>
      <c r="AM1314">
        <v>90.400457642515804</v>
      </c>
      <c r="AN1314">
        <v>1.00000002225374</v>
      </c>
    </row>
    <row r="1315" spans="1:40" x14ac:dyDescent="0.25">
      <c r="A1315" t="str">
        <f>"20190312172112338"</f>
        <v>20190312172112338</v>
      </c>
      <c r="B1315" t="str">
        <f>"1552382472331984"</f>
        <v>1552382472331984</v>
      </c>
      <c r="C1315" t="s">
        <v>40</v>
      </c>
      <c r="D1315">
        <v>3.353882</v>
      </c>
      <c r="E1315">
        <v>0.58152879999999996</v>
      </c>
      <c r="F1315" t="s">
        <v>41</v>
      </c>
      <c r="G1315">
        <v>-253.05549999999999</v>
      </c>
      <c r="H1315">
        <v>0.92533370000000004</v>
      </c>
      <c r="I1315">
        <v>367.34210000000002</v>
      </c>
      <c r="J1315">
        <v>-253.7363</v>
      </c>
      <c r="K1315">
        <v>1.1103879999999999</v>
      </c>
      <c r="L1315">
        <v>367.51170000000002</v>
      </c>
      <c r="M1315">
        <v>0.99984859999999998</v>
      </c>
      <c r="N1315">
        <v>0</v>
      </c>
      <c r="O1315">
        <v>-1.060502E-2</v>
      </c>
      <c r="P1315">
        <v>0.98615819999999998</v>
      </c>
      <c r="Q1315">
        <v>0.1657672</v>
      </c>
      <c r="R1315">
        <v>-3.6699100000000002E-3</v>
      </c>
      <c r="S1315">
        <v>3.157867</v>
      </c>
      <c r="T1315">
        <v>-0.70417169999999996</v>
      </c>
      <c r="U1315">
        <v>-0.65109249999999996</v>
      </c>
      <c r="V1315">
        <v>-6.783023E-3</v>
      </c>
      <c r="W1315">
        <v>0.179362299999999</v>
      </c>
      <c r="X1315">
        <v>0.98375970000000001</v>
      </c>
      <c r="Y1315">
        <v>0.1873706</v>
      </c>
      <c r="Z1315">
        <v>-1.8117910000000001E-2</v>
      </c>
      <c r="AA1315">
        <v>0.98212219999999995</v>
      </c>
      <c r="AB1315">
        <v>30</v>
      </c>
      <c r="AC1315">
        <v>0.68080000000000496</v>
      </c>
      <c r="AD1315">
        <v>-0.18505429999999901</v>
      </c>
      <c r="AE1315">
        <v>-0.169600000000002</v>
      </c>
      <c r="AF1315">
        <v>0.15180882399138401</v>
      </c>
      <c r="AG1315">
        <v>-0.18505429999999901</v>
      </c>
      <c r="AH1315">
        <v>0.63816459009463899</v>
      </c>
      <c r="AI1315">
        <v>105.754119190949</v>
      </c>
      <c r="AJ1315">
        <v>76.618983844283903</v>
      </c>
      <c r="AK1315">
        <v>0.68157542285560402</v>
      </c>
      <c r="AL1315">
        <v>79.667382158746406</v>
      </c>
      <c r="AM1315">
        <v>90.395048131832496</v>
      </c>
      <c r="AN1315">
        <v>0.99999999570319897</v>
      </c>
    </row>
    <row r="1316" spans="1:40" x14ac:dyDescent="0.25">
      <c r="A1316" t="str">
        <f>"20190312172112351"</f>
        <v>20190312172112351</v>
      </c>
      <c r="B1316" t="str">
        <f>"1552382472342719"</f>
        <v>1552382472342719</v>
      </c>
      <c r="C1316" t="s">
        <v>40</v>
      </c>
      <c r="D1316">
        <v>3.3576860000000002</v>
      </c>
      <c r="E1316">
        <v>0.58149399999999996</v>
      </c>
      <c r="F1316" t="s">
        <v>41</v>
      </c>
      <c r="G1316">
        <v>-253.04239999999999</v>
      </c>
      <c r="H1316">
        <v>0.9558449</v>
      </c>
      <c r="I1316">
        <v>367.36849999999998</v>
      </c>
      <c r="J1316">
        <v>-253.58359999999999</v>
      </c>
      <c r="K1316">
        <v>1.1103879999999999</v>
      </c>
      <c r="L1316">
        <v>367.51</v>
      </c>
      <c r="M1316">
        <v>0.99984850000000003</v>
      </c>
      <c r="N1316">
        <v>0</v>
      </c>
      <c r="O1316">
        <v>-1.060492E-2</v>
      </c>
      <c r="P1316">
        <v>0.98615079999999999</v>
      </c>
      <c r="Q1316">
        <v>0.16581119999999999</v>
      </c>
      <c r="R1316">
        <v>-3.6412530000000001E-3</v>
      </c>
      <c r="S1316">
        <v>3.1579130000000002</v>
      </c>
      <c r="T1316">
        <v>-0.70336569999999898</v>
      </c>
      <c r="U1316">
        <v>-0.65148930000000005</v>
      </c>
      <c r="V1316">
        <v>-6.8111119999999898E-3</v>
      </c>
      <c r="W1316">
        <v>0.17940780000000001</v>
      </c>
      <c r="X1316">
        <v>0.98375119999999905</v>
      </c>
      <c r="Y1316">
        <v>0.18749299999999999</v>
      </c>
      <c r="Z1316">
        <v>-1.8110540000000001E-2</v>
      </c>
      <c r="AA1316">
        <v>0.98209900000000006</v>
      </c>
      <c r="AB1316">
        <v>30</v>
      </c>
      <c r="AC1316">
        <v>0.54120000000000301</v>
      </c>
      <c r="AD1316">
        <v>-0.15454309999999899</v>
      </c>
      <c r="AE1316">
        <v>-0.14150000000000701</v>
      </c>
      <c r="AF1316">
        <v>0.12612558681152999</v>
      </c>
      <c r="AG1316">
        <v>-0.15454309999999899</v>
      </c>
      <c r="AH1316">
        <v>0.504188178159654</v>
      </c>
      <c r="AI1316">
        <v>106.56015665790601</v>
      </c>
      <c r="AJ1316">
        <v>75.955356352472194</v>
      </c>
      <c r="AK1316">
        <v>0.54221485815321702</v>
      </c>
      <c r="AL1316">
        <v>79.664732122068799</v>
      </c>
      <c r="AM1316">
        <v>90.396687430597098</v>
      </c>
      <c r="AN1316">
        <v>0.99999998672447798</v>
      </c>
    </row>
    <row r="1317" spans="1:40" x14ac:dyDescent="0.25">
      <c r="A1317" t="str">
        <f>"20190312172112362"</f>
        <v>20190312172112362</v>
      </c>
      <c r="B1317" t="str">
        <f>"1552382472352479"</f>
        <v>1552382472352479</v>
      </c>
      <c r="C1317" t="s">
        <v>40</v>
      </c>
      <c r="D1317">
        <v>3.3632900000000001</v>
      </c>
      <c r="E1317">
        <v>0.58154980000000001</v>
      </c>
      <c r="F1317" t="s">
        <v>41</v>
      </c>
      <c r="G1317">
        <v>-252.7878</v>
      </c>
      <c r="H1317">
        <v>0.93330400000000002</v>
      </c>
      <c r="I1317">
        <v>367.34570000000002</v>
      </c>
      <c r="J1317">
        <v>-253.4348</v>
      </c>
      <c r="K1317">
        <v>1.110384</v>
      </c>
      <c r="L1317">
        <v>367.50850000000003</v>
      </c>
      <c r="M1317">
        <v>0.99984850000000003</v>
      </c>
      <c r="N1317">
        <v>0</v>
      </c>
      <c r="O1317">
        <v>-1.060493E-2</v>
      </c>
      <c r="P1317">
        <v>0.98614999999999997</v>
      </c>
      <c r="Q1317">
        <v>0.1658191</v>
      </c>
      <c r="R1317">
        <v>-3.5320809999999998E-3</v>
      </c>
      <c r="S1317">
        <v>3.157883</v>
      </c>
      <c r="T1317">
        <v>-0.70273109999999905</v>
      </c>
      <c r="U1317">
        <v>-0.65118409999999904</v>
      </c>
      <c r="V1317">
        <v>-6.9208660000000003E-3</v>
      </c>
      <c r="W1317">
        <v>0.17941770000000001</v>
      </c>
      <c r="X1317">
        <v>0.98374870000000003</v>
      </c>
      <c r="Y1317">
        <v>0.18741289999999999</v>
      </c>
      <c r="Z1317">
        <v>-1.80862E-2</v>
      </c>
      <c r="AA1317">
        <v>0.98211470000000001</v>
      </c>
      <c r="AB1317">
        <v>30</v>
      </c>
      <c r="AC1317">
        <v>0.64699999999999103</v>
      </c>
      <c r="AD1317">
        <v>-0.17707999999999899</v>
      </c>
      <c r="AE1317">
        <v>-0.162800000000004</v>
      </c>
      <c r="AF1317">
        <v>0.14566685575744101</v>
      </c>
      <c r="AG1317">
        <v>-0.17707999999999899</v>
      </c>
      <c r="AH1317">
        <v>0.60599882819289697</v>
      </c>
      <c r="AI1317">
        <v>105.860847408182</v>
      </c>
      <c r="AJ1317">
        <v>76.483962779348204</v>
      </c>
      <c r="AK1317">
        <v>0.64792803538465804</v>
      </c>
      <c r="AL1317">
        <v>79.664156273572104</v>
      </c>
      <c r="AM1317">
        <v>90.403080451859594</v>
      </c>
      <c r="AN1317">
        <v>1.00000005710558</v>
      </c>
    </row>
    <row r="1318" spans="1:40" x14ac:dyDescent="0.25">
      <c r="A1318" t="str">
        <f>"20190312172112372"</f>
        <v>20190312172112372</v>
      </c>
      <c r="B1318" t="str">
        <f>"1552382472362240"</f>
        <v>1552382472362240</v>
      </c>
      <c r="C1318" t="s">
        <v>40</v>
      </c>
      <c r="D1318">
        <v>3.3786529999999999</v>
      </c>
      <c r="E1318">
        <v>0.58163039999999999</v>
      </c>
      <c r="F1318" t="s">
        <v>41</v>
      </c>
      <c r="G1318">
        <v>-252.53280000000001</v>
      </c>
      <c r="H1318">
        <v>0.90955759999999997</v>
      </c>
      <c r="I1318">
        <v>367.32240000000002</v>
      </c>
      <c r="J1318">
        <v>-253.28309999999999</v>
      </c>
      <c r="K1318">
        <v>1.110387</v>
      </c>
      <c r="L1318">
        <v>367.50689999999997</v>
      </c>
      <c r="M1318">
        <v>0.99984850000000003</v>
      </c>
      <c r="N1318">
        <v>0</v>
      </c>
      <c r="O1318">
        <v>-1.060494E-2</v>
      </c>
      <c r="P1318">
        <v>0.98618090000000003</v>
      </c>
      <c r="Q1318">
        <v>0.1656369</v>
      </c>
      <c r="R1318">
        <v>-3.406858E-3</v>
      </c>
      <c r="S1318">
        <v>3.1580509999999999</v>
      </c>
      <c r="T1318">
        <v>-0.70321080000000002</v>
      </c>
      <c r="U1318">
        <v>-0.65142819999999901</v>
      </c>
      <c r="V1318">
        <v>-7.0463469999999997E-3</v>
      </c>
      <c r="W1318">
        <v>0.17923749999999999</v>
      </c>
      <c r="X1318">
        <v>0.98378060000000001</v>
      </c>
      <c r="Y1318">
        <v>0.187469</v>
      </c>
      <c r="Z1318">
        <v>-1.8103310000000001E-2</v>
      </c>
      <c r="AA1318">
        <v>0.98210370000000002</v>
      </c>
      <c r="AB1318">
        <v>30</v>
      </c>
      <c r="AC1318">
        <v>0.75029999999998098</v>
      </c>
      <c r="AD1318">
        <v>-0.20082939999999999</v>
      </c>
      <c r="AE1318">
        <v>-0.184499999999957</v>
      </c>
      <c r="AF1318">
        <v>0.16536029742123001</v>
      </c>
      <c r="AG1318">
        <v>-0.20082939999999999</v>
      </c>
      <c r="AH1318">
        <v>0.704611315979918</v>
      </c>
      <c r="AI1318">
        <v>105.50840977671101</v>
      </c>
      <c r="AJ1318">
        <v>76.792662243486703</v>
      </c>
      <c r="AK1318">
        <v>0.75110157933168398</v>
      </c>
      <c r="AL1318">
        <v>79.674650510661706</v>
      </c>
      <c r="AM1318">
        <v>90.410375077896504</v>
      </c>
      <c r="AN1318">
        <v>1.0000000006743199</v>
      </c>
    </row>
    <row r="1319" spans="1:40" x14ac:dyDescent="0.25">
      <c r="A1319" t="str">
        <f>"20190312172112384"</f>
        <v>20190312172112384</v>
      </c>
      <c r="B1319" t="str">
        <f>"1552382472382735"</f>
        <v>1552382472382735</v>
      </c>
      <c r="C1319" t="s">
        <v>40</v>
      </c>
      <c r="D1319">
        <v>3.6076609999999998</v>
      </c>
      <c r="E1319">
        <v>0.58150789999999997</v>
      </c>
      <c r="F1319" t="s">
        <v>41</v>
      </c>
      <c r="G1319">
        <v>-252.5205</v>
      </c>
      <c r="H1319">
        <v>0.9402914</v>
      </c>
      <c r="I1319">
        <v>367.3494</v>
      </c>
      <c r="J1319">
        <v>-253.14070000000001</v>
      </c>
      <c r="K1319">
        <v>1.110387</v>
      </c>
      <c r="L1319">
        <v>367.50540000000001</v>
      </c>
      <c r="M1319">
        <v>0.99984839999999997</v>
      </c>
      <c r="N1319">
        <v>0</v>
      </c>
      <c r="O1319">
        <v>-1.060471E-2</v>
      </c>
      <c r="P1319">
        <v>0.98617330000000003</v>
      </c>
      <c r="Q1319">
        <v>0.165682</v>
      </c>
      <c r="R1319">
        <v>-3.425783E-3</v>
      </c>
      <c r="S1319">
        <v>3.158112</v>
      </c>
      <c r="T1319">
        <v>-0.70439059999999998</v>
      </c>
      <c r="U1319">
        <v>-0.65191650000000001</v>
      </c>
      <c r="V1319">
        <v>-7.0270539999999996E-3</v>
      </c>
      <c r="W1319">
        <v>0.17928350000000001</v>
      </c>
      <c r="X1319">
        <v>0.98377230000000004</v>
      </c>
      <c r="Y1319">
        <v>0.1875946</v>
      </c>
      <c r="Z1319">
        <v>-1.814613E-2</v>
      </c>
      <c r="AA1319">
        <v>0.98207889999999998</v>
      </c>
      <c r="AB1319">
        <v>30</v>
      </c>
      <c r="AC1319">
        <v>0.62020000000001096</v>
      </c>
      <c r="AD1319">
        <v>-0.17009559999999899</v>
      </c>
      <c r="AE1319">
        <v>-0.156000000000005</v>
      </c>
      <c r="AF1319">
        <v>0.139542020191046</v>
      </c>
      <c r="AG1319">
        <v>-0.17009559999999899</v>
      </c>
      <c r="AH1319">
        <v>0.58073688896822195</v>
      </c>
      <c r="AI1319">
        <v>105.89642881458801</v>
      </c>
      <c r="AJ1319">
        <v>76.488859772021996</v>
      </c>
      <c r="AK1319">
        <v>0.62101515500577598</v>
      </c>
      <c r="AL1319">
        <v>79.671970933852805</v>
      </c>
      <c r="AM1319">
        <v>90.409254955968606</v>
      </c>
      <c r="AN1319">
        <v>0.99999994555372795</v>
      </c>
    </row>
    <row r="1320" spans="1:40" x14ac:dyDescent="0.25">
      <c r="A1320" t="str">
        <f>"20190312172112397"</f>
        <v>20190312172112397</v>
      </c>
      <c r="B1320" t="str">
        <f>"1552382472392495"</f>
        <v>1552382472392495</v>
      </c>
      <c r="C1320" t="s">
        <v>40</v>
      </c>
      <c r="D1320">
        <v>3.3870179999999999</v>
      </c>
      <c r="E1320">
        <v>0.58133389999999996</v>
      </c>
      <c r="F1320" t="s">
        <v>41</v>
      </c>
      <c r="G1320">
        <v>-252.2663</v>
      </c>
      <c r="H1320">
        <v>0.91586520000000005</v>
      </c>
      <c r="I1320">
        <v>367.32479999999998</v>
      </c>
      <c r="J1320">
        <v>-252.96969999999999</v>
      </c>
      <c r="K1320">
        <v>1.1103879999999999</v>
      </c>
      <c r="L1320">
        <v>367.50360000000001</v>
      </c>
      <c r="M1320">
        <v>0.99984839999999997</v>
      </c>
      <c r="N1320">
        <v>0</v>
      </c>
      <c r="O1320">
        <v>-1.060472E-2</v>
      </c>
      <c r="P1320">
        <v>0.98618989999999995</v>
      </c>
      <c r="Q1320">
        <v>0.16559019999999999</v>
      </c>
      <c r="R1320">
        <v>-3.0688500000000001E-3</v>
      </c>
      <c r="S1320">
        <v>3.1578219999999999</v>
      </c>
      <c r="T1320">
        <v>-0.70252440000000005</v>
      </c>
      <c r="U1320">
        <v>-0.65109249999999996</v>
      </c>
      <c r="V1320">
        <v>-7.3841610000000002E-3</v>
      </c>
      <c r="W1320">
        <v>0.1791934</v>
      </c>
      <c r="X1320">
        <v>0.98378620000000006</v>
      </c>
      <c r="Y1320">
        <v>0.18739230000000001</v>
      </c>
      <c r="Z1320">
        <v>-1.8079189999999998E-2</v>
      </c>
      <c r="AA1320">
        <v>0.98211879999999996</v>
      </c>
      <c r="AB1320">
        <v>30</v>
      </c>
      <c r="AC1320">
        <v>0.70339999999998704</v>
      </c>
      <c r="AD1320">
        <v>-0.194522799999999</v>
      </c>
      <c r="AE1320">
        <v>-0.178800000000023</v>
      </c>
      <c r="AF1320">
        <v>0.159847053001379</v>
      </c>
      <c r="AG1320">
        <v>-0.194522799999999</v>
      </c>
      <c r="AH1320">
        <v>0.65798923760361105</v>
      </c>
      <c r="AI1320">
        <v>106.028125397049</v>
      </c>
      <c r="AJ1320">
        <v>76.3454969730644</v>
      </c>
      <c r="AK1320">
        <v>0.70451404306461296</v>
      </c>
      <c r="AL1320">
        <v>79.677219286936506</v>
      </c>
      <c r="AM1320">
        <v>90.430045995400107</v>
      </c>
      <c r="AN1320">
        <v>1.0000000438738299</v>
      </c>
    </row>
    <row r="1321" spans="1:40" x14ac:dyDescent="0.25">
      <c r="A1321" t="str">
        <f>"20190312172112409"</f>
        <v>20190312172112409</v>
      </c>
      <c r="B1321" t="str">
        <f>"1552382472402255"</f>
        <v>1552382472402255</v>
      </c>
      <c r="C1321" t="s">
        <v>40</v>
      </c>
      <c r="D1321">
        <v>3.3852139999999999</v>
      </c>
      <c r="E1321">
        <v>0.58119290000000001</v>
      </c>
      <c r="F1321" t="s">
        <v>41</v>
      </c>
      <c r="G1321">
        <v>-252.2516</v>
      </c>
      <c r="H1321">
        <v>0.95100620000000002</v>
      </c>
      <c r="I1321">
        <v>367.35579999999999</v>
      </c>
      <c r="J1321">
        <v>-252.8201</v>
      </c>
      <c r="K1321">
        <v>1.110387</v>
      </c>
      <c r="L1321">
        <v>367.50200000000001</v>
      </c>
      <c r="M1321">
        <v>0.99984850000000003</v>
      </c>
      <c r="N1321">
        <v>0</v>
      </c>
      <c r="O1321">
        <v>-1.060473E-2</v>
      </c>
      <c r="P1321">
        <v>0.98617889999999997</v>
      </c>
      <c r="Q1321">
        <v>0.16565279999999999</v>
      </c>
      <c r="R1321">
        <v>-3.2517589999999999E-3</v>
      </c>
      <c r="S1321">
        <v>3.157654</v>
      </c>
      <c r="T1321">
        <v>-0.70088349999999999</v>
      </c>
      <c r="U1321">
        <v>-0.64871219999999996</v>
      </c>
      <c r="V1321">
        <v>-7.2006559999999997E-3</v>
      </c>
      <c r="W1321">
        <v>0.17925679999999999</v>
      </c>
      <c r="X1321">
        <v>0.98377599999999998</v>
      </c>
      <c r="Y1321">
        <v>0.1867258</v>
      </c>
      <c r="Z1321">
        <v>-1.7967810000000001E-2</v>
      </c>
      <c r="AA1321">
        <v>0.9822478</v>
      </c>
      <c r="AB1321">
        <v>30</v>
      </c>
      <c r="AC1321">
        <v>0.56850000000000001</v>
      </c>
      <c r="AD1321">
        <v>-0.15938079999999999</v>
      </c>
      <c r="AE1321">
        <v>-0.146199999999964</v>
      </c>
      <c r="AF1321">
        <v>0.13053879719809899</v>
      </c>
      <c r="AG1321">
        <v>-0.15938079999999999</v>
      </c>
      <c r="AH1321">
        <v>0.53088084322628204</v>
      </c>
      <c r="AI1321">
        <v>106.253273860018</v>
      </c>
      <c r="AJ1321">
        <v>76.185551956328197</v>
      </c>
      <c r="AK1321">
        <v>0.56945332265885895</v>
      </c>
      <c r="AL1321">
        <v>79.673526845439198</v>
      </c>
      <c r="AM1321">
        <v>90.419363585997104</v>
      </c>
      <c r="AN1321">
        <v>1.0000000339845301</v>
      </c>
    </row>
    <row r="1322" spans="1:40" x14ac:dyDescent="0.25">
      <c r="A1322" t="str">
        <f>"20190312172112420"</f>
        <v>20190312172112420</v>
      </c>
      <c r="B1322" t="str">
        <f>"1552382472412016"</f>
        <v>1552382472412016</v>
      </c>
      <c r="C1322" t="s">
        <v>40</v>
      </c>
      <c r="D1322">
        <v>3.3929809999999998</v>
      </c>
      <c r="E1322">
        <v>0.58102500000000001</v>
      </c>
      <c r="F1322" t="s">
        <v>41</v>
      </c>
      <c r="G1322">
        <v>-251.99760000000001</v>
      </c>
      <c r="H1322">
        <v>0.92822990000000005</v>
      </c>
      <c r="I1322">
        <v>367.33300000000003</v>
      </c>
      <c r="J1322">
        <v>-252.66550000000001</v>
      </c>
      <c r="K1322">
        <v>1.110387</v>
      </c>
      <c r="L1322">
        <v>367.50029999999998</v>
      </c>
      <c r="M1322">
        <v>0.99984850000000003</v>
      </c>
      <c r="N1322">
        <v>0</v>
      </c>
      <c r="O1322">
        <v>-1.060497E-2</v>
      </c>
      <c r="P1322">
        <v>0.98616029999999999</v>
      </c>
      <c r="Q1322">
        <v>0.16576189999999999</v>
      </c>
      <c r="R1322">
        <v>-3.3055739999999999E-3</v>
      </c>
      <c r="S1322">
        <v>3.157349</v>
      </c>
      <c r="T1322">
        <v>-0.69926069999999996</v>
      </c>
      <c r="U1322">
        <v>-0.64779659999999994</v>
      </c>
      <c r="V1322">
        <v>-7.1470329999999997E-3</v>
      </c>
      <c r="W1322">
        <v>0.17936649999999901</v>
      </c>
      <c r="X1322">
        <v>0.98375639999999998</v>
      </c>
      <c r="Y1322">
        <v>0.1864941</v>
      </c>
      <c r="Z1322">
        <v>-1.7904179999999999E-2</v>
      </c>
      <c r="AA1322">
        <v>0.98229299999999997</v>
      </c>
      <c r="AB1322">
        <v>30</v>
      </c>
      <c r="AC1322">
        <v>0.66790000000000205</v>
      </c>
      <c r="AD1322">
        <v>-0.18215709999999999</v>
      </c>
      <c r="AE1322">
        <v>-0.16729999999995401</v>
      </c>
      <c r="AF1322">
        <v>0.14972732344937301</v>
      </c>
      <c r="AG1322">
        <v>-0.18215709999999999</v>
      </c>
      <c r="AH1322">
        <v>0.62583418992987105</v>
      </c>
      <c r="AI1322">
        <v>105.805455032805</v>
      </c>
      <c r="AJ1322">
        <v>76.545208734012306</v>
      </c>
      <c r="AK1322">
        <v>0.66878091610997803</v>
      </c>
      <c r="AL1322">
        <v>79.667137991127106</v>
      </c>
      <c r="AM1322">
        <v>90.416249005010698</v>
      </c>
      <c r="AN1322">
        <v>1.00000003797195</v>
      </c>
    </row>
    <row r="1323" spans="1:40" x14ac:dyDescent="0.25">
      <c r="A1323" t="str">
        <f>"20190312172112432"</f>
        <v>20190312172112432</v>
      </c>
      <c r="B1323" t="str">
        <f>"1552382472422751"</f>
        <v>1552382472422751</v>
      </c>
      <c r="C1323" t="s">
        <v>40</v>
      </c>
      <c r="D1323">
        <v>3.383394</v>
      </c>
      <c r="E1323">
        <v>0.58079169999999902</v>
      </c>
      <c r="F1323" t="s">
        <v>41</v>
      </c>
      <c r="G1323">
        <v>-251.74260000000001</v>
      </c>
      <c r="H1323">
        <v>0.90648379999999995</v>
      </c>
      <c r="I1323">
        <v>367.31119999999999</v>
      </c>
      <c r="J1323">
        <v>-252.49979999999999</v>
      </c>
      <c r="K1323">
        <v>1.110387</v>
      </c>
      <c r="L1323">
        <v>367.49849999999998</v>
      </c>
      <c r="M1323">
        <v>0.99984850000000003</v>
      </c>
      <c r="N1323">
        <v>0</v>
      </c>
      <c r="O1323">
        <v>-1.060498E-2</v>
      </c>
      <c r="P1323">
        <v>0.98616029999999999</v>
      </c>
      <c r="Q1323">
        <v>0.16576450000000001</v>
      </c>
      <c r="R1323">
        <v>-3.2100700000000002E-3</v>
      </c>
      <c r="S1323">
        <v>3.1571959999999999</v>
      </c>
      <c r="T1323">
        <v>-0.69764019999999904</v>
      </c>
      <c r="U1323">
        <v>-0.64657589999999998</v>
      </c>
      <c r="V1323">
        <v>-7.2427239999999999E-3</v>
      </c>
      <c r="W1323">
        <v>0.17936939999999901</v>
      </c>
      <c r="X1323">
        <v>0.98375520000000005</v>
      </c>
      <c r="Y1323">
        <v>0.18616450000000001</v>
      </c>
      <c r="Z1323">
        <v>-1.782949E-2</v>
      </c>
      <c r="AA1323">
        <v>0.98235680000000003</v>
      </c>
      <c r="AB1323">
        <v>30</v>
      </c>
      <c r="AC1323">
        <v>0.757199999999983</v>
      </c>
      <c r="AD1323">
        <v>-0.20390320000000001</v>
      </c>
      <c r="AE1323">
        <v>-0.187299999999993</v>
      </c>
      <c r="AF1323">
        <v>0.16779270530875801</v>
      </c>
      <c r="AG1323">
        <v>-0.20390320000000001</v>
      </c>
      <c r="AH1323">
        <v>0.71058685175437997</v>
      </c>
      <c r="AI1323">
        <v>105.603463395888</v>
      </c>
      <c r="AJ1323">
        <v>76.713968497827693</v>
      </c>
      <c r="AK1323">
        <v>0.75806634327825995</v>
      </c>
      <c r="AL1323">
        <v>79.666969388232602</v>
      </c>
      <c r="AM1323">
        <v>90.421822441024801</v>
      </c>
      <c r="AN1323">
        <v>1.00000006611716</v>
      </c>
    </row>
    <row r="1324" spans="1:40" x14ac:dyDescent="0.25">
      <c r="A1324" t="str">
        <f>"20190312172112444"</f>
        <v>20190312172112444</v>
      </c>
      <c r="B1324" t="str">
        <f>"1552382472432511"</f>
        <v>1552382472432511</v>
      </c>
      <c r="C1324" t="s">
        <v>40</v>
      </c>
      <c r="D1324">
        <v>3.3669370000000001</v>
      </c>
      <c r="E1324">
        <v>0.58065459999999902</v>
      </c>
      <c r="F1324" t="s">
        <v>41</v>
      </c>
      <c r="G1324">
        <v>-251.72900000000001</v>
      </c>
      <c r="H1324">
        <v>0.9403707</v>
      </c>
      <c r="I1324">
        <v>367.34109999999998</v>
      </c>
      <c r="J1324">
        <v>-252.3639</v>
      </c>
      <c r="K1324">
        <v>1.110387</v>
      </c>
      <c r="L1324">
        <v>367.49709999999999</v>
      </c>
      <c r="M1324">
        <v>0.99984850000000003</v>
      </c>
      <c r="N1324">
        <v>0</v>
      </c>
      <c r="O1324">
        <v>-1.060498E-2</v>
      </c>
      <c r="P1324">
        <v>0.9861432</v>
      </c>
      <c r="Q1324">
        <v>0.16586519999999999</v>
      </c>
      <c r="R1324">
        <v>-3.2269E-3</v>
      </c>
      <c r="S1324">
        <v>3.1570589999999998</v>
      </c>
      <c r="T1324">
        <v>-0.69646339999999995</v>
      </c>
      <c r="U1324">
        <v>-0.64419559999999998</v>
      </c>
      <c r="V1324">
        <v>-7.2257010000000002E-3</v>
      </c>
      <c r="W1324">
        <v>0.17947070000000001</v>
      </c>
      <c r="X1324">
        <v>0.98373679999999997</v>
      </c>
      <c r="Y1324">
        <v>0.18548990000000001</v>
      </c>
      <c r="Z1324">
        <v>-1.7729330000000001E-2</v>
      </c>
      <c r="AA1324">
        <v>0.98248619999999998</v>
      </c>
      <c r="AB1324">
        <v>30</v>
      </c>
      <c r="AC1324">
        <v>0.63489999999998703</v>
      </c>
      <c r="AD1324">
        <v>-0.17001629999999901</v>
      </c>
      <c r="AE1324">
        <v>-0.156000000000005</v>
      </c>
      <c r="AF1324">
        <v>0.13980318811450901</v>
      </c>
      <c r="AG1324">
        <v>-0.17001629999999901</v>
      </c>
      <c r="AH1324">
        <v>0.59620033423973795</v>
      </c>
      <c r="AI1324">
        <v>105.516544903492</v>
      </c>
      <c r="AJ1324">
        <v>76.803127887029206</v>
      </c>
      <c r="AK1324">
        <v>0.63553545315760795</v>
      </c>
      <c r="AL1324">
        <v>79.661069077154394</v>
      </c>
      <c r="AM1324">
        <v>90.420838913662806</v>
      </c>
      <c r="AN1324">
        <v>1.0000000172938299</v>
      </c>
    </row>
    <row r="1325" spans="1:40" x14ac:dyDescent="0.25">
      <c r="A1325" t="str">
        <f>"20190312172112453"</f>
        <v>20190312172112453</v>
      </c>
      <c r="B1325" t="str">
        <f>"1552382472442271"</f>
        <v>1552382472442271</v>
      </c>
      <c r="C1325" t="s">
        <v>40</v>
      </c>
      <c r="D1325">
        <v>3.6413030000000002</v>
      </c>
      <c r="E1325">
        <v>0.58052090000000001</v>
      </c>
      <c r="F1325" t="s">
        <v>41</v>
      </c>
      <c r="G1325">
        <v>-251.476</v>
      </c>
      <c r="H1325">
        <v>0.9148984</v>
      </c>
      <c r="I1325">
        <v>367.31619999999998</v>
      </c>
      <c r="J1325">
        <v>-252.2167</v>
      </c>
      <c r="K1325">
        <v>1.110387</v>
      </c>
      <c r="L1325">
        <v>367.49549999999999</v>
      </c>
      <c r="M1325">
        <v>0.99984839999999997</v>
      </c>
      <c r="N1325">
        <v>0</v>
      </c>
      <c r="O1325">
        <v>-1.060474E-2</v>
      </c>
      <c r="P1325">
        <v>0.9861664</v>
      </c>
      <c r="Q1325">
        <v>0.1657266</v>
      </c>
      <c r="R1325">
        <v>-3.2744610000000002E-3</v>
      </c>
      <c r="S1325">
        <v>3.1569669999999999</v>
      </c>
      <c r="T1325">
        <v>-0.69505069999999902</v>
      </c>
      <c r="U1325">
        <v>-0.64312740000000002</v>
      </c>
      <c r="V1325">
        <v>-7.1780389999999998E-3</v>
      </c>
      <c r="W1325">
        <v>0.1793323</v>
      </c>
      <c r="X1325">
        <v>0.98376240000000004</v>
      </c>
      <c r="Y1325">
        <v>0.1851989</v>
      </c>
      <c r="Z1325">
        <v>-1.7663959999999999E-2</v>
      </c>
      <c r="AA1325">
        <v>0.98254229999999998</v>
      </c>
      <c r="AB1325">
        <v>29</v>
      </c>
      <c r="AC1325">
        <v>0.74070000000000302</v>
      </c>
      <c r="AD1325">
        <v>-0.19548859999999901</v>
      </c>
      <c r="AE1325">
        <v>-0.17930000000001201</v>
      </c>
      <c r="AF1325">
        <v>0.16085025012919901</v>
      </c>
      <c r="AG1325">
        <v>-0.19548859999999901</v>
      </c>
      <c r="AH1325">
        <v>0.69671587836214199</v>
      </c>
      <c r="AI1325">
        <v>105.29068827718901</v>
      </c>
      <c r="AJ1325">
        <v>76.999944132050203</v>
      </c>
      <c r="AK1325">
        <v>0.74128375866365503</v>
      </c>
      <c r="AL1325">
        <v>79.669129707899899</v>
      </c>
      <c r="AM1325">
        <v>90.418052206034005</v>
      </c>
      <c r="AN1325">
        <v>1.00000002886046</v>
      </c>
    </row>
    <row r="1326" spans="1:40" x14ac:dyDescent="0.25">
      <c r="A1326" t="str">
        <f>"20190312172112465"</f>
        <v>20190312172112465</v>
      </c>
      <c r="B1326" t="str">
        <f>"1552382472462766"</f>
        <v>1552382472462766</v>
      </c>
      <c r="C1326" t="s">
        <v>40</v>
      </c>
      <c r="D1326">
        <v>3.4067370000000001</v>
      </c>
      <c r="E1326">
        <v>0.58064110000000002</v>
      </c>
      <c r="F1326" t="s">
        <v>41</v>
      </c>
      <c r="G1326">
        <v>-251.46369999999999</v>
      </c>
      <c r="H1326">
        <v>0.94484190000000001</v>
      </c>
      <c r="I1326">
        <v>367.34219999999999</v>
      </c>
      <c r="J1326">
        <v>-252.08160000000001</v>
      </c>
      <c r="K1326">
        <v>1.110384</v>
      </c>
      <c r="L1326">
        <v>367.4941</v>
      </c>
      <c r="M1326">
        <v>0.99984850000000003</v>
      </c>
      <c r="N1326">
        <v>0</v>
      </c>
      <c r="O1326">
        <v>-1.060498E-2</v>
      </c>
      <c r="P1326">
        <v>0.98618150000000004</v>
      </c>
      <c r="Q1326">
        <v>0.1656338</v>
      </c>
      <c r="R1326">
        <v>-3.4001209999999999E-3</v>
      </c>
      <c r="S1326">
        <v>3.1565859999999999</v>
      </c>
      <c r="T1326">
        <v>-0.69395109999999904</v>
      </c>
      <c r="U1326">
        <v>-0.64257810000000004</v>
      </c>
      <c r="V1326">
        <v>-7.0529109999999898E-3</v>
      </c>
      <c r="W1326">
        <v>0.17924029999999999</v>
      </c>
      <c r="X1326">
        <v>0.98377999999999999</v>
      </c>
      <c r="Y1326">
        <v>0.18507199999999999</v>
      </c>
      <c r="Z1326">
        <v>-1.762528E-2</v>
      </c>
      <c r="AA1326">
        <v>0.98256690000000002</v>
      </c>
      <c r="AB1326">
        <v>29</v>
      </c>
      <c r="AC1326">
        <v>0.61790000000001999</v>
      </c>
      <c r="AD1326">
        <v>-0.1655421</v>
      </c>
      <c r="AE1326">
        <v>-0.151900000000011</v>
      </c>
      <c r="AF1326">
        <v>0.13612434176459701</v>
      </c>
      <c r="AG1326">
        <v>-0.1655421</v>
      </c>
      <c r="AH1326">
        <v>0.58020472534456802</v>
      </c>
      <c r="AI1326">
        <v>105.523921753932</v>
      </c>
      <c r="AJ1326">
        <v>76.796391519034898</v>
      </c>
      <c r="AK1326">
        <v>0.61852368314028205</v>
      </c>
      <c r="AL1326">
        <v>79.674487001933002</v>
      </c>
      <c r="AM1326">
        <v>90.410757598787697</v>
      </c>
      <c r="AN1326">
        <v>0.99999995854883095</v>
      </c>
    </row>
    <row r="1327" spans="1:40" x14ac:dyDescent="0.25">
      <c r="A1327" t="str">
        <f>"20190312172112475"</f>
        <v>20190312172112475</v>
      </c>
      <c r="B1327" t="str">
        <f>"1552382472472527"</f>
        <v>1552382472472527</v>
      </c>
      <c r="C1327" t="s">
        <v>40</v>
      </c>
      <c r="D1327">
        <v>3.4131429999999998</v>
      </c>
      <c r="E1327">
        <v>0.58067819999999903</v>
      </c>
      <c r="F1327" t="s">
        <v>41</v>
      </c>
      <c r="G1327">
        <v>-251.2114</v>
      </c>
      <c r="H1327">
        <v>0.91877089999999995</v>
      </c>
      <c r="I1327">
        <v>367.31639999999999</v>
      </c>
      <c r="J1327">
        <v>-251.94290000000001</v>
      </c>
      <c r="K1327">
        <v>1.110384</v>
      </c>
      <c r="L1327">
        <v>367.49259999999998</v>
      </c>
      <c r="M1327">
        <v>0.99984839999999997</v>
      </c>
      <c r="N1327">
        <v>0</v>
      </c>
      <c r="O1327">
        <v>-1.060475E-2</v>
      </c>
      <c r="P1327">
        <v>0.98617869999999996</v>
      </c>
      <c r="Q1327">
        <v>0.16564999999999999</v>
      </c>
      <c r="R1327">
        <v>-3.4146089999999999E-3</v>
      </c>
      <c r="S1327">
        <v>3.1565699999999999</v>
      </c>
      <c r="T1327">
        <v>-0.6951193</v>
      </c>
      <c r="U1327">
        <v>-0.64373780000000003</v>
      </c>
      <c r="V1327">
        <v>-7.0383479999999998E-3</v>
      </c>
      <c r="W1327">
        <v>0.17925629999999901</v>
      </c>
      <c r="X1327">
        <v>0.98377720000000002</v>
      </c>
      <c r="Y1327">
        <v>0.18539929999999999</v>
      </c>
      <c r="Z1327">
        <v>-1.768904E-2</v>
      </c>
      <c r="AA1327">
        <v>0.98250409999999999</v>
      </c>
      <c r="AB1327">
        <v>29</v>
      </c>
      <c r="AC1327">
        <v>0.73150000000001103</v>
      </c>
      <c r="AD1327">
        <v>-0.19161310000000001</v>
      </c>
      <c r="AE1327">
        <v>-0.176199999999994</v>
      </c>
      <c r="AF1327">
        <v>0.15817397792608401</v>
      </c>
      <c r="AG1327">
        <v>-0.19161310000000001</v>
      </c>
      <c r="AH1327">
        <v>0.68866580831233604</v>
      </c>
      <c r="AI1327">
        <v>105.172425925026</v>
      </c>
      <c r="AJ1327">
        <v>77.064554153728494</v>
      </c>
      <c r="AK1327">
        <v>0.73211691888868102</v>
      </c>
      <c r="AL1327">
        <v>79.673555290083399</v>
      </c>
      <c r="AM1327">
        <v>90.409910653402306</v>
      </c>
      <c r="AN1327">
        <v>0.99999996933604895</v>
      </c>
    </row>
    <row r="1328" spans="1:40" x14ac:dyDescent="0.25">
      <c r="A1328" t="str">
        <f>"20190312172112486"</f>
        <v>20190312172112486</v>
      </c>
      <c r="B1328" t="str">
        <f>"1552382472482287"</f>
        <v>1552382472482287</v>
      </c>
      <c r="C1328" t="s">
        <v>40</v>
      </c>
      <c r="D1328">
        <v>3.4082150000000002</v>
      </c>
      <c r="E1328">
        <v>0.58069459999999995</v>
      </c>
      <c r="F1328" t="s">
        <v>41</v>
      </c>
      <c r="G1328">
        <v>-251.19980000000001</v>
      </c>
      <c r="H1328">
        <v>0.94668640000000004</v>
      </c>
      <c r="I1328">
        <v>367.34070000000003</v>
      </c>
      <c r="J1328">
        <v>-251.80940000000001</v>
      </c>
      <c r="K1328">
        <v>1.110385</v>
      </c>
      <c r="L1328">
        <v>367.49119999999999</v>
      </c>
      <c r="M1328">
        <v>0.99984839999999997</v>
      </c>
      <c r="N1328">
        <v>0</v>
      </c>
      <c r="O1328">
        <v>-1.060475E-2</v>
      </c>
      <c r="P1328">
        <v>0.98618280000000003</v>
      </c>
      <c r="Q1328">
        <v>0.16562560000000001</v>
      </c>
      <c r="R1328">
        <v>-3.4290219999999999E-3</v>
      </c>
      <c r="S1328">
        <v>3.156647</v>
      </c>
      <c r="T1328">
        <v>-0.69546960000000002</v>
      </c>
      <c r="U1328">
        <v>-0.6442871</v>
      </c>
      <c r="V1328">
        <v>-7.0238380000000001E-3</v>
      </c>
      <c r="W1328">
        <v>0.17923239999999999</v>
      </c>
      <c r="X1328">
        <v>0.98378169999999998</v>
      </c>
      <c r="Y1328">
        <v>0.18555160000000001</v>
      </c>
      <c r="Z1328">
        <v>-1.7713469999999999E-2</v>
      </c>
      <c r="AA1328">
        <v>0.98247490000000004</v>
      </c>
      <c r="AB1328">
        <v>29</v>
      </c>
      <c r="AC1328">
        <v>0.60960000000000003</v>
      </c>
      <c r="AD1328">
        <v>-0.1636986</v>
      </c>
      <c r="AE1328">
        <v>-0.150499999999965</v>
      </c>
      <c r="AF1328">
        <v>0.13486009122920201</v>
      </c>
      <c r="AG1328">
        <v>-0.1636986</v>
      </c>
      <c r="AH1328">
        <v>0.572266093667537</v>
      </c>
      <c r="AI1328">
        <v>105.558610200703</v>
      </c>
      <c r="AJ1328">
        <v>76.739630854970798</v>
      </c>
      <c r="AK1328">
        <v>0.61030562655919396</v>
      </c>
      <c r="AL1328">
        <v>79.674947630298902</v>
      </c>
      <c r="AM1328">
        <v>90.409063754306501</v>
      </c>
      <c r="AN1328">
        <v>1.00000001038245</v>
      </c>
    </row>
    <row r="1329" spans="1:40" x14ac:dyDescent="0.25">
      <c r="A1329" t="str">
        <f>"20190312172112495"</f>
        <v>20190312172112495</v>
      </c>
      <c r="B1329" t="str">
        <f>"1552382472492046"</f>
        <v>1552382472492046</v>
      </c>
      <c r="C1329" t="s">
        <v>40</v>
      </c>
      <c r="D1329">
        <v>3.3911669999999998</v>
      </c>
      <c r="E1329">
        <v>0.58074409999999999</v>
      </c>
      <c r="F1329" t="s">
        <v>41</v>
      </c>
      <c r="G1329">
        <v>-250.9479</v>
      </c>
      <c r="H1329">
        <v>0.92047679999999998</v>
      </c>
      <c r="I1329">
        <v>367.31529999999998</v>
      </c>
      <c r="J1329">
        <v>-251.67699999999999</v>
      </c>
      <c r="K1329">
        <v>1.110384</v>
      </c>
      <c r="L1329">
        <v>367.4898</v>
      </c>
      <c r="M1329">
        <v>0.99984850000000003</v>
      </c>
      <c r="N1329">
        <v>0</v>
      </c>
      <c r="O1329">
        <v>-1.060474E-2</v>
      </c>
      <c r="P1329">
        <v>0.98617509999999997</v>
      </c>
      <c r="Q1329">
        <v>0.16567019999999999</v>
      </c>
      <c r="R1329">
        <v>-3.484591E-3</v>
      </c>
      <c r="S1329">
        <v>3.1566770000000002</v>
      </c>
      <c r="T1329">
        <v>-0.69593059999999995</v>
      </c>
      <c r="U1329">
        <v>-0.64434809999999998</v>
      </c>
      <c r="V1329">
        <v>-6.9679570000000003E-3</v>
      </c>
      <c r="W1329">
        <v>0.17927650000000001</v>
      </c>
      <c r="X1329">
        <v>0.98377409999999998</v>
      </c>
      <c r="Y1329">
        <v>0.18556259999999999</v>
      </c>
      <c r="Z1329">
        <v>-1.7725930000000001E-2</v>
      </c>
      <c r="AA1329">
        <v>0.98247249999999997</v>
      </c>
      <c r="AB1329">
        <v>29</v>
      </c>
      <c r="AC1329">
        <v>0.72910000000001596</v>
      </c>
      <c r="AD1329">
        <v>-0.1899072</v>
      </c>
      <c r="AE1329">
        <v>-0.174500000000023</v>
      </c>
      <c r="AF1329">
        <v>0.15670227529391301</v>
      </c>
      <c r="AG1329">
        <v>-0.1899072</v>
      </c>
      <c r="AH1329">
        <v>0.68683681281930498</v>
      </c>
      <c r="AI1329">
        <v>105.086528395855</v>
      </c>
      <c r="AJ1329">
        <v>77.147911551239602</v>
      </c>
      <c r="AK1329">
        <v>0.72963357593925904</v>
      </c>
      <c r="AL1329">
        <v>79.6723796775658</v>
      </c>
      <c r="AM1329">
        <v>90.405812525421794</v>
      </c>
      <c r="AN1329">
        <v>1.0000000478539</v>
      </c>
    </row>
    <row r="1330" spans="1:40" x14ac:dyDescent="0.25">
      <c r="A1330" t="str">
        <f>"20190312172112506"</f>
        <v>20190312172112506</v>
      </c>
      <c r="B1330" t="str">
        <f>"1552382472502783"</f>
        <v>1552382472502783</v>
      </c>
      <c r="C1330" t="s">
        <v>40</v>
      </c>
      <c r="D1330">
        <v>3.3898630000000001</v>
      </c>
      <c r="E1330">
        <v>0.58078490000000005</v>
      </c>
      <c r="F1330" t="s">
        <v>41</v>
      </c>
      <c r="G1330">
        <v>-250.93680000000001</v>
      </c>
      <c r="H1330">
        <v>0.94719059999999999</v>
      </c>
      <c r="I1330">
        <v>367.33850000000001</v>
      </c>
      <c r="J1330">
        <v>-251.53200000000001</v>
      </c>
      <c r="K1330">
        <v>1.110382</v>
      </c>
      <c r="L1330">
        <v>367.48829999999998</v>
      </c>
      <c r="M1330">
        <v>0.99984850000000003</v>
      </c>
      <c r="N1330">
        <v>0</v>
      </c>
      <c r="O1330">
        <v>-1.060498E-2</v>
      </c>
      <c r="P1330">
        <v>0.98616179999999998</v>
      </c>
      <c r="Q1330">
        <v>0.16574839999999999</v>
      </c>
      <c r="R1330">
        <v>-3.5633319999999998E-3</v>
      </c>
      <c r="S1330">
        <v>3.1566930000000002</v>
      </c>
      <c r="T1330">
        <v>-0.69599149999999999</v>
      </c>
      <c r="U1330">
        <v>-0.64514159999999998</v>
      </c>
      <c r="V1330">
        <v>-6.8895170000000004E-3</v>
      </c>
      <c r="W1330">
        <v>0.1793544</v>
      </c>
      <c r="X1330">
        <v>0.98376039999999998</v>
      </c>
      <c r="Y1330">
        <v>0.18579270000000001</v>
      </c>
      <c r="Z1330">
        <v>-1.775171E-2</v>
      </c>
      <c r="AA1330">
        <v>0.98242859999999999</v>
      </c>
      <c r="AB1330">
        <v>29</v>
      </c>
      <c r="AC1330">
        <v>0.59520000000000495</v>
      </c>
      <c r="AD1330">
        <v>-0.16319139999999999</v>
      </c>
      <c r="AE1330">
        <v>-0.14979999999997001</v>
      </c>
      <c r="AF1330">
        <v>0.13400524296795599</v>
      </c>
      <c r="AG1330">
        <v>-0.16319139999999999</v>
      </c>
      <c r="AH1330">
        <v>0.55735264985597299</v>
      </c>
      <c r="AI1330">
        <v>105.890834325825</v>
      </c>
      <c r="AJ1330">
        <v>76.480881749300394</v>
      </c>
      <c r="AK1330">
        <v>0.59601242812405897</v>
      </c>
      <c r="AL1330">
        <v>79.667842253543398</v>
      </c>
      <c r="AM1330">
        <v>90.4012499321652</v>
      </c>
      <c r="AN1330">
        <v>0.99999999542600604</v>
      </c>
    </row>
    <row r="1331" spans="1:40" x14ac:dyDescent="0.25">
      <c r="A1331" t="str">
        <f>"20190312172112517"</f>
        <v>20190312172112517</v>
      </c>
      <c r="B1331" t="str">
        <f>"1552382472512543"</f>
        <v>1552382472512543</v>
      </c>
      <c r="C1331" t="s">
        <v>40</v>
      </c>
      <c r="D1331">
        <v>3.4026709999999998</v>
      </c>
      <c r="E1331">
        <v>0.58080039999999999</v>
      </c>
      <c r="F1331" t="s">
        <v>41</v>
      </c>
      <c r="G1331">
        <v>-250.6842</v>
      </c>
      <c r="H1331">
        <v>0.92343560000000002</v>
      </c>
      <c r="I1331">
        <v>367.31459999999998</v>
      </c>
      <c r="J1331">
        <v>-251.3828</v>
      </c>
      <c r="K1331">
        <v>1.110392</v>
      </c>
      <c r="L1331">
        <v>367.48669999999998</v>
      </c>
      <c r="M1331">
        <v>0.99984850000000003</v>
      </c>
      <c r="N1331">
        <v>0</v>
      </c>
      <c r="O1331">
        <v>-1.060474E-2</v>
      </c>
      <c r="P1331">
        <v>0.98615850000000005</v>
      </c>
      <c r="Q1331">
        <v>0.1657661</v>
      </c>
      <c r="R1331">
        <v>-3.679154E-3</v>
      </c>
      <c r="S1331">
        <v>3.156784</v>
      </c>
      <c r="T1331">
        <v>-0.69617189999999995</v>
      </c>
      <c r="U1331">
        <v>-0.64553830000000001</v>
      </c>
      <c r="V1331">
        <v>-6.7736300000000001E-3</v>
      </c>
      <c r="W1331">
        <v>0.1793717</v>
      </c>
      <c r="X1331">
        <v>0.98375800000000002</v>
      </c>
      <c r="Y1331">
        <v>0.1859016</v>
      </c>
      <c r="Z1331">
        <v>-1.77673E-2</v>
      </c>
      <c r="AA1331">
        <v>0.98240769999999999</v>
      </c>
      <c r="AB1331">
        <v>29</v>
      </c>
      <c r="AC1331">
        <v>0.698599999999999</v>
      </c>
      <c r="AD1331">
        <v>-0.18695639999999999</v>
      </c>
      <c r="AE1331">
        <v>-0.1721</v>
      </c>
      <c r="AF1331">
        <v>0.15426508525529301</v>
      </c>
      <c r="AG1331">
        <v>-0.18695639999999999</v>
      </c>
      <c r="AH1331">
        <v>0.65608664922834303</v>
      </c>
      <c r="AI1331">
        <v>105.503594842005</v>
      </c>
      <c r="AJ1331">
        <v>76.768437426454994</v>
      </c>
      <c r="AK1331">
        <v>0.69942841186604499</v>
      </c>
      <c r="AL1331">
        <v>79.666834177426793</v>
      </c>
      <c r="AM1331">
        <v>90.394501775769896</v>
      </c>
      <c r="AN1331">
        <v>0.99999994569413198</v>
      </c>
    </row>
    <row r="1332" spans="1:40" x14ac:dyDescent="0.25">
      <c r="A1332" t="str">
        <f>"20190312172112529"</f>
        <v>20190312172112529</v>
      </c>
      <c r="B1332" t="str">
        <f>"1552382472522303"</f>
        <v>1552382472522303</v>
      </c>
      <c r="C1332" t="s">
        <v>40</v>
      </c>
      <c r="D1332">
        <v>3.4110209999999999</v>
      </c>
      <c r="E1332">
        <v>0.58085189999999998</v>
      </c>
      <c r="F1332" t="s">
        <v>41</v>
      </c>
      <c r="G1332">
        <v>-250.67140000000001</v>
      </c>
      <c r="H1332">
        <v>0.95340559999999996</v>
      </c>
      <c r="I1332">
        <v>367.34089999999998</v>
      </c>
      <c r="J1332">
        <v>-251.23480000000001</v>
      </c>
      <c r="K1332">
        <v>1.110392</v>
      </c>
      <c r="L1332">
        <v>367.48509999999999</v>
      </c>
      <c r="M1332">
        <v>0.99984850000000003</v>
      </c>
      <c r="N1332">
        <v>0</v>
      </c>
      <c r="O1332">
        <v>-1.060474E-2</v>
      </c>
      <c r="P1332">
        <v>0.98614250000000003</v>
      </c>
      <c r="Q1332">
        <v>0.16586289999999901</v>
      </c>
      <c r="R1332">
        <v>-3.5316050000000002E-3</v>
      </c>
      <c r="S1332">
        <v>3.1568149999999999</v>
      </c>
      <c r="T1332">
        <v>-0.69676700000000003</v>
      </c>
      <c r="U1332">
        <v>-0.64593509999999998</v>
      </c>
      <c r="V1332">
        <v>-6.9208000000000004E-3</v>
      </c>
      <c r="W1332">
        <v>0.17946790000000001</v>
      </c>
      <c r="X1332">
        <v>0.98373949999999999</v>
      </c>
      <c r="Y1332">
        <v>0.18600920000000001</v>
      </c>
      <c r="Z1332">
        <v>-1.7793369999999999E-2</v>
      </c>
      <c r="AA1332">
        <v>0.98238689999999995</v>
      </c>
      <c r="AB1332">
        <v>29</v>
      </c>
      <c r="AC1332">
        <v>0.56340000000000101</v>
      </c>
      <c r="AD1332">
        <v>-0.156986399999999</v>
      </c>
      <c r="AE1332">
        <v>-0.14420000000001201</v>
      </c>
      <c r="AF1332">
        <v>0.12882915916455401</v>
      </c>
      <c r="AG1332">
        <v>-0.156986399999999</v>
      </c>
      <c r="AH1332">
        <v>0.52653071713116195</v>
      </c>
      <c r="AI1332">
        <v>106.151519060346</v>
      </c>
      <c r="AJ1332">
        <v>76.251241042821604</v>
      </c>
      <c r="AK1332">
        <v>0.56433702529486895</v>
      </c>
      <c r="AL1332">
        <v>79.661232121097299</v>
      </c>
      <c r="AM1332">
        <v>90.403080377534593</v>
      </c>
      <c r="AN1332">
        <v>1.0000000142316401</v>
      </c>
    </row>
    <row r="1333" spans="1:40" x14ac:dyDescent="0.25">
      <c r="A1333" t="str">
        <f>"20190312172112540"</f>
        <v>20190312172112540</v>
      </c>
      <c r="B1333" t="str">
        <f>"1552382472532063"</f>
        <v>1552382472532063</v>
      </c>
      <c r="C1333" t="s">
        <v>40</v>
      </c>
      <c r="D1333">
        <v>3.4068550000000002</v>
      </c>
      <c r="E1333">
        <v>0.58088309999999999</v>
      </c>
      <c r="F1333" t="s">
        <v>41</v>
      </c>
      <c r="G1333">
        <v>-250.41919999999999</v>
      </c>
      <c r="H1333">
        <v>0.93038310000000002</v>
      </c>
      <c r="I1333">
        <v>367.31819999999999</v>
      </c>
      <c r="J1333">
        <v>-251.0848</v>
      </c>
      <c r="K1333">
        <v>1.1103940000000001</v>
      </c>
      <c r="L1333">
        <v>367.48360000000002</v>
      </c>
      <c r="M1333">
        <v>0.99984850000000003</v>
      </c>
      <c r="N1333">
        <v>0</v>
      </c>
      <c r="O1333">
        <v>-1.060474E-2</v>
      </c>
      <c r="P1333">
        <v>0.98614950000000001</v>
      </c>
      <c r="Q1333">
        <v>0.16581940000000001</v>
      </c>
      <c r="R1333">
        <v>-3.6250029999999999E-3</v>
      </c>
      <c r="S1333">
        <v>3.1570589999999998</v>
      </c>
      <c r="T1333">
        <v>-0.69680430000000004</v>
      </c>
      <c r="U1333">
        <v>-0.64584350000000001</v>
      </c>
      <c r="V1333">
        <v>-6.8275080000000004E-3</v>
      </c>
      <c r="W1333">
        <v>0.17942469999999999</v>
      </c>
      <c r="X1333">
        <v>0.98374799999999996</v>
      </c>
      <c r="Y1333">
        <v>0.18596799999999999</v>
      </c>
      <c r="Z1333">
        <v>-1.778859E-2</v>
      </c>
      <c r="AA1333">
        <v>0.98239480000000001</v>
      </c>
      <c r="AB1333">
        <v>29</v>
      </c>
      <c r="AC1333">
        <v>0.66560000000001196</v>
      </c>
      <c r="AD1333">
        <v>-0.1800109</v>
      </c>
      <c r="AE1333">
        <v>-0.16540000000003299</v>
      </c>
      <c r="AF1333">
        <v>0.14812721217922301</v>
      </c>
      <c r="AG1333">
        <v>-0.1800109</v>
      </c>
      <c r="AH1333">
        <v>0.624308898958995</v>
      </c>
      <c r="AI1333">
        <v>105.67133945472099</v>
      </c>
      <c r="AJ1333">
        <v>76.652479041397697</v>
      </c>
      <c r="AK1333">
        <v>0.66641368265229395</v>
      </c>
      <c r="AL1333">
        <v>79.663747809505395</v>
      </c>
      <c r="AM1333">
        <v>90.397643616348901</v>
      </c>
      <c r="AN1333">
        <v>0.99999998266978896</v>
      </c>
    </row>
    <row r="1334" spans="1:40" x14ac:dyDescent="0.25">
      <c r="A1334" t="str">
        <f>"20190312172112552"</f>
        <v>20190312172112552</v>
      </c>
      <c r="B1334" t="str">
        <f>"1552382472542801"</f>
        <v>1552382472542801</v>
      </c>
      <c r="C1334" t="s">
        <v>40</v>
      </c>
      <c r="D1334">
        <v>3.424938</v>
      </c>
      <c r="E1334">
        <v>0.58092119999999903</v>
      </c>
      <c r="F1334" t="s">
        <v>41</v>
      </c>
      <c r="G1334">
        <v>-250.1662</v>
      </c>
      <c r="H1334">
        <v>0.90753209999999995</v>
      </c>
      <c r="I1334">
        <v>367.2953</v>
      </c>
      <c r="J1334">
        <v>-250.92570000000001</v>
      </c>
      <c r="K1334">
        <v>1.110395</v>
      </c>
      <c r="L1334">
        <v>367.4819</v>
      </c>
      <c r="M1334">
        <v>0.99984850000000003</v>
      </c>
      <c r="N1334">
        <v>0</v>
      </c>
      <c r="O1334">
        <v>-1.060462E-2</v>
      </c>
      <c r="P1334">
        <v>0.98616669999999995</v>
      </c>
      <c r="Q1334">
        <v>0.1657206</v>
      </c>
      <c r="R1334">
        <v>-3.4431119999999999E-3</v>
      </c>
      <c r="S1334">
        <v>3.1569820000000002</v>
      </c>
      <c r="T1334">
        <v>-0.69725199999999998</v>
      </c>
      <c r="U1334">
        <v>-0.64627080000000003</v>
      </c>
      <c r="V1334">
        <v>-7.0096430000000003E-3</v>
      </c>
      <c r="W1334">
        <v>0.1793257</v>
      </c>
      <c r="X1334">
        <v>0.98376479999999999</v>
      </c>
      <c r="Y1334">
        <v>0.18609229999999999</v>
      </c>
      <c r="Z1334">
        <v>-1.78134E-2</v>
      </c>
      <c r="AA1334">
        <v>0.98237079999999999</v>
      </c>
      <c r="AB1334">
        <v>29</v>
      </c>
      <c r="AC1334">
        <v>0.75950000000000195</v>
      </c>
      <c r="AD1334">
        <v>-0.20286290000000001</v>
      </c>
      <c r="AE1334">
        <v>-0.18659999999999799</v>
      </c>
      <c r="AF1334">
        <v>0.167279708537312</v>
      </c>
      <c r="AG1334">
        <v>-0.20286290000000001</v>
      </c>
      <c r="AH1334">
        <v>0.71343533474712795</v>
      </c>
      <c r="AI1334">
        <v>105.474141682656</v>
      </c>
      <c r="AJ1334">
        <v>76.804189715736001</v>
      </c>
      <c r="AK1334">
        <v>0.76034586468954002</v>
      </c>
      <c r="AL1334">
        <v>79.669513912481307</v>
      </c>
      <c r="AM1334">
        <v>90.408244087579305</v>
      </c>
      <c r="AN1334">
        <v>1.0000000117472501</v>
      </c>
    </row>
    <row r="1335" spans="1:40" x14ac:dyDescent="0.25">
      <c r="A1335" t="str">
        <f>"20190312172112563"</f>
        <v>20190312172112563</v>
      </c>
      <c r="B1335" t="str">
        <f>"1552382472552559"</f>
        <v>1552382472552559</v>
      </c>
      <c r="C1335" t="s">
        <v>40</v>
      </c>
      <c r="D1335">
        <v>3.439263</v>
      </c>
      <c r="E1335">
        <v>0.58099069999999997</v>
      </c>
      <c r="F1335" t="s">
        <v>41</v>
      </c>
      <c r="G1335">
        <v>-250.1533</v>
      </c>
      <c r="H1335">
        <v>0.93969829999999999</v>
      </c>
      <c r="I1335">
        <v>367.3236</v>
      </c>
      <c r="J1335">
        <v>-250.79150000000001</v>
      </c>
      <c r="K1335">
        <v>1.1103940000000001</v>
      </c>
      <c r="L1335">
        <v>367.48050000000001</v>
      </c>
      <c r="M1335">
        <v>0.99984850000000003</v>
      </c>
      <c r="N1335">
        <v>0</v>
      </c>
      <c r="O1335">
        <v>-1.060473E-2</v>
      </c>
      <c r="P1335">
        <v>0.98614659999999998</v>
      </c>
      <c r="Q1335">
        <v>0.16584260000000001</v>
      </c>
      <c r="R1335">
        <v>-3.397537E-3</v>
      </c>
      <c r="S1335">
        <v>3.157089</v>
      </c>
      <c r="T1335">
        <v>-0.69785410000000003</v>
      </c>
      <c r="U1335">
        <v>-0.64624019999999904</v>
      </c>
      <c r="V1335">
        <v>-7.0549870000000004E-3</v>
      </c>
      <c r="W1335">
        <v>0.17944669999999999</v>
      </c>
      <c r="X1335">
        <v>0.98374240000000002</v>
      </c>
      <c r="Y1335">
        <v>0.1860704</v>
      </c>
      <c r="Z1335">
        <v>-1.782547E-2</v>
      </c>
      <c r="AA1335">
        <v>0.98237470000000005</v>
      </c>
      <c r="AB1335">
        <v>29</v>
      </c>
      <c r="AC1335">
        <v>0.63820000000001098</v>
      </c>
      <c r="AD1335">
        <v>-0.17069570000000001</v>
      </c>
      <c r="AE1335">
        <v>-0.15690000000000701</v>
      </c>
      <c r="AF1335">
        <v>0.140635359602717</v>
      </c>
      <c r="AG1335">
        <v>-0.17069570000000001</v>
      </c>
      <c r="AH1335">
        <v>0.59939320426677201</v>
      </c>
      <c r="AI1335">
        <v>105.49611809154899</v>
      </c>
      <c r="AJ1335">
        <v>76.795564705891707</v>
      </c>
      <c r="AK1335">
        <v>0.63889556242805801</v>
      </c>
      <c r="AL1335">
        <v>79.662466690348495</v>
      </c>
      <c r="AM1335">
        <v>90.410894203532294</v>
      </c>
      <c r="AN1335">
        <v>1.0000000002701099</v>
      </c>
    </row>
    <row r="1336" spans="1:40" x14ac:dyDescent="0.25">
      <c r="A1336" t="str">
        <f>"20190312172112574"</f>
        <v>20190312172112574</v>
      </c>
      <c r="B1336" t="str">
        <f>"1552382472562319"</f>
        <v>1552382472562319</v>
      </c>
      <c r="C1336" t="s">
        <v>40</v>
      </c>
      <c r="D1336">
        <v>3.407413</v>
      </c>
      <c r="E1336">
        <v>0.58100739999999995</v>
      </c>
      <c r="F1336" t="s">
        <v>41</v>
      </c>
      <c r="G1336">
        <v>-249.90199999999999</v>
      </c>
      <c r="H1336">
        <v>0.91383219999999998</v>
      </c>
      <c r="I1336">
        <v>367.29820000000001</v>
      </c>
      <c r="J1336">
        <v>-250.64789999999999</v>
      </c>
      <c r="K1336">
        <v>1.1103959999999999</v>
      </c>
      <c r="L1336">
        <v>367.47890000000001</v>
      </c>
      <c r="M1336">
        <v>0.99984850000000003</v>
      </c>
      <c r="N1336">
        <v>0</v>
      </c>
      <c r="O1336">
        <v>-1.060473E-2</v>
      </c>
      <c r="P1336">
        <v>0.98617010000000005</v>
      </c>
      <c r="Q1336">
        <v>0.16570270000000001</v>
      </c>
      <c r="R1336">
        <v>-3.3896550000000001E-3</v>
      </c>
      <c r="S1336">
        <v>3.1572420000000001</v>
      </c>
      <c r="T1336">
        <v>-0.69768160000000001</v>
      </c>
      <c r="U1336">
        <v>-0.64642330000000003</v>
      </c>
      <c r="V1336">
        <v>-7.0631449999999998E-3</v>
      </c>
      <c r="W1336">
        <v>0.17930599999999999</v>
      </c>
      <c r="X1336">
        <v>0.98376799999999998</v>
      </c>
      <c r="Y1336">
        <v>0.18611710000000001</v>
      </c>
      <c r="Z1336">
        <v>-1.7825290000000001E-2</v>
      </c>
      <c r="AA1336">
        <v>0.98236579999999996</v>
      </c>
      <c r="AB1336">
        <v>29</v>
      </c>
      <c r="AC1336">
        <v>0.74589999999997703</v>
      </c>
      <c r="AD1336">
        <v>-0.19656380000000001</v>
      </c>
      <c r="AE1336">
        <v>-0.180700000000001</v>
      </c>
      <c r="AF1336">
        <v>0.162143073422512</v>
      </c>
      <c r="AG1336">
        <v>-0.19656380000000001</v>
      </c>
      <c r="AH1336">
        <v>0.70174295439132295</v>
      </c>
      <c r="AI1336">
        <v>105.26526240502299</v>
      </c>
      <c r="AJ1336">
        <v>76.989694889883694</v>
      </c>
      <c r="AK1336">
        <v>0.746572754503673</v>
      </c>
      <c r="AL1336">
        <v>79.670661152015498</v>
      </c>
      <c r="AM1336">
        <v>90.411358618285504</v>
      </c>
      <c r="AN1336">
        <v>1.0000000037386401</v>
      </c>
    </row>
    <row r="1337" spans="1:40" x14ac:dyDescent="0.25">
      <c r="A1337" t="str">
        <f>"20190312172112587"</f>
        <v>20190312172112587</v>
      </c>
      <c r="B1337" t="str">
        <f>"1552382472582815"</f>
        <v>1552382472582815</v>
      </c>
      <c r="C1337" t="s">
        <v>40</v>
      </c>
      <c r="D1337">
        <v>3.423559</v>
      </c>
      <c r="E1337">
        <v>0.58101979999999998</v>
      </c>
      <c r="F1337" t="s">
        <v>41</v>
      </c>
      <c r="G1337">
        <v>-249.89019999999999</v>
      </c>
      <c r="H1337">
        <v>0.94281649999999995</v>
      </c>
      <c r="I1337">
        <v>367.32350000000002</v>
      </c>
      <c r="J1337">
        <v>-250.47470000000001</v>
      </c>
      <c r="K1337">
        <v>1.1103940000000001</v>
      </c>
      <c r="L1337">
        <v>367.47710000000001</v>
      </c>
      <c r="M1337">
        <v>0.99984839999999997</v>
      </c>
      <c r="N1337">
        <v>0</v>
      </c>
      <c r="O1337">
        <v>-1.060472E-2</v>
      </c>
      <c r="P1337">
        <v>0.98614590000000002</v>
      </c>
      <c r="Q1337">
        <v>0.16584760000000001</v>
      </c>
      <c r="R1337">
        <v>-3.284304E-3</v>
      </c>
      <c r="S1337">
        <v>3.1572110000000002</v>
      </c>
      <c r="T1337">
        <v>-0.69835230000000004</v>
      </c>
      <c r="U1337">
        <v>-0.64706419999999998</v>
      </c>
      <c r="V1337">
        <v>-7.1680320000000004E-3</v>
      </c>
      <c r="W1337">
        <v>0.17945</v>
      </c>
      <c r="X1337">
        <v>0.98374099999999998</v>
      </c>
      <c r="Y1337">
        <v>0.18629850000000001</v>
      </c>
      <c r="Z1337">
        <v>-1.7861479999999999E-2</v>
      </c>
      <c r="AA1337">
        <v>0.98233079999999995</v>
      </c>
      <c r="AB1337">
        <v>29</v>
      </c>
      <c r="AC1337">
        <v>0.584500000000019</v>
      </c>
      <c r="AD1337">
        <v>-0.16757749999999999</v>
      </c>
      <c r="AE1337">
        <v>-0.153599999999983</v>
      </c>
      <c r="AF1337">
        <v>0.13686868868618801</v>
      </c>
      <c r="AG1337">
        <v>-0.16757749999999999</v>
      </c>
      <c r="AH1337">
        <v>0.54424965006124504</v>
      </c>
      <c r="AI1337">
        <v>106.626040802376</v>
      </c>
      <c r="AJ1337">
        <v>75.883896823577999</v>
      </c>
      <c r="AK1337">
        <v>0.58568160124824997</v>
      </c>
      <c r="AL1337">
        <v>79.662274691567603</v>
      </c>
      <c r="AM1337">
        <v>90.417478495693999</v>
      </c>
      <c r="AN1337">
        <v>1.0000000191318701</v>
      </c>
    </row>
    <row r="1338" spans="1:40" x14ac:dyDescent="0.25">
      <c r="A1338" t="str">
        <f>"20190312172112599"</f>
        <v>20190312172112599</v>
      </c>
      <c r="B1338" t="str">
        <f>"1552382472592575"</f>
        <v>1552382472592575</v>
      </c>
      <c r="C1338" t="s">
        <v>40</v>
      </c>
      <c r="D1338">
        <v>3.4199459999999999</v>
      </c>
      <c r="E1338">
        <v>0.58102659999999995</v>
      </c>
      <c r="F1338" t="s">
        <v>41</v>
      </c>
      <c r="G1338">
        <v>-249.636</v>
      </c>
      <c r="H1338">
        <v>0.92501889999999998</v>
      </c>
      <c r="I1338">
        <v>367.30500000000001</v>
      </c>
      <c r="J1338">
        <v>-250.32079999999999</v>
      </c>
      <c r="K1338">
        <v>1.110393</v>
      </c>
      <c r="L1338">
        <v>367.47539999999998</v>
      </c>
      <c r="M1338">
        <v>0.99984839999999997</v>
      </c>
      <c r="N1338">
        <v>0</v>
      </c>
      <c r="O1338">
        <v>-1.060471E-2</v>
      </c>
      <c r="P1338">
        <v>0.98612840000000002</v>
      </c>
      <c r="Q1338">
        <v>0.16594979999999901</v>
      </c>
      <c r="R1338">
        <v>-3.4298919999999999E-3</v>
      </c>
      <c r="S1338">
        <v>3.1573639999999998</v>
      </c>
      <c r="T1338">
        <v>-0.69796859999999905</v>
      </c>
      <c r="U1338">
        <v>-0.64685059999999905</v>
      </c>
      <c r="V1338">
        <v>-7.0224830000000004E-3</v>
      </c>
      <c r="W1338">
        <v>0.1795514</v>
      </c>
      <c r="X1338">
        <v>0.98372349999999997</v>
      </c>
      <c r="Y1338">
        <v>0.1862317</v>
      </c>
      <c r="Z1338">
        <v>-1.7843959999999999E-2</v>
      </c>
      <c r="AA1338">
        <v>0.98234379999999999</v>
      </c>
      <c r="AB1338">
        <v>29</v>
      </c>
      <c r="AC1338">
        <v>0.68479999999999497</v>
      </c>
      <c r="AD1338">
        <v>-0.18537410000000001</v>
      </c>
      <c r="AE1338">
        <v>-0.17039999999997199</v>
      </c>
      <c r="AF1338">
        <v>0.1525976338427</v>
      </c>
      <c r="AG1338">
        <v>-0.18537410000000001</v>
      </c>
      <c r="AH1338">
        <v>0.64225028362264103</v>
      </c>
      <c r="AI1338">
        <v>105.685516521873</v>
      </c>
      <c r="AJ1338">
        <v>76.634445303599506</v>
      </c>
      <c r="AK1338">
        <v>0.68566392760489003</v>
      </c>
      <c r="AL1338">
        <v>79.656368490274701</v>
      </c>
      <c r="AM1338">
        <v>90.4090090386035</v>
      </c>
      <c r="AN1338">
        <v>0.99999997248084704</v>
      </c>
    </row>
    <row r="1339" spans="1:40" x14ac:dyDescent="0.25">
      <c r="A1339" t="str">
        <f>"20190312172112611"</f>
        <v>20190312172112611</v>
      </c>
      <c r="B1339" t="str">
        <f>"1552382472602335"</f>
        <v>1552382472602335</v>
      </c>
      <c r="C1339" t="s">
        <v>40</v>
      </c>
      <c r="D1339">
        <v>3.4361130000000002</v>
      </c>
      <c r="E1339">
        <v>0.581045699999999</v>
      </c>
      <c r="F1339" t="s">
        <v>41</v>
      </c>
      <c r="G1339">
        <v>-249.62270000000001</v>
      </c>
      <c r="H1339">
        <v>0.95608119999999996</v>
      </c>
      <c r="I1339">
        <v>367.33199999999999</v>
      </c>
      <c r="J1339">
        <v>-250.17590000000001</v>
      </c>
      <c r="K1339">
        <v>1.110393</v>
      </c>
      <c r="L1339">
        <v>367.47390000000001</v>
      </c>
      <c r="M1339">
        <v>0.99984839999999997</v>
      </c>
      <c r="N1339">
        <v>0</v>
      </c>
      <c r="O1339">
        <v>-1.0604590000000001E-2</v>
      </c>
      <c r="P1339">
        <v>0.98615410000000003</v>
      </c>
      <c r="Q1339">
        <v>0.16580049999999999</v>
      </c>
      <c r="R1339">
        <v>-3.161568E-3</v>
      </c>
      <c r="S1339">
        <v>3.1574550000000001</v>
      </c>
      <c r="T1339">
        <v>-0.69803579999999998</v>
      </c>
      <c r="U1339">
        <v>-0.64718629999999999</v>
      </c>
      <c r="V1339">
        <v>-7.2909979999999999E-3</v>
      </c>
      <c r="W1339">
        <v>0.1794017</v>
      </c>
      <c r="X1339">
        <v>0.98374890000000004</v>
      </c>
      <c r="Y1339">
        <v>0.18632380000000001</v>
      </c>
      <c r="Z1339">
        <v>-1.7854950000000001E-2</v>
      </c>
      <c r="AA1339">
        <v>0.98232609999999998</v>
      </c>
      <c r="AB1339">
        <v>29</v>
      </c>
      <c r="AC1339">
        <v>0.55320000000000302</v>
      </c>
      <c r="AD1339">
        <v>-0.1543118</v>
      </c>
      <c r="AE1339">
        <v>-0.14190000000002001</v>
      </c>
      <c r="AF1339">
        <v>0.126770003569007</v>
      </c>
      <c r="AG1339">
        <v>-0.1543118</v>
      </c>
      <c r="AH1339">
        <v>0.51693440226376997</v>
      </c>
      <c r="AI1339">
        <v>106.16807026842901</v>
      </c>
      <c r="AJ1339">
        <v>76.221040235780706</v>
      </c>
      <c r="AK1339">
        <v>0.55416959648462005</v>
      </c>
      <c r="AL1339">
        <v>79.665087669497197</v>
      </c>
      <c r="AM1339">
        <v>90.424636576754196</v>
      </c>
      <c r="AN1339">
        <v>1.0000000134329601</v>
      </c>
    </row>
    <row r="1340" spans="1:40" x14ac:dyDescent="0.25">
      <c r="A1340" t="str">
        <f>"20190312172112623"</f>
        <v>20190312172112623</v>
      </c>
      <c r="B1340" t="str">
        <f>"1552382472612095"</f>
        <v>1552382472612095</v>
      </c>
      <c r="C1340" t="s">
        <v>40</v>
      </c>
      <c r="D1340">
        <v>3.4365579999999998</v>
      </c>
      <c r="E1340">
        <v>0.58103909999999903</v>
      </c>
      <c r="F1340" t="s">
        <v>41</v>
      </c>
      <c r="G1340">
        <v>-249.37190000000001</v>
      </c>
      <c r="H1340">
        <v>0.93245040000000001</v>
      </c>
      <c r="I1340">
        <v>367.30939999999998</v>
      </c>
      <c r="J1340">
        <v>-250.00640000000001</v>
      </c>
      <c r="K1340">
        <v>1.1103970000000001</v>
      </c>
      <c r="L1340">
        <v>367.47210000000001</v>
      </c>
      <c r="M1340">
        <v>0.99984850000000003</v>
      </c>
      <c r="N1340">
        <v>0</v>
      </c>
      <c r="O1340">
        <v>-1.06047E-2</v>
      </c>
      <c r="P1340">
        <v>0.98611360000000003</v>
      </c>
      <c r="Q1340">
        <v>0.16604539999999901</v>
      </c>
      <c r="R1340">
        <v>-3.0632900000000002E-3</v>
      </c>
      <c r="S1340">
        <v>3.1575470000000001</v>
      </c>
      <c r="T1340">
        <v>-0.69880100000000001</v>
      </c>
      <c r="U1340">
        <v>-0.64639279999999999</v>
      </c>
      <c r="V1340">
        <v>-7.3891719999999899E-3</v>
      </c>
      <c r="W1340">
        <v>0.17964469999999999</v>
      </c>
      <c r="X1340">
        <v>0.98370380000000002</v>
      </c>
      <c r="Y1340">
        <v>0.1860781</v>
      </c>
      <c r="Z1340">
        <v>-1.7847390000000001E-2</v>
      </c>
      <c r="AA1340">
        <v>0.98237289999999999</v>
      </c>
      <c r="AB1340">
        <v>29</v>
      </c>
      <c r="AC1340">
        <v>0.63450000000000195</v>
      </c>
      <c r="AD1340">
        <v>-0.17794659999999901</v>
      </c>
      <c r="AE1340">
        <v>-0.16270000000002899</v>
      </c>
      <c r="AF1340">
        <v>0.145242541721114</v>
      </c>
      <c r="AG1340">
        <v>-0.17794659999999901</v>
      </c>
      <c r="AH1340">
        <v>0.59246555888185004</v>
      </c>
      <c r="AI1340">
        <v>106.262571567802</v>
      </c>
      <c r="AJ1340">
        <v>76.225627474801001</v>
      </c>
      <c r="AK1340">
        <v>0.63543357389923305</v>
      </c>
      <c r="AL1340">
        <v>79.650934642063504</v>
      </c>
      <c r="AM1340">
        <v>90.430373865864993</v>
      </c>
      <c r="AN1340">
        <v>0.99999999211768698</v>
      </c>
    </row>
    <row r="1341" spans="1:40" x14ac:dyDescent="0.25">
      <c r="A1341" t="str">
        <f>"20190312172112636"</f>
        <v>20190312172112636</v>
      </c>
      <c r="B1341" t="str">
        <f>"1552382472632592"</f>
        <v>1552382472632592</v>
      </c>
      <c r="C1341" t="s">
        <v>40</v>
      </c>
      <c r="D1341">
        <v>3.4302000000000001</v>
      </c>
      <c r="E1341">
        <v>0.58102069999999995</v>
      </c>
      <c r="F1341" t="s">
        <v>41</v>
      </c>
      <c r="G1341">
        <v>-249.1181</v>
      </c>
      <c r="H1341">
        <v>0.91403009999999996</v>
      </c>
      <c r="I1341">
        <v>367.29020000000003</v>
      </c>
      <c r="J1341">
        <v>-249.8297</v>
      </c>
      <c r="K1341">
        <v>1.1103970000000001</v>
      </c>
      <c r="L1341">
        <v>367.47019999999998</v>
      </c>
      <c r="M1341">
        <v>0.99984859999999998</v>
      </c>
      <c r="N1341">
        <v>0</v>
      </c>
      <c r="O1341">
        <v>-1.0604580000000001E-2</v>
      </c>
      <c r="P1341">
        <v>0.98607719999999999</v>
      </c>
      <c r="Q1341">
        <v>0.16626189999999999</v>
      </c>
      <c r="R1341">
        <v>-3.0154000000000001E-3</v>
      </c>
      <c r="S1341">
        <v>3.1577760000000001</v>
      </c>
      <c r="T1341">
        <v>-0.69811679999999998</v>
      </c>
      <c r="U1341">
        <v>-0.64605709999999905</v>
      </c>
      <c r="V1341">
        <v>-7.4362509999999996E-3</v>
      </c>
      <c r="W1341">
        <v>0.17985999999999999</v>
      </c>
      <c r="X1341">
        <v>0.98366410000000004</v>
      </c>
      <c r="Y1341">
        <v>0.18597469999999999</v>
      </c>
      <c r="Z1341">
        <v>-1.78181E-2</v>
      </c>
      <c r="AA1341">
        <v>0.98239299999999996</v>
      </c>
      <c r="AB1341">
        <v>29</v>
      </c>
      <c r="AC1341">
        <v>0.71160000000000401</v>
      </c>
      <c r="AD1341">
        <v>-0.19636689999999901</v>
      </c>
      <c r="AE1341">
        <v>-0.17999999999994901</v>
      </c>
      <c r="AF1341">
        <v>0.160925539063621</v>
      </c>
      <c r="AG1341">
        <v>-0.19636689999999901</v>
      </c>
      <c r="AH1341">
        <v>0.66581665496485698</v>
      </c>
      <c r="AI1341">
        <v>105.99611159465501</v>
      </c>
      <c r="AJ1341">
        <v>76.412395107325906</v>
      </c>
      <c r="AK1341">
        <v>0.712578982686915</v>
      </c>
      <c r="AL1341">
        <v>79.638394580083698</v>
      </c>
      <c r="AM1341">
        <v>90.433133303795799</v>
      </c>
      <c r="AN1341">
        <v>0.99999998952887204</v>
      </c>
    </row>
    <row r="1342" spans="1:40" x14ac:dyDescent="0.25">
      <c r="A1342" t="str">
        <f>"20190312172112648"</f>
        <v>20190312172112648</v>
      </c>
      <c r="B1342" t="str">
        <f>"1552382472642352"</f>
        <v>1552382472642352</v>
      </c>
      <c r="C1342" t="s">
        <v>40</v>
      </c>
      <c r="D1342">
        <v>3.5166750000000002</v>
      </c>
      <c r="E1342">
        <v>0.58102069999999995</v>
      </c>
      <c r="F1342" t="s">
        <v>41</v>
      </c>
      <c r="G1342">
        <v>-249.10319999999999</v>
      </c>
      <c r="H1342">
        <v>0.94988760000000005</v>
      </c>
      <c r="I1342">
        <v>367.32130000000001</v>
      </c>
      <c r="J1342">
        <v>-249.68090000000001</v>
      </c>
      <c r="K1342">
        <v>1.1103989999999999</v>
      </c>
      <c r="L1342">
        <v>367.46870000000001</v>
      </c>
      <c r="M1342">
        <v>0.99984850000000003</v>
      </c>
      <c r="N1342">
        <v>0</v>
      </c>
      <c r="O1342">
        <v>-1.060433E-2</v>
      </c>
      <c r="P1342">
        <v>0.98609170000000002</v>
      </c>
      <c r="Q1342">
        <v>0.16617319999999999</v>
      </c>
      <c r="R1342">
        <v>-3.1437330000000001E-3</v>
      </c>
      <c r="S1342">
        <v>3.15802</v>
      </c>
      <c r="T1342">
        <v>-0.69777959999999895</v>
      </c>
      <c r="U1342">
        <v>-0.64648439999999996</v>
      </c>
      <c r="V1342">
        <v>-7.3073829999999998E-3</v>
      </c>
      <c r="W1342">
        <v>0.1797704</v>
      </c>
      <c r="X1342">
        <v>0.98368140000000004</v>
      </c>
      <c r="Y1342">
        <v>0.18608949999999999</v>
      </c>
      <c r="Z1342">
        <v>-1.7820610000000001E-2</v>
      </c>
      <c r="AA1342">
        <v>0.9823712</v>
      </c>
      <c r="AB1342">
        <v>29</v>
      </c>
      <c r="AC1342">
        <v>0.57770000000002097</v>
      </c>
      <c r="AD1342">
        <v>-0.160511399999999</v>
      </c>
      <c r="AE1342">
        <v>-0.147400000000004</v>
      </c>
      <c r="AF1342">
        <v>0.13171812213211401</v>
      </c>
      <c r="AG1342">
        <v>-0.160511399999999</v>
      </c>
      <c r="AH1342">
        <v>0.54008552886428696</v>
      </c>
      <c r="AI1342">
        <v>106.105197915524</v>
      </c>
      <c r="AJ1342">
        <v>76.294045870668398</v>
      </c>
      <c r="AK1342">
        <v>0.57862418867222198</v>
      </c>
      <c r="AL1342">
        <v>79.643612886127002</v>
      </c>
      <c r="AM1342">
        <v>90.425620026862205</v>
      </c>
      <c r="AN1342">
        <v>0.99999994563421202</v>
      </c>
    </row>
    <row r="1343" spans="1:40" x14ac:dyDescent="0.25">
      <c r="A1343" t="str">
        <f>"20190312172112658"</f>
        <v>20190312172112658</v>
      </c>
      <c r="B1343" t="str">
        <f>"1552382472652111"</f>
        <v>1552382472652111</v>
      </c>
      <c r="C1343" t="s">
        <v>40</v>
      </c>
      <c r="D1343">
        <v>3.4339170000000001</v>
      </c>
      <c r="E1343">
        <v>0.58095549999999996</v>
      </c>
      <c r="F1343" t="s">
        <v>41</v>
      </c>
      <c r="G1343">
        <v>-248.85220000000001</v>
      </c>
      <c r="H1343">
        <v>0.92720959999999997</v>
      </c>
      <c r="I1343">
        <v>367.2989</v>
      </c>
      <c r="J1343">
        <v>-249.53319999999999</v>
      </c>
      <c r="K1343">
        <v>1.110398</v>
      </c>
      <c r="L1343">
        <v>367.46710000000002</v>
      </c>
      <c r="M1343">
        <v>0.99984839999999997</v>
      </c>
      <c r="N1343">
        <v>0</v>
      </c>
      <c r="O1343">
        <v>-1.0604209999999999E-2</v>
      </c>
      <c r="P1343">
        <v>0.98607849999999997</v>
      </c>
      <c r="Q1343">
        <v>0.16624939999999999</v>
      </c>
      <c r="R1343">
        <v>-3.1797280000000002E-3</v>
      </c>
      <c r="S1343">
        <v>3.1578979999999999</v>
      </c>
      <c r="T1343">
        <v>-0.69814750000000003</v>
      </c>
      <c r="U1343">
        <v>-0.64654540000000005</v>
      </c>
      <c r="V1343">
        <v>-7.2711659999999999E-3</v>
      </c>
      <c r="W1343">
        <v>0.17984549999999999</v>
      </c>
      <c r="X1343">
        <v>0.98366799999999999</v>
      </c>
      <c r="Y1343">
        <v>0.18611030000000001</v>
      </c>
      <c r="Z1343">
        <v>-1.7832689999999998E-2</v>
      </c>
      <c r="AA1343">
        <v>0.98236699999999999</v>
      </c>
      <c r="AB1343">
        <v>29</v>
      </c>
      <c r="AC1343">
        <v>0.68099999999998295</v>
      </c>
      <c r="AD1343">
        <v>-0.1831884</v>
      </c>
      <c r="AE1343">
        <v>-0.16820000000001301</v>
      </c>
      <c r="AF1343">
        <v>0.15069123465950501</v>
      </c>
      <c r="AG1343">
        <v>-0.1831884</v>
      </c>
      <c r="AH1343">
        <v>0.63915508860361303</v>
      </c>
      <c r="AI1343">
        <v>105.587079250889</v>
      </c>
      <c r="AJ1343">
        <v>76.733847593492996</v>
      </c>
      <c r="AK1343">
        <v>0.68175146892812699</v>
      </c>
      <c r="AL1343">
        <v>79.639239292008</v>
      </c>
      <c r="AM1343">
        <v>90.423516406325405</v>
      </c>
      <c r="AN1343">
        <v>1.00000000397462</v>
      </c>
    </row>
    <row r="1344" spans="1:40" x14ac:dyDescent="0.25">
      <c r="A1344" t="str">
        <f>"20190312172112669"</f>
        <v>20190312172112669</v>
      </c>
      <c r="B1344" t="str">
        <f>"1552382472662846"</f>
        <v>1552382472662846</v>
      </c>
      <c r="C1344" t="s">
        <v>40</v>
      </c>
      <c r="D1344">
        <v>3.4599690000000001</v>
      </c>
      <c r="E1344">
        <v>0.58095549999999996</v>
      </c>
      <c r="F1344" t="s">
        <v>41</v>
      </c>
      <c r="G1344">
        <v>-248.83930000000001</v>
      </c>
      <c r="H1344">
        <v>0.95705059999999997</v>
      </c>
      <c r="I1344">
        <v>367.32510000000002</v>
      </c>
      <c r="J1344">
        <v>-249.39359999999999</v>
      </c>
      <c r="K1344">
        <v>1.110398</v>
      </c>
      <c r="L1344">
        <v>367.46559999999999</v>
      </c>
      <c r="M1344">
        <v>0.99984850000000003</v>
      </c>
      <c r="N1344">
        <v>0</v>
      </c>
      <c r="O1344">
        <v>-1.060432E-2</v>
      </c>
      <c r="P1344">
        <v>0.98606629999999995</v>
      </c>
      <c r="Q1344">
        <v>0.16632429999999901</v>
      </c>
      <c r="R1344">
        <v>-3.1051389999999998E-3</v>
      </c>
      <c r="S1344">
        <v>3.1579440000000001</v>
      </c>
      <c r="T1344">
        <v>-0.69796969999999903</v>
      </c>
      <c r="U1344">
        <v>-0.6457214</v>
      </c>
      <c r="V1344">
        <v>-7.3461129999999996E-3</v>
      </c>
      <c r="W1344">
        <v>0.1799191</v>
      </c>
      <c r="X1344">
        <v>0.98365400000000003</v>
      </c>
      <c r="Y1344">
        <v>0.1858689</v>
      </c>
      <c r="Z1344">
        <v>-1.780232E-2</v>
      </c>
      <c r="AA1344">
        <v>0.98241330000000004</v>
      </c>
      <c r="AB1344">
        <v>29</v>
      </c>
      <c r="AC1344">
        <v>0.55429999999998303</v>
      </c>
      <c r="AD1344">
        <v>-0.15334739999999999</v>
      </c>
      <c r="AE1344">
        <v>-0.14049999999997401</v>
      </c>
      <c r="AF1344">
        <v>0.12558230127898401</v>
      </c>
      <c r="AG1344">
        <v>-0.15334739999999999</v>
      </c>
      <c r="AH1344">
        <v>0.51847285354343897</v>
      </c>
      <c r="AI1344">
        <v>106.037580592156</v>
      </c>
      <c r="AJ1344">
        <v>76.3842872730891</v>
      </c>
      <c r="AK1344">
        <v>0.55506795921108798</v>
      </c>
      <c r="AL1344">
        <v>79.634952561435597</v>
      </c>
      <c r="AM1344">
        <v>90.427887698210696</v>
      </c>
      <c r="AN1344">
        <v>1.0000000198185</v>
      </c>
    </row>
    <row r="1345" spans="1:40" x14ac:dyDescent="0.25">
      <c r="A1345" t="str">
        <f>"20190312172112680"</f>
        <v>20190312172112680</v>
      </c>
      <c r="B1345" t="str">
        <f>"1552382472672584"</f>
        <v>1552382472672584</v>
      </c>
      <c r="C1345" t="s">
        <v>40</v>
      </c>
      <c r="D1345">
        <v>3.4677479999999998</v>
      </c>
      <c r="E1345">
        <v>0.56436390000000003</v>
      </c>
      <c r="F1345" t="s">
        <v>41</v>
      </c>
      <c r="G1345">
        <v>-248.58949999999999</v>
      </c>
      <c r="H1345">
        <v>0.93279330000000005</v>
      </c>
      <c r="I1345">
        <v>367.30099999999999</v>
      </c>
      <c r="J1345">
        <v>-249.2552</v>
      </c>
      <c r="K1345">
        <v>1.1104000000000001</v>
      </c>
      <c r="L1345">
        <v>367.46409999999997</v>
      </c>
      <c r="M1345">
        <v>0.99984850000000003</v>
      </c>
      <c r="N1345">
        <v>0</v>
      </c>
      <c r="O1345">
        <v>-1.060431E-2</v>
      </c>
      <c r="P1345">
        <v>0.98610600000000004</v>
      </c>
      <c r="Q1345">
        <v>0.1660875</v>
      </c>
      <c r="R1345">
        <v>-3.1506949999999998E-3</v>
      </c>
      <c r="S1345">
        <v>3.1580050000000002</v>
      </c>
      <c r="T1345">
        <v>-0.69764419999999905</v>
      </c>
      <c r="U1345">
        <v>-0.64553830000000001</v>
      </c>
      <c r="V1345">
        <v>-7.30093699999999E-3</v>
      </c>
      <c r="W1345">
        <v>0.17968219999999999</v>
      </c>
      <c r="X1345">
        <v>0.98369759999999995</v>
      </c>
      <c r="Y1345">
        <v>0.1858156</v>
      </c>
      <c r="Z1345">
        <v>-1.778822E-2</v>
      </c>
      <c r="AA1345">
        <v>0.98242359999999895</v>
      </c>
      <c r="AB1345">
        <v>29</v>
      </c>
      <c r="AC1345">
        <v>0.66570000000001495</v>
      </c>
      <c r="AD1345">
        <v>-0.17760670000000001</v>
      </c>
      <c r="AE1345">
        <v>-0.16309999999998501</v>
      </c>
      <c r="AF1345">
        <v>0.14621271808348699</v>
      </c>
      <c r="AG1345">
        <v>-0.17760670000000001</v>
      </c>
      <c r="AH1345">
        <v>0.62539703439579397</v>
      </c>
      <c r="AI1345">
        <v>105.45789880835</v>
      </c>
      <c r="AJ1345">
        <v>76.841066620239104</v>
      </c>
      <c r="AK1345">
        <v>0.66636607765199496</v>
      </c>
      <c r="AL1345">
        <v>79.648750409368304</v>
      </c>
      <c r="AM1345">
        <v>90.425237589185997</v>
      </c>
      <c r="AN1345">
        <v>0.99999998246183797</v>
      </c>
    </row>
    <row r="1346" spans="1:40" x14ac:dyDescent="0.25">
      <c r="A1346" t="str">
        <f>"20190312172112691"</f>
        <v>20190312172112691</v>
      </c>
      <c r="B1346" t="str">
        <f>"1552382472682346"</f>
        <v>1552382472682346</v>
      </c>
      <c r="C1346" t="s">
        <v>40</v>
      </c>
      <c r="D1346">
        <v>3.4729019999999902</v>
      </c>
      <c r="E1346">
        <v>0.56165750000000003</v>
      </c>
      <c r="F1346" t="s">
        <v>41</v>
      </c>
      <c r="G1346">
        <v>-248.30930000000001</v>
      </c>
      <c r="H1346">
        <v>0.97587900000000005</v>
      </c>
      <c r="I1346">
        <v>367.3075</v>
      </c>
      <c r="J1346">
        <v>-249.11580000000001</v>
      </c>
      <c r="K1346">
        <v>1.1103989999999999</v>
      </c>
      <c r="L1346">
        <v>367.46260000000001</v>
      </c>
      <c r="M1346">
        <v>0.99984859999999998</v>
      </c>
      <c r="N1346">
        <v>0</v>
      </c>
      <c r="O1346">
        <v>-1.060431E-2</v>
      </c>
      <c r="P1346">
        <v>0.98609100000000005</v>
      </c>
      <c r="Q1346">
        <v>0.16617479999999901</v>
      </c>
      <c r="R1346">
        <v>-3.2834800000000001E-3</v>
      </c>
      <c r="S1346">
        <v>3.115265</v>
      </c>
      <c r="T1346">
        <v>-0.44307289999999999</v>
      </c>
      <c r="U1346">
        <v>-0.51550289999999999</v>
      </c>
      <c r="V1346">
        <v>-7.1676079999999998E-3</v>
      </c>
      <c r="W1346">
        <v>0.1797686</v>
      </c>
      <c r="X1346">
        <v>0.98368279999999997</v>
      </c>
      <c r="Y1346">
        <v>0.1514054</v>
      </c>
      <c r="Z1346">
        <v>-9.1512550000000005E-3</v>
      </c>
      <c r="AA1346">
        <v>0.98842940000000001</v>
      </c>
      <c r="AB1346">
        <v>29</v>
      </c>
      <c r="AC1346">
        <v>0.806499999999999</v>
      </c>
      <c r="AD1346">
        <v>-0.134519999999999</v>
      </c>
      <c r="AE1346">
        <v>-0.15510000000000401</v>
      </c>
      <c r="AF1346">
        <v>0.142709438251691</v>
      </c>
      <c r="AG1346">
        <v>-0.134519999999999</v>
      </c>
      <c r="AH1346">
        <v>0.78698604453898802</v>
      </c>
      <c r="AI1346">
        <v>99.547095361724502</v>
      </c>
      <c r="AJ1346">
        <v>79.721860876064497</v>
      </c>
      <c r="AK1346">
        <v>0.81105403547805299</v>
      </c>
      <c r="AL1346">
        <v>79.643718165744204</v>
      </c>
      <c r="AM1346">
        <v>90.417478500032502</v>
      </c>
      <c r="AN1346">
        <v>0.99999998758312003</v>
      </c>
    </row>
    <row r="1347" spans="1:40" x14ac:dyDescent="0.25">
      <c r="A1347" t="str">
        <f>"20190312172112701"</f>
        <v>20190312172112701</v>
      </c>
      <c r="B1347" t="str">
        <f>"1552382472692105"</f>
        <v>1552382472692105</v>
      </c>
      <c r="C1347" t="s">
        <v>40</v>
      </c>
      <c r="D1347">
        <v>3.4792429999999999</v>
      </c>
      <c r="E1347">
        <v>0.56039050000000001</v>
      </c>
      <c r="F1347" t="s">
        <v>41</v>
      </c>
      <c r="G1347">
        <v>-248.29480000000001</v>
      </c>
      <c r="H1347">
        <v>1.0065900000000001</v>
      </c>
      <c r="I1347">
        <v>367.33179999999999</v>
      </c>
      <c r="J1347">
        <v>-248.98349999999999</v>
      </c>
      <c r="K1347">
        <v>1.1103989999999999</v>
      </c>
      <c r="L1347">
        <v>367.46120000000002</v>
      </c>
      <c r="M1347">
        <v>0.99984859999999998</v>
      </c>
      <c r="N1347">
        <v>0</v>
      </c>
      <c r="O1347">
        <v>-1.0604300000000001E-2</v>
      </c>
      <c r="P1347">
        <v>0.98610339999999996</v>
      </c>
      <c r="Q1347">
        <v>0.1661039</v>
      </c>
      <c r="R1347">
        <v>-3.1224109999999998E-3</v>
      </c>
      <c r="S1347">
        <v>3.1068730000000002</v>
      </c>
      <c r="T1347">
        <v>-0.39288339999999999</v>
      </c>
      <c r="U1347">
        <v>-0.49484250000000002</v>
      </c>
      <c r="V1347">
        <v>-7.3290589999999997E-3</v>
      </c>
      <c r="W1347">
        <v>0.1796972</v>
      </c>
      <c r="X1347">
        <v>0.98369470000000003</v>
      </c>
      <c r="Y1347">
        <v>0.14575940000000001</v>
      </c>
      <c r="Z1347">
        <v>-7.7954969999999898E-3</v>
      </c>
      <c r="AA1347">
        <v>0.98928930000000004</v>
      </c>
      <c r="AB1347">
        <v>29</v>
      </c>
      <c r="AC1347">
        <v>0.68869999999998199</v>
      </c>
      <c r="AD1347">
        <v>-0.103809</v>
      </c>
      <c r="AE1347">
        <v>-0.12940000000003199</v>
      </c>
      <c r="AF1347">
        <v>0.119467099164919</v>
      </c>
      <c r="AG1347">
        <v>-0.103809</v>
      </c>
      <c r="AH1347">
        <v>0.67521575087733698</v>
      </c>
      <c r="AI1347">
        <v>98.608672015173397</v>
      </c>
      <c r="AJ1347">
        <v>79.966398031614105</v>
      </c>
      <c r="AK1347">
        <v>0.69351640679707605</v>
      </c>
      <c r="AL1347">
        <v>79.6478772583732</v>
      </c>
      <c r="AM1347">
        <v>90.426876731859295</v>
      </c>
      <c r="AN1347">
        <v>1.0000000308008701</v>
      </c>
    </row>
    <row r="1348" spans="1:40" x14ac:dyDescent="0.25">
      <c r="A1348" t="str">
        <f>"20190312172112711"</f>
        <v>20190312172112711</v>
      </c>
      <c r="B1348" t="str">
        <f>"1552382472702841"</f>
        <v>1552382472702841</v>
      </c>
      <c r="C1348" t="s">
        <v>40</v>
      </c>
      <c r="D1348">
        <v>3.4473630000000002</v>
      </c>
      <c r="E1348">
        <v>0.55955140000000003</v>
      </c>
      <c r="F1348" t="s">
        <v>41</v>
      </c>
      <c r="G1348">
        <v>-248.03659999999999</v>
      </c>
      <c r="H1348">
        <v>1.002383</v>
      </c>
      <c r="I1348">
        <v>367.31290000000001</v>
      </c>
      <c r="J1348">
        <v>-248.84530000000001</v>
      </c>
      <c r="K1348">
        <v>1.1103989999999999</v>
      </c>
      <c r="L1348">
        <v>367.45979999999997</v>
      </c>
      <c r="M1348">
        <v>0.99984859999999998</v>
      </c>
      <c r="N1348">
        <v>0</v>
      </c>
      <c r="O1348">
        <v>-1.060417E-2</v>
      </c>
      <c r="P1348">
        <v>0.98609429999999998</v>
      </c>
      <c r="Q1348">
        <v>0.16616049999999999</v>
      </c>
      <c r="R1348">
        <v>-3.0045750000000002E-3</v>
      </c>
      <c r="S1348">
        <v>3.1003419999999999</v>
      </c>
      <c r="T1348">
        <v>-0.35385429999999901</v>
      </c>
      <c r="U1348">
        <v>-0.48480220000000002</v>
      </c>
      <c r="V1348">
        <v>-7.4471880000000004E-3</v>
      </c>
      <c r="W1348">
        <v>0.1797521</v>
      </c>
      <c r="X1348">
        <v>0.9836838</v>
      </c>
      <c r="Y1348">
        <v>0.14316679999999901</v>
      </c>
      <c r="Z1348">
        <v>-6.8959370000000004E-3</v>
      </c>
      <c r="AA1348">
        <v>0.98967459999999996</v>
      </c>
      <c r="AB1348">
        <v>29</v>
      </c>
      <c r="AC1348">
        <v>0.80870000000001596</v>
      </c>
      <c r="AD1348">
        <v>-0.108015999999999</v>
      </c>
      <c r="AE1348">
        <v>-0.14689999999995901</v>
      </c>
      <c r="AF1348">
        <v>0.13596712364098401</v>
      </c>
      <c r="AG1348">
        <v>-0.108015999999999</v>
      </c>
      <c r="AH1348">
        <v>0.79645728577353803</v>
      </c>
      <c r="AI1348">
        <v>97.614525069498001</v>
      </c>
      <c r="AJ1348">
        <v>80.312149312748502</v>
      </c>
      <c r="AK1348">
        <v>0.81516791094163799</v>
      </c>
      <c r="AL1348">
        <v>79.644679835838602</v>
      </c>
      <c r="AM1348">
        <v>90.433761631392301</v>
      </c>
      <c r="AN1348">
        <v>1.0000000482229701</v>
      </c>
    </row>
    <row r="1349" spans="1:40" x14ac:dyDescent="0.25">
      <c r="A1349" t="str">
        <f>"20190312172112722"</f>
        <v>20190312172112722</v>
      </c>
      <c r="B1349" t="str">
        <f>"1552382472712601"</f>
        <v>1552382472712601</v>
      </c>
      <c r="C1349" t="s">
        <v>40</v>
      </c>
      <c r="D1349">
        <v>3.4607209999999999</v>
      </c>
      <c r="E1349">
        <v>0.55913210000000002</v>
      </c>
      <c r="F1349" t="s">
        <v>41</v>
      </c>
      <c r="G1349">
        <v>-248.0264</v>
      </c>
      <c r="H1349">
        <v>1.023712</v>
      </c>
      <c r="I1349">
        <v>367.3331</v>
      </c>
      <c r="J1349">
        <v>-248.71770000000001</v>
      </c>
      <c r="K1349">
        <v>1.110401</v>
      </c>
      <c r="L1349">
        <v>367.45839999999998</v>
      </c>
      <c r="M1349">
        <v>0.99984859999999998</v>
      </c>
      <c r="N1349">
        <v>0</v>
      </c>
      <c r="O1349">
        <v>-1.0603929999999999E-2</v>
      </c>
      <c r="P1349">
        <v>0.98607</v>
      </c>
      <c r="Q1349">
        <v>0.1663029</v>
      </c>
      <c r="R1349">
        <v>-3.1057210000000001E-3</v>
      </c>
      <c r="S1349">
        <v>3.09613</v>
      </c>
      <c r="T1349">
        <v>-0.32797929999999997</v>
      </c>
      <c r="U1349">
        <v>-0.47796630000000001</v>
      </c>
      <c r="V1349">
        <v>-7.3452109999999999E-3</v>
      </c>
      <c r="W1349">
        <v>0.17989330000000001</v>
      </c>
      <c r="X1349">
        <v>0.9836587</v>
      </c>
      <c r="Y1349">
        <v>0.1413644</v>
      </c>
      <c r="Z1349">
        <v>-6.3095310000000002E-3</v>
      </c>
      <c r="AA1349">
        <v>0.98993750000000003</v>
      </c>
      <c r="AB1349">
        <v>29</v>
      </c>
      <c r="AC1349">
        <v>0.69130000000001202</v>
      </c>
      <c r="AD1349">
        <v>-8.6688999999999794E-2</v>
      </c>
      <c r="AE1349">
        <v>-0.12529999999998101</v>
      </c>
      <c r="AF1349">
        <v>0.116192728138259</v>
      </c>
      <c r="AG1349">
        <v>-8.6688999999999794E-2</v>
      </c>
      <c r="AH1349">
        <v>0.68220339567227595</v>
      </c>
      <c r="AI1349">
        <v>97.140141766430403</v>
      </c>
      <c r="AJ1349">
        <v>80.334148551987496</v>
      </c>
      <c r="AK1349">
        <v>0.69743616615429005</v>
      </c>
      <c r="AL1349">
        <v>79.636455049565797</v>
      </c>
      <c r="AM1349">
        <v>90.427833117380302</v>
      </c>
      <c r="AN1349">
        <v>0.99999999479760704</v>
      </c>
    </row>
    <row r="1350" spans="1:40" x14ac:dyDescent="0.25">
      <c r="A1350" t="str">
        <f>"20190312172112733"</f>
        <v>20190312172112733</v>
      </c>
      <c r="B1350" t="str">
        <f>"1552382472722361"</f>
        <v>1552382472722361</v>
      </c>
      <c r="C1350" t="s">
        <v>40</v>
      </c>
      <c r="D1350">
        <v>3.4651830000000001</v>
      </c>
      <c r="E1350">
        <v>0.55868209999999996</v>
      </c>
      <c r="F1350" t="s">
        <v>41</v>
      </c>
      <c r="G1350">
        <v>-247.77070000000001</v>
      </c>
      <c r="H1350">
        <v>1.0152680000000001</v>
      </c>
      <c r="I1350">
        <v>367.31290000000001</v>
      </c>
      <c r="J1350">
        <v>-248.57769999999999</v>
      </c>
      <c r="K1350">
        <v>1.1104000000000001</v>
      </c>
      <c r="L1350">
        <v>367.45699999999999</v>
      </c>
      <c r="M1350">
        <v>0.99984870000000003</v>
      </c>
      <c r="N1350">
        <v>0</v>
      </c>
      <c r="O1350">
        <v>-1.0603919999999999E-2</v>
      </c>
      <c r="P1350">
        <v>0.98608759999999995</v>
      </c>
      <c r="Q1350">
        <v>0.1661986</v>
      </c>
      <c r="R1350">
        <v>-3.1029149999999999E-3</v>
      </c>
      <c r="S1350">
        <v>3.0933069999999998</v>
      </c>
      <c r="T1350">
        <v>-0.31076920000000002</v>
      </c>
      <c r="U1350">
        <v>-0.47509770000000001</v>
      </c>
      <c r="V1350">
        <v>-7.3486369999999999E-3</v>
      </c>
      <c r="W1350">
        <v>0.17978829999999901</v>
      </c>
      <c r="X1350">
        <v>0.98367789999999999</v>
      </c>
      <c r="Y1350">
        <v>0.14067869999999999</v>
      </c>
      <c r="Z1350">
        <v>-5.9517479999999998E-3</v>
      </c>
      <c r="AA1350">
        <v>0.99003739999999996</v>
      </c>
      <c r="AB1350">
        <v>29</v>
      </c>
      <c r="AC1350">
        <v>0.80699999999998795</v>
      </c>
      <c r="AD1350">
        <v>-9.5131999999999994E-2</v>
      </c>
      <c r="AE1350">
        <v>-0.14409999999997999</v>
      </c>
      <c r="AF1350">
        <v>0.133732723634922</v>
      </c>
      <c r="AG1350">
        <v>-9.5131999999999994E-2</v>
      </c>
      <c r="AH1350">
        <v>0.79773952743409104</v>
      </c>
      <c r="AI1350">
        <v>96.707787558450605</v>
      </c>
      <c r="AJ1350">
        <v>80.483448825073395</v>
      </c>
      <c r="AK1350">
        <v>0.81444637173087198</v>
      </c>
      <c r="AL1350">
        <v>79.6425711161625</v>
      </c>
      <c r="AM1350">
        <v>90.428024308318598</v>
      </c>
      <c r="AN1350">
        <v>1.0000000231155199</v>
      </c>
    </row>
    <row r="1351" spans="1:40" x14ac:dyDescent="0.25">
      <c r="A1351" t="str">
        <f>"20190312172112744"</f>
        <v>20190312172112744</v>
      </c>
      <c r="B1351" t="str">
        <f>"1552382472732121"</f>
        <v>1552382472732121</v>
      </c>
      <c r="C1351" t="s">
        <v>40</v>
      </c>
      <c r="D1351">
        <v>3.4708190000000001</v>
      </c>
      <c r="E1351">
        <v>0.55824110000000005</v>
      </c>
      <c r="F1351" t="s">
        <v>41</v>
      </c>
      <c r="G1351">
        <v>-247.7628</v>
      </c>
      <c r="H1351">
        <v>1.0315840000000001</v>
      </c>
      <c r="I1351">
        <v>367.33260000000001</v>
      </c>
      <c r="J1351">
        <v>-248.4299</v>
      </c>
      <c r="K1351">
        <v>1.1103989999999999</v>
      </c>
      <c r="L1351">
        <v>367.4554</v>
      </c>
      <c r="M1351">
        <v>0.99984879999999998</v>
      </c>
      <c r="N1351">
        <v>0</v>
      </c>
      <c r="O1351">
        <v>-1.0603919999999999E-2</v>
      </c>
      <c r="P1351">
        <v>0.98609570000000002</v>
      </c>
      <c r="Q1351">
        <v>0.16614909999999999</v>
      </c>
      <c r="R1351">
        <v>-3.184185E-3</v>
      </c>
      <c r="S1351">
        <v>3.0912480000000002</v>
      </c>
      <c r="T1351">
        <v>-0.29903170000000001</v>
      </c>
      <c r="U1351">
        <v>-0.47140500000000002</v>
      </c>
      <c r="V1351">
        <v>-7.2666190000000002E-3</v>
      </c>
      <c r="W1351">
        <v>0.17973810000000001</v>
      </c>
      <c r="X1351">
        <v>0.9836876</v>
      </c>
      <c r="Y1351">
        <v>0.13967309999999999</v>
      </c>
      <c r="Z1351">
        <v>-5.6840170000000004E-3</v>
      </c>
      <c r="AA1351">
        <v>0.99018139999999999</v>
      </c>
      <c r="AB1351">
        <v>29</v>
      </c>
      <c r="AC1351">
        <v>0.66710000000000402</v>
      </c>
      <c r="AD1351">
        <v>-7.8814999999999802E-2</v>
      </c>
      <c r="AE1351">
        <v>-0.12279999999998301</v>
      </c>
      <c r="AF1351">
        <v>0.114177052188873</v>
      </c>
      <c r="AG1351">
        <v>-7.8814999999999802E-2</v>
      </c>
      <c r="AH1351">
        <v>0.659461434605356</v>
      </c>
      <c r="AI1351">
        <v>96.716342822052098</v>
      </c>
      <c r="AJ1351">
        <v>80.177367663047406</v>
      </c>
      <c r="AK1351">
        <v>0.67389731206118897</v>
      </c>
      <c r="AL1351">
        <v>79.645494138672206</v>
      </c>
      <c r="AM1351">
        <v>90.423243138365294</v>
      </c>
      <c r="AN1351">
        <v>0.99999994136852899</v>
      </c>
    </row>
    <row r="1352" spans="1:40" x14ac:dyDescent="0.25">
      <c r="A1352" t="str">
        <f>"20190312172112755"</f>
        <v>20190312172112755</v>
      </c>
      <c r="B1352" t="str">
        <f>"1552382472752618"</f>
        <v>1552382472752618</v>
      </c>
      <c r="C1352" t="s">
        <v>40</v>
      </c>
      <c r="D1352">
        <v>3.4545159999999999</v>
      </c>
      <c r="E1352">
        <v>0.55789709999999904</v>
      </c>
      <c r="F1352" t="s">
        <v>41</v>
      </c>
      <c r="G1352">
        <v>-247.50710000000001</v>
      </c>
      <c r="H1352">
        <v>1.0237480000000001</v>
      </c>
      <c r="I1352">
        <v>367.31529999999998</v>
      </c>
      <c r="J1352">
        <v>-248.2868</v>
      </c>
      <c r="K1352">
        <v>1.1104050000000001</v>
      </c>
      <c r="L1352">
        <v>367.45389999999998</v>
      </c>
      <c r="M1352">
        <v>0.99984870000000003</v>
      </c>
      <c r="N1352">
        <v>0</v>
      </c>
      <c r="O1352">
        <v>-1.060379E-2</v>
      </c>
      <c r="P1352">
        <v>0.98606559999999999</v>
      </c>
      <c r="Q1352">
        <v>0.1663279</v>
      </c>
      <c r="R1352">
        <v>-3.1573460000000001E-3</v>
      </c>
      <c r="S1352">
        <v>3.0896759999999999</v>
      </c>
      <c r="T1352">
        <v>-0.29031790000000002</v>
      </c>
      <c r="U1352">
        <v>-0.4681091</v>
      </c>
      <c r="V1352">
        <v>-7.2931159999999997E-3</v>
      </c>
      <c r="W1352">
        <v>0.1799154</v>
      </c>
      <c r="X1352">
        <v>0.98365499999999995</v>
      </c>
      <c r="Y1352">
        <v>0.13875279999999901</v>
      </c>
      <c r="Z1352">
        <v>-5.4794209999999999E-3</v>
      </c>
      <c r="AA1352">
        <v>0.99031190000000002</v>
      </c>
      <c r="AB1352">
        <v>29</v>
      </c>
      <c r="AC1352">
        <v>0.77969999999999096</v>
      </c>
      <c r="AD1352">
        <v>-8.6656999999999901E-2</v>
      </c>
      <c r="AE1352">
        <v>-0.138599999999996</v>
      </c>
      <c r="AF1352">
        <v>0.12878160650171</v>
      </c>
      <c r="AG1352">
        <v>-8.6656999999999901E-2</v>
      </c>
      <c r="AH1352">
        <v>0.77188340349460405</v>
      </c>
      <c r="AI1352">
        <v>96.318978546072401</v>
      </c>
      <c r="AJ1352">
        <v>80.527973360069097</v>
      </c>
      <c r="AK1352">
        <v>0.78733609495092705</v>
      </c>
      <c r="AL1352">
        <v>79.635167339473995</v>
      </c>
      <c r="AM1352">
        <v>90.4248004733507</v>
      </c>
      <c r="AN1352">
        <v>0.99999994986157303</v>
      </c>
    </row>
    <row r="1353" spans="1:40" x14ac:dyDescent="0.25">
      <c r="A1353" t="str">
        <f>"20190312172112767"</f>
        <v>20190312172112767</v>
      </c>
      <c r="B1353" t="str">
        <f>"1552382472762377"</f>
        <v>1552382472762377</v>
      </c>
      <c r="C1353" t="s">
        <v>40</v>
      </c>
      <c r="D1353">
        <v>3.4460769999999998</v>
      </c>
      <c r="E1353">
        <v>0.55782919999999903</v>
      </c>
      <c r="F1353" t="s">
        <v>41</v>
      </c>
      <c r="G1353">
        <v>-247.49930000000001</v>
      </c>
      <c r="H1353">
        <v>1.0397449999999999</v>
      </c>
      <c r="I1353">
        <v>367.33479999999997</v>
      </c>
      <c r="J1353">
        <v>-248.13630000000001</v>
      </c>
      <c r="K1353">
        <v>1.110406</v>
      </c>
      <c r="L1353">
        <v>367.45229999999998</v>
      </c>
      <c r="M1353">
        <v>0.99984879999999998</v>
      </c>
      <c r="N1353">
        <v>0</v>
      </c>
      <c r="O1353">
        <v>-1.060378E-2</v>
      </c>
      <c r="P1353">
        <v>0.98611890000000002</v>
      </c>
      <c r="Q1353">
        <v>0.16601150000000001</v>
      </c>
      <c r="R1353">
        <v>-3.1401770000000001E-3</v>
      </c>
      <c r="S1353">
        <v>3.0876619999999999</v>
      </c>
      <c r="T1353">
        <v>-0.27730179999999999</v>
      </c>
      <c r="U1353">
        <v>-0.46548460000000003</v>
      </c>
      <c r="V1353">
        <v>-7.31089999999999E-3</v>
      </c>
      <c r="W1353">
        <v>0.1795987</v>
      </c>
      <c r="X1353">
        <v>0.98371280000000005</v>
      </c>
      <c r="Y1353">
        <v>0.1380757</v>
      </c>
      <c r="Z1353">
        <v>-5.2082650000000001E-3</v>
      </c>
      <c r="AA1353">
        <v>0.99040799999999996</v>
      </c>
      <c r="AB1353">
        <v>29</v>
      </c>
      <c r="AC1353">
        <v>0.63700000000000001</v>
      </c>
      <c r="AD1353">
        <v>-7.0660999999999793E-2</v>
      </c>
      <c r="AE1353">
        <v>-0.117500000000006</v>
      </c>
      <c r="AF1353">
        <v>0.109435848475368</v>
      </c>
      <c r="AG1353">
        <v>-7.0660999999999793E-2</v>
      </c>
      <c r="AH1353">
        <v>0.63070480800907702</v>
      </c>
      <c r="AI1353">
        <v>96.299127467841998</v>
      </c>
      <c r="AJ1353">
        <v>80.156410257082996</v>
      </c>
      <c r="AK1353">
        <v>0.64401687609742797</v>
      </c>
      <c r="AL1353">
        <v>79.653613984650207</v>
      </c>
      <c r="AM1353">
        <v>90.425811275929206</v>
      </c>
      <c r="AN1353">
        <v>1.00000000759217</v>
      </c>
    </row>
    <row r="1354" spans="1:40" x14ac:dyDescent="0.25">
      <c r="A1354" t="str">
        <f>"20190312172112777"</f>
        <v>20190312172112777</v>
      </c>
      <c r="B1354" t="str">
        <f>"1552382472772138"</f>
        <v>1552382472772138</v>
      </c>
      <c r="C1354" t="s">
        <v>40</v>
      </c>
      <c r="D1354">
        <v>3.4462030000000001</v>
      </c>
      <c r="E1354">
        <v>0.55773709999999999</v>
      </c>
      <c r="F1354" t="s">
        <v>41</v>
      </c>
      <c r="G1354">
        <v>-247.24440000000001</v>
      </c>
      <c r="H1354">
        <v>1.0310159999999999</v>
      </c>
      <c r="I1354">
        <v>367.31799999999998</v>
      </c>
      <c r="J1354">
        <v>-247.98820000000001</v>
      </c>
      <c r="K1354">
        <v>1.1104080000000001</v>
      </c>
      <c r="L1354">
        <v>367.45069999999998</v>
      </c>
      <c r="M1354">
        <v>0.99984859999999998</v>
      </c>
      <c r="N1354">
        <v>0</v>
      </c>
      <c r="O1354">
        <v>-1.0603660000000001E-2</v>
      </c>
      <c r="P1354">
        <v>0.98612460000000002</v>
      </c>
      <c r="Q1354">
        <v>0.16597870000000001</v>
      </c>
      <c r="R1354">
        <v>-3.074037E-3</v>
      </c>
      <c r="S1354">
        <v>3.0870060000000001</v>
      </c>
      <c r="T1354">
        <v>-0.27485530000000002</v>
      </c>
      <c r="U1354">
        <v>-0.4645996</v>
      </c>
      <c r="V1354">
        <v>-7.3770859999999997E-3</v>
      </c>
      <c r="W1354">
        <v>0.179565</v>
      </c>
      <c r="X1354">
        <v>0.98371850000000005</v>
      </c>
      <c r="Y1354">
        <v>0.13783870000000001</v>
      </c>
      <c r="Z1354">
        <v>-5.15322E-3</v>
      </c>
      <c r="AA1354">
        <v>0.99044129999999997</v>
      </c>
      <c r="AB1354">
        <v>29</v>
      </c>
      <c r="AC1354">
        <v>0.74379999999999302</v>
      </c>
      <c r="AD1354">
        <v>-7.9392000000000101E-2</v>
      </c>
      <c r="AE1354">
        <v>-0.132699999999942</v>
      </c>
      <c r="AF1354">
        <v>0.123441786529736</v>
      </c>
      <c r="AG1354">
        <v>-7.9392000000000101E-2</v>
      </c>
      <c r="AH1354">
        <v>0.73702743043252705</v>
      </c>
      <c r="AI1354">
        <v>96.064322339147296</v>
      </c>
      <c r="AJ1354">
        <v>80.492007513408197</v>
      </c>
      <c r="AK1354">
        <v>0.75149876748776301</v>
      </c>
      <c r="AL1354">
        <v>79.655577193544303</v>
      </c>
      <c r="AM1354">
        <v>90.429663536594902</v>
      </c>
      <c r="AN1354">
        <v>1.00000004893254</v>
      </c>
    </row>
    <row r="1355" spans="1:40" x14ac:dyDescent="0.25">
      <c r="A1355" t="str">
        <f>"20190312172112790"</f>
        <v>20190312172112790</v>
      </c>
      <c r="B1355" t="str">
        <f>"1552382472782874"</f>
        <v>1552382472782874</v>
      </c>
      <c r="C1355" t="s">
        <v>40</v>
      </c>
      <c r="D1355">
        <v>3.4486970000000001</v>
      </c>
      <c r="E1355">
        <v>0.55768669999999998</v>
      </c>
      <c r="F1355" t="s">
        <v>41</v>
      </c>
      <c r="G1355">
        <v>-247.23660000000001</v>
      </c>
      <c r="H1355">
        <v>1.0444230000000001</v>
      </c>
      <c r="I1355">
        <v>367.33760000000001</v>
      </c>
      <c r="J1355">
        <v>-247.8347</v>
      </c>
      <c r="K1355">
        <v>1.1104099999999999</v>
      </c>
      <c r="L1355">
        <v>367.44909999999999</v>
      </c>
      <c r="M1355">
        <v>0.99984879999999998</v>
      </c>
      <c r="N1355">
        <v>0</v>
      </c>
      <c r="O1355">
        <v>-1.060377E-2</v>
      </c>
      <c r="P1355">
        <v>0.9860913</v>
      </c>
      <c r="Q1355">
        <v>0.1661743</v>
      </c>
      <c r="R1355">
        <v>-3.2088440000000002E-3</v>
      </c>
      <c r="S1355">
        <v>3.086395</v>
      </c>
      <c r="T1355">
        <v>-0.27104830000000002</v>
      </c>
      <c r="U1355">
        <v>-0.46398929999999999</v>
      </c>
      <c r="V1355">
        <v>-7.2421999999999999E-3</v>
      </c>
      <c r="W1355">
        <v>0.17975869999999999</v>
      </c>
      <c r="X1355">
        <v>0.98368409999999995</v>
      </c>
      <c r="Y1355">
        <v>0.1376898</v>
      </c>
      <c r="Z1355">
        <v>-5.0766780000000003E-3</v>
      </c>
      <c r="AA1355">
        <v>0.99046239999999997</v>
      </c>
      <c r="AB1355">
        <v>29</v>
      </c>
      <c r="AC1355">
        <v>0.59809999999998797</v>
      </c>
      <c r="AD1355">
        <v>-6.5987000000000198E-2</v>
      </c>
      <c r="AE1355">
        <v>-0.11149999999997801</v>
      </c>
      <c r="AF1355">
        <v>0.103928462844344</v>
      </c>
      <c r="AG1355">
        <v>-6.5987000000000198E-2</v>
      </c>
      <c r="AH1355">
        <v>0.59228156681408295</v>
      </c>
      <c r="AI1355">
        <v>96.262294171085998</v>
      </c>
      <c r="AJ1355">
        <v>80.047551149570594</v>
      </c>
      <c r="AK1355">
        <v>0.60494038048879994</v>
      </c>
      <c r="AL1355">
        <v>79.644295169976303</v>
      </c>
      <c r="AM1355">
        <v>90.421822409643397</v>
      </c>
      <c r="AN1355">
        <v>1.00000002413966</v>
      </c>
    </row>
    <row r="1356" spans="1:40" x14ac:dyDescent="0.25">
      <c r="A1356" t="str">
        <f>"20190312172112804"</f>
        <v>20190312172112804</v>
      </c>
      <c r="B1356" t="str">
        <f>"1552382472792633"</f>
        <v>1552382472792633</v>
      </c>
      <c r="C1356" t="s">
        <v>40</v>
      </c>
      <c r="D1356">
        <v>3.4720930000000001</v>
      </c>
      <c r="E1356">
        <v>0.55767250000000002</v>
      </c>
      <c r="F1356" t="s">
        <v>41</v>
      </c>
      <c r="G1356">
        <v>-246.98269999999999</v>
      </c>
      <c r="H1356">
        <v>1.0365</v>
      </c>
      <c r="I1356">
        <v>367.32069999999999</v>
      </c>
      <c r="J1356">
        <v>-247.66079999999999</v>
      </c>
      <c r="K1356">
        <v>1.110412</v>
      </c>
      <c r="L1356">
        <v>367.44720000000001</v>
      </c>
      <c r="M1356">
        <v>0.99984870000000003</v>
      </c>
      <c r="N1356">
        <v>0</v>
      </c>
      <c r="O1356">
        <v>-1.0603639999999999E-2</v>
      </c>
      <c r="P1356">
        <v>0.98608589999999996</v>
      </c>
      <c r="Q1356">
        <v>0.16620489999999999</v>
      </c>
      <c r="R1356">
        <v>-3.2510339999999999E-3</v>
      </c>
      <c r="S1356">
        <v>3.0859529999999999</v>
      </c>
      <c r="T1356">
        <v>-0.26801029999999998</v>
      </c>
      <c r="U1356">
        <v>-0.4639587</v>
      </c>
      <c r="V1356">
        <v>-7.1994769999999897E-3</v>
      </c>
      <c r="W1356">
        <v>0.17978820000000001</v>
      </c>
      <c r="X1356">
        <v>0.98367899999999997</v>
      </c>
      <c r="Y1356">
        <v>0.13771159999999999</v>
      </c>
      <c r="Z1356">
        <v>-5.0216549999999999E-3</v>
      </c>
      <c r="AA1356">
        <v>0.9904596</v>
      </c>
      <c r="AB1356">
        <v>29</v>
      </c>
      <c r="AC1356">
        <v>0.67810000000000004</v>
      </c>
      <c r="AD1356">
        <v>-7.39120000000002E-2</v>
      </c>
      <c r="AE1356">
        <v>-0.12650000000002101</v>
      </c>
      <c r="AF1356">
        <v>0.117947699207711</v>
      </c>
      <c r="AG1356">
        <v>-7.39120000000002E-2</v>
      </c>
      <c r="AH1356">
        <v>0.67169156399998098</v>
      </c>
      <c r="AI1356">
        <v>96.185592829087796</v>
      </c>
      <c r="AJ1356">
        <v>80.040512789845906</v>
      </c>
      <c r="AK1356">
        <v>0.68596224432626995</v>
      </c>
      <c r="AL1356">
        <v>79.642576721465701</v>
      </c>
      <c r="AM1356">
        <v>90.419336268863901</v>
      </c>
      <c r="AN1356">
        <v>1.00000000218465</v>
      </c>
    </row>
    <row r="1357" spans="1:40" x14ac:dyDescent="0.25">
      <c r="A1357" t="str">
        <f>"20190312172112818"</f>
        <v>20190312172112818</v>
      </c>
      <c r="B1357" t="str">
        <f>"1552382472812153"</f>
        <v>1552382472812153</v>
      </c>
      <c r="C1357" t="s">
        <v>40</v>
      </c>
      <c r="D1357">
        <v>3.4525960000000002</v>
      </c>
      <c r="E1357">
        <v>0.55776139999999996</v>
      </c>
      <c r="F1357" t="s">
        <v>41</v>
      </c>
      <c r="G1357">
        <v>-246.72720000000001</v>
      </c>
      <c r="H1357">
        <v>1.030006</v>
      </c>
      <c r="I1357">
        <v>367.30680000000001</v>
      </c>
      <c r="J1357">
        <v>-247.4785</v>
      </c>
      <c r="K1357">
        <v>1.1104130000000001</v>
      </c>
      <c r="L1357">
        <v>367.44529999999997</v>
      </c>
      <c r="M1357">
        <v>0.99984870000000003</v>
      </c>
      <c r="N1357">
        <v>0</v>
      </c>
      <c r="O1357">
        <v>-1.0603390000000001E-2</v>
      </c>
      <c r="P1357">
        <v>0.9860603</v>
      </c>
      <c r="Q1357">
        <v>0.1663558</v>
      </c>
      <c r="R1357">
        <v>-3.2988039999999998E-3</v>
      </c>
      <c r="S1357">
        <v>3.0856170000000001</v>
      </c>
      <c r="T1357">
        <v>-0.26584960000000002</v>
      </c>
      <c r="U1357">
        <v>-0.46389770000000002</v>
      </c>
      <c r="V1357">
        <v>-7.1519050000000001E-3</v>
      </c>
      <c r="W1357">
        <v>0.1799374</v>
      </c>
      <c r="X1357">
        <v>0.98365210000000003</v>
      </c>
      <c r="Y1357">
        <v>0.137715899999999</v>
      </c>
      <c r="Z1357">
        <v>-4.9820649999999999E-3</v>
      </c>
      <c r="AA1357">
        <v>0.99045930000000004</v>
      </c>
      <c r="AB1357">
        <v>29</v>
      </c>
      <c r="AC1357">
        <v>0.75129999999998598</v>
      </c>
      <c r="AD1357">
        <v>-8.0406999999999895E-2</v>
      </c>
      <c r="AE1357">
        <v>-0.13849999999996401</v>
      </c>
      <c r="AF1357">
        <v>0.12909505962957599</v>
      </c>
      <c r="AG1357">
        <v>-8.0406999999999895E-2</v>
      </c>
      <c r="AH1357">
        <v>0.74447939152736498</v>
      </c>
      <c r="AI1357">
        <v>96.074343365459299</v>
      </c>
      <c r="AJ1357">
        <v>80.162553453778997</v>
      </c>
      <c r="AK1357">
        <v>0.75985550236786503</v>
      </c>
      <c r="AL1357">
        <v>79.633886819746806</v>
      </c>
      <c r="AM1357">
        <v>90.416576909089102</v>
      </c>
      <c r="AN1357">
        <v>1.0000000357491401</v>
      </c>
    </row>
    <row r="1358" spans="1:40" x14ac:dyDescent="0.25">
      <c r="A1358" t="str">
        <f>"20190312172112831"</f>
        <v>20190312172112831</v>
      </c>
      <c r="B1358" t="str">
        <f>"1552382472822889"</f>
        <v>1552382472822889</v>
      </c>
      <c r="C1358" t="s">
        <v>40</v>
      </c>
      <c r="D1358">
        <v>3.4575279999999999</v>
      </c>
      <c r="E1358">
        <v>0.55781369999999997</v>
      </c>
      <c r="F1358" t="s">
        <v>41</v>
      </c>
      <c r="G1358">
        <v>-246.7175</v>
      </c>
      <c r="H1358">
        <v>1.0458149999999999</v>
      </c>
      <c r="I1358">
        <v>367.3306</v>
      </c>
      <c r="J1358">
        <v>-247.30520000000001</v>
      </c>
      <c r="K1358">
        <v>1.110411</v>
      </c>
      <c r="L1358">
        <v>367.44349999999997</v>
      </c>
      <c r="M1358">
        <v>0.99984870000000003</v>
      </c>
      <c r="N1358">
        <v>0</v>
      </c>
      <c r="O1358">
        <v>-1.060326E-2</v>
      </c>
      <c r="P1358">
        <v>0.98599820000000005</v>
      </c>
      <c r="Q1358">
        <v>0.16672110000000001</v>
      </c>
      <c r="R1358">
        <v>-3.4870610000000001E-3</v>
      </c>
      <c r="S1358">
        <v>3.0850680000000001</v>
      </c>
      <c r="T1358">
        <v>-0.26203070000000001</v>
      </c>
      <c r="U1358">
        <v>-0.46466059999999998</v>
      </c>
      <c r="V1358">
        <v>-6.9628789999999999E-3</v>
      </c>
      <c r="W1358">
        <v>0.1803004</v>
      </c>
      <c r="X1358">
        <v>0.98358699999999999</v>
      </c>
      <c r="Y1358">
        <v>0.13799349999999999</v>
      </c>
      <c r="Z1358">
        <v>-4.9232349999999998E-3</v>
      </c>
      <c r="AA1358">
        <v>0.99042090000000005</v>
      </c>
      <c r="AB1358">
        <v>29</v>
      </c>
      <c r="AC1358">
        <v>0.58770000000001199</v>
      </c>
      <c r="AD1358">
        <v>-6.4596000000000098E-2</v>
      </c>
      <c r="AE1358">
        <v>-0.112899999999967</v>
      </c>
      <c r="AF1358">
        <v>0.105433127805696</v>
      </c>
      <c r="AG1358">
        <v>-6.4596000000000098E-2</v>
      </c>
      <c r="AH1358">
        <v>0.58208236680527803</v>
      </c>
      <c r="AI1358">
        <v>96.231844481033605</v>
      </c>
      <c r="AJ1358">
        <v>79.733274010765797</v>
      </c>
      <c r="AK1358">
        <v>0.59507030626685398</v>
      </c>
      <c r="AL1358">
        <v>79.612742798791004</v>
      </c>
      <c r="AM1358">
        <v>90.405593929207498</v>
      </c>
      <c r="AN1358">
        <v>1.0000000512465601</v>
      </c>
    </row>
    <row r="1359" spans="1:40" x14ac:dyDescent="0.25">
      <c r="A1359" t="str">
        <f>"20190312172112846"</f>
        <v>20190312172112846</v>
      </c>
      <c r="B1359" t="str">
        <f>"1552382472842409"</f>
        <v>1552382472842409</v>
      </c>
      <c r="C1359" t="s">
        <v>40</v>
      </c>
      <c r="D1359">
        <v>3.454218</v>
      </c>
      <c r="E1359">
        <v>0.55791880000000005</v>
      </c>
      <c r="F1359" t="s">
        <v>41</v>
      </c>
      <c r="G1359">
        <v>-246.4632</v>
      </c>
      <c r="H1359">
        <v>1.0395350000000001</v>
      </c>
      <c r="I1359">
        <v>367.31619999999998</v>
      </c>
      <c r="J1359">
        <v>-247.1146</v>
      </c>
      <c r="K1359">
        <v>1.110412</v>
      </c>
      <c r="L1359">
        <v>367.44150000000002</v>
      </c>
      <c r="M1359">
        <v>0.99984879999999998</v>
      </c>
      <c r="N1359">
        <v>0</v>
      </c>
      <c r="O1359">
        <v>-1.060325E-2</v>
      </c>
      <c r="P1359">
        <v>0.9859696</v>
      </c>
      <c r="Q1359">
        <v>0.16688789999999901</v>
      </c>
      <c r="R1359">
        <v>-3.527241E-3</v>
      </c>
      <c r="S1359">
        <v>3.0848689999999999</v>
      </c>
      <c r="T1359">
        <v>-0.25992789999999999</v>
      </c>
      <c r="U1359">
        <v>-0.46578979999999998</v>
      </c>
      <c r="V1359">
        <v>-6.9213929999999996E-3</v>
      </c>
      <c r="W1359">
        <v>0.18046509999999999</v>
      </c>
      <c r="X1359">
        <v>0.98355700000000001</v>
      </c>
      <c r="Y1359">
        <v>0.13836319999999999</v>
      </c>
      <c r="Z1359">
        <v>-4.8995050000000002E-3</v>
      </c>
      <c r="AA1359">
        <v>0.99036939999999996</v>
      </c>
      <c r="AB1359">
        <v>29</v>
      </c>
      <c r="AC1359">
        <v>0.65139999999999498</v>
      </c>
      <c r="AD1359">
        <v>-7.0876999999999996E-2</v>
      </c>
      <c r="AE1359">
        <v>-0.12530000000003799</v>
      </c>
      <c r="AF1359">
        <v>0.11704904133911199</v>
      </c>
      <c r="AG1359">
        <v>-7.0876999999999996E-2</v>
      </c>
      <c r="AH1359">
        <v>0.64532468325252701</v>
      </c>
      <c r="AI1359">
        <v>96.167918597236195</v>
      </c>
      <c r="AJ1359">
        <v>79.719453659076706</v>
      </c>
      <c r="AK1359">
        <v>0.65967262640068602</v>
      </c>
      <c r="AL1359">
        <v>79.603147903969599</v>
      </c>
      <c r="AM1359">
        <v>90.403189709740005</v>
      </c>
      <c r="AN1359">
        <v>0.999999965124034</v>
      </c>
    </row>
    <row r="1360" spans="1:40" x14ac:dyDescent="0.25">
      <c r="A1360" t="str">
        <f>"20190312172112858"</f>
        <v>20190312172112858</v>
      </c>
      <c r="B1360" t="str">
        <f>"1552382472852170"</f>
        <v>1552382472852170</v>
      </c>
      <c r="C1360" t="s">
        <v>40</v>
      </c>
      <c r="D1360">
        <v>3.4489779999999999</v>
      </c>
      <c r="E1360">
        <v>0.55793919999999997</v>
      </c>
      <c r="F1360" t="s">
        <v>41</v>
      </c>
      <c r="G1360">
        <v>-246.208</v>
      </c>
      <c r="H1360">
        <v>1.03487</v>
      </c>
      <c r="I1360">
        <v>367.30419999999998</v>
      </c>
      <c r="J1360">
        <v>-246.9605</v>
      </c>
      <c r="K1360">
        <v>1.1104149999999999</v>
      </c>
      <c r="L1360">
        <v>367.43979999999999</v>
      </c>
      <c r="M1360">
        <v>0.99984870000000003</v>
      </c>
      <c r="N1360">
        <v>0</v>
      </c>
      <c r="O1360">
        <v>-1.060301E-2</v>
      </c>
      <c r="P1360">
        <v>0.98597639999999998</v>
      </c>
      <c r="Q1360">
        <v>0.16684589999999999</v>
      </c>
      <c r="R1360">
        <v>-3.615746E-3</v>
      </c>
      <c r="S1360">
        <v>3.0845340000000001</v>
      </c>
      <c r="T1360">
        <v>-0.25709690000000002</v>
      </c>
      <c r="U1360">
        <v>-0.46676640000000003</v>
      </c>
      <c r="V1360">
        <v>-6.8332760000000001E-3</v>
      </c>
      <c r="W1360">
        <v>0.18042240000000001</v>
      </c>
      <c r="X1360">
        <v>0.98356549999999998</v>
      </c>
      <c r="Y1360">
        <v>0.13869419999999999</v>
      </c>
      <c r="Z1360">
        <v>-4.8604449999999997E-3</v>
      </c>
      <c r="AA1360">
        <v>0.99032330000000002</v>
      </c>
      <c r="AB1360">
        <v>29</v>
      </c>
      <c r="AC1360">
        <v>0.75249999999999695</v>
      </c>
      <c r="AD1360">
        <v>-7.5544999999999696E-2</v>
      </c>
      <c r="AE1360">
        <v>-0.13560000000000999</v>
      </c>
      <c r="AF1360">
        <v>0.12637919132938499</v>
      </c>
      <c r="AG1360">
        <v>-7.5544999999999696E-2</v>
      </c>
      <c r="AH1360">
        <v>0.74660752498015703</v>
      </c>
      <c r="AI1360">
        <v>95.697271517313396</v>
      </c>
      <c r="AJ1360">
        <v>80.392540885339798</v>
      </c>
      <c r="AK1360">
        <v>0.76098721630725596</v>
      </c>
      <c r="AL1360">
        <v>79.605635781352802</v>
      </c>
      <c r="AM1360">
        <v>90.398053384430597</v>
      </c>
      <c r="AN1360">
        <v>1.00000001443645</v>
      </c>
    </row>
    <row r="1361" spans="1:40" x14ac:dyDescent="0.25">
      <c r="A1361" t="str">
        <f>"20190312172112869"</f>
        <v>20190312172112869</v>
      </c>
      <c r="B1361" t="str">
        <f>"1552382472862905"</f>
        <v>1552382472862905</v>
      </c>
      <c r="C1361" t="s">
        <v>40</v>
      </c>
      <c r="D1361">
        <v>3.4522689999999998</v>
      </c>
      <c r="E1361">
        <v>0.55789730000000004</v>
      </c>
      <c r="F1361" t="s">
        <v>41</v>
      </c>
      <c r="G1361">
        <v>-246.1996</v>
      </c>
      <c r="H1361">
        <v>1.0471809999999999</v>
      </c>
      <c r="I1361">
        <v>367.3245</v>
      </c>
      <c r="J1361">
        <v>-246.81800000000001</v>
      </c>
      <c r="K1361">
        <v>1.1104149999999999</v>
      </c>
      <c r="L1361">
        <v>367.43830000000003</v>
      </c>
      <c r="M1361">
        <v>0.99984870000000003</v>
      </c>
      <c r="N1361">
        <v>0</v>
      </c>
      <c r="O1361">
        <v>-1.0603E-2</v>
      </c>
      <c r="P1361">
        <v>0.9859812</v>
      </c>
      <c r="Q1361">
        <v>0.16682089999999999</v>
      </c>
      <c r="R1361">
        <v>-3.4417010000000001E-3</v>
      </c>
      <c r="S1361">
        <v>3.0843349999999998</v>
      </c>
      <c r="T1361">
        <v>-0.25643280000000002</v>
      </c>
      <c r="U1361">
        <v>-0.46713260000000001</v>
      </c>
      <c r="V1361">
        <v>-7.0068389999999999E-3</v>
      </c>
      <c r="W1361">
        <v>0.18039659999999999</v>
      </c>
      <c r="X1361">
        <v>0.98356900000000003</v>
      </c>
      <c r="Y1361">
        <v>0.13882039999999901</v>
      </c>
      <c r="Z1361">
        <v>-4.8534030000000001E-3</v>
      </c>
      <c r="AA1361">
        <v>0.99030569999999896</v>
      </c>
      <c r="AB1361">
        <v>29</v>
      </c>
      <c r="AC1361">
        <v>0.61839999999997897</v>
      </c>
      <c r="AD1361">
        <v>-6.3233999999999999E-2</v>
      </c>
      <c r="AE1361">
        <v>-0.11380000000002601</v>
      </c>
      <c r="AF1361">
        <v>0.10616241628668401</v>
      </c>
      <c r="AG1361">
        <v>-6.3233999999999999E-2</v>
      </c>
      <c r="AH1361">
        <v>0.61336870255111098</v>
      </c>
      <c r="AI1361">
        <v>95.800359781693501</v>
      </c>
      <c r="AJ1361">
        <v>80.180477291714695</v>
      </c>
      <c r="AK1361">
        <v>0.62569174731417099</v>
      </c>
      <c r="AL1361">
        <v>79.607138556762195</v>
      </c>
      <c r="AM1361">
        <v>90.408162021427003</v>
      </c>
      <c r="AN1361">
        <v>1.0000000034226599</v>
      </c>
    </row>
    <row r="1362" spans="1:40" x14ac:dyDescent="0.25">
      <c r="A1362" t="str">
        <f>"20190312172112878"</f>
        <v>20190312172112878</v>
      </c>
      <c r="B1362" t="str">
        <f>"1552382472872665"</f>
        <v>1552382472872665</v>
      </c>
      <c r="C1362" t="s">
        <v>40</v>
      </c>
      <c r="D1362">
        <v>3.4544839999999901</v>
      </c>
      <c r="E1362">
        <v>0.557942099999999</v>
      </c>
      <c r="F1362" t="s">
        <v>41</v>
      </c>
      <c r="G1362">
        <v>-245.94759999999999</v>
      </c>
      <c r="H1362">
        <v>1.0382929999999999</v>
      </c>
      <c r="I1362">
        <v>367.3064</v>
      </c>
      <c r="J1362">
        <v>-246.68639999999999</v>
      </c>
      <c r="K1362">
        <v>1.1104149999999999</v>
      </c>
      <c r="L1362">
        <v>367.43689999999998</v>
      </c>
      <c r="M1362">
        <v>0.99984870000000003</v>
      </c>
      <c r="N1362">
        <v>0</v>
      </c>
      <c r="O1362">
        <v>-1.060299E-2</v>
      </c>
      <c r="P1362">
        <v>0.98597020000000002</v>
      </c>
      <c r="Q1362">
        <v>0.16688459999999999</v>
      </c>
      <c r="R1362">
        <v>-3.5175430000000001E-3</v>
      </c>
      <c r="S1362">
        <v>3.0842900000000002</v>
      </c>
      <c r="T1362">
        <v>-0.25591839999999999</v>
      </c>
      <c r="U1362">
        <v>-0.4663696</v>
      </c>
      <c r="V1362">
        <v>-6.9317190000000002E-3</v>
      </c>
      <c r="W1362">
        <v>0.18045900000000001</v>
      </c>
      <c r="X1362">
        <v>0.98355809999999999</v>
      </c>
      <c r="Y1362">
        <v>0.1385856</v>
      </c>
      <c r="Z1362">
        <v>-4.8341909999999998E-3</v>
      </c>
      <c r="AA1362">
        <v>0.99033870000000002</v>
      </c>
      <c r="AB1362">
        <v>29</v>
      </c>
      <c r="AC1362">
        <v>0.73879999999999701</v>
      </c>
      <c r="AD1362">
        <v>-7.2121999999999797E-2</v>
      </c>
      <c r="AE1362">
        <v>-0.13049999999998299</v>
      </c>
      <c r="AF1362">
        <v>0.121535271022104</v>
      </c>
      <c r="AG1362">
        <v>-7.2121999999999797E-2</v>
      </c>
      <c r="AH1362">
        <v>0.73336495378977196</v>
      </c>
      <c r="AI1362">
        <v>95.541531174318095</v>
      </c>
      <c r="AJ1362">
        <v>80.590305512389406</v>
      </c>
      <c r="AK1362">
        <v>0.74685779130534002</v>
      </c>
      <c r="AL1362">
        <v>79.6035037953299</v>
      </c>
      <c r="AM1362">
        <v>90.403790755458303</v>
      </c>
      <c r="AN1362">
        <v>1.00000001774245</v>
      </c>
    </row>
    <row r="1363" spans="1:40" x14ac:dyDescent="0.25">
      <c r="A1363" t="str">
        <f>"20190312172112889"</f>
        <v>20190312172112889</v>
      </c>
      <c r="B1363" t="str">
        <f>"1552382472882427"</f>
        <v>1552382472882427</v>
      </c>
      <c r="C1363" t="s">
        <v>40</v>
      </c>
      <c r="D1363">
        <v>3.4536570000000002</v>
      </c>
      <c r="E1363">
        <v>0.55796250000000003</v>
      </c>
      <c r="F1363" t="s">
        <v>41</v>
      </c>
      <c r="G1363">
        <v>-245.94030000000001</v>
      </c>
      <c r="H1363">
        <v>1.0488710000000001</v>
      </c>
      <c r="I1363">
        <v>367.32369999999997</v>
      </c>
      <c r="J1363">
        <v>-246.5609</v>
      </c>
      <c r="K1363">
        <v>1.1104080000000001</v>
      </c>
      <c r="L1363">
        <v>367.43549999999999</v>
      </c>
      <c r="M1363">
        <v>0.99984890000000004</v>
      </c>
      <c r="N1363">
        <v>0</v>
      </c>
      <c r="O1363">
        <v>-1.060322E-2</v>
      </c>
      <c r="P1363">
        <v>0.98599460000000005</v>
      </c>
      <c r="Q1363">
        <v>0.16674129999999901</v>
      </c>
      <c r="R1363">
        <v>-3.54449E-3</v>
      </c>
      <c r="S1363">
        <v>3.0841669999999999</v>
      </c>
      <c r="T1363">
        <v>-0.25480009999999997</v>
      </c>
      <c r="U1363">
        <v>-0.46679690000000001</v>
      </c>
      <c r="V1363">
        <v>-6.9051729999999997E-3</v>
      </c>
      <c r="W1363">
        <v>0.180315</v>
      </c>
      <c r="X1363">
        <v>0.98358469999999998</v>
      </c>
      <c r="Y1363">
        <v>0.1387285</v>
      </c>
      <c r="Z1363">
        <v>-4.8191170000000004E-3</v>
      </c>
      <c r="AA1363">
        <v>0.9903187</v>
      </c>
      <c r="AB1363">
        <v>29</v>
      </c>
      <c r="AC1363">
        <v>0.62059999999999504</v>
      </c>
      <c r="AD1363">
        <v>-6.1537000000000099E-2</v>
      </c>
      <c r="AE1363">
        <v>-0.111800000000016</v>
      </c>
      <c r="AF1363">
        <v>0.104220230799434</v>
      </c>
      <c r="AG1363">
        <v>-6.1537000000000099E-2</v>
      </c>
      <c r="AH1363">
        <v>0.61588551500672795</v>
      </c>
      <c r="AI1363">
        <v>95.626380491384694</v>
      </c>
      <c r="AJ1363">
        <v>80.395388105872101</v>
      </c>
      <c r="AK1363">
        <v>0.62766521846601497</v>
      </c>
      <c r="AL1363">
        <v>79.611892027731599</v>
      </c>
      <c r="AM1363">
        <v>90.402233554544594</v>
      </c>
      <c r="AN1363">
        <v>1.00000002135662</v>
      </c>
    </row>
    <row r="1364" spans="1:40" x14ac:dyDescent="0.25">
      <c r="A1364" t="str">
        <f>"20190312172112899"</f>
        <v>20190312172112899</v>
      </c>
      <c r="B1364" t="str">
        <f>"1552382472892185"</f>
        <v>1552382472892185</v>
      </c>
      <c r="C1364" t="s">
        <v>40</v>
      </c>
      <c r="D1364">
        <v>3.4630169999999998</v>
      </c>
      <c r="E1364">
        <v>0.55797769999999902</v>
      </c>
      <c r="F1364" t="s">
        <v>41</v>
      </c>
      <c r="G1364">
        <v>-245.68969999999999</v>
      </c>
      <c r="H1364">
        <v>1.038564</v>
      </c>
      <c r="I1364">
        <v>367.30340000000001</v>
      </c>
      <c r="J1364">
        <v>-246.42959999999999</v>
      </c>
      <c r="K1364">
        <v>1.1104069999999999</v>
      </c>
      <c r="L1364">
        <v>367.4341</v>
      </c>
      <c r="M1364">
        <v>0.99984879999999998</v>
      </c>
      <c r="N1364">
        <v>0</v>
      </c>
      <c r="O1364">
        <v>-1.060298E-2</v>
      </c>
      <c r="P1364">
        <v>0.98597959999999996</v>
      </c>
      <c r="Q1364">
        <v>0.16683190000000001</v>
      </c>
      <c r="R1364">
        <v>-3.3619829999999998E-3</v>
      </c>
      <c r="S1364">
        <v>3.0839690000000002</v>
      </c>
      <c r="T1364">
        <v>-0.2545422</v>
      </c>
      <c r="U1364">
        <v>-0.46713260000000001</v>
      </c>
      <c r="V1364">
        <v>-7.0870300000000002E-3</v>
      </c>
      <c r="W1364">
        <v>0.1804046</v>
      </c>
      <c r="X1364">
        <v>0.98356690000000002</v>
      </c>
      <c r="Y1364">
        <v>0.138844</v>
      </c>
      <c r="Z1364">
        <v>-4.8192729999999998E-3</v>
      </c>
      <c r="AA1364">
        <v>0.99030260000000003</v>
      </c>
      <c r="AB1364">
        <v>29</v>
      </c>
      <c r="AC1364">
        <v>0.739900000000005</v>
      </c>
      <c r="AD1364">
        <v>-7.1842999999999796E-2</v>
      </c>
      <c r="AE1364">
        <v>-0.13069999999998999</v>
      </c>
      <c r="AF1364">
        <v>0.121733775882144</v>
      </c>
      <c r="AG1364">
        <v>-7.1842999999999796E-2</v>
      </c>
      <c r="AH1364">
        <v>0.73452870426028205</v>
      </c>
      <c r="AI1364">
        <v>95.511527869749003</v>
      </c>
      <c r="AJ1364">
        <v>80.589876960253804</v>
      </c>
      <c r="AK1364">
        <v>0.74800598007089003</v>
      </c>
      <c r="AL1364">
        <v>79.606671943800507</v>
      </c>
      <c r="AM1364">
        <v>90.412834024036002</v>
      </c>
      <c r="AN1364">
        <v>0.99999994623549304</v>
      </c>
    </row>
    <row r="1365" spans="1:40" x14ac:dyDescent="0.25">
      <c r="A1365" t="str">
        <f>"20190312172112909"</f>
        <v>20190312172112909</v>
      </c>
      <c r="B1365" t="str">
        <f>"1552382472901945"</f>
        <v>1552382472901945</v>
      </c>
      <c r="C1365" t="s">
        <v>40</v>
      </c>
      <c r="D1365">
        <v>3.4372790000000002</v>
      </c>
      <c r="E1365">
        <v>0.55800340000000004</v>
      </c>
      <c r="F1365" t="s">
        <v>41</v>
      </c>
      <c r="G1365">
        <v>-245.6824</v>
      </c>
      <c r="H1365">
        <v>1.049053</v>
      </c>
      <c r="I1365">
        <v>367.32089999999999</v>
      </c>
      <c r="J1365">
        <v>-246.2972</v>
      </c>
      <c r="K1365">
        <v>1.1104039999999999</v>
      </c>
      <c r="L1365">
        <v>367.43270000000001</v>
      </c>
      <c r="M1365">
        <v>0.99984890000000004</v>
      </c>
      <c r="N1365">
        <v>0</v>
      </c>
      <c r="O1365">
        <v>-1.060295E-2</v>
      </c>
      <c r="P1365">
        <v>0.98598739999999996</v>
      </c>
      <c r="Q1365">
        <v>0.16678119999999999</v>
      </c>
      <c r="R1365">
        <v>-3.5792210000000001E-3</v>
      </c>
      <c r="S1365">
        <v>3.0839539999999999</v>
      </c>
      <c r="T1365">
        <v>-0.25349300000000002</v>
      </c>
      <c r="U1365">
        <v>-0.46670529999999999</v>
      </c>
      <c r="V1365">
        <v>-6.8699499999999997E-3</v>
      </c>
      <c r="W1365">
        <v>0.1803506</v>
      </c>
      <c r="X1365">
        <v>0.98357839999999996</v>
      </c>
      <c r="Y1365">
        <v>0.13871449999999999</v>
      </c>
      <c r="Z1365">
        <v>-4.7942669999999996E-3</v>
      </c>
      <c r="AA1365">
        <v>0.9903208</v>
      </c>
      <c r="AB1365">
        <v>29</v>
      </c>
      <c r="AC1365">
        <v>0.61480000000000201</v>
      </c>
      <c r="AD1365">
        <v>-6.13510000000001E-2</v>
      </c>
      <c r="AE1365">
        <v>-0.111800000000016</v>
      </c>
      <c r="AF1365">
        <v>0.10426931664803001</v>
      </c>
      <c r="AG1365">
        <v>-6.13510000000001E-2</v>
      </c>
      <c r="AH1365">
        <v>0.61007029312723204</v>
      </c>
      <c r="AI1365">
        <v>95.661032492764605</v>
      </c>
      <c r="AJ1365">
        <v>80.301086640914406</v>
      </c>
      <c r="AK1365">
        <v>0.62194999650421601</v>
      </c>
      <c r="AL1365">
        <v>79.609818097691701</v>
      </c>
      <c r="AM1365">
        <v>90.400184407981698</v>
      </c>
      <c r="AN1365">
        <v>1.00000000203996</v>
      </c>
    </row>
    <row r="1366" spans="1:40" x14ac:dyDescent="0.25">
      <c r="A1366" t="str">
        <f>"20190312172112921"</f>
        <v>20190312172112921</v>
      </c>
      <c r="B1366" t="str">
        <f>"1552382472912681"</f>
        <v>1552382472912681</v>
      </c>
      <c r="C1366" t="s">
        <v>40</v>
      </c>
      <c r="D1366">
        <v>3.4527190000000001</v>
      </c>
      <c r="E1366">
        <v>0.55808179999999996</v>
      </c>
      <c r="F1366" t="s">
        <v>41</v>
      </c>
      <c r="G1366">
        <v>-245.4315</v>
      </c>
      <c r="H1366">
        <v>1.0394399999999999</v>
      </c>
      <c r="I1366">
        <v>367.30110000000002</v>
      </c>
      <c r="J1366">
        <v>-246.1463</v>
      </c>
      <c r="K1366">
        <v>1.1104069999999999</v>
      </c>
      <c r="L1366">
        <v>367.43119999999999</v>
      </c>
      <c r="M1366">
        <v>0.99984890000000004</v>
      </c>
      <c r="N1366">
        <v>0</v>
      </c>
      <c r="O1366">
        <v>-1.060293E-2</v>
      </c>
      <c r="P1366">
        <v>0.98597809999999997</v>
      </c>
      <c r="Q1366">
        <v>0.1668367</v>
      </c>
      <c r="R1366">
        <v>-3.5776029999999999E-3</v>
      </c>
      <c r="S1366">
        <v>3.08371</v>
      </c>
      <c r="T1366">
        <v>-0.25299060000000001</v>
      </c>
      <c r="U1366">
        <v>-0.46792600000000001</v>
      </c>
      <c r="V1366">
        <v>-6.8712919999999898E-3</v>
      </c>
      <c r="W1366">
        <v>0.1804018</v>
      </c>
      <c r="X1366">
        <v>0.98356900000000003</v>
      </c>
      <c r="Y1366">
        <v>0.1391097</v>
      </c>
      <c r="Z1366">
        <v>-4.8011219999999997E-3</v>
      </c>
      <c r="AA1366">
        <v>0.99026539999999996</v>
      </c>
      <c r="AB1366">
        <v>29</v>
      </c>
      <c r="AC1366">
        <v>0.71479999999999599</v>
      </c>
      <c r="AD1366">
        <v>-7.0967000000000002E-2</v>
      </c>
      <c r="AE1366">
        <v>-0.13009999999996999</v>
      </c>
      <c r="AF1366">
        <v>0.121355152720993</v>
      </c>
      <c r="AG1366">
        <v>-7.0967000000000002E-2</v>
      </c>
      <c r="AH1366">
        <v>0.70937133272887598</v>
      </c>
      <c r="AI1366">
        <v>95.631703418810304</v>
      </c>
      <c r="AJ1366">
        <v>80.292145417291707</v>
      </c>
      <c r="AK1366">
        <v>0.72316739132684704</v>
      </c>
      <c r="AL1366">
        <v>79.606835622842297</v>
      </c>
      <c r="AM1366">
        <v>90.400266404054605</v>
      </c>
      <c r="AN1366">
        <v>1.00000000092899</v>
      </c>
    </row>
    <row r="1367" spans="1:40" x14ac:dyDescent="0.25">
      <c r="A1367" t="str">
        <f>"20190312172112931"</f>
        <v>20190312172112931</v>
      </c>
      <c r="B1367" t="str">
        <f>"1552382472922441"</f>
        <v>1552382472922441</v>
      </c>
      <c r="C1367" t="s">
        <v>40</v>
      </c>
      <c r="D1367">
        <v>3.4562849999999998</v>
      </c>
      <c r="E1367">
        <v>0.55814859999999999</v>
      </c>
      <c r="F1367" t="s">
        <v>41</v>
      </c>
      <c r="G1367">
        <v>-245.17949999999999</v>
      </c>
      <c r="H1367">
        <v>1.031369</v>
      </c>
      <c r="I1367">
        <v>367.2842</v>
      </c>
      <c r="J1367">
        <v>-246.011</v>
      </c>
      <c r="K1367">
        <v>1.1104039999999999</v>
      </c>
      <c r="L1367">
        <v>367.42970000000003</v>
      </c>
      <c r="M1367">
        <v>0.99984899999999999</v>
      </c>
      <c r="N1367">
        <v>0</v>
      </c>
      <c r="O1367">
        <v>-1.060289E-2</v>
      </c>
      <c r="P1367">
        <v>0.98599990000000004</v>
      </c>
      <c r="Q1367">
        <v>0.16670650000000001</v>
      </c>
      <c r="R1367">
        <v>-3.6442330000000002E-3</v>
      </c>
      <c r="S1367">
        <v>3.0836329999999998</v>
      </c>
      <c r="T1367">
        <v>-0.2521854</v>
      </c>
      <c r="U1367">
        <v>-0.46804810000000002</v>
      </c>
      <c r="V1367">
        <v>-6.8048650000000002E-3</v>
      </c>
      <c r="W1367">
        <v>0.18026619999999999</v>
      </c>
      <c r="X1367">
        <v>0.98359430000000003</v>
      </c>
      <c r="Y1367">
        <v>0.13915420000000001</v>
      </c>
      <c r="Z1367">
        <v>-4.787805E-3</v>
      </c>
      <c r="AA1367">
        <v>0.99025920000000001</v>
      </c>
      <c r="AB1367">
        <v>29</v>
      </c>
      <c r="AC1367">
        <v>0.83150000000000501</v>
      </c>
      <c r="AD1367">
        <v>-7.9035000000000105E-2</v>
      </c>
      <c r="AE1367">
        <v>-0.145500000000026</v>
      </c>
      <c r="AF1367">
        <v>0.13548696249754399</v>
      </c>
      <c r="AG1367">
        <v>-7.9035000000000105E-2</v>
      </c>
      <c r="AH1367">
        <v>0.82575728757994205</v>
      </c>
      <c r="AI1367">
        <v>95.395537774215398</v>
      </c>
      <c r="AJ1367">
        <v>80.682160052654893</v>
      </c>
      <c r="AK1367">
        <v>0.84052266252802099</v>
      </c>
      <c r="AL1367">
        <v>79.614734187489404</v>
      </c>
      <c r="AM1367">
        <v>90.396386827676196</v>
      </c>
      <c r="AN1367">
        <v>0.99999997802129803</v>
      </c>
    </row>
    <row r="1368" spans="1:40" x14ac:dyDescent="0.25">
      <c r="A1368" t="str">
        <f>"20190312172112942"</f>
        <v>20190312172112942</v>
      </c>
      <c r="B1368" t="str">
        <f>"1552382472932201"</f>
        <v>1552382472932201</v>
      </c>
      <c r="C1368" t="s">
        <v>40</v>
      </c>
      <c r="D1368">
        <v>3.441589</v>
      </c>
      <c r="E1368">
        <v>0.5582165</v>
      </c>
      <c r="F1368" t="s">
        <v>41</v>
      </c>
      <c r="G1368">
        <v>-245.17259999999999</v>
      </c>
      <c r="H1368">
        <v>1.0418909999999999</v>
      </c>
      <c r="I1368">
        <v>367.3021</v>
      </c>
      <c r="J1368">
        <v>-245.8647</v>
      </c>
      <c r="K1368">
        <v>1.1104039999999999</v>
      </c>
      <c r="L1368">
        <v>367.4282</v>
      </c>
      <c r="M1368">
        <v>0.99984919999999999</v>
      </c>
      <c r="N1368">
        <v>0</v>
      </c>
      <c r="O1368">
        <v>-1.0603090000000001E-2</v>
      </c>
      <c r="P1368">
        <v>0.98603850000000004</v>
      </c>
      <c r="Q1368">
        <v>0.16647719999999999</v>
      </c>
      <c r="R1368">
        <v>-3.7060679999999999E-3</v>
      </c>
      <c r="S1368">
        <v>3.0834959999999998</v>
      </c>
      <c r="T1368">
        <v>-0.25210320000000003</v>
      </c>
      <c r="U1368">
        <v>-0.46856690000000001</v>
      </c>
      <c r="V1368">
        <v>-6.7437199999999999E-3</v>
      </c>
      <c r="W1368">
        <v>0.1800312</v>
      </c>
      <c r="X1368">
        <v>0.98363780000000001</v>
      </c>
      <c r="Y1368">
        <v>0.13932310000000001</v>
      </c>
      <c r="Z1368">
        <v>-4.793238E-3</v>
      </c>
      <c r="AA1368">
        <v>0.99023539999999999</v>
      </c>
      <c r="AB1368">
        <v>29</v>
      </c>
      <c r="AC1368">
        <v>0.69210000000001004</v>
      </c>
      <c r="AD1368">
        <v>-6.8513000000000199E-2</v>
      </c>
      <c r="AE1368">
        <v>-0.12610000000000801</v>
      </c>
      <c r="AF1368">
        <v>0.117638051213727</v>
      </c>
      <c r="AG1368">
        <v>-6.8513000000000199E-2</v>
      </c>
      <c r="AH1368">
        <v>0.68688335416685198</v>
      </c>
      <c r="AI1368">
        <v>95.614895254843901</v>
      </c>
      <c r="AJ1368">
        <v>80.281609270945495</v>
      </c>
      <c r="AK1368">
        <v>0.70024387501346197</v>
      </c>
      <c r="AL1368">
        <v>79.628423047544402</v>
      </c>
      <c r="AM1368">
        <v>90.392807841024407</v>
      </c>
      <c r="AN1368">
        <v>1.00000001616085</v>
      </c>
    </row>
    <row r="1369" spans="1:40" x14ac:dyDescent="0.25">
      <c r="A1369" t="str">
        <f>"20190312172112953"</f>
        <v>20190312172112953</v>
      </c>
      <c r="B1369" t="str">
        <f>"1552382472941961"</f>
        <v>1552382472941961</v>
      </c>
      <c r="C1369" t="s">
        <v>40</v>
      </c>
      <c r="D1369">
        <v>3.4548800000000002</v>
      </c>
      <c r="E1369">
        <v>0.55824779999999996</v>
      </c>
      <c r="F1369" t="s">
        <v>41</v>
      </c>
      <c r="G1369">
        <v>-244.9212</v>
      </c>
      <c r="H1369">
        <v>1.033377</v>
      </c>
      <c r="I1369">
        <v>367.2842</v>
      </c>
      <c r="J1369">
        <v>-245.7234</v>
      </c>
      <c r="K1369">
        <v>1.1104050000000001</v>
      </c>
      <c r="L1369">
        <v>367.42669999999998</v>
      </c>
      <c r="M1369">
        <v>0.99984930000000005</v>
      </c>
      <c r="N1369">
        <v>0</v>
      </c>
      <c r="O1369">
        <v>-1.0603039999999999E-2</v>
      </c>
      <c r="P1369">
        <v>0.98604599999999998</v>
      </c>
      <c r="Q1369">
        <v>0.16643450000000001</v>
      </c>
      <c r="R1369">
        <v>-3.6522379999999999E-3</v>
      </c>
      <c r="S1369">
        <v>3.0832519999999999</v>
      </c>
      <c r="T1369">
        <v>-0.25201790000000002</v>
      </c>
      <c r="U1369">
        <v>-0.4693909</v>
      </c>
      <c r="V1369">
        <v>-6.7977209999999996E-3</v>
      </c>
      <c r="W1369">
        <v>0.17998249999999999</v>
      </c>
      <c r="X1369">
        <v>0.98364629999999997</v>
      </c>
      <c r="Y1369">
        <v>0.13959279999999999</v>
      </c>
      <c r="Z1369">
        <v>-4.802845E-3</v>
      </c>
      <c r="AA1369">
        <v>0.99019740000000001</v>
      </c>
      <c r="AB1369">
        <v>29</v>
      </c>
      <c r="AC1369">
        <v>0.80219999999999902</v>
      </c>
      <c r="AD1369">
        <v>-7.7027999999999805E-2</v>
      </c>
      <c r="AE1369">
        <v>-0.142499999999984</v>
      </c>
      <c r="AF1369">
        <v>0.13279847475560999</v>
      </c>
      <c r="AG1369">
        <v>-7.7027999999999805E-2</v>
      </c>
      <c r="AH1369">
        <v>0.79654645193784401</v>
      </c>
      <c r="AI1369">
        <v>95.4487258639342</v>
      </c>
      <c r="AJ1369">
        <v>80.534827084844693</v>
      </c>
      <c r="AK1369">
        <v>0.81120589111284402</v>
      </c>
      <c r="AL1369">
        <v>79.631259270740003</v>
      </c>
      <c r="AM1369">
        <v>90.395949767181804</v>
      </c>
      <c r="AN1369">
        <v>0.99999997641036598</v>
      </c>
    </row>
    <row r="1370" spans="1:40" x14ac:dyDescent="0.25">
      <c r="A1370" t="str">
        <f>"20190312172112965"</f>
        <v>20190312172112965</v>
      </c>
      <c r="B1370" t="str">
        <f>"1552382472962457"</f>
        <v>1552382472962457</v>
      </c>
      <c r="C1370" t="s">
        <v>40</v>
      </c>
      <c r="D1370">
        <v>3.4429159999999999</v>
      </c>
      <c r="E1370">
        <v>0.55833359999999999</v>
      </c>
      <c r="F1370" t="s">
        <v>41</v>
      </c>
      <c r="G1370">
        <v>-244.91370000000001</v>
      </c>
      <c r="H1370">
        <v>1.0445</v>
      </c>
      <c r="I1370">
        <v>367.30290000000002</v>
      </c>
      <c r="J1370">
        <v>-245.58090000000001</v>
      </c>
      <c r="K1370">
        <v>1.1104019999999999</v>
      </c>
      <c r="L1370">
        <v>367.42520000000002</v>
      </c>
      <c r="M1370">
        <v>0.99984930000000005</v>
      </c>
      <c r="N1370">
        <v>0</v>
      </c>
      <c r="O1370">
        <v>-1.060299E-2</v>
      </c>
      <c r="P1370">
        <v>0.9860487</v>
      </c>
      <c r="Q1370">
        <v>0.1664194</v>
      </c>
      <c r="R1370">
        <v>-3.5663130000000002E-3</v>
      </c>
      <c r="S1370">
        <v>3.0831149999999998</v>
      </c>
      <c r="T1370">
        <v>-0.25133040000000001</v>
      </c>
      <c r="U1370">
        <v>-0.46984860000000001</v>
      </c>
      <c r="V1370">
        <v>-6.8835830000000004E-3</v>
      </c>
      <c r="W1370">
        <v>0.17996039999999999</v>
      </c>
      <c r="X1370">
        <v>0.98364980000000002</v>
      </c>
      <c r="Y1370">
        <v>0.13974489999999901</v>
      </c>
      <c r="Z1370">
        <v>-4.7961000000000002E-3</v>
      </c>
      <c r="AA1370">
        <v>0.9901759</v>
      </c>
      <c r="AB1370">
        <v>29</v>
      </c>
      <c r="AC1370">
        <v>0.66720000000000801</v>
      </c>
      <c r="AD1370">
        <v>-6.5902000000000099E-2</v>
      </c>
      <c r="AE1370">
        <v>-0.122299999999995</v>
      </c>
      <c r="AF1370">
        <v>0.11414074958338701</v>
      </c>
      <c r="AG1370">
        <v>-6.5902000000000099E-2</v>
      </c>
      <c r="AH1370">
        <v>0.66220867329393696</v>
      </c>
      <c r="AI1370">
        <v>95.601217673600502</v>
      </c>
      <c r="AJ1370">
        <v>80.220379210381395</v>
      </c>
      <c r="AK1370">
        <v>0.67519738692116904</v>
      </c>
      <c r="AL1370">
        <v>79.632547078959306</v>
      </c>
      <c r="AM1370">
        <v>90.400949419014495</v>
      </c>
      <c r="AN1370">
        <v>1.0000000291615501</v>
      </c>
    </row>
    <row r="1371" spans="1:40" x14ac:dyDescent="0.25">
      <c r="A1371" t="str">
        <f>"20190312172112976"</f>
        <v>20190312172112976</v>
      </c>
      <c r="B1371" t="str">
        <f>"1552382472972218"</f>
        <v>1552382472972218</v>
      </c>
      <c r="C1371" t="s">
        <v>40</v>
      </c>
      <c r="D1371">
        <v>3.4602919999999999</v>
      </c>
      <c r="E1371">
        <v>0.55819879999999999</v>
      </c>
      <c r="F1371" t="s">
        <v>41</v>
      </c>
      <c r="G1371">
        <v>-244.6628</v>
      </c>
      <c r="H1371">
        <v>1.035752</v>
      </c>
      <c r="I1371">
        <v>367.2851</v>
      </c>
      <c r="J1371">
        <v>-245.44149999999999</v>
      </c>
      <c r="K1371">
        <v>1.1104019999999999</v>
      </c>
      <c r="L1371">
        <v>367.4237</v>
      </c>
      <c r="M1371">
        <v>0.9998494</v>
      </c>
      <c r="N1371">
        <v>0</v>
      </c>
      <c r="O1371">
        <v>-1.06027E-2</v>
      </c>
      <c r="P1371">
        <v>0.98606369999999999</v>
      </c>
      <c r="Q1371">
        <v>0.16633129999999999</v>
      </c>
      <c r="R1371">
        <v>-3.541902E-3</v>
      </c>
      <c r="S1371">
        <v>3.0830540000000002</v>
      </c>
      <c r="T1371">
        <v>-0.25075439999999999</v>
      </c>
      <c r="U1371">
        <v>-0.4703369</v>
      </c>
      <c r="V1371">
        <v>-6.9076270000000004E-3</v>
      </c>
      <c r="W1371">
        <v>0.17986469999999999</v>
      </c>
      <c r="X1371">
        <v>0.98366710000000002</v>
      </c>
      <c r="Y1371">
        <v>0.13990269999999999</v>
      </c>
      <c r="Z1371">
        <v>-4.7915750000000002E-3</v>
      </c>
      <c r="AA1371">
        <v>0.99015370000000003</v>
      </c>
      <c r="AB1371">
        <v>29</v>
      </c>
      <c r="AC1371">
        <v>0.77869999999998596</v>
      </c>
      <c r="AD1371">
        <v>-7.4650000000000105E-2</v>
      </c>
      <c r="AE1371">
        <v>-0.138599999999996</v>
      </c>
      <c r="AF1371">
        <v>0.12918434762318001</v>
      </c>
      <c r="AG1371">
        <v>-7.4650000000000105E-2</v>
      </c>
      <c r="AH1371">
        <v>0.77323798456503001</v>
      </c>
      <c r="AI1371">
        <v>95.439434703370907</v>
      </c>
      <c r="AJ1371">
        <v>80.515232203661199</v>
      </c>
      <c r="AK1371">
        <v>0.78750123742443501</v>
      </c>
      <c r="AL1371">
        <v>79.638120878801502</v>
      </c>
      <c r="AM1371">
        <v>90.402342792676194</v>
      </c>
      <c r="AN1371">
        <v>0.99999999461963496</v>
      </c>
    </row>
    <row r="1372" spans="1:40" x14ac:dyDescent="0.25">
      <c r="A1372" t="str">
        <f>"20190312172112989"</f>
        <v>20190312172112989</v>
      </c>
      <c r="B1372" t="str">
        <f>"1552382472981978"</f>
        <v>1552382472981978</v>
      </c>
      <c r="C1372" t="s">
        <v>40</v>
      </c>
      <c r="D1372">
        <v>3.486478</v>
      </c>
      <c r="E1372">
        <v>0.55819879999999999</v>
      </c>
      <c r="F1372" t="s">
        <v>41</v>
      </c>
      <c r="G1372">
        <v>-244.65549999999999</v>
      </c>
      <c r="H1372">
        <v>1.0466089999999999</v>
      </c>
      <c r="I1372">
        <v>367.30399999999997</v>
      </c>
      <c r="J1372">
        <v>-245.26920000000001</v>
      </c>
      <c r="K1372">
        <v>1.110398</v>
      </c>
      <c r="L1372">
        <v>367.42189999999999</v>
      </c>
      <c r="M1372">
        <v>0.99984960000000001</v>
      </c>
      <c r="N1372">
        <v>0</v>
      </c>
      <c r="O1372">
        <v>-1.060286E-2</v>
      </c>
      <c r="P1372">
        <v>0.98603949999999996</v>
      </c>
      <c r="Q1372">
        <v>0.1664776</v>
      </c>
      <c r="R1372">
        <v>-3.441398E-3</v>
      </c>
      <c r="S1372">
        <v>3.082932</v>
      </c>
      <c r="T1372">
        <v>-0.25031639999999999</v>
      </c>
      <c r="U1372">
        <v>-0.4692383</v>
      </c>
      <c r="V1372">
        <v>-7.0082959999999998E-3</v>
      </c>
      <c r="W1372">
        <v>0.17999879999999999</v>
      </c>
      <c r="X1372">
        <v>0.98364189999999996</v>
      </c>
      <c r="Y1372">
        <v>0.139566</v>
      </c>
      <c r="Z1372">
        <v>-4.7699650000000001E-3</v>
      </c>
      <c r="AA1372">
        <v>0.99020129999999995</v>
      </c>
      <c r="AB1372">
        <v>29</v>
      </c>
      <c r="AC1372">
        <v>0.61370000000002201</v>
      </c>
      <c r="AD1372">
        <v>-6.3788999999999804E-2</v>
      </c>
      <c r="AE1372">
        <v>-0.11789999999996301</v>
      </c>
      <c r="AF1372">
        <v>0.11023718696040601</v>
      </c>
      <c r="AG1372">
        <v>-6.3788999999999804E-2</v>
      </c>
      <c r="AH1372">
        <v>0.60857475718459997</v>
      </c>
      <c r="AI1372">
        <v>95.888586094247898</v>
      </c>
      <c r="AJ1372">
        <v>79.7327756108199</v>
      </c>
      <c r="AK1372">
        <v>0.62175920499196302</v>
      </c>
      <c r="AL1372">
        <v>79.6303104667018</v>
      </c>
      <c r="AM1372">
        <v>90.408216636535698</v>
      </c>
      <c r="AN1372">
        <v>1.0000000358249299</v>
      </c>
    </row>
    <row r="1373" spans="1:40" x14ac:dyDescent="0.25">
      <c r="A1373" t="str">
        <f>"20190312172113003"</f>
        <v>20190312172113003</v>
      </c>
      <c r="B1373" t="str">
        <f>"1552382472992714"</f>
        <v>1552382472992714</v>
      </c>
      <c r="C1373" t="s">
        <v>40</v>
      </c>
      <c r="D1373">
        <v>3.4552849999999999</v>
      </c>
      <c r="E1373">
        <v>0.54095059999999995</v>
      </c>
      <c r="F1373" t="s">
        <v>41</v>
      </c>
      <c r="G1373">
        <v>-244.40309999999999</v>
      </c>
      <c r="H1373">
        <v>1.0402709999999999</v>
      </c>
      <c r="I1373">
        <v>367.28980000000001</v>
      </c>
      <c r="J1373">
        <v>-245.09479999999999</v>
      </c>
      <c r="K1373">
        <v>1.1103959999999999</v>
      </c>
      <c r="L1373">
        <v>367.42</v>
      </c>
      <c r="M1373">
        <v>0.99984980000000001</v>
      </c>
      <c r="N1373">
        <v>0</v>
      </c>
      <c r="O1373">
        <v>-1.0602530000000001E-2</v>
      </c>
      <c r="P1373">
        <v>0.98606769999999999</v>
      </c>
      <c r="Q1373">
        <v>0.16630809999999999</v>
      </c>
      <c r="R1373">
        <v>-3.541162E-3</v>
      </c>
      <c r="S1373">
        <v>3.0830229999999998</v>
      </c>
      <c r="T1373">
        <v>-0.24992139999999999</v>
      </c>
      <c r="U1373">
        <v>-0.46926879999999999</v>
      </c>
      <c r="V1373">
        <v>-6.9081560000000004E-3</v>
      </c>
      <c r="W1373">
        <v>0.1798178</v>
      </c>
      <c r="X1373">
        <v>0.98367570000000004</v>
      </c>
      <c r="Y1373">
        <v>0.1395729</v>
      </c>
      <c r="Z1373">
        <v>-4.7626229999999997E-3</v>
      </c>
      <c r="AA1373">
        <v>0.99020030000000003</v>
      </c>
      <c r="AB1373">
        <v>29</v>
      </c>
      <c r="AC1373">
        <v>0.69169999999999698</v>
      </c>
      <c r="AD1373">
        <v>-7.0124999999999896E-2</v>
      </c>
      <c r="AE1373">
        <v>-0.13020000000000201</v>
      </c>
      <c r="AF1373">
        <v>0.12165067558322699</v>
      </c>
      <c r="AG1373">
        <v>-7.0124999999999896E-2</v>
      </c>
      <c r="AH1373">
        <v>0.68622994414078498</v>
      </c>
      <c r="AI1373">
        <v>95.745760664505397</v>
      </c>
      <c r="AJ1373">
        <v>79.947388644521496</v>
      </c>
      <c r="AK1373">
        <v>0.70044838405861098</v>
      </c>
      <c r="AL1373">
        <v>79.640852889970006</v>
      </c>
      <c r="AM1373">
        <v>90.402370086161696</v>
      </c>
      <c r="AN1373">
        <v>1.0000000232933199</v>
      </c>
    </row>
    <row r="1374" spans="1:40" x14ac:dyDescent="0.25">
      <c r="A1374" t="str">
        <f>"20190312172113016"</f>
        <v>20190312172113016</v>
      </c>
      <c r="B1374" t="str">
        <f>"1552382473012233"</f>
        <v>1552382473012233</v>
      </c>
      <c r="C1374" t="s">
        <v>40</v>
      </c>
      <c r="D1374">
        <v>3.432633</v>
      </c>
      <c r="E1374">
        <v>0.54072089999999995</v>
      </c>
      <c r="F1374" t="s">
        <v>42</v>
      </c>
      <c r="G1374">
        <v>-224.13470000000001</v>
      </c>
      <c r="H1374" s="1">
        <v>-3.2908439999999998E-6</v>
      </c>
      <c r="I1374">
        <v>365.14960000000002</v>
      </c>
      <c r="J1374">
        <v>-244.93020000000001</v>
      </c>
      <c r="K1374">
        <v>1.110395</v>
      </c>
      <c r="L1374">
        <v>367.41829999999999</v>
      </c>
      <c r="M1374">
        <v>0.99985000000000002</v>
      </c>
      <c r="N1374">
        <v>0</v>
      </c>
      <c r="O1374">
        <v>-1.0602449999999999E-2</v>
      </c>
      <c r="P1374">
        <v>0.98604950000000002</v>
      </c>
      <c r="Q1374">
        <v>0.16641549999999999</v>
      </c>
      <c r="R1374">
        <v>-3.5123450000000001E-3</v>
      </c>
      <c r="S1374">
        <v>3.0686339999999999</v>
      </c>
      <c r="T1374">
        <v>-0.16256579999999901</v>
      </c>
      <c r="U1374">
        <v>-0.33239750000000001</v>
      </c>
      <c r="V1374">
        <v>-6.9371160000000001E-3</v>
      </c>
      <c r="W1374">
        <v>0.17991260000000001</v>
      </c>
      <c r="X1374">
        <v>0.98365809999999998</v>
      </c>
      <c r="Y1374">
        <v>9.7023470000000001E-2</v>
      </c>
      <c r="Z1374">
        <v>-2.0010929999999998E-3</v>
      </c>
      <c r="AA1374">
        <v>0.9952801</v>
      </c>
      <c r="AB1374">
        <v>29</v>
      </c>
      <c r="AC1374">
        <v>20.795500000000001</v>
      </c>
      <c r="AD1374">
        <v>-1.110398290844</v>
      </c>
      <c r="AE1374">
        <v>-2.26869999999996</v>
      </c>
      <c r="AF1374">
        <v>2.0423140898845298</v>
      </c>
      <c r="AG1374">
        <v>-1.110398290844</v>
      </c>
      <c r="AH1374">
        <v>20.759893726833099</v>
      </c>
      <c r="AI1374">
        <v>93.047018638941097</v>
      </c>
      <c r="AJ1374">
        <v>84.381442657281397</v>
      </c>
      <c r="AK1374">
        <v>20.889643815906901</v>
      </c>
      <c r="AL1374">
        <v>79.635330560886104</v>
      </c>
      <c r="AM1374">
        <v>90.404064053890394</v>
      </c>
      <c r="AN1374">
        <v>0.99999996245638301</v>
      </c>
    </row>
    <row r="1375" spans="1:40" x14ac:dyDescent="0.25">
      <c r="A1375" t="str">
        <f>"20190312172113028"</f>
        <v>20190312172113028</v>
      </c>
      <c r="B1375" t="str">
        <f>"1552382473021994"</f>
        <v>1552382473021994</v>
      </c>
      <c r="C1375" t="s">
        <v>40</v>
      </c>
      <c r="D1375">
        <v>3.4429729999999998</v>
      </c>
      <c r="E1375">
        <v>0.54054329999999995</v>
      </c>
      <c r="F1375" t="s">
        <v>42</v>
      </c>
      <c r="G1375">
        <v>-223.5222</v>
      </c>
      <c r="H1375" s="1">
        <v>-3.560291E-6</v>
      </c>
      <c r="I1375">
        <v>365.11189999999999</v>
      </c>
      <c r="J1375">
        <v>-244.76650000000001</v>
      </c>
      <c r="K1375">
        <v>1.1103959999999999</v>
      </c>
      <c r="L1375">
        <v>367.41660000000002</v>
      </c>
      <c r="M1375">
        <v>0.99985029999999997</v>
      </c>
      <c r="N1375">
        <v>0</v>
      </c>
      <c r="O1375">
        <v>-1.060237E-2</v>
      </c>
      <c r="P1375">
        <v>0.98605869999999995</v>
      </c>
      <c r="Q1375">
        <v>0.16636099999999901</v>
      </c>
      <c r="R1375">
        <v>-3.5488030000000001E-3</v>
      </c>
      <c r="S1375">
        <v>3.0681150000000001</v>
      </c>
      <c r="T1375">
        <v>-0.15913740000000001</v>
      </c>
      <c r="U1375">
        <v>-0.33053589999999999</v>
      </c>
      <c r="V1375">
        <v>-6.9001449999999999E-3</v>
      </c>
      <c r="W1375">
        <v>0.1798469</v>
      </c>
      <c r="X1375">
        <v>0.98367039999999994</v>
      </c>
      <c r="Y1375">
        <v>9.6450320000000006E-2</v>
      </c>
      <c r="Z1375">
        <v>-1.9445319999999999E-3</v>
      </c>
      <c r="AA1375">
        <v>0.99533590000000005</v>
      </c>
      <c r="AB1375">
        <v>29</v>
      </c>
      <c r="AC1375">
        <v>21.244299999999999</v>
      </c>
      <c r="AD1375">
        <v>-1.110399560291</v>
      </c>
      <c r="AE1375">
        <v>-2.30470000000002</v>
      </c>
      <c r="AF1375">
        <v>2.0737100630258398</v>
      </c>
      <c r="AG1375">
        <v>-1.110399560291</v>
      </c>
      <c r="AH1375">
        <v>21.2102717757714</v>
      </c>
      <c r="AI1375">
        <v>92.982615886929494</v>
      </c>
      <c r="AJ1375">
        <v>84.415987858335001</v>
      </c>
      <c r="AK1375">
        <v>21.3403113709963</v>
      </c>
      <c r="AL1375">
        <v>79.639157577199697</v>
      </c>
      <c r="AM1375">
        <v>90.401905660894997</v>
      </c>
      <c r="AN1375">
        <v>0.99999998763839504</v>
      </c>
    </row>
    <row r="1376" spans="1:40" x14ac:dyDescent="0.25">
      <c r="A1376" t="str">
        <f>"20190312172113041"</f>
        <v>20190312172113041</v>
      </c>
      <c r="B1376" t="str">
        <f>"1552382473032729"</f>
        <v>1552382473032729</v>
      </c>
      <c r="C1376" t="s">
        <v>40</v>
      </c>
      <c r="D1376">
        <v>3.399591</v>
      </c>
      <c r="E1376">
        <v>0.54041980000000001</v>
      </c>
      <c r="F1376" t="s">
        <v>42</v>
      </c>
      <c r="G1376">
        <v>-223.3716</v>
      </c>
      <c r="H1376" s="1">
        <v>-3.6232840000000001E-6</v>
      </c>
      <c r="I1376">
        <v>365.12119999999999</v>
      </c>
      <c r="J1376">
        <v>-244.6044</v>
      </c>
      <c r="K1376">
        <v>1.1103940000000001</v>
      </c>
      <c r="L1376">
        <v>367.41489999999999</v>
      </c>
      <c r="M1376">
        <v>0.99985029999999997</v>
      </c>
      <c r="N1376">
        <v>0</v>
      </c>
      <c r="O1376">
        <v>-1.060206E-2</v>
      </c>
      <c r="P1376">
        <v>0.98604139999999996</v>
      </c>
      <c r="Q1376">
        <v>0.16646649999999999</v>
      </c>
      <c r="R1376">
        <v>-3.395608E-3</v>
      </c>
      <c r="S1376">
        <v>3.0680999999999998</v>
      </c>
      <c r="T1376">
        <v>-0.15923389999999901</v>
      </c>
      <c r="U1376">
        <v>-0.32916260000000003</v>
      </c>
      <c r="V1376">
        <v>-7.0529319999999996E-3</v>
      </c>
      <c r="W1376">
        <v>0.17994109999999999</v>
      </c>
      <c r="X1376">
        <v>0.98365210000000003</v>
      </c>
      <c r="Y1376">
        <v>9.6011170000000007E-2</v>
      </c>
      <c r="Z1376">
        <v>-1.9344259999999999E-3</v>
      </c>
      <c r="AA1376">
        <v>0.9953784</v>
      </c>
      <c r="AB1376">
        <v>29</v>
      </c>
      <c r="AC1376">
        <v>21.232800000000001</v>
      </c>
      <c r="AD1376">
        <v>-1.110397623284</v>
      </c>
      <c r="AE1376">
        <v>-2.2936999999999999</v>
      </c>
      <c r="AF1376">
        <v>2.0628619375213701</v>
      </c>
      <c r="AG1376">
        <v>-1.110397623284</v>
      </c>
      <c r="AH1376">
        <v>21.198619154525399</v>
      </c>
      <c r="AI1376">
        <v>92.984379057920506</v>
      </c>
      <c r="AJ1376">
        <v>84.441981723029599</v>
      </c>
      <c r="AK1376">
        <v>21.3276777055937</v>
      </c>
      <c r="AL1376">
        <v>79.633670918121794</v>
      </c>
      <c r="AM1376">
        <v>90.410812229125</v>
      </c>
      <c r="AN1376">
        <v>0.99999999857670796</v>
      </c>
    </row>
    <row r="1377" spans="1:40" x14ac:dyDescent="0.25">
      <c r="A1377" t="str">
        <f>"20190312172113054"</f>
        <v>20190312172113054</v>
      </c>
      <c r="B1377" t="str">
        <f>"1552382473042488"</f>
        <v>1552382473042488</v>
      </c>
      <c r="C1377" t="s">
        <v>40</v>
      </c>
      <c r="D1377">
        <v>3.4364189999999999</v>
      </c>
      <c r="E1377">
        <v>0.54041839999999997</v>
      </c>
      <c r="F1377" t="s">
        <v>42</v>
      </c>
      <c r="G1377">
        <v>-223.15610000000001</v>
      </c>
      <c r="H1377" s="1">
        <v>-3.7145909999999999E-6</v>
      </c>
      <c r="I1377">
        <v>365.12740000000002</v>
      </c>
      <c r="J1377">
        <v>-244.44210000000001</v>
      </c>
      <c r="K1377">
        <v>1.1103889999999901</v>
      </c>
      <c r="L1377">
        <v>367.41309999999999</v>
      </c>
      <c r="M1377">
        <v>0.99985040000000003</v>
      </c>
      <c r="N1377">
        <v>0</v>
      </c>
      <c r="O1377">
        <v>-1.060199E-2</v>
      </c>
      <c r="P1377">
        <v>0.98603569999999996</v>
      </c>
      <c r="Q1377">
        <v>0.16649749999999999</v>
      </c>
      <c r="R1377">
        <v>-3.4705769999999999E-3</v>
      </c>
      <c r="S1377">
        <v>3.0681609999999999</v>
      </c>
      <c r="T1377">
        <v>-0.15884129999999999</v>
      </c>
      <c r="U1377">
        <v>-0.32720949999999999</v>
      </c>
      <c r="V1377">
        <v>-6.9778590000000003E-3</v>
      </c>
      <c r="W1377">
        <v>0.17996180000000001</v>
      </c>
      <c r="X1377">
        <v>0.98364879999999999</v>
      </c>
      <c r="Y1377">
        <v>9.5384040000000003E-2</v>
      </c>
      <c r="Z1377">
        <v>-1.9135160000000001E-3</v>
      </c>
      <c r="AA1377">
        <v>0.99543870000000001</v>
      </c>
      <c r="AB1377">
        <v>29</v>
      </c>
      <c r="AC1377">
        <v>21.285999999999898</v>
      </c>
      <c r="AD1377">
        <v>-1.11039271459099</v>
      </c>
      <c r="AE1377">
        <v>-2.2856999999999599</v>
      </c>
      <c r="AF1377">
        <v>2.0543498450337201</v>
      </c>
      <c r="AG1377">
        <v>-1.11039271459099</v>
      </c>
      <c r="AH1377">
        <v>21.251866706899602</v>
      </c>
      <c r="AI1377">
        <v>92.977085868007094</v>
      </c>
      <c r="AJ1377">
        <v>84.478556293226902</v>
      </c>
      <c r="AK1377">
        <v>21.379783997838601</v>
      </c>
      <c r="AL1377">
        <v>79.632464712749695</v>
      </c>
      <c r="AM1377">
        <v>90.406440962023396</v>
      </c>
      <c r="AN1377">
        <v>0.99999995085844995</v>
      </c>
    </row>
    <row r="1378" spans="1:40" x14ac:dyDescent="0.25">
      <c r="A1378" t="str">
        <f>"20190312172113065"</f>
        <v>20190312172113065</v>
      </c>
      <c r="B1378" t="str">
        <f>"1552382473062010"</f>
        <v>1552382473062010</v>
      </c>
      <c r="C1378" t="s">
        <v>40</v>
      </c>
      <c r="D1378">
        <v>3.4139490000000001</v>
      </c>
      <c r="E1378">
        <v>0.54036039999999996</v>
      </c>
      <c r="F1378" t="s">
        <v>42</v>
      </c>
      <c r="G1378">
        <v>-222.9907</v>
      </c>
      <c r="H1378" s="1">
        <v>-3.7864439999999998E-6</v>
      </c>
      <c r="I1378">
        <v>365.1223</v>
      </c>
      <c r="J1378">
        <v>-244.29400000000001</v>
      </c>
      <c r="K1378">
        <v>1.1103879999999999</v>
      </c>
      <c r="L1378">
        <v>367.41149999999999</v>
      </c>
      <c r="M1378">
        <v>0.99985060000000003</v>
      </c>
      <c r="N1378">
        <v>0</v>
      </c>
      <c r="O1378">
        <v>-1.060204E-2</v>
      </c>
      <c r="P1378">
        <v>0.98606349999999998</v>
      </c>
      <c r="Q1378">
        <v>0.16633599999999901</v>
      </c>
      <c r="R1378">
        <v>-3.3497420000000002E-3</v>
      </c>
      <c r="S1378">
        <v>3.068146</v>
      </c>
      <c r="T1378">
        <v>-0.15881679999999901</v>
      </c>
      <c r="U1378">
        <v>-0.3276367</v>
      </c>
      <c r="V1378">
        <v>-7.0990960000000001E-3</v>
      </c>
      <c r="W1378">
        <v>0.17979149999999999</v>
      </c>
      <c r="X1378">
        <v>0.98367910000000003</v>
      </c>
      <c r="Y1378">
        <v>9.5521410000000001E-2</v>
      </c>
      <c r="Z1378">
        <v>-1.916758E-3</v>
      </c>
      <c r="AA1378">
        <v>0.99542549999999996</v>
      </c>
      <c r="AB1378">
        <v>29</v>
      </c>
      <c r="AC1378">
        <v>21.3033</v>
      </c>
      <c r="AD1378">
        <v>-1.1103917864439901</v>
      </c>
      <c r="AE1378">
        <v>-2.2891999999999899</v>
      </c>
      <c r="AF1378">
        <v>2.0576653628676298</v>
      </c>
      <c r="AG1378">
        <v>-1.1103917864439901</v>
      </c>
      <c r="AH1378">
        <v>21.269250104221801</v>
      </c>
      <c r="AI1378">
        <v>92.974632709480801</v>
      </c>
      <c r="AJ1378">
        <v>84.474192364803997</v>
      </c>
      <c r="AK1378">
        <v>21.397382004836199</v>
      </c>
      <c r="AL1378">
        <v>79.642384241329694</v>
      </c>
      <c r="AM1378">
        <v>90.413489701845194</v>
      </c>
      <c r="AN1378">
        <v>0.99999997620653802</v>
      </c>
    </row>
    <row r="1379" spans="1:40" x14ac:dyDescent="0.25">
      <c r="A1379" t="str">
        <f>"20190312172113075"</f>
        <v>20190312172113075</v>
      </c>
      <c r="B1379" t="str">
        <f>"1552382473072745"</f>
        <v>1552382473072745</v>
      </c>
      <c r="C1379" t="s">
        <v>40</v>
      </c>
      <c r="D1379">
        <v>3.3613460000000002</v>
      </c>
      <c r="E1379">
        <v>0.54040239999999995</v>
      </c>
      <c r="F1379" t="s">
        <v>42</v>
      </c>
      <c r="G1379">
        <v>-222.9341</v>
      </c>
      <c r="H1379" s="1">
        <v>-3.808466E-6</v>
      </c>
      <c r="I1379">
        <v>365.1352</v>
      </c>
      <c r="J1379">
        <v>-244.15719999999999</v>
      </c>
      <c r="K1379">
        <v>1.1103860000000001</v>
      </c>
      <c r="L1379">
        <v>367.4101</v>
      </c>
      <c r="M1379">
        <v>0.99985060000000003</v>
      </c>
      <c r="N1379">
        <v>0</v>
      </c>
      <c r="O1379">
        <v>-1.0601869999999999E-2</v>
      </c>
      <c r="P1379">
        <v>0.98604979999999998</v>
      </c>
      <c r="Q1379">
        <v>0.16641549999999999</v>
      </c>
      <c r="R1379">
        <v>-3.4320710000000001E-3</v>
      </c>
      <c r="S1379">
        <v>3.0681759999999998</v>
      </c>
      <c r="T1379">
        <v>-0.1594981</v>
      </c>
      <c r="U1379">
        <v>-0.32696530000000001</v>
      </c>
      <c r="V1379">
        <v>-7.0164499999999996E-3</v>
      </c>
      <c r="W1379">
        <v>0.17986279999999999</v>
      </c>
      <c r="X1379">
        <v>0.9836667</v>
      </c>
      <c r="Y1379">
        <v>9.53045E-2</v>
      </c>
      <c r="Z1379">
        <v>-1.9193630000000001E-3</v>
      </c>
      <c r="AA1379">
        <v>0.99544630000000001</v>
      </c>
      <c r="AB1379">
        <v>29</v>
      </c>
      <c r="AC1379">
        <v>21.223099999999899</v>
      </c>
      <c r="AD1379">
        <v>-1.110389808466</v>
      </c>
      <c r="AE1379">
        <v>-2.2749000000000001</v>
      </c>
      <c r="AF1379">
        <v>2.0442144001771601</v>
      </c>
      <c r="AG1379">
        <v>-1.110389808466</v>
      </c>
      <c r="AH1379">
        <v>21.1886850531927</v>
      </c>
      <c r="AI1379">
        <v>92.985993485547894</v>
      </c>
      <c r="AJ1379">
        <v>84.489347333364293</v>
      </c>
      <c r="AK1379">
        <v>21.3160069507407</v>
      </c>
      <c r="AL1379">
        <v>79.638231780487203</v>
      </c>
      <c r="AM1379">
        <v>90.408681268117505</v>
      </c>
      <c r="AN1379">
        <v>1.0000000170416601</v>
      </c>
    </row>
    <row r="1380" spans="1:40" x14ac:dyDescent="0.25">
      <c r="A1380" t="str">
        <f>"20190312172113088"</f>
        <v>20190312172113088</v>
      </c>
      <c r="B1380" t="str">
        <f>"1552382473082505"</f>
        <v>1552382473082505</v>
      </c>
      <c r="C1380" t="s">
        <v>40</v>
      </c>
      <c r="D1380">
        <v>3.3465060000000002</v>
      </c>
      <c r="E1380">
        <v>0.54042789999999996</v>
      </c>
      <c r="F1380" t="s">
        <v>42</v>
      </c>
      <c r="G1380">
        <v>-223.0735</v>
      </c>
      <c r="H1380" s="1">
        <v>-3.744352E-6</v>
      </c>
      <c r="I1380">
        <v>365.15929999999997</v>
      </c>
      <c r="J1380">
        <v>-244.00749999999999</v>
      </c>
      <c r="K1380">
        <v>1.1103860000000001</v>
      </c>
      <c r="L1380">
        <v>367.4085</v>
      </c>
      <c r="M1380">
        <v>0.99985069999999998</v>
      </c>
      <c r="N1380">
        <v>0</v>
      </c>
      <c r="O1380">
        <v>-1.060155E-2</v>
      </c>
      <c r="P1380">
        <v>0.98609290000000005</v>
      </c>
      <c r="Q1380">
        <v>0.1661618</v>
      </c>
      <c r="R1380">
        <v>-3.32527E-3</v>
      </c>
      <c r="S1380">
        <v>3.0685730000000002</v>
      </c>
      <c r="T1380">
        <v>-0.1616088</v>
      </c>
      <c r="U1380">
        <v>-0.32757570000000003</v>
      </c>
      <c r="V1380">
        <v>-7.1232709999999996E-3</v>
      </c>
      <c r="W1380">
        <v>0.17959919999999999</v>
      </c>
      <c r="X1380">
        <v>0.98371410000000004</v>
      </c>
      <c r="Y1380">
        <v>9.5483799999999994E-2</v>
      </c>
      <c r="Z1380">
        <v>-1.94918E-3</v>
      </c>
      <c r="AA1380">
        <v>0.99542909999999996</v>
      </c>
      <c r="AB1380">
        <v>29</v>
      </c>
      <c r="AC1380">
        <v>20.934000000000001</v>
      </c>
      <c r="AD1380">
        <v>-1.1103897443520001</v>
      </c>
      <c r="AE1380">
        <v>-2.2492000000000298</v>
      </c>
      <c r="AF1380">
        <v>2.0214974943353599</v>
      </c>
      <c r="AG1380">
        <v>-1.1103897443520001</v>
      </c>
      <c r="AH1380">
        <v>20.8985435808125</v>
      </c>
      <c r="AI1380">
        <v>93.027299271278807</v>
      </c>
      <c r="AJ1380">
        <v>84.475019061640594</v>
      </c>
      <c r="AK1380">
        <v>21.0254260670999</v>
      </c>
      <c r="AL1380">
        <v>79.653585014840104</v>
      </c>
      <c r="AM1380">
        <v>90.414882973989606</v>
      </c>
      <c r="AN1380">
        <v>1.0000000220845899</v>
      </c>
    </row>
    <row r="1381" spans="1:40" x14ac:dyDescent="0.25">
      <c r="A1381" t="str">
        <f>"20190312172113099"</f>
        <v>20190312172113099</v>
      </c>
      <c r="B1381" t="str">
        <f>"1552382473092265"</f>
        <v>1552382473092265</v>
      </c>
      <c r="C1381" t="s">
        <v>40</v>
      </c>
      <c r="D1381">
        <v>3.3601890000000001</v>
      </c>
      <c r="E1381">
        <v>0.54051329999999997</v>
      </c>
      <c r="F1381" t="s">
        <v>42</v>
      </c>
      <c r="G1381">
        <v>-223.2381</v>
      </c>
      <c r="H1381" s="1">
        <v>-3.6677419999999999E-6</v>
      </c>
      <c r="I1381">
        <v>365.19330000000002</v>
      </c>
      <c r="J1381">
        <v>-243.8623</v>
      </c>
      <c r="K1381">
        <v>1.1103829999999999</v>
      </c>
      <c r="L1381">
        <v>367.40699999999998</v>
      </c>
      <c r="M1381">
        <v>0.99985089999999999</v>
      </c>
      <c r="N1381">
        <v>0</v>
      </c>
      <c r="O1381">
        <v>-1.060148E-2</v>
      </c>
      <c r="P1381">
        <v>0.98605609999999999</v>
      </c>
      <c r="Q1381">
        <v>0.16637779999999999</v>
      </c>
      <c r="R1381">
        <v>-3.42977E-3</v>
      </c>
      <c r="S1381">
        <v>3.068848</v>
      </c>
      <c r="T1381">
        <v>-0.16406799999999999</v>
      </c>
      <c r="U1381">
        <v>-0.32730100000000001</v>
      </c>
      <c r="V1381">
        <v>-7.0184030000000003E-3</v>
      </c>
      <c r="W1381">
        <v>0.1798033</v>
      </c>
      <c r="X1381">
        <v>0.98367760000000004</v>
      </c>
      <c r="Y1381">
        <v>9.5382980000000006E-2</v>
      </c>
      <c r="Z1381">
        <v>-1.9759500000000002E-3</v>
      </c>
      <c r="AA1381">
        <v>0.99543870000000001</v>
      </c>
      <c r="AB1381">
        <v>29</v>
      </c>
      <c r="AC1381">
        <v>20.624199999999998</v>
      </c>
      <c r="AD1381">
        <v>-1.11038666774199</v>
      </c>
      <c r="AE1381">
        <v>-2.2136999999999598</v>
      </c>
      <c r="AF1381">
        <v>1.9892078907195001</v>
      </c>
      <c r="AG1381">
        <v>-1.11038666774199</v>
      </c>
      <c r="AH1381">
        <v>20.5875153292302</v>
      </c>
      <c r="AI1381">
        <v>93.072970490880493</v>
      </c>
      <c r="AJ1381">
        <v>84.481096399897893</v>
      </c>
      <c r="AK1381">
        <v>20.7131768209439</v>
      </c>
      <c r="AL1381">
        <v>79.641697751954794</v>
      </c>
      <c r="AM1381">
        <v>90.408790489358495</v>
      </c>
      <c r="AN1381">
        <v>1.0000000527066499</v>
      </c>
    </row>
    <row r="1382" spans="1:40" x14ac:dyDescent="0.25">
      <c r="A1382" t="str">
        <f>"20190312172113110"</f>
        <v>20190312172113110</v>
      </c>
      <c r="B1382" t="str">
        <f>"1552382473102026"</f>
        <v>1552382473102026</v>
      </c>
      <c r="C1382" t="s">
        <v>40</v>
      </c>
      <c r="D1382">
        <v>3.368687</v>
      </c>
      <c r="E1382">
        <v>0.54051309999999997</v>
      </c>
      <c r="F1382" t="s">
        <v>42</v>
      </c>
      <c r="G1382">
        <v>-223.23249999999999</v>
      </c>
      <c r="H1382" s="1">
        <v>-3.6691199999999999E-6</v>
      </c>
      <c r="I1382">
        <v>365.19909999999999</v>
      </c>
      <c r="J1382">
        <v>-243.71559999999999</v>
      </c>
      <c r="K1382">
        <v>1.1103799999999999</v>
      </c>
      <c r="L1382">
        <v>367.40539999999999</v>
      </c>
      <c r="M1382">
        <v>0.99985100000000005</v>
      </c>
      <c r="N1382">
        <v>0</v>
      </c>
      <c r="O1382">
        <v>-1.060139E-2</v>
      </c>
      <c r="P1382">
        <v>0.98604970000000003</v>
      </c>
      <c r="Q1382">
        <v>0.1664128</v>
      </c>
      <c r="R1382">
        <v>-3.5925200000000001E-3</v>
      </c>
      <c r="S1382">
        <v>3.0691380000000001</v>
      </c>
      <c r="T1382">
        <v>-0.1651937</v>
      </c>
      <c r="U1382">
        <v>-0.32846069999999999</v>
      </c>
      <c r="V1382">
        <v>-6.8551430000000002E-3</v>
      </c>
      <c r="W1382">
        <v>0.17982579999999901</v>
      </c>
      <c r="X1382">
        <v>0.98367459999999995</v>
      </c>
      <c r="Y1382">
        <v>9.5742900000000006E-2</v>
      </c>
      <c r="Z1382">
        <v>-1.99892E-3</v>
      </c>
      <c r="AA1382">
        <v>0.99540410000000001</v>
      </c>
      <c r="AB1382">
        <v>29</v>
      </c>
      <c r="AC1382">
        <v>20.4831</v>
      </c>
      <c r="AD1382">
        <v>-1.11038366912</v>
      </c>
      <c r="AE1382">
        <v>-2.2063000000000001</v>
      </c>
      <c r="AF1382">
        <v>1.9832451940036999</v>
      </c>
      <c r="AG1382">
        <v>-1.11038366912</v>
      </c>
      <c r="AH1382">
        <v>20.4459454096549</v>
      </c>
      <c r="AI1382">
        <v>93.094086746233401</v>
      </c>
      <c r="AJ1382">
        <v>84.459674366340707</v>
      </c>
      <c r="AK1382">
        <v>20.571895806822798</v>
      </c>
      <c r="AL1382">
        <v>79.640386841417595</v>
      </c>
      <c r="AM1382">
        <v>90.399282855978299</v>
      </c>
      <c r="AN1382">
        <v>1.00000001500817</v>
      </c>
    </row>
    <row r="1383" spans="1:40" x14ac:dyDescent="0.25">
      <c r="A1383" t="str">
        <f>"20190312172113122"</f>
        <v>20190312172113122</v>
      </c>
      <c r="B1383" t="str">
        <f>"1552382473112761"</f>
        <v>1552382473112761</v>
      </c>
      <c r="C1383" t="s">
        <v>40</v>
      </c>
      <c r="D1383">
        <v>3.3377370000000002</v>
      </c>
      <c r="E1383">
        <v>0.54058119999999998</v>
      </c>
      <c r="F1383" t="s">
        <v>42</v>
      </c>
      <c r="G1383">
        <v>-223.20910000000001</v>
      </c>
      <c r="H1383" s="1">
        <v>-3.6775660000000001E-6</v>
      </c>
      <c r="I1383">
        <v>365.20800000000003</v>
      </c>
      <c r="J1383">
        <v>-243.57310000000001</v>
      </c>
      <c r="K1383">
        <v>1.1103809999999901</v>
      </c>
      <c r="L1383">
        <v>367.40390000000002</v>
      </c>
      <c r="M1383">
        <v>0.9998513</v>
      </c>
      <c r="N1383">
        <v>0</v>
      </c>
      <c r="O1383">
        <v>-1.0601309999999999E-2</v>
      </c>
      <c r="P1383">
        <v>0.98602590000000001</v>
      </c>
      <c r="Q1383">
        <v>0.16655539999999999</v>
      </c>
      <c r="R1383">
        <v>-3.526838E-3</v>
      </c>
      <c r="S1383">
        <v>3.0692750000000002</v>
      </c>
      <c r="T1383">
        <v>-0.16619419999999999</v>
      </c>
      <c r="U1383">
        <v>-0.32888790000000001</v>
      </c>
      <c r="V1383">
        <v>-6.9211119999999897E-3</v>
      </c>
      <c r="W1383">
        <v>0.17995659999999999</v>
      </c>
      <c r="X1383">
        <v>0.98365020000000003</v>
      </c>
      <c r="Y1383">
        <v>9.5873600000000003E-2</v>
      </c>
      <c r="Z1383">
        <v>-2.0144339999999998E-3</v>
      </c>
      <c r="AA1383">
        <v>0.99539149999999998</v>
      </c>
      <c r="AB1383">
        <v>29</v>
      </c>
      <c r="AC1383">
        <v>20.364000000000001</v>
      </c>
      <c r="AD1383">
        <v>-1.11038467756599</v>
      </c>
      <c r="AE1383">
        <v>-2.1958999999999902</v>
      </c>
      <c r="AF1383">
        <v>1.9740697335236601</v>
      </c>
      <c r="AG1383">
        <v>-1.11038467756599</v>
      </c>
      <c r="AH1383">
        <v>20.326397658102401</v>
      </c>
      <c r="AI1383">
        <v>93.1122159039557</v>
      </c>
      <c r="AJ1383">
        <v>84.452914877042602</v>
      </c>
      <c r="AK1383">
        <v>20.452196635087802</v>
      </c>
      <c r="AL1383">
        <v>79.632768087880393</v>
      </c>
      <c r="AM1383">
        <v>90.403135142214296</v>
      </c>
      <c r="AN1383">
        <v>0.99999999781745796</v>
      </c>
    </row>
    <row r="1384" spans="1:40" x14ac:dyDescent="0.25">
      <c r="A1384" t="str">
        <f>"20190312172113132"</f>
        <v>20190312172113132</v>
      </c>
      <c r="B1384" t="str">
        <f>"1552382473122522"</f>
        <v>1552382473122522</v>
      </c>
      <c r="C1384" t="s">
        <v>40</v>
      </c>
      <c r="D1384">
        <v>3.3363689999999999</v>
      </c>
      <c r="E1384">
        <v>0.54060379999999997</v>
      </c>
      <c r="F1384" t="s">
        <v>42</v>
      </c>
      <c r="G1384">
        <v>-223.15950000000001</v>
      </c>
      <c r="H1384" s="1">
        <v>-3.6980969999999999E-6</v>
      </c>
      <c r="I1384">
        <v>365.21230000000003</v>
      </c>
      <c r="J1384">
        <v>-243.43879999999999</v>
      </c>
      <c r="K1384">
        <v>1.1103799999999999</v>
      </c>
      <c r="L1384">
        <v>367.4024</v>
      </c>
      <c r="M1384">
        <v>0.9998515</v>
      </c>
      <c r="N1384">
        <v>0</v>
      </c>
      <c r="O1384">
        <v>-1.060147E-2</v>
      </c>
      <c r="P1384">
        <v>0.98603680000000005</v>
      </c>
      <c r="Q1384">
        <v>0.16649159999999999</v>
      </c>
      <c r="R1384">
        <v>-3.5070549999999998E-3</v>
      </c>
      <c r="S1384">
        <v>3.0695190000000001</v>
      </c>
      <c r="T1384">
        <v>-0.16696369999999999</v>
      </c>
      <c r="U1384">
        <v>-0.32952880000000001</v>
      </c>
      <c r="V1384">
        <v>-6.9413770000000003E-3</v>
      </c>
      <c r="W1384">
        <v>0.1798816</v>
      </c>
      <c r="X1384">
        <v>0.98366379999999998</v>
      </c>
      <c r="Y1384">
        <v>9.6069100000000004E-2</v>
      </c>
      <c r="Z1384">
        <v>-2.028855E-3</v>
      </c>
      <c r="AA1384">
        <v>0.99537260000000005</v>
      </c>
      <c r="AB1384">
        <v>29</v>
      </c>
      <c r="AC1384">
        <v>20.2792999999999</v>
      </c>
      <c r="AD1384">
        <v>-1.1103836980970001</v>
      </c>
      <c r="AE1384">
        <v>-2.19009999999997</v>
      </c>
      <c r="AF1384">
        <v>1.96913115357581</v>
      </c>
      <c r="AG1384">
        <v>-1.1103836980970001</v>
      </c>
      <c r="AH1384">
        <v>20.241395294667701</v>
      </c>
      <c r="AI1384">
        <v>93.125207625207906</v>
      </c>
      <c r="AJ1384">
        <v>84.4436143489024</v>
      </c>
      <c r="AK1384">
        <v>20.3672411713511</v>
      </c>
      <c r="AL1384">
        <v>79.637136812862096</v>
      </c>
      <c r="AM1384">
        <v>90.404309892030099</v>
      </c>
      <c r="AN1384">
        <v>1.0000000220818199</v>
      </c>
    </row>
    <row r="1385" spans="1:40" x14ac:dyDescent="0.25">
      <c r="A1385" t="str">
        <f>"20190312172113143"</f>
        <v>20190312172113143</v>
      </c>
      <c r="B1385" t="str">
        <f>"1552382473132282"</f>
        <v>1552382473132282</v>
      </c>
      <c r="C1385" t="s">
        <v>40</v>
      </c>
      <c r="D1385">
        <v>3.3625519999999902</v>
      </c>
      <c r="E1385">
        <v>0.54066879999999995</v>
      </c>
      <c r="F1385" t="s">
        <v>42</v>
      </c>
      <c r="G1385">
        <v>-223.2139</v>
      </c>
      <c r="H1385" s="1">
        <v>-3.671049E-6</v>
      </c>
      <c r="I1385">
        <v>365.23309999999998</v>
      </c>
      <c r="J1385">
        <v>-243.3005</v>
      </c>
      <c r="K1385">
        <v>1.110379</v>
      </c>
      <c r="L1385">
        <v>367.40100000000001</v>
      </c>
      <c r="M1385">
        <v>0.9998515</v>
      </c>
      <c r="N1385">
        <v>0</v>
      </c>
      <c r="O1385">
        <v>-1.06014E-2</v>
      </c>
      <c r="P1385">
        <v>0.98603479999999999</v>
      </c>
      <c r="Q1385">
        <v>0.16650309999999999</v>
      </c>
      <c r="R1385">
        <v>-3.5500369999999998E-3</v>
      </c>
      <c r="S1385">
        <v>3.069763</v>
      </c>
      <c r="T1385">
        <v>-0.16853489999999999</v>
      </c>
      <c r="U1385">
        <v>-0.3292542</v>
      </c>
      <c r="V1385">
        <v>-6.8982239999999997E-3</v>
      </c>
      <c r="W1385">
        <v>0.17988209999999999</v>
      </c>
      <c r="X1385">
        <v>0.98366399999999998</v>
      </c>
      <c r="Y1385">
        <v>9.5970559999999996E-2</v>
      </c>
      <c r="Z1385">
        <v>-2.0450759999999998E-3</v>
      </c>
      <c r="AA1385">
        <v>0.99538210000000005</v>
      </c>
      <c r="AB1385">
        <v>29</v>
      </c>
      <c r="AC1385">
        <v>20.086600000000001</v>
      </c>
      <c r="AD1385">
        <v>-1.1103826710489999</v>
      </c>
      <c r="AE1385">
        <v>-2.1679000000000301</v>
      </c>
      <c r="AF1385">
        <v>1.9489253565214399</v>
      </c>
      <c r="AG1385">
        <v>-1.1103826710489999</v>
      </c>
      <c r="AH1385">
        <v>20.0478978632223</v>
      </c>
      <c r="AI1385">
        <v>93.1553287076608</v>
      </c>
      <c r="AJ1385">
        <v>84.447526759196705</v>
      </c>
      <c r="AK1385">
        <v>20.172988585126699</v>
      </c>
      <c r="AL1385">
        <v>79.6371075648633</v>
      </c>
      <c r="AM1385">
        <v>90.401796388148895</v>
      </c>
      <c r="AN1385">
        <v>1.0000000101453801</v>
      </c>
    </row>
    <row r="1386" spans="1:40" x14ac:dyDescent="0.25">
      <c r="A1386" t="str">
        <f>"20190312172113154"</f>
        <v>20190312172113154</v>
      </c>
      <c r="B1386" t="str">
        <f>"1552382473142041"</f>
        <v>1552382473142041</v>
      </c>
      <c r="C1386" t="s">
        <v>40</v>
      </c>
      <c r="D1386">
        <v>3.3580739999999998</v>
      </c>
      <c r="E1386">
        <v>0.54070890000000005</v>
      </c>
      <c r="F1386" t="s">
        <v>42</v>
      </c>
      <c r="G1386">
        <v>-223.15960000000001</v>
      </c>
      <c r="H1386" s="1">
        <v>-3.6942600000000001E-6</v>
      </c>
      <c r="I1386">
        <v>365.23360000000002</v>
      </c>
      <c r="J1386">
        <v>-243.1576</v>
      </c>
      <c r="K1386">
        <v>1.110379</v>
      </c>
      <c r="L1386">
        <v>367.39949999999999</v>
      </c>
      <c r="M1386">
        <v>0.99985170000000001</v>
      </c>
      <c r="N1386">
        <v>0</v>
      </c>
      <c r="O1386">
        <v>-1.0601319999999999E-2</v>
      </c>
      <c r="P1386">
        <v>0.9860276</v>
      </c>
      <c r="Q1386">
        <v>0.1665452</v>
      </c>
      <c r="R1386">
        <v>-3.4948409999999998E-3</v>
      </c>
      <c r="S1386">
        <v>3.0698850000000002</v>
      </c>
      <c r="T1386">
        <v>-0.16924449999999999</v>
      </c>
      <c r="U1386">
        <v>-0.3303528</v>
      </c>
      <c r="V1386">
        <v>-6.9525940000000003E-3</v>
      </c>
      <c r="W1386">
        <v>0.17991299999999999</v>
      </c>
      <c r="X1386">
        <v>0.98365800000000003</v>
      </c>
      <c r="Y1386">
        <v>9.6316990000000005E-2</v>
      </c>
      <c r="Z1386">
        <v>-2.063072E-3</v>
      </c>
      <c r="AA1386">
        <v>0.99534860000000003</v>
      </c>
      <c r="AB1386">
        <v>29</v>
      </c>
      <c r="AC1386">
        <v>19.997999999999902</v>
      </c>
      <c r="AD1386">
        <v>-1.1103826942599999</v>
      </c>
      <c r="AE1386">
        <v>-2.1658999999999602</v>
      </c>
      <c r="AF1386">
        <v>1.9478180576909201</v>
      </c>
      <c r="AG1386">
        <v>-1.1103826942599999</v>
      </c>
      <c r="AH1386">
        <v>19.9590194611723</v>
      </c>
      <c r="AI1386">
        <v>93.1692358348498</v>
      </c>
      <c r="AJ1386">
        <v>84.4261055728591</v>
      </c>
      <c r="AK1386">
        <v>20.084556324824199</v>
      </c>
      <c r="AL1386">
        <v>79.635308112182898</v>
      </c>
      <c r="AM1386">
        <v>90.4049656073542</v>
      </c>
      <c r="AN1386">
        <v>1.00000004354816</v>
      </c>
    </row>
    <row r="1387" spans="1:40" x14ac:dyDescent="0.25">
      <c r="A1387" t="str">
        <f>"20190312172113166"</f>
        <v>20190312172113166</v>
      </c>
      <c r="B1387" t="str">
        <f>"1552382473162538"</f>
        <v>1552382473162538</v>
      </c>
      <c r="C1387" t="s">
        <v>40</v>
      </c>
      <c r="D1387">
        <v>3.333933</v>
      </c>
      <c r="E1387">
        <v>0.54072180000000003</v>
      </c>
      <c r="F1387" t="s">
        <v>42</v>
      </c>
      <c r="G1387">
        <v>-223.09379999999999</v>
      </c>
      <c r="H1387" s="1">
        <v>-3.7212149999999998E-6</v>
      </c>
      <c r="I1387">
        <v>365.24079999999998</v>
      </c>
      <c r="J1387">
        <v>-243.01589999999999</v>
      </c>
      <c r="K1387">
        <v>1.1103780000000001</v>
      </c>
      <c r="L1387">
        <v>367.39789999999999</v>
      </c>
      <c r="M1387">
        <v>0.99985190000000002</v>
      </c>
      <c r="N1387">
        <v>0</v>
      </c>
      <c r="O1387">
        <v>-1.060124E-2</v>
      </c>
      <c r="P1387">
        <v>0.98601589999999995</v>
      </c>
      <c r="Q1387">
        <v>0.16662009999999999</v>
      </c>
      <c r="R1387">
        <v>-3.2341409999999998E-3</v>
      </c>
      <c r="S1387">
        <v>3.0700530000000001</v>
      </c>
      <c r="T1387">
        <v>-0.16990350000000001</v>
      </c>
      <c r="U1387">
        <v>-0.33029170000000002</v>
      </c>
      <c r="V1387">
        <v>-7.2132979999999999E-3</v>
      </c>
      <c r="W1387">
        <v>0.17997589999999999</v>
      </c>
      <c r="X1387">
        <v>0.98364459999999998</v>
      </c>
      <c r="Y1387">
        <v>9.6290769999999998E-2</v>
      </c>
      <c r="Z1387">
        <v>-2.070265E-3</v>
      </c>
      <c r="AA1387">
        <v>0.99535110000000004</v>
      </c>
      <c r="AB1387">
        <v>29</v>
      </c>
      <c r="AC1387">
        <v>19.9221</v>
      </c>
      <c r="AD1387">
        <v>-1.110381721215</v>
      </c>
      <c r="AE1387">
        <v>-2.15710000000001</v>
      </c>
      <c r="AF1387">
        <v>1.93980417190795</v>
      </c>
      <c r="AG1387">
        <v>-1.110381721215</v>
      </c>
      <c r="AH1387">
        <v>19.882799715427499</v>
      </c>
      <c r="AI1387">
        <v>93.181366138829304</v>
      </c>
      <c r="AJ1387">
        <v>84.427748434795504</v>
      </c>
      <c r="AK1387">
        <v>20.008036193389</v>
      </c>
      <c r="AL1387">
        <v>79.631644237922501</v>
      </c>
      <c r="AM1387">
        <v>90.420155942067296</v>
      </c>
      <c r="AN1387">
        <v>1.000000027679</v>
      </c>
    </row>
    <row r="1388" spans="1:40" x14ac:dyDescent="0.25">
      <c r="A1388" t="str">
        <f>"20190312172113176"</f>
        <v>20190312172113176</v>
      </c>
      <c r="B1388" t="str">
        <f>"1552382473172297"</f>
        <v>1552382473172297</v>
      </c>
      <c r="C1388" t="s">
        <v>40</v>
      </c>
      <c r="D1388">
        <v>3.3395709999999998</v>
      </c>
      <c r="E1388">
        <v>0.54075980000000001</v>
      </c>
      <c r="F1388" t="s">
        <v>42</v>
      </c>
      <c r="G1388">
        <v>-223.14680000000001</v>
      </c>
      <c r="H1388" s="1">
        <v>-3.694258E-6</v>
      </c>
      <c r="I1388">
        <v>365.2645</v>
      </c>
      <c r="J1388">
        <v>-242.8749</v>
      </c>
      <c r="K1388">
        <v>1.110379</v>
      </c>
      <c r="L1388">
        <v>367.3965</v>
      </c>
      <c r="M1388">
        <v>0.99985210000000002</v>
      </c>
      <c r="N1388">
        <v>0</v>
      </c>
      <c r="O1388">
        <v>-1.060116E-2</v>
      </c>
      <c r="P1388">
        <v>0.98600370000000004</v>
      </c>
      <c r="Q1388">
        <v>0.16669249999999999</v>
      </c>
      <c r="R1388">
        <v>-3.265043E-3</v>
      </c>
      <c r="S1388">
        <v>3.0704799999999999</v>
      </c>
      <c r="T1388">
        <v>-0.1715931</v>
      </c>
      <c r="U1388">
        <v>-0.32968140000000001</v>
      </c>
      <c r="V1388">
        <v>-7.1827319999999998E-3</v>
      </c>
      <c r="W1388">
        <v>0.18003540000000001</v>
      </c>
      <c r="X1388">
        <v>0.98363389999999995</v>
      </c>
      <c r="Y1388">
        <v>9.6078319999999995E-2</v>
      </c>
      <c r="Z1388">
        <v>-2.0846440000000001E-3</v>
      </c>
      <c r="AA1388">
        <v>0.99537160000000002</v>
      </c>
      <c r="AB1388">
        <v>29</v>
      </c>
      <c r="AC1388">
        <v>19.728099999999898</v>
      </c>
      <c r="AD1388">
        <v>-1.110382694258</v>
      </c>
      <c r="AE1388">
        <v>-2.1320000000000001</v>
      </c>
      <c r="AF1388">
        <v>1.9167183247988799</v>
      </c>
      <c r="AG1388">
        <v>-1.110382694258</v>
      </c>
      <c r="AH1388">
        <v>19.687945023634601</v>
      </c>
      <c r="AI1388">
        <v>93.212853863892704</v>
      </c>
      <c r="AJ1388">
        <v>84.439497197955404</v>
      </c>
      <c r="AK1388">
        <v>19.812166416573099</v>
      </c>
      <c r="AL1388">
        <v>79.628178165747599</v>
      </c>
      <c r="AM1388">
        <v>90.418380166027006</v>
      </c>
      <c r="AN1388">
        <v>0.999999993060676</v>
      </c>
    </row>
    <row r="1389" spans="1:40" x14ac:dyDescent="0.25">
      <c r="A1389" t="str">
        <f>"20190312172113187"</f>
        <v>20190312172113187</v>
      </c>
      <c r="B1389" t="str">
        <f>"1552382473182057"</f>
        <v>1552382473182057</v>
      </c>
      <c r="C1389" t="s">
        <v>40</v>
      </c>
      <c r="D1389">
        <v>3.3536760000000001</v>
      </c>
      <c r="E1389">
        <v>0.54079100000000002</v>
      </c>
      <c r="F1389" t="s">
        <v>42</v>
      </c>
      <c r="G1389">
        <v>-223.07130000000001</v>
      </c>
      <c r="H1389" s="1">
        <v>-3.725956E-6</v>
      </c>
      <c r="I1389">
        <v>365.26839999999999</v>
      </c>
      <c r="J1389">
        <v>-242.7295</v>
      </c>
      <c r="K1389">
        <v>1.1103780000000001</v>
      </c>
      <c r="L1389">
        <v>367.39499999999998</v>
      </c>
      <c r="M1389">
        <v>0.99985239999999997</v>
      </c>
      <c r="N1389">
        <v>0</v>
      </c>
      <c r="O1389">
        <v>-1.060081E-2</v>
      </c>
      <c r="P1389">
        <v>0.98599329999999996</v>
      </c>
      <c r="Q1389">
        <v>0.1667536</v>
      </c>
      <c r="R1389">
        <v>-3.2970819999999998E-3</v>
      </c>
      <c r="S1389">
        <v>3.0706020000000001</v>
      </c>
      <c r="T1389">
        <v>-0.17216719999999999</v>
      </c>
      <c r="U1389">
        <v>-0.32995609999999997</v>
      </c>
      <c r="V1389">
        <v>-7.1498389999999998E-3</v>
      </c>
      <c r="W1389">
        <v>0.18008099999999999</v>
      </c>
      <c r="X1389">
        <v>0.98362579999999999</v>
      </c>
      <c r="Y1389">
        <v>9.6161479999999994E-2</v>
      </c>
      <c r="Z1389">
        <v>-2.093859E-3</v>
      </c>
      <c r="AA1389">
        <v>0.99536349999999996</v>
      </c>
      <c r="AB1389">
        <v>29</v>
      </c>
      <c r="AC1389">
        <v>19.658199999999901</v>
      </c>
      <c r="AD1389">
        <v>-1.110381725956</v>
      </c>
      <c r="AE1389">
        <v>-2.1265999999999901</v>
      </c>
      <c r="AF1389">
        <v>1.91203881860764</v>
      </c>
      <c r="AG1389">
        <v>-1.110381725956</v>
      </c>
      <c r="AH1389">
        <v>19.6177746687415</v>
      </c>
      <c r="AI1389">
        <v>93.224284778913301</v>
      </c>
      <c r="AJ1389">
        <v>84.433271354454504</v>
      </c>
      <c r="AK1389">
        <v>19.7419837649289</v>
      </c>
      <c r="AL1389">
        <v>79.625522145791805</v>
      </c>
      <c r="AM1389">
        <v>90.416467709800102</v>
      </c>
      <c r="AN1389">
        <v>1.0000000005921801</v>
      </c>
    </row>
    <row r="1390" spans="1:40" x14ac:dyDescent="0.25">
      <c r="A1390" t="str">
        <f>"20190312172113199"</f>
        <v>20190312172113199</v>
      </c>
      <c r="B1390" t="str">
        <f>"1552382473192793"</f>
        <v>1552382473192793</v>
      </c>
      <c r="C1390" t="s">
        <v>40</v>
      </c>
      <c r="D1390">
        <v>3.3669370000000001</v>
      </c>
      <c r="E1390">
        <v>0.54079569999999999</v>
      </c>
      <c r="F1390" t="s">
        <v>42</v>
      </c>
      <c r="G1390">
        <v>-222.97460000000001</v>
      </c>
      <c r="H1390" s="1">
        <v>-3.767587E-6</v>
      </c>
      <c r="I1390">
        <v>365.26769999999999</v>
      </c>
      <c r="J1390">
        <v>-242.58320000000001</v>
      </c>
      <c r="K1390">
        <v>1.1103749999999999</v>
      </c>
      <c r="L1390">
        <v>367.39339999999999</v>
      </c>
      <c r="M1390">
        <v>0.99985259999999998</v>
      </c>
      <c r="N1390">
        <v>0</v>
      </c>
      <c r="O1390">
        <v>-1.060058E-2</v>
      </c>
      <c r="P1390">
        <v>0.98598269999999999</v>
      </c>
      <c r="Q1390">
        <v>0.16681949999999901</v>
      </c>
      <c r="R1390">
        <v>-3.1132920000000001E-3</v>
      </c>
      <c r="S1390">
        <v>3.0707089999999999</v>
      </c>
      <c r="T1390">
        <v>-0.17259759999999999</v>
      </c>
      <c r="U1390">
        <v>-0.33065800000000001</v>
      </c>
      <c r="V1390">
        <v>-7.3326930000000004E-3</v>
      </c>
      <c r="W1390">
        <v>0.18012919999999999</v>
      </c>
      <c r="X1390">
        <v>0.98361560000000003</v>
      </c>
      <c r="Y1390">
        <v>9.6381949999999994E-2</v>
      </c>
      <c r="Z1390">
        <v>-2.1051730000000001E-3</v>
      </c>
      <c r="AA1390">
        <v>0.99534219999999896</v>
      </c>
      <c r="AB1390">
        <v>28</v>
      </c>
      <c r="AC1390">
        <v>19.608599999999999</v>
      </c>
      <c r="AD1390">
        <v>-1.1103787675869901</v>
      </c>
      <c r="AE1390">
        <v>-2.1256999999999899</v>
      </c>
      <c r="AF1390">
        <v>1.9116403216283799</v>
      </c>
      <c r="AG1390">
        <v>-1.1103787675869901</v>
      </c>
      <c r="AH1390">
        <v>19.5680151616762</v>
      </c>
      <c r="AI1390">
        <v>93.232386931780795</v>
      </c>
      <c r="AJ1390">
        <v>84.420360750504599</v>
      </c>
      <c r="AK1390">
        <v>19.692499259727601</v>
      </c>
      <c r="AL1390">
        <v>79.622714286732204</v>
      </c>
      <c r="AM1390">
        <v>90.427122728361994</v>
      </c>
      <c r="AN1390">
        <v>0.99999997282131503</v>
      </c>
    </row>
    <row r="1391" spans="1:40" x14ac:dyDescent="0.25">
      <c r="A1391" t="str">
        <f>"20190312172113214"</f>
        <v>20190312172113214</v>
      </c>
      <c r="B1391" t="str">
        <f>"1552382473202553"</f>
        <v>1552382473202553</v>
      </c>
      <c r="C1391" t="s">
        <v>40</v>
      </c>
      <c r="D1391">
        <v>3.3447629999999999</v>
      </c>
      <c r="E1391">
        <v>0.54083499999999995</v>
      </c>
      <c r="F1391" t="s">
        <v>42</v>
      </c>
      <c r="G1391">
        <v>-222.9006</v>
      </c>
      <c r="H1391" s="1">
        <v>-3.797383E-6</v>
      </c>
      <c r="I1391">
        <v>365.27850000000001</v>
      </c>
      <c r="J1391">
        <v>-242.41149999999999</v>
      </c>
      <c r="K1391">
        <v>1.1103700000000001</v>
      </c>
      <c r="L1391">
        <v>367.39159999999998</v>
      </c>
      <c r="M1391">
        <v>0.99985279999999999</v>
      </c>
      <c r="N1391">
        <v>0</v>
      </c>
      <c r="O1391">
        <v>-1.0599839999999999E-2</v>
      </c>
      <c r="P1391">
        <v>0.98600710000000003</v>
      </c>
      <c r="Q1391">
        <v>0.1666724</v>
      </c>
      <c r="R1391">
        <v>-3.2087420000000001E-3</v>
      </c>
      <c r="S1391">
        <v>3.0709379999999999</v>
      </c>
      <c r="T1391">
        <v>-0.1732445</v>
      </c>
      <c r="U1391">
        <v>-0.32995609999999997</v>
      </c>
      <c r="V1391">
        <v>-7.2372399999999998E-3</v>
      </c>
      <c r="W1391">
        <v>0.17996039999999999</v>
      </c>
      <c r="X1391">
        <v>0.98364720000000005</v>
      </c>
      <c r="Y1391">
        <v>9.614926E-2</v>
      </c>
      <c r="Z1391">
        <v>-2.1064230000000001E-3</v>
      </c>
      <c r="AA1391">
        <v>0.99536469999999999</v>
      </c>
      <c r="AB1391">
        <v>28</v>
      </c>
      <c r="AC1391">
        <v>19.5108999999999</v>
      </c>
      <c r="AD1391">
        <v>-1.1103737973829999</v>
      </c>
      <c r="AE1391">
        <v>-2.11309999999997</v>
      </c>
      <c r="AF1391">
        <v>1.9000674345942301</v>
      </c>
      <c r="AG1391">
        <v>-1.1103737973829999</v>
      </c>
      <c r="AH1391">
        <v>19.469876338313799</v>
      </c>
      <c r="AI1391">
        <v>93.248662582791894</v>
      </c>
      <c r="AJ1391">
        <v>84.4261484837469</v>
      </c>
      <c r="AK1391">
        <v>19.593857988031701</v>
      </c>
      <c r="AL1391">
        <v>79.632546444559793</v>
      </c>
      <c r="AM1391">
        <v>90.421549337155497</v>
      </c>
      <c r="AN1391">
        <v>0.99999996863940799</v>
      </c>
    </row>
    <row r="1392" spans="1:40" x14ac:dyDescent="0.25">
      <c r="A1392" t="str">
        <f>"20190312172113226"</f>
        <v>20190312172113226</v>
      </c>
      <c r="B1392" t="str">
        <f>"1552382473222073"</f>
        <v>1552382473222073</v>
      </c>
      <c r="C1392" t="s">
        <v>40</v>
      </c>
      <c r="D1392">
        <v>3.3455330000000001</v>
      </c>
      <c r="E1392">
        <v>0.54085919999999998</v>
      </c>
      <c r="F1392" t="s">
        <v>42</v>
      </c>
      <c r="G1392">
        <v>-222.86179999999999</v>
      </c>
      <c r="H1392" s="1">
        <v>-3.812504E-6</v>
      </c>
      <c r="I1392">
        <v>365.28719999999998</v>
      </c>
      <c r="J1392">
        <v>-242.24209999999999</v>
      </c>
      <c r="K1392">
        <v>1.1103700000000001</v>
      </c>
      <c r="L1392">
        <v>367.38979999999998</v>
      </c>
      <c r="M1392">
        <v>0.9998532</v>
      </c>
      <c r="N1392">
        <v>0</v>
      </c>
      <c r="O1392">
        <v>-1.0599570000000001E-2</v>
      </c>
      <c r="P1392">
        <v>0.98598810000000003</v>
      </c>
      <c r="Q1392">
        <v>0.1667874</v>
      </c>
      <c r="R1392">
        <v>-3.0990639999999999E-3</v>
      </c>
      <c r="S1392">
        <v>3.0709689999999998</v>
      </c>
      <c r="T1392">
        <v>-0.17442299999999999</v>
      </c>
      <c r="U1392">
        <v>-0.33056639999999998</v>
      </c>
      <c r="V1392">
        <v>-7.3463979999999996E-3</v>
      </c>
      <c r="W1392">
        <v>0.1800542</v>
      </c>
      <c r="X1392">
        <v>0.98362930000000004</v>
      </c>
      <c r="Y1392">
        <v>9.6341910000000003E-2</v>
      </c>
      <c r="Z1392">
        <v>-2.1261510000000002E-3</v>
      </c>
      <c r="AA1392">
        <v>0.99534599999999995</v>
      </c>
      <c r="AB1392">
        <v>28</v>
      </c>
      <c r="AC1392">
        <v>19.380299999999998</v>
      </c>
      <c r="AD1392">
        <v>-1.1103738125039999</v>
      </c>
      <c r="AE1392">
        <v>-2.10259999999999</v>
      </c>
      <c r="AF1392">
        <v>1.8909055288430601</v>
      </c>
      <c r="AG1392">
        <v>-1.1103738125039999</v>
      </c>
      <c r="AH1392">
        <v>19.338756935361499</v>
      </c>
      <c r="AI1392">
        <v>93.270582004279106</v>
      </c>
      <c r="AJ1392">
        <v>84.415483487673797</v>
      </c>
      <c r="AK1392">
        <v>19.462681560553101</v>
      </c>
      <c r="AL1392">
        <v>79.627083625076395</v>
      </c>
      <c r="AM1392">
        <v>90.427915042678293</v>
      </c>
      <c r="AN1392">
        <v>1.0000000421598501</v>
      </c>
    </row>
    <row r="1393" spans="1:40" x14ac:dyDescent="0.25">
      <c r="A1393" t="str">
        <f>"20190312172113238"</f>
        <v>20190312172113238</v>
      </c>
      <c r="B1393" t="str">
        <f>"1552382473232809"</f>
        <v>1552382473232809</v>
      </c>
      <c r="C1393" t="s">
        <v>40</v>
      </c>
      <c r="D1393">
        <v>3.3577180000000002</v>
      </c>
      <c r="E1393">
        <v>0.54089279999999995</v>
      </c>
      <c r="F1393" t="s">
        <v>42</v>
      </c>
      <c r="G1393">
        <v>-222.78980000000001</v>
      </c>
      <c r="H1393" s="1">
        <v>-3.841707E-6</v>
      </c>
      <c r="I1393">
        <v>365.29680000000002</v>
      </c>
      <c r="J1393">
        <v>-242.08330000000001</v>
      </c>
      <c r="K1393">
        <v>1.110368</v>
      </c>
      <c r="L1393">
        <v>367.38810000000001</v>
      </c>
      <c r="M1393">
        <v>0.99985349999999995</v>
      </c>
      <c r="N1393">
        <v>0</v>
      </c>
      <c r="O1393">
        <v>-1.059944E-2</v>
      </c>
      <c r="P1393">
        <v>0.98600290000000002</v>
      </c>
      <c r="Q1393">
        <v>0.16669829999999999</v>
      </c>
      <c r="R1393">
        <v>-3.1980369999999999E-3</v>
      </c>
      <c r="S1393">
        <v>3.0712429999999999</v>
      </c>
      <c r="T1393">
        <v>-0.175311299999999</v>
      </c>
      <c r="U1393">
        <v>-0.33044430000000002</v>
      </c>
      <c r="V1393">
        <v>-7.2475780000000002E-3</v>
      </c>
      <c r="W1393">
        <v>0.17994579999999999</v>
      </c>
      <c r="X1393">
        <v>0.98364980000000002</v>
      </c>
      <c r="Y1393">
        <v>9.6292180000000005E-2</v>
      </c>
      <c r="Z1393">
        <v>-2.1353710000000001E-3</v>
      </c>
      <c r="AA1393">
        <v>0.99535079999999998</v>
      </c>
      <c r="AB1393">
        <v>28</v>
      </c>
      <c r="AC1393">
        <v>19.293499999999899</v>
      </c>
      <c r="AD1393">
        <v>-1.1103718417070001</v>
      </c>
      <c r="AE1393">
        <v>-2.09129999999998</v>
      </c>
      <c r="AF1393">
        <v>1.8805074702646301</v>
      </c>
      <c r="AG1393">
        <v>-1.1103718417070001</v>
      </c>
      <c r="AH1393">
        <v>19.251560312686401</v>
      </c>
      <c r="AI1393">
        <v>93.285388207309694</v>
      </c>
      <c r="AJ1393">
        <v>84.421002582225199</v>
      </c>
      <c r="AK1393">
        <v>19.375030540507002</v>
      </c>
      <c r="AL1393">
        <v>79.633396898457605</v>
      </c>
      <c r="AM1393">
        <v>90.422150359665096</v>
      </c>
      <c r="AN1393">
        <v>0.999999973682272</v>
      </c>
    </row>
    <row r="1394" spans="1:40" x14ac:dyDescent="0.25">
      <c r="A1394" t="str">
        <f>"20190312172113250"</f>
        <v>20190312172113250</v>
      </c>
      <c r="B1394" t="str">
        <f>"1552382473242569"</f>
        <v>1552382473242569</v>
      </c>
      <c r="C1394" t="s">
        <v>40</v>
      </c>
      <c r="D1394">
        <v>3.3396819999999998</v>
      </c>
      <c r="E1394">
        <v>0.54092369999999901</v>
      </c>
      <c r="F1394" t="s">
        <v>42</v>
      </c>
      <c r="G1394">
        <v>-222.73859999999999</v>
      </c>
      <c r="H1394" s="1">
        <v>-3.8622979999999998E-6</v>
      </c>
      <c r="I1394">
        <v>365.30450000000002</v>
      </c>
      <c r="J1394">
        <v>-241.93559999999999</v>
      </c>
      <c r="K1394">
        <v>1.1103670000000001</v>
      </c>
      <c r="L1394">
        <v>367.38650000000001</v>
      </c>
      <c r="M1394">
        <v>0.99985360000000001</v>
      </c>
      <c r="N1394">
        <v>0</v>
      </c>
      <c r="O1394">
        <v>-1.0598969999999999E-2</v>
      </c>
      <c r="P1394">
        <v>0.98601110000000003</v>
      </c>
      <c r="Q1394">
        <v>0.1666483</v>
      </c>
      <c r="R1394">
        <v>-3.2066E-3</v>
      </c>
      <c r="S1394">
        <v>3.0713200000000001</v>
      </c>
      <c r="T1394">
        <v>-0.17629110000000001</v>
      </c>
      <c r="U1394">
        <v>-0.33081050000000001</v>
      </c>
      <c r="V1394">
        <v>-7.2382879999999998E-3</v>
      </c>
      <c r="W1394">
        <v>0.17987879999999901</v>
      </c>
      <c r="X1394">
        <v>0.98366209999999998</v>
      </c>
      <c r="Y1394">
        <v>9.6405619999999997E-2</v>
      </c>
      <c r="Z1394">
        <v>-2.1504900000000001E-3</v>
      </c>
      <c r="AA1394">
        <v>0.9953398</v>
      </c>
      <c r="AB1394">
        <v>28</v>
      </c>
      <c r="AC1394">
        <v>19.196999999999999</v>
      </c>
      <c r="AD1394">
        <v>-1.110370862298</v>
      </c>
      <c r="AE1394">
        <v>-2.0819999999999901</v>
      </c>
      <c r="AF1394">
        <v>1.8722054792504501</v>
      </c>
      <c r="AG1394">
        <v>-1.110370862298</v>
      </c>
      <c r="AH1394">
        <v>19.154652428365399</v>
      </c>
      <c r="AI1394">
        <v>93.301950786740207</v>
      </c>
      <c r="AJ1394">
        <v>84.417553590914295</v>
      </c>
      <c r="AK1394">
        <v>19.2779352229397</v>
      </c>
      <c r="AL1394">
        <v>79.637299159024707</v>
      </c>
      <c r="AM1394">
        <v>90.421603991968098</v>
      </c>
      <c r="AN1394">
        <v>0.99999995123950902</v>
      </c>
    </row>
    <row r="1395" spans="1:40" x14ac:dyDescent="0.25">
      <c r="A1395" t="str">
        <f>"20190312172113265"</f>
        <v>20190312172113265</v>
      </c>
      <c r="B1395" t="str">
        <f>"1552382473262089"</f>
        <v>1552382473262089</v>
      </c>
      <c r="C1395" t="s">
        <v>40</v>
      </c>
      <c r="D1395">
        <v>3.3541820000000002</v>
      </c>
      <c r="E1395">
        <v>0.54102220000000001</v>
      </c>
      <c r="F1395" t="s">
        <v>42</v>
      </c>
      <c r="G1395">
        <v>-222.65729999999999</v>
      </c>
      <c r="H1395" s="1">
        <v>-3.896667E-6</v>
      </c>
      <c r="I1395">
        <v>365.30720000000002</v>
      </c>
      <c r="J1395">
        <v>-241.73929999999999</v>
      </c>
      <c r="K1395">
        <v>1.110363</v>
      </c>
      <c r="L1395">
        <v>367.3845</v>
      </c>
      <c r="M1395">
        <v>0.99985400000000002</v>
      </c>
      <c r="N1395">
        <v>0</v>
      </c>
      <c r="O1395">
        <v>-1.059905E-2</v>
      </c>
      <c r="P1395">
        <v>0.98602219999999996</v>
      </c>
      <c r="Q1395">
        <v>0.16658310000000001</v>
      </c>
      <c r="R1395">
        <v>-3.2305820000000001E-3</v>
      </c>
      <c r="S1395">
        <v>3.0713810000000001</v>
      </c>
      <c r="T1395">
        <v>-0.176901799999999</v>
      </c>
      <c r="U1395">
        <v>-0.33126830000000002</v>
      </c>
      <c r="V1395">
        <v>-7.2149529999999996E-3</v>
      </c>
      <c r="W1395">
        <v>0.17979110000000001</v>
      </c>
      <c r="X1395">
        <v>0.98367830000000001</v>
      </c>
      <c r="Y1395">
        <v>9.6548889999999998E-2</v>
      </c>
      <c r="Z1395">
        <v>-2.1619740000000001E-3</v>
      </c>
      <c r="AA1395">
        <v>0.99532589999999999</v>
      </c>
      <c r="AB1395">
        <v>28</v>
      </c>
      <c r="AC1395">
        <v>19.081999999999901</v>
      </c>
      <c r="AD1395">
        <v>-1.1103668966669999</v>
      </c>
      <c r="AE1395">
        <v>-2.0772999999999802</v>
      </c>
      <c r="AF1395">
        <v>1.8686608980799</v>
      </c>
      <c r="AG1395">
        <v>-1.1103668966669999</v>
      </c>
      <c r="AH1395">
        <v>19.0392357690531</v>
      </c>
      <c r="AI1395">
        <v>93.321780166758302</v>
      </c>
      <c r="AJ1395">
        <v>84.394493188389603</v>
      </c>
      <c r="AK1395">
        <v>19.162914884401498</v>
      </c>
      <c r="AL1395">
        <v>79.642407228605705</v>
      </c>
      <c r="AM1395">
        <v>90.420237941098407</v>
      </c>
      <c r="AN1395">
        <v>0.99999994653844404</v>
      </c>
    </row>
    <row r="1396" spans="1:40" x14ac:dyDescent="0.25">
      <c r="A1396" t="str">
        <f>"20190312172113277"</f>
        <v>20190312172113277</v>
      </c>
      <c r="B1396" t="str">
        <f>"1552382473272672"</f>
        <v>1552382473272672</v>
      </c>
      <c r="C1396" t="s">
        <v>40</v>
      </c>
      <c r="D1396">
        <v>3.3476129999999999</v>
      </c>
      <c r="E1396">
        <v>0.54103519999999905</v>
      </c>
      <c r="F1396" t="s">
        <v>42</v>
      </c>
      <c r="G1396">
        <v>-222.5941</v>
      </c>
      <c r="H1396" s="1">
        <v>-3.922358E-6</v>
      </c>
      <c r="I1396">
        <v>365.3152</v>
      </c>
      <c r="J1396">
        <v>-241.5932</v>
      </c>
      <c r="K1396">
        <v>1.11036</v>
      </c>
      <c r="L1396">
        <v>367.38290000000001</v>
      </c>
      <c r="M1396">
        <v>0.99985429999999997</v>
      </c>
      <c r="N1396">
        <v>0</v>
      </c>
      <c r="O1396">
        <v>-1.059916E-2</v>
      </c>
      <c r="P1396">
        <v>0.9860215</v>
      </c>
      <c r="Q1396">
        <v>0.16658719999999999</v>
      </c>
      <c r="R1396">
        <v>-3.2408390000000001E-3</v>
      </c>
      <c r="S1396">
        <v>3.0715180000000002</v>
      </c>
      <c r="T1396">
        <v>-0.17813889999999999</v>
      </c>
      <c r="U1396">
        <v>-0.33197019999999999</v>
      </c>
      <c r="V1396">
        <v>-7.2046519999999998E-3</v>
      </c>
      <c r="W1396">
        <v>0.17977650000000001</v>
      </c>
      <c r="X1396">
        <v>0.98368109999999997</v>
      </c>
      <c r="Y1396">
        <v>9.6766550000000007E-2</v>
      </c>
      <c r="Z1396">
        <v>-2.183225E-3</v>
      </c>
      <c r="AA1396">
        <v>0.99530469999999904</v>
      </c>
      <c r="AB1396">
        <v>28</v>
      </c>
      <c r="AC1396">
        <v>18.999099999999999</v>
      </c>
      <c r="AD1396">
        <v>-1.110363922358</v>
      </c>
      <c r="AE1396">
        <v>-2.0676999999999999</v>
      </c>
      <c r="AF1396">
        <v>1.85991297934613</v>
      </c>
      <c r="AG1396">
        <v>-1.110363922358</v>
      </c>
      <c r="AH1396">
        <v>18.9559626815164</v>
      </c>
      <c r="AI1396">
        <v>93.336340669761299</v>
      </c>
      <c r="AJ1396">
        <v>84.396214113300005</v>
      </c>
      <c r="AK1396">
        <v>19.079326652527801</v>
      </c>
      <c r="AL1396">
        <v>79.643258180818194</v>
      </c>
      <c r="AM1396">
        <v>90.419636782100298</v>
      </c>
      <c r="AN1396">
        <v>1.00000000172995</v>
      </c>
    </row>
    <row r="1397" spans="1:40" x14ac:dyDescent="0.25">
      <c r="A1397" t="str">
        <f>"20190312172113289"</f>
        <v>20190312172113289</v>
      </c>
      <c r="B1397" t="str">
        <f>"1552382473282433"</f>
        <v>1552382473282433</v>
      </c>
      <c r="C1397" t="s">
        <v>40</v>
      </c>
      <c r="D1397">
        <v>3.3386100000000001</v>
      </c>
      <c r="E1397">
        <v>0.54104799999999997</v>
      </c>
      <c r="F1397" t="s">
        <v>42</v>
      </c>
      <c r="G1397">
        <v>-222.5112</v>
      </c>
      <c r="H1397" s="1">
        <v>-3.9573320000000002E-6</v>
      </c>
      <c r="I1397">
        <v>365.31869999999998</v>
      </c>
      <c r="J1397">
        <v>-241.4511</v>
      </c>
      <c r="K1397">
        <v>1.11036</v>
      </c>
      <c r="L1397">
        <v>367.38139999999999</v>
      </c>
      <c r="M1397">
        <v>0.99985440000000003</v>
      </c>
      <c r="N1397">
        <v>0</v>
      </c>
      <c r="O1397">
        <v>-1.0599040000000001E-2</v>
      </c>
      <c r="P1397">
        <v>0.98598739999999996</v>
      </c>
      <c r="Q1397">
        <v>0.1667892</v>
      </c>
      <c r="R1397">
        <v>-3.2604769999999999E-3</v>
      </c>
      <c r="S1397">
        <v>3.0716709999999998</v>
      </c>
      <c r="T1397">
        <v>-0.1787368</v>
      </c>
      <c r="U1397">
        <v>-0.3322754</v>
      </c>
      <c r="V1397">
        <v>-7.1847079999999997E-3</v>
      </c>
      <c r="W1397">
        <v>0.17995990000000001</v>
      </c>
      <c r="X1397">
        <v>0.98364770000000001</v>
      </c>
      <c r="Y1397">
        <v>9.6858029999999998E-2</v>
      </c>
      <c r="Z1397">
        <v>-2.1930819999999998E-3</v>
      </c>
      <c r="AA1397">
        <v>0.99529579999999995</v>
      </c>
      <c r="AB1397">
        <v>28</v>
      </c>
      <c r="AC1397">
        <v>18.939899999999898</v>
      </c>
      <c r="AD1397">
        <v>-1.1103639573319899</v>
      </c>
      <c r="AE1397">
        <v>-2.0627</v>
      </c>
      <c r="AF1397">
        <v>1.8555188016037401</v>
      </c>
      <c r="AG1397">
        <v>-1.1103639573319899</v>
      </c>
      <c r="AH1397">
        <v>18.896515122214801</v>
      </c>
      <c r="AI1397">
        <v>93.346788210362106</v>
      </c>
      <c r="AJ1397">
        <v>84.391893567726996</v>
      </c>
      <c r="AK1397">
        <v>19.019835485748501</v>
      </c>
      <c r="AL1397">
        <v>79.632575809394396</v>
      </c>
      <c r="AM1397">
        <v>90.418489389055907</v>
      </c>
      <c r="AN1397">
        <v>0.99999999167617204</v>
      </c>
    </row>
    <row r="1398" spans="1:40" x14ac:dyDescent="0.25">
      <c r="A1398" t="str">
        <f>"20190312172113301"</f>
        <v>20190312172113301</v>
      </c>
      <c r="B1398" t="str">
        <f>"1552382473292194"</f>
        <v>1552382473292194</v>
      </c>
      <c r="C1398" t="s">
        <v>40</v>
      </c>
      <c r="D1398">
        <v>3.3541509999999999</v>
      </c>
      <c r="E1398">
        <v>0.54106899999999902</v>
      </c>
      <c r="F1398" t="s">
        <v>42</v>
      </c>
      <c r="G1398">
        <v>-222.374</v>
      </c>
      <c r="H1398" s="1">
        <v>-4.0164619999999998E-6</v>
      </c>
      <c r="I1398">
        <v>365.31720000000001</v>
      </c>
      <c r="J1398">
        <v>-241.29130000000001</v>
      </c>
      <c r="K1398">
        <v>1.110358</v>
      </c>
      <c r="L1398">
        <v>367.37970000000001</v>
      </c>
      <c r="M1398">
        <v>0.99985460000000004</v>
      </c>
      <c r="N1398">
        <v>0</v>
      </c>
      <c r="O1398">
        <v>-1.059913E-2</v>
      </c>
      <c r="P1398">
        <v>0.98598529999999995</v>
      </c>
      <c r="Q1398">
        <v>0.16679649999999999</v>
      </c>
      <c r="R1398">
        <v>-3.4225509999999998E-3</v>
      </c>
      <c r="S1398">
        <v>3.071777</v>
      </c>
      <c r="T1398">
        <v>-0.178789</v>
      </c>
      <c r="U1398">
        <v>-0.33236690000000002</v>
      </c>
      <c r="V1398">
        <v>-7.0224379999999998E-3</v>
      </c>
      <c r="W1398">
        <v>0.17994579999999999</v>
      </c>
      <c r="X1398">
        <v>0.98365150000000001</v>
      </c>
      <c r="Y1398">
        <v>9.6883440000000001E-2</v>
      </c>
      <c r="Z1398">
        <v>-2.194372E-3</v>
      </c>
      <c r="AA1398">
        <v>0.99529330000000005</v>
      </c>
      <c r="AB1398">
        <v>28</v>
      </c>
      <c r="AC1398">
        <v>18.917299999999901</v>
      </c>
      <c r="AD1398">
        <v>-1.1103620164620001</v>
      </c>
      <c r="AE1398">
        <v>-2.0625</v>
      </c>
      <c r="AF1398">
        <v>1.8555417467458399</v>
      </c>
      <c r="AG1398">
        <v>-1.1103620164620001</v>
      </c>
      <c r="AH1398">
        <v>18.8738400658256</v>
      </c>
      <c r="AI1398">
        <v>93.350755270968406</v>
      </c>
      <c r="AJ1398">
        <v>84.385130020243096</v>
      </c>
      <c r="AK1398">
        <v>18.997309751959101</v>
      </c>
      <c r="AL1398">
        <v>79.6333975884409</v>
      </c>
      <c r="AM1398">
        <v>90.409036354651505</v>
      </c>
      <c r="AN1398">
        <v>1.00000003951267</v>
      </c>
    </row>
    <row r="1399" spans="1:40" x14ac:dyDescent="0.25">
      <c r="A1399" t="str">
        <f>"20190312172113311"</f>
        <v>20190312172113311</v>
      </c>
      <c r="B1399" t="str">
        <f>"1552382473301953"</f>
        <v>1552382473301953</v>
      </c>
      <c r="C1399" t="s">
        <v>40</v>
      </c>
      <c r="D1399">
        <v>3.3892009999999999</v>
      </c>
      <c r="E1399">
        <v>0.54112199999999999</v>
      </c>
      <c r="F1399" t="s">
        <v>42</v>
      </c>
      <c r="G1399">
        <v>-222.2645</v>
      </c>
      <c r="H1399" s="1">
        <v>-4.0632719999999998E-6</v>
      </c>
      <c r="I1399">
        <v>365.31819999999999</v>
      </c>
      <c r="J1399">
        <v>-241.15100000000001</v>
      </c>
      <c r="K1399">
        <v>1.110357</v>
      </c>
      <c r="L1399">
        <v>367.37819999999999</v>
      </c>
      <c r="M1399">
        <v>0.99985500000000005</v>
      </c>
      <c r="N1399">
        <v>0</v>
      </c>
      <c r="O1399">
        <v>-1.059912E-2</v>
      </c>
      <c r="P1399">
        <v>0.98599769999999998</v>
      </c>
      <c r="Q1399">
        <v>0.16672229999999999</v>
      </c>
      <c r="R1399">
        <v>-3.4981959999999999E-3</v>
      </c>
      <c r="S1399">
        <v>3.071793</v>
      </c>
      <c r="T1399">
        <v>-0.1792619</v>
      </c>
      <c r="U1399">
        <v>-0.33282469999999997</v>
      </c>
      <c r="V1399">
        <v>-6.947043E-3</v>
      </c>
      <c r="W1399">
        <v>0.17985200000000001</v>
      </c>
      <c r="X1399">
        <v>0.98366920000000002</v>
      </c>
      <c r="Y1399">
        <v>9.7028550000000005E-2</v>
      </c>
      <c r="Z1399">
        <v>-2.2043589999999999E-3</v>
      </c>
      <c r="AA1399">
        <v>0.99527909999999997</v>
      </c>
      <c r="AB1399">
        <v>28</v>
      </c>
      <c r="AC1399">
        <v>18.886499999999899</v>
      </c>
      <c r="AD1399">
        <v>-1.110361063272</v>
      </c>
      <c r="AE1399">
        <v>-2.06</v>
      </c>
      <c r="AF1399">
        <v>1.85335555716829</v>
      </c>
      <c r="AG1399">
        <v>-1.110361063272</v>
      </c>
      <c r="AH1399">
        <v>18.8429118953547</v>
      </c>
      <c r="AI1399">
        <v>93.356224871225194</v>
      </c>
      <c r="AJ1399">
        <v>84.382556776286606</v>
      </c>
      <c r="AK1399">
        <v>18.966369109774799</v>
      </c>
      <c r="AL1399">
        <v>79.638861169605903</v>
      </c>
      <c r="AM1399">
        <v>90.404637683637006</v>
      </c>
      <c r="AN1399">
        <v>1.00000004916954</v>
      </c>
    </row>
    <row r="1400" spans="1:40" x14ac:dyDescent="0.25">
      <c r="A1400" t="str">
        <f>"20190312172113322"</f>
        <v>20190312172113322</v>
      </c>
      <c r="B1400" t="str">
        <f>"1552382473312689"</f>
        <v>1552382473312689</v>
      </c>
      <c r="C1400" t="s">
        <v>40</v>
      </c>
      <c r="D1400">
        <v>3.372722</v>
      </c>
      <c r="E1400">
        <v>0.54117919999999997</v>
      </c>
      <c r="F1400" t="s">
        <v>42</v>
      </c>
      <c r="G1400">
        <v>-222.1917</v>
      </c>
      <c r="H1400" s="1">
        <v>-4.0941719999999998E-6</v>
      </c>
      <c r="I1400">
        <v>365.31990000000002</v>
      </c>
      <c r="J1400">
        <v>-241.0265</v>
      </c>
      <c r="K1400">
        <v>1.110349</v>
      </c>
      <c r="L1400">
        <v>367.37689999999998</v>
      </c>
      <c r="M1400">
        <v>0.99985520000000006</v>
      </c>
      <c r="N1400">
        <v>0</v>
      </c>
      <c r="O1400">
        <v>-1.0599000000000001E-2</v>
      </c>
      <c r="P1400">
        <v>0.98600049999999995</v>
      </c>
      <c r="Q1400">
        <v>0.16670739999999901</v>
      </c>
      <c r="R1400">
        <v>-3.4496729999999999E-3</v>
      </c>
      <c r="S1400">
        <v>3.0718230000000002</v>
      </c>
      <c r="T1400">
        <v>-0.17990210000000001</v>
      </c>
      <c r="U1400">
        <v>-0.33349610000000002</v>
      </c>
      <c r="V1400">
        <v>-6.9958669999999898E-3</v>
      </c>
      <c r="W1400">
        <v>0.17981920000000001</v>
      </c>
      <c r="X1400">
        <v>0.98367479999999996</v>
      </c>
      <c r="Y1400">
        <v>9.72412E-2</v>
      </c>
      <c r="Z1400">
        <v>-2.2183799999999998E-3</v>
      </c>
      <c r="AA1400">
        <v>0.99525839999999999</v>
      </c>
      <c r="AB1400">
        <v>28</v>
      </c>
      <c r="AC1400">
        <v>18.834800000000001</v>
      </c>
      <c r="AD1400">
        <v>-1.1103530941719999</v>
      </c>
      <c r="AE1400">
        <v>-2.0569999999999502</v>
      </c>
      <c r="AF1400">
        <v>1.8508800353880399</v>
      </c>
      <c r="AG1400">
        <v>-1.1103530941719999</v>
      </c>
      <c r="AH1400">
        <v>18.791010081331599</v>
      </c>
      <c r="AI1400">
        <v>93.365403771260105</v>
      </c>
      <c r="AJ1400">
        <v>84.374616236563597</v>
      </c>
      <c r="AK1400">
        <v>18.914563192837399</v>
      </c>
      <c r="AL1400">
        <v>79.640771097501201</v>
      </c>
      <c r="AM1400">
        <v>90.407479072622607</v>
      </c>
      <c r="AN1400">
        <v>0.99999999949938001</v>
      </c>
    </row>
    <row r="1401" spans="1:40" x14ac:dyDescent="0.25">
      <c r="A1401" t="str">
        <f>"20190312172113333"</f>
        <v>20190312172113333</v>
      </c>
      <c r="B1401" t="str">
        <f>"1552382473322449"</f>
        <v>1552382473322449</v>
      </c>
      <c r="C1401" t="s">
        <v>40</v>
      </c>
      <c r="D1401">
        <v>3.3957169999999999</v>
      </c>
      <c r="E1401">
        <v>0.54117919999999997</v>
      </c>
      <c r="F1401" t="s">
        <v>42</v>
      </c>
      <c r="G1401">
        <v>-222.08930000000001</v>
      </c>
      <c r="H1401" s="1">
        <v>-4.1384229999999996E-6</v>
      </c>
      <c r="I1401">
        <v>365.31810000000002</v>
      </c>
      <c r="J1401">
        <v>-240.88159999999999</v>
      </c>
      <c r="K1401">
        <v>1.1103459999999901</v>
      </c>
      <c r="L1401">
        <v>367.37540000000001</v>
      </c>
      <c r="M1401">
        <v>0.99985559999999996</v>
      </c>
      <c r="N1401">
        <v>0</v>
      </c>
      <c r="O1401">
        <v>-1.059921E-2</v>
      </c>
      <c r="P1401">
        <v>0.98598660000000005</v>
      </c>
      <c r="Q1401">
        <v>0.16678870000000001</v>
      </c>
      <c r="R1401">
        <v>-3.5086370000000002E-3</v>
      </c>
      <c r="S1401">
        <v>3.0718839999999998</v>
      </c>
      <c r="T1401">
        <v>-0.18011429999999901</v>
      </c>
      <c r="U1401">
        <v>-0.33395390000000003</v>
      </c>
      <c r="V1401">
        <v>-6.9366899999999997E-3</v>
      </c>
      <c r="W1401">
        <v>0.17987879999999901</v>
      </c>
      <c r="X1401">
        <v>0.98366430000000005</v>
      </c>
      <c r="Y1401">
        <v>9.7384869999999998E-2</v>
      </c>
      <c r="Z1401">
        <v>-2.2251150000000002E-3</v>
      </c>
      <c r="AA1401">
        <v>0.99524429999999997</v>
      </c>
      <c r="AB1401">
        <v>28</v>
      </c>
      <c r="AC1401">
        <v>18.792299999999901</v>
      </c>
      <c r="AD1401">
        <v>-1.1103501384229999</v>
      </c>
      <c r="AE1401">
        <v>-2.0572999999999899</v>
      </c>
      <c r="AF1401">
        <v>1.85159578803561</v>
      </c>
      <c r="AG1401">
        <v>-1.1103501384229999</v>
      </c>
      <c r="AH1401">
        <v>18.748374906380899</v>
      </c>
      <c r="AI1401">
        <v>93.372944159335702</v>
      </c>
      <c r="AJ1401">
        <v>84.359739784226804</v>
      </c>
      <c r="AK1401">
        <v>18.872277181685899</v>
      </c>
      <c r="AL1401">
        <v>79.637299436529204</v>
      </c>
      <c r="AM1401">
        <v>90.404036695062402</v>
      </c>
      <c r="AN1401">
        <v>0.99999997772604199</v>
      </c>
    </row>
    <row r="1402" spans="1:40" x14ac:dyDescent="0.25">
      <c r="A1402" t="str">
        <f>"20190312172113344"</f>
        <v>20190312172113344</v>
      </c>
      <c r="B1402" t="str">
        <f>"1552382473341969"</f>
        <v>1552382473341969</v>
      </c>
      <c r="C1402" t="s">
        <v>40</v>
      </c>
      <c r="D1402">
        <v>3.3523459999999998</v>
      </c>
      <c r="E1402">
        <v>0.5434348</v>
      </c>
      <c r="F1402" t="s">
        <v>42</v>
      </c>
      <c r="G1402">
        <v>-221.9169</v>
      </c>
      <c r="H1402" s="1">
        <v>-4.2134519999999999E-6</v>
      </c>
      <c r="I1402">
        <v>365.31209999999999</v>
      </c>
      <c r="J1402">
        <v>-240.7415</v>
      </c>
      <c r="K1402">
        <v>1.1103419999999999</v>
      </c>
      <c r="L1402">
        <v>367.37389999999999</v>
      </c>
      <c r="M1402">
        <v>0.99985579999999996</v>
      </c>
      <c r="N1402">
        <v>0</v>
      </c>
      <c r="O1402">
        <v>-1.059907E-2</v>
      </c>
      <c r="P1402">
        <v>0.98596969999999995</v>
      </c>
      <c r="Q1402">
        <v>0.16689089999999901</v>
      </c>
      <c r="R1402">
        <v>-3.3580440000000001E-3</v>
      </c>
      <c r="S1402">
        <v>3.0718540000000001</v>
      </c>
      <c r="T1402">
        <v>-0.17985119999999999</v>
      </c>
      <c r="U1402">
        <v>-0.334198</v>
      </c>
      <c r="V1402">
        <v>-7.0866790000000002E-3</v>
      </c>
      <c r="W1402">
        <v>0.17995899999999901</v>
      </c>
      <c r="X1402">
        <v>0.98364859999999998</v>
      </c>
      <c r="Y1402">
        <v>9.7464540000000002E-2</v>
      </c>
      <c r="Z1402">
        <v>-2.2242149999999999E-3</v>
      </c>
      <c r="AA1402">
        <v>0.99523649999999997</v>
      </c>
      <c r="AB1402">
        <v>28</v>
      </c>
      <c r="AC1402">
        <v>18.8246</v>
      </c>
      <c r="AD1402">
        <v>-1.1103462134519999</v>
      </c>
      <c r="AE1402">
        <v>-2.0617999999999999</v>
      </c>
      <c r="AF1402">
        <v>1.85576351756036</v>
      </c>
      <c r="AG1402">
        <v>-1.1103462134519999</v>
      </c>
      <c r="AH1402">
        <v>18.7808318757296</v>
      </c>
      <c r="AI1402">
        <v>93.3670997580587</v>
      </c>
      <c r="AJ1402">
        <v>84.356832507154706</v>
      </c>
      <c r="AK1402">
        <v>18.904929856819201</v>
      </c>
      <c r="AL1402">
        <v>79.632628481065794</v>
      </c>
      <c r="AM1402">
        <v>90.4127792919424</v>
      </c>
      <c r="AN1402">
        <v>1.0000000154911</v>
      </c>
    </row>
    <row r="1403" spans="1:40" x14ac:dyDescent="0.25">
      <c r="A1403" t="str">
        <f>"20190312172113355"</f>
        <v>20190312172113355</v>
      </c>
      <c r="B1403" t="str">
        <f>"1552382473352704"</f>
        <v>1552382473352704</v>
      </c>
      <c r="C1403" t="s">
        <v>40</v>
      </c>
      <c r="D1403">
        <v>3.3987090000000002</v>
      </c>
      <c r="E1403">
        <v>0.5434348</v>
      </c>
      <c r="F1403" t="s">
        <v>41</v>
      </c>
      <c r="G1403">
        <v>-239.80019999999999</v>
      </c>
      <c r="H1403">
        <v>1.051895</v>
      </c>
      <c r="I1403">
        <v>367.26600000000002</v>
      </c>
      <c r="J1403">
        <v>-240.59620000000001</v>
      </c>
      <c r="K1403">
        <v>1.1103449999999999</v>
      </c>
      <c r="L1403">
        <v>367.37240000000003</v>
      </c>
      <c r="M1403">
        <v>0.99985619999999997</v>
      </c>
      <c r="N1403">
        <v>0</v>
      </c>
      <c r="O1403">
        <v>-1.059891E-2</v>
      </c>
      <c r="P1403">
        <v>0.98596099999999998</v>
      </c>
      <c r="Q1403">
        <v>0.16694129999999999</v>
      </c>
      <c r="R1403">
        <v>-3.410649E-3</v>
      </c>
      <c r="S1403">
        <v>3.073868</v>
      </c>
      <c r="T1403">
        <v>-0.1912152</v>
      </c>
      <c r="U1403">
        <v>-0.3514099</v>
      </c>
      <c r="V1403">
        <v>-7.0336410000000002E-3</v>
      </c>
      <c r="W1403">
        <v>0.17998620000000001</v>
      </c>
      <c r="X1403">
        <v>0.98364399999999996</v>
      </c>
      <c r="Y1403">
        <v>0.1028683</v>
      </c>
      <c r="Z1403">
        <v>-2.5296089999999999E-3</v>
      </c>
      <c r="AA1403">
        <v>0.99469180000000001</v>
      </c>
      <c r="AB1403">
        <v>28</v>
      </c>
      <c r="AC1403">
        <v>0.79600000000002002</v>
      </c>
      <c r="AD1403">
        <v>-5.8450000000000099E-2</v>
      </c>
      <c r="AE1403">
        <v>-0.106400000000064</v>
      </c>
      <c r="AF1403">
        <v>9.7440383159001803E-2</v>
      </c>
      <c r="AG1403">
        <v>-5.8450000000000099E-2</v>
      </c>
      <c r="AH1403">
        <v>0.79288299171967203</v>
      </c>
      <c r="AI1403">
        <v>94.184752759607605</v>
      </c>
      <c r="AJ1403">
        <v>82.993835570833795</v>
      </c>
      <c r="AK1403">
        <v>0.80098343886032397</v>
      </c>
      <c r="AL1403">
        <v>79.631044124932401</v>
      </c>
      <c r="AM1403">
        <v>90.409691997872002</v>
      </c>
      <c r="AN1403">
        <v>1.0000000115160701</v>
      </c>
    </row>
    <row r="1404" spans="1:40" x14ac:dyDescent="0.25">
      <c r="A1404" t="str">
        <f>"20190312172113369"</f>
        <v>20190312172113369</v>
      </c>
      <c r="B1404" t="str">
        <f>"1552382473362465"</f>
        <v>1552382473362465</v>
      </c>
      <c r="C1404" t="s">
        <v>40</v>
      </c>
      <c r="D1404">
        <v>3.3629280000000001</v>
      </c>
      <c r="E1404">
        <v>0.5390933</v>
      </c>
      <c r="F1404" t="s">
        <v>42</v>
      </c>
      <c r="G1404">
        <v>-222.7321</v>
      </c>
      <c r="H1404" s="1">
        <v>-3.8609109999999998E-6</v>
      </c>
      <c r="I1404">
        <v>365.32810000000001</v>
      </c>
      <c r="J1404">
        <v>-240.43279999999999</v>
      </c>
      <c r="K1404">
        <v>1.110341</v>
      </c>
      <c r="L1404">
        <v>367.37060000000002</v>
      </c>
      <c r="M1404">
        <v>0.99985650000000004</v>
      </c>
      <c r="N1404">
        <v>0</v>
      </c>
      <c r="O1404">
        <v>-1.0598730000000001E-2</v>
      </c>
      <c r="P1404">
        <v>0.98595580000000005</v>
      </c>
      <c r="Q1404">
        <v>0.16697100000000001</v>
      </c>
      <c r="R1404">
        <v>-3.4925709999999999E-3</v>
      </c>
      <c r="S1404">
        <v>3.073868</v>
      </c>
      <c r="T1404">
        <v>-0.19105549999999999</v>
      </c>
      <c r="U1404">
        <v>-0.35174559999999999</v>
      </c>
      <c r="V1404">
        <v>-6.952026E-3</v>
      </c>
      <c r="W1404">
        <v>0.1799895</v>
      </c>
      <c r="X1404">
        <v>0.98364390000000002</v>
      </c>
      <c r="Y1404">
        <v>0.10297580000000001</v>
      </c>
      <c r="Z1404">
        <v>-2.5308230000000002E-3</v>
      </c>
      <c r="AA1404">
        <v>0.99468060000000003</v>
      </c>
      <c r="AB1404">
        <v>28</v>
      </c>
      <c r="AC1404">
        <v>17.700699999999902</v>
      </c>
      <c r="AD1404">
        <v>-1.110344860911</v>
      </c>
      <c r="AE1404">
        <v>-2.0425000000000102</v>
      </c>
      <c r="AF1404">
        <v>1.8475893626006501</v>
      </c>
      <c r="AG1404">
        <v>-1.110344860911</v>
      </c>
      <c r="AH1404">
        <v>17.652805932104702</v>
      </c>
      <c r="AI1404">
        <v>93.579607831771</v>
      </c>
      <c r="AJ1404">
        <v>84.025025952481997</v>
      </c>
      <c r="AK1404">
        <v>17.783925591373102</v>
      </c>
      <c r="AL1404">
        <v>79.630851122168806</v>
      </c>
      <c r="AM1404">
        <v>90.404938328628404</v>
      </c>
      <c r="AN1404">
        <v>0.99999993639147999</v>
      </c>
    </row>
    <row r="1405" spans="1:40" x14ac:dyDescent="0.25">
      <c r="A1405" t="str">
        <f>"20190312172113379"</f>
        <v>20190312172113379</v>
      </c>
      <c r="B1405" t="str">
        <f>"1552382473372225"</f>
        <v>1552382473372225</v>
      </c>
      <c r="C1405" t="s">
        <v>40</v>
      </c>
      <c r="D1405">
        <v>3.3532850000000001</v>
      </c>
      <c r="E1405">
        <v>0.53621549999999996</v>
      </c>
      <c r="F1405" t="s">
        <v>42</v>
      </c>
      <c r="G1405">
        <v>-222.8329</v>
      </c>
      <c r="H1405" s="1">
        <v>-3.7775310000000001E-6</v>
      </c>
      <c r="I1405">
        <v>365.55439999999999</v>
      </c>
      <c r="J1405">
        <v>-240.30959999999999</v>
      </c>
      <c r="K1405">
        <v>1.1103379999999901</v>
      </c>
      <c r="L1405">
        <v>367.36930000000001</v>
      </c>
      <c r="M1405">
        <v>0.99985679999999999</v>
      </c>
      <c r="N1405">
        <v>0</v>
      </c>
      <c r="O1405">
        <v>-1.05986E-2</v>
      </c>
      <c r="P1405">
        <v>0.98594720000000002</v>
      </c>
      <c r="Q1405">
        <v>0.16702249999999999</v>
      </c>
      <c r="R1405">
        <v>-3.4580819999999999E-3</v>
      </c>
      <c r="S1405">
        <v>3.0744630000000002</v>
      </c>
      <c r="T1405">
        <v>-0.19396070000000001</v>
      </c>
      <c r="U1405">
        <v>-0.31726070000000001</v>
      </c>
      <c r="V1405">
        <v>-6.9862250000000004E-3</v>
      </c>
      <c r="W1405">
        <v>0.18002089999999901</v>
      </c>
      <c r="X1405">
        <v>0.98363800000000001</v>
      </c>
      <c r="Y1405">
        <v>9.1937920000000006E-2</v>
      </c>
      <c r="Z1405">
        <v>-2.2233740000000002E-3</v>
      </c>
      <c r="AA1405">
        <v>0.99576220000000004</v>
      </c>
      <c r="AB1405">
        <v>28</v>
      </c>
      <c r="AC1405">
        <v>17.476699999999902</v>
      </c>
      <c r="AD1405">
        <v>-1.1103417775309901</v>
      </c>
      <c r="AE1405">
        <v>-1.8149000000000199</v>
      </c>
      <c r="AF1405">
        <v>1.62307189642242</v>
      </c>
      <c r="AG1405">
        <v>-1.1103417775309901</v>
      </c>
      <c r="AH1405">
        <v>17.4253699016657</v>
      </c>
      <c r="AI1405">
        <v>93.630277223074202</v>
      </c>
      <c r="AJ1405">
        <v>84.678585056263898</v>
      </c>
      <c r="AK1405">
        <v>17.535984074290301</v>
      </c>
      <c r="AL1405">
        <v>79.629023072133094</v>
      </c>
      <c r="AM1405">
        <v>90.406932709756504</v>
      </c>
      <c r="AN1405">
        <v>1.0000000234102799</v>
      </c>
    </row>
    <row r="1406" spans="1:40" x14ac:dyDescent="0.25">
      <c r="A1406" t="str">
        <f>"20190312172113389"</f>
        <v>20190312172113389</v>
      </c>
      <c r="B1406" t="str">
        <f>"1552382473381985"</f>
        <v>1552382473381985</v>
      </c>
      <c r="C1406" t="s">
        <v>40</v>
      </c>
      <c r="D1406">
        <v>3.365253</v>
      </c>
      <c r="E1406">
        <v>0.53419919999999899</v>
      </c>
      <c r="F1406" t="s">
        <v>42</v>
      </c>
      <c r="G1406">
        <v>-222.70259999999999</v>
      </c>
      <c r="H1406" s="1">
        <v>-3.810285E-6</v>
      </c>
      <c r="I1406">
        <v>365.6848</v>
      </c>
      <c r="J1406">
        <v>-240.1722</v>
      </c>
      <c r="K1406">
        <v>1.1103369999999999</v>
      </c>
      <c r="L1406">
        <v>367.36790000000002</v>
      </c>
      <c r="M1406">
        <v>0.999857</v>
      </c>
      <c r="N1406">
        <v>0</v>
      </c>
      <c r="O1406">
        <v>-1.0598460000000001E-2</v>
      </c>
      <c r="P1406">
        <v>0.98594329999999997</v>
      </c>
      <c r="Q1406">
        <v>0.1670469</v>
      </c>
      <c r="R1406">
        <v>-3.3296160000000001E-3</v>
      </c>
      <c r="S1406">
        <v>3.07457</v>
      </c>
      <c r="T1406">
        <v>-0.1938897</v>
      </c>
      <c r="U1406">
        <v>-0.2941589</v>
      </c>
      <c r="V1406">
        <v>-7.1142669999999996E-3</v>
      </c>
      <c r="W1406">
        <v>0.1800242</v>
      </c>
      <c r="X1406">
        <v>0.98363639999999997</v>
      </c>
      <c r="Y1406">
        <v>8.4537890000000004E-2</v>
      </c>
      <c r="Z1406">
        <v>-1.9907390000000001E-3</v>
      </c>
      <c r="AA1406">
        <v>0.99641829999999998</v>
      </c>
      <c r="AB1406">
        <v>28</v>
      </c>
      <c r="AC1406">
        <v>17.4696</v>
      </c>
      <c r="AD1406">
        <v>-1.1103408102850001</v>
      </c>
      <c r="AE1406">
        <v>-1.68310000000002</v>
      </c>
      <c r="AF1406">
        <v>1.4918672810800699</v>
      </c>
      <c r="AG1406">
        <v>-1.1103408102850001</v>
      </c>
      <c r="AH1406">
        <v>17.4167474967525</v>
      </c>
      <c r="AI1406">
        <v>93.634472643005495</v>
      </c>
      <c r="AJ1406">
        <v>85.104162781038895</v>
      </c>
      <c r="AK1406">
        <v>17.515753425558898</v>
      </c>
      <c r="AL1406">
        <v>79.628830048125295</v>
      </c>
      <c r="AM1406">
        <v>90.414391299526102</v>
      </c>
      <c r="AN1406">
        <v>0.99999994639277201</v>
      </c>
    </row>
    <row r="1407" spans="1:40" x14ac:dyDescent="0.25">
      <c r="A1407" t="str">
        <f>"20190312172113401"</f>
        <v>20190312172113401</v>
      </c>
      <c r="B1407" t="str">
        <f>"1552382473392721"</f>
        <v>1552382473392721</v>
      </c>
      <c r="C1407" t="s">
        <v>40</v>
      </c>
      <c r="D1407">
        <v>3.3277739999999998</v>
      </c>
      <c r="E1407">
        <v>0.53263649999999996</v>
      </c>
      <c r="F1407" t="s">
        <v>42</v>
      </c>
      <c r="G1407">
        <v>-222.45359999999999</v>
      </c>
      <c r="H1407" s="1">
        <v>-3.9025199999999899E-6</v>
      </c>
      <c r="I1407">
        <v>365.767</v>
      </c>
      <c r="J1407">
        <v>-240.01929999999999</v>
      </c>
      <c r="K1407">
        <v>1.1103339999999999</v>
      </c>
      <c r="L1407">
        <v>367.36619999999999</v>
      </c>
      <c r="M1407">
        <v>0.99985729999999995</v>
      </c>
      <c r="N1407">
        <v>0</v>
      </c>
      <c r="O1407">
        <v>-1.05983E-2</v>
      </c>
      <c r="P1407">
        <v>0.98592170000000001</v>
      </c>
      <c r="Q1407">
        <v>0.167174499999999</v>
      </c>
      <c r="R1407">
        <v>-3.3316449999999998E-3</v>
      </c>
      <c r="S1407">
        <v>3.074478</v>
      </c>
      <c r="T1407">
        <v>-0.19266230000000001</v>
      </c>
      <c r="U1407">
        <v>-0.27777099999999999</v>
      </c>
      <c r="V1407">
        <v>-7.1122529999999998E-3</v>
      </c>
      <c r="W1407">
        <v>0.18012779999999901</v>
      </c>
      <c r="X1407">
        <v>0.98361750000000003</v>
      </c>
      <c r="Y1407">
        <v>7.9285990000000001E-2</v>
      </c>
      <c r="Z1407">
        <v>-1.814649E-3</v>
      </c>
      <c r="AA1407">
        <v>0.99685029999999997</v>
      </c>
      <c r="AB1407">
        <v>28</v>
      </c>
      <c r="AC1407">
        <v>17.5656999999999</v>
      </c>
      <c r="AD1407">
        <v>-1.11033790252</v>
      </c>
      <c r="AE1407">
        <v>-1.59919999999999</v>
      </c>
      <c r="AF1407">
        <v>1.4073505469029399</v>
      </c>
      <c r="AG1407">
        <v>-1.11033790252</v>
      </c>
      <c r="AH1407">
        <v>17.512267139283001</v>
      </c>
      <c r="AI1407">
        <v>93.616265471625596</v>
      </c>
      <c r="AJ1407">
        <v>85.405373499098999</v>
      </c>
      <c r="AK1407">
        <v>17.6037776109916</v>
      </c>
      <c r="AL1407">
        <v>79.622796092487405</v>
      </c>
      <c r="AM1407">
        <v>90.414281952200596</v>
      </c>
      <c r="AN1407">
        <v>0.99999999739091205</v>
      </c>
    </row>
    <row r="1408" spans="1:40" x14ac:dyDescent="0.25">
      <c r="A1408" t="str">
        <f>"20190312172113414"</f>
        <v>20190312172113414</v>
      </c>
      <c r="B1408" t="str">
        <f>"1552382473402481"</f>
        <v>1552382473402481</v>
      </c>
      <c r="C1408" t="s">
        <v>40</v>
      </c>
      <c r="D1408">
        <v>3.3588559999999998</v>
      </c>
      <c r="E1408">
        <v>0.5314835</v>
      </c>
      <c r="F1408" t="s">
        <v>41</v>
      </c>
      <c r="G1408">
        <v>-239.0532</v>
      </c>
      <c r="H1408">
        <v>1.0500259999999999</v>
      </c>
      <c r="I1408">
        <v>367.28269999999998</v>
      </c>
      <c r="J1408">
        <v>-239.864</v>
      </c>
      <c r="K1408">
        <v>1.1103320000000001</v>
      </c>
      <c r="L1408">
        <v>367.3646</v>
      </c>
      <c r="M1408">
        <v>0.99985769999999996</v>
      </c>
      <c r="N1408">
        <v>0</v>
      </c>
      <c r="O1408">
        <v>-1.0598369999999999E-2</v>
      </c>
      <c r="P1408">
        <v>0.98594020000000004</v>
      </c>
      <c r="Q1408">
        <v>0.16706689999999999</v>
      </c>
      <c r="R1408">
        <v>-3.2474140000000001E-3</v>
      </c>
      <c r="S1408">
        <v>3.0745239999999998</v>
      </c>
      <c r="T1408">
        <v>-0.19211829999999999</v>
      </c>
      <c r="U1408">
        <v>-0.26522829999999997</v>
      </c>
      <c r="V1408">
        <v>-7.1963859999999999E-3</v>
      </c>
      <c r="W1408">
        <v>0.17999509999999999</v>
      </c>
      <c r="X1408">
        <v>0.98364119999999999</v>
      </c>
      <c r="Y1408">
        <v>7.5257199999999996E-2</v>
      </c>
      <c r="Z1408">
        <v>-1.684306E-3</v>
      </c>
      <c r="AA1408">
        <v>0.99716280000000002</v>
      </c>
      <c r="AB1408">
        <v>28</v>
      </c>
      <c r="AC1408">
        <v>0.81079999999999997</v>
      </c>
      <c r="AD1408">
        <v>-6.03059999999997E-2</v>
      </c>
      <c r="AE1408">
        <v>-8.1900000000018694E-2</v>
      </c>
      <c r="AF1408">
        <v>7.29022683103763E-2</v>
      </c>
      <c r="AG1408">
        <v>-6.03059999999997E-2</v>
      </c>
      <c r="AH1408">
        <v>0.80720207954149903</v>
      </c>
      <c r="AI1408">
        <v>94.255369628140301</v>
      </c>
      <c r="AJ1408">
        <v>84.839345992614099</v>
      </c>
      <c r="AK1408">
        <v>0.81272796898895905</v>
      </c>
      <c r="AL1408">
        <v>79.630525785418399</v>
      </c>
      <c r="AM1408">
        <v>90.419172345853497</v>
      </c>
      <c r="AN1408">
        <v>1.00000001716645</v>
      </c>
    </row>
    <row r="1409" spans="1:40" x14ac:dyDescent="0.25">
      <c r="A1409" t="str">
        <f>"20190312172113425"</f>
        <v>20190312172113425</v>
      </c>
      <c r="B1409" t="str">
        <f>"1552382473422001"</f>
        <v>1552382473422001</v>
      </c>
      <c r="C1409" t="s">
        <v>40</v>
      </c>
      <c r="D1409">
        <v>3.3625970000000001</v>
      </c>
      <c r="E1409">
        <v>0.53009119999999998</v>
      </c>
      <c r="F1409" t="s">
        <v>42</v>
      </c>
      <c r="G1409">
        <v>-222.16579999999999</v>
      </c>
      <c r="H1409" s="1">
        <v>-4.0038410000000002E-6</v>
      </c>
      <c r="I1409">
        <v>365.89179999999999</v>
      </c>
      <c r="J1409">
        <v>-239.7132</v>
      </c>
      <c r="K1409">
        <v>1.110325</v>
      </c>
      <c r="L1409">
        <v>367.363</v>
      </c>
      <c r="M1409">
        <v>0.99985809999999997</v>
      </c>
      <c r="N1409">
        <v>0</v>
      </c>
      <c r="O1409">
        <v>-1.0598440000000001E-2</v>
      </c>
      <c r="P1409">
        <v>0.98595460000000001</v>
      </c>
      <c r="Q1409">
        <v>0.1669815</v>
      </c>
      <c r="R1409">
        <v>-3.267182E-3</v>
      </c>
      <c r="S1409">
        <v>3.0746310000000001</v>
      </c>
      <c r="T1409">
        <v>-0.19289310000000001</v>
      </c>
      <c r="U1409">
        <v>-0.25585940000000001</v>
      </c>
      <c r="V1409">
        <v>-7.1768359999999998E-3</v>
      </c>
      <c r="W1409">
        <v>0.17988390000000001</v>
      </c>
      <c r="X1409">
        <v>0.98366169999999997</v>
      </c>
      <c r="Y1409">
        <v>7.2241830000000007E-2</v>
      </c>
      <c r="Z1409">
        <v>-1.596905E-3</v>
      </c>
      <c r="AA1409">
        <v>0.99738590000000005</v>
      </c>
      <c r="AB1409">
        <v>28</v>
      </c>
      <c r="AC1409">
        <v>17.5474</v>
      </c>
      <c r="AD1409">
        <v>-1.1103290038410001</v>
      </c>
      <c r="AE1409">
        <v>-1.47120000000006</v>
      </c>
      <c r="AF1409">
        <v>1.2800370429069701</v>
      </c>
      <c r="AG1409">
        <v>-1.1103290038410001</v>
      </c>
      <c r="AH1409">
        <v>17.492459736902301</v>
      </c>
      <c r="AI1409">
        <v>93.622301571728698</v>
      </c>
      <c r="AJ1409">
        <v>85.8147549310914</v>
      </c>
      <c r="AK1409">
        <v>17.574341324076201</v>
      </c>
      <c r="AL1409">
        <v>79.637002953876902</v>
      </c>
      <c r="AM1409">
        <v>90.418024933659296</v>
      </c>
      <c r="AN1409">
        <v>1.00000003225053</v>
      </c>
    </row>
    <row r="1410" spans="1:40" x14ac:dyDescent="0.25">
      <c r="A1410" t="str">
        <f>"20190312172113445"</f>
        <v>20190312172113445</v>
      </c>
      <c r="B1410" t="str">
        <f>"1552382473442497"</f>
        <v>1552382473442497</v>
      </c>
      <c r="C1410" t="s">
        <v>40</v>
      </c>
      <c r="D1410">
        <v>3.3659870000000001</v>
      </c>
      <c r="E1410">
        <v>0.52914090000000003</v>
      </c>
      <c r="F1410" t="s">
        <v>41</v>
      </c>
      <c r="G1410">
        <v>-238.7978</v>
      </c>
      <c r="H1410">
        <v>1.0524290000000001</v>
      </c>
      <c r="I1410">
        <v>367.28989999999999</v>
      </c>
      <c r="J1410">
        <v>-239.46729999999999</v>
      </c>
      <c r="K1410">
        <v>1.110317</v>
      </c>
      <c r="L1410">
        <v>367.36040000000003</v>
      </c>
      <c r="M1410">
        <v>0.99985869999999999</v>
      </c>
      <c r="N1410">
        <v>0</v>
      </c>
      <c r="O1410">
        <v>-1.0598140000000001E-2</v>
      </c>
      <c r="P1410">
        <v>0.98594099999999996</v>
      </c>
      <c r="Q1410">
        <v>0.16706289999999999</v>
      </c>
      <c r="R1410">
        <v>-3.2746120000000001E-3</v>
      </c>
      <c r="S1410">
        <v>3.0749209999999998</v>
      </c>
      <c r="T1410">
        <v>-0.19484879999999999</v>
      </c>
      <c r="U1410">
        <v>-0.2445679</v>
      </c>
      <c r="V1410">
        <v>-7.1692819999999999E-3</v>
      </c>
      <c r="W1410">
        <v>0.1799201</v>
      </c>
      <c r="X1410">
        <v>0.9836551</v>
      </c>
      <c r="Y1410">
        <v>6.8600220000000003E-2</v>
      </c>
      <c r="Z1410">
        <v>-1.4980849999999999E-3</v>
      </c>
      <c r="AA1410">
        <v>0.9976431</v>
      </c>
      <c r="AB1410">
        <v>28</v>
      </c>
      <c r="AC1410">
        <v>0.66949999999999898</v>
      </c>
      <c r="AD1410">
        <v>-5.7887999999999898E-2</v>
      </c>
      <c r="AE1410">
        <v>-7.0500000000038199E-2</v>
      </c>
      <c r="AF1410">
        <v>6.2934634601821304E-2</v>
      </c>
      <c r="AG1410">
        <v>-5.7887999999999898E-2</v>
      </c>
      <c r="AH1410">
        <v>0.66529038632169402</v>
      </c>
      <c r="AI1410">
        <v>94.950882505017304</v>
      </c>
      <c r="AJ1410">
        <v>84.5960583915097</v>
      </c>
      <c r="AK1410">
        <v>0.67076306316652101</v>
      </c>
      <c r="AL1410">
        <v>79.634894090404401</v>
      </c>
      <c r="AM1410">
        <v>90.417587757623394</v>
      </c>
      <c r="AN1410">
        <v>0.99999999837220699</v>
      </c>
    </row>
    <row r="1411" spans="1:40" x14ac:dyDescent="0.25">
      <c r="A1411" t="str">
        <f>"20190312172113458"</f>
        <v>20190312172113458</v>
      </c>
      <c r="B1411" t="str">
        <f>"1552382473452257"</f>
        <v>1552382473452257</v>
      </c>
      <c r="C1411" t="s">
        <v>40</v>
      </c>
      <c r="D1411">
        <v>3.3675069999999998</v>
      </c>
      <c r="E1411">
        <v>0.52872330000000001</v>
      </c>
      <c r="F1411" t="s">
        <v>41</v>
      </c>
      <c r="G1411">
        <v>-238.5453</v>
      </c>
      <c r="H1411">
        <v>1.051839</v>
      </c>
      <c r="I1411">
        <v>367.28919999999999</v>
      </c>
      <c r="J1411">
        <v>-239.30080000000001</v>
      </c>
      <c r="K1411">
        <v>1.110314</v>
      </c>
      <c r="L1411">
        <v>367.35860000000002</v>
      </c>
      <c r="M1411">
        <v>0.9998591</v>
      </c>
      <c r="N1411">
        <v>0</v>
      </c>
      <c r="O1411">
        <v>-1.0598170000000001E-2</v>
      </c>
      <c r="P1411">
        <v>0.98594210000000004</v>
      </c>
      <c r="Q1411">
        <v>0.16705519999999999</v>
      </c>
      <c r="R1411">
        <v>-3.319327E-3</v>
      </c>
      <c r="S1411">
        <v>3.075043</v>
      </c>
      <c r="T1411">
        <v>-0.19509360000000001</v>
      </c>
      <c r="U1411">
        <v>-0.23721310000000001</v>
      </c>
      <c r="V1411">
        <v>-7.1247760000000002E-3</v>
      </c>
      <c r="W1411">
        <v>0.17988109999999999</v>
      </c>
      <c r="X1411">
        <v>0.9836625</v>
      </c>
      <c r="Y1411">
        <v>6.6229759999999999E-2</v>
      </c>
      <c r="Z1411">
        <v>-1.4250300000000001E-3</v>
      </c>
      <c r="AA1411">
        <v>0.99780340000000001</v>
      </c>
      <c r="AB1411">
        <v>28</v>
      </c>
      <c r="AC1411">
        <v>0.75550000000001205</v>
      </c>
      <c r="AD1411">
        <v>-5.8474999999999999E-2</v>
      </c>
      <c r="AE1411">
        <v>-6.9400000000030104E-2</v>
      </c>
      <c r="AF1411">
        <v>6.1025981537655802E-2</v>
      </c>
      <c r="AG1411">
        <v>-5.8474999999999999E-2</v>
      </c>
      <c r="AH1411">
        <v>0.75172750822762902</v>
      </c>
      <c r="AI1411">
        <v>94.433411822554405</v>
      </c>
      <c r="AJ1411">
        <v>85.358849782032195</v>
      </c>
      <c r="AK1411">
        <v>0.75646397314991398</v>
      </c>
      <c r="AL1411">
        <v>79.637165109725103</v>
      </c>
      <c r="AM1411">
        <v>90.414992394485495</v>
      </c>
      <c r="AN1411">
        <v>0.99999994323825303</v>
      </c>
    </row>
    <row r="1412" spans="1:40" x14ac:dyDescent="0.25">
      <c r="A1412" t="str">
        <f>"20190312172113467"</f>
        <v>20190312172113467</v>
      </c>
      <c r="B1412" t="str">
        <f>"1552382473462017"</f>
        <v>1552382473462017</v>
      </c>
      <c r="C1412" t="s">
        <v>40</v>
      </c>
      <c r="D1412">
        <v>3.3328500000000001</v>
      </c>
      <c r="E1412">
        <v>0.52835759999999998</v>
      </c>
      <c r="F1412" t="s">
        <v>42</v>
      </c>
      <c r="G1412">
        <v>-221.8262</v>
      </c>
      <c r="H1412" s="1">
        <v>-4.1250670000000003E-6</v>
      </c>
      <c r="I1412">
        <v>366.02960000000002</v>
      </c>
      <c r="J1412">
        <v>-239.18340000000001</v>
      </c>
      <c r="K1412">
        <v>1.110314</v>
      </c>
      <c r="L1412">
        <v>367.35739999999998</v>
      </c>
      <c r="M1412">
        <v>0.99985950000000001</v>
      </c>
      <c r="N1412">
        <v>0</v>
      </c>
      <c r="O1412">
        <v>-1.0598150000000001E-2</v>
      </c>
      <c r="P1412">
        <v>0.98593430000000004</v>
      </c>
      <c r="Q1412">
        <v>0.1671</v>
      </c>
      <c r="R1412">
        <v>-3.4260599999999999E-3</v>
      </c>
      <c r="S1412">
        <v>3.0751040000000001</v>
      </c>
      <c r="T1412">
        <v>-0.1953889</v>
      </c>
      <c r="U1412">
        <v>-0.23385619999999999</v>
      </c>
      <c r="V1412">
        <v>-7.0178019999999897E-3</v>
      </c>
      <c r="W1412">
        <v>0.1799046</v>
      </c>
      <c r="X1412">
        <v>0.98365899999999995</v>
      </c>
      <c r="Y1412">
        <v>6.5147129999999998E-2</v>
      </c>
      <c r="Z1412">
        <v>-1.3929039999999999E-3</v>
      </c>
      <c r="AA1412">
        <v>0.9978747</v>
      </c>
      <c r="AB1412">
        <v>28</v>
      </c>
      <c r="AC1412">
        <v>17.357199999999999</v>
      </c>
      <c r="AD1412">
        <v>-1.110318125067</v>
      </c>
      <c r="AE1412">
        <v>-1.3277999999999599</v>
      </c>
      <c r="AF1412">
        <v>1.1391215266471999</v>
      </c>
      <c r="AG1412">
        <v>-1.110318125067</v>
      </c>
      <c r="AH1412">
        <v>17.2999190410934</v>
      </c>
      <c r="AI1412">
        <v>93.664324079329504</v>
      </c>
      <c r="AJ1412">
        <v>86.232769874314101</v>
      </c>
      <c r="AK1412">
        <v>17.372898520963901</v>
      </c>
      <c r="AL1412">
        <v>79.635796624590796</v>
      </c>
      <c r="AM1412">
        <v>90.408763213884299</v>
      </c>
      <c r="AN1412">
        <v>0.99999997146353503</v>
      </c>
    </row>
    <row r="1413" spans="1:40" x14ac:dyDescent="0.25">
      <c r="A1413" t="str">
        <f>"20190312172113479"</f>
        <v>20190312172113479</v>
      </c>
      <c r="B1413" t="str">
        <f>"1552382473472205"</f>
        <v>1552382473472205</v>
      </c>
      <c r="C1413" t="s">
        <v>40</v>
      </c>
      <c r="D1413">
        <v>3.3706640000000001</v>
      </c>
      <c r="E1413">
        <v>0.52815290000000004</v>
      </c>
      <c r="F1413" t="s">
        <v>41</v>
      </c>
      <c r="G1413">
        <v>-238.28720000000001</v>
      </c>
      <c r="H1413">
        <v>1.0534600000000001</v>
      </c>
      <c r="I1413">
        <v>367.28980000000001</v>
      </c>
      <c r="J1413">
        <v>-239.04060000000001</v>
      </c>
      <c r="K1413">
        <v>1.110311</v>
      </c>
      <c r="L1413">
        <v>367.35590000000002</v>
      </c>
      <c r="M1413">
        <v>0.99985970000000002</v>
      </c>
      <c r="N1413">
        <v>0</v>
      </c>
      <c r="O1413">
        <v>-1.059799E-2</v>
      </c>
      <c r="P1413">
        <v>0.98592080000000004</v>
      </c>
      <c r="Q1413">
        <v>0.16717279999999901</v>
      </c>
      <c r="R1413">
        <v>-3.6474329999999998E-3</v>
      </c>
      <c r="S1413">
        <v>3.0751189999999999</v>
      </c>
      <c r="T1413">
        <v>-0.1954014</v>
      </c>
      <c r="U1413">
        <v>-0.23107910000000001</v>
      </c>
      <c r="V1413">
        <v>-6.7958819999999996E-3</v>
      </c>
      <c r="W1413">
        <v>0.17995239999999901</v>
      </c>
      <c r="X1413">
        <v>0.98365179999999997</v>
      </c>
      <c r="Y1413">
        <v>6.4252630000000005E-2</v>
      </c>
      <c r="Z1413">
        <v>-1.364692E-3</v>
      </c>
      <c r="AA1413">
        <v>0.99793270000000001</v>
      </c>
      <c r="AB1413">
        <v>28</v>
      </c>
      <c r="AC1413">
        <v>0.75339999999999896</v>
      </c>
      <c r="AD1413">
        <v>-5.6850999999999902E-2</v>
      </c>
      <c r="AE1413">
        <v>-6.6100000000005807E-2</v>
      </c>
      <c r="AF1413">
        <v>5.7784572010102397E-2</v>
      </c>
      <c r="AG1413">
        <v>-5.6850999999999902E-2</v>
      </c>
      <c r="AH1413">
        <v>0.749821325253055</v>
      </c>
      <c r="AI1413">
        <v>94.323066411553398</v>
      </c>
      <c r="AJ1413">
        <v>85.593241996581099</v>
      </c>
      <c r="AK1413">
        <v>0.75419036904990899</v>
      </c>
      <c r="AL1413">
        <v>79.633012295606605</v>
      </c>
      <c r="AM1413">
        <v>90.395840440322004</v>
      </c>
      <c r="AN1413">
        <v>0.99999995696057797</v>
      </c>
    </row>
    <row r="1414" spans="1:40" x14ac:dyDescent="0.25">
      <c r="A1414" t="str">
        <f>"20190312172113490"</f>
        <v>20190312172113490</v>
      </c>
      <c r="B1414" t="str">
        <f>"1552382473481965"</f>
        <v>1552382473481965</v>
      </c>
      <c r="C1414" t="s">
        <v>40</v>
      </c>
      <c r="D1414">
        <v>3.3592469999999999</v>
      </c>
      <c r="E1414">
        <v>0.52790369999999998</v>
      </c>
      <c r="F1414" t="s">
        <v>42</v>
      </c>
      <c r="G1414">
        <v>-221.56360000000001</v>
      </c>
      <c r="H1414" s="1">
        <v>-4.2347040000000004E-6</v>
      </c>
      <c r="I1414">
        <v>366.04680000000002</v>
      </c>
      <c r="J1414">
        <v>-238.89099999999999</v>
      </c>
      <c r="K1414">
        <v>1.1103099999999999</v>
      </c>
      <c r="L1414">
        <v>367.35419999999999</v>
      </c>
      <c r="M1414">
        <v>0.99985999999999997</v>
      </c>
      <c r="N1414">
        <v>0</v>
      </c>
      <c r="O1414">
        <v>-1.0597830000000001E-2</v>
      </c>
      <c r="P1414">
        <v>0.98593280000000005</v>
      </c>
      <c r="Q1414">
        <v>0.167104</v>
      </c>
      <c r="R1414">
        <v>-3.6356969999999998E-3</v>
      </c>
      <c r="S1414">
        <v>3.0751189999999999</v>
      </c>
      <c r="T1414">
        <v>-0.1953617</v>
      </c>
      <c r="U1414">
        <v>-0.2303162</v>
      </c>
      <c r="V1414">
        <v>-6.8077260000000001E-3</v>
      </c>
      <c r="W1414">
        <v>0.17985909999999999</v>
      </c>
      <c r="X1414">
        <v>0.98366880000000001</v>
      </c>
      <c r="Y1414">
        <v>6.4007120000000001E-2</v>
      </c>
      <c r="Z1414">
        <v>-1.356658E-3</v>
      </c>
      <c r="AA1414">
        <v>0.99794850000000002</v>
      </c>
      <c r="AB1414">
        <v>28</v>
      </c>
      <c r="AC1414">
        <v>17.327399999999901</v>
      </c>
      <c r="AD1414">
        <v>-1.110314234704</v>
      </c>
      <c r="AE1414">
        <v>-1.3073999999999699</v>
      </c>
      <c r="AF1414">
        <v>1.1191092158167699</v>
      </c>
      <c r="AG1414">
        <v>-1.110314234704</v>
      </c>
      <c r="AH1414">
        <v>17.269774253017001</v>
      </c>
      <c r="AI1414">
        <v>93.6709385079822</v>
      </c>
      <c r="AJ1414">
        <v>86.292325126831003</v>
      </c>
      <c r="AK1414">
        <v>17.3415773759736</v>
      </c>
      <c r="AL1414">
        <v>79.638446844126904</v>
      </c>
      <c r="AM1414">
        <v>90.396523444290395</v>
      </c>
      <c r="AN1414">
        <v>0.99999997453976996</v>
      </c>
    </row>
    <row r="1415" spans="1:40" x14ac:dyDescent="0.25">
      <c r="A1415" t="str">
        <f>"20190312172113502"</f>
        <v>20190312172113502</v>
      </c>
      <c r="B1415" t="str">
        <f>"1552382473492701"</f>
        <v>1552382473492701</v>
      </c>
      <c r="C1415" t="s">
        <v>40</v>
      </c>
      <c r="D1415">
        <v>3.3712759999999999</v>
      </c>
      <c r="E1415">
        <v>0.52770950000000005</v>
      </c>
      <c r="F1415" t="s">
        <v>42</v>
      </c>
      <c r="G1415">
        <v>-221.43299999999999</v>
      </c>
      <c r="H1415" s="1">
        <v>-4.2885749999999998E-6</v>
      </c>
      <c r="I1415">
        <v>366.05889999999999</v>
      </c>
      <c r="J1415">
        <v>-238.7465</v>
      </c>
      <c r="K1415">
        <v>1.1103069999999999</v>
      </c>
      <c r="L1415">
        <v>367.35270000000003</v>
      </c>
      <c r="M1415">
        <v>0.99986030000000004</v>
      </c>
      <c r="N1415">
        <v>0</v>
      </c>
      <c r="O1415">
        <v>-1.059768E-2</v>
      </c>
      <c r="P1415">
        <v>0.98593909999999996</v>
      </c>
      <c r="Q1415">
        <v>0.1670664</v>
      </c>
      <c r="R1415">
        <v>-3.652818E-3</v>
      </c>
      <c r="S1415">
        <v>3.0751189999999999</v>
      </c>
      <c r="T1415">
        <v>-0.19557389999999999</v>
      </c>
      <c r="U1415">
        <v>-0.2281494</v>
      </c>
      <c r="V1415">
        <v>-6.7904480000000001E-3</v>
      </c>
      <c r="W1415">
        <v>0.1797986</v>
      </c>
      <c r="X1415">
        <v>0.98368</v>
      </c>
      <c r="Y1415">
        <v>6.3309130000000005E-2</v>
      </c>
      <c r="Z1415">
        <v>-1.33603E-3</v>
      </c>
      <c r="AA1415">
        <v>0.99799309999999997</v>
      </c>
      <c r="AB1415">
        <v>28</v>
      </c>
      <c r="AC1415">
        <v>17.313500000000001</v>
      </c>
      <c r="AD1415">
        <v>-1.1103112885749999</v>
      </c>
      <c r="AE1415">
        <v>-1.29380000000003</v>
      </c>
      <c r="AF1415">
        <v>1.1057069577652801</v>
      </c>
      <c r="AG1415">
        <v>-1.1103112885749999</v>
      </c>
      <c r="AH1415">
        <v>17.2556678809792</v>
      </c>
      <c r="AI1415">
        <v>93.674091698077405</v>
      </c>
      <c r="AJ1415">
        <v>86.333619323005806</v>
      </c>
      <c r="AK1415">
        <v>17.326668838892399</v>
      </c>
      <c r="AL1415">
        <v>79.6419708946312</v>
      </c>
      <c r="AM1415">
        <v>90.395512597158202</v>
      </c>
      <c r="AN1415">
        <v>0.99999999457300004</v>
      </c>
    </row>
    <row r="1416" spans="1:40" x14ac:dyDescent="0.25">
      <c r="A1416" t="str">
        <f>"20190312172113513"</f>
        <v>20190312172113513</v>
      </c>
      <c r="B1416" t="str">
        <f>"1552382473502461"</f>
        <v>1552382473502461</v>
      </c>
      <c r="C1416" t="s">
        <v>40</v>
      </c>
      <c r="D1416">
        <v>3.3472870000000001</v>
      </c>
      <c r="E1416">
        <v>0.52751530000000002</v>
      </c>
      <c r="F1416" t="s">
        <v>41</v>
      </c>
      <c r="G1416">
        <v>-237.78919999999999</v>
      </c>
      <c r="H1416">
        <v>1.0494520000000001</v>
      </c>
      <c r="I1416">
        <v>367.28179999999998</v>
      </c>
      <c r="J1416">
        <v>-238.61080000000001</v>
      </c>
      <c r="K1416">
        <v>1.1103050000000001</v>
      </c>
      <c r="L1416">
        <v>367.35129999999998</v>
      </c>
      <c r="M1416">
        <v>0.99986059999999999</v>
      </c>
      <c r="N1416">
        <v>0</v>
      </c>
      <c r="O1416">
        <v>-1.0597789999999999E-2</v>
      </c>
      <c r="P1416">
        <v>0.98591779999999996</v>
      </c>
      <c r="Q1416">
        <v>0.16719210000000001</v>
      </c>
      <c r="R1416">
        <v>-3.6082739999999999E-3</v>
      </c>
      <c r="S1416">
        <v>3.0751189999999999</v>
      </c>
      <c r="T1416">
        <v>-0.19585959999999999</v>
      </c>
      <c r="U1416">
        <v>-0.22677610000000001</v>
      </c>
      <c r="V1416">
        <v>-6.8348749999999998E-3</v>
      </c>
      <c r="W1416">
        <v>0.17990410000000001</v>
      </c>
      <c r="X1416">
        <v>0.98366039999999999</v>
      </c>
      <c r="Y1416">
        <v>6.2866350000000001E-2</v>
      </c>
      <c r="Z1416">
        <v>-1.3239250000000001E-3</v>
      </c>
      <c r="AA1416">
        <v>0.99802109999999999</v>
      </c>
      <c r="AB1416">
        <v>28</v>
      </c>
      <c r="AC1416">
        <v>0.82160000000001698</v>
      </c>
      <c r="AD1416">
        <v>-6.0852999999999803E-2</v>
      </c>
      <c r="AE1416">
        <v>-6.9500000000005002E-2</v>
      </c>
      <c r="AF1416">
        <v>6.04589157819935E-2</v>
      </c>
      <c r="AG1416">
        <v>-6.0852999999999803E-2</v>
      </c>
      <c r="AH1416">
        <v>0.81783581998079002</v>
      </c>
      <c r="AI1416">
        <v>94.243847717837298</v>
      </c>
      <c r="AJ1416">
        <v>85.772071934070297</v>
      </c>
      <c r="AK1416">
        <v>0.82232219752976699</v>
      </c>
      <c r="AL1416">
        <v>79.635825958870498</v>
      </c>
      <c r="AM1416">
        <v>90.398108116204398</v>
      </c>
      <c r="AN1416">
        <v>0.99999999162061703</v>
      </c>
    </row>
    <row r="1417" spans="1:40" x14ac:dyDescent="0.25">
      <c r="A1417" t="str">
        <f>"20190312172113523"</f>
        <v>20190312172113523</v>
      </c>
      <c r="B1417" t="str">
        <f>"1552382473512221"</f>
        <v>1552382473512221</v>
      </c>
      <c r="C1417" t="s">
        <v>40</v>
      </c>
      <c r="D1417">
        <v>3.3557229999999998</v>
      </c>
      <c r="E1417">
        <v>0.52733450000000004</v>
      </c>
      <c r="F1417" t="s">
        <v>42</v>
      </c>
      <c r="G1417">
        <v>-221.1568</v>
      </c>
      <c r="H1417" s="1">
        <v>-4.4048249999999998E-6</v>
      </c>
      <c r="I1417">
        <v>366.07159999999999</v>
      </c>
      <c r="J1417">
        <v>-238.48070000000001</v>
      </c>
      <c r="K1417">
        <v>1.1102989999999999</v>
      </c>
      <c r="L1417">
        <v>367.34989999999999</v>
      </c>
      <c r="M1417">
        <v>0.99986079999999999</v>
      </c>
      <c r="N1417">
        <v>0</v>
      </c>
      <c r="O1417">
        <v>-1.059766E-2</v>
      </c>
      <c r="P1417">
        <v>0.9859561</v>
      </c>
      <c r="Q1417">
        <v>0.1669707</v>
      </c>
      <c r="R1417">
        <v>-3.3789890000000002E-3</v>
      </c>
      <c r="S1417">
        <v>3.0752109999999999</v>
      </c>
      <c r="T1417">
        <v>-0.1956232</v>
      </c>
      <c r="U1417">
        <v>-0.22546389999999999</v>
      </c>
      <c r="V1417">
        <v>-7.0645530000000003E-3</v>
      </c>
      <c r="W1417">
        <v>0.1796635</v>
      </c>
      <c r="X1417">
        <v>0.98370279999999999</v>
      </c>
      <c r="Y1417">
        <v>6.2441820000000002E-2</v>
      </c>
      <c r="Z1417">
        <v>-1.3088489999999999E-3</v>
      </c>
      <c r="AA1417">
        <v>0.99804780000000004</v>
      </c>
      <c r="AB1417">
        <v>28</v>
      </c>
      <c r="AC1417">
        <v>17.323899999999998</v>
      </c>
      <c r="AD1417">
        <v>-1.110303404825</v>
      </c>
      <c r="AE1417">
        <v>-1.2783</v>
      </c>
      <c r="AF1417">
        <v>1.09016639633212</v>
      </c>
      <c r="AG1417">
        <v>-1.110303404825</v>
      </c>
      <c r="AH1417">
        <v>17.265936963761799</v>
      </c>
      <c r="AI1417">
        <v>93.672104127659594</v>
      </c>
      <c r="AJ1417">
        <v>86.387156543770104</v>
      </c>
      <c r="AK1417">
        <v>17.335911157451601</v>
      </c>
      <c r="AL1417">
        <v>79.6498401663343</v>
      </c>
      <c r="AM1417">
        <v>90.411467887017906</v>
      </c>
      <c r="AN1417">
        <v>1.0000000399345801</v>
      </c>
    </row>
    <row r="1418" spans="1:40" x14ac:dyDescent="0.25">
      <c r="A1418" t="str">
        <f>"20190312172113534"</f>
        <v>20190312172113534</v>
      </c>
      <c r="B1418" t="str">
        <f>"1552382473532717"</f>
        <v>1552382473532717</v>
      </c>
      <c r="C1418" t="s">
        <v>40</v>
      </c>
      <c r="D1418">
        <v>3.3518490000000001</v>
      </c>
      <c r="E1418">
        <v>0.52705709999999995</v>
      </c>
      <c r="F1418" t="s">
        <v>41</v>
      </c>
      <c r="G1418">
        <v>-237.5359</v>
      </c>
      <c r="H1418">
        <v>1.0500579999999999</v>
      </c>
      <c r="I1418">
        <v>367.28120000000001</v>
      </c>
      <c r="J1418">
        <v>-238.33269999999999</v>
      </c>
      <c r="K1418">
        <v>1.1102970000000001</v>
      </c>
      <c r="L1418">
        <v>367.34829999999999</v>
      </c>
      <c r="M1418">
        <v>0.99986120000000001</v>
      </c>
      <c r="N1418">
        <v>0</v>
      </c>
      <c r="O1418">
        <v>-1.059763E-2</v>
      </c>
      <c r="P1418">
        <v>0.98593770000000003</v>
      </c>
      <c r="Q1418">
        <v>0.16707659999999999</v>
      </c>
      <c r="R1418">
        <v>-3.5575860000000002E-3</v>
      </c>
      <c r="S1418">
        <v>3.0751949999999999</v>
      </c>
      <c r="T1418">
        <v>-0.19624720000000001</v>
      </c>
      <c r="U1418">
        <v>-0.2232971</v>
      </c>
      <c r="V1418">
        <v>-6.8857329999999998E-3</v>
      </c>
      <c r="W1418">
        <v>0.1797465</v>
      </c>
      <c r="X1418">
        <v>0.98368889999999998</v>
      </c>
      <c r="Y1418">
        <v>6.1743449999999998E-2</v>
      </c>
      <c r="Z1418">
        <v>-1.290825E-3</v>
      </c>
      <c r="AA1418">
        <v>0.99809119999999996</v>
      </c>
      <c r="AB1418">
        <v>28</v>
      </c>
      <c r="AC1418">
        <v>0.79679999999998996</v>
      </c>
      <c r="AD1418">
        <v>-6.0238999999999897E-2</v>
      </c>
      <c r="AE1418">
        <v>-6.7099999999982105E-2</v>
      </c>
      <c r="AF1418">
        <v>5.8320357024573E-2</v>
      </c>
      <c r="AG1418">
        <v>-6.0238999999999897E-2</v>
      </c>
      <c r="AH1418">
        <v>0.79296609629773696</v>
      </c>
      <c r="AI1418">
        <v>94.332568823504701</v>
      </c>
      <c r="AJ1418">
        <v>85.7936349707511</v>
      </c>
      <c r="AK1418">
        <v>0.797386500413786</v>
      </c>
      <c r="AL1418">
        <v>79.645005863963803</v>
      </c>
      <c r="AM1418">
        <v>90.401058704868603</v>
      </c>
      <c r="AN1418">
        <v>1.0000000347822</v>
      </c>
    </row>
    <row r="1419" spans="1:40" x14ac:dyDescent="0.25">
      <c r="A1419" t="str">
        <f>"20190312172113545"</f>
        <v>20190312172113545</v>
      </c>
      <c r="B1419" t="str">
        <f>"1552382473542477"</f>
        <v>1552382473542477</v>
      </c>
      <c r="C1419" t="s">
        <v>40</v>
      </c>
      <c r="D1419">
        <v>3.3598050000000002</v>
      </c>
      <c r="E1419">
        <v>0.52694339999999995</v>
      </c>
      <c r="F1419" t="s">
        <v>42</v>
      </c>
      <c r="G1419">
        <v>-220.9186</v>
      </c>
      <c r="H1419" s="1">
        <v>-4.503234E-6</v>
      </c>
      <c r="I1419">
        <v>366.09280000000001</v>
      </c>
      <c r="J1419">
        <v>-238.20779999999999</v>
      </c>
      <c r="K1419">
        <v>1.110295</v>
      </c>
      <c r="L1419">
        <v>367.34699999999998</v>
      </c>
      <c r="M1419">
        <v>0.99986120000000001</v>
      </c>
      <c r="N1419">
        <v>0</v>
      </c>
      <c r="O1419">
        <v>-1.059739E-2</v>
      </c>
      <c r="P1419">
        <v>0.98592820000000003</v>
      </c>
      <c r="Q1419">
        <v>0.16713210000000001</v>
      </c>
      <c r="R1419">
        <v>-3.5055759999999998E-3</v>
      </c>
      <c r="S1419">
        <v>3.0752410000000001</v>
      </c>
      <c r="T1419">
        <v>-0.19607240000000001</v>
      </c>
      <c r="U1419">
        <v>-0.2217102</v>
      </c>
      <c r="V1419">
        <v>-6.9372829999999998E-3</v>
      </c>
      <c r="W1419">
        <v>0.17978259999999999</v>
      </c>
      <c r="X1419">
        <v>0.9836819</v>
      </c>
      <c r="Y1419">
        <v>6.1231460000000001E-2</v>
      </c>
      <c r="Z1419">
        <v>-1.2734129999999999E-3</v>
      </c>
      <c r="AA1419">
        <v>0.99812279999999998</v>
      </c>
      <c r="AB1419">
        <v>28</v>
      </c>
      <c r="AC1419">
        <v>17.289199999999902</v>
      </c>
      <c r="AD1419">
        <v>-1.110299503234</v>
      </c>
      <c r="AE1419">
        <v>-1.25419999999996</v>
      </c>
      <c r="AF1419">
        <v>1.0665186046580599</v>
      </c>
      <c r="AG1419">
        <v>-1.110299503234</v>
      </c>
      <c r="AH1419">
        <v>17.230831440871601</v>
      </c>
      <c r="AI1419">
        <v>93.679836351975396</v>
      </c>
      <c r="AJ1419">
        <v>86.458142019549598</v>
      </c>
      <c r="AK1419">
        <v>17.299473375357199</v>
      </c>
      <c r="AL1419">
        <v>79.6429028148969</v>
      </c>
      <c r="AM1419">
        <v>90.404064004599704</v>
      </c>
      <c r="AN1419">
        <v>0.99999999477289603</v>
      </c>
    </row>
    <row r="1420" spans="1:40" x14ac:dyDescent="0.25">
      <c r="A1420" t="str">
        <f>"20190312172113556"</f>
        <v>20190312172113556</v>
      </c>
      <c r="B1420" t="str">
        <f>"1552382473552236"</f>
        <v>1552382473552236</v>
      </c>
      <c r="C1420" t="s">
        <v>40</v>
      </c>
      <c r="D1420">
        <v>3.358374</v>
      </c>
      <c r="E1420">
        <v>0.52682580000000001</v>
      </c>
      <c r="F1420" t="s">
        <v>41</v>
      </c>
      <c r="G1420">
        <v>-237.28210000000001</v>
      </c>
      <c r="H1420">
        <v>1.0512729999999999</v>
      </c>
      <c r="I1420">
        <v>367.28050000000002</v>
      </c>
      <c r="J1420">
        <v>-238.0598</v>
      </c>
      <c r="K1420">
        <v>1.1102909999999999</v>
      </c>
      <c r="L1420">
        <v>367.34550000000002</v>
      </c>
      <c r="M1420">
        <v>0.99986189999999997</v>
      </c>
      <c r="N1420">
        <v>0</v>
      </c>
      <c r="O1420">
        <v>-1.0597469999999999E-2</v>
      </c>
      <c r="P1420">
        <v>0.98592990000000003</v>
      </c>
      <c r="Q1420">
        <v>0.16712859999999999</v>
      </c>
      <c r="R1420">
        <v>-3.272072E-3</v>
      </c>
      <c r="S1420">
        <v>3.0753330000000001</v>
      </c>
      <c r="T1420">
        <v>-0.19635140000000001</v>
      </c>
      <c r="U1420">
        <v>-0.22036739999999999</v>
      </c>
      <c r="V1420">
        <v>-7.1709080000000001E-3</v>
      </c>
      <c r="W1420">
        <v>0.1797559</v>
      </c>
      <c r="X1420">
        <v>0.98368509999999998</v>
      </c>
      <c r="Y1420">
        <v>6.0796259999999998E-2</v>
      </c>
      <c r="Z1420">
        <v>-1.261337E-3</v>
      </c>
      <c r="AA1420">
        <v>0.99814939999999996</v>
      </c>
      <c r="AB1420">
        <v>28</v>
      </c>
      <c r="AC1420">
        <v>0.77769999999998096</v>
      </c>
      <c r="AD1420">
        <v>-5.9018000000000001E-2</v>
      </c>
      <c r="AE1420">
        <v>-6.4999999999997699E-2</v>
      </c>
      <c r="AF1420">
        <v>5.6431289931975603E-2</v>
      </c>
      <c r="AG1420">
        <v>-5.9018000000000001E-2</v>
      </c>
      <c r="AH1420">
        <v>0.77391915506217301</v>
      </c>
      <c r="AI1420">
        <v>94.349353837909007</v>
      </c>
      <c r="AJ1420">
        <v>85.829586681487399</v>
      </c>
      <c r="AK1420">
        <v>0.77821492749723997</v>
      </c>
      <c r="AL1420">
        <v>79.644457904893997</v>
      </c>
      <c r="AM1420">
        <v>90.417669725723599</v>
      </c>
      <c r="AN1420">
        <v>0.999999990734182</v>
      </c>
    </row>
    <row r="1421" spans="1:40" x14ac:dyDescent="0.25">
      <c r="A1421" t="str">
        <f>"20190312172113568"</f>
        <v>20190312172113568</v>
      </c>
      <c r="B1421" t="str">
        <f>"1552382473561996"</f>
        <v>1552382473561996</v>
      </c>
      <c r="C1421" t="s">
        <v>40</v>
      </c>
      <c r="D1421">
        <v>3.345421</v>
      </c>
      <c r="E1421">
        <v>0.5267539</v>
      </c>
      <c r="F1421" t="s">
        <v>42</v>
      </c>
      <c r="G1421">
        <v>-220.68270000000001</v>
      </c>
      <c r="H1421" s="1">
        <v>-4.6014679999999999E-6</v>
      </c>
      <c r="I1421">
        <v>366.1096</v>
      </c>
      <c r="J1421">
        <v>-237.91380000000001</v>
      </c>
      <c r="K1421">
        <v>1.1102879999999999</v>
      </c>
      <c r="L1421">
        <v>367.34390000000002</v>
      </c>
      <c r="M1421">
        <v>0.99986200000000003</v>
      </c>
      <c r="N1421">
        <v>0</v>
      </c>
      <c r="O1421">
        <v>-1.0597209999999999E-2</v>
      </c>
      <c r="P1421">
        <v>0.985958</v>
      </c>
      <c r="Q1421">
        <v>0.1669572</v>
      </c>
      <c r="R1421">
        <v>-3.4978969999999998E-3</v>
      </c>
      <c r="S1421">
        <v>3.0753780000000002</v>
      </c>
      <c r="T1421">
        <v>-0.19649759999999999</v>
      </c>
      <c r="U1421">
        <v>-0.21871950000000001</v>
      </c>
      <c r="V1421">
        <v>-6.9450709999999997E-3</v>
      </c>
      <c r="W1421">
        <v>0.1795631</v>
      </c>
      <c r="X1421">
        <v>0.98372199999999999</v>
      </c>
      <c r="Y1421">
        <v>6.0264239999999997E-2</v>
      </c>
      <c r="Z1421">
        <v>-1.2453379999999999E-3</v>
      </c>
      <c r="AA1421">
        <v>0.99818169999999995</v>
      </c>
      <c r="AB1421">
        <v>28</v>
      </c>
      <c r="AC1421">
        <v>17.231099999999898</v>
      </c>
      <c r="AD1421">
        <v>-1.1102926014679999</v>
      </c>
      <c r="AE1421">
        <v>-1.2343000000000099</v>
      </c>
      <c r="AF1421">
        <v>1.04728809127026</v>
      </c>
      <c r="AG1421">
        <v>-1.1102926014679999</v>
      </c>
      <c r="AH1421">
        <v>17.172279545017702</v>
      </c>
      <c r="AI1421">
        <v>93.692530696517395</v>
      </c>
      <c r="AJ1421">
        <v>86.510017324561005</v>
      </c>
      <c r="AK1421">
        <v>17.2399752546001</v>
      </c>
      <c r="AL1421">
        <v>79.6556879394616</v>
      </c>
      <c r="AM1421">
        <v>90.404501114765296</v>
      </c>
      <c r="AN1421">
        <v>1.0000000570884</v>
      </c>
    </row>
    <row r="1422" spans="1:40" x14ac:dyDescent="0.25">
      <c r="A1422" t="str">
        <f>"20190312172113578"</f>
        <v>20190312172113578</v>
      </c>
      <c r="B1422" t="str">
        <f>"1552382473572733"</f>
        <v>1552382473572733</v>
      </c>
      <c r="C1422" t="s">
        <v>40</v>
      </c>
      <c r="D1422">
        <v>3.3444210000000001</v>
      </c>
      <c r="E1422">
        <v>0.52665119999999999</v>
      </c>
      <c r="F1422" t="s">
        <v>41</v>
      </c>
      <c r="G1422">
        <v>-237.02289999999999</v>
      </c>
      <c r="H1422">
        <v>1.053242</v>
      </c>
      <c r="I1422">
        <v>367.28050000000002</v>
      </c>
      <c r="J1422">
        <v>-237.7758</v>
      </c>
      <c r="K1422">
        <v>1.110285</v>
      </c>
      <c r="L1422">
        <v>367.3424</v>
      </c>
      <c r="M1422">
        <v>0.99986229999999998</v>
      </c>
      <c r="N1422">
        <v>0</v>
      </c>
      <c r="O1422">
        <v>-1.0597199999999999E-2</v>
      </c>
      <c r="P1422">
        <v>0.98592840000000004</v>
      </c>
      <c r="Q1422">
        <v>0.16713510000000001</v>
      </c>
      <c r="R1422">
        <v>-3.3824649999999999E-3</v>
      </c>
      <c r="S1422">
        <v>3.0753170000000001</v>
      </c>
      <c r="T1422">
        <v>-0.1970469</v>
      </c>
      <c r="U1422">
        <v>-0.2185059</v>
      </c>
      <c r="V1422">
        <v>-7.0602570000000003E-3</v>
      </c>
      <c r="W1422">
        <v>0.1797202</v>
      </c>
      <c r="X1422">
        <v>0.98369240000000002</v>
      </c>
      <c r="Y1422">
        <v>6.0196239999999998E-2</v>
      </c>
      <c r="Z1422">
        <v>-1.2466669999999999E-3</v>
      </c>
      <c r="AA1422">
        <v>0.99818580000000001</v>
      </c>
      <c r="AB1422">
        <v>28</v>
      </c>
      <c r="AC1422">
        <v>0.752900000000011</v>
      </c>
      <c r="AD1422">
        <v>-5.7042999999999899E-2</v>
      </c>
      <c r="AE1422">
        <v>-6.1899999999979999E-2</v>
      </c>
      <c r="AF1422">
        <v>5.3611563984450897E-2</v>
      </c>
      <c r="AG1422">
        <v>-5.7042999999999899E-2</v>
      </c>
      <c r="AH1422">
        <v>0.74924178389550999</v>
      </c>
      <c r="AI1422">
        <v>94.342714410885606</v>
      </c>
      <c r="AJ1422">
        <v>85.907209088939396</v>
      </c>
      <c r="AK1422">
        <v>0.75332022034244195</v>
      </c>
      <c r="AL1422">
        <v>79.646536985570705</v>
      </c>
      <c r="AM1422">
        <v>90.411222026764094</v>
      </c>
      <c r="AN1422">
        <v>0.999999967667352</v>
      </c>
    </row>
    <row r="1423" spans="1:40" x14ac:dyDescent="0.25">
      <c r="A1423" t="str">
        <f>"20190312172113590"</f>
        <v>20190312172113590</v>
      </c>
      <c r="B1423" t="str">
        <f>"1552382473582494"</f>
        <v>1552382473582494</v>
      </c>
      <c r="C1423" t="s">
        <v>40</v>
      </c>
      <c r="D1423">
        <v>3.3679890000000001</v>
      </c>
      <c r="E1423">
        <v>0.52660509999999905</v>
      </c>
      <c r="F1423" t="s">
        <v>42</v>
      </c>
      <c r="G1423">
        <v>-220.39070000000001</v>
      </c>
      <c r="H1423" s="1">
        <v>-4.7259879999999998E-6</v>
      </c>
      <c r="I1423">
        <v>366.1139</v>
      </c>
      <c r="J1423">
        <v>-237.63570000000001</v>
      </c>
      <c r="K1423">
        <v>1.110285</v>
      </c>
      <c r="L1423">
        <v>367.34089999999998</v>
      </c>
      <c r="M1423">
        <v>0.99986249999999999</v>
      </c>
      <c r="N1423">
        <v>0</v>
      </c>
      <c r="O1423">
        <v>-1.059708E-2</v>
      </c>
      <c r="P1423">
        <v>0.98595069999999996</v>
      </c>
      <c r="Q1423">
        <v>0.16700490000000001</v>
      </c>
      <c r="R1423">
        <v>-3.2646649999999999E-3</v>
      </c>
      <c r="S1423">
        <v>3.0753780000000002</v>
      </c>
      <c r="T1423">
        <v>-0.19640640000000001</v>
      </c>
      <c r="U1423">
        <v>-0.2173157</v>
      </c>
      <c r="V1423">
        <v>-7.1786590000000004E-3</v>
      </c>
      <c r="W1423">
        <v>0.17957200000000001</v>
      </c>
      <c r="X1423">
        <v>0.9837186</v>
      </c>
      <c r="Y1423">
        <v>5.981202E-2</v>
      </c>
      <c r="Z1423">
        <v>-1.230381E-3</v>
      </c>
      <c r="AA1423">
        <v>0.99820889999999995</v>
      </c>
      <c r="AB1423">
        <v>28</v>
      </c>
      <c r="AC1423">
        <v>17.245000000000001</v>
      </c>
      <c r="AD1423">
        <v>-1.110289725988</v>
      </c>
      <c r="AE1423">
        <v>-1.2269999999999699</v>
      </c>
      <c r="AF1423">
        <v>1.0398807713800999</v>
      </c>
      <c r="AG1423">
        <v>-1.110289725988</v>
      </c>
      <c r="AH1423">
        <v>17.186153865730802</v>
      </c>
      <c r="AI1423">
        <v>93.689655383235205</v>
      </c>
      <c r="AJ1423">
        <v>86.537431872029103</v>
      </c>
      <c r="AK1423">
        <v>17.253346921420601</v>
      </c>
      <c r="AL1423">
        <v>79.6551685677059</v>
      </c>
      <c r="AM1423">
        <v>90.418106928521198</v>
      </c>
      <c r="AN1423">
        <v>0.99999996015749804</v>
      </c>
    </row>
    <row r="1424" spans="1:40" x14ac:dyDescent="0.25">
      <c r="A1424" t="str">
        <f>"20190312172113602"</f>
        <v>20190312172113602</v>
      </c>
      <c r="B1424" t="str">
        <f>"1552382473592253"</f>
        <v>1552382473592253</v>
      </c>
      <c r="C1424" t="s">
        <v>40</v>
      </c>
      <c r="D1424">
        <v>3.3730500000000001</v>
      </c>
      <c r="E1424">
        <v>0.52655039999999997</v>
      </c>
      <c r="F1424" t="s">
        <v>42</v>
      </c>
      <c r="G1424">
        <v>-220.30680000000001</v>
      </c>
      <c r="H1424" s="1">
        <v>-4.7609179999999997E-6</v>
      </c>
      <c r="I1424">
        <v>366.1198</v>
      </c>
      <c r="J1424">
        <v>-237.48589999999999</v>
      </c>
      <c r="K1424">
        <v>1.110284</v>
      </c>
      <c r="L1424">
        <v>367.33929999999998</v>
      </c>
      <c r="M1424">
        <v>0.99986280000000005</v>
      </c>
      <c r="N1424">
        <v>0</v>
      </c>
      <c r="O1424">
        <v>-1.0597189999999999E-2</v>
      </c>
      <c r="P1424">
        <v>0.98595569999999999</v>
      </c>
      <c r="Q1424">
        <v>0.16697479999999901</v>
      </c>
      <c r="R1424">
        <v>-3.3580419999999999E-3</v>
      </c>
      <c r="S1424">
        <v>3.0754090000000001</v>
      </c>
      <c r="T1424">
        <v>-0.19704479999999999</v>
      </c>
      <c r="U1424">
        <v>-0.21670529999999999</v>
      </c>
      <c r="V1424">
        <v>-7.0849110000000002E-3</v>
      </c>
      <c r="W1424">
        <v>0.17952129999999999</v>
      </c>
      <c r="X1424">
        <v>0.98372859999999995</v>
      </c>
      <c r="Y1424">
        <v>5.9613850000000003E-2</v>
      </c>
      <c r="Z1424">
        <v>-1.2280279999999999E-3</v>
      </c>
      <c r="AA1424">
        <v>0.99822069999999996</v>
      </c>
      <c r="AB1424">
        <v>28</v>
      </c>
      <c r="AC1424">
        <v>17.179099999999899</v>
      </c>
      <c r="AD1424">
        <v>-1.1102887609180001</v>
      </c>
      <c r="AE1424">
        <v>-1.21949999999998</v>
      </c>
      <c r="AF1424">
        <v>1.0330729946503701</v>
      </c>
      <c r="AG1424">
        <v>-1.1102887609180001</v>
      </c>
      <c r="AH1424">
        <v>17.1199071407624</v>
      </c>
      <c r="AI1424">
        <v>93.703926257104001</v>
      </c>
      <c r="AJ1424">
        <v>86.546766614240198</v>
      </c>
      <c r="AK1424">
        <v>17.1869485788846</v>
      </c>
      <c r="AL1424">
        <v>79.658122135983405</v>
      </c>
      <c r="AM1424">
        <v>90.412642755418403</v>
      </c>
      <c r="AN1424">
        <v>1.0000000257877599</v>
      </c>
    </row>
    <row r="1425" spans="1:40" x14ac:dyDescent="0.25">
      <c r="A1425" t="str">
        <f>"20190312172113614"</f>
        <v>20190312172113614</v>
      </c>
      <c r="B1425" t="str">
        <f>"1552382473602013"</f>
        <v>1552382473602013</v>
      </c>
      <c r="C1425" t="s">
        <v>40</v>
      </c>
      <c r="D1425">
        <v>3.3501300000000001</v>
      </c>
      <c r="E1425">
        <v>0.5264934</v>
      </c>
      <c r="F1425" t="s">
        <v>41</v>
      </c>
      <c r="G1425">
        <v>-236.52709999999999</v>
      </c>
      <c r="H1425">
        <v>1.048781</v>
      </c>
      <c r="I1425">
        <v>367.27190000000002</v>
      </c>
      <c r="J1425">
        <v>-237.32740000000001</v>
      </c>
      <c r="K1425">
        <v>1.110282</v>
      </c>
      <c r="L1425">
        <v>367.33760000000001</v>
      </c>
      <c r="M1425">
        <v>0.9998631</v>
      </c>
      <c r="N1425">
        <v>0</v>
      </c>
      <c r="O1425">
        <v>-1.059705E-2</v>
      </c>
      <c r="P1425">
        <v>0.98594680000000001</v>
      </c>
      <c r="Q1425">
        <v>0.16702259999999999</v>
      </c>
      <c r="R1425">
        <v>-3.5783590000000001E-3</v>
      </c>
      <c r="S1425">
        <v>3.0753629999999998</v>
      </c>
      <c r="T1425">
        <v>-0.19721340000000001</v>
      </c>
      <c r="U1425">
        <v>-0.21640010000000001</v>
      </c>
      <c r="V1425">
        <v>-6.8639410000000001E-3</v>
      </c>
      <c r="W1425">
        <v>0.17954709999999999</v>
      </c>
      <c r="X1425">
        <v>0.98372539999999997</v>
      </c>
      <c r="Y1425">
        <v>5.9516499999999903E-2</v>
      </c>
      <c r="Z1425">
        <v>-1.225994E-3</v>
      </c>
      <c r="AA1425">
        <v>0.99822659999999996</v>
      </c>
      <c r="AB1425">
        <v>28</v>
      </c>
      <c r="AC1425">
        <v>0.80030000000002099</v>
      </c>
      <c r="AD1425">
        <v>-6.1501E-2</v>
      </c>
      <c r="AE1425">
        <v>-6.5699999999992501E-2</v>
      </c>
      <c r="AF1425">
        <v>5.6881141924543098E-2</v>
      </c>
      <c r="AG1425">
        <v>-6.1501E-2</v>
      </c>
      <c r="AH1425">
        <v>0.79628036206615505</v>
      </c>
      <c r="AI1425">
        <v>94.405311200358298</v>
      </c>
      <c r="AJ1425">
        <v>85.914098782199602</v>
      </c>
      <c r="AK1425">
        <v>0.80067487304139096</v>
      </c>
      <c r="AL1425">
        <v>79.6566188925799</v>
      </c>
      <c r="AM1425">
        <v>90.399774640420006</v>
      </c>
      <c r="AN1425">
        <v>0.99999996870481</v>
      </c>
    </row>
    <row r="1426" spans="1:40" x14ac:dyDescent="0.25">
      <c r="A1426" t="str">
        <f>"20190312172113626"</f>
        <v>20190312172113626</v>
      </c>
      <c r="B1426" t="str">
        <f>"1552382473622509"</f>
        <v>1552382473622509</v>
      </c>
      <c r="C1426" t="s">
        <v>40</v>
      </c>
      <c r="D1426">
        <v>3.3806799999999999</v>
      </c>
      <c r="E1426">
        <v>0.52642690000000003</v>
      </c>
      <c r="F1426" t="s">
        <v>42</v>
      </c>
      <c r="G1426">
        <v>-220.00120000000001</v>
      </c>
      <c r="H1426" s="1">
        <v>-4.8925930000000004E-6</v>
      </c>
      <c r="I1426">
        <v>366.11649999999997</v>
      </c>
      <c r="J1426">
        <v>-237.18729999999999</v>
      </c>
      <c r="K1426">
        <v>1.1102780000000001</v>
      </c>
      <c r="L1426">
        <v>367.33620000000002</v>
      </c>
      <c r="M1426">
        <v>0.99986339999999996</v>
      </c>
      <c r="N1426">
        <v>0</v>
      </c>
      <c r="O1426">
        <v>-1.059705E-2</v>
      </c>
      <c r="P1426">
        <v>0.98588819999999999</v>
      </c>
      <c r="Q1426">
        <v>0.16736909999999999</v>
      </c>
      <c r="R1426">
        <v>-3.5292420000000001E-3</v>
      </c>
      <c r="S1426">
        <v>3.0753940000000002</v>
      </c>
      <c r="T1426">
        <v>-0.1970749</v>
      </c>
      <c r="U1426">
        <v>-0.21673580000000001</v>
      </c>
      <c r="V1426">
        <v>-6.9127750000000003E-3</v>
      </c>
      <c r="W1426">
        <v>0.17987359999999999</v>
      </c>
      <c r="X1426">
        <v>0.98366549999999997</v>
      </c>
      <c r="Y1426">
        <v>5.9624150000000001E-2</v>
      </c>
      <c r="Z1426">
        <v>-1.2285600000000001E-3</v>
      </c>
      <c r="AA1426">
        <v>0.99822010000000005</v>
      </c>
      <c r="AB1426">
        <v>28</v>
      </c>
      <c r="AC1426">
        <v>17.1860999999999</v>
      </c>
      <c r="AD1426">
        <v>-1.1102828925929999</v>
      </c>
      <c r="AE1426">
        <v>-1.21970000000004</v>
      </c>
      <c r="AF1426">
        <v>1.0332043007220899</v>
      </c>
      <c r="AG1426">
        <v>-1.1102828925929999</v>
      </c>
      <c r="AH1426">
        <v>17.126938045957498</v>
      </c>
      <c r="AI1426">
        <v>93.702394243532197</v>
      </c>
      <c r="AJ1426">
        <v>86.547743124539295</v>
      </c>
      <c r="AK1426">
        <v>17.193959580581801</v>
      </c>
      <c r="AL1426">
        <v>79.637603147006999</v>
      </c>
      <c r="AM1426">
        <v>90.402643288977799</v>
      </c>
      <c r="AN1426">
        <v>1.0000000571626999</v>
      </c>
    </row>
    <row r="1427" spans="1:40" x14ac:dyDescent="0.25">
      <c r="A1427" t="str">
        <f>"20190312172113637"</f>
        <v>20190312172113637</v>
      </c>
      <c r="B1427" t="str">
        <f>"1552382473632268"</f>
        <v>1552382473632268</v>
      </c>
      <c r="C1427" t="s">
        <v>40</v>
      </c>
      <c r="D1427">
        <v>3.3742679999999998</v>
      </c>
      <c r="E1427">
        <v>0.52640629999999999</v>
      </c>
      <c r="F1427" t="s">
        <v>41</v>
      </c>
      <c r="G1427">
        <v>-236.27170000000001</v>
      </c>
      <c r="H1427">
        <v>1.051895</v>
      </c>
      <c r="I1427">
        <v>367.27170000000001</v>
      </c>
      <c r="J1427">
        <v>-237.03960000000001</v>
      </c>
      <c r="K1427">
        <v>1.110276</v>
      </c>
      <c r="L1427">
        <v>367.33460000000002</v>
      </c>
      <c r="M1427">
        <v>0.99986350000000002</v>
      </c>
      <c r="N1427">
        <v>0</v>
      </c>
      <c r="O1427">
        <v>-1.0596909999999999E-2</v>
      </c>
      <c r="P1427">
        <v>0.98589610000000005</v>
      </c>
      <c r="Q1427">
        <v>0.16731960000000001</v>
      </c>
      <c r="R1427">
        <v>-3.6351080000000002E-3</v>
      </c>
      <c r="S1427">
        <v>3.0754999999999999</v>
      </c>
      <c r="T1427">
        <v>-0.19634660000000001</v>
      </c>
      <c r="U1427">
        <v>-0.21606449999999999</v>
      </c>
      <c r="V1427">
        <v>-6.807329E-3</v>
      </c>
      <c r="W1427">
        <v>0.17980279999999901</v>
      </c>
      <c r="X1427">
        <v>0.98367910000000003</v>
      </c>
      <c r="Y1427">
        <v>5.9406199999999999E-2</v>
      </c>
      <c r="Z1427">
        <v>-1.217063E-3</v>
      </c>
      <c r="AA1427">
        <v>0.99823309999999998</v>
      </c>
      <c r="AB1427">
        <v>28</v>
      </c>
      <c r="AC1427">
        <v>0.76789999999999703</v>
      </c>
      <c r="AD1427">
        <v>-5.8381000000000002E-2</v>
      </c>
      <c r="AE1427">
        <v>-6.2900000000013195E-2</v>
      </c>
      <c r="AF1427">
        <v>5.44458428069391E-2</v>
      </c>
      <c r="AG1427">
        <v>-5.8381000000000002E-2</v>
      </c>
      <c r="AH1427">
        <v>0.76413614571570998</v>
      </c>
      <c r="AI1427">
        <v>94.3579792790037</v>
      </c>
      <c r="AJ1427">
        <v>85.9244775747094</v>
      </c>
      <c r="AK1427">
        <v>0.76829469616106205</v>
      </c>
      <c r="AL1427">
        <v>79.6417261046184</v>
      </c>
      <c r="AM1427">
        <v>90.396496169749199</v>
      </c>
      <c r="AN1427">
        <v>0.99999997919638195</v>
      </c>
    </row>
    <row r="1428" spans="1:40" x14ac:dyDescent="0.25">
      <c r="A1428" t="str">
        <f>"20190312172113648"</f>
        <v>20190312172113648</v>
      </c>
      <c r="B1428" t="str">
        <f>"1552382473642029"</f>
        <v>1552382473642029</v>
      </c>
      <c r="C1428" t="s">
        <v>40</v>
      </c>
      <c r="D1428">
        <v>3.400595</v>
      </c>
      <c r="E1428">
        <v>0.52639769999999997</v>
      </c>
      <c r="F1428" t="s">
        <v>42</v>
      </c>
      <c r="G1428">
        <v>-219.6574</v>
      </c>
      <c r="H1428" s="1">
        <v>-1.0354089999999999E-6</v>
      </c>
      <c r="I1428">
        <v>366.11079999999998</v>
      </c>
      <c r="J1428">
        <v>-236.9008</v>
      </c>
      <c r="K1428">
        <v>1.110274</v>
      </c>
      <c r="L1428">
        <v>367.3331</v>
      </c>
      <c r="M1428">
        <v>0.99986390000000003</v>
      </c>
      <c r="N1428">
        <v>0</v>
      </c>
      <c r="O1428">
        <v>-1.059714E-2</v>
      </c>
      <c r="P1428">
        <v>0.98585440000000002</v>
      </c>
      <c r="Q1428">
        <v>0.1675632</v>
      </c>
      <c r="R1428">
        <v>-3.7355589999999998E-3</v>
      </c>
      <c r="S1428">
        <v>3.0754389999999998</v>
      </c>
      <c r="T1428">
        <v>-0.19644130000000001</v>
      </c>
      <c r="U1428">
        <v>-0.2165222</v>
      </c>
      <c r="V1428">
        <v>-6.7062040000000003E-3</v>
      </c>
      <c r="W1428">
        <v>0.18002560000000001</v>
      </c>
      <c r="X1428">
        <v>0.98363909999999999</v>
      </c>
      <c r="Y1428">
        <v>5.9554820000000001E-2</v>
      </c>
      <c r="Z1428">
        <v>-1.222388E-3</v>
      </c>
      <c r="AA1428">
        <v>0.99822429999999995</v>
      </c>
      <c r="AB1428">
        <v>28</v>
      </c>
      <c r="AC1428">
        <v>17.243400000000001</v>
      </c>
      <c r="AD1428">
        <v>-1.1102750354090001</v>
      </c>
      <c r="AE1428">
        <v>-1.2223000000000099</v>
      </c>
      <c r="AF1428">
        <v>1.03521561349073</v>
      </c>
      <c r="AG1428">
        <v>-1.1102750354090001</v>
      </c>
      <c r="AH1428">
        <v>17.1844970833533</v>
      </c>
      <c r="AI1428">
        <v>93.690020238419905</v>
      </c>
      <c r="AJ1428">
        <v>86.552596717633506</v>
      </c>
      <c r="AK1428">
        <v>17.2514150732178</v>
      </c>
      <c r="AL1428">
        <v>79.628749424974998</v>
      </c>
      <c r="AM1428">
        <v>90.390622162730097</v>
      </c>
      <c r="AN1428">
        <v>1.0000000344381199</v>
      </c>
    </row>
    <row r="1429" spans="1:40" x14ac:dyDescent="0.25">
      <c r="A1429" t="str">
        <f>"20190312172113659"</f>
        <v>20190312172113659</v>
      </c>
      <c r="B1429" t="str">
        <f>"1552382473652764"</f>
        <v>1552382473652764</v>
      </c>
      <c r="C1429" t="s">
        <v>40</v>
      </c>
      <c r="D1429">
        <v>3.366555</v>
      </c>
      <c r="E1429">
        <v>0.52637979999999995</v>
      </c>
      <c r="F1429" t="s">
        <v>41</v>
      </c>
      <c r="G1429">
        <v>-236.0078</v>
      </c>
      <c r="H1429">
        <v>1.0535079999999999</v>
      </c>
      <c r="I1429">
        <v>367.27010000000001</v>
      </c>
      <c r="J1429">
        <v>-236.7593</v>
      </c>
      <c r="K1429">
        <v>1.1102719999999999</v>
      </c>
      <c r="L1429">
        <v>367.33159999999998</v>
      </c>
      <c r="M1429">
        <v>0.99986419999999998</v>
      </c>
      <c r="N1429">
        <v>0</v>
      </c>
      <c r="O1429">
        <v>-1.0597000000000001E-2</v>
      </c>
      <c r="P1429">
        <v>0.98587570000000002</v>
      </c>
      <c r="Q1429">
        <v>0.16743529999999901</v>
      </c>
      <c r="R1429">
        <v>-3.8571539999999998E-3</v>
      </c>
      <c r="S1429">
        <v>3.0754700000000001</v>
      </c>
      <c r="T1429">
        <v>-0.1955519</v>
      </c>
      <c r="U1429">
        <v>-0.2168274</v>
      </c>
      <c r="V1429">
        <v>-6.5849069999999897E-3</v>
      </c>
      <c r="W1429">
        <v>0.17987639999999999</v>
      </c>
      <c r="X1429">
        <v>0.98366719999999996</v>
      </c>
      <c r="Y1429">
        <v>5.9653520000000002E-2</v>
      </c>
      <c r="Z1429">
        <v>-1.219988E-3</v>
      </c>
      <c r="AA1429">
        <v>0.99821839999999995</v>
      </c>
      <c r="AB1429">
        <v>28</v>
      </c>
      <c r="AC1429">
        <v>0.75149999999999195</v>
      </c>
      <c r="AD1429">
        <v>-5.6764000000000002E-2</v>
      </c>
      <c r="AE1429">
        <v>-6.1499999999966803E-2</v>
      </c>
      <c r="AF1429">
        <v>5.3230583730223803E-2</v>
      </c>
      <c r="AG1429">
        <v>-5.6764000000000002E-2</v>
      </c>
      <c r="AH1429">
        <v>0.747871028204247</v>
      </c>
      <c r="AI1429">
        <v>94.329561283966299</v>
      </c>
      <c r="AJ1429">
        <v>85.928772498297405</v>
      </c>
      <c r="AK1429">
        <v>0.75190871890644895</v>
      </c>
      <c r="AL1429">
        <v>79.637439672739902</v>
      </c>
      <c r="AM1429">
        <v>90.383546126127698</v>
      </c>
      <c r="AN1429">
        <v>1.00000002031649</v>
      </c>
    </row>
    <row r="1430" spans="1:40" x14ac:dyDescent="0.25">
      <c r="A1430" t="str">
        <f>"20190312172113669"</f>
        <v>20190312172113669</v>
      </c>
      <c r="B1430" t="str">
        <f>"1552382473662525"</f>
        <v>1552382473662525</v>
      </c>
      <c r="C1430" t="s">
        <v>40</v>
      </c>
      <c r="D1430">
        <v>3.3544200000000002</v>
      </c>
      <c r="E1430">
        <v>0.52636619999999901</v>
      </c>
      <c r="F1430" t="s">
        <v>42</v>
      </c>
      <c r="G1430">
        <v>-219.3492</v>
      </c>
      <c r="H1430" s="1">
        <v>-1.142228E-6</v>
      </c>
      <c r="I1430">
        <v>366.10359999999997</v>
      </c>
      <c r="J1430">
        <v>-236.63929999999999</v>
      </c>
      <c r="K1430">
        <v>1.110269</v>
      </c>
      <c r="L1430">
        <v>367.33030000000002</v>
      </c>
      <c r="M1430">
        <v>0.99986430000000004</v>
      </c>
      <c r="N1430">
        <v>0</v>
      </c>
      <c r="O1430">
        <v>-1.059712E-2</v>
      </c>
      <c r="P1430">
        <v>0.98584899999999998</v>
      </c>
      <c r="Q1430">
        <v>0.1675874</v>
      </c>
      <c r="R1430">
        <v>-4.042024E-3</v>
      </c>
      <c r="S1430">
        <v>3.0754549999999998</v>
      </c>
      <c r="T1430">
        <v>-0.19612660000000001</v>
      </c>
      <c r="U1430">
        <v>-0.2169189</v>
      </c>
      <c r="V1430">
        <v>-6.399943E-3</v>
      </c>
      <c r="W1430">
        <v>0.18000959999999999</v>
      </c>
      <c r="X1430">
        <v>0.98364399999999996</v>
      </c>
      <c r="Y1430">
        <v>5.9682680000000002E-2</v>
      </c>
      <c r="Z1430">
        <v>-1.2244910000000001E-3</v>
      </c>
      <c r="AA1430">
        <v>0.99821660000000001</v>
      </c>
      <c r="AB1430">
        <v>28</v>
      </c>
      <c r="AC1430">
        <v>17.290099999999899</v>
      </c>
      <c r="AD1430">
        <v>-1.1102701422279999</v>
      </c>
      <c r="AE1430">
        <v>-1.2267000000000501</v>
      </c>
      <c r="AF1430">
        <v>1.0391279208494499</v>
      </c>
      <c r="AG1430">
        <v>-1.1102701422279999</v>
      </c>
      <c r="AH1430">
        <v>17.2314321668171</v>
      </c>
      <c r="AI1430">
        <v>93.679966944853504</v>
      </c>
      <c r="AJ1430">
        <v>86.549002471727604</v>
      </c>
      <c r="AK1430">
        <v>17.298402849518499</v>
      </c>
      <c r="AL1430">
        <v>79.629680675864293</v>
      </c>
      <c r="AM1430">
        <v>90.372781767417393</v>
      </c>
      <c r="AN1430">
        <v>0.99999996704928096</v>
      </c>
    </row>
    <row r="1431" spans="1:40" x14ac:dyDescent="0.25">
      <c r="A1431" t="str">
        <f>"20190312172113681"</f>
        <v>20190312172113681</v>
      </c>
      <c r="B1431" t="str">
        <f>"1552382473672726"</f>
        <v>1552382473672726</v>
      </c>
      <c r="C1431" t="s">
        <v>40</v>
      </c>
      <c r="D1431">
        <v>3.3720859999999999</v>
      </c>
      <c r="E1431">
        <v>0.52634669999999995</v>
      </c>
      <c r="F1431" t="s">
        <v>42</v>
      </c>
      <c r="G1431">
        <v>-219.20079999999999</v>
      </c>
      <c r="H1431" s="1">
        <v>-1.194378E-6</v>
      </c>
      <c r="I1431">
        <v>366.09739999999999</v>
      </c>
      <c r="J1431">
        <v>-236.4812</v>
      </c>
      <c r="K1431">
        <v>1.110263</v>
      </c>
      <c r="L1431">
        <v>367.32859999999999</v>
      </c>
      <c r="M1431">
        <v>0.9998648</v>
      </c>
      <c r="N1431">
        <v>0</v>
      </c>
      <c r="O1431">
        <v>-1.0597209999999999E-2</v>
      </c>
      <c r="P1431">
        <v>0.98583790000000004</v>
      </c>
      <c r="Q1431">
        <v>0.16765439999999901</v>
      </c>
      <c r="R1431">
        <v>-3.9892449999999998E-3</v>
      </c>
      <c r="S1431">
        <v>3.0754700000000001</v>
      </c>
      <c r="T1431">
        <v>-0.19580700000000001</v>
      </c>
      <c r="U1431">
        <v>-0.21743770000000001</v>
      </c>
      <c r="V1431">
        <v>-6.4519529999999999E-3</v>
      </c>
      <c r="W1431">
        <v>0.18005280000000001</v>
      </c>
      <c r="X1431">
        <v>0.98363579999999995</v>
      </c>
      <c r="Y1431">
        <v>5.9849810000000003E-2</v>
      </c>
      <c r="Z1431">
        <v>-1.2277900000000001E-3</v>
      </c>
      <c r="AA1431">
        <v>0.99820660000000005</v>
      </c>
      <c r="AB1431">
        <v>28</v>
      </c>
      <c r="AC1431">
        <v>17.2804</v>
      </c>
      <c r="AD1431">
        <v>-1.1102641943780001</v>
      </c>
      <c r="AE1431">
        <v>-1.2312000000000001</v>
      </c>
      <c r="AF1431">
        <v>1.0437056414247501</v>
      </c>
      <c r="AG1431">
        <v>-1.1102641943780001</v>
      </c>
      <c r="AH1431">
        <v>17.2217446531041</v>
      </c>
      <c r="AI1431">
        <v>93.681945330967096</v>
      </c>
      <c r="AJ1431">
        <v>86.531891593459093</v>
      </c>
      <c r="AK1431">
        <v>17.2890282243965</v>
      </c>
      <c r="AL1431">
        <v>79.627164863599603</v>
      </c>
      <c r="AM1431">
        <v>90.375814275020801</v>
      </c>
      <c r="AN1431">
        <v>1.00000001276349</v>
      </c>
    </row>
    <row r="1432" spans="1:40" x14ac:dyDescent="0.25">
      <c r="A1432" t="str">
        <f>"20190312172113691"</f>
        <v>20190312172113691</v>
      </c>
      <c r="B1432" t="str">
        <f>"1552382473682486"</f>
        <v>1552382473682486</v>
      </c>
      <c r="C1432" t="s">
        <v>40</v>
      </c>
      <c r="D1432">
        <v>3.3668110000000002</v>
      </c>
      <c r="E1432">
        <v>0.52634250000000005</v>
      </c>
      <c r="F1432" t="s">
        <v>41</v>
      </c>
      <c r="G1432">
        <v>-235.51769999999999</v>
      </c>
      <c r="H1432">
        <v>1.048991</v>
      </c>
      <c r="I1432">
        <v>367.26060000000001</v>
      </c>
      <c r="J1432">
        <v>-236.3518</v>
      </c>
      <c r="K1432">
        <v>1.1102609999999999</v>
      </c>
      <c r="L1432">
        <v>367.32729999999998</v>
      </c>
      <c r="M1432">
        <v>0.99986489999999995</v>
      </c>
      <c r="N1432">
        <v>0</v>
      </c>
      <c r="O1432">
        <v>-1.0596970000000001E-2</v>
      </c>
      <c r="P1432">
        <v>0.98583229999999999</v>
      </c>
      <c r="Q1432">
        <v>0.1676831</v>
      </c>
      <c r="R1432">
        <v>-4.1449950000000003E-3</v>
      </c>
      <c r="S1432">
        <v>3.075485</v>
      </c>
      <c r="T1432">
        <v>-0.19570389999999999</v>
      </c>
      <c r="U1432">
        <v>-0.2168274</v>
      </c>
      <c r="V1432">
        <v>-6.2966910000000001E-3</v>
      </c>
      <c r="W1432">
        <v>0.18006259999999999</v>
      </c>
      <c r="X1432">
        <v>0.98363500000000004</v>
      </c>
      <c r="Y1432">
        <v>5.9653060000000001E-2</v>
      </c>
      <c r="Z1432">
        <v>-1.220917E-3</v>
      </c>
      <c r="AA1432">
        <v>0.99821839999999995</v>
      </c>
      <c r="AB1432">
        <v>28</v>
      </c>
      <c r="AC1432">
        <v>0.83410000000000595</v>
      </c>
      <c r="AD1432">
        <v>-6.1270000000000102E-2</v>
      </c>
      <c r="AE1432">
        <v>-6.6699999999968895E-2</v>
      </c>
      <c r="AF1432">
        <v>5.7548076218139198E-2</v>
      </c>
      <c r="AG1432">
        <v>-6.1270000000000102E-2</v>
      </c>
      <c r="AH1432">
        <v>0.83030828397831802</v>
      </c>
      <c r="AI1432">
        <v>94.210249547902905</v>
      </c>
      <c r="AJ1432">
        <v>86.035210842952495</v>
      </c>
      <c r="AK1432">
        <v>0.83455235930373295</v>
      </c>
      <c r="AL1432">
        <v>79.626593909176293</v>
      </c>
      <c r="AM1432">
        <v>90.366771100378202</v>
      </c>
      <c r="AN1432">
        <v>1.00000000073065</v>
      </c>
    </row>
    <row r="1433" spans="1:40" x14ac:dyDescent="0.25">
      <c r="A1433" t="str">
        <f>"20190312172113702"</f>
        <v>20190312172113702</v>
      </c>
      <c r="B1433" t="str">
        <f>"1552382473692246"</f>
        <v>1552382473692246</v>
      </c>
      <c r="C1433" t="s">
        <v>40</v>
      </c>
      <c r="D1433">
        <v>3.4095949999999902</v>
      </c>
      <c r="E1433">
        <v>0.52633790000000003</v>
      </c>
      <c r="F1433" t="s">
        <v>42</v>
      </c>
      <c r="G1433">
        <v>-218.90549999999999</v>
      </c>
      <c r="H1433" s="1">
        <v>-1.2958839999999999E-6</v>
      </c>
      <c r="I1433">
        <v>366.09359999999998</v>
      </c>
      <c r="J1433">
        <v>-236.2175</v>
      </c>
      <c r="K1433">
        <v>1.110257</v>
      </c>
      <c r="L1433">
        <v>367.32589999999999</v>
      </c>
      <c r="M1433">
        <v>0.99986509999999995</v>
      </c>
      <c r="N1433">
        <v>0</v>
      </c>
      <c r="O1433">
        <v>-1.0596970000000001E-2</v>
      </c>
      <c r="P1433">
        <v>0.98584459999999996</v>
      </c>
      <c r="Q1433">
        <v>0.1676107</v>
      </c>
      <c r="R1433">
        <v>-4.192734E-3</v>
      </c>
      <c r="S1433">
        <v>3.075485</v>
      </c>
      <c r="T1433">
        <v>-0.19571910000000001</v>
      </c>
      <c r="U1433">
        <v>-0.2174683</v>
      </c>
      <c r="V1433">
        <v>-6.2489569999999899E-3</v>
      </c>
      <c r="W1433">
        <v>0.17997170000000001</v>
      </c>
      <c r="X1433">
        <v>0.98365190000000002</v>
      </c>
      <c r="Y1433">
        <v>5.9859610000000001E-2</v>
      </c>
      <c r="Z1433">
        <v>-1.2275599999999999E-3</v>
      </c>
      <c r="AA1433">
        <v>0.99820609999999999</v>
      </c>
      <c r="AB1433">
        <v>28</v>
      </c>
      <c r="AC1433">
        <v>17.312000000000001</v>
      </c>
      <c r="AD1433">
        <v>-1.1102582958839999</v>
      </c>
      <c r="AE1433">
        <v>-1.2323</v>
      </c>
      <c r="AF1433">
        <v>1.0444873355445901</v>
      </c>
      <c r="AG1433">
        <v>-1.1102582958839999</v>
      </c>
      <c r="AH1433">
        <v>17.253482473960499</v>
      </c>
      <c r="AI1433">
        <v>93.675186129187097</v>
      </c>
      <c r="AJ1433">
        <v>86.535669261402404</v>
      </c>
      <c r="AK1433">
        <v>17.320689500044601</v>
      </c>
      <c r="AL1433">
        <v>79.631888179128595</v>
      </c>
      <c r="AM1433">
        <v>90.36398450099</v>
      </c>
      <c r="AN1433">
        <v>0.99999996131904301</v>
      </c>
    </row>
    <row r="1434" spans="1:40" x14ac:dyDescent="0.25">
      <c r="A1434" t="str">
        <f>"20190312172113713"</f>
        <v>20190312172113713</v>
      </c>
      <c r="B1434" t="str">
        <f>"1552382473702006"</f>
        <v>1552382473702006</v>
      </c>
      <c r="C1434" t="s">
        <v>40</v>
      </c>
      <c r="D1434">
        <v>3.3859780000000002</v>
      </c>
      <c r="E1434">
        <v>0.52634759999999903</v>
      </c>
      <c r="F1434" t="s">
        <v>41</v>
      </c>
      <c r="G1434">
        <v>-235.26490000000001</v>
      </c>
      <c r="H1434">
        <v>1.0495429999999999</v>
      </c>
      <c r="I1434">
        <v>367.25850000000003</v>
      </c>
      <c r="J1434">
        <v>-236.07810000000001</v>
      </c>
      <c r="K1434">
        <v>1.1102540000000001</v>
      </c>
      <c r="L1434">
        <v>367.32429999999999</v>
      </c>
      <c r="M1434">
        <v>0.99986540000000002</v>
      </c>
      <c r="N1434">
        <v>0</v>
      </c>
      <c r="O1434">
        <v>-1.059685E-2</v>
      </c>
      <c r="P1434">
        <v>0.98583160000000003</v>
      </c>
      <c r="Q1434">
        <v>0.16768849999999999</v>
      </c>
      <c r="R1434">
        <v>-4.1154059999999899E-3</v>
      </c>
      <c r="S1434">
        <v>3.0754700000000001</v>
      </c>
      <c r="T1434">
        <v>-0.1961743</v>
      </c>
      <c r="U1434">
        <v>-0.21713260000000001</v>
      </c>
      <c r="V1434">
        <v>-6.3258100000000003E-3</v>
      </c>
      <c r="W1434">
        <v>0.18003069999999999</v>
      </c>
      <c r="X1434">
        <v>0.98364070000000003</v>
      </c>
      <c r="Y1434">
        <v>5.975142E-2</v>
      </c>
      <c r="Z1434">
        <v>-1.226984E-3</v>
      </c>
      <c r="AA1434">
        <v>0.99821249999999995</v>
      </c>
      <c r="AB1434">
        <v>28</v>
      </c>
      <c r="AC1434">
        <v>0.81319999999999404</v>
      </c>
      <c r="AD1434">
        <v>-6.0710999999999897E-2</v>
      </c>
      <c r="AE1434">
        <v>-6.5799999999967398E-2</v>
      </c>
      <c r="AF1434">
        <v>5.6863395036135099E-2</v>
      </c>
      <c r="AG1434">
        <v>-6.0710999999999897E-2</v>
      </c>
      <c r="AH1434">
        <v>0.809369856103339</v>
      </c>
      <c r="AI1434">
        <v>94.279226128031496</v>
      </c>
      <c r="AJ1434">
        <v>85.981209536187905</v>
      </c>
      <c r="AK1434">
        <v>0.81363310846153203</v>
      </c>
      <c r="AL1434">
        <v>79.628452502600794</v>
      </c>
      <c r="AM1434">
        <v>90.368465048772194</v>
      </c>
      <c r="AN1434">
        <v>1.00000004775556</v>
      </c>
    </row>
    <row r="1435" spans="1:40" x14ac:dyDescent="0.25">
      <c r="A1435" t="str">
        <f>"20190312172113725"</f>
        <v>20190312172113725</v>
      </c>
      <c r="B1435" t="str">
        <f>"1552382473722501"</f>
        <v>1552382473722501</v>
      </c>
      <c r="C1435" t="s">
        <v>40</v>
      </c>
      <c r="D1435">
        <v>3.38497</v>
      </c>
      <c r="E1435">
        <v>0.52634639999999999</v>
      </c>
      <c r="F1435" t="s">
        <v>42</v>
      </c>
      <c r="G1435">
        <v>-218.68219999999999</v>
      </c>
      <c r="H1435" s="1">
        <v>-1.371357E-6</v>
      </c>
      <c r="I1435">
        <v>366.09550000000002</v>
      </c>
      <c r="J1435">
        <v>-235.9392</v>
      </c>
      <c r="K1435">
        <v>1.110255</v>
      </c>
      <c r="L1435">
        <v>367.3229</v>
      </c>
      <c r="M1435">
        <v>0.99986569999999997</v>
      </c>
      <c r="N1435">
        <v>0</v>
      </c>
      <c r="O1435">
        <v>-1.0596970000000001E-2</v>
      </c>
      <c r="P1435">
        <v>0.98582550000000002</v>
      </c>
      <c r="Q1435">
        <v>0.16772490000000001</v>
      </c>
      <c r="R1435">
        <v>-4.1104940000000001E-3</v>
      </c>
      <c r="S1435">
        <v>3.0755919999999999</v>
      </c>
      <c r="T1435">
        <v>-0.1962923</v>
      </c>
      <c r="U1435">
        <v>-0.21725459999999999</v>
      </c>
      <c r="V1435">
        <v>-6.3304800000000003E-3</v>
      </c>
      <c r="W1435">
        <v>0.18004809999999999</v>
      </c>
      <c r="X1435">
        <v>0.98363750000000005</v>
      </c>
      <c r="Y1435">
        <v>5.9787769999999997E-2</v>
      </c>
      <c r="Z1435">
        <v>-1.2288209999999999E-3</v>
      </c>
      <c r="AA1435">
        <v>0.99821040000000005</v>
      </c>
      <c r="AB1435">
        <v>28</v>
      </c>
      <c r="AC1435">
        <v>17.257000000000001</v>
      </c>
      <c r="AD1435">
        <v>-1.1102563713569999</v>
      </c>
      <c r="AE1435">
        <v>-1.2273999999999801</v>
      </c>
      <c r="AF1435">
        <v>1.0401611083395601</v>
      </c>
      <c r="AG1435">
        <v>-1.1102563713569999</v>
      </c>
      <c r="AH1435">
        <v>17.1982101609983</v>
      </c>
      <c r="AI1435">
        <v>93.686971325442798</v>
      </c>
      <c r="AJ1435">
        <v>86.538922764508399</v>
      </c>
      <c r="AK1435">
        <v>17.2653710381012</v>
      </c>
      <c r="AL1435">
        <v>79.627439147800899</v>
      </c>
      <c r="AM1435">
        <v>90.368738258437304</v>
      </c>
      <c r="AN1435">
        <v>1.00000006234844</v>
      </c>
    </row>
    <row r="1436" spans="1:40" x14ac:dyDescent="0.25">
      <c r="A1436" t="str">
        <f>"20190312172113736"</f>
        <v>20190312172113736</v>
      </c>
      <c r="B1436" t="str">
        <f>"1552382473732262"</f>
        <v>1552382473732262</v>
      </c>
      <c r="C1436" t="s">
        <v>40</v>
      </c>
      <c r="D1436">
        <v>3.380379</v>
      </c>
      <c r="E1436">
        <v>0.52635559999999904</v>
      </c>
      <c r="F1436" t="s">
        <v>41</v>
      </c>
      <c r="G1436">
        <v>-235.0112</v>
      </c>
      <c r="H1436">
        <v>1.051072</v>
      </c>
      <c r="I1436">
        <v>367.25720000000001</v>
      </c>
      <c r="J1436">
        <v>-235.79220000000001</v>
      </c>
      <c r="K1436">
        <v>1.110252</v>
      </c>
      <c r="L1436">
        <v>367.32130000000001</v>
      </c>
      <c r="M1436">
        <v>0.99986589999999997</v>
      </c>
      <c r="N1436">
        <v>0</v>
      </c>
      <c r="O1436">
        <v>-1.059684E-2</v>
      </c>
      <c r="P1436">
        <v>0.98586419999999997</v>
      </c>
      <c r="Q1436">
        <v>0.16749739999999999</v>
      </c>
      <c r="R1436">
        <v>-4.1038699999999999E-3</v>
      </c>
      <c r="S1436">
        <v>3.0756230000000002</v>
      </c>
      <c r="T1436">
        <v>-0.1962634</v>
      </c>
      <c r="U1436">
        <v>-0.2172241</v>
      </c>
      <c r="V1436">
        <v>-6.3378059999999996E-3</v>
      </c>
      <c r="W1436">
        <v>0.17980090000000001</v>
      </c>
      <c r="X1436">
        <v>0.98368259999999996</v>
      </c>
      <c r="Y1436">
        <v>5.9777400000000001E-2</v>
      </c>
      <c r="Z1436">
        <v>-1.228308E-3</v>
      </c>
      <c r="AA1436">
        <v>0.99821099999999996</v>
      </c>
      <c r="AB1436">
        <v>28</v>
      </c>
      <c r="AC1436">
        <v>0.78100000000000502</v>
      </c>
      <c r="AD1436">
        <v>-5.9180000000000003E-2</v>
      </c>
      <c r="AE1436">
        <v>-6.4099999999996202E-2</v>
      </c>
      <c r="AF1436">
        <v>5.55030681602618E-2</v>
      </c>
      <c r="AG1436">
        <v>-5.9180000000000003E-2</v>
      </c>
      <c r="AH1436">
        <v>0.77720277052336395</v>
      </c>
      <c r="AI1436">
        <v>94.343357883604398</v>
      </c>
      <c r="AJ1436">
        <v>85.915220501672295</v>
      </c>
      <c r="AK1436">
        <v>0.78142626618536104</v>
      </c>
      <c r="AL1436">
        <v>79.641836930236494</v>
      </c>
      <c r="AM1436">
        <v>90.369148046961399</v>
      </c>
      <c r="AN1436">
        <v>0.99999999448423105</v>
      </c>
    </row>
    <row r="1437" spans="1:40" x14ac:dyDescent="0.25">
      <c r="A1437" t="str">
        <f>"20190312172113746"</f>
        <v>20190312172113746</v>
      </c>
      <c r="B1437" t="str">
        <f>"1552382473742022"</f>
        <v>1552382473742022</v>
      </c>
      <c r="C1437" t="s">
        <v>40</v>
      </c>
      <c r="D1437">
        <v>3.4070170000000002</v>
      </c>
      <c r="E1437">
        <v>0.52636740000000004</v>
      </c>
      <c r="F1437" t="s">
        <v>42</v>
      </c>
      <c r="G1437">
        <v>-218.48570000000001</v>
      </c>
      <c r="H1437" s="1">
        <v>-1.4379079999999901E-6</v>
      </c>
      <c r="I1437">
        <v>366.0967</v>
      </c>
      <c r="J1437">
        <v>-235.6593</v>
      </c>
      <c r="K1437">
        <v>1.110249</v>
      </c>
      <c r="L1437">
        <v>367.31990000000002</v>
      </c>
      <c r="M1437">
        <v>0.99986589999999997</v>
      </c>
      <c r="N1437">
        <v>0</v>
      </c>
      <c r="O1437">
        <v>-1.059673E-2</v>
      </c>
      <c r="P1437">
        <v>0.98586130000000005</v>
      </c>
      <c r="Q1437">
        <v>0.16751160000000001</v>
      </c>
      <c r="R1437">
        <v>-4.1681959999999999E-3</v>
      </c>
      <c r="S1437">
        <v>3.0756380000000001</v>
      </c>
      <c r="T1437">
        <v>-0.1973085</v>
      </c>
      <c r="U1437">
        <v>-0.2176208</v>
      </c>
      <c r="V1437">
        <v>-6.2730819999999897E-3</v>
      </c>
      <c r="W1437">
        <v>0.17979619999999999</v>
      </c>
      <c r="X1437">
        <v>0.98368390000000006</v>
      </c>
      <c r="Y1437">
        <v>5.9903970000000001E-2</v>
      </c>
      <c r="Z1437">
        <v>-1.2388810000000001E-3</v>
      </c>
      <c r="AA1437">
        <v>0.99820339999999996</v>
      </c>
      <c r="AB1437">
        <v>28</v>
      </c>
      <c r="AC1437">
        <v>17.173599999999901</v>
      </c>
      <c r="AD1437">
        <v>-1.110250437908</v>
      </c>
      <c r="AE1437">
        <v>-1.2232000000000101</v>
      </c>
      <c r="AF1437">
        <v>1.03682164890609</v>
      </c>
      <c r="AG1437">
        <v>-1.110250437908</v>
      </c>
      <c r="AH1437">
        <v>17.114430654984599</v>
      </c>
      <c r="AI1437">
        <v>93.704927604709994</v>
      </c>
      <c r="AJ1437">
        <v>86.5331602432925</v>
      </c>
      <c r="AK1437">
        <v>17.181716788807599</v>
      </c>
      <c r="AL1437">
        <v>79.642110949917907</v>
      </c>
      <c r="AM1437">
        <v>90.365377791552902</v>
      </c>
      <c r="AN1437">
        <v>1.00000002010571</v>
      </c>
    </row>
    <row r="1438" spans="1:40" x14ac:dyDescent="0.25">
      <c r="A1438" t="str">
        <f>"20190312172113759"</f>
        <v>20190312172113759</v>
      </c>
      <c r="B1438" t="str">
        <f>"1552382473752758"</f>
        <v>1552382473752758</v>
      </c>
      <c r="C1438" t="s">
        <v>40</v>
      </c>
      <c r="D1438">
        <v>3.380579</v>
      </c>
      <c r="E1438">
        <v>0.5263774</v>
      </c>
      <c r="F1438" t="s">
        <v>41</v>
      </c>
      <c r="G1438">
        <v>-234.7577</v>
      </c>
      <c r="H1438">
        <v>1.0524020000000001</v>
      </c>
      <c r="I1438">
        <v>367.25599999999997</v>
      </c>
      <c r="J1438">
        <v>-235.4975</v>
      </c>
      <c r="K1438">
        <v>1.1102459999999901</v>
      </c>
      <c r="L1438">
        <v>367.31819999999999</v>
      </c>
      <c r="M1438">
        <v>0.99986649999999999</v>
      </c>
      <c r="N1438">
        <v>0</v>
      </c>
      <c r="O1438">
        <v>-1.0596700000000001E-2</v>
      </c>
      <c r="P1438">
        <v>0.98591589999999996</v>
      </c>
      <c r="Q1438">
        <v>0.16718720000000001</v>
      </c>
      <c r="R1438">
        <v>-4.3221099999999997E-3</v>
      </c>
      <c r="S1438">
        <v>3.0756679999999998</v>
      </c>
      <c r="T1438">
        <v>-0.19757369999999999</v>
      </c>
      <c r="U1438">
        <v>-0.21734619999999999</v>
      </c>
      <c r="V1438">
        <v>-6.1200940000000004E-3</v>
      </c>
      <c r="W1438">
        <v>0.1794491</v>
      </c>
      <c r="X1438">
        <v>0.98374819999999996</v>
      </c>
      <c r="Y1438">
        <v>5.9814520000000003E-2</v>
      </c>
      <c r="Z1438">
        <v>-1.23767E-3</v>
      </c>
      <c r="AA1438">
        <v>0.99820880000000001</v>
      </c>
      <c r="AB1438">
        <v>28</v>
      </c>
      <c r="AC1438">
        <v>0.73980000000000201</v>
      </c>
      <c r="AD1438">
        <v>-5.7843999999999701E-2</v>
      </c>
      <c r="AE1438">
        <v>-6.22000000000184E-2</v>
      </c>
      <c r="AF1438">
        <v>5.4028478908888802E-2</v>
      </c>
      <c r="AG1438">
        <v>-5.7843999999999701E-2</v>
      </c>
      <c r="AH1438">
        <v>0.735949993056077</v>
      </c>
      <c r="AI1438">
        <v>94.482066795414397</v>
      </c>
      <c r="AJ1438">
        <v>85.801262991565494</v>
      </c>
      <c r="AK1438">
        <v>0.74019416179030195</v>
      </c>
      <c r="AL1438">
        <v>79.662326678995598</v>
      </c>
      <c r="AM1438">
        <v>90.356443887453096</v>
      </c>
      <c r="AN1438">
        <v>0.999999978022309</v>
      </c>
    </row>
    <row r="1439" spans="1:40" x14ac:dyDescent="0.25">
      <c r="A1439" t="str">
        <f>"20190312172113771"</f>
        <v>20190312172113771</v>
      </c>
      <c r="B1439" t="str">
        <f>"1552382473762518"</f>
        <v>1552382473762518</v>
      </c>
      <c r="C1439" t="s">
        <v>40</v>
      </c>
      <c r="D1439">
        <v>3.3928419999999999</v>
      </c>
      <c r="E1439">
        <v>0.52637309999999904</v>
      </c>
      <c r="F1439" t="s">
        <v>42</v>
      </c>
      <c r="G1439">
        <v>-218.31989999999999</v>
      </c>
      <c r="H1439" s="1">
        <v>-1.492904E-6</v>
      </c>
      <c r="I1439">
        <v>366.10210000000001</v>
      </c>
      <c r="J1439">
        <v>-235.35220000000001</v>
      </c>
      <c r="K1439">
        <v>1.110241</v>
      </c>
      <c r="L1439">
        <v>367.31659999999999</v>
      </c>
      <c r="M1439">
        <v>0.9998667</v>
      </c>
      <c r="N1439">
        <v>0</v>
      </c>
      <c r="O1439">
        <v>-1.059658E-2</v>
      </c>
      <c r="P1439">
        <v>0.98591289999999998</v>
      </c>
      <c r="Q1439">
        <v>0.1672053</v>
      </c>
      <c r="R1439">
        <v>-4.3302820000000004E-3</v>
      </c>
      <c r="S1439">
        <v>3.0756070000000002</v>
      </c>
      <c r="T1439">
        <v>-0.1987862</v>
      </c>
      <c r="U1439">
        <v>-0.21774289999999999</v>
      </c>
      <c r="V1439">
        <v>-6.1116540000000002E-3</v>
      </c>
      <c r="W1439">
        <v>0.17944769999999999</v>
      </c>
      <c r="X1439">
        <v>0.98374859999999997</v>
      </c>
      <c r="Y1439">
        <v>5.9942639999999998E-2</v>
      </c>
      <c r="Z1439">
        <v>-1.249408E-3</v>
      </c>
      <c r="AA1439">
        <v>0.998201</v>
      </c>
      <c r="AB1439">
        <v>28</v>
      </c>
      <c r="AC1439">
        <v>17.032299999999999</v>
      </c>
      <c r="AD1439">
        <v>-1.110242492904</v>
      </c>
      <c r="AE1439">
        <v>-1.2144999999999799</v>
      </c>
      <c r="AF1439">
        <v>1.0295811625062701</v>
      </c>
      <c r="AG1439">
        <v>-1.110242492904</v>
      </c>
      <c r="AH1439">
        <v>16.9724625428682</v>
      </c>
      <c r="AI1439">
        <v>93.735785810058701</v>
      </c>
      <c r="AJ1439">
        <v>86.528585328814302</v>
      </c>
      <c r="AK1439">
        <v>17.0398697334311</v>
      </c>
      <c r="AL1439">
        <v>79.662409164101305</v>
      </c>
      <c r="AM1439">
        <v>90.355952196523603</v>
      </c>
      <c r="AN1439">
        <v>1.0000000686759301</v>
      </c>
    </row>
    <row r="1440" spans="1:40" x14ac:dyDescent="0.25">
      <c r="A1440" t="str">
        <f>"20190312172113783"</f>
        <v>20190312172113783</v>
      </c>
      <c r="B1440" t="str">
        <f>"1552382473772278"</f>
        <v>1552382473772278</v>
      </c>
      <c r="C1440" t="s">
        <v>40</v>
      </c>
      <c r="D1440">
        <v>3.3721040000000002</v>
      </c>
      <c r="E1440">
        <v>0.52638640000000003</v>
      </c>
      <c r="F1440" t="s">
        <v>42</v>
      </c>
      <c r="G1440">
        <v>-218.18289999999999</v>
      </c>
      <c r="H1440" s="1">
        <v>-1.539658E-6</v>
      </c>
      <c r="I1440">
        <v>366.10160000000002</v>
      </c>
      <c r="J1440">
        <v>-235.2056</v>
      </c>
      <c r="K1440">
        <v>1.110239</v>
      </c>
      <c r="L1440">
        <v>367.31509999999997</v>
      </c>
      <c r="M1440">
        <v>0.99986679999999994</v>
      </c>
      <c r="N1440">
        <v>0</v>
      </c>
      <c r="O1440">
        <v>-1.059646E-2</v>
      </c>
      <c r="P1440">
        <v>0.98594280000000001</v>
      </c>
      <c r="Q1440">
        <v>0.16702410000000001</v>
      </c>
      <c r="R1440">
        <v>-4.4214980000000003E-3</v>
      </c>
      <c r="S1440">
        <v>3.075653</v>
      </c>
      <c r="T1440">
        <v>-0.19888410000000001</v>
      </c>
      <c r="U1440">
        <v>-0.21765139999999999</v>
      </c>
      <c r="V1440">
        <v>-6.0208730000000004E-3</v>
      </c>
      <c r="W1440">
        <v>0.1792474</v>
      </c>
      <c r="X1440">
        <v>0.98378560000000004</v>
      </c>
      <c r="Y1440">
        <v>5.9912109999999998E-2</v>
      </c>
      <c r="Z1440">
        <v>-1.2490279999999999E-3</v>
      </c>
      <c r="AA1440">
        <v>0.9982029</v>
      </c>
      <c r="AB1440">
        <v>28</v>
      </c>
      <c r="AC1440">
        <v>17.0227</v>
      </c>
      <c r="AD1440">
        <v>-1.110240539658</v>
      </c>
      <c r="AE1440">
        <v>-1.2134999999999501</v>
      </c>
      <c r="AF1440">
        <v>1.02868390656474</v>
      </c>
      <c r="AG1440">
        <v>-1.110240539658</v>
      </c>
      <c r="AH1440">
        <v>16.962812314165099</v>
      </c>
      <c r="AI1440">
        <v>93.737902677330396</v>
      </c>
      <c r="AJ1440">
        <v>86.529634829949103</v>
      </c>
      <c r="AK1440">
        <v>17.030203352899701</v>
      </c>
      <c r="AL1440">
        <v>79.674073875696806</v>
      </c>
      <c r="AM1440">
        <v>90.350651915357901</v>
      </c>
      <c r="AN1440">
        <v>0.99999999404290096</v>
      </c>
    </row>
    <row r="1441" spans="1:40" x14ac:dyDescent="0.25">
      <c r="A1441" t="str">
        <f>"20190312172113794"</f>
        <v>20190312172113794</v>
      </c>
      <c r="B1441" t="str">
        <f>"1552382473782038"</f>
        <v>1552382473782038</v>
      </c>
      <c r="C1441" t="s">
        <v>40</v>
      </c>
      <c r="D1441">
        <v>3.37968</v>
      </c>
      <c r="E1441">
        <v>0.52638739999999995</v>
      </c>
      <c r="F1441" t="s">
        <v>41</v>
      </c>
      <c r="G1441">
        <v>-234.2568</v>
      </c>
      <c r="H1441">
        <v>1.048683</v>
      </c>
      <c r="I1441">
        <v>367.2475</v>
      </c>
      <c r="J1441">
        <v>-235.0575</v>
      </c>
      <c r="K1441">
        <v>1.1102320000000001</v>
      </c>
      <c r="L1441">
        <v>367.31349999999998</v>
      </c>
      <c r="M1441">
        <v>0.99986710000000001</v>
      </c>
      <c r="N1441">
        <v>0</v>
      </c>
      <c r="O1441">
        <v>-1.059658E-2</v>
      </c>
      <c r="P1441">
        <v>0.98594020000000004</v>
      </c>
      <c r="Q1441">
        <v>0.16704249999999901</v>
      </c>
      <c r="R1441">
        <v>-4.3230150000000004E-3</v>
      </c>
      <c r="S1441">
        <v>3.0756230000000002</v>
      </c>
      <c r="T1441">
        <v>-0.19975329999999999</v>
      </c>
      <c r="U1441">
        <v>-0.21841430000000001</v>
      </c>
      <c r="V1441">
        <v>-6.1193849999999998E-3</v>
      </c>
      <c r="W1441">
        <v>0.17924789999999999</v>
      </c>
      <c r="X1441">
        <v>0.98378489999999996</v>
      </c>
      <c r="Y1441">
        <v>6.015765E-2</v>
      </c>
      <c r="Z1441">
        <v>-1.262425E-3</v>
      </c>
      <c r="AA1441">
        <v>0.99818810000000002</v>
      </c>
      <c r="AB1441">
        <v>28</v>
      </c>
      <c r="AC1441">
        <v>0.80070000000000596</v>
      </c>
      <c r="AD1441">
        <v>-6.1548999999999798E-2</v>
      </c>
      <c r="AE1441">
        <v>-6.5999999999973996E-2</v>
      </c>
      <c r="AF1441">
        <v>5.71754005145809E-2</v>
      </c>
      <c r="AG1441">
        <v>-6.1548999999999798E-2</v>
      </c>
      <c r="AH1441">
        <v>0.79667878500485301</v>
      </c>
      <c r="AI1441">
        <v>94.406435428134003</v>
      </c>
      <c r="AJ1441">
        <v>85.895080555524004</v>
      </c>
      <c r="AK1441">
        <v>0.80109574477824497</v>
      </c>
      <c r="AL1441">
        <v>79.674044745274699</v>
      </c>
      <c r="AM1441">
        <v>90.356389300023494</v>
      </c>
      <c r="AN1441">
        <v>0.99999999299759901</v>
      </c>
    </row>
    <row r="1442" spans="1:40" x14ac:dyDescent="0.25">
      <c r="A1442" t="str">
        <f>"20190312172113806"</f>
        <v>20190312172113806</v>
      </c>
      <c r="B1442" t="str">
        <f>"1552382473802534"</f>
        <v>1552382473802534</v>
      </c>
      <c r="C1442" t="s">
        <v>40</v>
      </c>
      <c r="D1442">
        <v>3.3934899999999999</v>
      </c>
      <c r="E1442">
        <v>0.52641130000000003</v>
      </c>
      <c r="F1442" t="s">
        <v>42</v>
      </c>
      <c r="G1442">
        <v>-217.97399999999999</v>
      </c>
      <c r="H1442" s="1">
        <v>-1.6109440000000001E-6</v>
      </c>
      <c r="I1442">
        <v>366.10079999999999</v>
      </c>
      <c r="J1442">
        <v>-234.91499999999999</v>
      </c>
      <c r="K1442">
        <v>1.1102289999999999</v>
      </c>
      <c r="L1442">
        <v>367.31200000000001</v>
      </c>
      <c r="M1442">
        <v>0.99986730000000001</v>
      </c>
      <c r="N1442">
        <v>0</v>
      </c>
      <c r="O1442">
        <v>-1.059648E-2</v>
      </c>
      <c r="P1442">
        <v>0.98593989999999998</v>
      </c>
      <c r="Q1442">
        <v>0.16703889999999999</v>
      </c>
      <c r="R1442">
        <v>-4.5398970000000002E-3</v>
      </c>
      <c r="S1442">
        <v>3.0756839999999999</v>
      </c>
      <c r="T1442">
        <v>-0.19988410000000001</v>
      </c>
      <c r="U1442">
        <v>-0.21832280000000001</v>
      </c>
      <c r="V1442">
        <v>-5.9017399999999999E-3</v>
      </c>
      <c r="W1442">
        <v>0.1792282</v>
      </c>
      <c r="X1442">
        <v>0.98378980000000005</v>
      </c>
      <c r="Y1442">
        <v>6.0126730000000003E-2</v>
      </c>
      <c r="Z1442">
        <v>-1.2622289999999999E-3</v>
      </c>
      <c r="AA1442">
        <v>0.99818989999999996</v>
      </c>
      <c r="AB1442">
        <v>28</v>
      </c>
      <c r="AC1442">
        <v>16.940999999999899</v>
      </c>
      <c r="AD1442">
        <v>-1.1102306109440001</v>
      </c>
      <c r="AE1442">
        <v>-1.2111999999999601</v>
      </c>
      <c r="AF1442">
        <v>1.0272139798464399</v>
      </c>
      <c r="AG1442">
        <v>-1.1102306109440001</v>
      </c>
      <c r="AH1442">
        <v>16.880752507247902</v>
      </c>
      <c r="AI1442">
        <v>93.755940702760697</v>
      </c>
      <c r="AJ1442">
        <v>86.517777124297893</v>
      </c>
      <c r="AK1442">
        <v>16.948380034116099</v>
      </c>
      <c r="AL1442">
        <v>79.675191857776795</v>
      </c>
      <c r="AM1442">
        <v>90.343712383993704</v>
      </c>
      <c r="AN1442">
        <v>0.99999997439715305</v>
      </c>
    </row>
    <row r="1443" spans="1:40" x14ac:dyDescent="0.25">
      <c r="A1443" t="str">
        <f>"20190312172113819"</f>
        <v>20190312172113819</v>
      </c>
      <c r="B1443" t="str">
        <f>"1552382473812293"</f>
        <v>1552382473812293</v>
      </c>
      <c r="C1443" t="s">
        <v>40</v>
      </c>
      <c r="D1443">
        <v>3.4019599999999999</v>
      </c>
      <c r="E1443">
        <v>0.52641210000000005</v>
      </c>
      <c r="F1443" t="s">
        <v>41</v>
      </c>
      <c r="G1443">
        <v>-234.0025</v>
      </c>
      <c r="H1443">
        <v>1.050851</v>
      </c>
      <c r="I1443">
        <v>367.24689999999998</v>
      </c>
      <c r="J1443">
        <v>-234.7543</v>
      </c>
      <c r="K1443">
        <v>1.1102259999999999</v>
      </c>
      <c r="L1443">
        <v>367.31020000000001</v>
      </c>
      <c r="M1443">
        <v>0.99986750000000002</v>
      </c>
      <c r="N1443">
        <v>0</v>
      </c>
      <c r="O1443">
        <v>-1.0596370000000001E-2</v>
      </c>
      <c r="P1443">
        <v>0.98594709999999997</v>
      </c>
      <c r="Q1443">
        <v>0.16699229999999901</v>
      </c>
      <c r="R1443">
        <v>-4.6997280000000002E-3</v>
      </c>
      <c r="S1443">
        <v>3.0756839999999999</v>
      </c>
      <c r="T1443">
        <v>-0.20016310000000001</v>
      </c>
      <c r="U1443">
        <v>-0.21893309999999999</v>
      </c>
      <c r="V1443">
        <v>-5.7423140000000001E-3</v>
      </c>
      <c r="W1443">
        <v>0.1791634</v>
      </c>
      <c r="X1443">
        <v>0.98380259999999997</v>
      </c>
      <c r="Y1443">
        <v>6.0323229999999999E-2</v>
      </c>
      <c r="Z1443">
        <v>-1.270366E-3</v>
      </c>
      <c r="AA1443">
        <v>0.99817809999999996</v>
      </c>
      <c r="AB1443">
        <v>28</v>
      </c>
      <c r="AC1443">
        <v>0.75180000000000202</v>
      </c>
      <c r="AD1443">
        <v>-5.93749999999999E-2</v>
      </c>
      <c r="AE1443">
        <v>-6.3300000000026502E-2</v>
      </c>
      <c r="AF1443">
        <v>5.4988913687406098E-2</v>
      </c>
      <c r="AG1443">
        <v>-5.93749999999999E-2</v>
      </c>
      <c r="AH1443">
        <v>0.74779712131415199</v>
      </c>
      <c r="AI1443">
        <v>94.527580300777302</v>
      </c>
      <c r="AJ1443">
        <v>85.794351029741406</v>
      </c>
      <c r="AK1443">
        <v>0.75216335054245598</v>
      </c>
      <c r="AL1443">
        <v>79.678966258124603</v>
      </c>
      <c r="AM1443">
        <v>90.3344234103227</v>
      </c>
      <c r="AN1443">
        <v>1.0000000269181899</v>
      </c>
    </row>
    <row r="1444" spans="1:40" x14ac:dyDescent="0.25">
      <c r="A1444" t="str">
        <f>"20190312172113831"</f>
        <v>20190312172113831</v>
      </c>
      <c r="B1444" t="str">
        <f>"1552382473822054"</f>
        <v>1552382473822054</v>
      </c>
      <c r="C1444" t="s">
        <v>40</v>
      </c>
      <c r="D1444">
        <v>3.433192</v>
      </c>
      <c r="E1444">
        <v>0.52639720000000001</v>
      </c>
      <c r="F1444" t="s">
        <v>42</v>
      </c>
      <c r="G1444">
        <v>-217.73500000000001</v>
      </c>
      <c r="H1444" s="1">
        <v>-1.693779E-6</v>
      </c>
      <c r="I1444">
        <v>366.09519999999998</v>
      </c>
      <c r="J1444">
        <v>-234.5984</v>
      </c>
      <c r="K1444">
        <v>1.1102270000000001</v>
      </c>
      <c r="L1444">
        <v>367.30860000000001</v>
      </c>
      <c r="M1444">
        <v>0.99986770000000003</v>
      </c>
      <c r="N1444">
        <v>0</v>
      </c>
      <c r="O1444">
        <v>-1.059625E-2</v>
      </c>
      <c r="P1444">
        <v>0.98595339999999998</v>
      </c>
      <c r="Q1444">
        <v>0.1669514</v>
      </c>
      <c r="R1444">
        <v>-4.8175300000000004E-3</v>
      </c>
      <c r="S1444">
        <v>3.0757140000000001</v>
      </c>
      <c r="T1444">
        <v>-0.20063829999999999</v>
      </c>
      <c r="U1444">
        <v>-0.21957399999999999</v>
      </c>
      <c r="V1444">
        <v>-5.6241590000000001E-3</v>
      </c>
      <c r="W1444">
        <v>0.17910429999999999</v>
      </c>
      <c r="X1444">
        <v>0.98381399999999997</v>
      </c>
      <c r="Y1444">
        <v>6.0528640000000002E-2</v>
      </c>
      <c r="Z1444">
        <v>-1.2800450000000001E-3</v>
      </c>
      <c r="AA1444">
        <v>0.99816570000000004</v>
      </c>
      <c r="AB1444">
        <v>28</v>
      </c>
      <c r="AC1444">
        <v>16.863399999999899</v>
      </c>
      <c r="AD1444">
        <v>-1.110228693779</v>
      </c>
      <c r="AE1444">
        <v>-1.21340000000003</v>
      </c>
      <c r="AF1444">
        <v>1.03018715484732</v>
      </c>
      <c r="AG1444">
        <v>-1.110228693779</v>
      </c>
      <c r="AH1444">
        <v>16.802855482007502</v>
      </c>
      <c r="AI1444">
        <v>93.773191233903702</v>
      </c>
      <c r="AJ1444">
        <v>86.491573425258807</v>
      </c>
      <c r="AK1444">
        <v>16.870976429232901</v>
      </c>
      <c r="AL1444">
        <v>79.682407664112503</v>
      </c>
      <c r="AM1444">
        <v>90.327538603585296</v>
      </c>
      <c r="AN1444">
        <v>0.99999998401947299</v>
      </c>
    </row>
    <row r="1445" spans="1:40" x14ac:dyDescent="0.25">
      <c r="A1445" t="str">
        <f>"20190312172113846"</f>
        <v>20190312172113846</v>
      </c>
      <c r="B1445" t="str">
        <f>"1552382473842550"</f>
        <v>1552382473842550</v>
      </c>
      <c r="C1445" t="s">
        <v>40</v>
      </c>
      <c r="D1445">
        <v>3.4222969999999999</v>
      </c>
      <c r="E1445">
        <v>0.52639840000000004</v>
      </c>
      <c r="F1445" t="s">
        <v>42</v>
      </c>
      <c r="G1445">
        <v>-217.6011</v>
      </c>
      <c r="H1445" s="1">
        <v>-1.7397700000000001E-6</v>
      </c>
      <c r="I1445">
        <v>366.09359999999998</v>
      </c>
      <c r="J1445">
        <v>-234.41229999999999</v>
      </c>
      <c r="K1445">
        <v>1.1102259999999999</v>
      </c>
      <c r="L1445">
        <v>367.3066</v>
      </c>
      <c r="M1445">
        <v>0.99986810000000004</v>
      </c>
      <c r="N1445">
        <v>0</v>
      </c>
      <c r="O1445">
        <v>-1.059623E-2</v>
      </c>
      <c r="P1445">
        <v>0.98596550000000005</v>
      </c>
      <c r="Q1445">
        <v>0.1668791</v>
      </c>
      <c r="R1445">
        <v>-4.8570269999999999E-3</v>
      </c>
      <c r="S1445">
        <v>3.0756990000000002</v>
      </c>
      <c r="T1445">
        <v>-0.20089699999999999</v>
      </c>
      <c r="U1445">
        <v>-0.21984860000000001</v>
      </c>
      <c r="V1445">
        <v>-5.5853179999999997E-3</v>
      </c>
      <c r="W1445">
        <v>0.17901</v>
      </c>
      <c r="X1445">
        <v>0.98383140000000002</v>
      </c>
      <c r="Y1445">
        <v>6.0617240000000003E-2</v>
      </c>
      <c r="Z1445">
        <v>-1.2845829999999999E-3</v>
      </c>
      <c r="AA1445">
        <v>0.99816020000000005</v>
      </c>
      <c r="AB1445">
        <v>28</v>
      </c>
      <c r="AC1445">
        <v>16.8111999999999</v>
      </c>
      <c r="AD1445">
        <v>-1.11022773977</v>
      </c>
      <c r="AE1445">
        <v>-1.2130000000000201</v>
      </c>
      <c r="AF1445">
        <v>1.03031271213918</v>
      </c>
      <c r="AG1445">
        <v>-1.11022773977</v>
      </c>
      <c r="AH1445">
        <v>16.7504331504989</v>
      </c>
      <c r="AI1445">
        <v>93.784916305904403</v>
      </c>
      <c r="AJ1445">
        <v>86.480193114211602</v>
      </c>
      <c r="AK1445">
        <v>16.818774053071898</v>
      </c>
      <c r="AL1445">
        <v>79.687899574113402</v>
      </c>
      <c r="AM1445">
        <v>90.325270885562105</v>
      </c>
      <c r="AN1445">
        <v>0.99999999975155995</v>
      </c>
    </row>
    <row r="1446" spans="1:40" x14ac:dyDescent="0.25">
      <c r="A1446" t="str">
        <f>"20190312172113860"</f>
        <v>20190312172113860</v>
      </c>
      <c r="B1446" t="str">
        <f>"1552382473852311"</f>
        <v>1552382473852311</v>
      </c>
      <c r="C1446" t="s">
        <v>40</v>
      </c>
      <c r="D1446">
        <v>3.4045139999999998</v>
      </c>
      <c r="E1446">
        <v>0.52640379999999998</v>
      </c>
      <c r="F1446" t="s">
        <v>41</v>
      </c>
      <c r="G1446">
        <v>-233.49860000000001</v>
      </c>
      <c r="H1446">
        <v>1.0503769999999999</v>
      </c>
      <c r="I1446">
        <v>367.24110000000002</v>
      </c>
      <c r="J1446">
        <v>-234.23849999999999</v>
      </c>
      <c r="K1446">
        <v>1.1102209999999999</v>
      </c>
      <c r="L1446">
        <v>367.30470000000003</v>
      </c>
      <c r="M1446">
        <v>0.99986830000000004</v>
      </c>
      <c r="N1446">
        <v>0</v>
      </c>
      <c r="O1446">
        <v>-1.0596100000000001E-2</v>
      </c>
      <c r="P1446">
        <v>0.98599190000000003</v>
      </c>
      <c r="Q1446">
        <v>0.16672139999999999</v>
      </c>
      <c r="R1446">
        <v>-4.9249100000000002E-3</v>
      </c>
      <c r="S1446">
        <v>3.075745</v>
      </c>
      <c r="T1446">
        <v>-0.20165230000000001</v>
      </c>
      <c r="U1446">
        <v>-0.22012329999999999</v>
      </c>
      <c r="V1446">
        <v>-5.5174780000000001E-3</v>
      </c>
      <c r="W1446">
        <v>0.17883080000000001</v>
      </c>
      <c r="X1446">
        <v>0.98386439999999997</v>
      </c>
      <c r="Y1446">
        <v>6.0704019999999997E-2</v>
      </c>
      <c r="Z1446">
        <v>-1.2922260000000001E-3</v>
      </c>
      <c r="AA1446">
        <v>0.99815500000000001</v>
      </c>
      <c r="AB1446">
        <v>28</v>
      </c>
      <c r="AC1446">
        <v>0.73989999999997702</v>
      </c>
      <c r="AD1446">
        <v>-5.9843999999999703E-2</v>
      </c>
      <c r="AE1446">
        <v>-6.3600000000008095E-2</v>
      </c>
      <c r="AF1446">
        <v>5.5396051936502599E-2</v>
      </c>
      <c r="AG1446">
        <v>-5.9843999999999703E-2</v>
      </c>
      <c r="AH1446">
        <v>0.73575458424074702</v>
      </c>
      <c r="AI1446">
        <v>94.636958007432298</v>
      </c>
      <c r="AJ1446">
        <v>85.6942398452872</v>
      </c>
      <c r="AK1446">
        <v>0.74025997807353205</v>
      </c>
      <c r="AL1446">
        <v>79.698335664474001</v>
      </c>
      <c r="AM1446">
        <v>90.321309409118896</v>
      </c>
      <c r="AN1446">
        <v>1.0000000275897301</v>
      </c>
    </row>
    <row r="1447" spans="1:40" x14ac:dyDescent="0.25">
      <c r="A1447" t="str">
        <f>"20190312172113873"</f>
        <v>20190312172113873</v>
      </c>
      <c r="B1447" t="str">
        <f>"1552382473862069"</f>
        <v>1552382473862069</v>
      </c>
      <c r="C1447" t="s">
        <v>40</v>
      </c>
      <c r="D1447">
        <v>3.3991009999999999</v>
      </c>
      <c r="E1447">
        <v>0.52643149999999905</v>
      </c>
      <c r="F1447" t="s">
        <v>42</v>
      </c>
      <c r="G1447">
        <v>-217.36269999999999</v>
      </c>
      <c r="H1447" s="1">
        <v>-1.820017E-6</v>
      </c>
      <c r="I1447">
        <v>366.09699999999998</v>
      </c>
      <c r="J1447">
        <v>-234.06530000000001</v>
      </c>
      <c r="K1447">
        <v>1.1102190000000001</v>
      </c>
      <c r="L1447">
        <v>367.30290000000002</v>
      </c>
      <c r="M1447">
        <v>0.9998686</v>
      </c>
      <c r="N1447">
        <v>0</v>
      </c>
      <c r="O1447">
        <v>-1.059621E-2</v>
      </c>
      <c r="P1447">
        <v>0.98597069999999998</v>
      </c>
      <c r="Q1447">
        <v>0.1668444</v>
      </c>
      <c r="R1447">
        <v>-5.0068400000000002E-3</v>
      </c>
      <c r="S1447">
        <v>3.0757289999999999</v>
      </c>
      <c r="T1447">
        <v>-0.2023441</v>
      </c>
      <c r="U1447">
        <v>-0.22012329999999999</v>
      </c>
      <c r="V1447">
        <v>-5.4352749999999998E-3</v>
      </c>
      <c r="W1447">
        <v>0.1789335</v>
      </c>
      <c r="X1447">
        <v>0.98384609999999995</v>
      </c>
      <c r="Y1447">
        <v>6.0703529999999999E-2</v>
      </c>
      <c r="Z1447">
        <v>-1.2966329999999999E-3</v>
      </c>
      <c r="AA1447">
        <v>0.99815500000000001</v>
      </c>
      <c r="AB1447">
        <v>28</v>
      </c>
      <c r="AC1447">
        <v>16.7026</v>
      </c>
      <c r="AD1447">
        <v>-1.1102208200170001</v>
      </c>
      <c r="AE1447">
        <v>-1.2059000000000399</v>
      </c>
      <c r="AF1447">
        <v>1.0243324208269899</v>
      </c>
      <c r="AG1447">
        <v>-1.1102208200170001</v>
      </c>
      <c r="AH1447">
        <v>16.641296895389299</v>
      </c>
      <c r="AI1447">
        <v>93.8096316010122</v>
      </c>
      <c r="AJ1447">
        <v>86.477680165566198</v>
      </c>
      <c r="AK1447">
        <v>16.709716022064899</v>
      </c>
      <c r="AL1447">
        <v>79.692354051344196</v>
      </c>
      <c r="AM1447">
        <v>90.316528316632201</v>
      </c>
      <c r="AN1447">
        <v>0.99999994406089099</v>
      </c>
    </row>
    <row r="1448" spans="1:40" x14ac:dyDescent="0.25">
      <c r="A1448" t="str">
        <f>"20190312172113885"</f>
        <v>20190312172113885</v>
      </c>
      <c r="B1448" t="str">
        <f>"1552382473882566"</f>
        <v>1552382473882566</v>
      </c>
      <c r="C1448" t="s">
        <v>40</v>
      </c>
      <c r="D1448">
        <v>3.4013629999999999</v>
      </c>
      <c r="E1448">
        <v>0.52644760000000002</v>
      </c>
      <c r="F1448" t="s">
        <v>42</v>
      </c>
      <c r="G1448">
        <v>-217.17269999999999</v>
      </c>
      <c r="H1448" s="1">
        <v>-1.885732E-6</v>
      </c>
      <c r="I1448">
        <v>366.09289999999999</v>
      </c>
      <c r="J1448">
        <v>-233.92259999999999</v>
      </c>
      <c r="K1448">
        <v>1.110217</v>
      </c>
      <c r="L1448">
        <v>367.3014</v>
      </c>
      <c r="M1448">
        <v>0.99986889999999995</v>
      </c>
      <c r="N1448">
        <v>0</v>
      </c>
      <c r="O1448">
        <v>-1.0596110000000001E-2</v>
      </c>
      <c r="P1448">
        <v>0.98599840000000005</v>
      </c>
      <c r="Q1448">
        <v>0.16667689999999999</v>
      </c>
      <c r="R1448">
        <v>-5.1477859999999997E-3</v>
      </c>
      <c r="S1448">
        <v>3.075745</v>
      </c>
      <c r="T1448">
        <v>-0.2021444</v>
      </c>
      <c r="U1448">
        <v>-0.22030640000000001</v>
      </c>
      <c r="V1448">
        <v>-5.2947139999999998E-3</v>
      </c>
      <c r="W1448">
        <v>0.1787501</v>
      </c>
      <c r="X1448">
        <v>0.98388030000000004</v>
      </c>
      <c r="Y1448">
        <v>6.0762490000000002E-2</v>
      </c>
      <c r="Z1448">
        <v>-1.2972859999999999E-3</v>
      </c>
      <c r="AA1448">
        <v>0.99815140000000002</v>
      </c>
      <c r="AB1448">
        <v>28</v>
      </c>
      <c r="AC1448">
        <v>16.749899999999901</v>
      </c>
      <c r="AD1448">
        <v>-1.1102188857319999</v>
      </c>
      <c r="AE1448">
        <v>-1.2085000000000099</v>
      </c>
      <c r="AF1448">
        <v>1.02644889213464</v>
      </c>
      <c r="AG1448">
        <v>-1.1102188857319999</v>
      </c>
      <c r="AH1448">
        <v>16.688826220539699</v>
      </c>
      <c r="AI1448">
        <v>93.798818344555201</v>
      </c>
      <c r="AJ1448">
        <v>86.480447585047003</v>
      </c>
      <c r="AK1448">
        <v>16.7571806674563</v>
      </c>
      <c r="AL1448">
        <v>79.7030352692625</v>
      </c>
      <c r="AM1448">
        <v>90.3083320577569</v>
      </c>
      <c r="AN1448">
        <v>1.0000000384872201</v>
      </c>
    </row>
    <row r="1449" spans="1:40" x14ac:dyDescent="0.25">
      <c r="A1449" t="str">
        <f>"20190312172113896"</f>
        <v>20190312172113896</v>
      </c>
      <c r="B1449" t="str">
        <f>"1552382473892325"</f>
        <v>1552382473892325</v>
      </c>
      <c r="C1449" t="s">
        <v>40</v>
      </c>
      <c r="D1449">
        <v>3.405065</v>
      </c>
      <c r="E1449">
        <v>0.52645159999999902</v>
      </c>
      <c r="F1449" t="s">
        <v>41</v>
      </c>
      <c r="G1449">
        <v>-232.99539999999999</v>
      </c>
      <c r="H1449">
        <v>1.0490250000000001</v>
      </c>
      <c r="I1449">
        <v>367.23480000000001</v>
      </c>
      <c r="J1449">
        <v>-233.77760000000001</v>
      </c>
      <c r="K1449">
        <v>1.110217</v>
      </c>
      <c r="L1449">
        <v>367.29989999999998</v>
      </c>
      <c r="M1449">
        <v>0.99986889999999995</v>
      </c>
      <c r="N1449">
        <v>0</v>
      </c>
      <c r="O1449">
        <v>-1.0596019999999999E-2</v>
      </c>
      <c r="P1449">
        <v>0.98601030000000001</v>
      </c>
      <c r="Q1449">
        <v>0.16660730000000001</v>
      </c>
      <c r="R1449">
        <v>-5.0702020000000002E-3</v>
      </c>
      <c r="S1449">
        <v>3.0757750000000001</v>
      </c>
      <c r="T1449">
        <v>-0.20307439999999999</v>
      </c>
      <c r="U1449">
        <v>-0.22091669999999999</v>
      </c>
      <c r="V1449">
        <v>-5.3722079999999998E-3</v>
      </c>
      <c r="W1449">
        <v>0.17866570000000001</v>
      </c>
      <c r="X1449">
        <v>0.98389519999999997</v>
      </c>
      <c r="Y1449">
        <v>6.0957520000000001E-2</v>
      </c>
      <c r="Z1449">
        <v>-1.309649E-3</v>
      </c>
      <c r="AA1449">
        <v>0.99813949999999996</v>
      </c>
      <c r="AB1449">
        <v>28</v>
      </c>
      <c r="AC1449">
        <v>0.78220000000001699</v>
      </c>
      <c r="AD1449">
        <v>-6.1191999999999899E-2</v>
      </c>
      <c r="AE1449">
        <v>-6.5099999999972596E-2</v>
      </c>
      <c r="AF1449">
        <v>5.6464330289352202E-2</v>
      </c>
      <c r="AG1449">
        <v>-6.1191999999999899E-2</v>
      </c>
      <c r="AH1449">
        <v>0.77811659427241997</v>
      </c>
      <c r="AI1449">
        <v>94.484808770231297</v>
      </c>
      <c r="AJ1449">
        <v>85.849584491773797</v>
      </c>
      <c r="AK1449">
        <v>0.78255869795251398</v>
      </c>
      <c r="AL1449">
        <v>79.707950050785797</v>
      </c>
      <c r="AM1449">
        <v>90.312840012069501</v>
      </c>
      <c r="AN1449">
        <v>1.0000000287791599</v>
      </c>
    </row>
    <row r="1450" spans="1:40" x14ac:dyDescent="0.25">
      <c r="A1450" t="str">
        <f>"20190312172113906"</f>
        <v>20190312172113906</v>
      </c>
      <c r="B1450" t="str">
        <f>"1552382473902086"</f>
        <v>1552382473902086</v>
      </c>
      <c r="C1450" t="s">
        <v>40</v>
      </c>
      <c r="D1450">
        <v>3.3832979999999999</v>
      </c>
      <c r="E1450">
        <v>0.52645909999999996</v>
      </c>
      <c r="F1450" t="s">
        <v>42</v>
      </c>
      <c r="G1450">
        <v>-216.99590000000001</v>
      </c>
      <c r="H1450" s="1">
        <v>-1.945552E-6</v>
      </c>
      <c r="I1450">
        <v>366.0942</v>
      </c>
      <c r="J1450">
        <v>-233.6533</v>
      </c>
      <c r="K1450">
        <v>1.1102160000000001</v>
      </c>
      <c r="L1450">
        <v>367.29849999999999</v>
      </c>
      <c r="M1450">
        <v>0.99986909999999896</v>
      </c>
      <c r="N1450">
        <v>0</v>
      </c>
      <c r="O1450">
        <v>-1.059594E-2</v>
      </c>
      <c r="P1450">
        <v>0.98601070000000002</v>
      </c>
      <c r="Q1450">
        <v>0.16659789999999999</v>
      </c>
      <c r="R1450">
        <v>-5.3016069999999998E-3</v>
      </c>
      <c r="S1450">
        <v>3.07579</v>
      </c>
      <c r="T1450">
        <v>-0.203483</v>
      </c>
      <c r="U1450">
        <v>-0.2209778</v>
      </c>
      <c r="V1450">
        <v>-5.1404629999999996E-3</v>
      </c>
      <c r="W1450">
        <v>0.17864449999999901</v>
      </c>
      <c r="X1450">
        <v>0.9839002</v>
      </c>
      <c r="Y1450">
        <v>6.0976469999999998E-2</v>
      </c>
      <c r="Z1450">
        <v>-1.3129019999999999E-3</v>
      </c>
      <c r="AA1450">
        <v>0.99813839999999998</v>
      </c>
      <c r="AB1450">
        <v>28</v>
      </c>
      <c r="AC1450">
        <v>16.6573999999999</v>
      </c>
      <c r="AD1450">
        <v>-1.110217945552</v>
      </c>
      <c r="AE1450">
        <v>-1.2042999999999799</v>
      </c>
      <c r="AF1450">
        <v>1.02319672456445</v>
      </c>
      <c r="AG1450">
        <v>-1.110217945552</v>
      </c>
      <c r="AH1450">
        <v>16.5958868118739</v>
      </c>
      <c r="AI1450">
        <v>93.819991555882694</v>
      </c>
      <c r="AJ1450">
        <v>86.471972692710096</v>
      </c>
      <c r="AK1450">
        <v>16.664422417123099</v>
      </c>
      <c r="AL1450">
        <v>79.709183686724998</v>
      </c>
      <c r="AM1450">
        <v>90.299343525760804</v>
      </c>
      <c r="AN1450">
        <v>0.99999994265006997</v>
      </c>
    </row>
    <row r="1451" spans="1:40" x14ac:dyDescent="0.25">
      <c r="A1451" t="str">
        <f>"20190312172113917"</f>
        <v>20190312172113917</v>
      </c>
      <c r="B1451" t="str">
        <f>"1552382473912821"</f>
        <v>1552382473912821</v>
      </c>
      <c r="C1451" t="s">
        <v>40</v>
      </c>
      <c r="D1451">
        <v>3.393081</v>
      </c>
      <c r="E1451">
        <v>0.52648660000000003</v>
      </c>
      <c r="F1451" t="s">
        <v>41</v>
      </c>
      <c r="G1451">
        <v>-232.7423</v>
      </c>
      <c r="H1451">
        <v>1.0499210000000001</v>
      </c>
      <c r="I1451">
        <v>367.23270000000002</v>
      </c>
      <c r="J1451">
        <v>-233.51150000000001</v>
      </c>
      <c r="K1451">
        <v>1.110214</v>
      </c>
      <c r="L1451">
        <v>367.29700000000003</v>
      </c>
      <c r="M1451">
        <v>0.99986929999999996</v>
      </c>
      <c r="N1451">
        <v>0</v>
      </c>
      <c r="O1451">
        <v>-1.059586E-2</v>
      </c>
      <c r="P1451">
        <v>0.98602350000000005</v>
      </c>
      <c r="Q1451">
        <v>0.16651850000000001</v>
      </c>
      <c r="R1451">
        <v>-5.449794E-3</v>
      </c>
      <c r="S1451">
        <v>3.075806</v>
      </c>
      <c r="T1451">
        <v>-0.2037274</v>
      </c>
      <c r="U1451">
        <v>-0.2218628</v>
      </c>
      <c r="V1451">
        <v>-4.9927640000000002E-3</v>
      </c>
      <c r="W1451">
        <v>0.1785516</v>
      </c>
      <c r="X1451">
        <v>0.98391790000000001</v>
      </c>
      <c r="Y1451">
        <v>6.1261040000000003E-2</v>
      </c>
      <c r="Z1451">
        <v>-1.32386299999999E-3</v>
      </c>
      <c r="AA1451">
        <v>0.99812089999999998</v>
      </c>
      <c r="AB1451">
        <v>28</v>
      </c>
      <c r="AC1451">
        <v>0.76920000000001199</v>
      </c>
      <c r="AD1451">
        <v>-6.0293000000000103E-2</v>
      </c>
      <c r="AE1451">
        <v>-6.4299999999945998E-2</v>
      </c>
      <c r="AF1451">
        <v>5.5804957028597398E-2</v>
      </c>
      <c r="AG1451">
        <v>-6.0293000000000103E-2</v>
      </c>
      <c r="AH1451">
        <v>0.76516955529327901</v>
      </c>
      <c r="AI1451">
        <v>94.493535733304</v>
      </c>
      <c r="AJ1451">
        <v>85.828718559683196</v>
      </c>
      <c r="AK1451">
        <v>0.76956733781110997</v>
      </c>
      <c r="AL1451">
        <v>79.714594223180598</v>
      </c>
      <c r="AM1451">
        <v>90.290737519899096</v>
      </c>
      <c r="AN1451">
        <v>1.00000001774766</v>
      </c>
    </row>
    <row r="1452" spans="1:40" x14ac:dyDescent="0.25">
      <c r="A1452" t="str">
        <f>"20190312172113927"</f>
        <v>20190312172113927</v>
      </c>
      <c r="B1452" t="str">
        <f>"1552382473922582"</f>
        <v>1552382473922582</v>
      </c>
      <c r="C1452" t="s">
        <v>40</v>
      </c>
      <c r="D1452">
        <v>3.390482</v>
      </c>
      <c r="E1452">
        <v>0.52651419999999904</v>
      </c>
      <c r="F1452" t="s">
        <v>42</v>
      </c>
      <c r="G1452">
        <v>-216.78890000000001</v>
      </c>
      <c r="H1452" s="1">
        <v>-2.01797E-6</v>
      </c>
      <c r="I1452">
        <v>366.08679999999998</v>
      </c>
      <c r="J1452">
        <v>-233.3913</v>
      </c>
      <c r="K1452">
        <v>1.1102110000000001</v>
      </c>
      <c r="L1452">
        <v>367.29570000000001</v>
      </c>
      <c r="M1452">
        <v>0.99986949999999997</v>
      </c>
      <c r="N1452">
        <v>0</v>
      </c>
      <c r="O1452">
        <v>-1.0595790000000001E-2</v>
      </c>
      <c r="P1452">
        <v>0.98605069999999995</v>
      </c>
      <c r="Q1452">
        <v>0.16635549999999999</v>
      </c>
      <c r="R1452">
        <v>-5.4955990000000003E-3</v>
      </c>
      <c r="S1452">
        <v>3.0757599999999998</v>
      </c>
      <c r="T1452">
        <v>-0.20419999999999999</v>
      </c>
      <c r="U1452">
        <v>-0.22259519999999999</v>
      </c>
      <c r="V1452">
        <v>-4.9469429999999997E-3</v>
      </c>
      <c r="W1452">
        <v>0.17837809999999901</v>
      </c>
      <c r="X1452">
        <v>0.98394959999999998</v>
      </c>
      <c r="Y1452">
        <v>6.1497580000000003E-2</v>
      </c>
      <c r="Z1452">
        <v>-1.3347729999999901E-3</v>
      </c>
      <c r="AA1452">
        <v>0.99810639999999995</v>
      </c>
      <c r="AB1452">
        <v>28</v>
      </c>
      <c r="AC1452">
        <v>16.6023999999999</v>
      </c>
      <c r="AD1452">
        <v>-1.11021301797</v>
      </c>
      <c r="AE1452">
        <v>-1.2089000000000201</v>
      </c>
      <c r="AF1452">
        <v>1.0283293903369799</v>
      </c>
      <c r="AG1452">
        <v>-1.11021301797</v>
      </c>
      <c r="AH1452">
        <v>16.540703387426898</v>
      </c>
      <c r="AI1452">
        <v>93.832559400121099</v>
      </c>
      <c r="AJ1452">
        <v>86.442521232120299</v>
      </c>
      <c r="AK1452">
        <v>16.609783346905399</v>
      </c>
      <c r="AL1452">
        <v>79.724697224532605</v>
      </c>
      <c r="AM1452">
        <v>90.288060046217396</v>
      </c>
      <c r="AN1452">
        <v>1.0000000170723999</v>
      </c>
    </row>
    <row r="1453" spans="1:40" x14ac:dyDescent="0.25">
      <c r="A1453" t="str">
        <f>"20190312172113936"</f>
        <v>20190312172113936</v>
      </c>
      <c r="B1453" t="str">
        <f>"1552382473932342"</f>
        <v>1552382473932342</v>
      </c>
      <c r="C1453" t="s">
        <v>40</v>
      </c>
      <c r="D1453">
        <v>3.3914140000000002</v>
      </c>
      <c r="E1453">
        <v>0.52651759999999903</v>
      </c>
      <c r="F1453" t="s">
        <v>41</v>
      </c>
      <c r="G1453">
        <v>-232.48990000000001</v>
      </c>
      <c r="H1453">
        <v>1.0501750000000001</v>
      </c>
      <c r="I1453">
        <v>367.2303</v>
      </c>
      <c r="J1453">
        <v>-233.2687</v>
      </c>
      <c r="K1453">
        <v>1.1102069999999999</v>
      </c>
      <c r="L1453">
        <v>367.2944</v>
      </c>
      <c r="M1453">
        <v>0.99986960000000003</v>
      </c>
      <c r="N1453">
        <v>0</v>
      </c>
      <c r="O1453">
        <v>-1.0595729999999999E-2</v>
      </c>
      <c r="P1453">
        <v>0.98603609999999997</v>
      </c>
      <c r="Q1453">
        <v>0.16643629999999901</v>
      </c>
      <c r="R1453">
        <v>-5.6811190000000001E-3</v>
      </c>
      <c r="S1453">
        <v>3.0757750000000001</v>
      </c>
      <c r="T1453">
        <v>-0.20486599999999999</v>
      </c>
      <c r="U1453">
        <v>-0.2232056</v>
      </c>
      <c r="V1453">
        <v>-4.7615540000000003E-3</v>
      </c>
      <c r="W1453">
        <v>0.17844789999999999</v>
      </c>
      <c r="X1453">
        <v>0.98393790000000003</v>
      </c>
      <c r="Y1453">
        <v>6.1693159999999997E-2</v>
      </c>
      <c r="Z1453">
        <v>-1.3456029999999999E-3</v>
      </c>
      <c r="AA1453">
        <v>0.99809429999999999</v>
      </c>
      <c r="AB1453">
        <v>28</v>
      </c>
      <c r="AC1453">
        <v>0.77879999999998895</v>
      </c>
      <c r="AD1453">
        <v>-6.0031999999999801E-2</v>
      </c>
      <c r="AE1453">
        <v>-6.4099999999996202E-2</v>
      </c>
      <c r="AF1453">
        <v>5.5516190482394201E-2</v>
      </c>
      <c r="AG1453">
        <v>-6.0031999999999801E-2</v>
      </c>
      <c r="AH1453">
        <v>0.77486245821525901</v>
      </c>
      <c r="AI1453">
        <v>94.418824548249106</v>
      </c>
      <c r="AJ1453">
        <v>85.901959865745795</v>
      </c>
      <c r="AK1453">
        <v>0.77916475637766902</v>
      </c>
      <c r="AL1453">
        <v>79.720633195501904</v>
      </c>
      <c r="AM1453">
        <v>90.2772683301298</v>
      </c>
      <c r="AN1453">
        <v>1.0000000582336499</v>
      </c>
    </row>
    <row r="1454" spans="1:40" x14ac:dyDescent="0.25">
      <c r="A1454" t="str">
        <f>"20190312172113947"</f>
        <v>20190312172113947</v>
      </c>
      <c r="B1454" t="str">
        <f>"1552382473942102"</f>
        <v>1552382473942102</v>
      </c>
      <c r="C1454" t="s">
        <v>40</v>
      </c>
      <c r="D1454">
        <v>3.4014739999999999</v>
      </c>
      <c r="E1454">
        <v>0.52653969999999894</v>
      </c>
      <c r="F1454" t="s">
        <v>42</v>
      </c>
      <c r="G1454">
        <v>-216.59190000000001</v>
      </c>
      <c r="H1454" s="1">
        <v>-2.0864419999999999E-6</v>
      </c>
      <c r="I1454">
        <v>366.08139999999997</v>
      </c>
      <c r="J1454">
        <v>-233.1267</v>
      </c>
      <c r="K1454">
        <v>1.1102050000000001</v>
      </c>
      <c r="L1454">
        <v>367.29289999999997</v>
      </c>
      <c r="M1454">
        <v>0.99986980000000003</v>
      </c>
      <c r="N1454">
        <v>0</v>
      </c>
      <c r="O1454">
        <v>-1.0595759999999999E-2</v>
      </c>
      <c r="P1454">
        <v>0.98604849999999999</v>
      </c>
      <c r="Q1454">
        <v>0.16635520000000001</v>
      </c>
      <c r="R1454">
        <v>-5.913639E-3</v>
      </c>
      <c r="S1454">
        <v>3.0757599999999998</v>
      </c>
      <c r="T1454">
        <v>-0.20475879999999999</v>
      </c>
      <c r="U1454">
        <v>-0.22372439999999999</v>
      </c>
      <c r="V1454">
        <v>-4.529389E-3</v>
      </c>
      <c r="W1454">
        <v>0.17835409999999999</v>
      </c>
      <c r="X1454">
        <v>0.98395589999999999</v>
      </c>
      <c r="Y1454">
        <v>6.1860699999999998E-2</v>
      </c>
      <c r="Z1454">
        <v>-1.3504610000000001E-3</v>
      </c>
      <c r="AA1454">
        <v>0.99808390000000002</v>
      </c>
      <c r="AB1454">
        <v>28</v>
      </c>
      <c r="AC1454">
        <v>16.534799999999901</v>
      </c>
      <c r="AD1454">
        <v>-1.1102070864419999</v>
      </c>
      <c r="AE1454">
        <v>-1.2115</v>
      </c>
      <c r="AF1454">
        <v>1.0315943578489499</v>
      </c>
      <c r="AG1454">
        <v>-1.1102070864419999</v>
      </c>
      <c r="AH1454">
        <v>16.472841872769401</v>
      </c>
      <c r="AI1454">
        <v>93.848171828467898</v>
      </c>
      <c r="AJ1454">
        <v>86.416591736683898</v>
      </c>
      <c r="AK1454">
        <v>16.542408109437901</v>
      </c>
      <c r="AL1454">
        <v>79.726094106903702</v>
      </c>
      <c r="AM1454">
        <v>90.2637445849644</v>
      </c>
      <c r="AN1454">
        <v>0.999999956748165</v>
      </c>
    </row>
    <row r="1455" spans="1:40" x14ac:dyDescent="0.25">
      <c r="A1455" t="str">
        <f>"20190312172113959"</f>
        <v>20190312172113959</v>
      </c>
      <c r="B1455" t="str">
        <f>"1552382473952837"</f>
        <v>1552382473952837</v>
      </c>
      <c r="C1455" t="s">
        <v>40</v>
      </c>
      <c r="D1455">
        <v>3.4103769999999902</v>
      </c>
      <c r="E1455">
        <v>0.52656119999999995</v>
      </c>
      <c r="F1455" t="s">
        <v>41</v>
      </c>
      <c r="G1455">
        <v>-232.23689999999999</v>
      </c>
      <c r="H1455">
        <v>1.0509379999999999</v>
      </c>
      <c r="I1455">
        <v>367.2276</v>
      </c>
      <c r="J1455">
        <v>-232.9734</v>
      </c>
      <c r="K1455">
        <v>1.1102019999999999</v>
      </c>
      <c r="L1455">
        <v>367.29129999999998</v>
      </c>
      <c r="M1455">
        <v>0.99986989999999998</v>
      </c>
      <c r="N1455">
        <v>0</v>
      </c>
      <c r="O1455">
        <v>-1.059567E-2</v>
      </c>
      <c r="P1455">
        <v>0.98600969999999999</v>
      </c>
      <c r="Q1455">
        <v>0.16657930000000001</v>
      </c>
      <c r="R1455">
        <v>-6.0245100000000003E-3</v>
      </c>
      <c r="S1455">
        <v>3.0757140000000001</v>
      </c>
      <c r="T1455">
        <v>-0.2052146</v>
      </c>
      <c r="U1455">
        <v>-0.22479250000000001</v>
      </c>
      <c r="V1455">
        <v>-4.4175539999999998E-3</v>
      </c>
      <c r="W1455">
        <v>0.17856240000000001</v>
      </c>
      <c r="X1455">
        <v>0.98391870000000003</v>
      </c>
      <c r="Y1455">
        <v>6.2205379999999998E-2</v>
      </c>
      <c r="Z1455">
        <v>-1.36494E-3</v>
      </c>
      <c r="AA1455">
        <v>0.99806240000000002</v>
      </c>
      <c r="AB1455">
        <v>28</v>
      </c>
      <c r="AC1455">
        <v>0.73650000000000604</v>
      </c>
      <c r="AD1455">
        <v>-5.9264000000000198E-2</v>
      </c>
      <c r="AE1455">
        <v>-6.3699999999982895E-2</v>
      </c>
      <c r="AF1455">
        <v>5.55352176494429E-2</v>
      </c>
      <c r="AG1455">
        <v>-5.9264000000000198E-2</v>
      </c>
      <c r="AH1455">
        <v>0.73242643204825097</v>
      </c>
      <c r="AI1455">
        <v>94.612803952370399</v>
      </c>
      <c r="AJ1455">
        <v>85.663924024816595</v>
      </c>
      <c r="AK1455">
        <v>0.73691577568830902</v>
      </c>
      <c r="AL1455">
        <v>79.7139654166387</v>
      </c>
      <c r="AM1455">
        <v>90.2572422897221</v>
      </c>
      <c r="AN1455">
        <v>1.00000002684339</v>
      </c>
    </row>
    <row r="1456" spans="1:40" x14ac:dyDescent="0.25">
      <c r="A1456" t="str">
        <f>"20190312172113970"</f>
        <v>20190312172113970</v>
      </c>
      <c r="B1456" t="str">
        <f>"1552382473962598"</f>
        <v>1552382473962598</v>
      </c>
      <c r="C1456" t="s">
        <v>40</v>
      </c>
      <c r="D1456">
        <v>3.4094890000000002</v>
      </c>
      <c r="E1456">
        <v>0.52657469999999995</v>
      </c>
      <c r="F1456" t="s">
        <v>42</v>
      </c>
      <c r="G1456">
        <v>-216.29079999999999</v>
      </c>
      <c r="H1456" s="1">
        <v>-2.202558E-6</v>
      </c>
      <c r="I1456">
        <v>366.07060000000001</v>
      </c>
      <c r="J1456">
        <v>-232.84</v>
      </c>
      <c r="K1456">
        <v>1.110201</v>
      </c>
      <c r="L1456">
        <v>367.28989999999999</v>
      </c>
      <c r="M1456">
        <v>0.99987009999999998</v>
      </c>
      <c r="N1456">
        <v>0</v>
      </c>
      <c r="O1456">
        <v>-1.059559E-2</v>
      </c>
      <c r="P1456">
        <v>0.98603560000000001</v>
      </c>
      <c r="Q1456">
        <v>0.16641589999999901</v>
      </c>
      <c r="R1456">
        <v>-6.3148880000000003E-3</v>
      </c>
      <c r="S1456">
        <v>3.07579</v>
      </c>
      <c r="T1456">
        <v>-0.20468790000000001</v>
      </c>
      <c r="U1456">
        <v>-0.22506709999999999</v>
      </c>
      <c r="V1456">
        <v>-4.1272710000000001E-3</v>
      </c>
      <c r="W1456">
        <v>0.17838599999999999</v>
      </c>
      <c r="X1456">
        <v>0.98395189999999999</v>
      </c>
      <c r="Y1456">
        <v>6.2292710000000001E-2</v>
      </c>
      <c r="Z1456">
        <v>-1.364311E-3</v>
      </c>
      <c r="AA1456">
        <v>0.99805699999999997</v>
      </c>
      <c r="AB1456">
        <v>28</v>
      </c>
      <c r="AC1456">
        <v>16.549199999999999</v>
      </c>
      <c r="AD1456">
        <v>-1.110203202558</v>
      </c>
      <c r="AE1456">
        <v>-1.2192999999999701</v>
      </c>
      <c r="AF1456">
        <v>1.0392184258091599</v>
      </c>
      <c r="AG1456">
        <v>-1.110203202558</v>
      </c>
      <c r="AH1456">
        <v>16.487391811028299</v>
      </c>
      <c r="AI1456">
        <v>93.8446749707457</v>
      </c>
      <c r="AJ1456">
        <v>86.393355301351093</v>
      </c>
      <c r="AK1456">
        <v>16.557373427505699</v>
      </c>
      <c r="AL1456">
        <v>79.724236725434494</v>
      </c>
      <c r="AM1456">
        <v>90.240330673002902</v>
      </c>
      <c r="AN1456">
        <v>0.99999997043775801</v>
      </c>
    </row>
    <row r="1457" spans="1:40" x14ac:dyDescent="0.25">
      <c r="A1457" t="str">
        <f>"20190312172113983"</f>
        <v>20190312172113983</v>
      </c>
      <c r="B1457" t="str">
        <f>"1552382473972358"</f>
        <v>1552382473972358</v>
      </c>
      <c r="C1457" t="s">
        <v>40</v>
      </c>
      <c r="D1457">
        <v>3.3738169999999998</v>
      </c>
      <c r="E1457">
        <v>0.52659089999999997</v>
      </c>
      <c r="F1457" t="s">
        <v>41</v>
      </c>
      <c r="G1457">
        <v>-231.98269999999999</v>
      </c>
      <c r="H1457">
        <v>1.0530170000000001</v>
      </c>
      <c r="I1457">
        <v>367.22660000000002</v>
      </c>
      <c r="J1457">
        <v>-232.69220000000001</v>
      </c>
      <c r="K1457">
        <v>1.1101989999999999</v>
      </c>
      <c r="L1457">
        <v>367.28829999999999</v>
      </c>
      <c r="M1457">
        <v>0.99987020000000004</v>
      </c>
      <c r="N1457">
        <v>0</v>
      </c>
      <c r="O1457">
        <v>-1.059562E-2</v>
      </c>
      <c r="P1457">
        <v>0.98600880000000002</v>
      </c>
      <c r="Q1457">
        <v>0.16657369999999999</v>
      </c>
      <c r="R1457">
        <v>-6.3227789999999997E-3</v>
      </c>
      <c r="S1457">
        <v>3.0756839999999999</v>
      </c>
      <c r="T1457">
        <v>-0.20528379999999999</v>
      </c>
      <c r="U1457">
        <v>-0.22653200000000001</v>
      </c>
      <c r="V1457">
        <v>-4.1191880000000002E-3</v>
      </c>
      <c r="W1457">
        <v>0.1785282</v>
      </c>
      <c r="X1457">
        <v>0.98392619999999997</v>
      </c>
      <c r="Y1457">
        <v>6.2766279999999994E-2</v>
      </c>
      <c r="Z1457">
        <v>-1.384061E-3</v>
      </c>
      <c r="AA1457">
        <v>0.99802729999999995</v>
      </c>
      <c r="AB1457">
        <v>28</v>
      </c>
      <c r="AC1457">
        <v>0.709500000000019</v>
      </c>
      <c r="AD1457">
        <v>-5.7181999999999802E-2</v>
      </c>
      <c r="AE1457">
        <v>-6.1699999999973401E-2</v>
      </c>
      <c r="AF1457">
        <v>5.38313516571748E-2</v>
      </c>
      <c r="AG1457">
        <v>-5.7181999999999802E-2</v>
      </c>
      <c r="AH1457">
        <v>0.70556534965742401</v>
      </c>
      <c r="AI1457">
        <v>94.6199971939336</v>
      </c>
      <c r="AJ1457">
        <v>85.637051188926705</v>
      </c>
      <c r="AK1457">
        <v>0.70992257196291597</v>
      </c>
      <c r="AL1457">
        <v>79.715956928710995</v>
      </c>
      <c r="AM1457">
        <v>90.239866271071904</v>
      </c>
      <c r="AN1457">
        <v>1.0000000264757201</v>
      </c>
    </row>
    <row r="1458" spans="1:40" x14ac:dyDescent="0.25">
      <c r="A1458" t="str">
        <f>"20190312172113995"</f>
        <v>20190312172113995</v>
      </c>
      <c r="B1458" t="str">
        <f>"1552382473992854"</f>
        <v>1552382473992854</v>
      </c>
      <c r="C1458" t="s">
        <v>40</v>
      </c>
      <c r="D1458">
        <v>3.4126859999999999</v>
      </c>
      <c r="E1458">
        <v>0.52661859999999905</v>
      </c>
      <c r="F1458" t="s">
        <v>41</v>
      </c>
      <c r="G1458">
        <v>-231.73650000000001</v>
      </c>
      <c r="H1458">
        <v>1.0466439999999999</v>
      </c>
      <c r="I1458">
        <v>367.2176</v>
      </c>
      <c r="J1458">
        <v>-232.51939999999999</v>
      </c>
      <c r="K1458">
        <v>1.1101989999999999</v>
      </c>
      <c r="L1458">
        <v>367.28640000000001</v>
      </c>
      <c r="M1458">
        <v>0.9998705</v>
      </c>
      <c r="N1458">
        <v>0</v>
      </c>
      <c r="O1458">
        <v>-1.0595510000000001E-2</v>
      </c>
      <c r="P1458">
        <v>0.98600529999999997</v>
      </c>
      <c r="Q1458">
        <v>0.1665827</v>
      </c>
      <c r="R1458">
        <v>-6.6271719999999998E-3</v>
      </c>
      <c r="S1458">
        <v>3.0756839999999999</v>
      </c>
      <c r="T1458">
        <v>-0.20484359999999999</v>
      </c>
      <c r="U1458">
        <v>-0.2268066</v>
      </c>
      <c r="V1458">
        <v>-3.8146999999999999E-3</v>
      </c>
      <c r="W1458">
        <v>0.17852019999999999</v>
      </c>
      <c r="X1458">
        <v>0.9839289</v>
      </c>
      <c r="Y1458">
        <v>6.2855330000000001E-2</v>
      </c>
      <c r="Z1458">
        <v>-1.384061E-3</v>
      </c>
      <c r="AA1458">
        <v>0.99802170000000001</v>
      </c>
      <c r="AB1458">
        <v>28</v>
      </c>
      <c r="AC1458">
        <v>0.78289999999998305</v>
      </c>
      <c r="AD1458">
        <v>-6.3554999999999806E-2</v>
      </c>
      <c r="AE1458">
        <v>-6.8800000000010103E-2</v>
      </c>
      <c r="AF1458">
        <v>6.0107231609416702E-2</v>
      </c>
      <c r="AG1458">
        <v>-6.3554999999999806E-2</v>
      </c>
      <c r="AH1458">
        <v>0.77849409332101804</v>
      </c>
      <c r="AI1458">
        <v>94.653396075486299</v>
      </c>
      <c r="AJ1458">
        <v>85.584973979209707</v>
      </c>
      <c r="AK1458">
        <v>0.78339336903784296</v>
      </c>
      <c r="AL1458">
        <v>79.716422991925199</v>
      </c>
      <c r="AM1458">
        <v>90.222135069937494</v>
      </c>
      <c r="AN1458">
        <v>1.0000000469996599</v>
      </c>
    </row>
    <row r="1459" spans="1:40" x14ac:dyDescent="0.25">
      <c r="A1459" t="str">
        <f>"20190312172114006"</f>
        <v>20190312172114006</v>
      </c>
      <c r="B1459" t="str">
        <f>"1552382474002614"</f>
        <v>1552382474002614</v>
      </c>
      <c r="C1459" t="s">
        <v>40</v>
      </c>
      <c r="D1459">
        <v>3.3813409999999999</v>
      </c>
      <c r="E1459">
        <v>0.52663930000000003</v>
      </c>
      <c r="F1459" t="s">
        <v>42</v>
      </c>
      <c r="G1459">
        <v>-215.86429999999999</v>
      </c>
      <c r="H1459" s="1">
        <v>-2.3889320000000002E-6</v>
      </c>
      <c r="I1459">
        <v>366.05110000000002</v>
      </c>
      <c r="J1459">
        <v>-232.39179999999999</v>
      </c>
      <c r="K1459">
        <v>1.110196</v>
      </c>
      <c r="L1459">
        <v>367.2851</v>
      </c>
      <c r="M1459">
        <v>0.9998707</v>
      </c>
      <c r="N1459">
        <v>0</v>
      </c>
      <c r="O1459">
        <v>-1.0595439999999999E-2</v>
      </c>
      <c r="P1459">
        <v>0.98601419999999995</v>
      </c>
      <c r="Q1459">
        <v>0.1665317</v>
      </c>
      <c r="R1459">
        <v>-6.5967079999999997E-3</v>
      </c>
      <c r="S1459">
        <v>3.0756990000000002</v>
      </c>
      <c r="T1459">
        <v>-0.2050208</v>
      </c>
      <c r="U1459">
        <v>-0.22811890000000001</v>
      </c>
      <c r="V1459">
        <v>-3.8452400000000002E-3</v>
      </c>
      <c r="W1459">
        <v>0.1784578</v>
      </c>
      <c r="X1459">
        <v>0.98394009999999998</v>
      </c>
      <c r="Y1459">
        <v>6.3277399999999998E-2</v>
      </c>
      <c r="Z1459">
        <v>-1.399265E-3</v>
      </c>
      <c r="AA1459">
        <v>0.99799499999999997</v>
      </c>
      <c r="AB1459">
        <v>28</v>
      </c>
      <c r="AC1459">
        <v>16.5275</v>
      </c>
      <c r="AD1459">
        <v>-1.110198388932</v>
      </c>
      <c r="AE1459">
        <v>-1.23399999999998</v>
      </c>
      <c r="AF1459">
        <v>1.0540719735487301</v>
      </c>
      <c r="AG1459">
        <v>-1.110198388932</v>
      </c>
      <c r="AH1459">
        <v>16.465763169137801</v>
      </c>
      <c r="AI1459">
        <v>93.849454183165307</v>
      </c>
      <c r="AJ1459">
        <v>86.337152546667099</v>
      </c>
      <c r="AK1459">
        <v>16.536776134735</v>
      </c>
      <c r="AL1459">
        <v>79.720056590098295</v>
      </c>
      <c r="AM1459">
        <v>90.223910888106303</v>
      </c>
      <c r="AN1459">
        <v>1.00000004631975</v>
      </c>
    </row>
    <row r="1460" spans="1:40" x14ac:dyDescent="0.25">
      <c r="A1460" t="str">
        <f>"20190312172114016"</f>
        <v>20190312172114016</v>
      </c>
      <c r="B1460" t="str">
        <f>"1552382474012374"</f>
        <v>1552382474012374</v>
      </c>
      <c r="C1460" t="s">
        <v>40</v>
      </c>
      <c r="D1460">
        <v>3.3638119999999998</v>
      </c>
      <c r="E1460">
        <v>0.52666409999999997</v>
      </c>
      <c r="F1460" t="s">
        <v>41</v>
      </c>
      <c r="G1460">
        <v>-231.48150000000001</v>
      </c>
      <c r="H1460">
        <v>1.0494030000000001</v>
      </c>
      <c r="I1460">
        <v>367.2176</v>
      </c>
      <c r="J1460">
        <v>-232.25649999999999</v>
      </c>
      <c r="K1460">
        <v>1.110196</v>
      </c>
      <c r="L1460">
        <v>367.28370000000001</v>
      </c>
      <c r="M1460">
        <v>0.99987079999999995</v>
      </c>
      <c r="N1460">
        <v>0</v>
      </c>
      <c r="O1460">
        <v>-1.059537E-2</v>
      </c>
      <c r="P1460">
        <v>0.98604239999999999</v>
      </c>
      <c r="Q1460">
        <v>0.1663684</v>
      </c>
      <c r="R1460">
        <v>-6.5331599999999997E-3</v>
      </c>
      <c r="S1460">
        <v>3.0757140000000001</v>
      </c>
      <c r="T1460">
        <v>-0.20532619999999999</v>
      </c>
      <c r="U1460">
        <v>-0.22817989999999999</v>
      </c>
      <c r="V1460">
        <v>-3.909175E-3</v>
      </c>
      <c r="W1460">
        <v>0.17828279999999999</v>
      </c>
      <c r="X1460">
        <v>0.9839715</v>
      </c>
      <c r="Y1460">
        <v>6.3296409999999997E-2</v>
      </c>
      <c r="Z1460">
        <v>-1.401975E-3</v>
      </c>
      <c r="AA1460">
        <v>0.99799380000000004</v>
      </c>
      <c r="AB1460">
        <v>28</v>
      </c>
      <c r="AC1460">
        <v>0.77499999999997704</v>
      </c>
      <c r="AD1460">
        <v>-6.0792999999999799E-2</v>
      </c>
      <c r="AE1460">
        <v>-6.6100000000005807E-2</v>
      </c>
      <c r="AF1460">
        <v>5.7532820834805001E-2</v>
      </c>
      <c r="AG1460">
        <v>-6.0792999999999799E-2</v>
      </c>
      <c r="AH1460">
        <v>0.77094733273413296</v>
      </c>
      <c r="AI1460">
        <v>94.496273897677298</v>
      </c>
      <c r="AJ1460">
        <v>85.732148250638602</v>
      </c>
      <c r="AK1460">
        <v>0.77547766194267898</v>
      </c>
      <c r="AL1460">
        <v>79.7302460325418</v>
      </c>
      <c r="AM1460">
        <v>90.227626562854795</v>
      </c>
      <c r="AN1460">
        <v>0.99999997561863496</v>
      </c>
    </row>
    <row r="1461" spans="1:40" x14ac:dyDescent="0.25">
      <c r="A1461" t="str">
        <f>"20190312172114027"</f>
        <v>20190312172114027</v>
      </c>
      <c r="B1461" t="str">
        <f>"1552382474022133"</f>
        <v>1552382474022133</v>
      </c>
      <c r="C1461" t="s">
        <v>40</v>
      </c>
      <c r="D1461">
        <v>3.4114390000000001</v>
      </c>
      <c r="E1461">
        <v>0.52667790000000003</v>
      </c>
      <c r="F1461" t="s">
        <v>42</v>
      </c>
      <c r="G1461">
        <v>-215.67230000000001</v>
      </c>
      <c r="H1461" s="1">
        <v>-2.4712479999999998E-6</v>
      </c>
      <c r="I1461">
        <v>366.05169999999998</v>
      </c>
      <c r="J1461">
        <v>-232.11940000000001</v>
      </c>
      <c r="K1461">
        <v>1.11019</v>
      </c>
      <c r="L1461">
        <v>367.28219999999999</v>
      </c>
      <c r="M1461">
        <v>0.99987079999999995</v>
      </c>
      <c r="N1461">
        <v>0</v>
      </c>
      <c r="O1461">
        <v>-1.05952999999999E-2</v>
      </c>
      <c r="P1461">
        <v>0.98599510000000001</v>
      </c>
      <c r="Q1461">
        <v>0.16663310000000001</v>
      </c>
      <c r="R1461">
        <v>-6.8538610000000002E-3</v>
      </c>
      <c r="S1461">
        <v>3.0756990000000002</v>
      </c>
      <c r="T1461">
        <v>-0.20589479999999999</v>
      </c>
      <c r="U1461">
        <v>-0.2284851</v>
      </c>
      <c r="V1461">
        <v>-3.5880780000000002E-3</v>
      </c>
      <c r="W1461">
        <v>0.17853569999999999</v>
      </c>
      <c r="X1461">
        <v>0.98392690000000005</v>
      </c>
      <c r="Y1461">
        <v>6.3394469999999994E-2</v>
      </c>
      <c r="Z1461">
        <v>-1.4091290000000001E-3</v>
      </c>
      <c r="AA1461">
        <v>0.99798759999999997</v>
      </c>
      <c r="AB1461">
        <v>28</v>
      </c>
      <c r="AC1461">
        <v>16.447099999999999</v>
      </c>
      <c r="AD1461">
        <v>-1.110192471248</v>
      </c>
      <c r="AE1461">
        <v>-1.2304999999999999</v>
      </c>
      <c r="AF1461">
        <v>1.05139237240733</v>
      </c>
      <c r="AG1461">
        <v>-1.110192471248</v>
      </c>
      <c r="AH1461">
        <v>16.3849748605336</v>
      </c>
      <c r="AI1461">
        <v>93.868318946514506</v>
      </c>
      <c r="AJ1461">
        <v>86.328473555646497</v>
      </c>
      <c r="AK1461">
        <v>16.456164632875101</v>
      </c>
      <c r="AL1461">
        <v>79.715519996679006</v>
      </c>
      <c r="AM1461">
        <v>90.208939113943401</v>
      </c>
      <c r="AN1461">
        <v>1.0000000075109099</v>
      </c>
    </row>
    <row r="1462" spans="1:40" x14ac:dyDescent="0.25">
      <c r="A1462" t="str">
        <f>"20190312172114038"</f>
        <v>20190312172114038</v>
      </c>
      <c r="B1462" t="str">
        <f>"1552382474032870"</f>
        <v>1552382474032870</v>
      </c>
      <c r="C1462" t="s">
        <v>40</v>
      </c>
      <c r="D1462">
        <v>3.379521</v>
      </c>
      <c r="E1462">
        <v>0.52668519999999996</v>
      </c>
      <c r="F1462" t="s">
        <v>41</v>
      </c>
      <c r="G1462">
        <v>-231.22790000000001</v>
      </c>
      <c r="H1462">
        <v>1.0507850000000001</v>
      </c>
      <c r="I1462">
        <v>367.21550000000002</v>
      </c>
      <c r="J1462">
        <v>-231.9743</v>
      </c>
      <c r="K1462">
        <v>1.1101890000000001</v>
      </c>
      <c r="L1462">
        <v>367.28059999999999</v>
      </c>
      <c r="M1462">
        <v>0.99987110000000001</v>
      </c>
      <c r="N1462">
        <v>0</v>
      </c>
      <c r="O1462">
        <v>-1.0595469999999999E-2</v>
      </c>
      <c r="P1462">
        <v>0.98602109999999998</v>
      </c>
      <c r="Q1462">
        <v>0.16647679999999901</v>
      </c>
      <c r="R1462">
        <v>-6.9159690000000001E-3</v>
      </c>
      <c r="S1462">
        <v>3.0756839999999999</v>
      </c>
      <c r="T1462">
        <v>-0.20512649999999999</v>
      </c>
      <c r="U1462">
        <v>-0.22964480000000001</v>
      </c>
      <c r="V1462">
        <v>-3.5262570000000001E-3</v>
      </c>
      <c r="W1462">
        <v>0.1783682</v>
      </c>
      <c r="X1462">
        <v>0.98395750000000004</v>
      </c>
      <c r="Y1462">
        <v>6.3768930000000001E-2</v>
      </c>
      <c r="Z1462">
        <v>-1.4163139999999999E-3</v>
      </c>
      <c r="AA1462">
        <v>0.99796370000000001</v>
      </c>
      <c r="AB1462">
        <v>28</v>
      </c>
      <c r="AC1462">
        <v>0.74639999999999396</v>
      </c>
      <c r="AD1462">
        <v>-5.94039999999997E-2</v>
      </c>
      <c r="AE1462">
        <v>-6.5099999999972596E-2</v>
      </c>
      <c r="AF1462">
        <v>5.6830058608100698E-2</v>
      </c>
      <c r="AG1462">
        <v>-5.94039999999997E-2</v>
      </c>
      <c r="AH1462">
        <v>0.74238106170245199</v>
      </c>
      <c r="AI1462">
        <v>94.561667958410496</v>
      </c>
      <c r="AJ1462">
        <v>85.622484755861393</v>
      </c>
      <c r="AK1462">
        <v>0.74691909304278703</v>
      </c>
      <c r="AL1462">
        <v>79.725273577836305</v>
      </c>
      <c r="AM1462">
        <v>90.205332830570399</v>
      </c>
      <c r="AN1462">
        <v>1.0000000055329601</v>
      </c>
    </row>
    <row r="1463" spans="1:40" x14ac:dyDescent="0.25">
      <c r="A1463" t="str">
        <f>"20190312172114051"</f>
        <v>20190312172114051</v>
      </c>
      <c r="B1463" t="str">
        <f>"1552382474042629"</f>
        <v>1552382474042629</v>
      </c>
      <c r="C1463" t="s">
        <v>40</v>
      </c>
      <c r="D1463">
        <v>3.4027470000000002</v>
      </c>
      <c r="E1463">
        <v>0.52669829999999995</v>
      </c>
      <c r="F1463" t="s">
        <v>42</v>
      </c>
      <c r="G1463">
        <v>-215.3715</v>
      </c>
      <c r="H1463" s="1">
        <v>-2.6023430000000002E-6</v>
      </c>
      <c r="I1463">
        <v>366.04</v>
      </c>
      <c r="J1463">
        <v>-231.8253</v>
      </c>
      <c r="K1463">
        <v>1.110187</v>
      </c>
      <c r="L1463">
        <v>367.27910000000003</v>
      </c>
      <c r="M1463">
        <v>0.99987130000000002</v>
      </c>
      <c r="N1463">
        <v>0</v>
      </c>
      <c r="O1463">
        <v>-1.0595159999999999E-2</v>
      </c>
      <c r="P1463">
        <v>0.9860274</v>
      </c>
      <c r="Q1463">
        <v>0.1664332</v>
      </c>
      <c r="R1463">
        <v>-7.1002670000000004E-3</v>
      </c>
      <c r="S1463">
        <v>3.0756380000000001</v>
      </c>
      <c r="T1463">
        <v>-0.2056595</v>
      </c>
      <c r="U1463">
        <v>-0.2298279</v>
      </c>
      <c r="V1463">
        <v>-3.3418990000000002E-3</v>
      </c>
      <c r="W1463">
        <v>0.17831379999999999</v>
      </c>
      <c r="X1463">
        <v>0.98396799999999995</v>
      </c>
      <c r="Y1463">
        <v>6.3828679999999999E-2</v>
      </c>
      <c r="Z1463">
        <v>-1.4220179999999999E-3</v>
      </c>
      <c r="AA1463">
        <v>0.99795990000000001</v>
      </c>
      <c r="AB1463">
        <v>28</v>
      </c>
      <c r="AC1463">
        <v>16.453800000000001</v>
      </c>
      <c r="AD1463">
        <v>-1.110189602343</v>
      </c>
      <c r="AE1463">
        <v>-1.2391000000000001</v>
      </c>
      <c r="AF1463">
        <v>1.0598890775002201</v>
      </c>
      <c r="AG1463">
        <v>-1.110189602343</v>
      </c>
      <c r="AH1463">
        <v>16.391800837911301</v>
      </c>
      <c r="AI1463">
        <v>93.866581430379895</v>
      </c>
      <c r="AJ1463">
        <v>86.300421644023601</v>
      </c>
      <c r="AK1463">
        <v>16.463505717783899</v>
      </c>
      <c r="AL1463">
        <v>79.728441216335696</v>
      </c>
      <c r="AM1463">
        <v>90.194595730779895</v>
      </c>
      <c r="AN1463">
        <v>1.00000000229168</v>
      </c>
    </row>
    <row r="1464" spans="1:40" x14ac:dyDescent="0.25">
      <c r="A1464" t="str">
        <f>"20190312172114070"</f>
        <v>20190312172114070</v>
      </c>
      <c r="B1464" t="str">
        <f>"1552382474062150"</f>
        <v>1552382474062150</v>
      </c>
      <c r="C1464" t="s">
        <v>40</v>
      </c>
      <c r="D1464">
        <v>3.620962</v>
      </c>
      <c r="E1464">
        <v>0.52674049999999994</v>
      </c>
      <c r="F1464" t="s">
        <v>41</v>
      </c>
      <c r="G1464">
        <v>-230.97329999999999</v>
      </c>
      <c r="H1464">
        <v>1.0531459999999999</v>
      </c>
      <c r="I1464">
        <v>367.21519999999998</v>
      </c>
      <c r="J1464">
        <v>-231.58</v>
      </c>
      <c r="K1464">
        <v>1.110182</v>
      </c>
      <c r="L1464">
        <v>367.2765</v>
      </c>
      <c r="M1464">
        <v>0.99987139999999997</v>
      </c>
      <c r="N1464">
        <v>0</v>
      </c>
      <c r="O1464">
        <v>-1.059506E-2</v>
      </c>
      <c r="P1464">
        <v>0.98603640000000004</v>
      </c>
      <c r="Q1464">
        <v>0.16638029999999901</v>
      </c>
      <c r="R1464">
        <v>-7.0707560000000001E-3</v>
      </c>
      <c r="S1464">
        <v>3.0756230000000002</v>
      </c>
      <c r="T1464">
        <v>-0.20596310000000001</v>
      </c>
      <c r="U1464">
        <v>-0.2303162</v>
      </c>
      <c r="V1464">
        <v>-3.3710329999999998E-3</v>
      </c>
      <c r="W1464">
        <v>0.17824379999999901</v>
      </c>
      <c r="X1464">
        <v>0.98398059999999998</v>
      </c>
      <c r="Y1464">
        <v>6.3986000000000001E-2</v>
      </c>
      <c r="Z1464">
        <v>-1.4293719999999999E-3</v>
      </c>
      <c r="AA1464">
        <v>0.9979498</v>
      </c>
      <c r="AB1464">
        <v>28</v>
      </c>
      <c r="AC1464">
        <v>0.606700000000017</v>
      </c>
      <c r="AD1464">
        <v>-5.7036000000000003E-2</v>
      </c>
      <c r="AE1464">
        <v>-6.1300000000017001E-2</v>
      </c>
      <c r="AF1464">
        <v>5.43922138218082E-2</v>
      </c>
      <c r="AG1464">
        <v>-5.7036000000000003E-2</v>
      </c>
      <c r="AH1464">
        <v>0.60204837991036997</v>
      </c>
      <c r="AI1464">
        <v>95.390031192488493</v>
      </c>
      <c r="AJ1464">
        <v>84.837613392382906</v>
      </c>
      <c r="AK1464">
        <v>0.60718520236673901</v>
      </c>
      <c r="AL1464">
        <v>79.732517388052997</v>
      </c>
      <c r="AM1464">
        <v>90.1962896502842</v>
      </c>
      <c r="AN1464">
        <v>1.00000001863914</v>
      </c>
    </row>
    <row r="1465" spans="1:40" x14ac:dyDescent="0.25">
      <c r="A1465" t="str">
        <f>"20190312172114082"</f>
        <v>20190312172114082</v>
      </c>
      <c r="B1465" t="str">
        <f>"1552382474072886"</f>
        <v>1552382474072886</v>
      </c>
      <c r="C1465" t="s">
        <v>40</v>
      </c>
      <c r="D1465">
        <v>3.3951250000000002</v>
      </c>
      <c r="E1465">
        <v>0.52676029999999996</v>
      </c>
      <c r="F1465" t="s">
        <v>41</v>
      </c>
      <c r="G1465">
        <v>-230.72130000000001</v>
      </c>
      <c r="H1465">
        <v>1.05267</v>
      </c>
      <c r="I1465">
        <v>367.21170000000001</v>
      </c>
      <c r="J1465">
        <v>-231.42670000000001</v>
      </c>
      <c r="K1465">
        <v>1.1101799999999999</v>
      </c>
      <c r="L1465">
        <v>367.27480000000003</v>
      </c>
      <c r="M1465">
        <v>0.99987150000000002</v>
      </c>
      <c r="N1465">
        <v>0</v>
      </c>
      <c r="O1465">
        <v>-1.0595E-2</v>
      </c>
      <c r="P1465">
        <v>0.98601989999999995</v>
      </c>
      <c r="Q1465">
        <v>0.16647239999999999</v>
      </c>
      <c r="R1465">
        <v>-7.1734329999999999E-3</v>
      </c>
      <c r="S1465">
        <v>3.0756380000000001</v>
      </c>
      <c r="T1465">
        <v>-0.2062457</v>
      </c>
      <c r="U1465">
        <v>-0.23117070000000001</v>
      </c>
      <c r="V1465">
        <v>-3.2682280000000002E-3</v>
      </c>
      <c r="W1465">
        <v>0.1783265</v>
      </c>
      <c r="X1465">
        <v>0.98396589999999995</v>
      </c>
      <c r="Y1465">
        <v>6.426047E-2</v>
      </c>
      <c r="Z1465">
        <v>-1.4404909999999999E-3</v>
      </c>
      <c r="AA1465">
        <v>0.99793209999999999</v>
      </c>
      <c r="AB1465">
        <v>28</v>
      </c>
      <c r="AC1465">
        <v>0.70539999999999703</v>
      </c>
      <c r="AD1465">
        <v>-5.7509999999999901E-2</v>
      </c>
      <c r="AE1465">
        <v>-6.3100000000019904E-2</v>
      </c>
      <c r="AF1465">
        <v>5.5257829080667398E-2</v>
      </c>
      <c r="AG1465">
        <v>-5.7509999999999901E-2</v>
      </c>
      <c r="AH1465">
        <v>0.70140387752645506</v>
      </c>
      <c r="AI1465">
        <v>94.672935976882101</v>
      </c>
      <c r="AJ1465">
        <v>85.495441786788405</v>
      </c>
      <c r="AK1465">
        <v>0.70592366951665098</v>
      </c>
      <c r="AL1465">
        <v>79.727701238626295</v>
      </c>
      <c r="AM1465">
        <v>90.190306373699599</v>
      </c>
      <c r="AN1465">
        <v>0.99999995713965895</v>
      </c>
    </row>
    <row r="1466" spans="1:40" x14ac:dyDescent="0.25">
      <c r="A1466" t="str">
        <f>"20190312172114093"</f>
        <v>20190312172114093</v>
      </c>
      <c r="B1466" t="str">
        <f>"1552382474082646"</f>
        <v>1552382474082646</v>
      </c>
      <c r="C1466" t="s">
        <v>40</v>
      </c>
      <c r="D1466">
        <v>3.3853810000000002</v>
      </c>
      <c r="E1466">
        <v>0.5267773</v>
      </c>
      <c r="F1466" t="s">
        <v>41</v>
      </c>
      <c r="G1466">
        <v>-230.47489999999999</v>
      </c>
      <c r="H1466">
        <v>1.0464819999999999</v>
      </c>
      <c r="I1466">
        <v>367.20299999999997</v>
      </c>
      <c r="J1466">
        <v>-231.2818</v>
      </c>
      <c r="K1466">
        <v>1.1101840000000001</v>
      </c>
      <c r="L1466">
        <v>367.27330000000001</v>
      </c>
      <c r="M1466">
        <v>0.99987159999999997</v>
      </c>
      <c r="N1466">
        <v>0</v>
      </c>
      <c r="O1466">
        <v>-1.0594950000000001E-2</v>
      </c>
      <c r="P1466">
        <v>0.98601470000000002</v>
      </c>
      <c r="Q1466">
        <v>0.16648879999999999</v>
      </c>
      <c r="R1466">
        <v>-7.5242099999999999E-3</v>
      </c>
      <c r="S1466">
        <v>3.0756380000000001</v>
      </c>
      <c r="T1466">
        <v>-0.20601900000000001</v>
      </c>
      <c r="U1466">
        <v>-0.2315979</v>
      </c>
      <c r="V1466">
        <v>-2.9172690000000001E-3</v>
      </c>
      <c r="W1466">
        <v>0.17833350000000001</v>
      </c>
      <c r="X1466">
        <v>0.9839658</v>
      </c>
      <c r="Y1466">
        <v>6.439831E-2</v>
      </c>
      <c r="Z1466">
        <v>-1.4435120000000001E-3</v>
      </c>
      <c r="AA1466">
        <v>0.99792329999999996</v>
      </c>
      <c r="AB1466">
        <v>28</v>
      </c>
      <c r="AC1466">
        <v>0.80690000000001205</v>
      </c>
      <c r="AD1466">
        <v>-6.3702000000000106E-2</v>
      </c>
      <c r="AE1466">
        <v>-7.0299999999974702E-2</v>
      </c>
      <c r="AF1466">
        <v>6.1366779552212598E-2</v>
      </c>
      <c r="AG1466">
        <v>-6.3702000000000106E-2</v>
      </c>
      <c r="AH1466">
        <v>0.80263479558158601</v>
      </c>
      <c r="AI1466">
        <v>94.524680643124896</v>
      </c>
      <c r="AJ1466">
        <v>85.627861837989698</v>
      </c>
      <c r="AK1466">
        <v>0.80749392661177599</v>
      </c>
      <c r="AL1466">
        <v>79.727294304190394</v>
      </c>
      <c r="AM1466">
        <v>90.169870448404794</v>
      </c>
      <c r="AN1466">
        <v>1.0000000216251499</v>
      </c>
    </row>
    <row r="1467" spans="1:40" x14ac:dyDescent="0.25">
      <c r="A1467" t="str">
        <f>"20190312172114105"</f>
        <v>20190312172114105</v>
      </c>
      <c r="B1467" t="str">
        <f>"1552382474102166"</f>
        <v>1552382474102166</v>
      </c>
      <c r="C1467" t="s">
        <v>40</v>
      </c>
      <c r="D1467">
        <v>3.3916689999999998</v>
      </c>
      <c r="E1467">
        <v>0.52681199999999995</v>
      </c>
      <c r="F1467" t="s">
        <v>42</v>
      </c>
      <c r="G1467">
        <v>-214.70439999999999</v>
      </c>
      <c r="H1467" s="1">
        <v>-2.892467E-6</v>
      </c>
      <c r="I1467">
        <v>366.01769999999999</v>
      </c>
      <c r="J1467">
        <v>-231.1473</v>
      </c>
      <c r="K1467">
        <v>1.110182</v>
      </c>
      <c r="L1467">
        <v>367.27190000000002</v>
      </c>
      <c r="M1467">
        <v>0.99987179999999998</v>
      </c>
      <c r="N1467">
        <v>0</v>
      </c>
      <c r="O1467">
        <v>-1.0595139999999999E-2</v>
      </c>
      <c r="P1467">
        <v>0.98601810000000001</v>
      </c>
      <c r="Q1467">
        <v>0.16645299999999999</v>
      </c>
      <c r="R1467">
        <v>-7.8816949999999993E-3</v>
      </c>
      <c r="S1467">
        <v>3.0755620000000001</v>
      </c>
      <c r="T1467">
        <v>-0.2059687</v>
      </c>
      <c r="U1467">
        <v>-0.2329407</v>
      </c>
      <c r="V1467">
        <v>-2.5597649999999999E-3</v>
      </c>
      <c r="W1467">
        <v>0.1782908</v>
      </c>
      <c r="X1467">
        <v>0.98397449999999997</v>
      </c>
      <c r="Y1467">
        <v>6.4832280000000006E-2</v>
      </c>
      <c r="Z1467">
        <v>-1.457655E-3</v>
      </c>
      <c r="AA1467">
        <v>0.99789510000000003</v>
      </c>
      <c r="AB1467">
        <v>28</v>
      </c>
      <c r="AC1467">
        <v>16.442900000000002</v>
      </c>
      <c r="AD1467">
        <v>-1.1101848924669999</v>
      </c>
      <c r="AE1467">
        <v>-1.25420000000002</v>
      </c>
      <c r="AF1467">
        <v>1.0750298981116899</v>
      </c>
      <c r="AG1467">
        <v>-1.1101848924669999</v>
      </c>
      <c r="AH1467">
        <v>16.381023326862199</v>
      </c>
      <c r="AI1467">
        <v>93.868859357368095</v>
      </c>
      <c r="AJ1467">
        <v>86.245260360739806</v>
      </c>
      <c r="AK1467">
        <v>16.453757170096399</v>
      </c>
      <c r="AL1467">
        <v>79.729780344095104</v>
      </c>
      <c r="AM1467">
        <v>90.149052033558206</v>
      </c>
      <c r="AN1467">
        <v>0.99999998920587196</v>
      </c>
    </row>
    <row r="1468" spans="1:40" x14ac:dyDescent="0.25">
      <c r="A1468" t="str">
        <f>"20190312172114118"</f>
        <v>20190312172114118</v>
      </c>
      <c r="B1468" t="str">
        <f>"1552382474112902"</f>
        <v>1552382474112902</v>
      </c>
      <c r="C1468" t="s">
        <v>40</v>
      </c>
      <c r="D1468">
        <v>3.382825</v>
      </c>
      <c r="E1468">
        <v>0.52683340000000001</v>
      </c>
      <c r="F1468" t="s">
        <v>41</v>
      </c>
      <c r="G1468">
        <v>-230.2209</v>
      </c>
      <c r="H1468">
        <v>1.048106</v>
      </c>
      <c r="I1468">
        <v>367.2011</v>
      </c>
      <c r="J1468">
        <v>-230.9742</v>
      </c>
      <c r="K1468">
        <v>1.1101810000000001</v>
      </c>
      <c r="L1468">
        <v>367.27</v>
      </c>
      <c r="M1468">
        <v>0.99987190000000004</v>
      </c>
      <c r="N1468">
        <v>0</v>
      </c>
      <c r="O1468">
        <v>-1.0594849999999999E-2</v>
      </c>
      <c r="P1468">
        <v>0.98604199999999997</v>
      </c>
      <c r="Q1468">
        <v>0.1662844</v>
      </c>
      <c r="R1468">
        <v>-8.4147470000000002E-3</v>
      </c>
      <c r="S1468">
        <v>3.0754700000000001</v>
      </c>
      <c r="T1468">
        <v>-0.20622960000000001</v>
      </c>
      <c r="U1468">
        <v>-0.23440549999999999</v>
      </c>
      <c r="V1468">
        <v>-2.0268249999999999E-3</v>
      </c>
      <c r="W1468">
        <v>0.17811299999999999</v>
      </c>
      <c r="X1468">
        <v>0.98400799999999999</v>
      </c>
      <c r="Y1468">
        <v>6.5305989999999994E-2</v>
      </c>
      <c r="Z1468">
        <v>-1.475376E-3</v>
      </c>
      <c r="AA1468">
        <v>0.99786419999999998</v>
      </c>
      <c r="AB1468">
        <v>28</v>
      </c>
      <c r="AC1468">
        <v>0.75329999999999497</v>
      </c>
      <c r="AD1468">
        <v>-6.2074999999999797E-2</v>
      </c>
      <c r="AE1468">
        <v>-6.8899999999985001E-2</v>
      </c>
      <c r="AF1468">
        <v>6.0506997284347303E-2</v>
      </c>
      <c r="AG1468">
        <v>-6.2074999999999797E-2</v>
      </c>
      <c r="AH1468">
        <v>0.74894428666169</v>
      </c>
      <c r="AI1468">
        <v>94.722718001026294</v>
      </c>
      <c r="AJ1468">
        <v>85.381121838516606</v>
      </c>
      <c r="AK1468">
        <v>0.75394425978884905</v>
      </c>
      <c r="AL1468">
        <v>79.740133836324205</v>
      </c>
      <c r="AM1468">
        <v>90.118015660524904</v>
      </c>
      <c r="AN1468">
        <v>1.0000000464262799</v>
      </c>
    </row>
    <row r="1469" spans="1:40" x14ac:dyDescent="0.25">
      <c r="A1469" t="str">
        <f>"20190312172114128"</f>
        <v>20190312172114128</v>
      </c>
      <c r="B1469" t="str">
        <f>"1552382474122662"</f>
        <v>1552382474122662</v>
      </c>
      <c r="C1469" t="s">
        <v>40</v>
      </c>
      <c r="D1469">
        <v>3.427378</v>
      </c>
      <c r="E1469">
        <v>0.5268275</v>
      </c>
      <c r="F1469" t="s">
        <v>42</v>
      </c>
      <c r="G1469">
        <v>-214.46530000000001</v>
      </c>
      <c r="H1469" s="1">
        <v>-2.997926E-6</v>
      </c>
      <c r="I1469">
        <v>366.00150000000002</v>
      </c>
      <c r="J1469">
        <v>-230.84909999999999</v>
      </c>
      <c r="K1469">
        <v>1.1101780000000001</v>
      </c>
      <c r="L1469">
        <v>367.26870000000002</v>
      </c>
      <c r="M1469">
        <v>0.99987190000000004</v>
      </c>
      <c r="N1469">
        <v>0</v>
      </c>
      <c r="O1469">
        <v>-1.059481E-2</v>
      </c>
      <c r="P1469">
        <v>0.98604139999999996</v>
      </c>
      <c r="Q1469">
        <v>0.1662467</v>
      </c>
      <c r="R1469">
        <v>-9.2124660000000008E-3</v>
      </c>
      <c r="S1469">
        <v>3.0753330000000001</v>
      </c>
      <c r="T1469">
        <v>-0.20680709999999999</v>
      </c>
      <c r="U1469">
        <v>-0.2362976</v>
      </c>
      <c r="V1469">
        <v>-1.229644E-3</v>
      </c>
      <c r="W1469">
        <v>0.17806930000000001</v>
      </c>
      <c r="X1469">
        <v>0.98401719999999904</v>
      </c>
      <c r="Y1469">
        <v>6.5917719999999999E-2</v>
      </c>
      <c r="Z1469">
        <v>-1.5000479999999999E-3</v>
      </c>
      <c r="AA1469">
        <v>0.99782400000000004</v>
      </c>
      <c r="AB1469">
        <v>28</v>
      </c>
      <c r="AC1469">
        <v>16.383799999999901</v>
      </c>
      <c r="AD1469">
        <v>-1.110180997926</v>
      </c>
      <c r="AE1469">
        <v>-1.2672000000000001</v>
      </c>
      <c r="AF1469">
        <v>1.0885646594814</v>
      </c>
      <c r="AG1469">
        <v>-1.110180997926</v>
      </c>
      <c r="AH1469">
        <v>16.321810430526899</v>
      </c>
      <c r="AI1469">
        <v>93.882566374169301</v>
      </c>
      <c r="AJ1469">
        <v>86.184373581097304</v>
      </c>
      <c r="AK1469">
        <v>16.395699759268702</v>
      </c>
      <c r="AL1469">
        <v>79.7426780513496</v>
      </c>
      <c r="AM1469">
        <v>90.071597706657599</v>
      </c>
      <c r="AN1469">
        <v>1.00000001876134</v>
      </c>
    </row>
    <row r="1470" spans="1:40" x14ac:dyDescent="0.25">
      <c r="A1470" t="str">
        <f>"20190312172114139"</f>
        <v>20190312172114139</v>
      </c>
      <c r="B1470" t="str">
        <f>"1552382474132421"</f>
        <v>1552382474132421</v>
      </c>
      <c r="C1470" t="s">
        <v>40</v>
      </c>
      <c r="D1470">
        <v>3.3948939999999999</v>
      </c>
      <c r="E1470">
        <v>0.52685130000000002</v>
      </c>
      <c r="F1470" t="s">
        <v>41</v>
      </c>
      <c r="G1470">
        <v>-229.9659</v>
      </c>
      <c r="H1470">
        <v>1.050824</v>
      </c>
      <c r="I1470">
        <v>367.20010000000002</v>
      </c>
      <c r="J1470">
        <v>-230.7097</v>
      </c>
      <c r="K1470">
        <v>1.110174</v>
      </c>
      <c r="L1470">
        <v>367.2672</v>
      </c>
      <c r="M1470">
        <v>0.99987190000000004</v>
      </c>
      <c r="N1470">
        <v>0</v>
      </c>
      <c r="O1470">
        <v>-1.0594660000000001E-2</v>
      </c>
      <c r="P1470">
        <v>0.98600980000000005</v>
      </c>
      <c r="Q1470">
        <v>0.1663888</v>
      </c>
      <c r="R1470">
        <v>-9.9904130000000001E-3</v>
      </c>
      <c r="S1470">
        <v>3.0750730000000002</v>
      </c>
      <c r="T1470">
        <v>-0.2066819</v>
      </c>
      <c r="U1470">
        <v>-0.23873900000000001</v>
      </c>
      <c r="V1470">
        <v>-4.507337E-4</v>
      </c>
      <c r="W1470">
        <v>0.17820440000000001</v>
      </c>
      <c r="X1470">
        <v>0.98399340000000002</v>
      </c>
      <c r="Y1470">
        <v>6.6710140000000001E-2</v>
      </c>
      <c r="Z1470">
        <v>-1.5257929999999999E-3</v>
      </c>
      <c r="AA1470">
        <v>0.99777119999999997</v>
      </c>
      <c r="AB1470">
        <v>28</v>
      </c>
      <c r="AC1470">
        <v>0.74379999999999302</v>
      </c>
      <c r="AD1470">
        <v>-5.935E-2</v>
      </c>
      <c r="AE1470">
        <v>-6.7099999999982105E-2</v>
      </c>
      <c r="AF1470">
        <v>5.8843729523122001E-2</v>
      </c>
      <c r="AG1470">
        <v>-5.935E-2</v>
      </c>
      <c r="AH1470">
        <v>0.73979699965002998</v>
      </c>
      <c r="AI1470">
        <v>94.572334607281903</v>
      </c>
      <c r="AJ1470">
        <v>85.452246893984295</v>
      </c>
      <c r="AK1470">
        <v>0.74450292658617301</v>
      </c>
      <c r="AL1470">
        <v>79.734811495540399</v>
      </c>
      <c r="AM1470">
        <v>90.026245233848101</v>
      </c>
      <c r="AN1470">
        <v>1.0000000112918901</v>
      </c>
    </row>
    <row r="1471" spans="1:40" x14ac:dyDescent="0.25">
      <c r="A1471" t="str">
        <f>"20190312172114149"</f>
        <v>20190312172114149</v>
      </c>
      <c r="B1471" t="str">
        <f>"1552382474142182"</f>
        <v>1552382474142182</v>
      </c>
      <c r="C1471" t="s">
        <v>40</v>
      </c>
      <c r="D1471">
        <v>3.3704089999999902</v>
      </c>
      <c r="E1471">
        <v>0.52686489999999997</v>
      </c>
      <c r="F1471" t="s">
        <v>42</v>
      </c>
      <c r="G1471">
        <v>-214.15190000000001</v>
      </c>
      <c r="H1471" s="1">
        <v>-3.1389909999999999E-6</v>
      </c>
      <c r="I1471">
        <v>365.96409999999997</v>
      </c>
      <c r="J1471">
        <v>-230.58449999999999</v>
      </c>
      <c r="K1471">
        <v>1.1101730000000001</v>
      </c>
      <c r="L1471">
        <v>367.26589999999999</v>
      </c>
      <c r="M1471">
        <v>0.99987210000000004</v>
      </c>
      <c r="N1471">
        <v>0</v>
      </c>
      <c r="O1471">
        <v>-1.059474E-2</v>
      </c>
      <c r="P1471">
        <v>0.985985</v>
      </c>
      <c r="Q1471">
        <v>0.166468</v>
      </c>
      <c r="R1471">
        <v>-1.1056109999999999E-2</v>
      </c>
      <c r="S1471">
        <v>3.074875</v>
      </c>
      <c r="T1471">
        <v>-0.2061656</v>
      </c>
      <c r="U1471">
        <v>-0.24200440000000001</v>
      </c>
      <c r="V1471">
        <v>6.1505199999999896E-4</v>
      </c>
      <c r="W1471">
        <v>0.17827860000000001</v>
      </c>
      <c r="X1471">
        <v>0.98397990000000002</v>
      </c>
      <c r="Y1471">
        <v>6.7766409999999999E-2</v>
      </c>
      <c r="Z1471">
        <v>-1.557337E-3</v>
      </c>
      <c r="AA1471">
        <v>0.99770000000000003</v>
      </c>
      <c r="AB1471">
        <v>28</v>
      </c>
      <c r="AC1471">
        <v>16.432599999999901</v>
      </c>
      <c r="AD1471">
        <v>-1.1101761389910001</v>
      </c>
      <c r="AE1471">
        <v>-1.3018000000000101</v>
      </c>
      <c r="AF1471">
        <v>1.12252375826314</v>
      </c>
      <c r="AG1471">
        <v>-1.1101761389910001</v>
      </c>
      <c r="AH1471">
        <v>16.3712142019601</v>
      </c>
      <c r="AI1471">
        <v>93.870382054877993</v>
      </c>
      <c r="AJ1471">
        <v>86.077544139910302</v>
      </c>
      <c r="AK1471">
        <v>16.4471640441114</v>
      </c>
      <c r="AL1471">
        <v>79.730491266860597</v>
      </c>
      <c r="AM1471">
        <v>89.964186383083998</v>
      </c>
      <c r="AN1471">
        <v>1.0000000405554601</v>
      </c>
    </row>
    <row r="1472" spans="1:40" x14ac:dyDescent="0.25">
      <c r="A1472" t="str">
        <f>"20190312172114160"</f>
        <v>20190312172114160</v>
      </c>
      <c r="B1472" t="str">
        <f>"1552382474152917"</f>
        <v>1552382474152917</v>
      </c>
      <c r="C1472" t="s">
        <v>40</v>
      </c>
      <c r="D1472">
        <v>3.4177930000000001</v>
      </c>
      <c r="E1472">
        <v>0.52688140000000006</v>
      </c>
      <c r="F1472" t="s">
        <v>41</v>
      </c>
      <c r="G1472">
        <v>-229.71260000000001</v>
      </c>
      <c r="H1472">
        <v>1.0518209999999999</v>
      </c>
      <c r="I1472">
        <v>367.1961</v>
      </c>
      <c r="J1472">
        <v>-230.441</v>
      </c>
      <c r="K1472">
        <v>1.1101719999999999</v>
      </c>
      <c r="L1472">
        <v>367.26429999999999</v>
      </c>
      <c r="M1472">
        <v>0.99987199999999998</v>
      </c>
      <c r="N1472">
        <v>0</v>
      </c>
      <c r="O1472">
        <v>-1.059471E-2</v>
      </c>
      <c r="P1472">
        <v>0.98595889999999997</v>
      </c>
      <c r="Q1472">
        <v>0.1665594</v>
      </c>
      <c r="R1472">
        <v>-1.1955840000000001E-2</v>
      </c>
      <c r="S1472">
        <v>3.0746609999999999</v>
      </c>
      <c r="T1472">
        <v>-0.20591570000000001</v>
      </c>
      <c r="U1472">
        <v>-0.24563599999999999</v>
      </c>
      <c r="V1472">
        <v>1.5149149999999999E-3</v>
      </c>
      <c r="W1472">
        <v>0.17836350000000001</v>
      </c>
      <c r="X1472">
        <v>0.98396349999999999</v>
      </c>
      <c r="Y1472">
        <v>6.8940559999999998E-2</v>
      </c>
      <c r="Z1472">
        <v>-1.594704E-3</v>
      </c>
      <c r="AA1472">
        <v>0.99761949999999999</v>
      </c>
      <c r="AB1472">
        <v>28</v>
      </c>
      <c r="AC1472">
        <v>0.72839999999996496</v>
      </c>
      <c r="AD1472">
        <v>-5.8351E-2</v>
      </c>
      <c r="AE1472">
        <v>-6.8199999999990199E-2</v>
      </c>
      <c r="AF1472">
        <v>6.00961230163303E-2</v>
      </c>
      <c r="AG1472">
        <v>-5.8351E-2</v>
      </c>
      <c r="AH1472">
        <v>0.72447291971633698</v>
      </c>
      <c r="AI1472">
        <v>94.589122178963905</v>
      </c>
      <c r="AJ1472">
        <v>85.258084956162904</v>
      </c>
      <c r="AK1472">
        <v>0.72929924900887499</v>
      </c>
      <c r="AL1472">
        <v>79.725547211810195</v>
      </c>
      <c r="AM1472">
        <v>89.9117872083268</v>
      </c>
      <c r="AN1472">
        <v>1.00000000121597</v>
      </c>
    </row>
    <row r="1473" spans="1:40" x14ac:dyDescent="0.25">
      <c r="A1473" t="str">
        <f>"20190312172114172"</f>
        <v>20190312172114172</v>
      </c>
      <c r="B1473" t="str">
        <f>"1552382474162678"</f>
        <v>1552382474162678</v>
      </c>
      <c r="C1473" t="s">
        <v>40</v>
      </c>
      <c r="D1473">
        <v>3.3593150000000001</v>
      </c>
      <c r="E1473">
        <v>0.52690039999999905</v>
      </c>
      <c r="F1473" t="s">
        <v>41</v>
      </c>
      <c r="G1473">
        <v>-229.46639999999999</v>
      </c>
      <c r="H1473">
        <v>1.044991</v>
      </c>
      <c r="I1473">
        <v>367.18549999999999</v>
      </c>
      <c r="J1473">
        <v>-230.2885</v>
      </c>
      <c r="K1473">
        <v>1.1101730000000001</v>
      </c>
      <c r="L1473">
        <v>367.2627</v>
      </c>
      <c r="M1473">
        <v>0.99987210000000004</v>
      </c>
      <c r="N1473">
        <v>0</v>
      </c>
      <c r="O1473">
        <v>-1.059467E-2</v>
      </c>
      <c r="P1473">
        <v>0.98597480000000004</v>
      </c>
      <c r="Q1473">
        <v>0.1663905</v>
      </c>
      <c r="R1473">
        <v>-1.295836E-2</v>
      </c>
      <c r="S1473">
        <v>3.0744630000000002</v>
      </c>
      <c r="T1473">
        <v>-0.20566619999999999</v>
      </c>
      <c r="U1473">
        <v>-0.24893190000000001</v>
      </c>
      <c r="V1473">
        <v>2.51725E-3</v>
      </c>
      <c r="W1473">
        <v>0.1781894</v>
      </c>
      <c r="X1473">
        <v>0.98399300000000001</v>
      </c>
      <c r="Y1473">
        <v>7.0006200000000005E-2</v>
      </c>
      <c r="Z1473">
        <v>-1.628359E-3</v>
      </c>
      <c r="AA1473">
        <v>0.99754520000000002</v>
      </c>
      <c r="AB1473">
        <v>28</v>
      </c>
      <c r="AC1473">
        <v>0.82210000000000505</v>
      </c>
      <c r="AD1473">
        <v>-6.5181999999999796E-2</v>
      </c>
      <c r="AE1473">
        <v>-7.7200000000004806E-2</v>
      </c>
      <c r="AF1473">
        <v>6.8061040280400498E-2</v>
      </c>
      <c r="AG1473">
        <v>-6.5181999999999796E-2</v>
      </c>
      <c r="AH1473">
        <v>0.81777584398293401</v>
      </c>
      <c r="AI1473">
        <v>94.541572033509297</v>
      </c>
      <c r="AJ1473">
        <v>85.242408093123601</v>
      </c>
      <c r="AK1473">
        <v>0.82318790645274298</v>
      </c>
      <c r="AL1473">
        <v>79.735684912853699</v>
      </c>
      <c r="AM1473">
        <v>89.853426308568004</v>
      </c>
      <c r="AN1473">
        <v>1.00000001143446</v>
      </c>
    </row>
    <row r="1474" spans="1:40" x14ac:dyDescent="0.25">
      <c r="A1474" t="str">
        <f>"20190312172114184"</f>
        <v>20190312172114184</v>
      </c>
      <c r="B1474" t="str">
        <f>"1552382474172438"</f>
        <v>1552382474172438</v>
      </c>
      <c r="C1474" t="s">
        <v>40</v>
      </c>
      <c r="D1474">
        <v>3.3885399999999999</v>
      </c>
      <c r="E1474">
        <v>0.52690199999999998</v>
      </c>
      <c r="F1474" t="s">
        <v>41</v>
      </c>
      <c r="G1474">
        <v>-229.4545</v>
      </c>
      <c r="H1474">
        <v>1.0542260000000001</v>
      </c>
      <c r="I1474">
        <v>367.1943</v>
      </c>
      <c r="J1474">
        <v>-230.15090000000001</v>
      </c>
      <c r="K1474">
        <v>1.1101719999999999</v>
      </c>
      <c r="L1474">
        <v>367.26119999999997</v>
      </c>
      <c r="M1474">
        <v>0.99987230000000005</v>
      </c>
      <c r="N1474">
        <v>0</v>
      </c>
      <c r="O1474">
        <v>-1.0594879999999999E-2</v>
      </c>
      <c r="P1474">
        <v>0.98594510000000002</v>
      </c>
      <c r="Q1474">
        <v>0.1664754</v>
      </c>
      <c r="R1474">
        <v>-1.408381E-2</v>
      </c>
      <c r="S1474">
        <v>3.074173</v>
      </c>
      <c r="T1474">
        <v>-0.20629159999999999</v>
      </c>
      <c r="U1474">
        <v>-0.25216670000000002</v>
      </c>
      <c r="V1474">
        <v>3.6428989999999998E-3</v>
      </c>
      <c r="W1474">
        <v>0.17826919999999999</v>
      </c>
      <c r="X1474">
        <v>0.98397500000000004</v>
      </c>
      <c r="Y1474">
        <v>7.1053149999999995E-2</v>
      </c>
      <c r="Z1474">
        <v>-1.6683990000000001E-3</v>
      </c>
      <c r="AA1474">
        <v>0.9974712</v>
      </c>
      <c r="AB1474">
        <v>28</v>
      </c>
      <c r="AC1474">
        <v>0.69640000000001101</v>
      </c>
      <c r="AD1474">
        <v>-5.5945999999999801E-2</v>
      </c>
      <c r="AE1474">
        <v>-6.6899999999975507E-2</v>
      </c>
      <c r="AF1474">
        <v>5.9139254787153199E-2</v>
      </c>
      <c r="AG1474">
        <v>-5.5945999999999801E-2</v>
      </c>
      <c r="AH1474">
        <v>0.69264041728127701</v>
      </c>
      <c r="AI1474">
        <v>94.601204583958406</v>
      </c>
      <c r="AJ1474">
        <v>85.119788850050995</v>
      </c>
      <c r="AK1474">
        <v>0.69740816888272905</v>
      </c>
      <c r="AL1474">
        <v>79.731038085253402</v>
      </c>
      <c r="AM1474">
        <v>89.787878976313493</v>
      </c>
      <c r="AN1474">
        <v>0.99999998950338198</v>
      </c>
    </row>
    <row r="1475" spans="1:40" x14ac:dyDescent="0.25">
      <c r="A1475" t="str">
        <f>"20190312172114193"</f>
        <v>20190312172114193</v>
      </c>
      <c r="B1475" t="str">
        <f>"1552382474182199"</f>
        <v>1552382474182199</v>
      </c>
      <c r="C1475" t="s">
        <v>40</v>
      </c>
      <c r="D1475">
        <v>3.3815219999999999</v>
      </c>
      <c r="E1475">
        <v>0.52691160000000004</v>
      </c>
      <c r="F1475" t="s">
        <v>41</v>
      </c>
      <c r="G1475">
        <v>-229.21209999999999</v>
      </c>
      <c r="H1475">
        <v>1.0473509999999999</v>
      </c>
      <c r="I1475">
        <v>367.18299999999999</v>
      </c>
      <c r="J1475">
        <v>-230.01740000000001</v>
      </c>
      <c r="K1475">
        <v>1.110174</v>
      </c>
      <c r="L1475">
        <v>367.25979999999998</v>
      </c>
      <c r="M1475">
        <v>0.99987230000000005</v>
      </c>
      <c r="N1475">
        <v>0</v>
      </c>
      <c r="O1475">
        <v>-1.0594620000000001E-2</v>
      </c>
      <c r="P1475">
        <v>0.98591240000000002</v>
      </c>
      <c r="Q1475">
        <v>0.1665924</v>
      </c>
      <c r="R1475">
        <v>-1.4955390000000001E-2</v>
      </c>
      <c r="S1475">
        <v>3.0738829999999999</v>
      </c>
      <c r="T1475">
        <v>-0.20596</v>
      </c>
      <c r="U1475">
        <v>-0.2555847</v>
      </c>
      <c r="V1475">
        <v>4.514962E-3</v>
      </c>
      <c r="W1475">
        <v>0.17838129999999999</v>
      </c>
      <c r="X1475">
        <v>0.98395109999999997</v>
      </c>
      <c r="Y1475">
        <v>7.216061E-2</v>
      </c>
      <c r="Z1475">
        <v>-1.7028189999999999E-3</v>
      </c>
      <c r="AA1475">
        <v>0.99739160000000004</v>
      </c>
      <c r="AB1475">
        <v>28</v>
      </c>
      <c r="AC1475">
        <v>0.805300000000016</v>
      </c>
      <c r="AD1475">
        <v>-6.2823000000000004E-2</v>
      </c>
      <c r="AE1475">
        <v>-7.6799999999934698E-2</v>
      </c>
      <c r="AF1475">
        <v>6.7854002866285304E-2</v>
      </c>
      <c r="AG1475">
        <v>-6.2823000000000004E-2</v>
      </c>
      <c r="AH1475">
        <v>0.801236259773765</v>
      </c>
      <c r="AI1475">
        <v>94.467325657142098</v>
      </c>
      <c r="AJ1475">
        <v>85.159363239848304</v>
      </c>
      <c r="AK1475">
        <v>0.80655467205281905</v>
      </c>
      <c r="AL1475">
        <v>79.724510921324196</v>
      </c>
      <c r="AM1475">
        <v>89.737094199397006</v>
      </c>
      <c r="AN1475">
        <v>1.0000000201313799</v>
      </c>
    </row>
    <row r="1476" spans="1:40" x14ac:dyDescent="0.25">
      <c r="A1476" t="str">
        <f>"20190312172114205"</f>
        <v>20190312172114205</v>
      </c>
      <c r="B1476" t="str">
        <f>"1552382474202694"</f>
        <v>1552382474202694</v>
      </c>
      <c r="C1476" t="s">
        <v>40</v>
      </c>
      <c r="D1476">
        <v>3.3722099999999999</v>
      </c>
      <c r="E1476">
        <v>0.52692320000000004</v>
      </c>
      <c r="F1476" t="s">
        <v>42</v>
      </c>
      <c r="G1476">
        <v>-213.42580000000001</v>
      </c>
      <c r="H1476" s="1">
        <v>-3.468658E-6</v>
      </c>
      <c r="I1476">
        <v>365.86169999999998</v>
      </c>
      <c r="J1476">
        <v>-229.88059999999999</v>
      </c>
      <c r="K1476">
        <v>1.110174</v>
      </c>
      <c r="L1476">
        <v>367.25839999999999</v>
      </c>
      <c r="M1476">
        <v>0.99987230000000005</v>
      </c>
      <c r="N1476">
        <v>0</v>
      </c>
      <c r="O1476">
        <v>-1.059447E-2</v>
      </c>
      <c r="P1476">
        <v>0.98589070000000001</v>
      </c>
      <c r="Q1476">
        <v>0.1666427</v>
      </c>
      <c r="R1476">
        <v>-1.5805179999999999E-2</v>
      </c>
      <c r="S1476">
        <v>3.0736690000000002</v>
      </c>
      <c r="T1476">
        <v>-0.2056645</v>
      </c>
      <c r="U1476">
        <v>-0.25900269999999997</v>
      </c>
      <c r="V1476">
        <v>5.3651999999999997E-3</v>
      </c>
      <c r="W1476">
        <v>0.17842729999999901</v>
      </c>
      <c r="X1476">
        <v>0.98393850000000005</v>
      </c>
      <c r="Y1476">
        <v>7.3265750000000004E-2</v>
      </c>
      <c r="Z1476">
        <v>-1.737298E-3</v>
      </c>
      <c r="AA1476">
        <v>0.9973109</v>
      </c>
      <c r="AB1476">
        <v>28</v>
      </c>
      <c r="AC1476">
        <v>16.454799999999899</v>
      </c>
      <c r="AD1476">
        <v>-1.1101774686579999</v>
      </c>
      <c r="AE1476">
        <v>-1.3967000000000001</v>
      </c>
      <c r="AF1476">
        <v>1.2167801094621999</v>
      </c>
      <c r="AG1476">
        <v>-1.1101774686579999</v>
      </c>
      <c r="AH1476">
        <v>16.394580884620801</v>
      </c>
      <c r="AI1476">
        <v>93.863340603948998</v>
      </c>
      <c r="AJ1476">
        <v>85.755379244568203</v>
      </c>
      <c r="AK1476">
        <v>16.477115349146299</v>
      </c>
      <c r="AL1476">
        <v>79.721832438762306</v>
      </c>
      <c r="AM1476">
        <v>89.687581825852504</v>
      </c>
      <c r="AN1476">
        <v>1.0000000292692801</v>
      </c>
    </row>
    <row r="1477" spans="1:40" x14ac:dyDescent="0.25">
      <c r="A1477" t="str">
        <f>"20190312172114216"</f>
        <v>20190312172114216</v>
      </c>
      <c r="B1477" t="str">
        <f>"1552382474212455"</f>
        <v>1552382474212455</v>
      </c>
      <c r="C1477" t="s">
        <v>40</v>
      </c>
      <c r="D1477">
        <v>3.4100679999999999</v>
      </c>
      <c r="E1477">
        <v>0.52693400000000001</v>
      </c>
      <c r="F1477" t="s">
        <v>41</v>
      </c>
      <c r="G1477">
        <v>-228.95849999999999</v>
      </c>
      <c r="H1477">
        <v>1.0485390000000001</v>
      </c>
      <c r="I1477">
        <v>367.17989999999998</v>
      </c>
      <c r="J1477">
        <v>-229.73589999999999</v>
      </c>
      <c r="K1477">
        <v>1.1101749999999999</v>
      </c>
      <c r="L1477">
        <v>367.2568</v>
      </c>
      <c r="M1477">
        <v>0.99987239999999999</v>
      </c>
      <c r="N1477">
        <v>0</v>
      </c>
      <c r="O1477">
        <v>-1.059445E-2</v>
      </c>
      <c r="P1477">
        <v>0.9858481</v>
      </c>
      <c r="Q1477">
        <v>0.16682900000000001</v>
      </c>
      <c r="R1477">
        <v>-1.648983E-2</v>
      </c>
      <c r="S1477">
        <v>3.0734859999999999</v>
      </c>
      <c r="T1477">
        <v>-0.20555570000000001</v>
      </c>
      <c r="U1477">
        <v>-0.26123049999999998</v>
      </c>
      <c r="V1477">
        <v>6.0502999999999998E-3</v>
      </c>
      <c r="W1477">
        <v>0.1786094</v>
      </c>
      <c r="X1477">
        <v>0.98390140000000004</v>
      </c>
      <c r="Y1477">
        <v>7.3987010000000006E-2</v>
      </c>
      <c r="Z1477">
        <v>-1.7604820000000001E-3</v>
      </c>
      <c r="AA1477">
        <v>0.99725759999999997</v>
      </c>
      <c r="AB1477">
        <v>28</v>
      </c>
      <c r="AC1477">
        <v>0.77739999999999998</v>
      </c>
      <c r="AD1477">
        <v>-6.1636000000000003E-2</v>
      </c>
      <c r="AE1477">
        <v>-7.69000000000232E-2</v>
      </c>
      <c r="AF1477">
        <v>6.8234200241960197E-2</v>
      </c>
      <c r="AG1477">
        <v>-6.1636000000000003E-2</v>
      </c>
      <c r="AH1477">
        <v>0.77335686117759295</v>
      </c>
      <c r="AI1477">
        <v>94.539241497733499</v>
      </c>
      <c r="AJ1477">
        <v>84.957781962582004</v>
      </c>
      <c r="AK1477">
        <v>0.77880404294605399</v>
      </c>
      <c r="AL1477">
        <v>79.711227660202795</v>
      </c>
      <c r="AM1477">
        <v>89.647675788025794</v>
      </c>
      <c r="AN1477">
        <v>0.99999994441020301</v>
      </c>
    </row>
    <row r="1478" spans="1:40" x14ac:dyDescent="0.25">
      <c r="A1478" t="str">
        <f>"20190312172114228"</f>
        <v>20190312172114228</v>
      </c>
      <c r="B1478" t="str">
        <f>"1552382474222214"</f>
        <v>1552382474222214</v>
      </c>
      <c r="C1478" t="s">
        <v>40</v>
      </c>
      <c r="D1478">
        <v>3.38619</v>
      </c>
      <c r="E1478">
        <v>0.52694569999999996</v>
      </c>
      <c r="F1478" t="s">
        <v>42</v>
      </c>
      <c r="G1478">
        <v>-213.09809999999999</v>
      </c>
      <c r="H1478" s="1">
        <v>-3.6147229999999999E-6</v>
      </c>
      <c r="I1478">
        <v>365.83069999999998</v>
      </c>
      <c r="J1478">
        <v>-229.5994</v>
      </c>
      <c r="K1478">
        <v>1.1101760000000001</v>
      </c>
      <c r="L1478">
        <v>367.25529999999998</v>
      </c>
      <c r="M1478">
        <v>0.99987250000000005</v>
      </c>
      <c r="N1478">
        <v>0</v>
      </c>
      <c r="O1478">
        <v>-1.0594549999999999E-2</v>
      </c>
      <c r="P1478">
        <v>0.98581269999999999</v>
      </c>
      <c r="Q1478">
        <v>0.16698579999999999</v>
      </c>
      <c r="R1478">
        <v>-1.7008189999999999E-2</v>
      </c>
      <c r="S1478">
        <v>3.0733640000000002</v>
      </c>
      <c r="T1478">
        <v>-0.20507410000000001</v>
      </c>
      <c r="U1478">
        <v>-0.26342769999999999</v>
      </c>
      <c r="V1478">
        <v>6.5688539999999998E-3</v>
      </c>
      <c r="W1478">
        <v>0.1787618</v>
      </c>
      <c r="X1478">
        <v>0.98387040000000003</v>
      </c>
      <c r="Y1478">
        <v>7.4697159999999999E-2</v>
      </c>
      <c r="Z1478">
        <v>-1.780001E-3</v>
      </c>
      <c r="AA1478">
        <v>0.99720469999999894</v>
      </c>
      <c r="AB1478">
        <v>28</v>
      </c>
      <c r="AC1478">
        <v>16.501300000000001</v>
      </c>
      <c r="AD1478">
        <v>-1.1101796147229901</v>
      </c>
      <c r="AE1478">
        <v>-1.4245999999999901</v>
      </c>
      <c r="AF1478">
        <v>1.2440941370671299</v>
      </c>
      <c r="AG1478">
        <v>-1.1101796147229901</v>
      </c>
      <c r="AH1478">
        <v>16.441597627263398</v>
      </c>
      <c r="AI1478">
        <v>93.851918916181702</v>
      </c>
      <c r="AJ1478">
        <v>85.6728191256109</v>
      </c>
      <c r="AK1478">
        <v>16.5259311851304</v>
      </c>
      <c r="AL1478">
        <v>79.702352987428299</v>
      </c>
      <c r="AM1478">
        <v>89.617467891872394</v>
      </c>
      <c r="AN1478">
        <v>0.99999994748913501</v>
      </c>
    </row>
    <row r="1479" spans="1:40" x14ac:dyDescent="0.25">
      <c r="A1479" t="str">
        <f>"20190312172114240"</f>
        <v>20190312172114240</v>
      </c>
      <c r="B1479" t="str">
        <f>"1552382474232950"</f>
        <v>1552382474232950</v>
      </c>
      <c r="C1479" t="s">
        <v>40</v>
      </c>
      <c r="D1479">
        <v>3.3863430000000001</v>
      </c>
      <c r="E1479">
        <v>0.52695859999999894</v>
      </c>
      <c r="F1479" t="s">
        <v>41</v>
      </c>
      <c r="G1479">
        <v>-228.70410000000001</v>
      </c>
      <c r="H1479">
        <v>1.050613</v>
      </c>
      <c r="I1479">
        <v>367.17779999999999</v>
      </c>
      <c r="J1479">
        <v>-229.4323</v>
      </c>
      <c r="K1479">
        <v>1.1101780000000001</v>
      </c>
      <c r="L1479">
        <v>367.25360000000001</v>
      </c>
      <c r="M1479">
        <v>0.99987239999999999</v>
      </c>
      <c r="N1479">
        <v>0</v>
      </c>
      <c r="O1479">
        <v>-1.05944E-2</v>
      </c>
      <c r="P1479">
        <v>0.98579930000000004</v>
      </c>
      <c r="Q1479">
        <v>0.16701260000000001</v>
      </c>
      <c r="R1479">
        <v>-1.750581E-2</v>
      </c>
      <c r="S1479">
        <v>3.0732879999999998</v>
      </c>
      <c r="T1479">
        <v>-0.2046982</v>
      </c>
      <c r="U1479">
        <v>-0.26528930000000001</v>
      </c>
      <c r="V1479">
        <v>7.0668629999999996E-3</v>
      </c>
      <c r="W1479">
        <v>0.17878429999999901</v>
      </c>
      <c r="X1479">
        <v>0.98386289999999998</v>
      </c>
      <c r="Y1479">
        <v>7.5298190000000001E-2</v>
      </c>
      <c r="Z1479">
        <v>-1.79671E-3</v>
      </c>
      <c r="AA1479">
        <v>0.99715940000000003</v>
      </c>
      <c r="AB1479">
        <v>28</v>
      </c>
      <c r="AC1479">
        <v>0.72819999999998597</v>
      </c>
      <c r="AD1479">
        <v>-5.9565E-2</v>
      </c>
      <c r="AE1479">
        <v>-7.5800000000015105E-2</v>
      </c>
      <c r="AF1479">
        <v>6.7632682616032697E-2</v>
      </c>
      <c r="AG1479">
        <v>-5.9565E-2</v>
      </c>
      <c r="AH1479">
        <v>0.72416887454481804</v>
      </c>
      <c r="AI1479">
        <v>94.681876667052094</v>
      </c>
      <c r="AJ1479">
        <v>84.664422291586604</v>
      </c>
      <c r="AK1479">
        <v>0.72975525201422797</v>
      </c>
      <c r="AL1479">
        <v>79.701043127849701</v>
      </c>
      <c r="AM1479">
        <v>89.588464550031404</v>
      </c>
      <c r="AN1479">
        <v>0.99999998623777997</v>
      </c>
    </row>
    <row r="1480" spans="1:40" x14ac:dyDescent="0.25">
      <c r="A1480" t="str">
        <f>"20190312172114252"</f>
        <v>20190312172114252</v>
      </c>
      <c r="B1480" t="str">
        <f>"1552382474242709"</f>
        <v>1552382474242709</v>
      </c>
      <c r="C1480" t="s">
        <v>40</v>
      </c>
      <c r="D1480">
        <v>3.3916539999999999</v>
      </c>
      <c r="E1480">
        <v>0.52696580000000004</v>
      </c>
      <c r="F1480" t="s">
        <v>41</v>
      </c>
      <c r="G1480">
        <v>-228.4562</v>
      </c>
      <c r="H1480">
        <v>1.045185</v>
      </c>
      <c r="I1480">
        <v>367.16879999999998</v>
      </c>
      <c r="J1480">
        <v>-229.27359999999999</v>
      </c>
      <c r="K1480">
        <v>1.110177</v>
      </c>
      <c r="L1480">
        <v>367.25189999999998</v>
      </c>
      <c r="M1480">
        <v>0.99987239999999999</v>
      </c>
      <c r="N1480">
        <v>0</v>
      </c>
      <c r="O1480">
        <v>-1.0594259999999999E-2</v>
      </c>
      <c r="P1480">
        <v>0.9857667</v>
      </c>
      <c r="Q1480">
        <v>0.16717860000000001</v>
      </c>
      <c r="R1480">
        <v>-1.7759099999999899E-2</v>
      </c>
      <c r="S1480">
        <v>3.0731660000000001</v>
      </c>
      <c r="T1480">
        <v>-0.20461370000000001</v>
      </c>
      <c r="U1480">
        <v>-0.26669310000000002</v>
      </c>
      <c r="V1480">
        <v>7.3206749999999996E-3</v>
      </c>
      <c r="W1480">
        <v>0.17894669999999999</v>
      </c>
      <c r="X1480">
        <v>0.98383149999999997</v>
      </c>
      <c r="Y1480">
        <v>7.5752940000000005E-2</v>
      </c>
      <c r="Z1480">
        <v>-1.8111100000000001E-3</v>
      </c>
      <c r="AA1480">
        <v>0.99712500000000004</v>
      </c>
      <c r="AB1480">
        <v>28</v>
      </c>
      <c r="AC1480">
        <v>0.81739999999999202</v>
      </c>
      <c r="AD1480">
        <v>-6.4991999999999897E-2</v>
      </c>
      <c r="AE1480">
        <v>-8.31000000000017E-2</v>
      </c>
      <c r="AF1480">
        <v>7.3972105122677795E-2</v>
      </c>
      <c r="AG1480">
        <v>-6.4991999999999897E-2</v>
      </c>
      <c r="AH1480">
        <v>0.81314648896728603</v>
      </c>
      <c r="AI1480">
        <v>94.551027115815202</v>
      </c>
      <c r="AJ1480">
        <v>84.802098070829601</v>
      </c>
      <c r="AK1480">
        <v>0.81908671391990295</v>
      </c>
      <c r="AL1480">
        <v>79.691585579639707</v>
      </c>
      <c r="AM1480">
        <v>89.573670857606601</v>
      </c>
      <c r="AN1480">
        <v>0.99999996705779703</v>
      </c>
    </row>
    <row r="1481" spans="1:40" x14ac:dyDescent="0.25">
      <c r="A1481" t="str">
        <f>"20190312172114266"</f>
        <v>20190312172114266</v>
      </c>
      <c r="B1481" t="str">
        <f>"1552382474262230"</f>
        <v>1552382474262230</v>
      </c>
      <c r="C1481" t="s">
        <v>40</v>
      </c>
      <c r="D1481">
        <v>3.3809900000000002</v>
      </c>
      <c r="E1481">
        <v>0.52698619999999996</v>
      </c>
      <c r="F1481" t="s">
        <v>41</v>
      </c>
      <c r="G1481">
        <v>-228.44030000000001</v>
      </c>
      <c r="H1481">
        <v>1.0548040000000001</v>
      </c>
      <c r="I1481">
        <v>367.17939999999999</v>
      </c>
      <c r="J1481">
        <v>-229.12</v>
      </c>
      <c r="K1481">
        <v>1.110177</v>
      </c>
      <c r="L1481">
        <v>367.25029999999998</v>
      </c>
      <c r="M1481">
        <v>0.9998726</v>
      </c>
      <c r="N1481">
        <v>0</v>
      </c>
      <c r="O1481">
        <v>-1.059424E-2</v>
      </c>
      <c r="P1481">
        <v>0.98576960000000002</v>
      </c>
      <c r="Q1481">
        <v>0.16716</v>
      </c>
      <c r="R1481">
        <v>-1.777983E-2</v>
      </c>
      <c r="S1481">
        <v>3.0731660000000001</v>
      </c>
      <c r="T1481">
        <v>-0.2042166</v>
      </c>
      <c r="U1481">
        <v>-0.26739499999999999</v>
      </c>
      <c r="V1481">
        <v>7.3413599999999999E-3</v>
      </c>
      <c r="W1481">
        <v>0.17892459999999999</v>
      </c>
      <c r="X1481">
        <v>0.98383540000000003</v>
      </c>
      <c r="Y1481">
        <v>7.5979069999999996E-2</v>
      </c>
      <c r="Z1481">
        <v>-1.8150779999999999E-3</v>
      </c>
      <c r="AA1481">
        <v>0.99710770000000004</v>
      </c>
      <c r="AB1481">
        <v>28</v>
      </c>
      <c r="AC1481">
        <v>0.67969999999999597</v>
      </c>
      <c r="AD1481">
        <v>-5.5372999999999797E-2</v>
      </c>
      <c r="AE1481">
        <v>-7.0899999999994606E-2</v>
      </c>
      <c r="AF1481">
        <v>6.3279148910670893E-2</v>
      </c>
      <c r="AG1481">
        <v>-5.5372999999999797E-2</v>
      </c>
      <c r="AH1481">
        <v>0.67597498373868303</v>
      </c>
      <c r="AI1481">
        <v>94.662676251352195</v>
      </c>
      <c r="AJ1481">
        <v>84.652031578857802</v>
      </c>
      <c r="AK1481">
        <v>0.68118470215967997</v>
      </c>
      <c r="AL1481">
        <v>79.692872943184597</v>
      </c>
      <c r="AM1481">
        <v>89.572467978776402</v>
      </c>
      <c r="AN1481">
        <v>1.0000000011724799</v>
      </c>
    </row>
    <row r="1482" spans="1:40" x14ac:dyDescent="0.25">
      <c r="A1482" t="str">
        <f>"20190312172114277"</f>
        <v>20190312172114277</v>
      </c>
      <c r="B1482" t="str">
        <f>"1552382474271990"</f>
        <v>1552382474271990</v>
      </c>
      <c r="C1482" t="s">
        <v>40</v>
      </c>
      <c r="D1482">
        <v>3.372147</v>
      </c>
      <c r="E1482">
        <v>0.52699989999999997</v>
      </c>
      <c r="F1482" t="s">
        <v>41</v>
      </c>
      <c r="G1482">
        <v>-228.2003</v>
      </c>
      <c r="H1482">
        <v>1.0490980000000001</v>
      </c>
      <c r="I1482">
        <v>367.17009999999999</v>
      </c>
      <c r="J1482">
        <v>-228.96170000000001</v>
      </c>
      <c r="K1482">
        <v>1.110174</v>
      </c>
      <c r="L1482">
        <v>367.24860000000001</v>
      </c>
      <c r="M1482">
        <v>0.99987269999999995</v>
      </c>
      <c r="N1482">
        <v>0</v>
      </c>
      <c r="O1482">
        <v>-1.059423E-2</v>
      </c>
      <c r="P1482">
        <v>0.9857281</v>
      </c>
      <c r="Q1482">
        <v>0.16740450000000001</v>
      </c>
      <c r="R1482">
        <v>-1.777339E-2</v>
      </c>
      <c r="S1482">
        <v>3.0731199999999999</v>
      </c>
      <c r="T1482">
        <v>-0.2042262</v>
      </c>
      <c r="U1482">
        <v>-0.26773069999999999</v>
      </c>
      <c r="V1482">
        <v>7.3354149999999996E-3</v>
      </c>
      <c r="W1482">
        <v>0.17916579999999999</v>
      </c>
      <c r="X1482">
        <v>0.98379150000000004</v>
      </c>
      <c r="Y1482">
        <v>7.6088219999999998E-2</v>
      </c>
      <c r="Z1482">
        <v>-1.8187979999999999E-3</v>
      </c>
      <c r="AA1482">
        <v>0.99709950000000003</v>
      </c>
      <c r="AB1482">
        <v>28</v>
      </c>
      <c r="AC1482">
        <v>0.76140000000000896</v>
      </c>
      <c r="AD1482">
        <v>-6.1076000000000102E-2</v>
      </c>
      <c r="AE1482">
        <v>-7.8500000000019499E-2</v>
      </c>
      <c r="AF1482">
        <v>6.9983002939379396E-2</v>
      </c>
      <c r="AG1482">
        <v>-6.1076000000000102E-2</v>
      </c>
      <c r="AH1482">
        <v>0.75736694134328297</v>
      </c>
      <c r="AI1482">
        <v>94.591026534418603</v>
      </c>
      <c r="AJ1482">
        <v>84.720687587886204</v>
      </c>
      <c r="AK1482">
        <v>0.76304166486247205</v>
      </c>
      <c r="AL1482">
        <v>79.678825724086593</v>
      </c>
      <c r="AM1482">
        <v>89.572795117706306</v>
      </c>
      <c r="AN1482">
        <v>0.99999995383755502</v>
      </c>
    </row>
    <row r="1483" spans="1:40" x14ac:dyDescent="0.25">
      <c r="A1483" t="str">
        <f>"20190312172114289"</f>
        <v>20190312172114289</v>
      </c>
      <c r="B1483" t="str">
        <f>"1552382474282725"</f>
        <v>1552382474282725</v>
      </c>
      <c r="C1483" t="s">
        <v>40</v>
      </c>
      <c r="D1483">
        <v>3.3944779999999999</v>
      </c>
      <c r="E1483">
        <v>0.52700579999999997</v>
      </c>
      <c r="F1483" t="s">
        <v>42</v>
      </c>
      <c r="G1483">
        <v>-212.19550000000001</v>
      </c>
      <c r="H1483" s="1">
        <v>-4.0096609999999999E-6</v>
      </c>
      <c r="I1483">
        <v>365.78730000000002</v>
      </c>
      <c r="J1483">
        <v>-228.82300000000001</v>
      </c>
      <c r="K1483">
        <v>1.1101749999999999</v>
      </c>
      <c r="L1483">
        <v>367.24709999999999</v>
      </c>
      <c r="M1483">
        <v>0.9998726</v>
      </c>
      <c r="N1483">
        <v>0</v>
      </c>
      <c r="O1483">
        <v>-1.0593969999999999E-2</v>
      </c>
      <c r="P1483">
        <v>0.98572150000000003</v>
      </c>
      <c r="Q1483">
        <v>0.16741979999999901</v>
      </c>
      <c r="R1483">
        <v>-1.800531E-2</v>
      </c>
      <c r="S1483">
        <v>3.0731809999999999</v>
      </c>
      <c r="T1483">
        <v>-0.20349010000000001</v>
      </c>
      <c r="U1483">
        <v>-0.2678528</v>
      </c>
      <c r="V1483">
        <v>7.5674309999999899E-3</v>
      </c>
      <c r="W1483">
        <v>0.17917839999999999</v>
      </c>
      <c r="X1483">
        <v>0.98378750000000004</v>
      </c>
      <c r="Y1483">
        <v>7.6127009999999995E-2</v>
      </c>
      <c r="Z1483">
        <v>-1.8135149999999999E-3</v>
      </c>
      <c r="AA1483">
        <v>0.99709650000000005</v>
      </c>
      <c r="AB1483">
        <v>28</v>
      </c>
      <c r="AC1483">
        <v>16.627499999999898</v>
      </c>
      <c r="AD1483">
        <v>-1.11017900966099</v>
      </c>
      <c r="AE1483">
        <v>-1.45979999999997</v>
      </c>
      <c r="AF1483">
        <v>1.27790107027083</v>
      </c>
      <c r="AG1483">
        <v>-1.11017900966099</v>
      </c>
      <c r="AH1483">
        <v>16.568735840999299</v>
      </c>
      <c r="AI1483">
        <v>93.822025022615307</v>
      </c>
      <c r="AJ1483">
        <v>85.589665250756795</v>
      </c>
      <c r="AK1483">
        <v>16.6549853181474</v>
      </c>
      <c r="AL1483">
        <v>79.678092457568198</v>
      </c>
      <c r="AM1483">
        <v>89.559281545229098</v>
      </c>
      <c r="AN1483">
        <v>1.0000000050973701</v>
      </c>
    </row>
    <row r="1484" spans="1:40" x14ac:dyDescent="0.25">
      <c r="A1484" t="str">
        <f>"20190312172114300"</f>
        <v>20190312172114300</v>
      </c>
      <c r="B1484" t="str">
        <f>"1552382474292486"</f>
        <v>1552382474292486</v>
      </c>
      <c r="C1484" t="s">
        <v>40</v>
      </c>
      <c r="D1484">
        <v>3.3352919999999999</v>
      </c>
      <c r="E1484">
        <v>0.52700999999999998</v>
      </c>
      <c r="F1484" t="s">
        <v>41</v>
      </c>
      <c r="G1484">
        <v>-227.94489999999999</v>
      </c>
      <c r="H1484">
        <v>1.0520430000000001</v>
      </c>
      <c r="I1484">
        <v>367.17039999999997</v>
      </c>
      <c r="J1484">
        <v>-228.67679999999999</v>
      </c>
      <c r="K1484">
        <v>1.1101730000000001</v>
      </c>
      <c r="L1484">
        <v>367.24560000000002</v>
      </c>
      <c r="M1484">
        <v>0.9998726</v>
      </c>
      <c r="N1484">
        <v>0</v>
      </c>
      <c r="O1484">
        <v>-1.0593959999999999E-2</v>
      </c>
      <c r="P1484">
        <v>0.9856684</v>
      </c>
      <c r="Q1484">
        <v>0.16776050000000001</v>
      </c>
      <c r="R1484">
        <v>-1.7736350000000001E-2</v>
      </c>
      <c r="S1484">
        <v>3.0731350000000002</v>
      </c>
      <c r="T1484">
        <v>-0.2034733</v>
      </c>
      <c r="U1484">
        <v>-0.26843260000000002</v>
      </c>
      <c r="V1484">
        <v>7.299074E-3</v>
      </c>
      <c r="W1484">
        <v>0.1795157</v>
      </c>
      <c r="X1484">
        <v>0.98372809999999999</v>
      </c>
      <c r="Y1484">
        <v>7.6314629999999994E-2</v>
      </c>
      <c r="Z1484">
        <v>-1.8195710000000001E-3</v>
      </c>
      <c r="AA1484">
        <v>0.99708209999999997</v>
      </c>
      <c r="AB1484">
        <v>28</v>
      </c>
      <c r="AC1484">
        <v>0.731899999999996</v>
      </c>
      <c r="AD1484">
        <v>-5.8129999999999703E-2</v>
      </c>
      <c r="AE1484">
        <v>-7.52000000000521E-2</v>
      </c>
      <c r="AF1484">
        <v>6.7023136706277506E-2</v>
      </c>
      <c r="AG1484">
        <v>-5.8129999999999703E-2</v>
      </c>
      <c r="AH1484">
        <v>0.72811064514548696</v>
      </c>
      <c r="AI1484">
        <v>94.545491967885596</v>
      </c>
      <c r="AJ1484">
        <v>84.740701268113995</v>
      </c>
      <c r="AK1484">
        <v>0.73349595045107496</v>
      </c>
      <c r="AL1484">
        <v>79.658448741387303</v>
      </c>
      <c r="AM1484">
        <v>89.574884096297694</v>
      </c>
      <c r="AN1484">
        <v>1.0000000688786701</v>
      </c>
    </row>
    <row r="1485" spans="1:40" x14ac:dyDescent="0.25">
      <c r="A1485" t="str">
        <f>"20190312172114310"</f>
        <v>20190312172114310</v>
      </c>
      <c r="B1485" t="str">
        <f>"1552382474302246"</f>
        <v>1552382474302246</v>
      </c>
      <c r="C1485" t="s">
        <v>40</v>
      </c>
      <c r="D1485">
        <v>3.4189120000000002</v>
      </c>
      <c r="E1485">
        <v>0.52697269999999996</v>
      </c>
      <c r="F1485" t="s">
        <v>41</v>
      </c>
      <c r="G1485">
        <v>-227.6979</v>
      </c>
      <c r="H1485">
        <v>1.045787</v>
      </c>
      <c r="I1485">
        <v>367.16019999999997</v>
      </c>
      <c r="J1485">
        <v>-228.5428</v>
      </c>
      <c r="K1485">
        <v>1.110177</v>
      </c>
      <c r="L1485">
        <v>367.2441</v>
      </c>
      <c r="M1485">
        <v>0.99987269999999995</v>
      </c>
      <c r="N1485">
        <v>0</v>
      </c>
      <c r="O1485">
        <v>-1.059395E-2</v>
      </c>
      <c r="P1485">
        <v>0.98571089999999995</v>
      </c>
      <c r="Q1485">
        <v>0.16753409999999999</v>
      </c>
      <c r="R1485">
        <v>-1.7501070000000001E-2</v>
      </c>
      <c r="S1485">
        <v>3.0732270000000002</v>
      </c>
      <c r="T1485">
        <v>-0.20240630000000001</v>
      </c>
      <c r="U1485">
        <v>-0.26730350000000003</v>
      </c>
      <c r="V1485">
        <v>7.0635530000000002E-3</v>
      </c>
      <c r="W1485">
        <v>0.17928769999999999</v>
      </c>
      <c r="X1485">
        <v>0.98377130000000002</v>
      </c>
      <c r="Y1485">
        <v>7.5950740000000003E-2</v>
      </c>
      <c r="Z1485">
        <v>-1.7980779999999901E-3</v>
      </c>
      <c r="AA1485">
        <v>0.99710989999999999</v>
      </c>
      <c r="AB1485">
        <v>28</v>
      </c>
      <c r="AC1485">
        <v>0.84489999999999499</v>
      </c>
      <c r="AD1485">
        <v>-6.4389999999999906E-2</v>
      </c>
      <c r="AE1485">
        <v>-8.3900000000028202E-2</v>
      </c>
      <c r="AF1485">
        <v>7.4515267211175906E-2</v>
      </c>
      <c r="AG1485">
        <v>-6.4389999999999906E-2</v>
      </c>
      <c r="AH1485">
        <v>0.84090519192283797</v>
      </c>
      <c r="AI1485">
        <v>94.361697149115301</v>
      </c>
      <c r="AJ1485">
        <v>84.936066715936903</v>
      </c>
      <c r="AK1485">
        <v>0.84665231290674303</v>
      </c>
      <c r="AL1485">
        <v>79.671726603627306</v>
      </c>
      <c r="AM1485">
        <v>89.588619000459602</v>
      </c>
      <c r="AN1485">
        <v>0.99999997192798096</v>
      </c>
    </row>
    <row r="1486" spans="1:40" x14ac:dyDescent="0.25">
      <c r="A1486" t="str">
        <f>"20190312172114320"</f>
        <v>20190312172114320</v>
      </c>
      <c r="B1486" t="str">
        <f>"1552382474312006"</f>
        <v>1552382474312006</v>
      </c>
      <c r="C1486" t="s">
        <v>40</v>
      </c>
      <c r="D1486">
        <v>3.45384</v>
      </c>
      <c r="E1486">
        <v>0.52697269999999996</v>
      </c>
      <c r="F1486" t="s">
        <v>41</v>
      </c>
      <c r="G1486">
        <v>-227.69049999999999</v>
      </c>
      <c r="H1486">
        <v>1.053904</v>
      </c>
      <c r="I1486">
        <v>367.17</v>
      </c>
      <c r="J1486">
        <v>-228.41329999999999</v>
      </c>
      <c r="K1486">
        <v>1.110177</v>
      </c>
      <c r="L1486">
        <v>367.24279999999999</v>
      </c>
      <c r="M1486">
        <v>0.99987269999999995</v>
      </c>
      <c r="N1486">
        <v>0</v>
      </c>
      <c r="O1486">
        <v>-1.059417E-2</v>
      </c>
      <c r="P1486">
        <v>0.98573339999999998</v>
      </c>
      <c r="Q1486">
        <v>0.1674255</v>
      </c>
      <c r="R1486">
        <v>-1.7282550000000001E-2</v>
      </c>
      <c r="S1486">
        <v>3.0733030000000001</v>
      </c>
      <c r="T1486">
        <v>-0.20323669999999999</v>
      </c>
      <c r="U1486">
        <v>-0.2664185</v>
      </c>
      <c r="V1486">
        <v>6.8445169999999996E-3</v>
      </c>
      <c r="W1486">
        <v>0.179178</v>
      </c>
      <c r="X1486">
        <v>0.98379289999999997</v>
      </c>
      <c r="Y1486">
        <v>7.5662869999999993E-2</v>
      </c>
      <c r="Z1486">
        <v>-1.7959110000000001E-3</v>
      </c>
      <c r="AA1486">
        <v>0.99713180000000001</v>
      </c>
      <c r="AB1486">
        <v>28</v>
      </c>
      <c r="AC1486">
        <v>0.72280000000000599</v>
      </c>
      <c r="AD1486">
        <v>-5.6272999999999802E-2</v>
      </c>
      <c r="AE1486">
        <v>-7.2799999999972401E-2</v>
      </c>
      <c r="AF1486">
        <v>6.4749380404908602E-2</v>
      </c>
      <c r="AG1486">
        <v>-5.6272999999999802E-2</v>
      </c>
      <c r="AH1486">
        <v>0.71921516081795001</v>
      </c>
      <c r="AI1486">
        <v>94.455887143160098</v>
      </c>
      <c r="AJ1486">
        <v>84.855653702811296</v>
      </c>
      <c r="AK1486">
        <v>0.72431317835740805</v>
      </c>
      <c r="AL1486">
        <v>79.678116081540907</v>
      </c>
      <c r="AM1486">
        <v>89.601383980580707</v>
      </c>
      <c r="AN1486">
        <v>1.0000000365936801</v>
      </c>
    </row>
    <row r="1487" spans="1:40" x14ac:dyDescent="0.25">
      <c r="A1487" t="str">
        <f>"20190312172114331"</f>
        <v>20190312172114331</v>
      </c>
      <c r="B1487" t="str">
        <f>"1552382474322742"</f>
        <v>1552382474322742</v>
      </c>
      <c r="C1487" t="s">
        <v>40</v>
      </c>
      <c r="D1487">
        <v>3.4415740000000001</v>
      </c>
      <c r="E1487">
        <v>0.52661669999999905</v>
      </c>
      <c r="F1487" t="s">
        <v>41</v>
      </c>
      <c r="G1487">
        <v>-227.44499999999999</v>
      </c>
      <c r="H1487">
        <v>1.046054</v>
      </c>
      <c r="I1487">
        <v>367.15899999999999</v>
      </c>
      <c r="J1487">
        <v>-228.2783</v>
      </c>
      <c r="K1487">
        <v>1.1101700000000001</v>
      </c>
      <c r="L1487">
        <v>367.24130000000002</v>
      </c>
      <c r="M1487">
        <v>0.99987269999999995</v>
      </c>
      <c r="N1487">
        <v>0</v>
      </c>
      <c r="O1487">
        <v>-1.059393E-2</v>
      </c>
      <c r="P1487">
        <v>0.98570310000000005</v>
      </c>
      <c r="Q1487">
        <v>0.16761609999999999</v>
      </c>
      <c r="R1487">
        <v>-1.7154599999999999E-2</v>
      </c>
      <c r="S1487">
        <v>3.0733489999999999</v>
      </c>
      <c r="T1487">
        <v>-0.2036297</v>
      </c>
      <c r="U1487">
        <v>-0.2654724</v>
      </c>
      <c r="V1487">
        <v>6.7171920000000003E-3</v>
      </c>
      <c r="W1487">
        <v>0.17936649999999901</v>
      </c>
      <c r="X1487">
        <v>0.98375939999999995</v>
      </c>
      <c r="Y1487">
        <v>7.5357300000000002E-2</v>
      </c>
      <c r="Z1487">
        <v>-1.789297E-3</v>
      </c>
      <c r="AA1487">
        <v>0.99715500000000001</v>
      </c>
      <c r="AB1487">
        <v>28</v>
      </c>
      <c r="AC1487">
        <v>0.83330000000000803</v>
      </c>
      <c r="AD1487">
        <v>-6.4116000000000006E-2</v>
      </c>
      <c r="AE1487">
        <v>-8.2300000000032E-2</v>
      </c>
      <c r="AF1487">
        <v>7.30386107029104E-2</v>
      </c>
      <c r="AG1487">
        <v>-6.4116000000000006E-2</v>
      </c>
      <c r="AH1487">
        <v>0.82926326479783596</v>
      </c>
      <c r="AI1487">
        <v>94.404149824717194</v>
      </c>
      <c r="AJ1487">
        <v>84.966576675834901</v>
      </c>
      <c r="AK1487">
        <v>0.83493895732117895</v>
      </c>
      <c r="AL1487">
        <v>79.667137694111304</v>
      </c>
      <c r="AM1487">
        <v>89.608785673848303</v>
      </c>
      <c r="AN1487">
        <v>1.0000000095394801</v>
      </c>
    </row>
    <row r="1488" spans="1:40" x14ac:dyDescent="0.25">
      <c r="A1488" t="str">
        <f>"20190312172114342"</f>
        <v>20190312172114342</v>
      </c>
      <c r="B1488" t="str">
        <f>"1552382474332502"</f>
        <v>1552382474332502</v>
      </c>
      <c r="C1488" t="s">
        <v>40</v>
      </c>
      <c r="D1488">
        <v>3.4053140000000002</v>
      </c>
      <c r="E1488">
        <v>0.52641340000000003</v>
      </c>
      <c r="F1488" t="s">
        <v>41</v>
      </c>
      <c r="G1488">
        <v>-227.4324</v>
      </c>
      <c r="H1488">
        <v>1.054665</v>
      </c>
      <c r="I1488">
        <v>367.16910000000001</v>
      </c>
      <c r="J1488">
        <v>-228.1533</v>
      </c>
      <c r="K1488">
        <v>1.1101719999999999</v>
      </c>
      <c r="L1488">
        <v>367.24</v>
      </c>
      <c r="M1488">
        <v>0.99987289999999995</v>
      </c>
      <c r="N1488">
        <v>0</v>
      </c>
      <c r="O1488">
        <v>-1.059392E-2</v>
      </c>
      <c r="P1488">
        <v>0.98575310000000005</v>
      </c>
      <c r="Q1488">
        <v>0.16734869999999999</v>
      </c>
      <c r="R1488">
        <v>-1.690417E-2</v>
      </c>
      <c r="S1488">
        <v>3.073242</v>
      </c>
      <c r="T1488">
        <v>-0.20176050000000001</v>
      </c>
      <c r="U1488">
        <v>-0.2619629</v>
      </c>
      <c r="V1488">
        <v>6.4660869999999997E-3</v>
      </c>
      <c r="W1488">
        <v>0.1790987</v>
      </c>
      <c r="X1488">
        <v>0.98380990000000001</v>
      </c>
      <c r="Y1488">
        <v>7.4234800000000004E-2</v>
      </c>
      <c r="Z1488">
        <v>-1.7363140000000001E-3</v>
      </c>
      <c r="AA1488">
        <v>0.99723930000000005</v>
      </c>
      <c r="AB1488">
        <v>28</v>
      </c>
      <c r="AC1488">
        <v>0.72089999999999999</v>
      </c>
      <c r="AD1488">
        <v>-5.5506999999999897E-2</v>
      </c>
      <c r="AE1488">
        <v>-7.0899999999994606E-2</v>
      </c>
      <c r="AF1488">
        <v>6.2889055137974104E-2</v>
      </c>
      <c r="AG1488">
        <v>-5.5506999999999897E-2</v>
      </c>
      <c r="AH1488">
        <v>0.71739834372084998</v>
      </c>
      <c r="AI1488">
        <v>94.4074749580234</v>
      </c>
      <c r="AJ1488">
        <v>84.990105975856196</v>
      </c>
      <c r="AK1488">
        <v>0.72228556947966704</v>
      </c>
      <c r="AL1488">
        <v>79.682734346199396</v>
      </c>
      <c r="AM1488">
        <v>89.623429119201802</v>
      </c>
      <c r="AN1488">
        <v>1.0000000369803901</v>
      </c>
    </row>
    <row r="1489" spans="1:40" x14ac:dyDescent="0.25">
      <c r="A1489" t="str">
        <f>"20190312172114352"</f>
        <v>20190312172114352</v>
      </c>
      <c r="B1489" t="str">
        <f>"1552382474342263"</f>
        <v>1552382474342263</v>
      </c>
      <c r="C1489" t="s">
        <v>40</v>
      </c>
      <c r="D1489">
        <v>3.426955</v>
      </c>
      <c r="E1489">
        <v>0.52622219999999997</v>
      </c>
      <c r="F1489" t="s">
        <v>41</v>
      </c>
      <c r="G1489">
        <v>-227.19159999999999</v>
      </c>
      <c r="H1489">
        <v>1.047048</v>
      </c>
      <c r="I1489">
        <v>367.15859999999998</v>
      </c>
      <c r="J1489">
        <v>-228.01949999999999</v>
      </c>
      <c r="K1489">
        <v>1.1101719999999999</v>
      </c>
      <c r="L1489">
        <v>367.23860000000002</v>
      </c>
      <c r="M1489">
        <v>0.99987269999999995</v>
      </c>
      <c r="N1489">
        <v>0</v>
      </c>
      <c r="O1489">
        <v>-1.059381E-2</v>
      </c>
      <c r="P1489">
        <v>0.98576949999999997</v>
      </c>
      <c r="Q1489">
        <v>0.1672767</v>
      </c>
      <c r="R1489">
        <v>-1.6650120000000001E-2</v>
      </c>
      <c r="S1489">
        <v>3.0731959999999998</v>
      </c>
      <c r="T1489">
        <v>-0.20187369999999999</v>
      </c>
      <c r="U1489">
        <v>-0.25961299999999998</v>
      </c>
      <c r="V1489">
        <v>6.2121950000000002E-3</v>
      </c>
      <c r="W1489">
        <v>0.17902779999999999</v>
      </c>
      <c r="X1489">
        <v>0.98382440000000004</v>
      </c>
      <c r="Y1489">
        <v>7.3480519999999994E-2</v>
      </c>
      <c r="Z1489">
        <v>-1.7126699999999999E-3</v>
      </c>
      <c r="AA1489">
        <v>0.99729520000000005</v>
      </c>
      <c r="AB1489">
        <v>28</v>
      </c>
      <c r="AC1489">
        <v>0.82789999999999897</v>
      </c>
      <c r="AD1489">
        <v>-6.3123999999999902E-2</v>
      </c>
      <c r="AE1489">
        <v>-8.00000000000409E-2</v>
      </c>
      <c r="AF1489">
        <v>7.0816392049225199E-2</v>
      </c>
      <c r="AG1489">
        <v>-6.3123999999999902E-2</v>
      </c>
      <c r="AH1489">
        <v>0.82395539649822003</v>
      </c>
      <c r="AI1489">
        <v>94.3648969209668</v>
      </c>
      <c r="AJ1489">
        <v>85.087678577786605</v>
      </c>
      <c r="AK1489">
        <v>0.829398635263773</v>
      </c>
      <c r="AL1489">
        <v>79.686862937760097</v>
      </c>
      <c r="AM1489">
        <v>89.638220169486999</v>
      </c>
      <c r="AN1489">
        <v>0.99999999728745903</v>
      </c>
    </row>
    <row r="1490" spans="1:40" x14ac:dyDescent="0.25">
      <c r="A1490" t="str">
        <f>"20190312172114362"</f>
        <v>20190312172114362</v>
      </c>
      <c r="B1490" t="str">
        <f>"1552382474352024"</f>
        <v>1552382474352024</v>
      </c>
      <c r="C1490" t="s">
        <v>40</v>
      </c>
      <c r="D1490">
        <v>3.4070269999999998</v>
      </c>
      <c r="E1490">
        <v>0.52602349999999998</v>
      </c>
      <c r="F1490" t="s">
        <v>41</v>
      </c>
      <c r="G1490">
        <v>-227.1738</v>
      </c>
      <c r="H1490">
        <v>1.0547879999999901</v>
      </c>
      <c r="I1490">
        <v>367.16750000000002</v>
      </c>
      <c r="J1490">
        <v>-227.88939999999999</v>
      </c>
      <c r="K1490">
        <v>1.1101730000000001</v>
      </c>
      <c r="L1490">
        <v>367.23719999999997</v>
      </c>
      <c r="M1490">
        <v>0.99987269999999995</v>
      </c>
      <c r="N1490">
        <v>0</v>
      </c>
      <c r="O1490">
        <v>-1.059358E-2</v>
      </c>
      <c r="P1490">
        <v>0.98577890000000001</v>
      </c>
      <c r="Q1490">
        <v>0.16725139999999999</v>
      </c>
      <c r="R1490">
        <v>-1.634478E-2</v>
      </c>
      <c r="S1490">
        <v>3.0731350000000002</v>
      </c>
      <c r="T1490">
        <v>-0.20141790000000001</v>
      </c>
      <c r="U1490">
        <v>-0.2576599</v>
      </c>
      <c r="V1490">
        <v>5.9067919999999897E-3</v>
      </c>
      <c r="W1490">
        <v>0.17900389999999999</v>
      </c>
      <c r="X1490">
        <v>0.9838306</v>
      </c>
      <c r="Y1490">
        <v>7.2854940000000007E-2</v>
      </c>
      <c r="Z1490">
        <v>-1.6884619999999999E-3</v>
      </c>
      <c r="AA1490">
        <v>0.99734109999999998</v>
      </c>
      <c r="AB1490">
        <v>28</v>
      </c>
      <c r="AC1490">
        <v>0.71559999999999402</v>
      </c>
      <c r="AD1490">
        <v>-5.5384999999999997E-2</v>
      </c>
      <c r="AE1490">
        <v>-6.9699999999954798E-2</v>
      </c>
      <c r="AF1490">
        <v>6.1748371849493097E-2</v>
      </c>
      <c r="AG1490">
        <v>-5.5384999999999997E-2</v>
      </c>
      <c r="AH1490">
        <v>0.71207286866400399</v>
      </c>
      <c r="AI1490">
        <v>94.430947225415295</v>
      </c>
      <c r="AJ1490">
        <v>85.043916173008697</v>
      </c>
      <c r="AK1490">
        <v>0.71688780847385603</v>
      </c>
      <c r="AL1490">
        <v>79.688254484808695</v>
      </c>
      <c r="AM1490">
        <v>89.656007664635993</v>
      </c>
      <c r="AN1490">
        <v>0.99999996795165003</v>
      </c>
    </row>
    <row r="1491" spans="1:40" x14ac:dyDescent="0.25">
      <c r="A1491" t="str">
        <f>"20190312172114372"</f>
        <v>20190312172114372</v>
      </c>
      <c r="B1491" t="str">
        <f>"1552382474362759"</f>
        <v>1552382474362759</v>
      </c>
      <c r="C1491" t="s">
        <v>40</v>
      </c>
      <c r="D1491">
        <v>3.4192719999999999</v>
      </c>
      <c r="E1491">
        <v>0.52583179999999996</v>
      </c>
      <c r="F1491" t="s">
        <v>41</v>
      </c>
      <c r="G1491">
        <v>-226.93799999999999</v>
      </c>
      <c r="H1491">
        <v>1.048019</v>
      </c>
      <c r="I1491">
        <v>367.1583</v>
      </c>
      <c r="J1491">
        <v>-227.75919999999999</v>
      </c>
      <c r="K1491">
        <v>1.1101719999999999</v>
      </c>
      <c r="L1491">
        <v>367.23579999999998</v>
      </c>
      <c r="M1491">
        <v>0.9998726</v>
      </c>
      <c r="N1491">
        <v>0</v>
      </c>
      <c r="O1491">
        <v>-1.0593470000000001E-2</v>
      </c>
      <c r="P1491">
        <v>0.98575769999999996</v>
      </c>
      <c r="Q1491">
        <v>0.16737569999999999</v>
      </c>
      <c r="R1491">
        <v>-1.6344890000000001E-2</v>
      </c>
      <c r="S1491">
        <v>3.0731199999999999</v>
      </c>
      <c r="T1491">
        <v>-0.2008402</v>
      </c>
      <c r="U1491">
        <v>-0.25503540000000002</v>
      </c>
      <c r="V1491">
        <v>5.9073490000000001E-3</v>
      </c>
      <c r="W1491">
        <v>0.17913099999999901</v>
      </c>
      <c r="X1491">
        <v>0.98380749999999995</v>
      </c>
      <c r="Y1491">
        <v>7.2012090000000001E-2</v>
      </c>
      <c r="Z1491">
        <v>-1.656238E-3</v>
      </c>
      <c r="AA1491">
        <v>0.99740240000000002</v>
      </c>
      <c r="AB1491">
        <v>28</v>
      </c>
      <c r="AC1491">
        <v>0.82120000000000404</v>
      </c>
      <c r="AD1491">
        <v>-6.2152999999999903E-2</v>
      </c>
      <c r="AE1491">
        <v>-7.7499999999986302E-2</v>
      </c>
      <c r="AF1491">
        <v>6.8407274309672805E-2</v>
      </c>
      <c r="AG1491">
        <v>-6.2152999999999903E-2</v>
      </c>
      <c r="AH1491">
        <v>0.81733435546885003</v>
      </c>
      <c r="AI1491">
        <v>94.333511325098399</v>
      </c>
      <c r="AJ1491">
        <v>85.215746766574497</v>
      </c>
      <c r="AK1491">
        <v>0.82254361538897103</v>
      </c>
      <c r="AL1491">
        <v>79.680852933288307</v>
      </c>
      <c r="AM1491">
        <v>89.655967149971602</v>
      </c>
      <c r="AN1491">
        <v>1.0000000044947199</v>
      </c>
    </row>
    <row r="1492" spans="1:40" x14ac:dyDescent="0.25">
      <c r="A1492" t="str">
        <f>"20190312172114384"</f>
        <v>20190312172114384</v>
      </c>
      <c r="B1492" t="str">
        <f>"1552382474382278"</f>
        <v>1552382474382278</v>
      </c>
      <c r="C1492" t="s">
        <v>40</v>
      </c>
      <c r="D1492">
        <v>3.4333119999999999</v>
      </c>
      <c r="E1492">
        <v>0.52545980000000003</v>
      </c>
      <c r="F1492" t="s">
        <v>42</v>
      </c>
      <c r="G1492">
        <v>-210.69479999999999</v>
      </c>
      <c r="H1492" s="1">
        <v>-4.6463309999999997E-6</v>
      </c>
      <c r="I1492">
        <v>365.82740000000001</v>
      </c>
      <c r="J1492">
        <v>-227.61519999999999</v>
      </c>
      <c r="K1492">
        <v>1.1101730000000001</v>
      </c>
      <c r="L1492">
        <v>367.23430000000002</v>
      </c>
      <c r="M1492">
        <v>0.99987280000000001</v>
      </c>
      <c r="N1492">
        <v>0</v>
      </c>
      <c r="O1492">
        <v>-1.059362E-2</v>
      </c>
      <c r="P1492">
        <v>0.98574510000000004</v>
      </c>
      <c r="Q1492">
        <v>0.1674466</v>
      </c>
      <c r="R1492">
        <v>-1.63932E-2</v>
      </c>
      <c r="S1492">
        <v>3.0730900000000001</v>
      </c>
      <c r="T1492">
        <v>-0.1999283</v>
      </c>
      <c r="U1492">
        <v>-0.25363160000000001</v>
      </c>
      <c r="V1492">
        <v>5.9555839999999999E-3</v>
      </c>
      <c r="W1492">
        <v>0.17920659999999999</v>
      </c>
      <c r="X1492">
        <v>0.98379340000000004</v>
      </c>
      <c r="Y1492">
        <v>7.1562340000000002E-2</v>
      </c>
      <c r="Z1492">
        <v>-1.634181E-3</v>
      </c>
      <c r="AA1492">
        <v>0.99743479999999995</v>
      </c>
      <c r="AB1492">
        <v>28</v>
      </c>
      <c r="AC1492">
        <v>16.920400000000001</v>
      </c>
      <c r="AD1492">
        <v>-1.11017764633099</v>
      </c>
      <c r="AE1492">
        <v>-1.4069</v>
      </c>
      <c r="AF1492">
        <v>1.2223341080016901</v>
      </c>
      <c r="AG1492">
        <v>-1.11017764633099</v>
      </c>
      <c r="AH1492">
        <v>16.8622635692806</v>
      </c>
      <c r="AI1492">
        <v>93.756973403805503</v>
      </c>
      <c r="AJ1492">
        <v>85.853919595708604</v>
      </c>
      <c r="AK1492">
        <v>16.9429196940163</v>
      </c>
      <c r="AL1492">
        <v>79.676449706889201</v>
      </c>
      <c r="AM1492">
        <v>89.653153132096904</v>
      </c>
      <c r="AN1492">
        <v>0.99999996417394998</v>
      </c>
    </row>
    <row r="1493" spans="1:40" x14ac:dyDescent="0.25">
      <c r="A1493" t="str">
        <f>"20190312172114394"</f>
        <v>20190312172114394</v>
      </c>
      <c r="B1493" t="str">
        <f>"1552382474392038"</f>
        <v>1552382474392038</v>
      </c>
      <c r="C1493" t="s">
        <v>40</v>
      </c>
      <c r="D1493">
        <v>3.427406</v>
      </c>
      <c r="E1493">
        <v>0.52528280000000005</v>
      </c>
      <c r="F1493" t="s">
        <v>41</v>
      </c>
      <c r="G1493">
        <v>-226.68350000000001</v>
      </c>
      <c r="H1493">
        <v>1.0499969999999901</v>
      </c>
      <c r="I1493">
        <v>367.15809999999999</v>
      </c>
      <c r="J1493">
        <v>-227.47880000000001</v>
      </c>
      <c r="K1493">
        <v>1.110174</v>
      </c>
      <c r="L1493">
        <v>367.2328</v>
      </c>
      <c r="M1493">
        <v>0.99987250000000005</v>
      </c>
      <c r="N1493">
        <v>0</v>
      </c>
      <c r="O1493">
        <v>-1.05933E-2</v>
      </c>
      <c r="P1493">
        <v>0.98573310000000003</v>
      </c>
      <c r="Q1493">
        <v>0.16749330000000001</v>
      </c>
      <c r="R1493">
        <v>-1.6621219999999999E-2</v>
      </c>
      <c r="S1493">
        <v>3.0729519999999999</v>
      </c>
      <c r="T1493">
        <v>-0.19860169999999999</v>
      </c>
      <c r="U1493">
        <v>-0.25061040000000001</v>
      </c>
      <c r="V1493">
        <v>6.1839959999999998E-3</v>
      </c>
      <c r="W1493">
        <v>0.1792591</v>
      </c>
      <c r="X1493">
        <v>0.9837825</v>
      </c>
      <c r="Y1493">
        <v>7.0595850000000002E-2</v>
      </c>
      <c r="Z1493">
        <v>-1.5923700000000001E-3</v>
      </c>
      <c r="AA1493">
        <v>0.99750380000000005</v>
      </c>
      <c r="AB1493">
        <v>28</v>
      </c>
      <c r="AC1493">
        <v>0.79529999999999701</v>
      </c>
      <c r="AD1493">
        <v>-6.0177000000000098E-2</v>
      </c>
      <c r="AE1493">
        <v>-7.4700000000007094E-2</v>
      </c>
      <c r="AF1493">
        <v>6.5896377054317501E-2</v>
      </c>
      <c r="AG1493">
        <v>-6.0177000000000098E-2</v>
      </c>
      <c r="AH1493">
        <v>0.79155448098148995</v>
      </c>
      <c r="AI1493">
        <v>94.332551649037995</v>
      </c>
      <c r="AJ1493">
        <v>85.241138411746903</v>
      </c>
      <c r="AK1493">
        <v>0.79656895508157999</v>
      </c>
      <c r="AL1493">
        <v>79.673392927162496</v>
      </c>
      <c r="AM1493">
        <v>89.639847014226504</v>
      </c>
      <c r="AN1493">
        <v>1.0000000370227899</v>
      </c>
    </row>
    <row r="1494" spans="1:40" x14ac:dyDescent="0.25">
      <c r="A1494" t="str">
        <f>"20190312172114405"</f>
        <v>20190312172114405</v>
      </c>
      <c r="B1494" t="str">
        <f>"1552382474402774"</f>
        <v>1552382474402774</v>
      </c>
      <c r="C1494" t="s">
        <v>40</v>
      </c>
      <c r="D1494">
        <v>3.438142</v>
      </c>
      <c r="E1494">
        <v>0.52511280000000005</v>
      </c>
      <c r="F1494" t="s">
        <v>42</v>
      </c>
      <c r="G1494">
        <v>-210.25069999999999</v>
      </c>
      <c r="H1494" s="1">
        <v>-4.8358219999999997E-6</v>
      </c>
      <c r="I1494">
        <v>365.83319999999998</v>
      </c>
      <c r="J1494">
        <v>-227.34800000000001</v>
      </c>
      <c r="K1494">
        <v>1.1101749999999999</v>
      </c>
      <c r="L1494">
        <v>367.23140000000001</v>
      </c>
      <c r="M1494">
        <v>0.99987250000000005</v>
      </c>
      <c r="N1494">
        <v>0</v>
      </c>
      <c r="O1494">
        <v>-1.059322E-2</v>
      </c>
      <c r="P1494">
        <v>0.98572159999999998</v>
      </c>
      <c r="Q1494">
        <v>0.16754829999999901</v>
      </c>
      <c r="R1494">
        <v>-1.675393E-2</v>
      </c>
      <c r="S1494">
        <v>3.0728610000000001</v>
      </c>
      <c r="T1494">
        <v>-0.19801389999999999</v>
      </c>
      <c r="U1494">
        <v>-0.24963379999999999</v>
      </c>
      <c r="V1494">
        <v>6.3169050000000003E-3</v>
      </c>
      <c r="W1494">
        <v>0.17932100000000001</v>
      </c>
      <c r="X1494">
        <v>0.98377029999999999</v>
      </c>
      <c r="Y1494">
        <v>7.0284780000000005E-2</v>
      </c>
      <c r="Z1494">
        <v>-1.5777429999999999E-3</v>
      </c>
      <c r="AA1494">
        <v>0.99752569999999996</v>
      </c>
      <c r="AB1494">
        <v>28</v>
      </c>
      <c r="AC1494">
        <v>17.097299999999901</v>
      </c>
      <c r="AD1494">
        <v>-1.1101798358220001</v>
      </c>
      <c r="AE1494">
        <v>-1.3982000000000301</v>
      </c>
      <c r="AF1494">
        <v>1.2119172841206101</v>
      </c>
      <c r="AG1494">
        <v>-1.1101798358220001</v>
      </c>
      <c r="AH1494">
        <v>17.039785463886801</v>
      </c>
      <c r="AI1494">
        <v>93.7183125633956</v>
      </c>
      <c r="AJ1494">
        <v>85.931813977446197</v>
      </c>
      <c r="AK1494">
        <v>17.118864782067298</v>
      </c>
      <c r="AL1494">
        <v>79.669787138400693</v>
      </c>
      <c r="AM1494">
        <v>89.632102105577701</v>
      </c>
      <c r="AN1494">
        <v>0.99999996374593303</v>
      </c>
    </row>
    <row r="1495" spans="1:40" x14ac:dyDescent="0.25">
      <c r="A1495" t="str">
        <f>"20190312172114417"</f>
        <v>20190312172114417</v>
      </c>
      <c r="B1495" t="str">
        <f>"1552382474412534"</f>
        <v>1552382474412534</v>
      </c>
      <c r="C1495" t="s">
        <v>40</v>
      </c>
      <c r="D1495">
        <v>3.4520430000000002</v>
      </c>
      <c r="E1495">
        <v>0.5249355</v>
      </c>
      <c r="F1495" t="s">
        <v>41</v>
      </c>
      <c r="G1495">
        <v>-226.42959999999999</v>
      </c>
      <c r="H1495">
        <v>1.0512319999999999</v>
      </c>
      <c r="I1495">
        <v>367.15699999999998</v>
      </c>
      <c r="J1495">
        <v>-227.19560000000001</v>
      </c>
      <c r="K1495">
        <v>1.110179</v>
      </c>
      <c r="L1495">
        <v>367.22980000000001</v>
      </c>
      <c r="M1495">
        <v>0.99987230000000005</v>
      </c>
      <c r="N1495">
        <v>0</v>
      </c>
      <c r="O1495">
        <v>-1.0593160000000001E-2</v>
      </c>
      <c r="P1495">
        <v>0.98577899999999996</v>
      </c>
      <c r="Q1495">
        <v>0.16719679999999901</v>
      </c>
      <c r="R1495">
        <v>-1.687905E-2</v>
      </c>
      <c r="S1495">
        <v>3.072784</v>
      </c>
      <c r="T1495">
        <v>-0.19734309999999999</v>
      </c>
      <c r="U1495">
        <v>-0.24868770000000001</v>
      </c>
      <c r="V1495">
        <v>6.4416359999999997E-3</v>
      </c>
      <c r="W1495">
        <v>0.178979</v>
      </c>
      <c r="X1495">
        <v>0.98383180000000003</v>
      </c>
      <c r="Y1495">
        <v>6.9983180000000006E-2</v>
      </c>
      <c r="Z1495">
        <v>-1.562812E-3</v>
      </c>
      <c r="AA1495">
        <v>0.99754699999999996</v>
      </c>
      <c r="AB1495">
        <v>28</v>
      </c>
      <c r="AC1495">
        <v>0.766000000000019</v>
      </c>
      <c r="AD1495">
        <v>-5.8946999999999999E-2</v>
      </c>
      <c r="AE1495">
        <v>-7.2800000000029202E-2</v>
      </c>
      <c r="AF1495">
        <v>6.4303578411360904E-2</v>
      </c>
      <c r="AG1495">
        <v>-5.8946999999999999E-2</v>
      </c>
      <c r="AH1495">
        <v>0.76225461386323801</v>
      </c>
      <c r="AI1495">
        <v>94.406431193425703</v>
      </c>
      <c r="AJ1495">
        <v>85.177961786573704</v>
      </c>
      <c r="AK1495">
        <v>0.76722994946841105</v>
      </c>
      <c r="AL1495">
        <v>79.689704838186998</v>
      </c>
      <c r="AM1495">
        <v>89.624861402124793</v>
      </c>
      <c r="AN1495">
        <v>0.99999999390329797</v>
      </c>
    </row>
    <row r="1496" spans="1:40" x14ac:dyDescent="0.25">
      <c r="A1496" t="str">
        <f>"20190312172114429"</f>
        <v>20190312172114429</v>
      </c>
      <c r="B1496" t="str">
        <f>"1552382474422294"</f>
        <v>1552382474422294</v>
      </c>
      <c r="C1496" t="s">
        <v>40</v>
      </c>
      <c r="D1496">
        <v>3.4660600000000001</v>
      </c>
      <c r="E1496">
        <v>0.52476739999999999</v>
      </c>
      <c r="F1496" t="s">
        <v>42</v>
      </c>
      <c r="G1496">
        <v>-209.96610000000001</v>
      </c>
      <c r="H1496" s="1">
        <v>-4.9568690000000001E-6</v>
      </c>
      <c r="I1496">
        <v>365.83909999999997</v>
      </c>
      <c r="J1496">
        <v>-227.05719999999999</v>
      </c>
      <c r="K1496">
        <v>1.1101840000000001</v>
      </c>
      <c r="L1496">
        <v>367.22840000000002</v>
      </c>
      <c r="M1496">
        <v>0.99987230000000005</v>
      </c>
      <c r="N1496">
        <v>0</v>
      </c>
      <c r="O1496">
        <v>-1.059322E-2</v>
      </c>
      <c r="P1496">
        <v>0.9857418</v>
      </c>
      <c r="Q1496">
        <v>0.16740859999999999</v>
      </c>
      <c r="R1496">
        <v>-1.6965009999999999E-2</v>
      </c>
      <c r="S1496">
        <v>3.072632</v>
      </c>
      <c r="T1496">
        <v>-0.1979843</v>
      </c>
      <c r="U1496">
        <v>-0.2480164</v>
      </c>
      <c r="V1496">
        <v>6.5277699999999996E-3</v>
      </c>
      <c r="W1496">
        <v>0.17920050000000001</v>
      </c>
      <c r="X1496">
        <v>0.98379090000000002</v>
      </c>
      <c r="Y1496">
        <v>6.9770170000000006E-2</v>
      </c>
      <c r="Z1496">
        <v>-1.5611220000000001E-3</v>
      </c>
      <c r="AA1496">
        <v>0.9975619</v>
      </c>
      <c r="AB1496">
        <v>28</v>
      </c>
      <c r="AC1496">
        <v>17.091099999999901</v>
      </c>
      <c r="AD1496">
        <v>-1.110188956869</v>
      </c>
      <c r="AE1496">
        <v>-1.3893000000000399</v>
      </c>
      <c r="AF1496">
        <v>1.20311615108185</v>
      </c>
      <c r="AG1496">
        <v>-1.110188956869</v>
      </c>
      <c r="AH1496">
        <v>17.0334594016898</v>
      </c>
      <c r="AI1496">
        <v>93.719848362605006</v>
      </c>
      <c r="AJ1496">
        <v>85.959764676257805</v>
      </c>
      <c r="AK1496">
        <v>17.1119474982236</v>
      </c>
      <c r="AL1496">
        <v>79.676805157996597</v>
      </c>
      <c r="AM1496">
        <v>89.619829598124895</v>
      </c>
      <c r="AN1496">
        <v>0.99999998295211601</v>
      </c>
    </row>
    <row r="1497" spans="1:40" x14ac:dyDescent="0.25">
      <c r="A1497" t="str">
        <f>"20190312172114442"</f>
        <v>20190312172114442</v>
      </c>
      <c r="B1497" t="str">
        <f>"1552382474432054"</f>
        <v>1552382474432054</v>
      </c>
      <c r="C1497" t="s">
        <v>40</v>
      </c>
      <c r="D1497">
        <v>3.4536099999999998</v>
      </c>
      <c r="E1497">
        <v>0.52460609999999996</v>
      </c>
      <c r="F1497" t="s">
        <v>41</v>
      </c>
      <c r="G1497">
        <v>-226.1746</v>
      </c>
      <c r="H1497">
        <v>1.0537259999999999</v>
      </c>
      <c r="I1497">
        <v>367.15719999999999</v>
      </c>
      <c r="J1497">
        <v>-226.88679999999999</v>
      </c>
      <c r="K1497">
        <v>1.110187</v>
      </c>
      <c r="L1497">
        <v>367.22649999999999</v>
      </c>
      <c r="M1497">
        <v>0.99987199999999998</v>
      </c>
      <c r="N1497">
        <v>0</v>
      </c>
      <c r="O1497">
        <v>-1.059307E-2</v>
      </c>
      <c r="P1497">
        <v>0.98567899999999997</v>
      </c>
      <c r="Q1497">
        <v>0.167762299999999</v>
      </c>
      <c r="R1497">
        <v>-1.7109760000000002E-2</v>
      </c>
      <c r="S1497">
        <v>3.0725560000000001</v>
      </c>
      <c r="T1497">
        <v>-0.19684099999999999</v>
      </c>
      <c r="U1497">
        <v>-0.24707029999999999</v>
      </c>
      <c r="V1497">
        <v>6.6733959999999998E-3</v>
      </c>
      <c r="W1497">
        <v>0.1795678</v>
      </c>
      <c r="X1497">
        <v>0.98372300000000001</v>
      </c>
      <c r="Y1497">
        <v>6.9469149999999993E-2</v>
      </c>
      <c r="Z1497">
        <v>-1.542575E-3</v>
      </c>
      <c r="AA1497">
        <v>0.99758290000000005</v>
      </c>
      <c r="AB1497">
        <v>28</v>
      </c>
      <c r="AC1497">
        <v>0.71219999999999495</v>
      </c>
      <c r="AD1497">
        <v>-5.6461000000000101E-2</v>
      </c>
      <c r="AE1497">
        <v>-6.9299999999998294E-2</v>
      </c>
      <c r="AF1497">
        <v>6.1369107735257701E-2</v>
      </c>
      <c r="AG1497">
        <v>-5.6461000000000101E-2</v>
      </c>
      <c r="AH1497">
        <v>0.708483256344423</v>
      </c>
      <c r="AI1497">
        <v>94.539503447118406</v>
      </c>
      <c r="AJ1497">
        <v>85.049373279260195</v>
      </c>
      <c r="AK1497">
        <v>0.71337405084963601</v>
      </c>
      <c r="AL1497">
        <v>79.655413967589297</v>
      </c>
      <c r="AM1497">
        <v>89.611321926398006</v>
      </c>
      <c r="AN1497">
        <v>1.00000003487</v>
      </c>
    </row>
    <row r="1498" spans="1:40" x14ac:dyDescent="0.25">
      <c r="A1498" t="str">
        <f>"20190312172114454"</f>
        <v>20190312172114454</v>
      </c>
      <c r="B1498" t="str">
        <f>"1552382474442790"</f>
        <v>1552382474442790</v>
      </c>
      <c r="C1498" t="s">
        <v>40</v>
      </c>
      <c r="D1498">
        <v>3.4564020000000002</v>
      </c>
      <c r="E1498">
        <v>0.52444389999999996</v>
      </c>
      <c r="F1498" t="s">
        <v>41</v>
      </c>
      <c r="G1498">
        <v>-225.9264</v>
      </c>
      <c r="H1498">
        <v>1.0492060000000001</v>
      </c>
      <c r="I1498">
        <v>367.14940000000001</v>
      </c>
      <c r="J1498">
        <v>-226.7303</v>
      </c>
      <c r="K1498">
        <v>1.1101909999999999</v>
      </c>
      <c r="L1498">
        <v>367.22489999999999</v>
      </c>
      <c r="M1498">
        <v>0.99987190000000004</v>
      </c>
      <c r="N1498">
        <v>0</v>
      </c>
      <c r="O1498">
        <v>-1.0593170000000001E-2</v>
      </c>
      <c r="P1498">
        <v>0.98567309999999997</v>
      </c>
      <c r="Q1498">
        <v>0.1677652</v>
      </c>
      <c r="R1498">
        <v>-1.7419170000000001E-2</v>
      </c>
      <c r="S1498">
        <v>3.0725560000000001</v>
      </c>
      <c r="T1498">
        <v>-0.19523289999999999</v>
      </c>
      <c r="U1498">
        <v>-0.24612429999999999</v>
      </c>
      <c r="V1498">
        <v>6.9828019999999998E-3</v>
      </c>
      <c r="W1498">
        <v>0.17958750000000001</v>
      </c>
      <c r="X1498">
        <v>0.98371719999999896</v>
      </c>
      <c r="Y1498">
        <v>6.9166409999999998E-2</v>
      </c>
      <c r="Z1498">
        <v>-1.520417E-3</v>
      </c>
      <c r="AA1498">
        <v>0.99760400000000005</v>
      </c>
      <c r="AB1498">
        <v>28</v>
      </c>
      <c r="AC1498">
        <v>0.80389999999999795</v>
      </c>
      <c r="AD1498">
        <v>-6.0984999999999998E-2</v>
      </c>
      <c r="AE1498">
        <v>-7.5499999999976794E-2</v>
      </c>
      <c r="AF1498">
        <v>6.6599375348418602E-2</v>
      </c>
      <c r="AG1498">
        <v>-6.0984999999999998E-2</v>
      </c>
      <c r="AH1498">
        <v>0.80009050214128696</v>
      </c>
      <c r="AI1498">
        <v>94.343841312691097</v>
      </c>
      <c r="AJ1498">
        <v>85.241680316647006</v>
      </c>
      <c r="AK1498">
        <v>0.80517045315789904</v>
      </c>
      <c r="AL1498">
        <v>79.654266010942607</v>
      </c>
      <c r="AM1498">
        <v>89.593299411379206</v>
      </c>
      <c r="AN1498">
        <v>0.99999997962792997</v>
      </c>
    </row>
    <row r="1499" spans="1:40" x14ac:dyDescent="0.25">
      <c r="A1499" t="str">
        <f>"20190312172114466"</f>
        <v>20190312172114466</v>
      </c>
      <c r="B1499" t="str">
        <f>"1552382474462310"</f>
        <v>1552382474462310</v>
      </c>
      <c r="C1499" t="s">
        <v>40</v>
      </c>
      <c r="D1499">
        <v>3.4259659999999998</v>
      </c>
      <c r="E1499">
        <v>0.52412970000000003</v>
      </c>
      <c r="F1499" t="s">
        <v>44</v>
      </c>
      <c r="G1499">
        <v>-209.21379999999999</v>
      </c>
      <c r="H1499" s="1">
        <v>-5.6145789999999996E-6</v>
      </c>
      <c r="I1499">
        <v>365.8218</v>
      </c>
      <c r="J1499">
        <v>-226.5838</v>
      </c>
      <c r="K1499">
        <v>1.110196</v>
      </c>
      <c r="L1499">
        <v>367.22329999999999</v>
      </c>
      <c r="M1499">
        <v>0.99987170000000003</v>
      </c>
      <c r="N1499">
        <v>0</v>
      </c>
      <c r="O1499">
        <v>-1.059327E-2</v>
      </c>
      <c r="P1499">
        <v>0.9856338</v>
      </c>
      <c r="Q1499">
        <v>0.16797570000000001</v>
      </c>
      <c r="R1499">
        <v>-1.76218E-2</v>
      </c>
      <c r="S1499">
        <v>3.0724179999999999</v>
      </c>
      <c r="T1499">
        <v>-0.19472990000000001</v>
      </c>
      <c r="U1499">
        <v>-0.2460938</v>
      </c>
      <c r="V1499">
        <v>7.1855230000000001E-3</v>
      </c>
      <c r="W1499">
        <v>0.17981449999999999</v>
      </c>
      <c r="X1499">
        <v>0.9836743</v>
      </c>
      <c r="Y1499">
        <v>6.9160600000000003E-2</v>
      </c>
      <c r="Z1499">
        <v>-1.516386E-3</v>
      </c>
      <c r="AA1499">
        <v>0.99760439999999995</v>
      </c>
      <c r="AB1499">
        <v>28</v>
      </c>
      <c r="AC1499">
        <v>17.37</v>
      </c>
      <c r="AD1499">
        <v>-1.1102016145789999</v>
      </c>
      <c r="AE1499">
        <v>-1.40149999999999</v>
      </c>
      <c r="AF1499">
        <v>1.21248187796302</v>
      </c>
      <c r="AG1499">
        <v>-1.1102016145789999</v>
      </c>
      <c r="AH1499">
        <v>17.3136022097944</v>
      </c>
      <c r="AI1499">
        <v>93.660019640019797</v>
      </c>
      <c r="AJ1499">
        <v>85.994082601431202</v>
      </c>
      <c r="AK1499">
        <v>17.3914772635449</v>
      </c>
      <c r="AL1499">
        <v>79.641044931661696</v>
      </c>
      <c r="AM1499">
        <v>89.581474458584296</v>
      </c>
      <c r="AN1499">
        <v>1.00000000731576</v>
      </c>
    </row>
    <row r="1500" spans="1:40" x14ac:dyDescent="0.25">
      <c r="A1500" t="str">
        <f>"20190312172114477"</f>
        <v>20190312172114477</v>
      </c>
      <c r="B1500" t="str">
        <f>"1552382474472070"</f>
        <v>1552382474472070</v>
      </c>
      <c r="C1500" t="s">
        <v>40</v>
      </c>
      <c r="D1500">
        <v>3.4346290000000002</v>
      </c>
      <c r="E1500">
        <v>0.52398180000000005</v>
      </c>
      <c r="F1500" t="s">
        <v>41</v>
      </c>
      <c r="G1500">
        <v>-225.6704</v>
      </c>
      <c r="H1500">
        <v>1.0528040000000001</v>
      </c>
      <c r="I1500">
        <v>367.15050000000002</v>
      </c>
      <c r="J1500">
        <v>-226.42660000000001</v>
      </c>
      <c r="K1500">
        <v>1.1101989999999999</v>
      </c>
      <c r="L1500">
        <v>367.22160000000002</v>
      </c>
      <c r="M1500">
        <v>0.99987159999999997</v>
      </c>
      <c r="N1500">
        <v>0</v>
      </c>
      <c r="O1500">
        <v>-1.059327E-2</v>
      </c>
      <c r="P1500">
        <v>0.98556509999999997</v>
      </c>
      <c r="Q1500">
        <v>0.16836970000000001</v>
      </c>
      <c r="R1500">
        <v>-1.7701769999999999E-2</v>
      </c>
      <c r="S1500">
        <v>3.072311</v>
      </c>
      <c r="T1500">
        <v>-0.19331980000000001</v>
      </c>
      <c r="U1500">
        <v>-0.2441101</v>
      </c>
      <c r="V1500">
        <v>7.2665400000000002E-3</v>
      </c>
      <c r="W1500">
        <v>0.18022679999999999</v>
      </c>
      <c r="X1500">
        <v>0.98359819999999998</v>
      </c>
      <c r="Y1500">
        <v>6.8526219999999999E-2</v>
      </c>
      <c r="Z1500">
        <v>-1.4856089999999999E-3</v>
      </c>
      <c r="AA1500">
        <v>0.99764819999999999</v>
      </c>
      <c r="AB1500">
        <v>28</v>
      </c>
      <c r="AC1500">
        <v>0.75620000000000598</v>
      </c>
      <c r="AD1500">
        <v>-5.73949999999998E-2</v>
      </c>
      <c r="AE1500">
        <v>-7.1100000000001204E-2</v>
      </c>
      <c r="AF1500">
        <v>6.2726617721955702E-2</v>
      </c>
      <c r="AG1500">
        <v>-5.73949999999998E-2</v>
      </c>
      <c r="AH1500">
        <v>0.752613216928536</v>
      </c>
      <c r="AI1500">
        <v>94.345979301957897</v>
      </c>
      <c r="AJ1500">
        <v>85.235689240613695</v>
      </c>
      <c r="AK1500">
        <v>0.757400467976721</v>
      </c>
      <c r="AL1500">
        <v>79.617029047189405</v>
      </c>
      <c r="AM1500">
        <v>89.576722995732496</v>
      </c>
      <c r="AN1500">
        <v>0.99999996054252405</v>
      </c>
    </row>
    <row r="1501" spans="1:40" x14ac:dyDescent="0.25">
      <c r="A1501" t="str">
        <f>"20190312172114489"</f>
        <v>20190312172114489</v>
      </c>
      <c r="B1501" t="str">
        <f>"1552382474482806"</f>
        <v>1552382474482806</v>
      </c>
      <c r="C1501" t="s">
        <v>40</v>
      </c>
      <c r="D1501">
        <v>3.4574609999999999</v>
      </c>
      <c r="E1501">
        <v>0.52383829999999998</v>
      </c>
      <c r="F1501" t="s">
        <v>44</v>
      </c>
      <c r="G1501">
        <v>-208.6317</v>
      </c>
      <c r="H1501" s="1">
        <v>-5.4212609999999899E-6</v>
      </c>
      <c r="I1501">
        <v>365.81180000000001</v>
      </c>
      <c r="J1501">
        <v>-226.28229999999999</v>
      </c>
      <c r="K1501">
        <v>1.1102019999999999</v>
      </c>
      <c r="L1501">
        <v>367.2201</v>
      </c>
      <c r="M1501">
        <v>0.99987130000000002</v>
      </c>
      <c r="N1501">
        <v>0</v>
      </c>
      <c r="O1501">
        <v>-1.0593150000000001E-2</v>
      </c>
      <c r="P1501">
        <v>0.98553639999999998</v>
      </c>
      <c r="Q1501">
        <v>0.168506399999999</v>
      </c>
      <c r="R1501">
        <v>-1.7995730000000001E-2</v>
      </c>
      <c r="S1501">
        <v>3.0722960000000001</v>
      </c>
      <c r="T1501">
        <v>-0.19167709999999999</v>
      </c>
      <c r="U1501">
        <v>-0.24340819999999999</v>
      </c>
      <c r="V1501">
        <v>7.5607299999999999E-3</v>
      </c>
      <c r="W1501">
        <v>0.1803825</v>
      </c>
      <c r="X1501">
        <v>0.98356750000000004</v>
      </c>
      <c r="Y1501">
        <v>6.8302589999999996E-2</v>
      </c>
      <c r="Z1501">
        <v>-1.4660789999999999E-3</v>
      </c>
      <c r="AA1501">
        <v>0.99766359999999998</v>
      </c>
      <c r="AB1501">
        <v>28</v>
      </c>
      <c r="AC1501">
        <v>17.650599999999901</v>
      </c>
      <c r="AD1501">
        <v>-1.110207421261</v>
      </c>
      <c r="AE1501">
        <v>-1.4082999999999899</v>
      </c>
      <c r="AF1501">
        <v>1.2164497465615101</v>
      </c>
      <c r="AG1501">
        <v>-1.110207421261</v>
      </c>
      <c r="AH1501">
        <v>17.5953567455566</v>
      </c>
      <c r="AI1501">
        <v>93.601808881823501</v>
      </c>
      <c r="AJ1501">
        <v>86.045166192743096</v>
      </c>
      <c r="AK1501">
        <v>17.6722632819776</v>
      </c>
      <c r="AL1501">
        <v>79.607960064885404</v>
      </c>
      <c r="AM1501">
        <v>89.559573301593701</v>
      </c>
      <c r="AN1501">
        <v>1.00000001900031</v>
      </c>
    </row>
    <row r="1502" spans="1:40" x14ac:dyDescent="0.25">
      <c r="A1502" t="str">
        <f>"20190312172114500"</f>
        <v>20190312172114500</v>
      </c>
      <c r="B1502" t="str">
        <f>"1552382474492566"</f>
        <v>1552382474492566</v>
      </c>
      <c r="C1502" t="s">
        <v>40</v>
      </c>
      <c r="D1502">
        <v>3.4574060000000002</v>
      </c>
      <c r="E1502">
        <v>0.52369140000000003</v>
      </c>
      <c r="F1502" t="s">
        <v>44</v>
      </c>
      <c r="G1502">
        <v>-208.42349999999999</v>
      </c>
      <c r="H1502" s="1">
        <v>-5.3524910000000004E-6</v>
      </c>
      <c r="I1502">
        <v>365.80590000000001</v>
      </c>
      <c r="J1502">
        <v>-226.1498</v>
      </c>
      <c r="K1502">
        <v>1.1102069999999999</v>
      </c>
      <c r="L1502">
        <v>367.21870000000001</v>
      </c>
      <c r="M1502">
        <v>0.99987099999999995</v>
      </c>
      <c r="N1502">
        <v>0</v>
      </c>
      <c r="O1502">
        <v>-1.059326E-2</v>
      </c>
      <c r="P1502">
        <v>0.98547039999999997</v>
      </c>
      <c r="Q1502">
        <v>0.1688646</v>
      </c>
      <c r="R1502">
        <v>-1.8254639999999999E-2</v>
      </c>
      <c r="S1502">
        <v>3.072235</v>
      </c>
      <c r="T1502">
        <v>-0.1909872</v>
      </c>
      <c r="U1502">
        <v>-0.24328610000000001</v>
      </c>
      <c r="V1502">
        <v>7.820268E-3</v>
      </c>
      <c r="W1502">
        <v>0.18075869999999999</v>
      </c>
      <c r="X1502">
        <v>0.98349640000000005</v>
      </c>
      <c r="Y1502">
        <v>6.8265510000000001E-2</v>
      </c>
      <c r="Z1502">
        <v>-1.4596870000000001E-3</v>
      </c>
      <c r="AA1502">
        <v>0.9976661</v>
      </c>
      <c r="AB1502">
        <v>28</v>
      </c>
      <c r="AC1502">
        <v>17.726299999999998</v>
      </c>
      <c r="AD1502">
        <v>-1.1102123524909999</v>
      </c>
      <c r="AE1502">
        <v>-1.4128000000000001</v>
      </c>
      <c r="AF1502">
        <v>1.22017166904297</v>
      </c>
      <c r="AG1502">
        <v>-1.1102123524909999</v>
      </c>
      <c r="AH1502">
        <v>17.671391917762602</v>
      </c>
      <c r="AI1502">
        <v>93.5863890667801</v>
      </c>
      <c r="AJ1502">
        <v>86.050118645100696</v>
      </c>
      <c r="AK1502">
        <v>17.7482247754733</v>
      </c>
      <c r="AL1502">
        <v>79.586045130036297</v>
      </c>
      <c r="AM1502">
        <v>89.5444224216929</v>
      </c>
      <c r="AN1502">
        <v>1.0000000165151199</v>
      </c>
    </row>
    <row r="1503" spans="1:40" x14ac:dyDescent="0.25">
      <c r="A1503" t="str">
        <f>"20190312172114510"</f>
        <v>20190312172114510</v>
      </c>
      <c r="B1503" t="str">
        <f>"1552382474502326"</f>
        <v>1552382474502326</v>
      </c>
      <c r="C1503" t="s">
        <v>40</v>
      </c>
      <c r="D1503">
        <v>3.4611100000000001</v>
      </c>
      <c r="E1503">
        <v>0.52354309999999904</v>
      </c>
      <c r="F1503" t="s">
        <v>41</v>
      </c>
      <c r="G1503">
        <v>-225.1686</v>
      </c>
      <c r="H1503">
        <v>1.049749</v>
      </c>
      <c r="I1503">
        <v>367.14089999999999</v>
      </c>
      <c r="J1503">
        <v>-226.0196</v>
      </c>
      <c r="K1503">
        <v>1.110214</v>
      </c>
      <c r="L1503">
        <v>367.21730000000002</v>
      </c>
      <c r="M1503">
        <v>0.99987079999999995</v>
      </c>
      <c r="N1503">
        <v>0</v>
      </c>
      <c r="O1503">
        <v>-1.059326E-2</v>
      </c>
      <c r="P1503">
        <v>0.98541789999999996</v>
      </c>
      <c r="Q1503">
        <v>0.16914799999999999</v>
      </c>
      <c r="R1503">
        <v>-1.8460870000000001E-2</v>
      </c>
      <c r="S1503">
        <v>3.072174</v>
      </c>
      <c r="T1503">
        <v>-0.1894701</v>
      </c>
      <c r="U1503">
        <v>-0.24310300000000001</v>
      </c>
      <c r="V1503">
        <v>8.0271130000000007E-3</v>
      </c>
      <c r="W1503">
        <v>0.18105969999999999</v>
      </c>
      <c r="X1503">
        <v>0.98343930000000002</v>
      </c>
      <c r="Y1503">
        <v>6.8209829999999999E-2</v>
      </c>
      <c r="Z1503">
        <v>-1.44643299999999E-3</v>
      </c>
      <c r="AA1503">
        <v>0.9976699</v>
      </c>
      <c r="AB1503">
        <v>28</v>
      </c>
      <c r="AC1503">
        <v>0.85099999999999898</v>
      </c>
      <c r="AD1503">
        <v>-6.0464999999999901E-2</v>
      </c>
      <c r="AE1503">
        <v>-7.6400000000035106E-2</v>
      </c>
      <c r="AF1503">
        <v>6.7044432149793096E-2</v>
      </c>
      <c r="AG1503">
        <v>-6.0464999999999901E-2</v>
      </c>
      <c r="AH1503">
        <v>0.84751727708614899</v>
      </c>
      <c r="AI1503">
        <v>94.068111239090797</v>
      </c>
      <c r="AJ1503">
        <v>85.476929959032404</v>
      </c>
      <c r="AK1503">
        <v>0.85231244685667196</v>
      </c>
      <c r="AL1503">
        <v>79.568509095174505</v>
      </c>
      <c r="AM1503">
        <v>89.532345836440996</v>
      </c>
      <c r="AN1503">
        <v>0.999999953145846</v>
      </c>
    </row>
    <row r="1504" spans="1:40" x14ac:dyDescent="0.25">
      <c r="A1504" t="str">
        <f>"20190312172114520"</f>
        <v>20190312172114520</v>
      </c>
      <c r="B1504" t="str">
        <f>"1552382474512086"</f>
        <v>1552382474512086</v>
      </c>
      <c r="C1504" t="s">
        <v>40</v>
      </c>
      <c r="D1504">
        <v>3.4682379999999999</v>
      </c>
      <c r="E1504">
        <v>0.52341019999999905</v>
      </c>
      <c r="F1504" t="s">
        <v>44</v>
      </c>
      <c r="G1504">
        <v>-207.90010000000001</v>
      </c>
      <c r="H1504" s="1">
        <v>-5.1548640000000003E-6</v>
      </c>
      <c r="I1504">
        <v>365.78710000000001</v>
      </c>
      <c r="J1504">
        <v>-225.89320000000001</v>
      </c>
      <c r="K1504">
        <v>1.1102179999999999</v>
      </c>
      <c r="L1504">
        <v>367.21589999999998</v>
      </c>
      <c r="M1504">
        <v>0.9998705</v>
      </c>
      <c r="N1504">
        <v>0</v>
      </c>
      <c r="O1504">
        <v>-1.059301E-2</v>
      </c>
      <c r="P1504">
        <v>0.98539920000000003</v>
      </c>
      <c r="Q1504">
        <v>0.16924139999999999</v>
      </c>
      <c r="R1504">
        <v>-1.8593910000000002E-2</v>
      </c>
      <c r="S1504">
        <v>3.0721440000000002</v>
      </c>
      <c r="T1504">
        <v>-0.1882364</v>
      </c>
      <c r="U1504">
        <v>-0.24249270000000001</v>
      </c>
      <c r="V1504">
        <v>8.1606539999999998E-3</v>
      </c>
      <c r="W1504">
        <v>0.18117130000000001</v>
      </c>
      <c r="X1504">
        <v>0.98341769999999995</v>
      </c>
      <c r="Y1504">
        <v>6.8015640000000002E-2</v>
      </c>
      <c r="Z1504">
        <v>-1.431138E-3</v>
      </c>
      <c r="AA1504">
        <v>0.99768319999999999</v>
      </c>
      <c r="AB1504">
        <v>28</v>
      </c>
      <c r="AC1504">
        <v>17.993099999999998</v>
      </c>
      <c r="AD1504">
        <v>-1.110223154864</v>
      </c>
      <c r="AE1504">
        <v>-1.4287999999999601</v>
      </c>
      <c r="AF1504">
        <v>1.2334381933196801</v>
      </c>
      <c r="AG1504">
        <v>-1.110223154864</v>
      </c>
      <c r="AH1504">
        <v>17.939355512790399</v>
      </c>
      <c r="AI1504">
        <v>93.533060017994401</v>
      </c>
      <c r="AJ1504">
        <v>86.066761997434895</v>
      </c>
      <c r="AK1504">
        <v>18.015949640377599</v>
      </c>
      <c r="AL1504">
        <v>79.562007900532606</v>
      </c>
      <c r="AM1504">
        <v>89.524555740427999</v>
      </c>
      <c r="AN1504">
        <v>1.0000000044453401</v>
      </c>
    </row>
    <row r="1505" spans="1:40" x14ac:dyDescent="0.25">
      <c r="A1505" t="str">
        <f>"20190312172114531"</f>
        <v>20190312172114531</v>
      </c>
      <c r="B1505" t="str">
        <f>"1552382474522822"</f>
        <v>1552382474522822</v>
      </c>
      <c r="C1505" t="s">
        <v>40</v>
      </c>
      <c r="D1505">
        <v>3.4655089999999902</v>
      </c>
      <c r="E1505">
        <v>0.52327829999999997</v>
      </c>
      <c r="F1505" t="s">
        <v>41</v>
      </c>
      <c r="G1505">
        <v>-224.91550000000001</v>
      </c>
      <c r="H1505">
        <v>1.050524</v>
      </c>
      <c r="I1505">
        <v>367.13889999999998</v>
      </c>
      <c r="J1505">
        <v>-225.75829999999999</v>
      </c>
      <c r="K1505">
        <v>1.11022</v>
      </c>
      <c r="L1505">
        <v>367.21449999999999</v>
      </c>
      <c r="M1505">
        <v>0.99987020000000004</v>
      </c>
      <c r="N1505">
        <v>0</v>
      </c>
      <c r="O1505">
        <v>-1.059302E-2</v>
      </c>
      <c r="P1505">
        <v>0.98540430000000001</v>
      </c>
      <c r="Q1505">
        <v>0.16921079999999999</v>
      </c>
      <c r="R1505">
        <v>-1.860467E-2</v>
      </c>
      <c r="S1505">
        <v>3.072098</v>
      </c>
      <c r="T1505">
        <v>-0.18765699999999999</v>
      </c>
      <c r="U1505">
        <v>-0.24188229999999999</v>
      </c>
      <c r="V1505">
        <v>8.1712319999999901E-3</v>
      </c>
      <c r="W1505">
        <v>0.18116199999999999</v>
      </c>
      <c r="X1505">
        <v>0.98341940000000005</v>
      </c>
      <c r="Y1505">
        <v>6.7820800000000001E-2</v>
      </c>
      <c r="Z1505">
        <v>-1.420836E-3</v>
      </c>
      <c r="AA1505">
        <v>0.99769649999999999</v>
      </c>
      <c r="AB1505">
        <v>28</v>
      </c>
      <c r="AC1505">
        <v>0.84279999999998201</v>
      </c>
      <c r="AD1505">
        <v>-5.9695999999999902E-2</v>
      </c>
      <c r="AE1505">
        <v>-7.5600000000008494E-2</v>
      </c>
      <c r="AF1505">
        <v>6.6337147569395905E-2</v>
      </c>
      <c r="AG1505">
        <v>-5.9695999999999902E-2</v>
      </c>
      <c r="AH1505">
        <v>0.83937608650764495</v>
      </c>
      <c r="AI1505">
        <v>94.055394432638394</v>
      </c>
      <c r="AJ1505">
        <v>85.481221292072107</v>
      </c>
      <c r="AK1505">
        <v>0.84410689143291195</v>
      </c>
      <c r="AL1505">
        <v>79.562550491111296</v>
      </c>
      <c r="AM1505">
        <v>89.523940311495593</v>
      </c>
      <c r="AN1505">
        <v>1.00000007778637</v>
      </c>
    </row>
    <row r="1506" spans="1:40" x14ac:dyDescent="0.25">
      <c r="A1506" t="str">
        <f>"20190312172114541"</f>
        <v>20190312172114541</v>
      </c>
      <c r="B1506" t="str">
        <f>"1552382474532583"</f>
        <v>1552382474532583</v>
      </c>
      <c r="C1506" t="s">
        <v>40</v>
      </c>
      <c r="D1506">
        <v>3.4604629999999998</v>
      </c>
      <c r="E1506">
        <v>0.5231439</v>
      </c>
      <c r="F1506" t="s">
        <v>44</v>
      </c>
      <c r="G1506">
        <v>-207.56290000000001</v>
      </c>
      <c r="H1506" s="1">
        <v>-4.998427E-6</v>
      </c>
      <c r="I1506">
        <v>365.7842</v>
      </c>
      <c r="J1506">
        <v>-225.63050000000001</v>
      </c>
      <c r="K1506">
        <v>1.110222</v>
      </c>
      <c r="L1506">
        <v>367.21319999999997</v>
      </c>
      <c r="M1506">
        <v>0.99987009999999998</v>
      </c>
      <c r="N1506">
        <v>0</v>
      </c>
      <c r="O1506">
        <v>-1.0593139999999999E-2</v>
      </c>
      <c r="P1506">
        <v>0.9853866</v>
      </c>
      <c r="Q1506">
        <v>0.1693096</v>
      </c>
      <c r="R1506">
        <v>-1.8659329999999998E-2</v>
      </c>
      <c r="S1506">
        <v>3.0720830000000001</v>
      </c>
      <c r="T1506">
        <v>-0.18744839999999999</v>
      </c>
      <c r="U1506">
        <v>-0.24148559999999999</v>
      </c>
      <c r="V1506">
        <v>8.2258269999999998E-3</v>
      </c>
      <c r="W1506">
        <v>0.18128059999999999</v>
      </c>
      <c r="X1506">
        <v>0.98339699999999997</v>
      </c>
      <c r="Y1506">
        <v>6.7693489999999995E-2</v>
      </c>
      <c r="Z1506">
        <v>-1.4153919999999999E-3</v>
      </c>
      <c r="AA1506">
        <v>0.99770519999999996</v>
      </c>
      <c r="AB1506">
        <v>28</v>
      </c>
      <c r="AC1506">
        <v>18.067599999999999</v>
      </c>
      <c r="AD1506">
        <v>-1.1102269984269999</v>
      </c>
      <c r="AE1506">
        <v>-1.4289999999999701</v>
      </c>
      <c r="AF1506">
        <v>1.2328867291044301</v>
      </c>
      <c r="AG1506">
        <v>-1.1102269984269999</v>
      </c>
      <c r="AH1506">
        <v>18.014127784425501</v>
      </c>
      <c r="AI1506">
        <v>93.518519932112298</v>
      </c>
      <c r="AJ1506">
        <v>86.084782795686706</v>
      </c>
      <c r="AK1506">
        <v>18.090367976037701</v>
      </c>
      <c r="AL1506">
        <v>79.555639875615796</v>
      </c>
      <c r="AM1506">
        <v>89.520748814136994</v>
      </c>
      <c r="AN1506">
        <v>0.99999998988759697</v>
      </c>
    </row>
    <row r="1507" spans="1:40" x14ac:dyDescent="0.25">
      <c r="A1507" t="str">
        <f>"20190312172114552"</f>
        <v>20190312172114552</v>
      </c>
      <c r="B1507" t="str">
        <f>"1552382474542344"</f>
        <v>1552382474542344</v>
      </c>
      <c r="C1507" t="s">
        <v>40</v>
      </c>
      <c r="D1507">
        <v>3.4712510000000001</v>
      </c>
      <c r="E1507">
        <v>0.5230108</v>
      </c>
      <c r="F1507" t="s">
        <v>41</v>
      </c>
      <c r="G1507">
        <v>-224.66239999999999</v>
      </c>
      <c r="H1507">
        <v>1.051439</v>
      </c>
      <c r="I1507">
        <v>367.13709999999998</v>
      </c>
      <c r="J1507">
        <v>-225.49539999999999</v>
      </c>
      <c r="K1507">
        <v>1.1102259999999999</v>
      </c>
      <c r="L1507">
        <v>367.21170000000001</v>
      </c>
      <c r="M1507">
        <v>0.99986980000000003</v>
      </c>
      <c r="N1507">
        <v>0</v>
      </c>
      <c r="O1507">
        <v>-1.059304E-2</v>
      </c>
      <c r="P1507">
        <v>0.98542399999999997</v>
      </c>
      <c r="Q1507">
        <v>0.16909060000000001</v>
      </c>
      <c r="R1507">
        <v>-1.8660820000000002E-2</v>
      </c>
      <c r="S1507">
        <v>3.0720369999999999</v>
      </c>
      <c r="T1507">
        <v>-0.1867752</v>
      </c>
      <c r="U1507">
        <v>-0.24069209999999999</v>
      </c>
      <c r="V1507">
        <v>8.2271429999999993E-3</v>
      </c>
      <c r="W1507">
        <v>0.18108360000000001</v>
      </c>
      <c r="X1507">
        <v>0.98343329999999995</v>
      </c>
      <c r="Y1507">
        <v>6.7439849999999996E-2</v>
      </c>
      <c r="Z1507">
        <v>-1.402667E-3</v>
      </c>
      <c r="AA1507">
        <v>0.99772229999999995</v>
      </c>
      <c r="AB1507">
        <v>28</v>
      </c>
      <c r="AC1507">
        <v>0.83299999999999796</v>
      </c>
      <c r="AD1507">
        <v>-5.8786999999999902E-2</v>
      </c>
      <c r="AE1507">
        <v>-7.4600000000032196E-2</v>
      </c>
      <c r="AF1507">
        <v>6.5447788665416701E-2</v>
      </c>
      <c r="AG1507">
        <v>-5.8786999999999902E-2</v>
      </c>
      <c r="AH1507">
        <v>0.82964439035243998</v>
      </c>
      <c r="AI1507">
        <v>94.040582864417601</v>
      </c>
      <c r="AJ1507">
        <v>85.4894742711801</v>
      </c>
      <c r="AK1507">
        <v>0.83429559441091705</v>
      </c>
      <c r="AL1507">
        <v>79.567117265308298</v>
      </c>
      <c r="AM1507">
        <v>89.520689837118994</v>
      </c>
      <c r="AN1507">
        <v>1.0000000058098899</v>
      </c>
    </row>
    <row r="1508" spans="1:40" x14ac:dyDescent="0.25">
      <c r="A1508" t="str">
        <f>"20190312172114562"</f>
        <v>20190312172114562</v>
      </c>
      <c r="B1508" t="str">
        <f>"1552382474552102"</f>
        <v>1552382474552102</v>
      </c>
      <c r="C1508" t="s">
        <v>40</v>
      </c>
      <c r="D1508">
        <v>3.4759540000000002</v>
      </c>
      <c r="E1508">
        <v>0.52288409999999996</v>
      </c>
      <c r="F1508" t="s">
        <v>44</v>
      </c>
      <c r="G1508">
        <v>-207.2722</v>
      </c>
      <c r="H1508" s="1">
        <v>-4.8620360000000004E-6</v>
      </c>
      <c r="I1508">
        <v>365.78859999999997</v>
      </c>
      <c r="J1508">
        <v>-225.3612</v>
      </c>
      <c r="K1508">
        <v>1.110228</v>
      </c>
      <c r="L1508">
        <v>367.21030000000002</v>
      </c>
      <c r="M1508">
        <v>0.99986940000000002</v>
      </c>
      <c r="N1508">
        <v>0</v>
      </c>
      <c r="O1508">
        <v>-1.059305E-2</v>
      </c>
      <c r="P1508">
        <v>0.98543650000000005</v>
      </c>
      <c r="Q1508">
        <v>0.1690141</v>
      </c>
      <c r="R1508">
        <v>-1.8681030000000001E-2</v>
      </c>
      <c r="S1508">
        <v>3.07193</v>
      </c>
      <c r="T1508">
        <v>-0.18715390000000001</v>
      </c>
      <c r="U1508">
        <v>-0.23989869999999999</v>
      </c>
      <c r="V1508">
        <v>8.2473809999999998E-3</v>
      </c>
      <c r="W1508">
        <v>0.1810292</v>
      </c>
      <c r="X1508">
        <v>0.98344310000000001</v>
      </c>
      <c r="Y1508">
        <v>6.7186419999999997E-2</v>
      </c>
      <c r="Z1508">
        <v>-1.3978669999999999E-3</v>
      </c>
      <c r="AA1508">
        <v>0.99773940000000005</v>
      </c>
      <c r="AB1508">
        <v>28</v>
      </c>
      <c r="AC1508">
        <v>18.088999999999999</v>
      </c>
      <c r="AD1508">
        <v>-1.110232862036</v>
      </c>
      <c r="AE1508">
        <v>-1.4217000000000399</v>
      </c>
      <c r="AF1508">
        <v>1.2254004831326799</v>
      </c>
      <c r="AG1508">
        <v>-1.110232862036</v>
      </c>
      <c r="AH1508">
        <v>18.035522923896298</v>
      </c>
      <c r="AI1508">
        <v>93.514493059103998</v>
      </c>
      <c r="AJ1508">
        <v>86.113085487983696</v>
      </c>
      <c r="AK1508">
        <v>18.1111653542889</v>
      </c>
      <c r="AL1508">
        <v>79.570286059813895</v>
      </c>
      <c r="AM1508">
        <v>89.519515622138002</v>
      </c>
      <c r="AN1508">
        <v>0.99999996074180297</v>
      </c>
    </row>
    <row r="1509" spans="1:40" x14ac:dyDescent="0.25">
      <c r="A1509" t="str">
        <f>"20190312172114572"</f>
        <v>20190312172114572</v>
      </c>
      <c r="B1509" t="str">
        <f>"1552382474562839"</f>
        <v>1552382474562839</v>
      </c>
      <c r="C1509" t="s">
        <v>40</v>
      </c>
      <c r="D1509">
        <v>3.4960740000000001</v>
      </c>
      <c r="E1509">
        <v>0.52276069999999997</v>
      </c>
      <c r="F1509" t="s">
        <v>41</v>
      </c>
      <c r="G1509">
        <v>-224.40940000000001</v>
      </c>
      <c r="H1509">
        <v>1.0522899999999999</v>
      </c>
      <c r="I1509">
        <v>367.13619999999997</v>
      </c>
      <c r="J1509">
        <v>-225.23060000000001</v>
      </c>
      <c r="K1509">
        <v>1.110231</v>
      </c>
      <c r="L1509">
        <v>367.20890000000003</v>
      </c>
      <c r="M1509">
        <v>0.99986920000000001</v>
      </c>
      <c r="N1509">
        <v>0</v>
      </c>
      <c r="O1509">
        <v>-1.059294E-2</v>
      </c>
      <c r="P1509">
        <v>0.98544940000000003</v>
      </c>
      <c r="Q1509">
        <v>0.16892960000000001</v>
      </c>
      <c r="R1509">
        <v>-1.8781829999999999E-2</v>
      </c>
      <c r="S1509">
        <v>3.0719150000000002</v>
      </c>
      <c r="T1509">
        <v>-0.1871226</v>
      </c>
      <c r="U1509">
        <v>-0.23895259999999999</v>
      </c>
      <c r="V1509">
        <v>8.3478430000000006E-3</v>
      </c>
      <c r="W1509">
        <v>0.18096499999999999</v>
      </c>
      <c r="X1509">
        <v>0.9834541</v>
      </c>
      <c r="Y1509">
        <v>6.68821E-2</v>
      </c>
      <c r="Z1509">
        <v>-1.3884170000000001E-3</v>
      </c>
      <c r="AA1509">
        <v>0.99775990000000003</v>
      </c>
      <c r="AB1509">
        <v>28</v>
      </c>
      <c r="AC1509">
        <v>0.82120000000000404</v>
      </c>
      <c r="AD1509">
        <v>-5.7940999999999999E-2</v>
      </c>
      <c r="AE1509">
        <v>-7.2700000000054305E-2</v>
      </c>
      <c r="AF1509">
        <v>6.3681791665260307E-2</v>
      </c>
      <c r="AG1509">
        <v>-5.7940999999999999E-2</v>
      </c>
      <c r="AH1509">
        <v>0.81788413785734104</v>
      </c>
      <c r="AI1509">
        <v>94.040022415451205</v>
      </c>
      <c r="AJ1509">
        <v>85.547839723199303</v>
      </c>
      <c r="AK1509">
        <v>0.82240318155351499</v>
      </c>
      <c r="AL1509">
        <v>79.574026555182698</v>
      </c>
      <c r="AM1509">
        <v>89.513668522825597</v>
      </c>
      <c r="AN1509">
        <v>0.99999999225728098</v>
      </c>
    </row>
    <row r="1510" spans="1:40" x14ac:dyDescent="0.25">
      <c r="A1510" t="str">
        <f>"20190312172114585"</f>
        <v>20190312172114585</v>
      </c>
      <c r="B1510" t="str">
        <f>"1552382474582358"</f>
        <v>1552382474582358</v>
      </c>
      <c r="C1510" t="s">
        <v>40</v>
      </c>
      <c r="D1510">
        <v>3.484712</v>
      </c>
      <c r="E1510">
        <v>0.52251809999999999</v>
      </c>
      <c r="F1510" t="s">
        <v>44</v>
      </c>
      <c r="G1510">
        <v>-207.012</v>
      </c>
      <c r="H1510" s="1">
        <v>-4.7393730000000002E-6</v>
      </c>
      <c r="I1510">
        <v>365.7953</v>
      </c>
      <c r="J1510">
        <v>-225.0822</v>
      </c>
      <c r="K1510">
        <v>1.1102320000000001</v>
      </c>
      <c r="L1510">
        <v>367.20729999999998</v>
      </c>
      <c r="M1510">
        <v>0.99986900000000001</v>
      </c>
      <c r="N1510">
        <v>0</v>
      </c>
      <c r="O1510">
        <v>-1.059308E-2</v>
      </c>
      <c r="P1510">
        <v>0.98544410000000005</v>
      </c>
      <c r="Q1510">
        <v>0.16894149999999999</v>
      </c>
      <c r="R1510">
        <v>-1.8942179999999999E-2</v>
      </c>
      <c r="S1510">
        <v>3.0718380000000001</v>
      </c>
      <c r="T1510">
        <v>-0.18719730000000001</v>
      </c>
      <c r="U1510">
        <v>-0.23834230000000001</v>
      </c>
      <c r="V1510">
        <v>8.5082660000000004E-3</v>
      </c>
      <c r="W1510">
        <v>0.18099879999999999</v>
      </c>
      <c r="X1510">
        <v>0.9834465</v>
      </c>
      <c r="Y1510">
        <v>6.6687079999999996E-2</v>
      </c>
      <c r="Z1510">
        <v>-1.3830789999999999E-3</v>
      </c>
      <c r="AA1510">
        <v>0.99777300000000002</v>
      </c>
      <c r="AB1510">
        <v>28</v>
      </c>
      <c r="AC1510">
        <v>18.0702</v>
      </c>
      <c r="AD1510">
        <v>-1.1102367393729999</v>
      </c>
      <c r="AE1510">
        <v>-1.4119999999999699</v>
      </c>
      <c r="AF1510">
        <v>1.21592521447435</v>
      </c>
      <c r="AG1510">
        <v>-1.1102367393729999</v>
      </c>
      <c r="AH1510">
        <v>18.016546616603598</v>
      </c>
      <c r="AI1510">
        <v>93.518305219061006</v>
      </c>
      <c r="AJ1510">
        <v>86.138999408803002</v>
      </c>
      <c r="AK1510">
        <v>18.091629327755399</v>
      </c>
      <c r="AL1510">
        <v>79.572057388188497</v>
      </c>
      <c r="AM1510">
        <v>89.504319176676503</v>
      </c>
      <c r="AN1510">
        <v>0.99999998727700801</v>
      </c>
    </row>
    <row r="1511" spans="1:40" x14ac:dyDescent="0.25">
      <c r="A1511" t="str">
        <f>"20190312172114596"</f>
        <v>20190312172114596</v>
      </c>
      <c r="B1511" t="str">
        <f>"1552382474592118"</f>
        <v>1552382474592118</v>
      </c>
      <c r="C1511" t="s">
        <v>40</v>
      </c>
      <c r="D1511">
        <v>3.4950559999999999</v>
      </c>
      <c r="E1511">
        <v>0.52239789999999997</v>
      </c>
      <c r="F1511" t="s">
        <v>41</v>
      </c>
      <c r="G1511">
        <v>-224.1558</v>
      </c>
      <c r="H1511">
        <v>1.0539240000000001</v>
      </c>
      <c r="I1511">
        <v>367.13580000000002</v>
      </c>
      <c r="J1511">
        <v>-224.94329999999999</v>
      </c>
      <c r="K1511">
        <v>1.1102339999999999</v>
      </c>
      <c r="L1511">
        <v>367.20589999999999</v>
      </c>
      <c r="M1511">
        <v>0.99986870000000005</v>
      </c>
      <c r="N1511">
        <v>0</v>
      </c>
      <c r="O1511">
        <v>-1.059308E-2</v>
      </c>
      <c r="P1511">
        <v>0.985433</v>
      </c>
      <c r="Q1511">
        <v>0.1689811</v>
      </c>
      <c r="R1511">
        <v>-1.916412E-2</v>
      </c>
      <c r="S1511">
        <v>3.071793</v>
      </c>
      <c r="T1511">
        <v>-0.18691559999999999</v>
      </c>
      <c r="U1511">
        <v>-0.23657230000000001</v>
      </c>
      <c r="V1511">
        <v>8.7303910000000005E-3</v>
      </c>
      <c r="W1511">
        <v>0.18105830000000001</v>
      </c>
      <c r="X1511">
        <v>0.98343360000000002</v>
      </c>
      <c r="Y1511">
        <v>6.6118040000000003E-2</v>
      </c>
      <c r="Z1511">
        <v>-1.3637810000000001E-3</v>
      </c>
      <c r="AA1511">
        <v>0.99781089999999995</v>
      </c>
      <c r="AB1511">
        <v>28</v>
      </c>
      <c r="AC1511">
        <v>0.78749999999999398</v>
      </c>
      <c r="AD1511">
        <v>-5.6309999999999798E-2</v>
      </c>
      <c r="AE1511">
        <v>-7.0099999999967993E-2</v>
      </c>
      <c r="AF1511">
        <v>6.1441710906707199E-2</v>
      </c>
      <c r="AG1511">
        <v>-5.6309999999999798E-2</v>
      </c>
      <c r="AH1511">
        <v>0.784220296713939</v>
      </c>
      <c r="AI1511">
        <v>94.094501672713093</v>
      </c>
      <c r="AJ1511">
        <v>85.520169370268505</v>
      </c>
      <c r="AK1511">
        <v>0.788636401466</v>
      </c>
      <c r="AL1511">
        <v>79.568591010902296</v>
      </c>
      <c r="AM1511">
        <v>89.491372454728406</v>
      </c>
      <c r="AN1511">
        <v>0.99999998666743095</v>
      </c>
    </row>
    <row r="1512" spans="1:40" x14ac:dyDescent="0.25">
      <c r="A1512" t="str">
        <f>"20190312172114606"</f>
        <v>20190312172114606</v>
      </c>
      <c r="B1512" t="str">
        <f>"1552382474602853"</f>
        <v>1552382474602853</v>
      </c>
      <c r="C1512" t="s">
        <v>40</v>
      </c>
      <c r="D1512">
        <v>3.490075</v>
      </c>
      <c r="E1512">
        <v>0.52228019999999997</v>
      </c>
      <c r="F1512" t="s">
        <v>44</v>
      </c>
      <c r="G1512">
        <v>-206.67509999999999</v>
      </c>
      <c r="H1512" s="1">
        <v>-4.5814069999999999E-6</v>
      </c>
      <c r="I1512">
        <v>365.79989999999998</v>
      </c>
      <c r="J1512">
        <v>-224.80690000000001</v>
      </c>
      <c r="K1512">
        <v>1.1102320000000001</v>
      </c>
      <c r="L1512">
        <v>367.20440000000002</v>
      </c>
      <c r="M1512">
        <v>0.99986850000000005</v>
      </c>
      <c r="N1512">
        <v>0</v>
      </c>
      <c r="O1512">
        <v>-1.059307E-2</v>
      </c>
      <c r="P1512">
        <v>0.98540170000000005</v>
      </c>
      <c r="Q1512">
        <v>0.16912559999999999</v>
      </c>
      <c r="R1512">
        <v>-1.9496429999999999E-2</v>
      </c>
      <c r="S1512">
        <v>3.0717620000000001</v>
      </c>
      <c r="T1512">
        <v>-0.1866844</v>
      </c>
      <c r="U1512">
        <v>-0.23641970000000001</v>
      </c>
      <c r="V1512">
        <v>9.0630829999999996E-3</v>
      </c>
      <c r="W1512">
        <v>0.18122060000000001</v>
      </c>
      <c r="X1512">
        <v>0.98340070000000002</v>
      </c>
      <c r="Y1512">
        <v>6.6069870000000003E-2</v>
      </c>
      <c r="Z1512">
        <v>-1.360652E-3</v>
      </c>
      <c r="AA1512">
        <v>0.99781410000000004</v>
      </c>
      <c r="AB1512">
        <v>28</v>
      </c>
      <c r="AC1512">
        <v>18.131799999999998</v>
      </c>
      <c r="AD1512">
        <v>-1.1102365814070001</v>
      </c>
      <c r="AE1512">
        <v>-1.40450000000004</v>
      </c>
      <c r="AF1512">
        <v>1.2078337653584901</v>
      </c>
      <c r="AG1512">
        <v>-1.1102365814070001</v>
      </c>
      <c r="AH1512">
        <v>18.078285098631401</v>
      </c>
      <c r="AI1512">
        <v>93.506478054361807</v>
      </c>
      <c r="AJ1512">
        <v>86.1776749189399</v>
      </c>
      <c r="AK1512">
        <v>18.152572263424101</v>
      </c>
      <c r="AL1512">
        <v>79.559135533262094</v>
      </c>
      <c r="AM1512">
        <v>89.471973424156204</v>
      </c>
      <c r="AN1512">
        <v>0.99999999104915704</v>
      </c>
    </row>
    <row r="1513" spans="1:40" x14ac:dyDescent="0.25">
      <c r="A1513" t="str">
        <f>"20190312172114618"</f>
        <v>20190312172114618</v>
      </c>
      <c r="B1513" t="str">
        <f>"1552382474612614"</f>
        <v>1552382474612614</v>
      </c>
      <c r="C1513" t="s">
        <v>40</v>
      </c>
      <c r="D1513">
        <v>3.4755790000000002</v>
      </c>
      <c r="E1513">
        <v>0.52215800000000001</v>
      </c>
      <c r="F1513" t="s">
        <v>44</v>
      </c>
      <c r="G1513">
        <v>-206.48089999999999</v>
      </c>
      <c r="H1513" s="1">
        <v>-4.492448E-6</v>
      </c>
      <c r="I1513">
        <v>365.79320000000001</v>
      </c>
      <c r="J1513">
        <v>-224.65</v>
      </c>
      <c r="K1513">
        <v>1.1102369999999999</v>
      </c>
      <c r="L1513">
        <v>367.20280000000002</v>
      </c>
      <c r="M1513">
        <v>0.99986819999999998</v>
      </c>
      <c r="N1513">
        <v>0</v>
      </c>
      <c r="O1513">
        <v>-1.0592839999999999E-2</v>
      </c>
      <c r="P1513">
        <v>0.98543080000000005</v>
      </c>
      <c r="Q1513">
        <v>0.16891349999999999</v>
      </c>
      <c r="R1513">
        <v>-1.985955E-2</v>
      </c>
      <c r="S1513">
        <v>3.0716860000000001</v>
      </c>
      <c r="T1513">
        <v>-0.1860907</v>
      </c>
      <c r="U1513">
        <v>-0.23654169999999999</v>
      </c>
      <c r="V1513">
        <v>9.4259730000000007E-3</v>
      </c>
      <c r="W1513">
        <v>0.18102969999999999</v>
      </c>
      <c r="X1513">
        <v>0.98343250000000004</v>
      </c>
      <c r="Y1513">
        <v>6.6111970000000006E-2</v>
      </c>
      <c r="Z1513">
        <v>-1.35765E-3</v>
      </c>
      <c r="AA1513">
        <v>0.99781129999999996</v>
      </c>
      <c r="AB1513">
        <v>28</v>
      </c>
      <c r="AC1513">
        <v>18.1691</v>
      </c>
      <c r="AD1513">
        <v>-1.110241492448</v>
      </c>
      <c r="AE1513">
        <v>-1.40960000000001</v>
      </c>
      <c r="AF1513">
        <v>1.2125434797038499</v>
      </c>
      <c r="AG1513">
        <v>-1.110241492448</v>
      </c>
      <c r="AH1513">
        <v>18.115774631721301</v>
      </c>
      <c r="AI1513">
        <v>93.499226808448896</v>
      </c>
      <c r="AJ1513">
        <v>86.170732120978599</v>
      </c>
      <c r="AK1513">
        <v>18.190222328741399</v>
      </c>
      <c r="AL1513">
        <v>79.570257783966994</v>
      </c>
      <c r="AM1513">
        <v>89.450850024463406</v>
      </c>
      <c r="AN1513">
        <v>1.00000004165266</v>
      </c>
    </row>
    <row r="1514" spans="1:40" x14ac:dyDescent="0.25">
      <c r="A1514" t="str">
        <f>"20190312172114630"</f>
        <v>20190312172114630</v>
      </c>
      <c r="B1514" t="str">
        <f>"1552382474622375"</f>
        <v>1552382474622375</v>
      </c>
      <c r="C1514" t="s">
        <v>40</v>
      </c>
      <c r="D1514">
        <v>3.500651</v>
      </c>
      <c r="E1514">
        <v>0.52204030000000001</v>
      </c>
      <c r="F1514" t="s">
        <v>44</v>
      </c>
      <c r="G1514">
        <v>-206.3674</v>
      </c>
      <c r="H1514" s="1">
        <v>-4.4398649999999997E-6</v>
      </c>
      <c r="I1514">
        <v>365.79169999999999</v>
      </c>
      <c r="J1514">
        <v>-224.518</v>
      </c>
      <c r="K1514">
        <v>1.110239</v>
      </c>
      <c r="L1514">
        <v>367.20139999999998</v>
      </c>
      <c r="M1514">
        <v>0.99986810000000004</v>
      </c>
      <c r="N1514">
        <v>0</v>
      </c>
      <c r="O1514">
        <v>-1.059308E-2</v>
      </c>
      <c r="P1514">
        <v>0.98542180000000001</v>
      </c>
      <c r="Q1514">
        <v>0.16892760000000001</v>
      </c>
      <c r="R1514">
        <v>-2.0190369999999999E-2</v>
      </c>
      <c r="S1514">
        <v>3.071564</v>
      </c>
      <c r="T1514">
        <v>-0.18652579999999999</v>
      </c>
      <c r="U1514">
        <v>-0.23706050000000001</v>
      </c>
      <c r="V1514">
        <v>9.7564920000000003E-3</v>
      </c>
      <c r="W1514">
        <v>0.18106159999999999</v>
      </c>
      <c r="X1514">
        <v>0.98342339999999995</v>
      </c>
      <c r="Y1514">
        <v>6.6281519999999997E-2</v>
      </c>
      <c r="Z1514">
        <v>-1.365986E-3</v>
      </c>
      <c r="AA1514">
        <v>0.99780009999999997</v>
      </c>
      <c r="AB1514">
        <v>28</v>
      </c>
      <c r="AC1514">
        <v>18.150600000000001</v>
      </c>
      <c r="AD1514">
        <v>-1.1102434398649901</v>
      </c>
      <c r="AE1514">
        <v>-1.40969999999998</v>
      </c>
      <c r="AF1514">
        <v>1.2128248951612199</v>
      </c>
      <c r="AG1514">
        <v>-1.1102434398649901</v>
      </c>
      <c r="AH1514">
        <v>18.0972095760199</v>
      </c>
      <c r="AI1514">
        <v>93.502794072940304</v>
      </c>
      <c r="AJ1514">
        <v>86.1659285857464</v>
      </c>
      <c r="AK1514">
        <v>18.171752231429799</v>
      </c>
      <c r="AL1514">
        <v>79.568399297683996</v>
      </c>
      <c r="AM1514">
        <v>89.431590223041596</v>
      </c>
      <c r="AN1514">
        <v>1.0000000378991301</v>
      </c>
    </row>
    <row r="1515" spans="1:40" x14ac:dyDescent="0.25">
      <c r="A1515" t="str">
        <f>"20190312172114642"</f>
        <v>20190312172114642</v>
      </c>
      <c r="B1515" t="str">
        <f>"1552382474632135"</f>
        <v>1552382474632135</v>
      </c>
      <c r="C1515" t="s">
        <v>40</v>
      </c>
      <c r="D1515">
        <v>3.4458090000000001</v>
      </c>
      <c r="E1515">
        <v>0.52192859999999996</v>
      </c>
      <c r="F1515" t="s">
        <v>44</v>
      </c>
      <c r="G1515">
        <v>-206.20310000000001</v>
      </c>
      <c r="H1515" s="1">
        <v>-4.3647769999999997E-6</v>
      </c>
      <c r="I1515">
        <v>365.78519999999997</v>
      </c>
      <c r="J1515">
        <v>-224.3621</v>
      </c>
      <c r="K1515">
        <v>1.110242</v>
      </c>
      <c r="L1515">
        <v>367.19970000000001</v>
      </c>
      <c r="M1515">
        <v>0.99986779999999997</v>
      </c>
      <c r="N1515">
        <v>0</v>
      </c>
      <c r="O1515">
        <v>-1.0593089999999999E-2</v>
      </c>
      <c r="P1515">
        <v>0.98538890000000001</v>
      </c>
      <c r="Q1515">
        <v>0.16908879999999901</v>
      </c>
      <c r="R1515">
        <v>-2.0445350000000001E-2</v>
      </c>
      <c r="S1515">
        <v>3.0714260000000002</v>
      </c>
      <c r="T1515">
        <v>-0.18618899999999999</v>
      </c>
      <c r="U1515">
        <v>-0.2374878</v>
      </c>
      <c r="V1515">
        <v>1.0011890000000001E-2</v>
      </c>
      <c r="W1515">
        <v>0.18124399999999999</v>
      </c>
      <c r="X1515">
        <v>0.98338720000000002</v>
      </c>
      <c r="Y1515">
        <v>6.6423010000000005E-2</v>
      </c>
      <c r="Z1515">
        <v>-1.3678550000000001E-3</v>
      </c>
      <c r="AA1515">
        <v>0.99779059999999997</v>
      </c>
      <c r="AB1515">
        <v>28</v>
      </c>
      <c r="AC1515">
        <v>18.158999999999899</v>
      </c>
      <c r="AD1515">
        <v>-1.110246364777</v>
      </c>
      <c r="AE1515">
        <v>-1.4145000000000301</v>
      </c>
      <c r="AF1515">
        <v>1.21752225178271</v>
      </c>
      <c r="AG1515">
        <v>-1.110246364777</v>
      </c>
      <c r="AH1515">
        <v>18.1056927265771</v>
      </c>
      <c r="AI1515">
        <v>93.501112950896996</v>
      </c>
      <c r="AJ1515">
        <v>86.152921420027994</v>
      </c>
      <c r="AK1515">
        <v>18.180514748854399</v>
      </c>
      <c r="AL1515">
        <v>79.557772386726697</v>
      </c>
      <c r="AM1515">
        <v>89.416690370460103</v>
      </c>
      <c r="AN1515">
        <v>1.0000000053006</v>
      </c>
    </row>
    <row r="1516" spans="1:40" x14ac:dyDescent="0.25">
      <c r="A1516" t="str">
        <f>"20190312172114654"</f>
        <v>20190312172114654</v>
      </c>
      <c r="B1516" t="str">
        <f>"1552382474642870"</f>
        <v>1552382474642870</v>
      </c>
      <c r="C1516" t="s">
        <v>40</v>
      </c>
      <c r="D1516">
        <v>3.4447519999999998</v>
      </c>
      <c r="E1516">
        <v>0.52181739999999999</v>
      </c>
      <c r="F1516" t="s">
        <v>41</v>
      </c>
      <c r="G1516">
        <v>-223.40180000000001</v>
      </c>
      <c r="H1516">
        <v>1.0522640000000001</v>
      </c>
      <c r="I1516">
        <v>367.12529999999998</v>
      </c>
      <c r="J1516">
        <v>-224.20050000000001</v>
      </c>
      <c r="K1516">
        <v>1.1102449999999999</v>
      </c>
      <c r="L1516">
        <v>367.19799999999998</v>
      </c>
      <c r="M1516">
        <v>0.99986750000000002</v>
      </c>
      <c r="N1516">
        <v>0</v>
      </c>
      <c r="O1516">
        <v>-1.0593E-2</v>
      </c>
      <c r="P1516">
        <v>0.98536279999999998</v>
      </c>
      <c r="Q1516">
        <v>0.16921069999999999</v>
      </c>
      <c r="R1516">
        <v>-2.0689559999999999E-2</v>
      </c>
      <c r="S1516">
        <v>3.0714260000000002</v>
      </c>
      <c r="T1516">
        <v>-0.18562419999999999</v>
      </c>
      <c r="U1516">
        <v>-0.23770140000000001</v>
      </c>
      <c r="V1516">
        <v>1.025645E-2</v>
      </c>
      <c r="W1516">
        <v>0.18138850000000001</v>
      </c>
      <c r="X1516">
        <v>0.98335799999999995</v>
      </c>
      <c r="Y1516">
        <v>6.6492570000000001E-2</v>
      </c>
      <c r="Z1516">
        <v>-1.3658120000000001E-3</v>
      </c>
      <c r="AA1516">
        <v>0.99778599999999995</v>
      </c>
      <c r="AB1516">
        <v>28</v>
      </c>
      <c r="AC1516">
        <v>0.79869999999999597</v>
      </c>
      <c r="AD1516">
        <v>-5.7981000000000199E-2</v>
      </c>
      <c r="AE1516">
        <v>-7.2700000000054305E-2</v>
      </c>
      <c r="AF1516">
        <v>6.3900660664407E-2</v>
      </c>
      <c r="AG1516">
        <v>-5.7981000000000199E-2</v>
      </c>
      <c r="AH1516">
        <v>0.79526878497093401</v>
      </c>
      <c r="AI1516">
        <v>94.156560659866003</v>
      </c>
      <c r="AJ1516">
        <v>85.406095044616606</v>
      </c>
      <c r="AK1516">
        <v>0.79993595440103404</v>
      </c>
      <c r="AL1516">
        <v>79.549353224890297</v>
      </c>
      <c r="AM1516">
        <v>89.402425169802299</v>
      </c>
      <c r="AN1516">
        <v>0.999999969431425</v>
      </c>
    </row>
    <row r="1517" spans="1:40" x14ac:dyDescent="0.25">
      <c r="A1517" t="str">
        <f>"20190312172114668"</f>
        <v>20190312172114668</v>
      </c>
      <c r="B1517" t="str">
        <f>"1552382474662391"</f>
        <v>1552382474662391</v>
      </c>
      <c r="C1517" t="s">
        <v>40</v>
      </c>
      <c r="D1517">
        <v>3.4771860000000001</v>
      </c>
      <c r="E1517">
        <v>0.52160390000000001</v>
      </c>
      <c r="F1517" t="s">
        <v>44</v>
      </c>
      <c r="G1517">
        <v>-205.80699999999999</v>
      </c>
      <c r="H1517" s="1">
        <v>-4.1822980000000001E-6</v>
      </c>
      <c r="I1517">
        <v>365.77620000000002</v>
      </c>
      <c r="J1517">
        <v>-224.04660000000001</v>
      </c>
      <c r="K1517">
        <v>1.110249</v>
      </c>
      <c r="L1517">
        <v>367.19639999999998</v>
      </c>
      <c r="M1517">
        <v>0.99986730000000001</v>
      </c>
      <c r="N1517">
        <v>0</v>
      </c>
      <c r="O1517">
        <v>-1.059301E-2</v>
      </c>
      <c r="P1517">
        <v>0.98538380000000003</v>
      </c>
      <c r="Q1517">
        <v>0.1690564</v>
      </c>
      <c r="R1517">
        <v>-2.0952479999999999E-2</v>
      </c>
      <c r="S1517">
        <v>3.0714260000000002</v>
      </c>
      <c r="T1517">
        <v>-0.185394</v>
      </c>
      <c r="U1517">
        <v>-0.23742679999999999</v>
      </c>
      <c r="V1517">
        <v>1.0519209999999999E-2</v>
      </c>
      <c r="W1517">
        <v>0.18125530000000001</v>
      </c>
      <c r="X1517">
        <v>0.98337980000000003</v>
      </c>
      <c r="Y1517">
        <v>6.6404279999999996E-2</v>
      </c>
      <c r="Z1517">
        <v>-1.3614670000000001E-3</v>
      </c>
      <c r="AA1517">
        <v>0.99779189999999995</v>
      </c>
      <c r="AB1517">
        <v>28</v>
      </c>
      <c r="AC1517">
        <v>18.239599999999999</v>
      </c>
      <c r="AD1517">
        <v>-1.110253182298</v>
      </c>
      <c r="AE1517">
        <v>-1.4201999999999599</v>
      </c>
      <c r="AF1517">
        <v>1.22239131096608</v>
      </c>
      <c r="AG1517">
        <v>-1.110253182298</v>
      </c>
      <c r="AH1517">
        <v>18.1866424641678</v>
      </c>
      <c r="AI1517">
        <v>93.485596512355997</v>
      </c>
      <c r="AJ1517">
        <v>86.154722973770006</v>
      </c>
      <c r="AK1517">
        <v>18.2614585059737</v>
      </c>
      <c r="AL1517">
        <v>79.557113818566606</v>
      </c>
      <c r="AM1517">
        <v>89.387130638620505</v>
      </c>
      <c r="AN1517">
        <v>0.99999998430257697</v>
      </c>
    </row>
    <row r="1518" spans="1:40" x14ac:dyDescent="0.25">
      <c r="A1518" t="str">
        <f>"20190312172114680"</f>
        <v>20190312172114680</v>
      </c>
      <c r="B1518" t="str">
        <f>"1552382474672152"</f>
        <v>1552382474672152</v>
      </c>
      <c r="C1518" t="s">
        <v>40</v>
      </c>
      <c r="D1518">
        <v>3.492712</v>
      </c>
      <c r="E1518">
        <v>0.5214818</v>
      </c>
      <c r="F1518" t="s">
        <v>44</v>
      </c>
      <c r="G1518">
        <v>-205.72489999999999</v>
      </c>
      <c r="H1518" s="1">
        <v>-4.1419799999999998E-6</v>
      </c>
      <c r="I1518">
        <v>365.78559999999999</v>
      </c>
      <c r="J1518">
        <v>-223.8826</v>
      </c>
      <c r="K1518">
        <v>1.110252</v>
      </c>
      <c r="L1518">
        <v>367.19470000000001</v>
      </c>
      <c r="M1518">
        <v>0.99986699999999995</v>
      </c>
      <c r="N1518">
        <v>0</v>
      </c>
      <c r="O1518">
        <v>-1.0592900000000001E-2</v>
      </c>
      <c r="P1518">
        <v>0.98536219999999997</v>
      </c>
      <c r="Q1518">
        <v>0.16915729999999901</v>
      </c>
      <c r="R1518">
        <v>-2.1153350000000001E-2</v>
      </c>
      <c r="S1518">
        <v>3.0713810000000001</v>
      </c>
      <c r="T1518">
        <v>-0.1861188</v>
      </c>
      <c r="U1518">
        <v>-0.2365112</v>
      </c>
      <c r="V1518">
        <v>1.07203E-2</v>
      </c>
      <c r="W1518">
        <v>0.1813777</v>
      </c>
      <c r="X1518">
        <v>0.98335510000000004</v>
      </c>
      <c r="Y1518">
        <v>6.6109589999999996E-2</v>
      </c>
      <c r="Z1518">
        <v>-1.3579130000000001E-3</v>
      </c>
      <c r="AA1518">
        <v>0.99781140000000001</v>
      </c>
      <c r="AB1518">
        <v>28</v>
      </c>
      <c r="AC1518">
        <v>18.157699999999998</v>
      </c>
      <c r="AD1518">
        <v>-1.1102561419799899</v>
      </c>
      <c r="AE1518">
        <v>-1.40910000000002</v>
      </c>
      <c r="AF1518">
        <v>1.21215862710859</v>
      </c>
      <c r="AG1518">
        <v>-1.1102561419799899</v>
      </c>
      <c r="AH1518">
        <v>18.104326595522299</v>
      </c>
      <c r="AI1518">
        <v>93.501475178295095</v>
      </c>
      <c r="AJ1518">
        <v>86.169530471179598</v>
      </c>
      <c r="AK1518">
        <v>18.178796404476699</v>
      </c>
      <c r="AL1518">
        <v>79.549983031163194</v>
      </c>
      <c r="AM1518">
        <v>89.3753999816294</v>
      </c>
      <c r="AN1518">
        <v>1.00000002379269</v>
      </c>
    </row>
    <row r="1519" spans="1:40" x14ac:dyDescent="0.25">
      <c r="A1519" t="str">
        <f>"20190312172114693"</f>
        <v>20190312172114693</v>
      </c>
      <c r="B1519" t="str">
        <f>"1552382474682887"</f>
        <v>1552382474682887</v>
      </c>
      <c r="C1519" t="s">
        <v>40</v>
      </c>
      <c r="D1519">
        <v>3.5014430000000001</v>
      </c>
      <c r="E1519">
        <v>0.5214818</v>
      </c>
      <c r="F1519" t="s">
        <v>41</v>
      </c>
      <c r="G1519">
        <v>-222.8999</v>
      </c>
      <c r="H1519">
        <v>1.0507879999999901</v>
      </c>
      <c r="I1519">
        <v>367.11900000000003</v>
      </c>
      <c r="J1519">
        <v>-223.7149</v>
      </c>
      <c r="K1519">
        <v>1.1102540000000001</v>
      </c>
      <c r="L1519">
        <v>367.19290000000001</v>
      </c>
      <c r="M1519">
        <v>0.99986660000000005</v>
      </c>
      <c r="N1519">
        <v>0</v>
      </c>
      <c r="O1519">
        <v>-1.0592789999999999E-2</v>
      </c>
      <c r="P1519">
        <v>0.98531290000000005</v>
      </c>
      <c r="Q1519">
        <v>0.16944989999999999</v>
      </c>
      <c r="R1519">
        <v>-2.109917E-2</v>
      </c>
      <c r="S1519">
        <v>3.0714419999999998</v>
      </c>
      <c r="T1519">
        <v>-0.18602969999999999</v>
      </c>
      <c r="U1519">
        <v>-0.2361145</v>
      </c>
      <c r="V1519">
        <v>1.066691E-2</v>
      </c>
      <c r="W1519">
        <v>0.18168999999999999</v>
      </c>
      <c r="X1519">
        <v>0.98329800000000001</v>
      </c>
      <c r="Y1519">
        <v>6.5980380000000005E-2</v>
      </c>
      <c r="Z1519">
        <v>-1.353347E-3</v>
      </c>
      <c r="AA1519">
        <v>0.99782000000000004</v>
      </c>
      <c r="AB1519">
        <v>28</v>
      </c>
      <c r="AC1519">
        <v>0.81499999999999695</v>
      </c>
      <c r="AD1519">
        <v>-5.9466000000000199E-2</v>
      </c>
      <c r="AE1519">
        <v>-7.3899999999980495E-2</v>
      </c>
      <c r="AF1519">
        <v>6.4919262923387094E-2</v>
      </c>
      <c r="AG1519">
        <v>-5.9466000000000199E-2</v>
      </c>
      <c r="AH1519">
        <v>0.81145234907689501</v>
      </c>
      <c r="AI1519">
        <v>94.178035864774699</v>
      </c>
      <c r="AJ1519">
        <v>85.425862998655006</v>
      </c>
      <c r="AK1519">
        <v>0.81621420636799003</v>
      </c>
      <c r="AL1519">
        <v>79.5317869571128</v>
      </c>
      <c r="AM1519">
        <v>89.378474327434702</v>
      </c>
      <c r="AN1519">
        <v>0.99999999793647398</v>
      </c>
    </row>
    <row r="1520" spans="1:40" x14ac:dyDescent="0.25">
      <c r="A1520" t="str">
        <f>"20190312172114707"</f>
        <v>20190312172114707</v>
      </c>
      <c r="B1520" t="str">
        <f>"1552382474702409"</f>
        <v>1552382474702409</v>
      </c>
      <c r="C1520" t="s">
        <v>40</v>
      </c>
      <c r="D1520">
        <v>3.501528</v>
      </c>
      <c r="E1520">
        <v>0.47049540000000001</v>
      </c>
      <c r="F1520" t="s">
        <v>44</v>
      </c>
      <c r="G1520">
        <v>-205.29849999999999</v>
      </c>
      <c r="H1520" s="1">
        <v>-3.9447880000000004E-6</v>
      </c>
      <c r="I1520">
        <v>365.779</v>
      </c>
      <c r="J1520">
        <v>-223.5461</v>
      </c>
      <c r="K1520">
        <v>1.1102559999999999</v>
      </c>
      <c r="L1520">
        <v>367.19110000000001</v>
      </c>
      <c r="M1520">
        <v>0.99986629999999999</v>
      </c>
      <c r="N1520">
        <v>0</v>
      </c>
      <c r="O1520">
        <v>-1.059267E-2</v>
      </c>
      <c r="P1520">
        <v>0.98530150000000005</v>
      </c>
      <c r="Q1520">
        <v>0.1695421</v>
      </c>
      <c r="R1520">
        <v>-2.0890490000000001E-2</v>
      </c>
      <c r="S1520">
        <v>3.0715330000000001</v>
      </c>
      <c r="T1520">
        <v>-0.18517140000000001</v>
      </c>
      <c r="U1520">
        <v>-0.2358093</v>
      </c>
      <c r="V1520">
        <v>1.0458429999999999E-2</v>
      </c>
      <c r="W1520">
        <v>0.18180109999999999</v>
      </c>
      <c r="X1520">
        <v>0.98327969999999998</v>
      </c>
      <c r="Y1520">
        <v>6.588078E-2</v>
      </c>
      <c r="Z1520">
        <v>-1.3440909999999999E-3</v>
      </c>
      <c r="AA1520">
        <v>0.99782660000000001</v>
      </c>
      <c r="AB1520">
        <v>28</v>
      </c>
      <c r="AC1520">
        <v>18.247599999999998</v>
      </c>
      <c r="AD1520">
        <v>-1.1102599447879999</v>
      </c>
      <c r="AE1520">
        <v>-1.4120999999999999</v>
      </c>
      <c r="AF1520">
        <v>1.2142465629091801</v>
      </c>
      <c r="AG1520">
        <v>-1.1102599447879999</v>
      </c>
      <c r="AH1520">
        <v>18.194579559833699</v>
      </c>
      <c r="AI1520">
        <v>93.4842114232288</v>
      </c>
      <c r="AJ1520">
        <v>86.181929179859296</v>
      </c>
      <c r="AK1520">
        <v>18.2688203565435</v>
      </c>
      <c r="AL1520">
        <v>79.525313539637096</v>
      </c>
      <c r="AM1520">
        <v>89.390609504011294</v>
      </c>
      <c r="AN1520">
        <v>0.99999999357568203</v>
      </c>
    </row>
    <row r="1521" spans="1:40" x14ac:dyDescent="0.25">
      <c r="A1521" t="str">
        <f>"20190312172114718"</f>
        <v>20190312172114718</v>
      </c>
      <c r="B1521" t="str">
        <f>"1552382474712167"</f>
        <v>1552382474712167</v>
      </c>
      <c r="C1521" t="s">
        <v>40</v>
      </c>
      <c r="D1521">
        <v>3.385767</v>
      </c>
      <c r="E1521">
        <v>0.4621402</v>
      </c>
      <c r="F1521" t="s">
        <v>44</v>
      </c>
      <c r="G1521">
        <v>-200.3374</v>
      </c>
      <c r="H1521" s="1">
        <v>-4.9455369999999997E-7</v>
      </c>
      <c r="I1521">
        <v>368.48790000000002</v>
      </c>
      <c r="J1521">
        <v>-223.39109999999999</v>
      </c>
      <c r="K1521">
        <v>1.110257</v>
      </c>
      <c r="L1521">
        <v>367.18950000000001</v>
      </c>
      <c r="M1521">
        <v>0.99986609999999998</v>
      </c>
      <c r="N1521">
        <v>0</v>
      </c>
      <c r="O1521">
        <v>-1.059266E-2</v>
      </c>
      <c r="P1521">
        <v>0.98530300000000004</v>
      </c>
      <c r="Q1521">
        <v>0.1695672</v>
      </c>
      <c r="R1521">
        <v>-2.061172E-2</v>
      </c>
      <c r="S1521">
        <v>3.073715</v>
      </c>
      <c r="T1521">
        <v>-0.14704039999999999</v>
      </c>
      <c r="U1521">
        <v>0.17175289999999999</v>
      </c>
      <c r="V1521">
        <v>1.017975E-2</v>
      </c>
      <c r="W1521">
        <v>0.18184239999999999</v>
      </c>
      <c r="X1521">
        <v>0.98327500000000001</v>
      </c>
      <c r="Y1521">
        <v>-6.6277130000000004E-2</v>
      </c>
      <c r="Z1521">
        <v>2.0892620000000002E-3</v>
      </c>
      <c r="AA1521">
        <v>0.99779899999999999</v>
      </c>
      <c r="AB1521">
        <v>28</v>
      </c>
      <c r="AC1521">
        <v>23.0536999999999</v>
      </c>
      <c r="AD1521">
        <v>-1.1102574945537</v>
      </c>
      <c r="AE1521">
        <v>1.29840000000001</v>
      </c>
      <c r="AF1521">
        <v>-1.53898798350227</v>
      </c>
      <c r="AG1521">
        <v>-1.1102574945537</v>
      </c>
      <c r="AH1521">
        <v>22.985508965778301</v>
      </c>
      <c r="AI1521">
        <v>92.7592117459848</v>
      </c>
      <c r="AJ1521">
        <v>93.830504905114793</v>
      </c>
      <c r="AK1521">
        <v>23.063711282737099</v>
      </c>
      <c r="AL1521">
        <v>79.522907240728799</v>
      </c>
      <c r="AM1521">
        <v>89.406843584432096</v>
      </c>
      <c r="AN1521">
        <v>1.00000000568641</v>
      </c>
    </row>
    <row r="1522" spans="1:40" x14ac:dyDescent="0.25">
      <c r="A1522" t="str">
        <f>"20190312172114730"</f>
        <v>20190312172114730</v>
      </c>
      <c r="B1522" t="str">
        <f>"1552382474722903"</f>
        <v>1552382474722903</v>
      </c>
      <c r="C1522" t="s">
        <v>40</v>
      </c>
      <c r="D1522">
        <v>3.4223170000000001</v>
      </c>
      <c r="E1522">
        <v>0.4621402</v>
      </c>
      <c r="F1522" t="s">
        <v>44</v>
      </c>
      <c r="G1522">
        <v>-198.5377</v>
      </c>
      <c r="H1522" s="1">
        <v>-8.4601919999999904E-6</v>
      </c>
      <c r="I1522">
        <v>369.12619999999998</v>
      </c>
      <c r="J1522">
        <v>-223.24600000000001</v>
      </c>
      <c r="K1522">
        <v>1.110252</v>
      </c>
      <c r="L1522">
        <v>367.18790000000001</v>
      </c>
      <c r="M1522">
        <v>0.99986609999999998</v>
      </c>
      <c r="N1522">
        <v>0</v>
      </c>
      <c r="O1522">
        <v>-1.059275E-2</v>
      </c>
      <c r="P1522">
        <v>0.98533179999999998</v>
      </c>
      <c r="Q1522">
        <v>0.16941709999999999</v>
      </c>
      <c r="R1522">
        <v>-2.0475139999999999E-2</v>
      </c>
      <c r="S1522">
        <v>3.07341</v>
      </c>
      <c r="T1522">
        <v>-0.13729749999999999</v>
      </c>
      <c r="U1522">
        <v>0.23950199999999999</v>
      </c>
      <c r="V1522">
        <v>1.0042830000000001E-2</v>
      </c>
      <c r="W1522">
        <v>0.18170639999999999</v>
      </c>
      <c r="X1522">
        <v>0.98330150000000005</v>
      </c>
      <c r="Y1522">
        <v>-8.8150859999999998E-2</v>
      </c>
      <c r="Z1522">
        <v>2.4373469999999999E-3</v>
      </c>
      <c r="AA1522">
        <v>0.9961042</v>
      </c>
      <c r="AB1522">
        <v>28</v>
      </c>
      <c r="AC1522">
        <v>24.708299999999898</v>
      </c>
      <c r="AD1522">
        <v>-1.1102604601919901</v>
      </c>
      <c r="AE1522">
        <v>1.9382999999999599</v>
      </c>
      <c r="AF1522">
        <v>-2.1955344890866799</v>
      </c>
      <c r="AG1522">
        <v>-1.1102604601919901</v>
      </c>
      <c r="AH1522">
        <v>24.636939112645798</v>
      </c>
      <c r="AI1522">
        <v>92.5701096414614</v>
      </c>
      <c r="AJ1522">
        <v>95.092492773738002</v>
      </c>
      <c r="AK1522">
        <v>24.759479373008801</v>
      </c>
      <c r="AL1522">
        <v>79.530830967781995</v>
      </c>
      <c r="AM1522">
        <v>89.414836886795001</v>
      </c>
      <c r="AN1522">
        <v>0.99999995706880795</v>
      </c>
    </row>
    <row r="1523" spans="1:40" x14ac:dyDescent="0.25">
      <c r="A1523" t="str">
        <f>"20190312172114742"</f>
        <v>20190312172114742</v>
      </c>
      <c r="B1523" t="str">
        <f>"1552382474732662"</f>
        <v>1552382474732662</v>
      </c>
      <c r="C1523" t="s">
        <v>40</v>
      </c>
      <c r="D1523">
        <v>3.4340290000000002</v>
      </c>
      <c r="E1523">
        <v>0.41610570000000002</v>
      </c>
      <c r="F1523" t="s">
        <v>44</v>
      </c>
      <c r="G1523">
        <v>-198.47470000000001</v>
      </c>
      <c r="H1523" s="1">
        <v>-8.4375770000000008E-6</v>
      </c>
      <c r="I1523">
        <v>369.12400000000002</v>
      </c>
      <c r="J1523">
        <v>-223.10579999999999</v>
      </c>
      <c r="K1523">
        <v>1.1102529999999999</v>
      </c>
      <c r="L1523">
        <v>367.18650000000002</v>
      </c>
      <c r="M1523">
        <v>0.99986589999999997</v>
      </c>
      <c r="N1523">
        <v>0</v>
      </c>
      <c r="O1523">
        <v>-1.0592590000000001E-2</v>
      </c>
      <c r="P1523">
        <v>0.98533360000000003</v>
      </c>
      <c r="Q1523">
        <v>0.16942099999999999</v>
      </c>
      <c r="R1523">
        <v>-2.0359729999999999E-2</v>
      </c>
      <c r="S1523">
        <v>3.0733489999999999</v>
      </c>
      <c r="T1523">
        <v>-0.1377486</v>
      </c>
      <c r="U1523">
        <v>0.2402039</v>
      </c>
      <c r="V1523">
        <v>9.9273169999999997E-3</v>
      </c>
      <c r="W1523">
        <v>0.18172369999999999</v>
      </c>
      <c r="X1523">
        <v>0.98329949999999999</v>
      </c>
      <c r="Y1523">
        <v>-8.8377479999999994E-2</v>
      </c>
      <c r="Z1523">
        <v>2.4504359999999998E-3</v>
      </c>
      <c r="AA1523">
        <v>0.99608399999999997</v>
      </c>
      <c r="AB1523">
        <v>28</v>
      </c>
      <c r="AC1523">
        <v>24.631099999999901</v>
      </c>
      <c r="AD1523">
        <v>-1.1102614375769999</v>
      </c>
      <c r="AE1523">
        <v>1.9375</v>
      </c>
      <c r="AF1523">
        <v>-2.1938886260942101</v>
      </c>
      <c r="AG1523">
        <v>-1.1102614375769999</v>
      </c>
      <c r="AH1523">
        <v>24.559599603627301</v>
      </c>
      <c r="AI1523">
        <v>92.578145734870304</v>
      </c>
      <c r="AJ1523">
        <v>95.104635329101995</v>
      </c>
      <c r="AK1523">
        <v>24.6823775283899</v>
      </c>
      <c r="AL1523">
        <v>79.529823219365895</v>
      </c>
      <c r="AM1523">
        <v>89.421565818036797</v>
      </c>
      <c r="AN1523">
        <v>0.99999998073237895</v>
      </c>
    </row>
    <row r="1524" spans="1:40" x14ac:dyDescent="0.25">
      <c r="A1524" t="str">
        <f>"20190312172114753"</f>
        <v>20190312172114753</v>
      </c>
      <c r="B1524" t="str">
        <f>"1552382474742422"</f>
        <v>1552382474742422</v>
      </c>
      <c r="C1524" t="s">
        <v>40</v>
      </c>
      <c r="D1524">
        <v>3.4639470000000001</v>
      </c>
      <c r="E1524">
        <v>0.41661409999999999</v>
      </c>
      <c r="F1524" t="s">
        <v>44</v>
      </c>
      <c r="G1524">
        <v>-201.9555</v>
      </c>
      <c r="H1524" s="1">
        <v>-3.2551890000000001E-6</v>
      </c>
      <c r="I1524">
        <v>371.35239999999999</v>
      </c>
      <c r="J1524">
        <v>-222.96360000000001</v>
      </c>
      <c r="K1524">
        <v>1.1102529999999999</v>
      </c>
      <c r="L1524">
        <v>367.18490000000003</v>
      </c>
      <c r="M1524">
        <v>0.99986580000000003</v>
      </c>
      <c r="N1524">
        <v>0</v>
      </c>
      <c r="O1524">
        <v>-1.059267E-2</v>
      </c>
      <c r="P1524">
        <v>0.98534829999999995</v>
      </c>
      <c r="Q1524">
        <v>0.16940179999999999</v>
      </c>
      <c r="R1524">
        <v>-1.979771E-2</v>
      </c>
      <c r="S1524">
        <v>3.085083</v>
      </c>
      <c r="T1524">
        <v>-0.16194700000000001</v>
      </c>
      <c r="U1524">
        <v>0.60766600000000004</v>
      </c>
      <c r="V1524">
        <v>9.3652160000000009E-3</v>
      </c>
      <c r="W1524">
        <v>0.18171760000000001</v>
      </c>
      <c r="X1524">
        <v>0.98330620000000002</v>
      </c>
      <c r="Y1524">
        <v>-0.20335520000000001</v>
      </c>
      <c r="Z1524">
        <v>5.8336619999999999E-3</v>
      </c>
      <c r="AA1524">
        <v>0.97908770000000001</v>
      </c>
      <c r="AB1524">
        <v>28</v>
      </c>
      <c r="AC1524">
        <v>21.008099999999999</v>
      </c>
      <c r="AD1524">
        <v>-1.1102562551890001</v>
      </c>
      <c r="AE1524">
        <v>4.1674999999999596</v>
      </c>
      <c r="AF1524">
        <v>-4.3780504364491497</v>
      </c>
      <c r="AG1524">
        <v>-1.1102562551890001</v>
      </c>
      <c r="AH1524">
        <v>20.906591313599201</v>
      </c>
      <c r="AI1524">
        <v>92.975448182823001</v>
      </c>
      <c r="AJ1524">
        <v>101.82740160219601</v>
      </c>
      <c r="AK1524">
        <v>21.388911962279401</v>
      </c>
      <c r="AL1524">
        <v>79.5301792496861</v>
      </c>
      <c r="AM1524">
        <v>89.454319389838901</v>
      </c>
      <c r="AN1524">
        <v>1.00000003818946</v>
      </c>
    </row>
    <row r="1525" spans="1:40" x14ac:dyDescent="0.25">
      <c r="A1525" t="str">
        <f>"20190312172114774"</f>
        <v>20190312172114774</v>
      </c>
      <c r="B1525" t="str">
        <f>"1552382474762918"</f>
        <v>1552382474762918</v>
      </c>
      <c r="C1525" t="s">
        <v>40</v>
      </c>
      <c r="D1525">
        <v>3.4665089999999998</v>
      </c>
      <c r="E1525">
        <v>0.41654429999999998</v>
      </c>
      <c r="F1525" t="s">
        <v>44</v>
      </c>
      <c r="G1525">
        <v>-202.77430000000001</v>
      </c>
      <c r="H1525" s="1">
        <v>-3.713482E-6</v>
      </c>
      <c r="I1525">
        <v>371.14370000000002</v>
      </c>
      <c r="J1525">
        <v>-222.7021</v>
      </c>
      <c r="K1525">
        <v>1.1102540000000001</v>
      </c>
      <c r="L1525">
        <v>367.18220000000002</v>
      </c>
      <c r="M1525">
        <v>0.99986540000000002</v>
      </c>
      <c r="N1525">
        <v>0</v>
      </c>
      <c r="O1525">
        <v>-1.059245E-2</v>
      </c>
      <c r="P1525">
        <v>0.98536639999999998</v>
      </c>
      <c r="Q1525">
        <v>0.16931640000000001</v>
      </c>
      <c r="R1525">
        <v>-1.962465E-2</v>
      </c>
      <c r="S1525">
        <v>3.0859220000000001</v>
      </c>
      <c r="T1525">
        <v>-0.1697022</v>
      </c>
      <c r="U1525">
        <v>0.60510249999999999</v>
      </c>
      <c r="V1525">
        <v>9.1921139999999995E-3</v>
      </c>
      <c r="W1525">
        <v>0.18165339999999999</v>
      </c>
      <c r="X1525">
        <v>0.98331959999999996</v>
      </c>
      <c r="Y1525">
        <v>-0.2024948</v>
      </c>
      <c r="Z1525">
        <v>6.0880439999999999E-3</v>
      </c>
      <c r="AA1525">
        <v>0.97926440000000003</v>
      </c>
      <c r="AB1525">
        <v>28</v>
      </c>
      <c r="AC1525">
        <v>19.927799999999898</v>
      </c>
      <c r="AD1525">
        <v>-1.110257713482</v>
      </c>
      <c r="AE1525">
        <v>3.9615</v>
      </c>
      <c r="AF1525">
        <v>-4.1599566872701699</v>
      </c>
      <c r="AG1525">
        <v>-1.110257713482</v>
      </c>
      <c r="AH1525">
        <v>19.825516631862101</v>
      </c>
      <c r="AI1525">
        <v>93.137123078775602</v>
      </c>
      <c r="AJ1525">
        <v>101.850362816827</v>
      </c>
      <c r="AK1525">
        <v>20.2876568767946</v>
      </c>
      <c r="AL1525">
        <v>79.533918900709807</v>
      </c>
      <c r="AM1525">
        <v>89.464412184352099</v>
      </c>
      <c r="AN1525">
        <v>0.99999994421775296</v>
      </c>
    </row>
    <row r="1526" spans="1:40" x14ac:dyDescent="0.25">
      <c r="A1526" t="str">
        <f>"20190312172114788"</f>
        <v>20190312172114788</v>
      </c>
      <c r="B1526" t="str">
        <f>"1552382474782439"</f>
        <v>1552382474782439</v>
      </c>
      <c r="C1526" t="s">
        <v>40</v>
      </c>
      <c r="D1526">
        <v>3.462253</v>
      </c>
      <c r="E1526">
        <v>0.4163115</v>
      </c>
      <c r="F1526" t="s">
        <v>44</v>
      </c>
      <c r="G1526">
        <v>-203.01499999999999</v>
      </c>
      <c r="H1526" s="1">
        <v>-3.855901E-6</v>
      </c>
      <c r="I1526">
        <v>371.04790000000003</v>
      </c>
      <c r="J1526">
        <v>-222.5291</v>
      </c>
      <c r="K1526">
        <v>1.1102559999999999</v>
      </c>
      <c r="L1526">
        <v>367.18040000000002</v>
      </c>
      <c r="M1526">
        <v>0.99986529999999996</v>
      </c>
      <c r="N1526">
        <v>0</v>
      </c>
      <c r="O1526">
        <v>-1.0592529999999999E-2</v>
      </c>
      <c r="P1526">
        <v>0.98531250000000004</v>
      </c>
      <c r="Q1526">
        <v>0.16960120000000001</v>
      </c>
      <c r="R1526">
        <v>-1.9871070000000001E-2</v>
      </c>
      <c r="S1526">
        <v>3.0865019999999999</v>
      </c>
      <c r="T1526">
        <v>-0.17406389999999999</v>
      </c>
      <c r="U1526">
        <v>0.60604859999999905</v>
      </c>
      <c r="V1526">
        <v>9.4390370000000008E-3</v>
      </c>
      <c r="W1526">
        <v>0.18195020000000001</v>
      </c>
      <c r="X1526">
        <v>0.98326239999999998</v>
      </c>
      <c r="Y1526">
        <v>-0.20273279999999999</v>
      </c>
      <c r="Z1526">
        <v>6.2495989999999998E-3</v>
      </c>
      <c r="AA1526">
        <v>0.97921409999999998</v>
      </c>
      <c r="AB1526">
        <v>28</v>
      </c>
      <c r="AC1526">
        <v>19.514099999999999</v>
      </c>
      <c r="AD1526">
        <v>-1.110259855901</v>
      </c>
      <c r="AE1526">
        <v>3.8675000000000002</v>
      </c>
      <c r="AF1526">
        <v>-4.06135292171607</v>
      </c>
      <c r="AG1526">
        <v>-1.110259855901</v>
      </c>
      <c r="AH1526">
        <v>19.411573463161499</v>
      </c>
      <c r="AI1526">
        <v>93.204277444696302</v>
      </c>
      <c r="AJ1526">
        <v>101.817148950819</v>
      </c>
      <c r="AK1526">
        <v>19.862941595294298</v>
      </c>
      <c r="AL1526">
        <v>79.516625474587599</v>
      </c>
      <c r="AM1526">
        <v>89.449993846219002</v>
      </c>
      <c r="AN1526">
        <v>0.99999995897664196</v>
      </c>
    </row>
    <row r="1527" spans="1:40" x14ac:dyDescent="0.25">
      <c r="A1527" t="str">
        <f>"20190312172114800"</f>
        <v>20190312172114800</v>
      </c>
      <c r="B1527" t="str">
        <f>"1552382474792199"</f>
        <v>1552382474792199</v>
      </c>
      <c r="C1527" t="s">
        <v>40</v>
      </c>
      <c r="D1527">
        <v>3.5088210000000002</v>
      </c>
      <c r="E1527">
        <v>0.41643629999999998</v>
      </c>
      <c r="F1527" t="s">
        <v>44</v>
      </c>
      <c r="G1527">
        <v>-203.23560000000001</v>
      </c>
      <c r="H1527" s="1">
        <v>-3.9827769999999998E-6</v>
      </c>
      <c r="I1527">
        <v>370.97620000000001</v>
      </c>
      <c r="J1527">
        <v>-222.37700000000001</v>
      </c>
      <c r="K1527">
        <v>1.110257</v>
      </c>
      <c r="L1527">
        <v>367.17869999999999</v>
      </c>
      <c r="M1527">
        <v>0.99986520000000001</v>
      </c>
      <c r="N1527">
        <v>0</v>
      </c>
      <c r="O1527">
        <v>-1.059247E-2</v>
      </c>
      <c r="P1527">
        <v>0.98530779999999996</v>
      </c>
      <c r="Q1527">
        <v>0.16960220000000001</v>
      </c>
      <c r="R1527">
        <v>-2.0097440000000001E-2</v>
      </c>
      <c r="S1527">
        <v>3.087555</v>
      </c>
      <c r="T1527">
        <v>-0.17767549999999999</v>
      </c>
      <c r="U1527">
        <v>0.6074524</v>
      </c>
      <c r="V1527">
        <v>9.6656810000000006E-3</v>
      </c>
      <c r="W1527">
        <v>0.1819615</v>
      </c>
      <c r="X1527">
        <v>0.98325819999999997</v>
      </c>
      <c r="Y1527">
        <v>-0.2030843</v>
      </c>
      <c r="Z1527">
        <v>6.3866620000000004E-3</v>
      </c>
      <c r="AA1527">
        <v>0.97914040000000002</v>
      </c>
      <c r="AB1527">
        <v>28</v>
      </c>
      <c r="AC1527">
        <v>19.141400000000001</v>
      </c>
      <c r="AD1527">
        <v>-1.110260982777</v>
      </c>
      <c r="AE1527">
        <v>3.7975000000000101</v>
      </c>
      <c r="AF1527">
        <v>-3.98715134183555</v>
      </c>
      <c r="AG1527">
        <v>-1.110260982777</v>
      </c>
      <c r="AH1527">
        <v>19.038471168291501</v>
      </c>
      <c r="AI1527">
        <v>93.266808628152504</v>
      </c>
      <c r="AJ1527">
        <v>101.828278182616</v>
      </c>
      <c r="AK1527">
        <v>19.483157847188</v>
      </c>
      <c r="AL1527">
        <v>79.515968009822899</v>
      </c>
      <c r="AM1527">
        <v>89.436785892314106</v>
      </c>
      <c r="AN1527">
        <v>1.00000005036934</v>
      </c>
    </row>
    <row r="1528" spans="1:40" x14ac:dyDescent="0.25">
      <c r="A1528" t="str">
        <f>"20190312172114811"</f>
        <v>20190312172114811</v>
      </c>
      <c r="B1528" t="str">
        <f>"1552382474802935"</f>
        <v>1552382474802935</v>
      </c>
      <c r="C1528" t="s">
        <v>40</v>
      </c>
      <c r="D1528">
        <v>3.4928330000000001</v>
      </c>
      <c r="E1528">
        <v>0.41649370000000002</v>
      </c>
      <c r="F1528" t="s">
        <v>44</v>
      </c>
      <c r="G1528">
        <v>-203.54409999999999</v>
      </c>
      <c r="H1528" s="1">
        <v>-4.1613420000000002E-6</v>
      </c>
      <c r="I1528">
        <v>370.87099999999998</v>
      </c>
      <c r="J1528">
        <v>-222.2338</v>
      </c>
      <c r="K1528">
        <v>1.110255</v>
      </c>
      <c r="L1528">
        <v>367.17720000000003</v>
      </c>
      <c r="M1528">
        <v>0.999865</v>
      </c>
      <c r="N1528">
        <v>0</v>
      </c>
      <c r="O1528">
        <v>-1.059241E-2</v>
      </c>
      <c r="P1528">
        <v>0.98527129999999996</v>
      </c>
      <c r="Q1528">
        <v>0.1697263</v>
      </c>
      <c r="R1528">
        <v>-2.0824510000000001E-2</v>
      </c>
      <c r="S1528">
        <v>3.088425</v>
      </c>
      <c r="T1528">
        <v>-0.18207280000000001</v>
      </c>
      <c r="U1528">
        <v>0.60549929999999996</v>
      </c>
      <c r="V1528">
        <v>1.0393029999999999E-2</v>
      </c>
      <c r="W1528">
        <v>0.18209420000000001</v>
      </c>
      <c r="X1528">
        <v>0.98322619999999905</v>
      </c>
      <c r="Y1528">
        <v>-0.20241999999999999</v>
      </c>
      <c r="Z1528">
        <v>6.523666E-3</v>
      </c>
      <c r="AA1528">
        <v>0.97927710000000001</v>
      </c>
      <c r="AB1528">
        <v>28</v>
      </c>
      <c r="AC1528">
        <v>18.689699999999998</v>
      </c>
      <c r="AD1528">
        <v>-1.1102591613420001</v>
      </c>
      <c r="AE1528">
        <v>3.6937999999999498</v>
      </c>
      <c r="AF1528">
        <v>-3.8784051885205799</v>
      </c>
      <c r="AG1528">
        <v>-1.1102591613420001</v>
      </c>
      <c r="AH1528">
        <v>18.586397440058001</v>
      </c>
      <c r="AI1528">
        <v>93.346589002367196</v>
      </c>
      <c r="AJ1528">
        <v>101.78672062078699</v>
      </c>
      <c r="AK1528">
        <v>19.019171170465899</v>
      </c>
      <c r="AL1528">
        <v>79.508235532559198</v>
      </c>
      <c r="AM1528">
        <v>89.394386989577598</v>
      </c>
      <c r="AN1528">
        <v>1.00000003655632</v>
      </c>
    </row>
    <row r="1529" spans="1:40" x14ac:dyDescent="0.25">
      <c r="A1529" t="str">
        <f>"20190312172114823"</f>
        <v>20190312172114823</v>
      </c>
      <c r="B1529" t="str">
        <f>"1552382474812695"</f>
        <v>1552382474812695</v>
      </c>
      <c r="C1529" t="s">
        <v>40</v>
      </c>
      <c r="D1529">
        <v>3.51797</v>
      </c>
      <c r="E1529">
        <v>0.41667739999999998</v>
      </c>
      <c r="F1529" t="s">
        <v>44</v>
      </c>
      <c r="G1529">
        <v>-203.68940000000001</v>
      </c>
      <c r="H1529" s="1">
        <v>-4.2509999999999996E-6</v>
      </c>
      <c r="I1529">
        <v>370.79640000000001</v>
      </c>
      <c r="J1529">
        <v>-222.0866</v>
      </c>
      <c r="K1529">
        <v>1.1102620000000001</v>
      </c>
      <c r="L1529">
        <v>367.17570000000001</v>
      </c>
      <c r="M1529">
        <v>0.9998648</v>
      </c>
      <c r="N1529">
        <v>0</v>
      </c>
      <c r="O1529">
        <v>-1.059246E-2</v>
      </c>
      <c r="P1529">
        <v>0.98523799999999995</v>
      </c>
      <c r="Q1529">
        <v>0.16982659999999999</v>
      </c>
      <c r="R1529">
        <v>-2.1565239999999999E-2</v>
      </c>
      <c r="S1529">
        <v>3.0894469999999998</v>
      </c>
      <c r="T1529">
        <v>-0.18496599999999999</v>
      </c>
      <c r="U1529">
        <v>0.60293580000000002</v>
      </c>
      <c r="V1529">
        <v>1.11339E-2</v>
      </c>
      <c r="W1529">
        <v>0.18220249999999999</v>
      </c>
      <c r="X1529">
        <v>0.98319800000000002</v>
      </c>
      <c r="Y1529">
        <v>-0.20156640000000001</v>
      </c>
      <c r="Z1529">
        <v>6.6002319999999897E-3</v>
      </c>
      <c r="AA1529">
        <v>0.97945260000000001</v>
      </c>
      <c r="AB1529">
        <v>28</v>
      </c>
      <c r="AC1529">
        <v>18.397200000000002</v>
      </c>
      <c r="AD1529">
        <v>-1.1102662509999901</v>
      </c>
      <c r="AE1529">
        <v>3.6206999999999998</v>
      </c>
      <c r="AF1529">
        <v>-3.8020527898685001</v>
      </c>
      <c r="AG1529">
        <v>-1.1102662509999901</v>
      </c>
      <c r="AH1529">
        <v>18.293669800007599</v>
      </c>
      <c r="AI1529">
        <v>93.400601888652204</v>
      </c>
      <c r="AJ1529">
        <v>101.740885270931</v>
      </c>
      <c r="AK1529">
        <v>18.717549287146699</v>
      </c>
      <c r="AL1529">
        <v>79.501924556826097</v>
      </c>
      <c r="AM1529">
        <v>89.351200660383697</v>
      </c>
      <c r="AN1529">
        <v>1.00000001096973</v>
      </c>
    </row>
    <row r="1530" spans="1:40" x14ac:dyDescent="0.25">
      <c r="A1530" t="str">
        <f>"20190312172114835"</f>
        <v>20190312172114835</v>
      </c>
      <c r="B1530" t="str">
        <f>"1552382474822455"</f>
        <v>1552382474822455</v>
      </c>
      <c r="C1530" t="s">
        <v>40</v>
      </c>
      <c r="D1530">
        <v>3.5214189999999999</v>
      </c>
      <c r="E1530">
        <v>0.41670770000000001</v>
      </c>
      <c r="F1530" t="s">
        <v>44</v>
      </c>
      <c r="G1530">
        <v>-203.92359999999999</v>
      </c>
      <c r="H1530" s="1">
        <v>-4.3908189999999998E-6</v>
      </c>
      <c r="I1530">
        <v>370.69729999999998</v>
      </c>
      <c r="J1530">
        <v>-221.93879999999999</v>
      </c>
      <c r="K1530">
        <v>1.1102609999999999</v>
      </c>
      <c r="L1530">
        <v>367.17410000000001</v>
      </c>
      <c r="M1530">
        <v>0.99986489999999995</v>
      </c>
      <c r="N1530">
        <v>0</v>
      </c>
      <c r="O1530">
        <v>-1.0592509999999999E-2</v>
      </c>
      <c r="P1530">
        <v>0.98519920000000005</v>
      </c>
      <c r="Q1530">
        <v>0.16989849999999901</v>
      </c>
      <c r="R1530">
        <v>-2.2736429999999998E-2</v>
      </c>
      <c r="S1530">
        <v>3.0906370000000001</v>
      </c>
      <c r="T1530">
        <v>-0.18892400000000001</v>
      </c>
      <c r="U1530">
        <v>0.59924319999999998</v>
      </c>
      <c r="V1530">
        <v>1.230566E-2</v>
      </c>
      <c r="W1530">
        <v>0.18228220000000001</v>
      </c>
      <c r="X1530">
        <v>0.98316930000000002</v>
      </c>
      <c r="Y1530">
        <v>-0.20035430000000001</v>
      </c>
      <c r="Z1530">
        <v>6.7027619999999897E-3</v>
      </c>
      <c r="AA1530">
        <v>0.97970060000000003</v>
      </c>
      <c r="AB1530">
        <v>28</v>
      </c>
      <c r="AC1530">
        <v>18.0152</v>
      </c>
      <c r="AD1530">
        <v>-1.1102653908190001</v>
      </c>
      <c r="AE1530">
        <v>3.5231999999999699</v>
      </c>
      <c r="AF1530">
        <v>-3.7003068796067402</v>
      </c>
      <c r="AG1530">
        <v>-1.1102653908190001</v>
      </c>
      <c r="AH1530">
        <v>17.911342289540801</v>
      </c>
      <c r="AI1530">
        <v>93.473867633568801</v>
      </c>
      <c r="AJ1530">
        <v>101.672533231332</v>
      </c>
      <c r="AK1530">
        <v>18.323240511831099</v>
      </c>
      <c r="AL1530">
        <v>79.497280735104795</v>
      </c>
      <c r="AM1530">
        <v>89.282905225333494</v>
      </c>
      <c r="AN1530">
        <v>1.00000005108368</v>
      </c>
    </row>
    <row r="1531" spans="1:40" x14ac:dyDescent="0.25">
      <c r="A1531" t="str">
        <f>"20190312172114846"</f>
        <v>20190312172114846</v>
      </c>
      <c r="B1531" t="str">
        <f>"1552382474842951"</f>
        <v>1552382474842951</v>
      </c>
      <c r="C1531" t="s">
        <v>40</v>
      </c>
      <c r="D1531">
        <v>3.4724539999999999</v>
      </c>
      <c r="E1531">
        <v>0.41656359999999998</v>
      </c>
      <c r="F1531" t="s">
        <v>44</v>
      </c>
      <c r="G1531">
        <v>-203.98840000000001</v>
      </c>
      <c r="H1531" s="1">
        <v>-4.4381680000000001E-6</v>
      </c>
      <c r="I1531">
        <v>370.6309</v>
      </c>
      <c r="J1531">
        <v>-221.79849999999999</v>
      </c>
      <c r="K1531">
        <v>1.1102609999999999</v>
      </c>
      <c r="L1531">
        <v>367.17259999999999</v>
      </c>
      <c r="M1531">
        <v>0.9998648</v>
      </c>
      <c r="N1531">
        <v>0</v>
      </c>
      <c r="O1531">
        <v>-1.0592320000000001E-2</v>
      </c>
      <c r="P1531">
        <v>0.98522080000000001</v>
      </c>
      <c r="Q1531">
        <v>0.16957949999999999</v>
      </c>
      <c r="R1531">
        <v>-2.4141659999999999E-2</v>
      </c>
      <c r="S1531">
        <v>3.0917970000000001</v>
      </c>
      <c r="T1531">
        <v>-0.1912335</v>
      </c>
      <c r="U1531">
        <v>0.59539790000000004</v>
      </c>
      <c r="V1531">
        <v>1.3710669999999999E-2</v>
      </c>
      <c r="W1531">
        <v>0.1819704</v>
      </c>
      <c r="X1531">
        <v>0.98320839999999998</v>
      </c>
      <c r="Y1531">
        <v>-0.1991039</v>
      </c>
      <c r="Z1531">
        <v>6.7445509999999997E-3</v>
      </c>
      <c r="AA1531">
        <v>0.97995520000000003</v>
      </c>
      <c r="AB1531">
        <v>28</v>
      </c>
      <c r="AC1531">
        <v>17.810099999999899</v>
      </c>
      <c r="AD1531">
        <v>-1.1102654381679999</v>
      </c>
      <c r="AE1531">
        <v>3.4582999999999999</v>
      </c>
      <c r="AF1531">
        <v>-3.6331650990335702</v>
      </c>
      <c r="AG1531">
        <v>-1.1102654381679999</v>
      </c>
      <c r="AH1531">
        <v>17.706157512723301</v>
      </c>
      <c r="AI1531">
        <v>93.514991811710999</v>
      </c>
      <c r="AJ1531">
        <v>101.595692971852</v>
      </c>
      <c r="AK1531">
        <v>18.1091300687082</v>
      </c>
      <c r="AL1531">
        <v>79.515448709257996</v>
      </c>
      <c r="AM1531">
        <v>89.201072110970301</v>
      </c>
      <c r="AN1531">
        <v>0.99999998338928398</v>
      </c>
    </row>
    <row r="1532" spans="1:40" x14ac:dyDescent="0.25">
      <c r="A1532" t="str">
        <f>"20190312172114858"</f>
        <v>20190312172114858</v>
      </c>
      <c r="B1532" t="str">
        <f>"1552382474852710"</f>
        <v>1552382474852710</v>
      </c>
      <c r="C1532" t="s">
        <v>40</v>
      </c>
      <c r="D1532">
        <v>3.4880939999999998</v>
      </c>
      <c r="E1532">
        <v>0.41639009999999999</v>
      </c>
      <c r="F1532" t="s">
        <v>44</v>
      </c>
      <c r="G1532">
        <v>-204.1874</v>
      </c>
      <c r="H1532" s="1">
        <v>-4.5580140000000002E-6</v>
      </c>
      <c r="I1532">
        <v>370.5421</v>
      </c>
      <c r="J1532">
        <v>-221.648</v>
      </c>
      <c r="K1532">
        <v>1.1102639999999999</v>
      </c>
      <c r="L1532">
        <v>367.17099999999999</v>
      </c>
      <c r="M1532">
        <v>0.99986459999999999</v>
      </c>
      <c r="N1532">
        <v>0</v>
      </c>
      <c r="O1532">
        <v>-1.0592249999999999E-2</v>
      </c>
      <c r="P1532">
        <v>0.98514259999999998</v>
      </c>
      <c r="Q1532">
        <v>0.16982439999999999</v>
      </c>
      <c r="R1532">
        <v>-2.5565649999999999E-2</v>
      </c>
      <c r="S1532">
        <v>3.0930789999999999</v>
      </c>
      <c r="T1532">
        <v>-0.1949987</v>
      </c>
      <c r="U1532">
        <v>0.59179689999999996</v>
      </c>
      <c r="V1532">
        <v>1.513551E-2</v>
      </c>
      <c r="W1532">
        <v>0.1822212</v>
      </c>
      <c r="X1532">
        <v>0.98314109999999999</v>
      </c>
      <c r="Y1532">
        <v>-0.19791500000000001</v>
      </c>
      <c r="Z1532">
        <v>6.8379360000000002E-3</v>
      </c>
      <c r="AA1532">
        <v>0.98019529999999999</v>
      </c>
      <c r="AB1532">
        <v>28</v>
      </c>
      <c r="AC1532">
        <v>17.460599999999999</v>
      </c>
      <c r="AD1532">
        <v>-1.1102685580139999</v>
      </c>
      <c r="AE1532">
        <v>3.37110000000001</v>
      </c>
      <c r="AF1532">
        <v>-3.5420655332102098</v>
      </c>
      <c r="AG1532">
        <v>-1.1102685580139999</v>
      </c>
      <c r="AH1532">
        <v>17.35625499459</v>
      </c>
      <c r="AI1532">
        <v>93.586462398517497</v>
      </c>
      <c r="AJ1532">
        <v>101.53453406302</v>
      </c>
      <c r="AK1532">
        <v>17.748760856738802</v>
      </c>
      <c r="AL1532">
        <v>79.5008351491241</v>
      </c>
      <c r="AM1532">
        <v>89.117998075318894</v>
      </c>
      <c r="AN1532">
        <v>1.0000000359507999</v>
      </c>
    </row>
    <row r="1533" spans="1:40" x14ac:dyDescent="0.25">
      <c r="A1533" t="str">
        <f>"20190312172114870"</f>
        <v>20190312172114870</v>
      </c>
      <c r="B1533" t="str">
        <f>"1552382474862471"</f>
        <v>1552382474862471</v>
      </c>
      <c r="C1533" t="s">
        <v>40</v>
      </c>
      <c r="D1533">
        <v>3.48169</v>
      </c>
      <c r="E1533">
        <v>0.41621130000000001</v>
      </c>
      <c r="F1533" t="s">
        <v>44</v>
      </c>
      <c r="G1533">
        <v>-204.04499999999999</v>
      </c>
      <c r="H1533" s="1">
        <v>-4.4907519999999998E-6</v>
      </c>
      <c r="I1533">
        <v>370.5222</v>
      </c>
      <c r="J1533">
        <v>-221.5067</v>
      </c>
      <c r="K1533">
        <v>1.1102650000000001</v>
      </c>
      <c r="L1533">
        <v>367.16950000000003</v>
      </c>
      <c r="M1533">
        <v>0.99986459999999999</v>
      </c>
      <c r="N1533">
        <v>0</v>
      </c>
      <c r="O1533">
        <v>-1.05924E-2</v>
      </c>
      <c r="P1533">
        <v>0.98508479999999998</v>
      </c>
      <c r="Q1533">
        <v>0.16986490000000001</v>
      </c>
      <c r="R1533">
        <v>-2.7461409999999999E-2</v>
      </c>
      <c r="S1533">
        <v>3.0941770000000002</v>
      </c>
      <c r="T1533">
        <v>-0.1951582</v>
      </c>
      <c r="U1533">
        <v>0.58905030000000003</v>
      </c>
      <c r="V1533">
        <v>1.703174E-2</v>
      </c>
      <c r="W1533">
        <v>0.1822676</v>
      </c>
      <c r="X1533">
        <v>0.98310140000000001</v>
      </c>
      <c r="Y1533">
        <v>-0.19701260000000001</v>
      </c>
      <c r="Z1533">
        <v>6.8135269999999998E-3</v>
      </c>
      <c r="AA1533">
        <v>0.98037730000000001</v>
      </c>
      <c r="AB1533">
        <v>28</v>
      </c>
      <c r="AC1533">
        <v>17.4617</v>
      </c>
      <c r="AD1533">
        <v>-1.1102694907520001</v>
      </c>
      <c r="AE1533">
        <v>3.3526999999999698</v>
      </c>
      <c r="AF1533">
        <v>-3.5237485027117801</v>
      </c>
      <c r="AG1533">
        <v>-1.1102694907520001</v>
      </c>
      <c r="AH1533">
        <v>17.357525991151</v>
      </c>
      <c r="AI1533">
        <v>93.586951725935506</v>
      </c>
      <c r="AJ1533">
        <v>101.47565425561601</v>
      </c>
      <c r="AK1533">
        <v>17.746357665333498</v>
      </c>
      <c r="AL1533">
        <v>79.498130543041796</v>
      </c>
      <c r="AM1533">
        <v>89.007478569681993</v>
      </c>
      <c r="AN1533">
        <v>0.99999996042957295</v>
      </c>
    </row>
    <row r="1534" spans="1:40" x14ac:dyDescent="0.25">
      <c r="A1534" t="str">
        <f>"20190312172114882"</f>
        <v>20190312172114882</v>
      </c>
      <c r="B1534" t="str">
        <f>"1552382474872231"</f>
        <v>1552382474872231</v>
      </c>
      <c r="C1534" t="s">
        <v>40</v>
      </c>
      <c r="D1534">
        <v>3.4617079999999998</v>
      </c>
      <c r="E1534">
        <v>0.41596559999999999</v>
      </c>
      <c r="F1534" t="s">
        <v>44</v>
      </c>
      <c r="G1534">
        <v>-203.95590000000001</v>
      </c>
      <c r="H1534" s="1">
        <v>-4.4549959999999996E-6</v>
      </c>
      <c r="I1534">
        <v>370.48129999999998</v>
      </c>
      <c r="J1534">
        <v>-221.3458</v>
      </c>
      <c r="K1534">
        <v>1.110266</v>
      </c>
      <c r="L1534">
        <v>367.1678</v>
      </c>
      <c r="M1534">
        <v>0.99986450000000004</v>
      </c>
      <c r="N1534">
        <v>0</v>
      </c>
      <c r="O1534">
        <v>-1.059233E-2</v>
      </c>
      <c r="P1534">
        <v>0.98500220000000005</v>
      </c>
      <c r="Q1534">
        <v>0.16994429999999999</v>
      </c>
      <c r="R1534">
        <v>-2.9833109999999999E-2</v>
      </c>
      <c r="S1534">
        <v>3.0954739999999998</v>
      </c>
      <c r="T1534">
        <v>-0.195821</v>
      </c>
      <c r="U1534">
        <v>0.58410640000000003</v>
      </c>
      <c r="V1534">
        <v>1.940393E-2</v>
      </c>
      <c r="W1534">
        <v>0.1823525</v>
      </c>
      <c r="X1534">
        <v>0.98304179999999997</v>
      </c>
      <c r="Y1534">
        <v>-0.19542580000000001</v>
      </c>
      <c r="Z1534">
        <v>6.7851119999999899E-3</v>
      </c>
      <c r="AA1534">
        <v>0.98069499999999998</v>
      </c>
      <c r="AB1534">
        <v>28</v>
      </c>
      <c r="AC1534">
        <v>17.389899999999901</v>
      </c>
      <c r="AD1534">
        <v>-1.1102704549959901</v>
      </c>
      <c r="AE1534">
        <v>3.3134999999999701</v>
      </c>
      <c r="AF1534">
        <v>-3.4838247631065702</v>
      </c>
      <c r="AG1534">
        <v>-1.1102704549959901</v>
      </c>
      <c r="AH1534">
        <v>17.285830577408799</v>
      </c>
      <c r="AI1534">
        <v>93.602817798015494</v>
      </c>
      <c r="AJ1534">
        <v>101.394871651733</v>
      </c>
      <c r="AK1534">
        <v>17.6683240352376</v>
      </c>
      <c r="AL1534">
        <v>79.493184316276597</v>
      </c>
      <c r="AM1534">
        <v>88.869204806714507</v>
      </c>
      <c r="AN1534">
        <v>1.0000000636514601</v>
      </c>
    </row>
    <row r="1535" spans="1:40" x14ac:dyDescent="0.25">
      <c r="A1535" t="str">
        <f>"20190312172114894"</f>
        <v>20190312172114894</v>
      </c>
      <c r="B1535" t="str">
        <f>"1552382474882967"</f>
        <v>1552382474882967</v>
      </c>
      <c r="C1535" t="s">
        <v>40</v>
      </c>
      <c r="D1535">
        <v>3.4761139999999999</v>
      </c>
      <c r="E1535">
        <v>0.415684</v>
      </c>
      <c r="F1535" t="s">
        <v>44</v>
      </c>
      <c r="G1535">
        <v>-203.8143</v>
      </c>
      <c r="H1535" s="1">
        <v>-4.392405E-6</v>
      </c>
      <c r="I1535">
        <v>370.44209999999998</v>
      </c>
      <c r="J1535">
        <v>-221.19390000000001</v>
      </c>
      <c r="K1535">
        <v>1.110266</v>
      </c>
      <c r="L1535">
        <v>367.1662</v>
      </c>
      <c r="M1535">
        <v>0.99986450000000004</v>
      </c>
      <c r="N1535">
        <v>0</v>
      </c>
      <c r="O1535">
        <v>-1.059236E-2</v>
      </c>
      <c r="P1535">
        <v>0.98490449999999996</v>
      </c>
      <c r="Q1535">
        <v>0.17009340000000001</v>
      </c>
      <c r="R1535">
        <v>-3.2118130000000002E-2</v>
      </c>
      <c r="S1535">
        <v>3.0970149999999999</v>
      </c>
      <c r="T1535">
        <v>-0.196134</v>
      </c>
      <c r="U1535">
        <v>0.57843020000000001</v>
      </c>
      <c r="V1535">
        <v>2.1689989999999999E-2</v>
      </c>
      <c r="W1535">
        <v>0.1825058</v>
      </c>
      <c r="X1535">
        <v>0.98296550000000005</v>
      </c>
      <c r="Y1535">
        <v>-0.19360279999999999</v>
      </c>
      <c r="Z1535">
        <v>6.7365790000000004E-3</v>
      </c>
      <c r="AA1535">
        <v>0.98105690000000001</v>
      </c>
      <c r="AB1535">
        <v>28</v>
      </c>
      <c r="AC1535">
        <v>17.3796</v>
      </c>
      <c r="AD1535">
        <v>-1.1102703924049999</v>
      </c>
      <c r="AE1535">
        <v>3.2758999999999698</v>
      </c>
      <c r="AF1535">
        <v>-3.4462398653478501</v>
      </c>
      <c r="AG1535">
        <v>-1.1102703924049999</v>
      </c>
      <c r="AH1535">
        <v>17.275837038767499</v>
      </c>
      <c r="AI1535">
        <v>93.606323497004297</v>
      </c>
      <c r="AJ1535">
        <v>101.281459997612</v>
      </c>
      <c r="AK1535">
        <v>17.6511703562063</v>
      </c>
      <c r="AL1535">
        <v>79.484250269764999</v>
      </c>
      <c r="AM1535">
        <v>88.735923849834293</v>
      </c>
      <c r="AN1535">
        <v>0.99999999844504495</v>
      </c>
    </row>
    <row r="1536" spans="1:40" x14ac:dyDescent="0.25">
      <c r="A1536" t="str">
        <f>"20190312172114908"</f>
        <v>20190312172114908</v>
      </c>
      <c r="B1536" t="str">
        <f>"1552382474902490"</f>
        <v>1552382474902490</v>
      </c>
      <c r="C1536" t="s">
        <v>40</v>
      </c>
      <c r="D1536">
        <v>3.4702869999999999</v>
      </c>
      <c r="E1536">
        <v>0.41509180000000001</v>
      </c>
      <c r="F1536" t="s">
        <v>44</v>
      </c>
      <c r="G1536">
        <v>-203.6455</v>
      </c>
      <c r="H1536" s="1">
        <v>-4.3141830000000003E-6</v>
      </c>
      <c r="I1536">
        <v>370.4119</v>
      </c>
      <c r="J1536">
        <v>-221.02440000000001</v>
      </c>
      <c r="K1536">
        <v>1.110266</v>
      </c>
      <c r="L1536">
        <v>367.1644</v>
      </c>
      <c r="M1536">
        <v>0.99986430000000004</v>
      </c>
      <c r="N1536">
        <v>0</v>
      </c>
      <c r="O1536">
        <v>-1.059216E-2</v>
      </c>
      <c r="P1536">
        <v>0.98470239999999998</v>
      </c>
      <c r="Q1536">
        <v>0.17007459999999999</v>
      </c>
      <c r="R1536">
        <v>-3.7891609999999999E-2</v>
      </c>
      <c r="S1536">
        <v>3.0985260000000001</v>
      </c>
      <c r="T1536">
        <v>-0.19604099999999999</v>
      </c>
      <c r="U1536">
        <v>0.57308959999999998</v>
      </c>
      <c r="V1536">
        <v>2.7465549999999998E-2</v>
      </c>
      <c r="W1536">
        <v>0.18249080000000001</v>
      </c>
      <c r="X1536">
        <v>0.98282380000000003</v>
      </c>
      <c r="Y1536">
        <v>-0.19188540000000001</v>
      </c>
      <c r="Z1536">
        <v>6.6773830000000003E-3</v>
      </c>
      <c r="AA1536">
        <v>0.98139460000000001</v>
      </c>
      <c r="AB1536">
        <v>28</v>
      </c>
      <c r="AC1536">
        <v>17.378900000000002</v>
      </c>
      <c r="AD1536">
        <v>-1.1102703141829999</v>
      </c>
      <c r="AE1536">
        <v>3.2475000000000001</v>
      </c>
      <c r="AF1536">
        <v>-3.4179331401180102</v>
      </c>
      <c r="AG1536">
        <v>-1.1102703141829999</v>
      </c>
      <c r="AH1536">
        <v>17.275394703262901</v>
      </c>
      <c r="AI1536">
        <v>93.607538428548494</v>
      </c>
      <c r="AJ1536">
        <v>101.191423827958</v>
      </c>
      <c r="AK1536">
        <v>17.6452324800326</v>
      </c>
      <c r="AL1536">
        <v>79.485123713470998</v>
      </c>
      <c r="AM1536">
        <v>88.399254640584303</v>
      </c>
      <c r="AN1536">
        <v>0.99999993518393904</v>
      </c>
    </row>
    <row r="1537" spans="1:40" x14ac:dyDescent="0.25">
      <c r="A1537" t="str">
        <f>"20190312172114922"</f>
        <v>20190312172114922</v>
      </c>
      <c r="B1537" t="str">
        <f>"1552382474912247"</f>
        <v>1552382474912247</v>
      </c>
      <c r="C1537" t="s">
        <v>40</v>
      </c>
      <c r="D1537">
        <v>3.5442170000000002</v>
      </c>
      <c r="E1537">
        <v>0.41512060000000001</v>
      </c>
      <c r="F1537" t="s">
        <v>44</v>
      </c>
      <c r="G1537">
        <v>-203.4889</v>
      </c>
      <c r="H1537" s="1">
        <v>-4.2549590000000003E-6</v>
      </c>
      <c r="I1537">
        <v>370.3236</v>
      </c>
      <c r="J1537">
        <v>-220.85560000000001</v>
      </c>
      <c r="K1537">
        <v>1.1102669999999999</v>
      </c>
      <c r="L1537">
        <v>367.1626</v>
      </c>
      <c r="M1537">
        <v>0.99986430000000004</v>
      </c>
      <c r="N1537">
        <v>0</v>
      </c>
      <c r="O1537">
        <v>-1.059219E-2</v>
      </c>
      <c r="P1537">
        <v>0.98460669999999995</v>
      </c>
      <c r="Q1537">
        <v>0.1699051</v>
      </c>
      <c r="R1537">
        <v>-4.1014429999999998E-2</v>
      </c>
      <c r="S1537">
        <v>3.1020509999999999</v>
      </c>
      <c r="T1537">
        <v>-0.1964079</v>
      </c>
      <c r="U1537">
        <v>0.55886840000000004</v>
      </c>
      <c r="V1537">
        <v>3.058893E-2</v>
      </c>
      <c r="W1537">
        <v>0.18232580000000001</v>
      </c>
      <c r="X1537">
        <v>0.98276229999999998</v>
      </c>
      <c r="Y1537">
        <v>-0.18733759999999999</v>
      </c>
      <c r="Z1537">
        <v>6.542427E-3</v>
      </c>
      <c r="AA1537">
        <v>0.98227379999999997</v>
      </c>
      <c r="AB1537">
        <v>28</v>
      </c>
      <c r="AC1537">
        <v>17.366700000000002</v>
      </c>
      <c r="AD1537">
        <v>-1.1102712549589999</v>
      </c>
      <c r="AE1537">
        <v>3.161</v>
      </c>
      <c r="AF1537">
        <v>-3.3316084484305999</v>
      </c>
      <c r="AG1537">
        <v>-1.1102712549589999</v>
      </c>
      <c r="AH1537">
        <v>17.263942882758101</v>
      </c>
      <c r="AI1537">
        <v>93.613229359014795</v>
      </c>
      <c r="AJ1537">
        <v>100.92270984461901</v>
      </c>
      <c r="AK1537">
        <v>17.617492471188299</v>
      </c>
      <c r="AL1537">
        <v>79.494740148838304</v>
      </c>
      <c r="AM1537">
        <v>88.217217996082894</v>
      </c>
      <c r="AN1537">
        <v>1.00000005914273</v>
      </c>
    </row>
    <row r="1538" spans="1:40" x14ac:dyDescent="0.25">
      <c r="A1538" t="str">
        <f>"20190312172114933"</f>
        <v>20190312172114933</v>
      </c>
      <c r="B1538" t="str">
        <f>"1552382474922983"</f>
        <v>1552382474922983</v>
      </c>
      <c r="C1538" t="s">
        <v>40</v>
      </c>
      <c r="D1538">
        <v>3.524451</v>
      </c>
      <c r="E1538">
        <v>0.41512060000000001</v>
      </c>
      <c r="F1538" t="s">
        <v>44</v>
      </c>
      <c r="G1538">
        <v>-203.51820000000001</v>
      </c>
      <c r="H1538" s="1">
        <v>-4.2911420000000002E-6</v>
      </c>
      <c r="I1538">
        <v>370.22680000000003</v>
      </c>
      <c r="J1538">
        <v>-220.70570000000001</v>
      </c>
      <c r="K1538">
        <v>1.1102669999999999</v>
      </c>
      <c r="L1538">
        <v>367.161</v>
      </c>
      <c r="M1538">
        <v>0.99986430000000004</v>
      </c>
      <c r="N1538">
        <v>0</v>
      </c>
      <c r="O1538">
        <v>-1.0592219999999999E-2</v>
      </c>
      <c r="P1538">
        <v>0.98449850000000005</v>
      </c>
      <c r="Q1538">
        <v>0.16969010000000001</v>
      </c>
      <c r="R1538">
        <v>-4.4367429999999999E-2</v>
      </c>
      <c r="S1538">
        <v>3.104034</v>
      </c>
      <c r="T1538">
        <v>-0.19877900000000001</v>
      </c>
      <c r="U1538">
        <v>0.5486145</v>
      </c>
      <c r="V1538">
        <v>3.3942760000000002E-2</v>
      </c>
      <c r="W1538">
        <v>0.18211340000000001</v>
      </c>
      <c r="X1538">
        <v>0.98269150000000005</v>
      </c>
      <c r="Y1538">
        <v>-0.18407970000000001</v>
      </c>
      <c r="Z1538">
        <v>6.5155830000000001E-3</v>
      </c>
      <c r="AA1538">
        <v>0.98288969999999998</v>
      </c>
      <c r="AB1538">
        <v>28</v>
      </c>
      <c r="AC1538">
        <v>17.1875</v>
      </c>
      <c r="AD1538">
        <v>-1.1102712911419901</v>
      </c>
      <c r="AE1538">
        <v>3.0658000000000198</v>
      </c>
      <c r="AF1538">
        <v>-3.2346149057659401</v>
      </c>
      <c r="AG1538">
        <v>-1.1102712911419901</v>
      </c>
      <c r="AH1538">
        <v>17.084964828088701</v>
      </c>
      <c r="AI1538">
        <v>93.653434351027201</v>
      </c>
      <c r="AJ1538">
        <v>100.72064808619299</v>
      </c>
      <c r="AK1538">
        <v>17.423876121734999</v>
      </c>
      <c r="AL1538">
        <v>79.507116282371101</v>
      </c>
      <c r="AM1538">
        <v>88.021755516783898</v>
      </c>
      <c r="AN1538">
        <v>0.999999992794113</v>
      </c>
    </row>
    <row r="1539" spans="1:40" x14ac:dyDescent="0.25">
      <c r="A1539" t="str">
        <f>"20190312172114945"</f>
        <v>20190312172114945</v>
      </c>
      <c r="B1539" t="str">
        <f>"1552382474932743"</f>
        <v>1552382474932743</v>
      </c>
      <c r="C1539" t="s">
        <v>40</v>
      </c>
      <c r="D1539">
        <v>3.665635</v>
      </c>
      <c r="E1539">
        <v>0.44377939999999999</v>
      </c>
      <c r="F1539" t="s">
        <v>44</v>
      </c>
      <c r="G1539">
        <v>-203.43369999999999</v>
      </c>
      <c r="H1539" s="1">
        <v>-4.2652509999999998E-6</v>
      </c>
      <c r="I1539">
        <v>370.15190000000001</v>
      </c>
      <c r="J1539">
        <v>-220.5677</v>
      </c>
      <c r="K1539">
        <v>1.110266</v>
      </c>
      <c r="L1539">
        <v>367.15949999999998</v>
      </c>
      <c r="M1539">
        <v>0.99986430000000004</v>
      </c>
      <c r="N1539">
        <v>0</v>
      </c>
      <c r="O1539">
        <v>-1.0592239999999999E-2</v>
      </c>
      <c r="P1539">
        <v>0.98431519999999995</v>
      </c>
      <c r="Q1539">
        <v>0.16975170000000001</v>
      </c>
      <c r="R1539">
        <v>-4.8048899999999999E-2</v>
      </c>
      <c r="S1539">
        <v>3.1059109999999999</v>
      </c>
      <c r="T1539">
        <v>-0.19965359999999999</v>
      </c>
      <c r="U1539">
        <v>0.53784180000000004</v>
      </c>
      <c r="V1539">
        <v>3.7625980000000003E-2</v>
      </c>
      <c r="W1539">
        <v>0.18217620000000001</v>
      </c>
      <c r="X1539">
        <v>0.98254569999999997</v>
      </c>
      <c r="Y1539">
        <v>-0.18067250000000001</v>
      </c>
      <c r="Z1539">
        <v>6.4336489999999996E-3</v>
      </c>
      <c r="AA1539">
        <v>0.98352229999999996</v>
      </c>
      <c r="AB1539">
        <v>28</v>
      </c>
      <c r="AC1539">
        <v>17.134</v>
      </c>
      <c r="AD1539">
        <v>-1.1102702652509999</v>
      </c>
      <c r="AE1539">
        <v>2.9924000000000301</v>
      </c>
      <c r="AF1539">
        <v>-3.1608545846687299</v>
      </c>
      <c r="AG1539">
        <v>-1.1102702652509999</v>
      </c>
      <c r="AH1539">
        <v>17.0319405522933</v>
      </c>
      <c r="AI1539">
        <v>93.667250988935294</v>
      </c>
      <c r="AJ1539">
        <v>100.51356471782699</v>
      </c>
      <c r="AK1539">
        <v>17.358303509968199</v>
      </c>
      <c r="AL1539">
        <v>79.503456622536405</v>
      </c>
      <c r="AM1539">
        <v>87.806965133980398</v>
      </c>
      <c r="AN1539">
        <v>0.99999996740294395</v>
      </c>
    </row>
    <row r="1540" spans="1:40" x14ac:dyDescent="0.25">
      <c r="A1540" t="str">
        <f>"20190312172114955"</f>
        <v>20190312172114955</v>
      </c>
      <c r="B1540" t="str">
        <f>"1552382474952262"</f>
        <v>1552382474952262</v>
      </c>
      <c r="C1540" t="s">
        <v>40</v>
      </c>
      <c r="D1540">
        <v>3.4758529999999999</v>
      </c>
      <c r="E1540">
        <v>0.49250899999999997</v>
      </c>
      <c r="F1540" t="s">
        <v>44</v>
      </c>
      <c r="G1540">
        <v>-204.47120000000001</v>
      </c>
      <c r="H1540" s="1">
        <v>-2.8832670000000001E-6</v>
      </c>
      <c r="I1540">
        <v>368.70650000000001</v>
      </c>
      <c r="J1540">
        <v>-220.4314</v>
      </c>
      <c r="K1540">
        <v>1.1102639999999999</v>
      </c>
      <c r="L1540">
        <v>367.15809999999999</v>
      </c>
      <c r="M1540">
        <v>0.99986410000000003</v>
      </c>
      <c r="N1540">
        <v>0</v>
      </c>
      <c r="O1540">
        <v>-1.059214E-2</v>
      </c>
      <c r="P1540">
        <v>0.98412699999999997</v>
      </c>
      <c r="Q1540">
        <v>0.16970539999999901</v>
      </c>
      <c r="R1540">
        <v>-5.1908019999999999E-2</v>
      </c>
      <c r="S1540">
        <v>3.0991970000000002</v>
      </c>
      <c r="T1540">
        <v>-0.2137694</v>
      </c>
      <c r="U1540">
        <v>0.29785159999999899</v>
      </c>
      <c r="V1540">
        <v>4.1487160000000002E-2</v>
      </c>
      <c r="W1540">
        <v>0.18213119999999999</v>
      </c>
      <c r="X1540">
        <v>0.98239860000000001</v>
      </c>
      <c r="Y1540">
        <v>-0.10592989999999999</v>
      </c>
      <c r="Z1540">
        <v>4.3688059999999898E-3</v>
      </c>
      <c r="AA1540">
        <v>0.99436400000000003</v>
      </c>
      <c r="AB1540">
        <v>28</v>
      </c>
      <c r="AC1540">
        <v>15.960199999999899</v>
      </c>
      <c r="AD1540">
        <v>-1.110266883267</v>
      </c>
      <c r="AE1540">
        <v>1.54840000000001</v>
      </c>
      <c r="AF1540">
        <v>-1.7091852354852299</v>
      </c>
      <c r="AG1540">
        <v>-1.110266883267</v>
      </c>
      <c r="AH1540">
        <v>15.8668347105039</v>
      </c>
      <c r="AI1540">
        <v>93.979745344295296</v>
      </c>
      <c r="AJ1540">
        <v>96.148229100881395</v>
      </c>
      <c r="AK1540">
        <v>15.997201331849601</v>
      </c>
      <c r="AL1540">
        <v>79.506078976338699</v>
      </c>
      <c r="AM1540">
        <v>87.581808849052393</v>
      </c>
      <c r="AN1540">
        <v>0.999999983870132</v>
      </c>
    </row>
    <row r="1541" spans="1:40" x14ac:dyDescent="0.25">
      <c r="A1541" t="str">
        <f>"20190312172114965"</f>
        <v>20190312172114965</v>
      </c>
      <c r="B1541" t="str">
        <f>"1552382474962999"</f>
        <v>1552382474962999</v>
      </c>
      <c r="C1541" t="s">
        <v>40</v>
      </c>
      <c r="D1541">
        <v>3.7402280000000001</v>
      </c>
      <c r="E1541">
        <v>0.50668899999999994</v>
      </c>
      <c r="F1541" t="s">
        <v>44</v>
      </c>
      <c r="G1541">
        <v>-191.5179</v>
      </c>
      <c r="H1541" s="1">
        <v>-6.3524199999999899E-6</v>
      </c>
      <c r="I1541">
        <v>366.19569999999999</v>
      </c>
      <c r="J1541">
        <v>-220.30160000000001</v>
      </c>
      <c r="K1541">
        <v>1.110263</v>
      </c>
      <c r="L1541">
        <v>367.1567</v>
      </c>
      <c r="M1541">
        <v>0.99986419999999998</v>
      </c>
      <c r="N1541">
        <v>0</v>
      </c>
      <c r="O1541">
        <v>-1.0593E-2</v>
      </c>
      <c r="P1541">
        <v>0.98391130000000004</v>
      </c>
      <c r="Q1541">
        <v>0.16971410000000001</v>
      </c>
      <c r="R1541">
        <v>-5.5823749999999998E-2</v>
      </c>
      <c r="S1541">
        <v>3.0633089999999998</v>
      </c>
      <c r="T1541">
        <v>-0.1176302</v>
      </c>
      <c r="U1541">
        <v>-0.1019592</v>
      </c>
      <c r="V1541">
        <v>4.5404159999999999E-2</v>
      </c>
      <c r="W1541">
        <v>0.1821401</v>
      </c>
      <c r="X1541">
        <v>0.98222370000000003</v>
      </c>
      <c r="Y1541">
        <v>2.266688E-2</v>
      </c>
      <c r="Z1541" s="1">
        <v>-2.8405750000000002E-5</v>
      </c>
      <c r="AA1541">
        <v>0.99974300000000005</v>
      </c>
      <c r="AB1541">
        <v>28</v>
      </c>
      <c r="AC1541">
        <v>28.7837</v>
      </c>
      <c r="AD1541">
        <v>-1.11026935242</v>
      </c>
      <c r="AE1541">
        <v>-0.96100000000001196</v>
      </c>
      <c r="AF1541">
        <v>0.65504250929209495</v>
      </c>
      <c r="AG1541">
        <v>-1.11026935242</v>
      </c>
      <c r="AH1541">
        <v>28.749537651893899</v>
      </c>
      <c r="AI1541">
        <v>92.211015409505805</v>
      </c>
      <c r="AJ1541">
        <v>88.6947727951312</v>
      </c>
      <c r="AK1541">
        <v>28.778424104206401</v>
      </c>
      <c r="AL1541">
        <v>79.505560278489398</v>
      </c>
      <c r="AM1541">
        <v>87.353335959812597</v>
      </c>
      <c r="AN1541">
        <v>0.99999997530750195</v>
      </c>
    </row>
    <row r="1542" spans="1:40" x14ac:dyDescent="0.25">
      <c r="A1542" t="str">
        <f>"20190312172114976"</f>
        <v>20190312172114976</v>
      </c>
      <c r="B1542" t="str">
        <f>"1552382474972758"</f>
        <v>1552382474972758</v>
      </c>
      <c r="C1542" t="s">
        <v>40</v>
      </c>
      <c r="D1542">
        <v>3.5006029999999999</v>
      </c>
      <c r="E1542">
        <v>0.51922749999999995</v>
      </c>
      <c r="F1542" t="s">
        <v>44</v>
      </c>
      <c r="G1542">
        <v>-193.50139999999999</v>
      </c>
      <c r="H1542" s="1">
        <v>-7.2090860000000002E-6</v>
      </c>
      <c r="I1542">
        <v>365.16840000000002</v>
      </c>
      <c r="J1542">
        <v>-220.1628</v>
      </c>
      <c r="K1542">
        <v>1.110263</v>
      </c>
      <c r="L1542">
        <v>367.15519999999998</v>
      </c>
      <c r="M1542">
        <v>0.99986399999999998</v>
      </c>
      <c r="N1542">
        <v>0</v>
      </c>
      <c r="O1542">
        <v>-1.059421E-2</v>
      </c>
      <c r="P1542">
        <v>0.98368730000000004</v>
      </c>
      <c r="Q1542">
        <v>0.16975090000000001</v>
      </c>
      <c r="R1542">
        <v>-5.953083E-2</v>
      </c>
      <c r="S1542">
        <v>3.0580440000000002</v>
      </c>
      <c r="T1542">
        <v>-0.12668740000000001</v>
      </c>
      <c r="U1542">
        <v>-0.22686770000000001</v>
      </c>
      <c r="V1542">
        <v>4.9112599999999999E-2</v>
      </c>
      <c r="W1542">
        <v>0.1821776</v>
      </c>
      <c r="X1542">
        <v>0.98203830000000003</v>
      </c>
      <c r="Y1542">
        <v>6.3368679999999997E-2</v>
      </c>
      <c r="Z1542">
        <v>-8.7215589999999998E-4</v>
      </c>
      <c r="AA1542">
        <v>0.99798980000000004</v>
      </c>
      <c r="AB1542">
        <v>28</v>
      </c>
      <c r="AC1542">
        <v>26.6614</v>
      </c>
      <c r="AD1542">
        <v>-1.1102702090859999</v>
      </c>
      <c r="AE1542">
        <v>-1.9867999999999599</v>
      </c>
      <c r="AF1542">
        <v>1.70127544253568</v>
      </c>
      <c r="AG1542">
        <v>-1.1102702090859999</v>
      </c>
      <c r="AH1542">
        <v>26.635019227977502</v>
      </c>
      <c r="AI1542">
        <v>92.382121156750102</v>
      </c>
      <c r="AJ1542">
        <v>86.345275244259099</v>
      </c>
      <c r="AK1542">
        <v>26.712380787629002</v>
      </c>
      <c r="AL1542">
        <v>79.503375113772407</v>
      </c>
      <c r="AM1542">
        <v>87.136972926068296</v>
      </c>
      <c r="AN1542">
        <v>0.999999974043704</v>
      </c>
    </row>
    <row r="1543" spans="1:40" x14ac:dyDescent="0.25">
      <c r="A1543" t="str">
        <f>"20190312172114989"</f>
        <v>20190312172114989</v>
      </c>
      <c r="B1543" t="str">
        <f>"1552382474982519"</f>
        <v>1552382474982519</v>
      </c>
      <c r="C1543" t="s">
        <v>40</v>
      </c>
      <c r="D1543">
        <v>3.5242070000000001</v>
      </c>
      <c r="E1543">
        <v>0.51922749999999995</v>
      </c>
      <c r="F1543" t="s">
        <v>44</v>
      </c>
      <c r="G1543">
        <v>-194.55170000000001</v>
      </c>
      <c r="H1543" s="1">
        <v>-7.7105849999999993E-6</v>
      </c>
      <c r="I1543">
        <v>364.31799999999998</v>
      </c>
      <c r="J1543">
        <v>-220.01650000000001</v>
      </c>
      <c r="K1543">
        <v>1.1102620000000001</v>
      </c>
      <c r="L1543">
        <v>367.15359999999998</v>
      </c>
      <c r="M1543">
        <v>0.99986390000000003</v>
      </c>
      <c r="N1543">
        <v>0</v>
      </c>
      <c r="O1543">
        <v>-1.059879E-2</v>
      </c>
      <c r="P1543">
        <v>0.98351659999999996</v>
      </c>
      <c r="Q1543">
        <v>0.1694774</v>
      </c>
      <c r="R1543">
        <v>-6.3030630000000004E-2</v>
      </c>
      <c r="S1543">
        <v>3.0521240000000001</v>
      </c>
      <c r="T1543">
        <v>-0.13231299999999999</v>
      </c>
      <c r="U1543">
        <v>-0.33810420000000002</v>
      </c>
      <c r="V1543">
        <v>5.2610289999999997E-2</v>
      </c>
      <c r="W1543">
        <v>0.1819047</v>
      </c>
      <c r="X1543">
        <v>0.98190770000000005</v>
      </c>
      <c r="Y1543">
        <v>9.9479399999999996E-2</v>
      </c>
      <c r="Z1543">
        <v>-1.6908779999999901E-3</v>
      </c>
      <c r="AA1543">
        <v>0.99503819999999998</v>
      </c>
      <c r="AB1543">
        <v>28</v>
      </c>
      <c r="AC1543">
        <v>25.4648</v>
      </c>
      <c r="AD1543">
        <v>-1.1102697105849999</v>
      </c>
      <c r="AE1543">
        <v>-2.8355999999999399</v>
      </c>
      <c r="AF1543">
        <v>2.5607148263067998</v>
      </c>
      <c r="AG1543">
        <v>-1.1102697105849999</v>
      </c>
      <c r="AH1543">
        <v>25.445646678002699</v>
      </c>
      <c r="AI1543">
        <v>92.485861599404302</v>
      </c>
      <c r="AJ1543">
        <v>84.253403985442901</v>
      </c>
      <c r="AK1543">
        <v>25.598259591496799</v>
      </c>
      <c r="AL1543">
        <v>79.519276548110497</v>
      </c>
      <c r="AM1543">
        <v>86.933043682505698</v>
      </c>
      <c r="AN1543">
        <v>0.99999994690763006</v>
      </c>
    </row>
    <row r="1544" spans="1:40" x14ac:dyDescent="0.25">
      <c r="A1544" t="str">
        <f>"20190312172115001"</f>
        <v>20190312172115001</v>
      </c>
      <c r="B1544" t="str">
        <f>"1552382474992279"</f>
        <v>1552382474992279</v>
      </c>
      <c r="C1544" t="s">
        <v>40</v>
      </c>
      <c r="D1544">
        <v>3.5028609999999998</v>
      </c>
      <c r="E1544">
        <v>0.58227359999999995</v>
      </c>
      <c r="F1544" t="s">
        <v>44</v>
      </c>
      <c r="G1544">
        <v>-194.57380000000001</v>
      </c>
      <c r="H1544" s="1">
        <v>-7.7301519999999996E-6</v>
      </c>
      <c r="I1544">
        <v>364.24239999999998</v>
      </c>
      <c r="J1544">
        <v>-219.8595</v>
      </c>
      <c r="K1544">
        <v>1.1102590000000001</v>
      </c>
      <c r="L1544">
        <v>367.15190000000001</v>
      </c>
      <c r="M1544">
        <v>0.99986390000000003</v>
      </c>
      <c r="N1544">
        <v>0</v>
      </c>
      <c r="O1544">
        <v>-1.060589E-2</v>
      </c>
      <c r="P1544">
        <v>0.98331449999999998</v>
      </c>
      <c r="Q1544">
        <v>0.16929229999999901</v>
      </c>
      <c r="R1544">
        <v>-6.6581989999999994E-2</v>
      </c>
      <c r="S1544">
        <v>3.0508579999999998</v>
      </c>
      <c r="T1544">
        <v>-0.13313320000000001</v>
      </c>
      <c r="U1544">
        <v>-0.34909059999999997</v>
      </c>
      <c r="V1544">
        <v>5.6158060000000003E-2</v>
      </c>
      <c r="W1544">
        <v>0.18171899999999999</v>
      </c>
      <c r="X1544">
        <v>0.9817456</v>
      </c>
      <c r="Y1544">
        <v>0.1030508</v>
      </c>
      <c r="Z1544">
        <v>-1.7790379999999999E-3</v>
      </c>
      <c r="AA1544">
        <v>0.99467450000000002</v>
      </c>
      <c r="AB1544">
        <v>28</v>
      </c>
      <c r="AC1544">
        <v>25.285699999999899</v>
      </c>
      <c r="AD1544">
        <v>-1.1102667301519999</v>
      </c>
      <c r="AE1544">
        <v>-2.9095000000000302</v>
      </c>
      <c r="AF1544">
        <v>2.6361215597134802</v>
      </c>
      <c r="AG1544">
        <v>-1.1102667301519999</v>
      </c>
      <c r="AH1544">
        <v>25.267059827292201</v>
      </c>
      <c r="AI1544">
        <v>92.502465694349198</v>
      </c>
      <c r="AJ1544">
        <v>84.043858590292999</v>
      </c>
      <c r="AK1544">
        <v>25.428451415798602</v>
      </c>
      <c r="AL1544">
        <v>79.530096986097703</v>
      </c>
      <c r="AM1544">
        <v>86.726120043679003</v>
      </c>
      <c r="AN1544">
        <v>0.99999997289166098</v>
      </c>
    </row>
    <row r="1545" spans="1:40" x14ac:dyDescent="0.25">
      <c r="A1545" t="str">
        <f>"20190312172115011"</f>
        <v>20190312172115011</v>
      </c>
      <c r="B1545" t="str">
        <f>"1552382475002039"</f>
        <v>1552382475002039</v>
      </c>
      <c r="C1545" t="s">
        <v>40</v>
      </c>
      <c r="D1545">
        <v>3.4847250000000001</v>
      </c>
      <c r="E1545">
        <v>0.58250729999999995</v>
      </c>
      <c r="F1545" t="s">
        <v>44</v>
      </c>
      <c r="G1545">
        <v>-197.92500000000001</v>
      </c>
      <c r="H1545" s="1">
        <v>-9.4301820000000007E-6</v>
      </c>
      <c r="I1545">
        <v>360.88920000000002</v>
      </c>
      <c r="J1545">
        <v>-219.72329999999999</v>
      </c>
      <c r="K1545">
        <v>1.110255</v>
      </c>
      <c r="L1545">
        <v>367.15050000000002</v>
      </c>
      <c r="M1545">
        <v>0.99986370000000002</v>
      </c>
      <c r="N1545">
        <v>0</v>
      </c>
      <c r="O1545">
        <v>-1.0618499999999999E-2</v>
      </c>
      <c r="P1545">
        <v>0.98311219999999999</v>
      </c>
      <c r="Q1545">
        <v>0.16911999999999999</v>
      </c>
      <c r="R1545">
        <v>-6.9922250000000005E-2</v>
      </c>
      <c r="S1545">
        <v>3.0188600000000001</v>
      </c>
      <c r="T1545">
        <v>-0.1528069</v>
      </c>
      <c r="U1545">
        <v>-0.86193850000000005</v>
      </c>
      <c r="V1545">
        <v>5.9490189999999998E-2</v>
      </c>
      <c r="W1545">
        <v>0.18154600000000001</v>
      </c>
      <c r="X1545">
        <v>0.98158129999999999</v>
      </c>
      <c r="Y1545">
        <v>0.26401999999999998</v>
      </c>
      <c r="Z1545">
        <v>-6.0206840000000001E-3</v>
      </c>
      <c r="AA1545">
        <v>0.96449839999999998</v>
      </c>
      <c r="AB1545">
        <v>28</v>
      </c>
      <c r="AC1545">
        <v>21.798299999999902</v>
      </c>
      <c r="AD1545">
        <v>-1.1102644301819999</v>
      </c>
      <c r="AE1545">
        <v>-6.2613000000000003</v>
      </c>
      <c r="AF1545">
        <v>6.0150481341437203</v>
      </c>
      <c r="AG1545">
        <v>-1.1102644301819999</v>
      </c>
      <c r="AH1545">
        <v>21.8112910320339</v>
      </c>
      <c r="AI1545">
        <v>92.809329343937094</v>
      </c>
      <c r="AJ1545">
        <v>74.582378616359705</v>
      </c>
      <c r="AK1545">
        <v>22.652724066766801</v>
      </c>
      <c r="AL1545">
        <v>79.540176478478102</v>
      </c>
      <c r="AM1545">
        <v>86.531746649871494</v>
      </c>
      <c r="AN1545">
        <v>0.99999994066596098</v>
      </c>
    </row>
    <row r="1546" spans="1:40" x14ac:dyDescent="0.25">
      <c r="A1546" t="str">
        <f>"20190312172115023"</f>
        <v>20190312172115023</v>
      </c>
      <c r="B1546" t="str">
        <f>"1552382475012775"</f>
        <v>1552382475012775</v>
      </c>
      <c r="C1546" t="s">
        <v>40</v>
      </c>
      <c r="D1546">
        <v>3.501763</v>
      </c>
      <c r="E1546">
        <v>0.58239289999999999</v>
      </c>
      <c r="F1546" t="s">
        <v>44</v>
      </c>
      <c r="G1546">
        <v>-198.09209999999999</v>
      </c>
      <c r="H1546" s="1">
        <v>-9.4897309999999998E-6</v>
      </c>
      <c r="I1546">
        <v>360.88339999999999</v>
      </c>
      <c r="J1546">
        <v>-219.58260000000001</v>
      </c>
      <c r="K1546">
        <v>1.1102479999999999</v>
      </c>
      <c r="L1546">
        <v>367.14890000000003</v>
      </c>
      <c r="M1546">
        <v>0.99986339999999996</v>
      </c>
      <c r="N1546">
        <v>0</v>
      </c>
      <c r="O1546">
        <v>-1.063386E-2</v>
      </c>
      <c r="P1546">
        <v>0.98290560000000005</v>
      </c>
      <c r="Q1546">
        <v>0.16881889999999999</v>
      </c>
      <c r="R1546">
        <v>-7.3463699999999896E-2</v>
      </c>
      <c r="S1546">
        <v>3.016022</v>
      </c>
      <c r="T1546">
        <v>-0.15480329999999901</v>
      </c>
      <c r="U1546">
        <v>-0.87380979999999997</v>
      </c>
      <c r="V1546">
        <v>6.3020880000000001E-2</v>
      </c>
      <c r="W1546">
        <v>0.18124309999999999</v>
      </c>
      <c r="X1546">
        <v>0.98141699999999998</v>
      </c>
      <c r="Y1546">
        <v>0.26773629999999998</v>
      </c>
      <c r="Z1546">
        <v>-6.1941359999999899E-3</v>
      </c>
      <c r="AA1546">
        <v>0.96347229999999995</v>
      </c>
      <c r="AB1546">
        <v>28</v>
      </c>
      <c r="AC1546">
        <v>21.490500000000001</v>
      </c>
      <c r="AD1546">
        <v>-1.11025748973099</v>
      </c>
      <c r="AE1546">
        <v>-6.2655000000000296</v>
      </c>
      <c r="AF1546">
        <v>6.0217871797665703</v>
      </c>
      <c r="AG1546">
        <v>-1.11025748973099</v>
      </c>
      <c r="AH1546">
        <v>21.5030203326818</v>
      </c>
      <c r="AI1546">
        <v>92.846390734178797</v>
      </c>
      <c r="AJ1546">
        <v>74.3554273136033</v>
      </c>
      <c r="AK1546">
        <v>22.357872795944399</v>
      </c>
      <c r="AL1546">
        <v>79.557824873613299</v>
      </c>
      <c r="AM1546">
        <v>86.325843499831905</v>
      </c>
      <c r="AN1546">
        <v>1.00000001025129</v>
      </c>
    </row>
    <row r="1547" spans="1:40" x14ac:dyDescent="0.25">
      <c r="A1547" t="str">
        <f>"20190312172115035"</f>
        <v>20190312172115035</v>
      </c>
      <c r="B1547" t="str">
        <f>"1552382475032295"</f>
        <v>1552382475032295</v>
      </c>
      <c r="C1547" t="s">
        <v>40</v>
      </c>
      <c r="D1547">
        <v>3.4722129999999898</v>
      </c>
      <c r="E1547">
        <v>0.58273299999999995</v>
      </c>
      <c r="F1547" t="s">
        <v>44</v>
      </c>
      <c r="G1547">
        <v>-198.36959999999999</v>
      </c>
      <c r="H1547" s="1">
        <v>-9.5795399999999998E-6</v>
      </c>
      <c r="I1547">
        <v>360.93209999999999</v>
      </c>
      <c r="J1547">
        <v>-219.42779999999999</v>
      </c>
      <c r="K1547">
        <v>1.1102399999999999</v>
      </c>
      <c r="L1547">
        <v>367.1472</v>
      </c>
      <c r="M1547">
        <v>0.99986319999999995</v>
      </c>
      <c r="N1547">
        <v>0</v>
      </c>
      <c r="O1547">
        <v>-1.0657349999999999E-2</v>
      </c>
      <c r="P1547">
        <v>0.98265519999999995</v>
      </c>
      <c r="Q1547">
        <v>0.16878029999999999</v>
      </c>
      <c r="R1547">
        <v>-7.6825160000000003E-2</v>
      </c>
      <c r="S1547">
        <v>3.0132599999999998</v>
      </c>
      <c r="T1547">
        <v>-0.15771009999999999</v>
      </c>
      <c r="U1547">
        <v>-0.88308719999999996</v>
      </c>
      <c r="V1547">
        <v>6.6365229999999997E-2</v>
      </c>
      <c r="W1547">
        <v>0.18120230000000001</v>
      </c>
      <c r="X1547">
        <v>0.98120399999999997</v>
      </c>
      <c r="Y1547">
        <v>0.27066679999999999</v>
      </c>
      <c r="Z1547">
        <v>-6.387045E-3</v>
      </c>
      <c r="AA1547">
        <v>0.9626519</v>
      </c>
      <c r="AB1547">
        <v>28</v>
      </c>
      <c r="AC1547">
        <v>21.058199999999999</v>
      </c>
      <c r="AD1547">
        <v>-1.11024957953999</v>
      </c>
      <c r="AE1547">
        <v>-6.2150999999999996</v>
      </c>
      <c r="AF1547">
        <v>5.9750264264577</v>
      </c>
      <c r="AG1547">
        <v>-1.11024957953999</v>
      </c>
      <c r="AH1547">
        <v>21.0693718382072</v>
      </c>
      <c r="AI1547">
        <v>92.902172688506894</v>
      </c>
      <c r="AJ1547">
        <v>74.167286336888395</v>
      </c>
      <c r="AK1547">
        <v>21.928338390821501</v>
      </c>
      <c r="AL1547">
        <v>79.560201300320301</v>
      </c>
      <c r="AM1547">
        <v>86.130605768911394</v>
      </c>
      <c r="AN1547">
        <v>0.99999995344712</v>
      </c>
    </row>
    <row r="1548" spans="1:40" x14ac:dyDescent="0.25">
      <c r="A1548" t="str">
        <f>"20190312172115046"</f>
        <v>20190312172115046</v>
      </c>
      <c r="B1548" t="str">
        <f>"1552382475042055"</f>
        <v>1552382475042055</v>
      </c>
      <c r="C1548" t="s">
        <v>40</v>
      </c>
      <c r="D1548">
        <v>3.4883220000000001</v>
      </c>
      <c r="E1548">
        <v>0.58231129999999998</v>
      </c>
      <c r="F1548" t="s">
        <v>44</v>
      </c>
      <c r="G1548">
        <v>-199.14959999999999</v>
      </c>
      <c r="H1548" s="1">
        <v>-9.8333049999999999E-6</v>
      </c>
      <c r="I1548">
        <v>361.11360000000002</v>
      </c>
      <c r="J1548">
        <v>-219.28960000000001</v>
      </c>
      <c r="K1548">
        <v>1.1102369999999999</v>
      </c>
      <c r="L1548">
        <v>367.14580000000001</v>
      </c>
      <c r="M1548">
        <v>0.99986280000000005</v>
      </c>
      <c r="N1548">
        <v>0</v>
      </c>
      <c r="O1548">
        <v>-1.068466E-2</v>
      </c>
      <c r="P1548">
        <v>0.98240099999999997</v>
      </c>
      <c r="Q1548">
        <v>0.16874620000000001</v>
      </c>
      <c r="R1548">
        <v>-8.0082440000000005E-2</v>
      </c>
      <c r="S1548">
        <v>3.011215</v>
      </c>
      <c r="T1548">
        <v>-0.1648664</v>
      </c>
      <c r="U1548">
        <v>-0.89596559999999903</v>
      </c>
      <c r="V1548">
        <v>6.9601709999999997E-2</v>
      </c>
      <c r="W1548">
        <v>0.18116479999999999</v>
      </c>
      <c r="X1548">
        <v>0.98098669999999999</v>
      </c>
      <c r="Y1548">
        <v>0.27456560000000002</v>
      </c>
      <c r="Z1548">
        <v>-6.7797949999999999E-3</v>
      </c>
      <c r="AA1548">
        <v>0.96154450000000002</v>
      </c>
      <c r="AB1548">
        <v>28</v>
      </c>
      <c r="AC1548">
        <v>20.14</v>
      </c>
      <c r="AD1548">
        <v>-1.110246833305</v>
      </c>
      <c r="AE1548">
        <v>-6.03219999999998</v>
      </c>
      <c r="AF1548">
        <v>5.8004732362863196</v>
      </c>
      <c r="AG1548">
        <v>-1.110246833305</v>
      </c>
      <c r="AH1548">
        <v>20.147122014072</v>
      </c>
      <c r="AI1548">
        <v>93.031318445720203</v>
      </c>
      <c r="AJ1548">
        <v>73.938583587019195</v>
      </c>
      <c r="AK1548">
        <v>20.994872308390899</v>
      </c>
      <c r="AL1548">
        <v>79.562386481296599</v>
      </c>
      <c r="AM1548">
        <v>85.941624189577297</v>
      </c>
      <c r="AN1548">
        <v>0.99999999418542695</v>
      </c>
    </row>
    <row r="1549" spans="1:40" x14ac:dyDescent="0.25">
      <c r="A1549" t="str">
        <f>"20190312172115059"</f>
        <v>20190312172115059</v>
      </c>
      <c r="B1549" t="str">
        <f>"1552382475052791"</f>
        <v>1552382475052791</v>
      </c>
      <c r="C1549" t="s">
        <v>40</v>
      </c>
      <c r="D1549">
        <v>3.4727019999999902</v>
      </c>
      <c r="E1549">
        <v>0.58212019999999998</v>
      </c>
      <c r="F1549" t="s">
        <v>44</v>
      </c>
      <c r="G1549">
        <v>-199.0574</v>
      </c>
      <c r="H1549" s="1">
        <v>-9.8050679999999995E-6</v>
      </c>
      <c r="I1549">
        <v>361.07690000000002</v>
      </c>
      <c r="J1549">
        <v>-219.12799999999999</v>
      </c>
      <c r="K1549">
        <v>1.1102259999999999</v>
      </c>
      <c r="L1549">
        <v>367.14400000000001</v>
      </c>
      <c r="M1549">
        <v>0.99986249999999999</v>
      </c>
      <c r="N1549">
        <v>0</v>
      </c>
      <c r="O1549">
        <v>-1.072119E-2</v>
      </c>
      <c r="P1549">
        <v>0.98220580000000002</v>
      </c>
      <c r="Q1549">
        <v>0.16829340000000001</v>
      </c>
      <c r="R1549">
        <v>-8.3361569999999996E-2</v>
      </c>
      <c r="S1549">
        <v>3.0085139999999999</v>
      </c>
      <c r="T1549">
        <v>-0.16509289999999999</v>
      </c>
      <c r="U1549">
        <v>-0.90243530000000005</v>
      </c>
      <c r="V1549">
        <v>7.2851199999999894E-2</v>
      </c>
      <c r="W1549">
        <v>0.18070990000000001</v>
      </c>
      <c r="X1549">
        <v>0.98083469999999995</v>
      </c>
      <c r="Y1549">
        <v>0.27665980000000001</v>
      </c>
      <c r="Z1549">
        <v>-6.847115E-3</v>
      </c>
      <c r="AA1549">
        <v>0.96094349999999995</v>
      </c>
      <c r="AB1549">
        <v>28</v>
      </c>
      <c r="AC1549">
        <v>20.070599999999899</v>
      </c>
      <c r="AD1549">
        <v>-1.1102358050679999</v>
      </c>
      <c r="AE1549">
        <v>-6.0670999999999804</v>
      </c>
      <c r="AF1549">
        <v>5.8351930651445398</v>
      </c>
      <c r="AG1549">
        <v>-1.1102358050679999</v>
      </c>
      <c r="AH1549">
        <v>20.078204370564801</v>
      </c>
      <c r="AI1549">
        <v>93.039472269546494</v>
      </c>
      <c r="AJ1549">
        <v>73.794906937408697</v>
      </c>
      <c r="AK1549">
        <v>20.938395172422702</v>
      </c>
      <c r="AL1549">
        <v>79.588888195977404</v>
      </c>
      <c r="AM1549">
        <v>85.752173259494199</v>
      </c>
      <c r="AN1549">
        <v>1.0000000370117601</v>
      </c>
    </row>
    <row r="1550" spans="1:40" x14ac:dyDescent="0.25">
      <c r="A1550" t="str">
        <f>"20190312172115072"</f>
        <v>20190312172115072</v>
      </c>
      <c r="B1550" t="str">
        <f>"1552382475062551"</f>
        <v>1552382475062551</v>
      </c>
      <c r="C1550" t="s">
        <v>40</v>
      </c>
      <c r="D1550">
        <v>3.4706450000000002</v>
      </c>
      <c r="E1550">
        <v>0.58195819999999998</v>
      </c>
      <c r="F1550" t="s">
        <v>44</v>
      </c>
      <c r="G1550">
        <v>-199.3047</v>
      </c>
      <c r="H1550" s="1">
        <v>-9.8869589999999999E-6</v>
      </c>
      <c r="I1550">
        <v>361.13279999999997</v>
      </c>
      <c r="J1550">
        <v>-218.97800000000001</v>
      </c>
      <c r="K1550">
        <v>1.110215</v>
      </c>
      <c r="L1550">
        <v>367.14229999999998</v>
      </c>
      <c r="M1550">
        <v>0.99986200000000003</v>
      </c>
      <c r="N1550">
        <v>0</v>
      </c>
      <c r="O1550">
        <v>-1.0768689999999999E-2</v>
      </c>
      <c r="P1550">
        <v>0.98192670000000004</v>
      </c>
      <c r="Q1550">
        <v>0.1681705</v>
      </c>
      <c r="R1550">
        <v>-8.6827310000000005E-2</v>
      </c>
      <c r="S1550">
        <v>3.005814</v>
      </c>
      <c r="T1550">
        <v>-0.16834589999999999</v>
      </c>
      <c r="U1550">
        <v>-0.91146850000000001</v>
      </c>
      <c r="V1550">
        <v>7.6277789999999998E-2</v>
      </c>
      <c r="W1550">
        <v>0.1805823</v>
      </c>
      <c r="X1550">
        <v>0.98059759999999996</v>
      </c>
      <c r="Y1550">
        <v>0.27947870000000002</v>
      </c>
      <c r="Z1550">
        <v>-7.0594239999999999E-3</v>
      </c>
      <c r="AA1550">
        <v>0.96012589999999998</v>
      </c>
      <c r="AB1550">
        <v>28</v>
      </c>
      <c r="AC1550">
        <v>19.673299999999902</v>
      </c>
      <c r="AD1550">
        <v>-1.1102248869589999</v>
      </c>
      <c r="AE1550">
        <v>-6.0095000000000001</v>
      </c>
      <c r="AF1550">
        <v>5.7804410562576098</v>
      </c>
      <c r="AG1550">
        <v>-1.1102248869589999</v>
      </c>
      <c r="AH1550">
        <v>19.679554246644798</v>
      </c>
      <c r="AI1550">
        <v>93.098307918406604</v>
      </c>
      <c r="AJ1550">
        <v>73.630996228338205</v>
      </c>
      <c r="AK1550">
        <v>20.540957948721001</v>
      </c>
      <c r="AL1550">
        <v>79.596320624970005</v>
      </c>
      <c r="AM1550">
        <v>85.552087349290602</v>
      </c>
      <c r="AN1550">
        <v>0.99999996072316599</v>
      </c>
    </row>
    <row r="1551" spans="1:40" x14ac:dyDescent="0.25">
      <c r="A1551" t="str">
        <f>"20190312172115085"</f>
        <v>20190312172115085</v>
      </c>
      <c r="B1551" t="str">
        <f>"1552382475083046"</f>
        <v>1552382475083046</v>
      </c>
      <c r="C1551" t="s">
        <v>40</v>
      </c>
      <c r="D1551">
        <v>3.4638800000000001</v>
      </c>
      <c r="E1551">
        <v>0.58159879999999997</v>
      </c>
      <c r="F1551" t="s">
        <v>44</v>
      </c>
      <c r="G1551">
        <v>-199.46360000000001</v>
      </c>
      <c r="H1551" s="1">
        <v>-9.9406180000000002E-6</v>
      </c>
      <c r="I1551">
        <v>361.16140000000001</v>
      </c>
      <c r="J1551">
        <v>-218.80629999999999</v>
      </c>
      <c r="K1551">
        <v>1.110201</v>
      </c>
      <c r="L1551">
        <v>367.1404</v>
      </c>
      <c r="M1551">
        <v>0.99986140000000001</v>
      </c>
      <c r="N1551">
        <v>0</v>
      </c>
      <c r="O1551">
        <v>-1.0830899999999999E-2</v>
      </c>
      <c r="P1551">
        <v>0.98165630000000004</v>
      </c>
      <c r="Q1551">
        <v>0.1681424</v>
      </c>
      <c r="R1551">
        <v>-8.9886179999999996E-2</v>
      </c>
      <c r="S1551">
        <v>3.003098</v>
      </c>
      <c r="T1551">
        <v>-0.17085349999999999</v>
      </c>
      <c r="U1551">
        <v>-0.92041019999999896</v>
      </c>
      <c r="V1551">
        <v>7.9284240000000006E-2</v>
      </c>
      <c r="W1551">
        <v>0.18054990000000001</v>
      </c>
      <c r="X1551">
        <v>0.98036509999999999</v>
      </c>
      <c r="Y1551">
        <v>0.28225850000000002</v>
      </c>
      <c r="Z1551">
        <v>-7.2413629999999998E-3</v>
      </c>
      <c r="AA1551">
        <v>0.95931109999999997</v>
      </c>
      <c r="AB1551">
        <v>28</v>
      </c>
      <c r="AC1551">
        <v>19.342699999999901</v>
      </c>
      <c r="AD1551">
        <v>-1.1102109406180001</v>
      </c>
      <c r="AE1551">
        <v>-5.9789999999999797</v>
      </c>
      <c r="AF1551">
        <v>5.7518373948179002</v>
      </c>
      <c r="AG1551">
        <v>-1.1102109406180001</v>
      </c>
      <c r="AH1551">
        <v>19.3481469163223</v>
      </c>
      <c r="AI1551">
        <v>93.148197048950095</v>
      </c>
      <c r="AJ1551">
        <v>73.443784031025302</v>
      </c>
      <c r="AK1551">
        <v>20.215513618127201</v>
      </c>
      <c r="AL1551">
        <v>79.598208373469106</v>
      </c>
      <c r="AM1551">
        <v>85.376429076095107</v>
      </c>
      <c r="AN1551">
        <v>0.99999999320019795</v>
      </c>
    </row>
    <row r="1552" spans="1:40" x14ac:dyDescent="0.25">
      <c r="A1552" t="str">
        <f>"20190312172115098"</f>
        <v>20190312172115098</v>
      </c>
      <c r="B1552" t="str">
        <f>"1552382475092808"</f>
        <v>1552382475092808</v>
      </c>
      <c r="C1552" t="s">
        <v>40</v>
      </c>
      <c r="D1552">
        <v>3.4668730000000001</v>
      </c>
      <c r="E1552">
        <v>0.58146989999999998</v>
      </c>
      <c r="F1552" t="s">
        <v>44</v>
      </c>
      <c r="G1552">
        <v>-199.69829999999999</v>
      </c>
      <c r="H1552" s="1">
        <v>-1.0014799999999999E-5</v>
      </c>
      <c r="I1552">
        <v>361.23919999999998</v>
      </c>
      <c r="J1552">
        <v>-218.63900000000001</v>
      </c>
      <c r="K1552">
        <v>1.110185</v>
      </c>
      <c r="L1552">
        <v>367.13850000000002</v>
      </c>
      <c r="M1552">
        <v>0.99986059999999999</v>
      </c>
      <c r="N1552">
        <v>0</v>
      </c>
      <c r="O1552">
        <v>-1.0902530000000001E-2</v>
      </c>
      <c r="P1552">
        <v>0.98119409999999896</v>
      </c>
      <c r="Q1552">
        <v>0.1675856</v>
      </c>
      <c r="R1552">
        <v>-9.5776009999999995E-2</v>
      </c>
      <c r="S1552">
        <v>3.0010530000000002</v>
      </c>
      <c r="T1552">
        <v>-0.1743672</v>
      </c>
      <c r="U1552">
        <v>-0.92681880000000005</v>
      </c>
      <c r="V1552">
        <v>8.5114839999999997E-2</v>
      </c>
      <c r="W1552">
        <v>0.17998520000000001</v>
      </c>
      <c r="X1552">
        <v>0.97997999999999996</v>
      </c>
      <c r="Y1552">
        <v>0.28422389999999997</v>
      </c>
      <c r="Z1552">
        <v>-7.4442909999999996E-3</v>
      </c>
      <c r="AA1552">
        <v>0.95872900000000005</v>
      </c>
      <c r="AB1552">
        <v>28</v>
      </c>
      <c r="AC1552">
        <v>18.9407</v>
      </c>
      <c r="AD1552">
        <v>-1.1101950147999999</v>
      </c>
      <c r="AE1552">
        <v>-5.8993000000000304</v>
      </c>
      <c r="AF1552">
        <v>5.6746592569201999</v>
      </c>
      <c r="AG1552">
        <v>-1.1101950147999999</v>
      </c>
      <c r="AH1552">
        <v>18.944565590085599</v>
      </c>
      <c r="AI1552">
        <v>93.213093242675598</v>
      </c>
      <c r="AJ1552">
        <v>73.324927372811104</v>
      </c>
      <c r="AK1552">
        <v>19.807343487961599</v>
      </c>
      <c r="AL1552">
        <v>79.631102296317295</v>
      </c>
      <c r="AM1552">
        <v>85.036109202534107</v>
      </c>
      <c r="AN1552">
        <v>1.0000000043036299</v>
      </c>
    </row>
    <row r="1553" spans="1:40" x14ac:dyDescent="0.25">
      <c r="A1553" t="str">
        <f>"20190312172115113"</f>
        <v>20190312172115113</v>
      </c>
      <c r="B1553" t="str">
        <f>"1552382475102567"</f>
        <v>1552382475102567</v>
      </c>
      <c r="C1553" t="s">
        <v>40</v>
      </c>
      <c r="D1553">
        <v>3.4709140000000001</v>
      </c>
      <c r="E1553">
        <v>0.58123169999999902</v>
      </c>
      <c r="F1553" t="s">
        <v>44</v>
      </c>
      <c r="G1553">
        <v>-199.845</v>
      </c>
      <c r="H1553" s="1">
        <v>-1.0070930000000001E-5</v>
      </c>
      <c r="I1553">
        <v>361.21960000000001</v>
      </c>
      <c r="J1553">
        <v>-218.45599999999999</v>
      </c>
      <c r="K1553">
        <v>1.110168</v>
      </c>
      <c r="L1553">
        <v>367.13639999999998</v>
      </c>
      <c r="M1553">
        <v>0.99985950000000001</v>
      </c>
      <c r="N1553">
        <v>0</v>
      </c>
      <c r="O1553">
        <v>-1.0998040000000001E-2</v>
      </c>
      <c r="P1553">
        <v>0.98096030000000001</v>
      </c>
      <c r="Q1553">
        <v>0.167518</v>
      </c>
      <c r="R1553">
        <v>-9.8258590000000007E-2</v>
      </c>
      <c r="S1553">
        <v>2.9956209999999999</v>
      </c>
      <c r="T1553">
        <v>-0.1769559</v>
      </c>
      <c r="U1553">
        <v>-0.94342040000000005</v>
      </c>
      <c r="V1553">
        <v>8.7512740000000006E-2</v>
      </c>
      <c r="W1553">
        <v>0.17991260000000001</v>
      </c>
      <c r="X1553">
        <v>0.97978209999999999</v>
      </c>
      <c r="Y1553">
        <v>0.28943819999999998</v>
      </c>
      <c r="Z1553">
        <v>-7.7063679999999999E-3</v>
      </c>
      <c r="AA1553">
        <v>0.95716570000000001</v>
      </c>
      <c r="AB1553">
        <v>28</v>
      </c>
      <c r="AC1553">
        <v>18.610999999999901</v>
      </c>
      <c r="AD1553">
        <v>-1.11017807093</v>
      </c>
      <c r="AE1553">
        <v>-5.9167999999999603</v>
      </c>
      <c r="AF1553">
        <v>5.6933420690903898</v>
      </c>
      <c r="AG1553">
        <v>-1.11017807093</v>
      </c>
      <c r="AH1553">
        <v>18.614795364916802</v>
      </c>
      <c r="AI1553">
        <v>93.2641385820328</v>
      </c>
      <c r="AJ1553">
        <v>72.993728707511593</v>
      </c>
      <c r="AK1553">
        <v>19.497621540653999</v>
      </c>
      <c r="AL1553">
        <v>79.635330885054202</v>
      </c>
      <c r="AM1553">
        <v>84.895966920540502</v>
      </c>
      <c r="AN1553">
        <v>0.99999999339073797</v>
      </c>
    </row>
    <row r="1554" spans="1:40" x14ac:dyDescent="0.25">
      <c r="A1554" t="str">
        <f>"20190312172115125"</f>
        <v>20190312172115125</v>
      </c>
      <c r="B1554" t="str">
        <f>"1552382475123063"</f>
        <v>1552382475123063</v>
      </c>
      <c r="C1554" t="s">
        <v>40</v>
      </c>
      <c r="D1554">
        <v>3.4343620000000001</v>
      </c>
      <c r="E1554">
        <v>0.58054059999999996</v>
      </c>
      <c r="F1554" t="s">
        <v>44</v>
      </c>
      <c r="G1554">
        <v>-199.79490000000001</v>
      </c>
      <c r="H1554" s="1">
        <v>-1.00528E-5</v>
      </c>
      <c r="I1554">
        <v>361.2192</v>
      </c>
      <c r="J1554">
        <v>-218.30430000000001</v>
      </c>
      <c r="K1554">
        <v>1.1101510000000001</v>
      </c>
      <c r="L1554">
        <v>367.13459999999998</v>
      </c>
      <c r="M1554">
        <v>0.99985849999999998</v>
      </c>
      <c r="N1554">
        <v>0</v>
      </c>
      <c r="O1554">
        <v>-1.108635E-2</v>
      </c>
      <c r="P1554">
        <v>0.9807825</v>
      </c>
      <c r="Q1554">
        <v>0.16708410000000001</v>
      </c>
      <c r="R1554">
        <v>-0.1007405</v>
      </c>
      <c r="S1554">
        <v>2.993576</v>
      </c>
      <c r="T1554">
        <v>-0.178093</v>
      </c>
      <c r="U1554">
        <v>-0.94921880000000003</v>
      </c>
      <c r="V1554">
        <v>8.9915510000000004E-2</v>
      </c>
      <c r="W1554">
        <v>0.17947399999999999</v>
      </c>
      <c r="X1554">
        <v>0.97964499999999999</v>
      </c>
      <c r="Y1554">
        <v>0.29121740000000002</v>
      </c>
      <c r="Z1554">
        <v>-7.8051359999999998E-3</v>
      </c>
      <c r="AA1554">
        <v>0.95662499999999995</v>
      </c>
      <c r="AB1554">
        <v>28</v>
      </c>
      <c r="AC1554">
        <v>18.509399999999999</v>
      </c>
      <c r="AD1554">
        <v>-1.1101610528000001</v>
      </c>
      <c r="AE1554">
        <v>-5.9153999999999698</v>
      </c>
      <c r="AF1554">
        <v>5.6912420169950897</v>
      </c>
      <c r="AG1554">
        <v>-1.1101610528000001</v>
      </c>
      <c r="AH1554">
        <v>18.5134197450522</v>
      </c>
      <c r="AI1554">
        <v>93.280490407469102</v>
      </c>
      <c r="AJ1554">
        <v>72.911958817348804</v>
      </c>
      <c r="AK1554">
        <v>19.400242367446101</v>
      </c>
      <c r="AL1554">
        <v>79.660876917246</v>
      </c>
      <c r="AM1554">
        <v>84.755870465122698</v>
      </c>
      <c r="AN1554">
        <v>1.0000000208197799</v>
      </c>
    </row>
    <row r="1555" spans="1:40" x14ac:dyDescent="0.25">
      <c r="A1555" t="str">
        <f>"20190312172115136"</f>
        <v>20190312172115136</v>
      </c>
      <c r="B1555" t="str">
        <f>"1552382475132823"</f>
        <v>1552382475132823</v>
      </c>
      <c r="C1555" t="s">
        <v>40</v>
      </c>
      <c r="D1555">
        <v>3.4260169999999999</v>
      </c>
      <c r="E1555">
        <v>0.58018689999999995</v>
      </c>
      <c r="F1555" t="s">
        <v>44</v>
      </c>
      <c r="G1555">
        <v>-200.13339999999999</v>
      </c>
      <c r="H1555" s="1">
        <v>-2.2714559999999998E-6</v>
      </c>
      <c r="I1555">
        <v>361.35599999999999</v>
      </c>
      <c r="J1555">
        <v>-218.16390000000001</v>
      </c>
      <c r="K1555">
        <v>1.1101369999999999</v>
      </c>
      <c r="L1555">
        <v>367.13290000000001</v>
      </c>
      <c r="M1555">
        <v>0.99985749999999995</v>
      </c>
      <c r="N1555">
        <v>0</v>
      </c>
      <c r="O1555">
        <v>-1.117656E-2</v>
      </c>
      <c r="P1555">
        <v>0.98056200000000004</v>
      </c>
      <c r="Q1555">
        <v>0.16694539999999999</v>
      </c>
      <c r="R1555">
        <v>-0.10309069999999999</v>
      </c>
      <c r="S1555">
        <v>2.9922029999999999</v>
      </c>
      <c r="T1555">
        <v>-0.18280969999999999</v>
      </c>
      <c r="U1555">
        <v>-0.95156859999999999</v>
      </c>
      <c r="V1555">
        <v>9.2185180000000005E-2</v>
      </c>
      <c r="W1555">
        <v>0.17932989999999999</v>
      </c>
      <c r="X1555">
        <v>0.97946040000000001</v>
      </c>
      <c r="Y1555">
        <v>0.29191450000000002</v>
      </c>
      <c r="Z1555">
        <v>-8.029464E-3</v>
      </c>
      <c r="AA1555">
        <v>0.95641069999999995</v>
      </c>
      <c r="AB1555">
        <v>28</v>
      </c>
      <c r="AC1555">
        <v>18.0305</v>
      </c>
      <c r="AD1555">
        <v>-1.1101392714560001</v>
      </c>
      <c r="AE1555">
        <v>-5.7769000000000101</v>
      </c>
      <c r="AF1555">
        <v>5.5559030743564</v>
      </c>
      <c r="AG1555">
        <v>-1.1101392714560001</v>
      </c>
      <c r="AH1555">
        <v>18.031951624072299</v>
      </c>
      <c r="AI1555">
        <v>93.367153624541004</v>
      </c>
      <c r="AJ1555">
        <v>72.875183700538201</v>
      </c>
      <c r="AK1555">
        <v>18.9011044001813</v>
      </c>
      <c r="AL1555">
        <v>79.669269159375105</v>
      </c>
      <c r="AM1555">
        <v>84.623255620573005</v>
      </c>
      <c r="AN1555">
        <v>0.99999999780690096</v>
      </c>
    </row>
    <row r="1556" spans="1:40" x14ac:dyDescent="0.25">
      <c r="A1556" t="str">
        <f>"20190312172115148"</f>
        <v>20190312172115148</v>
      </c>
      <c r="B1556" t="str">
        <f>"1552382475142583"</f>
        <v>1552382475142583</v>
      </c>
      <c r="C1556" t="s">
        <v>40</v>
      </c>
      <c r="D1556">
        <v>3.4104839999999998</v>
      </c>
      <c r="E1556">
        <v>0.57985439999999999</v>
      </c>
      <c r="F1556" t="s">
        <v>44</v>
      </c>
      <c r="G1556">
        <v>-200.21369999999999</v>
      </c>
      <c r="H1556" s="1">
        <v>-2.3081520000000001E-6</v>
      </c>
      <c r="I1556">
        <v>361.39670000000001</v>
      </c>
      <c r="J1556">
        <v>-218.02510000000001</v>
      </c>
      <c r="K1556">
        <v>1.1101240000000001</v>
      </c>
      <c r="L1556">
        <v>367.13130000000001</v>
      </c>
      <c r="M1556">
        <v>0.99985619999999997</v>
      </c>
      <c r="N1556">
        <v>0</v>
      </c>
      <c r="O1556">
        <v>-1.127775E-2</v>
      </c>
      <c r="P1556">
        <v>0.98035159999999999</v>
      </c>
      <c r="Q1556">
        <v>0.16691689999999901</v>
      </c>
      <c r="R1556">
        <v>-0.1051174</v>
      </c>
      <c r="S1556">
        <v>2.990494</v>
      </c>
      <c r="T1556">
        <v>-0.18494920000000001</v>
      </c>
      <c r="U1556">
        <v>-0.95565800000000001</v>
      </c>
      <c r="V1556">
        <v>9.4120759999999998E-2</v>
      </c>
      <c r="W1556">
        <v>0.1792957</v>
      </c>
      <c r="X1556">
        <v>0.9792826</v>
      </c>
      <c r="Y1556">
        <v>0.2931491</v>
      </c>
      <c r="Z1556">
        <v>-8.1571639999999997E-3</v>
      </c>
      <c r="AA1556">
        <v>0.95603199999999999</v>
      </c>
      <c r="AB1556">
        <v>28</v>
      </c>
      <c r="AC1556">
        <v>17.811399999999999</v>
      </c>
      <c r="AD1556">
        <v>-1.1101263081520001</v>
      </c>
      <c r="AE1556">
        <v>-5.7346000000000004</v>
      </c>
      <c r="AF1556">
        <v>5.51393885709121</v>
      </c>
      <c r="AG1556">
        <v>-1.1101263081520001</v>
      </c>
      <c r="AH1556">
        <v>17.812250751090399</v>
      </c>
      <c r="AI1556">
        <v>93.407163337280394</v>
      </c>
      <c r="AJ1556">
        <v>72.799629594368398</v>
      </c>
      <c r="AK1556">
        <v>18.679191068124702</v>
      </c>
      <c r="AL1556">
        <v>79.671261378443802</v>
      </c>
      <c r="AM1556">
        <v>84.510053951393701</v>
      </c>
      <c r="AN1556">
        <v>1.0000000380821099</v>
      </c>
    </row>
    <row r="1557" spans="1:40" x14ac:dyDescent="0.25">
      <c r="A1557" t="str">
        <f>"20190312172115159"</f>
        <v>20190312172115159</v>
      </c>
      <c r="B1557" t="str">
        <f>"1552382475152343"</f>
        <v>1552382475152343</v>
      </c>
      <c r="C1557" t="s">
        <v>40</v>
      </c>
      <c r="D1557">
        <v>3.3936769999999998</v>
      </c>
      <c r="E1557">
        <v>0.57944700000000005</v>
      </c>
      <c r="F1557" t="s">
        <v>44</v>
      </c>
      <c r="G1557">
        <v>-200.197</v>
      </c>
      <c r="H1557" s="1">
        <v>-2.295191E-6</v>
      </c>
      <c r="I1557">
        <v>361.40809999999999</v>
      </c>
      <c r="J1557">
        <v>-217.88640000000001</v>
      </c>
      <c r="K1557">
        <v>1.110106</v>
      </c>
      <c r="L1557">
        <v>367.12959999999998</v>
      </c>
      <c r="M1557">
        <v>0.99985500000000005</v>
      </c>
      <c r="N1557">
        <v>0</v>
      </c>
      <c r="O1557">
        <v>-1.1383229999999999E-2</v>
      </c>
      <c r="P1557">
        <v>0.98015870000000005</v>
      </c>
      <c r="Q1557">
        <v>0.16676050000000001</v>
      </c>
      <c r="R1557">
        <v>-0.1071443</v>
      </c>
      <c r="S1557">
        <v>2.9889220000000001</v>
      </c>
      <c r="T1557">
        <v>-0.18611520000000001</v>
      </c>
      <c r="U1557">
        <v>-0.9595032</v>
      </c>
      <c r="V1557">
        <v>9.6052189999999996E-2</v>
      </c>
      <c r="W1557">
        <v>0.17913389999999901</v>
      </c>
      <c r="X1557">
        <v>0.97912460000000001</v>
      </c>
      <c r="Y1557">
        <v>0.29430099999999998</v>
      </c>
      <c r="Z1557">
        <v>-8.2395960000000001E-3</v>
      </c>
      <c r="AA1557">
        <v>0.95567729999999995</v>
      </c>
      <c r="AB1557">
        <v>28</v>
      </c>
      <c r="AC1557">
        <v>17.689399999999999</v>
      </c>
      <c r="AD1557">
        <v>-1.110108295191</v>
      </c>
      <c r="AE1557">
        <v>-5.72149999999999</v>
      </c>
      <c r="AF1557">
        <v>5.5001410380026599</v>
      </c>
      <c r="AG1557">
        <v>-1.110108295191</v>
      </c>
      <c r="AH1557">
        <v>17.690317149565601</v>
      </c>
      <c r="AI1557">
        <v>93.429225522532704</v>
      </c>
      <c r="AJ1557">
        <v>72.728876652530403</v>
      </c>
      <c r="AK1557">
        <v>18.558858066087701</v>
      </c>
      <c r="AL1557">
        <v>79.680683786413397</v>
      </c>
      <c r="AM1557">
        <v>84.397207286779803</v>
      </c>
      <c r="AN1557">
        <v>0.99999997982908195</v>
      </c>
    </row>
    <row r="1558" spans="1:40" x14ac:dyDescent="0.25">
      <c r="A1558" t="str">
        <f>"20190312172115169"</f>
        <v>20190312172115169</v>
      </c>
      <c r="B1558" t="str">
        <f>"1552382475162104"</f>
        <v>1552382475162104</v>
      </c>
      <c r="C1558" t="s">
        <v>40</v>
      </c>
      <c r="D1558">
        <v>3.405948</v>
      </c>
      <c r="E1558">
        <v>0.57910450000000002</v>
      </c>
      <c r="F1558" t="s">
        <v>44</v>
      </c>
      <c r="G1558">
        <v>-200.2063</v>
      </c>
      <c r="H1558" s="1">
        <v>-2.293586E-6</v>
      </c>
      <c r="I1558">
        <v>361.43490000000003</v>
      </c>
      <c r="J1558">
        <v>-217.7482</v>
      </c>
      <c r="K1558">
        <v>1.1100909999999999</v>
      </c>
      <c r="L1558">
        <v>367.12790000000001</v>
      </c>
      <c r="M1558">
        <v>0.99985369999999996</v>
      </c>
      <c r="N1558">
        <v>0</v>
      </c>
      <c r="O1558">
        <v>-1.1505049999999999E-2</v>
      </c>
      <c r="P1558">
        <v>0.97995089999999996</v>
      </c>
      <c r="Q1558">
        <v>0.16667190000000001</v>
      </c>
      <c r="R1558">
        <v>-0.1091641</v>
      </c>
      <c r="S1558">
        <v>2.987457</v>
      </c>
      <c r="T1558">
        <v>-0.18757779999999999</v>
      </c>
      <c r="U1558">
        <v>-0.96224980000000004</v>
      </c>
      <c r="V1558">
        <v>9.7961030000000004E-2</v>
      </c>
      <c r="W1558">
        <v>0.17903959999999999</v>
      </c>
      <c r="X1558">
        <v>0.97895279999999996</v>
      </c>
      <c r="Y1558">
        <v>0.29510769999999997</v>
      </c>
      <c r="Z1558">
        <v>-8.3241979999999997E-3</v>
      </c>
      <c r="AA1558">
        <v>0.95542769999999999</v>
      </c>
      <c r="AB1558">
        <v>28</v>
      </c>
      <c r="AC1558">
        <v>17.541899999999998</v>
      </c>
      <c r="AD1558">
        <v>-1.110093293586</v>
      </c>
      <c r="AE1558">
        <v>-5.6929999999999801</v>
      </c>
      <c r="AF1558">
        <v>5.4709648888296503</v>
      </c>
      <c r="AG1558">
        <v>-1.110093293586</v>
      </c>
      <c r="AH1558">
        <v>17.5426840398606</v>
      </c>
      <c r="AI1558">
        <v>93.457034896074205</v>
      </c>
      <c r="AJ1558">
        <v>72.679080443891706</v>
      </c>
      <c r="AK1558">
        <v>18.409495573145101</v>
      </c>
      <c r="AL1558">
        <v>79.686176431760799</v>
      </c>
      <c r="AM1558">
        <v>84.285596797593001</v>
      </c>
      <c r="AN1558">
        <v>1.00000006319732</v>
      </c>
    </row>
    <row r="1559" spans="1:40" x14ac:dyDescent="0.25">
      <c r="A1559" t="str">
        <f>"20190312172115181"</f>
        <v>20190312172115181</v>
      </c>
      <c r="B1559" t="str">
        <f>"1552382475172839"</f>
        <v>1552382475172839</v>
      </c>
      <c r="C1559" t="s">
        <v>40</v>
      </c>
      <c r="D1559">
        <v>3.4012129999999998</v>
      </c>
      <c r="E1559">
        <v>0.57910450000000002</v>
      </c>
      <c r="F1559" t="s">
        <v>44</v>
      </c>
      <c r="G1559">
        <v>-200.19669999999999</v>
      </c>
      <c r="H1559" s="1">
        <v>-2.2834929999999998E-6</v>
      </c>
      <c r="I1559">
        <v>361.45139999999998</v>
      </c>
      <c r="J1559">
        <v>-217.61689999999999</v>
      </c>
      <c r="K1559">
        <v>1.1100760000000001</v>
      </c>
      <c r="L1559">
        <v>367.12630000000001</v>
      </c>
      <c r="M1559">
        <v>0.99985250000000003</v>
      </c>
      <c r="N1559">
        <v>0</v>
      </c>
      <c r="O1559">
        <v>-1.162317E-2</v>
      </c>
      <c r="P1559">
        <v>0.97971209999999997</v>
      </c>
      <c r="Q1559">
        <v>0.16684779999999999</v>
      </c>
      <c r="R1559">
        <v>-0.11102480000000001</v>
      </c>
      <c r="S1559">
        <v>2.985916</v>
      </c>
      <c r="T1559">
        <v>-0.18885199999999999</v>
      </c>
      <c r="U1559">
        <v>-0.96569819999999995</v>
      </c>
      <c r="V1559">
        <v>9.9714499999999998E-2</v>
      </c>
      <c r="W1559">
        <v>0.1792089</v>
      </c>
      <c r="X1559">
        <v>0.97874470000000002</v>
      </c>
      <c r="Y1559">
        <v>0.29612909999999998</v>
      </c>
      <c r="Z1559">
        <v>-8.4074960000000004E-3</v>
      </c>
      <c r="AA1559">
        <v>0.95511089999999998</v>
      </c>
      <c r="AB1559">
        <v>28</v>
      </c>
      <c r="AC1559">
        <v>17.420199999999902</v>
      </c>
      <c r="AD1559">
        <v>-1.1100782834929901</v>
      </c>
      <c r="AE1559">
        <v>-5.6749000000000303</v>
      </c>
      <c r="AF1559">
        <v>5.45200753555691</v>
      </c>
      <c r="AG1559">
        <v>-1.1100782834929901</v>
      </c>
      <c r="AH1559">
        <v>17.4210341141067</v>
      </c>
      <c r="AI1559">
        <v>93.479992301453095</v>
      </c>
      <c r="AJ1559">
        <v>72.622204841154399</v>
      </c>
      <c r="AK1559">
        <v>18.287949299145701</v>
      </c>
      <c r="AL1559">
        <v>79.676316127488107</v>
      </c>
      <c r="AM1559">
        <v>84.182777845197606</v>
      </c>
      <c r="AN1559">
        <v>0.99999999956377505</v>
      </c>
    </row>
    <row r="1560" spans="1:40" x14ac:dyDescent="0.25">
      <c r="A1560" t="str">
        <f>"20190312172115190"</f>
        <v>20190312172115190</v>
      </c>
      <c r="B1560" t="str">
        <f>"1552382475182130"</f>
        <v>1552382475182130</v>
      </c>
      <c r="C1560" t="s">
        <v>40</v>
      </c>
      <c r="D1560">
        <v>3.3906149999999999</v>
      </c>
      <c r="E1560">
        <v>0.57240749999999996</v>
      </c>
      <c r="F1560" t="s">
        <v>44</v>
      </c>
      <c r="G1560">
        <v>-200.02</v>
      </c>
      <c r="H1560" s="1">
        <v>-2.1932710000000001E-6</v>
      </c>
      <c r="I1560">
        <v>361.39749999999998</v>
      </c>
      <c r="J1560">
        <v>-217.48699999999999</v>
      </c>
      <c r="K1560">
        <v>1.110058</v>
      </c>
      <c r="L1560">
        <v>367.12459999999999</v>
      </c>
      <c r="M1560">
        <v>0.99985069999999998</v>
      </c>
      <c r="N1560">
        <v>0</v>
      </c>
      <c r="O1560">
        <v>-1.175645E-2</v>
      </c>
      <c r="P1560">
        <v>0.97957550000000004</v>
      </c>
      <c r="Q1560">
        <v>0.16658619999999999</v>
      </c>
      <c r="R1560">
        <v>-0.1126098</v>
      </c>
      <c r="S1560">
        <v>2.9841000000000002</v>
      </c>
      <c r="T1560">
        <v>-0.18824840000000001</v>
      </c>
      <c r="U1560">
        <v>-0.97149660000000004</v>
      </c>
      <c r="V1560">
        <v>0.10117669999999999</v>
      </c>
      <c r="W1560">
        <v>0.17894199999999999</v>
      </c>
      <c r="X1560">
        <v>0.9786435</v>
      </c>
      <c r="Y1560">
        <v>0.29785060000000002</v>
      </c>
      <c r="Z1560">
        <v>-8.4277789999999998E-3</v>
      </c>
      <c r="AA1560">
        <v>0.95457530000000002</v>
      </c>
      <c r="AB1560">
        <v>28</v>
      </c>
      <c r="AC1560">
        <v>17.466999999999899</v>
      </c>
      <c r="AD1560">
        <v>-1.1100601932709999</v>
      </c>
      <c r="AE1560">
        <v>-5.7271000000000001</v>
      </c>
      <c r="AF1560">
        <v>5.50127578332404</v>
      </c>
      <c r="AG1560">
        <v>-1.1100601932709999</v>
      </c>
      <c r="AH1560">
        <v>17.4694211903515</v>
      </c>
      <c r="AI1560">
        <v>93.468388577691698</v>
      </c>
      <c r="AJ1560">
        <v>72.5203225537457</v>
      </c>
      <c r="AK1560">
        <v>18.348758693785602</v>
      </c>
      <c r="AL1560">
        <v>79.691859964843303</v>
      </c>
      <c r="AM1560">
        <v>84.097466714480703</v>
      </c>
      <c r="AN1560">
        <v>1.0000000320395599</v>
      </c>
    </row>
    <row r="1561" spans="1:40" x14ac:dyDescent="0.25">
      <c r="A1561" t="str">
        <f>"20190312172115202"</f>
        <v>20190312172115202</v>
      </c>
      <c r="B1561" t="str">
        <f>"1552382475192866"</f>
        <v>1552382475192866</v>
      </c>
      <c r="C1561" t="s">
        <v>40</v>
      </c>
      <c r="D1561">
        <v>3.3671229999999999</v>
      </c>
      <c r="E1561">
        <v>0.57256180000000001</v>
      </c>
      <c r="F1561" t="s">
        <v>44</v>
      </c>
      <c r="G1561">
        <v>-200.84970000000001</v>
      </c>
      <c r="H1561" s="1">
        <v>-2.5269119999999998E-6</v>
      </c>
      <c r="I1561">
        <v>361.98939999999999</v>
      </c>
      <c r="J1561">
        <v>-217.3527</v>
      </c>
      <c r="K1561">
        <v>1.110042</v>
      </c>
      <c r="L1561">
        <v>367.12290000000002</v>
      </c>
      <c r="M1561">
        <v>0.99984910000000005</v>
      </c>
      <c r="N1561">
        <v>0</v>
      </c>
      <c r="O1561">
        <v>-1.1897720000000001E-2</v>
      </c>
      <c r="P1561">
        <v>0.97938230000000004</v>
      </c>
      <c r="Q1561">
        <v>0.1666521</v>
      </c>
      <c r="R1561">
        <v>-0.114181</v>
      </c>
      <c r="S1561">
        <v>2.9903870000000001</v>
      </c>
      <c r="T1561">
        <v>-0.19952230000000001</v>
      </c>
      <c r="U1561">
        <v>-0.92300420000000005</v>
      </c>
      <c r="V1561">
        <v>0.1026185</v>
      </c>
      <c r="W1561">
        <v>0.1790011</v>
      </c>
      <c r="X1561">
        <v>0.97848250000000003</v>
      </c>
      <c r="Y1561">
        <v>0.28298780000000001</v>
      </c>
      <c r="Z1561">
        <v>-8.4416690000000006E-3</v>
      </c>
      <c r="AA1561">
        <v>0.95908640000000001</v>
      </c>
      <c r="AB1561">
        <v>28</v>
      </c>
      <c r="AC1561">
        <v>16.502999999999901</v>
      </c>
      <c r="AD1561">
        <v>-1.1100445269120001</v>
      </c>
      <c r="AE1561">
        <v>-5.1335000000000202</v>
      </c>
      <c r="AF1561">
        <v>4.9164913736703904</v>
      </c>
      <c r="AG1561">
        <v>-1.1100445269120001</v>
      </c>
      <c r="AH1561">
        <v>16.4948692569005</v>
      </c>
      <c r="AI1561">
        <v>93.690038623665302</v>
      </c>
      <c r="AJ1561">
        <v>73.402688356060494</v>
      </c>
      <c r="AK1561">
        <v>17.247747623424399</v>
      </c>
      <c r="AL1561">
        <v>79.688417636562406</v>
      </c>
      <c r="AM1561">
        <v>84.012982454450295</v>
      </c>
      <c r="AN1561">
        <v>0.99999997657485395</v>
      </c>
    </row>
    <row r="1562" spans="1:40" x14ac:dyDescent="0.25">
      <c r="A1562" t="str">
        <f>"20190312172115214"</f>
        <v>20190312172115214</v>
      </c>
      <c r="B1562" t="str">
        <f>"1552382475202627"</f>
        <v>1552382475202627</v>
      </c>
      <c r="C1562" t="s">
        <v>40</v>
      </c>
      <c r="D1562">
        <v>3.3530839999999902</v>
      </c>
      <c r="E1562">
        <v>0.57260880000000003</v>
      </c>
      <c r="F1562" t="s">
        <v>44</v>
      </c>
      <c r="G1562">
        <v>-200.83600000000001</v>
      </c>
      <c r="H1562" s="1">
        <v>-2.518903E-6</v>
      </c>
      <c r="I1562">
        <v>361.98880000000003</v>
      </c>
      <c r="J1562">
        <v>-217.1986</v>
      </c>
      <c r="K1562">
        <v>1.110025</v>
      </c>
      <c r="L1562">
        <v>367.12079999999997</v>
      </c>
      <c r="M1562">
        <v>0.99984689999999998</v>
      </c>
      <c r="N1562">
        <v>0</v>
      </c>
      <c r="O1562">
        <v>-1.207682E-2</v>
      </c>
      <c r="P1562">
        <v>0.97917880000000002</v>
      </c>
      <c r="Q1562">
        <v>0.166721799999999</v>
      </c>
      <c r="R1562">
        <v>-0.11581279999999999</v>
      </c>
      <c r="S1562">
        <v>2.9890289999999999</v>
      </c>
      <c r="T1562">
        <v>-0.20088429999999999</v>
      </c>
      <c r="U1562">
        <v>-0.92910769999999998</v>
      </c>
      <c r="V1562">
        <v>0.1040847</v>
      </c>
      <c r="W1562">
        <v>0.179064</v>
      </c>
      <c r="X1562">
        <v>0.97831610000000002</v>
      </c>
      <c r="Y1562">
        <v>0.28471449999999998</v>
      </c>
      <c r="Z1562">
        <v>-8.5452480000000001E-3</v>
      </c>
      <c r="AA1562">
        <v>0.95857429999999999</v>
      </c>
      <c r="AB1562">
        <v>28</v>
      </c>
      <c r="AC1562">
        <v>16.3626</v>
      </c>
      <c r="AD1562">
        <v>-1.110027518903</v>
      </c>
      <c r="AE1562">
        <v>-5.1319999999999402</v>
      </c>
      <c r="AF1562">
        <v>4.9134144688946</v>
      </c>
      <c r="AG1562">
        <v>-1.110027518903</v>
      </c>
      <c r="AH1562">
        <v>16.354862916174</v>
      </c>
      <c r="AI1562">
        <v>93.7190739545253</v>
      </c>
      <c r="AJ1562">
        <v>73.278402931716897</v>
      </c>
      <c r="AK1562">
        <v>17.1130167954896</v>
      </c>
      <c r="AL1562">
        <v>79.684754439728096</v>
      </c>
      <c r="AM1562">
        <v>83.9270502465872</v>
      </c>
      <c r="AN1562">
        <v>0.99999996619464904</v>
      </c>
    </row>
    <row r="1563" spans="1:40" x14ac:dyDescent="0.25">
      <c r="A1563" t="str">
        <f>"20190312172115226"</f>
        <v>20190312172115226</v>
      </c>
      <c r="B1563" t="str">
        <f>"1552382475222146"</f>
        <v>1552382475222146</v>
      </c>
      <c r="C1563" t="s">
        <v>40</v>
      </c>
      <c r="D1563">
        <v>3.3408839999999902</v>
      </c>
      <c r="E1563">
        <v>0.57215899999999997</v>
      </c>
      <c r="F1563" t="s">
        <v>44</v>
      </c>
      <c r="G1563">
        <v>-200.8366</v>
      </c>
      <c r="H1563" s="1">
        <v>-2.5155790000000002E-6</v>
      </c>
      <c r="I1563">
        <v>362.0027</v>
      </c>
      <c r="J1563">
        <v>-217.0558</v>
      </c>
      <c r="K1563">
        <v>1.1100080000000001</v>
      </c>
      <c r="L1563">
        <v>367.1189</v>
      </c>
      <c r="M1563">
        <v>0.99984479999999998</v>
      </c>
      <c r="N1563">
        <v>0</v>
      </c>
      <c r="O1563">
        <v>-1.2252559999999999E-2</v>
      </c>
      <c r="P1563">
        <v>0.97893289999999999</v>
      </c>
      <c r="Q1563">
        <v>0.16703899999999999</v>
      </c>
      <c r="R1563">
        <v>-0.1174249</v>
      </c>
      <c r="S1563">
        <v>2.9877929999999999</v>
      </c>
      <c r="T1563">
        <v>-0.20269690000000001</v>
      </c>
      <c r="U1563">
        <v>-0.93460080000000001</v>
      </c>
      <c r="V1563">
        <v>0.1055347</v>
      </c>
      <c r="W1563">
        <v>0.17937359999999999</v>
      </c>
      <c r="X1563">
        <v>0.97810410000000003</v>
      </c>
      <c r="Y1563">
        <v>0.28625109999999998</v>
      </c>
      <c r="Z1563">
        <v>-8.6625190000000005E-3</v>
      </c>
      <c r="AA1563">
        <v>0.95811550000000001</v>
      </c>
      <c r="AB1563">
        <v>28</v>
      </c>
      <c r="AC1563">
        <v>16.219200000000001</v>
      </c>
      <c r="AD1563">
        <v>-1.1100105155790001</v>
      </c>
      <c r="AE1563">
        <v>-5.1161999999999903</v>
      </c>
      <c r="AF1563">
        <v>4.8962158763146597</v>
      </c>
      <c r="AG1563">
        <v>-1.1100105155790001</v>
      </c>
      <c r="AH1563">
        <v>16.211614098225901</v>
      </c>
      <c r="AI1563">
        <v>93.750139416699696</v>
      </c>
      <c r="AJ1563">
        <v>73.194684935397405</v>
      </c>
      <c r="AK1563">
        <v>16.971195742256</v>
      </c>
      <c r="AL1563">
        <v>79.666724567120994</v>
      </c>
      <c r="AM1563">
        <v>83.841769353355303</v>
      </c>
      <c r="AN1563">
        <v>1.00000004585892</v>
      </c>
    </row>
    <row r="1564" spans="1:40" x14ac:dyDescent="0.25">
      <c r="A1564" t="str">
        <f>"20190312172115237"</f>
        <v>20190312172115237</v>
      </c>
      <c r="B1564" t="str">
        <f>"1552382475232882"</f>
        <v>1552382475232882</v>
      </c>
      <c r="C1564" t="s">
        <v>40</v>
      </c>
      <c r="D1564">
        <v>3.3196880000000002</v>
      </c>
      <c r="E1564">
        <v>0.57193430000000001</v>
      </c>
      <c r="F1564" t="s">
        <v>44</v>
      </c>
      <c r="G1564">
        <v>-200.70609999999999</v>
      </c>
      <c r="H1564" s="1">
        <v>-2.440119E-6</v>
      </c>
      <c r="I1564">
        <v>361.99590000000001</v>
      </c>
      <c r="J1564">
        <v>-216.90520000000001</v>
      </c>
      <c r="K1564">
        <v>1.109993</v>
      </c>
      <c r="L1564">
        <v>367.11689999999999</v>
      </c>
      <c r="M1564">
        <v>0.99984220000000001</v>
      </c>
      <c r="N1564">
        <v>0</v>
      </c>
      <c r="O1564">
        <v>-1.2447980000000001E-2</v>
      </c>
      <c r="P1564">
        <v>0.97875509999999999</v>
      </c>
      <c r="Q1564">
        <v>0.1670634</v>
      </c>
      <c r="R1564">
        <v>-0.11886149999999999</v>
      </c>
      <c r="S1564">
        <v>2.9869080000000001</v>
      </c>
      <c r="T1564">
        <v>-0.20278660000000001</v>
      </c>
      <c r="U1564">
        <v>-0.93591310000000005</v>
      </c>
      <c r="V1564">
        <v>0.1067896</v>
      </c>
      <c r="W1564">
        <v>0.17939089999999999</v>
      </c>
      <c r="X1564">
        <v>0.97796459999999996</v>
      </c>
      <c r="Y1564">
        <v>0.28652719999999998</v>
      </c>
      <c r="Z1564">
        <v>-8.6644510000000001E-3</v>
      </c>
      <c r="AA1564">
        <v>0.95803289999999997</v>
      </c>
      <c r="AB1564">
        <v>28</v>
      </c>
      <c r="AC1564">
        <v>16.199100000000001</v>
      </c>
      <c r="AD1564">
        <v>-1.109995440119</v>
      </c>
      <c r="AE1564">
        <v>-5.12099999999998</v>
      </c>
      <c r="AF1564">
        <v>4.8980328064791196</v>
      </c>
      <c r="AG1564">
        <v>-1.109995440119</v>
      </c>
      <c r="AH1564">
        <v>16.1924755832889</v>
      </c>
      <c r="AI1564">
        <v>93.7540219036037</v>
      </c>
      <c r="AJ1564">
        <v>73.170053384538704</v>
      </c>
      <c r="AK1564">
        <v>16.9534386118521</v>
      </c>
      <c r="AL1564">
        <v>79.665715861955107</v>
      </c>
      <c r="AM1564">
        <v>83.7682334324615</v>
      </c>
      <c r="AN1564">
        <v>0.99999993626206196</v>
      </c>
    </row>
    <row r="1565" spans="1:40" x14ac:dyDescent="0.25">
      <c r="A1565" t="str">
        <f>"20190312172115248"</f>
        <v>20190312172115248</v>
      </c>
      <c r="B1565" t="str">
        <f>"1552382475242642"</f>
        <v>1552382475242642</v>
      </c>
      <c r="C1565" t="s">
        <v>40</v>
      </c>
      <c r="D1565">
        <v>3.301091</v>
      </c>
      <c r="E1565">
        <v>0.57180059999999999</v>
      </c>
      <c r="F1565" t="s">
        <v>44</v>
      </c>
      <c r="G1565">
        <v>-200.42570000000001</v>
      </c>
      <c r="H1565" s="1">
        <v>-2.2904609999999999E-6</v>
      </c>
      <c r="I1565">
        <v>361.93470000000002</v>
      </c>
      <c r="J1565">
        <v>-216.77420000000001</v>
      </c>
      <c r="K1565">
        <v>1.1099760000000001</v>
      </c>
      <c r="L1565">
        <v>367.11509999999998</v>
      </c>
      <c r="M1565">
        <v>0.99983999999999995</v>
      </c>
      <c r="N1565">
        <v>0</v>
      </c>
      <c r="O1565">
        <v>-1.2633109999999999E-2</v>
      </c>
      <c r="P1565">
        <v>0.97854909999999995</v>
      </c>
      <c r="Q1565">
        <v>0.1670355</v>
      </c>
      <c r="R1565">
        <v>-0.1205864</v>
      </c>
      <c r="S1565">
        <v>2.9854430000000001</v>
      </c>
      <c r="T1565">
        <v>-0.20108819999999999</v>
      </c>
      <c r="U1565">
        <v>-0.93881230000000004</v>
      </c>
      <c r="V1565">
        <v>0.1083421</v>
      </c>
      <c r="W1565">
        <v>0.17935670000000001</v>
      </c>
      <c r="X1565">
        <v>0.97780020000000001</v>
      </c>
      <c r="Y1565">
        <v>0.2873386</v>
      </c>
      <c r="Z1565">
        <v>-8.60934E-3</v>
      </c>
      <c r="AA1565">
        <v>0.95779040000000004</v>
      </c>
      <c r="AB1565">
        <v>28</v>
      </c>
      <c r="AC1565">
        <v>16.348500000000001</v>
      </c>
      <c r="AD1565">
        <v>-1.1099782904610001</v>
      </c>
      <c r="AE1565">
        <v>-5.1803999999999597</v>
      </c>
      <c r="AF1565">
        <v>4.9526903291696804</v>
      </c>
      <c r="AG1565">
        <v>-1.1099782904610001</v>
      </c>
      <c r="AH1565">
        <v>16.3441778251653</v>
      </c>
      <c r="AI1565">
        <v>93.718667204164404</v>
      </c>
      <c r="AJ1565">
        <v>73.141892864429195</v>
      </c>
      <c r="AK1565">
        <v>17.114126974011</v>
      </c>
      <c r="AL1565">
        <v>79.667708701899898</v>
      </c>
      <c r="AM1565">
        <v>83.677310440944495</v>
      </c>
      <c r="AN1565">
        <v>1.0000000337936601</v>
      </c>
    </row>
    <row r="1566" spans="1:40" x14ac:dyDescent="0.25">
      <c r="A1566" t="str">
        <f>"20190312172115260"</f>
        <v>20190312172115260</v>
      </c>
      <c r="B1566" t="str">
        <f>"1552382475252402"</f>
        <v>1552382475252402</v>
      </c>
      <c r="C1566" t="s">
        <v>40</v>
      </c>
      <c r="D1566">
        <v>3.2901750000000001</v>
      </c>
      <c r="E1566">
        <v>0.571573</v>
      </c>
      <c r="F1566" t="s">
        <v>44</v>
      </c>
      <c r="G1566">
        <v>-200.20140000000001</v>
      </c>
      <c r="H1566" s="1">
        <v>-2.1728140000000001E-6</v>
      </c>
      <c r="I1566">
        <v>361.87790000000001</v>
      </c>
      <c r="J1566">
        <v>-216.6319</v>
      </c>
      <c r="K1566">
        <v>1.109961</v>
      </c>
      <c r="L1566">
        <v>367.113</v>
      </c>
      <c r="M1566">
        <v>0.99983750000000005</v>
      </c>
      <c r="N1566">
        <v>0</v>
      </c>
      <c r="O1566">
        <v>-1.283842E-2</v>
      </c>
      <c r="P1566">
        <v>0.97829189999999999</v>
      </c>
      <c r="Q1566">
        <v>0.16740189999999999</v>
      </c>
      <c r="R1566">
        <v>-0.1221537</v>
      </c>
      <c r="S1566">
        <v>2.983673</v>
      </c>
      <c r="T1566">
        <v>-0.19983380000000001</v>
      </c>
      <c r="U1566">
        <v>-0.94287109999999996</v>
      </c>
      <c r="V1566">
        <v>0.10971880000000001</v>
      </c>
      <c r="W1566">
        <v>0.17971509999999999</v>
      </c>
      <c r="X1566">
        <v>0.97758080000000003</v>
      </c>
      <c r="Y1566">
        <v>0.28849419999999998</v>
      </c>
      <c r="Z1566">
        <v>-8.5832129999999993E-3</v>
      </c>
      <c r="AA1566">
        <v>0.95744320000000005</v>
      </c>
      <c r="AB1566">
        <v>28</v>
      </c>
      <c r="AC1566">
        <v>16.430499999999899</v>
      </c>
      <c r="AD1566">
        <v>-1.109963172814</v>
      </c>
      <c r="AE1566">
        <v>-5.2351000000000401</v>
      </c>
      <c r="AF1566">
        <v>5.0029821591263399</v>
      </c>
      <c r="AG1566">
        <v>-1.109963172814</v>
      </c>
      <c r="AH1566">
        <v>16.4282976655158</v>
      </c>
      <c r="AI1566">
        <v>93.698080122190404</v>
      </c>
      <c r="AJ1566">
        <v>73.062702549914903</v>
      </c>
      <c r="AK1566">
        <v>17.209032887304598</v>
      </c>
      <c r="AL1566">
        <v>79.646834121722193</v>
      </c>
      <c r="AM1566">
        <v>83.596206234789307</v>
      </c>
      <c r="AN1566">
        <v>0.99999997638504401</v>
      </c>
    </row>
    <row r="1567" spans="1:40" x14ac:dyDescent="0.25">
      <c r="A1567" t="str">
        <f>"20190312172115272"</f>
        <v>20190312172115272</v>
      </c>
      <c r="B1567" t="str">
        <f>"1552382475262163"</f>
        <v>1552382475262163</v>
      </c>
      <c r="C1567" t="s">
        <v>40</v>
      </c>
      <c r="D1567">
        <v>3.2678370000000001</v>
      </c>
      <c r="E1567">
        <v>0.5714226</v>
      </c>
      <c r="F1567" t="s">
        <v>44</v>
      </c>
      <c r="G1567">
        <v>-199.96639999999999</v>
      </c>
      <c r="H1567" s="1">
        <v>-1.002789E-5</v>
      </c>
      <c r="I1567">
        <v>361.82670000000002</v>
      </c>
      <c r="J1567">
        <v>-216.47370000000001</v>
      </c>
      <c r="K1567">
        <v>1.1099429999999999</v>
      </c>
      <c r="L1567">
        <v>367.11070000000001</v>
      </c>
      <c r="M1567">
        <v>0.99983409999999995</v>
      </c>
      <c r="N1567">
        <v>0</v>
      </c>
      <c r="O1567">
        <v>-1.308989E-2</v>
      </c>
      <c r="P1567">
        <v>0.97806470000000001</v>
      </c>
      <c r="Q1567">
        <v>0.16743420000000001</v>
      </c>
      <c r="R1567">
        <v>-0.123917</v>
      </c>
      <c r="S1567">
        <v>2.9824519999999999</v>
      </c>
      <c r="T1567">
        <v>-0.19864009999999999</v>
      </c>
      <c r="U1567">
        <v>-0.94604489999999997</v>
      </c>
      <c r="V1567">
        <v>0.1112467</v>
      </c>
      <c r="W1567">
        <v>0.17973900000000001</v>
      </c>
      <c r="X1567">
        <v>0.97740380000000004</v>
      </c>
      <c r="Y1567">
        <v>0.28929729999999998</v>
      </c>
      <c r="Z1567">
        <v>-8.5438019999999996E-3</v>
      </c>
      <c r="AA1567">
        <v>0.95720119999999997</v>
      </c>
      <c r="AB1567">
        <v>28</v>
      </c>
      <c r="AC1567">
        <v>16.507300000000001</v>
      </c>
      <c r="AD1567">
        <v>-1.1099530278899901</v>
      </c>
      <c r="AE1567">
        <v>-5.28399999999999</v>
      </c>
      <c r="AF1567">
        <v>5.0467542692932703</v>
      </c>
      <c r="AG1567">
        <v>-1.1099530278899901</v>
      </c>
      <c r="AH1567">
        <v>16.507360905589199</v>
      </c>
      <c r="AI1567">
        <v>93.679161004871006</v>
      </c>
      <c r="AJ1567">
        <v>73.000166423004799</v>
      </c>
      <c r="AK1567">
        <v>17.297245111465799</v>
      </c>
      <c r="AL1567">
        <v>79.645442984973798</v>
      </c>
      <c r="AM1567">
        <v>83.506620116912799</v>
      </c>
      <c r="AN1567">
        <v>1.00000006231816</v>
      </c>
    </row>
    <row r="1568" spans="1:40" x14ac:dyDescent="0.25">
      <c r="A1568" t="str">
        <f>"20190312172115285"</f>
        <v>20190312172115285</v>
      </c>
      <c r="B1568" t="str">
        <f>"1552382475282190"</f>
        <v>1552382475282190</v>
      </c>
      <c r="C1568" t="s">
        <v>40</v>
      </c>
      <c r="D1568">
        <v>3.250219</v>
      </c>
      <c r="E1568">
        <v>0.57114619999999905</v>
      </c>
      <c r="F1568" t="s">
        <v>44</v>
      </c>
      <c r="G1568">
        <v>-199.78460000000001</v>
      </c>
      <c r="H1568" s="1">
        <v>-9.9669939999999999E-6</v>
      </c>
      <c r="I1568">
        <v>361.79039999999998</v>
      </c>
      <c r="J1568">
        <v>-216.31630000000001</v>
      </c>
      <c r="K1568">
        <v>1.1099250000000001</v>
      </c>
      <c r="L1568">
        <v>367.10840000000002</v>
      </c>
      <c r="M1568">
        <v>0.99983080000000002</v>
      </c>
      <c r="N1568">
        <v>0</v>
      </c>
      <c r="O1568">
        <v>-1.335019E-2</v>
      </c>
      <c r="P1568">
        <v>0.97779570000000005</v>
      </c>
      <c r="Q1568">
        <v>0.16763039999999901</v>
      </c>
      <c r="R1568">
        <v>-0.12576270000000001</v>
      </c>
      <c r="S1568">
        <v>2.9808349999999999</v>
      </c>
      <c r="T1568">
        <v>-0.1982476</v>
      </c>
      <c r="U1568">
        <v>-0.95025630000000005</v>
      </c>
      <c r="V1568">
        <v>0.1128492</v>
      </c>
      <c r="W1568">
        <v>0.17992620000000001</v>
      </c>
      <c r="X1568">
        <v>0.97718550000000004</v>
      </c>
      <c r="Y1568">
        <v>0.29042600000000002</v>
      </c>
      <c r="Z1568">
        <v>-8.5493099999999992E-3</v>
      </c>
      <c r="AA1568">
        <v>0.95685929999999997</v>
      </c>
      <c r="AB1568">
        <v>28</v>
      </c>
      <c r="AC1568">
        <v>16.531700000000001</v>
      </c>
      <c r="AD1568">
        <v>-1.109934966994</v>
      </c>
      <c r="AE1568">
        <v>-5.3180000000000396</v>
      </c>
      <c r="AF1568">
        <v>5.0760710911458897</v>
      </c>
      <c r="AG1568">
        <v>-1.109934966994</v>
      </c>
      <c r="AH1568">
        <v>16.533687907178599</v>
      </c>
      <c r="AI1568">
        <v>93.671939489219099</v>
      </c>
      <c r="AJ1568">
        <v>72.932788871849795</v>
      </c>
      <c r="AK1568">
        <v>17.330934457359898</v>
      </c>
      <c r="AL1568">
        <v>79.634538180283698</v>
      </c>
      <c r="AM1568">
        <v>83.412441129172805</v>
      </c>
      <c r="AN1568">
        <v>0.99999994039866302</v>
      </c>
    </row>
    <row r="1569" spans="1:40" x14ac:dyDescent="0.25">
      <c r="A1569" t="str">
        <f>"20190312172115299"</f>
        <v>20190312172115299</v>
      </c>
      <c r="B1569" t="str">
        <f>"1552382475292926"</f>
        <v>1552382475292926</v>
      </c>
      <c r="C1569" t="s">
        <v>40</v>
      </c>
      <c r="D1569">
        <v>3.225095</v>
      </c>
      <c r="E1569">
        <v>0.57102509999999995</v>
      </c>
      <c r="F1569" t="s">
        <v>44</v>
      </c>
      <c r="G1569">
        <v>-199.81870000000001</v>
      </c>
      <c r="H1569" s="1">
        <v>-9.9743670000000003E-6</v>
      </c>
      <c r="I1569">
        <v>361.82549999999998</v>
      </c>
      <c r="J1569">
        <v>-216.1386</v>
      </c>
      <c r="K1569">
        <v>1.1099049999999999</v>
      </c>
      <c r="L1569">
        <v>367.10570000000001</v>
      </c>
      <c r="M1569">
        <v>0.99982660000000001</v>
      </c>
      <c r="N1569">
        <v>0</v>
      </c>
      <c r="O1569">
        <v>-1.3659050000000001E-2</v>
      </c>
      <c r="P1569">
        <v>0.97734960000000004</v>
      </c>
      <c r="Q1569">
        <v>0.16741629999999999</v>
      </c>
      <c r="R1569">
        <v>-0.1294594</v>
      </c>
      <c r="S1569">
        <v>2.9797820000000002</v>
      </c>
      <c r="T1569">
        <v>-0.20047470000000001</v>
      </c>
      <c r="U1569">
        <v>-0.95419310000000002</v>
      </c>
      <c r="V1569">
        <v>0.1162585</v>
      </c>
      <c r="W1569">
        <v>0.1796982</v>
      </c>
      <c r="X1569">
        <v>0.97682780000000002</v>
      </c>
      <c r="Y1569">
        <v>0.29136119999999999</v>
      </c>
      <c r="Z1569">
        <v>-8.6567989999999997E-3</v>
      </c>
      <c r="AA1569">
        <v>0.95657400000000004</v>
      </c>
      <c r="AB1569">
        <v>28</v>
      </c>
      <c r="AC1569">
        <v>16.319899999999901</v>
      </c>
      <c r="AD1569">
        <v>-1.10991497436699</v>
      </c>
      <c r="AE1569">
        <v>-5.28020000000003</v>
      </c>
      <c r="AF1569">
        <v>5.0356904793281902</v>
      </c>
      <c r="AG1569">
        <v>-1.10991497436699</v>
      </c>
      <c r="AH1569">
        <v>16.322163925631301</v>
      </c>
      <c r="AI1569">
        <v>93.7177571195014</v>
      </c>
      <c r="AJ1569">
        <v>72.854034747022595</v>
      </c>
      <c r="AK1569">
        <v>17.117334052623399</v>
      </c>
      <c r="AL1569">
        <v>79.647818863552402</v>
      </c>
      <c r="AM1569">
        <v>83.212790785184694</v>
      </c>
      <c r="AN1569">
        <v>1.00000001637916</v>
      </c>
    </row>
    <row r="1570" spans="1:40" x14ac:dyDescent="0.25">
      <c r="A1570" t="str">
        <f>"20190312172115312"</f>
        <v>20190312172115312</v>
      </c>
      <c r="B1570" t="str">
        <f>"1552382475302686"</f>
        <v>1552382475302686</v>
      </c>
      <c r="C1570" t="s">
        <v>40</v>
      </c>
      <c r="D1570">
        <v>3.218553</v>
      </c>
      <c r="E1570">
        <v>0.57091000000000003</v>
      </c>
      <c r="F1570" t="s">
        <v>44</v>
      </c>
      <c r="G1570">
        <v>-199.90049999999999</v>
      </c>
      <c r="H1570" s="1">
        <v>-1.000159E-5</v>
      </c>
      <c r="I1570">
        <v>361.84300000000002</v>
      </c>
      <c r="J1570">
        <v>-215.98079999999999</v>
      </c>
      <c r="K1570">
        <v>1.1098840000000001</v>
      </c>
      <c r="L1570">
        <v>367.10320000000002</v>
      </c>
      <c r="M1570">
        <v>0.9998224</v>
      </c>
      <c r="N1570">
        <v>0</v>
      </c>
      <c r="O1570">
        <v>-1.3954859999999999E-2</v>
      </c>
      <c r="P1570">
        <v>0.97703709999999999</v>
      </c>
      <c r="Q1570">
        <v>0.16764660000000001</v>
      </c>
      <c r="R1570">
        <v>-0.1315026</v>
      </c>
      <c r="S1570">
        <v>2.9765929999999998</v>
      </c>
      <c r="T1570">
        <v>-0.20345740000000001</v>
      </c>
      <c r="U1570">
        <v>-0.96469119999999997</v>
      </c>
      <c r="V1570">
        <v>0.1180244</v>
      </c>
      <c r="W1570">
        <v>0.17991860000000001</v>
      </c>
      <c r="X1570">
        <v>0.97657539999999998</v>
      </c>
      <c r="Y1570">
        <v>0.29440729999999998</v>
      </c>
      <c r="Z1570">
        <v>-8.8713650000000008E-3</v>
      </c>
      <c r="AA1570">
        <v>0.95563889999999996</v>
      </c>
      <c r="AB1570">
        <v>28</v>
      </c>
      <c r="AC1570">
        <v>16.080299999999902</v>
      </c>
      <c r="AD1570">
        <v>-1.1098940015899901</v>
      </c>
      <c r="AE1570">
        <v>-5.2601999999999904</v>
      </c>
      <c r="AF1570">
        <v>5.0136948320123098</v>
      </c>
      <c r="AG1570">
        <v>-1.1098940015899901</v>
      </c>
      <c r="AH1570">
        <v>16.082931951924099</v>
      </c>
      <c r="AI1570">
        <v>93.769401537981295</v>
      </c>
      <c r="AJ1570">
        <v>72.685649366013394</v>
      </c>
      <c r="AK1570">
        <v>16.8828226530261</v>
      </c>
      <c r="AL1570">
        <v>79.634981338061493</v>
      </c>
      <c r="AM1570">
        <v>83.108917027404402</v>
      </c>
      <c r="AN1570">
        <v>0.99999998675323898</v>
      </c>
    </row>
    <row r="1571" spans="1:40" x14ac:dyDescent="0.25">
      <c r="A1571" t="str">
        <f>"20190312172115324"</f>
        <v>20190312172115324</v>
      </c>
      <c r="B1571" t="str">
        <f>"1552382475312447"</f>
        <v>1552382475312447</v>
      </c>
      <c r="C1571" t="s">
        <v>40</v>
      </c>
      <c r="D1571">
        <v>3.2140360000000001</v>
      </c>
      <c r="E1571">
        <v>0.57079899999999995</v>
      </c>
      <c r="F1571" t="s">
        <v>44</v>
      </c>
      <c r="G1571">
        <v>-199.86529999999999</v>
      </c>
      <c r="H1571" s="1">
        <v>-9.9880380000000005E-6</v>
      </c>
      <c r="I1571">
        <v>361.84820000000002</v>
      </c>
      <c r="J1571">
        <v>-215.83420000000001</v>
      </c>
      <c r="K1571">
        <v>1.109866</v>
      </c>
      <c r="L1571">
        <v>367.10090000000002</v>
      </c>
      <c r="M1571">
        <v>0.9998184</v>
      </c>
      <c r="N1571">
        <v>0</v>
      </c>
      <c r="O1571">
        <v>-1.4237069999999999E-2</v>
      </c>
      <c r="P1571">
        <v>0.9767479</v>
      </c>
      <c r="Q1571">
        <v>0.1676086</v>
      </c>
      <c r="R1571">
        <v>-0.13368239999999901</v>
      </c>
      <c r="S1571">
        <v>2.975098</v>
      </c>
      <c r="T1571">
        <v>-0.20489869999999999</v>
      </c>
      <c r="U1571">
        <v>-0.97012330000000002</v>
      </c>
      <c r="V1571">
        <v>0.1199394</v>
      </c>
      <c r="W1571">
        <v>0.1798708</v>
      </c>
      <c r="X1571">
        <v>0.97635090000000002</v>
      </c>
      <c r="Y1571">
        <v>0.29584519999999997</v>
      </c>
      <c r="Z1571">
        <v>-8.9651990000000001E-3</v>
      </c>
      <c r="AA1571">
        <v>0.95519379999999998</v>
      </c>
      <c r="AB1571">
        <v>28</v>
      </c>
      <c r="AC1571">
        <v>15.9689</v>
      </c>
      <c r="AD1571">
        <v>-1.109875988038</v>
      </c>
      <c r="AE1571">
        <v>-5.2526999999999999</v>
      </c>
      <c r="AF1571">
        <v>5.0029911596458101</v>
      </c>
      <c r="AG1571">
        <v>-1.109875988038</v>
      </c>
      <c r="AH1571">
        <v>15.972447208062899</v>
      </c>
      <c r="AI1571">
        <v>93.793737093152998</v>
      </c>
      <c r="AJ1571">
        <v>72.6080695675073</v>
      </c>
      <c r="AK1571">
        <v>16.774409529598199</v>
      </c>
      <c r="AL1571">
        <v>79.637765868309899</v>
      </c>
      <c r="AM1571">
        <v>82.996613196815503</v>
      </c>
      <c r="AN1571">
        <v>1.0000000221479</v>
      </c>
    </row>
    <row r="1572" spans="1:40" x14ac:dyDescent="0.25">
      <c r="A1572" t="str">
        <f>"20190312172115334"</f>
        <v>20190312172115334</v>
      </c>
      <c r="B1572" t="str">
        <f>"1552382475332942"</f>
        <v>1552382475332942</v>
      </c>
      <c r="C1572" t="s">
        <v>40</v>
      </c>
      <c r="D1572">
        <v>3.2272729999999998</v>
      </c>
      <c r="E1572">
        <v>0.57062609999999903</v>
      </c>
      <c r="F1572" t="s">
        <v>44</v>
      </c>
      <c r="G1572">
        <v>-199.911</v>
      </c>
      <c r="H1572" s="1">
        <v>-1.0001110000000001E-5</v>
      </c>
      <c r="I1572">
        <v>361.87290000000002</v>
      </c>
      <c r="J1572">
        <v>-215.69069999999999</v>
      </c>
      <c r="K1572">
        <v>1.1098479999999999</v>
      </c>
      <c r="L1572">
        <v>367.0985</v>
      </c>
      <c r="M1572">
        <v>0.99981430000000004</v>
      </c>
      <c r="N1572">
        <v>0</v>
      </c>
      <c r="O1572">
        <v>-1.452725E-2</v>
      </c>
      <c r="P1572">
        <v>0.97644500000000001</v>
      </c>
      <c r="Q1572">
        <v>0.16756370000000001</v>
      </c>
      <c r="R1572">
        <v>-0.13593350000000001</v>
      </c>
      <c r="S1572">
        <v>2.9733580000000002</v>
      </c>
      <c r="T1572">
        <v>-0.20724770000000001</v>
      </c>
      <c r="U1572">
        <v>-0.97622679999999995</v>
      </c>
      <c r="V1572">
        <v>0.12191780000000001</v>
      </c>
      <c r="W1572">
        <v>0.1798159</v>
      </c>
      <c r="X1572">
        <v>0.97611590000000004</v>
      </c>
      <c r="Y1572">
        <v>0.29748629999999998</v>
      </c>
      <c r="Z1572">
        <v>-9.105976E-3</v>
      </c>
      <c r="AA1572">
        <v>0.95468260000000005</v>
      </c>
      <c r="AB1572">
        <v>28</v>
      </c>
      <c r="AC1572">
        <v>15.7797</v>
      </c>
      <c r="AD1572">
        <v>-1.1098580011100001</v>
      </c>
      <c r="AE1572">
        <v>-5.2255999999999796</v>
      </c>
      <c r="AF1572">
        <v>4.9736218022192897</v>
      </c>
      <c r="AG1572">
        <v>-1.1098580011100001</v>
      </c>
      <c r="AH1572">
        <v>15.783590236128999</v>
      </c>
      <c r="AI1572">
        <v>93.836868901633594</v>
      </c>
      <c r="AJ1572">
        <v>72.509658666464404</v>
      </c>
      <c r="AK1572">
        <v>16.585849973883299</v>
      </c>
      <c r="AL1572">
        <v>79.640963092319296</v>
      </c>
      <c r="AM1572">
        <v>82.880571742318295</v>
      </c>
      <c r="AN1572">
        <v>0.99999997904122995</v>
      </c>
    </row>
    <row r="1573" spans="1:40" x14ac:dyDescent="0.25">
      <c r="A1573" t="str">
        <f>"20190312172115346"</f>
        <v>20190312172115346</v>
      </c>
      <c r="B1573" t="str">
        <f>"1552382475342704"</f>
        <v>1552382475342704</v>
      </c>
      <c r="C1573" t="s">
        <v>40</v>
      </c>
      <c r="D1573">
        <v>3.163135</v>
      </c>
      <c r="E1573">
        <v>0.57051219999999903</v>
      </c>
      <c r="F1573" t="s">
        <v>44</v>
      </c>
      <c r="G1573">
        <v>-200.0549</v>
      </c>
      <c r="H1573" s="1">
        <v>-2.071484E-6</v>
      </c>
      <c r="I1573">
        <v>361.93290000000002</v>
      </c>
      <c r="J1573">
        <v>-215.55760000000001</v>
      </c>
      <c r="K1573">
        <v>1.109831</v>
      </c>
      <c r="L1573">
        <v>367.09629999999999</v>
      </c>
      <c r="M1573">
        <v>0.99981019999999998</v>
      </c>
      <c r="N1573">
        <v>0</v>
      </c>
      <c r="O1573">
        <v>-1.4806929999999999E-2</v>
      </c>
      <c r="P1573">
        <v>0.97618320000000003</v>
      </c>
      <c r="Q1573">
        <v>0.16725860000000001</v>
      </c>
      <c r="R1573">
        <v>-0.13817099999999999</v>
      </c>
      <c r="S1573">
        <v>2.9718629999999999</v>
      </c>
      <c r="T1573">
        <v>-0.21094750000000001</v>
      </c>
      <c r="U1573">
        <v>-0.98181149999999995</v>
      </c>
      <c r="V1573">
        <v>0.12389169999999999</v>
      </c>
      <c r="W1573">
        <v>0.17950160000000001</v>
      </c>
      <c r="X1573">
        <v>0.97592520000000005</v>
      </c>
      <c r="Y1573">
        <v>0.29895450000000001</v>
      </c>
      <c r="Z1573">
        <v>-9.3013479999999992E-3</v>
      </c>
      <c r="AA1573">
        <v>0.95422200000000001</v>
      </c>
      <c r="AB1573">
        <v>28</v>
      </c>
      <c r="AC1573">
        <v>15.502700000000001</v>
      </c>
      <c r="AD1573">
        <v>-1.1098330714839999</v>
      </c>
      <c r="AE1573">
        <v>-5.1633999999999602</v>
      </c>
      <c r="AF1573">
        <v>4.9106138454564201</v>
      </c>
      <c r="AG1573">
        <v>-1.1098330714839999</v>
      </c>
      <c r="AH1573">
        <v>15.505926687264401</v>
      </c>
      <c r="AI1573">
        <v>93.903511622955605</v>
      </c>
      <c r="AJ1573">
        <v>72.427385383090893</v>
      </c>
      <c r="AK1573">
        <v>16.3027488546124</v>
      </c>
      <c r="AL1573">
        <v>79.659269093799907</v>
      </c>
      <c r="AM1573">
        <v>82.765118080351101</v>
      </c>
      <c r="AN1573">
        <v>0.99999998686324498</v>
      </c>
    </row>
    <row r="1574" spans="1:40" x14ac:dyDescent="0.25">
      <c r="A1574" t="str">
        <f>"20190312172115357"</f>
        <v>20190312172115357</v>
      </c>
      <c r="B1574" t="str">
        <f>"1552382475352462"</f>
        <v>1552382475352462</v>
      </c>
      <c r="C1574" t="s">
        <v>40</v>
      </c>
      <c r="D1574">
        <v>3.17577</v>
      </c>
      <c r="E1574">
        <v>0.57051219999999903</v>
      </c>
      <c r="F1574" t="s">
        <v>44</v>
      </c>
      <c r="G1574">
        <v>-200.09540000000001</v>
      </c>
      <c r="H1574" s="1">
        <v>-2.0896739999999998E-6</v>
      </c>
      <c r="I1574">
        <v>361.9545</v>
      </c>
      <c r="J1574">
        <v>-215.4119</v>
      </c>
      <c r="K1574">
        <v>1.1098129999999999</v>
      </c>
      <c r="L1574">
        <v>367.09379999999999</v>
      </c>
      <c r="M1574">
        <v>0.99980559999999996</v>
      </c>
      <c r="N1574">
        <v>0</v>
      </c>
      <c r="O1574">
        <v>-1.5122139999999999E-2</v>
      </c>
      <c r="P1574">
        <v>0.97593189999999996</v>
      </c>
      <c r="Q1574">
        <v>0.16667699999999999</v>
      </c>
      <c r="R1574">
        <v>-0.140628</v>
      </c>
      <c r="S1574">
        <v>2.9699249999999999</v>
      </c>
      <c r="T1574">
        <v>-0.2131721</v>
      </c>
      <c r="U1574">
        <v>-0.98760990000000004</v>
      </c>
      <c r="V1574">
        <v>0.12605060000000001</v>
      </c>
      <c r="W1574">
        <v>0.1789105</v>
      </c>
      <c r="X1574">
        <v>0.97575730000000005</v>
      </c>
      <c r="Y1574">
        <v>0.3005005</v>
      </c>
      <c r="Z1574">
        <v>-9.4341949999999994E-3</v>
      </c>
      <c r="AA1574">
        <v>0.953735</v>
      </c>
      <c r="AB1574">
        <v>28</v>
      </c>
      <c r="AC1574">
        <v>15.3164999999999</v>
      </c>
      <c r="AD1574">
        <v>-1.109815089674</v>
      </c>
      <c r="AE1574">
        <v>-5.1392999999999898</v>
      </c>
      <c r="AF1574">
        <v>4.8840278188179704</v>
      </c>
      <c r="AG1574">
        <v>-1.109815089674</v>
      </c>
      <c r="AH1574">
        <v>15.3201761681759</v>
      </c>
      <c r="AI1574">
        <v>93.948236157767198</v>
      </c>
      <c r="AJ1574">
        <v>72.317869033300596</v>
      </c>
      <c r="AK1574">
        <v>16.118102093367</v>
      </c>
      <c r="AL1574">
        <v>79.693694203494303</v>
      </c>
      <c r="AM1574">
        <v>82.639163215563499</v>
      </c>
      <c r="AN1574">
        <v>1.0000000146369401</v>
      </c>
    </row>
    <row r="1575" spans="1:40" x14ac:dyDescent="0.25">
      <c r="A1575" t="str">
        <f>"20190312172115369"</f>
        <v>20190312172115369</v>
      </c>
      <c r="B1575" t="str">
        <f>"1552382475362222"</f>
        <v>1552382475362222</v>
      </c>
      <c r="C1575" t="s">
        <v>40</v>
      </c>
      <c r="D1575">
        <v>3.2294879999999999</v>
      </c>
      <c r="E1575">
        <v>0.56803110000000001</v>
      </c>
      <c r="F1575" t="s">
        <v>44</v>
      </c>
      <c r="G1575">
        <v>-200.0915</v>
      </c>
      <c r="H1575" s="1">
        <v>-2.086389E-6</v>
      </c>
      <c r="I1575">
        <v>361.9581</v>
      </c>
      <c r="J1575">
        <v>-215.27250000000001</v>
      </c>
      <c r="K1575">
        <v>1.109796</v>
      </c>
      <c r="L1575">
        <v>367.09129999999999</v>
      </c>
      <c r="M1575">
        <v>0.99980060000000004</v>
      </c>
      <c r="N1575">
        <v>0</v>
      </c>
      <c r="O1575">
        <v>-1.544213E-2</v>
      </c>
      <c r="P1575">
        <v>0.97566240000000004</v>
      </c>
      <c r="Q1575">
        <v>0.166315299999999</v>
      </c>
      <c r="R1575">
        <v>-0.1429076</v>
      </c>
      <c r="S1575">
        <v>2.967346</v>
      </c>
      <c r="T1575">
        <v>-0.21495449999999999</v>
      </c>
      <c r="U1575">
        <v>-0.99468990000000002</v>
      </c>
      <c r="V1575">
        <v>0.1280278</v>
      </c>
      <c r="W1575">
        <v>0.1785389</v>
      </c>
      <c r="X1575">
        <v>0.97556790000000004</v>
      </c>
      <c r="Y1575">
        <v>0.30247459999999998</v>
      </c>
      <c r="Z1575">
        <v>-9.5642379999999992E-3</v>
      </c>
      <c r="AA1575">
        <v>0.9531094</v>
      </c>
      <c r="AB1575">
        <v>28</v>
      </c>
      <c r="AC1575">
        <v>15.180999999999999</v>
      </c>
      <c r="AD1575">
        <v>-1.109798086389</v>
      </c>
      <c r="AE1575">
        <v>-5.13319999999998</v>
      </c>
      <c r="AF1575">
        <v>4.8747631025839997</v>
      </c>
      <c r="AG1575">
        <v>-1.109798086389</v>
      </c>
      <c r="AH1575">
        <v>15.1856344092757</v>
      </c>
      <c r="AI1575">
        <v>93.980493278776507</v>
      </c>
      <c r="AJ1575">
        <v>72.202773055851793</v>
      </c>
      <c r="AK1575">
        <v>15.987446935363</v>
      </c>
      <c r="AL1575">
        <v>79.715333494483204</v>
      </c>
      <c r="AM1575">
        <v>82.523563846921405</v>
      </c>
      <c r="AN1575">
        <v>0.99999999194822997</v>
      </c>
    </row>
    <row r="1576" spans="1:40" x14ac:dyDescent="0.25">
      <c r="A1576" t="str">
        <f>"20190312172115379"</f>
        <v>20190312172115379</v>
      </c>
      <c r="B1576" t="str">
        <f>"1552382475371982"</f>
        <v>1552382475371982</v>
      </c>
      <c r="C1576" t="s">
        <v>40</v>
      </c>
      <c r="D1576">
        <v>3.2241580000000001</v>
      </c>
      <c r="E1576">
        <v>0.56807419999999997</v>
      </c>
      <c r="F1576" t="s">
        <v>44</v>
      </c>
      <c r="G1576">
        <v>-201.50290000000001</v>
      </c>
      <c r="H1576" s="1">
        <v>-2.7651890000000001E-6</v>
      </c>
      <c r="I1576">
        <v>362.53519999999997</v>
      </c>
      <c r="J1576">
        <v>-215.14080000000001</v>
      </c>
      <c r="K1576">
        <v>1.10978</v>
      </c>
      <c r="L1576">
        <v>367.089</v>
      </c>
      <c r="M1576">
        <v>0.99979589999999996</v>
      </c>
      <c r="N1576">
        <v>0</v>
      </c>
      <c r="O1576">
        <v>-1.574828E-2</v>
      </c>
      <c r="P1576">
        <v>0.97532189999999996</v>
      </c>
      <c r="Q1576">
        <v>0.16625039999999999</v>
      </c>
      <c r="R1576">
        <v>-0.145287</v>
      </c>
      <c r="S1576">
        <v>2.9716640000000001</v>
      </c>
      <c r="T1576">
        <v>-0.23951030000000001</v>
      </c>
      <c r="U1576">
        <v>-0.98327640000000005</v>
      </c>
      <c r="V1576">
        <v>0.13012000000000001</v>
      </c>
      <c r="W1576">
        <v>0.17846300000000001</v>
      </c>
      <c r="X1576">
        <v>0.97530499999999998</v>
      </c>
      <c r="Y1576">
        <v>0.29831809999999997</v>
      </c>
      <c r="Z1576">
        <v>-1.0458459999999999E-2</v>
      </c>
      <c r="AA1576">
        <v>0.95440919999999896</v>
      </c>
      <c r="AB1576">
        <v>28</v>
      </c>
      <c r="AC1576">
        <v>13.6379</v>
      </c>
      <c r="AD1576">
        <v>-1.109782765189</v>
      </c>
      <c r="AE1576">
        <v>-4.5538000000000203</v>
      </c>
      <c r="AF1576">
        <v>4.3127507340477704</v>
      </c>
      <c r="AG1576">
        <v>-1.109782765189</v>
      </c>
      <c r="AH1576">
        <v>13.626745590827399</v>
      </c>
      <c r="AI1576">
        <v>94.439853846167395</v>
      </c>
      <c r="AJ1576">
        <v>72.437857251155293</v>
      </c>
      <c r="AK1576">
        <v>14.3359559177989</v>
      </c>
      <c r="AL1576">
        <v>79.7197538284328</v>
      </c>
      <c r="AM1576">
        <v>82.400777529688597</v>
      </c>
      <c r="AN1576">
        <v>1.0000000498969901</v>
      </c>
    </row>
    <row r="1577" spans="1:40" x14ac:dyDescent="0.25">
      <c r="A1577" t="str">
        <f>"20190312172115391"</f>
        <v>20190312172115391</v>
      </c>
      <c r="B1577" t="str">
        <f>"1552382475382220"</f>
        <v>1552382475382220</v>
      </c>
      <c r="C1577" t="s">
        <v>40</v>
      </c>
      <c r="D1577">
        <v>3.233546</v>
      </c>
      <c r="E1577">
        <v>0.56831540000000003</v>
      </c>
      <c r="F1577" t="s">
        <v>44</v>
      </c>
      <c r="G1577">
        <v>-201.34129999999999</v>
      </c>
      <c r="H1577" s="1">
        <v>-2.6873909999999998E-6</v>
      </c>
      <c r="I1577">
        <v>362.47980000000001</v>
      </c>
      <c r="J1577">
        <v>-215.00200000000001</v>
      </c>
      <c r="K1577">
        <v>1.1097589999999999</v>
      </c>
      <c r="L1577">
        <v>367.08640000000003</v>
      </c>
      <c r="M1577">
        <v>0.99979030000000002</v>
      </c>
      <c r="N1577">
        <v>0</v>
      </c>
      <c r="O1577">
        <v>-1.609754E-2</v>
      </c>
      <c r="P1577">
        <v>0.97496769999999999</v>
      </c>
      <c r="Q1577">
        <v>0.1661569</v>
      </c>
      <c r="R1577">
        <v>-0.14774999999999999</v>
      </c>
      <c r="S1577">
        <v>2.9688870000000001</v>
      </c>
      <c r="T1577">
        <v>-0.23876359999999999</v>
      </c>
      <c r="U1577">
        <v>-0.99163820000000003</v>
      </c>
      <c r="V1577">
        <v>0.1322554</v>
      </c>
      <c r="W1577">
        <v>0.17835689999999901</v>
      </c>
      <c r="X1577">
        <v>0.97503709999999999</v>
      </c>
      <c r="Y1577">
        <v>0.30066920000000003</v>
      </c>
      <c r="Z1577">
        <v>-1.0495330000000001E-2</v>
      </c>
      <c r="AA1577">
        <v>0.95367069999999998</v>
      </c>
      <c r="AB1577">
        <v>28</v>
      </c>
      <c r="AC1577">
        <v>13.6607</v>
      </c>
      <c r="AD1577">
        <v>-1.1097616873909999</v>
      </c>
      <c r="AE1577">
        <v>-4.60660000000001</v>
      </c>
      <c r="AF1577">
        <v>4.3602442214047796</v>
      </c>
      <c r="AG1577">
        <v>-1.1097616873909999</v>
      </c>
      <c r="AH1577">
        <v>13.6521917079447</v>
      </c>
      <c r="AI1577">
        <v>94.427847235185794</v>
      </c>
      <c r="AJ1577">
        <v>72.287530301959407</v>
      </c>
      <c r="AK1577">
        <v>14.3744787419777</v>
      </c>
      <c r="AL1577">
        <v>79.725931622669805</v>
      </c>
      <c r="AM1577">
        <v>82.275463406792895</v>
      </c>
      <c r="AN1577">
        <v>1.00000001049159</v>
      </c>
    </row>
    <row r="1578" spans="1:40" x14ac:dyDescent="0.25">
      <c r="A1578" t="str">
        <f>"20190312172115401"</f>
        <v>20190312172115401</v>
      </c>
      <c r="B1578" t="str">
        <f>"1552382475392957"</f>
        <v>1552382475392957</v>
      </c>
      <c r="C1578" t="s">
        <v>40</v>
      </c>
      <c r="D1578">
        <v>3.1722779999999999</v>
      </c>
      <c r="E1578">
        <v>0.56819379999999997</v>
      </c>
      <c r="F1578" t="s">
        <v>44</v>
      </c>
      <c r="G1578">
        <v>-201.1377</v>
      </c>
      <c r="H1578" s="1">
        <v>-2.5867780000000002E-6</v>
      </c>
      <c r="I1578">
        <v>362.40499999999997</v>
      </c>
      <c r="J1578">
        <v>-214.86940000000001</v>
      </c>
      <c r="K1578">
        <v>1.1097410000000001</v>
      </c>
      <c r="L1578">
        <v>367.08390000000003</v>
      </c>
      <c r="M1578">
        <v>0.99978469999999997</v>
      </c>
      <c r="N1578">
        <v>0</v>
      </c>
      <c r="O1578">
        <v>-1.6437009999999998E-2</v>
      </c>
      <c r="P1578">
        <v>0.97458920000000004</v>
      </c>
      <c r="Q1578">
        <v>0.1661464</v>
      </c>
      <c r="R1578">
        <v>-0.15023729999999999</v>
      </c>
      <c r="S1578">
        <v>2.9657589999999998</v>
      </c>
      <c r="T1578">
        <v>-0.2373923</v>
      </c>
      <c r="U1578">
        <v>-1.001404</v>
      </c>
      <c r="V1578">
        <v>0.13442560000000001</v>
      </c>
      <c r="W1578">
        <v>0.17833399999999999</v>
      </c>
      <c r="X1578">
        <v>0.97474439999999996</v>
      </c>
      <c r="Y1578">
        <v>0.30346980000000001</v>
      </c>
      <c r="Z1578">
        <v>-1.052288E-2</v>
      </c>
      <c r="AA1578">
        <v>0.95278289999999999</v>
      </c>
      <c r="AB1578">
        <v>28</v>
      </c>
      <c r="AC1578">
        <v>13.7317</v>
      </c>
      <c r="AD1578">
        <v>-1.1097435867779999</v>
      </c>
      <c r="AE1578">
        <v>-4.6789000000000502</v>
      </c>
      <c r="AF1578">
        <v>4.4266376021225504</v>
      </c>
      <c r="AG1578">
        <v>-1.1097435867779999</v>
      </c>
      <c r="AH1578">
        <v>13.726432919833901</v>
      </c>
      <c r="AI1578">
        <v>94.3999545502232</v>
      </c>
      <c r="AJ1578">
        <v>72.126006670347095</v>
      </c>
      <c r="AK1578">
        <v>14.465186206600301</v>
      </c>
      <c r="AL1578">
        <v>79.727264460478693</v>
      </c>
      <c r="AM1578">
        <v>82.147950156196998</v>
      </c>
      <c r="AN1578">
        <v>0.999999951411358</v>
      </c>
    </row>
    <row r="1579" spans="1:40" x14ac:dyDescent="0.25">
      <c r="A1579" t="str">
        <f>"20190312172115412"</f>
        <v>20190312172115412</v>
      </c>
      <c r="B1579" t="str">
        <f>"1552382475402716"</f>
        <v>1552382475402716</v>
      </c>
      <c r="C1579" t="s">
        <v>40</v>
      </c>
      <c r="D1579">
        <v>3.2046619999999999</v>
      </c>
      <c r="E1579">
        <v>0.56809160000000003</v>
      </c>
      <c r="F1579" t="s">
        <v>44</v>
      </c>
      <c r="G1579">
        <v>-201.0224</v>
      </c>
      <c r="H1579" s="1">
        <v>-2.5279029999999998E-6</v>
      </c>
      <c r="I1579">
        <v>362.36989999999997</v>
      </c>
      <c r="J1579">
        <v>-214.72970000000001</v>
      </c>
      <c r="K1579">
        <v>1.109715</v>
      </c>
      <c r="L1579">
        <v>367.08120000000002</v>
      </c>
      <c r="M1579">
        <v>0.99977830000000001</v>
      </c>
      <c r="N1579">
        <v>0</v>
      </c>
      <c r="O1579">
        <v>-1.682378E-2</v>
      </c>
      <c r="P1579">
        <v>0.97412589999999999</v>
      </c>
      <c r="Q1579">
        <v>0.1662701</v>
      </c>
      <c r="R1579">
        <v>-0.1530791</v>
      </c>
      <c r="S1579">
        <v>2.9631959999999999</v>
      </c>
      <c r="T1579">
        <v>-0.23748050000000001</v>
      </c>
      <c r="U1579">
        <v>-1.0087889999999999</v>
      </c>
      <c r="V1579">
        <v>0.1369078</v>
      </c>
      <c r="W1579">
        <v>0.1784414</v>
      </c>
      <c r="X1579">
        <v>0.9743792</v>
      </c>
      <c r="Y1579">
        <v>0.30547429999999998</v>
      </c>
      <c r="Z1579">
        <v>-1.057924E-2</v>
      </c>
      <c r="AA1579">
        <v>0.95214160000000003</v>
      </c>
      <c r="AB1579">
        <v>28</v>
      </c>
      <c r="AC1579">
        <v>13.7073</v>
      </c>
      <c r="AD1579">
        <v>-1.109717527903</v>
      </c>
      <c r="AE1579">
        <v>-4.7113000000000502</v>
      </c>
      <c r="AF1579">
        <v>4.4538984014072804</v>
      </c>
      <c r="AG1579">
        <v>-1.109717527903</v>
      </c>
      <c r="AH1579">
        <v>13.704296835130799</v>
      </c>
      <c r="AI1579">
        <v>94.403703037158493</v>
      </c>
      <c r="AJ1579">
        <v>71.9958310959328</v>
      </c>
      <c r="AK1579">
        <v>14.452558102535701</v>
      </c>
      <c r="AL1579">
        <v>79.721010590807396</v>
      </c>
      <c r="AM1579">
        <v>82.001860580347596</v>
      </c>
      <c r="AN1579">
        <v>0.99999995216371795</v>
      </c>
    </row>
    <row r="1580" spans="1:40" x14ac:dyDescent="0.25">
      <c r="A1580" t="str">
        <f>"20190312172115426"</f>
        <v>20190312172115426</v>
      </c>
      <c r="B1580" t="str">
        <f>"1552382475422236"</f>
        <v>1552382475422236</v>
      </c>
      <c r="C1580" t="s">
        <v>40</v>
      </c>
      <c r="D1580">
        <v>3.2085119999999998</v>
      </c>
      <c r="E1580">
        <v>0.5679109</v>
      </c>
      <c r="F1580" t="s">
        <v>44</v>
      </c>
      <c r="G1580">
        <v>-200.857</v>
      </c>
      <c r="H1580" s="1">
        <v>-2.4440989999999998E-6</v>
      </c>
      <c r="I1580">
        <v>362.3168</v>
      </c>
      <c r="J1580">
        <v>-214.589</v>
      </c>
      <c r="K1580">
        <v>1.109688</v>
      </c>
      <c r="L1580">
        <v>367.07839999999999</v>
      </c>
      <c r="M1580">
        <v>0.99977150000000004</v>
      </c>
      <c r="N1580">
        <v>0</v>
      </c>
      <c r="O1580">
        <v>-1.7226669999999999E-2</v>
      </c>
      <c r="P1580">
        <v>0.97373920000000003</v>
      </c>
      <c r="Q1580">
        <v>0.16613120000000001</v>
      </c>
      <c r="R1580">
        <v>-0.15566859999999999</v>
      </c>
      <c r="S1580">
        <v>2.9603579999999998</v>
      </c>
      <c r="T1580">
        <v>-0.23680760000000001</v>
      </c>
      <c r="U1580">
        <v>-1.0166930000000001</v>
      </c>
      <c r="V1580">
        <v>0.13912149999999901</v>
      </c>
      <c r="W1580">
        <v>0.178287</v>
      </c>
      <c r="X1580">
        <v>0.97409389999999996</v>
      </c>
      <c r="Y1580">
        <v>0.30764320000000001</v>
      </c>
      <c r="Z1580">
        <v>-1.0607460000000001E-2</v>
      </c>
      <c r="AA1580">
        <v>0.95144269999999997</v>
      </c>
      <c r="AB1580">
        <v>28</v>
      </c>
      <c r="AC1580">
        <v>13.731999999999999</v>
      </c>
      <c r="AD1580">
        <v>-1.1096904440989901</v>
      </c>
      <c r="AE1580">
        <v>-4.7615999999999801</v>
      </c>
      <c r="AF1580">
        <v>4.4980963875244697</v>
      </c>
      <c r="AG1580">
        <v>-1.1096904440989901</v>
      </c>
      <c r="AH1580">
        <v>13.731945631317201</v>
      </c>
      <c r="AI1580">
        <v>94.391455348797393</v>
      </c>
      <c r="AJ1580">
        <v>71.863046750572096</v>
      </c>
      <c r="AK1580">
        <v>14.492433019152999</v>
      </c>
      <c r="AL1580">
        <v>79.730001580681304</v>
      </c>
      <c r="AM1580">
        <v>81.871901991358399</v>
      </c>
      <c r="AN1580">
        <v>0.99999998607422902</v>
      </c>
    </row>
    <row r="1581" spans="1:40" x14ac:dyDescent="0.25">
      <c r="A1581" t="str">
        <f>"20190312172115437"</f>
        <v>20190312172115437</v>
      </c>
      <c r="B1581" t="str">
        <f>"1552382475432973"</f>
        <v>1552382475432973</v>
      </c>
      <c r="C1581" t="s">
        <v>40</v>
      </c>
      <c r="D1581">
        <v>3.2041719999999998</v>
      </c>
      <c r="E1581">
        <v>0.56778260000000003</v>
      </c>
      <c r="F1581" t="s">
        <v>44</v>
      </c>
      <c r="G1581">
        <v>-200.744</v>
      </c>
      <c r="H1581" s="1">
        <v>-2.3847589999999999E-6</v>
      </c>
      <c r="I1581">
        <v>362.2885</v>
      </c>
      <c r="J1581">
        <v>-214.4213</v>
      </c>
      <c r="K1581">
        <v>1.109653</v>
      </c>
      <c r="L1581">
        <v>367.07499999999999</v>
      </c>
      <c r="M1581">
        <v>0.9997625</v>
      </c>
      <c r="N1581">
        <v>0</v>
      </c>
      <c r="O1581">
        <v>-1.7733769999999999E-2</v>
      </c>
      <c r="P1581">
        <v>0.97331319999999999</v>
      </c>
      <c r="Q1581">
        <v>0.1660297</v>
      </c>
      <c r="R1581">
        <v>-0.15841549999999999</v>
      </c>
      <c r="S1581">
        <v>2.957748</v>
      </c>
      <c r="T1581">
        <v>-0.2370678</v>
      </c>
      <c r="U1581">
        <v>-1.023285</v>
      </c>
      <c r="V1581">
        <v>0.1413952</v>
      </c>
      <c r="W1581">
        <v>0.17816689999999999</v>
      </c>
      <c r="X1581">
        <v>0.9737884</v>
      </c>
      <c r="Y1581">
        <v>0.30930750000000001</v>
      </c>
      <c r="Z1581">
        <v>-1.0649520000000001E-2</v>
      </c>
      <c r="AA1581">
        <v>0.95090249999999998</v>
      </c>
      <c r="AB1581">
        <v>28</v>
      </c>
      <c r="AC1581">
        <v>13.677299999999899</v>
      </c>
      <c r="AD1581">
        <v>-1.1096553847590001</v>
      </c>
      <c r="AE1581">
        <v>-4.7864999999999798</v>
      </c>
      <c r="AF1581">
        <v>4.5166913655753502</v>
      </c>
      <c r="AG1581">
        <v>-1.1096553847590001</v>
      </c>
      <c r="AH1581">
        <v>13.6798187239468</v>
      </c>
      <c r="AI1581">
        <v>94.404588160650903</v>
      </c>
      <c r="AJ1581">
        <v>71.728230020266906</v>
      </c>
      <c r="AK1581">
        <v>14.448850344744899</v>
      </c>
      <c r="AL1581">
        <v>79.736994367846506</v>
      </c>
      <c r="AM1581">
        <v>81.738325114786093</v>
      </c>
      <c r="AN1581">
        <v>0.99999994740660303</v>
      </c>
    </row>
    <row r="1582" spans="1:40" x14ac:dyDescent="0.25">
      <c r="A1582" t="str">
        <f>"20190312172115448"</f>
        <v>20190312172115448</v>
      </c>
      <c r="B1582" t="str">
        <f>"1552382475442732"</f>
        <v>1552382475442732</v>
      </c>
      <c r="C1582" t="s">
        <v>40</v>
      </c>
      <c r="D1582">
        <v>3.2140339999999998</v>
      </c>
      <c r="E1582">
        <v>0.56758799999999998</v>
      </c>
      <c r="F1582" t="s">
        <v>44</v>
      </c>
      <c r="G1582">
        <v>-200.57740000000001</v>
      </c>
      <c r="H1582" s="1">
        <v>-2.2977180000000001E-6</v>
      </c>
      <c r="I1582">
        <v>362.24489999999997</v>
      </c>
      <c r="J1582">
        <v>-214.29589999999999</v>
      </c>
      <c r="K1582">
        <v>1.109623</v>
      </c>
      <c r="L1582">
        <v>367.07229999999998</v>
      </c>
      <c r="M1582">
        <v>0.99975510000000001</v>
      </c>
      <c r="N1582">
        <v>0</v>
      </c>
      <c r="O1582">
        <v>-1.8143280000000001E-2</v>
      </c>
      <c r="P1582">
        <v>0.97285779999999999</v>
      </c>
      <c r="Q1582">
        <v>0.16598589999999999</v>
      </c>
      <c r="R1582">
        <v>-0.16123399999999999</v>
      </c>
      <c r="S1582">
        <v>2.9548800000000002</v>
      </c>
      <c r="T1582">
        <v>-0.23684720000000001</v>
      </c>
      <c r="U1582">
        <v>-1.030945</v>
      </c>
      <c r="V1582">
        <v>0.14383470000000001</v>
      </c>
      <c r="W1582">
        <v>0.1781045</v>
      </c>
      <c r="X1582">
        <v>0.97344260000000005</v>
      </c>
      <c r="Y1582">
        <v>0.31139790000000001</v>
      </c>
      <c r="Z1582">
        <v>-1.0694469999999999E-2</v>
      </c>
      <c r="AA1582">
        <v>0.95021949999999999</v>
      </c>
      <c r="AB1582">
        <v>28</v>
      </c>
      <c r="AC1582">
        <v>13.718499999999899</v>
      </c>
      <c r="AD1582">
        <v>-1.1096252977179999</v>
      </c>
      <c r="AE1582">
        <v>-4.8274000000000097</v>
      </c>
      <c r="AF1582">
        <v>4.5511916121803502</v>
      </c>
      <c r="AG1582">
        <v>-1.1096252977179999</v>
      </c>
      <c r="AH1582">
        <v>13.723938551177399</v>
      </c>
      <c r="AI1582">
        <v>94.388471166068001</v>
      </c>
      <c r="AJ1582">
        <v>71.653224307806894</v>
      </c>
      <c r="AK1582">
        <v>14.501417266895301</v>
      </c>
      <c r="AL1582">
        <v>79.740628953108995</v>
      </c>
      <c r="AM1582">
        <v>81.5948617187899</v>
      </c>
      <c r="AN1582">
        <v>1.0000000646695399</v>
      </c>
    </row>
    <row r="1583" spans="1:40" x14ac:dyDescent="0.25">
      <c r="A1583" t="str">
        <f>"20190312172115458"</f>
        <v>20190312172115458</v>
      </c>
      <c r="B1583" t="str">
        <f>"1552382475452491"</f>
        <v>1552382475452491</v>
      </c>
      <c r="C1583" t="s">
        <v>40</v>
      </c>
      <c r="D1583">
        <v>3.2135899999999999</v>
      </c>
      <c r="E1583">
        <v>0.56742579999999998</v>
      </c>
      <c r="F1583" t="s">
        <v>44</v>
      </c>
      <c r="G1583">
        <v>-200.44399999999999</v>
      </c>
      <c r="H1583" s="1">
        <v>-2.2301160000000001E-6</v>
      </c>
      <c r="I1583">
        <v>362.20209999999997</v>
      </c>
      <c r="J1583">
        <v>-214.16390000000001</v>
      </c>
      <c r="K1583">
        <v>1.1095809999999999</v>
      </c>
      <c r="L1583">
        <v>367.06950000000001</v>
      </c>
      <c r="M1583">
        <v>0.99974719999999995</v>
      </c>
      <c r="N1583">
        <v>0</v>
      </c>
      <c r="O1583">
        <v>-1.8583590000000001E-2</v>
      </c>
      <c r="P1583">
        <v>0.97242629999999997</v>
      </c>
      <c r="Q1583">
        <v>0.16573689999999999</v>
      </c>
      <c r="R1583">
        <v>-0.16406970000000001</v>
      </c>
      <c r="S1583">
        <v>2.952026</v>
      </c>
      <c r="T1583">
        <v>-0.2364752</v>
      </c>
      <c r="U1583">
        <v>-1.037903</v>
      </c>
      <c r="V1583">
        <v>0.14626169999999999</v>
      </c>
      <c r="W1583">
        <v>0.17783660000000001</v>
      </c>
      <c r="X1583">
        <v>0.97312980000000004</v>
      </c>
      <c r="Y1583">
        <v>0.31325730000000002</v>
      </c>
      <c r="Z1583">
        <v>-1.072148E-2</v>
      </c>
      <c r="AA1583">
        <v>0.9496078</v>
      </c>
      <c r="AB1583">
        <v>28</v>
      </c>
      <c r="AC1583">
        <v>13.7198999999999</v>
      </c>
      <c r="AD1583">
        <v>-1.109583230116</v>
      </c>
      <c r="AE1583">
        <v>-4.8674000000000301</v>
      </c>
      <c r="AF1583">
        <v>4.5849380511492797</v>
      </c>
      <c r="AG1583">
        <v>-1.109583230116</v>
      </c>
      <c r="AH1583">
        <v>13.7282382041017</v>
      </c>
      <c r="AI1583">
        <v>94.383855049488005</v>
      </c>
      <c r="AJ1583">
        <v>71.531782636148506</v>
      </c>
      <c r="AK1583">
        <v>14.5161067806071</v>
      </c>
      <c r="AL1583">
        <v>79.756226575223394</v>
      </c>
      <c r="AM1583">
        <v>81.452407874262207</v>
      </c>
      <c r="AN1583">
        <v>0.99999997441724398</v>
      </c>
    </row>
    <row r="1584" spans="1:40" x14ac:dyDescent="0.25">
      <c r="A1584" t="str">
        <f>"20190312172115471"</f>
        <v>20190312172115471</v>
      </c>
      <c r="B1584" t="str">
        <f>"1552382475462252"</f>
        <v>1552382475462252</v>
      </c>
      <c r="C1584" t="s">
        <v>40</v>
      </c>
      <c r="D1584">
        <v>3.2117059999999999</v>
      </c>
      <c r="E1584">
        <v>0.56723619999999997</v>
      </c>
      <c r="F1584" t="s">
        <v>44</v>
      </c>
      <c r="G1584">
        <v>-200.35400000000001</v>
      </c>
      <c r="H1584" s="1">
        <v>-2.1844199999999999E-6</v>
      </c>
      <c r="I1584">
        <v>362.1737</v>
      </c>
      <c r="J1584">
        <v>-214.01390000000001</v>
      </c>
      <c r="K1584">
        <v>1.109537</v>
      </c>
      <c r="L1584">
        <v>367.06610000000001</v>
      </c>
      <c r="M1584">
        <v>0.99973670000000003</v>
      </c>
      <c r="N1584">
        <v>0</v>
      </c>
      <c r="O1584">
        <v>-1.9135070000000001E-2</v>
      </c>
      <c r="P1584">
        <v>0.97191899999999998</v>
      </c>
      <c r="Q1584">
        <v>0.16558510000000001</v>
      </c>
      <c r="R1584">
        <v>-0.1671976</v>
      </c>
      <c r="S1584">
        <v>2.949036</v>
      </c>
      <c r="T1584">
        <v>-0.2369453</v>
      </c>
      <c r="U1584">
        <v>-1.04547099999999</v>
      </c>
      <c r="V1584">
        <v>0.14887919999999999</v>
      </c>
      <c r="W1584">
        <v>0.1776606</v>
      </c>
      <c r="X1584">
        <v>0.97276499999999999</v>
      </c>
      <c r="Y1584">
        <v>0.315193</v>
      </c>
      <c r="Z1584">
        <v>-1.078103E-2</v>
      </c>
      <c r="AA1584">
        <v>0.94896639999999999</v>
      </c>
      <c r="AB1584">
        <v>28</v>
      </c>
      <c r="AC1584">
        <v>13.659899999999899</v>
      </c>
      <c r="AD1584">
        <v>-1.10953918442</v>
      </c>
      <c r="AE1584">
        <v>-4.8924000000000003</v>
      </c>
      <c r="AF1584">
        <v>4.60318261522045</v>
      </c>
      <c r="AG1584">
        <v>-1.10953918442</v>
      </c>
      <c r="AH1584">
        <v>13.6710800744666</v>
      </c>
      <c r="AI1584">
        <v>94.398329772718597</v>
      </c>
      <c r="AJ1584">
        <v>71.391131478265194</v>
      </c>
      <c r="AK1584">
        <v>14.467853945672401</v>
      </c>
      <c r="AL1584">
        <v>79.766474334694806</v>
      </c>
      <c r="AM1584">
        <v>81.298547520730693</v>
      </c>
      <c r="AN1584">
        <v>1.0000000251049901</v>
      </c>
    </row>
    <row r="1585" spans="1:40" x14ac:dyDescent="0.25">
      <c r="A1585" t="str">
        <f>"20190312172115484"</f>
        <v>20190312172115484</v>
      </c>
      <c r="B1585" t="str">
        <f>"1552382475472012"</f>
        <v>1552382475472012</v>
      </c>
      <c r="C1585" t="s">
        <v>40</v>
      </c>
      <c r="D1585">
        <v>3.2208359999999998</v>
      </c>
      <c r="E1585">
        <v>0.56723619999999997</v>
      </c>
      <c r="F1585" t="s">
        <v>44</v>
      </c>
      <c r="G1585">
        <v>-200.27930000000001</v>
      </c>
      <c r="H1585" s="1">
        <v>-2.1453180000000001E-6</v>
      </c>
      <c r="I1585">
        <v>362.15460000000002</v>
      </c>
      <c r="J1585">
        <v>-213.84710000000001</v>
      </c>
      <c r="K1585">
        <v>1.1094820000000001</v>
      </c>
      <c r="L1585">
        <v>367.06229999999999</v>
      </c>
      <c r="M1585">
        <v>0.99972419999999995</v>
      </c>
      <c r="N1585">
        <v>0</v>
      </c>
      <c r="O1585">
        <v>-1.978042E-2</v>
      </c>
      <c r="P1585">
        <v>0.97130240000000001</v>
      </c>
      <c r="Q1585">
        <v>0.16575139999999999</v>
      </c>
      <c r="R1585">
        <v>-0.1705817</v>
      </c>
      <c r="S1585">
        <v>2.9459840000000002</v>
      </c>
      <c r="T1585">
        <v>-0.23798839999999999</v>
      </c>
      <c r="U1585">
        <v>-1.0534969999999999</v>
      </c>
      <c r="V1585">
        <v>0.15166830000000001</v>
      </c>
      <c r="W1585">
        <v>0.17779719999999999</v>
      </c>
      <c r="X1585">
        <v>0.97230910000000004</v>
      </c>
      <c r="Y1585">
        <v>0.3171717</v>
      </c>
      <c r="Z1585">
        <v>-1.086113E-2</v>
      </c>
      <c r="AA1585">
        <v>0.94830599999999998</v>
      </c>
      <c r="AB1585">
        <v>28</v>
      </c>
      <c r="AC1585">
        <v>13.5678</v>
      </c>
      <c r="AD1585">
        <v>-1.109484145318</v>
      </c>
      <c r="AE1585">
        <v>-4.90769999999997</v>
      </c>
      <c r="AF1585">
        <v>4.6110751472008102</v>
      </c>
      <c r="AG1585">
        <v>-1.109484145318</v>
      </c>
      <c r="AH1585">
        <v>13.581916570478</v>
      </c>
      <c r="AI1585">
        <v>94.423137930507806</v>
      </c>
      <c r="AJ1585">
        <v>71.247595306416599</v>
      </c>
      <c r="AK1585">
        <v>14.3861539964395</v>
      </c>
      <c r="AL1585">
        <v>79.758521387835003</v>
      </c>
      <c r="AM1585">
        <v>81.134009662469197</v>
      </c>
      <c r="AN1585">
        <v>1.0000000517477601</v>
      </c>
    </row>
    <row r="1586" spans="1:40" x14ac:dyDescent="0.25">
      <c r="A1586" t="str">
        <f>"20190312172115497"</f>
        <v>20190312172115497</v>
      </c>
      <c r="B1586" t="str">
        <f>"1552382475492042"</f>
        <v>1552382475492042</v>
      </c>
      <c r="C1586" t="s">
        <v>40</v>
      </c>
      <c r="D1586">
        <v>3.2414559999999999</v>
      </c>
      <c r="E1586">
        <v>0.56461329999999998</v>
      </c>
      <c r="F1586" t="s">
        <v>44</v>
      </c>
      <c r="G1586">
        <v>-200.09440000000001</v>
      </c>
      <c r="H1586" s="1">
        <v>-2.053005E-6</v>
      </c>
      <c r="I1586">
        <v>362.09010000000001</v>
      </c>
      <c r="J1586">
        <v>-213.67310000000001</v>
      </c>
      <c r="K1586">
        <v>1.109421</v>
      </c>
      <c r="L1586">
        <v>367.05810000000002</v>
      </c>
      <c r="M1586">
        <v>0.99970950000000003</v>
      </c>
      <c r="N1586">
        <v>0</v>
      </c>
      <c r="O1586">
        <v>-2.0510090000000002E-2</v>
      </c>
      <c r="P1586">
        <v>0.97077210000000003</v>
      </c>
      <c r="Q1586">
        <v>0.1652901</v>
      </c>
      <c r="R1586">
        <v>-0.17401369999999999</v>
      </c>
      <c r="S1586">
        <v>2.942307</v>
      </c>
      <c r="T1586">
        <v>-0.23736789999999999</v>
      </c>
      <c r="U1586">
        <v>-1.0637509999999999</v>
      </c>
      <c r="V1586">
        <v>0.1544247</v>
      </c>
      <c r="W1586">
        <v>0.17730389999999999</v>
      </c>
      <c r="X1586">
        <v>0.97196519999999997</v>
      </c>
      <c r="Y1586">
        <v>0.31977850000000002</v>
      </c>
      <c r="Z1586">
        <v>-1.0884349999999999E-2</v>
      </c>
      <c r="AA1586">
        <v>0.94742979999999999</v>
      </c>
      <c r="AB1586">
        <v>28</v>
      </c>
      <c r="AC1586">
        <v>13.5786999999999</v>
      </c>
      <c r="AD1586">
        <v>-1.109423053005</v>
      </c>
      <c r="AE1586">
        <v>-4.9680000000000097</v>
      </c>
      <c r="AF1586">
        <v>4.66099128217743</v>
      </c>
      <c r="AG1586">
        <v>-1.109423053005</v>
      </c>
      <c r="AH1586">
        <v>13.597691285401901</v>
      </c>
      <c r="AI1586">
        <v>94.413380388716405</v>
      </c>
      <c r="AJ1586">
        <v>71.079406252976796</v>
      </c>
      <c r="AK1586">
        <v>14.417103299073901</v>
      </c>
      <c r="AL1586">
        <v>79.787241234626507</v>
      </c>
      <c r="AM1586">
        <v>80.972368510525698</v>
      </c>
      <c r="AN1586">
        <v>1.0000000054681699</v>
      </c>
    </row>
    <row r="1587" spans="1:40" x14ac:dyDescent="0.25">
      <c r="A1587" t="str">
        <f>"20190312172115511"</f>
        <v>20190312172115511</v>
      </c>
      <c r="B1587" t="str">
        <f>"1552382475502778"</f>
        <v>1552382475502778</v>
      </c>
      <c r="C1587" t="s">
        <v>40</v>
      </c>
      <c r="D1587">
        <v>3.2513709999999998</v>
      </c>
      <c r="E1587">
        <v>0.56460239999999995</v>
      </c>
      <c r="F1587" t="s">
        <v>44</v>
      </c>
      <c r="G1587">
        <v>-200.387</v>
      </c>
      <c r="H1587" s="1">
        <v>-2.1702220000000002E-6</v>
      </c>
      <c r="I1587">
        <v>362.3005</v>
      </c>
      <c r="J1587">
        <v>-213.5042</v>
      </c>
      <c r="K1587">
        <v>1.1093519999999999</v>
      </c>
      <c r="L1587">
        <v>367.05380000000002</v>
      </c>
      <c r="M1587">
        <v>0.99969319999999895</v>
      </c>
      <c r="N1587">
        <v>0</v>
      </c>
      <c r="O1587">
        <v>-2.128561E-2</v>
      </c>
      <c r="P1587">
        <v>0.96958949999999999</v>
      </c>
      <c r="Q1587">
        <v>0.16532749999999999</v>
      </c>
      <c r="R1587">
        <v>-0.180453</v>
      </c>
      <c r="S1587">
        <v>2.943222</v>
      </c>
      <c r="T1587">
        <v>-0.2457656</v>
      </c>
      <c r="U1587">
        <v>-1.053925</v>
      </c>
      <c r="V1587">
        <v>0.16015979999999999</v>
      </c>
      <c r="W1587">
        <v>0.1772936</v>
      </c>
      <c r="X1587">
        <v>0.97103850000000003</v>
      </c>
      <c r="Y1587">
        <v>0.31609769999999998</v>
      </c>
      <c r="Z1587">
        <v>-1.1059670000000001E-2</v>
      </c>
      <c r="AA1587">
        <v>0.94866220000000001</v>
      </c>
      <c r="AB1587">
        <v>28</v>
      </c>
      <c r="AC1587">
        <v>13.117199999999899</v>
      </c>
      <c r="AD1587">
        <v>-1.109354170222</v>
      </c>
      <c r="AE1587">
        <v>-4.7533000000000198</v>
      </c>
      <c r="AF1587">
        <v>4.44489094767036</v>
      </c>
      <c r="AG1587">
        <v>-1.109354170222</v>
      </c>
      <c r="AH1587">
        <v>13.132385714878099</v>
      </c>
      <c r="AI1587">
        <v>94.574810408533594</v>
      </c>
      <c r="AJ1587">
        <v>71.300690433240106</v>
      </c>
      <c r="AK1587">
        <v>13.9085325169842</v>
      </c>
      <c r="AL1587">
        <v>79.787840570020805</v>
      </c>
      <c r="AM1587">
        <v>80.634150565349501</v>
      </c>
      <c r="AN1587">
        <v>0.99999997530962403</v>
      </c>
    </row>
    <row r="1588" spans="1:40" x14ac:dyDescent="0.25">
      <c r="A1588" t="str">
        <f>"20190312172115525"</f>
        <v>20190312172115525</v>
      </c>
      <c r="B1588" t="str">
        <f>"1552382475522298"</f>
        <v>1552382475522298</v>
      </c>
      <c r="C1588" t="s">
        <v>40</v>
      </c>
      <c r="D1588">
        <v>3.2536679999999998</v>
      </c>
      <c r="E1588">
        <v>0.56402280000000005</v>
      </c>
      <c r="F1588" t="s">
        <v>44</v>
      </c>
      <c r="G1588">
        <v>-200.1936</v>
      </c>
      <c r="H1588" s="1">
        <v>-2.0857440000000002E-6</v>
      </c>
      <c r="I1588">
        <v>362.18770000000001</v>
      </c>
      <c r="J1588">
        <v>-213.33869999999999</v>
      </c>
      <c r="K1588">
        <v>1.109286</v>
      </c>
      <c r="L1588">
        <v>367.04950000000002</v>
      </c>
      <c r="M1588">
        <v>0.9996758</v>
      </c>
      <c r="N1588">
        <v>0</v>
      </c>
      <c r="O1588">
        <v>-2.2091469999999998E-2</v>
      </c>
      <c r="P1588">
        <v>0.96890569999999998</v>
      </c>
      <c r="Q1588">
        <v>0.1651234</v>
      </c>
      <c r="R1588">
        <v>-0.1842724</v>
      </c>
      <c r="S1588">
        <v>2.9360659999999998</v>
      </c>
      <c r="T1588">
        <v>-0.24470210000000001</v>
      </c>
      <c r="U1588">
        <v>-1.073364</v>
      </c>
      <c r="V1588">
        <v>0.1632371</v>
      </c>
      <c r="W1588">
        <v>0.1770515</v>
      </c>
      <c r="X1588">
        <v>0.97057009999999999</v>
      </c>
      <c r="Y1588">
        <v>0.3216058</v>
      </c>
      <c r="Z1588">
        <v>-1.1182340000000001E-2</v>
      </c>
      <c r="AA1588">
        <v>0.94680759999999997</v>
      </c>
      <c r="AB1588">
        <v>28</v>
      </c>
      <c r="AC1588">
        <v>13.1450999999999</v>
      </c>
      <c r="AD1588">
        <v>-1.109288085744</v>
      </c>
      <c r="AE1588">
        <v>-4.8618000000000103</v>
      </c>
      <c r="AF1588">
        <v>4.5417441660678302</v>
      </c>
      <c r="AG1588">
        <v>-1.109288085744</v>
      </c>
      <c r="AH1588">
        <v>13.1668221984926</v>
      </c>
      <c r="AI1588">
        <v>94.553639011609903</v>
      </c>
      <c r="AJ1588">
        <v>70.968713559359301</v>
      </c>
      <c r="AK1588">
        <v>13.972228416895501</v>
      </c>
      <c r="AL1588">
        <v>79.801934610022897</v>
      </c>
      <c r="AM1588">
        <v>80.452954304533904</v>
      </c>
      <c r="AN1588">
        <v>0.99999995174133305</v>
      </c>
    </row>
    <row r="1589" spans="1:40" x14ac:dyDescent="0.25">
      <c r="A1589" t="str">
        <f>"20190312172115537"</f>
        <v>20190312172115537</v>
      </c>
      <c r="B1589" t="str">
        <f>"1552382475532057"</f>
        <v>1552382475532057</v>
      </c>
      <c r="C1589" t="s">
        <v>40</v>
      </c>
      <c r="D1589">
        <v>3.2564310000000001</v>
      </c>
      <c r="E1589">
        <v>0.56383899999999998</v>
      </c>
      <c r="F1589" t="s">
        <v>44</v>
      </c>
      <c r="G1589">
        <v>-200.05959999999999</v>
      </c>
      <c r="H1589" s="1">
        <v>-2.0144659999999998E-6</v>
      </c>
      <c r="I1589">
        <v>362.1576</v>
      </c>
      <c r="J1589">
        <v>-213.18559999999999</v>
      </c>
      <c r="K1589">
        <v>1.109218</v>
      </c>
      <c r="L1589">
        <v>367.0453</v>
      </c>
      <c r="M1589">
        <v>0.99965760000000004</v>
      </c>
      <c r="N1589">
        <v>0</v>
      </c>
      <c r="O1589">
        <v>-2.2892099999999999E-2</v>
      </c>
      <c r="P1589">
        <v>0.96816780000000002</v>
      </c>
      <c r="Q1589">
        <v>0.16543359999999999</v>
      </c>
      <c r="R1589">
        <v>-0.1878378</v>
      </c>
      <c r="S1589">
        <v>2.9325709999999998</v>
      </c>
      <c r="T1589">
        <v>-0.24497579999999999</v>
      </c>
      <c r="U1589">
        <v>-1.080322</v>
      </c>
      <c r="V1589">
        <v>0.16606889999999999</v>
      </c>
      <c r="W1589">
        <v>0.17732229999999999</v>
      </c>
      <c r="X1589">
        <v>0.97004009999999996</v>
      </c>
      <c r="Y1589">
        <v>0.323185099999999</v>
      </c>
      <c r="Z1589">
        <v>-1.1202139999999999E-2</v>
      </c>
      <c r="AA1589">
        <v>0.94626949999999999</v>
      </c>
      <c r="AB1589">
        <v>28</v>
      </c>
      <c r="AC1589">
        <v>13.125999999999999</v>
      </c>
      <c r="AD1589">
        <v>-1.109220014466</v>
      </c>
      <c r="AE1589">
        <v>-4.8876999999999899</v>
      </c>
      <c r="AF1589">
        <v>4.5573313945803502</v>
      </c>
      <c r="AG1589">
        <v>-1.109220014466</v>
      </c>
      <c r="AH1589">
        <v>13.1519746348221</v>
      </c>
      <c r="AI1589">
        <v>94.556272804255698</v>
      </c>
      <c r="AJ1589">
        <v>70.888129215375201</v>
      </c>
      <c r="AK1589">
        <v>13.9633117588745</v>
      </c>
      <c r="AL1589">
        <v>79.786169307536099</v>
      </c>
      <c r="AM1589">
        <v>80.285256996557294</v>
      </c>
      <c r="AN1589">
        <v>0.99999993661625297</v>
      </c>
    </row>
    <row r="1590" spans="1:40" x14ac:dyDescent="0.25">
      <c r="A1590" t="str">
        <f>"20190312172115549"</f>
        <v>20190312172115549</v>
      </c>
      <c r="B1590" t="str">
        <f>"1552382475542793"</f>
        <v>1552382475542793</v>
      </c>
      <c r="C1590" t="s">
        <v>40</v>
      </c>
      <c r="D1590">
        <v>3.2445580000000001</v>
      </c>
      <c r="E1590">
        <v>0.56363099999999999</v>
      </c>
      <c r="F1590" t="s">
        <v>44</v>
      </c>
      <c r="G1590">
        <v>-199.86500000000001</v>
      </c>
      <c r="H1590" s="1">
        <v>-9.9531609999999998E-6</v>
      </c>
      <c r="I1590">
        <v>362.09039999999999</v>
      </c>
      <c r="J1590">
        <v>-213.0273</v>
      </c>
      <c r="K1590">
        <v>1.109143</v>
      </c>
      <c r="L1590">
        <v>367.04070000000002</v>
      </c>
      <c r="M1590">
        <v>0.99963670000000004</v>
      </c>
      <c r="N1590">
        <v>0</v>
      </c>
      <c r="O1590">
        <v>-2.379361E-2</v>
      </c>
      <c r="P1590">
        <v>0.96744830000000004</v>
      </c>
      <c r="Q1590">
        <v>0.16528099999999901</v>
      </c>
      <c r="R1590">
        <v>-0.19164139999999999</v>
      </c>
      <c r="S1590">
        <v>2.9289399999999999</v>
      </c>
      <c r="T1590">
        <v>-0.2438979</v>
      </c>
      <c r="U1590">
        <v>-1.0894779999999999</v>
      </c>
      <c r="V1590">
        <v>0.16904330000000001</v>
      </c>
      <c r="W1590">
        <v>0.17712749999999999</v>
      </c>
      <c r="X1590">
        <v>0.96956189999999998</v>
      </c>
      <c r="Y1590">
        <v>0.325316099999999</v>
      </c>
      <c r="Z1590">
        <v>-1.117347E-2</v>
      </c>
      <c r="AA1590">
        <v>0.94553929999999997</v>
      </c>
      <c r="AB1590">
        <v>28</v>
      </c>
      <c r="AC1590">
        <v>13.162299999999901</v>
      </c>
      <c r="AD1590">
        <v>-1.109152953161</v>
      </c>
      <c r="AE1590">
        <v>-4.9503000000000199</v>
      </c>
      <c r="AF1590">
        <v>4.6070340300023398</v>
      </c>
      <c r="AG1590">
        <v>-1.109152953161</v>
      </c>
      <c r="AH1590">
        <v>13.1942858482651</v>
      </c>
      <c r="AI1590">
        <v>94.537724257376894</v>
      </c>
      <c r="AJ1590">
        <v>70.752387567166707</v>
      </c>
      <c r="AK1590">
        <v>14.019420882220199</v>
      </c>
      <c r="AL1590">
        <v>79.797511041990305</v>
      </c>
      <c r="AM1590">
        <v>80.109883601034397</v>
      </c>
      <c r="AN1590">
        <v>1.0000000332313701</v>
      </c>
    </row>
    <row r="1591" spans="1:40" x14ac:dyDescent="0.25">
      <c r="A1591" t="str">
        <f>"20190312172115560"</f>
        <v>20190312172115560</v>
      </c>
      <c r="B1591" t="str">
        <f>"1552382475552553"</f>
        <v>1552382475552553</v>
      </c>
      <c r="C1591" t="s">
        <v>40</v>
      </c>
      <c r="D1591">
        <v>3.2406959999999998</v>
      </c>
      <c r="E1591">
        <v>0.56363099999999999</v>
      </c>
      <c r="F1591" t="s">
        <v>44</v>
      </c>
      <c r="G1591">
        <v>-199.7654</v>
      </c>
      <c r="H1591" s="1">
        <v>-9.9217270000000008E-6</v>
      </c>
      <c r="I1591">
        <v>362.05700000000002</v>
      </c>
      <c r="J1591">
        <v>-212.89680000000001</v>
      </c>
      <c r="K1591">
        <v>1.109078</v>
      </c>
      <c r="L1591">
        <v>367.0369</v>
      </c>
      <c r="M1591">
        <v>0.99961809999999995</v>
      </c>
      <c r="N1591">
        <v>0</v>
      </c>
      <c r="O1591">
        <v>-2.4557579999999999E-2</v>
      </c>
      <c r="P1591">
        <v>0.96677219999999997</v>
      </c>
      <c r="Q1591">
        <v>0.1650295</v>
      </c>
      <c r="R1591">
        <v>-0.1952353</v>
      </c>
      <c r="S1591">
        <v>2.9249879999999999</v>
      </c>
      <c r="T1591">
        <v>-0.2446295</v>
      </c>
      <c r="U1591">
        <v>-1.0991820000000001</v>
      </c>
      <c r="V1591">
        <v>0.17193629999999999</v>
      </c>
      <c r="W1591">
        <v>0.17683750000000001</v>
      </c>
      <c r="X1591">
        <v>0.96910600000000002</v>
      </c>
      <c r="Y1591">
        <v>0.3277504</v>
      </c>
      <c r="Z1591">
        <v>-1.1251509999999999E-2</v>
      </c>
      <c r="AA1591">
        <v>0.94469729999999996</v>
      </c>
      <c r="AB1591">
        <v>28</v>
      </c>
      <c r="AC1591">
        <v>13.131399999999999</v>
      </c>
      <c r="AD1591">
        <v>-1.109087921727</v>
      </c>
      <c r="AE1591">
        <v>-4.9799000000000397</v>
      </c>
      <c r="AF1591">
        <v>4.6270393248394903</v>
      </c>
      <c r="AG1591">
        <v>-1.109087921727</v>
      </c>
      <c r="AH1591">
        <v>13.1676212668294</v>
      </c>
      <c r="AI1591">
        <v>94.543465382227197</v>
      </c>
      <c r="AJ1591">
        <v>70.638767963934001</v>
      </c>
      <c r="AK1591">
        <v>14.000922068149301</v>
      </c>
      <c r="AL1591">
        <v>79.814393143332197</v>
      </c>
      <c r="AM1591">
        <v>79.939416890275993</v>
      </c>
      <c r="AN1591">
        <v>1.00000001594996</v>
      </c>
    </row>
    <row r="1592" spans="1:40" x14ac:dyDescent="0.25">
      <c r="A1592" t="str">
        <f>"20190312172115571"</f>
        <v>20190312172115571</v>
      </c>
      <c r="B1592" t="str">
        <f>"1552382475562314"</f>
        <v>1552382475562314</v>
      </c>
      <c r="C1592" t="s">
        <v>40</v>
      </c>
      <c r="D1592">
        <v>3.2595320000000001</v>
      </c>
      <c r="E1592">
        <v>0.56064539999999996</v>
      </c>
      <c r="F1592" t="s">
        <v>44</v>
      </c>
      <c r="G1592">
        <v>-199.70050000000001</v>
      </c>
      <c r="H1592" s="1">
        <v>-9.9032429999999996E-6</v>
      </c>
      <c r="I1592">
        <v>362.0215</v>
      </c>
      <c r="J1592">
        <v>-212.75880000000001</v>
      </c>
      <c r="K1592">
        <v>1.1090059999999999</v>
      </c>
      <c r="L1592">
        <v>367.03250000000003</v>
      </c>
      <c r="M1592">
        <v>0.99959569999999998</v>
      </c>
      <c r="N1592">
        <v>0</v>
      </c>
      <c r="O1592">
        <v>-2.5452160000000001E-2</v>
      </c>
      <c r="P1592">
        <v>0.96605969999999997</v>
      </c>
      <c r="Q1592">
        <v>0.16501060000000001</v>
      </c>
      <c r="R1592">
        <v>-0.1987469</v>
      </c>
      <c r="S1592">
        <v>2.9208219999999998</v>
      </c>
      <c r="T1592">
        <v>-0.2454819</v>
      </c>
      <c r="U1592">
        <v>-1.110077</v>
      </c>
      <c r="V1592">
        <v>0.17462610000000001</v>
      </c>
      <c r="W1592">
        <v>0.1767765</v>
      </c>
      <c r="X1592">
        <v>0.96863600000000005</v>
      </c>
      <c r="Y1592">
        <v>0.33041749999999998</v>
      </c>
      <c r="Z1592">
        <v>-1.1334230000000001E-2</v>
      </c>
      <c r="AA1592">
        <v>0.94376680000000002</v>
      </c>
      <c r="AB1592">
        <v>28</v>
      </c>
      <c r="AC1592">
        <v>13.058299999999999</v>
      </c>
      <c r="AD1592">
        <v>-1.109015903243</v>
      </c>
      <c r="AE1592">
        <v>-5.0110000000000197</v>
      </c>
      <c r="AF1592">
        <v>4.6477673569197204</v>
      </c>
      <c r="AG1592">
        <v>-1.109015903243</v>
      </c>
      <c r="AH1592">
        <v>13.099265260012301</v>
      </c>
      <c r="AI1592">
        <v>94.561904658194607</v>
      </c>
      <c r="AJ1592">
        <v>70.464739826964205</v>
      </c>
      <c r="AK1592">
        <v>13.9435435965847</v>
      </c>
      <c r="AL1592">
        <v>79.817943483184706</v>
      </c>
      <c r="AM1592">
        <v>79.780464668071104</v>
      </c>
      <c r="AN1592">
        <v>0.999999953124729</v>
      </c>
    </row>
    <row r="1593" spans="1:40" x14ac:dyDescent="0.25">
      <c r="A1593" t="str">
        <f>"20190312172115582"</f>
        <v>20190312172115582</v>
      </c>
      <c r="B1593" t="str">
        <f>"1552382475572074"</f>
        <v>1552382475572074</v>
      </c>
      <c r="C1593" t="s">
        <v>40</v>
      </c>
      <c r="D1593">
        <v>3.246505</v>
      </c>
      <c r="E1593">
        <v>0.56053350000000002</v>
      </c>
      <c r="F1593" t="s">
        <v>44</v>
      </c>
      <c r="G1593">
        <v>-199.3766</v>
      </c>
      <c r="H1593" s="1">
        <v>-9.7877549999999999E-6</v>
      </c>
      <c r="I1593">
        <v>362.00580000000002</v>
      </c>
      <c r="J1593">
        <v>-212.62870000000001</v>
      </c>
      <c r="K1593">
        <v>1.1089359999999999</v>
      </c>
      <c r="L1593">
        <v>367.02839999999998</v>
      </c>
      <c r="M1593">
        <v>0.99957359999999995</v>
      </c>
      <c r="N1593">
        <v>0</v>
      </c>
      <c r="O1593">
        <v>-2.6312470000000001E-2</v>
      </c>
      <c r="P1593">
        <v>0.96534719999999996</v>
      </c>
      <c r="Q1593">
        <v>0.16467370000000001</v>
      </c>
      <c r="R1593">
        <v>-0.2024542</v>
      </c>
      <c r="S1593">
        <v>2.9210210000000001</v>
      </c>
      <c r="T1593">
        <v>-0.24207380000000001</v>
      </c>
      <c r="U1593">
        <v>-1.097229</v>
      </c>
      <c r="V1593">
        <v>0.17754349999999999</v>
      </c>
      <c r="W1593">
        <v>0.17639679999999999</v>
      </c>
      <c r="X1593">
        <v>0.9681748</v>
      </c>
      <c r="Y1593">
        <v>0.3259881</v>
      </c>
      <c r="Z1593">
        <v>-1.093912E-2</v>
      </c>
      <c r="AA1593">
        <v>0.9453106</v>
      </c>
      <c r="AB1593">
        <v>28</v>
      </c>
      <c r="AC1593">
        <v>13.2521</v>
      </c>
      <c r="AD1593">
        <v>-1.108945787755</v>
      </c>
      <c r="AE1593">
        <v>-5.02259999999995</v>
      </c>
      <c r="AF1593">
        <v>4.64370415796974</v>
      </c>
      <c r="AG1593">
        <v>-1.108945787755</v>
      </c>
      <c r="AH1593">
        <v>13.2982540808176</v>
      </c>
      <c r="AI1593">
        <v>94.501517853747302</v>
      </c>
      <c r="AJ1593">
        <v>70.750975663513501</v>
      </c>
      <c r="AK1593">
        <v>14.1293068005797</v>
      </c>
      <c r="AL1593">
        <v>79.840046352348395</v>
      </c>
      <c r="AM1593">
        <v>79.608577955188196</v>
      </c>
      <c r="AN1593">
        <v>0.99999998439876403</v>
      </c>
    </row>
    <row r="1594" spans="1:40" x14ac:dyDescent="0.25">
      <c r="A1594" t="str">
        <f>"20190312172115593"</f>
        <v>20190312172115593</v>
      </c>
      <c r="B1594" t="str">
        <f>"1552382475582335"</f>
        <v>1552382475582335</v>
      </c>
      <c r="C1594" t="s">
        <v>40</v>
      </c>
      <c r="D1594">
        <v>3.2575669999999999</v>
      </c>
      <c r="E1594">
        <v>0.56036209999999997</v>
      </c>
      <c r="F1594" t="s">
        <v>44</v>
      </c>
      <c r="G1594">
        <v>-199.39949999999999</v>
      </c>
      <c r="H1594" s="1">
        <v>-9.7959659999999994E-6</v>
      </c>
      <c r="I1594">
        <v>362.00659999999999</v>
      </c>
      <c r="J1594">
        <v>-212.49019999999999</v>
      </c>
      <c r="K1594">
        <v>1.10886</v>
      </c>
      <c r="L1594">
        <v>367.02370000000002</v>
      </c>
      <c r="M1594">
        <v>0.99954690000000002</v>
      </c>
      <c r="N1594">
        <v>0</v>
      </c>
      <c r="O1594">
        <v>-2.7298920000000001E-2</v>
      </c>
      <c r="P1594">
        <v>0.9645975</v>
      </c>
      <c r="Q1594">
        <v>0.16451660000000001</v>
      </c>
      <c r="R1594">
        <v>-0.20612159999999999</v>
      </c>
      <c r="S1594">
        <v>2.9171450000000001</v>
      </c>
      <c r="T1594">
        <v>-0.2445319</v>
      </c>
      <c r="U1594">
        <v>-1.107361</v>
      </c>
      <c r="V1594">
        <v>0.18030350000000001</v>
      </c>
      <c r="W1594">
        <v>0.1761945</v>
      </c>
      <c r="X1594">
        <v>0.96770149999999999</v>
      </c>
      <c r="Y1594">
        <v>0.32831769999999999</v>
      </c>
      <c r="Z1594">
        <v>-1.107168E-2</v>
      </c>
      <c r="AA1594">
        <v>0.94450250000000002</v>
      </c>
      <c r="AB1594">
        <v>28</v>
      </c>
      <c r="AC1594">
        <v>13.090699999999901</v>
      </c>
      <c r="AD1594">
        <v>-1.1088697959660001</v>
      </c>
      <c r="AE1594">
        <v>-5.0171000000000197</v>
      </c>
      <c r="AF1594">
        <v>4.6288796985412901</v>
      </c>
      <c r="AG1594">
        <v>-1.1088697959660001</v>
      </c>
      <c r="AH1594">
        <v>13.1405819559224</v>
      </c>
      <c r="AI1594">
        <v>94.550658873363204</v>
      </c>
      <c r="AJ1594">
        <v>70.594762141429499</v>
      </c>
      <c r="AK1594">
        <v>13.9760872073799</v>
      </c>
      <c r="AL1594">
        <v>79.851822124550395</v>
      </c>
      <c r="AM1594">
        <v>79.445593900357295</v>
      </c>
      <c r="AN1594">
        <v>1.0000000235223701</v>
      </c>
    </row>
    <row r="1595" spans="1:40" x14ac:dyDescent="0.25">
      <c r="A1595" t="str">
        <f>"20190312172115604"</f>
        <v>20190312172115604</v>
      </c>
      <c r="B1595" t="str">
        <f>"1552382475592095"</f>
        <v>1552382475592095</v>
      </c>
      <c r="C1595" t="s">
        <v>40</v>
      </c>
      <c r="D1595">
        <v>3.2755070000000002</v>
      </c>
      <c r="E1595">
        <v>0.5601062</v>
      </c>
      <c r="F1595" t="s">
        <v>44</v>
      </c>
      <c r="G1595">
        <v>-199.3664</v>
      </c>
      <c r="H1595" s="1">
        <v>-9.7862400000000007E-6</v>
      </c>
      <c r="I1595">
        <v>361.99029999999999</v>
      </c>
      <c r="J1595">
        <v>-212.35480000000001</v>
      </c>
      <c r="K1595">
        <v>1.1087849999999999</v>
      </c>
      <c r="L1595">
        <v>367.01900000000001</v>
      </c>
      <c r="M1595">
        <v>0.99951909999999999</v>
      </c>
      <c r="N1595">
        <v>0</v>
      </c>
      <c r="O1595">
        <v>-2.8299439999999999E-2</v>
      </c>
      <c r="P1595">
        <v>0.96387210000000001</v>
      </c>
      <c r="Q1595">
        <v>0.16425300000000001</v>
      </c>
      <c r="R1595">
        <v>-0.20969470000000001</v>
      </c>
      <c r="S1595">
        <v>2.9133300000000002</v>
      </c>
      <c r="T1595">
        <v>-0.24615480000000001</v>
      </c>
      <c r="U1595">
        <v>-1.11734</v>
      </c>
      <c r="V1595">
        <v>0.18295510000000001</v>
      </c>
      <c r="W1595">
        <v>0.1758856</v>
      </c>
      <c r="X1595">
        <v>0.96725989999999995</v>
      </c>
      <c r="Y1595">
        <v>0.33058850000000001</v>
      </c>
      <c r="Z1595">
        <v>-1.116321E-2</v>
      </c>
      <c r="AA1595">
        <v>0.94370900000000002</v>
      </c>
      <c r="AB1595">
        <v>28</v>
      </c>
      <c r="AC1595">
        <v>12.9884</v>
      </c>
      <c r="AD1595">
        <v>-1.1087947862400001</v>
      </c>
      <c r="AE1595">
        <v>-5.0287000000000104</v>
      </c>
      <c r="AF1595">
        <v>4.6297497191916701</v>
      </c>
      <c r="AG1595">
        <v>-1.1087947862400001</v>
      </c>
      <c r="AH1595">
        <v>13.0428564060103</v>
      </c>
      <c r="AI1595">
        <v>94.580420871851999</v>
      </c>
      <c r="AJ1595">
        <v>70.456949055450707</v>
      </c>
      <c r="AK1595">
        <v>13.884527776203001</v>
      </c>
      <c r="AL1595">
        <v>79.869801473147902</v>
      </c>
      <c r="AM1595">
        <v>79.289165451135503</v>
      </c>
      <c r="AN1595">
        <v>1.0000000135256899</v>
      </c>
    </row>
    <row r="1596" spans="1:40" x14ac:dyDescent="0.25">
      <c r="A1596" t="str">
        <f>"20190312172115615"</f>
        <v>20190312172115615</v>
      </c>
      <c r="B1596" t="str">
        <f>"1552382475612590"</f>
        <v>1552382475612590</v>
      </c>
      <c r="C1596" t="s">
        <v>40</v>
      </c>
      <c r="D1596">
        <v>3.2803089999999901</v>
      </c>
      <c r="E1596">
        <v>0.55958280000000005</v>
      </c>
      <c r="F1596" t="s">
        <v>44</v>
      </c>
      <c r="G1596">
        <v>-199.34690000000001</v>
      </c>
      <c r="H1596" s="1">
        <v>-9.7795649999999996E-6</v>
      </c>
      <c r="I1596">
        <v>361.98739999999998</v>
      </c>
      <c r="J1596">
        <v>-212.2131</v>
      </c>
      <c r="K1596">
        <v>1.1087049999999901</v>
      </c>
      <c r="L1596">
        <v>367.01389999999998</v>
      </c>
      <c r="M1596">
        <v>0.99948720000000002</v>
      </c>
      <c r="N1596">
        <v>0</v>
      </c>
      <c r="O1596">
        <v>-2.9403769999999999E-2</v>
      </c>
      <c r="P1596">
        <v>0.96307790000000004</v>
      </c>
      <c r="Q1596">
        <v>0.1638568</v>
      </c>
      <c r="R1596">
        <v>-0.21361730000000001</v>
      </c>
      <c r="S1596">
        <v>2.9098820000000001</v>
      </c>
      <c r="T1596">
        <v>-0.2480385</v>
      </c>
      <c r="U1596">
        <v>-1.12558</v>
      </c>
      <c r="V1596">
        <v>0.18585989999999999</v>
      </c>
      <c r="W1596">
        <v>0.1754396</v>
      </c>
      <c r="X1596">
        <v>0.96678699999999995</v>
      </c>
      <c r="Y1596">
        <v>0.33222929999999901</v>
      </c>
      <c r="Z1596">
        <v>-1.1232229999999999E-2</v>
      </c>
      <c r="AA1596">
        <v>0.94313179999999996</v>
      </c>
      <c r="AB1596">
        <v>28</v>
      </c>
      <c r="AC1596">
        <v>12.8661999999999</v>
      </c>
      <c r="AD1596">
        <v>-1.1087147795650001</v>
      </c>
      <c r="AE1596">
        <v>-5.0264999999999898</v>
      </c>
      <c r="AF1596">
        <v>4.61624121736644</v>
      </c>
      <c r="AG1596">
        <v>-1.1087147795650001</v>
      </c>
      <c r="AH1596">
        <v>12.925176223814599</v>
      </c>
      <c r="AI1596">
        <v>94.618433815225998</v>
      </c>
      <c r="AJ1596">
        <v>70.345755863566595</v>
      </c>
      <c r="AK1596">
        <v>13.7694993320746</v>
      </c>
      <c r="AL1596">
        <v>79.895759182684301</v>
      </c>
      <c r="AM1596">
        <v>79.117940705976196</v>
      </c>
      <c r="AN1596">
        <v>1.0000000295225799</v>
      </c>
    </row>
    <row r="1597" spans="1:40" x14ac:dyDescent="0.25">
      <c r="A1597" t="str">
        <f>"20190312172115626"</f>
        <v>20190312172115626</v>
      </c>
      <c r="B1597" t="str">
        <f>"1552382475622351"</f>
        <v>1552382475622351</v>
      </c>
      <c r="C1597" t="s">
        <v>40</v>
      </c>
      <c r="D1597">
        <v>3.2470919999999999</v>
      </c>
      <c r="E1597">
        <v>0.55944249999999995</v>
      </c>
      <c r="F1597" t="s">
        <v>44</v>
      </c>
      <c r="G1597">
        <v>-199.2867</v>
      </c>
      <c r="H1597" s="1">
        <v>-9.7593509999999994E-6</v>
      </c>
      <c r="I1597">
        <v>361.97590000000002</v>
      </c>
      <c r="J1597">
        <v>-212.08410000000001</v>
      </c>
      <c r="K1597">
        <v>1.108627</v>
      </c>
      <c r="L1597">
        <v>367.00909999999999</v>
      </c>
      <c r="M1597">
        <v>0.99945550000000005</v>
      </c>
      <c r="N1597">
        <v>0</v>
      </c>
      <c r="O1597">
        <v>-3.046223E-2</v>
      </c>
      <c r="P1597">
        <v>0.96226979999999995</v>
      </c>
      <c r="Q1597">
        <v>0.16360079999999999</v>
      </c>
      <c r="R1597">
        <v>-0.21742040000000001</v>
      </c>
      <c r="S1597">
        <v>2.9062039999999998</v>
      </c>
      <c r="T1597">
        <v>-0.2492703</v>
      </c>
      <c r="U1597">
        <v>-1.13269</v>
      </c>
      <c r="V1597">
        <v>0.18868940000000001</v>
      </c>
      <c r="W1597">
        <v>0.17513589999999901</v>
      </c>
      <c r="X1597">
        <v>0.96629379999999998</v>
      </c>
      <c r="Y1597">
        <v>0.33362520000000001</v>
      </c>
      <c r="Z1597">
        <v>-1.126681E-2</v>
      </c>
      <c r="AA1597">
        <v>0.94263850000000005</v>
      </c>
      <c r="AB1597">
        <v>28</v>
      </c>
      <c r="AC1597">
        <v>12.7974</v>
      </c>
      <c r="AD1597">
        <v>-1.108636759351</v>
      </c>
      <c r="AE1597">
        <v>-5.0331999999999599</v>
      </c>
      <c r="AF1597">
        <v>4.6110263137846799</v>
      </c>
      <c r="AG1597">
        <v>-1.108636759351</v>
      </c>
      <c r="AH1597">
        <v>12.861204962732099</v>
      </c>
      <c r="AI1597">
        <v>94.638971357667899</v>
      </c>
      <c r="AJ1597">
        <v>70.276120840325703</v>
      </c>
      <c r="AK1597">
        <v>13.707707037429801</v>
      </c>
      <c r="AL1597">
        <v>79.913433161090396</v>
      </c>
      <c r="AM1597">
        <v>78.9508194931107</v>
      </c>
      <c r="AN1597">
        <v>0.99999999052980504</v>
      </c>
    </row>
    <row r="1598" spans="1:40" x14ac:dyDescent="0.25">
      <c r="A1598" t="str">
        <f>"20190312172115636"</f>
        <v>20190312172115636</v>
      </c>
      <c r="B1598" t="str">
        <f>"1552382475632111"</f>
        <v>1552382475632111</v>
      </c>
      <c r="C1598" t="s">
        <v>40</v>
      </c>
      <c r="D1598">
        <v>3.2932049999999999</v>
      </c>
      <c r="E1598">
        <v>0.55944249999999995</v>
      </c>
      <c r="F1598" t="s">
        <v>44</v>
      </c>
      <c r="G1598">
        <v>-199.20740000000001</v>
      </c>
      <c r="H1598" s="1">
        <v>-9.7360630000000003E-6</v>
      </c>
      <c r="I1598">
        <v>361.93709999999999</v>
      </c>
      <c r="J1598">
        <v>-211.94749999999999</v>
      </c>
      <c r="K1598">
        <v>1.1085469999999999</v>
      </c>
      <c r="L1598">
        <v>367.00369999999998</v>
      </c>
      <c r="M1598">
        <v>0.99941939999999996</v>
      </c>
      <c r="N1598">
        <v>0</v>
      </c>
      <c r="O1598">
        <v>-3.162309E-2</v>
      </c>
      <c r="P1598">
        <v>0.96146900000000002</v>
      </c>
      <c r="Q1598">
        <v>0.16309189999999901</v>
      </c>
      <c r="R1598">
        <v>-0.2213117</v>
      </c>
      <c r="S1598">
        <v>2.9018709999999999</v>
      </c>
      <c r="T1598">
        <v>-0.2498397</v>
      </c>
      <c r="U1598">
        <v>-1.1430049999999901</v>
      </c>
      <c r="V1598">
        <v>0.1915096</v>
      </c>
      <c r="W1598">
        <v>0.17457719999999999</v>
      </c>
      <c r="X1598">
        <v>0.96584000000000003</v>
      </c>
      <c r="Y1598">
        <v>0.33590100000000001</v>
      </c>
      <c r="Z1598">
        <v>-1.129952E-2</v>
      </c>
      <c r="AA1598">
        <v>0.94182949999999999</v>
      </c>
      <c r="AB1598">
        <v>28</v>
      </c>
      <c r="AC1598">
        <v>12.740099999999901</v>
      </c>
      <c r="AD1598">
        <v>-1.108556736063</v>
      </c>
      <c r="AE1598">
        <v>-5.0665999999999896</v>
      </c>
      <c r="AF1598">
        <v>4.6308781260364098</v>
      </c>
      <c r="AG1598">
        <v>-1.108556736063</v>
      </c>
      <c r="AH1598">
        <v>12.810216554547999</v>
      </c>
      <c r="AI1598">
        <v>94.652623489923499</v>
      </c>
      <c r="AJ1598">
        <v>70.1251367299311</v>
      </c>
      <c r="AK1598">
        <v>13.666586202475299</v>
      </c>
      <c r="AL1598">
        <v>79.945945451858904</v>
      </c>
      <c r="AM1598">
        <v>78.784694821642802</v>
      </c>
      <c r="AN1598">
        <v>1.0000000156259901</v>
      </c>
    </row>
    <row r="1599" spans="1:40" x14ac:dyDescent="0.25">
      <c r="A1599" t="str">
        <f>"20190312172115647"</f>
        <v>20190312172115647</v>
      </c>
      <c r="B1599" t="str">
        <f>"1552382475642846"</f>
        <v>1552382475642846</v>
      </c>
      <c r="C1599" t="s">
        <v>40</v>
      </c>
      <c r="D1599">
        <v>3.2937449999999999</v>
      </c>
      <c r="E1599">
        <v>0.55682889999999996</v>
      </c>
      <c r="F1599" t="s">
        <v>44</v>
      </c>
      <c r="G1599">
        <v>-199.18879999999999</v>
      </c>
      <c r="H1599" s="1">
        <v>-9.7315210000000007E-6</v>
      </c>
      <c r="I1599">
        <v>361.92160000000001</v>
      </c>
      <c r="J1599">
        <v>-211.8169</v>
      </c>
      <c r="K1599">
        <v>1.1084700000000001</v>
      </c>
      <c r="L1599">
        <v>366.9984</v>
      </c>
      <c r="M1599">
        <v>0.99938139999999998</v>
      </c>
      <c r="N1599">
        <v>0</v>
      </c>
      <c r="O1599">
        <v>-3.2802659999999997E-2</v>
      </c>
      <c r="P1599">
        <v>0.96060319999999999</v>
      </c>
      <c r="Q1599">
        <v>0.1628549</v>
      </c>
      <c r="R1599">
        <v>-0.2252113</v>
      </c>
      <c r="S1599">
        <v>2.897278</v>
      </c>
      <c r="T1599">
        <v>-0.25173230000000002</v>
      </c>
      <c r="U1599">
        <v>-1.154053</v>
      </c>
      <c r="V1599">
        <v>0.19432430000000001</v>
      </c>
      <c r="W1599">
        <v>0.17428850000000001</v>
      </c>
      <c r="X1599">
        <v>0.96532980000000002</v>
      </c>
      <c r="Y1599">
        <v>0.33838099999999999</v>
      </c>
      <c r="Z1599">
        <v>-1.1399309999999999E-2</v>
      </c>
      <c r="AA1599">
        <v>0.94094009999999995</v>
      </c>
      <c r="AB1599">
        <v>28</v>
      </c>
      <c r="AC1599">
        <v>12.6281</v>
      </c>
      <c r="AD1599">
        <v>-1.108479731521</v>
      </c>
      <c r="AE1599">
        <v>-5.0767999999999898</v>
      </c>
      <c r="AF1599">
        <v>4.62909381683364</v>
      </c>
      <c r="AG1599">
        <v>-1.108479731521</v>
      </c>
      <c r="AH1599">
        <v>12.7035853155142</v>
      </c>
      <c r="AI1599">
        <v>94.686846277724598</v>
      </c>
      <c r="AJ1599">
        <v>69.978628650257505</v>
      </c>
      <c r="AK1599">
        <v>13.5660722668276</v>
      </c>
      <c r="AL1599">
        <v>79.962744316946896</v>
      </c>
      <c r="AM1599">
        <v>78.618271153893701</v>
      </c>
      <c r="AN1599">
        <v>1.0000000187853899</v>
      </c>
    </row>
    <row r="1600" spans="1:40" x14ac:dyDescent="0.25">
      <c r="A1600" t="str">
        <f>"20190312172115658"</f>
        <v>20190312172115658</v>
      </c>
      <c r="B1600" t="str">
        <f>"1552382475652608"</f>
        <v>1552382475652608</v>
      </c>
      <c r="C1600" t="s">
        <v>40</v>
      </c>
      <c r="D1600">
        <v>3.2755890000000001</v>
      </c>
      <c r="E1600">
        <v>0.55703159999999996</v>
      </c>
      <c r="F1600" t="s">
        <v>44</v>
      </c>
      <c r="G1600">
        <v>-198.93809999999999</v>
      </c>
      <c r="H1600" s="1">
        <v>-9.6420539999999996E-6</v>
      </c>
      <c r="I1600">
        <v>361.91</v>
      </c>
      <c r="J1600">
        <v>-211.6875</v>
      </c>
      <c r="K1600">
        <v>1.108387</v>
      </c>
      <c r="L1600">
        <v>366.99299999999999</v>
      </c>
      <c r="M1600">
        <v>0.99934140000000005</v>
      </c>
      <c r="N1600">
        <v>0</v>
      </c>
      <c r="O1600">
        <v>-3.399667E-2</v>
      </c>
      <c r="P1600">
        <v>0.95978289999999999</v>
      </c>
      <c r="Q1600">
        <v>0.1623512</v>
      </c>
      <c r="R1600">
        <v>-0.22904070000000001</v>
      </c>
      <c r="S1600">
        <v>2.896973</v>
      </c>
      <c r="T1600">
        <v>-0.24934319999999999</v>
      </c>
      <c r="U1600">
        <v>-1.1445920000000001</v>
      </c>
      <c r="V1600">
        <v>0.1970527</v>
      </c>
      <c r="W1600">
        <v>0.1737339</v>
      </c>
      <c r="X1600">
        <v>0.96487650000000003</v>
      </c>
      <c r="Y1600">
        <v>0.33466649999999998</v>
      </c>
      <c r="Z1600">
        <v>-1.1046739999999999E-2</v>
      </c>
      <c r="AA1600">
        <v>0.94227190000000005</v>
      </c>
      <c r="AB1600">
        <v>28</v>
      </c>
      <c r="AC1600">
        <v>12.7494</v>
      </c>
      <c r="AD1600">
        <v>-1.1083966420539999</v>
      </c>
      <c r="AE1600">
        <v>-5.0830000000000197</v>
      </c>
      <c r="AF1600">
        <v>4.6164829379193302</v>
      </c>
      <c r="AG1600">
        <v>-1.1083966420539999</v>
      </c>
      <c r="AH1600">
        <v>12.83116973868</v>
      </c>
      <c r="AI1600">
        <v>94.646918587333104</v>
      </c>
      <c r="AJ1600">
        <v>70.211948481397997</v>
      </c>
      <c r="AK1600">
        <v>13.681351347547301</v>
      </c>
      <c r="AL1600">
        <v>79.995012134108705</v>
      </c>
      <c r="AM1600">
        <v>78.457448246354403</v>
      </c>
      <c r="AN1600">
        <v>0.99999994741937304</v>
      </c>
    </row>
    <row r="1601" spans="1:40" x14ac:dyDescent="0.25">
      <c r="A1601" t="str">
        <f>"20190312172115669"</f>
        <v>20190312172115669</v>
      </c>
      <c r="B1601" t="str">
        <f>"1552382475662367"</f>
        <v>1552382475662367</v>
      </c>
      <c r="C1601" t="s">
        <v>40</v>
      </c>
      <c r="D1601">
        <v>3.2976529999999999</v>
      </c>
      <c r="E1601">
        <v>0.55710000000000004</v>
      </c>
      <c r="F1601" t="s">
        <v>44</v>
      </c>
      <c r="G1601">
        <v>-198.97900000000001</v>
      </c>
      <c r="H1601" s="1">
        <v>-9.6573229999999994E-6</v>
      </c>
      <c r="I1601">
        <v>361.90719999999999</v>
      </c>
      <c r="J1601">
        <v>-211.55240000000001</v>
      </c>
      <c r="K1601">
        <v>1.1083050000000001</v>
      </c>
      <c r="L1601">
        <v>366.98700000000002</v>
      </c>
      <c r="M1601">
        <v>0.9992953</v>
      </c>
      <c r="N1601">
        <v>0</v>
      </c>
      <c r="O1601">
        <v>-3.5324920000000003E-2</v>
      </c>
      <c r="P1601">
        <v>0.95887789999999995</v>
      </c>
      <c r="Q1601">
        <v>0.16225319999999999</v>
      </c>
      <c r="R1601">
        <v>-0.23286799999999999</v>
      </c>
      <c r="S1601">
        <v>2.8921809999999999</v>
      </c>
      <c r="T1601">
        <v>-0.25224780000000002</v>
      </c>
      <c r="U1601">
        <v>-1.15741</v>
      </c>
      <c r="V1601">
        <v>0.1996578</v>
      </c>
      <c r="W1601">
        <v>0.17358180000000001</v>
      </c>
      <c r="X1601">
        <v>0.96436829999999996</v>
      </c>
      <c r="Y1601">
        <v>0.33752280000000001</v>
      </c>
      <c r="Z1601">
        <v>-1.1192199999999999E-2</v>
      </c>
      <c r="AA1601">
        <v>0.94125080000000005</v>
      </c>
      <c r="AB1601">
        <v>28</v>
      </c>
      <c r="AC1601">
        <v>12.5733999999999</v>
      </c>
      <c r="AD1601">
        <v>-1.1083146573229901</v>
      </c>
      <c r="AE1601">
        <v>-5.0797999999999703</v>
      </c>
      <c r="AF1601">
        <v>4.6017009942754097</v>
      </c>
      <c r="AG1601">
        <v>-1.1083146573229901</v>
      </c>
      <c r="AH1601">
        <v>12.660441486542499</v>
      </c>
      <c r="AI1601">
        <v>94.703436261636</v>
      </c>
      <c r="AJ1601">
        <v>70.025271361026</v>
      </c>
      <c r="AK1601">
        <v>13.5163157722258</v>
      </c>
      <c r="AL1601">
        <v>80.003862294048901</v>
      </c>
      <c r="AM1601">
        <v>78.303035034057004</v>
      </c>
      <c r="AN1601">
        <v>1.0000000482184801</v>
      </c>
    </row>
    <row r="1602" spans="1:40" x14ac:dyDescent="0.25">
      <c r="A1602" t="str">
        <f>"20190312172115685"</f>
        <v>20190312172115685</v>
      </c>
      <c r="B1602" t="str">
        <f>"1552382475672127"</f>
        <v>1552382475672127</v>
      </c>
      <c r="C1602" t="s">
        <v>40</v>
      </c>
      <c r="D1602">
        <v>3.3015479999999999</v>
      </c>
      <c r="E1602">
        <v>0.55699350000000003</v>
      </c>
      <c r="F1602" t="s">
        <v>44</v>
      </c>
      <c r="G1602">
        <v>-198.91720000000001</v>
      </c>
      <c r="H1602" s="1">
        <v>-9.6402350000000004E-6</v>
      </c>
      <c r="I1602">
        <v>361.8698</v>
      </c>
      <c r="J1602">
        <v>-211.3663</v>
      </c>
      <c r="K1602">
        <v>1.10819</v>
      </c>
      <c r="L1602">
        <v>366.9785</v>
      </c>
      <c r="M1602">
        <v>0.99922659999999996</v>
      </c>
      <c r="N1602">
        <v>0</v>
      </c>
      <c r="O1602">
        <v>-3.7215209999999999E-2</v>
      </c>
      <c r="P1602">
        <v>0.95782520000000004</v>
      </c>
      <c r="Q1602">
        <v>0.16185840000000001</v>
      </c>
      <c r="R1602">
        <v>-0.23743020000000001</v>
      </c>
      <c r="S1602">
        <v>2.8875120000000001</v>
      </c>
      <c r="T1602">
        <v>-0.25328149999999999</v>
      </c>
      <c r="U1602">
        <v>-1.1694340000000001</v>
      </c>
      <c r="V1602">
        <v>0.20247290000000001</v>
      </c>
      <c r="W1602">
        <v>0.1731164</v>
      </c>
      <c r="X1602">
        <v>0.96386490000000002</v>
      </c>
      <c r="Y1602">
        <v>0.33962930000000002</v>
      </c>
      <c r="Z1602">
        <v>-1.1176510000000001E-2</v>
      </c>
      <c r="AA1602">
        <v>0.94049300000000002</v>
      </c>
      <c r="AB1602">
        <v>28</v>
      </c>
      <c r="AC1602">
        <v>12.4490999999999</v>
      </c>
      <c r="AD1602">
        <v>-1.1081996402350001</v>
      </c>
      <c r="AE1602">
        <v>-5.10869999999999</v>
      </c>
      <c r="AF1602">
        <v>4.6105577280880903</v>
      </c>
      <c r="AG1602">
        <v>-1.1081996402350001</v>
      </c>
      <c r="AH1602">
        <v>12.5455256821035</v>
      </c>
      <c r="AI1602">
        <v>94.739690556844295</v>
      </c>
      <c r="AJ1602">
        <v>69.8213099471742</v>
      </c>
      <c r="AK1602">
        <v>13.4117695941649</v>
      </c>
      <c r="AL1602">
        <v>80.030937719254098</v>
      </c>
      <c r="AM1602">
        <v>78.136732579383903</v>
      </c>
      <c r="AN1602">
        <v>1.0000000543176799</v>
      </c>
    </row>
    <row r="1603" spans="1:40" x14ac:dyDescent="0.25">
      <c r="A1603" t="str">
        <f>"20190312172115698"</f>
        <v>20190312172115698</v>
      </c>
      <c r="B1603" t="str">
        <f>"1552382475692155"</f>
        <v>1552382475692155</v>
      </c>
      <c r="C1603" t="s">
        <v>40</v>
      </c>
      <c r="D1603">
        <v>3.326114</v>
      </c>
      <c r="E1603">
        <v>0.55696199999999996</v>
      </c>
      <c r="F1603" t="s">
        <v>44</v>
      </c>
      <c r="G1603">
        <v>-198.83940000000001</v>
      </c>
      <c r="H1603" s="1">
        <v>-9.6162090000000008E-6</v>
      </c>
      <c r="I1603">
        <v>361.84019999999998</v>
      </c>
      <c r="J1603">
        <v>-211.1901</v>
      </c>
      <c r="K1603">
        <v>1.1080829999999999</v>
      </c>
      <c r="L1603">
        <v>366.9701</v>
      </c>
      <c r="M1603">
        <v>0.99915469999999895</v>
      </c>
      <c r="N1603">
        <v>0</v>
      </c>
      <c r="O1603">
        <v>-3.9098870000000001E-2</v>
      </c>
      <c r="P1603">
        <v>0.95682630000000002</v>
      </c>
      <c r="Q1603">
        <v>0.16134770000000001</v>
      </c>
      <c r="R1603">
        <v>-0.24176590000000001</v>
      </c>
      <c r="S1603">
        <v>2.8821560000000002</v>
      </c>
      <c r="T1603">
        <v>-0.25497140000000001</v>
      </c>
      <c r="U1603">
        <v>-1.18222</v>
      </c>
      <c r="V1603">
        <v>0.2050652</v>
      </c>
      <c r="W1603">
        <v>0.17253869999999999</v>
      </c>
      <c r="X1603">
        <v>0.96342030000000001</v>
      </c>
      <c r="Y1603">
        <v>0.34202470000000001</v>
      </c>
      <c r="Z1603">
        <v>-1.1203609999999999E-2</v>
      </c>
      <c r="AA1603">
        <v>0.93962420000000002</v>
      </c>
      <c r="AB1603">
        <v>28</v>
      </c>
      <c r="AC1603">
        <v>12.3506999999999</v>
      </c>
      <c r="AD1603">
        <v>-1.1080926162089999</v>
      </c>
      <c r="AE1603">
        <v>-5.1299000000000197</v>
      </c>
      <c r="AF1603">
        <v>4.6113816594350103</v>
      </c>
      <c r="AG1603">
        <v>-1.1080926162089999</v>
      </c>
      <c r="AH1603">
        <v>12.456329482420299</v>
      </c>
      <c r="AI1603">
        <v>94.768855368384905</v>
      </c>
      <c r="AJ1603">
        <v>69.685251508741104</v>
      </c>
      <c r="AK1603">
        <v>13.328647877023601</v>
      </c>
      <c r="AL1603">
        <v>80.064542705006701</v>
      </c>
      <c r="AM1603">
        <v>77.983847298190497</v>
      </c>
      <c r="AN1603">
        <v>1.00000000685041</v>
      </c>
    </row>
    <row r="1604" spans="1:40" x14ac:dyDescent="0.25">
      <c r="A1604" t="str">
        <f>"20190312172115711"</f>
        <v>20190312172115711</v>
      </c>
      <c r="B1604" t="str">
        <f>"1552382475702890"</f>
        <v>1552382475702890</v>
      </c>
      <c r="C1604" t="s">
        <v>40</v>
      </c>
      <c r="D1604">
        <v>3.3165969999999998</v>
      </c>
      <c r="E1604">
        <v>0.5569655</v>
      </c>
      <c r="F1604" t="s">
        <v>44</v>
      </c>
      <c r="G1604">
        <v>-198.88679999999999</v>
      </c>
      <c r="H1604" s="1">
        <v>-9.6305019999999992E-6</v>
      </c>
      <c r="I1604">
        <v>361.86070000000001</v>
      </c>
      <c r="J1604">
        <v>-211.02500000000001</v>
      </c>
      <c r="K1604">
        <v>1.1079840000000001</v>
      </c>
      <c r="L1604">
        <v>366.96170000000001</v>
      </c>
      <c r="M1604">
        <v>0.99908019999999997</v>
      </c>
      <c r="N1604">
        <v>0</v>
      </c>
      <c r="O1604">
        <v>-4.095766E-2</v>
      </c>
      <c r="P1604">
        <v>0.95580449999999995</v>
      </c>
      <c r="Q1604">
        <v>0.16102459999999999</v>
      </c>
      <c r="R1604">
        <v>-0.24598610000000001</v>
      </c>
      <c r="S1604">
        <v>2.8771209999999998</v>
      </c>
      <c r="T1604">
        <v>-0.25912829999999998</v>
      </c>
      <c r="U1604">
        <v>-1.194855</v>
      </c>
      <c r="V1604">
        <v>0.20756530000000001</v>
      </c>
      <c r="W1604">
        <v>0.17215259999999999</v>
      </c>
      <c r="X1604">
        <v>0.96295390000000003</v>
      </c>
      <c r="Y1604">
        <v>0.34434239999999999</v>
      </c>
      <c r="Z1604">
        <v>-1.133522E-2</v>
      </c>
      <c r="AA1604">
        <v>0.93877569999999999</v>
      </c>
      <c r="AB1604">
        <v>28</v>
      </c>
      <c r="AC1604">
        <v>12.138199999999999</v>
      </c>
      <c r="AD1604">
        <v>-1.1079936305019999</v>
      </c>
      <c r="AE1604">
        <v>-5.1009999999999902</v>
      </c>
      <c r="AF1604">
        <v>4.5671833596363403</v>
      </c>
      <c r="AG1604">
        <v>-1.1079936305019999</v>
      </c>
      <c r="AH1604">
        <v>12.2502030163178</v>
      </c>
      <c r="AI1604">
        <v>94.844160184137607</v>
      </c>
      <c r="AJ1604">
        <v>69.553281414591495</v>
      </c>
      <c r="AK1604">
        <v>13.1207578922398</v>
      </c>
      <c r="AL1604">
        <v>80.087001011036406</v>
      </c>
      <c r="AM1604">
        <v>77.835969503691103</v>
      </c>
      <c r="AN1604">
        <v>1.00000004248802</v>
      </c>
    </row>
    <row r="1605" spans="1:40" x14ac:dyDescent="0.25">
      <c r="A1605" t="str">
        <f>"20190312172115724"</f>
        <v>20190312172115724</v>
      </c>
      <c r="B1605" t="str">
        <f>"1552382475712650"</f>
        <v>1552382475712650</v>
      </c>
      <c r="C1605" t="s">
        <v>40</v>
      </c>
      <c r="D1605">
        <v>3.3179090000000002</v>
      </c>
      <c r="E1605">
        <v>0.5569655</v>
      </c>
      <c r="F1605" t="s">
        <v>44</v>
      </c>
      <c r="G1605">
        <v>-198.8314</v>
      </c>
      <c r="H1605" s="1">
        <v>-9.6137810000000007E-6</v>
      </c>
      <c r="I1605">
        <v>361.83659999999998</v>
      </c>
      <c r="J1605">
        <v>-210.87110000000001</v>
      </c>
      <c r="K1605">
        <v>1.107883</v>
      </c>
      <c r="L1605">
        <v>366.95359999999999</v>
      </c>
      <c r="M1605">
        <v>0.99900560000000005</v>
      </c>
      <c r="N1605">
        <v>0</v>
      </c>
      <c r="O1605">
        <v>-4.2737129999999998E-2</v>
      </c>
      <c r="P1605">
        <v>0.95429839999999999</v>
      </c>
      <c r="Q1605">
        <v>0.15968889999999999</v>
      </c>
      <c r="R1605">
        <v>-0.25261519999999998</v>
      </c>
      <c r="S1605">
        <v>2.8720249999999998</v>
      </c>
      <c r="T1605">
        <v>-0.26097169999999997</v>
      </c>
      <c r="U1605">
        <v>-1.2071229999999999</v>
      </c>
      <c r="V1605">
        <v>0.21256259999999999</v>
      </c>
      <c r="W1605">
        <v>0.17073759999999999</v>
      </c>
      <c r="X1605">
        <v>0.96211530000000001</v>
      </c>
      <c r="Y1605">
        <v>0.34665499999999999</v>
      </c>
      <c r="Z1605">
        <v>-1.137181E-2</v>
      </c>
      <c r="AA1605">
        <v>0.93792379999999997</v>
      </c>
      <c r="AB1605">
        <v>28</v>
      </c>
      <c r="AC1605">
        <v>12.0397</v>
      </c>
      <c r="AD1605">
        <v>-1.1078926137809999</v>
      </c>
      <c r="AE1605">
        <v>-5.1170000000000098</v>
      </c>
      <c r="AF1605">
        <v>4.56499955351258</v>
      </c>
      <c r="AG1605">
        <v>-1.1078926137809999</v>
      </c>
      <c r="AH1605">
        <v>12.160187152447101</v>
      </c>
      <c r="AI1605">
        <v>94.8752936554298</v>
      </c>
      <c r="AJ1605">
        <v>69.423594998133694</v>
      </c>
      <c r="AK1605">
        <v>13.0359809201218</v>
      </c>
      <c r="AL1605">
        <v>80.169292748945907</v>
      </c>
      <c r="AM1605">
        <v>77.5416262002487</v>
      </c>
      <c r="AN1605">
        <v>1.0000000187333</v>
      </c>
    </row>
    <row r="1606" spans="1:40" x14ac:dyDescent="0.25">
      <c r="A1606" t="str">
        <f>"20190312172115737"</f>
        <v>20190312172115737</v>
      </c>
      <c r="B1606" t="str">
        <f>"1552382475732171"</f>
        <v>1552382475732171</v>
      </c>
      <c r="C1606" t="s">
        <v>40</v>
      </c>
      <c r="D1606">
        <v>3.3566669999999998</v>
      </c>
      <c r="E1606">
        <v>0.55497249999999998</v>
      </c>
      <c r="F1606" t="s">
        <v>44</v>
      </c>
      <c r="G1606">
        <v>-198.9342</v>
      </c>
      <c r="H1606" s="1">
        <v>-9.6500629999999998E-6</v>
      </c>
      <c r="I1606">
        <v>361.84429999999998</v>
      </c>
      <c r="J1606">
        <v>-210.71369999999999</v>
      </c>
      <c r="K1606">
        <v>1.1077920000000001</v>
      </c>
      <c r="L1606">
        <v>366.94490000000002</v>
      </c>
      <c r="M1606">
        <v>0.99892259999999999</v>
      </c>
      <c r="N1606">
        <v>0</v>
      </c>
      <c r="O1606">
        <v>-4.4631570000000002E-2</v>
      </c>
      <c r="P1606">
        <v>0.95323579999999997</v>
      </c>
      <c r="Q1606">
        <v>0.15911610000000001</v>
      </c>
      <c r="R1606">
        <v>-0.25694980000000001</v>
      </c>
      <c r="S1606">
        <v>2.8636629999999998</v>
      </c>
      <c r="T1606">
        <v>-0.26578220000000002</v>
      </c>
      <c r="U1606">
        <v>-1.225708</v>
      </c>
      <c r="V1606">
        <v>0.21514510000000001</v>
      </c>
      <c r="W1606">
        <v>0.17010239999999999</v>
      </c>
      <c r="X1606">
        <v>0.9616536</v>
      </c>
      <c r="Y1606">
        <v>0.35095739999999997</v>
      </c>
      <c r="Z1606">
        <v>-1.162144E-2</v>
      </c>
      <c r="AA1606">
        <v>0.93631929999999997</v>
      </c>
      <c r="AB1606">
        <v>28</v>
      </c>
      <c r="AC1606">
        <v>11.779499999999899</v>
      </c>
      <c r="AD1606">
        <v>-1.1078016500629999</v>
      </c>
      <c r="AE1606">
        <v>-5.10060000000004</v>
      </c>
      <c r="AF1606">
        <v>4.5359527296715303</v>
      </c>
      <c r="AG1606">
        <v>-1.1078016500629999</v>
      </c>
      <c r="AH1606">
        <v>11.9067449664653</v>
      </c>
      <c r="AI1606">
        <v>94.969055306339001</v>
      </c>
      <c r="AJ1606">
        <v>69.145332332654505</v>
      </c>
      <c r="AK1606">
        <v>12.7895530554489</v>
      </c>
      <c r="AL1606">
        <v>80.206226580537304</v>
      </c>
      <c r="AM1606">
        <v>77.389215847059504</v>
      </c>
      <c r="AN1606">
        <v>0.99999994346636301</v>
      </c>
    </row>
    <row r="1607" spans="1:40" x14ac:dyDescent="0.25">
      <c r="A1607" t="str">
        <f>"20190312172115747"</f>
        <v>20190312172115747</v>
      </c>
      <c r="B1607" t="str">
        <f>"1552382475742907"</f>
        <v>1552382475742907</v>
      </c>
      <c r="C1607" t="s">
        <v>40</v>
      </c>
      <c r="D1607">
        <v>3.3460619999999999</v>
      </c>
      <c r="E1607">
        <v>0.55504849999999994</v>
      </c>
      <c r="F1607" t="s">
        <v>44</v>
      </c>
      <c r="G1607">
        <v>-198.7534</v>
      </c>
      <c r="H1607" s="1">
        <v>-9.5857190000000007E-6</v>
      </c>
      <c r="I1607">
        <v>361.8347</v>
      </c>
      <c r="J1607">
        <v>-210.58600000000001</v>
      </c>
      <c r="K1607">
        <v>1.107721</v>
      </c>
      <c r="L1607">
        <v>366.93759999999997</v>
      </c>
      <c r="M1607">
        <v>0.99885009999999996</v>
      </c>
      <c r="N1607">
        <v>0</v>
      </c>
      <c r="O1607">
        <v>-4.6225429999999998E-2</v>
      </c>
      <c r="P1607">
        <v>0.95216599999999996</v>
      </c>
      <c r="Q1607">
        <v>0.15892790000000001</v>
      </c>
      <c r="R1607">
        <v>-0.26100210000000001</v>
      </c>
      <c r="S1607">
        <v>2.8618160000000001</v>
      </c>
      <c r="T1607">
        <v>-0.26507259999999999</v>
      </c>
      <c r="U1607">
        <v>-1.2227479999999999</v>
      </c>
      <c r="V1607">
        <v>0.2177318</v>
      </c>
      <c r="W1607">
        <v>0.1698585</v>
      </c>
      <c r="X1607">
        <v>0.96111449999999998</v>
      </c>
      <c r="Y1607">
        <v>0.34888039999999998</v>
      </c>
      <c r="Z1607">
        <v>-1.1367189999999999E-2</v>
      </c>
      <c r="AA1607">
        <v>0.93709830000000005</v>
      </c>
      <c r="AB1607">
        <v>28</v>
      </c>
      <c r="AC1607">
        <v>11.8325999999999</v>
      </c>
      <c r="AD1607">
        <v>-1.1077305857189901</v>
      </c>
      <c r="AE1607">
        <v>-5.1028999999999698</v>
      </c>
      <c r="AF1607">
        <v>4.5170531749104397</v>
      </c>
      <c r="AG1607">
        <v>-1.1077305857189901</v>
      </c>
      <c r="AH1607">
        <v>11.9674159800437</v>
      </c>
      <c r="AI1607">
        <v>94.949401867907198</v>
      </c>
      <c r="AJ1607">
        <v>69.32118691785</v>
      </c>
      <c r="AK1607">
        <v>12.839387901099901</v>
      </c>
      <c r="AL1607">
        <v>80.220408583772993</v>
      </c>
      <c r="AM1607">
        <v>77.235608203866406</v>
      </c>
      <c r="AN1607">
        <v>1.0000000644318601</v>
      </c>
    </row>
    <row r="1608" spans="1:40" x14ac:dyDescent="0.25">
      <c r="A1608" t="str">
        <f>"20190312172115759"</f>
        <v>20190312172115759</v>
      </c>
      <c r="B1608" t="str">
        <f>"1552382475752666"</f>
        <v>1552382475752666</v>
      </c>
      <c r="C1608" t="s">
        <v>40</v>
      </c>
      <c r="D1608">
        <v>3.332687</v>
      </c>
      <c r="E1608">
        <v>0.55466289999999996</v>
      </c>
      <c r="F1608" t="s">
        <v>44</v>
      </c>
      <c r="G1608">
        <v>-198.7869</v>
      </c>
      <c r="H1608" s="1">
        <v>-9.5976480000000007E-6</v>
      </c>
      <c r="I1608">
        <v>361.8365</v>
      </c>
      <c r="J1608">
        <v>-210.43520000000001</v>
      </c>
      <c r="K1608">
        <v>1.107639</v>
      </c>
      <c r="L1608">
        <v>366.92880000000002</v>
      </c>
      <c r="M1608">
        <v>0.99875979999999998</v>
      </c>
      <c r="N1608">
        <v>0</v>
      </c>
      <c r="O1608">
        <v>-4.813833E-2</v>
      </c>
      <c r="P1608">
        <v>0.95099750000000005</v>
      </c>
      <c r="Q1608">
        <v>0.158933299999999</v>
      </c>
      <c r="R1608">
        <v>-0.26522489999999999</v>
      </c>
      <c r="S1608">
        <v>2.8569339999999999</v>
      </c>
      <c r="T1608">
        <v>-0.26821800000000001</v>
      </c>
      <c r="U1608">
        <v>-1.2351379999999901</v>
      </c>
      <c r="V1608">
        <v>0.22019420000000001</v>
      </c>
      <c r="W1608">
        <v>0.16980300000000001</v>
      </c>
      <c r="X1608">
        <v>0.9605631</v>
      </c>
      <c r="Y1608">
        <v>0.35106540000000003</v>
      </c>
      <c r="Z1608">
        <v>-1.1437660000000001E-2</v>
      </c>
      <c r="AA1608">
        <v>0.93628109999999998</v>
      </c>
      <c r="AB1608">
        <v>28</v>
      </c>
      <c r="AC1608">
        <v>11.648300000000001</v>
      </c>
      <c r="AD1608">
        <v>-1.1076485976479999</v>
      </c>
      <c r="AE1608">
        <v>-5.0923000000000203</v>
      </c>
      <c r="AF1608">
        <v>4.4915233112295603</v>
      </c>
      <c r="AG1608">
        <v>-1.1076485976479999</v>
      </c>
      <c r="AH1608">
        <v>11.790441933894799</v>
      </c>
      <c r="AI1608">
        <v>95.017149535520602</v>
      </c>
      <c r="AJ1608">
        <v>69.145854361620593</v>
      </c>
      <c r="AK1608">
        <v>12.665511757040701</v>
      </c>
      <c r="AL1608">
        <v>80.223634805176999</v>
      </c>
      <c r="AM1608">
        <v>77.088898857409305</v>
      </c>
      <c r="AN1608">
        <v>1.00000000680212</v>
      </c>
    </row>
    <row r="1609" spans="1:40" x14ac:dyDescent="0.25">
      <c r="A1609" t="str">
        <f>"20190312172115771"</f>
        <v>20190312172115771</v>
      </c>
      <c r="B1609" t="str">
        <f>"1552382475762427"</f>
        <v>1552382475762427</v>
      </c>
      <c r="C1609" t="s">
        <v>40</v>
      </c>
      <c r="D1609">
        <v>3.343229</v>
      </c>
      <c r="E1609">
        <v>0.55460730000000003</v>
      </c>
      <c r="F1609" t="s">
        <v>44</v>
      </c>
      <c r="G1609">
        <v>-198.7021</v>
      </c>
      <c r="H1609" s="1">
        <v>-9.5704140000000007E-6</v>
      </c>
      <c r="I1609">
        <v>361.81150000000002</v>
      </c>
      <c r="J1609">
        <v>-210.2843</v>
      </c>
      <c r="K1609">
        <v>1.1075569999999999</v>
      </c>
      <c r="L1609">
        <v>366.9194</v>
      </c>
      <c r="M1609">
        <v>0.99866089999999996</v>
      </c>
      <c r="N1609">
        <v>0</v>
      </c>
      <c r="O1609">
        <v>-5.0145290000000002E-2</v>
      </c>
      <c r="P1609">
        <v>0.94975180000000003</v>
      </c>
      <c r="Q1609">
        <v>0.1590191</v>
      </c>
      <c r="R1609">
        <v>-0.26960099999999998</v>
      </c>
      <c r="S1609">
        <v>2.8525999999999998</v>
      </c>
      <c r="T1609">
        <v>-0.26929769999999997</v>
      </c>
      <c r="U1609">
        <v>-1.2441409999999999</v>
      </c>
      <c r="V1609">
        <v>0.2227258</v>
      </c>
      <c r="W1609">
        <v>0.16982700000000001</v>
      </c>
      <c r="X1609">
        <v>0.95997500000000002</v>
      </c>
      <c r="Y1609">
        <v>0.35218110000000002</v>
      </c>
      <c r="Z1609">
        <v>-1.1363150000000001E-2</v>
      </c>
      <c r="AA1609">
        <v>0.93586290000000005</v>
      </c>
      <c r="AB1609">
        <v>28</v>
      </c>
      <c r="AC1609">
        <v>11.5822</v>
      </c>
      <c r="AD1609">
        <v>-1.1075665704140001</v>
      </c>
      <c r="AE1609">
        <v>-5.1078999999999697</v>
      </c>
      <c r="AF1609">
        <v>4.4862882678979599</v>
      </c>
      <c r="AG1609">
        <v>-1.1075665704140001</v>
      </c>
      <c r="AH1609">
        <v>11.7339549042636</v>
      </c>
      <c r="AI1609">
        <v>95.038488703956006</v>
      </c>
      <c r="AJ1609">
        <v>69.076452104250293</v>
      </c>
      <c r="AK1609">
        <v>12.6110738569667</v>
      </c>
      <c r="AL1609">
        <v>80.222239336145506</v>
      </c>
      <c r="AM1609">
        <v>76.937791937716696</v>
      </c>
      <c r="AN1609">
        <v>0.99999999626981995</v>
      </c>
    </row>
    <row r="1610" spans="1:40" x14ac:dyDescent="0.25">
      <c r="A1610" t="str">
        <f>"20190312172115790"</f>
        <v>20190312172115790</v>
      </c>
      <c r="B1610" t="str">
        <f>"1552382475782922"</f>
        <v>1552382475782922</v>
      </c>
      <c r="C1610" t="s">
        <v>40</v>
      </c>
      <c r="D1610">
        <v>3.3492269999999902</v>
      </c>
      <c r="E1610">
        <v>0.55425069999999999</v>
      </c>
      <c r="F1610" t="s">
        <v>44</v>
      </c>
      <c r="G1610">
        <v>-198.61940000000001</v>
      </c>
      <c r="H1610" s="1">
        <v>-9.5457989999999999E-6</v>
      </c>
      <c r="I1610">
        <v>361.77330000000001</v>
      </c>
      <c r="J1610">
        <v>-210.04519999999999</v>
      </c>
      <c r="K1610">
        <v>1.1074310000000001</v>
      </c>
      <c r="L1610">
        <v>366.90390000000002</v>
      </c>
      <c r="M1610">
        <v>0.99849069999999995</v>
      </c>
      <c r="N1610">
        <v>0</v>
      </c>
      <c r="O1610">
        <v>-5.342467E-2</v>
      </c>
      <c r="P1610">
        <v>0.94750279999999998</v>
      </c>
      <c r="Q1610">
        <v>0.1583726</v>
      </c>
      <c r="R1610">
        <v>-0.2777712</v>
      </c>
      <c r="S1610">
        <v>2.8474119999999998</v>
      </c>
      <c r="T1610">
        <v>-0.27035599999999999</v>
      </c>
      <c r="U1610">
        <v>-1.256165</v>
      </c>
      <c r="V1610">
        <v>0.22789239999999999</v>
      </c>
      <c r="W1610">
        <v>0.16907039999999901</v>
      </c>
      <c r="X1610">
        <v>0.95889530000000001</v>
      </c>
      <c r="Y1610">
        <v>0.35304570000000002</v>
      </c>
      <c r="Z1610">
        <v>-1.1161590000000001E-2</v>
      </c>
      <c r="AA1610">
        <v>0.93553949999999997</v>
      </c>
      <c r="AB1610">
        <v>28</v>
      </c>
      <c r="AC1610">
        <v>11.425799999999899</v>
      </c>
      <c r="AD1610">
        <v>-1.107440545799</v>
      </c>
      <c r="AE1610">
        <v>-5.13060000000001</v>
      </c>
      <c r="AF1610">
        <v>4.4777952378346404</v>
      </c>
      <c r="AG1610">
        <v>-1.107440545799</v>
      </c>
      <c r="AH1610">
        <v>11.5929690026282</v>
      </c>
      <c r="AI1610">
        <v>95.092216942965905</v>
      </c>
      <c r="AJ1610">
        <v>68.880899133195797</v>
      </c>
      <c r="AK1610">
        <v>12.4769389294952</v>
      </c>
      <c r="AL1610">
        <v>80.266225160494002</v>
      </c>
      <c r="AM1610">
        <v>76.631028070507398</v>
      </c>
      <c r="AN1610">
        <v>0.99999997124800399</v>
      </c>
    </row>
    <row r="1611" spans="1:40" x14ac:dyDescent="0.25">
      <c r="A1611" t="str">
        <f>"20190312172115806"</f>
        <v>20190312172115806</v>
      </c>
      <c r="B1611" t="str">
        <f>"1552382475802445"</f>
        <v>1552382475802445</v>
      </c>
      <c r="C1611" t="s">
        <v>40</v>
      </c>
      <c r="D1611">
        <v>3.3517199999999998</v>
      </c>
      <c r="E1611">
        <v>0.55360589999999998</v>
      </c>
      <c r="F1611" t="s">
        <v>44</v>
      </c>
      <c r="G1611">
        <v>-198.49700000000001</v>
      </c>
      <c r="H1611" s="1">
        <v>-9.5108289999999998E-6</v>
      </c>
      <c r="I1611">
        <v>361.70710000000003</v>
      </c>
      <c r="J1611">
        <v>-209.86340000000001</v>
      </c>
      <c r="K1611">
        <v>1.107332</v>
      </c>
      <c r="L1611">
        <v>366.89150000000001</v>
      </c>
      <c r="M1611">
        <v>0.99834880000000004</v>
      </c>
      <c r="N1611">
        <v>0</v>
      </c>
      <c r="O1611">
        <v>-5.601192E-2</v>
      </c>
      <c r="P1611">
        <v>0.94609129999999997</v>
      </c>
      <c r="Q1611">
        <v>0.1581101</v>
      </c>
      <c r="R1611">
        <v>-0.28268850000000001</v>
      </c>
      <c r="S1611">
        <v>2.8373870000000001</v>
      </c>
      <c r="T1611">
        <v>-0.27209749999999999</v>
      </c>
      <c r="U1611">
        <v>-1.2768550000000001</v>
      </c>
      <c r="V1611">
        <v>0.23042770000000001</v>
      </c>
      <c r="W1611">
        <v>0.16873529999999901</v>
      </c>
      <c r="X1611">
        <v>0.95834830000000004</v>
      </c>
      <c r="Y1611">
        <v>0.35750270000000001</v>
      </c>
      <c r="Z1611">
        <v>-1.1222579999999999E-2</v>
      </c>
      <c r="AA1611">
        <v>0.93384469999999997</v>
      </c>
      <c r="AB1611">
        <v>28</v>
      </c>
      <c r="AC1611">
        <v>11.366400000000001</v>
      </c>
      <c r="AD1611">
        <v>-1.1073415108289999</v>
      </c>
      <c r="AE1611">
        <v>-5.1843999999999797</v>
      </c>
      <c r="AF1611">
        <v>4.5041666340402298</v>
      </c>
      <c r="AG1611">
        <v>-1.1073415108289999</v>
      </c>
      <c r="AH1611">
        <v>11.5482347763589</v>
      </c>
      <c r="AI1611">
        <v>95.104905099967297</v>
      </c>
      <c r="AJ1611">
        <v>68.692687310463995</v>
      </c>
      <c r="AK1611">
        <v>12.4448964936922</v>
      </c>
      <c r="AL1611">
        <v>80.285705082756706</v>
      </c>
      <c r="AM1611">
        <v>76.480294367490998</v>
      </c>
      <c r="AN1611">
        <v>0.99999999525313499</v>
      </c>
    </row>
    <row r="1612" spans="1:40" x14ac:dyDescent="0.25">
      <c r="A1612" t="str">
        <f>"20190312172115818"</f>
        <v>20190312172115818</v>
      </c>
      <c r="B1612" t="str">
        <f>"1552382475812203"</f>
        <v>1552382475812203</v>
      </c>
      <c r="C1612" t="s">
        <v>40</v>
      </c>
      <c r="D1612">
        <v>3.3727649999999998</v>
      </c>
      <c r="E1612">
        <v>0.55349609999999905</v>
      </c>
      <c r="F1612" t="s">
        <v>44</v>
      </c>
      <c r="G1612">
        <v>-198.39089999999999</v>
      </c>
      <c r="H1612" s="1">
        <v>-9.4757240000000004E-6</v>
      </c>
      <c r="I1612">
        <v>361.68290000000002</v>
      </c>
      <c r="J1612">
        <v>-209.70679999999999</v>
      </c>
      <c r="K1612">
        <v>1.107248</v>
      </c>
      <c r="L1612">
        <v>366.88040000000001</v>
      </c>
      <c r="M1612">
        <v>0.99821780000000004</v>
      </c>
      <c r="N1612">
        <v>0</v>
      </c>
      <c r="O1612">
        <v>-5.8298900000000001E-2</v>
      </c>
      <c r="P1612">
        <v>0.94487290000000002</v>
      </c>
      <c r="Q1612">
        <v>0.1576012</v>
      </c>
      <c r="R1612">
        <v>-0.28701459999999901</v>
      </c>
      <c r="S1612">
        <v>2.8323670000000001</v>
      </c>
      <c r="T1612">
        <v>-0.27338370000000001</v>
      </c>
      <c r="U1612">
        <v>-1.285919</v>
      </c>
      <c r="V1612">
        <v>0.2326463</v>
      </c>
      <c r="W1612">
        <v>0.16816519999999999</v>
      </c>
      <c r="X1612">
        <v>0.9579124</v>
      </c>
      <c r="Y1612">
        <v>0.35845660000000001</v>
      </c>
      <c r="Z1612">
        <v>-1.112197E-2</v>
      </c>
      <c r="AA1612">
        <v>0.93348010000000003</v>
      </c>
      <c r="AB1612">
        <v>28</v>
      </c>
      <c r="AC1612">
        <v>11.315899999999999</v>
      </c>
      <c r="AD1612">
        <v>-1.1072574757239999</v>
      </c>
      <c r="AE1612">
        <v>-5.19749999999999</v>
      </c>
      <c r="AF1612">
        <v>4.4933732850332699</v>
      </c>
      <c r="AG1612">
        <v>-1.1072574757239999</v>
      </c>
      <c r="AH1612">
        <v>11.5086895233358</v>
      </c>
      <c r="AI1612">
        <v>95.121272191496303</v>
      </c>
      <c r="AJ1612">
        <v>68.672680966966496</v>
      </c>
      <c r="AK1612">
        <v>12.4042878530264</v>
      </c>
      <c r="AL1612">
        <v>80.318842995699598</v>
      </c>
      <c r="AM1612">
        <v>76.348991679878097</v>
      </c>
      <c r="AN1612">
        <v>1.00000000073424</v>
      </c>
    </row>
    <row r="1613" spans="1:40" x14ac:dyDescent="0.25">
      <c r="A1613" t="str">
        <f>"20190312172115829"</f>
        <v>20190312172115829</v>
      </c>
      <c r="B1613" t="str">
        <f>"1552382475822938"</f>
        <v>1552382475822938</v>
      </c>
      <c r="C1613" t="s">
        <v>40</v>
      </c>
      <c r="D1613">
        <v>3.4097390000000001</v>
      </c>
      <c r="E1613">
        <v>0.553320699999999</v>
      </c>
      <c r="F1613" t="s">
        <v>44</v>
      </c>
      <c r="G1613">
        <v>-198.30090000000001</v>
      </c>
      <c r="H1613" s="1">
        <v>-9.4486510000000008E-6</v>
      </c>
      <c r="I1613">
        <v>361.64359999999999</v>
      </c>
      <c r="J1613">
        <v>-209.5642</v>
      </c>
      <c r="K1613">
        <v>1.1071709999999999</v>
      </c>
      <c r="L1613">
        <v>366.86989999999997</v>
      </c>
      <c r="M1613">
        <v>0.99808980000000003</v>
      </c>
      <c r="N1613">
        <v>0</v>
      </c>
      <c r="O1613">
        <v>-6.0449160000000002E-2</v>
      </c>
      <c r="P1613">
        <v>0.9435905</v>
      </c>
      <c r="Q1613">
        <v>0.15718109999999999</v>
      </c>
      <c r="R1613">
        <v>-0.29142980000000002</v>
      </c>
      <c r="S1613">
        <v>2.8265989999999999</v>
      </c>
      <c r="T1613">
        <v>-0.27440009999999998</v>
      </c>
      <c r="U1613">
        <v>-1.2977909999999999</v>
      </c>
      <c r="V1613">
        <v>0.2350883</v>
      </c>
      <c r="W1613">
        <v>0.16768520000000001</v>
      </c>
      <c r="X1613">
        <v>0.95740020000000003</v>
      </c>
      <c r="Y1613">
        <v>0.3603963</v>
      </c>
      <c r="Z1613">
        <v>-1.106736E-2</v>
      </c>
      <c r="AA1613">
        <v>0.9327337</v>
      </c>
      <c r="AB1613">
        <v>28</v>
      </c>
      <c r="AC1613">
        <v>11.2632999999999</v>
      </c>
      <c r="AD1613">
        <v>-1.107180448651</v>
      </c>
      <c r="AE1613">
        <v>-5.2262999999999797</v>
      </c>
      <c r="AF1613">
        <v>4.5000488741488702</v>
      </c>
      <c r="AG1613">
        <v>-1.107180448651</v>
      </c>
      <c r="AH1613">
        <v>11.467472900004701</v>
      </c>
      <c r="AI1613">
        <v>95.135781508828202</v>
      </c>
      <c r="AJ1613">
        <v>68.574037507133198</v>
      </c>
      <c r="AK1613">
        <v>12.3684769930637</v>
      </c>
      <c r="AL1613">
        <v>80.346741016831501</v>
      </c>
      <c r="AM1613">
        <v>76.204049307947102</v>
      </c>
      <c r="AN1613">
        <v>0.99999998902798404</v>
      </c>
    </row>
    <row r="1614" spans="1:40" x14ac:dyDescent="0.25">
      <c r="A1614" t="str">
        <f>"20190312172115841"</f>
        <v>20190312172115841</v>
      </c>
      <c r="B1614" t="str">
        <f>"1552382475832699"</f>
        <v>1552382475832699</v>
      </c>
      <c r="C1614" t="s">
        <v>40</v>
      </c>
      <c r="D1614">
        <v>3.4117999999999999</v>
      </c>
      <c r="E1614">
        <v>0.55310950000000003</v>
      </c>
      <c r="F1614" t="s">
        <v>44</v>
      </c>
      <c r="G1614">
        <v>-198.2501</v>
      </c>
      <c r="H1614" s="1">
        <v>-9.4336280000000005E-6</v>
      </c>
      <c r="I1614">
        <v>361.61950000000002</v>
      </c>
      <c r="J1614">
        <v>-209.41909999999999</v>
      </c>
      <c r="K1614">
        <v>1.1070960000000001</v>
      </c>
      <c r="L1614">
        <v>366.85890000000001</v>
      </c>
      <c r="M1614">
        <v>0.99795330000000004</v>
      </c>
      <c r="N1614">
        <v>0</v>
      </c>
      <c r="O1614">
        <v>-6.2662270000000006E-2</v>
      </c>
      <c r="P1614">
        <v>0.9423028</v>
      </c>
      <c r="Q1614">
        <v>0.15709629999999999</v>
      </c>
      <c r="R1614">
        <v>-0.29561219999999999</v>
      </c>
      <c r="S1614">
        <v>2.8210139999999999</v>
      </c>
      <c r="T1614">
        <v>-0.276059</v>
      </c>
      <c r="U1614">
        <v>-1.309113</v>
      </c>
      <c r="V1614">
        <v>0.23724329999999999</v>
      </c>
      <c r="W1614">
        <v>0.16754179999999999</v>
      </c>
      <c r="X1614">
        <v>0.95689360000000001</v>
      </c>
      <c r="Y1614">
        <v>0.36209960000000002</v>
      </c>
      <c r="Z1614">
        <v>-1.1020429999999999E-2</v>
      </c>
      <c r="AA1614">
        <v>0.93207419999999996</v>
      </c>
      <c r="AB1614">
        <v>28</v>
      </c>
      <c r="AC1614">
        <v>11.168999999999899</v>
      </c>
      <c r="AD1614">
        <v>-1.107105433628</v>
      </c>
      <c r="AE1614">
        <v>-5.2393999999999803</v>
      </c>
      <c r="AF1614">
        <v>4.4929869808746998</v>
      </c>
      <c r="AG1614">
        <v>-1.107105433628</v>
      </c>
      <c r="AH1614">
        <v>11.3837108946495</v>
      </c>
      <c r="AI1614">
        <v>95.169044691675893</v>
      </c>
      <c r="AJ1614">
        <v>68.461563340818003</v>
      </c>
      <c r="AK1614">
        <v>12.2882662806614</v>
      </c>
      <c r="AL1614">
        <v>80.355075242458895</v>
      </c>
      <c r="AM1614">
        <v>76.0753986649366</v>
      </c>
      <c r="AN1614">
        <v>0.99999999993154498</v>
      </c>
    </row>
    <row r="1615" spans="1:40" x14ac:dyDescent="0.25">
      <c r="A1615" t="str">
        <f>"20190312172115852"</f>
        <v>20190312172115852</v>
      </c>
      <c r="B1615" t="str">
        <f>"1552382475842459"</f>
        <v>1552382475842459</v>
      </c>
      <c r="C1615" t="s">
        <v>40</v>
      </c>
      <c r="D1615">
        <v>3.3523510000000001</v>
      </c>
      <c r="E1615">
        <v>0.5528786</v>
      </c>
      <c r="F1615" t="s">
        <v>44</v>
      </c>
      <c r="G1615">
        <v>-198.1388</v>
      </c>
      <c r="H1615" s="1">
        <v>-9.4000479999999994E-6</v>
      </c>
      <c r="I1615">
        <v>361.57150000000001</v>
      </c>
      <c r="J1615">
        <v>-209.2826</v>
      </c>
      <c r="K1615">
        <v>1.107027</v>
      </c>
      <c r="L1615">
        <v>366.84809999999999</v>
      </c>
      <c r="M1615">
        <v>0.99781580000000003</v>
      </c>
      <c r="N1615">
        <v>0</v>
      </c>
      <c r="O1615">
        <v>-6.4813140000000005E-2</v>
      </c>
      <c r="P1615">
        <v>0.94093800000000005</v>
      </c>
      <c r="Q1615">
        <v>0.15683159999999999</v>
      </c>
      <c r="R1615">
        <v>-0.300066</v>
      </c>
      <c r="S1615">
        <v>2.8156889999999999</v>
      </c>
      <c r="T1615">
        <v>-0.27634609999999998</v>
      </c>
      <c r="U1615">
        <v>-1.3197939999999999</v>
      </c>
      <c r="V1615">
        <v>0.23973349999999999</v>
      </c>
      <c r="W1615">
        <v>0.16721749999999999</v>
      </c>
      <c r="X1615">
        <v>0.95632950000000005</v>
      </c>
      <c r="Y1615">
        <v>0.36366530000000002</v>
      </c>
      <c r="Z1615">
        <v>-1.0916850000000001E-2</v>
      </c>
      <c r="AA1615">
        <v>0.93146569999999995</v>
      </c>
      <c r="AB1615">
        <v>28</v>
      </c>
      <c r="AC1615">
        <v>11.143800000000001</v>
      </c>
      <c r="AD1615">
        <v>-1.107036400048</v>
      </c>
      <c r="AE1615">
        <v>-5.27659999999997</v>
      </c>
      <c r="AF1615">
        <v>4.5068492592284599</v>
      </c>
      <c r="AG1615">
        <v>-1.107036400048</v>
      </c>
      <c r="AH1615">
        <v>11.3707237756282</v>
      </c>
      <c r="AI1615">
        <v>95.171657034994894</v>
      </c>
      <c r="AJ1615">
        <v>68.378827370676603</v>
      </c>
      <c r="AK1615">
        <v>12.2813101507158</v>
      </c>
      <c r="AL1615">
        <v>80.373921932628406</v>
      </c>
      <c r="AM1615">
        <v>75.927046828070402</v>
      </c>
      <c r="AN1615">
        <v>0.99999997794937401</v>
      </c>
    </row>
    <row r="1616" spans="1:40" x14ac:dyDescent="0.25">
      <c r="A1616" t="str">
        <f>"20190312172115862"</f>
        <v>20190312172115862</v>
      </c>
      <c r="B1616" t="str">
        <f>"1552382475852219"</f>
        <v>1552382475852219</v>
      </c>
      <c r="C1616" t="s">
        <v>40</v>
      </c>
      <c r="D1616">
        <v>3.4686900000000001</v>
      </c>
      <c r="E1616">
        <v>0.55305109999999902</v>
      </c>
      <c r="F1616" t="s">
        <v>44</v>
      </c>
      <c r="G1616">
        <v>-198.0634</v>
      </c>
      <c r="H1616" s="1">
        <v>-9.3778950000000001E-6</v>
      </c>
      <c r="I1616">
        <v>361.5351</v>
      </c>
      <c r="J1616">
        <v>-209.15029999999999</v>
      </c>
      <c r="K1616">
        <v>1.106965</v>
      </c>
      <c r="L1616">
        <v>366.8374</v>
      </c>
      <c r="M1616">
        <v>0.99767660000000002</v>
      </c>
      <c r="N1616">
        <v>0</v>
      </c>
      <c r="O1616">
        <v>-6.6920670000000002E-2</v>
      </c>
      <c r="P1616">
        <v>0.93961439999999996</v>
      </c>
      <c r="Q1616">
        <v>0.15626609999999999</v>
      </c>
      <c r="R1616">
        <v>-0.30447619999999997</v>
      </c>
      <c r="S1616">
        <v>2.8101349999999998</v>
      </c>
      <c r="T1616">
        <v>-0.27728659999999999</v>
      </c>
      <c r="U1616">
        <v>-1.3307800000000001</v>
      </c>
      <c r="V1616">
        <v>0.2422184</v>
      </c>
      <c r="W1616">
        <v>0.16659409999999999</v>
      </c>
      <c r="X1616">
        <v>0.95581199999999999</v>
      </c>
      <c r="Y1616">
        <v>0.36537639999999999</v>
      </c>
      <c r="Z1616">
        <v>-1.0849630000000001E-2</v>
      </c>
      <c r="AA1616">
        <v>0.93079659999999997</v>
      </c>
      <c r="AB1616">
        <v>28</v>
      </c>
      <c r="AC1616">
        <v>11.086899999999901</v>
      </c>
      <c r="AD1616">
        <v>-1.1069743778950001</v>
      </c>
      <c r="AE1616">
        <v>-5.3022999999999998</v>
      </c>
      <c r="AF1616">
        <v>4.5118027135847703</v>
      </c>
      <c r="AG1616">
        <v>-1.1069743778950001</v>
      </c>
      <c r="AH1616">
        <v>11.325020767683901</v>
      </c>
      <c r="AI1616">
        <v>95.188516093170193</v>
      </c>
      <c r="AJ1616">
        <v>68.278036325577006</v>
      </c>
      <c r="AK1616">
        <v>12.240827234631601</v>
      </c>
      <c r="AL1616">
        <v>80.410148134650697</v>
      </c>
      <c r="AM1616">
        <v>75.7796763048336</v>
      </c>
      <c r="AN1616">
        <v>0.99999996339868402</v>
      </c>
    </row>
    <row r="1617" spans="1:40" x14ac:dyDescent="0.25">
      <c r="A1617" t="str">
        <f>"20190312172115874"</f>
        <v>20190312172115874</v>
      </c>
      <c r="B1617" t="str">
        <f>"1552382475862955"</f>
        <v>1552382475862955</v>
      </c>
      <c r="C1617" t="s">
        <v>40</v>
      </c>
      <c r="D1617">
        <v>3.4609540000000001</v>
      </c>
      <c r="E1617">
        <v>0.55305109999999902</v>
      </c>
      <c r="F1617" t="s">
        <v>44</v>
      </c>
      <c r="G1617">
        <v>-197.9855</v>
      </c>
      <c r="H1617" s="1">
        <v>-9.3590029999999995E-6</v>
      </c>
      <c r="I1617">
        <v>361.48079999999999</v>
      </c>
      <c r="J1617">
        <v>-209.01169999999999</v>
      </c>
      <c r="K1617">
        <v>1.106897</v>
      </c>
      <c r="L1617">
        <v>366.82580000000002</v>
      </c>
      <c r="M1617">
        <v>0.99752249999999998</v>
      </c>
      <c r="N1617">
        <v>0</v>
      </c>
      <c r="O1617">
        <v>-6.9179859999999996E-2</v>
      </c>
      <c r="P1617">
        <v>0.93821469999999996</v>
      </c>
      <c r="Q1617">
        <v>0.1558281</v>
      </c>
      <c r="R1617">
        <v>-0.3089845</v>
      </c>
      <c r="S1617">
        <v>2.803207</v>
      </c>
      <c r="T1617">
        <v>-0.27793430000000002</v>
      </c>
      <c r="U1617">
        <v>-1.34491</v>
      </c>
      <c r="V1617">
        <v>0.24466460000000001</v>
      </c>
      <c r="W1617">
        <v>0.1660971</v>
      </c>
      <c r="X1617">
        <v>0.9552754</v>
      </c>
      <c r="Y1617">
        <v>0.36797010000000002</v>
      </c>
      <c r="Z1617">
        <v>-1.079985E-2</v>
      </c>
      <c r="AA1617">
        <v>0.92977489999999996</v>
      </c>
      <c r="AB1617">
        <v>28</v>
      </c>
      <c r="AC1617">
        <v>11.0261999999999</v>
      </c>
      <c r="AD1617">
        <v>-1.1069063590029999</v>
      </c>
      <c r="AE1617">
        <v>-5.3450000000000202</v>
      </c>
      <c r="AF1617">
        <v>4.5323537287928604</v>
      </c>
      <c r="AG1617">
        <v>-1.1069063590029999</v>
      </c>
      <c r="AH1617">
        <v>11.2775471537384</v>
      </c>
      <c r="AI1617">
        <v>95.203669201034003</v>
      </c>
      <c r="AJ1617">
        <v>68.105209983446699</v>
      </c>
      <c r="AK1617">
        <v>12.2045295614086</v>
      </c>
      <c r="AL1617">
        <v>80.439027335781603</v>
      </c>
      <c r="AM1617">
        <v>75.634241165106005</v>
      </c>
      <c r="AN1617">
        <v>1.00000005148336</v>
      </c>
    </row>
    <row r="1618" spans="1:40" x14ac:dyDescent="0.25">
      <c r="A1618" t="str">
        <f>"20190312172115888"</f>
        <v>20190312172115888</v>
      </c>
      <c r="B1618" t="str">
        <f>"1552382475882474"</f>
        <v>1552382475882474</v>
      </c>
      <c r="C1618" t="s">
        <v>40</v>
      </c>
      <c r="D1618">
        <v>3.4396559999999998</v>
      </c>
      <c r="E1618">
        <v>0.59368589999999999</v>
      </c>
      <c r="F1618" t="s">
        <v>44</v>
      </c>
      <c r="G1618">
        <v>-197.93510000000001</v>
      </c>
      <c r="H1618" s="1">
        <v>-9.346276E-6</v>
      </c>
      <c r="I1618">
        <v>361.44900000000001</v>
      </c>
      <c r="J1618">
        <v>-208.85380000000001</v>
      </c>
      <c r="K1618">
        <v>1.106824</v>
      </c>
      <c r="L1618">
        <v>366.81220000000002</v>
      </c>
      <c r="M1618">
        <v>0.99733709999999998</v>
      </c>
      <c r="N1618">
        <v>0</v>
      </c>
      <c r="O1618">
        <v>-7.180309E-2</v>
      </c>
      <c r="P1618">
        <v>0.93674360000000001</v>
      </c>
      <c r="Q1618">
        <v>0.15513370000000001</v>
      </c>
      <c r="R1618">
        <v>-0.31376009999999999</v>
      </c>
      <c r="S1618">
        <v>2.7968600000000001</v>
      </c>
      <c r="T1618">
        <v>-0.27949439999999998</v>
      </c>
      <c r="U1618">
        <v>-1.3576349999999999</v>
      </c>
      <c r="V1618">
        <v>0.2470377</v>
      </c>
      <c r="W1618">
        <v>0.1653414</v>
      </c>
      <c r="X1618">
        <v>0.95479559999999997</v>
      </c>
      <c r="Y1618">
        <v>0.36976609999999999</v>
      </c>
      <c r="Z1618">
        <v>-1.071195E-2</v>
      </c>
      <c r="AA1618">
        <v>0.92906310000000003</v>
      </c>
      <c r="AB1618">
        <v>28</v>
      </c>
      <c r="AC1618">
        <v>10.918699999999999</v>
      </c>
      <c r="AD1618">
        <v>-1.1068333462760001</v>
      </c>
      <c r="AE1618">
        <v>-5.3632</v>
      </c>
      <c r="AF1618">
        <v>4.5278102450894799</v>
      </c>
      <c r="AG1618">
        <v>-1.1068333462760001</v>
      </c>
      <c r="AH1618">
        <v>11.183058238526201</v>
      </c>
      <c r="AI1618">
        <v>95.241639178957897</v>
      </c>
      <c r="AJ1618">
        <v>67.957899460197197</v>
      </c>
      <c r="AK1618">
        <v>12.115565906643999</v>
      </c>
      <c r="AL1618">
        <v>80.482932542885393</v>
      </c>
      <c r="AM1618">
        <v>75.493769843253602</v>
      </c>
      <c r="AN1618">
        <v>1.0000000207773001</v>
      </c>
    </row>
    <row r="1619" spans="1:40" x14ac:dyDescent="0.25">
      <c r="A1619" t="str">
        <f>"20190312172115901"</f>
        <v>20190312172115901</v>
      </c>
      <c r="B1619" t="str">
        <f>"1552382475892234"</f>
        <v>1552382475892234</v>
      </c>
      <c r="C1619" t="s">
        <v>40</v>
      </c>
      <c r="D1619">
        <v>3.4324590000000001</v>
      </c>
      <c r="E1619">
        <v>0.59727149999999996</v>
      </c>
      <c r="F1619" t="s">
        <v>44</v>
      </c>
      <c r="G1619">
        <v>-193.82419999999999</v>
      </c>
      <c r="H1619" s="1">
        <v>-5.1077679999999996E-6</v>
      </c>
      <c r="I1619">
        <v>357.3947</v>
      </c>
      <c r="J1619">
        <v>-208.6893</v>
      </c>
      <c r="K1619">
        <v>1.106744</v>
      </c>
      <c r="L1619">
        <v>366.79759999999999</v>
      </c>
      <c r="M1619">
        <v>0.9971333</v>
      </c>
      <c r="N1619">
        <v>0</v>
      </c>
      <c r="O1619">
        <v>-7.4578619999999998E-2</v>
      </c>
      <c r="P1619">
        <v>0.93526629999999999</v>
      </c>
      <c r="Q1619">
        <v>0.1543851</v>
      </c>
      <c r="R1619">
        <v>-0.31850079999999997</v>
      </c>
      <c r="S1619">
        <v>2.6739809999999999</v>
      </c>
      <c r="T1619">
        <v>-0.1969207</v>
      </c>
      <c r="U1619">
        <v>-1.6755070000000001</v>
      </c>
      <c r="V1619">
        <v>0.24923409999999999</v>
      </c>
      <c r="W1619">
        <v>0.16453099999999901</v>
      </c>
      <c r="X1619">
        <v>0.95436469999999995</v>
      </c>
      <c r="Y1619">
        <v>0.46553810000000001</v>
      </c>
      <c r="Z1619">
        <v>-1.070582E-2</v>
      </c>
      <c r="AA1619">
        <v>0.884963099999999</v>
      </c>
      <c r="AB1619">
        <v>27</v>
      </c>
      <c r="AC1619">
        <v>14.8651</v>
      </c>
      <c r="AD1619">
        <v>-1.1067491077679901</v>
      </c>
      <c r="AE1619">
        <v>-9.4028999999999794</v>
      </c>
      <c r="AF1619">
        <v>8.2353959288720695</v>
      </c>
      <c r="AG1619">
        <v>-1.1067491077679901</v>
      </c>
      <c r="AH1619">
        <v>15.463785603849599</v>
      </c>
      <c r="AI1619">
        <v>93.614606388429493</v>
      </c>
      <c r="AJ1619">
        <v>61.962014015811697</v>
      </c>
      <c r="AK1619">
        <v>17.554922526022501</v>
      </c>
      <c r="AL1619">
        <v>80.530009924366794</v>
      </c>
      <c r="AM1619">
        <v>75.363984259681004</v>
      </c>
      <c r="AN1619">
        <v>1.0000000335849399</v>
      </c>
    </row>
    <row r="1620" spans="1:40" x14ac:dyDescent="0.25">
      <c r="A1620" t="str">
        <f>"20190312172115913"</f>
        <v>20190312172115913</v>
      </c>
      <c r="B1620" t="str">
        <f>"1552382475902971"</f>
        <v>1552382475902971</v>
      </c>
      <c r="C1620" t="s">
        <v>40</v>
      </c>
      <c r="D1620">
        <v>3.382781</v>
      </c>
      <c r="E1620">
        <v>0.59916469999999999</v>
      </c>
      <c r="F1620" t="s">
        <v>44</v>
      </c>
      <c r="G1620">
        <v>-193.5752</v>
      </c>
      <c r="H1620" s="1">
        <v>-4.8838109999999998E-6</v>
      </c>
      <c r="I1620">
        <v>357.0324</v>
      </c>
      <c r="J1620">
        <v>-208.52709999999999</v>
      </c>
      <c r="K1620">
        <v>1.106663</v>
      </c>
      <c r="L1620">
        <v>366.7824</v>
      </c>
      <c r="M1620">
        <v>0.99691810000000003</v>
      </c>
      <c r="N1620">
        <v>0</v>
      </c>
      <c r="O1620">
        <v>-7.7400750000000004E-2</v>
      </c>
      <c r="P1620">
        <v>0.93308630000000004</v>
      </c>
      <c r="Q1620">
        <v>0.153278</v>
      </c>
      <c r="R1620">
        <v>-0.32535540000000002</v>
      </c>
      <c r="S1620">
        <v>2.6554570000000002</v>
      </c>
      <c r="T1620">
        <v>-0.19444839999999999</v>
      </c>
      <c r="U1620">
        <v>-1.715668</v>
      </c>
      <c r="V1620">
        <v>0.25354779999999999</v>
      </c>
      <c r="W1620">
        <v>0.16333810000000001</v>
      </c>
      <c r="X1620">
        <v>0.95343290000000003</v>
      </c>
      <c r="Y1620">
        <v>0.47528989999999999</v>
      </c>
      <c r="Z1620">
        <v>-1.073489E-2</v>
      </c>
      <c r="AA1620">
        <v>0.87976379999999998</v>
      </c>
      <c r="AB1620">
        <v>27</v>
      </c>
      <c r="AC1620">
        <v>14.951899999999901</v>
      </c>
      <c r="AD1620">
        <v>-1.106667883811</v>
      </c>
      <c r="AE1620">
        <v>-9.75</v>
      </c>
      <c r="AF1620">
        <v>8.5305732757219808</v>
      </c>
      <c r="AG1620">
        <v>-1.106667883811</v>
      </c>
      <c r="AH1620">
        <v>15.601786954219801</v>
      </c>
      <c r="AI1620">
        <v>93.561299749069605</v>
      </c>
      <c r="AJ1620">
        <v>61.331529361306401</v>
      </c>
      <c r="AK1620">
        <v>17.816036326365701</v>
      </c>
      <c r="AL1620">
        <v>80.599295644594505</v>
      </c>
      <c r="AM1620">
        <v>75.107917799071799</v>
      </c>
      <c r="AN1620">
        <v>1.00000005829942</v>
      </c>
    </row>
    <row r="1621" spans="1:40" x14ac:dyDescent="0.25">
      <c r="A1621" t="str">
        <f>"20190312172115929"</f>
        <v>20190312172115929</v>
      </c>
      <c r="B1621" t="str">
        <f>"1552382475922492"</f>
        <v>1552382475922492</v>
      </c>
      <c r="C1621" t="s">
        <v>40</v>
      </c>
      <c r="D1621">
        <v>3.4362680000000001</v>
      </c>
      <c r="E1621">
        <v>0.60157479999999997</v>
      </c>
      <c r="F1621" t="s">
        <v>44</v>
      </c>
      <c r="G1621">
        <v>-193.45310000000001</v>
      </c>
      <c r="H1621" s="1">
        <v>-4.7448809999999998E-6</v>
      </c>
      <c r="I1621">
        <v>356.79230000000001</v>
      </c>
      <c r="J1621">
        <v>-208.3458</v>
      </c>
      <c r="K1621">
        <v>1.1065830000000001</v>
      </c>
      <c r="L1621">
        <v>366.76499999999999</v>
      </c>
      <c r="M1621">
        <v>0.99666370000000004</v>
      </c>
      <c r="N1621">
        <v>0</v>
      </c>
      <c r="O1621">
        <v>-8.0608260000000001E-2</v>
      </c>
      <c r="P1621">
        <v>0.93148149999999996</v>
      </c>
      <c r="Q1621">
        <v>0.15258089999999999</v>
      </c>
      <c r="R1621">
        <v>-0.33024510000000001</v>
      </c>
      <c r="S1621">
        <v>2.6374659999999999</v>
      </c>
      <c r="T1621">
        <v>-0.19363159999999999</v>
      </c>
      <c r="U1621">
        <v>-1.7479549999999999</v>
      </c>
      <c r="V1621">
        <v>0.25550010000000001</v>
      </c>
      <c r="W1621">
        <v>0.16257739999999901</v>
      </c>
      <c r="X1621">
        <v>0.95304160000000004</v>
      </c>
      <c r="Y1621">
        <v>0.48269450000000003</v>
      </c>
      <c r="Z1621">
        <v>-1.075478E-2</v>
      </c>
      <c r="AA1621">
        <v>0.87572280000000002</v>
      </c>
      <c r="AB1621">
        <v>27</v>
      </c>
      <c r="AC1621">
        <v>14.8926999999999</v>
      </c>
      <c r="AD1621">
        <v>-1.106587744881</v>
      </c>
      <c r="AE1621">
        <v>-9.9726999999999695</v>
      </c>
      <c r="AF1621">
        <v>8.7064816242951206</v>
      </c>
      <c r="AG1621">
        <v>-1.106587744881</v>
      </c>
      <c r="AH1621">
        <v>15.588755426056199</v>
      </c>
      <c r="AI1621">
        <v>93.546385719273403</v>
      </c>
      <c r="AJ1621">
        <v>60.816188490609697</v>
      </c>
      <c r="AK1621">
        <v>17.889568313537001</v>
      </c>
      <c r="AL1621">
        <v>80.643470498684295</v>
      </c>
      <c r="AM1621">
        <v>74.992519152256904</v>
      </c>
      <c r="AN1621">
        <v>1.0000000017106601</v>
      </c>
    </row>
    <row r="1622" spans="1:40" x14ac:dyDescent="0.25">
      <c r="A1622" t="str">
        <f>"20190312172115939"</f>
        <v>20190312172115939</v>
      </c>
      <c r="B1622" t="str">
        <f>"1552382475932251"</f>
        <v>1552382475932251</v>
      </c>
      <c r="C1622" t="s">
        <v>40</v>
      </c>
      <c r="D1622">
        <v>3.3871760000000002</v>
      </c>
      <c r="E1622">
        <v>0.60197849999999997</v>
      </c>
      <c r="F1622" t="s">
        <v>44</v>
      </c>
      <c r="G1622">
        <v>-193.34780000000001</v>
      </c>
      <c r="H1622" s="1">
        <v>-4.6234079999999999E-6</v>
      </c>
      <c r="I1622">
        <v>356.58159999999998</v>
      </c>
      <c r="J1622">
        <v>-208.2183</v>
      </c>
      <c r="K1622">
        <v>1.1065240000000001</v>
      </c>
      <c r="L1622">
        <v>366.7525</v>
      </c>
      <c r="M1622">
        <v>0.99647660000000005</v>
      </c>
      <c r="N1622">
        <v>0</v>
      </c>
      <c r="O1622">
        <v>-8.2889130000000005E-2</v>
      </c>
      <c r="P1622">
        <v>0.93017399999999995</v>
      </c>
      <c r="Q1622">
        <v>0.15226600000000001</v>
      </c>
      <c r="R1622">
        <v>-0.33405319999999999</v>
      </c>
      <c r="S1622">
        <v>2.6213380000000002</v>
      </c>
      <c r="T1622">
        <v>-0.1934091</v>
      </c>
      <c r="U1622">
        <v>-1.77984599999999</v>
      </c>
      <c r="V1622">
        <v>0.25723600000000002</v>
      </c>
      <c r="W1622">
        <v>0.16221279999999999</v>
      </c>
      <c r="X1622">
        <v>0.9526367</v>
      </c>
      <c r="Y1622">
        <v>0.49047180000000001</v>
      </c>
      <c r="Z1622">
        <v>-1.0874460000000001E-2</v>
      </c>
      <c r="AA1622">
        <v>0.87138919999999997</v>
      </c>
      <c r="AB1622">
        <v>27</v>
      </c>
      <c r="AC1622">
        <v>14.8704999999999</v>
      </c>
      <c r="AD1622">
        <v>-1.1065286234080001</v>
      </c>
      <c r="AE1622">
        <v>-10.1709</v>
      </c>
      <c r="AF1622">
        <v>8.8697309599715606</v>
      </c>
      <c r="AG1622">
        <v>-1.1065286234080001</v>
      </c>
      <c r="AH1622">
        <v>15.6035837433613</v>
      </c>
      <c r="AI1622">
        <v>93.527857016064402</v>
      </c>
      <c r="AJ1622">
        <v>60.3842851129208</v>
      </c>
      <c r="AK1622">
        <v>17.982445844010901</v>
      </c>
      <c r="AL1622">
        <v>80.664641714448607</v>
      </c>
      <c r="AM1622">
        <v>74.889074397704903</v>
      </c>
      <c r="AN1622">
        <v>1.0000000171833601</v>
      </c>
    </row>
    <row r="1623" spans="1:40" x14ac:dyDescent="0.25">
      <c r="A1623" t="str">
        <f>"20190312172115949"</f>
        <v>20190312172115949</v>
      </c>
      <c r="B1623" t="str">
        <f>"1552382475942011"</f>
        <v>1552382475942011</v>
      </c>
      <c r="C1623" t="s">
        <v>40</v>
      </c>
      <c r="D1623">
        <v>3.4467020000000002</v>
      </c>
      <c r="E1623">
        <v>0.60262469999999901</v>
      </c>
      <c r="F1623" t="s">
        <v>44</v>
      </c>
      <c r="G1623">
        <v>-193.1952</v>
      </c>
      <c r="H1623" s="1">
        <v>-4.5246029999999997E-6</v>
      </c>
      <c r="I1623">
        <v>356.44220000000001</v>
      </c>
      <c r="J1623">
        <v>-208.09119999999999</v>
      </c>
      <c r="K1623">
        <v>1.106468</v>
      </c>
      <c r="L1623">
        <v>366.73939999999999</v>
      </c>
      <c r="M1623">
        <v>0.99627940000000004</v>
      </c>
      <c r="N1623">
        <v>0</v>
      </c>
      <c r="O1623">
        <v>-8.5227129999999998E-2</v>
      </c>
      <c r="P1623">
        <v>0.92873039999999996</v>
      </c>
      <c r="Q1623">
        <v>0.15219099999999999</v>
      </c>
      <c r="R1623">
        <v>-0.3380804</v>
      </c>
      <c r="S1623">
        <v>2.6127470000000002</v>
      </c>
      <c r="T1623">
        <v>-0.19244240000000001</v>
      </c>
      <c r="U1623">
        <v>-1.793121</v>
      </c>
      <c r="V1623">
        <v>0.25915149999999998</v>
      </c>
      <c r="W1623">
        <v>0.16208520000000001</v>
      </c>
      <c r="X1623">
        <v>0.95213910000000002</v>
      </c>
      <c r="Y1623">
        <v>0.49277969999999999</v>
      </c>
      <c r="Z1623">
        <v>-1.075949E-2</v>
      </c>
      <c r="AA1623">
        <v>0.87008759999999996</v>
      </c>
      <c r="AB1623">
        <v>27</v>
      </c>
      <c r="AC1623">
        <v>14.8959999999999</v>
      </c>
      <c r="AD1623">
        <v>-1.1064725246030001</v>
      </c>
      <c r="AE1623">
        <v>-10.297199999999901</v>
      </c>
      <c r="AF1623">
        <v>8.9566416619330607</v>
      </c>
      <c r="AG1623">
        <v>-1.1064725246030001</v>
      </c>
      <c r="AH1623">
        <v>15.6609959928227</v>
      </c>
      <c r="AI1623">
        <v>93.509554547754206</v>
      </c>
      <c r="AJ1623">
        <v>60.234435347143602</v>
      </c>
      <c r="AK1623">
        <v>18.0751903667758</v>
      </c>
      <c r="AL1623">
        <v>80.672050437878795</v>
      </c>
      <c r="AM1623">
        <v>74.774167315174694</v>
      </c>
      <c r="AN1623">
        <v>0.99999998888004904</v>
      </c>
    </row>
    <row r="1624" spans="1:40" x14ac:dyDescent="0.25">
      <c r="A1624" t="str">
        <f>"20190312172115959"</f>
        <v>20190312172115959</v>
      </c>
      <c r="B1624" t="str">
        <f>"1552382475952747"</f>
        <v>1552382475952747</v>
      </c>
      <c r="C1624" t="s">
        <v>40</v>
      </c>
      <c r="D1624">
        <v>3.426739</v>
      </c>
      <c r="E1624">
        <v>0.60300640000000005</v>
      </c>
      <c r="F1624" t="s">
        <v>44</v>
      </c>
      <c r="G1624">
        <v>-193.1576</v>
      </c>
      <c r="H1624" s="1">
        <v>-4.4783309999999998E-6</v>
      </c>
      <c r="I1624">
        <v>356.36070000000001</v>
      </c>
      <c r="J1624">
        <v>-207.96090000000001</v>
      </c>
      <c r="K1624">
        <v>1.1064160000000001</v>
      </c>
      <c r="L1624">
        <v>366.726</v>
      </c>
      <c r="M1624">
        <v>0.99607089999999998</v>
      </c>
      <c r="N1624">
        <v>0</v>
      </c>
      <c r="O1624">
        <v>-8.7627999999999998E-2</v>
      </c>
      <c r="P1624">
        <v>0.92732150000000002</v>
      </c>
      <c r="Q1624">
        <v>0.1519412</v>
      </c>
      <c r="R1624">
        <v>-0.34203650000000002</v>
      </c>
      <c r="S1624">
        <v>2.6032410000000001</v>
      </c>
      <c r="T1624">
        <v>-0.1928822</v>
      </c>
      <c r="U1624">
        <v>-1.8092349999999999</v>
      </c>
      <c r="V1624">
        <v>0.26093559999999999</v>
      </c>
      <c r="W1624">
        <v>0.1617827</v>
      </c>
      <c r="X1624">
        <v>0.95170319999999997</v>
      </c>
      <c r="Y1624">
        <v>0.4957976</v>
      </c>
      <c r="Z1624">
        <v>-1.0742689999999999E-2</v>
      </c>
      <c r="AA1624">
        <v>0.86837160000000002</v>
      </c>
      <c r="AB1624">
        <v>27</v>
      </c>
      <c r="AC1624">
        <v>14.8033</v>
      </c>
      <c r="AD1624">
        <v>-1.1064204783310001</v>
      </c>
      <c r="AE1624">
        <v>-10.3652999999999</v>
      </c>
      <c r="AF1624">
        <v>8.9944155537053199</v>
      </c>
      <c r="AG1624">
        <v>-1.1064204783310001</v>
      </c>
      <c r="AH1624">
        <v>15.5962491986272</v>
      </c>
      <c r="AI1624">
        <v>93.516648961909496</v>
      </c>
      <c r="AJ1624">
        <v>60.027789466243298</v>
      </c>
      <c r="AK1624">
        <v>18.0379230094067</v>
      </c>
      <c r="AL1624">
        <v>80.689614377987198</v>
      </c>
      <c r="AM1624">
        <v>74.667570649507994</v>
      </c>
      <c r="AN1624">
        <v>1.0000000051284399</v>
      </c>
    </row>
    <row r="1625" spans="1:40" x14ac:dyDescent="0.25">
      <c r="A1625" t="str">
        <f>"20190312172115971"</f>
        <v>20190312172115971</v>
      </c>
      <c r="B1625" t="str">
        <f>"1552382475962506"</f>
        <v>1552382475962506</v>
      </c>
      <c r="C1625" t="s">
        <v>40</v>
      </c>
      <c r="D1625">
        <v>3.4449960000000002</v>
      </c>
      <c r="E1625">
        <v>0.60331919999999895</v>
      </c>
      <c r="F1625" t="s">
        <v>44</v>
      </c>
      <c r="G1625">
        <v>-193.15049999999999</v>
      </c>
      <c r="H1625" s="1">
        <v>-4.4583080000000004E-6</v>
      </c>
      <c r="I1625">
        <v>356.3211</v>
      </c>
      <c r="J1625">
        <v>-207.82759999999999</v>
      </c>
      <c r="K1625">
        <v>1.106355</v>
      </c>
      <c r="L1625">
        <v>366.71159999999998</v>
      </c>
      <c r="M1625">
        <v>0.99584450000000002</v>
      </c>
      <c r="N1625">
        <v>0</v>
      </c>
      <c r="O1625">
        <v>-9.0162870000000006E-2</v>
      </c>
      <c r="P1625">
        <v>0.92586369999999896</v>
      </c>
      <c r="Q1625">
        <v>0.15194769999999999</v>
      </c>
      <c r="R1625">
        <v>-0.34596009999999999</v>
      </c>
      <c r="S1625">
        <v>2.5946039999999999</v>
      </c>
      <c r="T1625">
        <v>-0.1938319</v>
      </c>
      <c r="U1625">
        <v>-1.8228150000000001</v>
      </c>
      <c r="V1625">
        <v>0.26257019999999998</v>
      </c>
      <c r="W1625">
        <v>0.16173609999999999</v>
      </c>
      <c r="X1625">
        <v>0.95126140000000003</v>
      </c>
      <c r="Y1625">
        <v>0.4979828</v>
      </c>
      <c r="Z1625">
        <v>-1.0716639999999999E-2</v>
      </c>
      <c r="AA1625">
        <v>0.86712069999999997</v>
      </c>
      <c r="AB1625">
        <v>27</v>
      </c>
      <c r="AC1625">
        <v>14.6770999999999</v>
      </c>
      <c r="AD1625">
        <v>-1.1063594583079901</v>
      </c>
      <c r="AE1625">
        <v>-10.3904999999999</v>
      </c>
      <c r="AF1625">
        <v>8.9907037360428994</v>
      </c>
      <c r="AG1625">
        <v>-1.1063594583079901</v>
      </c>
      <c r="AH1625">
        <v>15.4955725285652</v>
      </c>
      <c r="AI1625">
        <v>93.533881866238204</v>
      </c>
      <c r="AJ1625">
        <v>59.877215607307903</v>
      </c>
      <c r="AK1625">
        <v>17.949082230250902</v>
      </c>
      <c r="AL1625">
        <v>80.692319603209498</v>
      </c>
      <c r="AM1625">
        <v>74.569260663949805</v>
      </c>
      <c r="AN1625">
        <v>0.99999996355060405</v>
      </c>
    </row>
    <row r="1626" spans="1:40" x14ac:dyDescent="0.25">
      <c r="A1626" t="str">
        <f>"20190312172115983"</f>
        <v>20190312172115983</v>
      </c>
      <c r="B1626" t="str">
        <f>"1552382475972267"</f>
        <v>1552382475972267</v>
      </c>
      <c r="C1626" t="s">
        <v>40</v>
      </c>
      <c r="D1626">
        <v>3.4578440000000001</v>
      </c>
      <c r="E1626">
        <v>0.60343539999999996</v>
      </c>
      <c r="F1626" t="s">
        <v>44</v>
      </c>
      <c r="G1626">
        <v>-193.01249999999999</v>
      </c>
      <c r="H1626" s="1">
        <v>-4.3689779999999998E-6</v>
      </c>
      <c r="I1626">
        <v>356.19510000000002</v>
      </c>
      <c r="J1626">
        <v>-207.68289999999999</v>
      </c>
      <c r="K1626">
        <v>1.1062879999999999</v>
      </c>
      <c r="L1626">
        <v>366.69569999999999</v>
      </c>
      <c r="M1626">
        <v>0.99558999999999997</v>
      </c>
      <c r="N1626">
        <v>0</v>
      </c>
      <c r="O1626">
        <v>-9.2930849999999995E-2</v>
      </c>
      <c r="P1626">
        <v>0.92431140000000001</v>
      </c>
      <c r="Q1626">
        <v>0.1518825</v>
      </c>
      <c r="R1626">
        <v>-0.3501146</v>
      </c>
      <c r="S1626">
        <v>2.5859830000000001</v>
      </c>
      <c r="T1626">
        <v>-0.1931157</v>
      </c>
      <c r="U1626">
        <v>-1.835663</v>
      </c>
      <c r="V1626">
        <v>0.2642253</v>
      </c>
      <c r="W1626">
        <v>0.1616138</v>
      </c>
      <c r="X1626">
        <v>0.9508238</v>
      </c>
      <c r="Y1626">
        <v>0.49980799999999997</v>
      </c>
      <c r="Z1626">
        <v>-1.057164E-2</v>
      </c>
      <c r="AA1626">
        <v>0.866071699999999</v>
      </c>
      <c r="AB1626">
        <v>27</v>
      </c>
      <c r="AC1626">
        <v>14.670400000000001</v>
      </c>
      <c r="AD1626">
        <v>-1.106292368978</v>
      </c>
      <c r="AE1626">
        <v>-10.500599999999899</v>
      </c>
      <c r="AF1626">
        <v>9.0576484319760393</v>
      </c>
      <c r="AG1626">
        <v>-1.106292368978</v>
      </c>
      <c r="AH1626">
        <v>15.5244392181327</v>
      </c>
      <c r="AI1626">
        <v>93.522172813417896</v>
      </c>
      <c r="AJ1626">
        <v>59.738811458027101</v>
      </c>
      <c r="AK1626">
        <v>18.007584262205601</v>
      </c>
      <c r="AL1626">
        <v>80.699420298477605</v>
      </c>
      <c r="AM1626">
        <v>74.4698710048484</v>
      </c>
      <c r="AN1626">
        <v>0.99999996407848402</v>
      </c>
    </row>
    <row r="1627" spans="1:40" x14ac:dyDescent="0.25">
      <c r="A1627" t="str">
        <f>"20190312172115995"</f>
        <v>20190312172115995</v>
      </c>
      <c r="B1627" t="str">
        <f>"1552382475992762"</f>
        <v>1552382475992762</v>
      </c>
      <c r="C1627" t="s">
        <v>40</v>
      </c>
      <c r="D1627">
        <v>3.445983</v>
      </c>
      <c r="E1627">
        <v>0.60352359999999905</v>
      </c>
      <c r="F1627" t="s">
        <v>44</v>
      </c>
      <c r="G1627">
        <v>-192.91329999999999</v>
      </c>
      <c r="H1627" s="1">
        <v>-4.3057379999999999E-6</v>
      </c>
      <c r="I1627">
        <v>356.10649999999998</v>
      </c>
      <c r="J1627">
        <v>-207.52250000000001</v>
      </c>
      <c r="K1627">
        <v>1.106214</v>
      </c>
      <c r="L1627">
        <v>366.67750000000001</v>
      </c>
      <c r="M1627">
        <v>0.9952917</v>
      </c>
      <c r="N1627">
        <v>0</v>
      </c>
      <c r="O1627">
        <v>-9.607367E-2</v>
      </c>
      <c r="P1627">
        <v>0.92259100000000005</v>
      </c>
      <c r="Q1627">
        <v>0.15206069999999999</v>
      </c>
      <c r="R1627">
        <v>-0.35454740000000001</v>
      </c>
      <c r="S1627">
        <v>2.5774080000000001</v>
      </c>
      <c r="T1627">
        <v>-0.1930569</v>
      </c>
      <c r="U1627">
        <v>-1.8479000000000001</v>
      </c>
      <c r="V1627">
        <v>0.26582460000000002</v>
      </c>
      <c r="W1627">
        <v>0.1617295</v>
      </c>
      <c r="X1627">
        <v>0.95035829999999999</v>
      </c>
      <c r="Y1627">
        <v>0.50115739999999998</v>
      </c>
      <c r="Z1627">
        <v>-1.0422539999999999E-2</v>
      </c>
      <c r="AA1627">
        <v>0.86529339999999999</v>
      </c>
      <c r="AB1627">
        <v>27</v>
      </c>
      <c r="AC1627">
        <v>14.6092</v>
      </c>
      <c r="AD1627">
        <v>-1.106218305738</v>
      </c>
      <c r="AE1627">
        <v>-10.571</v>
      </c>
      <c r="AF1627">
        <v>9.0842317520601501</v>
      </c>
      <c r="AG1627">
        <v>-1.106218305738</v>
      </c>
      <c r="AH1627">
        <v>15.498961506337601</v>
      </c>
      <c r="AI1627">
        <v>93.523614239725603</v>
      </c>
      <c r="AJ1627">
        <v>59.624633430311903</v>
      </c>
      <c r="AK1627">
        <v>17.999022007876501</v>
      </c>
      <c r="AL1627">
        <v>80.692703365658403</v>
      </c>
      <c r="AM1627">
        <v>74.373169221756498</v>
      </c>
      <c r="AN1627">
        <v>1.00000002375714</v>
      </c>
    </row>
    <row r="1628" spans="1:40" x14ac:dyDescent="0.25">
      <c r="A1628" t="str">
        <f>"20190312172116007"</f>
        <v>20190312172116007</v>
      </c>
      <c r="B1628" t="str">
        <f>"1552382476002523"</f>
        <v>1552382476002523</v>
      </c>
      <c r="C1628" t="s">
        <v>40</v>
      </c>
      <c r="D1628">
        <v>3.446396</v>
      </c>
      <c r="E1628">
        <v>0.60348869999999999</v>
      </c>
      <c r="F1628" t="s">
        <v>44</v>
      </c>
      <c r="G1628">
        <v>-192.77109999999999</v>
      </c>
      <c r="H1628" s="1">
        <v>-4.2188740000000001E-6</v>
      </c>
      <c r="I1628">
        <v>355.98770000000002</v>
      </c>
      <c r="J1628">
        <v>-207.38040000000001</v>
      </c>
      <c r="K1628">
        <v>1.1061460000000001</v>
      </c>
      <c r="L1628">
        <v>366.66079999999999</v>
      </c>
      <c r="M1628">
        <v>0.99501430000000002</v>
      </c>
      <c r="N1628">
        <v>0</v>
      </c>
      <c r="O1628">
        <v>-9.8903190000000002E-2</v>
      </c>
      <c r="P1628">
        <v>0.9210391</v>
      </c>
      <c r="Q1628">
        <v>0.15215139999999999</v>
      </c>
      <c r="R1628">
        <v>-0.35852079999999997</v>
      </c>
      <c r="S1628">
        <v>2.5682529999999999</v>
      </c>
      <c r="T1628">
        <v>-0.19259580000000001</v>
      </c>
      <c r="U1628">
        <v>-1.8611150000000001</v>
      </c>
      <c r="V1628">
        <v>0.26724979999999998</v>
      </c>
      <c r="W1628">
        <v>0.16176479999999999</v>
      </c>
      <c r="X1628">
        <v>0.94995249999999998</v>
      </c>
      <c r="Y1628">
        <v>0.50308589999999997</v>
      </c>
      <c r="Z1628">
        <v>-1.029269E-2</v>
      </c>
      <c r="AA1628">
        <v>0.86417509999999997</v>
      </c>
      <c r="AB1628">
        <v>27</v>
      </c>
      <c r="AC1628">
        <v>14.609299999999999</v>
      </c>
      <c r="AD1628">
        <v>-1.10615021887399</v>
      </c>
      <c r="AE1628">
        <v>-10.6730999999999</v>
      </c>
      <c r="AF1628">
        <v>9.1415667360047692</v>
      </c>
      <c r="AG1628">
        <v>-1.10615021887399</v>
      </c>
      <c r="AH1628">
        <v>15.5352818940869</v>
      </c>
      <c r="AI1628">
        <v>93.511630194887999</v>
      </c>
      <c r="AJ1628">
        <v>59.525782025695101</v>
      </c>
      <c r="AK1628">
        <v>18.059257853640801</v>
      </c>
      <c r="AL1628">
        <v>80.690653887982407</v>
      </c>
      <c r="AM1628">
        <v>74.287133419584904</v>
      </c>
      <c r="AN1628">
        <v>1.0000000291876601</v>
      </c>
    </row>
    <row r="1629" spans="1:40" x14ac:dyDescent="0.25">
      <c r="A1629" t="str">
        <f>"20190312172116019"</f>
        <v>20190312172116019</v>
      </c>
      <c r="B1629" t="str">
        <f>"1552382476012283"</f>
        <v>1552382476012283</v>
      </c>
      <c r="C1629" t="s">
        <v>40</v>
      </c>
      <c r="D1629">
        <v>3.4799769999999999</v>
      </c>
      <c r="E1629">
        <v>0.60335519999999998</v>
      </c>
      <c r="F1629" t="s">
        <v>44</v>
      </c>
      <c r="G1629">
        <v>-192.6566</v>
      </c>
      <c r="H1629" s="1">
        <v>-4.1509710000000004E-6</v>
      </c>
      <c r="I1629">
        <v>355.8965</v>
      </c>
      <c r="J1629">
        <v>-207.23519999999999</v>
      </c>
      <c r="K1629">
        <v>1.1060810000000001</v>
      </c>
      <c r="L1629">
        <v>366.64359999999999</v>
      </c>
      <c r="M1629">
        <v>0.99471960000000004</v>
      </c>
      <c r="N1629">
        <v>0</v>
      </c>
      <c r="O1629">
        <v>-0.1018241</v>
      </c>
      <c r="P1629">
        <v>0.9193327</v>
      </c>
      <c r="Q1629">
        <v>0.1523291</v>
      </c>
      <c r="R1629">
        <v>-0.36279980000000001</v>
      </c>
      <c r="S1629">
        <v>2.560349</v>
      </c>
      <c r="T1629">
        <v>-0.19234999999999999</v>
      </c>
      <c r="U1629">
        <v>-1.871826</v>
      </c>
      <c r="V1629">
        <v>0.26891199999999998</v>
      </c>
      <c r="W1629">
        <v>0.16188339999999901</v>
      </c>
      <c r="X1629">
        <v>0.9494631</v>
      </c>
      <c r="Y1629">
        <v>0.50418050000000003</v>
      </c>
      <c r="Z1629">
        <v>-1.0138970000000001E-2</v>
      </c>
      <c r="AA1629">
        <v>0.86353880000000005</v>
      </c>
      <c r="AB1629">
        <v>27</v>
      </c>
      <c r="AC1629">
        <v>14.5785999999999</v>
      </c>
      <c r="AD1629">
        <v>-1.1060851509709999</v>
      </c>
      <c r="AE1629">
        <v>-10.7470999999999</v>
      </c>
      <c r="AF1629">
        <v>9.1724476454969501</v>
      </c>
      <c r="AG1629">
        <v>-1.1060851509709999</v>
      </c>
      <c r="AH1629">
        <v>15.539263577705499</v>
      </c>
      <c r="AI1629">
        <v>93.507714720264005</v>
      </c>
      <c r="AJ1629">
        <v>59.4476845804489</v>
      </c>
      <c r="AK1629">
        <v>18.0783277077274</v>
      </c>
      <c r="AL1629">
        <v>80.683767936576899</v>
      </c>
      <c r="AM1629">
        <v>74.186534486179099</v>
      </c>
      <c r="AN1629">
        <v>1.0000000386005801</v>
      </c>
    </row>
    <row r="1630" spans="1:40" x14ac:dyDescent="0.25">
      <c r="A1630" t="str">
        <f>"20190312172116029"</f>
        <v>20190312172116029</v>
      </c>
      <c r="B1630" t="str">
        <f>"1552382476022043"</f>
        <v>1552382476022043</v>
      </c>
      <c r="C1630" t="s">
        <v>40</v>
      </c>
      <c r="D1630">
        <v>3.4234300000000002</v>
      </c>
      <c r="E1630">
        <v>0.60324949999999999</v>
      </c>
      <c r="F1630" t="s">
        <v>44</v>
      </c>
      <c r="G1630">
        <v>-192.52539999999999</v>
      </c>
      <c r="H1630" s="1">
        <v>-4.0724320000000002E-6</v>
      </c>
      <c r="I1630">
        <v>355.7903</v>
      </c>
      <c r="J1630">
        <v>-207.09800000000001</v>
      </c>
      <c r="K1630">
        <v>1.1060219999999901</v>
      </c>
      <c r="L1630">
        <v>366.62650000000002</v>
      </c>
      <c r="M1630">
        <v>0.99442580000000003</v>
      </c>
      <c r="N1630">
        <v>0</v>
      </c>
      <c r="O1630">
        <v>-0.10465289999999999</v>
      </c>
      <c r="P1630">
        <v>0.91781429999999997</v>
      </c>
      <c r="Q1630">
        <v>0.1527482</v>
      </c>
      <c r="R1630">
        <v>-0.36644919999999997</v>
      </c>
      <c r="S1630">
        <v>2.5520019999999999</v>
      </c>
      <c r="T1630">
        <v>-0.19189490000000001</v>
      </c>
      <c r="U1630">
        <v>-1.882935</v>
      </c>
      <c r="V1630">
        <v>0.27002140000000002</v>
      </c>
      <c r="W1630">
        <v>0.1622527</v>
      </c>
      <c r="X1630">
        <v>0.94908510000000001</v>
      </c>
      <c r="Y1630">
        <v>0.50551279999999998</v>
      </c>
      <c r="Z1630">
        <v>-9.9894549999999995E-3</v>
      </c>
      <c r="AA1630">
        <v>0.86276129999999995</v>
      </c>
      <c r="AB1630">
        <v>27</v>
      </c>
      <c r="AC1630">
        <v>14.5725999999999</v>
      </c>
      <c r="AD1630">
        <v>-1.1060260724319999</v>
      </c>
      <c r="AE1630">
        <v>-10.8362</v>
      </c>
      <c r="AF1630">
        <v>9.2173052564286593</v>
      </c>
      <c r="AG1630">
        <v>-1.1060260724319999</v>
      </c>
      <c r="AH1630">
        <v>15.5689480578793</v>
      </c>
      <c r="AI1630">
        <v>93.498171919742703</v>
      </c>
      <c r="AJ1630">
        <v>59.373137440388</v>
      </c>
      <c r="AK1630">
        <v>18.126614507183302</v>
      </c>
      <c r="AL1630">
        <v>80.662324863698998</v>
      </c>
      <c r="AM1630">
        <v>74.118573754435602</v>
      </c>
      <c r="AN1630">
        <v>1.00000001107863</v>
      </c>
    </row>
    <row r="1631" spans="1:40" x14ac:dyDescent="0.25">
      <c r="A1631" t="str">
        <f>"20190312172116040"</f>
        <v>20190312172116040</v>
      </c>
      <c r="B1631" t="str">
        <f>"1552382476032779"</f>
        <v>1552382476032779</v>
      </c>
      <c r="C1631" t="s">
        <v>40</v>
      </c>
      <c r="D1631">
        <v>3.430091</v>
      </c>
      <c r="E1631">
        <v>0.60305369999999903</v>
      </c>
      <c r="F1631" t="s">
        <v>44</v>
      </c>
      <c r="G1631">
        <v>-192.26589999999999</v>
      </c>
      <c r="H1631" s="1">
        <v>-3.925387E-6</v>
      </c>
      <c r="I1631">
        <v>355.59809999999999</v>
      </c>
      <c r="J1631">
        <v>-206.9708</v>
      </c>
      <c r="K1631">
        <v>1.105966</v>
      </c>
      <c r="L1631">
        <v>366.61059999999998</v>
      </c>
      <c r="M1631">
        <v>0.9941451</v>
      </c>
      <c r="N1631">
        <v>0</v>
      </c>
      <c r="O1631">
        <v>-0.1072867</v>
      </c>
      <c r="P1631">
        <v>0.91623869999999996</v>
      </c>
      <c r="Q1631">
        <v>0.153252</v>
      </c>
      <c r="R1631">
        <v>-0.37016329999999997</v>
      </c>
      <c r="S1631">
        <v>2.544724</v>
      </c>
      <c r="T1631">
        <v>-0.1897596</v>
      </c>
      <c r="U1631">
        <v>-1.89212</v>
      </c>
      <c r="V1631">
        <v>0.27139020000000003</v>
      </c>
      <c r="W1631">
        <v>0.162705399999999</v>
      </c>
      <c r="X1631">
        <v>0.94861700000000004</v>
      </c>
      <c r="Y1631">
        <v>0.5064324</v>
      </c>
      <c r="Z1631">
        <v>-9.7516100000000008E-3</v>
      </c>
      <c r="AA1631">
        <v>0.86222449999999995</v>
      </c>
      <c r="AB1631">
        <v>27</v>
      </c>
      <c r="AC1631">
        <v>14.7049</v>
      </c>
      <c r="AD1631">
        <v>-1.1059699253869999</v>
      </c>
      <c r="AE1631">
        <v>-11.0124999999999</v>
      </c>
      <c r="AF1631">
        <v>9.3373168336669998</v>
      </c>
      <c r="AG1631">
        <v>-1.1059699253869999</v>
      </c>
      <c r="AH1631">
        <v>15.744543511150599</v>
      </c>
      <c r="AI1631">
        <v>93.457534973195806</v>
      </c>
      <c r="AJ1631">
        <v>59.3298985103267</v>
      </c>
      <c r="AK1631">
        <v>18.338465189395102</v>
      </c>
      <c r="AL1631">
        <v>80.636037186614402</v>
      </c>
      <c r="AM1631">
        <v>74.034683662783195</v>
      </c>
      <c r="AN1631">
        <v>0.99999995026709798</v>
      </c>
    </row>
    <row r="1632" spans="1:40" x14ac:dyDescent="0.25">
      <c r="A1632" t="str">
        <f>"20190312172116050"</f>
        <v>20190312172116050</v>
      </c>
      <c r="B1632" t="str">
        <f>"1552382476042539"</f>
        <v>1552382476042539</v>
      </c>
      <c r="C1632" t="s">
        <v>40</v>
      </c>
      <c r="D1632">
        <v>3.4815209999999999</v>
      </c>
      <c r="E1632">
        <v>0.60290679999999996</v>
      </c>
      <c r="F1632" t="s">
        <v>44</v>
      </c>
      <c r="G1632">
        <v>-192.0155</v>
      </c>
      <c r="H1632" s="1">
        <v>-3.779118E-6</v>
      </c>
      <c r="I1632">
        <v>355.40339999999998</v>
      </c>
      <c r="J1632">
        <v>-206.84370000000001</v>
      </c>
      <c r="K1632">
        <v>1.1059099999999999</v>
      </c>
      <c r="L1632">
        <v>366.59399999999999</v>
      </c>
      <c r="M1632">
        <v>0.99384980000000001</v>
      </c>
      <c r="N1632">
        <v>0</v>
      </c>
      <c r="O1632">
        <v>-0.1099874</v>
      </c>
      <c r="P1632">
        <v>0.91463749999999999</v>
      </c>
      <c r="Q1632">
        <v>0.15377460000000001</v>
      </c>
      <c r="R1632">
        <v>-0.37388779999999999</v>
      </c>
      <c r="S1632">
        <v>2.5374599999999998</v>
      </c>
      <c r="T1632">
        <v>-0.18764939999999999</v>
      </c>
      <c r="U1632">
        <v>-1.9015200000000001</v>
      </c>
      <c r="V1632">
        <v>0.27271230000000002</v>
      </c>
      <c r="W1632">
        <v>0.16317679999999901</v>
      </c>
      <c r="X1632">
        <v>0.94815680000000002</v>
      </c>
      <c r="Y1632">
        <v>0.5073377</v>
      </c>
      <c r="Z1632">
        <v>-9.5125910000000008E-3</v>
      </c>
      <c r="AA1632">
        <v>0.86169490000000004</v>
      </c>
      <c r="AB1632">
        <v>27</v>
      </c>
      <c r="AC1632">
        <v>14.828200000000001</v>
      </c>
      <c r="AD1632">
        <v>-1.105913779118</v>
      </c>
      <c r="AE1632">
        <v>-11.1906</v>
      </c>
      <c r="AF1632">
        <v>9.4581257404846593</v>
      </c>
      <c r="AG1632">
        <v>-1.105913779118</v>
      </c>
      <c r="AH1632">
        <v>15.912754402458299</v>
      </c>
      <c r="AI1632">
        <v>93.418918665250601</v>
      </c>
      <c r="AJ1632">
        <v>59.273855665710897</v>
      </c>
      <c r="AK1632">
        <v>18.544404559937199</v>
      </c>
      <c r="AL1632">
        <v>80.608662503970393</v>
      </c>
      <c r="AM1632">
        <v>73.953514260125303</v>
      </c>
      <c r="AN1632">
        <v>0.99999999200788403</v>
      </c>
    </row>
    <row r="1633" spans="1:40" x14ac:dyDescent="0.25">
      <c r="A1633" t="str">
        <f>"20190312172116061"</f>
        <v>20190312172116061</v>
      </c>
      <c r="B1633" t="str">
        <f>"1552382476052299"</f>
        <v>1552382476052299</v>
      </c>
      <c r="C1633" t="s">
        <v>40</v>
      </c>
      <c r="D1633">
        <v>3.421656</v>
      </c>
      <c r="E1633">
        <v>0.60272369999999897</v>
      </c>
      <c r="F1633" t="s">
        <v>44</v>
      </c>
      <c r="G1633">
        <v>-191.81100000000001</v>
      </c>
      <c r="H1633" s="1">
        <v>-3.657289E-6</v>
      </c>
      <c r="I1633">
        <v>355.23919999999998</v>
      </c>
      <c r="J1633">
        <v>-206.71799999999999</v>
      </c>
      <c r="K1633">
        <v>1.1058509999999999</v>
      </c>
      <c r="L1633">
        <v>366.57749999999999</v>
      </c>
      <c r="M1633">
        <v>0.99354960000000003</v>
      </c>
      <c r="N1633">
        <v>0</v>
      </c>
      <c r="O1633">
        <v>-0.1126653</v>
      </c>
      <c r="P1633">
        <v>0.91300970000000004</v>
      </c>
      <c r="Q1633">
        <v>0.1541421</v>
      </c>
      <c r="R1633">
        <v>-0.37769510000000001</v>
      </c>
      <c r="S1633">
        <v>2.53009</v>
      </c>
      <c r="T1633">
        <v>-0.1861313</v>
      </c>
      <c r="U1633">
        <v>-1.9110720000000001</v>
      </c>
      <c r="V1633">
        <v>0.27414329999999998</v>
      </c>
      <c r="W1633">
        <v>0.163492</v>
      </c>
      <c r="X1633">
        <v>0.94768969999999997</v>
      </c>
      <c r="Y1633">
        <v>0.50830730000000002</v>
      </c>
      <c r="Z1633">
        <v>-9.3095150000000008E-3</v>
      </c>
      <c r="AA1633">
        <v>0.86112549999999899</v>
      </c>
      <c r="AB1633">
        <v>27</v>
      </c>
      <c r="AC1633">
        <v>14.907</v>
      </c>
      <c r="AD1633">
        <v>-1.105854657289</v>
      </c>
      <c r="AE1633">
        <v>-11.3383</v>
      </c>
      <c r="AF1633">
        <v>9.5531508893525299</v>
      </c>
      <c r="AG1633">
        <v>-1.105854657289</v>
      </c>
      <c r="AH1633">
        <v>16.0337115518305</v>
      </c>
      <c r="AI1633">
        <v>93.390860637937706</v>
      </c>
      <c r="AJ1633">
        <v>59.212813907699001</v>
      </c>
      <c r="AK1633">
        <v>18.696671162671901</v>
      </c>
      <c r="AL1633">
        <v>80.590356886540505</v>
      </c>
      <c r="AM1633">
        <v>73.866145195343606</v>
      </c>
      <c r="AN1633">
        <v>0.99999997524248896</v>
      </c>
    </row>
    <row r="1634" spans="1:40" x14ac:dyDescent="0.25">
      <c r="A1634" t="str">
        <f>"20190312172116071"</f>
        <v>20190312172116071</v>
      </c>
      <c r="B1634" t="str">
        <f>"1552382476062059"</f>
        <v>1552382476062059</v>
      </c>
      <c r="C1634" t="s">
        <v>40</v>
      </c>
      <c r="D1634">
        <v>3.4573089999999902</v>
      </c>
      <c r="E1634">
        <v>0.60257280000000002</v>
      </c>
      <c r="F1634" t="s">
        <v>44</v>
      </c>
      <c r="G1634">
        <v>-191.62970000000001</v>
      </c>
      <c r="H1634" s="1">
        <v>-3.547824E-6</v>
      </c>
      <c r="I1634">
        <v>355.09050000000002</v>
      </c>
      <c r="J1634">
        <v>-206.5823</v>
      </c>
      <c r="K1634">
        <v>1.105796</v>
      </c>
      <c r="L1634">
        <v>366.55889999999999</v>
      </c>
      <c r="M1634">
        <v>0.99321000000000004</v>
      </c>
      <c r="N1634">
        <v>0</v>
      </c>
      <c r="O1634">
        <v>-0.1156213</v>
      </c>
      <c r="P1634">
        <v>0.91129130000000003</v>
      </c>
      <c r="Q1634">
        <v>0.1547422</v>
      </c>
      <c r="R1634">
        <v>-0.38157990000000003</v>
      </c>
      <c r="S1634">
        <v>2.5225680000000001</v>
      </c>
      <c r="T1634">
        <v>-0.18488399999999999</v>
      </c>
      <c r="U1634">
        <v>-1.920471</v>
      </c>
      <c r="V1634">
        <v>0.2754027</v>
      </c>
      <c r="W1634">
        <v>0.16404050000000001</v>
      </c>
      <c r="X1634">
        <v>0.94722969999999895</v>
      </c>
      <c r="Y1634">
        <v>0.50902599999999998</v>
      </c>
      <c r="Z1634">
        <v>-9.0964059999999996E-3</v>
      </c>
      <c r="AA1634">
        <v>0.86070309999999906</v>
      </c>
      <c r="AB1634">
        <v>27</v>
      </c>
      <c r="AC1634">
        <v>14.952599999999901</v>
      </c>
      <c r="AD1634">
        <v>-1.1057995478239999</v>
      </c>
      <c r="AE1634">
        <v>-11.4683999999999</v>
      </c>
      <c r="AF1634">
        <v>9.6293323058595206</v>
      </c>
      <c r="AG1634">
        <v>-1.1057995478239999</v>
      </c>
      <c r="AH1634">
        <v>16.122884158734099</v>
      </c>
      <c r="AI1634">
        <v>93.369866669554</v>
      </c>
      <c r="AJ1634">
        <v>59.152397313559902</v>
      </c>
      <c r="AK1634">
        <v>18.812076623610601</v>
      </c>
      <c r="AL1634">
        <v>80.558500470556694</v>
      </c>
      <c r="AM1634">
        <v>73.788452475576307</v>
      </c>
      <c r="AN1634">
        <v>1.0000000186848099</v>
      </c>
    </row>
    <row r="1635" spans="1:40" x14ac:dyDescent="0.25">
      <c r="A1635" t="str">
        <f>"20190312172116085"</f>
        <v>20190312172116085</v>
      </c>
      <c r="B1635" t="str">
        <f>"1552382476082555"</f>
        <v>1552382476082555</v>
      </c>
      <c r="C1635" t="s">
        <v>40</v>
      </c>
      <c r="D1635">
        <v>3.448102</v>
      </c>
      <c r="E1635">
        <v>0.60202449999999996</v>
      </c>
      <c r="F1635" t="s">
        <v>44</v>
      </c>
      <c r="G1635">
        <v>-191.38030000000001</v>
      </c>
      <c r="H1635" s="1">
        <v>-3.3994559999999999E-6</v>
      </c>
      <c r="I1635">
        <v>354.89069999999998</v>
      </c>
      <c r="J1635">
        <v>-206.42599999999999</v>
      </c>
      <c r="K1635">
        <v>1.105731</v>
      </c>
      <c r="L1635">
        <v>366.53719999999998</v>
      </c>
      <c r="M1635">
        <v>0.99280389999999996</v>
      </c>
      <c r="N1635">
        <v>0</v>
      </c>
      <c r="O1635">
        <v>-0.1190556</v>
      </c>
      <c r="P1635">
        <v>0.90937049999999997</v>
      </c>
      <c r="Q1635">
        <v>0.1549809</v>
      </c>
      <c r="R1635">
        <v>-0.38603900000000002</v>
      </c>
      <c r="S1635">
        <v>2.5148320000000002</v>
      </c>
      <c r="T1635">
        <v>-0.18293090000000001</v>
      </c>
      <c r="U1635">
        <v>-1.930267</v>
      </c>
      <c r="V1635">
        <v>0.27680339999999998</v>
      </c>
      <c r="W1635">
        <v>0.1642216</v>
      </c>
      <c r="X1635">
        <v>0.94678989999999996</v>
      </c>
      <c r="Y1635">
        <v>0.50945649999999998</v>
      </c>
      <c r="Z1635">
        <v>-8.811925E-3</v>
      </c>
      <c r="AA1635">
        <v>0.86045130000000003</v>
      </c>
      <c r="AB1635">
        <v>27</v>
      </c>
      <c r="AC1635">
        <v>15.045699999999901</v>
      </c>
      <c r="AD1635">
        <v>-1.105734399456</v>
      </c>
      <c r="AE1635">
        <v>-11.6465</v>
      </c>
      <c r="AF1635">
        <v>9.7393346370023401</v>
      </c>
      <c r="AG1635">
        <v>-1.105734399456</v>
      </c>
      <c r="AH1635">
        <v>16.270416307971001</v>
      </c>
      <c r="AI1635">
        <v>93.337209930750006</v>
      </c>
      <c r="AJ1635">
        <v>59.095614896439102</v>
      </c>
      <c r="AK1635">
        <v>18.9948344180291</v>
      </c>
      <c r="AL1635">
        <v>80.547981236205004</v>
      </c>
      <c r="AM1635">
        <v>73.703196795884793</v>
      </c>
      <c r="AN1635">
        <v>0.99999998545006397</v>
      </c>
    </row>
    <row r="1636" spans="1:40" x14ac:dyDescent="0.25">
      <c r="A1636" t="str">
        <f>"20190312172116098"</f>
        <v>20190312172116098</v>
      </c>
      <c r="B1636" t="str">
        <f>"1552382476092315"</f>
        <v>1552382476092315</v>
      </c>
      <c r="C1636" t="s">
        <v>40</v>
      </c>
      <c r="D1636">
        <v>3.4406249999999998</v>
      </c>
      <c r="E1636">
        <v>0.60176289999999999</v>
      </c>
      <c r="F1636" t="s">
        <v>44</v>
      </c>
      <c r="G1636">
        <v>-191.2697</v>
      </c>
      <c r="H1636" s="1">
        <v>-3.3397029999999998E-6</v>
      </c>
      <c r="I1636">
        <v>354.81509999999997</v>
      </c>
      <c r="J1636">
        <v>-206.2664</v>
      </c>
      <c r="K1636">
        <v>1.1056649999999999</v>
      </c>
      <c r="L1636">
        <v>366.5145</v>
      </c>
      <c r="M1636">
        <v>0.99237059999999999</v>
      </c>
      <c r="N1636">
        <v>0</v>
      </c>
      <c r="O1636">
        <v>-0.1226149</v>
      </c>
      <c r="P1636">
        <v>0.90745260000000005</v>
      </c>
      <c r="Q1636">
        <v>0.1552087</v>
      </c>
      <c r="R1636">
        <v>-0.39043529999999999</v>
      </c>
      <c r="S1636">
        <v>2.50705</v>
      </c>
      <c r="T1636">
        <v>-0.18290229999999999</v>
      </c>
      <c r="U1636">
        <v>-1.938995</v>
      </c>
      <c r="V1636">
        <v>0.27802660000000001</v>
      </c>
      <c r="W1636">
        <v>0.16439419999999999</v>
      </c>
      <c r="X1636">
        <v>0.94640150000000001</v>
      </c>
      <c r="Y1636">
        <v>0.50954299999999997</v>
      </c>
      <c r="Z1636">
        <v>-8.6038319999999901E-3</v>
      </c>
      <c r="AA1636">
        <v>0.86040219999999901</v>
      </c>
      <c r="AB1636">
        <v>27</v>
      </c>
      <c r="AC1636">
        <v>14.996700000000001</v>
      </c>
      <c r="AD1636">
        <v>-1.1056683397029901</v>
      </c>
      <c r="AE1636">
        <v>-11.699400000000001</v>
      </c>
      <c r="AF1636">
        <v>9.7392233206137</v>
      </c>
      <c r="AG1636">
        <v>-1.1056683397029901</v>
      </c>
      <c r="AH1636">
        <v>16.263204877886299</v>
      </c>
      <c r="AI1636">
        <v>93.338107766270895</v>
      </c>
      <c r="AJ1636">
        <v>59.084708701079002</v>
      </c>
      <c r="AK1636">
        <v>18.988596742948399</v>
      </c>
      <c r="AL1636">
        <v>80.5379560707091</v>
      </c>
      <c r="AM1636">
        <v>73.6286698604234</v>
      </c>
      <c r="AN1636">
        <v>1.0000000212517199</v>
      </c>
    </row>
    <row r="1637" spans="1:40" x14ac:dyDescent="0.25">
      <c r="A1637" t="str">
        <f>"20190312172116111"</f>
        <v>20190312172116111</v>
      </c>
      <c r="B1637" t="str">
        <f>"1552382476103052"</f>
        <v>1552382476103052</v>
      </c>
      <c r="C1637" t="s">
        <v>40</v>
      </c>
      <c r="D1637">
        <v>3.403483</v>
      </c>
      <c r="E1637">
        <v>0.60147019999999995</v>
      </c>
      <c r="F1637" t="s">
        <v>44</v>
      </c>
      <c r="G1637">
        <v>-191.13919999999999</v>
      </c>
      <c r="H1637" s="1">
        <v>-3.262349E-6</v>
      </c>
      <c r="I1637">
        <v>354.71109999999999</v>
      </c>
      <c r="J1637">
        <v>-206.1063</v>
      </c>
      <c r="K1637">
        <v>1.1056029999999999</v>
      </c>
      <c r="L1637">
        <v>366.49079999999998</v>
      </c>
      <c r="M1637">
        <v>0.99191379999999996</v>
      </c>
      <c r="N1637">
        <v>0</v>
      </c>
      <c r="O1637">
        <v>-0.12625620000000001</v>
      </c>
      <c r="P1637">
        <v>0.90552750000000004</v>
      </c>
      <c r="Q1637">
        <v>0.15545490000000001</v>
      </c>
      <c r="R1637">
        <v>-0.39478360000000001</v>
      </c>
      <c r="S1637">
        <v>2.4984280000000001</v>
      </c>
      <c r="T1637">
        <v>-0.18261379999999999</v>
      </c>
      <c r="U1637">
        <v>-1.9494629999999999</v>
      </c>
      <c r="V1637">
        <v>0.27912930000000002</v>
      </c>
      <c r="W1637">
        <v>0.16458699999999901</v>
      </c>
      <c r="X1637">
        <v>0.94604330000000003</v>
      </c>
      <c r="Y1637">
        <v>0.51007239999999998</v>
      </c>
      <c r="Z1637">
        <v>-8.3932969999999992E-3</v>
      </c>
      <c r="AA1637">
        <v>0.86009059999999904</v>
      </c>
      <c r="AB1637">
        <v>27</v>
      </c>
      <c r="AC1637">
        <v>14.9671</v>
      </c>
      <c r="AD1637">
        <v>-1.1056062623489999</v>
      </c>
      <c r="AE1637">
        <v>-11.779699999999901</v>
      </c>
      <c r="AF1637">
        <v>9.7626776066707794</v>
      </c>
      <c r="AG1637">
        <v>-1.1056062623489999</v>
      </c>
      <c r="AH1637">
        <v>16.279837559595201</v>
      </c>
      <c r="AI1637">
        <v>93.333302527746895</v>
      </c>
      <c r="AJ1637">
        <v>59.049766545734101</v>
      </c>
      <c r="AK1637">
        <v>19.014871817236699</v>
      </c>
      <c r="AL1637">
        <v>80.526756560532405</v>
      </c>
      <c r="AM1637">
        <v>73.561348586308796</v>
      </c>
      <c r="AN1637">
        <v>0.99999998608118901</v>
      </c>
    </row>
    <row r="1638" spans="1:40" x14ac:dyDescent="0.25">
      <c r="A1638" t="str">
        <f>"20190312172116126"</f>
        <v>20190312172116126</v>
      </c>
      <c r="B1638" t="str">
        <f>"1552382476122571"</f>
        <v>1552382476122571</v>
      </c>
      <c r="C1638" t="s">
        <v>40</v>
      </c>
      <c r="D1638">
        <v>3.4059140000000001</v>
      </c>
      <c r="E1638">
        <v>0.60090699999999997</v>
      </c>
      <c r="F1638" t="s">
        <v>44</v>
      </c>
      <c r="G1638">
        <v>-191.00640000000001</v>
      </c>
      <c r="H1638" s="1">
        <v>-3.184954E-6</v>
      </c>
      <c r="I1638">
        <v>354.60820000000001</v>
      </c>
      <c r="J1638">
        <v>-205.9281</v>
      </c>
      <c r="K1638">
        <v>1.1055299999999999</v>
      </c>
      <c r="L1638">
        <v>366.46390000000002</v>
      </c>
      <c r="M1638">
        <v>0.99138219999999999</v>
      </c>
      <c r="N1638">
        <v>0</v>
      </c>
      <c r="O1638">
        <v>-0.1303637</v>
      </c>
      <c r="P1638">
        <v>0.90263649999999995</v>
      </c>
      <c r="Q1638">
        <v>0.15570329999999999</v>
      </c>
      <c r="R1638">
        <v>-0.40125339999999998</v>
      </c>
      <c r="S1638">
        <v>2.490021</v>
      </c>
      <c r="T1638">
        <v>-0.18231700000000001</v>
      </c>
      <c r="U1638">
        <v>-1.959473</v>
      </c>
      <c r="V1638">
        <v>0.28202359999999999</v>
      </c>
      <c r="W1638">
        <v>0.16474929999999999</v>
      </c>
      <c r="X1638">
        <v>0.94515629999999995</v>
      </c>
      <c r="Y1638">
        <v>0.51006470000000004</v>
      </c>
      <c r="Z1638">
        <v>-8.1359669999999992E-3</v>
      </c>
      <c r="AA1638">
        <v>0.86009749999999996</v>
      </c>
      <c r="AB1638">
        <v>27</v>
      </c>
      <c r="AC1638">
        <v>14.9216999999999</v>
      </c>
      <c r="AD1638">
        <v>-1.105533184954</v>
      </c>
      <c r="AE1638">
        <v>-11.855700000000001</v>
      </c>
      <c r="AF1638">
        <v>9.7762027060593102</v>
      </c>
      <c r="AG1638">
        <v>-1.105533184954</v>
      </c>
      <c r="AH1638">
        <v>16.2852230461856</v>
      </c>
      <c r="AI1638">
        <v>93.331055838661698</v>
      </c>
      <c r="AJ1638">
        <v>59.023132274003999</v>
      </c>
      <c r="AK1638">
        <v>19.026424588897701</v>
      </c>
      <c r="AL1638">
        <v>80.517329245102601</v>
      </c>
      <c r="AM1638">
        <v>73.385511182647207</v>
      </c>
      <c r="AN1638">
        <v>1.00000003711856</v>
      </c>
    </row>
    <row r="1639" spans="1:40" x14ac:dyDescent="0.25">
      <c r="A1639" t="str">
        <f>"20190312172116138"</f>
        <v>20190312172116138</v>
      </c>
      <c r="B1639" t="str">
        <f>"1552382476132330"</f>
        <v>1552382476132330</v>
      </c>
      <c r="C1639" t="s">
        <v>40</v>
      </c>
      <c r="D1639">
        <v>3.4561069999999998</v>
      </c>
      <c r="E1639">
        <v>0.60072700000000001</v>
      </c>
      <c r="F1639" t="s">
        <v>44</v>
      </c>
      <c r="G1639">
        <v>-190.89519999999999</v>
      </c>
      <c r="H1639" s="1">
        <v>-3.101918E-6</v>
      </c>
      <c r="I1639">
        <v>354.49149999999997</v>
      </c>
      <c r="J1639">
        <v>-205.7791</v>
      </c>
      <c r="K1639">
        <v>1.1054729999999999</v>
      </c>
      <c r="L1639">
        <v>366.44080000000002</v>
      </c>
      <c r="M1639">
        <v>0.99091799999999997</v>
      </c>
      <c r="N1639">
        <v>0</v>
      </c>
      <c r="O1639">
        <v>-0.13384570000000001</v>
      </c>
      <c r="P1639">
        <v>0.9006847</v>
      </c>
      <c r="Q1639">
        <v>0.1557442</v>
      </c>
      <c r="R1639">
        <v>-0.40559980000000001</v>
      </c>
      <c r="S1639">
        <v>2.477814</v>
      </c>
      <c r="T1639">
        <v>-0.18222089999999999</v>
      </c>
      <c r="U1639">
        <v>-1.9733579999999999</v>
      </c>
      <c r="V1639">
        <v>0.2832887</v>
      </c>
      <c r="W1639">
        <v>0.1647352</v>
      </c>
      <c r="X1639">
        <v>0.94478030000000002</v>
      </c>
      <c r="Y1639">
        <v>0.51205710000000004</v>
      </c>
      <c r="Z1639">
        <v>-7.9976330000000005E-3</v>
      </c>
      <c r="AA1639">
        <v>0.85891430000000002</v>
      </c>
      <c r="AB1639">
        <v>27</v>
      </c>
      <c r="AC1639">
        <v>14.883900000000001</v>
      </c>
      <c r="AD1639">
        <v>-1.1054761019179999</v>
      </c>
      <c r="AE1639">
        <v>-11.949299999999999</v>
      </c>
      <c r="AF1639">
        <v>9.8165231984804606</v>
      </c>
      <c r="AG1639">
        <v>-1.1054761019179999</v>
      </c>
      <c r="AH1639">
        <v>16.294790902468701</v>
      </c>
      <c r="AI1639">
        <v>93.325821544965194</v>
      </c>
      <c r="AJ1639">
        <v>58.933844165839403</v>
      </c>
      <c r="AK1639">
        <v>19.0553513657816</v>
      </c>
      <c r="AL1639">
        <v>80.518147898541699</v>
      </c>
      <c r="AM1639">
        <v>73.308845201826401</v>
      </c>
      <c r="AN1639">
        <v>0.99999999446740995</v>
      </c>
    </row>
    <row r="1640" spans="1:40" x14ac:dyDescent="0.25">
      <c r="A1640" t="str">
        <f>"20190312172116148"</f>
        <v>20190312172116148</v>
      </c>
      <c r="B1640" t="str">
        <f>"1552382476143067"</f>
        <v>1552382476143067</v>
      </c>
      <c r="C1640" t="s">
        <v>40</v>
      </c>
      <c r="D1640">
        <v>3.4275669999999998</v>
      </c>
      <c r="E1640">
        <v>0.60049549999999996</v>
      </c>
      <c r="F1640" t="s">
        <v>44</v>
      </c>
      <c r="G1640">
        <v>-190.77170000000001</v>
      </c>
      <c r="H1640" s="1">
        <v>-3.0158270000000001E-6</v>
      </c>
      <c r="I1640">
        <v>354.37490000000003</v>
      </c>
      <c r="J1640">
        <v>-205.64769999999999</v>
      </c>
      <c r="K1640">
        <v>1.1054189999999999</v>
      </c>
      <c r="L1640">
        <v>366.41969999999998</v>
      </c>
      <c r="M1640">
        <v>0.99049039999999999</v>
      </c>
      <c r="N1640">
        <v>0</v>
      </c>
      <c r="O1640">
        <v>-0.1369736</v>
      </c>
      <c r="P1640">
        <v>0.89887269999999897</v>
      </c>
      <c r="Q1640">
        <v>0.15578349999999999</v>
      </c>
      <c r="R1640">
        <v>-0.40958450000000002</v>
      </c>
      <c r="S1640">
        <v>2.468521</v>
      </c>
      <c r="T1640">
        <v>-0.181836</v>
      </c>
      <c r="U1640">
        <v>-1.98468</v>
      </c>
      <c r="V1640">
        <v>0.28451589999999999</v>
      </c>
      <c r="W1640">
        <v>0.16472390000000001</v>
      </c>
      <c r="X1640">
        <v>0.94441339999999996</v>
      </c>
      <c r="Y1640">
        <v>0.51332149999999999</v>
      </c>
      <c r="Z1640">
        <v>-7.8400259999999999E-3</v>
      </c>
      <c r="AA1640">
        <v>0.85816059999999905</v>
      </c>
      <c r="AB1640">
        <v>27</v>
      </c>
      <c r="AC1640">
        <v>14.8759999999999</v>
      </c>
      <c r="AD1640">
        <v>-1.1054220158270001</v>
      </c>
      <c r="AE1640">
        <v>-12.044799999999899</v>
      </c>
      <c r="AF1640">
        <v>9.8605777771317697</v>
      </c>
      <c r="AG1640">
        <v>-1.1054220158270001</v>
      </c>
      <c r="AH1640">
        <v>16.331253652713301</v>
      </c>
      <c r="AI1640">
        <v>93.316270846308498</v>
      </c>
      <c r="AJ1640">
        <v>58.877020183360898</v>
      </c>
      <c r="AK1640">
        <v>19.109233312752199</v>
      </c>
      <c r="AL1640">
        <v>80.518804029521107</v>
      </c>
      <c r="AM1640">
        <v>73.234440195976902</v>
      </c>
      <c r="AN1640">
        <v>0.99999996534178903</v>
      </c>
    </row>
    <row r="1641" spans="1:40" x14ac:dyDescent="0.25">
      <c r="A1641" t="str">
        <f>"20190312172116159"</f>
        <v>20190312172116159</v>
      </c>
      <c r="B1641" t="str">
        <f>"1552382476152827"</f>
        <v>1552382476152827</v>
      </c>
      <c r="C1641" t="s">
        <v>40</v>
      </c>
      <c r="D1641">
        <v>3.416185</v>
      </c>
      <c r="E1641">
        <v>0.60049549999999996</v>
      </c>
      <c r="F1641" t="s">
        <v>44</v>
      </c>
      <c r="G1641">
        <v>-190.63030000000001</v>
      </c>
      <c r="H1641" s="1">
        <v>-2.9149869999999999E-6</v>
      </c>
      <c r="I1641">
        <v>354.24400000000003</v>
      </c>
      <c r="J1641">
        <v>-205.51509999999999</v>
      </c>
      <c r="K1641">
        <v>1.1053649999999999</v>
      </c>
      <c r="L1641">
        <v>366.39830000000001</v>
      </c>
      <c r="M1641">
        <v>0.99004700000000001</v>
      </c>
      <c r="N1641">
        <v>0</v>
      </c>
      <c r="O1641">
        <v>-0.14014219999999999</v>
      </c>
      <c r="P1641">
        <v>0.89713589999999999</v>
      </c>
      <c r="Q1641">
        <v>0.1559219</v>
      </c>
      <c r="R1641">
        <v>-0.4133231</v>
      </c>
      <c r="S1641">
        <v>2.4600369999999998</v>
      </c>
      <c r="T1641">
        <v>-0.1810821</v>
      </c>
      <c r="U1641">
        <v>-1.994537</v>
      </c>
      <c r="V1641">
        <v>0.28545540000000003</v>
      </c>
      <c r="W1641">
        <v>0.16481560000000001</v>
      </c>
      <c r="X1641">
        <v>0.94411389999999995</v>
      </c>
      <c r="Y1641">
        <v>0.51410630000000002</v>
      </c>
      <c r="Z1641">
        <v>-7.6483489999999996E-3</v>
      </c>
      <c r="AA1641">
        <v>0.85769240000000002</v>
      </c>
      <c r="AB1641">
        <v>27</v>
      </c>
      <c r="AC1641">
        <v>14.884799999999901</v>
      </c>
      <c r="AD1641">
        <v>-1.1053679149869999</v>
      </c>
      <c r="AE1641">
        <v>-12.1542999999999</v>
      </c>
      <c r="AF1641">
        <v>9.9153642202981196</v>
      </c>
      <c r="AG1641">
        <v>-1.1053679149869999</v>
      </c>
      <c r="AH1641">
        <v>16.387136117509598</v>
      </c>
      <c r="AI1641">
        <v>93.302951383239403</v>
      </c>
      <c r="AJ1641">
        <v>58.823126440752503</v>
      </c>
      <c r="AK1641">
        <v>19.1852682019939</v>
      </c>
      <c r="AL1641">
        <v>80.513477644184505</v>
      </c>
      <c r="AM1641">
        <v>73.177165726992101</v>
      </c>
      <c r="AN1641">
        <v>1.00000001178286</v>
      </c>
    </row>
    <row r="1642" spans="1:40" x14ac:dyDescent="0.25">
      <c r="A1642" t="str">
        <f>"20190312172116171"</f>
        <v>20190312172116171</v>
      </c>
      <c r="B1642" t="str">
        <f>"1552382476162587"</f>
        <v>1552382476162587</v>
      </c>
      <c r="C1642" t="s">
        <v>40</v>
      </c>
      <c r="D1642">
        <v>3.3960340000000002</v>
      </c>
      <c r="E1642">
        <v>0.59127769999999902</v>
      </c>
      <c r="F1642" t="s">
        <v>44</v>
      </c>
      <c r="G1642">
        <v>-190.4419</v>
      </c>
      <c r="H1642" s="1">
        <v>-2.759461E-6</v>
      </c>
      <c r="I1642">
        <v>354.0659</v>
      </c>
      <c r="J1642">
        <v>-205.37020000000001</v>
      </c>
      <c r="K1642">
        <v>1.1053040000000001</v>
      </c>
      <c r="L1642">
        <v>366.37400000000002</v>
      </c>
      <c r="M1642">
        <v>0.98953950000000002</v>
      </c>
      <c r="N1642">
        <v>0</v>
      </c>
      <c r="O1642">
        <v>-0.14368110000000001</v>
      </c>
      <c r="P1642">
        <v>0.89513120000000002</v>
      </c>
      <c r="Q1642">
        <v>0.15606900000000001</v>
      </c>
      <c r="R1642">
        <v>-0.41759209999999902</v>
      </c>
      <c r="S1642">
        <v>2.451263</v>
      </c>
      <c r="T1642">
        <v>-0.17976029999999901</v>
      </c>
      <c r="U1642">
        <v>-2.0055540000000001</v>
      </c>
      <c r="V1642">
        <v>0.28660999999999998</v>
      </c>
      <c r="W1642">
        <v>0.16490920000000001</v>
      </c>
      <c r="X1642">
        <v>0.94374760000000002</v>
      </c>
      <c r="Y1642">
        <v>0.5148665</v>
      </c>
      <c r="Z1642">
        <v>-7.4102940000000004E-3</v>
      </c>
      <c r="AA1642">
        <v>0.85723839999999996</v>
      </c>
      <c r="AB1642">
        <v>27</v>
      </c>
      <c r="AC1642">
        <v>14.9283</v>
      </c>
      <c r="AD1642">
        <v>-1.105306759461</v>
      </c>
      <c r="AE1642">
        <v>-12.3081</v>
      </c>
      <c r="AF1642">
        <v>10.002631664670099</v>
      </c>
      <c r="AG1642">
        <v>-1.105306759461</v>
      </c>
      <c r="AH1642">
        <v>16.488157258646101</v>
      </c>
      <c r="AI1642">
        <v>93.280276963897705</v>
      </c>
      <c r="AJ1642">
        <v>58.756674391714398</v>
      </c>
      <c r="AK1642">
        <v>19.316668269590799</v>
      </c>
      <c r="AL1642">
        <v>80.508039617535601</v>
      </c>
      <c r="AM1642">
        <v>73.106805735063503</v>
      </c>
      <c r="AN1642">
        <v>0.99999993442519797</v>
      </c>
    </row>
    <row r="1643" spans="1:40" x14ac:dyDescent="0.25">
      <c r="A1643" t="str">
        <f>"20190312172116182"</f>
        <v>20190312172116182</v>
      </c>
      <c r="B1643" t="str">
        <f>"1552382476172347"</f>
        <v>1552382476172347</v>
      </c>
      <c r="C1643" t="s">
        <v>40</v>
      </c>
      <c r="D1643">
        <v>3.4203429999999999</v>
      </c>
      <c r="E1643">
        <v>0.59125069999999902</v>
      </c>
      <c r="F1643" t="s">
        <v>44</v>
      </c>
      <c r="G1643">
        <v>-191.9367</v>
      </c>
      <c r="H1643" s="1">
        <v>-3.9376110000000003E-6</v>
      </c>
      <c r="I1643">
        <v>355.78109999999998</v>
      </c>
      <c r="J1643">
        <v>-205.2388</v>
      </c>
      <c r="K1643">
        <v>1.1052470000000001</v>
      </c>
      <c r="L1643">
        <v>366.35169999999999</v>
      </c>
      <c r="M1643">
        <v>0.98906550000000004</v>
      </c>
      <c r="N1643">
        <v>0</v>
      </c>
      <c r="O1643">
        <v>-0.1469076</v>
      </c>
      <c r="P1643">
        <v>0.89299879999999998</v>
      </c>
      <c r="Q1643">
        <v>0.15619350000000001</v>
      </c>
      <c r="R1643">
        <v>-0.42208610000000002</v>
      </c>
      <c r="S1643">
        <v>2.476089</v>
      </c>
      <c r="T1643">
        <v>-0.20373340000000001</v>
      </c>
      <c r="U1643">
        <v>-1.952515</v>
      </c>
      <c r="V1643">
        <v>0.28830699999999998</v>
      </c>
      <c r="W1643">
        <v>0.16497319999999999</v>
      </c>
      <c r="X1643">
        <v>0.94321949999999999</v>
      </c>
      <c r="Y1643">
        <v>0.4963996</v>
      </c>
      <c r="Z1643">
        <v>-7.4830809999999999E-3</v>
      </c>
      <c r="AA1643">
        <v>0.86806190000000005</v>
      </c>
      <c r="AB1643">
        <v>27</v>
      </c>
      <c r="AC1643">
        <v>13.3020999999999</v>
      </c>
      <c r="AD1643">
        <v>-1.10525093761099</v>
      </c>
      <c r="AE1643">
        <v>-10.570600000000001</v>
      </c>
      <c r="AF1643">
        <v>8.4657254461577907</v>
      </c>
      <c r="AG1643">
        <v>-1.10525093761099</v>
      </c>
      <c r="AH1643">
        <v>14.6487952636686</v>
      </c>
      <c r="AI1643">
        <v>93.737574078704</v>
      </c>
      <c r="AJ1643">
        <v>59.975835373880997</v>
      </c>
      <c r="AK1643">
        <v>16.955155252656699</v>
      </c>
      <c r="AL1643">
        <v>80.504322912134995</v>
      </c>
      <c r="AM1643">
        <v>73.003563223726104</v>
      </c>
      <c r="AN1643">
        <v>1.0000000540737399</v>
      </c>
    </row>
    <row r="1644" spans="1:40" x14ac:dyDescent="0.25">
      <c r="A1644" t="str">
        <f>"20190312172116193"</f>
        <v>20190312172116193</v>
      </c>
      <c r="B1644" t="str">
        <f>"1552382476183083"</f>
        <v>1552382476183083</v>
      </c>
      <c r="C1644" t="s">
        <v>40</v>
      </c>
      <c r="D1644">
        <v>3.4061110000000001</v>
      </c>
      <c r="E1644">
        <v>0.59094579999999997</v>
      </c>
      <c r="F1644" t="s">
        <v>44</v>
      </c>
      <c r="G1644">
        <v>-191.8818</v>
      </c>
      <c r="H1644" s="1">
        <v>-3.891281E-6</v>
      </c>
      <c r="I1644">
        <v>355.70780000000002</v>
      </c>
      <c r="J1644">
        <v>-205.09979999999999</v>
      </c>
      <c r="K1644">
        <v>1.1051850000000001</v>
      </c>
      <c r="L1644">
        <v>366.32740000000001</v>
      </c>
      <c r="M1644">
        <v>0.9885429</v>
      </c>
      <c r="N1644">
        <v>0</v>
      </c>
      <c r="O1644">
        <v>-0.15038299999999999</v>
      </c>
      <c r="P1644">
        <v>0.89094910000000005</v>
      </c>
      <c r="Q1644">
        <v>0.15616549999999901</v>
      </c>
      <c r="R1644">
        <v>-0.42640610000000001</v>
      </c>
      <c r="S1644">
        <v>2.4662480000000002</v>
      </c>
      <c r="T1644">
        <v>-0.20407400000000001</v>
      </c>
      <c r="U1644">
        <v>-1.9653020000000001</v>
      </c>
      <c r="V1644">
        <v>0.28958630000000002</v>
      </c>
      <c r="W1644">
        <v>0.16488939999999999</v>
      </c>
      <c r="X1644">
        <v>0.94284210000000002</v>
      </c>
      <c r="Y1644">
        <v>0.49779109999999999</v>
      </c>
      <c r="Z1644">
        <v>-7.3161959999999996E-3</v>
      </c>
      <c r="AA1644">
        <v>0.86726610000000004</v>
      </c>
      <c r="AB1644">
        <v>27</v>
      </c>
      <c r="AC1644">
        <v>13.2179999999999</v>
      </c>
      <c r="AD1644">
        <v>-1.105188891281</v>
      </c>
      <c r="AE1644">
        <v>-10.619599999999901</v>
      </c>
      <c r="AF1644">
        <v>8.4748756097571896</v>
      </c>
      <c r="AG1644">
        <v>-1.105188891281</v>
      </c>
      <c r="AH1644">
        <v>14.6027568358016</v>
      </c>
      <c r="AI1644">
        <v>93.745146390858096</v>
      </c>
      <c r="AJ1644">
        <v>59.870777217912497</v>
      </c>
      <c r="AK1644">
        <v>16.9199724081281</v>
      </c>
      <c r="AL1644">
        <v>80.509190279915899</v>
      </c>
      <c r="AM1644">
        <v>72.926084859934093</v>
      </c>
      <c r="AN1644">
        <v>0.99999998245622901</v>
      </c>
    </row>
    <row r="1645" spans="1:40" x14ac:dyDescent="0.25">
      <c r="A1645" t="str">
        <f>"20190312172116205"</f>
        <v>20190312172116205</v>
      </c>
      <c r="B1645" t="str">
        <f>"1552382476192843"</f>
        <v>1552382476192843</v>
      </c>
      <c r="C1645" t="s">
        <v>40</v>
      </c>
      <c r="D1645">
        <v>3.3873790000000001</v>
      </c>
      <c r="E1645">
        <v>0.59045890000000001</v>
      </c>
      <c r="F1645" t="s">
        <v>44</v>
      </c>
      <c r="G1645">
        <v>-191.6772</v>
      </c>
      <c r="H1645" s="1">
        <v>-3.765271E-6</v>
      </c>
      <c r="I1645">
        <v>355.53469999999999</v>
      </c>
      <c r="J1645">
        <v>-204.96780000000001</v>
      </c>
      <c r="K1645">
        <v>1.105124</v>
      </c>
      <c r="L1645">
        <v>366.3039</v>
      </c>
      <c r="M1645">
        <v>0.98803099999999999</v>
      </c>
      <c r="N1645">
        <v>0</v>
      </c>
      <c r="O1645">
        <v>-0.15371009999999999</v>
      </c>
      <c r="P1645">
        <v>0.88876109999999897</v>
      </c>
      <c r="Q1645">
        <v>0.15631919999999999</v>
      </c>
      <c r="R1645">
        <v>-0.43089230000000001</v>
      </c>
      <c r="S1645">
        <v>2.4570919999999998</v>
      </c>
      <c r="T1645">
        <v>-0.20231189999999999</v>
      </c>
      <c r="U1645">
        <v>-1.9756769999999999</v>
      </c>
      <c r="V1645">
        <v>0.29119780000000001</v>
      </c>
      <c r="W1645">
        <v>0.16498350000000001</v>
      </c>
      <c r="X1645">
        <v>0.94232919999999998</v>
      </c>
      <c r="Y1645">
        <v>0.49868960000000001</v>
      </c>
      <c r="Z1645">
        <v>-7.0677359999999998E-3</v>
      </c>
      <c r="AA1645">
        <v>0.86675179999999996</v>
      </c>
      <c r="AB1645">
        <v>27</v>
      </c>
      <c r="AC1645">
        <v>13.2906</v>
      </c>
      <c r="AD1645">
        <v>-1.1051277652709901</v>
      </c>
      <c r="AE1645">
        <v>-10.7692</v>
      </c>
      <c r="AF1645">
        <v>8.5623886965239393</v>
      </c>
      <c r="AG1645">
        <v>-1.1051277652709901</v>
      </c>
      <c r="AH1645">
        <v>14.7266360626235</v>
      </c>
      <c r="AI1645">
        <v>93.711820848450103</v>
      </c>
      <c r="AJ1645">
        <v>59.825343096829499</v>
      </c>
      <c r="AK1645">
        <v>17.070723982564299</v>
      </c>
      <c r="AL1645">
        <v>80.503724216906406</v>
      </c>
      <c r="AM1645">
        <v>72.827847653628893</v>
      </c>
      <c r="AN1645">
        <v>1.00000001758486</v>
      </c>
    </row>
    <row r="1646" spans="1:40" x14ac:dyDescent="0.25">
      <c r="A1646" t="str">
        <f>"20190312172116216"</f>
        <v>20190312172116216</v>
      </c>
      <c r="B1646" t="str">
        <f>"1552382476212364"</f>
        <v>1552382476212364</v>
      </c>
      <c r="C1646" t="s">
        <v>40</v>
      </c>
      <c r="D1646">
        <v>3.3486850000000001</v>
      </c>
      <c r="E1646">
        <v>0.59038219999999997</v>
      </c>
      <c r="F1646" t="s">
        <v>44</v>
      </c>
      <c r="G1646">
        <v>-191.48330000000001</v>
      </c>
      <c r="H1646" s="1">
        <v>-3.6466559999999998E-6</v>
      </c>
      <c r="I1646">
        <v>355.3723</v>
      </c>
      <c r="J1646">
        <v>-204.82140000000001</v>
      </c>
      <c r="K1646">
        <v>1.105062</v>
      </c>
      <c r="L1646">
        <v>366.27730000000003</v>
      </c>
      <c r="M1646">
        <v>0.98744259999999995</v>
      </c>
      <c r="N1646">
        <v>0</v>
      </c>
      <c r="O1646">
        <v>-0.157444899999999</v>
      </c>
      <c r="P1646">
        <v>0.8864109</v>
      </c>
      <c r="Q1646">
        <v>0.1563812</v>
      </c>
      <c r="R1646">
        <v>-0.43568440000000003</v>
      </c>
      <c r="S1646">
        <v>2.4484409999999999</v>
      </c>
      <c r="T1646">
        <v>-0.20066229999999999</v>
      </c>
      <c r="U1646">
        <v>-1.9848939999999999</v>
      </c>
      <c r="V1646">
        <v>0.29275319999999999</v>
      </c>
      <c r="W1646">
        <v>0.16498350000000001</v>
      </c>
      <c r="X1646">
        <v>0.94184710000000005</v>
      </c>
      <c r="Y1646">
        <v>0.49889630000000001</v>
      </c>
      <c r="Z1646">
        <v>-6.772719E-3</v>
      </c>
      <c r="AA1646">
        <v>0.86663519999999905</v>
      </c>
      <c r="AB1646">
        <v>27</v>
      </c>
      <c r="AC1646">
        <v>13.338099999999899</v>
      </c>
      <c r="AD1646">
        <v>-1.105065646656</v>
      </c>
      <c r="AE1646">
        <v>-10.904999999999999</v>
      </c>
      <c r="AF1646">
        <v>8.6332565961052694</v>
      </c>
      <c r="AG1646">
        <v>-1.105065646656</v>
      </c>
      <c r="AH1646">
        <v>14.827793728821201</v>
      </c>
      <c r="AI1646">
        <v>93.685062952337603</v>
      </c>
      <c r="AJ1646">
        <v>59.790549346924202</v>
      </c>
      <c r="AK1646">
        <v>17.193538216495298</v>
      </c>
      <c r="AL1646">
        <v>80.503723814327898</v>
      </c>
      <c r="AM1646">
        <v>72.733250818328898</v>
      </c>
      <c r="AN1646">
        <v>0.99999997558044895</v>
      </c>
    </row>
    <row r="1647" spans="1:40" x14ac:dyDescent="0.25">
      <c r="A1647" t="str">
        <f>"20190312172116227"</f>
        <v>20190312172116227</v>
      </c>
      <c r="B1647" t="str">
        <f>"1552382476223099"</f>
        <v>1552382476223099</v>
      </c>
      <c r="C1647" t="s">
        <v>40</v>
      </c>
      <c r="D1647">
        <v>3.4237869999999999</v>
      </c>
      <c r="E1647">
        <v>0.58981130000000004</v>
      </c>
      <c r="F1647" t="s">
        <v>44</v>
      </c>
      <c r="G1647">
        <v>-191.8022</v>
      </c>
      <c r="H1647" s="1">
        <v>-3.8259580000000004E-6</v>
      </c>
      <c r="I1647">
        <v>355.60539999999997</v>
      </c>
      <c r="J1647">
        <v>-204.70169999999999</v>
      </c>
      <c r="K1647">
        <v>1.1050120000000001</v>
      </c>
      <c r="L1647">
        <v>366.255</v>
      </c>
      <c r="M1647">
        <v>0.98694369999999998</v>
      </c>
      <c r="N1647">
        <v>0</v>
      </c>
      <c r="O1647">
        <v>-0.1605424</v>
      </c>
      <c r="P1647">
        <v>0.88422449999999997</v>
      </c>
      <c r="Q1647">
        <v>0.1565715</v>
      </c>
      <c r="R1647">
        <v>-0.44003680000000001</v>
      </c>
      <c r="S1647">
        <v>2.438507</v>
      </c>
      <c r="T1647">
        <v>-0.20697869999999999</v>
      </c>
      <c r="U1647">
        <v>-1.99884</v>
      </c>
      <c r="V1647">
        <v>0.29445969999999999</v>
      </c>
      <c r="W1647">
        <v>0.16511609999999999</v>
      </c>
      <c r="X1647">
        <v>0.94129169999999995</v>
      </c>
      <c r="Y1647">
        <v>0.50083259999999996</v>
      </c>
      <c r="Z1647">
        <v>-6.8487119999999999E-3</v>
      </c>
      <c r="AA1647">
        <v>0.86551710000000004</v>
      </c>
      <c r="AB1647">
        <v>27</v>
      </c>
      <c r="AC1647">
        <v>12.8994999999999</v>
      </c>
      <c r="AD1647">
        <v>-1.1050158259580001</v>
      </c>
      <c r="AE1647">
        <v>-10.6496</v>
      </c>
      <c r="AF1647">
        <v>8.4036765250926706</v>
      </c>
      <c r="AG1647">
        <v>-1.1050158259580001</v>
      </c>
      <c r="AH1647">
        <v>14.3792584810218</v>
      </c>
      <c r="AI1647">
        <v>93.795890800834499</v>
      </c>
      <c r="AJ1647">
        <v>59.696684330224002</v>
      </c>
      <c r="AK1647">
        <v>16.6914922513851</v>
      </c>
      <c r="AL1647">
        <v>80.496020530907003</v>
      </c>
      <c r="AM1647">
        <v>72.629005617328403</v>
      </c>
      <c r="AN1647">
        <v>0.99999995294609301</v>
      </c>
    </row>
    <row r="1648" spans="1:40" x14ac:dyDescent="0.25">
      <c r="A1648" t="str">
        <f>"20190312172116237"</f>
        <v>20190312172116237</v>
      </c>
      <c r="B1648" t="str">
        <f>"1552382476232859"</f>
        <v>1552382476232859</v>
      </c>
      <c r="C1648" t="s">
        <v>40</v>
      </c>
      <c r="D1648">
        <v>3.3510279999999999</v>
      </c>
      <c r="E1648">
        <v>0.58937359999999905</v>
      </c>
      <c r="F1648" t="s">
        <v>44</v>
      </c>
      <c r="G1648">
        <v>-191.6902</v>
      </c>
      <c r="H1648" s="1">
        <v>-3.758091E-6</v>
      </c>
      <c r="I1648">
        <v>355.51310000000001</v>
      </c>
      <c r="J1648">
        <v>-204.566</v>
      </c>
      <c r="K1648">
        <v>1.104956</v>
      </c>
      <c r="L1648">
        <v>366.22930000000002</v>
      </c>
      <c r="M1648">
        <v>0.98636270000000004</v>
      </c>
      <c r="N1648">
        <v>0</v>
      </c>
      <c r="O1648">
        <v>-0.16407269999999999</v>
      </c>
      <c r="P1648">
        <v>0.88183659999999997</v>
      </c>
      <c r="Q1648">
        <v>0.1570811</v>
      </c>
      <c r="R1648">
        <v>-0.4446232</v>
      </c>
      <c r="S1648">
        <v>2.4306950000000001</v>
      </c>
      <c r="T1648">
        <v>-0.20642969999999999</v>
      </c>
      <c r="U1648">
        <v>-2.0067140000000001</v>
      </c>
      <c r="V1648">
        <v>0.2960276</v>
      </c>
      <c r="W1648">
        <v>0.16556570000000001</v>
      </c>
      <c r="X1648">
        <v>0.94072080000000002</v>
      </c>
      <c r="Y1648">
        <v>0.50077899999999997</v>
      </c>
      <c r="Z1648">
        <v>-6.5894250000000003E-3</v>
      </c>
      <c r="AA1648">
        <v>0.86555009999999999</v>
      </c>
      <c r="AB1648">
        <v>27</v>
      </c>
      <c r="AC1648">
        <v>12.8757999999999</v>
      </c>
      <c r="AD1648">
        <v>-1.104959758091</v>
      </c>
      <c r="AE1648">
        <v>-10.716200000000001</v>
      </c>
      <c r="AF1648">
        <v>8.4215659117346497</v>
      </c>
      <c r="AG1648">
        <v>-1.104959758091</v>
      </c>
      <c r="AH1648">
        <v>14.3970263509483</v>
      </c>
      <c r="AI1648">
        <v>93.790169501715695</v>
      </c>
      <c r="AJ1648">
        <v>59.674425126352297</v>
      </c>
      <c r="AK1648">
        <v>16.715803188079001</v>
      </c>
      <c r="AL1648">
        <v>80.469901130092794</v>
      </c>
      <c r="AM1648">
        <v>72.532166333929297</v>
      </c>
      <c r="AN1648">
        <v>0.99999998226544495</v>
      </c>
    </row>
    <row r="1649" spans="1:40" x14ac:dyDescent="0.25">
      <c r="A1649" t="str">
        <f>"20190312172116249"</f>
        <v>20190312172116249</v>
      </c>
      <c r="B1649" t="str">
        <f>"1552382476242619"</f>
        <v>1552382476242619</v>
      </c>
      <c r="C1649" t="s">
        <v>40</v>
      </c>
      <c r="D1649">
        <v>3.3528180000000001</v>
      </c>
      <c r="E1649">
        <v>0.58904849999999997</v>
      </c>
      <c r="F1649" t="s">
        <v>44</v>
      </c>
      <c r="G1649">
        <v>-191.60210000000001</v>
      </c>
      <c r="H1649" s="1">
        <v>-3.6995100000000002E-6</v>
      </c>
      <c r="I1649">
        <v>355.42919999999998</v>
      </c>
      <c r="J1649">
        <v>-204.43</v>
      </c>
      <c r="K1649">
        <v>1.1048990000000001</v>
      </c>
      <c r="L1649">
        <v>366.2029</v>
      </c>
      <c r="M1649">
        <v>0.98575670000000004</v>
      </c>
      <c r="N1649">
        <v>0</v>
      </c>
      <c r="O1649">
        <v>-0.16767460000000001</v>
      </c>
      <c r="P1649">
        <v>0.87928839999999997</v>
      </c>
      <c r="Q1649">
        <v>0.1575145</v>
      </c>
      <c r="R1649">
        <v>-0.44949060000000002</v>
      </c>
      <c r="S1649">
        <v>2.42157</v>
      </c>
      <c r="T1649">
        <v>-0.20639940000000001</v>
      </c>
      <c r="U1649">
        <v>-2.017395</v>
      </c>
      <c r="V1649">
        <v>0.29783559999999998</v>
      </c>
      <c r="W1649">
        <v>0.16593440000000001</v>
      </c>
      <c r="X1649">
        <v>0.94008499999999995</v>
      </c>
      <c r="Y1649">
        <v>0.50148059999999905</v>
      </c>
      <c r="Z1649">
        <v>-6.3705879999999999E-3</v>
      </c>
      <c r="AA1649">
        <v>0.86514539999999995</v>
      </c>
      <c r="AB1649">
        <v>27</v>
      </c>
      <c r="AC1649">
        <v>12.8279</v>
      </c>
      <c r="AD1649">
        <v>-1.10490269951</v>
      </c>
      <c r="AE1649">
        <v>-10.7737</v>
      </c>
      <c r="AF1649">
        <v>8.4333620020417897</v>
      </c>
      <c r="AG1649">
        <v>-1.10490269951</v>
      </c>
      <c r="AH1649">
        <v>14.390283394983101</v>
      </c>
      <c r="AI1649">
        <v>93.789942359332699</v>
      </c>
      <c r="AJ1649">
        <v>59.627753305106097</v>
      </c>
      <c r="AK1649">
        <v>16.7159403211663</v>
      </c>
      <c r="AL1649">
        <v>80.448480414395405</v>
      </c>
      <c r="AM1649">
        <v>72.420874865661006</v>
      </c>
      <c r="AN1649">
        <v>1.00000003847785</v>
      </c>
    </row>
    <row r="1650" spans="1:40" x14ac:dyDescent="0.25">
      <c r="A1650" t="str">
        <f>"20190312172116261"</f>
        <v>20190312172116261</v>
      </c>
      <c r="B1650" t="str">
        <f>"1552382476252378"</f>
        <v>1552382476252378</v>
      </c>
      <c r="C1650" t="s">
        <v>40</v>
      </c>
      <c r="D1650">
        <v>3.3428650000000002</v>
      </c>
      <c r="E1650">
        <v>0.58876280000000003</v>
      </c>
      <c r="F1650" t="s">
        <v>44</v>
      </c>
      <c r="G1650">
        <v>-191.56899999999999</v>
      </c>
      <c r="H1650" s="1">
        <v>-3.6717739999999999E-6</v>
      </c>
      <c r="I1650">
        <v>355.38549999999998</v>
      </c>
      <c r="J1650">
        <v>-204.28919999999999</v>
      </c>
      <c r="K1650">
        <v>1.104841</v>
      </c>
      <c r="L1650">
        <v>366.17520000000002</v>
      </c>
      <c r="M1650">
        <v>0.98511150000000003</v>
      </c>
      <c r="N1650">
        <v>0</v>
      </c>
      <c r="O1650">
        <v>-0.17142370000000001</v>
      </c>
      <c r="P1650">
        <v>0.87677240000000001</v>
      </c>
      <c r="Q1650">
        <v>0.15783720000000001</v>
      </c>
      <c r="R1650">
        <v>-0.45426610000000001</v>
      </c>
      <c r="S1650">
        <v>2.4119109999999999</v>
      </c>
      <c r="T1650">
        <v>-0.20720910000000001</v>
      </c>
      <c r="U1650">
        <v>-2.0286559999999998</v>
      </c>
      <c r="V1650">
        <v>0.2994136</v>
      </c>
      <c r="W1650">
        <v>0.16619389999999901</v>
      </c>
      <c r="X1650">
        <v>0.93953770000000003</v>
      </c>
      <c r="Y1650">
        <v>0.50226190000000004</v>
      </c>
      <c r="Z1650">
        <v>-6.1695409999999997E-3</v>
      </c>
      <c r="AA1650">
        <v>0.8646935</v>
      </c>
      <c r="AB1650">
        <v>27</v>
      </c>
      <c r="AC1650">
        <v>12.720199999999901</v>
      </c>
      <c r="AD1650">
        <v>-1.1048446717739999</v>
      </c>
      <c r="AE1650">
        <v>-10.7897</v>
      </c>
      <c r="AF1650">
        <v>8.4123201891282307</v>
      </c>
      <c r="AG1650">
        <v>-1.1048446717739999</v>
      </c>
      <c r="AH1650">
        <v>14.318819547607699</v>
      </c>
      <c r="AI1650">
        <v>93.806191060106599</v>
      </c>
      <c r="AJ1650">
        <v>59.565723478627703</v>
      </c>
      <c r="AK1650">
        <v>16.643809838799299</v>
      </c>
      <c r="AL1650">
        <v>80.433402464173497</v>
      </c>
      <c r="AM1650">
        <v>72.323864351058702</v>
      </c>
      <c r="AN1650">
        <v>1.00000000299173</v>
      </c>
    </row>
    <row r="1651" spans="1:40" x14ac:dyDescent="0.25">
      <c r="A1651" t="str">
        <f>"20190312172116272"</f>
        <v>20190312172116272</v>
      </c>
      <c r="B1651" t="str">
        <f>"1552382476263116"</f>
        <v>1552382476263116</v>
      </c>
      <c r="C1651" t="s">
        <v>40</v>
      </c>
      <c r="D1651">
        <v>3.3560500000000002</v>
      </c>
      <c r="E1651">
        <v>0.58849940000000001</v>
      </c>
      <c r="F1651" t="s">
        <v>44</v>
      </c>
      <c r="G1651">
        <v>-191.5215</v>
      </c>
      <c r="H1651" s="1">
        <v>-3.6342529999999998E-6</v>
      </c>
      <c r="I1651">
        <v>355.32749999999999</v>
      </c>
      <c r="J1651">
        <v>-204.13849999999999</v>
      </c>
      <c r="K1651">
        <v>1.104779</v>
      </c>
      <c r="L1651">
        <v>366.14449999999999</v>
      </c>
      <c r="M1651">
        <v>0.9843904</v>
      </c>
      <c r="N1651">
        <v>0</v>
      </c>
      <c r="O1651">
        <v>-0.17551710000000001</v>
      </c>
      <c r="P1651">
        <v>0.87397719999999901</v>
      </c>
      <c r="Q1651">
        <v>0.15792929999999999</v>
      </c>
      <c r="R1651">
        <v>-0.45958939999999998</v>
      </c>
      <c r="S1651">
        <v>2.4017940000000002</v>
      </c>
      <c r="T1651">
        <v>-0.2078383</v>
      </c>
      <c r="U1651">
        <v>-2.040619</v>
      </c>
      <c r="V1651">
        <v>0.30125590000000002</v>
      </c>
      <c r="W1651">
        <v>0.16621559999999999</v>
      </c>
      <c r="X1651">
        <v>0.93894480000000002</v>
      </c>
      <c r="Y1651">
        <v>0.50296909999999995</v>
      </c>
      <c r="Z1651">
        <v>-5.9341740000000004E-3</v>
      </c>
      <c r="AA1651">
        <v>0.86428400000000005</v>
      </c>
      <c r="AB1651">
        <v>27</v>
      </c>
      <c r="AC1651">
        <v>12.6169999999999</v>
      </c>
      <c r="AD1651">
        <v>-1.1047826342530001</v>
      </c>
      <c r="AE1651">
        <v>-10.817</v>
      </c>
      <c r="AF1651">
        <v>8.3972571490391399</v>
      </c>
      <c r="AG1651">
        <v>-1.1047826342530001</v>
      </c>
      <c r="AH1651">
        <v>14.256831605402599</v>
      </c>
      <c r="AI1651">
        <v>93.819983217129703</v>
      </c>
      <c r="AJ1651">
        <v>59.501964614232399</v>
      </c>
      <c r="AK1651">
        <v>16.5828742900874</v>
      </c>
      <c r="AL1651">
        <v>80.432141968281698</v>
      </c>
      <c r="AM1651">
        <v>72.211412786477098</v>
      </c>
      <c r="AN1651">
        <v>1.0000000402075999</v>
      </c>
    </row>
    <row r="1652" spans="1:40" x14ac:dyDescent="0.25">
      <c r="A1652" t="str">
        <f>"20190312172116286"</f>
        <v>20190312172116286</v>
      </c>
      <c r="B1652" t="str">
        <f>"1552382476282634"</f>
        <v>1552382476282634</v>
      </c>
      <c r="C1652" t="s">
        <v>40</v>
      </c>
      <c r="D1652">
        <v>3.3476349999999999</v>
      </c>
      <c r="E1652">
        <v>0.58799899999999905</v>
      </c>
      <c r="F1652" t="s">
        <v>44</v>
      </c>
      <c r="G1652">
        <v>-191.5497</v>
      </c>
      <c r="H1652" s="1">
        <v>-3.640542E-6</v>
      </c>
      <c r="I1652">
        <v>355.32760000000002</v>
      </c>
      <c r="J1652">
        <v>-203.98820000000001</v>
      </c>
      <c r="K1652">
        <v>1.1047129999999901</v>
      </c>
      <c r="L1652">
        <v>366.11340000000001</v>
      </c>
      <c r="M1652">
        <v>0.98364640000000003</v>
      </c>
      <c r="N1652">
        <v>0</v>
      </c>
      <c r="O1652">
        <v>-0.1796391</v>
      </c>
      <c r="P1652">
        <v>0.87127149999999998</v>
      </c>
      <c r="Q1652">
        <v>0.1581495</v>
      </c>
      <c r="R1652">
        <v>-0.46462320000000001</v>
      </c>
      <c r="S1652">
        <v>2.3903810000000001</v>
      </c>
      <c r="T1652">
        <v>-0.20977670000000001</v>
      </c>
      <c r="U1652">
        <v>-2.053925</v>
      </c>
      <c r="V1652">
        <v>0.30277890000000002</v>
      </c>
      <c r="W1652">
        <v>0.16636979999999901</v>
      </c>
      <c r="X1652">
        <v>0.93842740000000002</v>
      </c>
      <c r="Y1652">
        <v>0.50414910000000002</v>
      </c>
      <c r="Z1652">
        <v>-5.7499200000000004E-3</v>
      </c>
      <c r="AA1652">
        <v>0.86359750000000002</v>
      </c>
      <c r="AB1652">
        <v>27</v>
      </c>
      <c r="AC1652">
        <v>12.438499999999999</v>
      </c>
      <c r="AD1652">
        <v>-1.1047166405419999</v>
      </c>
      <c r="AE1652">
        <v>-10.785799999999901</v>
      </c>
      <c r="AF1652">
        <v>8.3381400965468604</v>
      </c>
      <c r="AG1652">
        <v>-1.1047166405419999</v>
      </c>
      <c r="AH1652">
        <v>14.1103072965052</v>
      </c>
      <c r="AI1652">
        <v>93.856058692569107</v>
      </c>
      <c r="AJ1652">
        <v>59.42007717872</v>
      </c>
      <c r="AK1652">
        <v>16.4269824108794</v>
      </c>
      <c r="AL1652">
        <v>80.423181614530904</v>
      </c>
      <c r="AM1652">
        <v>72.117964201776104</v>
      </c>
      <c r="AN1652">
        <v>0.99999997885400405</v>
      </c>
    </row>
    <row r="1653" spans="1:40" x14ac:dyDescent="0.25">
      <c r="A1653" t="str">
        <f>"20190312172116297"</f>
        <v>20190312172116297</v>
      </c>
      <c r="B1653" t="str">
        <f>"1552382476292395"</f>
        <v>1552382476292395</v>
      </c>
      <c r="C1653" t="s">
        <v>40</v>
      </c>
      <c r="D1653">
        <v>3.3932850000000001</v>
      </c>
      <c r="E1653">
        <v>0.58775790000000006</v>
      </c>
      <c r="F1653" t="s">
        <v>44</v>
      </c>
      <c r="G1653">
        <v>-191.68020000000001</v>
      </c>
      <c r="H1653" s="1">
        <v>-3.721007E-6</v>
      </c>
      <c r="I1653">
        <v>355.43819999999999</v>
      </c>
      <c r="J1653">
        <v>-203.8451</v>
      </c>
      <c r="K1653">
        <v>1.104652</v>
      </c>
      <c r="L1653">
        <v>366.08330000000001</v>
      </c>
      <c r="M1653">
        <v>0.9829137</v>
      </c>
      <c r="N1653">
        <v>0</v>
      </c>
      <c r="O1653">
        <v>-0.1836042</v>
      </c>
      <c r="P1653">
        <v>0.86853179999999996</v>
      </c>
      <c r="Q1653">
        <v>0.15818270000000001</v>
      </c>
      <c r="R1653">
        <v>-0.4697132</v>
      </c>
      <c r="S1653">
        <v>2.3808289999999999</v>
      </c>
      <c r="T1653">
        <v>-0.21369469999999999</v>
      </c>
      <c r="U1653">
        <v>-2.0650019999999998</v>
      </c>
      <c r="V1653">
        <v>0.30451610000000001</v>
      </c>
      <c r="W1653">
        <v>0.16633499999999901</v>
      </c>
      <c r="X1653">
        <v>0.93787129999999996</v>
      </c>
      <c r="Y1653">
        <v>0.50465629999999995</v>
      </c>
      <c r="Z1653">
        <v>-5.5960209999999996E-3</v>
      </c>
      <c r="AA1653">
        <v>0.86330219999999902</v>
      </c>
      <c r="AB1653">
        <v>27</v>
      </c>
      <c r="AC1653">
        <v>12.1648999999999</v>
      </c>
      <c r="AD1653">
        <v>-1.104655721007</v>
      </c>
      <c r="AE1653">
        <v>-10.645099999999999</v>
      </c>
      <c r="AF1653">
        <v>8.1921315387169198</v>
      </c>
      <c r="AG1653">
        <v>-1.104655721007</v>
      </c>
      <c r="AH1653">
        <v>13.8480463652682</v>
      </c>
      <c r="AI1653">
        <v>93.9275330315632</v>
      </c>
      <c r="AJ1653">
        <v>59.392583191534897</v>
      </c>
      <c r="AK1653">
        <v>16.127605883832</v>
      </c>
      <c r="AL1653">
        <v>80.425203706809995</v>
      </c>
      <c r="AM1653">
        <v>72.011978335383802</v>
      </c>
      <c r="AN1653">
        <v>0.99999998137394897</v>
      </c>
    </row>
    <row r="1654" spans="1:40" x14ac:dyDescent="0.25">
      <c r="A1654" t="str">
        <f>"20190312172116316"</f>
        <v>20190312172116316</v>
      </c>
      <c r="B1654" t="str">
        <f>"1552382476312891"</f>
        <v>1552382476312891</v>
      </c>
      <c r="C1654" t="s">
        <v>40</v>
      </c>
      <c r="D1654">
        <v>3.382968</v>
      </c>
      <c r="E1654">
        <v>0.58750709999999995</v>
      </c>
      <c r="F1654" t="s">
        <v>44</v>
      </c>
      <c r="G1654">
        <v>-191.66929999999999</v>
      </c>
      <c r="H1654" s="1">
        <v>-3.7048780000000001E-6</v>
      </c>
      <c r="I1654">
        <v>355.40879999999999</v>
      </c>
      <c r="J1654">
        <v>-203.61949999999999</v>
      </c>
      <c r="K1654">
        <v>1.104552</v>
      </c>
      <c r="L1654">
        <v>366.03410000000002</v>
      </c>
      <c r="M1654">
        <v>0.98170299999999999</v>
      </c>
      <c r="N1654">
        <v>0</v>
      </c>
      <c r="O1654">
        <v>-0.18997120000000001</v>
      </c>
      <c r="P1654">
        <v>0.86371139999999902</v>
      </c>
      <c r="Q1654">
        <v>0.15863959999999999</v>
      </c>
      <c r="R1654">
        <v>-0.47836879999999998</v>
      </c>
      <c r="S1654">
        <v>2.36972</v>
      </c>
      <c r="T1654">
        <v>-0.2149934</v>
      </c>
      <c r="U1654">
        <v>-2.077515</v>
      </c>
      <c r="V1654">
        <v>0.30787799999999999</v>
      </c>
      <c r="W1654">
        <v>0.1666707</v>
      </c>
      <c r="X1654">
        <v>0.93671340000000003</v>
      </c>
      <c r="Y1654">
        <v>0.50365249999999995</v>
      </c>
      <c r="Z1654">
        <v>-5.1321459999999998E-3</v>
      </c>
      <c r="AA1654">
        <v>0.86389110000000002</v>
      </c>
      <c r="AB1654">
        <v>27</v>
      </c>
      <c r="AC1654">
        <v>11.950199999999899</v>
      </c>
      <c r="AD1654">
        <v>-1.1045557048779999</v>
      </c>
      <c r="AE1654">
        <v>-10.625299999999999</v>
      </c>
      <c r="AF1654">
        <v>8.1226338943991703</v>
      </c>
      <c r="AG1654">
        <v>-1.1045557048779999</v>
      </c>
      <c r="AH1654">
        <v>13.6859185039258</v>
      </c>
      <c r="AI1654">
        <v>93.970202035973799</v>
      </c>
      <c r="AJ1654">
        <v>59.310741276713003</v>
      </c>
      <c r="AK1654">
        <v>15.953105966667399</v>
      </c>
      <c r="AL1654">
        <v>80.405697299642299</v>
      </c>
      <c r="AM1654">
        <v>71.805392950297005</v>
      </c>
      <c r="AN1654">
        <v>0.99999998943102497</v>
      </c>
    </row>
    <row r="1655" spans="1:40" x14ac:dyDescent="0.25">
      <c r="A1655" t="str">
        <f>"20190312172116330"</f>
        <v>20190312172116330</v>
      </c>
      <c r="B1655" t="str">
        <f>"1552382476322651"</f>
        <v>1552382476322651</v>
      </c>
      <c r="C1655" t="s">
        <v>40</v>
      </c>
      <c r="D1655">
        <v>3.3745980000000002</v>
      </c>
      <c r="E1655">
        <v>0.58291150000000003</v>
      </c>
      <c r="F1655" t="s">
        <v>44</v>
      </c>
      <c r="G1655">
        <v>-191.51070000000001</v>
      </c>
      <c r="H1655" s="1">
        <v>-3.5786840000000001E-6</v>
      </c>
      <c r="I1655">
        <v>355.21339999999998</v>
      </c>
      <c r="J1655">
        <v>-203.4469</v>
      </c>
      <c r="K1655">
        <v>1.104465</v>
      </c>
      <c r="L1655">
        <v>365.99540000000002</v>
      </c>
      <c r="M1655">
        <v>0.98072859999999995</v>
      </c>
      <c r="N1655">
        <v>0</v>
      </c>
      <c r="O1655">
        <v>-0.194938</v>
      </c>
      <c r="P1655">
        <v>0.86048729999999995</v>
      </c>
      <c r="Q1655">
        <v>0.1589256</v>
      </c>
      <c r="R1655">
        <v>-0.48405019999999999</v>
      </c>
      <c r="S1655">
        <v>2.349777</v>
      </c>
      <c r="T1655">
        <v>-0.2143448</v>
      </c>
      <c r="U1655">
        <v>-2.0998230000000002</v>
      </c>
      <c r="V1655">
        <v>0.30936049999999998</v>
      </c>
      <c r="W1655">
        <v>0.16687850000000001</v>
      </c>
      <c r="X1655">
        <v>0.93618789999999996</v>
      </c>
      <c r="Y1655">
        <v>0.50748309999999996</v>
      </c>
      <c r="Z1655">
        <v>-4.9203620000000002E-3</v>
      </c>
      <c r="AA1655">
        <v>0.86164769999999902</v>
      </c>
      <c r="AB1655">
        <v>27</v>
      </c>
      <c r="AC1655">
        <v>11.9361999999999</v>
      </c>
      <c r="AD1655">
        <v>-1.1044685786839901</v>
      </c>
      <c r="AE1655">
        <v>-10.782</v>
      </c>
      <c r="AF1655">
        <v>8.2093941652991305</v>
      </c>
      <c r="AG1655">
        <v>-1.1044685786839901</v>
      </c>
      <c r="AH1655">
        <v>13.744369271178501</v>
      </c>
      <c r="AI1655">
        <v>93.946504067909302</v>
      </c>
      <c r="AJ1655">
        <v>59.150489277656803</v>
      </c>
      <c r="AK1655">
        <v>16.047482359082402</v>
      </c>
      <c r="AL1655">
        <v>80.393622890177895</v>
      </c>
      <c r="AM1655">
        <v>71.714016139251399</v>
      </c>
      <c r="AN1655">
        <v>1.0000000684144501</v>
      </c>
    </row>
    <row r="1656" spans="1:40" x14ac:dyDescent="0.25">
      <c r="A1656" t="str">
        <f>"20190312172116341"</f>
        <v>20190312172116341</v>
      </c>
      <c r="B1656" t="str">
        <f>"1552382476332411"</f>
        <v>1552382476332411</v>
      </c>
      <c r="C1656" t="s">
        <v>40</v>
      </c>
      <c r="D1656">
        <v>3.3483839999999998</v>
      </c>
      <c r="E1656">
        <v>0.58291669999999995</v>
      </c>
      <c r="F1656" t="s">
        <v>44</v>
      </c>
      <c r="G1656">
        <v>-192.74629999999999</v>
      </c>
      <c r="H1656" s="1">
        <v>-4.4635179999999998E-6</v>
      </c>
      <c r="I1656">
        <v>356.5247</v>
      </c>
      <c r="J1656">
        <v>-203.31630000000001</v>
      </c>
      <c r="K1656">
        <v>1.1044020000000001</v>
      </c>
      <c r="L1656">
        <v>365.96559999999999</v>
      </c>
      <c r="M1656">
        <v>0.97996749999999999</v>
      </c>
      <c r="N1656">
        <v>0</v>
      </c>
      <c r="O1656">
        <v>-0.19872819999999999</v>
      </c>
      <c r="P1656">
        <v>0.8578384</v>
      </c>
      <c r="Q1656">
        <v>0.15925249999999999</v>
      </c>
      <c r="R1656">
        <v>-0.48862309999999998</v>
      </c>
      <c r="S1656">
        <v>2.3575439999999999</v>
      </c>
      <c r="T1656">
        <v>-0.2433372</v>
      </c>
      <c r="U1656">
        <v>-2.0865779999999998</v>
      </c>
      <c r="V1656">
        <v>0.31076949999999998</v>
      </c>
      <c r="W1656">
        <v>0.16713939999999999</v>
      </c>
      <c r="X1656">
        <v>0.93567449999999996</v>
      </c>
      <c r="Y1656">
        <v>0.49984689999999998</v>
      </c>
      <c r="Z1656">
        <v>-4.9221289999999999E-3</v>
      </c>
      <c r="AA1656">
        <v>0.86609979999999998</v>
      </c>
      <c r="AB1656">
        <v>27</v>
      </c>
      <c r="AC1656">
        <v>10.57</v>
      </c>
      <c r="AD1656">
        <v>-1.104406463518</v>
      </c>
      <c r="AE1656">
        <v>-9.4408999999999992</v>
      </c>
      <c r="AF1656">
        <v>7.1086608907204898</v>
      </c>
      <c r="AG1656">
        <v>-1.104406463518</v>
      </c>
      <c r="AH1656">
        <v>12.161621922743899</v>
      </c>
      <c r="AI1656">
        <v>94.482822962964704</v>
      </c>
      <c r="AJ1656">
        <v>59.6930368282367</v>
      </c>
      <c r="AK1656">
        <v>14.130032593298701</v>
      </c>
      <c r="AL1656">
        <v>80.378460972732995</v>
      </c>
      <c r="AM1656">
        <v>71.626908240363505</v>
      </c>
      <c r="AN1656">
        <v>1.0000000155564299</v>
      </c>
    </row>
    <row r="1657" spans="1:40" x14ac:dyDescent="0.25">
      <c r="A1657" t="str">
        <f>"20190312172116350"</f>
        <v>20190312172116350</v>
      </c>
      <c r="B1657" t="str">
        <f>"1552382476342172"</f>
        <v>1552382476342172</v>
      </c>
      <c r="C1657" t="s">
        <v>40</v>
      </c>
      <c r="D1657">
        <v>3.3949929999999999</v>
      </c>
      <c r="E1657">
        <v>0.58278490000000005</v>
      </c>
      <c r="F1657" t="s">
        <v>44</v>
      </c>
      <c r="G1657">
        <v>-192.60499999999999</v>
      </c>
      <c r="H1657" s="1">
        <v>-4.3665600000000004E-6</v>
      </c>
      <c r="I1657">
        <v>356.38380000000001</v>
      </c>
      <c r="J1657">
        <v>-203.19560000000001</v>
      </c>
      <c r="K1657">
        <v>1.104341</v>
      </c>
      <c r="L1657">
        <v>365.93729999999999</v>
      </c>
      <c r="M1657">
        <v>0.97923550000000004</v>
      </c>
      <c r="N1657">
        <v>0</v>
      </c>
      <c r="O1657">
        <v>-0.20230380000000001</v>
      </c>
      <c r="P1657">
        <v>0.85517180000000004</v>
      </c>
      <c r="Q1657">
        <v>0.1596756</v>
      </c>
      <c r="R1657">
        <v>-0.49313800000000002</v>
      </c>
      <c r="S1657">
        <v>2.3464809999999998</v>
      </c>
      <c r="T1657">
        <v>-0.24193899999999999</v>
      </c>
      <c r="U1657">
        <v>-2.0990600000000001</v>
      </c>
      <c r="V1657">
        <v>0.31233729999999998</v>
      </c>
      <c r="W1657">
        <v>0.167493899999999</v>
      </c>
      <c r="X1657">
        <v>0.9350889</v>
      </c>
      <c r="Y1657">
        <v>0.50128890000000004</v>
      </c>
      <c r="Z1657">
        <v>-4.6714759999999999E-3</v>
      </c>
      <c r="AA1657">
        <v>0.86526740000000002</v>
      </c>
      <c r="AB1657">
        <v>27</v>
      </c>
      <c r="AC1657">
        <v>10.5906</v>
      </c>
      <c r="AD1657">
        <v>-1.10434536656</v>
      </c>
      <c r="AE1657">
        <v>-9.5534999999999801</v>
      </c>
      <c r="AF1657">
        <v>7.1702384095775002</v>
      </c>
      <c r="AG1657">
        <v>-1.10434536656</v>
      </c>
      <c r="AH1657">
        <v>12.2311264708209</v>
      </c>
      <c r="AI1657">
        <v>94.453892242983898</v>
      </c>
      <c r="AJ1657">
        <v>59.6199406267732</v>
      </c>
      <c r="AK1657">
        <v>14.220842179141099</v>
      </c>
      <c r="AL1657">
        <v>80.357859274693396</v>
      </c>
      <c r="AM1657">
        <v>71.529710008016593</v>
      </c>
      <c r="AN1657">
        <v>1.0000000232058499</v>
      </c>
    </row>
    <row r="1658" spans="1:40" x14ac:dyDescent="0.25">
      <c r="A1658" t="str">
        <f>"20190312172116361"</f>
        <v>20190312172116361</v>
      </c>
      <c r="B1658" t="str">
        <f>"1552382476352907"</f>
        <v>1552382476352907</v>
      </c>
      <c r="C1658" t="s">
        <v>40</v>
      </c>
      <c r="D1658">
        <v>3.3862220000000001</v>
      </c>
      <c r="E1658">
        <v>0.582628699999999</v>
      </c>
      <c r="F1658" t="s">
        <v>44</v>
      </c>
      <c r="G1658">
        <v>-192.53309999999999</v>
      </c>
      <c r="H1658" s="1">
        <v>-4.3127170000000001E-6</v>
      </c>
      <c r="I1658">
        <v>356.30250000000001</v>
      </c>
      <c r="J1658">
        <v>-203.0753</v>
      </c>
      <c r="K1658">
        <v>1.104277</v>
      </c>
      <c r="L1658">
        <v>365.90890000000002</v>
      </c>
      <c r="M1658">
        <v>0.97848979999999997</v>
      </c>
      <c r="N1658">
        <v>0</v>
      </c>
      <c r="O1658">
        <v>-0.20587939999999999</v>
      </c>
      <c r="P1658">
        <v>0.85252890000000003</v>
      </c>
      <c r="Q1658">
        <v>0.16028870000000001</v>
      </c>
      <c r="R1658">
        <v>-0.49749569999999999</v>
      </c>
      <c r="S1658">
        <v>2.3360289999999999</v>
      </c>
      <c r="T1658">
        <v>-0.24194930000000001</v>
      </c>
      <c r="U1658">
        <v>-2.1108699999999998</v>
      </c>
      <c r="V1658">
        <v>0.31375510000000001</v>
      </c>
      <c r="W1658">
        <v>0.1680401</v>
      </c>
      <c r="X1658">
        <v>0.93451609999999996</v>
      </c>
      <c r="Y1658">
        <v>0.50246859999999904</v>
      </c>
      <c r="Z1658">
        <v>-4.4365840000000004E-3</v>
      </c>
      <c r="AA1658">
        <v>0.86458409999999997</v>
      </c>
      <c r="AB1658">
        <v>27</v>
      </c>
      <c r="AC1658">
        <v>10.542199999999999</v>
      </c>
      <c r="AD1658">
        <v>-1.1042813127169999</v>
      </c>
      <c r="AE1658">
        <v>-9.6064000000000007</v>
      </c>
      <c r="AF1658">
        <v>7.1868793501967501</v>
      </c>
      <c r="AG1658">
        <v>-1.1042813127169999</v>
      </c>
      <c r="AH1658">
        <v>12.220988048782999</v>
      </c>
      <c r="AI1658">
        <v>94.453734142080805</v>
      </c>
      <c r="AJ1658">
        <v>59.541202810345403</v>
      </c>
      <c r="AK1658">
        <v>14.220521119157301</v>
      </c>
      <c r="AL1658">
        <v>80.3261145495145</v>
      </c>
      <c r="AM1658">
        <v>71.441001631286397</v>
      </c>
      <c r="AN1658">
        <v>1.00000003957161</v>
      </c>
    </row>
    <row r="1659" spans="1:40" x14ac:dyDescent="0.25">
      <c r="A1659" t="str">
        <f>"20190312172116372"</f>
        <v>20190312172116372</v>
      </c>
      <c r="B1659" t="str">
        <f>"1552382476362668"</f>
        <v>1552382476362668</v>
      </c>
      <c r="C1659" t="s">
        <v>40</v>
      </c>
      <c r="D1659">
        <v>3.3750930000000001</v>
      </c>
      <c r="E1659">
        <v>0.58244499999999999</v>
      </c>
      <c r="F1659" t="s">
        <v>44</v>
      </c>
      <c r="G1659">
        <v>-192.3621</v>
      </c>
      <c r="H1659" s="1">
        <v>-4.1966620000000002E-6</v>
      </c>
      <c r="I1659">
        <v>356.13470000000001</v>
      </c>
      <c r="J1659">
        <v>-202.94560000000001</v>
      </c>
      <c r="K1659">
        <v>1.104206</v>
      </c>
      <c r="L1659">
        <v>365.87729999999999</v>
      </c>
      <c r="M1659">
        <v>0.97765480000000005</v>
      </c>
      <c r="N1659">
        <v>0</v>
      </c>
      <c r="O1659">
        <v>-0.20980779999999999</v>
      </c>
      <c r="P1659">
        <v>0.84966830000000004</v>
      </c>
      <c r="Q1659">
        <v>0.16069649999999999</v>
      </c>
      <c r="R1659">
        <v>-0.50223549999999995</v>
      </c>
      <c r="S1659">
        <v>2.3257750000000001</v>
      </c>
      <c r="T1659">
        <v>-0.2397339</v>
      </c>
      <c r="U1659">
        <v>-2.121918</v>
      </c>
      <c r="V1659">
        <v>0.31525979999999998</v>
      </c>
      <c r="W1659">
        <v>0.16837569999999999</v>
      </c>
      <c r="X1659">
        <v>0.93394909999999998</v>
      </c>
      <c r="Y1659">
        <v>0.50315920000000003</v>
      </c>
      <c r="Z1659">
        <v>-4.1122470000000003E-3</v>
      </c>
      <c r="AA1659">
        <v>0.86418399999999995</v>
      </c>
      <c r="AB1659">
        <v>27</v>
      </c>
      <c r="AC1659">
        <v>10.583500000000001</v>
      </c>
      <c r="AD1659">
        <v>-1.1042101966619999</v>
      </c>
      <c r="AE1659">
        <v>-9.7425999999999799</v>
      </c>
      <c r="AF1659">
        <v>7.2622351969409999</v>
      </c>
      <c r="AG1659">
        <v>-1.1042101966619999</v>
      </c>
      <c r="AH1659">
        <v>12.3195572783908</v>
      </c>
      <c r="AI1659">
        <v>94.415242994362799</v>
      </c>
      <c r="AJ1659">
        <v>59.4811467463092</v>
      </c>
      <c r="AK1659">
        <v>14.3433201090143</v>
      </c>
      <c r="AL1659">
        <v>80.306607955204498</v>
      </c>
      <c r="AM1659">
        <v>71.347598589101494</v>
      </c>
      <c r="AN1659">
        <v>1.00000001961866</v>
      </c>
    </row>
    <row r="1660" spans="1:40" x14ac:dyDescent="0.25">
      <c r="A1660" t="str">
        <f>"20190312172116383"</f>
        <v>20190312172116383</v>
      </c>
      <c r="B1660" t="str">
        <f>"1552382476372428"</f>
        <v>1552382476372428</v>
      </c>
      <c r="C1660" t="s">
        <v>40</v>
      </c>
      <c r="D1660">
        <v>3.3853810000000002</v>
      </c>
      <c r="E1660">
        <v>0.58208669999999996</v>
      </c>
      <c r="F1660" t="s">
        <v>44</v>
      </c>
      <c r="G1660">
        <v>-192.23439999999999</v>
      </c>
      <c r="H1660" s="1">
        <v>-4.1061240000000002E-6</v>
      </c>
      <c r="I1660">
        <v>356.00119999999998</v>
      </c>
      <c r="J1660">
        <v>-202.81989999999999</v>
      </c>
      <c r="K1660">
        <v>1.1041379999999901</v>
      </c>
      <c r="L1660">
        <v>365.84640000000002</v>
      </c>
      <c r="M1660">
        <v>0.97682460000000004</v>
      </c>
      <c r="N1660">
        <v>0</v>
      </c>
      <c r="O1660">
        <v>-0.2136392</v>
      </c>
      <c r="P1660">
        <v>0.84682239999999998</v>
      </c>
      <c r="Q1660">
        <v>0.1610134</v>
      </c>
      <c r="R1660">
        <v>-0.5069188</v>
      </c>
      <c r="S1660">
        <v>2.3144990000000001</v>
      </c>
      <c r="T1660">
        <v>-0.2386008</v>
      </c>
      <c r="U1660">
        <v>-2.134064</v>
      </c>
      <c r="V1660">
        <v>0.31680330000000001</v>
      </c>
      <c r="W1660">
        <v>0.16861970000000001</v>
      </c>
      <c r="X1660">
        <v>0.93338259999999995</v>
      </c>
      <c r="Y1660">
        <v>0.50433479999999997</v>
      </c>
      <c r="Z1660">
        <v>-3.839973E-3</v>
      </c>
      <c r="AA1660">
        <v>0.86349959999999903</v>
      </c>
      <c r="AB1660">
        <v>27</v>
      </c>
      <c r="AC1660">
        <v>10.5854999999999</v>
      </c>
      <c r="AD1660">
        <v>-1.10414210612399</v>
      </c>
      <c r="AE1660">
        <v>-9.8452000000000304</v>
      </c>
      <c r="AF1660">
        <v>7.3135235788210702</v>
      </c>
      <c r="AG1660">
        <v>-1.10414210612399</v>
      </c>
      <c r="AH1660">
        <v>12.3723909534078</v>
      </c>
      <c r="AI1660">
        <v>94.3930727929325</v>
      </c>
      <c r="AJ1660">
        <v>59.411968765393198</v>
      </c>
      <c r="AK1660">
        <v>14.4146735943779</v>
      </c>
      <c r="AL1660">
        <v>80.292424865003099</v>
      </c>
      <c r="AM1660">
        <v>71.252058547180198</v>
      </c>
      <c r="AN1660">
        <v>1.00000000605086</v>
      </c>
    </row>
    <row r="1661" spans="1:40" x14ac:dyDescent="0.25">
      <c r="A1661" t="str">
        <f>"20190312172116393"</f>
        <v>20190312172116393</v>
      </c>
      <c r="B1661" t="str">
        <f>"1552382476382187"</f>
        <v>1552382476382187</v>
      </c>
      <c r="C1661" t="s">
        <v>40</v>
      </c>
      <c r="D1661">
        <v>3.403098</v>
      </c>
      <c r="E1661">
        <v>0.58166340000000005</v>
      </c>
      <c r="F1661" t="s">
        <v>44</v>
      </c>
      <c r="G1661">
        <v>-192.1773</v>
      </c>
      <c r="H1661" s="1">
        <v>-4.0660779999999997E-6</v>
      </c>
      <c r="I1661">
        <v>355.94240000000002</v>
      </c>
      <c r="J1661">
        <v>-202.68860000000001</v>
      </c>
      <c r="K1661">
        <v>1.104074</v>
      </c>
      <c r="L1661">
        <v>365.8134</v>
      </c>
      <c r="M1661">
        <v>0.9759255</v>
      </c>
      <c r="N1661">
        <v>0</v>
      </c>
      <c r="O1661">
        <v>-0.21770880000000001</v>
      </c>
      <c r="P1661">
        <v>0.84387250000000003</v>
      </c>
      <c r="Q1661">
        <v>0.1611793</v>
      </c>
      <c r="R1661">
        <v>-0.51176259999999996</v>
      </c>
      <c r="S1661">
        <v>2.3043819999999999</v>
      </c>
      <c r="T1661">
        <v>-0.23907349999999999</v>
      </c>
      <c r="U1661">
        <v>-2.1444700000000001</v>
      </c>
      <c r="V1661">
        <v>0.31830360000000002</v>
      </c>
      <c r="W1661">
        <v>0.16871129999999901</v>
      </c>
      <c r="X1661">
        <v>0.93285549999999995</v>
      </c>
      <c r="Y1661">
        <v>0.50472260000000002</v>
      </c>
      <c r="Z1661">
        <v>-3.5386419999999998E-3</v>
      </c>
      <c r="AA1661">
        <v>0.86327430000000005</v>
      </c>
      <c r="AB1661">
        <v>27</v>
      </c>
      <c r="AC1661">
        <v>10.5113</v>
      </c>
      <c r="AD1661">
        <v>-1.1040780660780001</v>
      </c>
      <c r="AE1661">
        <v>-9.8709999999999791</v>
      </c>
      <c r="AF1661">
        <v>7.3027772304887302</v>
      </c>
      <c r="AG1661">
        <v>-1.1040780660780001</v>
      </c>
      <c r="AH1661">
        <v>12.335996507648</v>
      </c>
      <c r="AI1661">
        <v>94.404049894119197</v>
      </c>
      <c r="AJ1661">
        <v>59.374923680665397</v>
      </c>
      <c r="AK1661">
        <v>14.377981551345901</v>
      </c>
      <c r="AL1661">
        <v>80.287100564336498</v>
      </c>
      <c r="AM1661">
        <v>71.159626993615404</v>
      </c>
      <c r="AN1661">
        <v>1.00000003420044</v>
      </c>
    </row>
    <row r="1662" spans="1:40" x14ac:dyDescent="0.25">
      <c r="A1662" t="str">
        <f>"20190312172116405"</f>
        <v>20190312172116405</v>
      </c>
      <c r="B1662" t="str">
        <f>"1552382476402683"</f>
        <v>1552382476402683</v>
      </c>
      <c r="C1662" t="s">
        <v>40</v>
      </c>
      <c r="D1662">
        <v>3.4109020000000001</v>
      </c>
      <c r="E1662">
        <v>0.58085039999999999</v>
      </c>
      <c r="F1662" t="s">
        <v>44</v>
      </c>
      <c r="G1662">
        <v>-192.0849</v>
      </c>
      <c r="H1662" s="1">
        <v>-4.003596E-6</v>
      </c>
      <c r="I1662">
        <v>355.85219999999998</v>
      </c>
      <c r="J1662">
        <v>-202.55760000000001</v>
      </c>
      <c r="K1662">
        <v>1.1040019999999999</v>
      </c>
      <c r="L1662">
        <v>365.77980000000002</v>
      </c>
      <c r="M1662">
        <v>0.97500089999999995</v>
      </c>
      <c r="N1662">
        <v>0</v>
      </c>
      <c r="O1662">
        <v>-0.22181229999999999</v>
      </c>
      <c r="P1662">
        <v>0.84096939999999998</v>
      </c>
      <c r="Q1662">
        <v>0.1613108</v>
      </c>
      <c r="R1662">
        <v>-0.51647809999999905</v>
      </c>
      <c r="S1662">
        <v>2.2938689999999999</v>
      </c>
      <c r="T1662">
        <v>-0.23884030000000001</v>
      </c>
      <c r="U1662">
        <v>-2.154846</v>
      </c>
      <c r="V1662">
        <v>0.31964219999999999</v>
      </c>
      <c r="W1662">
        <v>0.16877010000000001</v>
      </c>
      <c r="X1662">
        <v>0.93238699999999997</v>
      </c>
      <c r="Y1662">
        <v>0.50515059999999901</v>
      </c>
      <c r="Z1662">
        <v>-3.2254979999999998E-3</v>
      </c>
      <c r="AA1662">
        <v>0.86302520000000005</v>
      </c>
      <c r="AB1662">
        <v>27</v>
      </c>
      <c r="AC1662">
        <v>10.4727</v>
      </c>
      <c r="AD1662">
        <v>-1.104006003596</v>
      </c>
      <c r="AE1662">
        <v>-9.9276000000000302</v>
      </c>
      <c r="AF1662">
        <v>7.3142684902480903</v>
      </c>
      <c r="AG1662">
        <v>-1.104006003596</v>
      </c>
      <c r="AH1662">
        <v>12.341788409995599</v>
      </c>
      <c r="AI1662">
        <v>94.400449330944198</v>
      </c>
      <c r="AJ1662">
        <v>59.347215257078503</v>
      </c>
      <c r="AK1662">
        <v>14.3887836164324</v>
      </c>
      <c r="AL1662">
        <v>80.283682226720998</v>
      </c>
      <c r="AM1662">
        <v>71.077189023684994</v>
      </c>
      <c r="AN1662">
        <v>1.00000000022192</v>
      </c>
    </row>
    <row r="1663" spans="1:40" x14ac:dyDescent="0.25">
      <c r="A1663" t="str">
        <f>"20190312172116416"</f>
        <v>20190312172116416</v>
      </c>
      <c r="B1663" t="str">
        <f>"1552382476412443"</f>
        <v>1552382476412443</v>
      </c>
      <c r="C1663" t="s">
        <v>40</v>
      </c>
      <c r="D1663">
        <v>3.3866510000000001</v>
      </c>
      <c r="E1663">
        <v>0.58085039999999999</v>
      </c>
      <c r="F1663" t="s">
        <v>44</v>
      </c>
      <c r="G1663">
        <v>-192.0078</v>
      </c>
      <c r="H1663" s="1">
        <v>-3.9600299999999998E-6</v>
      </c>
      <c r="I1663">
        <v>355.79539999999997</v>
      </c>
      <c r="J1663">
        <v>-202.422</v>
      </c>
      <c r="K1663">
        <v>1.1039219999999901</v>
      </c>
      <c r="L1663">
        <v>365.74439999999998</v>
      </c>
      <c r="M1663">
        <v>0.97401110000000002</v>
      </c>
      <c r="N1663">
        <v>0</v>
      </c>
      <c r="O1663">
        <v>-0.2261184</v>
      </c>
      <c r="P1663">
        <v>0.83788289999999999</v>
      </c>
      <c r="Q1663">
        <v>0.16161900000000001</v>
      </c>
      <c r="R1663">
        <v>-0.52137509999999998</v>
      </c>
      <c r="S1663">
        <v>2.285034</v>
      </c>
      <c r="T1663">
        <v>-0.23912050000000001</v>
      </c>
      <c r="U1663">
        <v>-2.1625670000000001</v>
      </c>
      <c r="V1663">
        <v>0.32101469999999999</v>
      </c>
      <c r="W1663">
        <v>0.16900129999999999</v>
      </c>
      <c r="X1663">
        <v>0.93187339999999996</v>
      </c>
      <c r="Y1663">
        <v>0.50455179999999999</v>
      </c>
      <c r="Z1663">
        <v>-2.855612E-3</v>
      </c>
      <c r="AA1663">
        <v>0.8633767</v>
      </c>
      <c r="AB1663">
        <v>27</v>
      </c>
      <c r="AC1663">
        <v>10.4141999999999</v>
      </c>
      <c r="AD1663">
        <v>-1.10392596002999</v>
      </c>
      <c r="AE1663">
        <v>-9.9490000000000105</v>
      </c>
      <c r="AF1663">
        <v>7.2933812661274402</v>
      </c>
      <c r="AG1663">
        <v>-1.10392596002999</v>
      </c>
      <c r="AH1663">
        <v>12.3218812773847</v>
      </c>
      <c r="AI1663">
        <v>94.408632451190698</v>
      </c>
      <c r="AJ1663">
        <v>59.378504433090001</v>
      </c>
      <c r="AK1663">
        <v>14.3610870421528</v>
      </c>
      <c r="AL1663">
        <v>80.270241946713497</v>
      </c>
      <c r="AM1663">
        <v>70.992032499218993</v>
      </c>
      <c r="AN1663">
        <v>0.99999995532266805</v>
      </c>
    </row>
    <row r="1664" spans="1:40" x14ac:dyDescent="0.25">
      <c r="A1664" t="str">
        <f>"20190312172116430"</f>
        <v>20190312172116430</v>
      </c>
      <c r="B1664" t="str">
        <f>"1552382476422203"</f>
        <v>1552382476422203</v>
      </c>
      <c r="C1664" t="s">
        <v>40</v>
      </c>
      <c r="D1664">
        <v>3.399162</v>
      </c>
      <c r="E1664">
        <v>0.57547839999999995</v>
      </c>
      <c r="F1664" t="s">
        <v>44</v>
      </c>
      <c r="G1664">
        <v>-191.88059999999999</v>
      </c>
      <c r="H1664" s="1">
        <v>-3.8636139999999997E-6</v>
      </c>
      <c r="I1664">
        <v>355.649</v>
      </c>
      <c r="J1664">
        <v>-202.26570000000001</v>
      </c>
      <c r="K1664">
        <v>1.1038349999999999</v>
      </c>
      <c r="L1664">
        <v>365.70260000000002</v>
      </c>
      <c r="M1664">
        <v>0.97282460000000004</v>
      </c>
      <c r="N1664">
        <v>0</v>
      </c>
      <c r="O1664">
        <v>-0.2311687</v>
      </c>
      <c r="P1664">
        <v>0.83431330000000004</v>
      </c>
      <c r="Q1664">
        <v>0.16167210000000001</v>
      </c>
      <c r="R1664">
        <v>-0.52705199999999996</v>
      </c>
      <c r="S1664">
        <v>2.2722470000000001</v>
      </c>
      <c r="T1664">
        <v>-0.23795549999999999</v>
      </c>
      <c r="U1664">
        <v>-2.1761170000000001</v>
      </c>
      <c r="V1664">
        <v>0.32255200000000001</v>
      </c>
      <c r="W1664">
        <v>0.16896559999999999</v>
      </c>
      <c r="X1664">
        <v>0.93134890000000004</v>
      </c>
      <c r="Y1664">
        <v>0.505204599999999</v>
      </c>
      <c r="Z1664">
        <v>-2.4656970000000002E-3</v>
      </c>
      <c r="AA1664">
        <v>0.86299609999999904</v>
      </c>
      <c r="AB1664">
        <v>27</v>
      </c>
      <c r="AC1664">
        <v>10.3851</v>
      </c>
      <c r="AD1664">
        <v>-1.103838863614</v>
      </c>
      <c r="AE1664">
        <v>-10.053599999999999</v>
      </c>
      <c r="AF1664">
        <v>7.3375262189030002</v>
      </c>
      <c r="AG1664">
        <v>-1.103838863614</v>
      </c>
      <c r="AH1664">
        <v>12.3559749612037</v>
      </c>
      <c r="AI1664">
        <v>94.392445857411801</v>
      </c>
      <c r="AJ1664">
        <v>59.296279766967501</v>
      </c>
      <c r="AK1664">
        <v>14.412767551438799</v>
      </c>
      <c r="AL1664">
        <v>80.272317396560794</v>
      </c>
      <c r="AM1664">
        <v>70.897608975206893</v>
      </c>
      <c r="AN1664">
        <v>0.99999997010928399</v>
      </c>
    </row>
    <row r="1665" spans="1:40" x14ac:dyDescent="0.25">
      <c r="A1665" t="str">
        <f>"20190312172116440"</f>
        <v>20190312172116440</v>
      </c>
      <c r="B1665" t="str">
        <f>"1552382476432939"</f>
        <v>1552382476432939</v>
      </c>
      <c r="C1665" t="s">
        <v>40</v>
      </c>
      <c r="D1665">
        <v>3.42449</v>
      </c>
      <c r="E1665">
        <v>0.57547839999999995</v>
      </c>
      <c r="F1665" t="s">
        <v>44</v>
      </c>
      <c r="G1665">
        <v>-191.92070000000001</v>
      </c>
      <c r="H1665" s="1">
        <v>-3.9994540000000004E-6</v>
      </c>
      <c r="I1665">
        <v>355.92149999999998</v>
      </c>
      <c r="J1665">
        <v>-202.1405</v>
      </c>
      <c r="K1665">
        <v>1.103758</v>
      </c>
      <c r="L1665">
        <v>365.66890000000001</v>
      </c>
      <c r="M1665">
        <v>0.97184800000000005</v>
      </c>
      <c r="N1665">
        <v>0</v>
      </c>
      <c r="O1665">
        <v>-0.23523939999999999</v>
      </c>
      <c r="P1665">
        <v>0.83134940000000002</v>
      </c>
      <c r="Q1665">
        <v>0.1616744</v>
      </c>
      <c r="R1665">
        <v>-0.53171369999999996</v>
      </c>
      <c r="S1665">
        <v>2.2806850000000001</v>
      </c>
      <c r="T1665">
        <v>-0.2433545</v>
      </c>
      <c r="U1665">
        <v>-2.1563720000000002</v>
      </c>
      <c r="V1665">
        <v>0.32390000000000002</v>
      </c>
      <c r="W1665">
        <v>0.16889319999999999</v>
      </c>
      <c r="X1665">
        <v>0.93089409999999895</v>
      </c>
      <c r="Y1665">
        <v>0.49604150000000002</v>
      </c>
      <c r="Z1665">
        <v>-1.7647610000000001E-3</v>
      </c>
      <c r="AA1665">
        <v>0.86829699999999999</v>
      </c>
      <c r="AB1665">
        <v>27</v>
      </c>
      <c r="AC1665">
        <v>10.2197999999999</v>
      </c>
      <c r="AD1665">
        <v>-1.103761999454</v>
      </c>
      <c r="AE1665">
        <v>-9.7474000000000203</v>
      </c>
      <c r="AF1665">
        <v>7.0265874194942803</v>
      </c>
      <c r="AG1665">
        <v>-1.103761999454</v>
      </c>
      <c r="AH1665">
        <v>12.1519031714316</v>
      </c>
      <c r="AI1665">
        <v>94.496000381980707</v>
      </c>
      <c r="AJ1665">
        <v>59.962237436627497</v>
      </c>
      <c r="AK1665">
        <v>14.080481952088199</v>
      </c>
      <c r="AL1665">
        <v>80.276526138200097</v>
      </c>
      <c r="AM1665">
        <v>70.814911429142498</v>
      </c>
      <c r="AN1665">
        <v>0.999999974210524</v>
      </c>
    </row>
    <row r="1666" spans="1:40" x14ac:dyDescent="0.25">
      <c r="A1666" t="str">
        <f>"20190312172116451"</f>
        <v>20190312172116451</v>
      </c>
      <c r="B1666" t="str">
        <f>"1552382476442699"</f>
        <v>1552382476442699</v>
      </c>
      <c r="C1666" t="s">
        <v>40</v>
      </c>
      <c r="D1666">
        <v>3.41953</v>
      </c>
      <c r="E1666">
        <v>0.58944059999999998</v>
      </c>
      <c r="F1666" t="s">
        <v>44</v>
      </c>
      <c r="G1666">
        <v>-191.84620000000001</v>
      </c>
      <c r="H1666" s="1">
        <v>-3.9382440000000002E-6</v>
      </c>
      <c r="I1666">
        <v>355.82549999999998</v>
      </c>
      <c r="J1666">
        <v>-202.00450000000001</v>
      </c>
      <c r="K1666">
        <v>1.1036699999999999</v>
      </c>
      <c r="L1666">
        <v>365.6309</v>
      </c>
      <c r="M1666">
        <v>0.97073739999999997</v>
      </c>
      <c r="N1666">
        <v>0</v>
      </c>
      <c r="O1666">
        <v>-0.2397812</v>
      </c>
      <c r="P1666">
        <v>0.82797940000000003</v>
      </c>
      <c r="Q1666">
        <v>0.16191259999999999</v>
      </c>
      <c r="R1666">
        <v>-0.53687479999999999</v>
      </c>
      <c r="S1666">
        <v>2.2685390000000001</v>
      </c>
      <c r="T1666">
        <v>-0.24323359999999999</v>
      </c>
      <c r="U1666">
        <v>-2.1691590000000001</v>
      </c>
      <c r="V1666">
        <v>0.32539170000000001</v>
      </c>
      <c r="W1666">
        <v>0.16904739999999999</v>
      </c>
      <c r="X1666">
        <v>0.9303458</v>
      </c>
      <c r="Y1666">
        <v>0.49687130000000002</v>
      </c>
      <c r="Z1666">
        <v>-1.427991E-3</v>
      </c>
      <c r="AA1666">
        <v>0.86782309999999996</v>
      </c>
      <c r="AB1666">
        <v>27</v>
      </c>
      <c r="AC1666">
        <v>10.158299999999899</v>
      </c>
      <c r="AD1666">
        <v>-1.103673938244</v>
      </c>
      <c r="AE1666">
        <v>-9.8054000000000094</v>
      </c>
      <c r="AF1666">
        <v>7.0402935709893004</v>
      </c>
      <c r="AG1666">
        <v>-1.103673938244</v>
      </c>
      <c r="AH1666">
        <v>12.139075418119701</v>
      </c>
      <c r="AI1666">
        <v>94.496993407032406</v>
      </c>
      <c r="AJ1666">
        <v>59.887574251501803</v>
      </c>
      <c r="AK1666">
        <v>14.0762559558453</v>
      </c>
      <c r="AL1666">
        <v>80.267562931089699</v>
      </c>
      <c r="AM1666">
        <v>70.7225368367247</v>
      </c>
      <c r="AN1666">
        <v>1.0000000447266399</v>
      </c>
    </row>
    <row r="1667" spans="1:40" x14ac:dyDescent="0.25">
      <c r="A1667" t="str">
        <f>"20190312172116462"</f>
        <v>20190312172116462</v>
      </c>
      <c r="B1667" t="str">
        <f>"1552382476452459"</f>
        <v>1552382476452459</v>
      </c>
      <c r="C1667" t="s">
        <v>40</v>
      </c>
      <c r="D1667">
        <v>3.3892190000000002</v>
      </c>
      <c r="E1667">
        <v>0.59591969999999905</v>
      </c>
      <c r="F1667" t="s">
        <v>44</v>
      </c>
      <c r="G1667">
        <v>-193.33799999999999</v>
      </c>
      <c r="H1667" s="1">
        <v>-4.6505849999999998E-6</v>
      </c>
      <c r="I1667">
        <v>356.6447</v>
      </c>
      <c r="J1667">
        <v>-201.88630000000001</v>
      </c>
      <c r="K1667">
        <v>1.103596</v>
      </c>
      <c r="L1667">
        <v>365.59769999999997</v>
      </c>
      <c r="M1667">
        <v>0.96975149999999999</v>
      </c>
      <c r="N1667">
        <v>0</v>
      </c>
      <c r="O1667">
        <v>-0.24373629999999999</v>
      </c>
      <c r="P1667">
        <v>0.82499840000000002</v>
      </c>
      <c r="Q1667">
        <v>0.16188859999999999</v>
      </c>
      <c r="R1667">
        <v>-0.54145209999999999</v>
      </c>
      <c r="S1667">
        <v>2.199341</v>
      </c>
      <c r="T1667">
        <v>-0.280086</v>
      </c>
      <c r="U1667">
        <v>-2.2804869999999999</v>
      </c>
      <c r="V1667">
        <v>0.3267835</v>
      </c>
      <c r="W1667">
        <v>0.16894679999999901</v>
      </c>
      <c r="X1667">
        <v>0.92987609999999998</v>
      </c>
      <c r="Y1667">
        <v>0.52781129999999998</v>
      </c>
      <c r="Z1667">
        <v>-2.915436E-3</v>
      </c>
      <c r="AA1667">
        <v>0.84935669999999996</v>
      </c>
      <c r="AB1667">
        <v>27</v>
      </c>
      <c r="AC1667">
        <v>8.54830000000001</v>
      </c>
      <c r="AD1667">
        <v>-1.103600650585</v>
      </c>
      <c r="AE1667">
        <v>-8.9529999999999692</v>
      </c>
      <c r="AF1667">
        <v>6.5471905936002699</v>
      </c>
      <c r="AG1667">
        <v>-1.103600650585</v>
      </c>
      <c r="AH1667">
        <v>10.3902264487682</v>
      </c>
      <c r="AI1667">
        <v>95.134953928868995</v>
      </c>
      <c r="AJ1667">
        <v>57.783751505992399</v>
      </c>
      <c r="AK1667">
        <v>12.330468146894599</v>
      </c>
      <c r="AL1667">
        <v>80.273410751250907</v>
      </c>
      <c r="AM1667">
        <v>70.637151578360701</v>
      </c>
      <c r="AN1667">
        <v>1.0000000192268499</v>
      </c>
    </row>
    <row r="1668" spans="1:40" x14ac:dyDescent="0.25">
      <c r="A1668" t="str">
        <f>"20190312172116471"</f>
        <v>20190312172116471</v>
      </c>
      <c r="B1668" t="str">
        <f>"1552382476462221"</f>
        <v>1552382476462221</v>
      </c>
      <c r="C1668" t="s">
        <v>40</v>
      </c>
      <c r="D1668">
        <v>3.4240349999999999</v>
      </c>
      <c r="E1668">
        <v>0.6019099</v>
      </c>
      <c r="F1668" t="s">
        <v>44</v>
      </c>
      <c r="G1668">
        <v>-192.37710000000001</v>
      </c>
      <c r="H1668" s="1">
        <v>-3.8100660000000001E-6</v>
      </c>
      <c r="I1668">
        <v>355.29770000000002</v>
      </c>
      <c r="J1668">
        <v>-201.75800000000001</v>
      </c>
      <c r="K1668">
        <v>1.1035170000000001</v>
      </c>
      <c r="L1668">
        <v>365.56060000000002</v>
      </c>
      <c r="M1668">
        <v>0.96863949999999999</v>
      </c>
      <c r="N1668">
        <v>0</v>
      </c>
      <c r="O1668">
        <v>-0.2481187</v>
      </c>
      <c r="P1668">
        <v>0.82174409999999898</v>
      </c>
      <c r="Q1668">
        <v>0.16197300000000001</v>
      </c>
      <c r="R1668">
        <v>-0.54635330000000004</v>
      </c>
      <c r="S1668">
        <v>2.1541139999999999</v>
      </c>
      <c r="T1668">
        <v>-0.24999769999999999</v>
      </c>
      <c r="U1668">
        <v>-2.3332519999999999</v>
      </c>
      <c r="V1668">
        <v>0.32815620000000001</v>
      </c>
      <c r="W1668">
        <v>0.16895199999999999</v>
      </c>
      <c r="X1668">
        <v>0.92939159999999998</v>
      </c>
      <c r="Y1668">
        <v>0.54257630000000001</v>
      </c>
      <c r="Z1668">
        <v>-2.9493369999999998E-3</v>
      </c>
      <c r="AA1668">
        <v>0.84000129999999995</v>
      </c>
      <c r="AB1668">
        <v>27</v>
      </c>
      <c r="AC1668">
        <v>9.3808999999999596</v>
      </c>
      <c r="AD1668">
        <v>-1.1035208100659999</v>
      </c>
      <c r="AE1668">
        <v>-10.2629</v>
      </c>
      <c r="AF1668">
        <v>7.5664779057911398</v>
      </c>
      <c r="AG1668">
        <v>-1.1035208100659999</v>
      </c>
      <c r="AH1668">
        <v>11.5613198579425</v>
      </c>
      <c r="AI1668">
        <v>94.566268980485702</v>
      </c>
      <c r="AJ1668">
        <v>56.79666141141</v>
      </c>
      <c r="AK1668">
        <v>13.8612215527611</v>
      </c>
      <c r="AL1668">
        <v>80.273108357792395</v>
      </c>
      <c r="AM1668">
        <v>70.552529996891806</v>
      </c>
      <c r="AN1668">
        <v>1.0000000080264999</v>
      </c>
    </row>
    <row r="1669" spans="1:40" x14ac:dyDescent="0.25">
      <c r="A1669" t="str">
        <f>"20190312172116485"</f>
        <v>20190312172116485</v>
      </c>
      <c r="B1669" t="str">
        <f>"1552382476482714"</f>
        <v>1552382476482714</v>
      </c>
      <c r="C1669" t="s">
        <v>40</v>
      </c>
      <c r="D1669">
        <v>3.3699750000000002</v>
      </c>
      <c r="E1669">
        <v>0.60612149999999998</v>
      </c>
      <c r="F1669" t="s">
        <v>44</v>
      </c>
      <c r="G1669">
        <v>-191.5933</v>
      </c>
      <c r="H1669" s="1">
        <v>-3.0473550000000001E-6</v>
      </c>
      <c r="I1669">
        <v>354.07549999999998</v>
      </c>
      <c r="J1669">
        <v>-201.6088</v>
      </c>
      <c r="K1669">
        <v>1.103421</v>
      </c>
      <c r="L1669">
        <v>365.51690000000002</v>
      </c>
      <c r="M1669">
        <v>0.96730769999999999</v>
      </c>
      <c r="N1669">
        <v>0</v>
      </c>
      <c r="O1669">
        <v>-0.25325999999999999</v>
      </c>
      <c r="P1669">
        <v>0.81808819999999904</v>
      </c>
      <c r="Q1669">
        <v>0.16222700000000001</v>
      </c>
      <c r="R1669">
        <v>-0.55173779999999994</v>
      </c>
      <c r="S1669">
        <v>2.110474</v>
      </c>
      <c r="T1669">
        <v>-0.22912070000000001</v>
      </c>
      <c r="U1669">
        <v>-2.3846129999999999</v>
      </c>
      <c r="V1669">
        <v>0.32938220000000001</v>
      </c>
      <c r="W1669">
        <v>0.1691202</v>
      </c>
      <c r="X1669">
        <v>0.92892719999999995</v>
      </c>
      <c r="Y1669">
        <v>0.55581349999999996</v>
      </c>
      <c r="Z1669">
        <v>-2.8983500000000001E-3</v>
      </c>
      <c r="AA1669">
        <v>0.83130199999999999</v>
      </c>
      <c r="AB1669">
        <v>27</v>
      </c>
      <c r="AC1669">
        <v>10.015499999999999</v>
      </c>
      <c r="AD1669">
        <v>-1.1034240473550001</v>
      </c>
      <c r="AE1669">
        <v>-11.4414</v>
      </c>
      <c r="AF1669">
        <v>8.4868855888860093</v>
      </c>
      <c r="AG1669">
        <v>-1.1034240473550001</v>
      </c>
      <c r="AH1669">
        <v>12.520888864604499</v>
      </c>
      <c r="AI1669">
        <v>94.172233342678297</v>
      </c>
      <c r="AJ1669">
        <v>55.869868362352101</v>
      </c>
      <c r="AK1669">
        <v>15.166325513679899</v>
      </c>
      <c r="AL1669">
        <v>80.263330515692203</v>
      </c>
      <c r="AM1669">
        <v>70.476336485416695</v>
      </c>
      <c r="AN1669">
        <v>1.00000000931236</v>
      </c>
    </row>
    <row r="1670" spans="1:40" x14ac:dyDescent="0.25">
      <c r="A1670" t="str">
        <f>"20190312172116499"</f>
        <v>20190312172116499</v>
      </c>
      <c r="B1670" t="str">
        <f>"1552382476492475"</f>
        <v>1552382476492475</v>
      </c>
      <c r="C1670" t="s">
        <v>40</v>
      </c>
      <c r="D1670">
        <v>3.3675510000000002</v>
      </c>
      <c r="E1670">
        <v>0.60729509999999998</v>
      </c>
      <c r="F1670" t="s">
        <v>44</v>
      </c>
      <c r="G1670">
        <v>-190.58799999999999</v>
      </c>
      <c r="H1670" s="1">
        <v>-1.9451810000000001E-6</v>
      </c>
      <c r="I1670">
        <v>352.62459999999999</v>
      </c>
      <c r="J1670">
        <v>-201.4461</v>
      </c>
      <c r="K1670">
        <v>1.1033170000000001</v>
      </c>
      <c r="L1670">
        <v>365.46820000000002</v>
      </c>
      <c r="M1670">
        <v>0.9658002</v>
      </c>
      <c r="N1670">
        <v>0</v>
      </c>
      <c r="O1670">
        <v>-0.25894800000000001</v>
      </c>
      <c r="P1670">
        <v>0.8140191</v>
      </c>
      <c r="Q1670">
        <v>0.16228580000000001</v>
      </c>
      <c r="R1670">
        <v>-0.557706699999999</v>
      </c>
      <c r="S1670">
        <v>2.0728610000000001</v>
      </c>
      <c r="T1670">
        <v>-0.2075369</v>
      </c>
      <c r="U1670">
        <v>-2.4248349999999999</v>
      </c>
      <c r="V1670">
        <v>0.3307602</v>
      </c>
      <c r="W1670">
        <v>0.16908399999999901</v>
      </c>
      <c r="X1670">
        <v>0.92844400000000005</v>
      </c>
      <c r="Y1670">
        <v>0.56529680000000004</v>
      </c>
      <c r="Z1670">
        <v>-2.6150069999999999E-3</v>
      </c>
      <c r="AA1670">
        <v>0.82488349999999899</v>
      </c>
      <c r="AB1670">
        <v>27</v>
      </c>
      <c r="AC1670">
        <v>10.8581</v>
      </c>
      <c r="AD1670">
        <v>-1.1033189451809999</v>
      </c>
      <c r="AE1670">
        <v>-12.8436</v>
      </c>
      <c r="AF1670">
        <v>9.55240187108177</v>
      </c>
      <c r="AG1670">
        <v>-1.1033189451809999</v>
      </c>
      <c r="AH1670">
        <v>13.754599834450399</v>
      </c>
      <c r="AI1670">
        <v>93.769454732804505</v>
      </c>
      <c r="AJ1670">
        <v>55.220492520522299</v>
      </c>
      <c r="AK1670">
        <v>16.782571638676401</v>
      </c>
      <c r="AL1670">
        <v>80.265434691022804</v>
      </c>
      <c r="AM1670">
        <v>70.391447835948298</v>
      </c>
      <c r="AN1670">
        <v>0.99999998504801901</v>
      </c>
    </row>
    <row r="1671" spans="1:40" x14ac:dyDescent="0.25">
      <c r="A1671" t="str">
        <f>"20190312172116511"</f>
        <v>20190312172116511</v>
      </c>
      <c r="B1671" t="str">
        <f>"1552382476502234"</f>
        <v>1552382476502234</v>
      </c>
      <c r="C1671" t="s">
        <v>40</v>
      </c>
      <c r="D1671">
        <v>3.4073319999999998</v>
      </c>
      <c r="E1671">
        <v>0.60818819999999996</v>
      </c>
      <c r="F1671" t="s">
        <v>44</v>
      </c>
      <c r="G1671">
        <v>-190.13640000000001</v>
      </c>
      <c r="H1671" s="1">
        <v>-1.430104E-6</v>
      </c>
      <c r="I1671">
        <v>351.95740000000001</v>
      </c>
      <c r="J1671">
        <v>-201.3065</v>
      </c>
      <c r="K1671">
        <v>1.1032280000000001</v>
      </c>
      <c r="L1671">
        <v>365.42520000000002</v>
      </c>
      <c r="M1671">
        <v>0.96444980000000002</v>
      </c>
      <c r="N1671">
        <v>0</v>
      </c>
      <c r="O1671">
        <v>-0.26393220000000001</v>
      </c>
      <c r="P1671">
        <v>0.81031109999999995</v>
      </c>
      <c r="Q1671">
        <v>0.16224240000000001</v>
      </c>
      <c r="R1671">
        <v>-0.56309279999999995</v>
      </c>
      <c r="S1671">
        <v>2.0485690000000001</v>
      </c>
      <c r="T1671">
        <v>-0.19984840000000001</v>
      </c>
      <c r="U1671">
        <v>-2.4472659999999999</v>
      </c>
      <c r="V1671">
        <v>0.3321595</v>
      </c>
      <c r="W1671">
        <v>0.16895479999999999</v>
      </c>
      <c r="X1671">
        <v>0.92796780000000001</v>
      </c>
      <c r="Y1671">
        <v>0.56961379999999995</v>
      </c>
      <c r="Z1671">
        <v>-2.3526329999999998E-3</v>
      </c>
      <c r="AA1671">
        <v>0.82190909999999995</v>
      </c>
      <c r="AB1671">
        <v>27</v>
      </c>
      <c r="AC1671">
        <v>11.1700999999999</v>
      </c>
      <c r="AD1671">
        <v>-1.103229430104</v>
      </c>
      <c r="AE1671">
        <v>-13.4678</v>
      </c>
      <c r="AF1671">
        <v>10.001990484743599</v>
      </c>
      <c r="AG1671">
        <v>-1.103229430104</v>
      </c>
      <c r="AH1671">
        <v>14.2721114856867</v>
      </c>
      <c r="AI1671">
        <v>93.622124722803605</v>
      </c>
      <c r="AJ1671">
        <v>54.976973418721201</v>
      </c>
      <c r="AK1671">
        <v>17.4628203647699</v>
      </c>
      <c r="AL1671">
        <v>80.272944998732598</v>
      </c>
      <c r="AM1671">
        <v>70.305531788176694</v>
      </c>
      <c r="AN1671">
        <v>0.99999994786006297</v>
      </c>
    </row>
    <row r="1672" spans="1:40" x14ac:dyDescent="0.25">
      <c r="A1672" t="str">
        <f>"20190312172116524"</f>
        <v>20190312172116524</v>
      </c>
      <c r="B1672" t="str">
        <f>"1552382476512971"</f>
        <v>1552382476512971</v>
      </c>
      <c r="C1672" t="s">
        <v>40</v>
      </c>
      <c r="D1672">
        <v>3.408417</v>
      </c>
      <c r="E1672">
        <v>0.60864689999999999</v>
      </c>
      <c r="F1672" t="s">
        <v>44</v>
      </c>
      <c r="G1672">
        <v>-189.971</v>
      </c>
      <c r="H1672" s="1">
        <v>-1.2096870000000001E-6</v>
      </c>
      <c r="I1672">
        <v>351.6395</v>
      </c>
      <c r="J1672">
        <v>-201.15280000000001</v>
      </c>
      <c r="K1672">
        <v>1.1031280000000001</v>
      </c>
      <c r="L1672">
        <v>365.37720000000002</v>
      </c>
      <c r="M1672">
        <v>0.96291709999999997</v>
      </c>
      <c r="N1672">
        <v>0</v>
      </c>
      <c r="O1672">
        <v>-0.26946979999999998</v>
      </c>
      <c r="P1672">
        <v>0.80616960000000004</v>
      </c>
      <c r="Q1672">
        <v>0.16215379999999999</v>
      </c>
      <c r="R1672">
        <v>-0.56903169999999903</v>
      </c>
      <c r="S1672">
        <v>2.0279389999999999</v>
      </c>
      <c r="T1672">
        <v>-0.19736890000000001</v>
      </c>
      <c r="U1672">
        <v>-2.466278</v>
      </c>
      <c r="V1672">
        <v>0.33368370000000003</v>
      </c>
      <c r="W1672">
        <v>0.16877049999999999</v>
      </c>
      <c r="X1672">
        <v>0.92745440000000001</v>
      </c>
      <c r="Y1672">
        <v>0.57212109999999905</v>
      </c>
      <c r="Z1672">
        <v>-2.0505229999999998E-3</v>
      </c>
      <c r="AA1672">
        <v>0.82016659999999997</v>
      </c>
      <c r="AB1672">
        <v>27</v>
      </c>
      <c r="AC1672">
        <v>11.181800000000001</v>
      </c>
      <c r="AD1672">
        <v>-1.103129209687</v>
      </c>
      <c r="AE1672">
        <v>-13.7377</v>
      </c>
      <c r="AF1672">
        <v>10.176542077664701</v>
      </c>
      <c r="AG1672">
        <v>-1.103129209687</v>
      </c>
      <c r="AH1672">
        <v>14.4144143801035</v>
      </c>
      <c r="AI1672">
        <v>93.577408478951099</v>
      </c>
      <c r="AJ1672">
        <v>54.777999756370001</v>
      </c>
      <c r="AK1672">
        <v>17.679203733004499</v>
      </c>
      <c r="AL1672">
        <v>80.283658763705603</v>
      </c>
      <c r="AM1672">
        <v>70.212055988243307</v>
      </c>
      <c r="AN1672">
        <v>0.99999997869764901</v>
      </c>
    </row>
    <row r="1673" spans="1:40" x14ac:dyDescent="0.25">
      <c r="A1673" t="str">
        <f>"20190312172116535"</f>
        <v>20190312172116535</v>
      </c>
      <c r="B1673" t="str">
        <f>"1552382476532492"</f>
        <v>1552382476532492</v>
      </c>
      <c r="C1673" t="s">
        <v>40</v>
      </c>
      <c r="D1673">
        <v>3.4133140000000002</v>
      </c>
      <c r="E1673">
        <v>0.60936509999999999</v>
      </c>
      <c r="F1673" t="s">
        <v>44</v>
      </c>
      <c r="G1673">
        <v>-189.77119999999999</v>
      </c>
      <c r="H1673" s="1">
        <v>-1.029499E-6</v>
      </c>
      <c r="I1673">
        <v>351.28809999999999</v>
      </c>
      <c r="J1673">
        <v>-201.00880000000001</v>
      </c>
      <c r="K1673">
        <v>1.1030359999999999</v>
      </c>
      <c r="L1673">
        <v>365.33120000000002</v>
      </c>
      <c r="M1673">
        <v>0.96142450000000002</v>
      </c>
      <c r="N1673">
        <v>0</v>
      </c>
      <c r="O1673">
        <v>-0.2747462</v>
      </c>
      <c r="P1673">
        <v>0.80212499999999998</v>
      </c>
      <c r="Q1673">
        <v>0.16202559999999999</v>
      </c>
      <c r="R1673">
        <v>-0.57475489999999996</v>
      </c>
      <c r="S1673">
        <v>2.0068969999999999</v>
      </c>
      <c r="T1673">
        <v>-0.1945133</v>
      </c>
      <c r="U1673">
        <v>-2.4843139999999999</v>
      </c>
      <c r="V1673">
        <v>0.33523180000000002</v>
      </c>
      <c r="W1673">
        <v>0.16854820000000001</v>
      </c>
      <c r="X1673">
        <v>0.92693639999999999</v>
      </c>
      <c r="Y1673">
        <v>0.5747563</v>
      </c>
      <c r="Z1673">
        <v>-1.774231E-3</v>
      </c>
      <c r="AA1673">
        <v>0.81832280000000002</v>
      </c>
      <c r="AB1673">
        <v>27</v>
      </c>
      <c r="AC1673">
        <v>11.2376</v>
      </c>
      <c r="AD1673">
        <v>-1.103037029499</v>
      </c>
      <c r="AE1673">
        <v>-14.043100000000001</v>
      </c>
      <c r="AF1673">
        <v>10.3757921154846</v>
      </c>
      <c r="AG1673">
        <v>-1.103037029499</v>
      </c>
      <c r="AH1673">
        <v>14.6087483301945</v>
      </c>
      <c r="AI1673">
        <v>93.522600786310704</v>
      </c>
      <c r="AJ1673">
        <v>54.615912112874398</v>
      </c>
      <c r="AK1673">
        <v>17.952417121021899</v>
      </c>
      <c r="AL1673">
        <v>80.296580670492304</v>
      </c>
      <c r="AM1673">
        <v>70.117189057082101</v>
      </c>
      <c r="AN1673">
        <v>0.99999997254971895</v>
      </c>
    </row>
    <row r="1674" spans="1:40" x14ac:dyDescent="0.25">
      <c r="A1674" t="str">
        <f>"20190312172116547"</f>
        <v>20190312172116547</v>
      </c>
      <c r="B1674" t="str">
        <f>"1552382476542251"</f>
        <v>1552382476542251</v>
      </c>
      <c r="C1674" t="s">
        <v>40</v>
      </c>
      <c r="D1674">
        <v>3.4287670000000001</v>
      </c>
      <c r="E1674">
        <v>0.60951469999999996</v>
      </c>
      <c r="F1674" t="s">
        <v>44</v>
      </c>
      <c r="G1674">
        <v>-189.71780000000001</v>
      </c>
      <c r="H1674" s="1">
        <v>-9.247645E-7</v>
      </c>
      <c r="I1674">
        <v>351.09859999999998</v>
      </c>
      <c r="J1674">
        <v>-200.88140000000001</v>
      </c>
      <c r="K1674">
        <v>1.102948</v>
      </c>
      <c r="L1674">
        <v>365.28960000000001</v>
      </c>
      <c r="M1674">
        <v>0.96005770000000001</v>
      </c>
      <c r="N1674">
        <v>0</v>
      </c>
      <c r="O1674">
        <v>-0.27948420000000002</v>
      </c>
      <c r="P1674">
        <v>0.79821229999999999</v>
      </c>
      <c r="Q1674">
        <v>0.1619381</v>
      </c>
      <c r="R1674">
        <v>-0.58020130000000003</v>
      </c>
      <c r="S1674">
        <v>1.9857180000000001</v>
      </c>
      <c r="T1674">
        <v>-0.19398889999999999</v>
      </c>
      <c r="U1674">
        <v>-2.5030519999999998</v>
      </c>
      <c r="V1674">
        <v>0.33700089999999999</v>
      </c>
      <c r="W1674">
        <v>0.16836960000000001</v>
      </c>
      <c r="X1674">
        <v>0.92632720000000002</v>
      </c>
      <c r="Y1674">
        <v>0.57795659999999904</v>
      </c>
      <c r="Z1674">
        <v>-1.5805439999999999E-3</v>
      </c>
      <c r="AA1674">
        <v>0.81606599999999996</v>
      </c>
      <c r="AB1674">
        <v>27</v>
      </c>
      <c r="AC1674">
        <v>11.163600000000001</v>
      </c>
      <c r="AD1674">
        <v>-1.1029489247644999</v>
      </c>
      <c r="AE1674">
        <v>-14.191000000000001</v>
      </c>
      <c r="AF1674">
        <v>10.466009378890099</v>
      </c>
      <c r="AG1674">
        <v>-1.1029489247644999</v>
      </c>
      <c r="AH1674">
        <v>14.6305724932062</v>
      </c>
      <c r="AI1674">
        <v>93.508621136556997</v>
      </c>
      <c r="AJ1674">
        <v>54.421888469447602</v>
      </c>
      <c r="AK1674">
        <v>18.022416600684199</v>
      </c>
      <c r="AL1674">
        <v>80.306962379676605</v>
      </c>
      <c r="AM1674">
        <v>70.008445809072597</v>
      </c>
      <c r="AN1674">
        <v>1.0000000051324001</v>
      </c>
    </row>
    <row r="1675" spans="1:40" x14ac:dyDescent="0.25">
      <c r="A1675" t="str">
        <f>"20190312172116558"</f>
        <v>20190312172116558</v>
      </c>
      <c r="B1675" t="str">
        <f>"1552382476552987"</f>
        <v>1552382476552987</v>
      </c>
      <c r="C1675" t="s">
        <v>40</v>
      </c>
      <c r="D1675">
        <v>3.4202129999999999</v>
      </c>
      <c r="E1675">
        <v>0.60947299999999904</v>
      </c>
      <c r="F1675" t="s">
        <v>44</v>
      </c>
      <c r="G1675">
        <v>-189.7208</v>
      </c>
      <c r="H1675" s="1">
        <v>-8.7475209999999996E-7</v>
      </c>
      <c r="I1675">
        <v>351.01479999999998</v>
      </c>
      <c r="J1675">
        <v>-200.74889999999999</v>
      </c>
      <c r="K1675">
        <v>1.102859</v>
      </c>
      <c r="L1675">
        <v>365.24579999999997</v>
      </c>
      <c r="M1675">
        <v>0.95859939999999999</v>
      </c>
      <c r="N1675">
        <v>0</v>
      </c>
      <c r="O1675">
        <v>-0.2844449</v>
      </c>
      <c r="P1675">
        <v>0.79442049999999997</v>
      </c>
      <c r="Q1675">
        <v>0.16147329999999999</v>
      </c>
      <c r="R1675">
        <v>-0.58551059999999999</v>
      </c>
      <c r="S1675">
        <v>1.9681090000000001</v>
      </c>
      <c r="T1675">
        <v>-0.19449930000000001</v>
      </c>
      <c r="U1675">
        <v>-2.5172729999999999</v>
      </c>
      <c r="V1675">
        <v>0.3383912</v>
      </c>
      <c r="W1675">
        <v>0.1678192</v>
      </c>
      <c r="X1675">
        <v>0.92592010000000002</v>
      </c>
      <c r="Y1675">
        <v>0.57951919999999901</v>
      </c>
      <c r="Z1675">
        <v>-1.3161169999999999E-3</v>
      </c>
      <c r="AA1675">
        <v>0.81495759999999995</v>
      </c>
      <c r="AB1675">
        <v>27</v>
      </c>
      <c r="AC1675">
        <v>11.028099999999901</v>
      </c>
      <c r="AD1675">
        <v>-1.1028598747520999</v>
      </c>
      <c r="AE1675">
        <v>-14.2309999999999</v>
      </c>
      <c r="AF1675">
        <v>10.466603102575201</v>
      </c>
      <c r="AG1675">
        <v>-1.1028598747520999</v>
      </c>
      <c r="AH1675">
        <v>14.566111155511001</v>
      </c>
      <c r="AI1675">
        <v>93.518492318728406</v>
      </c>
      <c r="AJ1675">
        <v>54.300543634886303</v>
      </c>
      <c r="AK1675">
        <v>17.970466733083999</v>
      </c>
      <c r="AL1675">
        <v>80.338952735548304</v>
      </c>
      <c r="AM1675">
        <v>69.924421343446895</v>
      </c>
      <c r="AN1675">
        <v>0.99999995985504397</v>
      </c>
    </row>
    <row r="1676" spans="1:40" x14ac:dyDescent="0.25">
      <c r="A1676" t="str">
        <f>"20190312172116568"</f>
        <v>20190312172116568</v>
      </c>
      <c r="B1676" t="str">
        <f>"1552382476562747"</f>
        <v>1552382476562747</v>
      </c>
      <c r="C1676" t="s">
        <v>40</v>
      </c>
      <c r="D1676">
        <v>3.39276</v>
      </c>
      <c r="E1676">
        <v>0.60951610000000001</v>
      </c>
      <c r="F1676" t="s">
        <v>44</v>
      </c>
      <c r="G1676">
        <v>-189.7321</v>
      </c>
      <c r="H1676" s="1">
        <v>-8.4169950000000001E-7</v>
      </c>
      <c r="I1676">
        <v>350.96170000000001</v>
      </c>
      <c r="J1676">
        <v>-200.62889999999999</v>
      </c>
      <c r="K1676">
        <v>1.102781</v>
      </c>
      <c r="L1676">
        <v>365.20499999999998</v>
      </c>
      <c r="M1676">
        <v>0.95722819999999997</v>
      </c>
      <c r="N1676">
        <v>0</v>
      </c>
      <c r="O1676">
        <v>-0.28902480000000003</v>
      </c>
      <c r="P1676">
        <v>0.79098930000000001</v>
      </c>
      <c r="Q1676">
        <v>0.161209299999999</v>
      </c>
      <c r="R1676">
        <v>-0.59021000000000001</v>
      </c>
      <c r="S1676">
        <v>1.9513240000000001</v>
      </c>
      <c r="T1676">
        <v>-0.1953423</v>
      </c>
      <c r="U1676">
        <v>-2.5300600000000002</v>
      </c>
      <c r="V1676">
        <v>0.33946789999999999</v>
      </c>
      <c r="W1676">
        <v>0.16748260000000001</v>
      </c>
      <c r="X1676">
        <v>0.92558689999999999</v>
      </c>
      <c r="Y1676">
        <v>0.58100379999999996</v>
      </c>
      <c r="Z1676">
        <v>-1.0740979999999999E-3</v>
      </c>
      <c r="AA1676">
        <v>0.81390019999999996</v>
      </c>
      <c r="AB1676">
        <v>27</v>
      </c>
      <c r="AC1676">
        <v>10.896799999999899</v>
      </c>
      <c r="AD1676">
        <v>-1.1027818416994899</v>
      </c>
      <c r="AE1676">
        <v>-14.2432999999999</v>
      </c>
      <c r="AF1676">
        <v>10.446080319958799</v>
      </c>
      <c r="AG1676">
        <v>-1.1027818416994899</v>
      </c>
      <c r="AH1676">
        <v>14.4938856796112</v>
      </c>
      <c r="AI1676">
        <v>93.532113888693004</v>
      </c>
      <c r="AJ1676">
        <v>54.218830950617303</v>
      </c>
      <c r="AK1676">
        <v>17.8999844674528</v>
      </c>
      <c r="AL1676">
        <v>80.358515699182107</v>
      </c>
      <c r="AM1676">
        <v>69.859002035166995</v>
      </c>
      <c r="AN1676">
        <v>0.99999999294238995</v>
      </c>
    </row>
    <row r="1677" spans="1:40" x14ac:dyDescent="0.25">
      <c r="A1677" t="str">
        <f>"20190312172116580"</f>
        <v>20190312172116580</v>
      </c>
      <c r="B1677" t="str">
        <f>"1552382476572507"</f>
        <v>1552382476572507</v>
      </c>
      <c r="C1677" t="s">
        <v>40</v>
      </c>
      <c r="D1677">
        <v>3.3725079999999998</v>
      </c>
      <c r="E1677">
        <v>0.60931519999999995</v>
      </c>
      <c r="F1677" t="s">
        <v>44</v>
      </c>
      <c r="G1677">
        <v>-189.7861</v>
      </c>
      <c r="H1677" s="1">
        <v>-8.3886729999999999E-7</v>
      </c>
      <c r="I1677">
        <v>350.96960000000001</v>
      </c>
      <c r="J1677">
        <v>-200.49770000000001</v>
      </c>
      <c r="K1677">
        <v>1.102695</v>
      </c>
      <c r="L1677">
        <v>365.16019999999997</v>
      </c>
      <c r="M1677">
        <v>0.95569720000000002</v>
      </c>
      <c r="N1677">
        <v>0</v>
      </c>
      <c r="O1677">
        <v>-0.29404709999999901</v>
      </c>
      <c r="P1677">
        <v>0.78711709999999901</v>
      </c>
      <c r="Q1677">
        <v>0.16075819999999999</v>
      </c>
      <c r="R1677">
        <v>-0.59548619999999997</v>
      </c>
      <c r="S1677">
        <v>1.9361269999999999</v>
      </c>
      <c r="T1677">
        <v>-0.19691600000000001</v>
      </c>
      <c r="U1677">
        <v>-2.5419309999999999</v>
      </c>
      <c r="V1677">
        <v>0.34079969999999998</v>
      </c>
      <c r="W1677">
        <v>0.16694809999999999</v>
      </c>
      <c r="X1677">
        <v>0.92519399999999996</v>
      </c>
      <c r="Y1677">
        <v>0.58164159999999998</v>
      </c>
      <c r="Z1677">
        <v>-7.6862610000000004E-4</v>
      </c>
      <c r="AA1677">
        <v>0.81344490000000003</v>
      </c>
      <c r="AB1677">
        <v>27</v>
      </c>
      <c r="AC1677">
        <v>10.711600000000001</v>
      </c>
      <c r="AD1677">
        <v>-1.1026958388673</v>
      </c>
      <c r="AE1677">
        <v>-14.1905999999999</v>
      </c>
      <c r="AF1677">
        <v>10.373233503805301</v>
      </c>
      <c r="AG1677">
        <v>-1.1026958388673</v>
      </c>
      <c r="AH1677">
        <v>14.3558215802351</v>
      </c>
      <c r="AI1677">
        <v>93.562585956546997</v>
      </c>
      <c r="AJ1677">
        <v>54.148866923327397</v>
      </c>
      <c r="AK1677">
        <v>17.745690312891998</v>
      </c>
      <c r="AL1677">
        <v>80.389577902270901</v>
      </c>
      <c r="AM1677">
        <v>69.778480287845994</v>
      </c>
      <c r="AN1677">
        <v>1.0000000206248401</v>
      </c>
    </row>
    <row r="1678" spans="1:40" x14ac:dyDescent="0.25">
      <c r="A1678" t="str">
        <f>"20190312172116590"</f>
        <v>20190312172116590</v>
      </c>
      <c r="B1678" t="str">
        <f>"1552382476582266"</f>
        <v>1552382476582266</v>
      </c>
      <c r="C1678" t="s">
        <v>40</v>
      </c>
      <c r="D1678">
        <v>3.394552</v>
      </c>
      <c r="E1678">
        <v>0.60923899999999998</v>
      </c>
      <c r="F1678" t="s">
        <v>44</v>
      </c>
      <c r="G1678">
        <v>-189.7612</v>
      </c>
      <c r="H1678" s="1">
        <v>-7.8903880000000002E-7</v>
      </c>
      <c r="I1678">
        <v>350.87950000000001</v>
      </c>
      <c r="J1678">
        <v>-200.3715</v>
      </c>
      <c r="K1678">
        <v>1.1026020000000001</v>
      </c>
      <c r="L1678">
        <v>365.1157</v>
      </c>
      <c r="M1678">
        <v>0.95416409999999996</v>
      </c>
      <c r="N1678">
        <v>0</v>
      </c>
      <c r="O1678">
        <v>-0.2989832</v>
      </c>
      <c r="P1678">
        <v>0.78333459999999999</v>
      </c>
      <c r="Q1678">
        <v>0.16030839999999999</v>
      </c>
      <c r="R1678">
        <v>-0.60057360000000004</v>
      </c>
      <c r="S1678">
        <v>1.9197850000000001</v>
      </c>
      <c r="T1678">
        <v>-0.1971726</v>
      </c>
      <c r="U1678">
        <v>-2.553528</v>
      </c>
      <c r="V1678">
        <v>0.34201179999999998</v>
      </c>
      <c r="W1678">
        <v>0.1664206</v>
      </c>
      <c r="X1678">
        <v>0.92484160000000004</v>
      </c>
      <c r="Y1678">
        <v>0.58254119999999998</v>
      </c>
      <c r="Z1678">
        <v>-4.7094189999999998E-4</v>
      </c>
      <c r="AA1678">
        <v>0.81280109999999905</v>
      </c>
      <c r="AB1678">
        <v>27</v>
      </c>
      <c r="AC1678">
        <v>10.610299999999899</v>
      </c>
      <c r="AD1678">
        <v>-1.1026027890387999</v>
      </c>
      <c r="AE1678">
        <v>-14.236199999999901</v>
      </c>
      <c r="AF1678">
        <v>10.3723061021717</v>
      </c>
      <c r="AG1678">
        <v>-1.1026027890387999</v>
      </c>
      <c r="AH1678">
        <v>14.326396966524699</v>
      </c>
      <c r="AI1678">
        <v>93.567184810472696</v>
      </c>
      <c r="AJ1678">
        <v>54.095475500979198</v>
      </c>
      <c r="AK1678">
        <v>17.721346360533499</v>
      </c>
      <c r="AL1678">
        <v>80.420229426769893</v>
      </c>
      <c r="AM1678">
        <v>69.705313241612998</v>
      </c>
      <c r="AN1678">
        <v>0.99999993626707795</v>
      </c>
    </row>
    <row r="1679" spans="1:40" x14ac:dyDescent="0.25">
      <c r="A1679" t="str">
        <f>"20190312172116601"</f>
        <v>20190312172116601</v>
      </c>
      <c r="B1679" t="str">
        <f>"1552382476593003"</f>
        <v>1552382476593003</v>
      </c>
      <c r="C1679" t="s">
        <v>40</v>
      </c>
      <c r="D1679">
        <v>3.3989799999999999</v>
      </c>
      <c r="E1679">
        <v>0.60921859999999906</v>
      </c>
      <c r="F1679" t="s">
        <v>44</v>
      </c>
      <c r="G1679">
        <v>-189.8552</v>
      </c>
      <c r="H1679" s="1">
        <v>-8.155773E-7</v>
      </c>
      <c r="I1679">
        <v>350.94650000000001</v>
      </c>
      <c r="J1679">
        <v>-200.24879999999999</v>
      </c>
      <c r="K1679">
        <v>1.102525</v>
      </c>
      <c r="L1679">
        <v>365.07220000000001</v>
      </c>
      <c r="M1679">
        <v>0.95264409999999999</v>
      </c>
      <c r="N1679">
        <v>0</v>
      </c>
      <c r="O1679">
        <v>-0.30379089999999997</v>
      </c>
      <c r="P1679">
        <v>0.77965130000000005</v>
      </c>
      <c r="Q1679">
        <v>0.16041359999999999</v>
      </c>
      <c r="R1679">
        <v>-0.60531979999999996</v>
      </c>
      <c r="S1679">
        <v>1.903885</v>
      </c>
      <c r="T1679">
        <v>-0.19961680000000001</v>
      </c>
      <c r="U1679">
        <v>-2.5652159999999999</v>
      </c>
      <c r="V1679">
        <v>0.34300750000000002</v>
      </c>
      <c r="W1679">
        <v>0.1664525</v>
      </c>
      <c r="X1679">
        <v>0.92446709999999999</v>
      </c>
      <c r="Y1679">
        <v>0.58345689999999995</v>
      </c>
      <c r="Z1679">
        <v>-1.8309430000000001E-4</v>
      </c>
      <c r="AA1679">
        <v>0.81214410000000004</v>
      </c>
      <c r="AB1679">
        <v>27</v>
      </c>
      <c r="AC1679">
        <v>10.3935999999999</v>
      </c>
      <c r="AD1679">
        <v>-1.1025258155772999</v>
      </c>
      <c r="AE1679">
        <v>-14.125699999999901</v>
      </c>
      <c r="AF1679">
        <v>10.259663556440699</v>
      </c>
      <c r="AG1679">
        <v>-1.1025258155772999</v>
      </c>
      <c r="AH1679">
        <v>14.138063370307901</v>
      </c>
      <c r="AI1679">
        <v>93.611454990847804</v>
      </c>
      <c r="AJ1679">
        <v>54.032481394701499</v>
      </c>
      <c r="AK1679">
        <v>17.503173864422799</v>
      </c>
      <c r="AL1679">
        <v>80.4183764483262</v>
      </c>
      <c r="AM1679">
        <v>69.643500642618704</v>
      </c>
      <c r="AN1679">
        <v>0.99999999939745499</v>
      </c>
    </row>
    <row r="1680" spans="1:40" x14ac:dyDescent="0.25">
      <c r="A1680" t="str">
        <f>"20190312172116611"</f>
        <v>20190312172116611</v>
      </c>
      <c r="B1680" t="str">
        <f>"1552382476602763"</f>
        <v>1552382476602763</v>
      </c>
      <c r="C1680" t="s">
        <v>40</v>
      </c>
      <c r="D1680">
        <v>3.40611</v>
      </c>
      <c r="E1680">
        <v>0.6092436</v>
      </c>
      <c r="F1680" t="s">
        <v>44</v>
      </c>
      <c r="G1680">
        <v>-189.8092</v>
      </c>
      <c r="H1680" s="1">
        <v>-7.4886359999999897E-7</v>
      </c>
      <c r="I1680">
        <v>350.8229</v>
      </c>
      <c r="J1680">
        <v>-200.124</v>
      </c>
      <c r="K1680">
        <v>1.1024499999999999</v>
      </c>
      <c r="L1680">
        <v>365.02670000000001</v>
      </c>
      <c r="M1680">
        <v>0.95104250000000001</v>
      </c>
      <c r="N1680">
        <v>0</v>
      </c>
      <c r="O1680">
        <v>-0.30876759999999998</v>
      </c>
      <c r="P1680">
        <v>0.77558139999999998</v>
      </c>
      <c r="Q1680">
        <v>0.16049620000000001</v>
      </c>
      <c r="R1680">
        <v>-0.61050380000000004</v>
      </c>
      <c r="S1680">
        <v>1.8880619999999999</v>
      </c>
      <c r="T1680">
        <v>-0.19939799999999999</v>
      </c>
      <c r="U1680">
        <v>-2.5770569999999999</v>
      </c>
      <c r="V1680">
        <v>0.34437780000000001</v>
      </c>
      <c r="W1680">
        <v>0.16645579999999999</v>
      </c>
      <c r="X1680">
        <v>0.92395689999999997</v>
      </c>
      <c r="Y1680">
        <v>0.58424319999999996</v>
      </c>
      <c r="Z1680">
        <v>1.279563E-4</v>
      </c>
      <c r="AA1680">
        <v>0.81157869999999999</v>
      </c>
      <c r="AB1680">
        <v>27</v>
      </c>
      <c r="AC1680">
        <v>10.3148</v>
      </c>
      <c r="AD1680">
        <v>-1.1024507488635999</v>
      </c>
      <c r="AE1680">
        <v>-14.203799999999999</v>
      </c>
      <c r="AF1680">
        <v>10.283911976826801</v>
      </c>
      <c r="AG1680">
        <v>-1.1024507488635999</v>
      </c>
      <c r="AH1680">
        <v>14.1409935617546</v>
      </c>
      <c r="AI1680">
        <v>93.607785763295297</v>
      </c>
      <c r="AJ1680">
        <v>53.973811150796102</v>
      </c>
      <c r="AK1680">
        <v>17.5197586203229</v>
      </c>
      <c r="AL1680">
        <v>80.418184488006503</v>
      </c>
      <c r="AM1680">
        <v>69.558537500634898</v>
      </c>
      <c r="AN1680">
        <v>0.99999997777204397</v>
      </c>
    </row>
    <row r="1681" spans="1:40" x14ac:dyDescent="0.25">
      <c r="A1681" t="str">
        <f>"20190312172116622"</f>
        <v>20190312172116622</v>
      </c>
      <c r="B1681" t="str">
        <f>"1552382476612525"</f>
        <v>1552382476612525</v>
      </c>
      <c r="C1681" t="s">
        <v>40</v>
      </c>
      <c r="D1681">
        <v>3.3505950000000002</v>
      </c>
      <c r="E1681">
        <v>0.60898039999999998</v>
      </c>
      <c r="F1681" t="s">
        <v>44</v>
      </c>
      <c r="G1681">
        <v>-189.81620000000001</v>
      </c>
      <c r="H1681" s="1">
        <v>-7.0867009999999899E-7</v>
      </c>
      <c r="I1681">
        <v>350.75670000000002</v>
      </c>
      <c r="J1681">
        <v>-200.00620000000001</v>
      </c>
      <c r="K1681">
        <v>1.1023780000000001</v>
      </c>
      <c r="L1681">
        <v>364.98340000000002</v>
      </c>
      <c r="M1681">
        <v>0.94950000000000001</v>
      </c>
      <c r="N1681">
        <v>0</v>
      </c>
      <c r="O1681">
        <v>-0.31347829999999999</v>
      </c>
      <c r="P1681">
        <v>0.77171579999999995</v>
      </c>
      <c r="Q1681">
        <v>0.1604381</v>
      </c>
      <c r="R1681">
        <v>-0.61539790000000005</v>
      </c>
      <c r="S1681">
        <v>1.870789</v>
      </c>
      <c r="T1681">
        <v>-0.20008709999999999</v>
      </c>
      <c r="U1681">
        <v>-2.5899049999999999</v>
      </c>
      <c r="V1681">
        <v>0.34566940000000002</v>
      </c>
      <c r="W1681">
        <v>0.16632330000000001</v>
      </c>
      <c r="X1681">
        <v>0.92349829999999999</v>
      </c>
      <c r="Y1681">
        <v>0.58568920000000002</v>
      </c>
      <c r="Z1681">
        <v>3.9580650000000002E-4</v>
      </c>
      <c r="AA1681">
        <v>0.81053560000000002</v>
      </c>
      <c r="AB1681">
        <v>27</v>
      </c>
      <c r="AC1681">
        <v>10.1899999999999</v>
      </c>
      <c r="AD1681">
        <v>-1.1023787086701</v>
      </c>
      <c r="AE1681">
        <v>-14.2266999999999</v>
      </c>
      <c r="AF1681">
        <v>10.2740710514772</v>
      </c>
      <c r="AG1681">
        <v>-1.1023787086701</v>
      </c>
      <c r="AH1681">
        <v>14.080570673216499</v>
      </c>
      <c r="AI1681">
        <v>93.618827976538299</v>
      </c>
      <c r="AJ1681">
        <v>53.883155083447797</v>
      </c>
      <c r="AK1681">
        <v>17.465229608326801</v>
      </c>
      <c r="AL1681">
        <v>80.425883158323103</v>
      </c>
      <c r="AM1681">
        <v>69.4789082842954</v>
      </c>
      <c r="AN1681">
        <v>0.99999994216106802</v>
      </c>
    </row>
    <row r="1682" spans="1:40" x14ac:dyDescent="0.25">
      <c r="A1682" t="str">
        <f>"20190312172116633"</f>
        <v>20190312172116633</v>
      </c>
      <c r="B1682" t="str">
        <f>"1552382476622283"</f>
        <v>1552382476622283</v>
      </c>
      <c r="C1682" t="s">
        <v>40</v>
      </c>
      <c r="D1682">
        <v>3.4253589999999998</v>
      </c>
      <c r="E1682">
        <v>0.60898750000000001</v>
      </c>
      <c r="F1682" t="s">
        <v>44</v>
      </c>
      <c r="G1682">
        <v>-189.81479999999999</v>
      </c>
      <c r="H1682" s="1">
        <v>-6.777573E-7</v>
      </c>
      <c r="I1682">
        <v>350.70409999999998</v>
      </c>
      <c r="J1682">
        <v>-199.88249999999999</v>
      </c>
      <c r="K1682">
        <v>1.1023069999999999</v>
      </c>
      <c r="L1682">
        <v>364.93689999999998</v>
      </c>
      <c r="M1682">
        <v>0.94782659999999996</v>
      </c>
      <c r="N1682">
        <v>0</v>
      </c>
      <c r="O1682">
        <v>-0.31850139999999999</v>
      </c>
      <c r="P1682">
        <v>0.76766140000000005</v>
      </c>
      <c r="Q1682">
        <v>0.160669799999999</v>
      </c>
      <c r="R1682">
        <v>-0.62038839999999995</v>
      </c>
      <c r="S1682">
        <v>1.8557429999999999</v>
      </c>
      <c r="T1682">
        <v>-0.20073060000000001</v>
      </c>
      <c r="U1682">
        <v>-2.600098</v>
      </c>
      <c r="V1682">
        <v>0.34681849999999997</v>
      </c>
      <c r="W1682">
        <v>0.16648260000000001</v>
      </c>
      <c r="X1682">
        <v>0.92303869999999999</v>
      </c>
      <c r="Y1682">
        <v>0.58601159999999997</v>
      </c>
      <c r="Z1682">
        <v>7.3343520000000001E-4</v>
      </c>
      <c r="AA1682">
        <v>0.81030230000000003</v>
      </c>
      <c r="AB1682">
        <v>27</v>
      </c>
      <c r="AC1682">
        <v>10.0677</v>
      </c>
      <c r="AD1682">
        <v>-1.1023076777573</v>
      </c>
      <c r="AE1682">
        <v>-14.2327999999999</v>
      </c>
      <c r="AF1682">
        <v>10.243630873366</v>
      </c>
      <c r="AG1682">
        <v>-1.1023076777573</v>
      </c>
      <c r="AH1682">
        <v>14.0208251259074</v>
      </c>
      <c r="AI1682">
        <v>93.632354791796999</v>
      </c>
      <c r="AJ1682">
        <v>53.848093112420599</v>
      </c>
      <c r="AK1682">
        <v>17.399154947798401</v>
      </c>
      <c r="AL1682">
        <v>80.416627300828793</v>
      </c>
      <c r="AM1682">
        <v>69.4070131092937</v>
      </c>
      <c r="AN1682">
        <v>0.999999984871349</v>
      </c>
    </row>
    <row r="1683" spans="1:40" x14ac:dyDescent="0.25">
      <c r="A1683" t="str">
        <f>"20190312172116644"</f>
        <v>20190312172116644</v>
      </c>
      <c r="B1683" t="str">
        <f>"1552382476642779"</f>
        <v>1552382476642779</v>
      </c>
      <c r="C1683" t="s">
        <v>40</v>
      </c>
      <c r="D1683">
        <v>3.4273660000000001</v>
      </c>
      <c r="E1683">
        <v>0.60866830000000005</v>
      </c>
      <c r="F1683" t="s">
        <v>44</v>
      </c>
      <c r="G1683">
        <v>-189.81309999999999</v>
      </c>
      <c r="H1683" s="1">
        <v>-6.3657830000000003E-7</v>
      </c>
      <c r="I1683">
        <v>350.63420000000002</v>
      </c>
      <c r="J1683">
        <v>-199.7561</v>
      </c>
      <c r="K1683">
        <v>1.102233</v>
      </c>
      <c r="L1683">
        <v>364.88869999999997</v>
      </c>
      <c r="M1683">
        <v>0.94607589999999997</v>
      </c>
      <c r="N1683">
        <v>0</v>
      </c>
      <c r="O1683">
        <v>-0.3236639</v>
      </c>
      <c r="P1683">
        <v>0.76342650000000001</v>
      </c>
      <c r="Q1683">
        <v>0.16052720000000001</v>
      </c>
      <c r="R1683">
        <v>-0.62562839999999997</v>
      </c>
      <c r="S1683">
        <v>1.8390500000000001</v>
      </c>
      <c r="T1683">
        <v>-0.20132259999999999</v>
      </c>
      <c r="U1683">
        <v>-2.6122130000000001</v>
      </c>
      <c r="V1683">
        <v>0.34812419999999999</v>
      </c>
      <c r="W1683">
        <v>0.16626489999999999</v>
      </c>
      <c r="X1683">
        <v>0.92258629999999997</v>
      </c>
      <c r="Y1683">
        <v>0.58683019999999997</v>
      </c>
      <c r="Z1683">
        <v>1.0630259999999999E-3</v>
      </c>
      <c r="AA1683">
        <v>0.80970929999999997</v>
      </c>
      <c r="AB1683">
        <v>27</v>
      </c>
      <c r="AC1683">
        <v>9.9430000000000103</v>
      </c>
      <c r="AD1683">
        <v>-1.1022336365783001</v>
      </c>
      <c r="AE1683">
        <v>-14.254499999999901</v>
      </c>
      <c r="AF1683">
        <v>10.227446862661299</v>
      </c>
      <c r="AG1683">
        <v>-1.1022336365783001</v>
      </c>
      <c r="AH1683">
        <v>13.965603947725601</v>
      </c>
      <c r="AI1683">
        <v>93.643437788243801</v>
      </c>
      <c r="AJ1683">
        <v>53.783520107254297</v>
      </c>
      <c r="AK1683">
        <v>17.345134244014801</v>
      </c>
      <c r="AL1683">
        <v>80.429276828843101</v>
      </c>
      <c r="AM1683">
        <v>69.326748037421495</v>
      </c>
      <c r="AN1683">
        <v>0.99999997827266895</v>
      </c>
    </row>
    <row r="1684" spans="1:40" x14ac:dyDescent="0.25">
      <c r="A1684" t="str">
        <f>"20190312172116655"</f>
        <v>20190312172116655</v>
      </c>
      <c r="B1684" t="str">
        <f>"1552382476652539"</f>
        <v>1552382476652539</v>
      </c>
      <c r="C1684" t="s">
        <v>40</v>
      </c>
      <c r="D1684">
        <v>3.48081</v>
      </c>
      <c r="E1684">
        <v>0.60851189999999999</v>
      </c>
      <c r="F1684" t="s">
        <v>44</v>
      </c>
      <c r="G1684">
        <v>-189.96729999999999</v>
      </c>
      <c r="H1684" s="1">
        <v>-7.1535029999999999E-7</v>
      </c>
      <c r="I1684">
        <v>350.80349999999999</v>
      </c>
      <c r="J1684">
        <v>-199.62219999999999</v>
      </c>
      <c r="K1684">
        <v>1.1021529999999999</v>
      </c>
      <c r="L1684">
        <v>364.83670000000001</v>
      </c>
      <c r="M1684">
        <v>0.94416639999999996</v>
      </c>
      <c r="N1684">
        <v>0</v>
      </c>
      <c r="O1684">
        <v>-0.32919209999999999</v>
      </c>
      <c r="P1684">
        <v>0.75870079999999995</v>
      </c>
      <c r="Q1684">
        <v>0.16049459999999999</v>
      </c>
      <c r="R1684">
        <v>-0.63135949999999996</v>
      </c>
      <c r="S1684">
        <v>1.8230740000000001</v>
      </c>
      <c r="T1684">
        <v>-0.2052804</v>
      </c>
      <c r="U1684">
        <v>-2.62323</v>
      </c>
      <c r="V1684">
        <v>0.34970499999999999</v>
      </c>
      <c r="W1684">
        <v>0.16614880000000001</v>
      </c>
      <c r="X1684">
        <v>0.92200919999999997</v>
      </c>
      <c r="Y1684">
        <v>0.58700319999999995</v>
      </c>
      <c r="Z1684">
        <v>1.4714649999999999E-3</v>
      </c>
      <c r="AA1684">
        <v>0.80958330000000001</v>
      </c>
      <c r="AB1684">
        <v>27</v>
      </c>
      <c r="AC1684">
        <v>9.6548999999999907</v>
      </c>
      <c r="AD1684">
        <v>-1.1021537153503</v>
      </c>
      <c r="AE1684">
        <v>-14.033200000000001</v>
      </c>
      <c r="AF1684">
        <v>10.0302844664403</v>
      </c>
      <c r="AG1684">
        <v>-1.1021537153503</v>
      </c>
      <c r="AH1684">
        <v>13.679432607992799</v>
      </c>
      <c r="AI1684">
        <v>93.717573402352997</v>
      </c>
      <c r="AJ1684">
        <v>53.749701738025401</v>
      </c>
      <c r="AK1684">
        <v>16.998477160221999</v>
      </c>
      <c r="AL1684">
        <v>80.436022790117903</v>
      </c>
      <c r="AM1684">
        <v>69.228974595826003</v>
      </c>
      <c r="AN1684">
        <v>0.99999998782554</v>
      </c>
    </row>
    <row r="1685" spans="1:40" x14ac:dyDescent="0.25">
      <c r="A1685" t="str">
        <f>"20190312172116667"</f>
        <v>20190312172116667</v>
      </c>
      <c r="B1685" t="str">
        <f>"1552382476662300"</f>
        <v>1552382476662300</v>
      </c>
      <c r="C1685" t="s">
        <v>40</v>
      </c>
      <c r="D1685">
        <v>3.425414</v>
      </c>
      <c r="E1685">
        <v>0.60830249999999997</v>
      </c>
      <c r="F1685" t="s">
        <v>44</v>
      </c>
      <c r="G1685">
        <v>-190.03200000000001</v>
      </c>
      <c r="H1685" s="1">
        <v>-7.3220899999999999E-7</v>
      </c>
      <c r="I1685">
        <v>350.82530000000003</v>
      </c>
      <c r="J1685">
        <v>-199.5043</v>
      </c>
      <c r="K1685">
        <v>1.102088</v>
      </c>
      <c r="L1685">
        <v>364.7901</v>
      </c>
      <c r="M1685">
        <v>0.94243690000000002</v>
      </c>
      <c r="N1685">
        <v>0</v>
      </c>
      <c r="O1685">
        <v>-0.33411020000000002</v>
      </c>
      <c r="P1685">
        <v>0.75440410000000002</v>
      </c>
      <c r="Q1685">
        <v>0.1605703</v>
      </c>
      <c r="R1685">
        <v>-0.63646819999999904</v>
      </c>
      <c r="S1685">
        <v>1.8043210000000001</v>
      </c>
      <c r="T1685">
        <v>-0.2073614</v>
      </c>
      <c r="U1685">
        <v>-2.636139</v>
      </c>
      <c r="V1685">
        <v>0.3511592</v>
      </c>
      <c r="W1685">
        <v>0.1661502</v>
      </c>
      <c r="X1685">
        <v>0.9214561</v>
      </c>
      <c r="Y1685">
        <v>0.58854659999999903</v>
      </c>
      <c r="Z1685">
        <v>1.777245E-3</v>
      </c>
      <c r="AA1685">
        <v>0.8084614</v>
      </c>
      <c r="AB1685">
        <v>27</v>
      </c>
      <c r="AC1685">
        <v>9.47229999999999</v>
      </c>
      <c r="AD1685">
        <v>-1.1020887322090001</v>
      </c>
      <c r="AE1685">
        <v>-13.964799999999901</v>
      </c>
      <c r="AF1685">
        <v>9.9546030852461396</v>
      </c>
      <c r="AG1685">
        <v>-1.1020887322090001</v>
      </c>
      <c r="AH1685">
        <v>13.536330367144901</v>
      </c>
      <c r="AI1685">
        <v>93.752682671454494</v>
      </c>
      <c r="AJ1685">
        <v>53.669275761446499</v>
      </c>
      <c r="AK1685">
        <v>16.838674590565098</v>
      </c>
      <c r="AL1685">
        <v>80.435941644640707</v>
      </c>
      <c r="AM1685">
        <v>69.138575408945997</v>
      </c>
      <c r="AN1685">
        <v>1.0000000084659399</v>
      </c>
    </row>
    <row r="1686" spans="1:40" x14ac:dyDescent="0.25">
      <c r="A1686" t="str">
        <f>"20190312172116677"</f>
        <v>20190312172116677</v>
      </c>
      <c r="B1686" t="str">
        <f>"1552382476673037"</f>
        <v>1552382476673037</v>
      </c>
      <c r="C1686" t="s">
        <v>40</v>
      </c>
      <c r="D1686">
        <v>3.400773</v>
      </c>
      <c r="E1686">
        <v>0.6080044</v>
      </c>
      <c r="F1686" t="s">
        <v>44</v>
      </c>
      <c r="G1686">
        <v>-190.0291</v>
      </c>
      <c r="H1686" s="1">
        <v>-6.9617059999999997E-7</v>
      </c>
      <c r="I1686">
        <v>350.76569999999998</v>
      </c>
      <c r="J1686">
        <v>-199.3723</v>
      </c>
      <c r="K1686">
        <v>1.1020190000000001</v>
      </c>
      <c r="L1686">
        <v>364.73719999999997</v>
      </c>
      <c r="M1686">
        <v>0.94045730000000005</v>
      </c>
      <c r="N1686">
        <v>0</v>
      </c>
      <c r="O1686">
        <v>-0.33964169999999999</v>
      </c>
      <c r="P1686">
        <v>0.74973990000000001</v>
      </c>
      <c r="Q1686">
        <v>0.16015889999999999</v>
      </c>
      <c r="R1686">
        <v>-0.64205900000000005</v>
      </c>
      <c r="S1686">
        <v>1.7881009999999999</v>
      </c>
      <c r="T1686">
        <v>-0.20798050000000001</v>
      </c>
      <c r="U1686">
        <v>-2.6466059999999998</v>
      </c>
      <c r="V1686">
        <v>0.35258820000000002</v>
      </c>
      <c r="W1686">
        <v>0.16566159999999999</v>
      </c>
      <c r="X1686">
        <v>0.92099830000000005</v>
      </c>
      <c r="Y1686">
        <v>0.58868799999999999</v>
      </c>
      <c r="Z1686">
        <v>2.1786449999999999E-3</v>
      </c>
      <c r="AA1686">
        <v>0.8083574</v>
      </c>
      <c r="AB1686">
        <v>27</v>
      </c>
      <c r="AC1686">
        <v>9.3431999999999906</v>
      </c>
      <c r="AD1686">
        <v>-1.1020196961705999</v>
      </c>
      <c r="AE1686">
        <v>-13.971499999999899</v>
      </c>
      <c r="AF1686">
        <v>9.9245087474072697</v>
      </c>
      <c r="AG1686">
        <v>-1.1020196961705999</v>
      </c>
      <c r="AH1686">
        <v>13.475496393944599</v>
      </c>
      <c r="AI1686">
        <v>93.767390474754094</v>
      </c>
      <c r="AJ1686">
        <v>53.628889819073798</v>
      </c>
      <c r="AK1686">
        <v>16.771980334812099</v>
      </c>
      <c r="AL1686">
        <v>80.4643300472855</v>
      </c>
      <c r="AM1686">
        <v>69.051523549450096</v>
      </c>
      <c r="AN1686">
        <v>1.0000000365483399</v>
      </c>
    </row>
    <row r="1687" spans="1:40" x14ac:dyDescent="0.25">
      <c r="A1687" t="str">
        <f>"20190312172116689"</f>
        <v>20190312172116689</v>
      </c>
      <c r="B1687" t="str">
        <f>"1552382476682795"</f>
        <v>1552382476682795</v>
      </c>
      <c r="C1687" t="s">
        <v>40</v>
      </c>
      <c r="D1687">
        <v>3.3825280000000002</v>
      </c>
      <c r="E1687">
        <v>0.60771819999999999</v>
      </c>
      <c r="F1687" t="s">
        <v>44</v>
      </c>
      <c r="G1687">
        <v>-190.11670000000001</v>
      </c>
      <c r="H1687" s="1">
        <v>-7.6260369999999999E-7</v>
      </c>
      <c r="I1687">
        <v>350.83859999999999</v>
      </c>
      <c r="J1687">
        <v>-199.24080000000001</v>
      </c>
      <c r="K1687">
        <v>1.10195</v>
      </c>
      <c r="L1687">
        <v>364.6832</v>
      </c>
      <c r="M1687">
        <v>0.93841920000000001</v>
      </c>
      <c r="N1687">
        <v>0</v>
      </c>
      <c r="O1687">
        <v>-0.34523199999999998</v>
      </c>
      <c r="P1687">
        <v>0.74479949999999995</v>
      </c>
      <c r="Q1687">
        <v>0.16011249999999999</v>
      </c>
      <c r="R1687">
        <v>-0.64779439999999999</v>
      </c>
      <c r="S1687">
        <v>1.770111</v>
      </c>
      <c r="T1687">
        <v>-0.2107569</v>
      </c>
      <c r="U1687">
        <v>-2.6580509999999999</v>
      </c>
      <c r="V1687">
        <v>0.35420230000000003</v>
      </c>
      <c r="W1687">
        <v>0.16553509999999999</v>
      </c>
      <c r="X1687">
        <v>0.92040149999999998</v>
      </c>
      <c r="Y1687">
        <v>0.58926859999999903</v>
      </c>
      <c r="Z1687">
        <v>2.5957670000000001E-3</v>
      </c>
      <c r="AA1687">
        <v>0.80793300000000001</v>
      </c>
      <c r="AB1687">
        <v>27</v>
      </c>
      <c r="AC1687">
        <v>9.1241000000000003</v>
      </c>
      <c r="AD1687">
        <v>-1.1019507626037</v>
      </c>
      <c r="AE1687">
        <v>-13.8446</v>
      </c>
      <c r="AF1687">
        <v>9.7997299627754302</v>
      </c>
      <c r="AG1687">
        <v>-1.1019507626037</v>
      </c>
      <c r="AH1687">
        <v>13.284383598051701</v>
      </c>
      <c r="AI1687">
        <v>93.819004137368793</v>
      </c>
      <c r="AJ1687">
        <v>53.584250336948202</v>
      </c>
      <c r="AK1687">
        <v>16.544601850957498</v>
      </c>
      <c r="AL1687">
        <v>80.471679370396899</v>
      </c>
      <c r="AM1687">
        <v>68.951550570122805</v>
      </c>
      <c r="AN1687">
        <v>1.00000002992977</v>
      </c>
    </row>
    <row r="1688" spans="1:40" x14ac:dyDescent="0.25">
      <c r="A1688" t="str">
        <f>"20190312172116703"</f>
        <v>20190312172116703</v>
      </c>
      <c r="B1688" t="str">
        <f>"1552382476692556"</f>
        <v>1552382476692556</v>
      </c>
      <c r="C1688" t="s">
        <v>40</v>
      </c>
      <c r="D1688">
        <v>3.356414</v>
      </c>
      <c r="E1688">
        <v>0.60738219999999898</v>
      </c>
      <c r="F1688" t="s">
        <v>44</v>
      </c>
      <c r="G1688">
        <v>-190.12440000000001</v>
      </c>
      <c r="H1688" s="1">
        <v>-7.3092469999999903E-7</v>
      </c>
      <c r="I1688">
        <v>350.78160000000003</v>
      </c>
      <c r="J1688">
        <v>-199.0926</v>
      </c>
      <c r="K1688">
        <v>1.1018790000000001</v>
      </c>
      <c r="L1688">
        <v>364.62150000000003</v>
      </c>
      <c r="M1688">
        <v>0.93606529999999999</v>
      </c>
      <c r="N1688">
        <v>0</v>
      </c>
      <c r="O1688">
        <v>-0.35156369999999998</v>
      </c>
      <c r="P1688">
        <v>0.73934160000000004</v>
      </c>
      <c r="Q1688">
        <v>0.16002720000000001</v>
      </c>
      <c r="R1688">
        <v>-0.6540378</v>
      </c>
      <c r="S1688">
        <v>1.7510380000000001</v>
      </c>
      <c r="T1688">
        <v>-0.2116566</v>
      </c>
      <c r="U1688">
        <v>-2.6701350000000001</v>
      </c>
      <c r="V1688">
        <v>0.35575279999999998</v>
      </c>
      <c r="W1688">
        <v>0.16536579999999901</v>
      </c>
      <c r="X1688">
        <v>0.91983369999999998</v>
      </c>
      <c r="Y1688">
        <v>0.58952969999999905</v>
      </c>
      <c r="Z1688">
        <v>3.0661880000000001E-3</v>
      </c>
      <c r="AA1688">
        <v>0.80774089999999998</v>
      </c>
      <c r="AB1688">
        <v>27</v>
      </c>
      <c r="AC1688">
        <v>8.9681999999999906</v>
      </c>
      <c r="AD1688">
        <v>-1.1018797309246999</v>
      </c>
      <c r="AE1688">
        <v>-13.8399</v>
      </c>
      <c r="AF1688">
        <v>9.7594935432542602</v>
      </c>
      <c r="AG1688">
        <v>-1.1018797309246999</v>
      </c>
      <c r="AH1688">
        <v>13.2027124268955</v>
      </c>
      <c r="AI1688">
        <v>93.839537094615807</v>
      </c>
      <c r="AJ1688">
        <v>53.528051932534098</v>
      </c>
      <c r="AK1688">
        <v>16.4551957931087</v>
      </c>
      <c r="AL1688">
        <v>80.481514516071499</v>
      </c>
      <c r="AM1688">
        <v>68.855636068914507</v>
      </c>
      <c r="AN1688">
        <v>0.99999996908658395</v>
      </c>
    </row>
    <row r="1689" spans="1:40" x14ac:dyDescent="0.25">
      <c r="A1689" t="str">
        <f>"20190312172116715"</f>
        <v>20190312172116715</v>
      </c>
      <c r="B1689" t="str">
        <f>"1552382476702315"</f>
        <v>1552382476702315</v>
      </c>
      <c r="C1689" t="s">
        <v>40</v>
      </c>
      <c r="D1689">
        <v>3.3721369999999999</v>
      </c>
      <c r="E1689">
        <v>0.60707900000000004</v>
      </c>
      <c r="F1689" t="s">
        <v>44</v>
      </c>
      <c r="G1689">
        <v>-190.12029999999999</v>
      </c>
      <c r="H1689" s="1">
        <v>-6.8890780000000001E-7</v>
      </c>
      <c r="I1689">
        <v>350.7124</v>
      </c>
      <c r="J1689">
        <v>-198.95670000000001</v>
      </c>
      <c r="K1689">
        <v>1.10181</v>
      </c>
      <c r="L1689">
        <v>364.56360000000001</v>
      </c>
      <c r="M1689">
        <v>0.93383749999999999</v>
      </c>
      <c r="N1689">
        <v>0</v>
      </c>
      <c r="O1689">
        <v>-0.3574389</v>
      </c>
      <c r="P1689">
        <v>0.73434200000000005</v>
      </c>
      <c r="Q1689">
        <v>0.15990079999999901</v>
      </c>
      <c r="R1689">
        <v>-0.65967710000000002</v>
      </c>
      <c r="S1689">
        <v>1.730499</v>
      </c>
      <c r="T1689">
        <v>-0.21252299999999999</v>
      </c>
      <c r="U1689">
        <v>-2.6826780000000001</v>
      </c>
      <c r="V1689">
        <v>0.3570295</v>
      </c>
      <c r="W1689">
        <v>0.16516789999999901</v>
      </c>
      <c r="X1689">
        <v>0.91937449999999998</v>
      </c>
      <c r="Y1689">
        <v>0.59054419999999996</v>
      </c>
      <c r="Z1689">
        <v>3.475236E-3</v>
      </c>
      <c r="AA1689">
        <v>0.80699779999999999</v>
      </c>
      <c r="AB1689">
        <v>27</v>
      </c>
      <c r="AC1689">
        <v>8.8364000000000207</v>
      </c>
      <c r="AD1689">
        <v>-1.1018106889078001</v>
      </c>
      <c r="AE1689">
        <v>-13.8512</v>
      </c>
      <c r="AF1689">
        <v>9.7334271080216102</v>
      </c>
      <c r="AG1689">
        <v>-1.1018106889078001</v>
      </c>
      <c r="AH1689">
        <v>13.144824487723</v>
      </c>
      <c r="AI1689">
        <v>93.853815992173296</v>
      </c>
      <c r="AJ1689">
        <v>53.480940111802397</v>
      </c>
      <c r="AK1689">
        <v>16.393291337446701</v>
      </c>
      <c r="AL1689">
        <v>80.493011600989107</v>
      </c>
      <c r="AM1689">
        <v>68.776838501669801</v>
      </c>
      <c r="AN1689">
        <v>0.99999998515545496</v>
      </c>
    </row>
    <row r="1690" spans="1:40" x14ac:dyDescent="0.25">
      <c r="A1690" t="str">
        <f>"20190312172116731"</f>
        <v>20190312172116731</v>
      </c>
      <c r="B1690" t="str">
        <f>"1552382476722811"</f>
        <v>1552382476722811</v>
      </c>
      <c r="C1690" t="s">
        <v>40</v>
      </c>
      <c r="D1690">
        <v>3.4047770000000002</v>
      </c>
      <c r="E1690">
        <v>0.60648740000000001</v>
      </c>
      <c r="F1690" t="s">
        <v>44</v>
      </c>
      <c r="G1690">
        <v>-190.1121</v>
      </c>
      <c r="H1690" s="1">
        <v>-6.416943E-7</v>
      </c>
      <c r="I1690">
        <v>350.63639999999998</v>
      </c>
      <c r="J1690">
        <v>-198.77250000000001</v>
      </c>
      <c r="K1690">
        <v>1.1017269999999999</v>
      </c>
      <c r="L1690">
        <v>364.48349999999999</v>
      </c>
      <c r="M1690">
        <v>0.93072319999999997</v>
      </c>
      <c r="N1690">
        <v>0</v>
      </c>
      <c r="O1690">
        <v>-0.36547000000000002</v>
      </c>
      <c r="P1690">
        <v>0.72653009999999996</v>
      </c>
      <c r="Q1690">
        <v>0.159918</v>
      </c>
      <c r="R1690">
        <v>-0.66826669999999999</v>
      </c>
      <c r="S1690">
        <v>1.711182</v>
      </c>
      <c r="T1690">
        <v>-0.2131691</v>
      </c>
      <c r="U1690">
        <v>-2.6945190000000001</v>
      </c>
      <c r="V1690">
        <v>0.3599617</v>
      </c>
      <c r="W1690">
        <v>0.16505919999999999</v>
      </c>
      <c r="X1690">
        <v>0.91825000000000001</v>
      </c>
      <c r="Y1690">
        <v>0.58933389999999997</v>
      </c>
      <c r="Z1690">
        <v>4.1414219999999996E-3</v>
      </c>
      <c r="AA1690">
        <v>0.80787900000000001</v>
      </c>
      <c r="AB1690">
        <v>27</v>
      </c>
      <c r="AC1690">
        <v>8.6604000000000099</v>
      </c>
      <c r="AD1690">
        <v>-1.1017276416943</v>
      </c>
      <c r="AE1690">
        <v>-13.847099999999999</v>
      </c>
      <c r="AF1690">
        <v>9.6795590114656491</v>
      </c>
      <c r="AG1690">
        <v>-1.1017276416943</v>
      </c>
      <c r="AH1690">
        <v>13.0629133944947</v>
      </c>
      <c r="AI1690">
        <v>93.8766561866464</v>
      </c>
      <c r="AJ1690">
        <v>53.461723594951103</v>
      </c>
      <c r="AK1690">
        <v>16.295624345356899</v>
      </c>
      <c r="AL1690">
        <v>80.499326598704698</v>
      </c>
      <c r="AM1690">
        <v>68.594404111274201</v>
      </c>
      <c r="AN1690">
        <v>1.0000000137357601</v>
      </c>
    </row>
    <row r="1691" spans="1:40" x14ac:dyDescent="0.25">
      <c r="A1691" t="str">
        <f>"20190312172116742"</f>
        <v>20190312172116742</v>
      </c>
      <c r="B1691" t="str">
        <f>"1552382476732572"</f>
        <v>1552382476732572</v>
      </c>
      <c r="C1691" t="s">
        <v>40</v>
      </c>
      <c r="D1691">
        <v>3.3623569999999998</v>
      </c>
      <c r="E1691">
        <v>0.60613539999999999</v>
      </c>
      <c r="F1691" t="s">
        <v>44</v>
      </c>
      <c r="G1691">
        <v>-190.14189999999999</v>
      </c>
      <c r="H1691" s="1">
        <v>-6.1451809999999896E-7</v>
      </c>
      <c r="I1691">
        <v>350.57709999999997</v>
      </c>
      <c r="J1691">
        <v>-198.65</v>
      </c>
      <c r="K1691">
        <v>1.101674</v>
      </c>
      <c r="L1691">
        <v>364.42939999999999</v>
      </c>
      <c r="M1691">
        <v>0.92859630000000004</v>
      </c>
      <c r="N1691">
        <v>0</v>
      </c>
      <c r="O1691">
        <v>-0.37084050000000002</v>
      </c>
      <c r="P1691">
        <v>0.72179199999999999</v>
      </c>
      <c r="Q1691">
        <v>0.15986819999999999</v>
      </c>
      <c r="R1691">
        <v>-0.67339309999999997</v>
      </c>
      <c r="S1691">
        <v>1.6826479999999999</v>
      </c>
      <c r="T1691">
        <v>-0.21479619999999999</v>
      </c>
      <c r="U1691">
        <v>-2.7112430000000001</v>
      </c>
      <c r="V1691">
        <v>0.36117690000000002</v>
      </c>
      <c r="W1691">
        <v>0.16494539999999999</v>
      </c>
      <c r="X1691">
        <v>0.91779310000000003</v>
      </c>
      <c r="Y1691">
        <v>0.59302339999999998</v>
      </c>
      <c r="Z1691">
        <v>4.4239179999999998E-3</v>
      </c>
      <c r="AA1691">
        <v>0.80517309999999997</v>
      </c>
      <c r="AB1691">
        <v>27</v>
      </c>
      <c r="AC1691">
        <v>8.5081000000000095</v>
      </c>
      <c r="AD1691">
        <v>-1.1016746145181</v>
      </c>
      <c r="AE1691">
        <v>-13.8523</v>
      </c>
      <c r="AF1691">
        <v>9.6645657483223903</v>
      </c>
      <c r="AG1691">
        <v>-1.1016746145181</v>
      </c>
      <c r="AH1691">
        <v>12.9791908748987</v>
      </c>
      <c r="AI1691">
        <v>93.8946559893499</v>
      </c>
      <c r="AJ1691">
        <v>53.3278913586987</v>
      </c>
      <c r="AK1691">
        <v>16.219645921750999</v>
      </c>
      <c r="AL1691">
        <v>80.505936921458201</v>
      </c>
      <c r="AM1691">
        <v>68.518993829493496</v>
      </c>
      <c r="AN1691">
        <v>0.99999995624118898</v>
      </c>
    </row>
    <row r="1692" spans="1:40" x14ac:dyDescent="0.25">
      <c r="A1692" t="str">
        <f>"20190312172116753"</f>
        <v>20190312172116753</v>
      </c>
      <c r="B1692" t="str">
        <f>"1552382476742331"</f>
        <v>1552382476742331</v>
      </c>
      <c r="C1692" t="s">
        <v>40</v>
      </c>
      <c r="D1692">
        <v>3.362425</v>
      </c>
      <c r="E1692">
        <v>0.60578969999999999</v>
      </c>
      <c r="F1692" t="s">
        <v>44</v>
      </c>
      <c r="G1692">
        <v>-190.14420000000001</v>
      </c>
      <c r="H1692" s="1">
        <v>-5.8999929999999996E-7</v>
      </c>
      <c r="I1692">
        <v>350.53460000000001</v>
      </c>
      <c r="J1692">
        <v>-198.5249</v>
      </c>
      <c r="K1692">
        <v>1.1016220000000001</v>
      </c>
      <c r="L1692">
        <v>364.37279999999998</v>
      </c>
      <c r="M1692">
        <v>0.9263633</v>
      </c>
      <c r="N1692">
        <v>0</v>
      </c>
      <c r="O1692">
        <v>-0.37638319999999997</v>
      </c>
      <c r="P1692">
        <v>0.71695209999999998</v>
      </c>
      <c r="Q1692">
        <v>0.1598386</v>
      </c>
      <c r="R1692">
        <v>-0.67855100000000002</v>
      </c>
      <c r="S1692">
        <v>1.665619</v>
      </c>
      <c r="T1692">
        <v>-0.2157326</v>
      </c>
      <c r="U1692">
        <v>-2.720917</v>
      </c>
      <c r="V1692">
        <v>0.36229299999999998</v>
      </c>
      <c r="W1692">
        <v>0.16485559999999999</v>
      </c>
      <c r="X1692">
        <v>0.91736930000000005</v>
      </c>
      <c r="Y1692">
        <v>0.59315709999999999</v>
      </c>
      <c r="Z1692">
        <v>4.8623219999999997E-3</v>
      </c>
      <c r="AA1692">
        <v>0.80507209999999996</v>
      </c>
      <c r="AB1692">
        <v>27</v>
      </c>
      <c r="AC1692">
        <v>8.3806999999999903</v>
      </c>
      <c r="AD1692">
        <v>-1.1016225899993</v>
      </c>
      <c r="AE1692">
        <v>-13.838199999999899</v>
      </c>
      <c r="AF1692">
        <v>9.6211380556143808</v>
      </c>
      <c r="AG1692">
        <v>-1.1016225899993</v>
      </c>
      <c r="AH1692">
        <v>12.9133747229211</v>
      </c>
      <c r="AI1692">
        <v>93.9134524895818</v>
      </c>
      <c r="AJ1692">
        <v>53.311966563199903</v>
      </c>
      <c r="AK1692">
        <v>16.141100227387401</v>
      </c>
      <c r="AL1692">
        <v>80.511154007913504</v>
      </c>
      <c r="AM1692">
        <v>68.449647176772004</v>
      </c>
      <c r="AN1692">
        <v>1.0000000096414201</v>
      </c>
    </row>
    <row r="1693" spans="1:40" x14ac:dyDescent="0.25">
      <c r="A1693" t="str">
        <f>"20190312172116765"</f>
        <v>20190312172116765</v>
      </c>
      <c r="B1693" t="str">
        <f>"1552382476762828"</f>
        <v>1552382476762828</v>
      </c>
      <c r="C1693" t="s">
        <v>40</v>
      </c>
      <c r="D1693">
        <v>3.3575360000000001</v>
      </c>
      <c r="E1693">
        <v>0.59253250000000002</v>
      </c>
      <c r="F1693" t="s">
        <v>44</v>
      </c>
      <c r="G1693">
        <v>-190.13900000000001</v>
      </c>
      <c r="H1693" s="1">
        <v>-5.519644E-7</v>
      </c>
      <c r="I1693">
        <v>350.47269999999997</v>
      </c>
      <c r="J1693">
        <v>-198.3947</v>
      </c>
      <c r="K1693">
        <v>1.1015699999999999</v>
      </c>
      <c r="L1693">
        <v>364.31330000000003</v>
      </c>
      <c r="M1693">
        <v>0.92398849999999999</v>
      </c>
      <c r="N1693">
        <v>0</v>
      </c>
      <c r="O1693">
        <v>-0.38217600000000002</v>
      </c>
      <c r="P1693">
        <v>0.71182469999999998</v>
      </c>
      <c r="Q1693">
        <v>0.16025339999999999</v>
      </c>
      <c r="R1693">
        <v>-0.68383130000000003</v>
      </c>
      <c r="S1693">
        <v>1.6477360000000001</v>
      </c>
      <c r="T1693">
        <v>-0.21645700000000001</v>
      </c>
      <c r="U1693">
        <v>-2.7312319999999999</v>
      </c>
      <c r="V1693">
        <v>0.36339709999999997</v>
      </c>
      <c r="W1693">
        <v>0.16520879999999999</v>
      </c>
      <c r="X1693">
        <v>0.91686889999999999</v>
      </c>
      <c r="Y1693">
        <v>0.59333279999999999</v>
      </c>
      <c r="Z1693">
        <v>5.3173099999999996E-3</v>
      </c>
      <c r="AA1693">
        <v>0.80493970000000004</v>
      </c>
      <c r="AB1693">
        <v>27</v>
      </c>
      <c r="AC1693">
        <v>8.2556999999999903</v>
      </c>
      <c r="AD1693">
        <v>-1.1015705519643999</v>
      </c>
      <c r="AE1693">
        <v>-13.8406</v>
      </c>
      <c r="AF1693">
        <v>9.5895203698353892</v>
      </c>
      <c r="AG1693">
        <v>-1.1015705519643999</v>
      </c>
      <c r="AH1693">
        <v>12.858844340303101</v>
      </c>
      <c r="AI1693">
        <v>93.9284961723599</v>
      </c>
      <c r="AJ1693">
        <v>53.286158536030698</v>
      </c>
      <c r="AK1693">
        <v>16.078626694235702</v>
      </c>
      <c r="AL1693">
        <v>80.490635606561796</v>
      </c>
      <c r="AM1693">
        <v>68.3793112513804</v>
      </c>
      <c r="AN1693">
        <v>0.99999998983652905</v>
      </c>
    </row>
    <row r="1694" spans="1:40" x14ac:dyDescent="0.25">
      <c r="A1694" t="str">
        <f>"20190312172116777"</f>
        <v>20190312172116777</v>
      </c>
      <c r="B1694" t="str">
        <f>"1552382476772588"</f>
        <v>1552382476772588</v>
      </c>
      <c r="C1694" t="s">
        <v>40</v>
      </c>
      <c r="D1694">
        <v>3.3848220000000002</v>
      </c>
      <c r="E1694">
        <v>0.59250819999999904</v>
      </c>
      <c r="F1694" t="s">
        <v>44</v>
      </c>
      <c r="G1694">
        <v>-190.52459999999999</v>
      </c>
      <c r="H1694" s="1">
        <v>-1.5436210000000001E-6</v>
      </c>
      <c r="I1694">
        <v>351.97469999999998</v>
      </c>
      <c r="J1694">
        <v>-198.25980000000001</v>
      </c>
      <c r="K1694">
        <v>1.1015189999999999</v>
      </c>
      <c r="L1694">
        <v>364.25029999999998</v>
      </c>
      <c r="M1694">
        <v>0.92146539999999999</v>
      </c>
      <c r="N1694">
        <v>0</v>
      </c>
      <c r="O1694">
        <v>-0.38821919999999999</v>
      </c>
      <c r="P1694">
        <v>0.70652179999999998</v>
      </c>
      <c r="Q1694">
        <v>0.1604283</v>
      </c>
      <c r="R1694">
        <v>-0.68926799999999999</v>
      </c>
      <c r="S1694">
        <v>1.703125</v>
      </c>
      <c r="T1694">
        <v>-0.2383835</v>
      </c>
      <c r="U1694">
        <v>-2.670105</v>
      </c>
      <c r="V1694">
        <v>0.36446309999999998</v>
      </c>
      <c r="W1694">
        <v>0.16532439999999901</v>
      </c>
      <c r="X1694">
        <v>0.91642480000000004</v>
      </c>
      <c r="Y1694">
        <v>0.56766799999999995</v>
      </c>
      <c r="Z1694">
        <v>7.6163430000000002E-3</v>
      </c>
      <c r="AA1694">
        <v>0.82322229999999996</v>
      </c>
      <c r="AB1694">
        <v>27</v>
      </c>
      <c r="AC1694">
        <v>7.7352000000000096</v>
      </c>
      <c r="AD1694">
        <v>-1.101520543621</v>
      </c>
      <c r="AE1694">
        <v>-12.275599999999899</v>
      </c>
      <c r="AF1694">
        <v>8.2617496343946808</v>
      </c>
      <c r="AG1694">
        <v>-1.101520543621</v>
      </c>
      <c r="AH1694">
        <v>11.8262966132546</v>
      </c>
      <c r="AI1694">
        <v>94.366352091979607</v>
      </c>
      <c r="AJ1694">
        <v>55.062179600397798</v>
      </c>
      <c r="AK1694">
        <v>14.468280689636799</v>
      </c>
      <c r="AL1694">
        <v>80.483919591440198</v>
      </c>
      <c r="AM1694">
        <v>68.312232572520699</v>
      </c>
      <c r="AN1694">
        <v>0.99999996127600399</v>
      </c>
    </row>
    <row r="1695" spans="1:40" x14ac:dyDescent="0.25">
      <c r="A1695" t="str">
        <f>"20190312172116790"</f>
        <v>20190312172116790</v>
      </c>
      <c r="B1695" t="str">
        <f>"1552382476782347"</f>
        <v>1552382476782347</v>
      </c>
      <c r="C1695" t="s">
        <v>40</v>
      </c>
      <c r="D1695">
        <v>3.320306</v>
      </c>
      <c r="E1695">
        <v>0.59217350000000002</v>
      </c>
      <c r="F1695" t="s">
        <v>44</v>
      </c>
      <c r="G1695">
        <v>-190.49359999999999</v>
      </c>
      <c r="H1695" s="1">
        <v>-1.4709730000000001E-6</v>
      </c>
      <c r="I1695">
        <v>351.86590000000001</v>
      </c>
      <c r="J1695">
        <v>-198.12389999999999</v>
      </c>
      <c r="K1695">
        <v>1.101472</v>
      </c>
      <c r="L1695">
        <v>364.18560000000002</v>
      </c>
      <c r="M1695">
        <v>0.91885430000000001</v>
      </c>
      <c r="N1695">
        <v>0</v>
      </c>
      <c r="O1695">
        <v>-0.39435870000000001</v>
      </c>
      <c r="P1695">
        <v>0.70093229999999995</v>
      </c>
      <c r="Q1695">
        <v>0.16113910000000001</v>
      </c>
      <c r="R1695">
        <v>-0.69478649999999997</v>
      </c>
      <c r="S1695">
        <v>1.6826319999999999</v>
      </c>
      <c r="T1695">
        <v>-0.23865720000000001</v>
      </c>
      <c r="U1695">
        <v>-2.6832280000000002</v>
      </c>
      <c r="V1695">
        <v>0.36563600000000002</v>
      </c>
      <c r="W1695">
        <v>0.16597390000000001</v>
      </c>
      <c r="X1695">
        <v>0.91584010000000005</v>
      </c>
      <c r="Y1695">
        <v>0.56851090000000004</v>
      </c>
      <c r="Z1695">
        <v>8.1089879999999993E-3</v>
      </c>
      <c r="AA1695">
        <v>0.82263580000000003</v>
      </c>
      <c r="AB1695">
        <v>27</v>
      </c>
      <c r="AC1695">
        <v>7.6303000000000001</v>
      </c>
      <c r="AD1695">
        <v>-1.1014734709729901</v>
      </c>
      <c r="AE1695">
        <v>-12.319699999999999</v>
      </c>
      <c r="AF1695">
        <v>8.2639707696053399</v>
      </c>
      <c r="AG1695">
        <v>-1.1014734709729901</v>
      </c>
      <c r="AH1695">
        <v>11.8024426801777</v>
      </c>
      <c r="AI1695">
        <v>94.371682622386899</v>
      </c>
      <c r="AJ1695">
        <v>55.000614246377403</v>
      </c>
      <c r="AK1695">
        <v>14.450055706018199</v>
      </c>
      <c r="AL1695">
        <v>80.446185560688903</v>
      </c>
      <c r="AM1695">
        <v>68.236354885539797</v>
      </c>
      <c r="AN1695">
        <v>1.0000000543726</v>
      </c>
    </row>
    <row r="1696" spans="1:40" x14ac:dyDescent="0.25">
      <c r="A1696" t="str">
        <f>"20190312172116802"</f>
        <v>20190312172116802</v>
      </c>
      <c r="B1696" t="str">
        <f>"1552382476793084"</f>
        <v>1552382476793084</v>
      </c>
      <c r="C1696" t="s">
        <v>40</v>
      </c>
      <c r="D1696">
        <v>3.3696600000000001</v>
      </c>
      <c r="E1696">
        <v>0.59194559999999996</v>
      </c>
      <c r="F1696" t="s">
        <v>44</v>
      </c>
      <c r="G1696">
        <v>-190.3664</v>
      </c>
      <c r="H1696" s="1">
        <v>-1.2869070000000001E-6</v>
      </c>
      <c r="I1696">
        <v>351.6121</v>
      </c>
      <c r="J1696">
        <v>-197.97499999999999</v>
      </c>
      <c r="K1696">
        <v>1.101423</v>
      </c>
      <c r="L1696">
        <v>364.11380000000003</v>
      </c>
      <c r="M1696">
        <v>0.91592770000000001</v>
      </c>
      <c r="N1696">
        <v>0</v>
      </c>
      <c r="O1696">
        <v>-0.40110839999999998</v>
      </c>
      <c r="P1696">
        <v>0.69497909999999996</v>
      </c>
      <c r="Q1696">
        <v>0.1616281</v>
      </c>
      <c r="R1696">
        <v>-0.70062860000000005</v>
      </c>
      <c r="S1696">
        <v>1.662811</v>
      </c>
      <c r="T1696">
        <v>-0.2361007</v>
      </c>
      <c r="U1696">
        <v>-2.6951290000000001</v>
      </c>
      <c r="V1696">
        <v>0.36664279999999999</v>
      </c>
      <c r="W1696">
        <v>0.1664041</v>
      </c>
      <c r="X1696">
        <v>0.91535940000000005</v>
      </c>
      <c r="Y1696">
        <v>0.56848869999999996</v>
      </c>
      <c r="Z1696">
        <v>8.5947100000000002E-3</v>
      </c>
      <c r="AA1696">
        <v>0.82264619999999999</v>
      </c>
      <c r="AB1696">
        <v>27</v>
      </c>
      <c r="AC1696">
        <v>7.6085999999999903</v>
      </c>
      <c r="AD1696">
        <v>-1.1014242869069999</v>
      </c>
      <c r="AE1696">
        <v>-12.5017</v>
      </c>
      <c r="AF1696">
        <v>8.3522643762290905</v>
      </c>
      <c r="AG1696">
        <v>-1.1014242869069999</v>
      </c>
      <c r="AH1696">
        <v>11.9170954833703</v>
      </c>
      <c r="AI1696">
        <v>94.328228452091693</v>
      </c>
      <c r="AJ1696">
        <v>54.9747656602798</v>
      </c>
      <c r="AK1696">
        <v>14.5941981770147</v>
      </c>
      <c r="AL1696">
        <v>80.421189267980196</v>
      </c>
      <c r="AM1696">
        <v>68.171667313146799</v>
      </c>
      <c r="AN1696">
        <v>1.0000000492284999</v>
      </c>
    </row>
    <row r="1697" spans="1:40" x14ac:dyDescent="0.25">
      <c r="A1697" t="str">
        <f>"20190312172116815"</f>
        <v>20190312172116815</v>
      </c>
      <c r="B1697" t="str">
        <f>"1552382476812605"</f>
        <v>1552382476812605</v>
      </c>
      <c r="C1697" t="s">
        <v>40</v>
      </c>
      <c r="D1697">
        <v>3.3558720000000002</v>
      </c>
      <c r="E1697">
        <v>0.59067769999999897</v>
      </c>
      <c r="F1697" t="s">
        <v>44</v>
      </c>
      <c r="G1697">
        <v>-190.25309999999999</v>
      </c>
      <c r="H1697" s="1">
        <v>-1.1151820000000001E-6</v>
      </c>
      <c r="I1697">
        <v>351.37290000000002</v>
      </c>
      <c r="J1697">
        <v>-197.83420000000001</v>
      </c>
      <c r="K1697">
        <v>1.101372</v>
      </c>
      <c r="L1697">
        <v>364.04430000000002</v>
      </c>
      <c r="M1697">
        <v>0.91308199999999995</v>
      </c>
      <c r="N1697">
        <v>0</v>
      </c>
      <c r="O1697">
        <v>-0.40754439999999997</v>
      </c>
      <c r="P1697">
        <v>0.6891022</v>
      </c>
      <c r="Q1697">
        <v>0.16231860000000001</v>
      </c>
      <c r="R1697">
        <v>-0.70625190000000004</v>
      </c>
      <c r="S1697">
        <v>1.6412199999999999</v>
      </c>
      <c r="T1697">
        <v>-0.23409720000000001</v>
      </c>
      <c r="U1697">
        <v>-2.7079469999999999</v>
      </c>
      <c r="V1697">
        <v>0.36774020000000002</v>
      </c>
      <c r="W1697">
        <v>0.16703460000000001</v>
      </c>
      <c r="X1697">
        <v>0.91480419999999996</v>
      </c>
      <c r="Y1697">
        <v>0.569241</v>
      </c>
      <c r="Z1697">
        <v>9.0296449999999993E-3</v>
      </c>
      <c r="AA1697">
        <v>0.82212109999999905</v>
      </c>
      <c r="AB1697">
        <v>27</v>
      </c>
      <c r="AC1697">
        <v>7.5811000000000197</v>
      </c>
      <c r="AD1697">
        <v>-1.1013731151819901</v>
      </c>
      <c r="AE1697">
        <v>-12.6714</v>
      </c>
      <c r="AF1697">
        <v>8.4342702108917909</v>
      </c>
      <c r="AG1697">
        <v>-1.1013731151819901</v>
      </c>
      <c r="AH1697">
        <v>12.0205903365836</v>
      </c>
      <c r="AI1697">
        <v>94.289321579587806</v>
      </c>
      <c r="AJ1697">
        <v>54.944507159686502</v>
      </c>
      <c r="AK1697">
        <v>14.7256418796992</v>
      </c>
      <c r="AL1697">
        <v>80.384551697715096</v>
      </c>
      <c r="AM1697">
        <v>68.100470736239302</v>
      </c>
      <c r="AN1697">
        <v>1.00000006831541</v>
      </c>
    </row>
    <row r="1698" spans="1:40" x14ac:dyDescent="0.25">
      <c r="A1698" t="str">
        <f>"20190312172116832"</f>
        <v>20190312172116832</v>
      </c>
      <c r="B1698" t="str">
        <f>"1552382476822363"</f>
        <v>1552382476822363</v>
      </c>
      <c r="C1698" t="s">
        <v>40</v>
      </c>
      <c r="D1698">
        <v>3.351013</v>
      </c>
      <c r="E1698">
        <v>0.59000469999999905</v>
      </c>
      <c r="F1698" t="s">
        <v>44</v>
      </c>
      <c r="G1698">
        <v>-190.17959999999999</v>
      </c>
      <c r="H1698" s="1">
        <v>-1.0299990000000001E-6</v>
      </c>
      <c r="I1698">
        <v>351.26209999999998</v>
      </c>
      <c r="J1698">
        <v>-197.6619</v>
      </c>
      <c r="K1698">
        <v>1.1013219999999999</v>
      </c>
      <c r="L1698">
        <v>363.95749999999998</v>
      </c>
      <c r="M1698">
        <v>0.90949880000000005</v>
      </c>
      <c r="N1698">
        <v>0</v>
      </c>
      <c r="O1698">
        <v>-0.41547889999999998</v>
      </c>
      <c r="P1698">
        <v>0.68117539999999999</v>
      </c>
      <c r="Q1698">
        <v>0.163409</v>
      </c>
      <c r="R1698">
        <v>-0.71365140000000005</v>
      </c>
      <c r="S1698">
        <v>1.625931</v>
      </c>
      <c r="T1698">
        <v>-0.23394300000000001</v>
      </c>
      <c r="U1698">
        <v>-2.7150880000000002</v>
      </c>
      <c r="V1698">
        <v>0.36981170000000002</v>
      </c>
      <c r="W1698">
        <v>0.1680345</v>
      </c>
      <c r="X1698">
        <v>0.91378539999999997</v>
      </c>
      <c r="Y1698">
        <v>0.56646249999999998</v>
      </c>
      <c r="Z1698">
        <v>9.821303E-3</v>
      </c>
      <c r="AA1698">
        <v>0.82402900000000001</v>
      </c>
      <c r="AB1698">
        <v>27</v>
      </c>
      <c r="AC1698">
        <v>7.4823000000000004</v>
      </c>
      <c r="AD1698">
        <v>-1.101323029999</v>
      </c>
      <c r="AE1698">
        <v>-12.695399999999999</v>
      </c>
      <c r="AF1698">
        <v>8.3916410816744893</v>
      </c>
      <c r="AG1698">
        <v>-1.101323029999</v>
      </c>
      <c r="AH1698">
        <v>12.0138546287344</v>
      </c>
      <c r="AI1698">
        <v>94.297864965363502</v>
      </c>
      <c r="AJ1698">
        <v>55.065817369718097</v>
      </c>
      <c r="AK1698">
        <v>14.6957563772817</v>
      </c>
      <c r="AL1698">
        <v>80.326439861948501</v>
      </c>
      <c r="AM1698">
        <v>67.966672625548298</v>
      </c>
      <c r="AN1698">
        <v>1.0000000219501399</v>
      </c>
    </row>
    <row r="1699" spans="1:40" x14ac:dyDescent="0.25">
      <c r="A1699" t="str">
        <f>"20190312172116843"</f>
        <v>20190312172116843</v>
      </c>
      <c r="B1699" t="str">
        <f>"1552382476832124"</f>
        <v>1552382476832124</v>
      </c>
      <c r="C1699" t="s">
        <v>40</v>
      </c>
      <c r="D1699">
        <v>3.3317549999999998</v>
      </c>
      <c r="E1699">
        <v>0.58943109999999999</v>
      </c>
      <c r="F1699" t="s">
        <v>44</v>
      </c>
      <c r="G1699">
        <v>-190.02879999999999</v>
      </c>
      <c r="H1699" s="1">
        <v>-7.9358769999999997E-7</v>
      </c>
      <c r="I1699">
        <v>350.93040000000002</v>
      </c>
      <c r="J1699">
        <v>-197.52940000000001</v>
      </c>
      <c r="K1699">
        <v>1.10128</v>
      </c>
      <c r="L1699">
        <v>363.88959999999997</v>
      </c>
      <c r="M1699">
        <v>0.90667310000000001</v>
      </c>
      <c r="N1699">
        <v>0</v>
      </c>
      <c r="O1699">
        <v>-0.42160880000000001</v>
      </c>
      <c r="P1699">
        <v>0.67534969999999905</v>
      </c>
      <c r="Q1699">
        <v>0.16434979999999999</v>
      </c>
      <c r="R1699">
        <v>-0.71895220000000004</v>
      </c>
      <c r="S1699">
        <v>1.5995330000000001</v>
      </c>
      <c r="T1699">
        <v>-0.23078470000000001</v>
      </c>
      <c r="U1699">
        <v>-2.7298580000000001</v>
      </c>
      <c r="V1699">
        <v>0.37091980000000002</v>
      </c>
      <c r="W1699">
        <v>0.1689186</v>
      </c>
      <c r="X1699">
        <v>0.91317309999999996</v>
      </c>
      <c r="Y1699">
        <v>0.56879029999999997</v>
      </c>
      <c r="Z1699">
        <v>1.009931E-2</v>
      </c>
      <c r="AA1699">
        <v>0.82242059999999995</v>
      </c>
      <c r="AB1699">
        <v>27</v>
      </c>
      <c r="AC1699">
        <v>7.5006000000000101</v>
      </c>
      <c r="AD1699">
        <v>-1.1012807935877</v>
      </c>
      <c r="AE1699">
        <v>-12.9591999999999</v>
      </c>
      <c r="AF1699">
        <v>8.5420460193300602</v>
      </c>
      <c r="AG1699">
        <v>-1.1012807935877</v>
      </c>
      <c r="AH1699">
        <v>12.199476112773899</v>
      </c>
      <c r="AI1699">
        <v>94.229181175867296</v>
      </c>
      <c r="AJ1699">
        <v>55.000375393188698</v>
      </c>
      <c r="AK1699">
        <v>14.933405070807501</v>
      </c>
      <c r="AL1699">
        <v>80.275050365019894</v>
      </c>
      <c r="AM1699">
        <v>67.893609193015607</v>
      </c>
      <c r="AN1699">
        <v>1.0000000510108</v>
      </c>
    </row>
    <row r="1700" spans="1:40" x14ac:dyDescent="0.25">
      <c r="A1700" t="str">
        <f>"20190312172116854"</f>
        <v>20190312172116854</v>
      </c>
      <c r="B1700" t="str">
        <f>"1552382476852620"</f>
        <v>1552382476852620</v>
      </c>
      <c r="C1700" t="s">
        <v>40</v>
      </c>
      <c r="D1700">
        <v>3.343852</v>
      </c>
      <c r="E1700">
        <v>0.58882139999999905</v>
      </c>
      <c r="F1700" t="s">
        <v>44</v>
      </c>
      <c r="G1700">
        <v>-189.89009999999999</v>
      </c>
      <c r="H1700" s="1">
        <v>-6.3509260000000001E-7</v>
      </c>
      <c r="I1700">
        <v>350.64980000000003</v>
      </c>
      <c r="J1700">
        <v>-197.40369999999999</v>
      </c>
      <c r="K1700">
        <v>1.1012470000000001</v>
      </c>
      <c r="L1700">
        <v>363.82400000000001</v>
      </c>
      <c r="M1700">
        <v>0.90392980000000001</v>
      </c>
      <c r="N1700">
        <v>0</v>
      </c>
      <c r="O1700">
        <v>-0.42745830000000001</v>
      </c>
      <c r="P1700">
        <v>0.66948350000000001</v>
      </c>
      <c r="Q1700">
        <v>0.1654109</v>
      </c>
      <c r="R1700">
        <v>-0.72417619999999905</v>
      </c>
      <c r="S1700">
        <v>1.580856</v>
      </c>
      <c r="T1700">
        <v>-0.22789760000000001</v>
      </c>
      <c r="U1700">
        <v>-2.7398380000000002</v>
      </c>
      <c r="V1700">
        <v>0.37226589999999998</v>
      </c>
      <c r="W1700">
        <v>0.1699186</v>
      </c>
      <c r="X1700">
        <v>0.91243949999999996</v>
      </c>
      <c r="Y1700">
        <v>0.56899860000000002</v>
      </c>
      <c r="Z1700">
        <v>1.044907E-2</v>
      </c>
      <c r="AA1700">
        <v>0.82227209999999995</v>
      </c>
      <c r="AB1700">
        <v>27</v>
      </c>
      <c r="AC1700">
        <v>7.5135999999999896</v>
      </c>
      <c r="AD1700">
        <v>-1.1012476350925999</v>
      </c>
      <c r="AE1700">
        <v>-13.1741999999999</v>
      </c>
      <c r="AF1700">
        <v>8.6520112968107199</v>
      </c>
      <c r="AG1700">
        <v>-1.1012476350925999</v>
      </c>
      <c r="AH1700">
        <v>12.3592065700383</v>
      </c>
      <c r="AI1700">
        <v>94.1748893917906</v>
      </c>
      <c r="AJ1700">
        <v>55.006216656838802</v>
      </c>
      <c r="AK1700">
        <v>15.126798500502799</v>
      </c>
      <c r="AL1700">
        <v>80.216914031968798</v>
      </c>
      <c r="AM1700">
        <v>67.805047363081798</v>
      </c>
      <c r="AN1700">
        <v>1.0000000360445001</v>
      </c>
    </row>
    <row r="1701" spans="1:40" x14ac:dyDescent="0.25">
      <c r="A1701" t="str">
        <f>"20190312172116866"</f>
        <v>20190312172116866</v>
      </c>
      <c r="B1701" t="str">
        <f>"1552382476862380"</f>
        <v>1552382476862380</v>
      </c>
      <c r="C1701" t="s">
        <v>40</v>
      </c>
      <c r="D1701">
        <v>3.3302779999999998</v>
      </c>
      <c r="E1701">
        <v>0.58882139999999905</v>
      </c>
      <c r="F1701" t="s">
        <v>44</v>
      </c>
      <c r="G1701">
        <v>-189.7439</v>
      </c>
      <c r="H1701" s="1">
        <v>-4.7525459999999898E-7</v>
      </c>
      <c r="I1701">
        <v>350.34530000000001</v>
      </c>
      <c r="J1701">
        <v>-197.28899999999999</v>
      </c>
      <c r="K1701">
        <v>1.1012169999999999</v>
      </c>
      <c r="L1701">
        <v>363.76319999999998</v>
      </c>
      <c r="M1701">
        <v>0.90137259999999997</v>
      </c>
      <c r="N1701">
        <v>0</v>
      </c>
      <c r="O1701">
        <v>-0.43282419999999999</v>
      </c>
      <c r="P1701">
        <v>0.6640916</v>
      </c>
      <c r="Q1701">
        <v>0.16629389999999999</v>
      </c>
      <c r="R1701">
        <v>-0.72892299999999999</v>
      </c>
      <c r="S1701">
        <v>1.5624849999999999</v>
      </c>
      <c r="T1701">
        <v>-0.22463569999999999</v>
      </c>
      <c r="U1701">
        <v>-2.7494200000000002</v>
      </c>
      <c r="V1701">
        <v>0.37346750000000001</v>
      </c>
      <c r="W1701">
        <v>0.1707475</v>
      </c>
      <c r="X1701">
        <v>0.91179350000000003</v>
      </c>
      <c r="Y1701">
        <v>0.56951280000000004</v>
      </c>
      <c r="Z1701">
        <v>1.0717839999999999E-2</v>
      </c>
      <c r="AA1701">
        <v>0.82191259999999999</v>
      </c>
      <c r="AB1701">
        <v>27</v>
      </c>
      <c r="AC1701">
        <v>7.5451000000000104</v>
      </c>
      <c r="AD1701">
        <v>-1.1012174752546</v>
      </c>
      <c r="AE1701">
        <v>-13.4178999999999</v>
      </c>
      <c r="AF1701">
        <v>8.7847117447822907</v>
      </c>
      <c r="AG1701">
        <v>-1.1012174752546</v>
      </c>
      <c r="AH1701">
        <v>12.5455388670599</v>
      </c>
      <c r="AI1701">
        <v>94.112637309505402</v>
      </c>
      <c r="AJ1701">
        <v>54.999292533769101</v>
      </c>
      <c r="AK1701">
        <v>15.354946624187001</v>
      </c>
      <c r="AL1701">
        <v>80.168717223564698</v>
      </c>
      <c r="AM1701">
        <v>67.726161517266604</v>
      </c>
      <c r="AN1701">
        <v>1.0000000344773701</v>
      </c>
    </row>
    <row r="1702" spans="1:40" x14ac:dyDescent="0.25">
      <c r="A1702" t="str">
        <f>"20190312172116877"</f>
        <v>20190312172116877</v>
      </c>
      <c r="B1702" t="str">
        <f>"1552382476872140"</f>
        <v>1552382476872140</v>
      </c>
      <c r="C1702" t="s">
        <v>40</v>
      </c>
      <c r="D1702">
        <v>3.3436309999999998</v>
      </c>
      <c r="E1702">
        <v>0.61217359999999998</v>
      </c>
      <c r="F1702" t="s">
        <v>44</v>
      </c>
      <c r="G1702">
        <v>-189.61590000000001</v>
      </c>
      <c r="H1702" s="1">
        <v>-3.037846E-7</v>
      </c>
      <c r="I1702">
        <v>350.02550000000002</v>
      </c>
      <c r="J1702">
        <v>-197.17179999999999</v>
      </c>
      <c r="K1702">
        <v>1.101186</v>
      </c>
      <c r="L1702">
        <v>363.7002</v>
      </c>
      <c r="M1702">
        <v>0.89871039999999902</v>
      </c>
      <c r="N1702">
        <v>0</v>
      </c>
      <c r="O1702">
        <v>-0.43832490000000002</v>
      </c>
      <c r="P1702">
        <v>0.65847029999999995</v>
      </c>
      <c r="Q1702">
        <v>0.16689679999999901</v>
      </c>
      <c r="R1702">
        <v>-0.73386809999999902</v>
      </c>
      <c r="S1702">
        <v>1.542252</v>
      </c>
      <c r="T1702">
        <v>-0.22133729999999999</v>
      </c>
      <c r="U1702">
        <v>-2.7611690000000002</v>
      </c>
      <c r="V1702">
        <v>0.37480930000000001</v>
      </c>
      <c r="W1702">
        <v>0.17129249999999999</v>
      </c>
      <c r="X1702">
        <v>0.91114039999999996</v>
      </c>
      <c r="Y1702">
        <v>0.57058750000000003</v>
      </c>
      <c r="Z1702">
        <v>1.095733E-2</v>
      </c>
      <c r="AA1702">
        <v>0.8211638</v>
      </c>
      <c r="AB1702">
        <v>27</v>
      </c>
      <c r="AC1702">
        <v>7.5558999999999799</v>
      </c>
      <c r="AD1702">
        <v>-1.1011863037845999</v>
      </c>
      <c r="AE1702">
        <v>-13.6746999999999</v>
      </c>
      <c r="AF1702">
        <v>8.9341291223302797</v>
      </c>
      <c r="AG1702">
        <v>-1.1011863037845999</v>
      </c>
      <c r="AH1702">
        <v>12.7225434806886</v>
      </c>
      <c r="AI1702">
        <v>94.0516947150373</v>
      </c>
      <c r="AJ1702">
        <v>54.922386330244201</v>
      </c>
      <c r="AK1702">
        <v>15.5850693635968</v>
      </c>
      <c r="AL1702">
        <v>80.1370235668752</v>
      </c>
      <c r="AM1702">
        <v>67.639555115476796</v>
      </c>
      <c r="AN1702">
        <v>0.99999998021744896</v>
      </c>
    </row>
    <row r="1703" spans="1:40" x14ac:dyDescent="0.25">
      <c r="A1703" t="str">
        <f>"20190312172116889"</f>
        <v>20190312172116889</v>
      </c>
      <c r="B1703" t="str">
        <f>"1552382476882876"</f>
        <v>1552382476882876</v>
      </c>
      <c r="C1703" t="s">
        <v>40</v>
      </c>
      <c r="D1703">
        <v>3.3396970000000001</v>
      </c>
      <c r="E1703">
        <v>0.61913769999999901</v>
      </c>
      <c r="F1703" t="s">
        <v>42</v>
      </c>
      <c r="G1703">
        <v>-188.7602</v>
      </c>
      <c r="H1703" s="1">
        <v>-2.9735209999999999E-6</v>
      </c>
      <c r="I1703">
        <v>346.05149999999998</v>
      </c>
      <c r="J1703">
        <v>-197.0412</v>
      </c>
      <c r="K1703">
        <v>1.1011550000000001</v>
      </c>
      <c r="L1703">
        <v>363.62869999999998</v>
      </c>
      <c r="M1703">
        <v>0.89567450000000004</v>
      </c>
      <c r="N1703">
        <v>0</v>
      </c>
      <c r="O1703">
        <v>-0.44449509999999998</v>
      </c>
      <c r="P1703">
        <v>0.65203919999999904</v>
      </c>
      <c r="Q1703">
        <v>0.1675441</v>
      </c>
      <c r="R1703">
        <v>-0.73944169999999998</v>
      </c>
      <c r="S1703">
        <v>1.378433</v>
      </c>
      <c r="T1703">
        <v>-0.18045510000000001</v>
      </c>
      <c r="U1703">
        <v>-2.8921510000000001</v>
      </c>
      <c r="V1703">
        <v>0.37639869999999997</v>
      </c>
      <c r="W1703">
        <v>0.1718741</v>
      </c>
      <c r="X1703">
        <v>0.91037539999999995</v>
      </c>
      <c r="Y1703">
        <v>0.6170831</v>
      </c>
      <c r="Z1703">
        <v>7.60861099999999E-3</v>
      </c>
      <c r="AA1703">
        <v>0.78686119999999904</v>
      </c>
      <c r="AB1703">
        <v>27</v>
      </c>
      <c r="AC1703">
        <v>8.2810000000000006</v>
      </c>
      <c r="AD1703">
        <v>-1.101157973521</v>
      </c>
      <c r="AE1703">
        <v>-17.577200000000001</v>
      </c>
      <c r="AF1703">
        <v>12.025117914713199</v>
      </c>
      <c r="AG1703">
        <v>-1.101157973521</v>
      </c>
      <c r="AH1703">
        <v>15.182753230693301</v>
      </c>
      <c r="AI1703">
        <v>93.254019689427906</v>
      </c>
      <c r="AJ1703">
        <v>51.619900977459899</v>
      </c>
      <c r="AK1703">
        <v>19.399278476519001</v>
      </c>
      <c r="AL1703">
        <v>80.103199184929096</v>
      </c>
      <c r="AM1703">
        <v>67.537137598051601</v>
      </c>
      <c r="AN1703">
        <v>1.00000002826882</v>
      </c>
    </row>
    <row r="1704" spans="1:40" x14ac:dyDescent="0.25">
      <c r="A1704" t="str">
        <f>"20190312172116901"</f>
        <v>20190312172116901</v>
      </c>
      <c r="B1704" t="str">
        <f>"1552382476892635"</f>
        <v>1552382476892635</v>
      </c>
      <c r="C1704" t="s">
        <v>40</v>
      </c>
      <c r="D1704">
        <v>3.34131</v>
      </c>
      <c r="E1704">
        <v>0.62293080000000001</v>
      </c>
      <c r="F1704" t="s">
        <v>42</v>
      </c>
      <c r="G1704">
        <v>-188.82550000000001</v>
      </c>
      <c r="H1704" s="1">
        <v>-2.5935670000000002E-6</v>
      </c>
      <c r="I1704">
        <v>345.19279999999998</v>
      </c>
      <c r="J1704">
        <v>-196.90870000000001</v>
      </c>
      <c r="K1704">
        <v>1.101124</v>
      </c>
      <c r="L1704">
        <v>363.55529999999999</v>
      </c>
      <c r="M1704">
        <v>0.89253470000000001</v>
      </c>
      <c r="N1704">
        <v>0</v>
      </c>
      <c r="O1704">
        <v>-0.45076620000000001</v>
      </c>
      <c r="P1704">
        <v>0.64551619999999998</v>
      </c>
      <c r="Q1704">
        <v>0.1686404</v>
      </c>
      <c r="R1704">
        <v>-0.74489569999999905</v>
      </c>
      <c r="S1704">
        <v>1.310654</v>
      </c>
      <c r="T1704">
        <v>-0.1756675</v>
      </c>
      <c r="U1704">
        <v>-2.941071</v>
      </c>
      <c r="V1704">
        <v>0.37783549999999999</v>
      </c>
      <c r="W1704">
        <v>0.1729069</v>
      </c>
      <c r="X1704">
        <v>0.90958430000000001</v>
      </c>
      <c r="Y1704">
        <v>0.63155850000000002</v>
      </c>
      <c r="Z1704">
        <v>7.2649719999999997E-3</v>
      </c>
      <c r="AA1704">
        <v>0.77529419999999905</v>
      </c>
      <c r="AB1704">
        <v>27</v>
      </c>
      <c r="AC1704">
        <v>8.0831999999999997</v>
      </c>
      <c r="AD1704">
        <v>-1.101126593567</v>
      </c>
      <c r="AE1704">
        <v>-18.362500000000001</v>
      </c>
      <c r="AF1704">
        <v>12.708475747262</v>
      </c>
      <c r="AG1704">
        <v>-1.101126593567</v>
      </c>
      <c r="AH1704">
        <v>15.4466865725191</v>
      </c>
      <c r="AI1704">
        <v>93.150899219975202</v>
      </c>
      <c r="AJ1704">
        <v>50.554792187500702</v>
      </c>
      <c r="AK1704">
        <v>20.032921945224299</v>
      </c>
      <c r="AL1704">
        <v>80.043124725949994</v>
      </c>
      <c r="AM1704">
        <v>67.442314170485204</v>
      </c>
      <c r="AN1704">
        <v>1.0000000299671701</v>
      </c>
    </row>
    <row r="1705" spans="1:40" x14ac:dyDescent="0.25">
      <c r="A1705" t="str">
        <f>"20190312172116915"</f>
        <v>20190312172116915</v>
      </c>
      <c r="B1705" t="str">
        <f>"1552382476902395"</f>
        <v>1552382476902395</v>
      </c>
      <c r="C1705" t="s">
        <v>40</v>
      </c>
      <c r="D1705">
        <v>3.2969279999999999</v>
      </c>
      <c r="E1705">
        <v>0.62404659999999901</v>
      </c>
      <c r="F1705" t="s">
        <v>42</v>
      </c>
      <c r="G1705">
        <v>-188.42699999999999</v>
      </c>
      <c r="H1705" s="1">
        <v>-1.9645660000000001E-6</v>
      </c>
      <c r="I1705">
        <v>343.56180000000001</v>
      </c>
      <c r="J1705">
        <v>-196.7688</v>
      </c>
      <c r="K1705">
        <v>1.1010949999999999</v>
      </c>
      <c r="L1705">
        <v>363.47590000000002</v>
      </c>
      <c r="M1705">
        <v>0.88913430000000004</v>
      </c>
      <c r="N1705">
        <v>0</v>
      </c>
      <c r="O1705">
        <v>-0.45743650000000002</v>
      </c>
      <c r="P1705">
        <v>0.63866339999999999</v>
      </c>
      <c r="Q1705">
        <v>0.16958870000000001</v>
      </c>
      <c r="R1705">
        <v>-0.75056590000000001</v>
      </c>
      <c r="S1705">
        <v>1.2607569999999999</v>
      </c>
      <c r="T1705">
        <v>-0.16367670000000001</v>
      </c>
      <c r="U1705">
        <v>-2.971924</v>
      </c>
      <c r="V1705">
        <v>0.37920939999999997</v>
      </c>
      <c r="W1705">
        <v>0.173794</v>
      </c>
      <c r="X1705">
        <v>0.90884319999999996</v>
      </c>
      <c r="Y1705">
        <v>0.63971259999999996</v>
      </c>
      <c r="Z1705">
        <v>6.8829039999999996E-3</v>
      </c>
      <c r="AA1705">
        <v>0.76858340000000003</v>
      </c>
      <c r="AB1705">
        <v>27</v>
      </c>
      <c r="AC1705">
        <v>8.3417999999999708</v>
      </c>
      <c r="AD1705">
        <v>-1.101096964566</v>
      </c>
      <c r="AE1705">
        <v>-19.914100000000001</v>
      </c>
      <c r="AF1705">
        <v>13.855762498128</v>
      </c>
      <c r="AG1705">
        <v>-1.101096964566</v>
      </c>
      <c r="AH1705">
        <v>16.485128143236899</v>
      </c>
      <c r="AI1705">
        <v>92.9270633374162</v>
      </c>
      <c r="AJ1705">
        <v>49.952923453657199</v>
      </c>
      <c r="AK1705">
        <v>21.562792463613</v>
      </c>
      <c r="AL1705">
        <v>79.991516428692194</v>
      </c>
      <c r="AM1705">
        <v>67.351953879160106</v>
      </c>
      <c r="AN1705">
        <v>1.00000004283529</v>
      </c>
    </row>
    <row r="1706" spans="1:40" x14ac:dyDescent="0.25">
      <c r="A1706" t="str">
        <f>"20190312172116928"</f>
        <v>20190312172116928</v>
      </c>
      <c r="B1706" t="str">
        <f>"1552382476922891"</f>
        <v>1552382476922891</v>
      </c>
      <c r="C1706" t="s">
        <v>40</v>
      </c>
      <c r="D1706">
        <v>3.3361779999999999</v>
      </c>
      <c r="E1706">
        <v>0.6257703</v>
      </c>
      <c r="F1706" t="s">
        <v>42</v>
      </c>
      <c r="G1706">
        <v>-188.0804</v>
      </c>
      <c r="H1706" s="1">
        <v>-1.480696E-6</v>
      </c>
      <c r="I1706">
        <v>342.29059999999998</v>
      </c>
      <c r="J1706">
        <v>-196.62870000000001</v>
      </c>
      <c r="K1706">
        <v>1.1010629999999999</v>
      </c>
      <c r="L1706">
        <v>363.39519999999999</v>
      </c>
      <c r="M1706">
        <v>0.88565090000000002</v>
      </c>
      <c r="N1706">
        <v>0</v>
      </c>
      <c r="O1706">
        <v>-0.46414490000000003</v>
      </c>
      <c r="P1706">
        <v>0.63167659999999903</v>
      </c>
      <c r="Q1706">
        <v>0.17074449999999999</v>
      </c>
      <c r="R1706">
        <v>-0.75619539999999996</v>
      </c>
      <c r="S1706">
        <v>1.22583</v>
      </c>
      <c r="T1706">
        <v>-0.15535079999999901</v>
      </c>
      <c r="U1706">
        <v>-2.9889830000000002</v>
      </c>
      <c r="V1706">
        <v>0.38057980000000002</v>
      </c>
      <c r="W1706">
        <v>0.1748885</v>
      </c>
      <c r="X1706">
        <v>0.90806010000000004</v>
      </c>
      <c r="Y1706">
        <v>0.64315599999999995</v>
      </c>
      <c r="Z1706">
        <v>6.8034180000000003E-3</v>
      </c>
      <c r="AA1706">
        <v>0.76570490000000002</v>
      </c>
      <c r="AB1706">
        <v>27</v>
      </c>
      <c r="AC1706">
        <v>8.54830000000001</v>
      </c>
      <c r="AD1706">
        <v>-1.1010644806959999</v>
      </c>
      <c r="AE1706">
        <v>-21.104600000000001</v>
      </c>
      <c r="AF1706">
        <v>14.6907208336269</v>
      </c>
      <c r="AG1706">
        <v>-1.1010644806959999</v>
      </c>
      <c r="AH1706">
        <v>17.327552839138601</v>
      </c>
      <c r="AI1706">
        <v>92.774884892322206</v>
      </c>
      <c r="AJ1706">
        <v>49.7079108940842</v>
      </c>
      <c r="AK1706">
        <v>22.743652059318698</v>
      </c>
      <c r="AL1706">
        <v>79.927831030150301</v>
      </c>
      <c r="AM1706">
        <v>67.260808299137196</v>
      </c>
      <c r="AN1706">
        <v>1.0000000584061399</v>
      </c>
    </row>
    <row r="1707" spans="1:40" x14ac:dyDescent="0.25">
      <c r="A1707" t="str">
        <f>"20190312172116942"</f>
        <v>20190312172116942</v>
      </c>
      <c r="B1707" t="str">
        <f>"1552382476932651"</f>
        <v>1552382476932651</v>
      </c>
      <c r="C1707" t="s">
        <v>40</v>
      </c>
      <c r="D1707">
        <v>3.3084730000000002</v>
      </c>
      <c r="E1707">
        <v>0.625974699999999</v>
      </c>
      <c r="F1707" t="s">
        <v>42</v>
      </c>
      <c r="G1707">
        <v>-188.30260000000001</v>
      </c>
      <c r="H1707" s="1">
        <v>-1.436056E-6</v>
      </c>
      <c r="I1707">
        <v>342.27839999999998</v>
      </c>
      <c r="J1707">
        <v>-196.4717</v>
      </c>
      <c r="K1707">
        <v>1.1010359999999999</v>
      </c>
      <c r="L1707">
        <v>363.30329999999998</v>
      </c>
      <c r="M1707">
        <v>0.88165640000000001</v>
      </c>
      <c r="N1707">
        <v>0</v>
      </c>
      <c r="O1707">
        <v>-0.47168769999999999</v>
      </c>
      <c r="P1707">
        <v>0.62286419999999998</v>
      </c>
      <c r="Q1707">
        <v>0.17275090000000001</v>
      </c>
      <c r="R1707">
        <v>-0.763019</v>
      </c>
      <c r="S1707">
        <v>1.1871799999999999</v>
      </c>
      <c r="T1707">
        <v>-0.15699460000000001</v>
      </c>
      <c r="U1707">
        <v>-3.0109249999999999</v>
      </c>
      <c r="V1707">
        <v>0.38302799999999998</v>
      </c>
      <c r="W1707">
        <v>0.17679990000000001</v>
      </c>
      <c r="X1707">
        <v>0.9066594</v>
      </c>
      <c r="Y1707">
        <v>0.64704030000000001</v>
      </c>
      <c r="Z1707">
        <v>7.1757380000000001E-3</v>
      </c>
      <c r="AA1707">
        <v>0.76242200000000004</v>
      </c>
      <c r="AB1707">
        <v>27</v>
      </c>
      <c r="AC1707">
        <v>8.1690999999999807</v>
      </c>
      <c r="AD1707">
        <v>-1.101037436056</v>
      </c>
      <c r="AE1707">
        <v>-21.024899999999999</v>
      </c>
      <c r="AF1707">
        <v>14.6499818023215</v>
      </c>
      <c r="AG1707">
        <v>-1.101037436056</v>
      </c>
      <c r="AH1707">
        <v>17.080477724581499</v>
      </c>
      <c r="AI1707">
        <v>92.801217246551801</v>
      </c>
      <c r="AJ1707">
        <v>49.380200021896002</v>
      </c>
      <c r="AK1707">
        <v>22.529468913933002</v>
      </c>
      <c r="AL1707">
        <v>79.816581382189298</v>
      </c>
      <c r="AM1707">
        <v>67.097850994422799</v>
      </c>
      <c r="AN1707">
        <v>0.99999996051618401</v>
      </c>
    </row>
    <row r="1708" spans="1:40" x14ac:dyDescent="0.25">
      <c r="A1708" t="str">
        <f>"20190312172116954"</f>
        <v>20190312172116954</v>
      </c>
      <c r="B1708" t="str">
        <f>"1552382476942412"</f>
        <v>1552382476942412</v>
      </c>
      <c r="C1708" t="s">
        <v>40</v>
      </c>
      <c r="D1708">
        <v>3.28776</v>
      </c>
      <c r="E1708">
        <v>0.62584700000000004</v>
      </c>
      <c r="F1708" t="s">
        <v>42</v>
      </c>
      <c r="G1708">
        <v>-188.05549999999999</v>
      </c>
      <c r="H1708" s="1">
        <v>-1.024873E-6</v>
      </c>
      <c r="I1708">
        <v>341.13929999999999</v>
      </c>
      <c r="J1708">
        <v>-196.346</v>
      </c>
      <c r="K1708">
        <v>1.10101</v>
      </c>
      <c r="L1708">
        <v>363.22800000000001</v>
      </c>
      <c r="M1708">
        <v>0.87837770000000004</v>
      </c>
      <c r="N1708">
        <v>0</v>
      </c>
      <c r="O1708">
        <v>-0.477765</v>
      </c>
      <c r="P1708">
        <v>0.61625289999999999</v>
      </c>
      <c r="Q1708">
        <v>0.17357069999999999</v>
      </c>
      <c r="R1708">
        <v>-0.76818339999999996</v>
      </c>
      <c r="S1708">
        <v>1.149567</v>
      </c>
      <c r="T1708">
        <v>-0.15038940000000001</v>
      </c>
      <c r="U1708">
        <v>-3.0273439999999998</v>
      </c>
      <c r="V1708">
        <v>0.38446720000000001</v>
      </c>
      <c r="W1708">
        <v>0.17755969999999999</v>
      </c>
      <c r="X1708">
        <v>0.90590150000000003</v>
      </c>
      <c r="Y1708">
        <v>0.65143819999999997</v>
      </c>
      <c r="Z1708">
        <v>7.0745560000000001E-3</v>
      </c>
      <c r="AA1708">
        <v>0.75866869999999997</v>
      </c>
      <c r="AB1708">
        <v>27</v>
      </c>
      <c r="AC1708">
        <v>8.2904999999999802</v>
      </c>
      <c r="AD1708">
        <v>-1.1010110248729901</v>
      </c>
      <c r="AE1708">
        <v>-22.088699999999999</v>
      </c>
      <c r="AF1708">
        <v>15.4092454083153</v>
      </c>
      <c r="AG1708">
        <v>-1.1010110248729901</v>
      </c>
      <c r="AH1708">
        <v>17.7983611645138</v>
      </c>
      <c r="AI1708">
        <v>92.677653146393496</v>
      </c>
      <c r="AJ1708">
        <v>49.115045237219597</v>
      </c>
      <c r="AK1708">
        <v>23.567747653796999</v>
      </c>
      <c r="AL1708">
        <v>79.772348632630496</v>
      </c>
      <c r="AM1708">
        <v>67.003492777170393</v>
      </c>
      <c r="AN1708">
        <v>1.0000000013210899</v>
      </c>
    </row>
    <row r="1709" spans="1:40" x14ac:dyDescent="0.25">
      <c r="A1709" t="str">
        <f>"20190312172116965"</f>
        <v>20190312172116965</v>
      </c>
      <c r="B1709" t="str">
        <f>"1552382476962908"</f>
        <v>1552382476962908</v>
      </c>
      <c r="C1709" t="s">
        <v>40</v>
      </c>
      <c r="D1709">
        <v>3.3177340000000002</v>
      </c>
      <c r="E1709">
        <v>0.62545499999999998</v>
      </c>
      <c r="F1709" t="s">
        <v>42</v>
      </c>
      <c r="G1709">
        <v>-188.08170000000001</v>
      </c>
      <c r="H1709" s="1">
        <v>-9.3304499999999997E-7</v>
      </c>
      <c r="I1709">
        <v>340.89</v>
      </c>
      <c r="J1709">
        <v>-196.23050000000001</v>
      </c>
      <c r="K1709">
        <v>1.100989</v>
      </c>
      <c r="L1709">
        <v>363.15780000000001</v>
      </c>
      <c r="M1709">
        <v>0.87530359999999996</v>
      </c>
      <c r="N1709">
        <v>0</v>
      </c>
      <c r="O1709">
        <v>-0.48337400000000003</v>
      </c>
      <c r="P1709">
        <v>0.61011530000000003</v>
      </c>
      <c r="Q1709">
        <v>0.1744386</v>
      </c>
      <c r="R1709">
        <v>-0.772872</v>
      </c>
      <c r="S1709">
        <v>1.1238250000000001</v>
      </c>
      <c r="T1709">
        <v>-0.14972079999999999</v>
      </c>
      <c r="U1709">
        <v>-3.0376280000000002</v>
      </c>
      <c r="V1709">
        <v>0.38575039999999999</v>
      </c>
      <c r="W1709">
        <v>0.17837430000000001</v>
      </c>
      <c r="X1709">
        <v>0.90519570000000005</v>
      </c>
      <c r="Y1709">
        <v>0.6530802</v>
      </c>
      <c r="Z1709">
        <v>7.303749E-3</v>
      </c>
      <c r="AA1709">
        <v>0.75725350000000002</v>
      </c>
      <c r="AB1709">
        <v>27</v>
      </c>
      <c r="AC1709">
        <v>8.1487999999999907</v>
      </c>
      <c r="AD1709">
        <v>-1.1009899330449999</v>
      </c>
      <c r="AE1709">
        <v>-22.267800000000001</v>
      </c>
      <c r="AF1709">
        <v>15.520209668695401</v>
      </c>
      <c r="AG1709">
        <v>-1.1009899330449999</v>
      </c>
      <c r="AH1709">
        <v>17.859574743912699</v>
      </c>
      <c r="AI1709">
        <v>92.664160302349401</v>
      </c>
      <c r="AJ1709">
        <v>49.0089217476961</v>
      </c>
      <c r="AK1709">
        <v>23.6865678608434</v>
      </c>
      <c r="AL1709">
        <v>79.724918409696201</v>
      </c>
      <c r="AM1709">
        <v>66.918654464944794</v>
      </c>
      <c r="AN1709">
        <v>1.0000000086495699</v>
      </c>
    </row>
    <row r="1710" spans="1:40" x14ac:dyDescent="0.25">
      <c r="A1710" t="str">
        <f>"20190312172116976"</f>
        <v>20190312172116976</v>
      </c>
      <c r="B1710" t="str">
        <f>"1552382476972668"</f>
        <v>1552382476972668</v>
      </c>
      <c r="C1710" t="s">
        <v>40</v>
      </c>
      <c r="D1710">
        <v>3.3067600000000001</v>
      </c>
      <c r="E1710">
        <v>0.62514019999999904</v>
      </c>
      <c r="F1710" t="s">
        <v>42</v>
      </c>
      <c r="G1710">
        <v>-188.22980000000001</v>
      </c>
      <c r="H1710" s="1">
        <v>-9.3945049999999997E-7</v>
      </c>
      <c r="I1710">
        <v>341.02460000000002</v>
      </c>
      <c r="J1710">
        <v>-196.1165</v>
      </c>
      <c r="K1710">
        <v>1.1009679999999999</v>
      </c>
      <c r="L1710">
        <v>363.08769999999998</v>
      </c>
      <c r="M1710">
        <v>0.87222060000000001</v>
      </c>
      <c r="N1710">
        <v>0</v>
      </c>
      <c r="O1710">
        <v>-0.48891489999999999</v>
      </c>
      <c r="P1710">
        <v>0.60400790000000004</v>
      </c>
      <c r="Q1710">
        <v>0.175095899999999</v>
      </c>
      <c r="R1710">
        <v>-0.777506699999999</v>
      </c>
      <c r="S1710">
        <v>1.101227</v>
      </c>
      <c r="T1710">
        <v>-0.15154189999999901</v>
      </c>
      <c r="U1710">
        <v>-3.0464479999999998</v>
      </c>
      <c r="V1710">
        <v>0.38704110000000003</v>
      </c>
      <c r="W1710">
        <v>0.178979</v>
      </c>
      <c r="X1710">
        <v>0.90452520000000003</v>
      </c>
      <c r="Y1710">
        <v>0.65394649999999999</v>
      </c>
      <c r="Z1710">
        <v>7.677344E-3</v>
      </c>
      <c r="AA1710">
        <v>0.75650189999999995</v>
      </c>
      <c r="AB1710">
        <v>27</v>
      </c>
      <c r="AC1710">
        <v>7.8866999999999896</v>
      </c>
      <c r="AD1710">
        <v>-1.1009689394505</v>
      </c>
      <c r="AE1710">
        <v>-22.063099999999899</v>
      </c>
      <c r="AF1710">
        <v>15.3555491596859</v>
      </c>
      <c r="AG1710">
        <v>-1.1009689394505</v>
      </c>
      <c r="AH1710">
        <v>17.6287058169445</v>
      </c>
      <c r="AI1710">
        <v>92.696226564228496</v>
      </c>
      <c r="AJ1710">
        <v>48.9423862773696</v>
      </c>
      <c r="AK1710">
        <v>23.404621154411799</v>
      </c>
      <c r="AL1710">
        <v>79.689705594684398</v>
      </c>
      <c r="AM1710">
        <v>66.834198104223802</v>
      </c>
      <c r="AN1710">
        <v>1.0000000664826201</v>
      </c>
    </row>
    <row r="1711" spans="1:40" x14ac:dyDescent="0.25">
      <c r="A1711" t="str">
        <f>"20190312172116989"</f>
        <v>20190312172116989</v>
      </c>
      <c r="B1711" t="str">
        <f>"1552382476982427"</f>
        <v>1552382476982427</v>
      </c>
      <c r="C1711" t="s">
        <v>40</v>
      </c>
      <c r="D1711">
        <v>3.2986520000000001</v>
      </c>
      <c r="E1711">
        <v>0.62471219999999905</v>
      </c>
      <c r="F1711" t="s">
        <v>42</v>
      </c>
      <c r="G1711">
        <v>-188.2313</v>
      </c>
      <c r="H1711" s="1">
        <v>-8.4563439999999996E-7</v>
      </c>
      <c r="I1711">
        <v>340.75009999999997</v>
      </c>
      <c r="J1711">
        <v>-195.99189999999999</v>
      </c>
      <c r="K1711">
        <v>1.1009389999999999</v>
      </c>
      <c r="L1711">
        <v>363.00959999999998</v>
      </c>
      <c r="M1711">
        <v>0.86877389999999999</v>
      </c>
      <c r="N1711">
        <v>0</v>
      </c>
      <c r="O1711">
        <v>-0.49501279999999998</v>
      </c>
      <c r="P1711">
        <v>0.59728389999999998</v>
      </c>
      <c r="Q1711">
        <v>0.17583779999999999</v>
      </c>
      <c r="R1711">
        <v>-0.78251729999999997</v>
      </c>
      <c r="S1711">
        <v>1.0783229999999999</v>
      </c>
      <c r="T1711">
        <v>-0.15055979999999999</v>
      </c>
      <c r="U1711">
        <v>-3.0547179999999998</v>
      </c>
      <c r="V1711">
        <v>0.38838790000000001</v>
      </c>
      <c r="W1711">
        <v>0.179666299999999</v>
      </c>
      <c r="X1711">
        <v>0.90381129999999998</v>
      </c>
      <c r="Y1711">
        <v>0.65433980000000003</v>
      </c>
      <c r="Z1711">
        <v>7.9583439999999991E-3</v>
      </c>
      <c r="AA1711">
        <v>0.75615869999999996</v>
      </c>
      <c r="AB1711">
        <v>27</v>
      </c>
      <c r="AC1711">
        <v>7.7605999999999797</v>
      </c>
      <c r="AD1711">
        <v>-1.1009398456343999</v>
      </c>
      <c r="AE1711">
        <v>-22.259499999999999</v>
      </c>
      <c r="AF1711">
        <v>15.464651477832099</v>
      </c>
      <c r="AG1711">
        <v>-1.1009398456343999</v>
      </c>
      <c r="AH1711">
        <v>17.724011344726399</v>
      </c>
      <c r="AI1711">
        <v>92.679727432131799</v>
      </c>
      <c r="AJ1711">
        <v>48.894473350380103</v>
      </c>
      <c r="AK1711">
        <v>23.5479954990337</v>
      </c>
      <c r="AL1711">
        <v>79.649676699173</v>
      </c>
      <c r="AM1711">
        <v>66.745723139384495</v>
      </c>
      <c r="AN1711">
        <v>1.0000000031148899</v>
      </c>
    </row>
    <row r="1712" spans="1:40" x14ac:dyDescent="0.25">
      <c r="A1712" t="str">
        <f>"20190312172117003"</f>
        <v>20190312172117003</v>
      </c>
      <c r="B1712" t="str">
        <f>"1552382476992188"</f>
        <v>1552382476992188</v>
      </c>
      <c r="C1712" t="s">
        <v>40</v>
      </c>
      <c r="D1712">
        <v>3.3134320000000002</v>
      </c>
      <c r="E1712">
        <v>0.62420540000000002</v>
      </c>
      <c r="F1712" t="s">
        <v>42</v>
      </c>
      <c r="G1712">
        <v>-188.21270000000001</v>
      </c>
      <c r="H1712" s="1">
        <v>-7.3350960000000004E-7</v>
      </c>
      <c r="I1712">
        <v>340.40609999999998</v>
      </c>
      <c r="J1712">
        <v>-195.84209999999999</v>
      </c>
      <c r="K1712">
        <v>1.1009119999999999</v>
      </c>
      <c r="L1712">
        <v>362.91449999999998</v>
      </c>
      <c r="M1712">
        <v>0.86454809999999904</v>
      </c>
      <c r="N1712">
        <v>0</v>
      </c>
      <c r="O1712">
        <v>-0.5023569</v>
      </c>
      <c r="P1712">
        <v>0.58959890000000004</v>
      </c>
      <c r="Q1712">
        <v>0.17658599999999999</v>
      </c>
      <c r="R1712">
        <v>-0.78815690000000005</v>
      </c>
      <c r="S1712">
        <v>1.0540309999999999</v>
      </c>
      <c r="T1712">
        <v>-0.1491712</v>
      </c>
      <c r="U1712">
        <v>-3.0626530000000001</v>
      </c>
      <c r="V1712">
        <v>0.38946170000000002</v>
      </c>
      <c r="W1712">
        <v>0.1803633</v>
      </c>
      <c r="X1712">
        <v>0.90321019999999996</v>
      </c>
      <c r="Y1712">
        <v>0.65390530000000002</v>
      </c>
      <c r="Z1712">
        <v>8.3097559999999997E-3</v>
      </c>
      <c r="AA1712">
        <v>0.75653079999999995</v>
      </c>
      <c r="AB1712">
        <v>27</v>
      </c>
      <c r="AC1712">
        <v>7.6293999999999702</v>
      </c>
      <c r="AD1712">
        <v>-1.1009127335096001</v>
      </c>
      <c r="AE1712">
        <v>-22.508399999999899</v>
      </c>
      <c r="AF1712">
        <v>15.594966509555</v>
      </c>
      <c r="AG1712">
        <v>-1.1009127335096001</v>
      </c>
      <c r="AH1712">
        <v>17.866633611672</v>
      </c>
      <c r="AI1712">
        <v>92.657869397374199</v>
      </c>
      <c r="AJ1712">
        <v>48.883781067953102</v>
      </c>
      <c r="AK1712">
        <v>23.740926390827202</v>
      </c>
      <c r="AL1712">
        <v>79.609078294221106</v>
      </c>
      <c r="AM1712">
        <v>66.674430299504095</v>
      </c>
      <c r="AN1712">
        <v>1.0000000005689</v>
      </c>
    </row>
    <row r="1713" spans="1:40" x14ac:dyDescent="0.25">
      <c r="A1713" t="str">
        <f>"20190312172117014"</f>
        <v>20190312172117014</v>
      </c>
      <c r="B1713" t="str">
        <f>"1552382477002923"</f>
        <v>1552382477002923</v>
      </c>
      <c r="C1713" t="s">
        <v>40</v>
      </c>
      <c r="D1713">
        <v>3.2702209999999998</v>
      </c>
      <c r="E1713">
        <v>0.62378579999999995</v>
      </c>
      <c r="F1713" t="s">
        <v>42</v>
      </c>
      <c r="G1713">
        <v>-188.19659999999999</v>
      </c>
      <c r="H1713" s="1">
        <v>-6.0956819999999895E-7</v>
      </c>
      <c r="I1713">
        <v>340.02929999999998</v>
      </c>
      <c r="J1713">
        <v>-195.7242</v>
      </c>
      <c r="K1713">
        <v>1.1008899999999999</v>
      </c>
      <c r="L1713">
        <v>362.8381</v>
      </c>
      <c r="M1713">
        <v>0.86114559999999996</v>
      </c>
      <c r="N1713">
        <v>0</v>
      </c>
      <c r="O1713">
        <v>-0.50816679999999903</v>
      </c>
      <c r="P1713">
        <v>0.58296809999999999</v>
      </c>
      <c r="Q1713">
        <v>0.17736649999999901</v>
      </c>
      <c r="R1713">
        <v>-0.79289949999999998</v>
      </c>
      <c r="S1713">
        <v>1.0262150000000001</v>
      </c>
      <c r="T1713">
        <v>-0.1477707</v>
      </c>
      <c r="U1713">
        <v>-3.071777</v>
      </c>
      <c r="V1713">
        <v>0.39083659999999998</v>
      </c>
      <c r="W1713">
        <v>0.18108830000000001</v>
      </c>
      <c r="X1713">
        <v>0.90247089999999996</v>
      </c>
      <c r="Y1713">
        <v>0.65565280000000004</v>
      </c>
      <c r="Z1713">
        <v>8.5035459999999903E-3</v>
      </c>
      <c r="AA1713">
        <v>0.75501470000000004</v>
      </c>
      <c r="AB1713">
        <v>27</v>
      </c>
      <c r="AC1713">
        <v>7.5275999999999996</v>
      </c>
      <c r="AD1713">
        <v>-1.1008906095681901</v>
      </c>
      <c r="AE1713">
        <v>-22.808800000000002</v>
      </c>
      <c r="AF1713">
        <v>15.7848011833564</v>
      </c>
      <c r="AG1713">
        <v>-1.1008906095681901</v>
      </c>
      <c r="AH1713">
        <v>18.036902933297199</v>
      </c>
      <c r="AI1713">
        <v>92.629786619864703</v>
      </c>
      <c r="AJ1713">
        <v>48.8095573242028</v>
      </c>
      <c r="AK1713">
        <v>23.993786194711099</v>
      </c>
      <c r="AL1713">
        <v>79.566843100176001</v>
      </c>
      <c r="AM1713">
        <v>66.583822455602999</v>
      </c>
      <c r="AN1713">
        <v>0.999999972821629</v>
      </c>
    </row>
    <row r="1714" spans="1:40" x14ac:dyDescent="0.25">
      <c r="A1714" t="str">
        <f>"20190312172117027"</f>
        <v>20190312172117027</v>
      </c>
      <c r="B1714" t="str">
        <f>"1552382477022444"</f>
        <v>1552382477022444</v>
      </c>
      <c r="C1714" t="s">
        <v>40</v>
      </c>
      <c r="D1714">
        <v>3.293768</v>
      </c>
      <c r="E1714">
        <v>0.62268009999999996</v>
      </c>
      <c r="F1714" t="s">
        <v>42</v>
      </c>
      <c r="G1714">
        <v>-188.14490000000001</v>
      </c>
      <c r="H1714" s="1">
        <v>-4.5855289999999997E-6</v>
      </c>
      <c r="I1714">
        <v>339.55470000000003</v>
      </c>
      <c r="J1714">
        <v>-195.60570000000001</v>
      </c>
      <c r="K1714">
        <v>1.100867</v>
      </c>
      <c r="L1714">
        <v>362.76010000000002</v>
      </c>
      <c r="M1714">
        <v>0.85765740000000001</v>
      </c>
      <c r="N1714">
        <v>0</v>
      </c>
      <c r="O1714">
        <v>-0.51403199999999905</v>
      </c>
      <c r="P1714">
        <v>0.57618570000000002</v>
      </c>
      <c r="Q1714">
        <v>0.1780871</v>
      </c>
      <c r="R1714">
        <v>-0.79768139999999998</v>
      </c>
      <c r="S1714">
        <v>1.002335</v>
      </c>
      <c r="T1714">
        <v>-0.14558879999999999</v>
      </c>
      <c r="U1714">
        <v>-3.079132</v>
      </c>
      <c r="V1714">
        <v>0.3922658</v>
      </c>
      <c r="W1714">
        <v>0.18175230000000001</v>
      </c>
      <c r="X1714">
        <v>0.90171710000000005</v>
      </c>
      <c r="Y1714">
        <v>0.65633209999999997</v>
      </c>
      <c r="Z1714">
        <v>8.6817359999999903E-3</v>
      </c>
      <c r="AA1714">
        <v>0.75442219999999904</v>
      </c>
      <c r="AB1714">
        <v>27</v>
      </c>
      <c r="AC1714">
        <v>7.4607999999999999</v>
      </c>
      <c r="AD1714">
        <v>-1.1008715855290001</v>
      </c>
      <c r="AE1714">
        <v>-23.205400000000001</v>
      </c>
      <c r="AF1714">
        <v>16.036049632088201</v>
      </c>
      <c r="AG1714">
        <v>-1.1008715855290001</v>
      </c>
      <c r="AH1714">
        <v>18.291604559688601</v>
      </c>
      <c r="AI1714">
        <v>92.591185205002205</v>
      </c>
      <c r="AJ1714">
        <v>48.759309457657203</v>
      </c>
      <c r="AK1714">
        <v>24.350556532010501</v>
      </c>
      <c r="AL1714">
        <v>79.528157462551803</v>
      </c>
      <c r="AM1714">
        <v>66.489952006328295</v>
      </c>
      <c r="AN1714">
        <v>1.0000000424186599</v>
      </c>
    </row>
    <row r="1715" spans="1:40" x14ac:dyDescent="0.25">
      <c r="A1715" t="str">
        <f>"20190312172117042"</f>
        <v>20190312172117042</v>
      </c>
      <c r="B1715" t="str">
        <f>"1552382477032204"</f>
        <v>1552382477032204</v>
      </c>
      <c r="C1715" t="s">
        <v>40</v>
      </c>
      <c r="D1715">
        <v>3.3334079999999999</v>
      </c>
      <c r="E1715">
        <v>0.62216319999999903</v>
      </c>
      <c r="F1715" t="s">
        <v>42</v>
      </c>
      <c r="G1715">
        <v>-188.15809999999999</v>
      </c>
      <c r="H1715" s="1">
        <v>-4.5114770000000003E-6</v>
      </c>
      <c r="I1715">
        <v>339.38749999999999</v>
      </c>
      <c r="J1715">
        <v>-195.43940000000001</v>
      </c>
      <c r="K1715">
        <v>1.1008389999999999</v>
      </c>
      <c r="L1715">
        <v>362.649</v>
      </c>
      <c r="M1715">
        <v>0.85265740000000001</v>
      </c>
      <c r="N1715">
        <v>0</v>
      </c>
      <c r="O1715">
        <v>-0.52228339999999995</v>
      </c>
      <c r="P1715">
        <v>0.56549680000000002</v>
      </c>
      <c r="Q1715">
        <v>0.17991289999999999</v>
      </c>
      <c r="R1715">
        <v>-0.80488800000000005</v>
      </c>
      <c r="S1715">
        <v>0.98257450000000002</v>
      </c>
      <c r="T1715">
        <v>-0.14524020000000001</v>
      </c>
      <c r="U1715">
        <v>-3.0835880000000002</v>
      </c>
      <c r="V1715">
        <v>0.3953063</v>
      </c>
      <c r="W1715">
        <v>0.18346680000000001</v>
      </c>
      <c r="X1715">
        <v>0.90004039999999996</v>
      </c>
      <c r="Y1715">
        <v>0.65375819999999996</v>
      </c>
      <c r="Z1715">
        <v>9.1939929999999993E-3</v>
      </c>
      <c r="AA1715">
        <v>0.75664770000000003</v>
      </c>
      <c r="AB1715">
        <v>27</v>
      </c>
      <c r="AC1715">
        <v>7.2813000000000097</v>
      </c>
      <c r="AD1715">
        <v>-1.1008435114770001</v>
      </c>
      <c r="AE1715">
        <v>-23.261500000000002</v>
      </c>
      <c r="AF1715">
        <v>16.000117997281301</v>
      </c>
      <c r="AG1715">
        <v>-1.1008435114770001</v>
      </c>
      <c r="AH1715">
        <v>18.321970929512599</v>
      </c>
      <c r="AI1715">
        <v>92.591205125803199</v>
      </c>
      <c r="AJ1715">
        <v>48.870102249238599</v>
      </c>
      <c r="AK1715">
        <v>24.349748481362099</v>
      </c>
      <c r="AL1715">
        <v>79.428242636197396</v>
      </c>
      <c r="AM1715">
        <v>66.288462218912201</v>
      </c>
      <c r="AN1715">
        <v>0.99999992957704198</v>
      </c>
    </row>
    <row r="1716" spans="1:40" x14ac:dyDescent="0.25">
      <c r="A1716" t="str">
        <f>"20190312172117054"</f>
        <v>20190312172117054</v>
      </c>
      <c r="B1716" t="str">
        <f>"1552382477042940"</f>
        <v>1552382477042940</v>
      </c>
      <c r="C1716" t="s">
        <v>40</v>
      </c>
      <c r="D1716">
        <v>3.2735180000000001</v>
      </c>
      <c r="E1716">
        <v>0.62155099999999996</v>
      </c>
      <c r="F1716" t="s">
        <v>42</v>
      </c>
      <c r="G1716">
        <v>-187.93299999999999</v>
      </c>
      <c r="H1716" s="1">
        <v>-3.9610839999999996E-6</v>
      </c>
      <c r="I1716">
        <v>338.01150000000001</v>
      </c>
      <c r="J1716">
        <v>-195.3192</v>
      </c>
      <c r="K1716">
        <v>1.1008169999999999</v>
      </c>
      <c r="L1716">
        <v>362.56700000000001</v>
      </c>
      <c r="M1716">
        <v>0.84895689999999902</v>
      </c>
      <c r="N1716">
        <v>0</v>
      </c>
      <c r="O1716">
        <v>-0.528277</v>
      </c>
      <c r="P1716">
        <v>0.55836850000000005</v>
      </c>
      <c r="Q1716">
        <v>0.18098030000000001</v>
      </c>
      <c r="R1716">
        <v>-0.80961169999999905</v>
      </c>
      <c r="S1716">
        <v>0.94311520000000004</v>
      </c>
      <c r="T1716">
        <v>-0.1383132</v>
      </c>
      <c r="U1716">
        <v>-3.09552</v>
      </c>
      <c r="V1716">
        <v>0.39674910000000002</v>
      </c>
      <c r="W1716">
        <v>0.18447549999999999</v>
      </c>
      <c r="X1716">
        <v>0.89919910000000003</v>
      </c>
      <c r="Y1716">
        <v>0.65806919999999902</v>
      </c>
      <c r="Z1716">
        <v>8.9537430000000001E-3</v>
      </c>
      <c r="AA1716">
        <v>0.75290419999999902</v>
      </c>
      <c r="AB1716">
        <v>27</v>
      </c>
      <c r="AC1716">
        <v>7.3861999999999997</v>
      </c>
      <c r="AD1716">
        <v>-1.1008209610839901</v>
      </c>
      <c r="AE1716">
        <v>-24.555499999999899</v>
      </c>
      <c r="AF1716">
        <v>16.915084917325</v>
      </c>
      <c r="AG1716">
        <v>-1.1008209610839901</v>
      </c>
      <c r="AH1716">
        <v>19.209151540491199</v>
      </c>
      <c r="AI1716">
        <v>92.462714744127894</v>
      </c>
      <c r="AJ1716">
        <v>48.6336842104119</v>
      </c>
      <c r="AK1716">
        <v>25.618809641633099</v>
      </c>
      <c r="AL1716">
        <v>79.369445980791895</v>
      </c>
      <c r="AM1716">
        <v>66.191730233111898</v>
      </c>
      <c r="AN1716">
        <v>1.0000000399459299</v>
      </c>
    </row>
    <row r="1717" spans="1:40" x14ac:dyDescent="0.25">
      <c r="A1717" t="str">
        <f>"20190312172117066"</f>
        <v>20190312172117066</v>
      </c>
      <c r="B1717" t="str">
        <f>"1552382477062461"</f>
        <v>1552382477062461</v>
      </c>
      <c r="C1717" t="s">
        <v>40</v>
      </c>
      <c r="D1717">
        <v>3.3245119999999999</v>
      </c>
      <c r="E1717">
        <v>0.60968480000000003</v>
      </c>
      <c r="F1717" t="s">
        <v>42</v>
      </c>
      <c r="G1717">
        <v>-187.8623</v>
      </c>
      <c r="H1717" s="1">
        <v>-3.710711E-6</v>
      </c>
      <c r="I1717">
        <v>337.39870000000002</v>
      </c>
      <c r="J1717">
        <v>-195.20939999999999</v>
      </c>
      <c r="K1717">
        <v>1.1008009999999999</v>
      </c>
      <c r="L1717">
        <v>362.49090000000001</v>
      </c>
      <c r="M1717">
        <v>0.84551100000000001</v>
      </c>
      <c r="N1717">
        <v>0</v>
      </c>
      <c r="O1717">
        <v>-0.53377479999999999</v>
      </c>
      <c r="P1717">
        <v>0.55180499999999999</v>
      </c>
      <c r="Q1717">
        <v>0.18196899999999999</v>
      </c>
      <c r="R1717">
        <v>-0.81387929999999997</v>
      </c>
      <c r="S1717">
        <v>0.91906739999999998</v>
      </c>
      <c r="T1717">
        <v>-0.13567699999999999</v>
      </c>
      <c r="U1717">
        <v>-3.10202</v>
      </c>
      <c r="V1717">
        <v>0.39803280000000002</v>
      </c>
      <c r="W1717">
        <v>0.1854122</v>
      </c>
      <c r="X1717">
        <v>0.89843879999999998</v>
      </c>
      <c r="Y1717">
        <v>0.65898419999999902</v>
      </c>
      <c r="Z1717">
        <v>9.0452080000000008E-3</v>
      </c>
      <c r="AA1717">
        <v>0.7521023</v>
      </c>
      <c r="AB1717">
        <v>27</v>
      </c>
      <c r="AC1717">
        <v>7.3470999999999798</v>
      </c>
      <c r="AD1717">
        <v>-1.1008047107109999</v>
      </c>
      <c r="AE1717">
        <v>-25.092199999999899</v>
      </c>
      <c r="AF1717">
        <v>17.265121214337999</v>
      </c>
      <c r="AG1717">
        <v>-1.1008047107109999</v>
      </c>
      <c r="AH1717">
        <v>19.572860178605701</v>
      </c>
      <c r="AI1717">
        <v>92.415150708478905</v>
      </c>
      <c r="AJ1717">
        <v>48.584646455352697</v>
      </c>
      <c r="AK1717">
        <v>26.122653715274801</v>
      </c>
      <c r="AL1717">
        <v>79.3148348864339</v>
      </c>
      <c r="AM1717">
        <v>66.105356021453701</v>
      </c>
      <c r="AN1717">
        <v>1.00000003556505</v>
      </c>
    </row>
    <row r="1718" spans="1:40" x14ac:dyDescent="0.25">
      <c r="A1718" t="str">
        <f>"20190312172117079"</f>
        <v>20190312172117079</v>
      </c>
      <c r="B1718" t="str">
        <f>"1552382477072220"</f>
        <v>1552382477072220</v>
      </c>
      <c r="C1718" t="s">
        <v>40</v>
      </c>
      <c r="D1718">
        <v>3.3379859999999999</v>
      </c>
      <c r="E1718">
        <v>0.60820479999999999</v>
      </c>
      <c r="F1718" t="s">
        <v>42</v>
      </c>
      <c r="G1718">
        <v>-189.75890000000001</v>
      </c>
      <c r="H1718" s="1">
        <v>-2.49005E-6</v>
      </c>
      <c r="I1718">
        <v>345.3374</v>
      </c>
      <c r="J1718">
        <v>-195.0788</v>
      </c>
      <c r="K1718">
        <v>1.1007819999999999</v>
      </c>
      <c r="L1718">
        <v>362.39940000000001</v>
      </c>
      <c r="M1718">
        <v>0.84134370000000003</v>
      </c>
      <c r="N1718">
        <v>0</v>
      </c>
      <c r="O1718">
        <v>-0.54031929999999995</v>
      </c>
      <c r="P1718">
        <v>0.54427780000000003</v>
      </c>
      <c r="Q1718">
        <v>0.18271280000000001</v>
      </c>
      <c r="R1718">
        <v>-0.81876640000000001</v>
      </c>
      <c r="S1718">
        <v>0.97514339999999999</v>
      </c>
      <c r="T1718">
        <v>-0.19694329999999999</v>
      </c>
      <c r="U1718">
        <v>-3.0689090000000001</v>
      </c>
      <c r="V1718">
        <v>0.3992366</v>
      </c>
      <c r="W1718">
        <v>0.18610470000000001</v>
      </c>
      <c r="X1718">
        <v>0.89776119999999904</v>
      </c>
      <c r="Y1718">
        <v>0.6380441</v>
      </c>
      <c r="Z1718">
        <v>1.448229E-2</v>
      </c>
      <c r="AA1718">
        <v>0.76986369999999904</v>
      </c>
      <c r="AB1718">
        <v>27</v>
      </c>
      <c r="AC1718">
        <v>5.3198999999999899</v>
      </c>
      <c r="AD1718">
        <v>-1.1007844900499999</v>
      </c>
      <c r="AE1718">
        <v>-17.062000000000001</v>
      </c>
      <c r="AF1718">
        <v>11.4382935303507</v>
      </c>
      <c r="AG1718">
        <v>-1.1007844900499999</v>
      </c>
      <c r="AH1718">
        <v>13.644372068227099</v>
      </c>
      <c r="AI1718">
        <v>93.537858841299098</v>
      </c>
      <c r="AJ1718">
        <v>50.026362489215401</v>
      </c>
      <c r="AK1718">
        <v>17.838586673731001</v>
      </c>
      <c r="AL1718">
        <v>79.274454344814799</v>
      </c>
      <c r="AM1718">
        <v>66.025168224631699</v>
      </c>
      <c r="AN1718">
        <v>0.99999999718354404</v>
      </c>
    </row>
    <row r="1719" spans="1:40" x14ac:dyDescent="0.25">
      <c r="A1719" t="str">
        <f>"20190312172117090"</f>
        <v>20190312172117090</v>
      </c>
      <c r="B1719" t="str">
        <f>"1552382477082956"</f>
        <v>1552382477082956</v>
      </c>
      <c r="C1719" t="s">
        <v>40</v>
      </c>
      <c r="D1719">
        <v>3.3378060000000001</v>
      </c>
      <c r="E1719">
        <v>0.60719529999999999</v>
      </c>
      <c r="F1719" t="s">
        <v>42</v>
      </c>
      <c r="G1719">
        <v>-189.3888</v>
      </c>
      <c r="H1719" s="1">
        <v>-2.0259209999999999E-6</v>
      </c>
      <c r="I1719">
        <v>344.10250000000002</v>
      </c>
      <c r="J1719">
        <v>-194.9657</v>
      </c>
      <c r="K1719">
        <v>1.1007670000000001</v>
      </c>
      <c r="L1719">
        <v>362.3184</v>
      </c>
      <c r="M1719">
        <v>0.83764810000000001</v>
      </c>
      <c r="N1719">
        <v>0</v>
      </c>
      <c r="O1719">
        <v>-0.54603059999999903</v>
      </c>
      <c r="P1719">
        <v>0.53744289999999995</v>
      </c>
      <c r="Q1719">
        <v>0.1833689</v>
      </c>
      <c r="R1719">
        <v>-0.82312299999999905</v>
      </c>
      <c r="S1719">
        <v>0.95487979999999995</v>
      </c>
      <c r="T1719">
        <v>-0.1847317</v>
      </c>
      <c r="U1719">
        <v>-3.070557</v>
      </c>
      <c r="V1719">
        <v>0.40050829999999998</v>
      </c>
      <c r="W1719">
        <v>0.1867095</v>
      </c>
      <c r="X1719">
        <v>0.89706889999999995</v>
      </c>
      <c r="Y1719">
        <v>0.63758249999999905</v>
      </c>
      <c r="Z1719">
        <v>1.4025559999999999E-2</v>
      </c>
      <c r="AA1719">
        <v>0.77025440000000001</v>
      </c>
      <c r="AB1719">
        <v>27</v>
      </c>
      <c r="AC1719">
        <v>5.5768999999999904</v>
      </c>
      <c r="AD1719">
        <v>-1.1007690259209999</v>
      </c>
      <c r="AE1719">
        <v>-18.215899999999898</v>
      </c>
      <c r="AF1719">
        <v>12.1739092275257</v>
      </c>
      <c r="AG1719">
        <v>-1.1007690259209999</v>
      </c>
      <c r="AH1719">
        <v>14.5707054860117</v>
      </c>
      <c r="AI1719">
        <v>93.317986435892607</v>
      </c>
      <c r="AJ1719">
        <v>50.121047116455301</v>
      </c>
      <c r="AK1719">
        <v>19.018969916600501</v>
      </c>
      <c r="AL1719">
        <v>79.239183395517102</v>
      </c>
      <c r="AM1719">
        <v>65.940993640232307</v>
      </c>
      <c r="AN1719">
        <v>0.99999997355317405</v>
      </c>
    </row>
    <row r="1720" spans="1:40" x14ac:dyDescent="0.25">
      <c r="A1720" t="str">
        <f>"20190312172117103"</f>
        <v>20190312172117103</v>
      </c>
      <c r="B1720" t="str">
        <f>"1552382477092248"</f>
        <v>1552382477092248</v>
      </c>
      <c r="C1720" t="s">
        <v>40</v>
      </c>
      <c r="D1720">
        <v>3.308948</v>
      </c>
      <c r="E1720">
        <v>0.60578449999999995</v>
      </c>
      <c r="F1720" t="s">
        <v>42</v>
      </c>
      <c r="G1720">
        <v>-189.46709999999999</v>
      </c>
      <c r="H1720" s="1">
        <v>-2.0714939999999998E-6</v>
      </c>
      <c r="I1720">
        <v>344.24110000000002</v>
      </c>
      <c r="J1720">
        <v>-194.83879999999999</v>
      </c>
      <c r="K1720">
        <v>1.1007469999999999</v>
      </c>
      <c r="L1720">
        <v>362.22660000000002</v>
      </c>
      <c r="M1720">
        <v>0.8334355</v>
      </c>
      <c r="N1720">
        <v>0</v>
      </c>
      <c r="O1720">
        <v>-0.55243900000000001</v>
      </c>
      <c r="P1720">
        <v>0.53032789999999996</v>
      </c>
      <c r="Q1720">
        <v>0.184367</v>
      </c>
      <c r="R1720">
        <v>-0.82750309999999905</v>
      </c>
      <c r="S1720">
        <v>0.93548580000000003</v>
      </c>
      <c r="T1720">
        <v>-0.1872751</v>
      </c>
      <c r="U1720">
        <v>-3.0754999999999999</v>
      </c>
      <c r="V1720">
        <v>0.40121210000000002</v>
      </c>
      <c r="W1720">
        <v>0.18766930000000001</v>
      </c>
      <c r="X1720">
        <v>0.89655399999999996</v>
      </c>
      <c r="Y1720">
        <v>0.63646499999999995</v>
      </c>
      <c r="Z1720">
        <v>1.4723419999999999E-2</v>
      </c>
      <c r="AA1720">
        <v>0.77116509999999905</v>
      </c>
      <c r="AB1720">
        <v>27</v>
      </c>
      <c r="AC1720">
        <v>5.3716999999999997</v>
      </c>
      <c r="AD1720">
        <v>-1.100749071494</v>
      </c>
      <c r="AE1720">
        <v>-17.985499999999998</v>
      </c>
      <c r="AF1720">
        <v>11.982192598592</v>
      </c>
      <c r="AG1720">
        <v>-1.100749071494</v>
      </c>
      <c r="AH1720">
        <v>14.364873054505599</v>
      </c>
      <c r="AI1720">
        <v>93.367631012075506</v>
      </c>
      <c r="AJ1720">
        <v>50.167451568726598</v>
      </c>
      <c r="AK1720">
        <v>18.738574275013899</v>
      </c>
      <c r="AL1720">
        <v>79.183201591187299</v>
      </c>
      <c r="AM1720">
        <v>65.891261273487899</v>
      </c>
      <c r="AN1720">
        <v>0.99999999513244997</v>
      </c>
    </row>
    <row r="1721" spans="1:40" x14ac:dyDescent="0.25">
      <c r="A1721" t="str">
        <f>"20190312172117117"</f>
        <v>20190312172117117</v>
      </c>
      <c r="B1721" t="str">
        <f>"1552382477112746"</f>
        <v>1552382477112746</v>
      </c>
      <c r="C1721" t="s">
        <v>40</v>
      </c>
      <c r="D1721">
        <v>3.451873</v>
      </c>
      <c r="E1721">
        <v>0.60508189999999995</v>
      </c>
      <c r="F1721" t="s">
        <v>42</v>
      </c>
      <c r="G1721">
        <v>-189.21639999999999</v>
      </c>
      <c r="H1721" s="1">
        <v>-1.739316E-6</v>
      </c>
      <c r="I1721">
        <v>343.36320000000001</v>
      </c>
      <c r="J1721">
        <v>-194.69649999999999</v>
      </c>
      <c r="K1721">
        <v>1.1007229999999999</v>
      </c>
      <c r="L1721">
        <v>362.12180000000001</v>
      </c>
      <c r="M1721">
        <v>0.82860710000000004</v>
      </c>
      <c r="N1721">
        <v>0</v>
      </c>
      <c r="O1721">
        <v>-0.55965480000000001</v>
      </c>
      <c r="P1721">
        <v>0.52223560000000002</v>
      </c>
      <c r="Q1721">
        <v>0.1849209</v>
      </c>
      <c r="R1721">
        <v>-0.83251090000000005</v>
      </c>
      <c r="S1721">
        <v>0.91728209999999999</v>
      </c>
      <c r="T1721">
        <v>-0.1795861</v>
      </c>
      <c r="U1721">
        <v>-3.0775450000000002</v>
      </c>
      <c r="V1721">
        <v>0.40209339999999999</v>
      </c>
      <c r="W1721">
        <v>0.18817929999999999</v>
      </c>
      <c r="X1721">
        <v>0.89605210000000002</v>
      </c>
      <c r="Y1721">
        <v>0.63411519999999899</v>
      </c>
      <c r="Z1721">
        <v>1.471397E-2</v>
      </c>
      <c r="AA1721">
        <v>0.77309859999999997</v>
      </c>
      <c r="AB1721">
        <v>27</v>
      </c>
      <c r="AC1721">
        <v>5.4800999999999904</v>
      </c>
      <c r="AD1721">
        <v>-1.10072473931599</v>
      </c>
      <c r="AE1721">
        <v>-18.758600000000001</v>
      </c>
      <c r="AF1721">
        <v>12.4383132198406</v>
      </c>
      <c r="AG1721">
        <v>-1.10072473931599</v>
      </c>
      <c r="AH1721">
        <v>14.9931059740107</v>
      </c>
      <c r="AI1721">
        <v>93.233934014077605</v>
      </c>
      <c r="AJ1721">
        <v>50.320825905708901</v>
      </c>
      <c r="AK1721">
        <v>19.511956781792001</v>
      </c>
      <c r="AL1721">
        <v>79.153450285455506</v>
      </c>
      <c r="AM1721">
        <v>65.832372730599104</v>
      </c>
      <c r="AN1721">
        <v>0.99999995859322899</v>
      </c>
    </row>
    <row r="1722" spans="1:40" x14ac:dyDescent="0.25">
      <c r="A1722" t="str">
        <f>"20190312172117135"</f>
        <v>20190312172117135</v>
      </c>
      <c r="B1722" t="str">
        <f>"1552382477122504"</f>
        <v>1552382477122504</v>
      </c>
      <c r="C1722" t="s">
        <v>40</v>
      </c>
      <c r="D1722">
        <v>3.3546260000000001</v>
      </c>
      <c r="E1722">
        <v>0.60556919999999903</v>
      </c>
      <c r="F1722" t="s">
        <v>42</v>
      </c>
      <c r="G1722">
        <v>-189.3339</v>
      </c>
      <c r="H1722" s="1">
        <v>-1.804054E-6</v>
      </c>
      <c r="I1722">
        <v>343.56270000000001</v>
      </c>
      <c r="J1722">
        <v>-194.53659999999999</v>
      </c>
      <c r="K1722">
        <v>1.1007009999999999</v>
      </c>
      <c r="L1722">
        <v>362.00119999999998</v>
      </c>
      <c r="M1722">
        <v>0.82303419999999905</v>
      </c>
      <c r="N1722">
        <v>0</v>
      </c>
      <c r="O1722">
        <v>-0.5678185</v>
      </c>
      <c r="P1722">
        <v>0.51310310000000003</v>
      </c>
      <c r="Q1722">
        <v>0.1857867</v>
      </c>
      <c r="R1722">
        <v>-0.83797919999999904</v>
      </c>
      <c r="S1722">
        <v>0.8914185</v>
      </c>
      <c r="T1722">
        <v>-0.18296999999999999</v>
      </c>
      <c r="U1722">
        <v>-3.0850219999999999</v>
      </c>
      <c r="V1722">
        <v>0.4029105</v>
      </c>
      <c r="W1722">
        <v>0.18900069999999999</v>
      </c>
      <c r="X1722">
        <v>0.89551199999999997</v>
      </c>
      <c r="Y1722">
        <v>0.63295480000000004</v>
      </c>
      <c r="Z1722">
        <v>1.5608769999999999E-2</v>
      </c>
      <c r="AA1722">
        <v>0.77403129999999998</v>
      </c>
      <c r="AB1722">
        <v>27</v>
      </c>
      <c r="AC1722">
        <v>5.2026999999999903</v>
      </c>
      <c r="AD1722">
        <v>-1.1007028040539999</v>
      </c>
      <c r="AE1722">
        <v>-18.438499999999902</v>
      </c>
      <c r="AF1722">
        <v>12.1823184922522</v>
      </c>
      <c r="AG1722">
        <v>-1.1007028040539999</v>
      </c>
      <c r="AH1722">
        <v>14.7046365818333</v>
      </c>
      <c r="AI1722">
        <v>93.299005875917103</v>
      </c>
      <c r="AJ1722">
        <v>50.359344425893603</v>
      </c>
      <c r="AK1722">
        <v>19.127121255257201</v>
      </c>
      <c r="AL1722">
        <v>79.105527382249406</v>
      </c>
      <c r="AM1722">
        <v>65.775973937414904</v>
      </c>
      <c r="AN1722">
        <v>0.99999993887736804</v>
      </c>
    </row>
    <row r="1723" spans="1:40" x14ac:dyDescent="0.25">
      <c r="A1723" t="str">
        <f>"20190312172117156"</f>
        <v>20190312172117156</v>
      </c>
      <c r="B1723" t="str">
        <f>"1552382477152760"</f>
        <v>1552382477152760</v>
      </c>
      <c r="C1723" t="s">
        <v>40</v>
      </c>
      <c r="D1723">
        <v>3.3182800000000001</v>
      </c>
      <c r="E1723">
        <v>0.59935799999999995</v>
      </c>
      <c r="F1723" t="s">
        <v>44</v>
      </c>
      <c r="G1723">
        <v>-191.64109999999999</v>
      </c>
      <c r="H1723" s="1">
        <v>-1.543963E-6</v>
      </c>
      <c r="I1723">
        <v>351.47340000000003</v>
      </c>
      <c r="J1723">
        <v>-194.3322</v>
      </c>
      <c r="K1723">
        <v>1.1006659999999999</v>
      </c>
      <c r="L1723">
        <v>361.84379999999999</v>
      </c>
      <c r="M1723">
        <v>0.81570889999999996</v>
      </c>
      <c r="N1723">
        <v>0</v>
      </c>
      <c r="O1723">
        <v>-0.57829189999999997</v>
      </c>
      <c r="P1723">
        <v>0.50258080000000005</v>
      </c>
      <c r="Q1723">
        <v>0.1860599</v>
      </c>
      <c r="R1723">
        <v>-0.84427169999999896</v>
      </c>
      <c r="S1723">
        <v>0.85978699999999997</v>
      </c>
      <c r="T1723">
        <v>-0.3268393</v>
      </c>
      <c r="U1723">
        <v>-3.126099</v>
      </c>
      <c r="V1723">
        <v>0.4026401</v>
      </c>
      <c r="W1723">
        <v>0.18925910000000001</v>
      </c>
      <c r="X1723">
        <v>0.89557909999999996</v>
      </c>
      <c r="Y1723">
        <v>0.63269869999999995</v>
      </c>
      <c r="Z1723">
        <v>2.888524E-2</v>
      </c>
      <c r="AA1723">
        <v>0.77385919999999997</v>
      </c>
      <c r="AB1723">
        <v>27</v>
      </c>
      <c r="AC1723">
        <v>2.6911</v>
      </c>
      <c r="AD1723">
        <v>-1.10066754396299</v>
      </c>
      <c r="AE1723">
        <v>-10.370399999999901</v>
      </c>
      <c r="AF1723">
        <v>6.8315672629639899</v>
      </c>
      <c r="AG1723">
        <v>-1.10066754396299</v>
      </c>
      <c r="AH1723">
        <v>8.1075144749324899</v>
      </c>
      <c r="AI1723">
        <v>95.927049319208393</v>
      </c>
      <c r="AJ1723">
        <v>49.881785790048703</v>
      </c>
      <c r="AK1723">
        <v>10.6589667075178</v>
      </c>
      <c r="AL1723">
        <v>79.090450609459694</v>
      </c>
      <c r="AM1723">
        <v>65.791969064204906</v>
      </c>
      <c r="AN1723">
        <v>0.99999999070881496</v>
      </c>
    </row>
    <row r="1724" spans="1:40" x14ac:dyDescent="0.25">
      <c r="A1724" t="str">
        <f>"20190312172117168"</f>
        <v>20190312172117168</v>
      </c>
      <c r="B1724" t="str">
        <f>"1552382477162521"</f>
        <v>1552382477162521</v>
      </c>
      <c r="C1724" t="s">
        <v>40</v>
      </c>
      <c r="D1724">
        <v>3.3267850000000001</v>
      </c>
      <c r="E1724">
        <v>0.59935799999999995</v>
      </c>
      <c r="F1724" t="s">
        <v>42</v>
      </c>
      <c r="G1724">
        <v>-189.93960000000001</v>
      </c>
      <c r="H1724" s="1">
        <v>-2.7559970000000001E-6</v>
      </c>
      <c r="I1724">
        <v>346.03210000000001</v>
      </c>
      <c r="J1724">
        <v>-194.21850000000001</v>
      </c>
      <c r="K1724">
        <v>1.1006479999999901</v>
      </c>
      <c r="L1724">
        <v>361.75409999999999</v>
      </c>
      <c r="M1724">
        <v>0.81152309999999905</v>
      </c>
      <c r="N1724">
        <v>0</v>
      </c>
      <c r="O1724">
        <v>-0.58415109999999904</v>
      </c>
      <c r="P1724">
        <v>0.49713230000000003</v>
      </c>
      <c r="Q1724">
        <v>0.1862798</v>
      </c>
      <c r="R1724">
        <v>-0.84744319999999895</v>
      </c>
      <c r="S1724">
        <v>0.85838320000000001</v>
      </c>
      <c r="T1724">
        <v>-0.215088</v>
      </c>
      <c r="U1724">
        <v>-3.0898439999999998</v>
      </c>
      <c r="V1724">
        <v>0.40193220000000002</v>
      </c>
      <c r="W1724">
        <v>0.18948809999999999</v>
      </c>
      <c r="X1724">
        <v>0.895848599999999</v>
      </c>
      <c r="Y1724">
        <v>0.62540419999999997</v>
      </c>
      <c r="Z1724">
        <v>2.0031920000000002E-2</v>
      </c>
      <c r="AA1724">
        <v>0.78004379999999995</v>
      </c>
      <c r="AB1724">
        <v>27</v>
      </c>
      <c r="AC1724">
        <v>4.2788999999999904</v>
      </c>
      <c r="AD1724">
        <v>-1.10065075599699</v>
      </c>
      <c r="AE1724">
        <v>-15.7219999999999</v>
      </c>
      <c r="AF1724">
        <v>10.213651680018099</v>
      </c>
      <c r="AG1724">
        <v>-1.10065075599699</v>
      </c>
      <c r="AH1724">
        <v>12.600206639938801</v>
      </c>
      <c r="AI1724">
        <v>93.882037848882803</v>
      </c>
      <c r="AJ1724">
        <v>50.971983518118002</v>
      </c>
      <c r="AK1724">
        <v>16.2571621169431</v>
      </c>
      <c r="AL1724">
        <v>79.077087895112797</v>
      </c>
      <c r="AM1724">
        <v>65.836093118497601</v>
      </c>
      <c r="AN1724">
        <v>0.999999973780204</v>
      </c>
    </row>
    <row r="1725" spans="1:40" x14ac:dyDescent="0.25">
      <c r="A1725" t="str">
        <f>"20190312172117180"</f>
        <v>20190312172117180</v>
      </c>
      <c r="B1725" t="str">
        <f>"1552382477172281"</f>
        <v>1552382477172281</v>
      </c>
      <c r="C1725" t="s">
        <v>40</v>
      </c>
      <c r="D1725">
        <v>3.3280959999999999</v>
      </c>
      <c r="E1725">
        <v>0.60025689999999998</v>
      </c>
      <c r="F1725" t="s">
        <v>42</v>
      </c>
      <c r="G1725">
        <v>-189.9144</v>
      </c>
      <c r="H1725" s="1">
        <v>-2.6894219999999998E-6</v>
      </c>
      <c r="I1725">
        <v>345.86649999999997</v>
      </c>
      <c r="J1725">
        <v>-194.0986</v>
      </c>
      <c r="K1725">
        <v>1.1006290000000001</v>
      </c>
      <c r="L1725">
        <v>361.65870000000001</v>
      </c>
      <c r="M1725">
        <v>0.80704359999999997</v>
      </c>
      <c r="N1725">
        <v>0</v>
      </c>
      <c r="O1725">
        <v>-0.59032410000000002</v>
      </c>
      <c r="P1725">
        <v>0.49177660000000001</v>
      </c>
      <c r="Q1725">
        <v>0.1859316</v>
      </c>
      <c r="R1725">
        <v>-0.85063820000000001</v>
      </c>
      <c r="S1725">
        <v>0.83854680000000004</v>
      </c>
      <c r="T1725">
        <v>-0.21443409999999999</v>
      </c>
      <c r="U1725">
        <v>-3.0953059999999999</v>
      </c>
      <c r="V1725">
        <v>0.40080890000000002</v>
      </c>
      <c r="W1725">
        <v>0.18916269999999999</v>
      </c>
      <c r="X1725">
        <v>0.89642049999999995</v>
      </c>
      <c r="Y1725">
        <v>0.62446699999999999</v>
      </c>
      <c r="Z1725">
        <v>2.0524420000000002E-2</v>
      </c>
      <c r="AA1725">
        <v>0.78078149999999902</v>
      </c>
      <c r="AB1725">
        <v>27</v>
      </c>
      <c r="AC1725">
        <v>4.1841999999999997</v>
      </c>
      <c r="AD1725">
        <v>-1.1006316894220001</v>
      </c>
      <c r="AE1725">
        <v>-15.792199999999999</v>
      </c>
      <c r="AF1725">
        <v>10.2295485640865</v>
      </c>
      <c r="AG1725">
        <v>-1.1006316894220001</v>
      </c>
      <c r="AH1725">
        <v>12.643221965125401</v>
      </c>
      <c r="AI1725">
        <v>93.871635152088103</v>
      </c>
      <c r="AJ1725">
        <v>51.023903767981203</v>
      </c>
      <c r="AK1725">
        <v>16.300494336068301</v>
      </c>
      <c r="AL1725">
        <v>79.096075709519994</v>
      </c>
      <c r="AM1725">
        <v>65.909553694614402</v>
      </c>
      <c r="AN1725">
        <v>1.0000000071053701</v>
      </c>
    </row>
    <row r="1726" spans="1:40" x14ac:dyDescent="0.25">
      <c r="A1726" t="str">
        <f>"20190312172117192"</f>
        <v>20190312172117192</v>
      </c>
      <c r="B1726" t="str">
        <f>"1552382477183017"</f>
        <v>1552382477183017</v>
      </c>
      <c r="C1726" t="s">
        <v>40</v>
      </c>
      <c r="D1726">
        <v>3.351159</v>
      </c>
      <c r="E1726">
        <v>0.60025689999999998</v>
      </c>
      <c r="F1726" t="s">
        <v>44</v>
      </c>
      <c r="G1726">
        <v>-191.33199999999999</v>
      </c>
      <c r="H1726" s="1">
        <v>-1.2269310000000001E-6</v>
      </c>
      <c r="I1726">
        <v>351.07679999999999</v>
      </c>
      <c r="J1726">
        <v>-193.9845</v>
      </c>
      <c r="K1726">
        <v>1.1006119999999999</v>
      </c>
      <c r="L1726">
        <v>361.56560000000002</v>
      </c>
      <c r="M1726">
        <v>0.80267790000000006</v>
      </c>
      <c r="N1726">
        <v>0</v>
      </c>
      <c r="O1726">
        <v>-0.59624670000000002</v>
      </c>
      <c r="P1726">
        <v>0.48681530000000001</v>
      </c>
      <c r="Q1726">
        <v>0.18569369999999999</v>
      </c>
      <c r="R1726">
        <v>-0.8535391</v>
      </c>
      <c r="S1726">
        <v>0.8171387</v>
      </c>
      <c r="T1726">
        <v>-0.32507930000000002</v>
      </c>
      <c r="U1726">
        <v>-3.1254580000000001</v>
      </c>
      <c r="V1726">
        <v>0.39947189999999999</v>
      </c>
      <c r="W1726">
        <v>0.18895619999999999</v>
      </c>
      <c r="X1726">
        <v>0.89706059999999999</v>
      </c>
      <c r="Y1726">
        <v>0.62537759999999998</v>
      </c>
      <c r="Z1726">
        <v>3.1524690000000001E-2</v>
      </c>
      <c r="AA1726">
        <v>0.77968519999999997</v>
      </c>
      <c r="AB1726">
        <v>27</v>
      </c>
      <c r="AC1726">
        <v>2.6524999999999999</v>
      </c>
      <c r="AD1726">
        <v>-1.1006132269310001</v>
      </c>
      <c r="AE1726">
        <v>-10.488799999999999</v>
      </c>
      <c r="AF1726">
        <v>6.76821700422623</v>
      </c>
      <c r="AG1726">
        <v>-1.1006132269310001</v>
      </c>
      <c r="AH1726">
        <v>8.2979706873301105</v>
      </c>
      <c r="AI1726">
        <v>95.868395812875903</v>
      </c>
      <c r="AJ1726">
        <v>50.797689379416802</v>
      </c>
      <c r="AK1726">
        <v>10.7645914190638</v>
      </c>
      <c r="AL1726">
        <v>79.108124307446104</v>
      </c>
      <c r="AM1726">
        <v>65.996013588942702</v>
      </c>
      <c r="AN1726">
        <v>0.99999998224020403</v>
      </c>
    </row>
    <row r="1727" spans="1:40" x14ac:dyDescent="0.25">
      <c r="A1727" t="str">
        <f>"20190312172117203"</f>
        <v>20190312172117203</v>
      </c>
      <c r="B1727" t="str">
        <f>"1552382477193123"</f>
        <v>1552382477193123</v>
      </c>
      <c r="C1727" t="s">
        <v>40</v>
      </c>
      <c r="D1727">
        <v>3.3495759999999999</v>
      </c>
      <c r="E1727">
        <v>0.59858440000000002</v>
      </c>
      <c r="F1727" t="s">
        <v>44</v>
      </c>
      <c r="G1727">
        <v>-191.28559999999999</v>
      </c>
      <c r="H1727" s="1">
        <v>-1.1654629999999999E-6</v>
      </c>
      <c r="I1727">
        <v>350.99369999999999</v>
      </c>
      <c r="J1727">
        <v>-193.87549999999999</v>
      </c>
      <c r="K1727">
        <v>1.100598</v>
      </c>
      <c r="L1727">
        <v>361.476</v>
      </c>
      <c r="M1727">
        <v>0.79844839999999995</v>
      </c>
      <c r="N1727">
        <v>0</v>
      </c>
      <c r="O1727">
        <v>-0.60189859999999995</v>
      </c>
      <c r="P1727">
        <v>0.48253879999999999</v>
      </c>
      <c r="Q1727">
        <v>0.18555959999999999</v>
      </c>
      <c r="R1727">
        <v>-0.85599329999999996</v>
      </c>
      <c r="S1727">
        <v>0.79904169999999997</v>
      </c>
      <c r="T1727">
        <v>-0.32585609999999998</v>
      </c>
      <c r="U1727">
        <v>-3.1300050000000001</v>
      </c>
      <c r="V1727">
        <v>0.39764840000000001</v>
      </c>
      <c r="W1727">
        <v>0.1888686</v>
      </c>
      <c r="X1727">
        <v>0.89788880000000004</v>
      </c>
      <c r="Y1727">
        <v>0.62438870000000002</v>
      </c>
      <c r="Z1727">
        <v>3.237458E-2</v>
      </c>
      <c r="AA1727">
        <v>0.78044259999999999</v>
      </c>
      <c r="AB1727">
        <v>27</v>
      </c>
      <c r="AC1727">
        <v>2.5899000000000001</v>
      </c>
      <c r="AD1727">
        <v>-1.1005991654629901</v>
      </c>
      <c r="AE1727">
        <v>-10.4823</v>
      </c>
      <c r="AF1727">
        <v>6.7413516693132403</v>
      </c>
      <c r="AG1727">
        <v>-1.1005991654629901</v>
      </c>
      <c r="AH1727">
        <v>8.2918620351351997</v>
      </c>
      <c r="AI1727">
        <v>95.880154606487196</v>
      </c>
      <c r="AJ1727">
        <v>50.888606993655102</v>
      </c>
      <c r="AK1727">
        <v>10.7430031584323</v>
      </c>
      <c r="AL1727">
        <v>79.113235067907794</v>
      </c>
      <c r="AM1727">
        <v>66.1128635544204</v>
      </c>
      <c r="AN1727">
        <v>0.99999994762697797</v>
      </c>
    </row>
    <row r="1728" spans="1:40" x14ac:dyDescent="0.25">
      <c r="A1728" t="str">
        <f>"20190312172117216"</f>
        <v>20190312172117216</v>
      </c>
      <c r="B1728" t="str">
        <f>"1552382477212643"</f>
        <v>1552382477212643</v>
      </c>
      <c r="C1728" t="s">
        <v>40</v>
      </c>
      <c r="D1728">
        <v>3.4078349999999999</v>
      </c>
      <c r="E1728">
        <v>0.59704630000000003</v>
      </c>
      <c r="F1728" t="s">
        <v>42</v>
      </c>
      <c r="G1728">
        <v>-190.3646</v>
      </c>
      <c r="H1728" s="1">
        <v>-3.5704869999999998E-6</v>
      </c>
      <c r="I1728">
        <v>347.6859</v>
      </c>
      <c r="J1728">
        <v>-193.76050000000001</v>
      </c>
      <c r="K1728">
        <v>1.1005849999999999</v>
      </c>
      <c r="L1728">
        <v>361.37979999999999</v>
      </c>
      <c r="M1728">
        <v>0.79390050000000001</v>
      </c>
      <c r="N1728">
        <v>0</v>
      </c>
      <c r="O1728">
        <v>-0.60788430000000004</v>
      </c>
      <c r="P1728">
        <v>0.47815029999999997</v>
      </c>
      <c r="Q1728">
        <v>0.1855994</v>
      </c>
      <c r="R1728">
        <v>-0.85844359999999997</v>
      </c>
      <c r="S1728">
        <v>0.79228209999999999</v>
      </c>
      <c r="T1728">
        <v>-0.2483641</v>
      </c>
      <c r="U1728">
        <v>-3.1119080000000001</v>
      </c>
      <c r="V1728">
        <v>0.39548840000000002</v>
      </c>
      <c r="W1728">
        <v>0.18896550000000001</v>
      </c>
      <c r="X1728">
        <v>0.89882189999999995</v>
      </c>
      <c r="Y1728">
        <v>0.61920339999999996</v>
      </c>
      <c r="Z1728">
        <v>2.5669609999999999E-2</v>
      </c>
      <c r="AA1728">
        <v>0.78481089999999998</v>
      </c>
      <c r="AB1728">
        <v>27</v>
      </c>
      <c r="AC1728">
        <v>3.3959000000000099</v>
      </c>
      <c r="AD1728">
        <v>-1.100588570487</v>
      </c>
      <c r="AE1728">
        <v>-13.6938999999999</v>
      </c>
      <c r="AF1728">
        <v>8.7548793472540005</v>
      </c>
      <c r="AG1728">
        <v>-1.100588570487</v>
      </c>
      <c r="AH1728">
        <v>10.954746286022001</v>
      </c>
      <c r="AI1728">
        <v>94.4875211736301</v>
      </c>
      <c r="AJ1728">
        <v>51.368642964757697</v>
      </c>
      <c r="AK1728">
        <v>14.066473395189499</v>
      </c>
      <c r="AL1728">
        <v>79.107581009411902</v>
      </c>
      <c r="AM1728">
        <v>66.250144269847098</v>
      </c>
      <c r="AN1728">
        <v>0.99999992132220705</v>
      </c>
    </row>
    <row r="1729" spans="1:40" x14ac:dyDescent="0.25">
      <c r="A1729" t="str">
        <f>"20190312172117234"</f>
        <v>20190312172117234</v>
      </c>
      <c r="B1729" t="str">
        <f>"1552382477222403"</f>
        <v>1552382477222403</v>
      </c>
      <c r="C1729" t="s">
        <v>40</v>
      </c>
      <c r="D1729">
        <v>3.374536</v>
      </c>
      <c r="E1729">
        <v>0.59674749999999999</v>
      </c>
      <c r="F1729" t="s">
        <v>42</v>
      </c>
      <c r="G1729">
        <v>-190.25909999999999</v>
      </c>
      <c r="H1729" s="1">
        <v>-3.4834910000000002E-6</v>
      </c>
      <c r="I1729">
        <v>347.54849999999999</v>
      </c>
      <c r="J1729">
        <v>-193.5994</v>
      </c>
      <c r="K1729">
        <v>1.100573</v>
      </c>
      <c r="L1729">
        <v>361.24239999999998</v>
      </c>
      <c r="M1729">
        <v>0.78738529999999995</v>
      </c>
      <c r="N1729">
        <v>0</v>
      </c>
      <c r="O1729">
        <v>-0.61629969999999901</v>
      </c>
      <c r="P1729">
        <v>0.47258790000000001</v>
      </c>
      <c r="Q1729">
        <v>0.1863253</v>
      </c>
      <c r="R1729">
        <v>-0.86136159999999995</v>
      </c>
      <c r="S1729">
        <v>0.78721619999999903</v>
      </c>
      <c r="T1729">
        <v>-0.2474422</v>
      </c>
      <c r="U1729">
        <v>-3.1096499999999998</v>
      </c>
      <c r="V1729">
        <v>0.39162429999999998</v>
      </c>
      <c r="W1729">
        <v>0.1897962</v>
      </c>
      <c r="X1729">
        <v>0.90033759999999996</v>
      </c>
      <c r="Y1729">
        <v>0.61191280000000003</v>
      </c>
      <c r="Z1729">
        <v>2.673681E-2</v>
      </c>
      <c r="AA1729">
        <v>0.79047319999999999</v>
      </c>
      <c r="AB1729">
        <v>27</v>
      </c>
      <c r="AC1729">
        <v>3.3403000000000098</v>
      </c>
      <c r="AD1729">
        <v>-1.1005764834909999</v>
      </c>
      <c r="AE1729">
        <v>-13.6938999999999</v>
      </c>
      <c r="AF1729">
        <v>8.6717502268577906</v>
      </c>
      <c r="AG1729">
        <v>-1.1005764834909999</v>
      </c>
      <c r="AH1729">
        <v>11.0036669853463</v>
      </c>
      <c r="AI1729">
        <v>94.491732884796505</v>
      </c>
      <c r="AJ1729">
        <v>51.759125521508103</v>
      </c>
      <c r="AK1729">
        <v>14.0531565036977</v>
      </c>
      <c r="AL1729">
        <v>79.059109004277602</v>
      </c>
      <c r="AM1729">
        <v>66.4921668091865</v>
      </c>
      <c r="AN1729">
        <v>0.99999999192934497</v>
      </c>
    </row>
    <row r="1730" spans="1:40" x14ac:dyDescent="0.25">
      <c r="A1730" t="str">
        <f>"20190312172117245"</f>
        <v>20190312172117245</v>
      </c>
      <c r="B1730" t="str">
        <f>"1552382477242899"</f>
        <v>1552382477242899</v>
      </c>
      <c r="C1730" t="s">
        <v>40</v>
      </c>
      <c r="D1730">
        <v>3.3968929999999999</v>
      </c>
      <c r="E1730">
        <v>0.59581589999999995</v>
      </c>
      <c r="F1730" t="s">
        <v>42</v>
      </c>
      <c r="G1730">
        <v>-190.2</v>
      </c>
      <c r="H1730" s="1">
        <v>-3.4474869999999999E-6</v>
      </c>
      <c r="I1730">
        <v>347.50119999999998</v>
      </c>
      <c r="J1730">
        <v>-193.49359999999999</v>
      </c>
      <c r="K1730">
        <v>1.1005640000000001</v>
      </c>
      <c r="L1730">
        <v>361.1506</v>
      </c>
      <c r="M1730">
        <v>0.78301690000000002</v>
      </c>
      <c r="N1730">
        <v>0</v>
      </c>
      <c r="O1730">
        <v>-0.62184069999999902</v>
      </c>
      <c r="P1730">
        <v>0.46834110000000001</v>
      </c>
      <c r="Q1730">
        <v>0.1865416</v>
      </c>
      <c r="R1730">
        <v>-0.86363140000000005</v>
      </c>
      <c r="S1730">
        <v>0.770401</v>
      </c>
      <c r="T1730">
        <v>-0.2494258</v>
      </c>
      <c r="U1730">
        <v>-3.1141969999999999</v>
      </c>
      <c r="V1730">
        <v>0.38967170000000001</v>
      </c>
      <c r="W1730">
        <v>0.19006529999999999</v>
      </c>
      <c r="X1730">
        <v>0.90112769999999998</v>
      </c>
      <c r="Y1730">
        <v>0.61063020000000001</v>
      </c>
      <c r="Z1730">
        <v>2.7547820000000001E-2</v>
      </c>
      <c r="AA1730">
        <v>0.79143660000000005</v>
      </c>
      <c r="AB1730">
        <v>27</v>
      </c>
      <c r="AC1730">
        <v>3.2935999999999899</v>
      </c>
      <c r="AD1730">
        <v>-1.100567447487</v>
      </c>
      <c r="AE1730">
        <v>-13.6494</v>
      </c>
      <c r="AF1730">
        <v>8.5877146366574806</v>
      </c>
      <c r="AG1730">
        <v>-1.100567447487</v>
      </c>
      <c r="AH1730">
        <v>11.000214738181301</v>
      </c>
      <c r="AI1730">
        <v>94.509191226797796</v>
      </c>
      <c r="AJ1730">
        <v>52.021336768197301</v>
      </c>
      <c r="AK1730">
        <v>13.9987433605031</v>
      </c>
      <c r="AL1730">
        <v>79.043404854291893</v>
      </c>
      <c r="AM1730">
        <v>66.615054444524006</v>
      </c>
      <c r="AN1730">
        <v>0.99999999187613398</v>
      </c>
    </row>
    <row r="1731" spans="1:40" x14ac:dyDescent="0.25">
      <c r="A1731" t="str">
        <f>"20190312172117257"</f>
        <v>20190312172117257</v>
      </c>
      <c r="B1731" t="str">
        <f>"1552382477252660"</f>
        <v>1552382477252660</v>
      </c>
      <c r="C1731" t="s">
        <v>40</v>
      </c>
      <c r="D1731">
        <v>3.3904040000000002</v>
      </c>
      <c r="E1731">
        <v>0.59581589999999995</v>
      </c>
      <c r="F1731" t="s">
        <v>42</v>
      </c>
      <c r="G1731">
        <v>-190.0539</v>
      </c>
      <c r="H1731" s="1">
        <v>-3.2354559999999998E-6</v>
      </c>
      <c r="I1731">
        <v>347.0976</v>
      </c>
      <c r="J1731">
        <v>-193.38210000000001</v>
      </c>
      <c r="K1731">
        <v>1.1005549999999999</v>
      </c>
      <c r="L1731">
        <v>361.05259999999998</v>
      </c>
      <c r="M1731">
        <v>0.77834019999999904</v>
      </c>
      <c r="N1731">
        <v>0</v>
      </c>
      <c r="O1731">
        <v>-0.62768419999999903</v>
      </c>
      <c r="P1731">
        <v>0.4632328</v>
      </c>
      <c r="Q1731">
        <v>0.18702189999999999</v>
      </c>
      <c r="R1731">
        <v>-0.86627849999999995</v>
      </c>
      <c r="S1731">
        <v>0.76197809999999999</v>
      </c>
      <c r="T1731">
        <v>-0.2438034</v>
      </c>
      <c r="U1731">
        <v>-3.1130979999999999</v>
      </c>
      <c r="V1731">
        <v>0.38817950000000001</v>
      </c>
      <c r="W1731">
        <v>0.190585</v>
      </c>
      <c r="X1731">
        <v>0.90166179999999996</v>
      </c>
      <c r="Y1731">
        <v>0.60667340000000003</v>
      </c>
      <c r="Z1731">
        <v>2.7683619999999999E-2</v>
      </c>
      <c r="AA1731">
        <v>0.79446909999999904</v>
      </c>
      <c r="AB1731">
        <v>26</v>
      </c>
      <c r="AC1731">
        <v>3.3281999999999998</v>
      </c>
      <c r="AD1731">
        <v>-1.100558235456</v>
      </c>
      <c r="AE1731">
        <v>-13.954999999999901</v>
      </c>
      <c r="AF1731">
        <v>8.7222226901851503</v>
      </c>
      <c r="AG1731">
        <v>-1.100558235456</v>
      </c>
      <c r="AH1731">
        <v>11.2845262245919</v>
      </c>
      <c r="AI1731">
        <v>94.412467498939804</v>
      </c>
      <c r="AJ1731">
        <v>52.298252778923903</v>
      </c>
      <c r="AK1731">
        <v>14.3048568395602</v>
      </c>
      <c r="AL1731">
        <v>79.013073731907198</v>
      </c>
      <c r="AM1731">
        <v>66.707366479684893</v>
      </c>
      <c r="AN1731">
        <v>0.99999998401224399</v>
      </c>
    </row>
    <row r="1732" spans="1:40" x14ac:dyDescent="0.25">
      <c r="A1732" t="str">
        <f>"20190312172117270"</f>
        <v>20190312172117270</v>
      </c>
      <c r="B1732" t="str">
        <f>"1552382477262419"</f>
        <v>1552382477262419</v>
      </c>
      <c r="C1732" t="s">
        <v>40</v>
      </c>
      <c r="D1732">
        <v>3.3478659999999998</v>
      </c>
      <c r="E1732">
        <v>0.61792190000000002</v>
      </c>
      <c r="F1732" t="s">
        <v>42</v>
      </c>
      <c r="G1732">
        <v>-190.00829999999999</v>
      </c>
      <c r="H1732" s="1">
        <v>-3.1468070000000001E-6</v>
      </c>
      <c r="I1732">
        <v>346.91930000000002</v>
      </c>
      <c r="J1732">
        <v>-193.2731</v>
      </c>
      <c r="K1732">
        <v>1.1005480000000001</v>
      </c>
      <c r="L1732">
        <v>360.95490000000001</v>
      </c>
      <c r="M1732">
        <v>0.77367390000000003</v>
      </c>
      <c r="N1732">
        <v>0</v>
      </c>
      <c r="O1732">
        <v>-0.63342679999999996</v>
      </c>
      <c r="P1732">
        <v>0.45825739999999998</v>
      </c>
      <c r="Q1732">
        <v>0.18730569999999999</v>
      </c>
      <c r="R1732">
        <v>-0.86885979999999996</v>
      </c>
      <c r="S1732">
        <v>0.74421689999999996</v>
      </c>
      <c r="T1732">
        <v>-0.2427648</v>
      </c>
      <c r="U1732">
        <v>-3.1175839999999999</v>
      </c>
      <c r="V1732">
        <v>0.38663720000000001</v>
      </c>
      <c r="W1732">
        <v>0.1909103</v>
      </c>
      <c r="X1732">
        <v>0.90225549999999999</v>
      </c>
      <c r="Y1732">
        <v>0.60534259999999995</v>
      </c>
      <c r="Z1732">
        <v>2.8171959999999999E-2</v>
      </c>
      <c r="AA1732">
        <v>0.79546629999999996</v>
      </c>
      <c r="AB1732">
        <v>26</v>
      </c>
      <c r="AC1732">
        <v>3.2648000000000001</v>
      </c>
      <c r="AD1732">
        <v>-1.1005511468069999</v>
      </c>
      <c r="AE1732">
        <v>-14.035599999999899</v>
      </c>
      <c r="AF1732">
        <v>8.7408579176403496</v>
      </c>
      <c r="AG1732">
        <v>-1.1005511468069999</v>
      </c>
      <c r="AH1732">
        <v>11.3513432733023</v>
      </c>
      <c r="AI1732">
        <v>94.3927176039453</v>
      </c>
      <c r="AJ1732">
        <v>52.402703470928202</v>
      </c>
      <c r="AK1732">
        <v>14.3689527826999</v>
      </c>
      <c r="AL1732">
        <v>78.994087278307106</v>
      </c>
      <c r="AM1732">
        <v>66.803755519213496</v>
      </c>
      <c r="AN1732">
        <v>1.00000002717508</v>
      </c>
    </row>
    <row r="1733" spans="1:40" x14ac:dyDescent="0.25">
      <c r="A1733" t="str">
        <f>"20190312172117290"</f>
        <v>20190312172117290</v>
      </c>
      <c r="B1733" t="str">
        <f>"1552382477282914"</f>
        <v>1552382477282914</v>
      </c>
      <c r="C1733" t="s">
        <v>40</v>
      </c>
      <c r="D1733">
        <v>3.3755220000000001</v>
      </c>
      <c r="E1733">
        <v>0.62255360000000004</v>
      </c>
      <c r="F1733" t="s">
        <v>42</v>
      </c>
      <c r="G1733">
        <v>-189.28569999999999</v>
      </c>
      <c r="H1733" s="1">
        <v>-3.9603479999999996E-6</v>
      </c>
      <c r="I1733">
        <v>338.56909999999999</v>
      </c>
      <c r="J1733">
        <v>-193.08760000000001</v>
      </c>
      <c r="K1733">
        <v>1.10053</v>
      </c>
      <c r="L1733">
        <v>360.78559999999999</v>
      </c>
      <c r="M1733">
        <v>0.76555810000000002</v>
      </c>
      <c r="N1733">
        <v>0</v>
      </c>
      <c r="O1733">
        <v>-0.6432118</v>
      </c>
      <c r="P1733">
        <v>0.44944109999999998</v>
      </c>
      <c r="Q1733">
        <v>0.1878592</v>
      </c>
      <c r="R1733">
        <v>-0.8733339</v>
      </c>
      <c r="S1733">
        <v>0.56770319999999996</v>
      </c>
      <c r="T1733">
        <v>-0.15668899999999999</v>
      </c>
      <c r="U1733">
        <v>-3.1871339999999999</v>
      </c>
      <c r="V1733">
        <v>0.38421810000000001</v>
      </c>
      <c r="W1733">
        <v>0.19152759999999999</v>
      </c>
      <c r="X1733">
        <v>0.9031576</v>
      </c>
      <c r="Y1733">
        <v>0.64086509999999997</v>
      </c>
      <c r="Z1733">
        <v>1.7685530000000001E-2</v>
      </c>
      <c r="AA1733">
        <v>0.76744969999999901</v>
      </c>
      <c r="AB1733">
        <v>26</v>
      </c>
      <c r="AC1733">
        <v>3.80190000000001</v>
      </c>
      <c r="AD1733">
        <v>-1.100533960348</v>
      </c>
      <c r="AE1733">
        <v>-22.2165</v>
      </c>
      <c r="AF1733">
        <v>14.5294073279556</v>
      </c>
      <c r="AG1733">
        <v>-1.100533960348</v>
      </c>
      <c r="AH1733">
        <v>17.1612914345787</v>
      </c>
      <c r="AI1733">
        <v>92.802013921629694</v>
      </c>
      <c r="AJ1733">
        <v>49.747468425632398</v>
      </c>
      <c r="AK1733">
        <v>22.5127691766711</v>
      </c>
      <c r="AL1733">
        <v>78.9580534906911</v>
      </c>
      <c r="AM1733">
        <v>66.954300685188201</v>
      </c>
      <c r="AN1733">
        <v>1.00000001018356</v>
      </c>
    </row>
    <row r="1734" spans="1:40" x14ac:dyDescent="0.25">
      <c r="A1734" t="str">
        <f>"20190312172117301"</f>
        <v>20190312172117301</v>
      </c>
      <c r="B1734" t="str">
        <f>"1552382477292197"</f>
        <v>1552382477292197</v>
      </c>
      <c r="C1734" t="s">
        <v>40</v>
      </c>
      <c r="D1734">
        <v>3.328427</v>
      </c>
      <c r="E1734">
        <v>0.62383129999999998</v>
      </c>
      <c r="F1734" t="s">
        <v>42</v>
      </c>
      <c r="G1734">
        <v>-188.9956</v>
      </c>
      <c r="H1734" s="1">
        <v>-2.3272170000000002E-6</v>
      </c>
      <c r="I1734">
        <v>334.64229999999998</v>
      </c>
      <c r="J1734">
        <v>-192.9846</v>
      </c>
      <c r="K1734">
        <v>1.1005229999999999</v>
      </c>
      <c r="L1734">
        <v>360.68990000000002</v>
      </c>
      <c r="M1734">
        <v>0.760953199999999</v>
      </c>
      <c r="N1734">
        <v>0</v>
      </c>
      <c r="O1734">
        <v>-0.64865309999999998</v>
      </c>
      <c r="P1734">
        <v>0.44421709999999898</v>
      </c>
      <c r="Q1734">
        <v>0.1879142</v>
      </c>
      <c r="R1734">
        <v>-0.87599069999999901</v>
      </c>
      <c r="S1734">
        <v>0.50180049999999998</v>
      </c>
      <c r="T1734">
        <v>-0.13495750000000001</v>
      </c>
      <c r="U1734">
        <v>-3.2059329999999999</v>
      </c>
      <c r="V1734">
        <v>0.38316630000000002</v>
      </c>
      <c r="W1734">
        <v>0.19160859999999999</v>
      </c>
      <c r="X1734">
        <v>0.90358709999999998</v>
      </c>
      <c r="Y1734">
        <v>0.65147919999999904</v>
      </c>
      <c r="Z1734">
        <v>1.5245979999999999E-2</v>
      </c>
      <c r="AA1734">
        <v>0.75851329999999995</v>
      </c>
      <c r="AB1734">
        <v>26</v>
      </c>
      <c r="AC1734">
        <v>3.9889999999999999</v>
      </c>
      <c r="AD1734">
        <v>-1.1005253272169999</v>
      </c>
      <c r="AE1734">
        <v>-26.047599999999999</v>
      </c>
      <c r="AF1734">
        <v>17.205236237257001</v>
      </c>
      <c r="AG1734">
        <v>-1.1005253272169999</v>
      </c>
      <c r="AH1734">
        <v>19.898578933825402</v>
      </c>
      <c r="AI1734">
        <v>92.395657472070695</v>
      </c>
      <c r="AJ1734">
        <v>49.151782740615701</v>
      </c>
      <c r="AK1734">
        <v>26.328402032051802</v>
      </c>
      <c r="AL1734">
        <v>78.953324375130094</v>
      </c>
      <c r="AM1734">
        <v>67.020617067521101</v>
      </c>
      <c r="AN1734">
        <v>0.999999958168029</v>
      </c>
    </row>
    <row r="1735" spans="1:40" x14ac:dyDescent="0.25">
      <c r="A1735" t="str">
        <f>"20190312172117315"</f>
        <v>20190312172117315</v>
      </c>
      <c r="B1735" t="str">
        <f>"1552382477312693"</f>
        <v>1552382477312693</v>
      </c>
      <c r="C1735" t="s">
        <v>40</v>
      </c>
      <c r="D1735">
        <v>3.2965749999999998</v>
      </c>
      <c r="E1735">
        <v>0.62505659999999996</v>
      </c>
      <c r="F1735" t="s">
        <v>42</v>
      </c>
      <c r="G1735">
        <v>-189.0865</v>
      </c>
      <c r="H1735" s="1">
        <v>-2.1266539999999999E-6</v>
      </c>
      <c r="I1735">
        <v>334.21230000000003</v>
      </c>
      <c r="J1735">
        <v>-192.8681</v>
      </c>
      <c r="K1735">
        <v>1.100514</v>
      </c>
      <c r="L1735">
        <v>360.57960000000003</v>
      </c>
      <c r="M1735">
        <v>0.75564330000000002</v>
      </c>
      <c r="N1735">
        <v>0</v>
      </c>
      <c r="O1735">
        <v>-0.65483089999999999</v>
      </c>
      <c r="P1735">
        <v>0.43785659999999998</v>
      </c>
      <c r="Q1735">
        <v>0.18786310000000001</v>
      </c>
      <c r="R1735">
        <v>-0.87919799999999904</v>
      </c>
      <c r="S1735">
        <v>0.47309879999999999</v>
      </c>
      <c r="T1735">
        <v>-0.13356609999999999</v>
      </c>
      <c r="U1735">
        <v>-3.21347</v>
      </c>
      <c r="V1735">
        <v>0.38236189999999998</v>
      </c>
      <c r="W1735">
        <v>0.19157399999999999</v>
      </c>
      <c r="X1735">
        <v>0.90393509999999999</v>
      </c>
      <c r="Y1735">
        <v>0.65219629999999995</v>
      </c>
      <c r="Z1735">
        <v>1.5392380000000001E-2</v>
      </c>
      <c r="AA1735">
        <v>0.75789390000000001</v>
      </c>
      <c r="AB1735">
        <v>26</v>
      </c>
      <c r="AC1735">
        <v>3.7815999999999899</v>
      </c>
      <c r="AD1735">
        <v>-1.100516126654</v>
      </c>
      <c r="AE1735">
        <v>-26.3673</v>
      </c>
      <c r="AF1735">
        <v>17.4199725557839</v>
      </c>
      <c r="AG1735">
        <v>-1.100516126654</v>
      </c>
      <c r="AH1735">
        <v>20.091378261560401</v>
      </c>
      <c r="AI1735">
        <v>92.369872860472</v>
      </c>
      <c r="AJ1735">
        <v>49.073494942613699</v>
      </c>
      <c r="AK1735">
        <v>26.614470876543699</v>
      </c>
      <c r="AL1735">
        <v>78.955344052473095</v>
      </c>
      <c r="AM1735">
        <v>67.071780241285197</v>
      </c>
      <c r="AN1735">
        <v>0.99999994252980795</v>
      </c>
    </row>
    <row r="1736" spans="1:40" x14ac:dyDescent="0.25">
      <c r="A1736" t="str">
        <f>"20190312172117335"</f>
        <v>20190312172117335</v>
      </c>
      <c r="B1736" t="str">
        <f>"1552382477332212"</f>
        <v>1552382477332212</v>
      </c>
      <c r="C1736" t="s">
        <v>40</v>
      </c>
      <c r="D1736">
        <v>3.296834</v>
      </c>
      <c r="E1736">
        <v>0.62546630000000003</v>
      </c>
      <c r="F1736" t="s">
        <v>42</v>
      </c>
      <c r="G1736">
        <v>-189.2791</v>
      </c>
      <c r="H1736" s="1">
        <v>-2.1522319999999999E-6</v>
      </c>
      <c r="I1736">
        <v>334.35160000000002</v>
      </c>
      <c r="J1736">
        <v>-192.69810000000001</v>
      </c>
      <c r="K1736">
        <v>1.100501</v>
      </c>
      <c r="L1736">
        <v>360.41539999999998</v>
      </c>
      <c r="M1736">
        <v>0.74772240000000001</v>
      </c>
      <c r="N1736">
        <v>0</v>
      </c>
      <c r="O1736">
        <v>-0.66386119999999904</v>
      </c>
      <c r="P1736">
        <v>0.4286181</v>
      </c>
      <c r="Q1736">
        <v>0.18767780000000001</v>
      </c>
      <c r="R1736">
        <v>-0.88377799999999995</v>
      </c>
      <c r="S1736">
        <v>0.44082640000000001</v>
      </c>
      <c r="T1736">
        <v>-0.13517270000000001</v>
      </c>
      <c r="U1736">
        <v>-3.2214969999999998</v>
      </c>
      <c r="V1736">
        <v>0.3810018</v>
      </c>
      <c r="W1736">
        <v>0.19141900000000001</v>
      </c>
      <c r="X1736">
        <v>0.90454210000000002</v>
      </c>
      <c r="Y1736">
        <v>0.65080569999999904</v>
      </c>
      <c r="Z1736">
        <v>1.609056E-2</v>
      </c>
      <c r="AA1736">
        <v>0.75907380000000002</v>
      </c>
      <c r="AB1736">
        <v>26</v>
      </c>
      <c r="AC1736">
        <v>3.4190000000000098</v>
      </c>
      <c r="AD1736">
        <v>-1.1005031522319999</v>
      </c>
      <c r="AE1736">
        <v>-26.063799999999901</v>
      </c>
      <c r="AF1736">
        <v>17.190334844237402</v>
      </c>
      <c r="AG1736">
        <v>-1.1005031522319999</v>
      </c>
      <c r="AH1736">
        <v>19.8264408841486</v>
      </c>
      <c r="AI1736">
        <v>92.401471596472206</v>
      </c>
      <c r="AJ1736">
        <v>49.073374757222197</v>
      </c>
      <c r="AK1736">
        <v>26.264167174645301</v>
      </c>
      <c r="AL1736">
        <v>78.964393083716303</v>
      </c>
      <c r="AM1736">
        <v>67.158707824942894</v>
      </c>
      <c r="AN1736">
        <v>1.00000000791832</v>
      </c>
    </row>
    <row r="1737" spans="1:40" x14ac:dyDescent="0.25">
      <c r="A1737" t="str">
        <f>"20190312172117357"</f>
        <v>20190312172117357</v>
      </c>
      <c r="B1737" t="str">
        <f>"1552382477342949"</f>
        <v>1552382477342949</v>
      </c>
      <c r="C1737" t="s">
        <v>40</v>
      </c>
      <c r="D1737">
        <v>3.312125</v>
      </c>
      <c r="E1737">
        <v>0.62549699999999997</v>
      </c>
      <c r="F1737" t="s">
        <v>42</v>
      </c>
      <c r="G1737">
        <v>-189.44880000000001</v>
      </c>
      <c r="H1737" s="1">
        <v>-2.1622069999999998E-6</v>
      </c>
      <c r="I1737">
        <v>334.44499999999999</v>
      </c>
      <c r="J1737">
        <v>-192.5112</v>
      </c>
      <c r="K1737">
        <v>1.1004890000000001</v>
      </c>
      <c r="L1737">
        <v>360.23050000000001</v>
      </c>
      <c r="M1737">
        <v>0.7387686</v>
      </c>
      <c r="N1737">
        <v>0</v>
      </c>
      <c r="O1737">
        <v>-0.67381150000000001</v>
      </c>
      <c r="P1737">
        <v>0.41802509999999998</v>
      </c>
      <c r="Q1737">
        <v>0.1879499</v>
      </c>
      <c r="R1737">
        <v>-0.88878020000000002</v>
      </c>
      <c r="S1737">
        <v>0.40383910000000001</v>
      </c>
      <c r="T1737">
        <v>-0.13677690000000001</v>
      </c>
      <c r="U1737">
        <v>-3.2277529999999999</v>
      </c>
      <c r="V1737">
        <v>0.3796678</v>
      </c>
      <c r="W1737">
        <v>0.191719</v>
      </c>
      <c r="X1737">
        <v>0.90503940000000005</v>
      </c>
      <c r="Y1737">
        <v>0.64939250000000004</v>
      </c>
      <c r="Z1737">
        <v>1.6864279999999999E-2</v>
      </c>
      <c r="AA1737">
        <v>0.76026640000000001</v>
      </c>
      <c r="AB1737">
        <v>26</v>
      </c>
      <c r="AC1737">
        <v>3.06239999999999</v>
      </c>
      <c r="AD1737">
        <v>-1.1004911622069999</v>
      </c>
      <c r="AE1737">
        <v>-25.785499999999999</v>
      </c>
      <c r="AF1737">
        <v>16.957270360182498</v>
      </c>
      <c r="AG1737">
        <v>-1.1004911622069999</v>
      </c>
      <c r="AH1737">
        <v>19.603714814995801</v>
      </c>
      <c r="AI1737">
        <v>92.431144532375399</v>
      </c>
      <c r="AJ1737">
        <v>49.140099199680002</v>
      </c>
      <c r="AK1737">
        <v>25.9435104296644</v>
      </c>
      <c r="AL1737">
        <v>78.946880625115298</v>
      </c>
      <c r="AM1737">
        <v>67.241747738693405</v>
      </c>
      <c r="AN1737">
        <v>1.0000000644350899</v>
      </c>
    </row>
    <row r="1738" spans="1:40" x14ac:dyDescent="0.25">
      <c r="A1738" t="str">
        <f>"20190312172117369"</f>
        <v>20190312172117369</v>
      </c>
      <c r="B1738" t="str">
        <f>"1552382477362470"</f>
        <v>1552382477362470</v>
      </c>
      <c r="C1738" t="s">
        <v>40</v>
      </c>
      <c r="D1738">
        <v>3.301199</v>
      </c>
      <c r="E1738">
        <v>0.62520010000000004</v>
      </c>
      <c r="F1738" t="s">
        <v>42</v>
      </c>
      <c r="G1738">
        <v>-189.58080000000001</v>
      </c>
      <c r="H1738" s="1">
        <v>-2.079862E-6</v>
      </c>
      <c r="I1738">
        <v>334.30759999999998</v>
      </c>
      <c r="J1738">
        <v>-192.40610000000001</v>
      </c>
      <c r="K1738">
        <v>1.1004830000000001</v>
      </c>
      <c r="L1738">
        <v>360.12400000000002</v>
      </c>
      <c r="M1738">
        <v>0.73360179999999997</v>
      </c>
      <c r="N1738">
        <v>0</v>
      </c>
      <c r="O1738">
        <v>-0.67943290000000001</v>
      </c>
      <c r="P1738">
        <v>0.4119313</v>
      </c>
      <c r="Q1738">
        <v>0.1880926</v>
      </c>
      <c r="R1738">
        <v>-0.89159100000000002</v>
      </c>
      <c r="S1738">
        <v>0.36541750000000001</v>
      </c>
      <c r="T1738">
        <v>-0.1372284</v>
      </c>
      <c r="U1738">
        <v>-3.232513</v>
      </c>
      <c r="V1738">
        <v>0.37893369999999998</v>
      </c>
      <c r="W1738">
        <v>0.19187770000000001</v>
      </c>
      <c r="X1738">
        <v>0.90531329999999999</v>
      </c>
      <c r="Y1738">
        <v>0.65262810000000004</v>
      </c>
      <c r="Z1738">
        <v>1.7161249999999999E-2</v>
      </c>
      <c r="AA1738">
        <v>0.75748409999999999</v>
      </c>
      <c r="AB1738">
        <v>26</v>
      </c>
      <c r="AC1738">
        <v>2.8252999999999902</v>
      </c>
      <c r="AD1738">
        <v>-1.1004850798620001</v>
      </c>
      <c r="AE1738">
        <v>-25.816400000000002</v>
      </c>
      <c r="AF1738">
        <v>16.9905442549795</v>
      </c>
      <c r="AG1738">
        <v>-1.1004850798620001</v>
      </c>
      <c r="AH1738">
        <v>19.579954246484402</v>
      </c>
      <c r="AI1738">
        <v>92.430772392292198</v>
      </c>
      <c r="AJ1738">
        <v>49.050124437757098</v>
      </c>
      <c r="AK1738">
        <v>25.947336468043101</v>
      </c>
      <c r="AL1738">
        <v>78.937614898504407</v>
      </c>
      <c r="AM1738">
        <v>67.287454078457003</v>
      </c>
      <c r="AN1738">
        <v>0.999999985954935</v>
      </c>
    </row>
    <row r="1739" spans="1:40" x14ac:dyDescent="0.25">
      <c r="A1739" t="str">
        <f>"20190312172117381"</f>
        <v>20190312172117381</v>
      </c>
      <c r="B1739" t="str">
        <f>"1552382477372229"</f>
        <v>1552382477372229</v>
      </c>
      <c r="C1739" t="s">
        <v>40</v>
      </c>
      <c r="D1739">
        <v>3.30585</v>
      </c>
      <c r="E1739">
        <v>0.62511499999999998</v>
      </c>
      <c r="F1739" t="s">
        <v>42</v>
      </c>
      <c r="G1739">
        <v>-189.65889999999999</v>
      </c>
      <c r="H1739" s="1">
        <v>-2.121511E-6</v>
      </c>
      <c r="I1739">
        <v>334.43699999999899</v>
      </c>
      <c r="J1739">
        <v>-192.30459999999999</v>
      </c>
      <c r="K1739">
        <v>1.100479</v>
      </c>
      <c r="L1739">
        <v>360.02019999999999</v>
      </c>
      <c r="M1739">
        <v>0.72854600000000003</v>
      </c>
      <c r="N1739">
        <v>0</v>
      </c>
      <c r="O1739">
        <v>-0.68485149999999995</v>
      </c>
      <c r="P1739">
        <v>0.40590979999999999</v>
      </c>
      <c r="Q1739">
        <v>0.18802479999999999</v>
      </c>
      <c r="R1739">
        <v>-0.89436249999999995</v>
      </c>
      <c r="S1739">
        <v>0.34590149999999997</v>
      </c>
      <c r="T1739">
        <v>-0.13855990000000001</v>
      </c>
      <c r="U1739">
        <v>-3.2341920000000002</v>
      </c>
      <c r="V1739">
        <v>0.3783377</v>
      </c>
      <c r="W1739">
        <v>0.1918224</v>
      </c>
      <c r="X1739">
        <v>0.90557430000000005</v>
      </c>
      <c r="Y1739">
        <v>0.65157290000000001</v>
      </c>
      <c r="Z1739">
        <v>1.7665110000000001E-2</v>
      </c>
      <c r="AA1739">
        <v>0.75838039999999995</v>
      </c>
      <c r="AB1739">
        <v>26</v>
      </c>
      <c r="AC1739">
        <v>2.6457000000000002</v>
      </c>
      <c r="AD1739">
        <v>-1.100481121511</v>
      </c>
      <c r="AE1739">
        <v>-25.583200000000001</v>
      </c>
      <c r="AF1739">
        <v>16.797549598323201</v>
      </c>
      <c r="AG1739">
        <v>-1.100481121511</v>
      </c>
      <c r="AH1739">
        <v>19.414600077258001</v>
      </c>
      <c r="AI1739">
        <v>92.454533316894697</v>
      </c>
      <c r="AJ1739">
        <v>49.133577000320003</v>
      </c>
      <c r="AK1739">
        <v>25.696214261380899</v>
      </c>
      <c r="AL1739">
        <v>78.9408438255942</v>
      </c>
      <c r="AM1739">
        <v>67.325433514394007</v>
      </c>
      <c r="AN1739">
        <v>1.00000003060176</v>
      </c>
    </row>
    <row r="1740" spans="1:40" x14ac:dyDescent="0.25">
      <c r="A1740" t="str">
        <f>"20190312172117392"</f>
        <v>20190312172117392</v>
      </c>
      <c r="B1740" t="str">
        <f>"1552382477382966"</f>
        <v>1552382477382966</v>
      </c>
      <c r="C1740" t="s">
        <v>40</v>
      </c>
      <c r="D1740">
        <v>3.321288</v>
      </c>
      <c r="E1740">
        <v>0.62495519999999904</v>
      </c>
      <c r="F1740" t="s">
        <v>42</v>
      </c>
      <c r="G1740">
        <v>-189.7544</v>
      </c>
      <c r="H1740" s="1">
        <v>-2.182039E-6</v>
      </c>
      <c r="I1740">
        <v>334.61759999999998</v>
      </c>
      <c r="J1740">
        <v>-192.20650000000001</v>
      </c>
      <c r="K1740">
        <v>1.100474</v>
      </c>
      <c r="L1740">
        <v>359.91750000000002</v>
      </c>
      <c r="M1740">
        <v>0.72355230000000004</v>
      </c>
      <c r="N1740">
        <v>0</v>
      </c>
      <c r="O1740">
        <v>-0.69012530000000005</v>
      </c>
      <c r="P1740">
        <v>0.39997179999999999</v>
      </c>
      <c r="Q1740">
        <v>0.18838460000000001</v>
      </c>
      <c r="R1740">
        <v>-0.89695849999999899</v>
      </c>
      <c r="S1740">
        <v>0.32490540000000001</v>
      </c>
      <c r="T1740">
        <v>-0.1402031</v>
      </c>
      <c r="U1740">
        <v>-3.2363279999999999</v>
      </c>
      <c r="V1740">
        <v>0.3777182</v>
      </c>
      <c r="W1740">
        <v>0.192194</v>
      </c>
      <c r="X1740">
        <v>0.90575399999999995</v>
      </c>
      <c r="Y1740">
        <v>0.650983599999999</v>
      </c>
      <c r="Z1740">
        <v>1.8195099999999999E-2</v>
      </c>
      <c r="AA1740">
        <v>0.75887369999999899</v>
      </c>
      <c r="AB1740">
        <v>26</v>
      </c>
      <c r="AC1740">
        <v>2.4521000000000002</v>
      </c>
      <c r="AD1740">
        <v>-1.1004761820390001</v>
      </c>
      <c r="AE1740">
        <v>-25.299900000000001</v>
      </c>
      <c r="AF1740">
        <v>16.584113719836601</v>
      </c>
      <c r="AG1740">
        <v>-1.1004761820390001</v>
      </c>
      <c r="AH1740">
        <v>19.200250099673699</v>
      </c>
      <c r="AI1740">
        <v>92.483678099241402</v>
      </c>
      <c r="AJ1740">
        <v>49.181361866674898</v>
      </c>
      <c r="AK1740">
        <v>25.394752993280498</v>
      </c>
      <c r="AL1740">
        <v>78.919148034312201</v>
      </c>
      <c r="AM1740">
        <v>67.362851519231398</v>
      </c>
      <c r="AN1740">
        <v>0.99999994038161799</v>
      </c>
    </row>
    <row r="1741" spans="1:40" x14ac:dyDescent="0.25">
      <c r="A1741" t="str">
        <f>"20190312172117404"</f>
        <v>20190312172117404</v>
      </c>
      <c r="B1741" t="str">
        <f>"1552382477392257"</f>
        <v>1552382477392257</v>
      </c>
      <c r="C1741" t="s">
        <v>40</v>
      </c>
      <c r="D1741">
        <v>3.2965499999999999</v>
      </c>
      <c r="E1741">
        <v>0.62475999999999998</v>
      </c>
      <c r="F1741" t="s">
        <v>42</v>
      </c>
      <c r="G1741">
        <v>-189.82329999999999</v>
      </c>
      <c r="H1741" s="1">
        <v>-2.1729699999999998E-6</v>
      </c>
      <c r="I1741">
        <v>334.62490000000003</v>
      </c>
      <c r="J1741">
        <v>-192.11259999999999</v>
      </c>
      <c r="K1741">
        <v>1.1004700000000001</v>
      </c>
      <c r="L1741">
        <v>359.81830000000002</v>
      </c>
      <c r="M1741">
        <v>0.71871039999999997</v>
      </c>
      <c r="N1741">
        <v>0</v>
      </c>
      <c r="O1741">
        <v>-0.69516659999999997</v>
      </c>
      <c r="P1741">
        <v>0.39412320000000001</v>
      </c>
      <c r="Q1741">
        <v>0.18862429999999999</v>
      </c>
      <c r="R1741">
        <v>-0.89949369999999995</v>
      </c>
      <c r="S1741">
        <v>0.30511470000000002</v>
      </c>
      <c r="T1741">
        <v>-0.1408906</v>
      </c>
      <c r="U1741">
        <v>-3.2381289999999998</v>
      </c>
      <c r="V1741">
        <v>0.3772548</v>
      </c>
      <c r="W1741">
        <v>0.19244149999999999</v>
      </c>
      <c r="X1741">
        <v>0.90589459999999999</v>
      </c>
      <c r="Y1741">
        <v>0.65031470000000002</v>
      </c>
      <c r="Z1741">
        <v>1.85962E-2</v>
      </c>
      <c r="AA1741">
        <v>0.75943729999999998</v>
      </c>
      <c r="AB1741">
        <v>26</v>
      </c>
      <c r="AC1741">
        <v>2.2892999999999901</v>
      </c>
      <c r="AD1741">
        <v>-1.10047217297</v>
      </c>
      <c r="AE1741">
        <v>-25.1934</v>
      </c>
      <c r="AF1741">
        <v>16.485757554413901</v>
      </c>
      <c r="AG1741">
        <v>-1.10047217297</v>
      </c>
      <c r="AH1741">
        <v>19.124666687518399</v>
      </c>
      <c r="AI1741">
        <v>92.495603415680506</v>
      </c>
      <c r="AJ1741">
        <v>49.2381548818501</v>
      </c>
      <c r="AK1741">
        <v>25.2733875263107</v>
      </c>
      <c r="AL1741">
        <v>78.904697917456801</v>
      </c>
      <c r="AM1741">
        <v>67.390983380279494</v>
      </c>
      <c r="AN1741">
        <v>0.99999997067722401</v>
      </c>
    </row>
    <row r="1742" spans="1:40" x14ac:dyDescent="0.25">
      <c r="A1742" t="str">
        <f>"20190312172117416"</f>
        <v>20190312172117416</v>
      </c>
      <c r="B1742" t="str">
        <f>"1552382477412752"</f>
        <v>1552382477412752</v>
      </c>
      <c r="C1742" t="s">
        <v>40</v>
      </c>
      <c r="D1742">
        <v>3.3114539999999999</v>
      </c>
      <c r="E1742">
        <v>0.62429159999999995</v>
      </c>
      <c r="F1742" t="s">
        <v>42</v>
      </c>
      <c r="G1742">
        <v>-189.87889999999999</v>
      </c>
      <c r="H1742" s="1">
        <v>-2.1170970000000002E-6</v>
      </c>
      <c r="I1742">
        <v>334.51769999999999</v>
      </c>
      <c r="J1742">
        <v>-192.0154</v>
      </c>
      <c r="K1742">
        <v>1.1004670000000001</v>
      </c>
      <c r="L1742">
        <v>359.71420000000001</v>
      </c>
      <c r="M1742">
        <v>0.71361709999999901</v>
      </c>
      <c r="N1742">
        <v>0</v>
      </c>
      <c r="O1742">
        <v>-0.70039379999999996</v>
      </c>
      <c r="P1742">
        <v>0.38768180000000002</v>
      </c>
      <c r="Q1742">
        <v>0.1888164</v>
      </c>
      <c r="R1742">
        <v>-0.9022483</v>
      </c>
      <c r="S1742">
        <v>0.28599550000000001</v>
      </c>
      <c r="T1742">
        <v>-0.14090229999999901</v>
      </c>
      <c r="U1742">
        <v>-3.2394409999999998</v>
      </c>
      <c r="V1742">
        <v>0.37709779999999998</v>
      </c>
      <c r="W1742">
        <v>0.192632</v>
      </c>
      <c r="X1742">
        <v>0.90591949999999999</v>
      </c>
      <c r="Y1742">
        <v>0.64924559999999998</v>
      </c>
      <c r="Z1742">
        <v>1.8932640000000001E-2</v>
      </c>
      <c r="AA1742">
        <v>0.76034309999999905</v>
      </c>
      <c r="AB1742">
        <v>26</v>
      </c>
      <c r="AC1742">
        <v>2.1365000000000101</v>
      </c>
      <c r="AD1742">
        <v>-1.100469117097</v>
      </c>
      <c r="AE1742">
        <v>-25.1965</v>
      </c>
      <c r="AF1742">
        <v>16.4547395270808</v>
      </c>
      <c r="AG1742">
        <v>-1.100469117097</v>
      </c>
      <c r="AH1742">
        <v>19.137779143270599</v>
      </c>
      <c r="AI1742">
        <v>92.496613655999198</v>
      </c>
      <c r="AJ1742">
        <v>49.310924270835599</v>
      </c>
      <c r="AK1742">
        <v>25.2630971125546</v>
      </c>
      <c r="AL1742">
        <v>78.893575167755102</v>
      </c>
      <c r="AM1742">
        <v>67.400004948233502</v>
      </c>
      <c r="AN1742">
        <v>0.99999998933454404</v>
      </c>
    </row>
    <row r="1743" spans="1:40" x14ac:dyDescent="0.25">
      <c r="A1743" t="str">
        <f>"20190312172117429"</f>
        <v>20190312172117429</v>
      </c>
      <c r="B1743" t="str">
        <f>"1552382477422511"</f>
        <v>1552382477422511</v>
      </c>
      <c r="C1743" t="s">
        <v>40</v>
      </c>
      <c r="D1743">
        <v>3.2893919999999999</v>
      </c>
      <c r="E1743">
        <v>0.62396479999999999</v>
      </c>
      <c r="F1743" t="s">
        <v>42</v>
      </c>
      <c r="G1743">
        <v>-189.9333</v>
      </c>
      <c r="H1743" s="1">
        <v>-2.0707619999999999E-6</v>
      </c>
      <c r="I1743">
        <v>334.43220000000002</v>
      </c>
      <c r="J1743">
        <v>-191.9143</v>
      </c>
      <c r="K1743">
        <v>1.100465</v>
      </c>
      <c r="L1743">
        <v>359.60379999999998</v>
      </c>
      <c r="M1743">
        <v>0.70821610000000002</v>
      </c>
      <c r="N1743">
        <v>0</v>
      </c>
      <c r="O1743">
        <v>-0.705854599999999</v>
      </c>
      <c r="P1743">
        <v>0.38129800000000003</v>
      </c>
      <c r="Q1743">
        <v>0.18892500000000001</v>
      </c>
      <c r="R1743">
        <v>-0.90494160000000001</v>
      </c>
      <c r="S1743">
        <v>0.26683040000000002</v>
      </c>
      <c r="T1743">
        <v>-0.1410257</v>
      </c>
      <c r="U1743">
        <v>-3.2398989999999999</v>
      </c>
      <c r="V1743">
        <v>0.3765271</v>
      </c>
      <c r="W1743">
        <v>0.19275039999999999</v>
      </c>
      <c r="X1743">
        <v>0.90613169999999998</v>
      </c>
      <c r="Y1743">
        <v>0.64787910000000004</v>
      </c>
      <c r="Z1743">
        <v>1.9310310000000001E-2</v>
      </c>
      <c r="AA1743">
        <v>0.76149840000000002</v>
      </c>
      <c r="AB1743">
        <v>26</v>
      </c>
      <c r="AC1743">
        <v>1.9809999999999901</v>
      </c>
      <c r="AD1743">
        <v>-1.1004670707619999</v>
      </c>
      <c r="AE1743">
        <v>-25.171599999999899</v>
      </c>
      <c r="AF1743">
        <v>16.399120320003501</v>
      </c>
      <c r="AG1743">
        <v>-1.1004670707619999</v>
      </c>
      <c r="AH1743">
        <v>19.136025933581099</v>
      </c>
      <c r="AI1743">
        <v>92.500324923815796</v>
      </c>
      <c r="AJ1743">
        <v>49.404207737061299</v>
      </c>
      <c r="AK1743">
        <v>25.225575584602101</v>
      </c>
      <c r="AL1743">
        <v>78.886662083981705</v>
      </c>
      <c r="AM1743">
        <v>67.435531246475193</v>
      </c>
      <c r="AN1743">
        <v>1.00000001573972</v>
      </c>
    </row>
    <row r="1744" spans="1:40" x14ac:dyDescent="0.25">
      <c r="A1744" t="str">
        <f>"20190312172117446"</f>
        <v>20190312172117446</v>
      </c>
      <c r="B1744" t="str">
        <f>"1552382477443007"</f>
        <v>1552382477443007</v>
      </c>
      <c r="C1744" t="s">
        <v>40</v>
      </c>
      <c r="D1744">
        <v>3.2649720000000002</v>
      </c>
      <c r="E1744">
        <v>0.62321329999999997</v>
      </c>
      <c r="F1744" t="s">
        <v>42</v>
      </c>
      <c r="G1744">
        <v>-189.97989999999999</v>
      </c>
      <c r="H1744" s="1">
        <v>-1.954887E-6</v>
      </c>
      <c r="I1744">
        <v>334.1585</v>
      </c>
      <c r="J1744">
        <v>-191.7741</v>
      </c>
      <c r="K1744">
        <v>1.1004590000000001</v>
      </c>
      <c r="L1744">
        <v>359.44830000000002</v>
      </c>
      <c r="M1744">
        <v>0.70058520000000002</v>
      </c>
      <c r="N1744">
        <v>0</v>
      </c>
      <c r="O1744">
        <v>-0.71342939999999999</v>
      </c>
      <c r="P1744">
        <v>0.37228139999999998</v>
      </c>
      <c r="Q1744">
        <v>0.189189</v>
      </c>
      <c r="R1744">
        <v>-0.90863340000000004</v>
      </c>
      <c r="S1744">
        <v>0.24635309999999999</v>
      </c>
      <c r="T1744">
        <v>-0.14015169999999999</v>
      </c>
      <c r="U1744">
        <v>-3.240631</v>
      </c>
      <c r="V1744">
        <v>0.37576300000000001</v>
      </c>
      <c r="W1744">
        <v>0.1930279</v>
      </c>
      <c r="X1744">
        <v>0.90638980000000002</v>
      </c>
      <c r="Y1744">
        <v>0.64448240000000001</v>
      </c>
      <c r="Z1744">
        <v>1.9719509999999999E-2</v>
      </c>
      <c r="AA1744">
        <v>0.76436479999999996</v>
      </c>
      <c r="AB1744">
        <v>26</v>
      </c>
      <c r="AC1744">
        <v>1.79420000000001</v>
      </c>
      <c r="AD1744">
        <v>-1.1004609548869999</v>
      </c>
      <c r="AE1744">
        <v>-25.2898</v>
      </c>
      <c r="AF1744">
        <v>16.408346149282099</v>
      </c>
      <c r="AG1744">
        <v>-1.1004609548869999</v>
      </c>
      <c r="AH1744">
        <v>19.2651009121066</v>
      </c>
      <c r="AI1744">
        <v>92.490035567799495</v>
      </c>
      <c r="AJ1744">
        <v>49.578515836442698</v>
      </c>
      <c r="AK1744">
        <v>25.329606211339801</v>
      </c>
      <c r="AL1744">
        <v>78.870458433263806</v>
      </c>
      <c r="AM1744">
        <v>67.482517715915193</v>
      </c>
      <c r="AN1744">
        <v>1.00000003594572</v>
      </c>
    </row>
    <row r="1745" spans="1:40" x14ac:dyDescent="0.25">
      <c r="A1745" t="str">
        <f>"20190312172117457"</f>
        <v>20190312172117457</v>
      </c>
      <c r="B1745" t="str">
        <f>"1552382477452767"</f>
        <v>1552382477452767</v>
      </c>
      <c r="C1745" t="s">
        <v>40</v>
      </c>
      <c r="D1745">
        <v>3.2979889999999998</v>
      </c>
      <c r="E1745">
        <v>0.62292190000000003</v>
      </c>
      <c r="F1745" t="s">
        <v>42</v>
      </c>
      <c r="G1745">
        <v>-190.0463</v>
      </c>
      <c r="H1745" s="1">
        <v>-1.877193E-6</v>
      </c>
      <c r="I1745">
        <v>333.93619999999999</v>
      </c>
      <c r="J1745">
        <v>-191.6815</v>
      </c>
      <c r="K1745">
        <v>1.1004499999999999</v>
      </c>
      <c r="L1745">
        <v>359.34390000000002</v>
      </c>
      <c r="M1745">
        <v>0.69545259999999998</v>
      </c>
      <c r="N1745">
        <v>0</v>
      </c>
      <c r="O1745">
        <v>-0.71843359999999901</v>
      </c>
      <c r="P1745">
        <v>0.36613760000000001</v>
      </c>
      <c r="Q1745">
        <v>0.1893041</v>
      </c>
      <c r="R1745">
        <v>-0.91110219999999997</v>
      </c>
      <c r="S1745">
        <v>0.21948239999999999</v>
      </c>
      <c r="T1745">
        <v>-0.13979330000000001</v>
      </c>
      <c r="U1745">
        <v>-3.2408450000000002</v>
      </c>
      <c r="V1745">
        <v>0.3753726</v>
      </c>
      <c r="W1745">
        <v>0.1931495</v>
      </c>
      <c r="X1745">
        <v>0.90652560000000004</v>
      </c>
      <c r="Y1745">
        <v>0.64531079999999996</v>
      </c>
      <c r="Z1745">
        <v>1.9956890000000001E-2</v>
      </c>
      <c r="AA1745">
        <v>0.76365950000000005</v>
      </c>
      <c r="AB1745">
        <v>26</v>
      </c>
      <c r="AC1745">
        <v>1.63519999999999</v>
      </c>
      <c r="AD1745">
        <v>-1.1004518771930001</v>
      </c>
      <c r="AE1745">
        <v>-25.407699999999998</v>
      </c>
      <c r="AF1745">
        <v>16.465947435662599</v>
      </c>
      <c r="AG1745">
        <v>-1.1004518771930001</v>
      </c>
      <c r="AH1745">
        <v>19.356716014590301</v>
      </c>
      <c r="AI1745">
        <v>92.479534236873903</v>
      </c>
      <c r="AJ1745">
        <v>49.6135797649426</v>
      </c>
      <c r="AK1745">
        <v>25.436605004550401</v>
      </c>
      <c r="AL1745">
        <v>78.863357130056599</v>
      </c>
      <c r="AM1745">
        <v>67.506614209731495</v>
      </c>
      <c r="AN1745">
        <v>0.99999999081818502</v>
      </c>
    </row>
    <row r="1746" spans="1:40" x14ac:dyDescent="0.25">
      <c r="A1746" t="str">
        <f>"20190312172117469"</f>
        <v>20190312172117469</v>
      </c>
      <c r="B1746" t="str">
        <f>"1552382477462527"</f>
        <v>1552382477462527</v>
      </c>
      <c r="C1746" t="s">
        <v>40</v>
      </c>
      <c r="D1746">
        <v>3.3432040000000001</v>
      </c>
      <c r="E1746">
        <v>0.62260819999999995</v>
      </c>
      <c r="F1746" t="s">
        <v>42</v>
      </c>
      <c r="G1746">
        <v>-190.11320000000001</v>
      </c>
      <c r="H1746" s="1">
        <v>-1.86735E-6</v>
      </c>
      <c r="I1746">
        <v>333.87169999999998</v>
      </c>
      <c r="J1746">
        <v>-191.59200000000001</v>
      </c>
      <c r="K1746">
        <v>1.100447</v>
      </c>
      <c r="L1746">
        <v>359.24099999999999</v>
      </c>
      <c r="M1746">
        <v>0.69038929999999998</v>
      </c>
      <c r="N1746">
        <v>0</v>
      </c>
      <c r="O1746">
        <v>-0.72330050000000001</v>
      </c>
      <c r="P1746">
        <v>0.36028789999999999</v>
      </c>
      <c r="Q1746">
        <v>0.18933130000000001</v>
      </c>
      <c r="R1746">
        <v>-0.91342599999999996</v>
      </c>
      <c r="S1746">
        <v>0.19958500000000001</v>
      </c>
      <c r="T1746">
        <v>-0.14004420000000001</v>
      </c>
      <c r="U1746">
        <v>-3.2416079999999998</v>
      </c>
      <c r="V1746">
        <v>0.37481560000000003</v>
      </c>
      <c r="W1746">
        <v>0.19318830000000001</v>
      </c>
      <c r="X1746">
        <v>0.90674779999999999</v>
      </c>
      <c r="Y1746">
        <v>0.64462629999999999</v>
      </c>
      <c r="Z1746">
        <v>2.0300430000000001E-2</v>
      </c>
      <c r="AA1746">
        <v>0.76422819999999902</v>
      </c>
      <c r="AB1746">
        <v>26</v>
      </c>
      <c r="AC1746">
        <v>1.4787999999999999</v>
      </c>
      <c r="AD1746">
        <v>-1.1004488673499999</v>
      </c>
      <c r="AE1746">
        <v>-25.369299999999999</v>
      </c>
      <c r="AF1746">
        <v>16.415929733652298</v>
      </c>
      <c r="AG1746">
        <v>-1.1004488673499999</v>
      </c>
      <c r="AH1746">
        <v>19.3362432509801</v>
      </c>
      <c r="AI1746">
        <v>92.484212859929499</v>
      </c>
      <c r="AJ1746">
        <v>49.669674216341299</v>
      </c>
      <c r="AK1746">
        <v>25.388659669051801</v>
      </c>
      <c r="AL1746">
        <v>78.861091630164793</v>
      </c>
      <c r="AM1746">
        <v>67.541630357150893</v>
      </c>
      <c r="AN1746">
        <v>1.0000000130325399</v>
      </c>
    </row>
    <row r="1747" spans="1:40" x14ac:dyDescent="0.25">
      <c r="A1747" t="str">
        <f>"20190312172117481"</f>
        <v>20190312172117481</v>
      </c>
      <c r="B1747" t="str">
        <f>"1552382477472287"</f>
        <v>1552382477472287</v>
      </c>
      <c r="C1747" t="s">
        <v>40</v>
      </c>
      <c r="D1747">
        <v>3.26349</v>
      </c>
      <c r="E1747">
        <v>0.62260819999999995</v>
      </c>
      <c r="F1747" t="s">
        <v>42</v>
      </c>
      <c r="G1747">
        <v>-190.1713</v>
      </c>
      <c r="H1747" s="1">
        <v>-1.856609E-6</v>
      </c>
      <c r="I1747">
        <v>333.8107</v>
      </c>
      <c r="J1747">
        <v>-191.5</v>
      </c>
      <c r="K1747">
        <v>1.100444</v>
      </c>
      <c r="L1747">
        <v>359.1345</v>
      </c>
      <c r="M1747">
        <v>0.68512969999999995</v>
      </c>
      <c r="N1747">
        <v>0</v>
      </c>
      <c r="O1747">
        <v>-0.7282843</v>
      </c>
      <c r="P1747">
        <v>0.35421000000000002</v>
      </c>
      <c r="Q1747">
        <v>0.18929850000000001</v>
      </c>
      <c r="R1747">
        <v>-0.91580660000000003</v>
      </c>
      <c r="S1747">
        <v>0.1811218</v>
      </c>
      <c r="T1747">
        <v>-0.14029040000000001</v>
      </c>
      <c r="U1747">
        <v>-3.2419739999999999</v>
      </c>
      <c r="V1747">
        <v>0.37427480000000002</v>
      </c>
      <c r="W1747">
        <v>0.19316720000000001</v>
      </c>
      <c r="X1747">
        <v>0.90697559999999999</v>
      </c>
      <c r="Y1747">
        <v>0.6434299</v>
      </c>
      <c r="Z1747">
        <v>2.066482E-2</v>
      </c>
      <c r="AA1747">
        <v>0.76522599999999996</v>
      </c>
      <c r="AB1747">
        <v>26</v>
      </c>
      <c r="AC1747">
        <v>1.32869999999999</v>
      </c>
      <c r="AD1747">
        <v>-1.1004458566090001</v>
      </c>
      <c r="AE1747">
        <v>-25.323799999999999</v>
      </c>
      <c r="AF1747">
        <v>16.3532529926492</v>
      </c>
      <c r="AG1747">
        <v>-1.1004458566090001</v>
      </c>
      <c r="AH1747">
        <v>19.318806090780701</v>
      </c>
      <c r="AI1747">
        <v>92.489482752038199</v>
      </c>
      <c r="AJ1747">
        <v>49.752286769622899</v>
      </c>
      <c r="AK1747">
        <v>25.334879776665701</v>
      </c>
      <c r="AL1747">
        <v>78.862323249989302</v>
      </c>
      <c r="AM1747">
        <v>67.575897292429602</v>
      </c>
      <c r="AN1747">
        <v>0.99999996603311903</v>
      </c>
    </row>
    <row r="1748" spans="1:40" x14ac:dyDescent="0.25">
      <c r="A1748" t="str">
        <f>"20190312172117491"</f>
        <v>20190312172117491</v>
      </c>
      <c r="B1748" t="str">
        <f>"1552382477483023"</f>
        <v>1552382477483023</v>
      </c>
      <c r="C1748" t="s">
        <v>40</v>
      </c>
      <c r="D1748">
        <v>3.3064610000000001</v>
      </c>
      <c r="E1748">
        <v>0.61238459999999995</v>
      </c>
      <c r="F1748" t="s">
        <v>42</v>
      </c>
      <c r="G1748">
        <v>-190.2492</v>
      </c>
      <c r="H1748" s="1">
        <v>-1.8400820000000001E-6</v>
      </c>
      <c r="I1748">
        <v>333.72379999999998</v>
      </c>
      <c r="J1748">
        <v>-191.40880000000001</v>
      </c>
      <c r="K1748">
        <v>1.100441</v>
      </c>
      <c r="L1748">
        <v>359.02640000000002</v>
      </c>
      <c r="M1748">
        <v>0.67979799999999901</v>
      </c>
      <c r="N1748">
        <v>0</v>
      </c>
      <c r="O1748">
        <v>-0.73326400000000003</v>
      </c>
      <c r="P1748">
        <v>0.34802129999999998</v>
      </c>
      <c r="Q1748">
        <v>0.1892462</v>
      </c>
      <c r="R1748">
        <v>-0.91818750000000005</v>
      </c>
      <c r="S1748">
        <v>0.15963749999999999</v>
      </c>
      <c r="T1748">
        <v>-0.14044599999999999</v>
      </c>
      <c r="U1748">
        <v>-3.2430729999999999</v>
      </c>
      <c r="V1748">
        <v>0.37378460000000002</v>
      </c>
      <c r="W1748">
        <v>0.1931242</v>
      </c>
      <c r="X1748">
        <v>0.90718690000000002</v>
      </c>
      <c r="Y1748">
        <v>0.64291599999999904</v>
      </c>
      <c r="Z1748">
        <v>2.099821E-2</v>
      </c>
      <c r="AA1748">
        <v>0.76564880000000002</v>
      </c>
      <c r="AB1748">
        <v>26</v>
      </c>
      <c r="AC1748">
        <v>1.15960000000001</v>
      </c>
      <c r="AD1748">
        <v>-1.1004428400820001</v>
      </c>
      <c r="AE1748">
        <v>-25.302600000000002</v>
      </c>
      <c r="AF1748">
        <v>16.3211809635742</v>
      </c>
      <c r="AG1748">
        <v>-1.1004428400820001</v>
      </c>
      <c r="AH1748">
        <v>19.307257236964599</v>
      </c>
      <c r="AI1748">
        <v>92.492380160796699</v>
      </c>
      <c r="AJ1748">
        <v>49.790854069302</v>
      </c>
      <c r="AK1748">
        <v>25.305376987991099</v>
      </c>
      <c r="AL1748">
        <v>78.864834381834697</v>
      </c>
      <c r="AM1748">
        <v>67.607064876614999</v>
      </c>
      <c r="AN1748">
        <v>0.99999997767720405</v>
      </c>
    </row>
    <row r="1749" spans="1:40" x14ac:dyDescent="0.25">
      <c r="A1749" t="str">
        <f>"20190312172117504"</f>
        <v>20190312172117504</v>
      </c>
      <c r="B1749" t="str">
        <f>"1552382477492783"</f>
        <v>1552382477492783</v>
      </c>
      <c r="C1749" t="s">
        <v>40</v>
      </c>
      <c r="D1749">
        <v>3.2771520000000001</v>
      </c>
      <c r="E1749">
        <v>0.61216890000000002</v>
      </c>
      <c r="F1749" t="s">
        <v>42</v>
      </c>
      <c r="G1749">
        <v>-189.78129999999999</v>
      </c>
      <c r="H1749" s="1">
        <v>-2.1747239999999999E-6</v>
      </c>
      <c r="I1749">
        <v>334.61169999999998</v>
      </c>
      <c r="J1749">
        <v>-191.31829999999999</v>
      </c>
      <c r="K1749">
        <v>1.100438</v>
      </c>
      <c r="L1749">
        <v>358.91809999999998</v>
      </c>
      <c r="M1749">
        <v>0.67444029999999999</v>
      </c>
      <c r="N1749">
        <v>0</v>
      </c>
      <c r="O1749">
        <v>-0.73819480000000004</v>
      </c>
      <c r="P1749">
        <v>0.3419954</v>
      </c>
      <c r="Q1749">
        <v>0.18928819999999999</v>
      </c>
      <c r="R1749">
        <v>-0.92044020000000004</v>
      </c>
      <c r="S1749">
        <v>0.21438599999999999</v>
      </c>
      <c r="T1749">
        <v>-0.1449521</v>
      </c>
      <c r="U1749">
        <v>-3.2159420000000001</v>
      </c>
      <c r="V1749">
        <v>0.37311909999999998</v>
      </c>
      <c r="W1749">
        <v>0.1931794</v>
      </c>
      <c r="X1749">
        <v>0.90744910000000001</v>
      </c>
      <c r="Y1749">
        <v>0.62384130000000004</v>
      </c>
      <c r="Z1749">
        <v>2.25618E-2</v>
      </c>
      <c r="AA1749">
        <v>0.78122530000000001</v>
      </c>
      <c r="AB1749">
        <v>26</v>
      </c>
      <c r="AC1749">
        <v>1.5369999999999999</v>
      </c>
      <c r="AD1749">
        <v>-1.100440174724</v>
      </c>
      <c r="AE1749">
        <v>-24.3064</v>
      </c>
      <c r="AF1749">
        <v>15.229035885359901</v>
      </c>
      <c r="AG1749">
        <v>-1.100440174724</v>
      </c>
      <c r="AH1749">
        <v>18.9426865940748</v>
      </c>
      <c r="AI1749">
        <v>92.592334961641797</v>
      </c>
      <c r="AJ1749">
        <v>51.202342677688797</v>
      </c>
      <c r="AK1749">
        <v>24.330225604730199</v>
      </c>
      <c r="AL1749">
        <v>78.861611276093299</v>
      </c>
      <c r="AM1749">
        <v>67.648829722503805</v>
      </c>
      <c r="AN1749">
        <v>1.0000000062299801</v>
      </c>
    </row>
    <row r="1750" spans="1:40" x14ac:dyDescent="0.25">
      <c r="A1750" t="str">
        <f>"20190312172117517"</f>
        <v>20190312172117517</v>
      </c>
      <c r="B1750" t="str">
        <f>"1552382477512303"</f>
        <v>1552382477512303</v>
      </c>
      <c r="C1750" t="s">
        <v>40</v>
      </c>
      <c r="D1750">
        <v>3.2667839999999999</v>
      </c>
      <c r="E1750">
        <v>0.61150799999999905</v>
      </c>
      <c r="F1750" t="s">
        <v>42</v>
      </c>
      <c r="G1750">
        <v>-189.84700000000001</v>
      </c>
      <c r="H1750" s="1">
        <v>-2.1806840000000001E-6</v>
      </c>
      <c r="I1750">
        <v>334.65280000000001</v>
      </c>
      <c r="J1750">
        <v>-191.22049999999999</v>
      </c>
      <c r="K1750">
        <v>1.100438</v>
      </c>
      <c r="L1750">
        <v>358.79919999999998</v>
      </c>
      <c r="M1750">
        <v>0.66855369999999903</v>
      </c>
      <c r="N1750">
        <v>0</v>
      </c>
      <c r="O1750">
        <v>-0.74353029999999998</v>
      </c>
      <c r="P1750">
        <v>0.33536080000000001</v>
      </c>
      <c r="Q1750">
        <v>0.18931600000000001</v>
      </c>
      <c r="R1750">
        <v>-0.92287220000000003</v>
      </c>
      <c r="S1750">
        <v>0.19503780000000001</v>
      </c>
      <c r="T1750">
        <v>-0.14588429999999999</v>
      </c>
      <c r="U1750">
        <v>-3.2168269999999999</v>
      </c>
      <c r="V1750">
        <v>0.37243670000000001</v>
      </c>
      <c r="W1750">
        <v>0.19322110000000001</v>
      </c>
      <c r="X1750">
        <v>0.90772050000000004</v>
      </c>
      <c r="Y1750">
        <v>0.62232600000000005</v>
      </c>
      <c r="Z1750">
        <v>2.307644E-2</v>
      </c>
      <c r="AA1750">
        <v>0.78241799999999995</v>
      </c>
      <c r="AB1750">
        <v>26</v>
      </c>
      <c r="AC1750">
        <v>1.37349999999997</v>
      </c>
      <c r="AD1750">
        <v>-1.1004401806839901</v>
      </c>
      <c r="AE1750">
        <v>-24.1463999999999</v>
      </c>
      <c r="AF1750">
        <v>15.0921835882447</v>
      </c>
      <c r="AG1750">
        <v>-1.1004401806839901</v>
      </c>
      <c r="AH1750">
        <v>18.834720410012899</v>
      </c>
      <c r="AI1750">
        <v>92.610554225811498</v>
      </c>
      <c r="AJ1750">
        <v>51.294947421837101</v>
      </c>
      <c r="AK1750">
        <v>24.160539459538299</v>
      </c>
      <c r="AL1750">
        <v>78.859176065110702</v>
      </c>
      <c r="AM1750">
        <v>67.691712436273406</v>
      </c>
      <c r="AN1750">
        <v>0.99999999755617497</v>
      </c>
    </row>
    <row r="1751" spans="1:40" x14ac:dyDescent="0.25">
      <c r="A1751" t="str">
        <f>"20190312172117537"</f>
        <v>20190312172117537</v>
      </c>
      <c r="B1751" t="str">
        <f>"1552382477532799"</f>
        <v>1552382477532799</v>
      </c>
      <c r="C1751" t="s">
        <v>40</v>
      </c>
      <c r="D1751">
        <v>3.258356</v>
      </c>
      <c r="E1751">
        <v>0.61154500000000001</v>
      </c>
      <c r="F1751" t="s">
        <v>42</v>
      </c>
      <c r="G1751">
        <v>-189.8997</v>
      </c>
      <c r="H1751" s="1">
        <v>-2.223886E-6</v>
      </c>
      <c r="I1751">
        <v>334.77519999999998</v>
      </c>
      <c r="J1751">
        <v>-191.0685</v>
      </c>
      <c r="K1751">
        <v>1.1004370000000001</v>
      </c>
      <c r="L1751">
        <v>358.6103</v>
      </c>
      <c r="M1751">
        <v>0.65919079999999997</v>
      </c>
      <c r="N1751">
        <v>0</v>
      </c>
      <c r="O1751">
        <v>-0.75184390000000001</v>
      </c>
      <c r="P1751">
        <v>0.32495359999999901</v>
      </c>
      <c r="Q1751">
        <v>0.18961220000000001</v>
      </c>
      <c r="R1751">
        <v>-0.9265272</v>
      </c>
      <c r="S1751">
        <v>0.17684939999999999</v>
      </c>
      <c r="T1751">
        <v>-0.14734449999999999</v>
      </c>
      <c r="U1751">
        <v>-3.2167050000000001</v>
      </c>
      <c r="V1751">
        <v>0.3712493</v>
      </c>
      <c r="W1751">
        <v>0.19354150000000001</v>
      </c>
      <c r="X1751">
        <v>0.90813860000000002</v>
      </c>
      <c r="Y1751">
        <v>0.61692009999999997</v>
      </c>
      <c r="Z1751">
        <v>2.3960849999999999E-2</v>
      </c>
      <c r="AA1751">
        <v>0.78666099999999906</v>
      </c>
      <c r="AB1751">
        <v>26</v>
      </c>
      <c r="AC1751">
        <v>1.1688000000000001</v>
      </c>
      <c r="AD1751">
        <v>-1.1004392238859999</v>
      </c>
      <c r="AE1751">
        <v>-23.835100000000001</v>
      </c>
      <c r="AF1751">
        <v>14.8031158780309</v>
      </c>
      <c r="AG1751">
        <v>-1.1004392238859999</v>
      </c>
      <c r="AH1751">
        <v>18.652925135582102</v>
      </c>
      <c r="AI1751">
        <v>92.645841664227305</v>
      </c>
      <c r="AJ1751">
        <v>51.564192953320202</v>
      </c>
      <c r="AK1751">
        <v>23.838515522102199</v>
      </c>
      <c r="AL1751">
        <v>78.840465740228694</v>
      </c>
      <c r="AM1751">
        <v>67.765135003352995</v>
      </c>
      <c r="AN1751">
        <v>1.0000000358913399</v>
      </c>
    </row>
    <row r="1752" spans="1:40" x14ac:dyDescent="0.25">
      <c r="A1752" t="str">
        <f>"20190312172117552"</f>
        <v>20190312172117552</v>
      </c>
      <c r="B1752" t="str">
        <f>"1552382477542559"</f>
        <v>1552382477542559</v>
      </c>
      <c r="C1752" t="s">
        <v>40</v>
      </c>
      <c r="D1752">
        <v>3.3249550000000001</v>
      </c>
      <c r="E1752">
        <v>0.61065329999999995</v>
      </c>
      <c r="F1752" t="s">
        <v>42</v>
      </c>
      <c r="G1752">
        <v>-190.03030000000001</v>
      </c>
      <c r="H1752" s="1">
        <v>-2.264604E-6</v>
      </c>
      <c r="I1752">
        <v>334.8492</v>
      </c>
      <c r="J1752">
        <v>-190.96109999999999</v>
      </c>
      <c r="K1752">
        <v>1.100438</v>
      </c>
      <c r="L1752">
        <v>358.47359999999998</v>
      </c>
      <c r="M1752">
        <v>0.65241009999999999</v>
      </c>
      <c r="N1752">
        <v>0</v>
      </c>
      <c r="O1752">
        <v>-0.7577353</v>
      </c>
      <c r="P1752">
        <v>0.31709579999999998</v>
      </c>
      <c r="Q1752">
        <v>0.18964200000000001</v>
      </c>
      <c r="R1752">
        <v>-0.9292395</v>
      </c>
      <c r="S1752">
        <v>0.14065549999999999</v>
      </c>
      <c r="T1752">
        <v>-0.1490832</v>
      </c>
      <c r="U1752">
        <v>-3.219055</v>
      </c>
      <c r="V1752">
        <v>0.37077579999999999</v>
      </c>
      <c r="W1752">
        <v>0.19358040000000001</v>
      </c>
      <c r="X1752">
        <v>0.90832369999999996</v>
      </c>
      <c r="Y1752">
        <v>0.6187028</v>
      </c>
      <c r="Z1752">
        <v>2.4581039999999998E-2</v>
      </c>
      <c r="AA1752">
        <v>0.78524050000000001</v>
      </c>
      <c r="AB1752">
        <v>26</v>
      </c>
      <c r="AC1752">
        <v>0.93079999999997598</v>
      </c>
      <c r="AD1752">
        <v>-1.1004402646039999</v>
      </c>
      <c r="AE1752">
        <v>-23.624399999999898</v>
      </c>
      <c r="AF1752">
        <v>14.6771589132176</v>
      </c>
      <c r="AG1752">
        <v>-1.1004402646039999</v>
      </c>
      <c r="AH1752">
        <v>18.4701267002526</v>
      </c>
      <c r="AI1752">
        <v>92.670647958784002</v>
      </c>
      <c r="AJ1752">
        <v>51.527832146645999</v>
      </c>
      <c r="AK1752">
        <v>23.617272130015099</v>
      </c>
      <c r="AL1752">
        <v>78.838193617114101</v>
      </c>
      <c r="AM1752">
        <v>67.794821906701202</v>
      </c>
      <c r="AN1752">
        <v>1.00000000455574</v>
      </c>
    </row>
    <row r="1753" spans="1:40" x14ac:dyDescent="0.25">
      <c r="A1753" t="str">
        <f>"20190312172117570"</f>
        <v>20190312172117570</v>
      </c>
      <c r="B1753" t="str">
        <f>"1552382477563054"</f>
        <v>1552382477563054</v>
      </c>
      <c r="C1753" t="s">
        <v>40</v>
      </c>
      <c r="D1753">
        <v>3.2968009999999999</v>
      </c>
      <c r="E1753">
        <v>0.61012119999999903</v>
      </c>
      <c r="F1753" t="s">
        <v>42</v>
      </c>
      <c r="G1753">
        <v>-190.0812</v>
      </c>
      <c r="H1753" s="1">
        <v>-2.2983289999999998E-6</v>
      </c>
      <c r="I1753">
        <v>334.89620000000002</v>
      </c>
      <c r="J1753">
        <v>-190.82220000000001</v>
      </c>
      <c r="K1753">
        <v>1.100441</v>
      </c>
      <c r="L1753">
        <v>358.29320000000001</v>
      </c>
      <c r="M1753">
        <v>0.6434491</v>
      </c>
      <c r="N1753">
        <v>0</v>
      </c>
      <c r="O1753">
        <v>-0.76535959999999903</v>
      </c>
      <c r="P1753">
        <v>0.30779759999999901</v>
      </c>
      <c r="Q1753">
        <v>0.1898299</v>
      </c>
      <c r="R1753">
        <v>-0.9323224</v>
      </c>
      <c r="S1753">
        <v>0.1201019</v>
      </c>
      <c r="T1753">
        <v>-0.15019939999999901</v>
      </c>
      <c r="U1753">
        <v>-3.2180789999999999</v>
      </c>
      <c r="V1753">
        <v>0.36913390000000001</v>
      </c>
      <c r="W1753">
        <v>0.19381139999999999</v>
      </c>
      <c r="X1753">
        <v>0.9089429</v>
      </c>
      <c r="Y1753">
        <v>0.61444880000000002</v>
      </c>
      <c r="Z1753">
        <v>2.5369099999999999E-2</v>
      </c>
      <c r="AA1753">
        <v>0.78854869999999899</v>
      </c>
      <c r="AB1753">
        <v>26</v>
      </c>
      <c r="AC1753">
        <v>0.74100000000001298</v>
      </c>
      <c r="AD1753">
        <v>-1.100443298329</v>
      </c>
      <c r="AE1753">
        <v>-23.396999999999899</v>
      </c>
      <c r="AF1753">
        <v>14.4571318441401</v>
      </c>
      <c r="AG1753">
        <v>-1.100443298329</v>
      </c>
      <c r="AH1753">
        <v>18.3451923641265</v>
      </c>
      <c r="AI1753">
        <v>92.697429520957598</v>
      </c>
      <c r="AJ1753">
        <v>51.759731630979502</v>
      </c>
      <c r="AK1753">
        <v>23.383022034982801</v>
      </c>
      <c r="AL1753">
        <v>78.824702125696803</v>
      </c>
      <c r="AM1753">
        <v>67.897269406948297</v>
      </c>
      <c r="AN1753">
        <v>0.99999994517978796</v>
      </c>
    </row>
    <row r="1754" spans="1:40" x14ac:dyDescent="0.25">
      <c r="A1754" t="str">
        <f>"20190312172117582"</f>
        <v>20190312172117582</v>
      </c>
      <c r="B1754" t="str">
        <f>"1552382477572815"</f>
        <v>1552382477572815</v>
      </c>
      <c r="C1754" t="s">
        <v>40</v>
      </c>
      <c r="D1754">
        <v>3.2691499999999998</v>
      </c>
      <c r="E1754">
        <v>0.61012119999999903</v>
      </c>
      <c r="F1754" t="s">
        <v>42</v>
      </c>
      <c r="G1754">
        <v>-190.1541</v>
      </c>
      <c r="H1754" s="1">
        <v>-2.3781979999999999E-6</v>
      </c>
      <c r="I1754">
        <v>335.03719999999998</v>
      </c>
      <c r="J1754">
        <v>-190.733</v>
      </c>
      <c r="K1754">
        <v>1.100447</v>
      </c>
      <c r="L1754">
        <v>358.17540000000002</v>
      </c>
      <c r="M1754">
        <v>0.63758519999999996</v>
      </c>
      <c r="N1754">
        <v>0</v>
      </c>
      <c r="O1754">
        <v>-0.77025149999999998</v>
      </c>
      <c r="P1754">
        <v>0.30146260000000002</v>
      </c>
      <c r="Q1754">
        <v>0.19000059999999999</v>
      </c>
      <c r="R1754">
        <v>-0.93435570000000001</v>
      </c>
      <c r="S1754">
        <v>9.2452999999999994E-2</v>
      </c>
      <c r="T1754">
        <v>-0.1522839</v>
      </c>
      <c r="U1754">
        <v>-3.2182620000000002</v>
      </c>
      <c r="V1754">
        <v>0.36833939999999998</v>
      </c>
      <c r="W1754">
        <v>0.19400319999999999</v>
      </c>
      <c r="X1754">
        <v>0.90922429999999999</v>
      </c>
      <c r="Y1754">
        <v>0.61519119999999905</v>
      </c>
      <c r="Z1754">
        <v>2.6036719999999999E-2</v>
      </c>
      <c r="AA1754">
        <v>0.78794799999999998</v>
      </c>
      <c r="AB1754">
        <v>26</v>
      </c>
      <c r="AC1754">
        <v>0.57890000000000397</v>
      </c>
      <c r="AD1754">
        <v>-1.100449378198</v>
      </c>
      <c r="AE1754">
        <v>-23.138200000000001</v>
      </c>
      <c r="AF1754">
        <v>14.2758191485776</v>
      </c>
      <c r="AG1754">
        <v>-1.100449378198</v>
      </c>
      <c r="AH1754">
        <v>18.1520969076977</v>
      </c>
      <c r="AI1754">
        <v>92.728220516276195</v>
      </c>
      <c r="AJ1754">
        <v>51.816519507199402</v>
      </c>
      <c r="AK1754">
        <v>23.1194425396314</v>
      </c>
      <c r="AL1754">
        <v>78.813500704359498</v>
      </c>
      <c r="AM1754">
        <v>67.946446475296398</v>
      </c>
      <c r="AN1754">
        <v>0.99999999145654495</v>
      </c>
    </row>
    <row r="1755" spans="1:40" x14ac:dyDescent="0.25">
      <c r="A1755" t="str">
        <f>"20190312172117594"</f>
        <v>20190312172117594</v>
      </c>
      <c r="B1755" t="str">
        <f>"1552382477582576"</f>
        <v>1552382477582576</v>
      </c>
      <c r="C1755" t="s">
        <v>40</v>
      </c>
      <c r="D1755">
        <v>3.2420870000000002</v>
      </c>
      <c r="E1755">
        <v>0.60284069999999901</v>
      </c>
      <c r="F1755" t="s">
        <v>42</v>
      </c>
      <c r="G1755">
        <v>-190.22059999999999</v>
      </c>
      <c r="H1755" s="1">
        <v>-2.3166310000000002E-6</v>
      </c>
      <c r="I1755">
        <v>334.85239999999999</v>
      </c>
      <c r="J1755">
        <v>-190.64609999999999</v>
      </c>
      <c r="K1755">
        <v>1.100447</v>
      </c>
      <c r="L1755">
        <v>358.05829999999997</v>
      </c>
      <c r="M1755">
        <v>0.63175609999999904</v>
      </c>
      <c r="N1755">
        <v>0</v>
      </c>
      <c r="O1755">
        <v>-0.77504010000000001</v>
      </c>
      <c r="P1755">
        <v>0.29540169999999999</v>
      </c>
      <c r="Q1755">
        <v>0.1901275</v>
      </c>
      <c r="R1755">
        <v>-0.93626399999999999</v>
      </c>
      <c r="S1755">
        <v>7.0724490000000001E-2</v>
      </c>
      <c r="T1755">
        <v>-0.15187320000000001</v>
      </c>
      <c r="U1755">
        <v>-3.2188110000000001</v>
      </c>
      <c r="V1755">
        <v>0.3673534</v>
      </c>
      <c r="W1755">
        <v>0.1941571</v>
      </c>
      <c r="X1755">
        <v>0.90959029999999996</v>
      </c>
      <c r="Y1755">
        <v>0.61456449999999996</v>
      </c>
      <c r="Z1755">
        <v>2.6299940000000001E-2</v>
      </c>
      <c r="AA1755">
        <v>0.78842809999999997</v>
      </c>
      <c r="AB1755">
        <v>26</v>
      </c>
      <c r="AC1755">
        <v>0.42549999999999899</v>
      </c>
      <c r="AD1755">
        <v>-1.1004493166310001</v>
      </c>
      <c r="AE1755">
        <v>-23.2058999999999</v>
      </c>
      <c r="AF1755">
        <v>14.2999552560371</v>
      </c>
      <c r="AG1755">
        <v>-1.1004493166310001</v>
      </c>
      <c r="AH1755">
        <v>18.2151664788943</v>
      </c>
      <c r="AI1755">
        <v>92.720632556006095</v>
      </c>
      <c r="AJ1755">
        <v>51.8660437072894</v>
      </c>
      <c r="AK1755">
        <v>23.1838736814402</v>
      </c>
      <c r="AL1755">
        <v>78.804512144352998</v>
      </c>
      <c r="AM1755">
        <v>68.007848898878507</v>
      </c>
      <c r="AN1755">
        <v>1.0000000069130299</v>
      </c>
    </row>
    <row r="1756" spans="1:40" x14ac:dyDescent="0.25">
      <c r="A1756" t="str">
        <f>"20190312172117606"</f>
        <v>20190312172117606</v>
      </c>
      <c r="B1756" t="str">
        <f>"1552382477603070"</f>
        <v>1552382477603070</v>
      </c>
      <c r="C1756" t="s">
        <v>40</v>
      </c>
      <c r="D1756">
        <v>3.2835100000000002</v>
      </c>
      <c r="E1756">
        <v>0.60313419999999995</v>
      </c>
      <c r="F1756" t="s">
        <v>42</v>
      </c>
      <c r="G1756">
        <v>-189.8955</v>
      </c>
      <c r="H1756" s="1">
        <v>-2.441359E-6</v>
      </c>
      <c r="I1756">
        <v>335.28050000000002</v>
      </c>
      <c r="J1756">
        <v>-190.55930000000001</v>
      </c>
      <c r="K1756">
        <v>1.100454</v>
      </c>
      <c r="L1756">
        <v>357.93950000000001</v>
      </c>
      <c r="M1756">
        <v>0.6258418</v>
      </c>
      <c r="N1756">
        <v>0</v>
      </c>
      <c r="O1756">
        <v>-0.77982369999999901</v>
      </c>
      <c r="P1756">
        <v>0.2892883</v>
      </c>
      <c r="Q1756">
        <v>0.19030659999999999</v>
      </c>
      <c r="R1756">
        <v>-0.93813409999999997</v>
      </c>
      <c r="S1756">
        <v>0.10552980000000001</v>
      </c>
      <c r="T1756">
        <v>-0.15471209999999999</v>
      </c>
      <c r="U1756">
        <v>-3.2023320000000002</v>
      </c>
      <c r="V1756">
        <v>0.36634329999999998</v>
      </c>
      <c r="W1756">
        <v>0.1943648</v>
      </c>
      <c r="X1756">
        <v>0.90995320000000002</v>
      </c>
      <c r="Y1756">
        <v>0.59980990000000001</v>
      </c>
      <c r="Z1756">
        <v>2.7561209999999999E-2</v>
      </c>
      <c r="AA1756">
        <v>0.79966769999999998</v>
      </c>
      <c r="AB1756">
        <v>26</v>
      </c>
      <c r="AC1756">
        <v>0.66380000000000905</v>
      </c>
      <c r="AD1756">
        <v>-1.1004564413589999</v>
      </c>
      <c r="AE1756">
        <v>-22.658999999999899</v>
      </c>
      <c r="AF1756">
        <v>13.632521839514499</v>
      </c>
      <c r="AG1756">
        <v>-1.1004564413589999</v>
      </c>
      <c r="AH1756">
        <v>18.044716285562998</v>
      </c>
      <c r="AI1756">
        <v>92.785789672276493</v>
      </c>
      <c r="AJ1756">
        <v>52.929481303152201</v>
      </c>
      <c r="AK1756">
        <v>22.642182799161301</v>
      </c>
      <c r="AL1756">
        <v>78.792380145477196</v>
      </c>
      <c r="AM1756">
        <v>68.070493243414703</v>
      </c>
      <c r="AN1756">
        <v>0.99999995756208404</v>
      </c>
    </row>
    <row r="1757" spans="1:40" x14ac:dyDescent="0.25">
      <c r="A1757" t="str">
        <f>"20190312172117626"</f>
        <v>20190312172117626</v>
      </c>
      <c r="B1757" t="str">
        <f>"1552382477622591"</f>
        <v>1552382477622591</v>
      </c>
      <c r="C1757" t="s">
        <v>40</v>
      </c>
      <c r="D1757">
        <v>3.3094160000000001</v>
      </c>
      <c r="E1757">
        <v>0.60248829999999998</v>
      </c>
      <c r="F1757" t="s">
        <v>42</v>
      </c>
      <c r="G1757">
        <v>-189.98509999999999</v>
      </c>
      <c r="H1757" s="1">
        <v>-2.609142E-6</v>
      </c>
      <c r="I1757">
        <v>335.68040000000002</v>
      </c>
      <c r="J1757">
        <v>-190.4263</v>
      </c>
      <c r="K1757">
        <v>1.100463</v>
      </c>
      <c r="L1757">
        <v>357.75389999999999</v>
      </c>
      <c r="M1757">
        <v>0.61658950000000001</v>
      </c>
      <c r="N1757">
        <v>0</v>
      </c>
      <c r="O1757">
        <v>-0.78715959999999996</v>
      </c>
      <c r="P1757">
        <v>0.28018199999999999</v>
      </c>
      <c r="Q1757">
        <v>0.1907701</v>
      </c>
      <c r="R1757">
        <v>-0.94080039999999998</v>
      </c>
      <c r="S1757">
        <v>8.2672120000000002E-2</v>
      </c>
      <c r="T1757">
        <v>-0.1584255</v>
      </c>
      <c r="U1757">
        <v>-3.2044980000000001</v>
      </c>
      <c r="V1757">
        <v>0.36436160000000001</v>
      </c>
      <c r="W1757">
        <v>0.19488259999999999</v>
      </c>
      <c r="X1757">
        <v>0.9106379</v>
      </c>
      <c r="Y1757">
        <v>0.59607189999999999</v>
      </c>
      <c r="Z1757">
        <v>2.880125E-2</v>
      </c>
      <c r="AA1757">
        <v>0.80241439999999997</v>
      </c>
      <c r="AB1757">
        <v>26</v>
      </c>
      <c r="AC1757">
        <v>0.44120000000000897</v>
      </c>
      <c r="AD1757">
        <v>-1.100465609142</v>
      </c>
      <c r="AE1757">
        <v>-22.0734999999999</v>
      </c>
      <c r="AF1757">
        <v>13.231427786308</v>
      </c>
      <c r="AG1757">
        <v>-1.100465609142</v>
      </c>
      <c r="AH1757">
        <v>17.605406153649099</v>
      </c>
      <c r="AI1757">
        <v>92.8606041689779</v>
      </c>
      <c r="AJ1757">
        <v>53.0731308706983</v>
      </c>
      <c r="AK1757">
        <v>22.050669641898299</v>
      </c>
      <c r="AL1757">
        <v>78.762134438497498</v>
      </c>
      <c r="AM1757">
        <v>68.192817450842</v>
      </c>
      <c r="AN1757">
        <v>0.99999999412686402</v>
      </c>
    </row>
    <row r="1758" spans="1:40" x14ac:dyDescent="0.25">
      <c r="A1758" t="str">
        <f>"20190312172117639"</f>
        <v>20190312172117639</v>
      </c>
      <c r="B1758" t="str">
        <f>"1552382477632352"</f>
        <v>1552382477632352</v>
      </c>
      <c r="C1758" t="s">
        <v>40</v>
      </c>
      <c r="D1758">
        <v>3.2566310000000001</v>
      </c>
      <c r="E1758">
        <v>0.60233990000000004</v>
      </c>
      <c r="F1758" t="s">
        <v>42</v>
      </c>
      <c r="G1758">
        <v>-190.0395</v>
      </c>
      <c r="H1758" s="1">
        <v>-2.7452220000000002E-6</v>
      </c>
      <c r="I1758">
        <v>335.96379999999999</v>
      </c>
      <c r="J1758">
        <v>-190.3331</v>
      </c>
      <c r="K1758">
        <v>1.1004689999999999</v>
      </c>
      <c r="L1758">
        <v>357.62150000000003</v>
      </c>
      <c r="M1758">
        <v>0.60997409999999996</v>
      </c>
      <c r="N1758">
        <v>0</v>
      </c>
      <c r="O1758">
        <v>-0.79229719999999904</v>
      </c>
      <c r="P1758">
        <v>0.27312969999999998</v>
      </c>
      <c r="Q1758">
        <v>0.1907935</v>
      </c>
      <c r="R1758">
        <v>-0.94286700000000001</v>
      </c>
      <c r="S1758">
        <v>5.6884770000000001E-2</v>
      </c>
      <c r="T1758">
        <v>-0.16184309999999999</v>
      </c>
      <c r="U1758">
        <v>-3.2046199999999998</v>
      </c>
      <c r="V1758">
        <v>0.36354510000000001</v>
      </c>
      <c r="W1758">
        <v>0.19492509999999999</v>
      </c>
      <c r="X1758">
        <v>0.91095510000000002</v>
      </c>
      <c r="Y1758">
        <v>0.59579890000000002</v>
      </c>
      <c r="Z1758">
        <v>2.9800360000000001E-2</v>
      </c>
      <c r="AA1758">
        <v>0.80258059999999998</v>
      </c>
      <c r="AB1758">
        <v>26</v>
      </c>
      <c r="AC1758">
        <v>0.29359999999999697</v>
      </c>
      <c r="AD1758">
        <v>-1.1004717452220001</v>
      </c>
      <c r="AE1758">
        <v>-21.657699999999998</v>
      </c>
      <c r="AF1758">
        <v>12.9458761390257</v>
      </c>
      <c r="AG1758">
        <v>-1.1004717452220001</v>
      </c>
      <c r="AH1758">
        <v>17.295482977400098</v>
      </c>
      <c r="AI1758">
        <v>92.916041674649406</v>
      </c>
      <c r="AJ1758">
        <v>53.184706135836599</v>
      </c>
      <c r="AK1758">
        <v>21.631931917666702</v>
      </c>
      <c r="AL1758">
        <v>78.759651985322904</v>
      </c>
      <c r="AM1758">
        <v>68.243984624740605</v>
      </c>
      <c r="AN1758">
        <v>1.0000000142800101</v>
      </c>
    </row>
    <row r="1759" spans="1:40" x14ac:dyDescent="0.25">
      <c r="A1759" t="str">
        <f>"20190312172117660"</f>
        <v>20190312172117660</v>
      </c>
      <c r="B1759" t="str">
        <f>"1552382477652848"</f>
        <v>1552382477652848</v>
      </c>
      <c r="C1759" t="s">
        <v>40</v>
      </c>
      <c r="D1759">
        <v>3.3593419999999998</v>
      </c>
      <c r="E1759">
        <v>0.61208989999999996</v>
      </c>
      <c r="F1759" t="s">
        <v>42</v>
      </c>
      <c r="G1759">
        <v>-190.1028</v>
      </c>
      <c r="H1759" s="1">
        <v>-2.893665E-6</v>
      </c>
      <c r="I1759">
        <v>336.2706</v>
      </c>
      <c r="J1759">
        <v>-190.19319999999999</v>
      </c>
      <c r="K1759">
        <v>1.100481</v>
      </c>
      <c r="L1759">
        <v>357.41750000000002</v>
      </c>
      <c r="M1759">
        <v>0.59978679999999995</v>
      </c>
      <c r="N1759">
        <v>0</v>
      </c>
      <c r="O1759">
        <v>-0.800037</v>
      </c>
      <c r="P1759">
        <v>0.26242900000000002</v>
      </c>
      <c r="Q1759">
        <v>0.191303</v>
      </c>
      <c r="R1759">
        <v>-0.94579820000000003</v>
      </c>
      <c r="S1759">
        <v>3.4576419999999997E-2</v>
      </c>
      <c r="T1759">
        <v>-0.16520170000000001</v>
      </c>
      <c r="U1759">
        <v>-3.2051699999999999</v>
      </c>
      <c r="V1759">
        <v>0.3621547</v>
      </c>
      <c r="W1759">
        <v>0.19546440000000001</v>
      </c>
      <c r="X1759">
        <v>0.91139329999999996</v>
      </c>
      <c r="Y1759">
        <v>0.59110059999999998</v>
      </c>
      <c r="Z1759">
        <v>3.1086579999999999E-2</v>
      </c>
      <c r="AA1759">
        <v>0.80599860000000001</v>
      </c>
      <c r="AB1759">
        <v>26</v>
      </c>
      <c r="AC1759">
        <v>9.0399999999988198E-2</v>
      </c>
      <c r="AD1759">
        <v>-1.1004838936650001</v>
      </c>
      <c r="AE1759">
        <v>-21.146899999999999</v>
      </c>
      <c r="AF1759">
        <v>12.5784840708783</v>
      </c>
      <c r="AG1759">
        <v>-1.1004838936650001</v>
      </c>
      <c r="AH1759">
        <v>16.928347950251901</v>
      </c>
      <c r="AI1759">
        <v>92.9870085752477</v>
      </c>
      <c r="AJ1759">
        <v>53.386077618427599</v>
      </c>
      <c r="AK1759">
        <v>21.118671611783601</v>
      </c>
      <c r="AL1759">
        <v>78.728146785151097</v>
      </c>
      <c r="AM1759">
        <v>68.328918630338293</v>
      </c>
      <c r="AN1759">
        <v>1.00000005284216</v>
      </c>
    </row>
    <row r="1760" spans="1:40" x14ac:dyDescent="0.25">
      <c r="A1760" t="str">
        <f>"20190312172117672"</f>
        <v>20190312172117672</v>
      </c>
      <c r="B1760" t="str">
        <f>"1552382477662607"</f>
        <v>1552382477662607</v>
      </c>
      <c r="C1760" t="s">
        <v>40</v>
      </c>
      <c r="D1760">
        <v>3.3478439999999998</v>
      </c>
      <c r="E1760">
        <v>0.61173310000000003</v>
      </c>
      <c r="F1760" t="s">
        <v>42</v>
      </c>
      <c r="G1760">
        <v>-190.96709999999999</v>
      </c>
      <c r="H1760" s="1">
        <v>-2.4202410000000002E-6</v>
      </c>
      <c r="I1760">
        <v>324.63099999999997</v>
      </c>
      <c r="J1760">
        <v>-190.1112</v>
      </c>
      <c r="K1760">
        <v>1.100484</v>
      </c>
      <c r="L1760">
        <v>357.29469999999998</v>
      </c>
      <c r="M1760">
        <v>0.59365869999999998</v>
      </c>
      <c r="N1760">
        <v>0</v>
      </c>
      <c r="O1760">
        <v>-0.80459499999999995</v>
      </c>
      <c r="P1760">
        <v>0.25616939999999999</v>
      </c>
      <c r="Q1760">
        <v>0.19137560000000001</v>
      </c>
      <c r="R1760">
        <v>-0.94749810000000001</v>
      </c>
      <c r="S1760">
        <v>-7.5881959999999998E-2</v>
      </c>
      <c r="T1760">
        <v>-0.1079053</v>
      </c>
      <c r="U1760">
        <v>-3.2148129999999999</v>
      </c>
      <c r="V1760">
        <v>0.36120869999999999</v>
      </c>
      <c r="W1760">
        <v>0.19555739999999999</v>
      </c>
      <c r="X1760">
        <v>0.91174860000000002</v>
      </c>
      <c r="Y1760">
        <v>0.61249540000000002</v>
      </c>
      <c r="Z1760">
        <v>2.0176309999999999E-2</v>
      </c>
      <c r="AA1760">
        <v>0.79021660000000005</v>
      </c>
      <c r="AB1760">
        <v>26</v>
      </c>
      <c r="AC1760">
        <v>-0.855899999999991</v>
      </c>
      <c r="AD1760">
        <v>-1.1004864202410001</v>
      </c>
      <c r="AE1760">
        <v>-32.663699999999999</v>
      </c>
      <c r="AF1760">
        <v>20.058959455101999</v>
      </c>
      <c r="AG1760">
        <v>-1.1004864202410001</v>
      </c>
      <c r="AH1760">
        <v>25.746261522846201</v>
      </c>
      <c r="AI1760">
        <v>91.931171075608503</v>
      </c>
      <c r="AJ1760">
        <v>52.077778450124903</v>
      </c>
      <c r="AK1760">
        <v>32.656437453974497</v>
      </c>
      <c r="AL1760">
        <v>78.7227124258891</v>
      </c>
      <c r="AM1760">
        <v>68.387946569949904</v>
      </c>
      <c r="AN1760">
        <v>0.99999996562620397</v>
      </c>
    </row>
    <row r="1761" spans="1:40" x14ac:dyDescent="0.25">
      <c r="A1761" t="str">
        <f>"20190312172117684"</f>
        <v>20190312172117684</v>
      </c>
      <c r="B1761" t="str">
        <f>"1552382477672367"</f>
        <v>1552382477672367</v>
      </c>
      <c r="C1761" t="s">
        <v>40</v>
      </c>
      <c r="D1761">
        <v>3.336338</v>
      </c>
      <c r="E1761">
        <v>0.6113693</v>
      </c>
      <c r="F1761" t="s">
        <v>42</v>
      </c>
      <c r="G1761">
        <v>-191.1763</v>
      </c>
      <c r="H1761" s="1">
        <v>-8.8260319999999904E-7</v>
      </c>
      <c r="I1761">
        <v>320.9169</v>
      </c>
      <c r="J1761">
        <v>-190.03659999999999</v>
      </c>
      <c r="K1761">
        <v>1.1004879999999999</v>
      </c>
      <c r="L1761">
        <v>357.18189999999998</v>
      </c>
      <c r="M1761">
        <v>0.58801870000000001</v>
      </c>
      <c r="N1761">
        <v>0</v>
      </c>
      <c r="O1761">
        <v>-0.80872619999999995</v>
      </c>
      <c r="P1761">
        <v>0.25036540000000002</v>
      </c>
      <c r="Q1761">
        <v>0.19161619999999999</v>
      </c>
      <c r="R1761">
        <v>-0.94899979999999995</v>
      </c>
      <c r="S1761">
        <v>-9.4024659999999996E-2</v>
      </c>
      <c r="T1761">
        <v>-9.7146029999999994E-2</v>
      </c>
      <c r="U1761">
        <v>-3.2112729999999998</v>
      </c>
      <c r="V1761">
        <v>0.36038750000000003</v>
      </c>
      <c r="W1761">
        <v>0.19581599999999999</v>
      </c>
      <c r="X1761">
        <v>0.91201810000000005</v>
      </c>
      <c r="Y1761">
        <v>0.61145899999999997</v>
      </c>
      <c r="Z1761">
        <v>1.8379670000000001E-2</v>
      </c>
      <c r="AA1761">
        <v>0.79106269999999901</v>
      </c>
      <c r="AB1761">
        <v>26</v>
      </c>
      <c r="AC1761">
        <v>-1.1396999999999999</v>
      </c>
      <c r="AD1761">
        <v>-1.1004888826032</v>
      </c>
      <c r="AE1761">
        <v>-36.264999999999901</v>
      </c>
      <c r="AF1761">
        <v>22.2279344774403</v>
      </c>
      <c r="AG1761">
        <v>-1.1004888826032</v>
      </c>
      <c r="AH1761">
        <v>28.6347560965811</v>
      </c>
      <c r="AI1761">
        <v>91.738890473985194</v>
      </c>
      <c r="AJ1761">
        <v>52.179341890269498</v>
      </c>
      <c r="AK1761">
        <v>36.266257094230198</v>
      </c>
      <c r="AL1761">
        <v>78.707604428232301</v>
      </c>
      <c r="AM1761">
        <v>68.438353266932694</v>
      </c>
      <c r="AN1761">
        <v>1.0000000353699201</v>
      </c>
    </row>
    <row r="1762" spans="1:40" x14ac:dyDescent="0.25">
      <c r="A1762" t="str">
        <f>"20190312172117695"</f>
        <v>20190312172117695</v>
      </c>
      <c r="B1762" t="str">
        <f>"1552382477692863"</f>
        <v>1552382477692863</v>
      </c>
      <c r="C1762" t="s">
        <v>40</v>
      </c>
      <c r="D1762">
        <v>3.2905269999999902</v>
      </c>
      <c r="E1762">
        <v>0.61036009999999996</v>
      </c>
      <c r="F1762" t="s">
        <v>42</v>
      </c>
      <c r="G1762">
        <v>-191.3348</v>
      </c>
      <c r="H1762" s="1">
        <v>-4.9332030000000003E-6</v>
      </c>
      <c r="I1762">
        <v>319.51589999999999</v>
      </c>
      <c r="J1762">
        <v>-189.95769999999999</v>
      </c>
      <c r="K1762">
        <v>1.1004890000000001</v>
      </c>
      <c r="L1762">
        <v>357.06040000000002</v>
      </c>
      <c r="M1762">
        <v>0.58194000000000001</v>
      </c>
      <c r="N1762">
        <v>0</v>
      </c>
      <c r="O1762">
        <v>-0.81311140000000004</v>
      </c>
      <c r="P1762">
        <v>0.2440494</v>
      </c>
      <c r="Q1762">
        <v>0.1920424</v>
      </c>
      <c r="R1762">
        <v>-0.95055769999999995</v>
      </c>
      <c r="S1762">
        <v>-0.110611</v>
      </c>
      <c r="T1762">
        <v>-9.3768000000000004E-2</v>
      </c>
      <c r="U1762">
        <v>-3.2093509999999998</v>
      </c>
      <c r="V1762">
        <v>0.3595718</v>
      </c>
      <c r="W1762">
        <v>0.1962593</v>
      </c>
      <c r="X1762">
        <v>0.91224470000000002</v>
      </c>
      <c r="Y1762">
        <v>0.60962689999999997</v>
      </c>
      <c r="Z1762">
        <v>1.795921E-2</v>
      </c>
      <c r="AA1762">
        <v>0.79248499999999999</v>
      </c>
      <c r="AB1762">
        <v>26</v>
      </c>
      <c r="AC1762">
        <v>-1.37710000000001</v>
      </c>
      <c r="AD1762">
        <v>-1.1004939332029999</v>
      </c>
      <c r="AE1762">
        <v>-37.544499999999999</v>
      </c>
      <c r="AF1762">
        <v>22.950937257865501</v>
      </c>
      <c r="AG1762">
        <v>-1.1004939332029999</v>
      </c>
      <c r="AH1762">
        <v>29.703893746594002</v>
      </c>
      <c r="AI1762">
        <v>91.679268384938695</v>
      </c>
      <c r="AJ1762">
        <v>52.308261516689399</v>
      </c>
      <c r="AK1762">
        <v>37.5536670861907</v>
      </c>
      <c r="AL1762">
        <v>78.681702128390995</v>
      </c>
      <c r="AM1762">
        <v>68.487547050544507</v>
      </c>
      <c r="AN1762">
        <v>0.99999999243491</v>
      </c>
    </row>
    <row r="1763" spans="1:40" x14ac:dyDescent="0.25">
      <c r="A1763" t="str">
        <f>"20190312172117716"</f>
        <v>20190312172117716</v>
      </c>
      <c r="B1763" t="str">
        <f>"1552382477712383"</f>
        <v>1552382477712383</v>
      </c>
      <c r="C1763" t="s">
        <v>40</v>
      </c>
      <c r="D1763">
        <v>3.317771</v>
      </c>
      <c r="E1763">
        <v>0.60923119999999997</v>
      </c>
      <c r="F1763" t="s">
        <v>42</v>
      </c>
      <c r="G1763">
        <v>-191.48070000000001</v>
      </c>
      <c r="H1763" s="1">
        <v>-4.1563390000000004E-6</v>
      </c>
      <c r="I1763">
        <v>317.55079999999998</v>
      </c>
      <c r="J1763">
        <v>-189.8306</v>
      </c>
      <c r="K1763">
        <v>1.1004989999999999</v>
      </c>
      <c r="L1763">
        <v>356.8605</v>
      </c>
      <c r="M1763">
        <v>0.57193539999999998</v>
      </c>
      <c r="N1763">
        <v>0</v>
      </c>
      <c r="O1763">
        <v>-0.82017960000000001</v>
      </c>
      <c r="P1763">
        <v>0.23412330000000001</v>
      </c>
      <c r="Q1763">
        <v>0.1925482</v>
      </c>
      <c r="R1763">
        <v>-0.95294889999999999</v>
      </c>
      <c r="S1763">
        <v>-0.12358089999999999</v>
      </c>
      <c r="T1763">
        <v>-8.9293239999999996E-2</v>
      </c>
      <c r="U1763">
        <v>-3.2057799999999999</v>
      </c>
      <c r="V1763">
        <v>0.35785489999999998</v>
      </c>
      <c r="W1763">
        <v>0.19680629999999999</v>
      </c>
      <c r="X1763">
        <v>0.9128018</v>
      </c>
      <c r="Y1763">
        <v>0.60313229999999995</v>
      </c>
      <c r="Z1763">
        <v>1.748297E-2</v>
      </c>
      <c r="AA1763">
        <v>0.79744950000000003</v>
      </c>
      <c r="AB1763">
        <v>26</v>
      </c>
      <c r="AC1763">
        <v>-1.6500999999999999</v>
      </c>
      <c r="AD1763">
        <v>-1.100503156339</v>
      </c>
      <c r="AE1763">
        <v>-39.309699999999999</v>
      </c>
      <c r="AF1763">
        <v>23.819679463016001</v>
      </c>
      <c r="AG1763">
        <v>-1.100503156339</v>
      </c>
      <c r="AH1763">
        <v>31.275850742479999</v>
      </c>
      <c r="AI1763">
        <v>91.6034600956215</v>
      </c>
      <c r="AJ1763">
        <v>52.707111295773501</v>
      </c>
      <c r="AK1763">
        <v>39.328959769918001</v>
      </c>
      <c r="AL1763">
        <v>78.649737891595507</v>
      </c>
      <c r="AM1763">
        <v>68.592829550358104</v>
      </c>
      <c r="AN1763">
        <v>0.99999998762846998</v>
      </c>
    </row>
    <row r="1764" spans="1:40" x14ac:dyDescent="0.25">
      <c r="A1764" t="str">
        <f>"20190312172117738"</f>
        <v>20190312172117738</v>
      </c>
      <c r="B1764" t="str">
        <f>"1552382477732879"</f>
        <v>1552382477732879</v>
      </c>
      <c r="C1764" t="s">
        <v>40</v>
      </c>
      <c r="D1764">
        <v>3.3271609999999998</v>
      </c>
      <c r="E1764">
        <v>0.60792740000000001</v>
      </c>
      <c r="F1764" t="s">
        <v>42</v>
      </c>
      <c r="G1764">
        <v>-191.72319999999999</v>
      </c>
      <c r="H1764" s="1">
        <v>-3.423693E-6</v>
      </c>
      <c r="I1764">
        <v>315.86439999999999</v>
      </c>
      <c r="J1764">
        <v>-189.68459999999999</v>
      </c>
      <c r="K1764">
        <v>1.100511</v>
      </c>
      <c r="L1764">
        <v>356.62430000000001</v>
      </c>
      <c r="M1764">
        <v>0.56009529999999996</v>
      </c>
      <c r="N1764">
        <v>0</v>
      </c>
      <c r="O1764">
        <v>-0.82831069999999996</v>
      </c>
      <c r="P1764">
        <v>0.2226341</v>
      </c>
      <c r="Q1764">
        <v>0.1937816</v>
      </c>
      <c r="R1764">
        <v>-0.9554492</v>
      </c>
      <c r="S1764">
        <v>-0.1478119</v>
      </c>
      <c r="T1764">
        <v>-8.5950609999999997E-2</v>
      </c>
      <c r="U1764">
        <v>-3.2018430000000002</v>
      </c>
      <c r="V1764">
        <v>0.35561120000000002</v>
      </c>
      <c r="W1764">
        <v>0.1980941</v>
      </c>
      <c r="X1764">
        <v>0.91339990000000004</v>
      </c>
      <c r="Y1764">
        <v>0.59772590000000003</v>
      </c>
      <c r="Z1764">
        <v>1.7225029999999999E-2</v>
      </c>
      <c r="AA1764">
        <v>0.80151549999999905</v>
      </c>
      <c r="AB1764">
        <v>26</v>
      </c>
      <c r="AC1764">
        <v>-2.0386000000000002</v>
      </c>
      <c r="AD1764">
        <v>-1.100514423693</v>
      </c>
      <c r="AE1764">
        <v>-40.759900000000002</v>
      </c>
      <c r="AF1764">
        <v>24.5025913188773</v>
      </c>
      <c r="AG1764">
        <v>-1.100514423693</v>
      </c>
      <c r="AH1764">
        <v>32.599520428984299</v>
      </c>
      <c r="AI1764">
        <v>91.545799113782806</v>
      </c>
      <c r="AJ1764">
        <v>53.070587289109397</v>
      </c>
      <c r="AK1764">
        <v>40.796039581513902</v>
      </c>
      <c r="AL1764">
        <v>78.574470586758906</v>
      </c>
      <c r="AM1764">
        <v>68.727695708737002</v>
      </c>
      <c r="AN1764">
        <v>0.99999998767012899</v>
      </c>
    </row>
    <row r="1765" spans="1:40" x14ac:dyDescent="0.25">
      <c r="A1765" t="str">
        <f>"20190312172117762"</f>
        <v>20190312172117762</v>
      </c>
      <c r="B1765" t="str">
        <f>"1552382477752399"</f>
        <v>1552382477752399</v>
      </c>
      <c r="C1765" t="s">
        <v>40</v>
      </c>
      <c r="D1765">
        <v>3.3393199999999998</v>
      </c>
      <c r="E1765">
        <v>0.59993039999999997</v>
      </c>
      <c r="F1765" t="s">
        <v>42</v>
      </c>
      <c r="G1765">
        <v>-192.10149999999999</v>
      </c>
      <c r="H1765" s="1">
        <v>-2.0630520000000001E-6</v>
      </c>
      <c r="I1765">
        <v>312.7731</v>
      </c>
      <c r="J1765">
        <v>-189.5461</v>
      </c>
      <c r="K1765">
        <v>1.100522</v>
      </c>
      <c r="L1765">
        <v>356.39280000000002</v>
      </c>
      <c r="M1765">
        <v>0.54848069999999904</v>
      </c>
      <c r="N1765">
        <v>0</v>
      </c>
      <c r="O1765">
        <v>-0.83604690000000004</v>
      </c>
      <c r="P1765">
        <v>0.21139060000000001</v>
      </c>
      <c r="Q1765">
        <v>0.194275</v>
      </c>
      <c r="R1765">
        <v>-0.95789959999999996</v>
      </c>
      <c r="S1765">
        <v>-0.17622380000000001</v>
      </c>
      <c r="T1765">
        <v>-8.0240249999999999E-2</v>
      </c>
      <c r="U1765">
        <v>-3.1972659999999999</v>
      </c>
      <c r="V1765">
        <v>0.35354409999999997</v>
      </c>
      <c r="W1765">
        <v>0.1986405</v>
      </c>
      <c r="X1765">
        <v>0.91408339999999999</v>
      </c>
      <c r="Y1765">
        <v>0.59369099999999997</v>
      </c>
      <c r="Z1765">
        <v>1.6425639999999998E-2</v>
      </c>
      <c r="AA1765">
        <v>0.80452539999999995</v>
      </c>
      <c r="AB1765">
        <v>26</v>
      </c>
      <c r="AC1765">
        <v>-2.5553999999999899</v>
      </c>
      <c r="AD1765">
        <v>-1.1005240630519999</v>
      </c>
      <c r="AE1765">
        <v>-43.619700000000002</v>
      </c>
      <c r="AF1765">
        <v>26.047009114925999</v>
      </c>
      <c r="AG1765">
        <v>-1.1005240630519999</v>
      </c>
      <c r="AH1765">
        <v>35.047704775300197</v>
      </c>
      <c r="AI1765">
        <v>91.443706827717094</v>
      </c>
      <c r="AJ1765">
        <v>53.380737260091401</v>
      </c>
      <c r="AK1765">
        <v>43.680653006371102</v>
      </c>
      <c r="AL1765">
        <v>78.542529230287002</v>
      </c>
      <c r="AM1765">
        <v>68.854803309934098</v>
      </c>
      <c r="AN1765">
        <v>0.99999997052030898</v>
      </c>
    </row>
    <row r="1766" spans="1:40" x14ac:dyDescent="0.25">
      <c r="A1766" t="str">
        <f>"20190312172117784"</f>
        <v>20190312172117784</v>
      </c>
      <c r="B1766" t="str">
        <f>"1552382477772895"</f>
        <v>1552382477772895</v>
      </c>
      <c r="C1766" t="s">
        <v>40</v>
      </c>
      <c r="D1766">
        <v>3.3430279999999999</v>
      </c>
      <c r="E1766">
        <v>0.59859490000000004</v>
      </c>
      <c r="F1766" t="s">
        <v>42</v>
      </c>
      <c r="G1766">
        <v>-191.87950000000001</v>
      </c>
      <c r="H1766" s="1">
        <v>-3.9131860000000001E-6</v>
      </c>
      <c r="I1766">
        <v>307.54509999999999</v>
      </c>
      <c r="J1766">
        <v>-189.4102</v>
      </c>
      <c r="K1766">
        <v>1.1005400000000001</v>
      </c>
      <c r="L1766">
        <v>356.15769999999998</v>
      </c>
      <c r="M1766">
        <v>0.536682199999999</v>
      </c>
      <c r="N1766">
        <v>0</v>
      </c>
      <c r="O1766">
        <v>-0.84366969999999997</v>
      </c>
      <c r="P1766">
        <v>0.20099510000000001</v>
      </c>
      <c r="Q1766">
        <v>0.1952931</v>
      </c>
      <c r="R1766">
        <v>-0.95992840000000001</v>
      </c>
      <c r="S1766">
        <v>-0.15190119999999999</v>
      </c>
      <c r="T1766">
        <v>-7.1643109999999996E-2</v>
      </c>
      <c r="U1766">
        <v>-3.179932</v>
      </c>
      <c r="V1766">
        <v>0.35051110000000002</v>
      </c>
      <c r="W1766">
        <v>0.1997391</v>
      </c>
      <c r="X1766">
        <v>0.91501160000000004</v>
      </c>
      <c r="Y1766">
        <v>0.57636219999999905</v>
      </c>
      <c r="Z1766">
        <v>1.5153379999999999E-2</v>
      </c>
      <c r="AA1766">
        <v>0.8170539</v>
      </c>
      <c r="AB1766">
        <v>26</v>
      </c>
      <c r="AC1766">
        <v>-2.4693000000000001</v>
      </c>
      <c r="AD1766">
        <v>-1.100543913186</v>
      </c>
      <c r="AE1766">
        <v>-48.612599999999901</v>
      </c>
      <c r="AF1766">
        <v>28.161122780929599</v>
      </c>
      <c r="AG1766">
        <v>-1.100543913186</v>
      </c>
      <c r="AH1766">
        <v>39.671311390150798</v>
      </c>
      <c r="AI1766">
        <v>91.295894049350096</v>
      </c>
      <c r="AJ1766">
        <v>54.6305376716127</v>
      </c>
      <c r="AK1766">
        <v>48.662850107672099</v>
      </c>
      <c r="AL1766">
        <v>78.478297079690705</v>
      </c>
      <c r="AM1766">
        <v>69.039793294574807</v>
      </c>
      <c r="AN1766">
        <v>0.99999998371328902</v>
      </c>
    </row>
    <row r="1767" spans="1:40" x14ac:dyDescent="0.25">
      <c r="A1767" t="str">
        <f>"20190312172117806"</f>
        <v>20190312172117806</v>
      </c>
      <c r="B1767" t="str">
        <f>"1552382477802176"</f>
        <v>1552382477802176</v>
      </c>
      <c r="C1767" t="s">
        <v>40</v>
      </c>
      <c r="D1767">
        <v>3.299525</v>
      </c>
      <c r="E1767">
        <v>0.59717089999999995</v>
      </c>
      <c r="F1767" t="s">
        <v>42</v>
      </c>
      <c r="G1767">
        <v>-191.94739999999999</v>
      </c>
      <c r="H1767" s="1">
        <v>-1.012919E-6</v>
      </c>
      <c r="I1767">
        <v>310.63830000000002</v>
      </c>
      <c r="J1767">
        <v>-189.2834</v>
      </c>
      <c r="K1767">
        <v>1.1005529999999999</v>
      </c>
      <c r="L1767">
        <v>355.9314</v>
      </c>
      <c r="M1767">
        <v>0.52531669999999997</v>
      </c>
      <c r="N1767">
        <v>0</v>
      </c>
      <c r="O1767">
        <v>-0.85079319999999903</v>
      </c>
      <c r="P1767">
        <v>0.19169810000000001</v>
      </c>
      <c r="Q1767">
        <v>0.19700770000000001</v>
      </c>
      <c r="R1767">
        <v>-0.9614781</v>
      </c>
      <c r="S1767">
        <v>-0.177139299999999</v>
      </c>
      <c r="T1767">
        <v>-7.6834559999999996E-2</v>
      </c>
      <c r="U1767">
        <v>-3.1779480000000002</v>
      </c>
      <c r="V1767">
        <v>0.34693089999999999</v>
      </c>
      <c r="W1767">
        <v>0.20154830000000001</v>
      </c>
      <c r="X1767">
        <v>0.91597879999999998</v>
      </c>
      <c r="Y1767">
        <v>0.57188419999999995</v>
      </c>
      <c r="Z1767">
        <v>1.6551360000000001E-2</v>
      </c>
      <c r="AA1767">
        <v>0.82016739999999999</v>
      </c>
      <c r="AB1767">
        <v>26</v>
      </c>
      <c r="AC1767">
        <v>-2.6639999999999802</v>
      </c>
      <c r="AD1767">
        <v>-1.1005540129189999</v>
      </c>
      <c r="AE1767">
        <v>-45.293099999999903</v>
      </c>
      <c r="AF1767">
        <v>26.046928366087901</v>
      </c>
      <c r="AG1767">
        <v>-1.1005540129189999</v>
      </c>
      <c r="AH1767">
        <v>37.117368230128797</v>
      </c>
      <c r="AI1767">
        <v>91.390343910754396</v>
      </c>
      <c r="AJ1767">
        <v>54.940932538806202</v>
      </c>
      <c r="AK1767">
        <v>45.358050231182197</v>
      </c>
      <c r="AL1767">
        <v>78.372485559943101</v>
      </c>
      <c r="AM1767">
        <v>69.255602761914702</v>
      </c>
      <c r="AN1767">
        <v>0.99999996432856897</v>
      </c>
    </row>
    <row r="1768" spans="1:40" x14ac:dyDescent="0.25">
      <c r="A1768" t="str">
        <f>"20190312172117827"</f>
        <v>20190312172117827</v>
      </c>
      <c r="B1768" t="str">
        <f>"1552382477822671"</f>
        <v>1552382477822671</v>
      </c>
      <c r="C1768" t="s">
        <v>40</v>
      </c>
      <c r="D1768">
        <v>3.2544620000000002</v>
      </c>
      <c r="E1768">
        <v>0.59657990000000005</v>
      </c>
      <c r="F1768" t="s">
        <v>42</v>
      </c>
      <c r="G1768">
        <v>-192.09039999999999</v>
      </c>
      <c r="H1768" s="1">
        <v>-1.094099E-6</v>
      </c>
      <c r="I1768">
        <v>310.72949999999997</v>
      </c>
      <c r="J1768">
        <v>-189.1583</v>
      </c>
      <c r="K1768">
        <v>1.1005750000000001</v>
      </c>
      <c r="L1768">
        <v>355.7011</v>
      </c>
      <c r="M1768">
        <v>0.51374470000000005</v>
      </c>
      <c r="N1768">
        <v>0</v>
      </c>
      <c r="O1768">
        <v>-0.85783050000000005</v>
      </c>
      <c r="P1768">
        <v>0.18267820000000001</v>
      </c>
      <c r="Q1768">
        <v>0.1994852</v>
      </c>
      <c r="R1768">
        <v>-0.96272259999999998</v>
      </c>
      <c r="S1768">
        <v>-0.19718930000000001</v>
      </c>
      <c r="T1768">
        <v>-7.7311279999999996E-2</v>
      </c>
      <c r="U1768">
        <v>-3.1753230000000001</v>
      </c>
      <c r="V1768">
        <v>0.342887099999999</v>
      </c>
      <c r="W1768">
        <v>0.20412949999999999</v>
      </c>
      <c r="X1768">
        <v>0.91692940000000001</v>
      </c>
      <c r="Y1768">
        <v>0.56595640000000003</v>
      </c>
      <c r="Z1768">
        <v>1.697019E-2</v>
      </c>
      <c r="AA1768">
        <v>0.82426049999999995</v>
      </c>
      <c r="AB1768">
        <v>26</v>
      </c>
      <c r="AC1768">
        <v>-2.9320999999999899</v>
      </c>
      <c r="AD1768">
        <v>-1.1005760940989999</v>
      </c>
      <c r="AE1768">
        <v>-44.971600000000002</v>
      </c>
      <c r="AF1768">
        <v>25.606370278153499</v>
      </c>
      <c r="AG1768">
        <v>-1.1005760940989999</v>
      </c>
      <c r="AH1768">
        <v>37.0531435652467</v>
      </c>
      <c r="AI1768">
        <v>91.399767045340795</v>
      </c>
      <c r="AJ1768">
        <v>55.3527555911866</v>
      </c>
      <c r="AK1768">
        <v>45.0536670497263</v>
      </c>
      <c r="AL1768">
        <v>78.221454086702906</v>
      </c>
      <c r="AM1768">
        <v>69.496642435841096</v>
      </c>
      <c r="AN1768">
        <v>0.99999997035050903</v>
      </c>
    </row>
    <row r="1769" spans="1:40" x14ac:dyDescent="0.25">
      <c r="A1769" t="str">
        <f>"20190312172117850"</f>
        <v>20190312172117850</v>
      </c>
      <c r="B1769" t="str">
        <f>"1552382477842191"</f>
        <v>1552382477842191</v>
      </c>
      <c r="C1769" t="s">
        <v>40</v>
      </c>
      <c r="D1769">
        <v>3.2623329999999999</v>
      </c>
      <c r="E1769">
        <v>0.58864649999999996</v>
      </c>
      <c r="F1769" t="s">
        <v>42</v>
      </c>
      <c r="G1769">
        <v>-192.58770000000001</v>
      </c>
      <c r="H1769" s="1">
        <v>-3.735174E-6</v>
      </c>
      <c r="I1769">
        <v>306.6909</v>
      </c>
      <c r="J1769">
        <v>-189.0299</v>
      </c>
      <c r="K1769">
        <v>1.1006020000000001</v>
      </c>
      <c r="L1769">
        <v>355.45679999999999</v>
      </c>
      <c r="M1769">
        <v>0.50147390000000003</v>
      </c>
      <c r="N1769">
        <v>0</v>
      </c>
      <c r="O1769">
        <v>-0.86506149999999904</v>
      </c>
      <c r="P1769">
        <v>0.17325270000000001</v>
      </c>
      <c r="Q1769">
        <v>0.20020569999999999</v>
      </c>
      <c r="R1769">
        <v>-0.96431420000000001</v>
      </c>
      <c r="S1769">
        <v>-0.22203059999999999</v>
      </c>
      <c r="T1769">
        <v>-7.1254010000000007E-2</v>
      </c>
      <c r="U1769">
        <v>-3.173035</v>
      </c>
      <c r="V1769">
        <v>0.33871390000000001</v>
      </c>
      <c r="W1769">
        <v>0.20496259999999999</v>
      </c>
      <c r="X1769">
        <v>0.91829369999999999</v>
      </c>
      <c r="Y1769">
        <v>0.56066749999999999</v>
      </c>
      <c r="Z1769">
        <v>1.5930969999999999E-2</v>
      </c>
      <c r="AA1769">
        <v>0.82788779999999995</v>
      </c>
      <c r="AB1769">
        <v>26</v>
      </c>
      <c r="AC1769">
        <v>-3.5578000000000101</v>
      </c>
      <c r="AD1769">
        <v>-1.100605735174</v>
      </c>
      <c r="AE1769">
        <v>-48.765899999999903</v>
      </c>
      <c r="AF1769">
        <v>27.521248448335101</v>
      </c>
      <c r="AG1769">
        <v>-1.100605735174</v>
      </c>
      <c r="AH1769">
        <v>40.384786758421797</v>
      </c>
      <c r="AI1769">
        <v>91.290125625612106</v>
      </c>
      <c r="AJ1769">
        <v>55.7265229721148</v>
      </c>
      <c r="AK1769">
        <v>48.883140761028102</v>
      </c>
      <c r="AL1769">
        <v>78.172690859783998</v>
      </c>
      <c r="AM1769">
        <v>69.753434260748506</v>
      </c>
      <c r="AN1769">
        <v>1.0000000464558201</v>
      </c>
    </row>
    <row r="1770" spans="1:40" x14ac:dyDescent="0.25">
      <c r="A1770" t="str">
        <f>"20190312172117863"</f>
        <v>20190312172117863</v>
      </c>
      <c r="B1770" t="str">
        <f>"1552382477852927"</f>
        <v>1552382477852927</v>
      </c>
      <c r="C1770" t="s">
        <v>40</v>
      </c>
      <c r="D1770">
        <v>3.3120099999999999</v>
      </c>
      <c r="E1770">
        <v>0.58840130000000002</v>
      </c>
      <c r="F1770" t="s">
        <v>42</v>
      </c>
      <c r="G1770">
        <v>-191.429</v>
      </c>
      <c r="H1770" s="1">
        <v>-3.1642129999999999E-6</v>
      </c>
      <c r="I1770">
        <v>315.48110000000003</v>
      </c>
      <c r="J1770">
        <v>-188.95920000000001</v>
      </c>
      <c r="K1770">
        <v>1.100619</v>
      </c>
      <c r="L1770">
        <v>355.31880000000001</v>
      </c>
      <c r="M1770">
        <v>0.49454320000000002</v>
      </c>
      <c r="N1770">
        <v>0</v>
      </c>
      <c r="O1770">
        <v>-0.8690426</v>
      </c>
      <c r="P1770">
        <v>0.16731789999999999</v>
      </c>
      <c r="Q1770">
        <v>0.19995160000000001</v>
      </c>
      <c r="R1770">
        <v>-0.96541399999999999</v>
      </c>
      <c r="S1770">
        <v>-0.18983459999999999</v>
      </c>
      <c r="T1770">
        <v>-8.7088109999999996E-2</v>
      </c>
      <c r="U1770">
        <v>-3.1631770000000001</v>
      </c>
      <c r="V1770">
        <v>0.33702979999999999</v>
      </c>
      <c r="W1770">
        <v>0.20475679999999999</v>
      </c>
      <c r="X1770">
        <v>0.91895899999999997</v>
      </c>
      <c r="Y1770">
        <v>0.54573890000000003</v>
      </c>
      <c r="Z1770">
        <v>1.9842749999999999E-2</v>
      </c>
      <c r="AA1770">
        <v>0.83772029999999997</v>
      </c>
      <c r="AB1770">
        <v>26</v>
      </c>
      <c r="AC1770">
        <v>-2.46979999999999</v>
      </c>
      <c r="AD1770">
        <v>-1.1006221642129901</v>
      </c>
      <c r="AE1770">
        <v>-39.837699999999899</v>
      </c>
      <c r="AF1770">
        <v>21.8333212695591</v>
      </c>
      <c r="AG1770">
        <v>-1.1006221642129901</v>
      </c>
      <c r="AH1770">
        <v>33.377063349278899</v>
      </c>
      <c r="AI1770">
        <v>91.580714729713094</v>
      </c>
      <c r="AJ1770">
        <v>56.809636935206299</v>
      </c>
      <c r="AK1770">
        <v>39.8990431543154</v>
      </c>
      <c r="AL1770">
        <v>78.184737734807896</v>
      </c>
      <c r="AM1770">
        <v>69.8594006840882</v>
      </c>
      <c r="AN1770">
        <v>1.00000003845763</v>
      </c>
    </row>
    <row r="1771" spans="1:40" x14ac:dyDescent="0.25">
      <c r="A1771" t="str">
        <f>"20190312172117876"</f>
        <v>20190312172117876</v>
      </c>
      <c r="B1771" t="str">
        <f>"1552382477872447"</f>
        <v>1552382477872447</v>
      </c>
      <c r="C1771" t="s">
        <v>40</v>
      </c>
      <c r="D1771">
        <v>3.3242090000000002</v>
      </c>
      <c r="E1771">
        <v>0.58735409999999999</v>
      </c>
      <c r="F1771" t="s">
        <v>42</v>
      </c>
      <c r="G1771">
        <v>-191.518</v>
      </c>
      <c r="H1771" s="1">
        <v>-3.5623950000000001E-6</v>
      </c>
      <c r="I1771">
        <v>316.27330000000001</v>
      </c>
      <c r="J1771">
        <v>-188.89179999999999</v>
      </c>
      <c r="K1771">
        <v>1.100635</v>
      </c>
      <c r="L1771">
        <v>355.18450000000001</v>
      </c>
      <c r="M1771">
        <v>0.48782009999999998</v>
      </c>
      <c r="N1771">
        <v>0</v>
      </c>
      <c r="O1771">
        <v>-0.87283419999999901</v>
      </c>
      <c r="P1771">
        <v>0.16187589999999999</v>
      </c>
      <c r="Q1771">
        <v>0.19995060000000001</v>
      </c>
      <c r="R1771">
        <v>-0.96634169999999997</v>
      </c>
      <c r="S1771">
        <v>-0.20721439999999999</v>
      </c>
      <c r="T1771">
        <v>-8.9126590000000006E-2</v>
      </c>
      <c r="U1771">
        <v>-3.161835</v>
      </c>
      <c r="V1771">
        <v>0.33509840000000002</v>
      </c>
      <c r="W1771">
        <v>0.20481369999999999</v>
      </c>
      <c r="X1771">
        <v>0.91965229999999998</v>
      </c>
      <c r="Y1771">
        <v>0.54387589999999997</v>
      </c>
      <c r="Z1771">
        <v>2.0487789999999999E-2</v>
      </c>
      <c r="AA1771">
        <v>0.83891550000000004</v>
      </c>
      <c r="AB1771">
        <v>26</v>
      </c>
      <c r="AC1771">
        <v>-2.6262000000000101</v>
      </c>
      <c r="AD1771">
        <v>-1.1006385623949999</v>
      </c>
      <c r="AE1771">
        <v>-38.911200000000001</v>
      </c>
      <c r="AF1771">
        <v>21.259013290918698</v>
      </c>
      <c r="AG1771">
        <v>-1.1006385623949999</v>
      </c>
      <c r="AH1771">
        <v>32.659039280716001</v>
      </c>
      <c r="AI1771">
        <v>91.617842168161502</v>
      </c>
      <c r="AJ1771">
        <v>56.9383632471867</v>
      </c>
      <c r="AK1771">
        <v>38.984226272786799</v>
      </c>
      <c r="AL1771">
        <v>78.181406209892899</v>
      </c>
      <c r="AM1771">
        <v>69.979519045801496</v>
      </c>
      <c r="AN1771">
        <v>0.99999997114276895</v>
      </c>
    </row>
    <row r="1772" spans="1:40" x14ac:dyDescent="0.25">
      <c r="A1772" t="str">
        <f>"20190312172117894"</f>
        <v>20190312172117894</v>
      </c>
      <c r="B1772" t="str">
        <f>"1552382477882207"</f>
        <v>1552382477882207</v>
      </c>
      <c r="C1772" t="s">
        <v>40</v>
      </c>
      <c r="D1772">
        <v>3.3097859999999999</v>
      </c>
      <c r="E1772">
        <v>0.58685089999999995</v>
      </c>
      <c r="F1772" t="s">
        <v>42</v>
      </c>
      <c r="G1772">
        <v>-191.4496</v>
      </c>
      <c r="H1772" s="1">
        <v>-4.3051840000000003E-6</v>
      </c>
      <c r="I1772">
        <v>317.88319999999999</v>
      </c>
      <c r="J1772">
        <v>-188.7938</v>
      </c>
      <c r="K1772">
        <v>1.1006739999999999</v>
      </c>
      <c r="L1772">
        <v>354.98419999999999</v>
      </c>
      <c r="M1772">
        <v>0.4778114</v>
      </c>
      <c r="N1772">
        <v>0</v>
      </c>
      <c r="O1772">
        <v>-0.87835350000000001</v>
      </c>
      <c r="P1772">
        <v>0.1541122</v>
      </c>
      <c r="Q1772">
        <v>0.19924539999999999</v>
      </c>
      <c r="R1772">
        <v>-0.96775540000000004</v>
      </c>
      <c r="S1772">
        <v>-0.2166901</v>
      </c>
      <c r="T1772">
        <v>-9.3243119999999999E-2</v>
      </c>
      <c r="U1772">
        <v>-3.1600649999999999</v>
      </c>
      <c r="V1772">
        <v>0.33199410000000001</v>
      </c>
      <c r="W1772">
        <v>0.20420969999999999</v>
      </c>
      <c r="X1772">
        <v>0.9209117</v>
      </c>
      <c r="Y1772">
        <v>0.53679699999999997</v>
      </c>
      <c r="Z1772">
        <v>2.1754699999999998E-2</v>
      </c>
      <c r="AA1772">
        <v>0.84343089999999998</v>
      </c>
      <c r="AB1772">
        <v>26</v>
      </c>
      <c r="AC1772">
        <v>-2.6558000000000002</v>
      </c>
      <c r="AD1772">
        <v>-1.1006783051839999</v>
      </c>
      <c r="AE1772">
        <v>-37.100999999999999</v>
      </c>
      <c r="AF1772">
        <v>20.044380111460999</v>
      </c>
      <c r="AG1772">
        <v>-1.1006783051839999</v>
      </c>
      <c r="AH1772">
        <v>31.294416338039799</v>
      </c>
      <c r="AI1772">
        <v>91.696448817512305</v>
      </c>
      <c r="AJ1772">
        <v>57.360040277555299</v>
      </c>
      <c r="AK1772">
        <v>37.179687474786597</v>
      </c>
      <c r="AL1772">
        <v>78.216760701043199</v>
      </c>
      <c r="AM1772">
        <v>70.175467498285997</v>
      </c>
      <c r="AN1772">
        <v>1.0000000216028899</v>
      </c>
    </row>
    <row r="1773" spans="1:40" x14ac:dyDescent="0.25">
      <c r="A1773" t="str">
        <f>"20190312172117918"</f>
        <v>20190312172117918</v>
      </c>
      <c r="B1773" t="str">
        <f>"1552382477912463"</f>
        <v>1552382477912463</v>
      </c>
      <c r="C1773" t="s">
        <v>40</v>
      </c>
      <c r="D1773">
        <v>3.3446539999999998</v>
      </c>
      <c r="E1773">
        <v>0.58090559999999902</v>
      </c>
      <c r="F1773" t="s">
        <v>42</v>
      </c>
      <c r="G1773">
        <v>-191.55109999999999</v>
      </c>
      <c r="H1773" s="1">
        <v>-4.5854449999999999E-6</v>
      </c>
      <c r="I1773">
        <v>318.5104</v>
      </c>
      <c r="J1773">
        <v>-188.6754</v>
      </c>
      <c r="K1773">
        <v>1.1007370000000001</v>
      </c>
      <c r="L1773">
        <v>354.73509999999999</v>
      </c>
      <c r="M1773">
        <v>0.46540589999999998</v>
      </c>
      <c r="N1773">
        <v>0</v>
      </c>
      <c r="O1773">
        <v>-0.8849899</v>
      </c>
      <c r="P1773">
        <v>0.14407519999999999</v>
      </c>
      <c r="Q1773">
        <v>0.20008880000000001</v>
      </c>
      <c r="R1773">
        <v>-0.96912739999999997</v>
      </c>
      <c r="S1773">
        <v>-0.23870849999999999</v>
      </c>
      <c r="T1773">
        <v>-9.5287319999999995E-2</v>
      </c>
      <c r="U1773">
        <v>-3.1575929999999999</v>
      </c>
      <c r="V1773">
        <v>0.32847759999999998</v>
      </c>
      <c r="W1773">
        <v>0.2051731</v>
      </c>
      <c r="X1773">
        <v>0.92195800000000006</v>
      </c>
      <c r="Y1773">
        <v>0.53080729999999998</v>
      </c>
      <c r="Z1773">
        <v>2.2599379999999999E-2</v>
      </c>
      <c r="AA1773">
        <v>0.84719120000000003</v>
      </c>
      <c r="AB1773">
        <v>26</v>
      </c>
      <c r="AC1773">
        <v>-2.8756999999999899</v>
      </c>
      <c r="AD1773">
        <v>-1.100741585445</v>
      </c>
      <c r="AE1773">
        <v>-36.224699999999899</v>
      </c>
      <c r="AF1773">
        <v>19.388210624590499</v>
      </c>
      <c r="AG1773">
        <v>-1.100741585445</v>
      </c>
      <c r="AH1773">
        <v>30.694883880340601</v>
      </c>
      <c r="AI1773">
        <v>91.736618127545597</v>
      </c>
      <c r="AJ1773">
        <v>57.721729512338896</v>
      </c>
      <c r="AK1773">
        <v>36.322035180989097</v>
      </c>
      <c r="AL1773">
        <v>78.160368188025899</v>
      </c>
      <c r="AM1773">
        <v>70.389900893073005</v>
      </c>
      <c r="AN1773">
        <v>1.0000000442146799</v>
      </c>
    </row>
    <row r="1774" spans="1:40" x14ac:dyDescent="0.25">
      <c r="A1774" t="str">
        <f>"20190312172117940"</f>
        <v>20190312172117940</v>
      </c>
      <c r="B1774" t="str">
        <f>"1552382477932959"</f>
        <v>1552382477932959</v>
      </c>
      <c r="C1774" t="s">
        <v>40</v>
      </c>
      <c r="D1774">
        <v>3.3308119999999999</v>
      </c>
      <c r="E1774">
        <v>0.57930780000000004</v>
      </c>
      <c r="F1774" t="s">
        <v>42</v>
      </c>
      <c r="G1774">
        <v>-191.14250000000001</v>
      </c>
      <c r="H1774" s="1">
        <v>-5.4488289999999998E-7</v>
      </c>
      <c r="I1774">
        <v>320.1506</v>
      </c>
      <c r="J1774">
        <v>-188.56229999999999</v>
      </c>
      <c r="K1774">
        <v>1.1008070000000001</v>
      </c>
      <c r="L1774">
        <v>354.48829999999998</v>
      </c>
      <c r="M1774">
        <v>0.4531963</v>
      </c>
      <c r="N1774">
        <v>0</v>
      </c>
      <c r="O1774">
        <v>-0.89130429999999905</v>
      </c>
      <c r="P1774">
        <v>0.13536119999999999</v>
      </c>
      <c r="Q1774">
        <v>0.20222580000000001</v>
      </c>
      <c r="R1774">
        <v>-0.9699392</v>
      </c>
      <c r="S1774">
        <v>-0.22468569999999999</v>
      </c>
      <c r="T1774">
        <v>-0.1002468</v>
      </c>
      <c r="U1774">
        <v>-3.149689</v>
      </c>
      <c r="V1774">
        <v>0.32388309999999998</v>
      </c>
      <c r="W1774">
        <v>0.20746680000000001</v>
      </c>
      <c r="X1774">
        <v>0.92306949999999999</v>
      </c>
      <c r="Y1774">
        <v>0.51547679999999996</v>
      </c>
      <c r="Z1774">
        <v>2.4292899999999999E-2</v>
      </c>
      <c r="AA1774">
        <v>0.85655910000000002</v>
      </c>
      <c r="AB1774">
        <v>26</v>
      </c>
      <c r="AC1774">
        <v>-2.5802000000000098</v>
      </c>
      <c r="AD1774">
        <v>-1.10080754488289</v>
      </c>
      <c r="AE1774">
        <v>-34.337699999999899</v>
      </c>
      <c r="AF1774">
        <v>17.844920022252602</v>
      </c>
      <c r="AG1774">
        <v>-1.10080754488289</v>
      </c>
      <c r="AH1774">
        <v>29.408741189413899</v>
      </c>
      <c r="AI1774">
        <v>91.832886708905207</v>
      </c>
      <c r="AJ1774">
        <v>58.751056872289702</v>
      </c>
      <c r="AK1774">
        <v>34.4169581194706</v>
      </c>
      <c r="AL1774">
        <v>78.026058804690393</v>
      </c>
      <c r="AM1774">
        <v>70.6652431414673</v>
      </c>
      <c r="AN1774">
        <v>1.0000000186990401</v>
      </c>
    </row>
    <row r="1775" spans="1:40" x14ac:dyDescent="0.25">
      <c r="A1775" t="str">
        <f>"20190312172117962"</f>
        <v>20190312172117962</v>
      </c>
      <c r="B1775" t="str">
        <f>"1552382477952483"</f>
        <v>1552382477952483</v>
      </c>
      <c r="C1775" t="s">
        <v>40</v>
      </c>
      <c r="D1775">
        <v>3.3052579999999998</v>
      </c>
      <c r="E1775">
        <v>0.57859280000000002</v>
      </c>
      <c r="F1775" t="s">
        <v>42</v>
      </c>
      <c r="G1775">
        <v>-191.34630000000001</v>
      </c>
      <c r="H1775" s="1">
        <v>-4.2899220000000004E-6</v>
      </c>
      <c r="I1775">
        <v>317.90910000000002</v>
      </c>
      <c r="J1775">
        <v>-188.45840000000001</v>
      </c>
      <c r="K1775">
        <v>1.1008960000000001</v>
      </c>
      <c r="L1775">
        <v>354.25319999999999</v>
      </c>
      <c r="M1775">
        <v>0.44165860000000001</v>
      </c>
      <c r="N1775">
        <v>0</v>
      </c>
      <c r="O1775">
        <v>-0.89707789999999998</v>
      </c>
      <c r="P1775">
        <v>0.12756700000000001</v>
      </c>
      <c r="Q1775">
        <v>0.20302870000000001</v>
      </c>
      <c r="R1775">
        <v>-0.97082760000000001</v>
      </c>
      <c r="S1775">
        <v>-0.23944090000000001</v>
      </c>
      <c r="T1775">
        <v>-9.4678159999999997E-2</v>
      </c>
      <c r="U1775">
        <v>-3.1460880000000002</v>
      </c>
      <c r="V1775">
        <v>0.319272</v>
      </c>
      <c r="W1775">
        <v>0.2084337</v>
      </c>
      <c r="X1775">
        <v>0.92445699999999997</v>
      </c>
      <c r="Y1775">
        <v>0.50847339999999996</v>
      </c>
      <c r="Z1775">
        <v>2.3290160000000001E-2</v>
      </c>
      <c r="AA1775">
        <v>0.86076269999999999</v>
      </c>
      <c r="AB1775">
        <v>26</v>
      </c>
      <c r="AC1775">
        <v>-2.8879000000000001</v>
      </c>
      <c r="AD1775">
        <v>-1.100900289922</v>
      </c>
      <c r="AE1775">
        <v>-36.344099999999898</v>
      </c>
      <c r="AF1775">
        <v>18.6271327929073</v>
      </c>
      <c r="AG1775">
        <v>-1.100900289922</v>
      </c>
      <c r="AH1775">
        <v>31.302441493107601</v>
      </c>
      <c r="AI1775">
        <v>91.731145571406898</v>
      </c>
      <c r="AJ1775">
        <v>59.244407437859202</v>
      </c>
      <c r="AK1775">
        <v>36.442075969439202</v>
      </c>
      <c r="AL1775">
        <v>77.969420926733505</v>
      </c>
      <c r="AM1775">
        <v>70.947050397100199</v>
      </c>
      <c r="AN1775">
        <v>0.99999998106434396</v>
      </c>
    </row>
    <row r="1776" spans="1:40" x14ac:dyDescent="0.25">
      <c r="A1776" t="str">
        <f>"20190312172117985"</f>
        <v>20190312172117985</v>
      </c>
      <c r="B1776" t="str">
        <f>"1552382477982735"</f>
        <v>1552382477982735</v>
      </c>
      <c r="C1776" t="s">
        <v>40</v>
      </c>
      <c r="D1776">
        <v>3.2854749999999999</v>
      </c>
      <c r="E1776">
        <v>0.57256470000000004</v>
      </c>
      <c r="F1776" t="s">
        <v>42</v>
      </c>
      <c r="G1776">
        <v>-191.47139999999999</v>
      </c>
      <c r="H1776" s="1">
        <v>-4.1079360000000002E-6</v>
      </c>
      <c r="I1776">
        <v>317.45370000000003</v>
      </c>
      <c r="J1776">
        <v>-188.35069999999999</v>
      </c>
      <c r="K1776">
        <v>1.1009990000000001</v>
      </c>
      <c r="L1776">
        <v>354.00060000000002</v>
      </c>
      <c r="M1776">
        <v>0.42935499999999999</v>
      </c>
      <c r="N1776">
        <v>0</v>
      </c>
      <c r="O1776">
        <v>-0.90303180000000005</v>
      </c>
      <c r="P1776">
        <v>0.11896909999999999</v>
      </c>
      <c r="Q1776">
        <v>0.20295750000000001</v>
      </c>
      <c r="R1776">
        <v>-0.97193350000000001</v>
      </c>
      <c r="S1776">
        <v>-0.25738529999999998</v>
      </c>
      <c r="T1776">
        <v>-9.4044920000000004E-2</v>
      </c>
      <c r="U1776">
        <v>-3.1436160000000002</v>
      </c>
      <c r="V1776">
        <v>0.3147606</v>
      </c>
      <c r="W1776">
        <v>0.20852509999999999</v>
      </c>
      <c r="X1776">
        <v>0.92598219999999998</v>
      </c>
      <c r="Y1776">
        <v>0.50162180000000001</v>
      </c>
      <c r="Z1776">
        <v>2.3474350000000001E-2</v>
      </c>
      <c r="AA1776">
        <v>0.86476849999999905</v>
      </c>
      <c r="AB1776">
        <v>26</v>
      </c>
      <c r="AC1776">
        <v>-3.1206999999999998</v>
      </c>
      <c r="AD1776">
        <v>-1.1010031079359901</v>
      </c>
      <c r="AE1776">
        <v>-36.546900000000001</v>
      </c>
      <c r="AF1776">
        <v>18.4947607436353</v>
      </c>
      <c r="AG1776">
        <v>-1.1010031079359901</v>
      </c>
      <c r="AH1776">
        <v>31.637593936410699</v>
      </c>
      <c r="AI1776">
        <v>91.720852320904697</v>
      </c>
      <c r="AJ1776">
        <v>59.6902220777013</v>
      </c>
      <c r="AK1776">
        <v>36.663411364645398</v>
      </c>
      <c r="AL1776">
        <v>77.964066590989901</v>
      </c>
      <c r="AM1776">
        <v>71.226035052053703</v>
      </c>
      <c r="AN1776">
        <v>0.99999999367960402</v>
      </c>
    </row>
    <row r="1777" spans="1:40" x14ac:dyDescent="0.25">
      <c r="A1777" t="str">
        <f>"20190312172118006"</f>
        <v>20190312172118006</v>
      </c>
      <c r="B1777" t="str">
        <f>"1552382478002257"</f>
        <v>1552382478002257</v>
      </c>
      <c r="C1777" t="s">
        <v>40</v>
      </c>
      <c r="D1777">
        <v>3.3096220000000001</v>
      </c>
      <c r="E1777">
        <v>0.57158369999999903</v>
      </c>
      <c r="F1777" t="s">
        <v>42</v>
      </c>
      <c r="G1777">
        <v>-190.5718</v>
      </c>
      <c r="H1777" s="1">
        <v>-2.2897860000000001E-6</v>
      </c>
      <c r="I1777">
        <v>324.572</v>
      </c>
      <c r="J1777">
        <v>-188.2552</v>
      </c>
      <c r="K1777">
        <v>1.101075</v>
      </c>
      <c r="L1777">
        <v>353.76870000000002</v>
      </c>
      <c r="M1777">
        <v>0.41814109999999999</v>
      </c>
      <c r="N1777">
        <v>0</v>
      </c>
      <c r="O1777">
        <v>-0.9082789</v>
      </c>
      <c r="P1777">
        <v>0.1117731</v>
      </c>
      <c r="Q1777">
        <v>0.20138600000000001</v>
      </c>
      <c r="R1777">
        <v>-0.97311380000000003</v>
      </c>
      <c r="S1777">
        <v>-0.2369995</v>
      </c>
      <c r="T1777">
        <v>-0.117481</v>
      </c>
      <c r="U1777">
        <v>-3.1401370000000002</v>
      </c>
      <c r="V1777">
        <v>0.31019099999999999</v>
      </c>
      <c r="W1777">
        <v>0.20711180000000001</v>
      </c>
      <c r="X1777">
        <v>0.92783959999999999</v>
      </c>
      <c r="Y1777">
        <v>0.48530240000000002</v>
      </c>
      <c r="Z1777">
        <v>2.9828839999999999E-2</v>
      </c>
      <c r="AA1777">
        <v>0.87383739999999999</v>
      </c>
      <c r="AB1777">
        <v>26</v>
      </c>
      <c r="AC1777">
        <v>-2.31659999999999</v>
      </c>
      <c r="AD1777">
        <v>-1.1010772897859999</v>
      </c>
      <c r="AE1777">
        <v>-29.1967</v>
      </c>
      <c r="AF1777">
        <v>14.2935993282923</v>
      </c>
      <c r="AG1777">
        <v>-1.1010772897859999</v>
      </c>
      <c r="AH1777">
        <v>25.516413013109101</v>
      </c>
      <c r="AI1777">
        <v>92.156017119962698</v>
      </c>
      <c r="AJ1777">
        <v>60.743639179633902</v>
      </c>
      <c r="AK1777">
        <v>29.267843890717401</v>
      </c>
      <c r="AL1777">
        <v>78.046850649500598</v>
      </c>
      <c r="AM1777">
        <v>71.514428380146995</v>
      </c>
      <c r="AN1777">
        <v>1.0000000387541901</v>
      </c>
    </row>
    <row r="1778" spans="1:40" x14ac:dyDescent="0.25">
      <c r="A1778" t="str">
        <f>"20190312172118019"</f>
        <v>20190312172118019</v>
      </c>
      <c r="B1778" t="str">
        <f>"1552382478012992"</f>
        <v>1552382478012992</v>
      </c>
      <c r="C1778" t="s">
        <v>40</v>
      </c>
      <c r="D1778">
        <v>3.3164790000000002</v>
      </c>
      <c r="E1778">
        <v>0.57139059999999997</v>
      </c>
      <c r="F1778" t="s">
        <v>42</v>
      </c>
      <c r="G1778">
        <v>-190.59889999999999</v>
      </c>
      <c r="H1778" s="1">
        <v>-2.4114060000000001E-6</v>
      </c>
      <c r="I1778">
        <v>324.83870000000002</v>
      </c>
      <c r="J1778">
        <v>-188.19149999999999</v>
      </c>
      <c r="K1778">
        <v>1.1011299999999999</v>
      </c>
      <c r="L1778">
        <v>353.61040000000003</v>
      </c>
      <c r="M1778">
        <v>0.410524</v>
      </c>
      <c r="N1778">
        <v>0</v>
      </c>
      <c r="O1778">
        <v>-0.91174750000000004</v>
      </c>
      <c r="P1778">
        <v>0.1061057</v>
      </c>
      <c r="Q1778">
        <v>0.20064770000000001</v>
      </c>
      <c r="R1778">
        <v>-0.9739004</v>
      </c>
      <c r="S1778">
        <v>-0.25411990000000001</v>
      </c>
      <c r="T1778">
        <v>-0.1193861</v>
      </c>
      <c r="U1778">
        <v>-3.1367799999999999</v>
      </c>
      <c r="V1778">
        <v>0.30783650000000001</v>
      </c>
      <c r="W1778">
        <v>0.20645769999999999</v>
      </c>
      <c r="X1778">
        <v>0.92876899999999996</v>
      </c>
      <c r="Y1778">
        <v>0.48279050000000001</v>
      </c>
      <c r="Z1778">
        <v>3.0561270000000001E-2</v>
      </c>
      <c r="AA1778">
        <v>0.87520249999999999</v>
      </c>
      <c r="AB1778">
        <v>26</v>
      </c>
      <c r="AC1778">
        <v>-2.4073999999999902</v>
      </c>
      <c r="AD1778">
        <v>-1.1011324114059999</v>
      </c>
      <c r="AE1778">
        <v>-28.771699999999999</v>
      </c>
      <c r="AF1778">
        <v>13.9873760313858</v>
      </c>
      <c r="AG1778">
        <v>-1.1011324114059999</v>
      </c>
      <c r="AH1778">
        <v>25.209916754215001</v>
      </c>
      <c r="AI1778">
        <v>92.187267360010395</v>
      </c>
      <c r="AJ1778">
        <v>60.976897982439901</v>
      </c>
      <c r="AK1778">
        <v>28.851327241312202</v>
      </c>
      <c r="AL1778">
        <v>78.085154943467302</v>
      </c>
      <c r="AM1778">
        <v>71.6624438358579</v>
      </c>
      <c r="AN1778">
        <v>0.99999997399126905</v>
      </c>
    </row>
    <row r="1779" spans="1:40" x14ac:dyDescent="0.25">
      <c r="A1779" t="str">
        <f>"20190312172118032"</f>
        <v>20190312172118032</v>
      </c>
      <c r="B1779" t="str">
        <f>"1552382478022752"</f>
        <v>1552382478022752</v>
      </c>
      <c r="C1779" t="s">
        <v>40</v>
      </c>
      <c r="D1779">
        <v>3.3484419999999999</v>
      </c>
      <c r="E1779">
        <v>0.57139059999999997</v>
      </c>
      <c r="F1779" t="s">
        <v>42</v>
      </c>
      <c r="G1779">
        <v>-190.65549999999999</v>
      </c>
      <c r="H1779" s="1">
        <v>-2.5647190000000001E-6</v>
      </c>
      <c r="I1779">
        <v>325.161</v>
      </c>
      <c r="J1779">
        <v>-188.1387</v>
      </c>
      <c r="K1779">
        <v>1.1011820000000001</v>
      </c>
      <c r="L1779">
        <v>353.47469999999998</v>
      </c>
      <c r="M1779">
        <v>0.40406819999999999</v>
      </c>
      <c r="N1779">
        <v>0</v>
      </c>
      <c r="O1779">
        <v>-0.91462710000000003</v>
      </c>
      <c r="P1779">
        <v>0.1016992</v>
      </c>
      <c r="Q1779">
        <v>0.2001214</v>
      </c>
      <c r="R1779">
        <v>-0.97447879999999998</v>
      </c>
      <c r="S1779">
        <v>-0.2715149</v>
      </c>
      <c r="T1779">
        <v>-0.12133819999999999</v>
      </c>
      <c r="U1779">
        <v>-3.1349490000000002</v>
      </c>
      <c r="V1779">
        <v>0.30547049999999998</v>
      </c>
      <c r="W1779">
        <v>0.20601349999999999</v>
      </c>
      <c r="X1779">
        <v>0.92964849999999999</v>
      </c>
      <c r="Y1779">
        <v>0.48146060000000002</v>
      </c>
      <c r="Z1779">
        <v>3.1251479999999998E-2</v>
      </c>
      <c r="AA1779">
        <v>0.87591049999999904</v>
      </c>
      <c r="AB1779">
        <v>26</v>
      </c>
      <c r="AC1779">
        <v>-2.5167999999999799</v>
      </c>
      <c r="AD1779">
        <v>-1.1011845647189999</v>
      </c>
      <c r="AE1779">
        <v>-28.313699999999901</v>
      </c>
      <c r="AF1779">
        <v>13.7232833586797</v>
      </c>
      <c r="AG1779">
        <v>-1.1011845647189999</v>
      </c>
      <c r="AH1779">
        <v>24.844549049266298</v>
      </c>
      <c r="AI1779">
        <v>92.221828892052102</v>
      </c>
      <c r="AJ1779">
        <v>61.085233532828603</v>
      </c>
      <c r="AK1779">
        <v>28.404097082103998</v>
      </c>
      <c r="AL1779">
        <v>78.111165932011602</v>
      </c>
      <c r="AM1779">
        <v>71.810144146927598</v>
      </c>
      <c r="AN1779">
        <v>1.00000006105237</v>
      </c>
    </row>
    <row r="1780" spans="1:40" x14ac:dyDescent="0.25">
      <c r="A1780" t="str">
        <f>"20190312172118053"</f>
        <v>20190312172118053</v>
      </c>
      <c r="B1780" t="str">
        <f>"1552382478042271"</f>
        <v>1552382478042271</v>
      </c>
      <c r="C1780" t="s">
        <v>40</v>
      </c>
      <c r="D1780">
        <v>3.357329</v>
      </c>
      <c r="E1780">
        <v>0.56689469999999997</v>
      </c>
      <c r="F1780" t="s">
        <v>42</v>
      </c>
      <c r="G1780">
        <v>-190.69059999999999</v>
      </c>
      <c r="H1780" s="1">
        <v>-2.6961750000000001E-6</v>
      </c>
      <c r="I1780">
        <v>325.44560000000001</v>
      </c>
      <c r="J1780">
        <v>-188.05189999999999</v>
      </c>
      <c r="K1780">
        <v>1.101283</v>
      </c>
      <c r="L1780">
        <v>353.24720000000002</v>
      </c>
      <c r="M1780">
        <v>0.39329560000000002</v>
      </c>
      <c r="N1780">
        <v>0</v>
      </c>
      <c r="O1780">
        <v>-0.91931180000000001</v>
      </c>
      <c r="P1780">
        <v>9.529319E-2</v>
      </c>
      <c r="Q1780">
        <v>0.20175599999999999</v>
      </c>
      <c r="R1780">
        <v>-0.97478929999999997</v>
      </c>
      <c r="S1780">
        <v>-0.28530879999999997</v>
      </c>
      <c r="T1780">
        <v>-0.123113</v>
      </c>
      <c r="U1780">
        <v>-3.133667</v>
      </c>
      <c r="V1780">
        <v>0.30049910000000002</v>
      </c>
      <c r="W1780">
        <v>0.20780589999999999</v>
      </c>
      <c r="X1780">
        <v>0.93086899999999995</v>
      </c>
      <c r="Y1780">
        <v>0.47500540000000002</v>
      </c>
      <c r="Z1780">
        <v>3.2059799999999999E-2</v>
      </c>
      <c r="AA1780">
        <v>0.87939859999999903</v>
      </c>
      <c r="AB1780">
        <v>26</v>
      </c>
      <c r="AC1780">
        <v>-2.6387</v>
      </c>
      <c r="AD1780">
        <v>-1.1012856961749999</v>
      </c>
      <c r="AE1780">
        <v>-27.801600000000001</v>
      </c>
      <c r="AF1780">
        <v>13.340520671586299</v>
      </c>
      <c r="AG1780">
        <v>-1.1012856961749999</v>
      </c>
      <c r="AH1780">
        <v>24.4847339110474</v>
      </c>
      <c r="AI1780">
        <v>92.261802418049399</v>
      </c>
      <c r="AJ1780">
        <v>61.416218392895502</v>
      </c>
      <c r="AK1780">
        <v>27.904919219886899</v>
      </c>
      <c r="AL1780">
        <v>78.006197297016897</v>
      </c>
      <c r="AM1780">
        <v>72.1091074794181</v>
      </c>
      <c r="AN1780">
        <v>1.0000000481683</v>
      </c>
    </row>
    <row r="1781" spans="1:40" x14ac:dyDescent="0.25">
      <c r="A1781" t="str">
        <f>"20190312172118074"</f>
        <v>20190312172118074</v>
      </c>
      <c r="B1781" t="str">
        <f>"1552382478062771"</f>
        <v>1552382478062771</v>
      </c>
      <c r="C1781" t="s">
        <v>40</v>
      </c>
      <c r="D1781">
        <v>3.3881399999999999</v>
      </c>
      <c r="E1781">
        <v>0.56660149999999998</v>
      </c>
      <c r="F1781" t="s">
        <v>42</v>
      </c>
      <c r="G1781">
        <v>-190.7662</v>
      </c>
      <c r="H1781" s="1">
        <v>-1.0936650000000001E-6</v>
      </c>
      <c r="I1781">
        <v>321.66329999999999</v>
      </c>
      <c r="J1781">
        <v>-187.96510000000001</v>
      </c>
      <c r="K1781">
        <v>1.101397</v>
      </c>
      <c r="L1781">
        <v>353.01150000000001</v>
      </c>
      <c r="M1781">
        <v>0.3822567</v>
      </c>
      <c r="N1781">
        <v>0</v>
      </c>
      <c r="O1781">
        <v>-0.92395680000000002</v>
      </c>
      <c r="P1781">
        <v>8.9268719999999996E-2</v>
      </c>
      <c r="Q1781">
        <v>0.20423459999999999</v>
      </c>
      <c r="R1781">
        <v>-0.97484320000000002</v>
      </c>
      <c r="S1781">
        <v>-0.26867679999999999</v>
      </c>
      <c r="T1781">
        <v>-0.1090121</v>
      </c>
      <c r="U1781">
        <v>-3.1263730000000001</v>
      </c>
      <c r="V1781">
        <v>0.29488599999999998</v>
      </c>
      <c r="W1781">
        <v>0.21046139999999999</v>
      </c>
      <c r="X1781">
        <v>0.93206670000000003</v>
      </c>
      <c r="Y1781">
        <v>0.45995560000000002</v>
      </c>
      <c r="Z1781">
        <v>2.884925E-2</v>
      </c>
      <c r="AA1781">
        <v>0.88747319999999996</v>
      </c>
      <c r="AB1781">
        <v>26</v>
      </c>
      <c r="AC1781">
        <v>-2.8010999999999902</v>
      </c>
      <c r="AD1781">
        <v>-1.1013980936650001</v>
      </c>
      <c r="AE1781">
        <v>-31.348199999999999</v>
      </c>
      <c r="AF1781">
        <v>14.5546687534827</v>
      </c>
      <c r="AG1781">
        <v>-1.1013980936650001</v>
      </c>
      <c r="AH1781">
        <v>27.862083839912302</v>
      </c>
      <c r="AI1781">
        <v>92.006695073505</v>
      </c>
      <c r="AJ1781">
        <v>62.418215002829797</v>
      </c>
      <c r="AK1781">
        <v>31.453889682941199</v>
      </c>
      <c r="AL1781">
        <v>77.850607711494206</v>
      </c>
      <c r="AM1781">
        <v>72.443740860018593</v>
      </c>
      <c r="AN1781">
        <v>1.0000000435674199</v>
      </c>
    </row>
    <row r="1782" spans="1:40" x14ac:dyDescent="0.25">
      <c r="A1782" t="str">
        <f>"20190312172118088"</f>
        <v>20190312172118088</v>
      </c>
      <c r="B1782" t="str">
        <f>"1552382478082287"</f>
        <v>1552382478082287</v>
      </c>
      <c r="C1782" t="s">
        <v>40</v>
      </c>
      <c r="D1782">
        <v>3.3708580000000001</v>
      </c>
      <c r="E1782">
        <v>0.56233669999999902</v>
      </c>
      <c r="F1782" t="s">
        <v>42</v>
      </c>
      <c r="G1782">
        <v>-191.05019999999999</v>
      </c>
      <c r="H1782" s="1">
        <v>-4.6864940000000002E-6</v>
      </c>
      <c r="I1782">
        <v>319.00490000000002</v>
      </c>
      <c r="J1782">
        <v>-187.9102</v>
      </c>
      <c r="K1782">
        <v>1.1014710000000001</v>
      </c>
      <c r="L1782">
        <v>352.8578</v>
      </c>
      <c r="M1782">
        <v>0.37512810000000002</v>
      </c>
      <c r="N1782">
        <v>0</v>
      </c>
      <c r="O1782">
        <v>-0.92687419999999998</v>
      </c>
      <c r="P1782">
        <v>8.4818069999999995E-2</v>
      </c>
      <c r="Q1782">
        <v>0.20604810000000001</v>
      </c>
      <c r="R1782">
        <v>-0.97485920000000004</v>
      </c>
      <c r="S1782">
        <v>-0.28346250000000001</v>
      </c>
      <c r="T1782">
        <v>-0.1011982</v>
      </c>
      <c r="U1782">
        <v>-3.1245729999999998</v>
      </c>
      <c r="V1782">
        <v>0.29181020000000002</v>
      </c>
      <c r="W1782">
        <v>0.2123756</v>
      </c>
      <c r="X1782">
        <v>0.9326004</v>
      </c>
      <c r="Y1782">
        <v>0.45733200000000002</v>
      </c>
      <c r="Z1782">
        <v>2.6956649999999999E-2</v>
      </c>
      <c r="AA1782">
        <v>0.88888739999999999</v>
      </c>
      <c r="AB1782">
        <v>26</v>
      </c>
      <c r="AC1782">
        <v>-3.1399999999999801</v>
      </c>
      <c r="AD1782">
        <v>-1.1014756864940001</v>
      </c>
      <c r="AE1782">
        <v>-33.852899999999899</v>
      </c>
      <c r="AF1782">
        <v>15.5946198637509</v>
      </c>
      <c r="AG1782">
        <v>-1.1014756864940001</v>
      </c>
      <c r="AH1782">
        <v>30.1705748602642</v>
      </c>
      <c r="AI1782">
        <v>91.857568669413794</v>
      </c>
      <c r="AJ1782">
        <v>62.666382214007797</v>
      </c>
      <c r="AK1782">
        <v>33.980420903538501</v>
      </c>
      <c r="AL1782">
        <v>77.738395677125496</v>
      </c>
      <c r="AM1782">
        <v>72.6251244554133</v>
      </c>
      <c r="AN1782">
        <v>1.0000000471897701</v>
      </c>
    </row>
    <row r="1783" spans="1:40" x14ac:dyDescent="0.25">
      <c r="A1783" t="str">
        <f>"20190312172118107"</f>
        <v>20190312172118107</v>
      </c>
      <c r="B1783" t="str">
        <f>"1552382478102783"</f>
        <v>1552382478102783</v>
      </c>
      <c r="C1783" t="s">
        <v>40</v>
      </c>
      <c r="D1783">
        <v>3.3884219999999998</v>
      </c>
      <c r="E1783">
        <v>0.56139680000000003</v>
      </c>
      <c r="F1783" t="s">
        <v>42</v>
      </c>
      <c r="G1783">
        <v>-190.8297</v>
      </c>
      <c r="H1783" s="1">
        <v>-4.267315E-6</v>
      </c>
      <c r="I1783">
        <v>318.15199999999999</v>
      </c>
      <c r="J1783">
        <v>-187.83320000000001</v>
      </c>
      <c r="K1783">
        <v>1.101586</v>
      </c>
      <c r="L1783">
        <v>352.63630000000001</v>
      </c>
      <c r="M1783">
        <v>0.36494349999999998</v>
      </c>
      <c r="N1783">
        <v>0</v>
      </c>
      <c r="O1783">
        <v>-0.93093190000000003</v>
      </c>
      <c r="P1783">
        <v>8.0484929999999996E-2</v>
      </c>
      <c r="Q1783">
        <v>0.20964099999999999</v>
      </c>
      <c r="R1783">
        <v>-0.9744604</v>
      </c>
      <c r="S1783">
        <v>-0.26255800000000001</v>
      </c>
      <c r="T1783">
        <v>-9.9058510000000002E-2</v>
      </c>
      <c r="U1783">
        <v>-3.1211850000000001</v>
      </c>
      <c r="V1783">
        <v>0.28544740000000002</v>
      </c>
      <c r="W1783">
        <v>0.21615980000000001</v>
      </c>
      <c r="X1783">
        <v>0.93369950000000002</v>
      </c>
      <c r="Y1783">
        <v>0.44169320000000001</v>
      </c>
      <c r="Z1783">
        <v>2.674383E-2</v>
      </c>
      <c r="AA1783">
        <v>0.89676749999999905</v>
      </c>
      <c r="AB1783">
        <v>26</v>
      </c>
      <c r="AC1783">
        <v>-2.9964999999999899</v>
      </c>
      <c r="AD1783">
        <v>-1.101590267315</v>
      </c>
      <c r="AE1783">
        <v>-34.484299999999998</v>
      </c>
      <c r="AF1783">
        <v>15.360201081934299</v>
      </c>
      <c r="AG1783">
        <v>-1.101590267315</v>
      </c>
      <c r="AH1783">
        <v>30.980427069598701</v>
      </c>
      <c r="AI1783">
        <v>91.824654506342</v>
      </c>
      <c r="AJ1783">
        <v>63.627629502994601</v>
      </c>
      <c r="AK1783">
        <v>34.596764874901602</v>
      </c>
      <c r="AL1783">
        <v>77.516421102385706</v>
      </c>
      <c r="AM1783">
        <v>73.000739895929399</v>
      </c>
      <c r="AN1783">
        <v>1.00000001680152</v>
      </c>
    </row>
    <row r="1784" spans="1:40" x14ac:dyDescent="0.25">
      <c r="A1784" t="str">
        <f>"20190312172118131"</f>
        <v>20190312172118131</v>
      </c>
      <c r="B1784" t="str">
        <f>"1552382478122303"</f>
        <v>1552382478122303</v>
      </c>
      <c r="C1784" t="s">
        <v>40</v>
      </c>
      <c r="D1784">
        <v>3.3388900000000001</v>
      </c>
      <c r="E1784">
        <v>0.56099049999999995</v>
      </c>
      <c r="F1784" t="s">
        <v>42</v>
      </c>
      <c r="G1784">
        <v>-191.02600000000001</v>
      </c>
      <c r="H1784" s="1">
        <v>-3.022568E-6</v>
      </c>
      <c r="I1784">
        <v>315.4083</v>
      </c>
      <c r="J1784">
        <v>-187.74299999999999</v>
      </c>
      <c r="K1784">
        <v>1.1017440000000001</v>
      </c>
      <c r="L1784">
        <v>352.36689999999999</v>
      </c>
      <c r="M1784">
        <v>0.35271360000000002</v>
      </c>
      <c r="N1784">
        <v>0</v>
      </c>
      <c r="O1784">
        <v>-0.93563470000000004</v>
      </c>
      <c r="P1784">
        <v>7.9344570000000003E-2</v>
      </c>
      <c r="Q1784">
        <v>0.2116748</v>
      </c>
      <c r="R1784">
        <v>-0.97411420000000004</v>
      </c>
      <c r="S1784">
        <v>-0.26763920000000002</v>
      </c>
      <c r="T1784">
        <v>-9.2340710000000006E-2</v>
      </c>
      <c r="U1784">
        <v>-3.1206360000000002</v>
      </c>
      <c r="V1784">
        <v>0.274070599999999</v>
      </c>
      <c r="W1784">
        <v>0.21851499999999999</v>
      </c>
      <c r="X1784">
        <v>0.93655569999999999</v>
      </c>
      <c r="Y1784">
        <v>0.4313765</v>
      </c>
      <c r="Z1784">
        <v>2.5217900000000001E-2</v>
      </c>
      <c r="AA1784">
        <v>0.9018195</v>
      </c>
      <c r="AB1784">
        <v>26</v>
      </c>
      <c r="AC1784">
        <v>-3.2829999999999799</v>
      </c>
      <c r="AD1784">
        <v>-1.1017470225679999</v>
      </c>
      <c r="AE1784">
        <v>-36.958599999999898</v>
      </c>
      <c r="AF1784">
        <v>16.094755392189001</v>
      </c>
      <c r="AG1784">
        <v>-1.1017470225679999</v>
      </c>
      <c r="AH1784">
        <v>33.395367430020798</v>
      </c>
      <c r="AI1784">
        <v>91.702304465855804</v>
      </c>
      <c r="AJ1784">
        <v>64.268455657314405</v>
      </c>
      <c r="AK1784">
        <v>37.087808824763798</v>
      </c>
      <c r="AL1784">
        <v>77.378173736129796</v>
      </c>
      <c r="AM1784">
        <v>73.688585497206006</v>
      </c>
      <c r="AN1784">
        <v>1.0000000391059201</v>
      </c>
    </row>
    <row r="1785" spans="1:40" x14ac:dyDescent="0.25">
      <c r="A1785" t="str">
        <f>"20190312172118153"</f>
        <v>20190312172118153</v>
      </c>
      <c r="B1785" t="str">
        <f>"1552382478142799"</f>
        <v>1552382478142799</v>
      </c>
      <c r="C1785" t="s">
        <v>40</v>
      </c>
      <c r="D1785">
        <v>3.4209540000000001</v>
      </c>
      <c r="E1785">
        <v>0.556006</v>
      </c>
      <c r="F1785" t="s">
        <v>42</v>
      </c>
      <c r="G1785">
        <v>-191.04740000000001</v>
      </c>
      <c r="H1785" s="1">
        <v>-2.0802E-6</v>
      </c>
      <c r="I1785">
        <v>313.40269999999998</v>
      </c>
      <c r="J1785">
        <v>-187.6627</v>
      </c>
      <c r="K1785">
        <v>1.1018600000000001</v>
      </c>
      <c r="L1785">
        <v>352.11739999999998</v>
      </c>
      <c r="M1785">
        <v>0.34153610000000001</v>
      </c>
      <c r="N1785">
        <v>0</v>
      </c>
      <c r="O1785">
        <v>-0.93977339999999998</v>
      </c>
      <c r="P1785">
        <v>7.3379189999999997E-2</v>
      </c>
      <c r="Q1785">
        <v>0.20701639999999999</v>
      </c>
      <c r="R1785">
        <v>-0.97558199999999995</v>
      </c>
      <c r="S1785">
        <v>-0.26463320000000001</v>
      </c>
      <c r="T1785">
        <v>-8.8233469999999994E-2</v>
      </c>
      <c r="U1785">
        <v>-3.1204529999999999</v>
      </c>
      <c r="V1785">
        <v>0.26879979999999998</v>
      </c>
      <c r="W1785">
        <v>0.21403130000000001</v>
      </c>
      <c r="X1785">
        <v>0.93911520000000004</v>
      </c>
      <c r="Y1785">
        <v>0.41973250000000001</v>
      </c>
      <c r="Z1785">
        <v>2.4353389999999999E-2</v>
      </c>
      <c r="AA1785">
        <v>0.90732109999999999</v>
      </c>
      <c r="AB1785">
        <v>26</v>
      </c>
      <c r="AC1785">
        <v>-3.3847</v>
      </c>
      <c r="AD1785">
        <v>-1.1018620801999901</v>
      </c>
      <c r="AE1785">
        <v>-38.714699999999901</v>
      </c>
      <c r="AF1785">
        <v>16.391610347656901</v>
      </c>
      <c r="AG1785">
        <v>-1.1018620801999901</v>
      </c>
      <c r="AH1785">
        <v>35.201903715152298</v>
      </c>
      <c r="AI1785">
        <v>91.625372825265003</v>
      </c>
      <c r="AJ1785">
        <v>65.031167588512403</v>
      </c>
      <c r="AK1785">
        <v>38.846788992194099</v>
      </c>
      <c r="AL1785">
        <v>77.641298537575494</v>
      </c>
      <c r="AM1785">
        <v>74.027466901436398</v>
      </c>
      <c r="AN1785">
        <v>1.00000004436538</v>
      </c>
    </row>
    <row r="1786" spans="1:40" x14ac:dyDescent="0.25">
      <c r="A1786" t="str">
        <f>"20190312172118175"</f>
        <v>20190312172118175</v>
      </c>
      <c r="B1786" t="str">
        <f>"1552382478162319"</f>
        <v>1552382478162319</v>
      </c>
      <c r="C1786" t="s">
        <v>40</v>
      </c>
      <c r="D1786">
        <v>3.3621780000000001</v>
      </c>
      <c r="E1786">
        <v>0.53179299999999996</v>
      </c>
      <c r="F1786" t="s">
        <v>42</v>
      </c>
      <c r="G1786">
        <v>-189.5078</v>
      </c>
      <c r="H1786" s="1">
        <v>-3.8936609999999997E-6</v>
      </c>
      <c r="I1786">
        <v>328.50549999999998</v>
      </c>
      <c r="J1786">
        <v>-187.58779999999999</v>
      </c>
      <c r="K1786">
        <v>1.1019669999999999</v>
      </c>
      <c r="L1786">
        <v>351.87549999999999</v>
      </c>
      <c r="M1786">
        <v>0.3308487</v>
      </c>
      <c r="N1786">
        <v>0</v>
      </c>
      <c r="O1786">
        <v>-0.94358949999999997</v>
      </c>
      <c r="P1786">
        <v>6.850088E-2</v>
      </c>
      <c r="Q1786">
        <v>0.20173859999999999</v>
      </c>
      <c r="R1786">
        <v>-0.9770411</v>
      </c>
      <c r="S1786">
        <v>-0.24414060000000001</v>
      </c>
      <c r="T1786">
        <v>-0.14580119999999999</v>
      </c>
      <c r="U1786">
        <v>-3.12439</v>
      </c>
      <c r="V1786">
        <v>0.26300829999999997</v>
      </c>
      <c r="W1786">
        <v>0.20894009999999999</v>
      </c>
      <c r="X1786">
        <v>0.9418974</v>
      </c>
      <c r="Y1786">
        <v>0.40330389999999999</v>
      </c>
      <c r="Z1786">
        <v>4.061849E-2</v>
      </c>
      <c r="AA1786">
        <v>0.91416419999999998</v>
      </c>
      <c r="AB1786">
        <v>26</v>
      </c>
      <c r="AC1786">
        <v>-1.9200000000000099</v>
      </c>
      <c r="AD1786">
        <v>-1.101970893661</v>
      </c>
      <c r="AE1786">
        <v>-23.37</v>
      </c>
      <c r="AF1786">
        <v>9.5234427102484105</v>
      </c>
      <c r="AG1786">
        <v>-1.101970893661</v>
      </c>
      <c r="AH1786">
        <v>21.3711647155198</v>
      </c>
      <c r="AI1786">
        <v>92.696562907303999</v>
      </c>
      <c r="AJ1786">
        <v>65.981236867740506</v>
      </c>
      <c r="AK1786">
        <v>23.423001135715701</v>
      </c>
      <c r="AL1786">
        <v>77.939753629843295</v>
      </c>
      <c r="AM1786">
        <v>74.398542924367604</v>
      </c>
      <c r="AN1786">
        <v>1.0000000216918199</v>
      </c>
    </row>
    <row r="1787" spans="1:40" x14ac:dyDescent="0.25">
      <c r="A1787" t="str">
        <f>"20190312172118197"</f>
        <v>20190312172118197</v>
      </c>
      <c r="B1787" t="str">
        <f>"1552382478192575"</f>
        <v>1552382478192575</v>
      </c>
      <c r="C1787" t="s">
        <v>40</v>
      </c>
      <c r="D1787">
        <v>3.368042</v>
      </c>
      <c r="E1787">
        <v>0.52815809999999996</v>
      </c>
      <c r="F1787" t="s">
        <v>42</v>
      </c>
      <c r="G1787">
        <v>-188.1317</v>
      </c>
      <c r="H1787" s="1">
        <v>-3.535051E-6</v>
      </c>
      <c r="I1787">
        <v>327.10059999999999</v>
      </c>
      <c r="J1787">
        <v>-187.5119</v>
      </c>
      <c r="K1787">
        <v>1.102095</v>
      </c>
      <c r="L1787">
        <v>351.6207</v>
      </c>
      <c r="M1787">
        <v>0.31976900000000003</v>
      </c>
      <c r="N1787">
        <v>0</v>
      </c>
      <c r="O1787">
        <v>-0.94740250000000004</v>
      </c>
      <c r="P1787">
        <v>6.2130240000000003E-2</v>
      </c>
      <c r="Q1787">
        <v>0.2009252</v>
      </c>
      <c r="R1787">
        <v>-0.97763460000000002</v>
      </c>
      <c r="S1787">
        <v>-6.8130490000000002E-2</v>
      </c>
      <c r="T1787">
        <v>-0.13805149999999999</v>
      </c>
      <c r="U1787">
        <v>-3.103729</v>
      </c>
      <c r="V1787">
        <v>0.25806119999999999</v>
      </c>
      <c r="W1787">
        <v>0.20828440000000001</v>
      </c>
      <c r="X1787">
        <v>0.94340979999999997</v>
      </c>
      <c r="Y1787">
        <v>0.34048579999999901</v>
      </c>
      <c r="Z1787">
        <v>3.9599660000000002E-2</v>
      </c>
      <c r="AA1787">
        <v>0.93941540000000001</v>
      </c>
      <c r="AB1787">
        <v>26</v>
      </c>
      <c r="AC1787">
        <v>-0.61979999999999702</v>
      </c>
      <c r="AD1787">
        <v>-1.102098535051</v>
      </c>
      <c r="AE1787">
        <v>-24.520099999999999</v>
      </c>
      <c r="AF1787">
        <v>8.4117283050026401</v>
      </c>
      <c r="AG1787">
        <v>-1.102098535051</v>
      </c>
      <c r="AH1787">
        <v>22.987831074812799</v>
      </c>
      <c r="AI1787">
        <v>92.577892781567996</v>
      </c>
      <c r="AJ1787">
        <v>69.901369997616101</v>
      </c>
      <c r="AK1787">
        <v>24.5033094046962</v>
      </c>
      <c r="AL1787">
        <v>77.978167528603294</v>
      </c>
      <c r="AM1787">
        <v>74.701498280568799</v>
      </c>
      <c r="AN1787">
        <v>1.00000001248241</v>
      </c>
    </row>
    <row r="1788" spans="1:40" x14ac:dyDescent="0.25">
      <c r="A1788" t="str">
        <f>"20190312172118218"</f>
        <v>20190312172118218</v>
      </c>
      <c r="B1788" t="str">
        <f>"1552382478213072"</f>
        <v>1552382478213072</v>
      </c>
      <c r="C1788" t="s">
        <v>40</v>
      </c>
      <c r="D1788">
        <v>3.3743569999999998</v>
      </c>
      <c r="E1788">
        <v>0.52613989999999999</v>
      </c>
      <c r="F1788" t="s">
        <v>42</v>
      </c>
      <c r="G1788">
        <v>-187.97839999999999</v>
      </c>
      <c r="H1788" s="1">
        <v>-3.593456E-6</v>
      </c>
      <c r="I1788">
        <v>327.17329999999998</v>
      </c>
      <c r="J1788">
        <v>-187.43799999999999</v>
      </c>
      <c r="K1788">
        <v>1.102236</v>
      </c>
      <c r="L1788">
        <v>351.36219999999997</v>
      </c>
      <c r="M1788">
        <v>0.30872860000000002</v>
      </c>
      <c r="N1788">
        <v>0</v>
      </c>
      <c r="O1788">
        <v>-0.95105830000000002</v>
      </c>
      <c r="P1788">
        <v>5.6082069999999998E-2</v>
      </c>
      <c r="Q1788">
        <v>0.202547</v>
      </c>
      <c r="R1788">
        <v>-0.97766549999999997</v>
      </c>
      <c r="S1788">
        <v>-5.9173580000000003E-2</v>
      </c>
      <c r="T1788">
        <v>-0.13980049999999999</v>
      </c>
      <c r="U1788">
        <v>-3.1011350000000002</v>
      </c>
      <c r="V1788">
        <v>0.25275720000000002</v>
      </c>
      <c r="W1788">
        <v>0.2100699</v>
      </c>
      <c r="X1788">
        <v>0.94444930000000005</v>
      </c>
      <c r="Y1788">
        <v>0.32681979999999999</v>
      </c>
      <c r="Z1788">
        <v>4.0491729999999997E-2</v>
      </c>
      <c r="AA1788">
        <v>0.94421880000000002</v>
      </c>
      <c r="AB1788">
        <v>26</v>
      </c>
      <c r="AC1788">
        <v>-0.54040000000000499</v>
      </c>
      <c r="AD1788">
        <v>-1.1022395934559901</v>
      </c>
      <c r="AE1788">
        <v>-24.188899999999901</v>
      </c>
      <c r="AF1788">
        <v>7.9659221587201596</v>
      </c>
      <c r="AG1788">
        <v>-1.1022395934559901</v>
      </c>
      <c r="AH1788">
        <v>22.7929085209086</v>
      </c>
      <c r="AI1788">
        <v>92.613804780635405</v>
      </c>
      <c r="AJ1788">
        <v>70.735925877012306</v>
      </c>
      <c r="AK1788">
        <v>24.169971592922501</v>
      </c>
      <c r="AL1788">
        <v>77.873551685462203</v>
      </c>
      <c r="AM1788">
        <v>75.017391079788396</v>
      </c>
      <c r="AN1788">
        <v>1.0000000226541601</v>
      </c>
    </row>
    <row r="1789" spans="1:40" x14ac:dyDescent="0.25">
      <c r="A1789" t="str">
        <f>"20190312172118242"</f>
        <v>20190312172118242</v>
      </c>
      <c r="B1789" t="str">
        <f>"1552382478232591"</f>
        <v>1552382478232591</v>
      </c>
      <c r="C1789" t="s">
        <v>40</v>
      </c>
      <c r="D1789">
        <v>3.3801299999999999</v>
      </c>
      <c r="E1789">
        <v>0.5245843</v>
      </c>
      <c r="F1789" t="s">
        <v>42</v>
      </c>
      <c r="G1789">
        <v>-187.9718</v>
      </c>
      <c r="H1789" s="1">
        <v>-2.3711929999999999E-6</v>
      </c>
      <c r="I1789">
        <v>324.32139999999998</v>
      </c>
      <c r="J1789">
        <v>-187.36689999999999</v>
      </c>
      <c r="K1789">
        <v>1.1023989999999999</v>
      </c>
      <c r="L1789">
        <v>351.10289999999998</v>
      </c>
      <c r="M1789">
        <v>0.2978905</v>
      </c>
      <c r="N1789">
        <v>0</v>
      </c>
      <c r="O1789">
        <v>-0.9545091</v>
      </c>
      <c r="P1789">
        <v>5.0797549999999997E-2</v>
      </c>
      <c r="Q1789">
        <v>0.2032216</v>
      </c>
      <c r="R1789">
        <v>-0.97781459999999998</v>
      </c>
      <c r="S1789">
        <v>-6.115723E-2</v>
      </c>
      <c r="T1789">
        <v>-0.12628800000000001</v>
      </c>
      <c r="U1789">
        <v>-3.0981749999999999</v>
      </c>
      <c r="V1789">
        <v>0.24698049999999999</v>
      </c>
      <c r="W1789">
        <v>0.210928</v>
      </c>
      <c r="X1789">
        <v>0.9457854</v>
      </c>
      <c r="Y1789">
        <v>0.3166776</v>
      </c>
      <c r="Z1789">
        <v>3.6900410000000002E-2</v>
      </c>
      <c r="AA1789">
        <v>0.94781519999999997</v>
      </c>
      <c r="AB1789">
        <v>26</v>
      </c>
      <c r="AC1789">
        <v>-0.60490000000001398</v>
      </c>
      <c r="AD1789">
        <v>-1.1024013711930001</v>
      </c>
      <c r="AE1789">
        <v>-26.781499999999902</v>
      </c>
      <c r="AF1789">
        <v>8.5416144763537307</v>
      </c>
      <c r="AG1789">
        <v>-1.1024013711930001</v>
      </c>
      <c r="AH1789">
        <v>25.342277940941099</v>
      </c>
      <c r="AI1789">
        <v>92.360509648060898</v>
      </c>
      <c r="AJ1789">
        <v>71.373611580119203</v>
      </c>
      <c r="AK1789">
        <v>26.7657527053093</v>
      </c>
      <c r="AL1789">
        <v>77.823259120609606</v>
      </c>
      <c r="AM1789">
        <v>75.364727193233193</v>
      </c>
      <c r="AN1789">
        <v>1.0000000057087</v>
      </c>
    </row>
    <row r="1790" spans="1:40" x14ac:dyDescent="0.25">
      <c r="A1790" t="str">
        <f>"20190312172118263"</f>
        <v>20190312172118263</v>
      </c>
      <c r="B1790" t="str">
        <f>"1552382478252119"</f>
        <v>1552382478252119</v>
      </c>
      <c r="C1790" t="s">
        <v>40</v>
      </c>
      <c r="D1790">
        <v>3.3876689999999998</v>
      </c>
      <c r="E1790">
        <v>0.52354979999999995</v>
      </c>
      <c r="F1790" t="s">
        <v>42</v>
      </c>
      <c r="G1790">
        <v>-187.9666</v>
      </c>
      <c r="H1790" s="1">
        <v>-1.54367E-6</v>
      </c>
      <c r="I1790">
        <v>322.3904</v>
      </c>
      <c r="J1790">
        <v>-187.3004</v>
      </c>
      <c r="K1790">
        <v>1.102592</v>
      </c>
      <c r="L1790">
        <v>350.84980000000002</v>
      </c>
      <c r="M1790">
        <v>0.28755190000000003</v>
      </c>
      <c r="N1790">
        <v>0</v>
      </c>
      <c r="O1790">
        <v>-0.9576751</v>
      </c>
      <c r="P1790">
        <v>4.7083809999999997E-2</v>
      </c>
      <c r="Q1790">
        <v>0.20353830000000001</v>
      </c>
      <c r="R1790">
        <v>-0.97793439999999998</v>
      </c>
      <c r="S1790">
        <v>-6.4666749999999995E-2</v>
      </c>
      <c r="T1790">
        <v>-0.1188729</v>
      </c>
      <c r="U1790">
        <v>-3.0960999999999999</v>
      </c>
      <c r="V1790">
        <v>0.24021319999999999</v>
      </c>
      <c r="W1790">
        <v>0.2114528</v>
      </c>
      <c r="X1790">
        <v>0.94740979999999997</v>
      </c>
      <c r="Y1790">
        <v>0.30749520000000002</v>
      </c>
      <c r="Z1790">
        <v>3.4999929999999999E-2</v>
      </c>
      <c r="AA1790">
        <v>0.95090569999999996</v>
      </c>
      <c r="AB1790">
        <v>26</v>
      </c>
      <c r="AC1790">
        <v>-0.66620000000000301</v>
      </c>
      <c r="AD1790">
        <v>-1.1025935436700001</v>
      </c>
      <c r="AE1790">
        <v>-28.459399999999999</v>
      </c>
      <c r="AF1790">
        <v>8.8091026211565602</v>
      </c>
      <c r="AG1790">
        <v>-1.1025935436700001</v>
      </c>
      <c r="AH1790">
        <v>27.0250812613133</v>
      </c>
      <c r="AI1790">
        <v>92.221399788721897</v>
      </c>
      <c r="AJ1790">
        <v>71.946089580771996</v>
      </c>
      <c r="AK1790">
        <v>28.445931496317598</v>
      </c>
      <c r="AL1790">
        <v>77.792496353272696</v>
      </c>
      <c r="AM1790">
        <v>75.772626875065697</v>
      </c>
      <c r="AN1790">
        <v>0.99999999860905997</v>
      </c>
    </row>
    <row r="1791" spans="1:40" x14ac:dyDescent="0.25">
      <c r="A1791" t="str">
        <f>"20190312172118286"</f>
        <v>20190312172118286</v>
      </c>
      <c r="B1791" t="str">
        <f>"1552382478282371"</f>
        <v>1552382478282371</v>
      </c>
      <c r="C1791" t="s">
        <v>40</v>
      </c>
      <c r="D1791">
        <v>3.4093360000000001</v>
      </c>
      <c r="E1791">
        <v>0.52226349999999999</v>
      </c>
      <c r="F1791" t="s">
        <v>42</v>
      </c>
      <c r="G1791">
        <v>-187.9436</v>
      </c>
      <c r="H1791" s="1">
        <v>-9.9171030000000006E-7</v>
      </c>
      <c r="I1791">
        <v>320.95440000000002</v>
      </c>
      <c r="J1791">
        <v>-187.2373</v>
      </c>
      <c r="K1791">
        <v>1.102784</v>
      </c>
      <c r="L1791">
        <v>350.6</v>
      </c>
      <c r="M1791">
        <v>0.27754269999999998</v>
      </c>
      <c r="N1791">
        <v>0</v>
      </c>
      <c r="O1791">
        <v>-0.96062449999999999</v>
      </c>
      <c r="P1791">
        <v>4.4348899999999997E-2</v>
      </c>
      <c r="Q1791">
        <v>0.20112340000000001</v>
      </c>
      <c r="R1791">
        <v>-0.97856169999999998</v>
      </c>
      <c r="S1791">
        <v>-6.6574099999999997E-2</v>
      </c>
      <c r="T1791">
        <v>-0.11413429999999999</v>
      </c>
      <c r="U1791">
        <v>-3.0946039999999999</v>
      </c>
      <c r="V1791">
        <v>0.23295350000000001</v>
      </c>
      <c r="W1791">
        <v>0.20925299999999999</v>
      </c>
      <c r="X1791">
        <v>0.94970829999999995</v>
      </c>
      <c r="Y1791">
        <v>0.29814790000000002</v>
      </c>
      <c r="Z1791">
        <v>3.3840509999999997E-2</v>
      </c>
      <c r="AA1791">
        <v>0.95391959999999998</v>
      </c>
      <c r="AB1791">
        <v>26</v>
      </c>
      <c r="AC1791">
        <v>-0.70629999999999804</v>
      </c>
      <c r="AD1791">
        <v>-1.1027849917103001</v>
      </c>
      <c r="AE1791">
        <v>-29.645600000000002</v>
      </c>
      <c r="AF1791">
        <v>8.8948674614814394</v>
      </c>
      <c r="AG1791">
        <v>-1.1027849917103001</v>
      </c>
      <c r="AH1791">
        <v>28.245611319028701</v>
      </c>
      <c r="AI1791">
        <v>92.1326990564136</v>
      </c>
      <c r="AJ1791">
        <v>72.520186427741905</v>
      </c>
      <c r="AK1791">
        <v>29.633585012294802</v>
      </c>
      <c r="AL1791">
        <v>77.921420299962406</v>
      </c>
      <c r="AM1791">
        <v>76.218051020252304</v>
      </c>
      <c r="AN1791">
        <v>1.00000000313007</v>
      </c>
    </row>
    <row r="1792" spans="1:40" x14ac:dyDescent="0.25">
      <c r="A1792" t="str">
        <f>"20190312172118307"</f>
        <v>20190312172118307</v>
      </c>
      <c r="B1792" t="str">
        <f>"1552382478302867"</f>
        <v>1552382478302867</v>
      </c>
      <c r="C1792" t="s">
        <v>40</v>
      </c>
      <c r="D1792">
        <v>3.4325389999999998</v>
      </c>
      <c r="E1792">
        <v>0.52165819999999996</v>
      </c>
      <c r="F1792" t="s">
        <v>42</v>
      </c>
      <c r="G1792">
        <v>-187.84469999999999</v>
      </c>
      <c r="H1792" s="1">
        <v>-1.1138639999999999E-6</v>
      </c>
      <c r="I1792">
        <v>321.23599999999999</v>
      </c>
      <c r="J1792">
        <v>-187.17490000000001</v>
      </c>
      <c r="K1792">
        <v>1.102962</v>
      </c>
      <c r="L1792">
        <v>350.3426</v>
      </c>
      <c r="M1792">
        <v>0.2674472</v>
      </c>
      <c r="N1792">
        <v>0</v>
      </c>
      <c r="O1792">
        <v>-0.96348460000000002</v>
      </c>
      <c r="P1792">
        <v>4.2667120000000003E-2</v>
      </c>
      <c r="Q1792">
        <v>0.19682759999999999</v>
      </c>
      <c r="R1792">
        <v>-0.97950970000000004</v>
      </c>
      <c r="S1792">
        <v>-6.3964839999999995E-2</v>
      </c>
      <c r="T1792">
        <v>-0.11614090000000001</v>
      </c>
      <c r="U1792">
        <v>-3.0924990000000001</v>
      </c>
      <c r="V1792">
        <v>0.2246561</v>
      </c>
      <c r="W1792">
        <v>0.20519309999999999</v>
      </c>
      <c r="X1792">
        <v>0.95258880000000001</v>
      </c>
      <c r="Y1792">
        <v>0.28732170000000001</v>
      </c>
      <c r="Z1792">
        <v>3.468181E-2</v>
      </c>
      <c r="AA1792">
        <v>0.95720609999999995</v>
      </c>
      <c r="AB1792">
        <v>26</v>
      </c>
      <c r="AC1792">
        <v>-0.66979999999997997</v>
      </c>
      <c r="AD1792">
        <v>-1.1029631138639999</v>
      </c>
      <c r="AE1792">
        <v>-29.1066</v>
      </c>
      <c r="AF1792">
        <v>8.4184527697689493</v>
      </c>
      <c r="AG1792">
        <v>-1.1029631138639999</v>
      </c>
      <c r="AH1792">
        <v>27.827048372730001</v>
      </c>
      <c r="AI1792">
        <v>92.172660153502903</v>
      </c>
      <c r="AJ1792">
        <v>73.167980313423101</v>
      </c>
      <c r="AK1792">
        <v>29.0934957646143</v>
      </c>
      <c r="AL1792">
        <v>78.159196791002699</v>
      </c>
      <c r="AM1792">
        <v>76.729986861502596</v>
      </c>
      <c r="AN1792">
        <v>0.99999999672012996</v>
      </c>
    </row>
    <row r="1793" spans="1:40" x14ac:dyDescent="0.25">
      <c r="A1793" t="str">
        <f>"20190312172118332"</f>
        <v>20190312172118332</v>
      </c>
      <c r="B1793" t="str">
        <f>"1552382478322387"</f>
        <v>1552382478322387</v>
      </c>
      <c r="C1793" t="s">
        <v>40</v>
      </c>
      <c r="D1793">
        <v>3.4469500000000002</v>
      </c>
      <c r="E1793">
        <v>0.52101739999999996</v>
      </c>
      <c r="F1793" t="s">
        <v>42</v>
      </c>
      <c r="G1793">
        <v>-187.7337</v>
      </c>
      <c r="H1793" s="1">
        <v>-2.0232169999999998E-6</v>
      </c>
      <c r="I1793">
        <v>323.4119</v>
      </c>
      <c r="J1793">
        <v>-187.1096</v>
      </c>
      <c r="K1793">
        <v>1.1031550000000001</v>
      </c>
      <c r="L1793">
        <v>350.06119999999999</v>
      </c>
      <c r="M1793">
        <v>0.25670330000000002</v>
      </c>
      <c r="N1793">
        <v>0</v>
      </c>
      <c r="O1793">
        <v>-0.96640340000000002</v>
      </c>
      <c r="P1793">
        <v>4.0593850000000001E-2</v>
      </c>
      <c r="Q1793">
        <v>0.19219900000000001</v>
      </c>
      <c r="R1793">
        <v>-0.98051639999999995</v>
      </c>
      <c r="S1793">
        <v>-6.4132690000000006E-2</v>
      </c>
      <c r="T1793">
        <v>-0.12659409999999999</v>
      </c>
      <c r="U1793">
        <v>-3.0910030000000002</v>
      </c>
      <c r="V1793">
        <v>0.2160917</v>
      </c>
      <c r="W1793">
        <v>0.2008056</v>
      </c>
      <c r="X1793">
        <v>0.95550069999999998</v>
      </c>
      <c r="Y1793">
        <v>0.27669829999999901</v>
      </c>
      <c r="Z1793">
        <v>3.8059849999999999E-2</v>
      </c>
      <c r="AA1793">
        <v>0.96020289999999997</v>
      </c>
      <c r="AB1793">
        <v>26</v>
      </c>
      <c r="AC1793">
        <v>-0.62409999999999799</v>
      </c>
      <c r="AD1793">
        <v>-1.1031570232169901</v>
      </c>
      <c r="AE1793">
        <v>-26.649299999999901</v>
      </c>
      <c r="AF1793">
        <v>7.4319922729261201</v>
      </c>
      <c r="AG1793">
        <v>-1.1031570232169901</v>
      </c>
      <c r="AH1793">
        <v>25.5521527405235</v>
      </c>
      <c r="AI1793">
        <v>92.373830233627501</v>
      </c>
      <c r="AJ1793">
        <v>73.782620529880106</v>
      </c>
      <c r="AK1793">
        <v>26.633887704159001</v>
      </c>
      <c r="AL1793">
        <v>78.415928311521597</v>
      </c>
      <c r="AM1793">
        <v>77.256619190909106</v>
      </c>
      <c r="AN1793">
        <v>1.0000000497503601</v>
      </c>
    </row>
    <row r="1794" spans="1:40" x14ac:dyDescent="0.25">
      <c r="A1794" t="str">
        <f>"20190312172118356"</f>
        <v>20190312172118356</v>
      </c>
      <c r="B1794" t="str">
        <f>"1552382478352643"</f>
        <v>1552382478352643</v>
      </c>
      <c r="C1794" t="s">
        <v>40</v>
      </c>
      <c r="D1794">
        <v>3.4410759999999998</v>
      </c>
      <c r="E1794">
        <v>0.52028109999999905</v>
      </c>
      <c r="F1794" t="s">
        <v>42</v>
      </c>
      <c r="G1794">
        <v>-187.63759999999999</v>
      </c>
      <c r="H1794" s="1">
        <v>-2.8881279999999999E-6</v>
      </c>
      <c r="I1794">
        <v>325.38830000000002</v>
      </c>
      <c r="J1794">
        <v>-187.04910000000001</v>
      </c>
      <c r="K1794">
        <v>1.103353</v>
      </c>
      <c r="L1794">
        <v>349.78870000000001</v>
      </c>
      <c r="M1794">
        <v>0.2466013</v>
      </c>
      <c r="N1794">
        <v>0</v>
      </c>
      <c r="O1794">
        <v>-0.96903090000000003</v>
      </c>
      <c r="P1794">
        <v>3.9632769999999998E-2</v>
      </c>
      <c r="Q1794">
        <v>0.19067590000000001</v>
      </c>
      <c r="R1794">
        <v>-0.98085299999999997</v>
      </c>
      <c r="S1794">
        <v>-6.6116330000000001E-2</v>
      </c>
      <c r="T1794">
        <v>-0.13813320000000001</v>
      </c>
      <c r="U1794">
        <v>-3.0894469999999998</v>
      </c>
      <c r="V1794">
        <v>0.20696809999999999</v>
      </c>
      <c r="W1794">
        <v>0.19952410000000001</v>
      </c>
      <c r="X1794">
        <v>0.95778609999999997</v>
      </c>
      <c r="Y1794">
        <v>0.26727659999999998</v>
      </c>
      <c r="Z1794">
        <v>4.1778669999999997E-2</v>
      </c>
      <c r="AA1794">
        <v>0.96271379999999995</v>
      </c>
      <c r="AB1794">
        <v>26</v>
      </c>
      <c r="AC1794">
        <v>-0.58849999999998204</v>
      </c>
      <c r="AD1794">
        <v>-1.1033558881279999</v>
      </c>
      <c r="AE1794">
        <v>-24.400399999999902</v>
      </c>
      <c r="AF1794">
        <v>6.5745594552831204</v>
      </c>
      <c r="AG1794">
        <v>-1.1033558881279999</v>
      </c>
      <c r="AH1794">
        <v>23.453649504348501</v>
      </c>
      <c r="AI1794">
        <v>92.593611010835303</v>
      </c>
      <c r="AJ1794">
        <v>74.340679796785395</v>
      </c>
      <c r="AK1794">
        <v>24.382696760607601</v>
      </c>
      <c r="AL1794">
        <v>78.490868183392607</v>
      </c>
      <c r="AM1794">
        <v>77.806434322628604</v>
      </c>
      <c r="AN1794">
        <v>0.99999993712581303</v>
      </c>
    </row>
    <row r="1795" spans="1:40" x14ac:dyDescent="0.25">
      <c r="A1795" t="str">
        <f>"20190312172118376"</f>
        <v>20190312172118376</v>
      </c>
      <c r="B1795" t="str">
        <f>"1552382478373139"</f>
        <v>1552382478373139</v>
      </c>
      <c r="C1795" t="s">
        <v>40</v>
      </c>
      <c r="D1795">
        <v>3.453573</v>
      </c>
      <c r="E1795">
        <v>0.51240350000000001</v>
      </c>
      <c r="F1795" t="s">
        <v>42</v>
      </c>
      <c r="G1795">
        <v>-187.55</v>
      </c>
      <c r="H1795" s="1">
        <v>-3.0144950000000002E-6</v>
      </c>
      <c r="I1795">
        <v>325.64659999999998</v>
      </c>
      <c r="J1795">
        <v>-186.99809999999999</v>
      </c>
      <c r="K1795">
        <v>1.103542</v>
      </c>
      <c r="L1795">
        <v>349.54860000000002</v>
      </c>
      <c r="M1795">
        <v>0.237982</v>
      </c>
      <c r="N1795">
        <v>0</v>
      </c>
      <c r="O1795">
        <v>-0.9711843</v>
      </c>
      <c r="P1795">
        <v>3.9460179999999997E-2</v>
      </c>
      <c r="Q1795">
        <v>0.19364229999999999</v>
      </c>
      <c r="R1795">
        <v>-0.98027830000000005</v>
      </c>
      <c r="S1795">
        <v>-6.4071660000000002E-2</v>
      </c>
      <c r="T1795">
        <v>-0.141155</v>
      </c>
      <c r="U1795">
        <v>-3.088562</v>
      </c>
      <c r="V1795">
        <v>0.19841039999999999</v>
      </c>
      <c r="W1795">
        <v>0.20270270000000001</v>
      </c>
      <c r="X1795">
        <v>0.95892909999999998</v>
      </c>
      <c r="Y1795">
        <v>0.25807089999999999</v>
      </c>
      <c r="Z1795">
        <v>4.2908099999999998E-2</v>
      </c>
      <c r="AA1795">
        <v>0.96517260000000005</v>
      </c>
      <c r="AB1795">
        <v>26</v>
      </c>
      <c r="AC1795">
        <v>-0.55190000000001704</v>
      </c>
      <c r="AD1795">
        <v>-1.1035450144949901</v>
      </c>
      <c r="AE1795">
        <v>-23.902000000000001</v>
      </c>
      <c r="AF1795">
        <v>6.21152427260464</v>
      </c>
      <c r="AG1795">
        <v>-1.1035450144949901</v>
      </c>
      <c r="AH1795">
        <v>23.034741200818502</v>
      </c>
      <c r="AI1795">
        <v>92.648363107429702</v>
      </c>
      <c r="AJ1795">
        <v>74.908639097831895</v>
      </c>
      <c r="AK1795">
        <v>23.883051471218199</v>
      </c>
      <c r="AL1795">
        <v>78.304950290699097</v>
      </c>
      <c r="AM1795">
        <v>78.309984752027205</v>
      </c>
      <c r="AN1795">
        <v>1.00000004512112</v>
      </c>
    </row>
    <row r="1796" spans="1:40" x14ac:dyDescent="0.25">
      <c r="A1796" t="str">
        <f>"20190312172118398"</f>
        <v>20190312172118398</v>
      </c>
      <c r="B1796" t="str">
        <f>"1552382478392659"</f>
        <v>1552382478392659</v>
      </c>
      <c r="C1796" t="s">
        <v>40</v>
      </c>
      <c r="D1796">
        <v>3.4484819999999998</v>
      </c>
      <c r="E1796">
        <v>0.51241029999999999</v>
      </c>
      <c r="F1796" t="s">
        <v>42</v>
      </c>
      <c r="G1796">
        <v>-187.01220000000001</v>
      </c>
      <c r="H1796" s="1">
        <v>-4.3841920000000001E-6</v>
      </c>
      <c r="I1796">
        <v>317.78480000000002</v>
      </c>
      <c r="J1796">
        <v>-186.94550000000001</v>
      </c>
      <c r="K1796">
        <v>1.1037779999999999</v>
      </c>
      <c r="L1796">
        <v>349.2919</v>
      </c>
      <c r="M1796">
        <v>0.2290671</v>
      </c>
      <c r="N1796">
        <v>0</v>
      </c>
      <c r="O1796">
        <v>-0.97332629999999998</v>
      </c>
      <c r="P1796">
        <v>3.7795090000000003E-2</v>
      </c>
      <c r="Q1796">
        <v>0.1950749</v>
      </c>
      <c r="R1796">
        <v>-0.98005989999999998</v>
      </c>
      <c r="S1796">
        <v>-1.373291E-3</v>
      </c>
      <c r="T1796">
        <v>-0.1070595</v>
      </c>
      <c r="U1796">
        <v>-3.0815429999999999</v>
      </c>
      <c r="V1796">
        <v>0.19106029999999999</v>
      </c>
      <c r="W1796">
        <v>0.2043334</v>
      </c>
      <c r="X1796">
        <v>0.96007489999999995</v>
      </c>
      <c r="Y1796">
        <v>0.22951750000000001</v>
      </c>
      <c r="Z1796">
        <v>3.287296E-2</v>
      </c>
      <c r="AA1796">
        <v>0.97274919999999998</v>
      </c>
      <c r="AB1796">
        <v>26</v>
      </c>
      <c r="AC1796">
        <v>-6.6699999999997303E-2</v>
      </c>
      <c r="AD1796">
        <v>-1.103782384192</v>
      </c>
      <c r="AE1796">
        <v>-31.507099999999902</v>
      </c>
      <c r="AF1796">
        <v>7.2738316278726103</v>
      </c>
      <c r="AG1796">
        <v>-1.103782384192</v>
      </c>
      <c r="AH1796">
        <v>30.616351514825901</v>
      </c>
      <c r="AI1796">
        <v>92.0088677921417</v>
      </c>
      <c r="AJ1796">
        <v>76.635444776877804</v>
      </c>
      <c r="AK1796">
        <v>31.487901520769402</v>
      </c>
      <c r="AL1796">
        <v>78.209520232376704</v>
      </c>
      <c r="AM1796">
        <v>78.744860506658</v>
      </c>
      <c r="AN1796">
        <v>0.99999999510082904</v>
      </c>
    </row>
    <row r="1797" spans="1:40" x14ac:dyDescent="0.25">
      <c r="A1797" t="str">
        <f>"20190312172118420"</f>
        <v>20190312172118420</v>
      </c>
      <c r="B1797" t="str">
        <f>"1552382478412180"</f>
        <v>1552382478412180</v>
      </c>
      <c r="C1797" t="s">
        <v>40</v>
      </c>
      <c r="D1797">
        <v>3.4417930000000001</v>
      </c>
      <c r="E1797">
        <v>0.51234369999999996</v>
      </c>
      <c r="F1797" t="s">
        <v>42</v>
      </c>
      <c r="G1797">
        <v>-187.0103</v>
      </c>
      <c r="H1797" s="1">
        <v>-3.8889040000000003E-6</v>
      </c>
      <c r="I1797">
        <v>316.7362</v>
      </c>
      <c r="J1797">
        <v>-186.8947</v>
      </c>
      <c r="K1797">
        <v>1.104052</v>
      </c>
      <c r="L1797">
        <v>349.03370000000001</v>
      </c>
      <c r="M1797">
        <v>0.2204469</v>
      </c>
      <c r="N1797">
        <v>0</v>
      </c>
      <c r="O1797">
        <v>-0.97531559999999995</v>
      </c>
      <c r="P1797">
        <v>3.5661350000000001E-2</v>
      </c>
      <c r="Q1797">
        <v>0.19581380000000001</v>
      </c>
      <c r="R1797">
        <v>-0.97999270000000005</v>
      </c>
      <c r="S1797">
        <v>-6.1340329999999997E-3</v>
      </c>
      <c r="T1797">
        <v>-0.1044968</v>
      </c>
      <c r="U1797">
        <v>-3.0820919999999998</v>
      </c>
      <c r="V1797">
        <v>0.18448210000000001</v>
      </c>
      <c r="W1797">
        <v>0.2052571</v>
      </c>
      <c r="X1797">
        <v>0.96116380000000001</v>
      </c>
      <c r="Y1797">
        <v>0.22240289999999999</v>
      </c>
      <c r="Z1797">
        <v>3.2210210000000003E-2</v>
      </c>
      <c r="AA1797">
        <v>0.97442260000000003</v>
      </c>
      <c r="AB1797">
        <v>26</v>
      </c>
      <c r="AC1797">
        <v>-0.11559999999999999</v>
      </c>
      <c r="AD1797">
        <v>-1.104055888904</v>
      </c>
      <c r="AE1797">
        <v>-32.297499999999999</v>
      </c>
      <c r="AF1797">
        <v>7.2247761365202701</v>
      </c>
      <c r="AG1797">
        <v>-1.104055888904</v>
      </c>
      <c r="AH1797">
        <v>31.4405926632801</v>
      </c>
      <c r="AI1797">
        <v>91.960106729031395</v>
      </c>
      <c r="AJ1797">
        <v>77.058590301695006</v>
      </c>
      <c r="AK1797">
        <v>32.2788970791593</v>
      </c>
      <c r="AL1797">
        <v>78.155449987990394</v>
      </c>
      <c r="AM1797">
        <v>79.135001780344297</v>
      </c>
      <c r="AN1797">
        <v>0.99999998637562904</v>
      </c>
    </row>
    <row r="1798" spans="1:40" x14ac:dyDescent="0.25">
      <c r="A1798" t="str">
        <f>"20190312172118443"</f>
        <v>20190312172118443</v>
      </c>
      <c r="B1798" t="str">
        <f>"1552382478432678"</f>
        <v>1552382478432678</v>
      </c>
      <c r="C1798" t="s">
        <v>40</v>
      </c>
      <c r="D1798">
        <v>3.4603039999999998</v>
      </c>
      <c r="E1798">
        <v>0.51220239999999995</v>
      </c>
      <c r="F1798" t="s">
        <v>42</v>
      </c>
      <c r="G1798">
        <v>-187.02109999999999</v>
      </c>
      <c r="H1798" s="1">
        <v>-3.2221800000000001E-6</v>
      </c>
      <c r="I1798">
        <v>315.32990000000001</v>
      </c>
      <c r="J1798">
        <v>-186.845</v>
      </c>
      <c r="K1798">
        <v>1.1043419999999999</v>
      </c>
      <c r="L1798">
        <v>348.76979999999998</v>
      </c>
      <c r="M1798">
        <v>0.2120282</v>
      </c>
      <c r="N1798">
        <v>0</v>
      </c>
      <c r="O1798">
        <v>-0.97718099999999997</v>
      </c>
      <c r="P1798">
        <v>3.3653500000000003E-2</v>
      </c>
      <c r="Q1798">
        <v>0.19654389999999999</v>
      </c>
      <c r="R1798">
        <v>-0.97991760000000006</v>
      </c>
      <c r="S1798">
        <v>-1.1550899999999999E-2</v>
      </c>
      <c r="T1798">
        <v>-0.1009538</v>
      </c>
      <c r="U1798">
        <v>-3.0818479999999999</v>
      </c>
      <c r="V1798">
        <v>0.1779818</v>
      </c>
      <c r="W1798">
        <v>0.20616699999999999</v>
      </c>
      <c r="X1798">
        <v>0.96219410000000005</v>
      </c>
      <c r="Y1798">
        <v>0.21570339999999999</v>
      </c>
      <c r="Z1798">
        <v>3.12378E-2</v>
      </c>
      <c r="AA1798">
        <v>0.97595909999999997</v>
      </c>
      <c r="AB1798">
        <v>26</v>
      </c>
      <c r="AC1798">
        <v>-0.17609999999999101</v>
      </c>
      <c r="AD1798">
        <v>-1.1043452221800001</v>
      </c>
      <c r="AE1798">
        <v>-33.439899999999902</v>
      </c>
      <c r="AF1798">
        <v>7.25495698593505</v>
      </c>
      <c r="AG1798">
        <v>-1.1043452221800001</v>
      </c>
      <c r="AH1798">
        <v>32.606569124262499</v>
      </c>
      <c r="AI1798">
        <v>91.893528001789505</v>
      </c>
      <c r="AJ1798">
        <v>77.456034429220594</v>
      </c>
      <c r="AK1798">
        <v>33.422183191599402</v>
      </c>
      <c r="AL1798">
        <v>78.102176380034294</v>
      </c>
      <c r="AM1798">
        <v>79.520169944021902</v>
      </c>
      <c r="AN1798">
        <v>0.99999991954752099</v>
      </c>
    </row>
    <row r="1799" spans="1:40" x14ac:dyDescent="0.25">
      <c r="A1799" t="str">
        <f>"20190312172118464"</f>
        <v>20190312172118464</v>
      </c>
      <c r="B1799" t="str">
        <f>"1552382478453183"</f>
        <v>1552382478453183</v>
      </c>
      <c r="C1799" t="s">
        <v>40</v>
      </c>
      <c r="D1799">
        <v>3.4739740000000001</v>
      </c>
      <c r="E1799">
        <v>0.51208659999999995</v>
      </c>
      <c r="F1799" t="s">
        <v>42</v>
      </c>
      <c r="G1799">
        <v>-187.0282</v>
      </c>
      <c r="H1799" s="1">
        <v>-2.533378E-6</v>
      </c>
      <c r="I1799">
        <v>313.87540000000001</v>
      </c>
      <c r="J1799">
        <v>-186.7997</v>
      </c>
      <c r="K1799">
        <v>1.1046</v>
      </c>
      <c r="L1799">
        <v>348.51979999999998</v>
      </c>
      <c r="M1799">
        <v>0.20433660000000001</v>
      </c>
      <c r="N1799">
        <v>0</v>
      </c>
      <c r="O1799">
        <v>-0.97881890000000005</v>
      </c>
      <c r="P1799">
        <v>3.2516860000000002E-2</v>
      </c>
      <c r="Q1799">
        <v>0.1997603</v>
      </c>
      <c r="R1799">
        <v>-0.97930519999999999</v>
      </c>
      <c r="S1799">
        <v>-1.6174319999999999E-2</v>
      </c>
      <c r="T1799">
        <v>-9.7526070000000006E-2</v>
      </c>
      <c r="U1799">
        <v>-3.0815730000000001</v>
      </c>
      <c r="V1799">
        <v>0.1713027</v>
      </c>
      <c r="W1799">
        <v>0.20954020000000001</v>
      </c>
      <c r="X1799">
        <v>0.96267769999999997</v>
      </c>
      <c r="Y1799">
        <v>0.20948449999999999</v>
      </c>
      <c r="Z1799">
        <v>3.0279850000000001E-2</v>
      </c>
      <c r="AA1799">
        <v>0.97734299999999996</v>
      </c>
      <c r="AB1799">
        <v>26</v>
      </c>
      <c r="AC1799">
        <v>-0.22849999999999601</v>
      </c>
      <c r="AD1799">
        <v>-1.1046025333779901</v>
      </c>
      <c r="AE1799">
        <v>-34.644399999999898</v>
      </c>
      <c r="AF1799">
        <v>7.29594706906407</v>
      </c>
      <c r="AG1799">
        <v>-1.1046025333779901</v>
      </c>
      <c r="AH1799">
        <v>33.832221955279003</v>
      </c>
      <c r="AI1799">
        <v>91.828016193917406</v>
      </c>
      <c r="AJ1799">
        <v>77.830481827348507</v>
      </c>
      <c r="AK1799">
        <v>34.627593517635397</v>
      </c>
      <c r="AL1799">
        <v>77.904592237040305</v>
      </c>
      <c r="AM1799">
        <v>79.910171414902607</v>
      </c>
      <c r="AN1799">
        <v>1.0000000322603</v>
      </c>
    </row>
    <row r="1800" spans="1:40" x14ac:dyDescent="0.25">
      <c r="A1800" t="str">
        <f>"20190312172118487"</f>
        <v>20190312172118487</v>
      </c>
      <c r="B1800" t="str">
        <f>"1552382478482451"</f>
        <v>1552382478482451</v>
      </c>
      <c r="C1800" t="s">
        <v>40</v>
      </c>
      <c r="D1800">
        <v>3.4683410000000001</v>
      </c>
      <c r="E1800">
        <v>0.51197099999999995</v>
      </c>
      <c r="F1800" t="s">
        <v>42</v>
      </c>
      <c r="G1800">
        <v>-187.0318</v>
      </c>
      <c r="H1800" s="1">
        <v>-4.5719560000000001E-6</v>
      </c>
      <c r="I1800">
        <v>309.06279999999998</v>
      </c>
      <c r="J1800">
        <v>-186.75399999999999</v>
      </c>
      <c r="K1800">
        <v>1.104841</v>
      </c>
      <c r="L1800">
        <v>348.25799999999998</v>
      </c>
      <c r="M1800">
        <v>0.19660430000000001</v>
      </c>
      <c r="N1800">
        <v>0</v>
      </c>
      <c r="O1800">
        <v>-0.98040179999999999</v>
      </c>
      <c r="P1800">
        <v>3.0795630000000001E-2</v>
      </c>
      <c r="Q1800">
        <v>0.20113829999999999</v>
      </c>
      <c r="R1800">
        <v>-0.97907869999999997</v>
      </c>
      <c r="S1800">
        <v>-1.8127440000000002E-2</v>
      </c>
      <c r="T1800">
        <v>-8.6270810000000003E-2</v>
      </c>
      <c r="U1800">
        <v>-3.0816349999999999</v>
      </c>
      <c r="V1800">
        <v>0.16522339999999999</v>
      </c>
      <c r="W1800">
        <v>0.2110581</v>
      </c>
      <c r="X1800">
        <v>0.96340840000000005</v>
      </c>
      <c r="Y1800">
        <v>0.20238100000000001</v>
      </c>
      <c r="Z1800">
        <v>2.6874970000000001E-2</v>
      </c>
      <c r="AA1800">
        <v>0.97893799999999997</v>
      </c>
      <c r="AB1800">
        <v>26</v>
      </c>
      <c r="AC1800">
        <v>-0.277799999999984</v>
      </c>
      <c r="AD1800">
        <v>-1.104845571956</v>
      </c>
      <c r="AE1800">
        <v>-39.1952</v>
      </c>
      <c r="AF1800">
        <v>7.9726005212494604</v>
      </c>
      <c r="AG1800">
        <v>-1.104845571956</v>
      </c>
      <c r="AH1800">
        <v>38.345013442406497</v>
      </c>
      <c r="AI1800">
        <v>91.615884003703698</v>
      </c>
      <c r="AJ1800">
        <v>78.254545677876905</v>
      </c>
      <c r="AK1800">
        <v>39.180646991947803</v>
      </c>
      <c r="AL1800">
        <v>77.815633431684304</v>
      </c>
      <c r="AM1800">
        <v>80.268511673237299</v>
      </c>
      <c r="AN1800">
        <v>1.0000000193368599</v>
      </c>
    </row>
    <row r="1801" spans="1:40" x14ac:dyDescent="0.25">
      <c r="A1801" t="str">
        <f>"20190312172118509"</f>
        <v>20190312172118509</v>
      </c>
      <c r="B1801" t="str">
        <f>"1552382478502948"</f>
        <v>1552382478502948</v>
      </c>
      <c r="C1801" t="s">
        <v>40</v>
      </c>
      <c r="D1801">
        <v>3.4722209999999998</v>
      </c>
      <c r="E1801">
        <v>0.51184989999999997</v>
      </c>
      <c r="F1801" t="s">
        <v>42</v>
      </c>
      <c r="G1801">
        <v>-187.04660000000001</v>
      </c>
      <c r="H1801" s="1">
        <v>-3.7066869999999999E-6</v>
      </c>
      <c r="I1801">
        <v>307.05200000000002</v>
      </c>
      <c r="J1801">
        <v>-186.70859999999999</v>
      </c>
      <c r="K1801">
        <v>1.105073</v>
      </c>
      <c r="L1801">
        <v>347.9873</v>
      </c>
      <c r="M1801">
        <v>0.1889798</v>
      </c>
      <c r="N1801">
        <v>0</v>
      </c>
      <c r="O1801">
        <v>-0.98190069999999996</v>
      </c>
      <c r="P1801">
        <v>2.795481E-2</v>
      </c>
      <c r="Q1801">
        <v>0.20078370000000001</v>
      </c>
      <c r="R1801">
        <v>-0.97923660000000001</v>
      </c>
      <c r="S1801">
        <v>-2.1881100000000001E-2</v>
      </c>
      <c r="T1801">
        <v>-8.2630159999999994E-2</v>
      </c>
      <c r="U1801">
        <v>-3.0817570000000001</v>
      </c>
      <c r="V1801">
        <v>0.160404399999999</v>
      </c>
      <c r="W1801">
        <v>0.2108236</v>
      </c>
      <c r="X1801">
        <v>0.96427379999999996</v>
      </c>
      <c r="Y1801">
        <v>0.19595889999999999</v>
      </c>
      <c r="Z1801">
        <v>2.5818250000000001E-2</v>
      </c>
      <c r="AA1801">
        <v>0.98027220000000004</v>
      </c>
      <c r="AB1801">
        <v>26</v>
      </c>
      <c r="AC1801">
        <v>-0.33800000000002201</v>
      </c>
      <c r="AD1801">
        <v>-1.105076706687</v>
      </c>
      <c r="AE1801">
        <v>-40.935299999999899</v>
      </c>
      <c r="AF1801">
        <v>8.0625879172757902</v>
      </c>
      <c r="AG1801">
        <v>-1.105076706687</v>
      </c>
      <c r="AH1801">
        <v>40.1044633954536</v>
      </c>
      <c r="AI1801">
        <v>91.547437173035206</v>
      </c>
      <c r="AJ1801">
        <v>78.632801627962905</v>
      </c>
      <c r="AK1801">
        <v>40.921809621383296</v>
      </c>
      <c r="AL1801">
        <v>77.829379095940595</v>
      </c>
      <c r="AM1801">
        <v>80.555479234866795</v>
      </c>
      <c r="AN1801">
        <v>1.00000006161137</v>
      </c>
    </row>
    <row r="1802" spans="1:40" x14ac:dyDescent="0.25">
      <c r="A1802" t="str">
        <f>"20190312172118535"</f>
        <v>20190312172118535</v>
      </c>
      <c r="B1802" t="str">
        <f>"1552382478532227"</f>
        <v>1552382478532227</v>
      </c>
      <c r="C1802" t="s">
        <v>40</v>
      </c>
      <c r="D1802">
        <v>3.475892</v>
      </c>
      <c r="E1802">
        <v>0.50919780000000003</v>
      </c>
      <c r="F1802" t="s">
        <v>42</v>
      </c>
      <c r="G1802">
        <v>-187.1002</v>
      </c>
      <c r="H1802" s="1">
        <v>-3.9318680000000004E-6</v>
      </c>
      <c r="I1802">
        <v>307.59899999999999</v>
      </c>
      <c r="J1802">
        <v>-186.66139999999999</v>
      </c>
      <c r="K1802">
        <v>1.105332</v>
      </c>
      <c r="L1802">
        <v>347.69380000000001</v>
      </c>
      <c r="M1802">
        <v>0.181145</v>
      </c>
      <c r="N1802">
        <v>0</v>
      </c>
      <c r="O1802">
        <v>-0.98337699999999995</v>
      </c>
      <c r="P1802">
        <v>2.5465350000000001E-2</v>
      </c>
      <c r="Q1802">
        <v>0.1971406</v>
      </c>
      <c r="R1802">
        <v>-0.98004500000000005</v>
      </c>
      <c r="S1802">
        <v>-2.9876710000000001E-2</v>
      </c>
      <c r="T1802">
        <v>-8.4321740000000006E-2</v>
      </c>
      <c r="U1802">
        <v>-3.0817869999999998</v>
      </c>
      <c r="V1802">
        <v>0.15509589999999901</v>
      </c>
      <c r="W1802">
        <v>0.2073208</v>
      </c>
      <c r="X1802">
        <v>0.96590030000000004</v>
      </c>
      <c r="Y1802">
        <v>0.1906804</v>
      </c>
      <c r="Z1802">
        <v>2.6420590000000001E-2</v>
      </c>
      <c r="AA1802">
        <v>0.98129650000000002</v>
      </c>
      <c r="AB1802">
        <v>26</v>
      </c>
      <c r="AC1802">
        <v>-0.43880000000001401</v>
      </c>
      <c r="AD1802">
        <v>-1.1053359318680001</v>
      </c>
      <c r="AE1802">
        <v>-40.094799999999999</v>
      </c>
      <c r="AF1802">
        <v>7.6892361429237504</v>
      </c>
      <c r="AG1802">
        <v>-1.1053359318680001</v>
      </c>
      <c r="AH1802">
        <v>39.3220094532765</v>
      </c>
      <c r="AI1802">
        <v>91.580238438974405</v>
      </c>
      <c r="AJ1802">
        <v>78.935692385999701</v>
      </c>
      <c r="AK1802">
        <v>40.081997797359001</v>
      </c>
      <c r="AL1802">
        <v>78.034609937457304</v>
      </c>
      <c r="AM1802">
        <v>80.877807980796803</v>
      </c>
      <c r="AN1802">
        <v>1.0000000209247699</v>
      </c>
    </row>
    <row r="1803" spans="1:40" x14ac:dyDescent="0.25">
      <c r="A1803" t="str">
        <f>"20190312172118556"</f>
        <v>20190312172118556</v>
      </c>
      <c r="B1803" t="str">
        <f>"1552382478552725"</f>
        <v>1552382478552725</v>
      </c>
      <c r="C1803" t="s">
        <v>40</v>
      </c>
      <c r="D1803">
        <v>3.4979529999999999</v>
      </c>
      <c r="E1803">
        <v>0.50896609999999998</v>
      </c>
      <c r="F1803" t="s">
        <v>42</v>
      </c>
      <c r="G1803">
        <v>-186.86940000000001</v>
      </c>
      <c r="H1803" s="1">
        <v>-4.6967530000000003E-6</v>
      </c>
      <c r="I1803">
        <v>309.28660000000002</v>
      </c>
      <c r="J1803">
        <v>-186.624</v>
      </c>
      <c r="K1803">
        <v>1.1055790000000001</v>
      </c>
      <c r="L1803">
        <v>347.45310000000001</v>
      </c>
      <c r="M1803">
        <v>0.17507590000000001</v>
      </c>
      <c r="N1803">
        <v>0</v>
      </c>
      <c r="O1803">
        <v>-0.98447600000000002</v>
      </c>
      <c r="P1803">
        <v>2.526637E-2</v>
      </c>
      <c r="Q1803">
        <v>0.1944941</v>
      </c>
      <c r="R1803">
        <v>-0.98057830000000001</v>
      </c>
      <c r="S1803">
        <v>-1.6677859999999999E-2</v>
      </c>
      <c r="T1803">
        <v>-8.8621619999999998E-2</v>
      </c>
      <c r="U1803">
        <v>-3.0793460000000001</v>
      </c>
      <c r="V1803">
        <v>0.14924879999999999</v>
      </c>
      <c r="W1803">
        <v>0.2048123</v>
      </c>
      <c r="X1803">
        <v>0.96735550000000003</v>
      </c>
      <c r="Y1803">
        <v>0.18041650000000001</v>
      </c>
      <c r="Z1803">
        <v>2.786462E-2</v>
      </c>
      <c r="AA1803">
        <v>0.9831955</v>
      </c>
      <c r="AB1803">
        <v>26</v>
      </c>
      <c r="AC1803">
        <v>-0.24539999999998899</v>
      </c>
      <c r="AD1803">
        <v>-1.1055836967529999</v>
      </c>
      <c r="AE1803">
        <v>-38.1664999999999</v>
      </c>
      <c r="AF1803">
        <v>6.9183578770595897</v>
      </c>
      <c r="AG1803">
        <v>-1.1055836967529999</v>
      </c>
      <c r="AH1803">
        <v>37.5024893903961</v>
      </c>
      <c r="AI1803">
        <v>91.660602052575499</v>
      </c>
      <c r="AJ1803">
        <v>79.547742157863198</v>
      </c>
      <c r="AK1803">
        <v>38.1513132343091</v>
      </c>
      <c r="AL1803">
        <v>78.181488183008597</v>
      </c>
      <c r="AM1803">
        <v>81.229256056423495</v>
      </c>
      <c r="AN1803">
        <v>0.99999997295648901</v>
      </c>
    </row>
    <row r="1804" spans="1:40" x14ac:dyDescent="0.25">
      <c r="A1804" t="str">
        <f>"20190312172118577"</f>
        <v>20190312172118577</v>
      </c>
      <c r="B1804" t="str">
        <f>"1552382478572243"</f>
        <v>1552382478572243</v>
      </c>
      <c r="C1804" t="s">
        <v>40</v>
      </c>
      <c r="D1804">
        <v>3.4878459999999998</v>
      </c>
      <c r="E1804">
        <v>0.50890340000000001</v>
      </c>
      <c r="F1804" t="s">
        <v>42</v>
      </c>
      <c r="G1804">
        <v>-186.80179999999999</v>
      </c>
      <c r="H1804" s="1">
        <v>-2.433475E-6</v>
      </c>
      <c r="I1804">
        <v>313.57909999999998</v>
      </c>
      <c r="J1804">
        <v>-186.5874</v>
      </c>
      <c r="K1804">
        <v>1.105864</v>
      </c>
      <c r="L1804">
        <v>347.20929999999998</v>
      </c>
      <c r="M1804">
        <v>0.16926050000000001</v>
      </c>
      <c r="N1804">
        <v>0</v>
      </c>
      <c r="O1804">
        <v>-0.98549319999999896</v>
      </c>
      <c r="P1804">
        <v>2.4000850000000001E-2</v>
      </c>
      <c r="Q1804">
        <v>0.1964004</v>
      </c>
      <c r="R1804">
        <v>-0.98023009999999999</v>
      </c>
      <c r="S1804">
        <v>-1.6159059999999999E-2</v>
      </c>
      <c r="T1804">
        <v>-0.1005187</v>
      </c>
      <c r="U1804">
        <v>-3.0798030000000001</v>
      </c>
      <c r="V1804">
        <v>0.14459069999999999</v>
      </c>
      <c r="W1804">
        <v>0.2068305</v>
      </c>
      <c r="X1804">
        <v>0.96763350000000004</v>
      </c>
      <c r="Y1804">
        <v>0.17443889999999901</v>
      </c>
      <c r="Z1804">
        <v>3.166426E-2</v>
      </c>
      <c r="AA1804">
        <v>0.9841588</v>
      </c>
      <c r="AB1804">
        <v>26</v>
      </c>
      <c r="AC1804">
        <v>-0.21439999999998299</v>
      </c>
      <c r="AD1804">
        <v>-1.1058664334749999</v>
      </c>
      <c r="AE1804">
        <v>-33.630200000000002</v>
      </c>
      <c r="AF1804">
        <v>5.8976320872840802</v>
      </c>
      <c r="AG1804">
        <v>-1.1058664334749999</v>
      </c>
      <c r="AH1804">
        <v>33.072833795311503</v>
      </c>
      <c r="AI1804">
        <v>91.885382927134998</v>
      </c>
      <c r="AJ1804">
        <v>79.889147924333301</v>
      </c>
      <c r="AK1804">
        <v>33.612755615360498</v>
      </c>
      <c r="AL1804">
        <v>78.0633236881107</v>
      </c>
      <c r="AM1804">
        <v>81.501337665106902</v>
      </c>
      <c r="AN1804">
        <v>0.99999995828949395</v>
      </c>
    </row>
    <row r="1805" spans="1:40" x14ac:dyDescent="0.25">
      <c r="A1805" t="str">
        <f>"20190312172118599"</f>
        <v>20190312172118599</v>
      </c>
      <c r="B1805" t="str">
        <f>"1552382478592739"</f>
        <v>1552382478592739</v>
      </c>
      <c r="C1805" t="s">
        <v>40</v>
      </c>
      <c r="D1805">
        <v>3.4794619999999998</v>
      </c>
      <c r="E1805">
        <v>0.50849639999999996</v>
      </c>
      <c r="F1805" t="s">
        <v>42</v>
      </c>
      <c r="G1805">
        <v>-186.80770000000001</v>
      </c>
      <c r="H1805" s="1">
        <v>-1.3320619999999999E-6</v>
      </c>
      <c r="I1805">
        <v>310.90140000000002</v>
      </c>
      <c r="J1805">
        <v>-186.548</v>
      </c>
      <c r="K1805">
        <v>1.106187</v>
      </c>
      <c r="L1805">
        <v>346.9393</v>
      </c>
      <c r="M1805">
        <v>0.16320479999999901</v>
      </c>
      <c r="N1805">
        <v>0</v>
      </c>
      <c r="O1805">
        <v>-0.98651469999999997</v>
      </c>
      <c r="P1805">
        <v>2.2517430000000001E-2</v>
      </c>
      <c r="Q1805">
        <v>0.19877300000000001</v>
      </c>
      <c r="R1805">
        <v>-0.97978690000000002</v>
      </c>
      <c r="S1805">
        <v>-1.869202E-2</v>
      </c>
      <c r="T1805">
        <v>-9.3804600000000002E-2</v>
      </c>
      <c r="U1805">
        <v>-3.0798030000000001</v>
      </c>
      <c r="V1805">
        <v>0.13988629999999999</v>
      </c>
      <c r="W1805">
        <v>0.2093178</v>
      </c>
      <c r="X1805">
        <v>0.96779020000000004</v>
      </c>
      <c r="Y1805">
        <v>0.16919870000000001</v>
      </c>
      <c r="Z1805">
        <v>2.9611740000000001E-2</v>
      </c>
      <c r="AA1805">
        <v>0.98513700000000004</v>
      </c>
      <c r="AB1805">
        <v>26</v>
      </c>
      <c r="AC1805">
        <v>-0.25970000000000898</v>
      </c>
      <c r="AD1805">
        <v>-1.1061883320620001</v>
      </c>
      <c r="AE1805">
        <v>-36.037899999999901</v>
      </c>
      <c r="AF1805">
        <v>6.13244789696647</v>
      </c>
      <c r="AG1805">
        <v>-1.1061883320620001</v>
      </c>
      <c r="AH1805">
        <v>35.478823434061397</v>
      </c>
      <c r="AI1805">
        <v>91.759759578763394</v>
      </c>
      <c r="AJ1805">
        <v>80.193428073239104</v>
      </c>
      <c r="AK1805">
        <v>36.021902810655497</v>
      </c>
      <c r="AL1805">
        <v>77.917623348190801</v>
      </c>
      <c r="AM1805">
        <v>81.775317345354296</v>
      </c>
      <c r="AN1805">
        <v>0.99999999477028501</v>
      </c>
    </row>
    <row r="1806" spans="1:40" x14ac:dyDescent="0.25">
      <c r="A1806" t="str">
        <f>"20190312172118622"</f>
        <v>20190312172118622</v>
      </c>
      <c r="B1806" t="str">
        <f>"1552382478612260"</f>
        <v>1552382478612260</v>
      </c>
      <c r="C1806" t="s">
        <v>40</v>
      </c>
      <c r="D1806">
        <v>3.507717</v>
      </c>
      <c r="E1806">
        <v>0.50816870000000003</v>
      </c>
      <c r="F1806" t="s">
        <v>42</v>
      </c>
      <c r="G1806">
        <v>-186.8083</v>
      </c>
      <c r="H1806" s="1">
        <v>-3.9554479999999999E-6</v>
      </c>
      <c r="I1806">
        <v>307.5333</v>
      </c>
      <c r="J1806">
        <v>-186.51159999999999</v>
      </c>
      <c r="K1806">
        <v>1.1064830000000001</v>
      </c>
      <c r="L1806">
        <v>346.6816</v>
      </c>
      <c r="M1806">
        <v>0.15782969999999999</v>
      </c>
      <c r="N1806">
        <v>0</v>
      </c>
      <c r="O1806">
        <v>-0.98738959999999998</v>
      </c>
      <c r="P1806">
        <v>2.1828279999999999E-2</v>
      </c>
      <c r="Q1806">
        <v>0.20119500000000001</v>
      </c>
      <c r="R1806">
        <v>-0.97930839999999997</v>
      </c>
      <c r="S1806">
        <v>-2.0339969999999999E-2</v>
      </c>
      <c r="T1806">
        <v>-8.6458560000000004E-2</v>
      </c>
      <c r="U1806">
        <v>-3.0799259999999999</v>
      </c>
      <c r="V1806">
        <v>0.1350816</v>
      </c>
      <c r="W1806">
        <v>0.2118429</v>
      </c>
      <c r="X1806">
        <v>0.96792330000000004</v>
      </c>
      <c r="Y1806">
        <v>0.16435640000000001</v>
      </c>
      <c r="Z1806">
        <v>2.7341830000000001E-2</v>
      </c>
      <c r="AA1806">
        <v>0.98602199999999995</v>
      </c>
      <c r="AB1806">
        <v>26</v>
      </c>
      <c r="AC1806">
        <v>-0.29670000000001501</v>
      </c>
      <c r="AD1806">
        <v>-1.1064869554479999</v>
      </c>
      <c r="AE1806">
        <v>-39.148299999999999</v>
      </c>
      <c r="AF1806">
        <v>6.4670475109154504</v>
      </c>
      <c r="AG1806">
        <v>-1.1064869554479999</v>
      </c>
      <c r="AH1806">
        <v>38.579904410907403</v>
      </c>
      <c r="AI1806">
        <v>91.620222077635702</v>
      </c>
      <c r="AJ1806">
        <v>80.484130164096101</v>
      </c>
      <c r="AK1806">
        <v>39.133822216156702</v>
      </c>
      <c r="AL1806">
        <v>77.769627007512199</v>
      </c>
      <c r="AM1806">
        <v>82.055219727205795</v>
      </c>
      <c r="AN1806">
        <v>0.99999998381093003</v>
      </c>
    </row>
    <row r="1807" spans="1:40" x14ac:dyDescent="0.25">
      <c r="A1807" t="str">
        <f>"20190312172118644"</f>
        <v>20190312172118644</v>
      </c>
      <c r="B1807" t="str">
        <f>"1552382478632756"</f>
        <v>1552382478632756</v>
      </c>
      <c r="C1807" t="s">
        <v>40</v>
      </c>
      <c r="D1807">
        <v>3.4913859999999999</v>
      </c>
      <c r="E1807">
        <v>0.50786189999999998</v>
      </c>
      <c r="F1807" t="s">
        <v>42</v>
      </c>
      <c r="G1807">
        <v>-186.7818</v>
      </c>
      <c r="H1807" s="1">
        <v>-2.259441E-6</v>
      </c>
      <c r="I1807">
        <v>303.56889999999999</v>
      </c>
      <c r="J1807">
        <v>-186.476</v>
      </c>
      <c r="K1807">
        <v>1.1067469999999999</v>
      </c>
      <c r="L1807">
        <v>346.42140000000001</v>
      </c>
      <c r="M1807">
        <v>0.1527636</v>
      </c>
      <c r="N1807">
        <v>0</v>
      </c>
      <c r="O1807">
        <v>-0.98818649999999997</v>
      </c>
      <c r="P1807">
        <v>1.9731700000000001E-2</v>
      </c>
      <c r="Q1807">
        <v>0.20107169999999999</v>
      </c>
      <c r="R1807">
        <v>-0.97937790000000002</v>
      </c>
      <c r="S1807">
        <v>-1.9302369999999999E-2</v>
      </c>
      <c r="T1807">
        <v>-7.9050179999999998E-2</v>
      </c>
      <c r="U1807">
        <v>-3.0800779999999999</v>
      </c>
      <c r="V1807">
        <v>0.1320489</v>
      </c>
      <c r="W1807">
        <v>0.21179819999999999</v>
      </c>
      <c r="X1807">
        <v>0.96835150000000003</v>
      </c>
      <c r="Y1807">
        <v>0.15896289999999999</v>
      </c>
      <c r="Z1807">
        <v>2.5041379999999999E-2</v>
      </c>
      <c r="AA1807">
        <v>0.98696689999999998</v>
      </c>
      <c r="AB1807">
        <v>26</v>
      </c>
      <c r="AC1807">
        <v>-0.30580000000000401</v>
      </c>
      <c r="AD1807">
        <v>-1.106749259441</v>
      </c>
      <c r="AE1807">
        <v>-42.852499999999999</v>
      </c>
      <c r="AF1807">
        <v>6.8444405510450901</v>
      </c>
      <c r="AG1807">
        <v>-1.106749259441</v>
      </c>
      <c r="AH1807">
        <v>42.2745380153507</v>
      </c>
      <c r="AI1807">
        <v>91.480394862212705</v>
      </c>
      <c r="AJ1807">
        <v>80.803355282818302</v>
      </c>
      <c r="AK1807">
        <v>42.839325680866999</v>
      </c>
      <c r="AL1807">
        <v>77.772247900704897</v>
      </c>
      <c r="AM1807">
        <v>82.234777741626701</v>
      </c>
      <c r="AN1807">
        <v>1.00000000853335</v>
      </c>
    </row>
    <row r="1808" spans="1:40" x14ac:dyDescent="0.25">
      <c r="A1808" t="str">
        <f>"20190312172118665"</f>
        <v>20190312172118665</v>
      </c>
      <c r="B1808" t="str">
        <f>"1552382478663010"</f>
        <v>1552382478663010</v>
      </c>
      <c r="C1808" t="s">
        <v>40</v>
      </c>
      <c r="D1808">
        <v>3.5428090000000001</v>
      </c>
      <c r="E1808">
        <v>0.50755969999999995</v>
      </c>
      <c r="F1808" t="s">
        <v>42</v>
      </c>
      <c r="G1808">
        <v>-186.7988</v>
      </c>
      <c r="H1808" s="1">
        <v>-2.3345540000000001E-6</v>
      </c>
      <c r="I1808">
        <v>303.75099999999998</v>
      </c>
      <c r="J1808">
        <v>-186.44220000000001</v>
      </c>
      <c r="K1808">
        <v>1.106975</v>
      </c>
      <c r="L1808">
        <v>346.16759999999999</v>
      </c>
      <c r="M1808">
        <v>0.148089</v>
      </c>
      <c r="N1808">
        <v>0</v>
      </c>
      <c r="O1808">
        <v>-0.98889819999999995</v>
      </c>
      <c r="P1808">
        <v>2.074225E-2</v>
      </c>
      <c r="Q1808">
        <v>0.2026249</v>
      </c>
      <c r="R1808">
        <v>-0.97903669999999998</v>
      </c>
      <c r="S1808">
        <v>-2.3300169999999999E-2</v>
      </c>
      <c r="T1808">
        <v>-7.9888459999999994E-2</v>
      </c>
      <c r="U1808">
        <v>-3.0800779999999999</v>
      </c>
      <c r="V1808">
        <v>0.12631329999999999</v>
      </c>
      <c r="W1808">
        <v>0.21343590000000001</v>
      </c>
      <c r="X1808">
        <v>0.96875699999999998</v>
      </c>
      <c r="Y1808">
        <v>0.1555743</v>
      </c>
      <c r="Z1808">
        <v>2.5341300000000001E-2</v>
      </c>
      <c r="AA1808">
        <v>0.98749909999999996</v>
      </c>
      <c r="AB1808">
        <v>26</v>
      </c>
      <c r="AC1808">
        <v>-0.35659999999998598</v>
      </c>
      <c r="AD1808">
        <v>-1.1069773345539999</v>
      </c>
      <c r="AE1808">
        <v>-42.416600000000003</v>
      </c>
      <c r="AF1808">
        <v>6.6300552225954599</v>
      </c>
      <c r="AG1808">
        <v>-1.1069773345539999</v>
      </c>
      <c r="AH1808">
        <v>41.867519518192701</v>
      </c>
      <c r="AI1808">
        <v>91.495915756982896</v>
      </c>
      <c r="AJ1808">
        <v>81.001479765779095</v>
      </c>
      <c r="AK1808">
        <v>42.403681699589796</v>
      </c>
      <c r="AL1808">
        <v>77.6762192044703</v>
      </c>
      <c r="AM1808">
        <v>82.571285091039201</v>
      </c>
      <c r="AN1808">
        <v>1.0000000291073401</v>
      </c>
    </row>
    <row r="1809" spans="1:40" x14ac:dyDescent="0.25">
      <c r="A1809" t="str">
        <f>"20190312172118688"</f>
        <v>20190312172118688</v>
      </c>
      <c r="B1809" t="str">
        <f>"1552382478682531"</f>
        <v>1552382478682531</v>
      </c>
      <c r="C1809" t="s">
        <v>40</v>
      </c>
      <c r="D1809">
        <v>3.4909690000000002</v>
      </c>
      <c r="E1809">
        <v>0.50748890000000002</v>
      </c>
      <c r="F1809" t="s">
        <v>42</v>
      </c>
      <c r="G1809">
        <v>-186.7046</v>
      </c>
      <c r="H1809" s="1">
        <v>-1.4142689999999999E-6</v>
      </c>
      <c r="I1809">
        <v>301.22739999999999</v>
      </c>
      <c r="J1809">
        <v>-186.40710000000001</v>
      </c>
      <c r="K1809">
        <v>1.107172</v>
      </c>
      <c r="L1809">
        <v>345.89600000000002</v>
      </c>
      <c r="M1809">
        <v>0.14334330000000001</v>
      </c>
      <c r="N1809">
        <v>0</v>
      </c>
      <c r="O1809">
        <v>-0.98959779999999997</v>
      </c>
      <c r="P1809">
        <v>2.1190569999999999E-2</v>
      </c>
      <c r="Q1809">
        <v>0.2066684</v>
      </c>
      <c r="R1809">
        <v>-0.97818179999999999</v>
      </c>
      <c r="S1809">
        <v>-1.799011E-2</v>
      </c>
      <c r="T1809">
        <v>-7.5875159999999997E-2</v>
      </c>
      <c r="U1809">
        <v>-3.0803219999999998</v>
      </c>
      <c r="V1809">
        <v>0.12102830000000001</v>
      </c>
      <c r="W1809">
        <v>0.2175396</v>
      </c>
      <c r="X1809">
        <v>0.96851880000000001</v>
      </c>
      <c r="Y1809">
        <v>0.1491295</v>
      </c>
      <c r="Z1809">
        <v>2.4105339999999999E-2</v>
      </c>
      <c r="AA1809">
        <v>0.98852379999999995</v>
      </c>
      <c r="AB1809">
        <v>26</v>
      </c>
      <c r="AC1809">
        <v>-0.297499999999985</v>
      </c>
      <c r="AD1809">
        <v>-1.107173414269</v>
      </c>
      <c r="AE1809">
        <v>-44.668599999999898</v>
      </c>
      <c r="AF1809">
        <v>6.6937363081039596</v>
      </c>
      <c r="AG1809">
        <v>-1.107173414269</v>
      </c>
      <c r="AH1809">
        <v>44.137476342526199</v>
      </c>
      <c r="AI1809">
        <v>91.420705330073204</v>
      </c>
      <c r="AJ1809">
        <v>81.376433627277294</v>
      </c>
      <c r="AK1809">
        <v>44.655892742377901</v>
      </c>
      <c r="AL1809">
        <v>77.435437112276205</v>
      </c>
      <c r="AM1809">
        <v>82.877112626250494</v>
      </c>
      <c r="AN1809">
        <v>0.99999999646124405</v>
      </c>
    </row>
    <row r="1810" spans="1:40" x14ac:dyDescent="0.25">
      <c r="A1810" t="str">
        <f>"20190312172118703"</f>
        <v>20190312172118703</v>
      </c>
      <c r="B1810" t="str">
        <f>"1552382478692291"</f>
        <v>1552382478692291</v>
      </c>
      <c r="C1810" t="s">
        <v>40</v>
      </c>
      <c r="D1810">
        <v>3.5047609999999998</v>
      </c>
      <c r="E1810">
        <v>0.50519130000000001</v>
      </c>
      <c r="F1810" t="s">
        <v>45</v>
      </c>
      <c r="G1810">
        <v>-186.6961</v>
      </c>
      <c r="H1810" s="1">
        <v>2.398831E-6</v>
      </c>
      <c r="I1810">
        <v>292.012</v>
      </c>
      <c r="J1810">
        <v>-186.386</v>
      </c>
      <c r="K1810">
        <v>1.1072610000000001</v>
      </c>
      <c r="L1810">
        <v>345.72980000000001</v>
      </c>
      <c r="M1810">
        <v>0.14053840000000001</v>
      </c>
      <c r="N1810">
        <v>0</v>
      </c>
      <c r="O1810">
        <v>-0.9900002</v>
      </c>
      <c r="P1810">
        <v>2.0969229999999998E-2</v>
      </c>
      <c r="Q1810">
        <v>0.2084529</v>
      </c>
      <c r="R1810">
        <v>-0.97780800000000001</v>
      </c>
      <c r="S1810">
        <v>-1.6525270000000002E-2</v>
      </c>
      <c r="T1810">
        <v>-6.329978E-2</v>
      </c>
      <c r="U1810">
        <v>-3.0806879999999999</v>
      </c>
      <c r="V1810">
        <v>0.11840829999999999</v>
      </c>
      <c r="W1810">
        <v>0.21935060000000001</v>
      </c>
      <c r="X1810">
        <v>0.96843420000000002</v>
      </c>
      <c r="Y1810">
        <v>0.1458564</v>
      </c>
      <c r="Z1810">
        <v>2.012707E-2</v>
      </c>
      <c r="AA1810">
        <v>0.98910100000000001</v>
      </c>
      <c r="AB1810">
        <v>26</v>
      </c>
      <c r="AC1810">
        <v>-0.31010000000000498</v>
      </c>
      <c r="AD1810">
        <v>-1.107258601169</v>
      </c>
      <c r="AE1810">
        <v>-53.717799999999997</v>
      </c>
      <c r="AF1810">
        <v>7.8536596568752604</v>
      </c>
      <c r="AG1810">
        <v>-1.107258601169</v>
      </c>
      <c r="AH1810">
        <v>53.118431334208701</v>
      </c>
      <c r="AI1810">
        <v>91.181324389948202</v>
      </c>
      <c r="AJ1810">
        <v>81.5896423380686</v>
      </c>
      <c r="AK1810">
        <v>53.707296888066701</v>
      </c>
      <c r="AL1810">
        <v>77.329106588414106</v>
      </c>
      <c r="AM1810">
        <v>83.029171406426897</v>
      </c>
      <c r="AN1810">
        <v>1.00000000547944</v>
      </c>
    </row>
    <row r="1811" spans="1:40" x14ac:dyDescent="0.25">
      <c r="A1811" t="str">
        <f>"20190312172118722"</f>
        <v>20190312172118722</v>
      </c>
      <c r="B1811" t="str">
        <f>"1552382478712787"</f>
        <v>1552382478712787</v>
      </c>
      <c r="C1811" t="s">
        <v>40</v>
      </c>
      <c r="D1811">
        <v>3.544019</v>
      </c>
      <c r="E1811">
        <v>0.50556520000000005</v>
      </c>
      <c r="F1811" t="s">
        <v>45</v>
      </c>
      <c r="G1811">
        <v>-186.376</v>
      </c>
      <c r="H1811" s="1">
        <v>1.383124E-6</v>
      </c>
      <c r="I1811">
        <v>294.995</v>
      </c>
      <c r="J1811">
        <v>-186.35810000000001</v>
      </c>
      <c r="K1811">
        <v>1.1073679999999999</v>
      </c>
      <c r="L1811">
        <v>345.50279999999998</v>
      </c>
      <c r="M1811">
        <v>0.1368375</v>
      </c>
      <c r="N1811">
        <v>0</v>
      </c>
      <c r="O1811">
        <v>-0.99051900000000004</v>
      </c>
      <c r="P1811">
        <v>2.239238E-2</v>
      </c>
      <c r="Q1811">
        <v>0.20776449999999999</v>
      </c>
      <c r="R1811">
        <v>-0.97792279999999998</v>
      </c>
      <c r="S1811">
        <v>6.1035159999999996E-4</v>
      </c>
      <c r="T1811">
        <v>-6.7271709999999998E-2</v>
      </c>
      <c r="U1811">
        <v>-3.0823969999999998</v>
      </c>
      <c r="V1811">
        <v>0.11332159999999999</v>
      </c>
      <c r="W1811">
        <v>0.21871740000000001</v>
      </c>
      <c r="X1811">
        <v>0.96918570000000004</v>
      </c>
      <c r="Y1811">
        <v>0.1366513</v>
      </c>
      <c r="Z1811">
        <v>2.1409060000000001E-2</v>
      </c>
      <c r="AA1811">
        <v>0.99038789999999999</v>
      </c>
      <c r="AB1811">
        <v>26</v>
      </c>
      <c r="AC1811">
        <v>-1.7899999999968899E-2</v>
      </c>
      <c r="AD1811">
        <v>-1.1073666168759999</v>
      </c>
      <c r="AE1811">
        <v>-50.507799999999897</v>
      </c>
      <c r="AF1811">
        <v>6.9262734315844598</v>
      </c>
      <c r="AG1811">
        <v>-1.1073666168759999</v>
      </c>
      <c r="AH1811">
        <v>50.006141254621099</v>
      </c>
      <c r="AI1811">
        <v>91.256593045191906</v>
      </c>
      <c r="AJ1811">
        <v>82.114223072475596</v>
      </c>
      <c r="AK1811">
        <v>50.495679890960602</v>
      </c>
      <c r="AL1811">
        <v>77.366289148480902</v>
      </c>
      <c r="AM1811">
        <v>83.330998279708098</v>
      </c>
      <c r="AN1811">
        <v>1.0000000035869001</v>
      </c>
    </row>
    <row r="1812" spans="1:40" x14ac:dyDescent="0.25">
      <c r="A1812" t="str">
        <f>"20190312172118737"</f>
        <v>20190312172118737</v>
      </c>
      <c r="B1812" t="str">
        <f>"1552382478732307"</f>
        <v>1552382478732307</v>
      </c>
      <c r="C1812" t="s">
        <v>40</v>
      </c>
      <c r="D1812">
        <v>3.5485639999999998</v>
      </c>
      <c r="E1812">
        <v>0.50546049999999998</v>
      </c>
      <c r="F1812" t="s">
        <v>45</v>
      </c>
      <c r="G1812">
        <v>-186.33090000000001</v>
      </c>
      <c r="H1812" s="1">
        <v>1.349188E-6</v>
      </c>
      <c r="I1812">
        <v>295.16500000000002</v>
      </c>
      <c r="J1812">
        <v>-186.33709999999999</v>
      </c>
      <c r="K1812">
        <v>1.1074459999999999</v>
      </c>
      <c r="L1812">
        <v>345.3288</v>
      </c>
      <c r="M1812">
        <v>0.13407450000000001</v>
      </c>
      <c r="N1812">
        <v>0</v>
      </c>
      <c r="O1812">
        <v>-0.99089680000000002</v>
      </c>
      <c r="P1812">
        <v>2.2175199999999999E-2</v>
      </c>
      <c r="Q1812">
        <v>0.207731</v>
      </c>
      <c r="R1812">
        <v>-0.97793470000000005</v>
      </c>
      <c r="S1812">
        <v>1.66320799999999E-3</v>
      </c>
      <c r="T1812">
        <v>-6.7802070000000006E-2</v>
      </c>
      <c r="U1812">
        <v>-3.0820919999999998</v>
      </c>
      <c r="V1812">
        <v>0.110788</v>
      </c>
      <c r="W1812">
        <v>0.2187095</v>
      </c>
      <c r="X1812">
        <v>0.96948040000000002</v>
      </c>
      <c r="Y1812">
        <v>0.13354959999999999</v>
      </c>
      <c r="Z1812">
        <v>2.159701E-2</v>
      </c>
      <c r="AA1812">
        <v>0.99080679999999999</v>
      </c>
      <c r="AB1812">
        <v>26</v>
      </c>
      <c r="AC1812">
        <v>6.1999999999784398E-3</v>
      </c>
      <c r="AD1812">
        <v>-1.1074446508119999</v>
      </c>
      <c r="AE1812">
        <v>-50.163799999999902</v>
      </c>
      <c r="AF1812">
        <v>6.7167650833542796</v>
      </c>
      <c r="AG1812">
        <v>-1.1074446508119999</v>
      </c>
      <c r="AH1812">
        <v>49.687431614245597</v>
      </c>
      <c r="AI1812">
        <v>91.265305032141299</v>
      </c>
      <c r="AJ1812">
        <v>82.301403354388697</v>
      </c>
      <c r="AK1812">
        <v>50.15159246983</v>
      </c>
      <c r="AL1812">
        <v>77.366753434062502</v>
      </c>
      <c r="AM1812">
        <v>83.480767623110694</v>
      </c>
      <c r="AN1812">
        <v>1.0000000361592001</v>
      </c>
    </row>
    <row r="1813" spans="1:40" x14ac:dyDescent="0.25">
      <c r="A1813" t="str">
        <f>"20190312172118756"</f>
        <v>20190312172118756</v>
      </c>
      <c r="B1813" t="str">
        <f>"1552382478752803"</f>
        <v>1552382478752803</v>
      </c>
      <c r="C1813" t="s">
        <v>40</v>
      </c>
      <c r="D1813">
        <v>3.5362559999999998</v>
      </c>
      <c r="E1813">
        <v>0.50539369999999995</v>
      </c>
      <c r="F1813" t="s">
        <v>45</v>
      </c>
      <c r="G1813">
        <v>-186.3151</v>
      </c>
      <c r="H1813" s="1">
        <v>1.1427990000000001E-6</v>
      </c>
      <c r="I1813">
        <v>296.32889999999998</v>
      </c>
      <c r="J1813">
        <v>-186.31039999999999</v>
      </c>
      <c r="K1813">
        <v>1.1075410000000001</v>
      </c>
      <c r="L1813">
        <v>345.10090000000002</v>
      </c>
      <c r="M1813">
        <v>0.13052259999999999</v>
      </c>
      <c r="N1813">
        <v>0</v>
      </c>
      <c r="O1813">
        <v>-0.99137120000000001</v>
      </c>
      <c r="P1813">
        <v>2.3981659999999998E-2</v>
      </c>
      <c r="Q1813">
        <v>0.20827180000000001</v>
      </c>
      <c r="R1813">
        <v>-0.97777700000000001</v>
      </c>
      <c r="S1813">
        <v>1.3885499999999999E-3</v>
      </c>
      <c r="T1813">
        <v>-6.9665909999999998E-2</v>
      </c>
      <c r="U1813">
        <v>-3.0824280000000002</v>
      </c>
      <c r="V1813">
        <v>0.10545060000000001</v>
      </c>
      <c r="W1813">
        <v>0.21929709999999999</v>
      </c>
      <c r="X1813">
        <v>0.96994270000000005</v>
      </c>
      <c r="Y1813">
        <v>0.1300856</v>
      </c>
      <c r="Z1813">
        <v>2.2209260000000002E-2</v>
      </c>
      <c r="AA1813">
        <v>0.99125399999999997</v>
      </c>
      <c r="AB1813">
        <v>26</v>
      </c>
      <c r="AC1813">
        <v>-4.7000000000139101E-3</v>
      </c>
      <c r="AD1813">
        <v>-1.10753985720099</v>
      </c>
      <c r="AE1813">
        <v>-48.771999999999998</v>
      </c>
      <c r="AF1813">
        <v>6.3676922877089002</v>
      </c>
      <c r="AG1813">
        <v>-1.10753985720099</v>
      </c>
      <c r="AH1813">
        <v>48.329174504650197</v>
      </c>
      <c r="AI1813">
        <v>91.301549276697799</v>
      </c>
      <c r="AJ1813">
        <v>82.494131739734698</v>
      </c>
      <c r="AK1813">
        <v>48.759442756323303</v>
      </c>
      <c r="AL1813">
        <v>77.332247620070504</v>
      </c>
      <c r="AM1813">
        <v>83.795265042317894</v>
      </c>
      <c r="AN1813">
        <v>0.999999944196028</v>
      </c>
    </row>
    <row r="1814" spans="1:40" x14ac:dyDescent="0.25">
      <c r="A1814" t="str">
        <f>"20190312172118779"</f>
        <v>20190312172118779</v>
      </c>
      <c r="B1814" t="str">
        <f>"1552382478772324"</f>
        <v>1552382478772324</v>
      </c>
      <c r="C1814" t="s">
        <v>40</v>
      </c>
      <c r="D1814">
        <v>3.559717</v>
      </c>
      <c r="E1814">
        <v>0.50524290000000005</v>
      </c>
      <c r="F1814" t="s">
        <v>45</v>
      </c>
      <c r="G1814">
        <v>-186.2141</v>
      </c>
      <c r="H1814" s="1">
        <v>4.6555090000000002E-7</v>
      </c>
      <c r="I1814">
        <v>298.29930000000002</v>
      </c>
      <c r="J1814">
        <v>-186.28020000000001</v>
      </c>
      <c r="K1814">
        <v>1.1076269999999999</v>
      </c>
      <c r="L1814">
        <v>344.83609999999999</v>
      </c>
      <c r="M1814">
        <v>0.12647130000000001</v>
      </c>
      <c r="N1814">
        <v>0</v>
      </c>
      <c r="O1814">
        <v>-0.99189640000000001</v>
      </c>
      <c r="P1814">
        <v>2.4735050000000001E-2</v>
      </c>
      <c r="Q1814">
        <v>0.2085341</v>
      </c>
      <c r="R1814">
        <v>-0.97770239999999997</v>
      </c>
      <c r="S1814">
        <v>6.3476560000000001E-3</v>
      </c>
      <c r="T1814">
        <v>-7.2973369999999996E-2</v>
      </c>
      <c r="U1814">
        <v>-3.0836489999999999</v>
      </c>
      <c r="V1814">
        <v>0.1006763</v>
      </c>
      <c r="W1814">
        <v>0.21959899999999999</v>
      </c>
      <c r="X1814">
        <v>0.97038170000000001</v>
      </c>
      <c r="Y1814">
        <v>0.1244388</v>
      </c>
      <c r="Z1814">
        <v>2.3281079999999999E-2</v>
      </c>
      <c r="AA1814">
        <v>0.99195409999999995</v>
      </c>
      <c r="AB1814">
        <v>26</v>
      </c>
      <c r="AC1814">
        <v>6.6100000000005807E-2</v>
      </c>
      <c r="AD1814">
        <v>-1.1076265344491001</v>
      </c>
      <c r="AE1814">
        <v>-46.5367999999999</v>
      </c>
      <c r="AF1814">
        <v>5.8171363723939402</v>
      </c>
      <c r="AG1814">
        <v>-1.1076265344491001</v>
      </c>
      <c r="AH1814">
        <v>46.1452864136321</v>
      </c>
      <c r="AI1814">
        <v>91.364215257112704</v>
      </c>
      <c r="AJ1814">
        <v>82.815117060635998</v>
      </c>
      <c r="AK1814">
        <v>46.523686121275702</v>
      </c>
      <c r="AL1814">
        <v>77.314519093145606</v>
      </c>
      <c r="AM1814">
        <v>84.0768017525494</v>
      </c>
      <c r="AN1814">
        <v>1.0000000409387799</v>
      </c>
    </row>
    <row r="1815" spans="1:40" x14ac:dyDescent="0.25">
      <c r="A1815" t="str">
        <f>"20190312172118801"</f>
        <v>20190312172118801</v>
      </c>
      <c r="B1815" t="str">
        <f>"1552382478792820"</f>
        <v>1552382478792820</v>
      </c>
      <c r="C1815" t="s">
        <v>40</v>
      </c>
      <c r="D1815">
        <v>3.5555650000000001</v>
      </c>
      <c r="E1815">
        <v>0.50537189999999999</v>
      </c>
      <c r="F1815" t="s">
        <v>45</v>
      </c>
      <c r="G1815">
        <v>-186.1413</v>
      </c>
      <c r="H1815" s="1">
        <v>2.0408950000000001E-7</v>
      </c>
      <c r="I1815">
        <v>299.03899999999999</v>
      </c>
      <c r="J1815">
        <v>-186.2509</v>
      </c>
      <c r="K1815">
        <v>1.107699</v>
      </c>
      <c r="L1815">
        <v>344.57130000000001</v>
      </c>
      <c r="M1815">
        <v>0.1224948</v>
      </c>
      <c r="N1815">
        <v>0</v>
      </c>
      <c r="O1815">
        <v>-0.99239549999999999</v>
      </c>
      <c r="P1815">
        <v>2.5248369999999999E-2</v>
      </c>
      <c r="Q1815">
        <v>0.208235</v>
      </c>
      <c r="R1815">
        <v>-0.97775310000000004</v>
      </c>
      <c r="S1815">
        <v>9.3536379999999992E-3</v>
      </c>
      <c r="T1815">
        <v>-7.4591519999999994E-2</v>
      </c>
      <c r="U1815">
        <v>-3.0841370000000001</v>
      </c>
      <c r="V1815">
        <v>9.6235219999999996E-2</v>
      </c>
      <c r="W1815">
        <v>0.21933520000000001</v>
      </c>
      <c r="X1815">
        <v>0.97089179999999997</v>
      </c>
      <c r="Y1815">
        <v>0.119494</v>
      </c>
      <c r="Z1815">
        <v>2.3818679999999998E-2</v>
      </c>
      <c r="AA1815">
        <v>0.99254920000000002</v>
      </c>
      <c r="AB1815">
        <v>26</v>
      </c>
      <c r="AC1815">
        <v>0.1096</v>
      </c>
      <c r="AD1815">
        <v>-1.1076987959105</v>
      </c>
      <c r="AE1815">
        <v>-45.532299999999999</v>
      </c>
      <c r="AF1815">
        <v>5.4658683292919896</v>
      </c>
      <c r="AG1815">
        <v>-1.1076987959105</v>
      </c>
      <c r="AH1815">
        <v>45.176042571675801</v>
      </c>
      <c r="AI1815">
        <v>91.394423418809495</v>
      </c>
      <c r="AJ1815">
        <v>83.101291872097306</v>
      </c>
      <c r="AK1815">
        <v>45.5189799496153</v>
      </c>
      <c r="AL1815">
        <v>77.330011120760503</v>
      </c>
      <c r="AM1815">
        <v>84.339307450899298</v>
      </c>
      <c r="AN1815">
        <v>1.00000001741736</v>
      </c>
    </row>
    <row r="1816" spans="1:40" x14ac:dyDescent="0.25">
      <c r="A1816" t="str">
        <f>"20190312172118823"</f>
        <v>20190312172118823</v>
      </c>
      <c r="B1816" t="str">
        <f>"1552382478812339"</f>
        <v>1552382478812339</v>
      </c>
      <c r="C1816" t="s">
        <v>40</v>
      </c>
      <c r="D1816">
        <v>3.5510950000000001</v>
      </c>
      <c r="E1816">
        <v>0.50538359999999904</v>
      </c>
      <c r="F1816" t="s">
        <v>42</v>
      </c>
      <c r="G1816">
        <v>-186.11410000000001</v>
      </c>
      <c r="H1816" s="1">
        <v>-1.40077E-6</v>
      </c>
      <c r="I1816">
        <v>300.726</v>
      </c>
      <c r="J1816">
        <v>-186.22370000000001</v>
      </c>
      <c r="K1816">
        <v>1.107739</v>
      </c>
      <c r="L1816">
        <v>344.31569999999999</v>
      </c>
      <c r="M1816">
        <v>0.1187117</v>
      </c>
      <c r="N1816">
        <v>0</v>
      </c>
      <c r="O1816">
        <v>-0.99285540000000005</v>
      </c>
      <c r="P1816">
        <v>2.6297190000000002E-2</v>
      </c>
      <c r="Q1816">
        <v>0.20597779999999999</v>
      </c>
      <c r="R1816">
        <v>-0.97820359999999995</v>
      </c>
      <c r="S1816">
        <v>9.6282959999999997E-3</v>
      </c>
      <c r="T1816">
        <v>-7.7928780000000003E-2</v>
      </c>
      <c r="U1816">
        <v>-3.0845950000000002</v>
      </c>
      <c r="V1816">
        <v>9.14962E-2</v>
      </c>
      <c r="W1816">
        <v>0.21711649999999999</v>
      </c>
      <c r="X1816">
        <v>0.97184820000000005</v>
      </c>
      <c r="Y1816">
        <v>0.1156213</v>
      </c>
      <c r="Z1816">
        <v>2.490318E-2</v>
      </c>
      <c r="AA1816">
        <v>0.99298109999999995</v>
      </c>
      <c r="AB1816">
        <v>26</v>
      </c>
      <c r="AC1816">
        <v>0.1096</v>
      </c>
      <c r="AD1816">
        <v>-1.10774040077</v>
      </c>
      <c r="AE1816">
        <v>-43.589699999999901</v>
      </c>
      <c r="AF1816">
        <v>5.0628898175257397</v>
      </c>
      <c r="AG1816">
        <v>-1.10774040077</v>
      </c>
      <c r="AH1816">
        <v>43.266491684809502</v>
      </c>
      <c r="AI1816">
        <v>91.4566733378511</v>
      </c>
      <c r="AJ1816">
        <v>83.3258056463645</v>
      </c>
      <c r="AK1816">
        <v>43.5757873688083</v>
      </c>
      <c r="AL1816">
        <v>77.460272941294605</v>
      </c>
      <c r="AM1816">
        <v>84.621650479536399</v>
      </c>
      <c r="AN1816">
        <v>1.00000002651496</v>
      </c>
    </row>
    <row r="1817" spans="1:40" x14ac:dyDescent="0.25">
      <c r="A1817" t="str">
        <f>"20190312172118844"</f>
        <v>20190312172118844</v>
      </c>
      <c r="B1817" t="str">
        <f>"1552382478832835"</f>
        <v>1552382478832835</v>
      </c>
      <c r="C1817" t="s">
        <v>40</v>
      </c>
      <c r="D1817">
        <v>3.540772</v>
      </c>
      <c r="E1817">
        <v>0.50549840000000001</v>
      </c>
      <c r="F1817" t="s">
        <v>42</v>
      </c>
      <c r="G1817">
        <v>-186.06209999999999</v>
      </c>
      <c r="H1817" s="1">
        <v>-3.1791420000000001E-6</v>
      </c>
      <c r="I1817">
        <v>305.41520000000003</v>
      </c>
      <c r="J1817">
        <v>-186.19820000000001</v>
      </c>
      <c r="K1817">
        <v>1.107764</v>
      </c>
      <c r="L1817">
        <v>344.06720000000001</v>
      </c>
      <c r="M1817">
        <v>0.11506520000000001</v>
      </c>
      <c r="N1817">
        <v>0</v>
      </c>
      <c r="O1817">
        <v>-0.99328490000000003</v>
      </c>
      <c r="P1817">
        <v>2.7220669999999999E-2</v>
      </c>
      <c r="Q1817">
        <v>0.20385600000000001</v>
      </c>
      <c r="R1817">
        <v>-0.97862269999999896</v>
      </c>
      <c r="S1817">
        <v>1.281738E-2</v>
      </c>
      <c r="T1817">
        <v>-8.7848190000000007E-2</v>
      </c>
      <c r="U1817">
        <v>-3.0849609999999998</v>
      </c>
      <c r="V1817">
        <v>8.7018390000000001E-2</v>
      </c>
      <c r="W1817">
        <v>0.21502930000000001</v>
      </c>
      <c r="X1817">
        <v>0.97272309999999995</v>
      </c>
      <c r="Y1817">
        <v>0.1109469</v>
      </c>
      <c r="Z1817">
        <v>2.8093170000000001E-2</v>
      </c>
      <c r="AA1817">
        <v>0.99342920000000001</v>
      </c>
      <c r="AB1817">
        <v>26</v>
      </c>
      <c r="AC1817">
        <v>0.136100000000027</v>
      </c>
      <c r="AD1817">
        <v>-1.1077671791419901</v>
      </c>
      <c r="AE1817">
        <v>-38.652000000000001</v>
      </c>
      <c r="AF1817">
        <v>4.3090875162986499</v>
      </c>
      <c r="AG1817">
        <v>-1.1077671791419901</v>
      </c>
      <c r="AH1817">
        <v>38.379370973500798</v>
      </c>
      <c r="AI1817">
        <v>91.642986441096596</v>
      </c>
      <c r="AJ1817">
        <v>83.593879680049</v>
      </c>
      <c r="AK1817">
        <v>38.6364012256305</v>
      </c>
      <c r="AL1817">
        <v>77.5827539084259</v>
      </c>
      <c r="AM1817">
        <v>84.888010932986404</v>
      </c>
      <c r="AN1817">
        <v>1.00000001466514</v>
      </c>
    </row>
    <row r="1818" spans="1:40" x14ac:dyDescent="0.25">
      <c r="A1818" t="str">
        <f>"20190312172118866"</f>
        <v>20190312172118866</v>
      </c>
      <c r="B1818" t="str">
        <f>"1552382478863092"</f>
        <v>1552382478863092</v>
      </c>
      <c r="C1818" t="s">
        <v>40</v>
      </c>
      <c r="D1818">
        <v>3.5388510000000002</v>
      </c>
      <c r="E1818">
        <v>0.50551789999999996</v>
      </c>
      <c r="F1818" t="s">
        <v>42</v>
      </c>
      <c r="G1818">
        <v>-186.0273</v>
      </c>
      <c r="H1818" s="1">
        <v>-4.460426E-6</v>
      </c>
      <c r="I1818">
        <v>308.38749999999999</v>
      </c>
      <c r="J1818">
        <v>-186.17240000000001</v>
      </c>
      <c r="K1818">
        <v>1.1077859999999999</v>
      </c>
      <c r="L1818">
        <v>343.80790000000002</v>
      </c>
      <c r="M1818">
        <v>0.11128540000000001</v>
      </c>
      <c r="N1818">
        <v>0</v>
      </c>
      <c r="O1818">
        <v>-0.99371540000000003</v>
      </c>
      <c r="P1818">
        <v>2.7368859999999998E-2</v>
      </c>
      <c r="Q1818">
        <v>0.20393559999999999</v>
      </c>
      <c r="R1818">
        <v>-0.97860159999999996</v>
      </c>
      <c r="S1818">
        <v>1.4770510000000001E-2</v>
      </c>
      <c r="T1818">
        <v>-9.5783350000000003E-2</v>
      </c>
      <c r="U1818">
        <v>-3.0850520000000001</v>
      </c>
      <c r="V1818">
        <v>8.3148340000000001E-2</v>
      </c>
      <c r="W1818">
        <v>0.21513080000000001</v>
      </c>
      <c r="X1818">
        <v>0.97303910000000005</v>
      </c>
      <c r="Y1818">
        <v>0.1065364</v>
      </c>
      <c r="Z1818">
        <v>3.0655020000000002E-2</v>
      </c>
      <c r="AA1818">
        <v>0.99383619999999995</v>
      </c>
      <c r="AB1818">
        <v>26</v>
      </c>
      <c r="AC1818">
        <v>0.145100000000013</v>
      </c>
      <c r="AD1818">
        <v>-1.107790460426</v>
      </c>
      <c r="AE1818">
        <v>-35.420400000000001</v>
      </c>
      <c r="AF1818">
        <v>3.7941499231249098</v>
      </c>
      <c r="AG1818">
        <v>-1.107790460426</v>
      </c>
      <c r="AH1818">
        <v>35.182089385809498</v>
      </c>
      <c r="AI1818">
        <v>91.793105835916194</v>
      </c>
      <c r="AJ1818">
        <v>83.844826781240798</v>
      </c>
      <c r="AK1818">
        <v>35.403420553591197</v>
      </c>
      <c r="AL1818">
        <v>77.576798821501598</v>
      </c>
      <c r="AM1818">
        <v>85.115814283189295</v>
      </c>
      <c r="AN1818">
        <v>0.99999999884110202</v>
      </c>
    </row>
    <row r="1819" spans="1:40" x14ac:dyDescent="0.25">
      <c r="A1819" t="str">
        <f>"20190312172118879"</f>
        <v>20190312172118879</v>
      </c>
      <c r="B1819" t="str">
        <f>"1552382478872852"</f>
        <v>1552382478872852</v>
      </c>
      <c r="C1819" t="s">
        <v>40</v>
      </c>
      <c r="D1819">
        <v>3.5815199999999998</v>
      </c>
      <c r="E1819">
        <v>0.50558159999999996</v>
      </c>
      <c r="F1819" t="s">
        <v>42</v>
      </c>
      <c r="G1819">
        <v>-186.001</v>
      </c>
      <c r="H1819" s="1">
        <v>-4.4918820000000001E-6</v>
      </c>
      <c r="I1819">
        <v>308.45</v>
      </c>
      <c r="J1819">
        <v>-186.1567</v>
      </c>
      <c r="K1819">
        <v>1.107801</v>
      </c>
      <c r="L1819">
        <v>343.64600000000002</v>
      </c>
      <c r="M1819">
        <v>0.1089315</v>
      </c>
      <c r="N1819">
        <v>0</v>
      </c>
      <c r="O1819">
        <v>-0.99397650000000004</v>
      </c>
      <c r="P1819">
        <v>2.6748310000000001E-2</v>
      </c>
      <c r="Q1819">
        <v>0.20398749999999999</v>
      </c>
      <c r="R1819">
        <v>-0.97860840000000004</v>
      </c>
      <c r="S1819">
        <v>1.4953610000000001E-2</v>
      </c>
      <c r="T1819">
        <v>-9.6664550000000002E-2</v>
      </c>
      <c r="U1819">
        <v>-3.0852970000000002</v>
      </c>
      <c r="V1819">
        <v>8.1451099999999999E-2</v>
      </c>
      <c r="W1819">
        <v>0.2151904</v>
      </c>
      <c r="X1819">
        <v>0.97316939999999996</v>
      </c>
      <c r="Y1819">
        <v>0.10412250000000001</v>
      </c>
      <c r="Z1819">
        <v>3.095057E-2</v>
      </c>
      <c r="AA1819">
        <v>0.99408280000000004</v>
      </c>
      <c r="AB1819">
        <v>26</v>
      </c>
      <c r="AC1819">
        <v>0.15570000000002401</v>
      </c>
      <c r="AD1819">
        <v>-1.1078054918819999</v>
      </c>
      <c r="AE1819">
        <v>-35.195999999999898</v>
      </c>
      <c r="AF1819">
        <v>3.6758155070410599</v>
      </c>
      <c r="AG1819">
        <v>-1.1078054918819999</v>
      </c>
      <c r="AH1819">
        <v>34.968846354916501</v>
      </c>
      <c r="AI1819">
        <v>91.804575190804897</v>
      </c>
      <c r="AJ1819">
        <v>83.999284268010598</v>
      </c>
      <c r="AK1819">
        <v>35.178957745268697</v>
      </c>
      <c r="AL1819">
        <v>77.573301295637094</v>
      </c>
      <c r="AM1819">
        <v>85.215681226792199</v>
      </c>
      <c r="AN1819">
        <v>0.99999993551986199</v>
      </c>
    </row>
    <row r="1820" spans="1:40" x14ac:dyDescent="0.25">
      <c r="A1820" t="str">
        <f>"20190312172118900"</f>
        <v>20190312172118900</v>
      </c>
      <c r="B1820" t="str">
        <f>"1552382478892372"</f>
        <v>1552382478892372</v>
      </c>
      <c r="C1820" t="s">
        <v>40</v>
      </c>
      <c r="D1820">
        <v>3.565493</v>
      </c>
      <c r="E1820">
        <v>0.50577939999999999</v>
      </c>
      <c r="F1820" t="s">
        <v>42</v>
      </c>
      <c r="G1820">
        <v>-186.0094</v>
      </c>
      <c r="H1820" s="1">
        <v>-4.3897340000000002E-6</v>
      </c>
      <c r="I1820">
        <v>308.21530000000001</v>
      </c>
      <c r="J1820">
        <v>-186.13460000000001</v>
      </c>
      <c r="K1820">
        <v>1.1078159999999999</v>
      </c>
      <c r="L1820">
        <v>343.40890000000002</v>
      </c>
      <c r="M1820">
        <v>0.1054964</v>
      </c>
      <c r="N1820">
        <v>0</v>
      </c>
      <c r="O1820">
        <v>-0.99434690000000003</v>
      </c>
      <c r="P1820">
        <v>2.5463030000000001E-2</v>
      </c>
      <c r="Q1820">
        <v>0.2047494</v>
      </c>
      <c r="R1820">
        <v>-0.97848329999999994</v>
      </c>
      <c r="S1820">
        <v>1.2832639999999999E-2</v>
      </c>
      <c r="T1820">
        <v>-9.6469399999999997E-2</v>
      </c>
      <c r="U1820">
        <v>-3.0853579999999998</v>
      </c>
      <c r="V1820">
        <v>7.9345860000000004E-2</v>
      </c>
      <c r="W1820">
        <v>0.21595919999999999</v>
      </c>
      <c r="X1820">
        <v>0.97317310000000001</v>
      </c>
      <c r="Y1820">
        <v>0.101369</v>
      </c>
      <c r="Z1820">
        <v>3.0909389999999998E-2</v>
      </c>
      <c r="AA1820">
        <v>0.99436860000000005</v>
      </c>
      <c r="AB1820">
        <v>26</v>
      </c>
      <c r="AC1820">
        <v>0.125200000000006</v>
      </c>
      <c r="AD1820">
        <v>-1.107820389734</v>
      </c>
      <c r="AE1820">
        <v>-35.193600000000004</v>
      </c>
      <c r="AF1820">
        <v>3.5850134132139702</v>
      </c>
      <c r="AG1820">
        <v>-1.107820389734</v>
      </c>
      <c r="AH1820">
        <v>34.975733674558903</v>
      </c>
      <c r="AI1820">
        <v>91.804728963604106</v>
      </c>
      <c r="AJ1820">
        <v>84.147619857536895</v>
      </c>
      <c r="AK1820">
        <v>35.176434345489099</v>
      </c>
      <c r="AL1820">
        <v>77.528192617809196</v>
      </c>
      <c r="AM1820">
        <v>85.338805527327906</v>
      </c>
      <c r="AN1820">
        <v>1.00000001206369</v>
      </c>
    </row>
    <row r="1821" spans="1:40" x14ac:dyDescent="0.25">
      <c r="A1821" t="str">
        <f>"20190312172118922"</f>
        <v>20190312172118922</v>
      </c>
      <c r="B1821" t="str">
        <f>"1552382478912867"</f>
        <v>1552382478912867</v>
      </c>
      <c r="C1821" t="s">
        <v>40</v>
      </c>
      <c r="D1821">
        <v>3.5649350000000002</v>
      </c>
      <c r="E1821">
        <v>0.50587959999999998</v>
      </c>
      <c r="F1821" t="s">
        <v>42</v>
      </c>
      <c r="G1821">
        <v>-186.03960000000001</v>
      </c>
      <c r="H1821" s="1">
        <v>-4.0442089999999998E-6</v>
      </c>
      <c r="I1821">
        <v>307.42239999999998</v>
      </c>
      <c r="J1821">
        <v>-186.11070000000001</v>
      </c>
      <c r="K1821">
        <v>1.107823</v>
      </c>
      <c r="L1821">
        <v>343.142</v>
      </c>
      <c r="M1821">
        <v>0.10163229999999999</v>
      </c>
      <c r="N1821">
        <v>0</v>
      </c>
      <c r="O1821">
        <v>-0.99474929999999995</v>
      </c>
      <c r="P1821">
        <v>2.284431E-2</v>
      </c>
      <c r="Q1821">
        <v>0.20361319999999999</v>
      </c>
      <c r="R1821">
        <v>-0.97878489999999996</v>
      </c>
      <c r="S1821">
        <v>8.1481929999999998E-3</v>
      </c>
      <c r="T1821">
        <v>-9.4988939999999994E-2</v>
      </c>
      <c r="U1821">
        <v>-3.0856319999999999</v>
      </c>
      <c r="V1821">
        <v>7.8181070000000005E-2</v>
      </c>
      <c r="W1821">
        <v>0.2148272</v>
      </c>
      <c r="X1821">
        <v>0.97351779999999999</v>
      </c>
      <c r="Y1821">
        <v>9.9013370000000003E-2</v>
      </c>
      <c r="Z1821">
        <v>3.0455079999999999E-2</v>
      </c>
      <c r="AA1821">
        <v>0.99461999999999995</v>
      </c>
      <c r="AB1821">
        <v>26</v>
      </c>
      <c r="AC1821">
        <v>7.1100000000001204E-2</v>
      </c>
      <c r="AD1821">
        <v>-1.1078270442089999</v>
      </c>
      <c r="AE1821">
        <v>-35.7196</v>
      </c>
      <c r="AF1821">
        <v>3.5563751284373901</v>
      </c>
      <c r="AG1821">
        <v>-1.1078270442089999</v>
      </c>
      <c r="AH1821">
        <v>35.507690023657801</v>
      </c>
      <c r="AI1821">
        <v>91.778137067735599</v>
      </c>
      <c r="AJ1821">
        <v>84.280450433112193</v>
      </c>
      <c r="AK1821">
        <v>35.702536823455802</v>
      </c>
      <c r="AL1821">
        <v>77.594609738844696</v>
      </c>
      <c r="AM1821">
        <v>85.408555841293904</v>
      </c>
      <c r="AN1821">
        <v>0.99999995624151095</v>
      </c>
    </row>
    <row r="1822" spans="1:40" x14ac:dyDescent="0.25">
      <c r="A1822" t="str">
        <f>"20190312172118946"</f>
        <v>20190312172118946</v>
      </c>
      <c r="B1822" t="str">
        <f>"1552382478943124"</f>
        <v>1552382478943124</v>
      </c>
      <c r="C1822" t="s">
        <v>40</v>
      </c>
      <c r="D1822">
        <v>3.5623800000000001</v>
      </c>
      <c r="E1822">
        <v>0.50599539999999998</v>
      </c>
      <c r="F1822" t="s">
        <v>42</v>
      </c>
      <c r="G1822">
        <v>-186.1148</v>
      </c>
      <c r="H1822" s="1">
        <v>-4.4861500000000002E-6</v>
      </c>
      <c r="I1822">
        <v>308.48360000000002</v>
      </c>
      <c r="J1822">
        <v>-186.0883</v>
      </c>
      <c r="K1822">
        <v>1.1078250000000001</v>
      </c>
      <c r="L1822">
        <v>342.88060000000002</v>
      </c>
      <c r="M1822">
        <v>9.7848149999999995E-2</v>
      </c>
      <c r="N1822">
        <v>0</v>
      </c>
      <c r="O1822">
        <v>-0.99512869999999998</v>
      </c>
      <c r="P1822">
        <v>1.9833420000000001E-2</v>
      </c>
      <c r="Q1822">
        <v>0.2035062</v>
      </c>
      <c r="R1822">
        <v>-0.97887290000000005</v>
      </c>
      <c r="S1822">
        <v>-3.6621089999999999E-4</v>
      </c>
      <c r="T1822">
        <v>-9.8625900000000002E-2</v>
      </c>
      <c r="U1822">
        <v>-3.0855100000000002</v>
      </c>
      <c r="V1822">
        <v>7.7472680000000002E-2</v>
      </c>
      <c r="W1822">
        <v>0.2147192</v>
      </c>
      <c r="X1822">
        <v>0.97359830000000003</v>
      </c>
      <c r="Y1822">
        <v>9.7973160000000004E-2</v>
      </c>
      <c r="Z1822">
        <v>3.1641089999999997E-2</v>
      </c>
      <c r="AA1822">
        <v>0.99468590000000001</v>
      </c>
      <c r="AB1822">
        <v>26</v>
      </c>
      <c r="AC1822">
        <v>-2.6499999999998601E-2</v>
      </c>
      <c r="AD1822">
        <v>-1.10782948615</v>
      </c>
      <c r="AE1822">
        <v>-34.396999999999899</v>
      </c>
      <c r="AF1822">
        <v>3.38878382906266</v>
      </c>
      <c r="AG1822">
        <v>-1.10782948615</v>
      </c>
      <c r="AH1822">
        <v>34.193854666975199</v>
      </c>
      <c r="AI1822">
        <v>91.846607984433902</v>
      </c>
      <c r="AJ1822">
        <v>84.340180261210904</v>
      </c>
      <c r="AK1822">
        <v>34.379221035339398</v>
      </c>
      <c r="AL1822">
        <v>77.600946091758203</v>
      </c>
      <c r="AM1822">
        <v>85.450357556015902</v>
      </c>
      <c r="AN1822">
        <v>1.00000000037895</v>
      </c>
    </row>
    <row r="1823" spans="1:40" x14ac:dyDescent="0.25">
      <c r="A1823" t="str">
        <f>"20190312172118968"</f>
        <v>20190312172118968</v>
      </c>
      <c r="B1823" t="str">
        <f>"1552382478962643"</f>
        <v>1552382478962643</v>
      </c>
      <c r="C1823" t="s">
        <v>40</v>
      </c>
      <c r="D1823">
        <v>3.5422880000000001</v>
      </c>
      <c r="E1823">
        <v>0.50604700000000002</v>
      </c>
      <c r="F1823" t="s">
        <v>42</v>
      </c>
      <c r="G1823">
        <v>-186.20359999999999</v>
      </c>
      <c r="H1823" s="1">
        <v>-4.3341310000000004E-6</v>
      </c>
      <c r="I1823">
        <v>308.166</v>
      </c>
      <c r="J1823">
        <v>-186.066</v>
      </c>
      <c r="K1823">
        <v>1.1078159999999999</v>
      </c>
      <c r="L1823">
        <v>342.60809999999998</v>
      </c>
      <c r="M1823">
        <v>9.3899830000000004E-2</v>
      </c>
      <c r="N1823">
        <v>0</v>
      </c>
      <c r="O1823">
        <v>-0.99550930000000004</v>
      </c>
      <c r="P1823">
        <v>1.5931279999999999E-2</v>
      </c>
      <c r="Q1823">
        <v>0.2047919</v>
      </c>
      <c r="R1823">
        <v>-0.97867649999999995</v>
      </c>
      <c r="S1823">
        <v>-1.025391E-2</v>
      </c>
      <c r="T1823">
        <v>-9.8464369999999996E-2</v>
      </c>
      <c r="U1823">
        <v>-3.0854490000000001</v>
      </c>
      <c r="V1823">
        <v>7.7475970000000005E-2</v>
      </c>
      <c r="W1823">
        <v>0.21599499999999999</v>
      </c>
      <c r="X1823">
        <v>0.97331579999999995</v>
      </c>
      <c r="Y1823">
        <v>9.7212900000000005E-2</v>
      </c>
      <c r="Z1823">
        <v>3.1609230000000002E-2</v>
      </c>
      <c r="AA1823">
        <v>0.99476149999999997</v>
      </c>
      <c r="AB1823">
        <v>26</v>
      </c>
      <c r="AC1823">
        <v>-0.13760000000002001</v>
      </c>
      <c r="AD1823">
        <v>-1.107820334131</v>
      </c>
      <c r="AE1823">
        <v>-34.442099999999897</v>
      </c>
      <c r="AF1823">
        <v>3.3678480375911</v>
      </c>
      <c r="AG1823">
        <v>-1.107820334131</v>
      </c>
      <c r="AH1823">
        <v>34.241554546274003</v>
      </c>
      <c r="AI1823">
        <v>91.844157182103601</v>
      </c>
      <c r="AJ1823">
        <v>84.382707308979306</v>
      </c>
      <c r="AK1823">
        <v>34.424609279445399</v>
      </c>
      <c r="AL1823">
        <v>77.526091773646797</v>
      </c>
      <c r="AM1823">
        <v>85.448850139795894</v>
      </c>
      <c r="AN1823">
        <v>1.0000000062410399</v>
      </c>
    </row>
    <row r="1824" spans="1:40" x14ac:dyDescent="0.25">
      <c r="A1824" t="str">
        <f>"20190312172118990"</f>
        <v>20190312172118990</v>
      </c>
      <c r="B1824" t="str">
        <f>"1552382478982164"</f>
        <v>1552382478982164</v>
      </c>
      <c r="C1824" t="s">
        <v>40</v>
      </c>
      <c r="D1824">
        <v>3.5563910000000001</v>
      </c>
      <c r="E1824">
        <v>0.50894609999999996</v>
      </c>
      <c r="F1824" t="s">
        <v>42</v>
      </c>
      <c r="G1824">
        <v>-186.3245</v>
      </c>
      <c r="H1824" s="1">
        <v>-3.5129939999999999E-6</v>
      </c>
      <c r="I1824">
        <v>306.30189999999999</v>
      </c>
      <c r="J1824">
        <v>-186.04509999999999</v>
      </c>
      <c r="K1824">
        <v>1.107804</v>
      </c>
      <c r="L1824">
        <v>342.34100000000001</v>
      </c>
      <c r="M1824">
        <v>9.0025899999999895E-2</v>
      </c>
      <c r="N1824">
        <v>0</v>
      </c>
      <c r="O1824">
        <v>-0.99586719999999895</v>
      </c>
      <c r="P1824">
        <v>1.259625E-2</v>
      </c>
      <c r="Q1824">
        <v>0.20450389999999999</v>
      </c>
      <c r="R1824">
        <v>-0.97878489999999996</v>
      </c>
      <c r="S1824">
        <v>-2.1972660000000001E-2</v>
      </c>
      <c r="T1824">
        <v>-9.4146010000000002E-2</v>
      </c>
      <c r="U1824">
        <v>-3.0854189999999999</v>
      </c>
      <c r="V1824">
        <v>7.7009839999999996E-2</v>
      </c>
      <c r="W1824">
        <v>0.21570590000000001</v>
      </c>
      <c r="X1824">
        <v>0.97341690000000003</v>
      </c>
      <c r="Y1824">
        <v>9.7119090000000005E-2</v>
      </c>
      <c r="Z1824">
        <v>3.0240759999999998E-2</v>
      </c>
      <c r="AA1824">
        <v>0.99481330000000001</v>
      </c>
      <c r="AB1824">
        <v>26</v>
      </c>
      <c r="AC1824">
        <v>-0.27940000000000897</v>
      </c>
      <c r="AD1824">
        <v>-1.1078075129939999</v>
      </c>
      <c r="AE1824">
        <v>-36.039099999999998</v>
      </c>
      <c r="AF1824">
        <v>3.5196256633087502</v>
      </c>
      <c r="AG1824">
        <v>-1.1078075129939999</v>
      </c>
      <c r="AH1824">
        <v>35.8337275148914</v>
      </c>
      <c r="AI1824">
        <v>91.762272691611599</v>
      </c>
      <c r="AJ1824">
        <v>84.390342766234298</v>
      </c>
      <c r="AK1824">
        <v>36.023201272334902</v>
      </c>
      <c r="AL1824">
        <v>77.543055884796303</v>
      </c>
      <c r="AM1824">
        <v>85.4765857912397</v>
      </c>
      <c r="AN1824">
        <v>1.00000000597862</v>
      </c>
    </row>
    <row r="1825" spans="1:40" x14ac:dyDescent="0.25">
      <c r="A1825" t="str">
        <f>"20190312172119012"</f>
        <v>20190312172119012</v>
      </c>
      <c r="B1825" t="str">
        <f>"1552382479003027"</f>
        <v>1552382479003027</v>
      </c>
      <c r="C1825" t="s">
        <v>40</v>
      </c>
      <c r="D1825">
        <v>3.5265719999999998</v>
      </c>
      <c r="E1825">
        <v>0.50863049999999999</v>
      </c>
      <c r="F1825" t="s">
        <v>45</v>
      </c>
      <c r="G1825">
        <v>-186.8304</v>
      </c>
      <c r="H1825" s="1">
        <v>1.162812E-6</v>
      </c>
      <c r="I1825">
        <v>296.32690000000002</v>
      </c>
      <c r="J1825">
        <v>-186.02600000000001</v>
      </c>
      <c r="K1825">
        <v>1.1077900000000001</v>
      </c>
      <c r="L1825">
        <v>342.084</v>
      </c>
      <c r="M1825">
        <v>8.6298379999999994E-2</v>
      </c>
      <c r="N1825">
        <v>0</v>
      </c>
      <c r="O1825">
        <v>-0.99619690000000005</v>
      </c>
      <c r="P1825">
        <v>9.7253860000000008E-3</v>
      </c>
      <c r="Q1825">
        <v>0.2018741</v>
      </c>
      <c r="R1825">
        <v>-0.97936330000000005</v>
      </c>
      <c r="S1825">
        <v>-5.2581790000000003E-2</v>
      </c>
      <c r="T1825">
        <v>-7.4180250000000003E-2</v>
      </c>
      <c r="U1825">
        <v>-3.0811769999999998</v>
      </c>
      <c r="V1825">
        <v>7.6251550000000001E-2</v>
      </c>
      <c r="W1825">
        <v>0.21308369999999999</v>
      </c>
      <c r="X1825">
        <v>0.97405390000000003</v>
      </c>
      <c r="Y1825">
        <v>0.1032864</v>
      </c>
      <c r="Z1825">
        <v>2.38675E-2</v>
      </c>
      <c r="AA1825">
        <v>0.99436530000000001</v>
      </c>
      <c r="AB1825">
        <v>26</v>
      </c>
      <c r="AC1825">
        <v>-0.80440000000001499</v>
      </c>
      <c r="AD1825">
        <v>-1.107788837188</v>
      </c>
      <c r="AE1825">
        <v>-45.757099999999902</v>
      </c>
      <c r="AF1825">
        <v>4.7476653000813798</v>
      </c>
      <c r="AG1825">
        <v>-1.107788837188</v>
      </c>
      <c r="AH1825">
        <v>45.490292341404</v>
      </c>
      <c r="AI1825">
        <v>91.387469754748906</v>
      </c>
      <c r="AJ1825">
        <v>84.041807105838103</v>
      </c>
      <c r="AK1825">
        <v>45.750783809851796</v>
      </c>
      <c r="AL1825">
        <v>77.696873328627404</v>
      </c>
      <c r="AM1825">
        <v>85.523861442953404</v>
      </c>
      <c r="AN1825">
        <v>0.999999981094151</v>
      </c>
    </row>
    <row r="1826" spans="1:40" x14ac:dyDescent="0.25">
      <c r="A1826" t="str">
        <f>"20190312172119026"</f>
        <v>20190312172119026</v>
      </c>
      <c r="B1826" t="str">
        <f>"1552382479022547"</f>
        <v>1552382479022547</v>
      </c>
      <c r="C1826" t="s">
        <v>40</v>
      </c>
      <c r="D1826">
        <v>3.5385239999999998</v>
      </c>
      <c r="E1826">
        <v>0.50811879999999998</v>
      </c>
      <c r="F1826" t="s">
        <v>42</v>
      </c>
      <c r="G1826">
        <v>-186.79990000000001</v>
      </c>
      <c r="H1826" s="1">
        <v>-1.408309E-6</v>
      </c>
      <c r="I1826">
        <v>301.28440000000001</v>
      </c>
      <c r="J1826">
        <v>-186.01490000000001</v>
      </c>
      <c r="K1826">
        <v>1.107788</v>
      </c>
      <c r="L1826">
        <v>341.9271</v>
      </c>
      <c r="M1826">
        <v>8.4020899999999996E-2</v>
      </c>
      <c r="N1826">
        <v>0</v>
      </c>
      <c r="O1826">
        <v>-0.99639180000000005</v>
      </c>
      <c r="P1826">
        <v>8.1259850000000005E-3</v>
      </c>
      <c r="Q1826">
        <v>0.20124909999999999</v>
      </c>
      <c r="R1826">
        <v>-0.97950669999999995</v>
      </c>
      <c r="S1826">
        <v>-5.8441159999999999E-2</v>
      </c>
      <c r="T1826">
        <v>-8.3655119999999999E-2</v>
      </c>
      <c r="U1826">
        <v>-3.080994</v>
      </c>
      <c r="V1826">
        <v>7.56217E-2</v>
      </c>
      <c r="W1826">
        <v>0.21246309999999999</v>
      </c>
      <c r="X1826">
        <v>0.97423859999999995</v>
      </c>
      <c r="Y1826">
        <v>0.1029027</v>
      </c>
      <c r="Z1826">
        <v>2.6923519999999999E-2</v>
      </c>
      <c r="AA1826">
        <v>0.99432699999999996</v>
      </c>
      <c r="AB1826">
        <v>26</v>
      </c>
      <c r="AC1826">
        <v>-0.78499999999999603</v>
      </c>
      <c r="AD1826">
        <v>-1.1077894083090001</v>
      </c>
      <c r="AE1826">
        <v>-40.642699999999898</v>
      </c>
      <c r="AF1826">
        <v>4.1941908995071797</v>
      </c>
      <c r="AG1826">
        <v>-1.1077894083090001</v>
      </c>
      <c r="AH1826">
        <v>40.402999736300103</v>
      </c>
      <c r="AI1826">
        <v>91.562179996202005</v>
      </c>
      <c r="AJ1826">
        <v>84.073416261157504</v>
      </c>
      <c r="AK1826">
        <v>40.635216529091302</v>
      </c>
      <c r="AL1826">
        <v>77.733264998776406</v>
      </c>
      <c r="AM1826">
        <v>85.561524914129294</v>
      </c>
      <c r="AN1826">
        <v>1.00000003005122</v>
      </c>
    </row>
    <row r="1827" spans="1:40" x14ac:dyDescent="0.25">
      <c r="A1827" t="str">
        <f>"20190312172119044"</f>
        <v>20190312172119044</v>
      </c>
      <c r="B1827" t="str">
        <f>"1552382479043043"</f>
        <v>1552382479043043</v>
      </c>
      <c r="C1827" t="s">
        <v>40</v>
      </c>
      <c r="D1827">
        <v>3.57429</v>
      </c>
      <c r="E1827">
        <v>0.50778540000000005</v>
      </c>
      <c r="F1827" t="s">
        <v>42</v>
      </c>
      <c r="G1827">
        <v>-186.76329999999999</v>
      </c>
      <c r="H1827" s="1">
        <v>-1.9392539999999998E-6</v>
      </c>
      <c r="I1827">
        <v>302.81490000000002</v>
      </c>
      <c r="J1827">
        <v>-185.99969999999999</v>
      </c>
      <c r="K1827">
        <v>1.1077760000000001</v>
      </c>
      <c r="L1827">
        <v>341.70499999999998</v>
      </c>
      <c r="M1827">
        <v>8.07953E-2</v>
      </c>
      <c r="N1827">
        <v>0</v>
      </c>
      <c r="O1827">
        <v>-0.9966585</v>
      </c>
      <c r="P1827">
        <v>6.5284469999999997E-3</v>
      </c>
      <c r="Q1827">
        <v>0.19950080000000001</v>
      </c>
      <c r="R1827">
        <v>-0.97987610000000003</v>
      </c>
      <c r="S1827">
        <v>-5.8959959999999999E-2</v>
      </c>
      <c r="T1827">
        <v>-8.7267639999999994E-2</v>
      </c>
      <c r="U1827">
        <v>-3.0811160000000002</v>
      </c>
      <c r="V1827">
        <v>7.4071750000000006E-2</v>
      </c>
      <c r="W1827">
        <v>0.21072759999999999</v>
      </c>
      <c r="X1827">
        <v>0.9747344</v>
      </c>
      <c r="Y1827">
        <v>9.9848519999999996E-2</v>
      </c>
      <c r="Z1827">
        <v>2.8099840000000001E-2</v>
      </c>
      <c r="AA1827">
        <v>0.99460579999999998</v>
      </c>
      <c r="AB1827">
        <v>26</v>
      </c>
      <c r="AC1827">
        <v>-0.76359999999999595</v>
      </c>
      <c r="AD1827">
        <v>-1.1077779392539999</v>
      </c>
      <c r="AE1827">
        <v>-38.890099999999897</v>
      </c>
      <c r="AF1827">
        <v>3.90030326643656</v>
      </c>
      <c r="AG1827">
        <v>-1.1077779392539999</v>
      </c>
      <c r="AH1827">
        <v>38.669875047980597</v>
      </c>
      <c r="AI1827">
        <v>91.6326275570582</v>
      </c>
      <c r="AJ1827">
        <v>84.240537003448097</v>
      </c>
      <c r="AK1827">
        <v>38.881856614098403</v>
      </c>
      <c r="AL1827">
        <v>77.835004496872401</v>
      </c>
      <c r="AM1827">
        <v>85.654346956210205</v>
      </c>
      <c r="AN1827">
        <v>0.99999994804658898</v>
      </c>
    </row>
    <row r="1828" spans="1:40" x14ac:dyDescent="0.25">
      <c r="A1828" t="str">
        <f>"20190312172119057"</f>
        <v>20190312172119057</v>
      </c>
      <c r="B1828" t="str">
        <f>"1552382479052803"</f>
        <v>1552382479052803</v>
      </c>
      <c r="C1828" t="s">
        <v>40</v>
      </c>
      <c r="D1828">
        <v>3.5478589999999901</v>
      </c>
      <c r="E1828">
        <v>0.5075655</v>
      </c>
      <c r="F1828" t="s">
        <v>42</v>
      </c>
      <c r="G1828">
        <v>-186.7407</v>
      </c>
      <c r="H1828" s="1">
        <v>-2.3312650000000001E-6</v>
      </c>
      <c r="I1828">
        <v>303.71929999999998</v>
      </c>
      <c r="J1828">
        <v>-185.98929999999999</v>
      </c>
      <c r="K1828">
        <v>1.1077669999999999</v>
      </c>
      <c r="L1828">
        <v>341.54829999999998</v>
      </c>
      <c r="M1828">
        <v>7.8520469999999995E-2</v>
      </c>
      <c r="N1828">
        <v>0</v>
      </c>
      <c r="O1828">
        <v>-0.99684019999999995</v>
      </c>
      <c r="P1828">
        <v>5.2529689999999997E-3</v>
      </c>
      <c r="Q1828">
        <v>0.1982554</v>
      </c>
      <c r="R1828">
        <v>-0.98013649999999997</v>
      </c>
      <c r="S1828">
        <v>-6.0089110000000001E-2</v>
      </c>
      <c r="T1828">
        <v>-8.9830759999999996E-2</v>
      </c>
      <c r="U1828">
        <v>-3.080292</v>
      </c>
      <c r="V1828">
        <v>7.3125969999999998E-2</v>
      </c>
      <c r="W1828">
        <v>0.20948990000000001</v>
      </c>
      <c r="X1828">
        <v>0.97507259999999996</v>
      </c>
      <c r="Y1828">
        <v>9.7946580000000005E-2</v>
      </c>
      <c r="Z1828">
        <v>2.8942789999999999E-2</v>
      </c>
      <c r="AA1828">
        <v>0.99477070000000001</v>
      </c>
      <c r="AB1828">
        <v>26</v>
      </c>
      <c r="AC1828">
        <v>-0.75140000000001705</v>
      </c>
      <c r="AD1828">
        <v>-1.1077693312650001</v>
      </c>
      <c r="AE1828">
        <v>-37.829000000000001</v>
      </c>
      <c r="AF1828">
        <v>3.7164589762113498</v>
      </c>
      <c r="AG1828">
        <v>-1.1077693312650001</v>
      </c>
      <c r="AH1828">
        <v>37.620933294725603</v>
      </c>
      <c r="AI1828">
        <v>91.678453478190306</v>
      </c>
      <c r="AJ1828">
        <v>84.358227001612804</v>
      </c>
      <c r="AK1828">
        <v>37.820283475660801</v>
      </c>
      <c r="AL1828">
        <v>77.9075392407088</v>
      </c>
      <c r="AM1828">
        <v>85.711108153788103</v>
      </c>
      <c r="AN1828">
        <v>1.0000000004806</v>
      </c>
    </row>
    <row r="1829" spans="1:40" x14ac:dyDescent="0.25">
      <c r="A1829" t="str">
        <f>"20190312172119072"</f>
        <v>20190312172119072</v>
      </c>
      <c r="B1829" t="str">
        <f>"1552382479062563"</f>
        <v>1552382479062563</v>
      </c>
      <c r="C1829" t="s">
        <v>40</v>
      </c>
      <c r="D1829">
        <v>3.5304280000000001</v>
      </c>
      <c r="E1829">
        <v>0.50730940000000002</v>
      </c>
      <c r="F1829" t="s">
        <v>42</v>
      </c>
      <c r="G1829">
        <v>-186.71270000000001</v>
      </c>
      <c r="H1829" s="1">
        <v>-3.0852659999999998E-6</v>
      </c>
      <c r="I1829">
        <v>305.46539999999999</v>
      </c>
      <c r="J1829">
        <v>-185.97919999999999</v>
      </c>
      <c r="K1829">
        <v>1.1077570000000001</v>
      </c>
      <c r="L1829">
        <v>341.38720000000001</v>
      </c>
      <c r="M1829">
        <v>7.61796E-2</v>
      </c>
      <c r="N1829">
        <v>0</v>
      </c>
      <c r="O1829">
        <v>-0.99702210000000002</v>
      </c>
      <c r="P1829">
        <v>3.9100649999999999E-3</v>
      </c>
      <c r="Q1829">
        <v>0.19695660000000001</v>
      </c>
      <c r="R1829">
        <v>-0.98040479999999997</v>
      </c>
      <c r="S1829">
        <v>-6.1752319999999999E-2</v>
      </c>
      <c r="T1829">
        <v>-9.4565990000000003E-2</v>
      </c>
      <c r="U1829">
        <v>-3.0802610000000001</v>
      </c>
      <c r="V1829">
        <v>7.2181990000000001E-2</v>
      </c>
      <c r="W1829">
        <v>0.2082</v>
      </c>
      <c r="X1829">
        <v>0.97541920000000004</v>
      </c>
      <c r="Y1829">
        <v>9.6145830000000002E-2</v>
      </c>
      <c r="Z1829">
        <v>3.0478249999999998E-2</v>
      </c>
      <c r="AA1829">
        <v>0.99490049999999997</v>
      </c>
      <c r="AB1829">
        <v>26</v>
      </c>
      <c r="AC1829">
        <v>-0.73350000000002002</v>
      </c>
      <c r="AD1829">
        <v>-1.1077600852659999</v>
      </c>
      <c r="AE1829">
        <v>-35.921799999999998</v>
      </c>
      <c r="AF1829">
        <v>3.46477949132559</v>
      </c>
      <c r="AG1829">
        <v>-1.1077600852659999</v>
      </c>
      <c r="AH1829">
        <v>35.727556183293501</v>
      </c>
      <c r="AI1829">
        <v>91.767642998740001</v>
      </c>
      <c r="AJ1829">
        <v>84.460903010322795</v>
      </c>
      <c r="AK1829">
        <v>35.912255570493102</v>
      </c>
      <c r="AL1829">
        <v>77.983112111139206</v>
      </c>
      <c r="AM1829">
        <v>85.767769575037605</v>
      </c>
      <c r="AN1829">
        <v>1.0000000477044899</v>
      </c>
    </row>
    <row r="1830" spans="1:40" x14ac:dyDescent="0.25">
      <c r="A1830" t="str">
        <f>"20190312172119090"</f>
        <v>20190312172119090</v>
      </c>
      <c r="B1830" t="str">
        <f>"1552382479083060"</f>
        <v>1552382479083060</v>
      </c>
      <c r="C1830" t="s">
        <v>40</v>
      </c>
      <c r="D1830">
        <v>3.494615</v>
      </c>
      <c r="E1830">
        <v>0.50745870000000004</v>
      </c>
      <c r="F1830" t="s">
        <v>42</v>
      </c>
      <c r="G1830">
        <v>-186.67609999999999</v>
      </c>
      <c r="H1830" s="1">
        <v>-3.9564620000000004E-6</v>
      </c>
      <c r="I1830">
        <v>307.48099999999999</v>
      </c>
      <c r="J1830">
        <v>-185.9659</v>
      </c>
      <c r="K1830">
        <v>1.1077379999999999</v>
      </c>
      <c r="L1830">
        <v>341.1678</v>
      </c>
      <c r="M1830">
        <v>7.2991959999999995E-2</v>
      </c>
      <c r="N1830">
        <v>0</v>
      </c>
      <c r="O1830">
        <v>-0.99726049999999999</v>
      </c>
      <c r="P1830">
        <v>3.6783670000000001E-3</v>
      </c>
      <c r="Q1830">
        <v>0.1939234</v>
      </c>
      <c r="R1830">
        <v>-0.9810101</v>
      </c>
      <c r="S1830">
        <v>-6.3308719999999999E-2</v>
      </c>
      <c r="T1830">
        <v>-0.1006423</v>
      </c>
      <c r="U1830">
        <v>-3.080444</v>
      </c>
      <c r="V1830">
        <v>6.9311680000000001E-2</v>
      </c>
      <c r="W1830">
        <v>0.2051936</v>
      </c>
      <c r="X1830">
        <v>0.97626409999999997</v>
      </c>
      <c r="Y1830">
        <v>9.3463530000000003E-2</v>
      </c>
      <c r="Z1830">
        <v>3.2448369999999997E-2</v>
      </c>
      <c r="AA1830">
        <v>0.99509380000000003</v>
      </c>
      <c r="AB1830">
        <v>26</v>
      </c>
      <c r="AC1830">
        <v>-0.71019999999998595</v>
      </c>
      <c r="AD1830">
        <v>-1.1077419564619999</v>
      </c>
      <c r="AE1830">
        <v>-33.686799999999998</v>
      </c>
      <c r="AF1830">
        <v>3.1639277724300801</v>
      </c>
      <c r="AG1830">
        <v>-1.1077419564619999</v>
      </c>
      <c r="AH1830">
        <v>33.5088679012228</v>
      </c>
      <c r="AI1830">
        <v>91.885026260916604</v>
      </c>
      <c r="AJ1830">
        <v>84.606088932630797</v>
      </c>
      <c r="AK1830">
        <v>33.6761304073502</v>
      </c>
      <c r="AL1830">
        <v>78.159168252870003</v>
      </c>
      <c r="AM1830">
        <v>85.938993985579501</v>
      </c>
      <c r="AN1830">
        <v>1.00000005770709</v>
      </c>
    </row>
    <row r="1831" spans="1:40" x14ac:dyDescent="0.25">
      <c r="A1831" t="str">
        <f>"20190312172119158"</f>
        <v>20190312172119158</v>
      </c>
      <c r="B1831" t="str">
        <f>"1552382479152804"</f>
        <v>1552382479152804</v>
      </c>
      <c r="C1831" t="s">
        <v>40</v>
      </c>
      <c r="D1831">
        <v>6.4420380000000002</v>
      </c>
      <c r="E1831">
        <v>0.46699190000000002</v>
      </c>
      <c r="F1831" t="s">
        <v>42</v>
      </c>
      <c r="G1831">
        <v>-186.6241</v>
      </c>
      <c r="H1831" s="1">
        <v>-4.7823459999999999E-6</v>
      </c>
      <c r="I1831">
        <v>309.38459999999998</v>
      </c>
      <c r="J1831">
        <v>-185.92349999999999</v>
      </c>
      <c r="K1831">
        <v>1.107691</v>
      </c>
      <c r="L1831">
        <v>340.3698</v>
      </c>
      <c r="M1831">
        <v>6.139667E-2</v>
      </c>
      <c r="N1831">
        <v>0</v>
      </c>
      <c r="O1831">
        <v>-0.99804159999999997</v>
      </c>
      <c r="P1831">
        <v>-5.9359720000000003E-4</v>
      </c>
      <c r="Q1831">
        <v>0.18632770000000001</v>
      </c>
      <c r="R1831">
        <v>-0.98248800000000003</v>
      </c>
      <c r="S1831">
        <v>-6.376648E-2</v>
      </c>
      <c r="T1831">
        <v>-0.1073303</v>
      </c>
      <c r="U1831">
        <v>-3.0794980000000001</v>
      </c>
      <c r="V1831">
        <v>6.2239070000000001E-2</v>
      </c>
      <c r="W1831">
        <v>0.1976627</v>
      </c>
      <c r="X1831">
        <v>0.9782923</v>
      </c>
      <c r="Y1831">
        <v>8.2038659999999999E-2</v>
      </c>
      <c r="Z1831">
        <v>3.4671029999999999E-2</v>
      </c>
      <c r="AA1831">
        <v>0.99602590000000002</v>
      </c>
      <c r="AB1831">
        <v>26</v>
      </c>
      <c r="AC1831">
        <v>-0.70060000000000799</v>
      </c>
      <c r="AD1831">
        <v>-1.1076957823459901</v>
      </c>
      <c r="AE1831">
        <v>-30.985199999999999</v>
      </c>
      <c r="AF1831">
        <v>2.59848344113739</v>
      </c>
      <c r="AG1831">
        <v>-1.1076957823459901</v>
      </c>
      <c r="AH1831">
        <v>30.844319691165499</v>
      </c>
      <c r="AI1831">
        <v>92.049495411183102</v>
      </c>
      <c r="AJ1831">
        <v>85.184480945995801</v>
      </c>
      <c r="AK1831">
        <v>30.973394443472198</v>
      </c>
      <c r="AL1831">
        <v>78.599687134685894</v>
      </c>
      <c r="AM1831">
        <v>86.359741886532206</v>
      </c>
      <c r="AN1831">
        <v>1.00000003452252</v>
      </c>
    </row>
    <row r="1832" spans="1:40" x14ac:dyDescent="0.25">
      <c r="A1832" t="str">
        <f>"20190312172119202"</f>
        <v>20190312172119202</v>
      </c>
      <c r="B1832" t="str">
        <f>"1552382479192837"</f>
        <v>1552382479192837</v>
      </c>
      <c r="C1832" t="s">
        <v>40</v>
      </c>
      <c r="D1832">
        <v>3.4563290000000002</v>
      </c>
      <c r="E1832">
        <v>0.47592990000000002</v>
      </c>
      <c r="F1832" t="s">
        <v>42</v>
      </c>
      <c r="G1832">
        <v>-184.87389999999999</v>
      </c>
      <c r="H1832" s="1">
        <v>-4.1465799999999997E-6</v>
      </c>
      <c r="I1832">
        <v>327.17899999999997</v>
      </c>
      <c r="J1832">
        <v>-185.90090000000001</v>
      </c>
      <c r="K1832">
        <v>1.1076859999999999</v>
      </c>
      <c r="L1832">
        <v>339.8492</v>
      </c>
      <c r="M1832">
        <v>5.3832909999999998E-2</v>
      </c>
      <c r="N1832">
        <v>0</v>
      </c>
      <c r="O1832">
        <v>-0.99847799999999998</v>
      </c>
      <c r="P1832">
        <v>-6.7968119999999898E-3</v>
      </c>
      <c r="Q1832">
        <v>0.1862827</v>
      </c>
      <c r="R1832">
        <v>-0.98247269999999998</v>
      </c>
      <c r="S1832">
        <v>0.24693300000000001</v>
      </c>
      <c r="T1832">
        <v>-0.26057940000000002</v>
      </c>
      <c r="U1832">
        <v>-3.1030579999999999</v>
      </c>
      <c r="V1832">
        <v>6.1001489999999998E-2</v>
      </c>
      <c r="W1832">
        <v>0.19762440000000001</v>
      </c>
      <c r="X1832">
        <v>0.97837790000000002</v>
      </c>
      <c r="Y1832">
        <v>-2.5267930000000001E-2</v>
      </c>
      <c r="Z1832">
        <v>8.3354940000000002E-2</v>
      </c>
      <c r="AA1832">
        <v>0.99619950000000002</v>
      </c>
      <c r="AB1832">
        <v>26</v>
      </c>
      <c r="AC1832">
        <v>1.0270000000000099</v>
      </c>
      <c r="AD1832">
        <v>-1.10769014658</v>
      </c>
      <c r="AE1832">
        <v>-12.6701999999999</v>
      </c>
      <c r="AF1832">
        <v>-0.340800075544272</v>
      </c>
      <c r="AG1832">
        <v>-1.10769014658</v>
      </c>
      <c r="AH1832">
        <v>12.611354694034601</v>
      </c>
      <c r="AI1832">
        <v>95.017742754899402</v>
      </c>
      <c r="AJ1832">
        <v>91.547942742205706</v>
      </c>
      <c r="AK1832">
        <v>12.6644932536233</v>
      </c>
      <c r="AL1832">
        <v>78.601924747809093</v>
      </c>
      <c r="AM1832">
        <v>86.432248335195794</v>
      </c>
      <c r="AN1832">
        <v>0.99999995023299304</v>
      </c>
    </row>
    <row r="1833" spans="1:40" x14ac:dyDescent="0.25">
      <c r="A1833" t="str">
        <f>"20190312172119224"</f>
        <v>20190312172119224</v>
      </c>
      <c r="B1833" t="str">
        <f>"1552382479212845"</f>
        <v>1552382479212845</v>
      </c>
      <c r="C1833" t="s">
        <v>40</v>
      </c>
      <c r="D1833">
        <v>3.3738350000000001</v>
      </c>
      <c r="E1833">
        <v>0.47900680000000001</v>
      </c>
      <c r="F1833" t="s">
        <v>42</v>
      </c>
      <c r="G1833">
        <v>-184.85059999999999</v>
      </c>
      <c r="H1833" s="1">
        <v>-5.420861E-6</v>
      </c>
      <c r="I1833">
        <v>319.16660000000002</v>
      </c>
      <c r="J1833">
        <v>-185.89099999999999</v>
      </c>
      <c r="K1833">
        <v>1.1076859999999999</v>
      </c>
      <c r="L1833">
        <v>339.58789999999999</v>
      </c>
      <c r="M1833">
        <v>5.0035669999999997E-2</v>
      </c>
      <c r="N1833">
        <v>0</v>
      </c>
      <c r="O1833">
        <v>-0.9986756</v>
      </c>
      <c r="P1833">
        <v>-9.0242489999999998E-3</v>
      </c>
      <c r="Q1833">
        <v>0.18583659999999999</v>
      </c>
      <c r="R1833">
        <v>-0.9825393</v>
      </c>
      <c r="S1833">
        <v>0.15670780000000001</v>
      </c>
      <c r="T1833">
        <v>-0.16527120000000001</v>
      </c>
      <c r="U1833">
        <v>-3.0859070000000002</v>
      </c>
      <c r="V1833">
        <v>5.9497210000000002E-2</v>
      </c>
      <c r="W1833">
        <v>0.19718959999999999</v>
      </c>
      <c r="X1833">
        <v>0.97855829999999999</v>
      </c>
      <c r="Y1833">
        <v>-6.0569699999999998E-4</v>
      </c>
      <c r="Z1833">
        <v>5.3345490000000002E-2</v>
      </c>
      <c r="AA1833">
        <v>0.99857589999999996</v>
      </c>
      <c r="AB1833">
        <v>26</v>
      </c>
      <c r="AC1833">
        <v>1.0404</v>
      </c>
      <c r="AD1833">
        <v>-1.107691420861</v>
      </c>
      <c r="AE1833">
        <v>-20.421299999999899</v>
      </c>
      <c r="AF1833">
        <v>-1.71794880918134E-2</v>
      </c>
      <c r="AG1833">
        <v>-1.107691420861</v>
      </c>
      <c r="AH1833">
        <v>20.387948156416801</v>
      </c>
      <c r="AI1833">
        <v>93.109860980522697</v>
      </c>
      <c r="AJ1833">
        <v>90.048279106918599</v>
      </c>
      <c r="AK1833">
        <v>20.4180240338628</v>
      </c>
      <c r="AL1833">
        <v>78.627337616700203</v>
      </c>
      <c r="AM1833">
        <v>86.520649146574399</v>
      </c>
      <c r="AN1833">
        <v>1.00000000142241</v>
      </c>
    </row>
    <row r="1834" spans="1:40" x14ac:dyDescent="0.25">
      <c r="A1834" t="str">
        <f>"20190312172119246"</f>
        <v>20190312172119246</v>
      </c>
      <c r="B1834" t="str">
        <f>"1552382479243101"</f>
        <v>1552382479243101</v>
      </c>
      <c r="C1834" t="s">
        <v>40</v>
      </c>
      <c r="D1834">
        <v>3.3879640000000002</v>
      </c>
      <c r="E1834">
        <v>0.48180509999999899</v>
      </c>
      <c r="F1834" t="s">
        <v>42</v>
      </c>
      <c r="G1834">
        <v>-185.00630000000001</v>
      </c>
      <c r="H1834" s="1">
        <v>-4.8353290000000003E-6</v>
      </c>
      <c r="I1834">
        <v>317.9864</v>
      </c>
      <c r="J1834">
        <v>-185.88229999999999</v>
      </c>
      <c r="K1834">
        <v>1.107677</v>
      </c>
      <c r="L1834">
        <v>339.33170000000001</v>
      </c>
      <c r="M1834">
        <v>4.6314040000000001E-2</v>
      </c>
      <c r="N1834">
        <v>0</v>
      </c>
      <c r="O1834">
        <v>-0.9988551</v>
      </c>
      <c r="P1834">
        <v>-1.0921490000000001E-2</v>
      </c>
      <c r="Q1834">
        <v>0.18530340000000001</v>
      </c>
      <c r="R1834">
        <v>-0.98262099999999997</v>
      </c>
      <c r="S1834">
        <v>0.12632750000000001</v>
      </c>
      <c r="T1834">
        <v>-0.15816079999999999</v>
      </c>
      <c r="U1834">
        <v>-3.0843509999999998</v>
      </c>
      <c r="V1834">
        <v>5.7737620000000003E-2</v>
      </c>
      <c r="W1834">
        <v>0.19666980000000001</v>
      </c>
      <c r="X1834">
        <v>0.97876830000000004</v>
      </c>
      <c r="Y1834">
        <v>5.4527539999999998E-3</v>
      </c>
      <c r="Z1834">
        <v>5.1107100000000003E-2</v>
      </c>
      <c r="AA1834">
        <v>0.99867830000000002</v>
      </c>
      <c r="AB1834">
        <v>26</v>
      </c>
      <c r="AC1834">
        <v>0.87599999999997602</v>
      </c>
      <c r="AD1834">
        <v>-1.1076818353290001</v>
      </c>
      <c r="AE1834">
        <v>-21.345300000000002</v>
      </c>
      <c r="AF1834">
        <v>0.11329358227235301</v>
      </c>
      <c r="AG1834">
        <v>-1.1076818353290001</v>
      </c>
      <c r="AH1834">
        <v>21.305687383738199</v>
      </c>
      <c r="AI1834">
        <v>92.976083770660495</v>
      </c>
      <c r="AJ1834">
        <v>89.695330978442897</v>
      </c>
      <c r="AK1834">
        <v>21.334762932305701</v>
      </c>
      <c r="AL1834">
        <v>78.657714966470706</v>
      </c>
      <c r="AM1834">
        <v>86.624029707974699</v>
      </c>
      <c r="AN1834">
        <v>1.00000001404009</v>
      </c>
    </row>
    <row r="1835" spans="1:40" x14ac:dyDescent="0.25">
      <c r="A1835" t="str">
        <f>"20190312172119270"</f>
        <v>20190312172119270</v>
      </c>
      <c r="B1835" t="str">
        <f>"1552382479262622"</f>
        <v>1552382479262622</v>
      </c>
      <c r="C1835" t="s">
        <v>40</v>
      </c>
      <c r="D1835">
        <v>3.426164</v>
      </c>
      <c r="E1835">
        <v>0.48258289999999998</v>
      </c>
      <c r="F1835" t="s">
        <v>42</v>
      </c>
      <c r="G1835">
        <v>-185.22470000000001</v>
      </c>
      <c r="H1835" s="1">
        <v>-5.1315739999999998E-6</v>
      </c>
      <c r="I1835">
        <v>318.69510000000002</v>
      </c>
      <c r="J1835">
        <v>-185.87379999999999</v>
      </c>
      <c r="K1835">
        <v>1.1076649999999999</v>
      </c>
      <c r="L1835">
        <v>339.04989999999998</v>
      </c>
      <c r="M1835">
        <v>4.2219369999999999E-2</v>
      </c>
      <c r="N1835">
        <v>0</v>
      </c>
      <c r="O1835">
        <v>-0.99903660000000005</v>
      </c>
      <c r="P1835">
        <v>-1.3099670000000001E-2</v>
      </c>
      <c r="Q1835">
        <v>0.1834779</v>
      </c>
      <c r="R1835">
        <v>-0.9829369</v>
      </c>
      <c r="S1835">
        <v>9.8312380000000005E-2</v>
      </c>
      <c r="T1835">
        <v>-0.1656117</v>
      </c>
      <c r="U1835">
        <v>-3.0854189999999999</v>
      </c>
      <c r="V1835">
        <v>5.5893480000000002E-2</v>
      </c>
      <c r="W1835">
        <v>0.19486149999999999</v>
      </c>
      <c r="X1835">
        <v>0.97923689999999997</v>
      </c>
      <c r="Y1835">
        <v>1.042767E-2</v>
      </c>
      <c r="Z1835">
        <v>5.3511830000000003E-2</v>
      </c>
      <c r="AA1835">
        <v>0.99851270000000003</v>
      </c>
      <c r="AB1835">
        <v>26</v>
      </c>
      <c r="AC1835">
        <v>0.64909999999997503</v>
      </c>
      <c r="AD1835">
        <v>-1.1076701315739901</v>
      </c>
      <c r="AE1835">
        <v>-20.354799999999901</v>
      </c>
      <c r="AF1835">
        <v>0.21028520581148899</v>
      </c>
      <c r="AG1835">
        <v>-1.1076701315739901</v>
      </c>
      <c r="AH1835">
        <v>20.303989114142599</v>
      </c>
      <c r="AI1835">
        <v>93.122469251081597</v>
      </c>
      <c r="AJ1835">
        <v>89.406617883912105</v>
      </c>
      <c r="AK1835">
        <v>20.335268056639599</v>
      </c>
      <c r="AL1835">
        <v>78.763367028579097</v>
      </c>
      <c r="AM1835">
        <v>86.733181264498</v>
      </c>
      <c r="AN1835">
        <v>0.99999999580518495</v>
      </c>
    </row>
    <row r="1836" spans="1:40" x14ac:dyDescent="0.25">
      <c r="A1836" t="str">
        <f>"20190312172119290"</f>
        <v>20190312172119290</v>
      </c>
      <c r="B1836" t="str">
        <f>"1552382479283117"</f>
        <v>1552382479283117</v>
      </c>
      <c r="C1836" t="s">
        <v>40</v>
      </c>
      <c r="D1836">
        <v>3.4841959999999998</v>
      </c>
      <c r="E1836">
        <v>0.48254619999999998</v>
      </c>
      <c r="F1836" t="s">
        <v>42</v>
      </c>
      <c r="G1836">
        <v>-185.2816</v>
      </c>
      <c r="H1836" s="1">
        <v>-4.7040329999999996E-6</v>
      </c>
      <c r="I1836">
        <v>317.81189999999998</v>
      </c>
      <c r="J1836">
        <v>-185.8672</v>
      </c>
      <c r="K1836">
        <v>1.107661</v>
      </c>
      <c r="L1836">
        <v>338.79610000000002</v>
      </c>
      <c r="M1836">
        <v>3.8531749999999997E-2</v>
      </c>
      <c r="N1836">
        <v>0</v>
      </c>
      <c r="O1836">
        <v>-0.99918549999999995</v>
      </c>
      <c r="P1836">
        <v>-1.4241999999999999E-2</v>
      </c>
      <c r="Q1836">
        <v>0.1814653</v>
      </c>
      <c r="R1836">
        <v>-0.98329440000000001</v>
      </c>
      <c r="S1836">
        <v>8.5983279999999995E-2</v>
      </c>
      <c r="T1836">
        <v>-0.1608077</v>
      </c>
      <c r="U1836">
        <v>-3.0832519999999999</v>
      </c>
      <c r="V1836">
        <v>5.3412590000000003E-2</v>
      </c>
      <c r="W1836">
        <v>0.19287109999999999</v>
      </c>
      <c r="X1836">
        <v>0.97976929999999995</v>
      </c>
      <c r="Y1836">
        <v>1.070165E-2</v>
      </c>
      <c r="Z1836">
        <v>5.2014900000000003E-2</v>
      </c>
      <c r="AA1836">
        <v>0.99858899999999995</v>
      </c>
      <c r="AB1836">
        <v>26</v>
      </c>
      <c r="AC1836">
        <v>0.58559999999999901</v>
      </c>
      <c r="AD1836">
        <v>-1.107665704033</v>
      </c>
      <c r="AE1836">
        <v>-20.984200000000001</v>
      </c>
      <c r="AF1836">
        <v>0.222830572067032</v>
      </c>
      <c r="AG1836">
        <v>-1.107665704033</v>
      </c>
      <c r="AH1836">
        <v>20.932899628615001</v>
      </c>
      <c r="AI1836">
        <v>93.028813555829402</v>
      </c>
      <c r="AJ1836">
        <v>89.390109858590094</v>
      </c>
      <c r="AK1836">
        <v>20.963369567829702</v>
      </c>
      <c r="AL1836">
        <v>78.879614326017901</v>
      </c>
      <c r="AM1836">
        <v>86.879582075607701</v>
      </c>
      <c r="AN1836">
        <v>1.0000000236041</v>
      </c>
    </row>
    <row r="1837" spans="1:40" x14ac:dyDescent="0.25">
      <c r="A1837" t="str">
        <f>"20190312172119313"</f>
        <v>20190312172119313</v>
      </c>
      <c r="B1837" t="str">
        <f>"1552382479303151"</f>
        <v>1552382479303151</v>
      </c>
      <c r="C1837" t="s">
        <v>40</v>
      </c>
      <c r="D1837">
        <v>3.4739800000000001</v>
      </c>
      <c r="E1837">
        <v>0.48241440000000002</v>
      </c>
      <c r="F1837" t="s">
        <v>42</v>
      </c>
      <c r="G1837">
        <v>-185.29230000000001</v>
      </c>
      <c r="H1837" s="1">
        <v>-4.5787230000000003E-6</v>
      </c>
      <c r="I1837">
        <v>317.55090000000001</v>
      </c>
      <c r="J1837">
        <v>-185.86109999999999</v>
      </c>
      <c r="K1837">
        <v>1.1076469999999901</v>
      </c>
      <c r="L1837">
        <v>338.52749999999997</v>
      </c>
      <c r="M1837">
        <v>3.4630349999999997E-2</v>
      </c>
      <c r="N1837">
        <v>0</v>
      </c>
      <c r="O1837">
        <v>-0.99932840000000001</v>
      </c>
      <c r="P1837">
        <v>-1.5389419999999999E-2</v>
      </c>
      <c r="Q1837">
        <v>0.1795831</v>
      </c>
      <c r="R1837">
        <v>-0.98362249999999996</v>
      </c>
      <c r="S1837">
        <v>8.3389279999999996E-2</v>
      </c>
      <c r="T1837">
        <v>-0.1606755</v>
      </c>
      <c r="U1837">
        <v>-3.0817869999999998</v>
      </c>
      <c r="V1837">
        <v>5.0723879999999999E-2</v>
      </c>
      <c r="W1837">
        <v>0.19101280000000001</v>
      </c>
      <c r="X1837">
        <v>0.98027609999999998</v>
      </c>
      <c r="Y1837">
        <v>7.6241740000000001E-3</v>
      </c>
      <c r="Z1837">
        <v>5.2009340000000001E-2</v>
      </c>
      <c r="AA1837">
        <v>0.99861750000000005</v>
      </c>
      <c r="AB1837">
        <v>26</v>
      </c>
      <c r="AC1837">
        <v>0.56879999999998099</v>
      </c>
      <c r="AD1837">
        <v>-1.1076515787229999</v>
      </c>
      <c r="AE1837">
        <v>-20.976599999999902</v>
      </c>
      <c r="AF1837">
        <v>0.15758128561215501</v>
      </c>
      <c r="AG1837">
        <v>-1.1076515787229999</v>
      </c>
      <c r="AH1837">
        <v>20.925412357768099</v>
      </c>
      <c r="AI1837">
        <v>93.029942290785499</v>
      </c>
      <c r="AJ1837">
        <v>89.568535531185105</v>
      </c>
      <c r="AK1837">
        <v>20.9553001940812</v>
      </c>
      <c r="AL1837">
        <v>78.988104247067795</v>
      </c>
      <c r="AM1837">
        <v>87.037901290331106</v>
      </c>
      <c r="AN1837">
        <v>1.00000001699865</v>
      </c>
    </row>
    <row r="1838" spans="1:40" x14ac:dyDescent="0.25">
      <c r="A1838" t="str">
        <f>"20190312172119335"</f>
        <v>20190312172119335</v>
      </c>
      <c r="B1838" t="str">
        <f>"1552382479332423"</f>
        <v>1552382479332423</v>
      </c>
      <c r="C1838" t="s">
        <v>40</v>
      </c>
      <c r="D1838">
        <v>3.5053109999999998</v>
      </c>
      <c r="E1838">
        <v>0.48251339999999998</v>
      </c>
      <c r="F1838" t="s">
        <v>42</v>
      </c>
      <c r="G1838">
        <v>-185.3074</v>
      </c>
      <c r="H1838" s="1">
        <v>-4.5513069999999999E-6</v>
      </c>
      <c r="I1838">
        <v>317.49849999999998</v>
      </c>
      <c r="J1838">
        <v>-185.85640000000001</v>
      </c>
      <c r="K1838">
        <v>1.1076379999999999</v>
      </c>
      <c r="L1838">
        <v>338.2765</v>
      </c>
      <c r="M1838">
        <v>3.0982160000000002E-2</v>
      </c>
      <c r="N1838">
        <v>0</v>
      </c>
      <c r="O1838">
        <v>-0.99944809999999995</v>
      </c>
      <c r="P1838">
        <v>-1.6417870000000001E-2</v>
      </c>
      <c r="Q1838">
        <v>0.17712939999999999</v>
      </c>
      <c r="R1838">
        <v>-0.9840508</v>
      </c>
      <c r="S1838">
        <v>8.1130980000000005E-2</v>
      </c>
      <c r="T1838">
        <v>-0.16227749999999999</v>
      </c>
      <c r="U1838">
        <v>-3.0808719999999998</v>
      </c>
      <c r="V1838">
        <v>4.8162129999999997E-2</v>
      </c>
      <c r="W1838">
        <v>0.18858340000000001</v>
      </c>
      <c r="X1838">
        <v>0.98087550000000001</v>
      </c>
      <c r="Y1838">
        <v>4.6980390000000002E-3</v>
      </c>
      <c r="Z1838">
        <v>5.2552450000000001E-2</v>
      </c>
      <c r="AA1838">
        <v>0.99860709999999997</v>
      </c>
      <c r="AB1838">
        <v>26</v>
      </c>
      <c r="AC1838">
        <v>0.54900000000000604</v>
      </c>
      <c r="AD1838">
        <v>-1.1076425513069901</v>
      </c>
      <c r="AE1838">
        <v>-20.777999999999999</v>
      </c>
      <c r="AF1838">
        <v>9.4787959556055998E-2</v>
      </c>
      <c r="AG1838">
        <v>-1.1076425513069901</v>
      </c>
      <c r="AH1838">
        <v>20.726175937672899</v>
      </c>
      <c r="AI1838">
        <v>93.059043199564002</v>
      </c>
      <c r="AJ1838">
        <v>89.737968442207006</v>
      </c>
      <c r="AK1838">
        <v>20.7559684374908</v>
      </c>
      <c r="AL1838">
        <v>79.129875619968999</v>
      </c>
      <c r="AM1838">
        <v>87.188968074183094</v>
      </c>
      <c r="AN1838">
        <v>1.00000001801097</v>
      </c>
    </row>
    <row r="1839" spans="1:40" x14ac:dyDescent="0.25">
      <c r="A1839" t="str">
        <f>"20190312172119359"</f>
        <v>20190312172119359</v>
      </c>
      <c r="B1839" t="str">
        <f>"1552382479352919"</f>
        <v>1552382479352919</v>
      </c>
      <c r="C1839" t="s">
        <v>40</v>
      </c>
      <c r="D1839">
        <v>3.4999769999999999</v>
      </c>
      <c r="E1839">
        <v>0.48240050000000001</v>
      </c>
      <c r="F1839" t="s">
        <v>42</v>
      </c>
      <c r="G1839">
        <v>-185.32239999999999</v>
      </c>
      <c r="H1839" s="1">
        <v>-4.2306410000000003E-6</v>
      </c>
      <c r="I1839">
        <v>316.82580000000002</v>
      </c>
      <c r="J1839">
        <v>-185.85220000000001</v>
      </c>
      <c r="K1839">
        <v>1.1076239999999999</v>
      </c>
      <c r="L1839">
        <v>337.99119999999999</v>
      </c>
      <c r="M1839">
        <v>2.6836860000000001E-2</v>
      </c>
      <c r="N1839">
        <v>0</v>
      </c>
      <c r="O1839">
        <v>-0.99956800000000001</v>
      </c>
      <c r="P1839">
        <v>-1.812998E-2</v>
      </c>
      <c r="Q1839">
        <v>0.174289</v>
      </c>
      <c r="R1839">
        <v>-0.98452779999999995</v>
      </c>
      <c r="S1839">
        <v>7.6644900000000002E-2</v>
      </c>
      <c r="T1839">
        <v>-0.15896589999999999</v>
      </c>
      <c r="U1839">
        <v>-3.0785520000000002</v>
      </c>
      <c r="V1839">
        <v>4.578993E-2</v>
      </c>
      <c r="W1839">
        <v>0.18576599999999999</v>
      </c>
      <c r="X1839">
        <v>0.98152649999999997</v>
      </c>
      <c r="Y1839">
        <v>1.9838199999999999E-3</v>
      </c>
      <c r="Z1839">
        <v>5.1532050000000003E-2</v>
      </c>
      <c r="AA1839">
        <v>0.99866940000000004</v>
      </c>
      <c r="AB1839">
        <v>26</v>
      </c>
      <c r="AC1839">
        <v>0.52980000000002203</v>
      </c>
      <c r="AD1839">
        <v>-1.1076282306409999</v>
      </c>
      <c r="AE1839">
        <v>-21.165399999999899</v>
      </c>
      <c r="AF1839">
        <v>3.8339578004043501E-2</v>
      </c>
      <c r="AG1839">
        <v>-1.1076282306409999</v>
      </c>
      <c r="AH1839">
        <v>21.1142068607979</v>
      </c>
      <c r="AI1839">
        <v>93.002916474052896</v>
      </c>
      <c r="AJ1839">
        <v>89.895961349241404</v>
      </c>
      <c r="AK1839">
        <v>21.143274145248199</v>
      </c>
      <c r="AL1839">
        <v>79.294204836449197</v>
      </c>
      <c r="AM1839">
        <v>87.328988147861395</v>
      </c>
      <c r="AN1839">
        <v>0.99999999732382705</v>
      </c>
    </row>
    <row r="1840" spans="1:40" x14ac:dyDescent="0.25">
      <c r="A1840" t="str">
        <f>"20190312172119383"</f>
        <v>20190312172119383</v>
      </c>
      <c r="B1840" t="str">
        <f>"1552382479372439"</f>
        <v>1552382479372439</v>
      </c>
      <c r="C1840" t="s">
        <v>40</v>
      </c>
      <c r="D1840">
        <v>3.456915</v>
      </c>
      <c r="E1840">
        <v>0.4822206</v>
      </c>
      <c r="F1840" t="s">
        <v>42</v>
      </c>
      <c r="G1840">
        <v>-185.36799999999999</v>
      </c>
      <c r="H1840" s="1">
        <v>-4.2966910000000003E-6</v>
      </c>
      <c r="I1840">
        <v>316.98259999999999</v>
      </c>
      <c r="J1840">
        <v>-185.8493</v>
      </c>
      <c r="K1840">
        <v>1.1076170000000001</v>
      </c>
      <c r="L1840">
        <v>337.7192</v>
      </c>
      <c r="M1840">
        <v>2.2893400000000001E-2</v>
      </c>
      <c r="N1840">
        <v>0</v>
      </c>
      <c r="O1840">
        <v>-0.99966630000000001</v>
      </c>
      <c r="P1840">
        <v>-1.9432700000000001E-2</v>
      </c>
      <c r="Q1840">
        <v>0.17174510000000001</v>
      </c>
      <c r="R1840">
        <v>-0.9849504</v>
      </c>
      <c r="S1840">
        <v>7.0922849999999996E-2</v>
      </c>
      <c r="T1840">
        <v>-0.16223870000000001</v>
      </c>
      <c r="U1840">
        <v>-3.0772089999999999</v>
      </c>
      <c r="V1840">
        <v>4.3202619999999997E-2</v>
      </c>
      <c r="W1840">
        <v>0.18324560000000001</v>
      </c>
      <c r="X1840">
        <v>0.98211740000000003</v>
      </c>
      <c r="Y1840">
        <v>-1.1473250000000001E-4</v>
      </c>
      <c r="Z1840">
        <v>5.2621899999999999E-2</v>
      </c>
      <c r="AA1840">
        <v>0.99861449999999996</v>
      </c>
      <c r="AB1840">
        <v>26</v>
      </c>
      <c r="AC1840">
        <v>0.481300000000004</v>
      </c>
      <c r="AD1840">
        <v>-1.107621296691</v>
      </c>
      <c r="AE1840">
        <v>-20.736599999999999</v>
      </c>
      <c r="AF1840">
        <v>-6.3903484708511199E-3</v>
      </c>
      <c r="AG1840">
        <v>-1.107621296691</v>
      </c>
      <c r="AH1840">
        <v>20.683205594374002</v>
      </c>
      <c r="AI1840">
        <v>93.065359538671004</v>
      </c>
      <c r="AJ1840">
        <v>90.017702284284496</v>
      </c>
      <c r="AK1840">
        <v>20.7128428621612</v>
      </c>
      <c r="AL1840">
        <v>79.441135806062903</v>
      </c>
      <c r="AM1840">
        <v>87.4812247404261</v>
      </c>
      <c r="AN1840">
        <v>1.00000000183849</v>
      </c>
    </row>
    <row r="1841" spans="1:40" x14ac:dyDescent="0.25">
      <c r="A1841" t="str">
        <f>"20190312172119403"</f>
        <v>20190312172119403</v>
      </c>
      <c r="B1841" t="str">
        <f>"1552382479392935"</f>
        <v>1552382479392935</v>
      </c>
      <c r="C1841" t="s">
        <v>40</v>
      </c>
      <c r="D1841">
        <v>3.4999389999999999</v>
      </c>
      <c r="E1841">
        <v>0.48216160000000002</v>
      </c>
      <c r="F1841" t="s">
        <v>42</v>
      </c>
      <c r="G1841">
        <v>-185.39490000000001</v>
      </c>
      <c r="H1841" s="1">
        <v>-4.383806E-6</v>
      </c>
      <c r="I1841">
        <v>317.17700000000002</v>
      </c>
      <c r="J1841">
        <v>-185.8475</v>
      </c>
      <c r="K1841">
        <v>1.1076159999999999</v>
      </c>
      <c r="L1841">
        <v>337.46839999999997</v>
      </c>
      <c r="M1841">
        <v>1.927098E-2</v>
      </c>
      <c r="N1841">
        <v>0</v>
      </c>
      <c r="O1841">
        <v>-0.99974260000000004</v>
      </c>
      <c r="P1841">
        <v>-2.0422639999999999E-2</v>
      </c>
      <c r="Q1841">
        <v>0.16959949999999999</v>
      </c>
      <c r="R1841">
        <v>-0.98530150000000005</v>
      </c>
      <c r="S1841">
        <v>6.8038940000000006E-2</v>
      </c>
      <c r="T1841">
        <v>-0.16586189999999901</v>
      </c>
      <c r="U1841">
        <v>-3.076111</v>
      </c>
      <c r="V1841">
        <v>4.0614499999999998E-2</v>
      </c>
      <c r="W1841">
        <v>0.18112349999999999</v>
      </c>
      <c r="X1841">
        <v>0.98262139999999998</v>
      </c>
      <c r="Y1841">
        <v>-2.8092719999999998E-3</v>
      </c>
      <c r="Z1841">
        <v>5.3819499999999999E-2</v>
      </c>
      <c r="AA1841">
        <v>0.99854670000000001</v>
      </c>
      <c r="AB1841">
        <v>26</v>
      </c>
      <c r="AC1841">
        <v>0.45259999999998901</v>
      </c>
      <c r="AD1841">
        <v>-1.1076203838059999</v>
      </c>
      <c r="AE1841">
        <v>-20.2913999999999</v>
      </c>
      <c r="AF1841">
        <v>-6.1270272297491199E-2</v>
      </c>
      <c r="AG1841">
        <v>-1.1076203838059999</v>
      </c>
      <c r="AH1841">
        <v>20.236088514111302</v>
      </c>
      <c r="AI1841">
        <v>93.132938534919006</v>
      </c>
      <c r="AJ1841">
        <v>90.173478055425306</v>
      </c>
      <c r="AK1841">
        <v>20.266471210150002</v>
      </c>
      <c r="AL1841">
        <v>79.564793062767194</v>
      </c>
      <c r="AM1841">
        <v>87.633151871451304</v>
      </c>
      <c r="AN1841">
        <v>1.0000000378002201</v>
      </c>
    </row>
    <row r="1842" spans="1:40" x14ac:dyDescent="0.25">
      <c r="A1842" t="str">
        <f>"20190312172119424"</f>
        <v>20190312172119424</v>
      </c>
      <c r="B1842" t="str">
        <f>"1552382479412961"</f>
        <v>1552382479412961</v>
      </c>
      <c r="C1842" t="s">
        <v>40</v>
      </c>
      <c r="D1842">
        <v>3.4822899999999999</v>
      </c>
      <c r="E1842">
        <v>0.48206690000000002</v>
      </c>
      <c r="F1842" t="s">
        <v>42</v>
      </c>
      <c r="G1842">
        <v>-185.41460000000001</v>
      </c>
      <c r="H1842" s="1">
        <v>-4.4434880000000004E-6</v>
      </c>
      <c r="I1842">
        <v>317.3107</v>
      </c>
      <c r="J1842">
        <v>-185.8467</v>
      </c>
      <c r="K1842">
        <v>1.107621</v>
      </c>
      <c r="L1842">
        <v>337.21859999999998</v>
      </c>
      <c r="M1842">
        <v>1.5679619999999998E-2</v>
      </c>
      <c r="N1842">
        <v>0</v>
      </c>
      <c r="O1842">
        <v>-0.99980539999999996</v>
      </c>
      <c r="P1842">
        <v>-2.0923250000000001E-2</v>
      </c>
      <c r="Q1842">
        <v>0.16761760000000001</v>
      </c>
      <c r="R1842">
        <v>-0.98563049999999996</v>
      </c>
      <c r="S1842">
        <v>6.6055299999999997E-2</v>
      </c>
      <c r="T1842">
        <v>-0.1689782</v>
      </c>
      <c r="U1842">
        <v>-3.075256</v>
      </c>
      <c r="V1842">
        <v>3.7564180000000003E-2</v>
      </c>
      <c r="W1842">
        <v>0.17916760000000001</v>
      </c>
      <c r="X1842">
        <v>0.98310120000000001</v>
      </c>
      <c r="Y1842">
        <v>-5.7625590000000004E-3</v>
      </c>
      <c r="Z1842">
        <v>5.4848050000000002E-2</v>
      </c>
      <c r="AA1842">
        <v>0.99847810000000004</v>
      </c>
      <c r="AB1842">
        <v>26</v>
      </c>
      <c r="AC1842">
        <v>0.43209999999999099</v>
      </c>
      <c r="AD1842">
        <v>-1.107625443488</v>
      </c>
      <c r="AE1842">
        <v>-19.907899999999898</v>
      </c>
      <c r="AF1842">
        <v>-0.119506434980061</v>
      </c>
      <c r="AG1842">
        <v>-1.107625443488</v>
      </c>
      <c r="AH1842">
        <v>19.850808137866601</v>
      </c>
      <c r="AI1842">
        <v>93.193591855940596</v>
      </c>
      <c r="AJ1842">
        <v>90.344929616047196</v>
      </c>
      <c r="AK1842">
        <v>19.882044654347201</v>
      </c>
      <c r="AL1842">
        <v>79.678721721170106</v>
      </c>
      <c r="AM1842">
        <v>87.811799581293997</v>
      </c>
      <c r="AN1842">
        <v>1.00000003297513</v>
      </c>
    </row>
    <row r="1843" spans="1:40" x14ac:dyDescent="0.25">
      <c r="A1843" t="str">
        <f>"20190312172119447"</f>
        <v>20190312172119447</v>
      </c>
      <c r="B1843" t="str">
        <f>"1552382479443217"</f>
        <v>1552382479443217</v>
      </c>
      <c r="C1843" t="s">
        <v>40</v>
      </c>
      <c r="D1843">
        <v>3.4648919999999999</v>
      </c>
      <c r="E1843">
        <v>0.48194229999999999</v>
      </c>
      <c r="F1843" t="s">
        <v>42</v>
      </c>
      <c r="G1843">
        <v>-185.4195</v>
      </c>
      <c r="H1843" s="1">
        <v>-4.4464070000000003E-6</v>
      </c>
      <c r="I1843">
        <v>317.31869999999998</v>
      </c>
      <c r="J1843">
        <v>-185.8468</v>
      </c>
      <c r="K1843">
        <v>1.107626</v>
      </c>
      <c r="L1843">
        <v>336.95179999999999</v>
      </c>
      <c r="M1843">
        <v>1.187329E-2</v>
      </c>
      <c r="N1843">
        <v>0</v>
      </c>
      <c r="O1843">
        <v>-0.99985780000000002</v>
      </c>
      <c r="P1843">
        <v>-2.234738E-2</v>
      </c>
      <c r="Q1843">
        <v>0.16514139999999999</v>
      </c>
      <c r="R1843">
        <v>-0.98601700000000003</v>
      </c>
      <c r="S1843">
        <v>6.5994259999999999E-2</v>
      </c>
      <c r="T1843">
        <v>-0.17111589999999999</v>
      </c>
      <c r="U1843">
        <v>-3.0743100000000001</v>
      </c>
      <c r="V1843">
        <v>3.521722E-2</v>
      </c>
      <c r="W1843">
        <v>0.17671400000000001</v>
      </c>
      <c r="X1843">
        <v>0.98363199999999995</v>
      </c>
      <c r="Y1843">
        <v>-9.5553470000000005E-3</v>
      </c>
      <c r="Z1843">
        <v>5.5560390000000001E-2</v>
      </c>
      <c r="AA1843">
        <v>0.99840960000000001</v>
      </c>
      <c r="AB1843">
        <v>26</v>
      </c>
      <c r="AC1843">
        <v>0.42730000000000201</v>
      </c>
      <c r="AD1843">
        <v>-1.1076304464069999</v>
      </c>
      <c r="AE1843">
        <v>-19.633099999999999</v>
      </c>
      <c r="AF1843">
        <v>-0.19352799605416399</v>
      </c>
      <c r="AG1843">
        <v>-1.1076304464069999</v>
      </c>
      <c r="AH1843">
        <v>19.574517027701798</v>
      </c>
      <c r="AI1843">
        <v>93.238488821424298</v>
      </c>
      <c r="AJ1843">
        <v>90.566449538009607</v>
      </c>
      <c r="AK1843">
        <v>19.606784926623</v>
      </c>
      <c r="AL1843">
        <v>79.821582239604695</v>
      </c>
      <c r="AM1843">
        <v>87.949500882381301</v>
      </c>
      <c r="AN1843">
        <v>1.00000000090226</v>
      </c>
    </row>
    <row r="1844" spans="1:40" x14ac:dyDescent="0.25">
      <c r="A1844" t="str">
        <f>"20190312172119471"</f>
        <v>20190312172119471</v>
      </c>
      <c r="B1844" t="str">
        <f>"1552382479462738"</f>
        <v>1552382479462738</v>
      </c>
      <c r="C1844" t="s">
        <v>40</v>
      </c>
      <c r="D1844">
        <v>3.5737960000000002</v>
      </c>
      <c r="E1844">
        <v>0.48207460000000002</v>
      </c>
      <c r="F1844" t="s">
        <v>42</v>
      </c>
      <c r="G1844">
        <v>-185.44669999999999</v>
      </c>
      <c r="H1844" s="1">
        <v>-4.4444119999999997E-6</v>
      </c>
      <c r="I1844">
        <v>317.32470000000001</v>
      </c>
      <c r="J1844">
        <v>-185.84790000000001</v>
      </c>
      <c r="K1844">
        <v>1.107648</v>
      </c>
      <c r="L1844">
        <v>336.66590000000002</v>
      </c>
      <c r="M1844">
        <v>7.8421440000000005E-3</v>
      </c>
      <c r="N1844">
        <v>0</v>
      </c>
      <c r="O1844">
        <v>-0.99989749999999999</v>
      </c>
      <c r="P1844">
        <v>-2.419133E-2</v>
      </c>
      <c r="Q1844">
        <v>0.1628405</v>
      </c>
      <c r="R1844">
        <v>-0.9863558</v>
      </c>
      <c r="S1844">
        <v>6.2637330000000005E-2</v>
      </c>
      <c r="T1844">
        <v>-0.17342539999999901</v>
      </c>
      <c r="U1844">
        <v>-3.0730900000000001</v>
      </c>
      <c r="V1844">
        <v>3.3061300000000002E-2</v>
      </c>
      <c r="W1844">
        <v>0.17443399999999901</v>
      </c>
      <c r="X1844">
        <v>0.98411369999999998</v>
      </c>
      <c r="Y1844">
        <v>-1.250423E-2</v>
      </c>
      <c r="Z1844">
        <v>5.6333300000000003E-2</v>
      </c>
      <c r="AA1844">
        <v>0.99833369999999999</v>
      </c>
      <c r="AB1844">
        <v>26</v>
      </c>
      <c r="AC1844">
        <v>0.40120000000001699</v>
      </c>
      <c r="AD1844">
        <v>-1.1076524444119999</v>
      </c>
      <c r="AE1844">
        <v>-19.341200000000001</v>
      </c>
      <c r="AF1844">
        <v>-0.248685029651636</v>
      </c>
      <c r="AG1844">
        <v>-1.1076524444119999</v>
      </c>
      <c r="AH1844">
        <v>19.2805435800142</v>
      </c>
      <c r="AI1844">
        <v>93.287711671745697</v>
      </c>
      <c r="AJ1844">
        <v>90.738973592359201</v>
      </c>
      <c r="AK1844">
        <v>19.313935355654799</v>
      </c>
      <c r="AL1844">
        <v>79.954278128346004</v>
      </c>
      <c r="AM1844">
        <v>88.075871927458394</v>
      </c>
      <c r="AN1844">
        <v>1.00000002222068</v>
      </c>
    </row>
    <row r="1845" spans="1:40" x14ac:dyDescent="0.25">
      <c r="A1845" t="str">
        <f>"20190312172119492"</f>
        <v>20190312172119492</v>
      </c>
      <c r="B1845" t="str">
        <f>"1552382479483236"</f>
        <v>1552382479483236</v>
      </c>
      <c r="C1845" t="s">
        <v>40</v>
      </c>
      <c r="D1845">
        <v>3.6144210000000001</v>
      </c>
      <c r="E1845">
        <v>0.51043019999999995</v>
      </c>
      <c r="F1845" t="s">
        <v>42</v>
      </c>
      <c r="G1845">
        <v>-185.4941</v>
      </c>
      <c r="H1845" s="1">
        <v>-4.47583E-6</v>
      </c>
      <c r="I1845">
        <v>317.40890000000002</v>
      </c>
      <c r="J1845">
        <v>-185.84979999999999</v>
      </c>
      <c r="K1845">
        <v>1.107685</v>
      </c>
      <c r="L1845">
        <v>336.41219999999998</v>
      </c>
      <c r="M1845">
        <v>4.3242039999999999E-3</v>
      </c>
      <c r="N1845">
        <v>0</v>
      </c>
      <c r="O1845">
        <v>-0.99991890000000005</v>
      </c>
      <c r="P1845">
        <v>-2.6029010000000002E-2</v>
      </c>
      <c r="Q1845">
        <v>0.16140070000000001</v>
      </c>
      <c r="R1845">
        <v>-0.98654589999999998</v>
      </c>
      <c r="S1845">
        <v>5.6442260000000001E-2</v>
      </c>
      <c r="T1845">
        <v>-0.17670279999999899</v>
      </c>
      <c r="U1845">
        <v>-3.0720519999999998</v>
      </c>
      <c r="V1845">
        <v>3.1404479999999999E-2</v>
      </c>
      <c r="W1845">
        <v>0.17300929999999901</v>
      </c>
      <c r="X1845">
        <v>0.98441939999999994</v>
      </c>
      <c r="Y1845">
        <v>-1.401546E-2</v>
      </c>
      <c r="Z1845">
        <v>5.7416109999999999E-2</v>
      </c>
      <c r="AA1845">
        <v>0.99825200000000003</v>
      </c>
      <c r="AB1845">
        <v>26</v>
      </c>
      <c r="AC1845">
        <v>0.35569999999998397</v>
      </c>
      <c r="AD1845">
        <v>-1.10768947583</v>
      </c>
      <c r="AE1845">
        <v>-19.0032999999999</v>
      </c>
      <c r="AF1845">
        <v>-0.27259078927297098</v>
      </c>
      <c r="AG1845">
        <v>-1.10768947583</v>
      </c>
      <c r="AH1845">
        <v>18.940330552041601</v>
      </c>
      <c r="AI1845">
        <v>93.346677264538002</v>
      </c>
      <c r="AJ1845">
        <v>90.824548626562901</v>
      </c>
      <c r="AK1845">
        <v>18.974651594531601</v>
      </c>
      <c r="AL1845">
        <v>80.037167634116301</v>
      </c>
      <c r="AM1845">
        <v>88.172796947756396</v>
      </c>
      <c r="AN1845">
        <v>1.00000000717346</v>
      </c>
    </row>
    <row r="1846" spans="1:40" x14ac:dyDescent="0.25">
      <c r="A1846" t="str">
        <f>"20190312172119514"</f>
        <v>20190312172119514</v>
      </c>
      <c r="B1846" t="str">
        <f>"1552382479502757"</f>
        <v>1552382479502757</v>
      </c>
      <c r="C1846" t="s">
        <v>40</v>
      </c>
      <c r="D1846">
        <v>3.5778750000000001</v>
      </c>
      <c r="E1846">
        <v>0.51419939999999997</v>
      </c>
      <c r="F1846" t="s">
        <v>42</v>
      </c>
      <c r="G1846">
        <v>-187.17410000000001</v>
      </c>
      <c r="H1846" s="1">
        <v>-2.1194469999999998E-6</v>
      </c>
      <c r="I1846">
        <v>313.05450000000002</v>
      </c>
      <c r="J1846">
        <v>-185.8526</v>
      </c>
      <c r="K1846">
        <v>1.1077330000000001</v>
      </c>
      <c r="L1846">
        <v>336.15539999999999</v>
      </c>
      <c r="M1846">
        <v>8.342442E-4</v>
      </c>
      <c r="N1846">
        <v>0</v>
      </c>
      <c r="O1846">
        <v>-0.99992800000000004</v>
      </c>
      <c r="P1846">
        <v>-2.8136100000000001E-2</v>
      </c>
      <c r="Q1846">
        <v>0.16077830000000001</v>
      </c>
      <c r="R1846">
        <v>-0.98658970000000001</v>
      </c>
      <c r="S1846">
        <v>-0.17349239999999999</v>
      </c>
      <c r="T1846">
        <v>-0.14511640000000001</v>
      </c>
      <c r="U1846">
        <v>-3.0600589999999999</v>
      </c>
      <c r="V1846">
        <v>3.0043239999999999E-2</v>
      </c>
      <c r="W1846">
        <v>0.1723983</v>
      </c>
      <c r="X1846">
        <v>0.98456909999999997</v>
      </c>
      <c r="Y1846">
        <v>5.7374500000000002E-2</v>
      </c>
      <c r="Z1846">
        <v>4.7292590000000002E-2</v>
      </c>
      <c r="AA1846">
        <v>0.99723200000000001</v>
      </c>
      <c r="AB1846">
        <v>26</v>
      </c>
      <c r="AC1846">
        <v>-1.3215000000000101</v>
      </c>
      <c r="AD1846">
        <v>-1.107735119447</v>
      </c>
      <c r="AE1846">
        <v>-23.1008999999999</v>
      </c>
      <c r="AF1846">
        <v>1.3377068262271901</v>
      </c>
      <c r="AG1846">
        <v>-1.107735119447</v>
      </c>
      <c r="AH1846">
        <v>23.0469681436124</v>
      </c>
      <c r="AI1846">
        <v>92.747144163867702</v>
      </c>
      <c r="AJ1846">
        <v>86.678128875625603</v>
      </c>
      <c r="AK1846">
        <v>23.112318733966902</v>
      </c>
      <c r="AL1846">
        <v>80.072709756598101</v>
      </c>
      <c r="AM1846">
        <v>88.252213179010198</v>
      </c>
      <c r="AN1846">
        <v>1.00000004139369</v>
      </c>
    </row>
    <row r="1847" spans="1:40" x14ac:dyDescent="0.25">
      <c r="A1847" t="str">
        <f>"20190312172119536"</f>
        <v>20190312172119536</v>
      </c>
      <c r="B1847" t="str">
        <f>"1552382479533009"</f>
        <v>1552382479533009</v>
      </c>
      <c r="C1847" t="s">
        <v>40</v>
      </c>
      <c r="D1847">
        <v>3.5530759999999999</v>
      </c>
      <c r="E1847">
        <v>0.51599499999999998</v>
      </c>
      <c r="F1847" t="s">
        <v>42</v>
      </c>
      <c r="G1847">
        <v>-187.4487</v>
      </c>
      <c r="H1847" s="1">
        <v>-1.952511E-6</v>
      </c>
      <c r="I1847">
        <v>312.80439999999999</v>
      </c>
      <c r="J1847">
        <v>-185.8563</v>
      </c>
      <c r="K1847">
        <v>1.107801</v>
      </c>
      <c r="L1847">
        <v>335.89080000000001</v>
      </c>
      <c r="M1847">
        <v>-2.674282E-3</v>
      </c>
      <c r="N1847">
        <v>0</v>
      </c>
      <c r="O1847">
        <v>-0.99992479999999995</v>
      </c>
      <c r="P1847">
        <v>-3.0450189999999999E-2</v>
      </c>
      <c r="Q1847">
        <v>0.16006329999999999</v>
      </c>
      <c r="R1847">
        <v>-0.9866374</v>
      </c>
      <c r="S1847">
        <v>-0.20906069999999999</v>
      </c>
      <c r="T1847">
        <v>-0.145089</v>
      </c>
      <c r="U1847">
        <v>-3.0584720000000001</v>
      </c>
      <c r="V1847">
        <v>2.8864399999999998E-2</v>
      </c>
      <c r="W1847">
        <v>0.1716937</v>
      </c>
      <c r="X1847">
        <v>0.98472740000000003</v>
      </c>
      <c r="Y1847">
        <v>6.5450739999999993E-2</v>
      </c>
      <c r="Z1847">
        <v>4.7279040000000001E-2</v>
      </c>
      <c r="AA1847">
        <v>0.99673509999999998</v>
      </c>
      <c r="AB1847">
        <v>26</v>
      </c>
      <c r="AC1847">
        <v>-1.59239999999999</v>
      </c>
      <c r="AD1847">
        <v>-1.107802952511</v>
      </c>
      <c r="AE1847">
        <v>-23.086400000000001</v>
      </c>
      <c r="AF1847">
        <v>1.5271506197540901</v>
      </c>
      <c r="AG1847">
        <v>-1.107802952511</v>
      </c>
      <c r="AH1847">
        <v>23.037781369304401</v>
      </c>
      <c r="AI1847">
        <v>92.747005010401395</v>
      </c>
      <c r="AJ1847">
        <v>86.207470817144795</v>
      </c>
      <c r="AK1847">
        <v>23.11490399757</v>
      </c>
      <c r="AL1847">
        <v>80.113690693137897</v>
      </c>
      <c r="AM1847">
        <v>88.321022759330901</v>
      </c>
      <c r="AN1847">
        <v>0.99999996625890397</v>
      </c>
    </row>
    <row r="1848" spans="1:40" x14ac:dyDescent="0.25">
      <c r="A1848" t="str">
        <f>"20190312172119560"</f>
        <v>20190312172119560</v>
      </c>
      <c r="B1848" t="str">
        <f>"1552382479552529"</f>
        <v>1552382479552529</v>
      </c>
      <c r="C1848" t="s">
        <v>40</v>
      </c>
      <c r="D1848">
        <v>3.576902</v>
      </c>
      <c r="E1848">
        <v>0.51675099999999996</v>
      </c>
      <c r="F1848" t="s">
        <v>42</v>
      </c>
      <c r="G1848">
        <v>-187.5762</v>
      </c>
      <c r="H1848" s="1">
        <v>-2.0223539999999999E-6</v>
      </c>
      <c r="I1848">
        <v>313</v>
      </c>
      <c r="J1848">
        <v>-185.86099999999999</v>
      </c>
      <c r="K1848">
        <v>1.107874</v>
      </c>
      <c r="L1848">
        <v>335.61320000000001</v>
      </c>
      <c r="M1848">
        <v>-6.2524859999999998E-3</v>
      </c>
      <c r="N1848">
        <v>0</v>
      </c>
      <c r="O1848">
        <v>-0.99990869999999998</v>
      </c>
      <c r="P1848">
        <v>-3.3271250000000002E-2</v>
      </c>
      <c r="Q1848">
        <v>0.15997979999999901</v>
      </c>
      <c r="R1848">
        <v>-0.98655959999999998</v>
      </c>
      <c r="S1848">
        <v>-0.2297363</v>
      </c>
      <c r="T1848">
        <v>-0.1479694</v>
      </c>
      <c r="U1848">
        <v>-3.0575260000000002</v>
      </c>
      <c r="V1848">
        <v>2.81233E-2</v>
      </c>
      <c r="W1848">
        <v>0.17161570000000001</v>
      </c>
      <c r="X1848">
        <v>0.98476249999999999</v>
      </c>
      <c r="Y1848">
        <v>6.8602850000000007E-2</v>
      </c>
      <c r="Z1848">
        <v>4.8212419999999999E-2</v>
      </c>
      <c r="AA1848">
        <v>0.99647839999999999</v>
      </c>
      <c r="AB1848">
        <v>26</v>
      </c>
      <c r="AC1848">
        <v>-1.71520000000001</v>
      </c>
      <c r="AD1848">
        <v>-1.1078760223540001</v>
      </c>
      <c r="AE1848">
        <v>-22.613199999999999</v>
      </c>
      <c r="AF1848">
        <v>1.57002070485131</v>
      </c>
      <c r="AG1848">
        <v>-1.1078760223540001</v>
      </c>
      <c r="AH1848">
        <v>22.5696198778096</v>
      </c>
      <c r="AI1848">
        <v>92.803460988782405</v>
      </c>
      <c r="AJ1848">
        <v>86.020718119164499</v>
      </c>
      <c r="AK1848">
        <v>22.651271393089299</v>
      </c>
      <c r="AL1848">
        <v>80.118227682906905</v>
      </c>
      <c r="AM1848">
        <v>88.364165424071501</v>
      </c>
      <c r="AN1848">
        <v>1.00000002494781</v>
      </c>
    </row>
    <row r="1849" spans="1:40" x14ac:dyDescent="0.25">
      <c r="A1849" t="str">
        <f>"20190312172119584"</f>
        <v>20190312172119584</v>
      </c>
      <c r="B1849" t="str">
        <f>"1552382479573026"</f>
        <v>1552382479573026</v>
      </c>
      <c r="C1849" t="s">
        <v>40</v>
      </c>
      <c r="D1849">
        <v>3.5459320000000001</v>
      </c>
      <c r="E1849">
        <v>0.51684410000000003</v>
      </c>
      <c r="F1849" t="s">
        <v>42</v>
      </c>
      <c r="G1849">
        <v>-187.68610000000001</v>
      </c>
      <c r="H1849" s="1">
        <v>-1.875383E-6</v>
      </c>
      <c r="I1849">
        <v>312.7303</v>
      </c>
      <c r="J1849">
        <v>-185.86680000000001</v>
      </c>
      <c r="K1849">
        <v>1.107944</v>
      </c>
      <c r="L1849">
        <v>335.33339999999998</v>
      </c>
      <c r="M1849">
        <v>-9.7288070000000008E-3</v>
      </c>
      <c r="N1849">
        <v>0</v>
      </c>
      <c r="O1849">
        <v>-0.99988129999999997</v>
      </c>
      <c r="P1849">
        <v>-3.6580059999999998E-2</v>
      </c>
      <c r="Q1849">
        <v>0.1593601</v>
      </c>
      <c r="R1849">
        <v>-0.9865429</v>
      </c>
      <c r="S1849">
        <v>-0.2437897</v>
      </c>
      <c r="T1849">
        <v>-0.14798749999999999</v>
      </c>
      <c r="U1849">
        <v>-3.0566409999999999</v>
      </c>
      <c r="V1849">
        <v>2.7964909999999999E-2</v>
      </c>
      <c r="W1849">
        <v>0.17099979999999901</v>
      </c>
      <c r="X1849">
        <v>0.98487409999999997</v>
      </c>
      <c r="Y1849">
        <v>6.9709989999999999E-2</v>
      </c>
      <c r="Z1849">
        <v>4.8219829999999998E-2</v>
      </c>
      <c r="AA1849">
        <v>0.99640119999999999</v>
      </c>
      <c r="AB1849">
        <v>26</v>
      </c>
      <c r="AC1849">
        <v>-1.8192999999999899</v>
      </c>
      <c r="AD1849">
        <v>-1.1079458753829901</v>
      </c>
      <c r="AE1849">
        <v>-22.603099999999898</v>
      </c>
      <c r="AF1849">
        <v>1.59548817685194</v>
      </c>
      <c r="AG1849">
        <v>-1.1079458753829901</v>
      </c>
      <c r="AH1849">
        <v>22.565860827576699</v>
      </c>
      <c r="AI1849">
        <v>92.8038809911762</v>
      </c>
      <c r="AJ1849">
        <v>85.955710830086801</v>
      </c>
      <c r="AK1849">
        <v>22.649309072790999</v>
      </c>
      <c r="AL1849">
        <v>80.154045185848105</v>
      </c>
      <c r="AM1849">
        <v>88.373557676556999</v>
      </c>
      <c r="AN1849">
        <v>0.99999998032107795</v>
      </c>
    </row>
    <row r="1850" spans="1:40" x14ac:dyDescent="0.25">
      <c r="A1850" t="str">
        <f>"20190312172119604"</f>
        <v>20190312172119604</v>
      </c>
      <c r="B1850" t="str">
        <f>"1552382479592549"</f>
        <v>1552382479592549</v>
      </c>
      <c r="C1850" t="s">
        <v>40</v>
      </c>
      <c r="D1850">
        <v>3.556432</v>
      </c>
      <c r="E1850">
        <v>0.51687989999999995</v>
      </c>
      <c r="F1850" t="s">
        <v>42</v>
      </c>
      <c r="G1850">
        <v>-187.7492</v>
      </c>
      <c r="H1850" s="1">
        <v>-1.85095E-6</v>
      </c>
      <c r="I1850">
        <v>312.70229999999998</v>
      </c>
      <c r="J1850">
        <v>-185.8723</v>
      </c>
      <c r="K1850">
        <v>1.1079870000000001</v>
      </c>
      <c r="L1850">
        <v>335.09269999999998</v>
      </c>
      <c r="M1850">
        <v>-1.264353E-2</v>
      </c>
      <c r="N1850">
        <v>0</v>
      </c>
      <c r="O1850">
        <v>-0.99984870000000003</v>
      </c>
      <c r="P1850">
        <v>-3.9692329999999998E-2</v>
      </c>
      <c r="Q1850">
        <v>0.1584091</v>
      </c>
      <c r="R1850">
        <v>-0.98657570000000006</v>
      </c>
      <c r="S1850">
        <v>-0.25416559999999999</v>
      </c>
      <c r="T1850">
        <v>-0.1495966</v>
      </c>
      <c r="U1850">
        <v>-3.0556950000000001</v>
      </c>
      <c r="V1850">
        <v>2.8168740000000001E-2</v>
      </c>
      <c r="W1850">
        <v>0.1700497</v>
      </c>
      <c r="X1850">
        <v>0.98503280000000004</v>
      </c>
      <c r="Y1850">
        <v>7.0185360000000002E-2</v>
      </c>
      <c r="Z1850">
        <v>4.8747980000000003E-2</v>
      </c>
      <c r="AA1850">
        <v>0.99634210000000001</v>
      </c>
      <c r="AB1850">
        <v>26</v>
      </c>
      <c r="AC1850">
        <v>-1.8769</v>
      </c>
      <c r="AD1850">
        <v>-1.10798885095</v>
      </c>
      <c r="AE1850">
        <v>-22.3904</v>
      </c>
      <c r="AF1850">
        <v>1.5897702463433401</v>
      </c>
      <c r="AG1850">
        <v>-1.10798885095</v>
      </c>
      <c r="AH1850">
        <v>22.357974963481301</v>
      </c>
      <c r="AI1850">
        <v>92.8299389959856</v>
      </c>
      <c r="AJ1850">
        <v>85.932812401045098</v>
      </c>
      <c r="AK1850">
        <v>22.441792557584201</v>
      </c>
      <c r="AL1850">
        <v>80.209291246284394</v>
      </c>
      <c r="AM1850">
        <v>88.361973141380403</v>
      </c>
      <c r="AN1850">
        <v>0.99999999772955805</v>
      </c>
    </row>
    <row r="1851" spans="1:40" x14ac:dyDescent="0.25">
      <c r="A1851" t="str">
        <f>"20190312172119625"</f>
        <v>20190312172119625</v>
      </c>
      <c r="B1851" t="str">
        <f>"1552382479622802"</f>
        <v>1552382479622802</v>
      </c>
      <c r="C1851" t="s">
        <v>40</v>
      </c>
      <c r="D1851">
        <v>3.512696</v>
      </c>
      <c r="E1851">
        <v>0.51673259999999999</v>
      </c>
      <c r="F1851" t="s">
        <v>42</v>
      </c>
      <c r="G1851">
        <v>-187.75479999999999</v>
      </c>
      <c r="H1851" s="1">
        <v>-2.0944959999999999E-6</v>
      </c>
      <c r="I1851">
        <v>313.21960000000001</v>
      </c>
      <c r="J1851">
        <v>-185.87889999999999</v>
      </c>
      <c r="K1851">
        <v>1.108047</v>
      </c>
      <c r="L1851">
        <v>334.8383</v>
      </c>
      <c r="M1851">
        <v>-1.564167E-2</v>
      </c>
      <c r="N1851">
        <v>0</v>
      </c>
      <c r="O1851">
        <v>-0.99980630000000004</v>
      </c>
      <c r="P1851">
        <v>-4.3300709999999999E-2</v>
      </c>
      <c r="Q1851">
        <v>0.15750910000000001</v>
      </c>
      <c r="R1851">
        <v>-0.986568</v>
      </c>
      <c r="S1851">
        <v>-0.2629242</v>
      </c>
      <c r="T1851">
        <v>-0.15475649999999999</v>
      </c>
      <c r="U1851">
        <v>-3.0550839999999999</v>
      </c>
      <c r="V1851">
        <v>2.8787989999999999E-2</v>
      </c>
      <c r="W1851">
        <v>0.1691484</v>
      </c>
      <c r="X1851">
        <v>0.98517010000000005</v>
      </c>
      <c r="Y1851">
        <v>7.0039500000000005E-2</v>
      </c>
      <c r="Z1851">
        <v>5.0426209999999999E-2</v>
      </c>
      <c r="AA1851">
        <v>0.99626890000000001</v>
      </c>
      <c r="AB1851">
        <v>26</v>
      </c>
      <c r="AC1851">
        <v>-1.8758999999999999</v>
      </c>
      <c r="AD1851">
        <v>-1.108049094496</v>
      </c>
      <c r="AE1851">
        <v>-21.618699999999901</v>
      </c>
      <c r="AF1851">
        <v>1.5334953957647799</v>
      </c>
      <c r="AG1851">
        <v>-1.108049094496</v>
      </c>
      <c r="AH1851">
        <v>21.589108532793201</v>
      </c>
      <c r="AI1851">
        <v>92.930725150186106</v>
      </c>
      <c r="AJ1851">
        <v>85.937048905377793</v>
      </c>
      <c r="AK1851">
        <v>21.671847825355599</v>
      </c>
      <c r="AL1851">
        <v>80.2616913379225</v>
      </c>
      <c r="AM1851">
        <v>88.326216871061902</v>
      </c>
      <c r="AN1851">
        <v>1.0000000277623999</v>
      </c>
    </row>
    <row r="1852" spans="1:40" x14ac:dyDescent="0.25">
      <c r="A1852" t="str">
        <f>"20190312172119649"</f>
        <v>20190312172119649</v>
      </c>
      <c r="B1852" t="str">
        <f>"1552382479642322"</f>
        <v>1552382479642322</v>
      </c>
      <c r="C1852" t="s">
        <v>40</v>
      </c>
      <c r="D1852">
        <v>3.4799639999999998</v>
      </c>
      <c r="E1852">
        <v>0.51623520000000001</v>
      </c>
      <c r="F1852" t="s">
        <v>42</v>
      </c>
      <c r="G1852">
        <v>-187.7782</v>
      </c>
      <c r="H1852" s="1">
        <v>-2.2509649999999998E-6</v>
      </c>
      <c r="I1852">
        <v>313.55939999999998</v>
      </c>
      <c r="J1852">
        <v>-185.88679999999999</v>
      </c>
      <c r="K1852">
        <v>1.1081049999999999</v>
      </c>
      <c r="L1852">
        <v>334.5652</v>
      </c>
      <c r="M1852">
        <v>-1.8765960000000002E-2</v>
      </c>
      <c r="N1852">
        <v>0</v>
      </c>
      <c r="O1852">
        <v>-0.99975250000000004</v>
      </c>
      <c r="P1852">
        <v>-4.5866869999999997E-2</v>
      </c>
      <c r="Q1852">
        <v>0.1564161</v>
      </c>
      <c r="R1852">
        <v>-0.98662589999999994</v>
      </c>
      <c r="S1852">
        <v>-0.27261350000000001</v>
      </c>
      <c r="T1852">
        <v>-0.1590435</v>
      </c>
      <c r="U1852">
        <v>-3.0542600000000002</v>
      </c>
      <c r="V1852">
        <v>2.82373E-2</v>
      </c>
      <c r="W1852">
        <v>0.168061299999999</v>
      </c>
      <c r="X1852">
        <v>0.98537209999999997</v>
      </c>
      <c r="Y1852">
        <v>7.0075299999999993E-2</v>
      </c>
      <c r="Z1852">
        <v>5.1821880000000001E-2</v>
      </c>
      <c r="AA1852">
        <v>0.99619469999999999</v>
      </c>
      <c r="AB1852">
        <v>26</v>
      </c>
      <c r="AC1852">
        <v>-1.8914</v>
      </c>
      <c r="AD1852">
        <v>-1.1081072509649901</v>
      </c>
      <c r="AE1852">
        <v>-21.005800000000001</v>
      </c>
      <c r="AF1852">
        <v>1.49272416238726</v>
      </c>
      <c r="AG1852">
        <v>-1.1081072509649901</v>
      </c>
      <c r="AH1852">
        <v>20.979683747949402</v>
      </c>
      <c r="AI1852">
        <v>93.015835335540103</v>
      </c>
      <c r="AJ1852">
        <v>85.930210049634098</v>
      </c>
      <c r="AK1852">
        <v>21.0618911133019</v>
      </c>
      <c r="AL1852">
        <v>80.324882560259894</v>
      </c>
      <c r="AM1852">
        <v>88.358553617518297</v>
      </c>
      <c r="AN1852">
        <v>1.0000000605636901</v>
      </c>
    </row>
    <row r="1853" spans="1:40" x14ac:dyDescent="0.25">
      <c r="A1853" t="str">
        <f>"20190312172119662"</f>
        <v>20190312172119662</v>
      </c>
      <c r="B1853" t="str">
        <f>"1552382479653058"</f>
        <v>1552382479653058</v>
      </c>
      <c r="C1853" t="s">
        <v>40</v>
      </c>
      <c r="D1853">
        <v>3.4750239999999999</v>
      </c>
      <c r="E1853">
        <v>0.51599430000000002</v>
      </c>
      <c r="F1853" t="s">
        <v>42</v>
      </c>
      <c r="G1853">
        <v>-187.7936</v>
      </c>
      <c r="H1853" s="1">
        <v>-2.2230749999999999E-6</v>
      </c>
      <c r="I1853">
        <v>313.50619999999998</v>
      </c>
      <c r="J1853">
        <v>-185.89150000000001</v>
      </c>
      <c r="K1853">
        <v>1.108144</v>
      </c>
      <c r="L1853">
        <v>334.41050000000001</v>
      </c>
      <c r="M1853">
        <v>-2.0499570000000002E-2</v>
      </c>
      <c r="N1853">
        <v>0</v>
      </c>
      <c r="O1853">
        <v>-0.99971860000000001</v>
      </c>
      <c r="P1853">
        <v>-4.6937189999999997E-2</v>
      </c>
      <c r="Q1853">
        <v>0.15637039999999999</v>
      </c>
      <c r="R1853">
        <v>-0.98658290000000004</v>
      </c>
      <c r="S1853">
        <v>-0.2764587</v>
      </c>
      <c r="T1853">
        <v>-0.160661</v>
      </c>
      <c r="U1853">
        <v>-3.0532840000000001</v>
      </c>
      <c r="V1853">
        <v>2.7581850000000002E-2</v>
      </c>
      <c r="W1853">
        <v>0.168019899999999</v>
      </c>
      <c r="X1853">
        <v>0.98539759999999998</v>
      </c>
      <c r="Y1853">
        <v>6.9615699999999905E-2</v>
      </c>
      <c r="Z1853">
        <v>5.2359330000000003E-2</v>
      </c>
      <c r="AA1853">
        <v>0.99619880000000005</v>
      </c>
      <c r="AB1853">
        <v>26</v>
      </c>
      <c r="AC1853">
        <v>-1.9020999999999899</v>
      </c>
      <c r="AD1853">
        <v>-1.1081462230750001</v>
      </c>
      <c r="AE1853">
        <v>-20.904299999999999</v>
      </c>
      <c r="AF1853">
        <v>1.46904626487392</v>
      </c>
      <c r="AG1853">
        <v>-1.1081462230750001</v>
      </c>
      <c r="AH1853">
        <v>20.880706385903402</v>
      </c>
      <c r="AI1853">
        <v>93.030380239103494</v>
      </c>
      <c r="AJ1853">
        <v>85.975629969796799</v>
      </c>
      <c r="AK1853">
        <v>20.961631237915601</v>
      </c>
      <c r="AL1853">
        <v>80.327287622067004</v>
      </c>
      <c r="AM1853">
        <v>88.396676553018693</v>
      </c>
      <c r="AN1853">
        <v>0.99999993766559403</v>
      </c>
    </row>
    <row r="1854" spans="1:40" x14ac:dyDescent="0.25">
      <c r="A1854" t="str">
        <f>"20190312172119682"</f>
        <v>20190312172119682</v>
      </c>
      <c r="B1854" t="str">
        <f>"1552382479672577"</f>
        <v>1552382479672577</v>
      </c>
      <c r="C1854" t="s">
        <v>40</v>
      </c>
      <c r="D1854">
        <v>3.4739379999999902</v>
      </c>
      <c r="E1854">
        <v>0.51557429999999904</v>
      </c>
      <c r="F1854" t="s">
        <v>42</v>
      </c>
      <c r="G1854">
        <v>-187.82089999999999</v>
      </c>
      <c r="H1854" s="1">
        <v>-2.0847640000000002E-6</v>
      </c>
      <c r="I1854">
        <v>313.22379999999998</v>
      </c>
      <c r="J1854">
        <v>-185.89959999999999</v>
      </c>
      <c r="K1854">
        <v>1.1082019999999999</v>
      </c>
      <c r="L1854">
        <v>334.16449999999998</v>
      </c>
      <c r="M1854">
        <v>-2.3181879999999998E-2</v>
      </c>
      <c r="N1854">
        <v>0</v>
      </c>
      <c r="O1854">
        <v>-0.99965990000000005</v>
      </c>
      <c r="P1854">
        <v>-4.841202E-2</v>
      </c>
      <c r="Q1854">
        <v>0.1559247</v>
      </c>
      <c r="R1854">
        <v>-0.98658219999999996</v>
      </c>
      <c r="S1854">
        <v>-0.27801510000000001</v>
      </c>
      <c r="T1854">
        <v>-0.1596766</v>
      </c>
      <c r="U1854">
        <v>-3.0528559999999998</v>
      </c>
      <c r="V1854">
        <v>2.6380959999999998E-2</v>
      </c>
      <c r="W1854">
        <v>0.16758139999999999</v>
      </c>
      <c r="X1854">
        <v>0.98550519999999997</v>
      </c>
      <c r="Y1854">
        <v>6.7456660000000002E-2</v>
      </c>
      <c r="Z1854">
        <v>5.2044699999999999E-2</v>
      </c>
      <c r="AA1854">
        <v>0.99636389999999997</v>
      </c>
      <c r="AB1854">
        <v>26</v>
      </c>
      <c r="AC1854">
        <v>-1.9213</v>
      </c>
      <c r="AD1854">
        <v>-1.108204084764</v>
      </c>
      <c r="AE1854">
        <v>-20.9407</v>
      </c>
      <c r="AF1854">
        <v>1.4313290004099499</v>
      </c>
      <c r="AG1854">
        <v>-1.108204084764</v>
      </c>
      <c r="AH1854">
        <v>20.921509733295601</v>
      </c>
      <c r="AI1854">
        <v>93.025043141952295</v>
      </c>
      <c r="AJ1854">
        <v>86.086251809283795</v>
      </c>
      <c r="AK1854">
        <v>20.9996759146727</v>
      </c>
      <c r="AL1854">
        <v>80.352773693566206</v>
      </c>
      <c r="AM1854">
        <v>88.466617139463693</v>
      </c>
      <c r="AN1854">
        <v>0.99999998995175998</v>
      </c>
    </row>
    <row r="1855" spans="1:40" x14ac:dyDescent="0.25">
      <c r="A1855" t="str">
        <f>"20190312172119703"</f>
        <v>20190312172119703</v>
      </c>
      <c r="B1855" t="str">
        <f>"1552382479693084"</f>
        <v>1552382479693084</v>
      </c>
      <c r="C1855" t="s">
        <v>40</v>
      </c>
      <c r="D1855">
        <v>3.4791340000000002</v>
      </c>
      <c r="E1855">
        <v>0.51513370000000003</v>
      </c>
      <c r="F1855" t="s">
        <v>42</v>
      </c>
      <c r="G1855">
        <v>-187.83879999999999</v>
      </c>
      <c r="H1855" s="1">
        <v>-1.9648140000000002E-6</v>
      </c>
      <c r="I1855">
        <v>312.97680000000003</v>
      </c>
      <c r="J1855">
        <v>-185.9085</v>
      </c>
      <c r="K1855">
        <v>1.1082620000000001</v>
      </c>
      <c r="L1855">
        <v>333.91199999999998</v>
      </c>
      <c r="M1855">
        <v>-2.5856299999999999E-2</v>
      </c>
      <c r="N1855">
        <v>0</v>
      </c>
      <c r="O1855">
        <v>-0.99959419999999999</v>
      </c>
      <c r="P1855">
        <v>-5.0137969999999997E-2</v>
      </c>
      <c r="Q1855">
        <v>0.1555407</v>
      </c>
      <c r="R1855">
        <v>-0.98655619999999999</v>
      </c>
      <c r="S1855">
        <v>-0.27937319999999999</v>
      </c>
      <c r="T1855">
        <v>-0.15964970000000001</v>
      </c>
      <c r="U1855">
        <v>-3.0523380000000002</v>
      </c>
      <c r="V1855">
        <v>2.5437129999999999E-2</v>
      </c>
      <c r="W1855">
        <v>0.167203399999999</v>
      </c>
      <c r="X1855">
        <v>0.98559419999999998</v>
      </c>
      <c r="Y1855">
        <v>6.5242129999999995E-2</v>
      </c>
      <c r="Z1855">
        <v>5.2042430000000001E-2</v>
      </c>
      <c r="AA1855">
        <v>0.99651149999999999</v>
      </c>
      <c r="AB1855">
        <v>26</v>
      </c>
      <c r="AC1855">
        <v>-1.9302999999999799</v>
      </c>
      <c r="AD1855">
        <v>-1.108263964814</v>
      </c>
      <c r="AE1855">
        <v>-20.935199999999899</v>
      </c>
      <c r="AF1855">
        <v>1.3844619334699899</v>
      </c>
      <c r="AG1855">
        <v>-1.108263964814</v>
      </c>
      <c r="AH1855">
        <v>20.9199814910186</v>
      </c>
      <c r="AI1855">
        <v>93.025879127385593</v>
      </c>
      <c r="AJ1855">
        <v>86.213747821189997</v>
      </c>
      <c r="AK1855">
        <v>20.9950139186782</v>
      </c>
      <c r="AL1855">
        <v>80.374741318629901</v>
      </c>
      <c r="AM1855">
        <v>88.521585536407699</v>
      </c>
      <c r="AN1855">
        <v>0.99999997581391797</v>
      </c>
    </row>
    <row r="1856" spans="1:40" x14ac:dyDescent="0.25">
      <c r="A1856" t="str">
        <f>"20190312172119727"</f>
        <v>20190312172119727</v>
      </c>
      <c r="B1856" t="str">
        <f>"1552382479722353"</f>
        <v>1552382479722353</v>
      </c>
      <c r="C1856" t="s">
        <v>40</v>
      </c>
      <c r="D1856">
        <v>3.4785810000000001</v>
      </c>
      <c r="E1856">
        <v>0.51455119999999999</v>
      </c>
      <c r="F1856" t="s">
        <v>42</v>
      </c>
      <c r="G1856">
        <v>-187.8536</v>
      </c>
      <c r="H1856" s="1">
        <v>-1.852444E-6</v>
      </c>
      <c r="I1856">
        <v>312.74459999999999</v>
      </c>
      <c r="J1856">
        <v>-185.91849999999999</v>
      </c>
      <c r="K1856">
        <v>1.108333</v>
      </c>
      <c r="L1856">
        <v>333.6456</v>
      </c>
      <c r="M1856">
        <v>-2.859747E-2</v>
      </c>
      <c r="N1856">
        <v>0</v>
      </c>
      <c r="O1856">
        <v>-0.99951970000000001</v>
      </c>
      <c r="P1856">
        <v>-5.2238149999999997E-2</v>
      </c>
      <c r="Q1856">
        <v>0.155144899999999</v>
      </c>
      <c r="R1856">
        <v>-0.98650959999999999</v>
      </c>
      <c r="S1856">
        <v>-0.2804413</v>
      </c>
      <c r="T1856">
        <v>-0.1597847</v>
      </c>
      <c r="U1856">
        <v>-3.0518190000000001</v>
      </c>
      <c r="V1856">
        <v>2.4800780000000001E-2</v>
      </c>
      <c r="W1856">
        <v>0.16681079999999901</v>
      </c>
      <c r="X1856">
        <v>0.98567689999999997</v>
      </c>
      <c r="Y1856">
        <v>6.2866400000000003E-2</v>
      </c>
      <c r="Z1856">
        <v>5.2092409999999999E-2</v>
      </c>
      <c r="AA1856">
        <v>0.99666149999999998</v>
      </c>
      <c r="AB1856">
        <v>26</v>
      </c>
      <c r="AC1856">
        <v>-1.9351</v>
      </c>
      <c r="AD1856">
        <v>-1.108334852444</v>
      </c>
      <c r="AE1856">
        <v>-20.901</v>
      </c>
      <c r="AF1856">
        <v>1.33283410757844</v>
      </c>
      <c r="AG1856">
        <v>-1.108334852444</v>
      </c>
      <c r="AH1856">
        <v>20.8895521848493</v>
      </c>
      <c r="AI1856">
        <v>93.030937086372404</v>
      </c>
      <c r="AJ1856">
        <v>86.349256593806899</v>
      </c>
      <c r="AK1856">
        <v>20.961351182283298</v>
      </c>
      <c r="AL1856">
        <v>80.397555677942904</v>
      </c>
      <c r="AM1856">
        <v>88.558675495199495</v>
      </c>
      <c r="AN1856">
        <v>0.99999993643942697</v>
      </c>
    </row>
    <row r="1857" spans="1:40" x14ac:dyDescent="0.25">
      <c r="A1857" t="str">
        <f>"20190312172119749"</f>
        <v>20190312172119749</v>
      </c>
      <c r="B1857" t="str">
        <f>"1552382479742850"</f>
        <v>1552382479742850</v>
      </c>
      <c r="C1857" t="s">
        <v>40</v>
      </c>
      <c r="D1857">
        <v>3.4736959999999999</v>
      </c>
      <c r="E1857">
        <v>0.51439670000000004</v>
      </c>
      <c r="F1857" t="s">
        <v>42</v>
      </c>
      <c r="G1857">
        <v>-187.8733</v>
      </c>
      <c r="H1857" s="1">
        <v>-1.7302580000000001E-6</v>
      </c>
      <c r="I1857">
        <v>312.49349999999998</v>
      </c>
      <c r="J1857">
        <v>-185.92949999999999</v>
      </c>
      <c r="K1857">
        <v>1.108398</v>
      </c>
      <c r="L1857">
        <v>333.37150000000003</v>
      </c>
      <c r="M1857">
        <v>-3.1335670000000003E-2</v>
      </c>
      <c r="N1857">
        <v>0</v>
      </c>
      <c r="O1857">
        <v>-0.99943789999999999</v>
      </c>
      <c r="P1857">
        <v>-5.4819769999999997E-2</v>
      </c>
      <c r="Q1857">
        <v>0.155281</v>
      </c>
      <c r="R1857">
        <v>-0.98634860000000002</v>
      </c>
      <c r="S1857">
        <v>-0.28198240000000002</v>
      </c>
      <c r="T1857">
        <v>-0.15987989999999999</v>
      </c>
      <c r="U1857">
        <v>-3.0512389999999998</v>
      </c>
      <c r="V1857">
        <v>2.4655199999999999E-2</v>
      </c>
      <c r="W1857">
        <v>0.1669476</v>
      </c>
      <c r="X1857">
        <v>0.98565749999999996</v>
      </c>
      <c r="Y1857">
        <v>6.0648309999999997E-2</v>
      </c>
      <c r="Z1857">
        <v>5.2129189999999999E-2</v>
      </c>
      <c r="AA1857">
        <v>0.99679700000000004</v>
      </c>
      <c r="AB1857">
        <v>26</v>
      </c>
      <c r="AC1857">
        <v>-1.94380000000001</v>
      </c>
      <c r="AD1857">
        <v>-1.108399730258</v>
      </c>
      <c r="AE1857">
        <v>-20.878</v>
      </c>
      <c r="AF1857">
        <v>1.28498216415651</v>
      </c>
      <c r="AG1857">
        <v>-1.108399730258</v>
      </c>
      <c r="AH1857">
        <v>20.870343163925899</v>
      </c>
      <c r="AI1857">
        <v>93.034321264424307</v>
      </c>
      <c r="AJ1857">
        <v>86.476759727189403</v>
      </c>
      <c r="AK1857">
        <v>20.939220446431801</v>
      </c>
      <c r="AL1857">
        <v>80.389607181504203</v>
      </c>
      <c r="AM1857">
        <v>88.567104308536699</v>
      </c>
      <c r="AN1857">
        <v>1.00000004366952</v>
      </c>
    </row>
    <row r="1858" spans="1:40" x14ac:dyDescent="0.25">
      <c r="A1858" t="str">
        <f>"20190312172119766"</f>
        <v>20190312172119766</v>
      </c>
      <c r="B1858" t="str">
        <f>"1552382479762370"</f>
        <v>1552382479762370</v>
      </c>
      <c r="C1858" t="s">
        <v>40</v>
      </c>
      <c r="D1858">
        <v>3.4732889999999998</v>
      </c>
      <c r="E1858">
        <v>0.50954920000000004</v>
      </c>
      <c r="F1858" t="s">
        <v>42</v>
      </c>
      <c r="G1858">
        <v>-187.9462</v>
      </c>
      <c r="H1858" s="1">
        <v>-1.5378680000000001E-6</v>
      </c>
      <c r="I1858">
        <v>312.1139</v>
      </c>
      <c r="J1858">
        <v>-185.93719999999999</v>
      </c>
      <c r="K1858">
        <v>1.108441</v>
      </c>
      <c r="L1858">
        <v>333.18810000000002</v>
      </c>
      <c r="M1858">
        <v>-3.3121619999999997E-2</v>
      </c>
      <c r="N1858">
        <v>0</v>
      </c>
      <c r="O1858">
        <v>-0.99938020000000005</v>
      </c>
      <c r="P1858">
        <v>-5.6909540000000002E-2</v>
      </c>
      <c r="Q1858">
        <v>0.15536849999999999</v>
      </c>
      <c r="R1858">
        <v>-0.98621619999999999</v>
      </c>
      <c r="S1858">
        <v>-0.28939819999999999</v>
      </c>
      <c r="T1858">
        <v>-0.15905569999999999</v>
      </c>
      <c r="U1858">
        <v>-3.0504760000000002</v>
      </c>
      <c r="V1858">
        <v>2.4967469999999999E-2</v>
      </c>
      <c r="W1858">
        <v>0.16703319999999999</v>
      </c>
      <c r="X1858">
        <v>0.98563509999999999</v>
      </c>
      <c r="Y1858">
        <v>6.1290909999999997E-2</v>
      </c>
      <c r="Z1858">
        <v>5.1862690000000003E-2</v>
      </c>
      <c r="AA1858">
        <v>0.99677159999999998</v>
      </c>
      <c r="AB1858">
        <v>26</v>
      </c>
      <c r="AC1858">
        <v>-2.0090000000000101</v>
      </c>
      <c r="AD1858">
        <v>-1.1084425378680001</v>
      </c>
      <c r="AE1858">
        <v>-21.074200000000001</v>
      </c>
      <c r="AF1858">
        <v>1.3062551373340201</v>
      </c>
      <c r="AG1858">
        <v>-1.1084425378680001</v>
      </c>
      <c r="AH1858">
        <v>21.071413402440601</v>
      </c>
      <c r="AI1858">
        <v>93.005458061755405</v>
      </c>
      <c r="AJ1858">
        <v>86.452670165997702</v>
      </c>
      <c r="AK1858">
        <v>21.140941561816</v>
      </c>
      <c r="AL1858">
        <v>80.384632463548698</v>
      </c>
      <c r="AM1858">
        <v>88.548930741068801</v>
      </c>
      <c r="AN1858">
        <v>1.0000000074062201</v>
      </c>
    </row>
    <row r="1859" spans="1:40" x14ac:dyDescent="0.25">
      <c r="A1859" t="str">
        <f>"20190312172119785"</f>
        <v>20190312172119785</v>
      </c>
      <c r="B1859" t="str">
        <f>"1552382479773106"</f>
        <v>1552382479773106</v>
      </c>
      <c r="C1859" t="s">
        <v>40</v>
      </c>
      <c r="D1859">
        <v>3.4748429999999999</v>
      </c>
      <c r="E1859">
        <v>0.50980190000000003</v>
      </c>
      <c r="F1859" t="s">
        <v>42</v>
      </c>
      <c r="G1859">
        <v>-187.8227</v>
      </c>
      <c r="H1859" s="1">
        <v>-1.04056E-6</v>
      </c>
      <c r="I1859">
        <v>310.84559999999999</v>
      </c>
      <c r="J1859">
        <v>-185.94739999999999</v>
      </c>
      <c r="K1859">
        <v>1.108492</v>
      </c>
      <c r="L1859">
        <v>332.95389999999998</v>
      </c>
      <c r="M1859">
        <v>-3.5344050000000002E-2</v>
      </c>
      <c r="N1859">
        <v>0</v>
      </c>
      <c r="O1859">
        <v>-0.99930390000000002</v>
      </c>
      <c r="P1859">
        <v>-6.0045870000000001E-2</v>
      </c>
      <c r="Q1859">
        <v>0.15616259999999901</v>
      </c>
      <c r="R1859">
        <v>-0.98590429999999996</v>
      </c>
      <c r="S1859">
        <v>-0.25747680000000001</v>
      </c>
      <c r="T1859">
        <v>-0.15136089999999999</v>
      </c>
      <c r="U1859">
        <v>-3.0509339999999998</v>
      </c>
      <c r="V1859">
        <v>2.590048E-2</v>
      </c>
      <c r="W1859">
        <v>0.1678211</v>
      </c>
      <c r="X1859">
        <v>0.98547709999999999</v>
      </c>
      <c r="Y1859">
        <v>4.871727E-2</v>
      </c>
      <c r="Z1859">
        <v>4.9387050000000002E-2</v>
      </c>
      <c r="AA1859">
        <v>0.99759089999999995</v>
      </c>
      <c r="AB1859">
        <v>26</v>
      </c>
      <c r="AC1859">
        <v>-1.87530000000001</v>
      </c>
      <c r="AD1859">
        <v>-1.10849304056</v>
      </c>
      <c r="AE1859">
        <v>-22.1082999999999</v>
      </c>
      <c r="AF1859">
        <v>1.08995509662023</v>
      </c>
      <c r="AG1859">
        <v>-1.10849304056</v>
      </c>
      <c r="AH1859">
        <v>22.105595073872799</v>
      </c>
      <c r="AI1859">
        <v>92.867235546971898</v>
      </c>
      <c r="AJ1859">
        <v>87.177217262819596</v>
      </c>
      <c r="AK1859">
        <v>22.1601916170336</v>
      </c>
      <c r="AL1859">
        <v>80.338842070334294</v>
      </c>
      <c r="AM1859">
        <v>88.494488970549099</v>
      </c>
      <c r="AN1859">
        <v>0.99999993554692301</v>
      </c>
    </row>
    <row r="1860" spans="1:40" x14ac:dyDescent="0.25">
      <c r="A1860" t="str">
        <f>"20190312172119807"</f>
        <v>20190312172119807</v>
      </c>
      <c r="B1860" t="str">
        <f>"1552382479802386"</f>
        <v>1552382479802386</v>
      </c>
      <c r="C1860" t="s">
        <v>40</v>
      </c>
      <c r="D1860">
        <v>3.4779300000000002</v>
      </c>
      <c r="E1860">
        <v>0.50935980000000003</v>
      </c>
      <c r="F1860" t="s">
        <v>42</v>
      </c>
      <c r="G1860">
        <v>-187.9417</v>
      </c>
      <c r="H1860" s="1">
        <v>-8.4489199999999899E-7</v>
      </c>
      <c r="I1860">
        <v>310.41849999999999</v>
      </c>
      <c r="J1860">
        <v>-185.95930000000001</v>
      </c>
      <c r="K1860">
        <v>1.1085400000000001</v>
      </c>
      <c r="L1860">
        <v>332.69470000000001</v>
      </c>
      <c r="M1860">
        <v>-3.7734999999999998E-2</v>
      </c>
      <c r="N1860">
        <v>0</v>
      </c>
      <c r="O1860">
        <v>-0.99921660000000001</v>
      </c>
      <c r="P1860">
        <v>-6.3859680000000002E-2</v>
      </c>
      <c r="Q1860">
        <v>0.1558457</v>
      </c>
      <c r="R1860">
        <v>-0.98571500000000001</v>
      </c>
      <c r="S1860">
        <v>-0.269928</v>
      </c>
      <c r="T1860">
        <v>-0.1500348</v>
      </c>
      <c r="U1860">
        <v>-3.0501710000000002</v>
      </c>
      <c r="V1860">
        <v>2.7334359999999999E-2</v>
      </c>
      <c r="W1860">
        <v>0.1674976</v>
      </c>
      <c r="X1860">
        <v>0.98549350000000002</v>
      </c>
      <c r="Y1860">
        <v>5.0392230000000003E-2</v>
      </c>
      <c r="Z1860">
        <v>4.8950550000000002E-2</v>
      </c>
      <c r="AA1860">
        <v>0.9975292</v>
      </c>
      <c r="AB1860">
        <v>26</v>
      </c>
      <c r="AC1860">
        <v>-1.98239999999998</v>
      </c>
      <c r="AD1860">
        <v>-1.10854084489199</v>
      </c>
      <c r="AE1860">
        <v>-22.276199999999999</v>
      </c>
      <c r="AF1860">
        <v>1.1375408191016501</v>
      </c>
      <c r="AG1860">
        <v>-1.10854084489199</v>
      </c>
      <c r="AH1860">
        <v>22.280401693778401</v>
      </c>
      <c r="AI1860">
        <v>92.844650863492404</v>
      </c>
      <c r="AJ1860">
        <v>87.077263417914693</v>
      </c>
      <c r="AK1860">
        <v>22.336946110783298</v>
      </c>
      <c r="AL1860">
        <v>80.357644268662298</v>
      </c>
      <c r="AM1860">
        <v>88.411210196591696</v>
      </c>
      <c r="AN1860">
        <v>1.0000000258923001</v>
      </c>
    </row>
    <row r="1861" spans="1:40" x14ac:dyDescent="0.25">
      <c r="A1861" t="str">
        <f>"20190312172119828"</f>
        <v>20190312172119828</v>
      </c>
      <c r="B1861" t="str">
        <f>"1552382479822882"</f>
        <v>1552382479822882</v>
      </c>
      <c r="C1861" t="s">
        <v>40</v>
      </c>
      <c r="D1861">
        <v>3.50793</v>
      </c>
      <c r="E1861">
        <v>0.50948599999999999</v>
      </c>
      <c r="F1861" t="s">
        <v>42</v>
      </c>
      <c r="G1861">
        <v>-187.9666</v>
      </c>
      <c r="H1861" s="1">
        <v>-9.4431989999999998E-7</v>
      </c>
      <c r="I1861">
        <v>310.69459999999998</v>
      </c>
      <c r="J1861">
        <v>-185.97139999999999</v>
      </c>
      <c r="K1861">
        <v>1.10859</v>
      </c>
      <c r="L1861">
        <v>332.44420000000002</v>
      </c>
      <c r="M1861">
        <v>-3.9989450000000003E-2</v>
      </c>
      <c r="N1861">
        <v>0</v>
      </c>
      <c r="O1861">
        <v>-0.99912880000000004</v>
      </c>
      <c r="P1861">
        <v>-6.7292710000000006E-2</v>
      </c>
      <c r="Q1861">
        <v>0.1555984</v>
      </c>
      <c r="R1861">
        <v>-0.9855256</v>
      </c>
      <c r="S1861">
        <v>-0.27825929999999999</v>
      </c>
      <c r="T1861">
        <v>-0.15367210000000001</v>
      </c>
      <c r="U1861">
        <v>-3.0497740000000002</v>
      </c>
      <c r="V1861">
        <v>2.8525180000000001E-2</v>
      </c>
      <c r="W1861">
        <v>0.1672457</v>
      </c>
      <c r="X1861">
        <v>0.98550249999999995</v>
      </c>
      <c r="Y1861">
        <v>5.0848039999999997E-2</v>
      </c>
      <c r="Z1861">
        <v>5.0127520000000002E-2</v>
      </c>
      <c r="AA1861">
        <v>0.99744759999999999</v>
      </c>
      <c r="AB1861">
        <v>26</v>
      </c>
      <c r="AC1861">
        <v>-1.9952000000000101</v>
      </c>
      <c r="AD1861">
        <v>-1.1085909443199</v>
      </c>
      <c r="AE1861">
        <v>-21.749600000000001</v>
      </c>
      <c r="AF1861">
        <v>1.1208995026762301</v>
      </c>
      <c r="AG1861">
        <v>-1.1085909443199</v>
      </c>
      <c r="AH1861">
        <v>21.755942312984999</v>
      </c>
      <c r="AI1861">
        <v>92.913170800343096</v>
      </c>
      <c r="AJ1861">
        <v>87.050641412540998</v>
      </c>
      <c r="AK1861">
        <v>21.812987312673599</v>
      </c>
      <c r="AL1861">
        <v>80.372283267069307</v>
      </c>
      <c r="AM1861">
        <v>88.342047608816799</v>
      </c>
      <c r="AN1861">
        <v>0.99999999378438598</v>
      </c>
    </row>
    <row r="1862" spans="1:40" x14ac:dyDescent="0.25">
      <c r="A1862" t="str">
        <f>"20190312172119851"</f>
        <v>20190312172119851</v>
      </c>
      <c r="B1862" t="str">
        <f>"1552382479842403"</f>
        <v>1552382479842403</v>
      </c>
      <c r="C1862" t="s">
        <v>40</v>
      </c>
      <c r="D1862">
        <v>3.4901070000000001</v>
      </c>
      <c r="E1862">
        <v>0.54459669999999905</v>
      </c>
      <c r="F1862" t="s">
        <v>42</v>
      </c>
      <c r="G1862">
        <v>-188.03049999999999</v>
      </c>
      <c r="H1862" s="1">
        <v>-9.6701269999999992E-7</v>
      </c>
      <c r="I1862">
        <v>310.798</v>
      </c>
      <c r="J1862">
        <v>-185.98509999999999</v>
      </c>
      <c r="K1862">
        <v>1.108636</v>
      </c>
      <c r="L1862">
        <v>332.16969999999998</v>
      </c>
      <c r="M1862">
        <v>-4.2400399999999998E-2</v>
      </c>
      <c r="N1862">
        <v>0</v>
      </c>
      <c r="O1862">
        <v>-0.99902970000000002</v>
      </c>
      <c r="P1862">
        <v>-7.0927649999999995E-2</v>
      </c>
      <c r="Q1862">
        <v>0.15594259999999999</v>
      </c>
      <c r="R1862">
        <v>-0.98521639999999999</v>
      </c>
      <c r="S1862">
        <v>-0.29003909999999899</v>
      </c>
      <c r="T1862">
        <v>-0.15614649999999999</v>
      </c>
      <c r="U1862">
        <v>-3.048889</v>
      </c>
      <c r="V1862">
        <v>2.977057E-2</v>
      </c>
      <c r="W1862">
        <v>0.1675837</v>
      </c>
      <c r="X1862">
        <v>0.98540819999999996</v>
      </c>
      <c r="Y1862">
        <v>5.228091E-2</v>
      </c>
      <c r="Z1862">
        <v>5.0928710000000002E-2</v>
      </c>
      <c r="AA1862">
        <v>0.99733289999999997</v>
      </c>
      <c r="AB1862">
        <v>26</v>
      </c>
      <c r="AC1862">
        <v>-2.0453999999999999</v>
      </c>
      <c r="AD1862">
        <v>-1.1086369670127001</v>
      </c>
      <c r="AE1862">
        <v>-21.371699999999901</v>
      </c>
      <c r="AF1862">
        <v>1.1343027836172701</v>
      </c>
      <c r="AG1862">
        <v>-1.1086369670127001</v>
      </c>
      <c r="AH1862">
        <v>21.3821940999715</v>
      </c>
      <c r="AI1862">
        <v>92.963888484182306</v>
      </c>
      <c r="AJ1862">
        <v>86.963365912550401</v>
      </c>
      <c r="AK1862">
        <v>21.440940820272001</v>
      </c>
      <c r="AL1862">
        <v>80.352639653132698</v>
      </c>
      <c r="AM1862">
        <v>88.269540132933997</v>
      </c>
      <c r="AN1862">
        <v>0.99999995198552605</v>
      </c>
    </row>
    <row r="1863" spans="1:40" x14ac:dyDescent="0.25">
      <c r="A1863" t="str">
        <f>"20190312172119872"</f>
        <v>20190312172119872</v>
      </c>
      <c r="B1863" t="str">
        <f>"1552382479862897"</f>
        <v>1552382479862897</v>
      </c>
      <c r="C1863" t="s">
        <v>40</v>
      </c>
      <c r="D1863">
        <v>3.4881470000000001</v>
      </c>
      <c r="E1863">
        <v>0.54934090000000002</v>
      </c>
      <c r="F1863" t="s">
        <v>42</v>
      </c>
      <c r="G1863">
        <v>-190.2208</v>
      </c>
      <c r="H1863" s="1">
        <v>-2.963558E-7</v>
      </c>
      <c r="I1863">
        <v>310.09429999999998</v>
      </c>
      <c r="J1863">
        <v>-185.9983</v>
      </c>
      <c r="K1863">
        <v>1.108668</v>
      </c>
      <c r="L1863">
        <v>331.91770000000002</v>
      </c>
      <c r="M1863">
        <v>-4.4562310000000001E-2</v>
      </c>
      <c r="N1863">
        <v>0</v>
      </c>
      <c r="O1863">
        <v>-0.99893560000000003</v>
      </c>
      <c r="P1863">
        <v>-7.4450000000000002E-2</v>
      </c>
      <c r="Q1863">
        <v>0.1566149</v>
      </c>
      <c r="R1863">
        <v>-0.98484989999999994</v>
      </c>
      <c r="S1863">
        <v>-0.58085629999999999</v>
      </c>
      <c r="T1863">
        <v>-0.15203150000000001</v>
      </c>
      <c r="U1863">
        <v>-3.0272830000000002</v>
      </c>
      <c r="V1863">
        <v>3.1156489999999998E-2</v>
      </c>
      <c r="W1863">
        <v>0.168248799999999</v>
      </c>
      <c r="X1863">
        <v>0.98525200000000002</v>
      </c>
      <c r="Y1863">
        <v>0.144252399999999</v>
      </c>
      <c r="Z1863">
        <v>4.9371279999999997E-2</v>
      </c>
      <c r="AA1863">
        <v>0.98830850000000003</v>
      </c>
      <c r="AB1863">
        <v>26</v>
      </c>
      <c r="AC1863">
        <v>-4.2224999999999904</v>
      </c>
      <c r="AD1863">
        <v>-1.1086682963558001</v>
      </c>
      <c r="AE1863">
        <v>-21.823399999999999</v>
      </c>
      <c r="AF1863">
        <v>3.23768033787095</v>
      </c>
      <c r="AG1863">
        <v>-1.1086682963558001</v>
      </c>
      <c r="AH1863">
        <v>21.935327030543402</v>
      </c>
      <c r="AI1863">
        <v>92.862454662493505</v>
      </c>
      <c r="AJ1863">
        <v>81.603698850549506</v>
      </c>
      <c r="AK1863">
        <v>22.200682225969299</v>
      </c>
      <c r="AL1863">
        <v>80.313983284144598</v>
      </c>
      <c r="AM1863">
        <v>88.188746950220306</v>
      </c>
      <c r="AN1863">
        <v>0.99999994453727803</v>
      </c>
    </row>
    <row r="1864" spans="1:40" x14ac:dyDescent="0.25">
      <c r="A1864" t="str">
        <f>"20190312172119895"</f>
        <v>20190312172119895</v>
      </c>
      <c r="B1864" t="str">
        <f>"1552382479882417"</f>
        <v>1552382479882417</v>
      </c>
      <c r="C1864" t="s">
        <v>40</v>
      </c>
      <c r="D1864">
        <v>3.4885429999999999</v>
      </c>
      <c r="E1864">
        <v>0.55139069999999901</v>
      </c>
      <c r="F1864" t="s">
        <v>42</v>
      </c>
      <c r="G1864">
        <v>-190.71799999999999</v>
      </c>
      <c r="H1864" s="1">
        <v>-4.3031229999999999E-6</v>
      </c>
      <c r="I1864">
        <v>309.25740000000002</v>
      </c>
      <c r="J1864">
        <v>-186.0121</v>
      </c>
      <c r="K1864">
        <v>1.108706</v>
      </c>
      <c r="L1864">
        <v>331.66160000000002</v>
      </c>
      <c r="M1864">
        <v>-4.6707789999999999E-2</v>
      </c>
      <c r="N1864">
        <v>0</v>
      </c>
      <c r="O1864">
        <v>-0.99883750000000004</v>
      </c>
      <c r="P1864">
        <v>-7.8123949999999998E-2</v>
      </c>
      <c r="Q1864">
        <v>0.15664500000000001</v>
      </c>
      <c r="R1864">
        <v>-0.9845604</v>
      </c>
      <c r="S1864">
        <v>-0.6294556</v>
      </c>
      <c r="T1864">
        <v>-0.14785879999999901</v>
      </c>
      <c r="U1864">
        <v>-3.0220950000000002</v>
      </c>
      <c r="V1864">
        <v>3.270439E-2</v>
      </c>
      <c r="W1864">
        <v>0.16827230000000001</v>
      </c>
      <c r="X1864">
        <v>0.98519780000000001</v>
      </c>
      <c r="Y1864">
        <v>0.15772149999999999</v>
      </c>
      <c r="Z1864">
        <v>4.7968440000000001E-2</v>
      </c>
      <c r="AA1864">
        <v>0.98631789999999997</v>
      </c>
      <c r="AB1864">
        <v>26</v>
      </c>
      <c r="AC1864">
        <v>-4.7058999999999802</v>
      </c>
      <c r="AD1864">
        <v>-1.1087103031229999</v>
      </c>
      <c r="AE1864">
        <v>-22.404199999999999</v>
      </c>
      <c r="AF1864">
        <v>3.6456874405062401</v>
      </c>
      <c r="AG1864">
        <v>-1.1087103031229999</v>
      </c>
      <c r="AH1864">
        <v>22.546680040920801</v>
      </c>
      <c r="AI1864">
        <v>92.7791558196338</v>
      </c>
      <c r="AJ1864">
        <v>80.8150509920399</v>
      </c>
      <c r="AK1864">
        <v>22.866417653794599</v>
      </c>
      <c r="AL1864">
        <v>80.312617163628701</v>
      </c>
      <c r="AM1864">
        <v>88.0987212097357</v>
      </c>
      <c r="AN1864">
        <v>0.99999992459869802</v>
      </c>
    </row>
    <row r="1865" spans="1:40" x14ac:dyDescent="0.25">
      <c r="A1865" t="str">
        <f>"20190312172119908"</f>
        <v>20190312172119908</v>
      </c>
      <c r="B1865" t="str">
        <f>"1552382479902913"</f>
        <v>1552382479902913</v>
      </c>
      <c r="C1865" t="s">
        <v>40</v>
      </c>
      <c r="D1865">
        <v>3.481671</v>
      </c>
      <c r="E1865">
        <v>0.55217179999999999</v>
      </c>
      <c r="F1865" t="s">
        <v>42</v>
      </c>
      <c r="G1865">
        <v>-190.9066</v>
      </c>
      <c r="H1865" s="1">
        <v>-4.30709799999999E-6</v>
      </c>
      <c r="I1865">
        <v>309.17079999999999</v>
      </c>
      <c r="J1865">
        <v>-186.02109999999999</v>
      </c>
      <c r="K1865">
        <v>1.1087340000000001</v>
      </c>
      <c r="L1865">
        <v>331.50139999999999</v>
      </c>
      <c r="M1865">
        <v>-4.8019840000000001E-2</v>
      </c>
      <c r="N1865">
        <v>0</v>
      </c>
      <c r="O1865">
        <v>-0.99877539999999998</v>
      </c>
      <c r="P1865">
        <v>-8.0806290000000003E-2</v>
      </c>
      <c r="Q1865">
        <v>0.15653629999999999</v>
      </c>
      <c r="R1865">
        <v>-0.98436120000000005</v>
      </c>
      <c r="S1865">
        <v>-0.65690609999999905</v>
      </c>
      <c r="T1865">
        <v>-0.14880489999999999</v>
      </c>
      <c r="U1865">
        <v>-3.0185849999999999</v>
      </c>
      <c r="V1865">
        <v>3.4085869999999997E-2</v>
      </c>
      <c r="W1865">
        <v>0.1681581</v>
      </c>
      <c r="X1865">
        <v>0.98517049999999995</v>
      </c>
      <c r="Y1865">
        <v>0.1652257</v>
      </c>
      <c r="Z1865">
        <v>4.824991E-2</v>
      </c>
      <c r="AA1865">
        <v>0.98507480000000003</v>
      </c>
      <c r="AB1865">
        <v>26</v>
      </c>
      <c r="AC1865">
        <v>-4.8855000000000004</v>
      </c>
      <c r="AD1865">
        <v>-1.1087383070979999</v>
      </c>
      <c r="AE1865">
        <v>-22.3306</v>
      </c>
      <c r="AF1865">
        <v>3.7985388049837798</v>
      </c>
      <c r="AG1865">
        <v>-1.1087383070979999</v>
      </c>
      <c r="AH1865">
        <v>22.486550588968999</v>
      </c>
      <c r="AI1865">
        <v>92.783411026469594</v>
      </c>
      <c r="AJ1865">
        <v>80.411832564485707</v>
      </c>
      <c r="AK1865">
        <v>22.832064187822699</v>
      </c>
      <c r="AL1865">
        <v>80.319255211796104</v>
      </c>
      <c r="AM1865">
        <v>88.018416348671906</v>
      </c>
      <c r="AN1865">
        <v>0.99999995359975702</v>
      </c>
    </row>
    <row r="1866" spans="1:40" x14ac:dyDescent="0.25">
      <c r="A1866" t="str">
        <f>"20190312172119928"</f>
        <v>20190312172119928</v>
      </c>
      <c r="B1866" t="str">
        <f>"1552382479922434"</f>
        <v>1552382479922434</v>
      </c>
      <c r="C1866" t="s">
        <v>40</v>
      </c>
      <c r="D1866">
        <v>3.5112540000000001</v>
      </c>
      <c r="E1866">
        <v>0.55262880000000003</v>
      </c>
      <c r="F1866" t="s">
        <v>42</v>
      </c>
      <c r="G1866">
        <v>-190.94059999999999</v>
      </c>
      <c r="H1866" s="1">
        <v>-4.388523E-6</v>
      </c>
      <c r="I1866">
        <v>309.39240000000001</v>
      </c>
      <c r="J1866">
        <v>-186.03460000000001</v>
      </c>
      <c r="K1866">
        <v>1.108776</v>
      </c>
      <c r="L1866">
        <v>331.2645</v>
      </c>
      <c r="M1866">
        <v>-4.9918539999999997E-2</v>
      </c>
      <c r="N1866">
        <v>0</v>
      </c>
      <c r="O1866">
        <v>-0.99868239999999997</v>
      </c>
      <c r="P1866">
        <v>-8.5259059999999998E-2</v>
      </c>
      <c r="Q1866">
        <v>0.15635639999999901</v>
      </c>
      <c r="R1866">
        <v>-0.98401430000000001</v>
      </c>
      <c r="S1866">
        <v>-0.67123409999999994</v>
      </c>
      <c r="T1866">
        <v>-0.15127829999999901</v>
      </c>
      <c r="U1866">
        <v>-3.0166019999999998</v>
      </c>
      <c r="V1866">
        <v>3.6656599999999998E-2</v>
      </c>
      <c r="W1866">
        <v>0.16796920000000001</v>
      </c>
      <c r="X1866">
        <v>0.9851105</v>
      </c>
      <c r="Y1866">
        <v>0.167939</v>
      </c>
      <c r="Z1866">
        <v>4.903851E-2</v>
      </c>
      <c r="AA1866">
        <v>0.98457689999999998</v>
      </c>
      <c r="AB1866">
        <v>26</v>
      </c>
      <c r="AC1866">
        <v>-4.9059999999999704</v>
      </c>
      <c r="AD1866">
        <v>-1.1087803885230001</v>
      </c>
      <c r="AE1866">
        <v>-21.8720999999999</v>
      </c>
      <c r="AF1866">
        <v>3.7986876934255598</v>
      </c>
      <c r="AG1866">
        <v>-1.1087803885230001</v>
      </c>
      <c r="AH1866">
        <v>22.035829302969699</v>
      </c>
      <c r="AI1866">
        <v>92.838730841648697</v>
      </c>
      <c r="AJ1866">
        <v>80.219090891997695</v>
      </c>
      <c r="AK1866">
        <v>22.388327208877701</v>
      </c>
      <c r="AL1866">
        <v>80.330235278431005</v>
      </c>
      <c r="AM1866">
        <v>87.868970121323599</v>
      </c>
      <c r="AN1866">
        <v>1.00000002784122</v>
      </c>
    </row>
    <row r="1867" spans="1:40" x14ac:dyDescent="0.25">
      <c r="A1867" t="str">
        <f>"20190312172119951"</f>
        <v>20190312172119951</v>
      </c>
      <c r="B1867" t="str">
        <f>"1552382479942930"</f>
        <v>1552382479942930</v>
      </c>
      <c r="C1867" t="s">
        <v>40</v>
      </c>
      <c r="D1867">
        <v>3.5068199999999998</v>
      </c>
      <c r="E1867">
        <v>0.55283530000000003</v>
      </c>
      <c r="F1867" t="s">
        <v>42</v>
      </c>
      <c r="G1867">
        <v>-190.96510000000001</v>
      </c>
      <c r="H1867" s="1">
        <v>-2.9164739999999999E-7</v>
      </c>
      <c r="I1867">
        <v>309.6653</v>
      </c>
      <c r="J1867">
        <v>-186.05090000000001</v>
      </c>
      <c r="K1867">
        <v>1.1088290000000001</v>
      </c>
      <c r="L1867">
        <v>330.98809999999997</v>
      </c>
      <c r="M1867">
        <v>-5.2062169999999998E-2</v>
      </c>
      <c r="N1867">
        <v>0</v>
      </c>
      <c r="O1867">
        <v>-0.99857300000000004</v>
      </c>
      <c r="P1867">
        <v>-9.005726E-2</v>
      </c>
      <c r="Q1867">
        <v>0.15569359999999999</v>
      </c>
      <c r="R1867">
        <v>-0.98369200000000001</v>
      </c>
      <c r="S1867">
        <v>-0.68795779999999995</v>
      </c>
      <c r="T1867">
        <v>-0.15470799999999901</v>
      </c>
      <c r="U1867">
        <v>-3.0137330000000002</v>
      </c>
      <c r="V1867">
        <v>3.9322290000000003E-2</v>
      </c>
      <c r="W1867">
        <v>0.167298799999999</v>
      </c>
      <c r="X1867">
        <v>0.98512169999999999</v>
      </c>
      <c r="Y1867">
        <v>0.17120769999999999</v>
      </c>
      <c r="Z1867">
        <v>5.0141270000000002E-2</v>
      </c>
      <c r="AA1867">
        <v>0.98395820000000001</v>
      </c>
      <c r="AB1867">
        <v>26</v>
      </c>
      <c r="AC1867">
        <v>-4.9141999999999904</v>
      </c>
      <c r="AD1867">
        <v>-1.1088292916474001</v>
      </c>
      <c r="AE1867">
        <v>-21.322799999999901</v>
      </c>
      <c r="AF1867">
        <v>3.7876189229662298</v>
      </c>
      <c r="AG1867">
        <v>-1.1088292916474001</v>
      </c>
      <c r="AH1867">
        <v>21.494546719771201</v>
      </c>
      <c r="AI1867">
        <v>92.908343686827493</v>
      </c>
      <c r="AJ1867">
        <v>80.006332879419702</v>
      </c>
      <c r="AK1867">
        <v>21.853857741644902</v>
      </c>
      <c r="AL1867">
        <v>80.3691969322945</v>
      </c>
      <c r="AM1867">
        <v>87.714185129960796</v>
      </c>
      <c r="AN1867">
        <v>0.99999994739158504</v>
      </c>
    </row>
    <row r="1868" spans="1:40" x14ac:dyDescent="0.25">
      <c r="A1868" t="str">
        <f>"20190312172119975"</f>
        <v>20190312172119975</v>
      </c>
      <c r="B1868" t="str">
        <f>"1552382479962449"</f>
        <v>1552382479962449</v>
      </c>
      <c r="C1868" t="s">
        <v>40</v>
      </c>
      <c r="D1868">
        <v>3.5188519999999999</v>
      </c>
      <c r="E1868">
        <v>0.55285509999999904</v>
      </c>
      <c r="F1868" t="s">
        <v>42</v>
      </c>
      <c r="G1868">
        <v>-190.9821</v>
      </c>
      <c r="H1868" s="1">
        <v>-3.991808E-7</v>
      </c>
      <c r="I1868">
        <v>309.88330000000002</v>
      </c>
      <c r="J1868">
        <v>-186.06739999999999</v>
      </c>
      <c r="K1868">
        <v>1.108886</v>
      </c>
      <c r="L1868">
        <v>330.71699999999998</v>
      </c>
      <c r="M1868">
        <v>-5.4084479999999997E-2</v>
      </c>
      <c r="N1868">
        <v>0</v>
      </c>
      <c r="O1868">
        <v>-0.99846550000000001</v>
      </c>
      <c r="P1868">
        <v>-9.4595330000000005E-2</v>
      </c>
      <c r="Q1868">
        <v>0.1552134</v>
      </c>
      <c r="R1868">
        <v>-0.98334180000000004</v>
      </c>
      <c r="S1868">
        <v>-0.70338440000000002</v>
      </c>
      <c r="T1868">
        <v>-0.15816240000000001</v>
      </c>
      <c r="U1868">
        <v>-3.0103759999999999</v>
      </c>
      <c r="V1868">
        <v>4.1848330000000003E-2</v>
      </c>
      <c r="W1868">
        <v>0.16681270000000001</v>
      </c>
      <c r="X1868">
        <v>0.98510010000000003</v>
      </c>
      <c r="Y1868">
        <v>0.1742233</v>
      </c>
      <c r="Z1868">
        <v>5.1262330000000002E-2</v>
      </c>
      <c r="AA1868">
        <v>0.983371</v>
      </c>
      <c r="AB1868">
        <v>26</v>
      </c>
      <c r="AC1868">
        <v>-4.9147000000000096</v>
      </c>
      <c r="AD1868">
        <v>-1.1088863991808</v>
      </c>
      <c r="AE1868">
        <v>-20.833699999999901</v>
      </c>
      <c r="AF1868">
        <v>3.7705274038600498</v>
      </c>
      <c r="AG1868">
        <v>-1.1088863991808</v>
      </c>
      <c r="AH1868">
        <v>21.0126405067005</v>
      </c>
      <c r="AI1868">
        <v>92.973426493218398</v>
      </c>
      <c r="AJ1868">
        <v>79.827057299811003</v>
      </c>
      <c r="AK1868">
        <v>21.377033634566299</v>
      </c>
      <c r="AL1868">
        <v>80.397445723352405</v>
      </c>
      <c r="AM1868">
        <v>87.567463566519393</v>
      </c>
      <c r="AN1868">
        <v>0.99999998331254403</v>
      </c>
    </row>
    <row r="1869" spans="1:40" x14ac:dyDescent="0.25">
      <c r="A1869" t="str">
        <f>"20190312172119997"</f>
        <v>20190312172119997</v>
      </c>
      <c r="B1869" t="str">
        <f>"1552382479992706"</f>
        <v>1552382479992706</v>
      </c>
      <c r="C1869" t="s">
        <v>40</v>
      </c>
      <c r="D1869">
        <v>3.5068250000000001</v>
      </c>
      <c r="E1869">
        <v>0.55264930000000001</v>
      </c>
      <c r="F1869" t="s">
        <v>42</v>
      </c>
      <c r="G1869">
        <v>-190.97970000000001</v>
      </c>
      <c r="H1869" s="1">
        <v>-5.0779480000000002E-7</v>
      </c>
      <c r="I1869">
        <v>310.11439999999999</v>
      </c>
      <c r="J1869">
        <v>-186.08430000000001</v>
      </c>
      <c r="K1869">
        <v>1.108954</v>
      </c>
      <c r="L1869">
        <v>330.44619999999998</v>
      </c>
      <c r="M1869">
        <v>-5.6002389999999999E-2</v>
      </c>
      <c r="N1869">
        <v>0</v>
      </c>
      <c r="O1869">
        <v>-0.99835989999999997</v>
      </c>
      <c r="P1869">
        <v>-9.905688E-2</v>
      </c>
      <c r="Q1869">
        <v>0.15500549999999999</v>
      </c>
      <c r="R1869">
        <v>-0.98293520000000001</v>
      </c>
      <c r="S1869">
        <v>-0.71705629999999998</v>
      </c>
      <c r="T1869">
        <v>-0.16186510000000001</v>
      </c>
      <c r="U1869">
        <v>-3.0073850000000002</v>
      </c>
      <c r="V1869">
        <v>4.4400920000000003E-2</v>
      </c>
      <c r="W1869">
        <v>0.16659930000000001</v>
      </c>
      <c r="X1869">
        <v>0.98502449999999997</v>
      </c>
      <c r="Y1869">
        <v>0.176767799999999</v>
      </c>
      <c r="Z1869">
        <v>5.2462420000000003E-2</v>
      </c>
      <c r="AA1869">
        <v>0.98285339999999999</v>
      </c>
      <c r="AB1869">
        <v>26</v>
      </c>
      <c r="AC1869">
        <v>-4.8953999999999898</v>
      </c>
      <c r="AD1869">
        <v>-1.1089545077948</v>
      </c>
      <c r="AE1869">
        <v>-20.331799999999902</v>
      </c>
      <c r="AF1869">
        <v>3.7384941244649501</v>
      </c>
      <c r="AG1869">
        <v>-1.1089545077948</v>
      </c>
      <c r="AH1869">
        <v>20.516370761218401</v>
      </c>
      <c r="AI1869">
        <v>93.043924643186998</v>
      </c>
      <c r="AJ1869">
        <v>79.672866519068094</v>
      </c>
      <c r="AK1869">
        <v>20.883667964004601</v>
      </c>
      <c r="AL1869">
        <v>80.409846493104993</v>
      </c>
      <c r="AM1869">
        <v>87.419085080494895</v>
      </c>
      <c r="AN1869">
        <v>1.0000000170287899</v>
      </c>
    </row>
    <row r="1870" spans="1:40" x14ac:dyDescent="0.25">
      <c r="A1870" t="str">
        <f>"20190312172120019"</f>
        <v>20190312172120019</v>
      </c>
      <c r="B1870" t="str">
        <f>"1552382480013202"</f>
        <v>1552382480013202</v>
      </c>
      <c r="C1870" t="s">
        <v>40</v>
      </c>
      <c r="D1870">
        <v>3.5198170000000002</v>
      </c>
      <c r="E1870">
        <v>0.55238419999999999</v>
      </c>
      <c r="F1870" t="s">
        <v>42</v>
      </c>
      <c r="G1870">
        <v>-190.97810000000001</v>
      </c>
      <c r="H1870" s="1">
        <v>-5.7847230000000005E-7</v>
      </c>
      <c r="I1870">
        <v>310.26479999999998</v>
      </c>
      <c r="J1870">
        <v>-186.1003</v>
      </c>
      <c r="K1870">
        <v>1.1090329999999999</v>
      </c>
      <c r="L1870">
        <v>330.19540000000001</v>
      </c>
      <c r="M1870">
        <v>-5.7658349999999997E-2</v>
      </c>
      <c r="N1870">
        <v>0</v>
      </c>
      <c r="O1870">
        <v>-0.99826539999999997</v>
      </c>
      <c r="P1870">
        <v>-0.10338559999999999</v>
      </c>
      <c r="Q1870">
        <v>0.15449489999999999</v>
      </c>
      <c r="R1870">
        <v>-0.98256929999999998</v>
      </c>
      <c r="S1870">
        <v>-0.7286224</v>
      </c>
      <c r="T1870">
        <v>-0.16510610000000001</v>
      </c>
      <c r="U1870">
        <v>-3.0047000000000001</v>
      </c>
      <c r="V1870">
        <v>4.7072320000000001E-2</v>
      </c>
      <c r="W1870">
        <v>0.16608580000000001</v>
      </c>
      <c r="X1870">
        <v>0.9849871</v>
      </c>
      <c r="Y1870">
        <v>0.17889630000000001</v>
      </c>
      <c r="Z1870">
        <v>5.3514529999999998E-2</v>
      </c>
      <c r="AA1870">
        <v>0.98241149999999999</v>
      </c>
      <c r="AB1870">
        <v>26</v>
      </c>
      <c r="AC1870">
        <v>-4.8777999999999997</v>
      </c>
      <c r="AD1870">
        <v>-1.1090335784723</v>
      </c>
      <c r="AE1870">
        <v>-19.930599999999998</v>
      </c>
      <c r="AF1870">
        <v>3.7095999991767998</v>
      </c>
      <c r="AG1870">
        <v>-1.1090335784723</v>
      </c>
      <c r="AH1870">
        <v>20.1199265326171</v>
      </c>
      <c r="AI1870">
        <v>93.102823691413803</v>
      </c>
      <c r="AJ1870">
        <v>79.553442099433795</v>
      </c>
      <c r="AK1870">
        <v>20.489083222779399</v>
      </c>
      <c r="AL1870">
        <v>80.439682838235598</v>
      </c>
      <c r="AM1870">
        <v>87.263928787249796</v>
      </c>
      <c r="AN1870">
        <v>0.99999994171911399</v>
      </c>
    </row>
    <row r="1871" spans="1:40" x14ac:dyDescent="0.25">
      <c r="A1871" t="str">
        <f>"20190312172120040"</f>
        <v>20190312172120040</v>
      </c>
      <c r="B1871" t="str">
        <f>"1552382480032722"</f>
        <v>1552382480032722</v>
      </c>
      <c r="C1871" t="s">
        <v>40</v>
      </c>
      <c r="D1871">
        <v>3.528349</v>
      </c>
      <c r="E1871">
        <v>0.55210809999999999</v>
      </c>
      <c r="F1871" t="s">
        <v>42</v>
      </c>
      <c r="G1871">
        <v>-190.94759999999999</v>
      </c>
      <c r="H1871" s="1">
        <v>-6.8679379999999999E-7</v>
      </c>
      <c r="I1871">
        <v>310.51119999999997</v>
      </c>
      <c r="J1871">
        <v>-186.11680000000001</v>
      </c>
      <c r="K1871">
        <v>1.109135</v>
      </c>
      <c r="L1871">
        <v>329.9402</v>
      </c>
      <c r="M1871">
        <v>-5.9197470000000002E-2</v>
      </c>
      <c r="N1871">
        <v>0</v>
      </c>
      <c r="O1871">
        <v>-0.99817560000000005</v>
      </c>
      <c r="P1871">
        <v>-0.107686</v>
      </c>
      <c r="Q1871">
        <v>0.15445819999999999</v>
      </c>
      <c r="R1871">
        <v>-0.98211360000000003</v>
      </c>
      <c r="S1871">
        <v>-0.73925779999999996</v>
      </c>
      <c r="T1871">
        <v>-0.1691368</v>
      </c>
      <c r="U1871">
        <v>-3.002014</v>
      </c>
      <c r="V1871">
        <v>4.9828659999999997E-2</v>
      </c>
      <c r="W1871">
        <v>0.16604820000000001</v>
      </c>
      <c r="X1871">
        <v>0.98485789999999995</v>
      </c>
      <c r="Y1871">
        <v>0.18084749999999999</v>
      </c>
      <c r="Z1871">
        <v>5.4824520000000002E-2</v>
      </c>
      <c r="AA1871">
        <v>0.98198189999999996</v>
      </c>
      <c r="AB1871">
        <v>26</v>
      </c>
      <c r="AC1871">
        <v>-4.8307999999999804</v>
      </c>
      <c r="AD1871">
        <v>-1.1091356867938</v>
      </c>
      <c r="AE1871">
        <v>-19.428999999999998</v>
      </c>
      <c r="AF1871">
        <v>3.6608624673113002</v>
      </c>
      <c r="AG1871">
        <v>-1.1091356867938</v>
      </c>
      <c r="AH1871">
        <v>19.620695001190899</v>
      </c>
      <c r="AI1871">
        <v>93.180647976600198</v>
      </c>
      <c r="AJ1871">
        <v>79.431181420656102</v>
      </c>
      <c r="AK1871">
        <v>19.990091753317301</v>
      </c>
      <c r="AL1871">
        <v>80.441867976377594</v>
      </c>
      <c r="AM1871">
        <v>87.1036028956065</v>
      </c>
      <c r="AN1871">
        <v>0.99999999163652198</v>
      </c>
    </row>
    <row r="1872" spans="1:40" x14ac:dyDescent="0.25">
      <c r="A1872" t="str">
        <f>"20190312172120064"</f>
        <v>20190312172120064</v>
      </c>
      <c r="B1872" t="str">
        <f>"1552382480062979"</f>
        <v>1552382480062979</v>
      </c>
      <c r="C1872" t="s">
        <v>40</v>
      </c>
      <c r="D1872">
        <v>3.520194</v>
      </c>
      <c r="E1872">
        <v>0.55160330000000002</v>
      </c>
      <c r="F1872" t="s">
        <v>42</v>
      </c>
      <c r="G1872">
        <v>-190.98660000000001</v>
      </c>
      <c r="H1872" s="1">
        <v>-6.7202019999999904E-7</v>
      </c>
      <c r="I1872">
        <v>310.45800000000003</v>
      </c>
      <c r="J1872">
        <v>-186.13589999999999</v>
      </c>
      <c r="K1872">
        <v>1.1092740000000001</v>
      </c>
      <c r="L1872">
        <v>329.65010000000001</v>
      </c>
      <c r="M1872">
        <v>-6.072785E-2</v>
      </c>
      <c r="N1872">
        <v>0</v>
      </c>
      <c r="O1872">
        <v>-0.99808379999999997</v>
      </c>
      <c r="P1872">
        <v>-0.1119484</v>
      </c>
      <c r="Q1872">
        <v>0.15437479999999901</v>
      </c>
      <c r="R1872">
        <v>-0.98165000000000002</v>
      </c>
      <c r="S1872">
        <v>-0.74969479999999999</v>
      </c>
      <c r="T1872">
        <v>-0.1707515</v>
      </c>
      <c r="U1872">
        <v>-2.999298</v>
      </c>
      <c r="V1872">
        <v>5.2540770000000001E-2</v>
      </c>
      <c r="W1872">
        <v>0.1659767</v>
      </c>
      <c r="X1872">
        <v>0.98472899999999997</v>
      </c>
      <c r="Y1872">
        <v>0.18275739999999999</v>
      </c>
      <c r="Z1872">
        <v>5.5354430000000003E-2</v>
      </c>
      <c r="AA1872">
        <v>0.98159850000000004</v>
      </c>
      <c r="AB1872">
        <v>26</v>
      </c>
      <c r="AC1872">
        <v>-4.8507000000000096</v>
      </c>
      <c r="AD1872">
        <v>-1.10927467202019</v>
      </c>
      <c r="AE1872">
        <v>-19.1921</v>
      </c>
      <c r="AF1872">
        <v>3.6646617053705199</v>
      </c>
      <c r="AG1872">
        <v>-1.10927467202019</v>
      </c>
      <c r="AH1872">
        <v>19.390379317057299</v>
      </c>
      <c r="AI1872">
        <v>93.217345617006899</v>
      </c>
      <c r="AJ1872">
        <v>79.297684818484498</v>
      </c>
      <c r="AK1872">
        <v>19.764793087006002</v>
      </c>
      <c r="AL1872">
        <v>80.446022356042107</v>
      </c>
      <c r="AM1872">
        <v>86.945847444680396</v>
      </c>
      <c r="AN1872">
        <v>1.00000000044804</v>
      </c>
    </row>
    <row r="1873" spans="1:40" x14ac:dyDescent="0.25">
      <c r="A1873" t="str">
        <f>"20190312172120085"</f>
        <v>20190312172120085</v>
      </c>
      <c r="B1873" t="str">
        <f>"1552382480082498"</f>
        <v>1552382480082498</v>
      </c>
      <c r="C1873" t="s">
        <v>40</v>
      </c>
      <c r="D1873">
        <v>3.5331969999999999</v>
      </c>
      <c r="E1873">
        <v>0.55115459999999905</v>
      </c>
      <c r="F1873" t="s">
        <v>42</v>
      </c>
      <c r="G1873">
        <v>-190.96510000000001</v>
      </c>
      <c r="H1873" s="1">
        <v>-7.0204580000000003E-7</v>
      </c>
      <c r="I1873">
        <v>310.53359999999998</v>
      </c>
      <c r="J1873">
        <v>-186.15190000000001</v>
      </c>
      <c r="K1873">
        <v>1.1093919999999999</v>
      </c>
      <c r="L1873">
        <v>329.41050000000001</v>
      </c>
      <c r="M1873">
        <v>-6.1859669999999999E-2</v>
      </c>
      <c r="N1873">
        <v>0</v>
      </c>
      <c r="O1873">
        <v>-0.99801379999999995</v>
      </c>
      <c r="P1873">
        <v>-0.1166456</v>
      </c>
      <c r="Q1873">
        <v>0.15407709999999999</v>
      </c>
      <c r="R1873">
        <v>-0.9811493</v>
      </c>
      <c r="S1873">
        <v>-0.75711059999999997</v>
      </c>
      <c r="T1873">
        <v>-0.17391089999999901</v>
      </c>
      <c r="U1873">
        <v>-2.9970699999999999</v>
      </c>
      <c r="V1873">
        <v>5.6094669999999999E-2</v>
      </c>
      <c r="W1873">
        <v>0.16569029999999901</v>
      </c>
      <c r="X1873">
        <v>0.98458120000000005</v>
      </c>
      <c r="Y1873">
        <v>0.18408430000000001</v>
      </c>
      <c r="Z1873">
        <v>5.6386220000000001E-2</v>
      </c>
      <c r="AA1873">
        <v>0.98129180000000005</v>
      </c>
      <c r="AB1873">
        <v>26</v>
      </c>
      <c r="AC1873">
        <v>-4.8131999999999904</v>
      </c>
      <c r="AD1873">
        <v>-1.1093927020458001</v>
      </c>
      <c r="AE1873">
        <v>-18.876899999999999</v>
      </c>
      <c r="AF1873">
        <v>3.6244248977454498</v>
      </c>
      <c r="AG1873">
        <v>-1.1093927020458001</v>
      </c>
      <c r="AH1873">
        <v>19.076640435075198</v>
      </c>
      <c r="AI1873">
        <v>93.269895806284495</v>
      </c>
      <c r="AJ1873">
        <v>79.242429424995507</v>
      </c>
      <c r="AK1873">
        <v>19.449560876685499</v>
      </c>
      <c r="AL1873">
        <v>80.462662392666203</v>
      </c>
      <c r="AM1873">
        <v>86.739205325571902</v>
      </c>
      <c r="AN1873">
        <v>1.00000001345496</v>
      </c>
    </row>
    <row r="1874" spans="1:40" x14ac:dyDescent="0.25">
      <c r="A1874" t="str">
        <f>"20190312172120106"</f>
        <v>20190312172120106</v>
      </c>
      <c r="B1874" t="str">
        <f>"1552382480102994"</f>
        <v>1552382480102994</v>
      </c>
      <c r="C1874" t="s">
        <v>40</v>
      </c>
      <c r="D1874">
        <v>3.5354169999999998</v>
      </c>
      <c r="E1874">
        <v>0.54294969999999998</v>
      </c>
      <c r="F1874" t="s">
        <v>42</v>
      </c>
      <c r="G1874">
        <v>-190.96770000000001</v>
      </c>
      <c r="H1874" s="1">
        <v>-7.3921909999999999E-7</v>
      </c>
      <c r="I1874">
        <v>310.61070000000001</v>
      </c>
      <c r="J1874">
        <v>-186.16900000000001</v>
      </c>
      <c r="K1874">
        <v>1.1095090000000001</v>
      </c>
      <c r="L1874">
        <v>329.1551</v>
      </c>
      <c r="M1874">
        <v>-6.2905610000000001E-2</v>
      </c>
      <c r="N1874">
        <v>0</v>
      </c>
      <c r="O1874">
        <v>-0.99794870000000002</v>
      </c>
      <c r="P1874">
        <v>-0.1233224</v>
      </c>
      <c r="Q1874">
        <v>0.1532039</v>
      </c>
      <c r="R1874">
        <v>-0.98046979999999995</v>
      </c>
      <c r="S1874">
        <v>-0.76701350000000001</v>
      </c>
      <c r="T1874">
        <v>-0.17669109999999999</v>
      </c>
      <c r="U1874">
        <v>-2.994202</v>
      </c>
      <c r="V1874">
        <v>6.1717929999999997E-2</v>
      </c>
      <c r="W1874">
        <v>0.16482639999999901</v>
      </c>
      <c r="X1874">
        <v>0.98438970000000003</v>
      </c>
      <c r="Y1874">
        <v>0.18631220000000001</v>
      </c>
      <c r="Z1874">
        <v>5.7296939999999998E-2</v>
      </c>
      <c r="AA1874">
        <v>0.98081850000000004</v>
      </c>
      <c r="AB1874">
        <v>26</v>
      </c>
      <c r="AC1874">
        <v>-4.7986999999999904</v>
      </c>
      <c r="AD1874">
        <v>-1.1095097392191</v>
      </c>
      <c r="AE1874">
        <v>-18.5444</v>
      </c>
      <c r="AF1874">
        <v>3.6104525870478801</v>
      </c>
      <c r="AG1874">
        <v>-1.1095097392191</v>
      </c>
      <c r="AH1874">
        <v>18.746659336012701</v>
      </c>
      <c r="AI1874">
        <v>93.326082942346005</v>
      </c>
      <c r="AJ1874">
        <v>79.098776955634506</v>
      </c>
      <c r="AK1874">
        <v>19.1233787810956</v>
      </c>
      <c r="AL1874">
        <v>80.512849804722705</v>
      </c>
      <c r="AM1874">
        <v>86.412442764761096</v>
      </c>
      <c r="AN1874">
        <v>0.99999996324326601</v>
      </c>
    </row>
    <row r="1875" spans="1:40" x14ac:dyDescent="0.25">
      <c r="A1875" t="str">
        <f>"20190312172120120"</f>
        <v>20190312172120120</v>
      </c>
      <c r="B1875" t="str">
        <f>"1552382480112754"</f>
        <v>1552382480112754</v>
      </c>
      <c r="C1875" t="s">
        <v>40</v>
      </c>
      <c r="D1875">
        <v>3.531663</v>
      </c>
      <c r="E1875">
        <v>0.54337840000000004</v>
      </c>
      <c r="F1875" t="s">
        <v>42</v>
      </c>
      <c r="G1875">
        <v>-189.571</v>
      </c>
      <c r="H1875" s="1">
        <v>-2.6215459999999998E-6</v>
      </c>
      <c r="I1875">
        <v>315.01609999999999</v>
      </c>
      <c r="J1875">
        <v>-186.18039999999999</v>
      </c>
      <c r="K1875">
        <v>1.1095870000000001</v>
      </c>
      <c r="L1875">
        <v>328.98450000000003</v>
      </c>
      <c r="M1875">
        <v>-6.3513199999999895E-2</v>
      </c>
      <c r="N1875">
        <v>0</v>
      </c>
      <c r="O1875">
        <v>-0.99791010000000002</v>
      </c>
      <c r="P1875">
        <v>-0.12643360000000001</v>
      </c>
      <c r="Q1875">
        <v>0.1534189</v>
      </c>
      <c r="R1875">
        <v>-0.98003989999999996</v>
      </c>
      <c r="S1875">
        <v>-0.7232056</v>
      </c>
      <c r="T1875">
        <v>-0.2358606</v>
      </c>
      <c r="U1875">
        <v>-3.0056759999999998</v>
      </c>
      <c r="V1875">
        <v>6.4217629999999998E-2</v>
      </c>
      <c r="W1875">
        <v>0.1650517</v>
      </c>
      <c r="X1875">
        <v>0.98419210000000001</v>
      </c>
      <c r="Y1875">
        <v>0.1710265</v>
      </c>
      <c r="Z1875">
        <v>7.6336959999999995E-2</v>
      </c>
      <c r="AA1875">
        <v>0.98230479999999998</v>
      </c>
      <c r="AB1875">
        <v>26</v>
      </c>
      <c r="AC1875">
        <v>-3.3906000000000001</v>
      </c>
      <c r="AD1875">
        <v>-1.1095896215459999</v>
      </c>
      <c r="AE1875">
        <v>-13.968400000000001</v>
      </c>
      <c r="AF1875">
        <v>2.4817244158439502</v>
      </c>
      <c r="AG1875">
        <v>-1.1095896215459999</v>
      </c>
      <c r="AH1875">
        <v>14.071704542323401</v>
      </c>
      <c r="AI1875">
        <v>94.440342095290504</v>
      </c>
      <c r="AJ1875">
        <v>79.998012753460202</v>
      </c>
      <c r="AK1875">
        <v>14.3318880099896</v>
      </c>
      <c r="AL1875">
        <v>80.499762436276896</v>
      </c>
      <c r="AM1875">
        <v>86.266795011750503</v>
      </c>
      <c r="AN1875">
        <v>1.00000002868905</v>
      </c>
    </row>
    <row r="1876" spans="1:40" x14ac:dyDescent="0.25">
      <c r="A1876" t="str">
        <f>"20190312172120141"</f>
        <v>20190312172120141</v>
      </c>
      <c r="B1876" t="str">
        <f>"1552382480132275"</f>
        <v>1552382480132275</v>
      </c>
      <c r="C1876" t="s">
        <v>40</v>
      </c>
      <c r="D1876">
        <v>3.4885989999999998</v>
      </c>
      <c r="E1876">
        <v>0.54316059999999999</v>
      </c>
      <c r="F1876" t="s">
        <v>42</v>
      </c>
      <c r="G1876">
        <v>-189.87889999999999</v>
      </c>
      <c r="H1876" s="1">
        <v>-2.0371949999999998E-6</v>
      </c>
      <c r="I1876">
        <v>313.8954</v>
      </c>
      <c r="J1876">
        <v>-186.1962</v>
      </c>
      <c r="K1876">
        <v>1.1097030000000001</v>
      </c>
      <c r="L1876">
        <v>328.75139999999999</v>
      </c>
      <c r="M1876">
        <v>-6.4175430000000006E-2</v>
      </c>
      <c r="N1876">
        <v>0</v>
      </c>
      <c r="O1876">
        <v>-0.99786759999999997</v>
      </c>
      <c r="P1876">
        <v>-0.13195109999999999</v>
      </c>
      <c r="Q1876">
        <v>0.15233260000000001</v>
      </c>
      <c r="R1876">
        <v>-0.97948159999999895</v>
      </c>
      <c r="S1876">
        <v>-0.73551940000000005</v>
      </c>
      <c r="T1876">
        <v>-0.2206649</v>
      </c>
      <c r="U1876">
        <v>-3.0007630000000001</v>
      </c>
      <c r="V1876">
        <v>6.9055039999999998E-2</v>
      </c>
      <c r="W1876">
        <v>0.1639854</v>
      </c>
      <c r="X1876">
        <v>0.9840428</v>
      </c>
      <c r="Y1876">
        <v>0.1746289</v>
      </c>
      <c r="Z1876">
        <v>7.149693E-2</v>
      </c>
      <c r="AA1876">
        <v>0.98203510000000005</v>
      </c>
      <c r="AB1876">
        <v>26</v>
      </c>
      <c r="AC1876">
        <v>-3.6826999999999801</v>
      </c>
      <c r="AD1876">
        <v>-1.1097050371949999</v>
      </c>
      <c r="AE1876">
        <v>-14.8559999999999</v>
      </c>
      <c r="AF1876">
        <v>2.7074177258588401</v>
      </c>
      <c r="AG1876">
        <v>-1.1097050371949999</v>
      </c>
      <c r="AH1876">
        <v>14.9829669531478</v>
      </c>
      <c r="AI1876">
        <v>94.168579160201503</v>
      </c>
      <c r="AJ1876">
        <v>79.757198969454095</v>
      </c>
      <c r="AK1876">
        <v>15.266003233688499</v>
      </c>
      <c r="AL1876">
        <v>80.561700829276802</v>
      </c>
      <c r="AM1876">
        <v>85.985858783709205</v>
      </c>
      <c r="AN1876">
        <v>1.0000000210972</v>
      </c>
    </row>
    <row r="1877" spans="1:40" x14ac:dyDescent="0.25">
      <c r="A1877" t="str">
        <f>"20190312172120163"</f>
        <v>20190312172120163</v>
      </c>
      <c r="B1877" t="str">
        <f>"1552382480152788"</f>
        <v>1552382480152788</v>
      </c>
      <c r="C1877" t="s">
        <v>40</v>
      </c>
      <c r="D1877">
        <v>3.4850289999999999</v>
      </c>
      <c r="E1877">
        <v>0.54258949999999995</v>
      </c>
      <c r="F1877" t="s">
        <v>42</v>
      </c>
      <c r="G1877">
        <v>-190.16659999999999</v>
      </c>
      <c r="H1877" s="1">
        <v>-1.6032580000000001E-6</v>
      </c>
      <c r="I1877">
        <v>312.8895</v>
      </c>
      <c r="J1877">
        <v>-186.21420000000001</v>
      </c>
      <c r="K1877">
        <v>1.109856</v>
      </c>
      <c r="L1877">
        <v>328.48410000000001</v>
      </c>
      <c r="M1877">
        <v>-6.4711809999999995E-2</v>
      </c>
      <c r="N1877">
        <v>0</v>
      </c>
      <c r="O1877">
        <v>-0.99783270000000002</v>
      </c>
      <c r="P1877">
        <v>-0.13582249999999901</v>
      </c>
      <c r="Q1877">
        <v>0.15117050000000001</v>
      </c>
      <c r="R1877">
        <v>-0.97913240000000001</v>
      </c>
      <c r="S1877">
        <v>-0.74954219999999905</v>
      </c>
      <c r="T1877">
        <v>-0.20949110000000001</v>
      </c>
      <c r="U1877">
        <v>-2.994415</v>
      </c>
      <c r="V1877">
        <v>7.2347129999999996E-2</v>
      </c>
      <c r="W1877">
        <v>0.1628616</v>
      </c>
      <c r="X1877">
        <v>0.98399289999999995</v>
      </c>
      <c r="Y1877">
        <v>0.17897170000000001</v>
      </c>
      <c r="Z1877">
        <v>6.796518E-2</v>
      </c>
      <c r="AA1877">
        <v>0.98150389999999998</v>
      </c>
      <c r="AB1877">
        <v>26</v>
      </c>
      <c r="AC1877">
        <v>-3.9523999999999799</v>
      </c>
      <c r="AD1877">
        <v>-1.1098576032580001</v>
      </c>
      <c r="AE1877">
        <v>-15.5946</v>
      </c>
      <c r="AF1877">
        <v>2.9209859540829002</v>
      </c>
      <c r="AG1877">
        <v>-1.1098576032580001</v>
      </c>
      <c r="AH1877">
        <v>15.7427686489208</v>
      </c>
      <c r="AI1877">
        <v>93.965197104404396</v>
      </c>
      <c r="AJ1877">
        <v>79.488613255594601</v>
      </c>
      <c r="AK1877">
        <v>16.0498818555435</v>
      </c>
      <c r="AL1877">
        <v>80.626967237123196</v>
      </c>
      <c r="AM1877">
        <v>85.794949316169394</v>
      </c>
      <c r="AN1877">
        <v>1.0000000176121</v>
      </c>
    </row>
    <row r="1878" spans="1:40" x14ac:dyDescent="0.25">
      <c r="A1878" t="str">
        <f>"20190312172120186"</f>
        <v>20190312172120186</v>
      </c>
      <c r="B1878" t="str">
        <f>"1552382480183026"</f>
        <v>1552382480183026</v>
      </c>
      <c r="C1878" t="s">
        <v>40</v>
      </c>
      <c r="D1878">
        <v>3.4949620000000001</v>
      </c>
      <c r="E1878">
        <v>0.54154209999999903</v>
      </c>
      <c r="F1878" t="s">
        <v>42</v>
      </c>
      <c r="G1878">
        <v>-190.26179999999999</v>
      </c>
      <c r="H1878" s="1">
        <v>-1.433594E-6</v>
      </c>
      <c r="I1878">
        <v>312.47699999999998</v>
      </c>
      <c r="J1878">
        <v>-186.2319</v>
      </c>
      <c r="K1878">
        <v>1.1100159999999999</v>
      </c>
      <c r="L1878">
        <v>328.21839999999997</v>
      </c>
      <c r="M1878">
        <v>-6.5042279999999994E-2</v>
      </c>
      <c r="N1878">
        <v>0</v>
      </c>
      <c r="O1878">
        <v>-0.997811</v>
      </c>
      <c r="P1878">
        <v>-0.13815620000000001</v>
      </c>
      <c r="Q1878">
        <v>0.1502077</v>
      </c>
      <c r="R1878">
        <v>-0.97895399999999999</v>
      </c>
      <c r="S1878">
        <v>-0.75631709999999996</v>
      </c>
      <c r="T1878">
        <v>-0.20738239999999999</v>
      </c>
      <c r="U1878">
        <v>-2.9909970000000001</v>
      </c>
      <c r="V1878">
        <v>7.4296689999999999E-2</v>
      </c>
      <c r="W1878">
        <v>0.1619418</v>
      </c>
      <c r="X1878">
        <v>0.98399939999999997</v>
      </c>
      <c r="Y1878">
        <v>0.18101110000000001</v>
      </c>
      <c r="Z1878">
        <v>6.7325319999999994E-2</v>
      </c>
      <c r="AA1878">
        <v>0.98117390000000004</v>
      </c>
      <c r="AB1878">
        <v>26</v>
      </c>
      <c r="AC1878">
        <v>-4.0298999999999898</v>
      </c>
      <c r="AD1878">
        <v>-1.1100174335939901</v>
      </c>
      <c r="AE1878">
        <v>-15.741399999999899</v>
      </c>
      <c r="AF1878">
        <v>2.98351293981532</v>
      </c>
      <c r="AG1878">
        <v>-1.1100174335939901</v>
      </c>
      <c r="AH1878">
        <v>15.896014727020701</v>
      </c>
      <c r="AI1878">
        <v>93.926140361623695</v>
      </c>
      <c r="AJ1878">
        <v>79.369863649160806</v>
      </c>
      <c r="AK1878">
        <v>16.211624606022301</v>
      </c>
      <c r="AL1878">
        <v>80.680376589215498</v>
      </c>
      <c r="AM1878">
        <v>85.682085927483797</v>
      </c>
      <c r="AN1878">
        <v>0.99999998196627704</v>
      </c>
    </row>
    <row r="1879" spans="1:40" x14ac:dyDescent="0.25">
      <c r="A1879" t="str">
        <f>"20190312172120210"</f>
        <v>20190312172120210</v>
      </c>
      <c r="B1879" t="str">
        <f>"1552382480202546"</f>
        <v>1552382480202546</v>
      </c>
      <c r="C1879" t="s">
        <v>40</v>
      </c>
      <c r="D1879">
        <v>3.4726729999999999</v>
      </c>
      <c r="E1879">
        <v>0.54079509999999997</v>
      </c>
      <c r="F1879" t="s">
        <v>42</v>
      </c>
      <c r="G1879">
        <v>-190.3441</v>
      </c>
      <c r="H1879" s="1">
        <v>-1.203661E-6</v>
      </c>
      <c r="I1879">
        <v>311.94420000000002</v>
      </c>
      <c r="J1879">
        <v>-186.24979999999999</v>
      </c>
      <c r="K1879">
        <v>1.1101650000000001</v>
      </c>
      <c r="L1879">
        <v>327.94929999999999</v>
      </c>
      <c r="M1879">
        <v>-6.5188839999999998E-2</v>
      </c>
      <c r="N1879">
        <v>0</v>
      </c>
      <c r="O1879">
        <v>-0.99780119999999894</v>
      </c>
      <c r="P1879">
        <v>-0.13955239999999999</v>
      </c>
      <c r="Q1879">
        <v>0.14953169999999999</v>
      </c>
      <c r="R1879">
        <v>-0.97885949999999999</v>
      </c>
      <c r="S1879">
        <v>-0.75531009999999998</v>
      </c>
      <c r="T1879">
        <v>-0.20388339999999999</v>
      </c>
      <c r="U1879">
        <v>-2.989166</v>
      </c>
      <c r="V1879">
        <v>7.5491340000000004E-2</v>
      </c>
      <c r="W1879">
        <v>0.16130929999999999</v>
      </c>
      <c r="X1879">
        <v>0.98401240000000001</v>
      </c>
      <c r="Y1879">
        <v>0.18071660000000001</v>
      </c>
      <c r="Z1879">
        <v>6.6237190000000001E-2</v>
      </c>
      <c r="AA1879">
        <v>0.98130229999999996</v>
      </c>
      <c r="AB1879">
        <v>26</v>
      </c>
      <c r="AC1879">
        <v>-4.0942999999999996</v>
      </c>
      <c r="AD1879">
        <v>-1.1101662036610001</v>
      </c>
      <c r="AE1879">
        <v>-16.005099999999899</v>
      </c>
      <c r="AF1879">
        <v>3.0284854517446398</v>
      </c>
      <c r="AG1879">
        <v>-1.1101662036610001</v>
      </c>
      <c r="AH1879">
        <v>16.164976120720901</v>
      </c>
      <c r="AI1879">
        <v>93.861767988626298</v>
      </c>
      <c r="AJ1879">
        <v>79.388725588817394</v>
      </c>
      <c r="AK1879">
        <v>16.4836478400461</v>
      </c>
      <c r="AL1879">
        <v>80.717099329064496</v>
      </c>
      <c r="AM1879">
        <v>85.612982889830207</v>
      </c>
      <c r="AN1879">
        <v>1.0000000180176201</v>
      </c>
    </row>
    <row r="1880" spans="1:40" x14ac:dyDescent="0.25">
      <c r="A1880" t="str">
        <f>"20190312172120230"</f>
        <v>20190312172120230</v>
      </c>
      <c r="B1880" t="str">
        <f>"1552382480223042"</f>
        <v>1552382480223042</v>
      </c>
      <c r="C1880" t="s">
        <v>40</v>
      </c>
      <c r="D1880">
        <v>3.4721280000000001</v>
      </c>
      <c r="E1880">
        <v>0.53996359999999999</v>
      </c>
      <c r="F1880" t="s">
        <v>42</v>
      </c>
      <c r="G1880">
        <v>-190.38829999999999</v>
      </c>
      <c r="H1880" s="1">
        <v>-1.0309059999999999E-6</v>
      </c>
      <c r="I1880">
        <v>311.5539</v>
      </c>
      <c r="J1880">
        <v>-186.2664</v>
      </c>
      <c r="K1880">
        <v>1.110309</v>
      </c>
      <c r="L1880">
        <v>327.69690000000003</v>
      </c>
      <c r="M1880">
        <v>-6.5151539999999994E-2</v>
      </c>
      <c r="N1880">
        <v>0</v>
      </c>
      <c r="O1880">
        <v>-0.9978032</v>
      </c>
      <c r="P1880">
        <v>-0.1404871</v>
      </c>
      <c r="Q1880">
        <v>0.1497156</v>
      </c>
      <c r="R1880">
        <v>-0.97869740000000005</v>
      </c>
      <c r="S1880">
        <v>-0.75427250000000001</v>
      </c>
      <c r="T1880">
        <v>-0.20233429999999999</v>
      </c>
      <c r="U1880">
        <v>-2.988159</v>
      </c>
      <c r="V1880">
        <v>7.6421039999999996E-2</v>
      </c>
      <c r="W1880">
        <v>0.16153519999999999</v>
      </c>
      <c r="X1880">
        <v>0.98390359999999999</v>
      </c>
      <c r="Y1880">
        <v>0.18051919999999999</v>
      </c>
      <c r="Z1880">
        <v>6.5761710000000001E-2</v>
      </c>
      <c r="AA1880">
        <v>0.98137059999999998</v>
      </c>
      <c r="AB1880">
        <v>26</v>
      </c>
      <c r="AC1880">
        <v>-4.1218999999999797</v>
      </c>
      <c r="AD1880">
        <v>-1.1103100309059999</v>
      </c>
      <c r="AE1880">
        <v>-16.143000000000001</v>
      </c>
      <c r="AF1880">
        <v>3.04778867860521</v>
      </c>
      <c r="AG1880">
        <v>-1.1103100309059999</v>
      </c>
      <c r="AH1880">
        <v>16.304853391681299</v>
      </c>
      <c r="AI1880">
        <v>93.829524127736306</v>
      </c>
      <c r="AJ1880">
        <v>79.412160779375398</v>
      </c>
      <c r="AK1880">
        <v>16.624381140914199</v>
      </c>
      <c r="AL1880">
        <v>80.703984468013999</v>
      </c>
      <c r="AM1880">
        <v>85.558681077512801</v>
      </c>
      <c r="AN1880">
        <v>1.00000004514333</v>
      </c>
    </row>
    <row r="1881" spans="1:40" x14ac:dyDescent="0.25">
      <c r="A1881" t="str">
        <f>"20190312172120253"</f>
        <v>20190312172120253</v>
      </c>
      <c r="B1881" t="str">
        <f>"1552382480242565"</f>
        <v>1552382480242565</v>
      </c>
      <c r="C1881" t="s">
        <v>40</v>
      </c>
      <c r="D1881">
        <v>3.4844879999999998</v>
      </c>
      <c r="E1881">
        <v>0.53936309999999998</v>
      </c>
      <c r="F1881" t="s">
        <v>42</v>
      </c>
      <c r="G1881">
        <v>-190.4589</v>
      </c>
      <c r="H1881" s="1">
        <v>-8.0472879999999997E-7</v>
      </c>
      <c r="I1881">
        <v>311.03570000000002</v>
      </c>
      <c r="J1881">
        <v>-186.28360000000001</v>
      </c>
      <c r="K1881">
        <v>1.1104480000000001</v>
      </c>
      <c r="L1881">
        <v>327.4323</v>
      </c>
      <c r="M1881">
        <v>-6.4933169999999998E-2</v>
      </c>
      <c r="N1881">
        <v>0</v>
      </c>
      <c r="O1881">
        <v>-0.99781739999999997</v>
      </c>
      <c r="P1881">
        <v>-0.14203969999999999</v>
      </c>
      <c r="Q1881">
        <v>0.15058679999999999</v>
      </c>
      <c r="R1881">
        <v>-0.97834030000000005</v>
      </c>
      <c r="S1881">
        <v>-0.75184629999999997</v>
      </c>
      <c r="T1881">
        <v>-0.19911280000000001</v>
      </c>
      <c r="U1881">
        <v>-2.987854</v>
      </c>
      <c r="V1881">
        <v>7.8160430000000003E-2</v>
      </c>
      <c r="W1881">
        <v>0.16244939999999999</v>
      </c>
      <c r="X1881">
        <v>0.98361639999999995</v>
      </c>
      <c r="Y1881">
        <v>0.1800253</v>
      </c>
      <c r="Z1881">
        <v>6.4736189999999999E-2</v>
      </c>
      <c r="AA1881">
        <v>0.98152950000000005</v>
      </c>
      <c r="AB1881">
        <v>26</v>
      </c>
      <c r="AC1881">
        <v>-4.1752999999999902</v>
      </c>
      <c r="AD1881">
        <v>-1.1104488047287999</v>
      </c>
      <c r="AE1881">
        <v>-16.3965999999999</v>
      </c>
      <c r="AF1881">
        <v>3.0884245680828299</v>
      </c>
      <c r="AG1881">
        <v>-1.1104488047287999</v>
      </c>
      <c r="AH1881">
        <v>16.561790516651101</v>
      </c>
      <c r="AI1881">
        <v>93.771058819657298</v>
      </c>
      <c r="AJ1881">
        <v>79.436872625723694</v>
      </c>
      <c r="AK1881">
        <v>16.883849323483499</v>
      </c>
      <c r="AL1881">
        <v>80.650903539873596</v>
      </c>
      <c r="AM1881">
        <v>85.456691575132098</v>
      </c>
      <c r="AN1881">
        <v>1.0000000413635499</v>
      </c>
    </row>
    <row r="1882" spans="1:40" x14ac:dyDescent="0.25">
      <c r="A1882" t="str">
        <f>"20190312172120273"</f>
        <v>20190312172120273</v>
      </c>
      <c r="B1882" t="str">
        <f>"1552382480263061"</f>
        <v>1552382480263061</v>
      </c>
      <c r="C1882" t="s">
        <v>40</v>
      </c>
      <c r="D1882">
        <v>3.4729749999999999</v>
      </c>
      <c r="E1882">
        <v>0.5387786</v>
      </c>
      <c r="F1882" t="s">
        <v>42</v>
      </c>
      <c r="G1882">
        <v>-190.56819999999999</v>
      </c>
      <c r="H1882" s="1">
        <v>-5.3634850000000002E-7</v>
      </c>
      <c r="I1882">
        <v>310.40640000000002</v>
      </c>
      <c r="J1882">
        <v>-186.29939999999999</v>
      </c>
      <c r="K1882">
        <v>1.110573</v>
      </c>
      <c r="L1882">
        <v>327.1859</v>
      </c>
      <c r="M1882">
        <v>-6.4579250000000005E-2</v>
      </c>
      <c r="N1882">
        <v>0</v>
      </c>
      <c r="O1882">
        <v>-0.99783999999999995</v>
      </c>
      <c r="P1882">
        <v>-0.1447589</v>
      </c>
      <c r="Q1882">
        <v>0.152631399999999</v>
      </c>
      <c r="R1882">
        <v>-0.97762420000000005</v>
      </c>
      <c r="S1882">
        <v>-0.75175479999999995</v>
      </c>
      <c r="T1882">
        <v>-0.19483220000000001</v>
      </c>
      <c r="U1882">
        <v>-2.987244</v>
      </c>
      <c r="V1882">
        <v>8.1225809999999996E-2</v>
      </c>
      <c r="W1882">
        <v>0.16452919999999999</v>
      </c>
      <c r="X1882">
        <v>0.98302219999999996</v>
      </c>
      <c r="Y1882">
        <v>0.18041479999999999</v>
      </c>
      <c r="Z1882">
        <v>6.3362870000000002E-2</v>
      </c>
      <c r="AA1882">
        <v>0.98154759999999996</v>
      </c>
      <c r="AB1882">
        <v>26</v>
      </c>
      <c r="AC1882">
        <v>-4.2687999999999899</v>
      </c>
      <c r="AD1882">
        <v>-1.1105735363484901</v>
      </c>
      <c r="AE1882">
        <v>-16.779499999999899</v>
      </c>
      <c r="AF1882">
        <v>3.16318748720068</v>
      </c>
      <c r="AG1882">
        <v>-1.1105735363484901</v>
      </c>
      <c r="AH1882">
        <v>16.950425125173499</v>
      </c>
      <c r="AI1882">
        <v>93.685161257716899</v>
      </c>
      <c r="AJ1882">
        <v>79.429389795502999</v>
      </c>
      <c r="AK1882">
        <v>17.278774278950898</v>
      </c>
      <c r="AL1882">
        <v>80.530114808450307</v>
      </c>
      <c r="AM1882">
        <v>85.276456836396207</v>
      </c>
      <c r="AN1882">
        <v>1.00000006777781</v>
      </c>
    </row>
    <row r="1883" spans="1:40" x14ac:dyDescent="0.25">
      <c r="A1883" t="str">
        <f>"20190312172120297"</f>
        <v>20190312172120297</v>
      </c>
      <c r="B1883" t="str">
        <f>"1552382480292338"</f>
        <v>1552382480292338</v>
      </c>
      <c r="C1883" t="s">
        <v>40</v>
      </c>
      <c r="D1883">
        <v>3.4596909999999998</v>
      </c>
      <c r="E1883">
        <v>0.53795219999999999</v>
      </c>
      <c r="F1883" t="s">
        <v>42</v>
      </c>
      <c r="G1883">
        <v>-190.77600000000001</v>
      </c>
      <c r="H1883" s="1">
        <v>-4.3847389999999997E-6</v>
      </c>
      <c r="I1883">
        <v>309.46699999999998</v>
      </c>
      <c r="J1883">
        <v>-186.31610000000001</v>
      </c>
      <c r="K1883">
        <v>1.110695</v>
      </c>
      <c r="L1883">
        <v>326.92110000000002</v>
      </c>
      <c r="M1883">
        <v>-6.4058199999999996E-2</v>
      </c>
      <c r="N1883">
        <v>0</v>
      </c>
      <c r="O1883">
        <v>-0.99787340000000002</v>
      </c>
      <c r="P1883">
        <v>-0.14729310000000001</v>
      </c>
      <c r="Q1883">
        <v>0.15429000000000001</v>
      </c>
      <c r="R1883">
        <v>-0.97698510000000005</v>
      </c>
      <c r="S1883">
        <v>-0.7544556</v>
      </c>
      <c r="T1883">
        <v>-0.18716730000000001</v>
      </c>
      <c r="U1883">
        <v>-2.9861759999999999</v>
      </c>
      <c r="V1883">
        <v>8.4263630000000006E-2</v>
      </c>
      <c r="W1883">
        <v>0.1662254</v>
      </c>
      <c r="X1883">
        <v>0.98248089999999999</v>
      </c>
      <c r="Y1883">
        <v>0.18188370000000001</v>
      </c>
      <c r="Z1883">
        <v>6.0888890000000001E-2</v>
      </c>
      <c r="AA1883">
        <v>0.98143309999999995</v>
      </c>
      <c r="AB1883">
        <v>26</v>
      </c>
      <c r="AC1883">
        <v>-4.45989999999997</v>
      </c>
      <c r="AD1883">
        <v>-1.1106993847390001</v>
      </c>
      <c r="AE1883">
        <v>-17.4541</v>
      </c>
      <c r="AF1883">
        <v>3.3199592512097702</v>
      </c>
      <c r="AG1883">
        <v>-1.1106993847390001</v>
      </c>
      <c r="AH1883">
        <v>17.636918000515799</v>
      </c>
      <c r="AI1883">
        <v>93.541454719620802</v>
      </c>
      <c r="AJ1883">
        <v>79.339435835682806</v>
      </c>
      <c r="AK1883">
        <v>17.9810082895779</v>
      </c>
      <c r="AL1883">
        <v>80.431571975477297</v>
      </c>
      <c r="AM1883">
        <v>85.097956136322907</v>
      </c>
      <c r="AN1883">
        <v>0.99999998090537301</v>
      </c>
    </row>
    <row r="1884" spans="1:40" x14ac:dyDescent="0.25">
      <c r="A1884" t="str">
        <f>"20190312172120319"</f>
        <v>20190312172120319</v>
      </c>
      <c r="B1884" t="str">
        <f>"1552382480312835"</f>
        <v>1552382480312835</v>
      </c>
      <c r="C1884" t="s">
        <v>40</v>
      </c>
      <c r="D1884">
        <v>3.4702730000000002</v>
      </c>
      <c r="E1884">
        <v>0.53072569999999997</v>
      </c>
      <c r="F1884" t="s">
        <v>42</v>
      </c>
      <c r="G1884">
        <v>-190.9348</v>
      </c>
      <c r="H1884" s="1">
        <v>-4.1218530000000001E-6</v>
      </c>
      <c r="I1884">
        <v>308.61750000000001</v>
      </c>
      <c r="J1884">
        <v>-186.33269999999999</v>
      </c>
      <c r="K1884">
        <v>1.110811</v>
      </c>
      <c r="L1884">
        <v>326.65219999999999</v>
      </c>
      <c r="M1884">
        <v>-6.3388490000000006E-2</v>
      </c>
      <c r="N1884">
        <v>0</v>
      </c>
      <c r="O1884">
        <v>-0.99791580000000002</v>
      </c>
      <c r="P1884">
        <v>-0.1491315</v>
      </c>
      <c r="Q1884">
        <v>0.15501579999999901</v>
      </c>
      <c r="R1884">
        <v>-0.97659090000000004</v>
      </c>
      <c r="S1884">
        <v>-0.75340269999999898</v>
      </c>
      <c r="T1884">
        <v>-0.18117749999999999</v>
      </c>
      <c r="U1884">
        <v>-2.985687</v>
      </c>
      <c r="V1884">
        <v>8.6737709999999996E-2</v>
      </c>
      <c r="W1884">
        <v>0.16699559999999999</v>
      </c>
      <c r="X1884">
        <v>0.98213490000000003</v>
      </c>
      <c r="Y1884">
        <v>0.18228469999999999</v>
      </c>
      <c r="Z1884">
        <v>5.896071E-2</v>
      </c>
      <c r="AA1884">
        <v>0.98147640000000003</v>
      </c>
      <c r="AB1884">
        <v>26</v>
      </c>
      <c r="AC1884">
        <v>-4.6021000000000001</v>
      </c>
      <c r="AD1884">
        <v>-1.110815121853</v>
      </c>
      <c r="AE1884">
        <v>-18.034699999999901</v>
      </c>
      <c r="AF1884">
        <v>3.4373246219906699</v>
      </c>
      <c r="AG1884">
        <v>-1.110815121853</v>
      </c>
      <c r="AH1884">
        <v>18.2252525339435</v>
      </c>
      <c r="AI1884">
        <v>93.427539438259601</v>
      </c>
      <c r="AJ1884">
        <v>79.319344517162094</v>
      </c>
      <c r="AK1884">
        <v>18.579799264736199</v>
      </c>
      <c r="AL1884">
        <v>80.386817026848604</v>
      </c>
      <c r="AM1884">
        <v>84.952990439030302</v>
      </c>
      <c r="AN1884">
        <v>0.99999996127670598</v>
      </c>
    </row>
    <row r="1885" spans="1:40" x14ac:dyDescent="0.25">
      <c r="A1885" t="str">
        <f>"20190312172120342"</f>
        <v>20190312172120342</v>
      </c>
      <c r="B1885" t="str">
        <f>"1552382480332354"</f>
        <v>1552382480332354</v>
      </c>
      <c r="C1885" t="s">
        <v>40</v>
      </c>
      <c r="D1885">
        <v>3.4688400000000001</v>
      </c>
      <c r="E1885">
        <v>0.53069659999999996</v>
      </c>
      <c r="F1885" t="s">
        <v>42</v>
      </c>
      <c r="G1885">
        <v>-191.05029999999999</v>
      </c>
      <c r="H1885" s="1">
        <v>-3.2569099999999898E-6</v>
      </c>
      <c r="I1885">
        <v>306.52960000000002</v>
      </c>
      <c r="J1885">
        <v>-186.34880000000001</v>
      </c>
      <c r="K1885">
        <v>1.1109230000000001</v>
      </c>
      <c r="L1885">
        <v>326.3879</v>
      </c>
      <c r="M1885">
        <v>-6.2570120000000007E-2</v>
      </c>
      <c r="N1885">
        <v>0</v>
      </c>
      <c r="O1885">
        <v>-0.9979671</v>
      </c>
      <c r="P1885">
        <v>-0.15066470000000001</v>
      </c>
      <c r="Q1885">
        <v>0.15443380000000001</v>
      </c>
      <c r="R1885">
        <v>-0.97644810000000004</v>
      </c>
      <c r="S1885">
        <v>-0.70121769999999894</v>
      </c>
      <c r="T1885">
        <v>-0.1651118</v>
      </c>
      <c r="U1885">
        <v>-2.991028</v>
      </c>
      <c r="V1885">
        <v>8.9039069999999998E-2</v>
      </c>
      <c r="W1885">
        <v>0.16646520000000001</v>
      </c>
      <c r="X1885">
        <v>0.98201899999999998</v>
      </c>
      <c r="Y1885">
        <v>0.16655029999999901</v>
      </c>
      <c r="Z1885">
        <v>5.3844490000000002E-2</v>
      </c>
      <c r="AA1885">
        <v>0.98456169999999998</v>
      </c>
      <c r="AB1885">
        <v>26</v>
      </c>
      <c r="AC1885">
        <v>-4.7014999999999798</v>
      </c>
      <c r="AD1885">
        <v>-1.11092625690999</v>
      </c>
      <c r="AE1885">
        <v>-19.8582999999999</v>
      </c>
      <c r="AF1885">
        <v>3.4394662880881999</v>
      </c>
      <c r="AG1885">
        <v>-1.11092625690999</v>
      </c>
      <c r="AH1885">
        <v>20.054148385827698</v>
      </c>
      <c r="AI1885">
        <v>93.125196491795805</v>
      </c>
      <c r="AJ1885">
        <v>80.267946646672797</v>
      </c>
      <c r="AK1885">
        <v>20.377265591241201</v>
      </c>
      <c r="AL1885">
        <v>80.417638188547798</v>
      </c>
      <c r="AM1885">
        <v>84.819192299627304</v>
      </c>
      <c r="AN1885">
        <v>0.99999996757925103</v>
      </c>
    </row>
    <row r="1886" spans="1:40" x14ac:dyDescent="0.25">
      <c r="A1886" t="str">
        <f>"20190312172120364"</f>
        <v>20190312172120364</v>
      </c>
      <c r="B1886" t="str">
        <f>"1552382480352850"</f>
        <v>1552382480352850</v>
      </c>
      <c r="C1886" t="s">
        <v>40</v>
      </c>
      <c r="D1886">
        <v>3.513153</v>
      </c>
      <c r="E1886">
        <v>0.53046939999999998</v>
      </c>
      <c r="F1886" t="s">
        <v>42</v>
      </c>
      <c r="G1886">
        <v>-190.87219999999999</v>
      </c>
      <c r="H1886" s="1">
        <v>-3.4972129999999999E-6</v>
      </c>
      <c r="I1886">
        <v>307.20030000000003</v>
      </c>
      <c r="J1886">
        <v>-186.36420000000001</v>
      </c>
      <c r="K1886">
        <v>1.1110340000000001</v>
      </c>
      <c r="L1886">
        <v>326.12610000000001</v>
      </c>
      <c r="M1886">
        <v>-6.1591739999999999E-2</v>
      </c>
      <c r="N1886">
        <v>0</v>
      </c>
      <c r="O1886">
        <v>-0.99802769999999996</v>
      </c>
      <c r="P1886">
        <v>-0.15237149999999999</v>
      </c>
      <c r="Q1886">
        <v>0.1532212</v>
      </c>
      <c r="R1886">
        <v>-0.97637399999999996</v>
      </c>
      <c r="S1886">
        <v>-0.70510859999999997</v>
      </c>
      <c r="T1886">
        <v>-0.17317070000000001</v>
      </c>
      <c r="U1886">
        <v>-2.9909669999999999</v>
      </c>
      <c r="V1886">
        <v>9.1666410000000004E-2</v>
      </c>
      <c r="W1886">
        <v>0.16530710000000001</v>
      </c>
      <c r="X1886">
        <v>0.98197290000000004</v>
      </c>
      <c r="Y1886">
        <v>0.16870170000000001</v>
      </c>
      <c r="Z1886">
        <v>5.6451880000000003E-2</v>
      </c>
      <c r="AA1886">
        <v>0.98404930000000002</v>
      </c>
      <c r="AB1886">
        <v>26</v>
      </c>
      <c r="AC1886">
        <v>-4.5079999999999796</v>
      </c>
      <c r="AD1886">
        <v>-1.1110374972129999</v>
      </c>
      <c r="AE1886">
        <v>-18.925799999999899</v>
      </c>
      <c r="AF1886">
        <v>3.3228446476550699</v>
      </c>
      <c r="AG1886">
        <v>-1.1110374972129999</v>
      </c>
      <c r="AH1886">
        <v>19.105231985031001</v>
      </c>
      <c r="AI1886">
        <v>93.279090065753195</v>
      </c>
      <c r="AJ1886">
        <v>80.133623663238296</v>
      </c>
      <c r="AK1886">
        <v>19.4238407652687</v>
      </c>
      <c r="AL1886">
        <v>80.484924741950095</v>
      </c>
      <c r="AM1886">
        <v>84.666938410344898</v>
      </c>
      <c r="AN1886">
        <v>0.99999997218355297</v>
      </c>
    </row>
    <row r="1887" spans="1:40" x14ac:dyDescent="0.25">
      <c r="A1887" t="str">
        <f>"20190312172120387"</f>
        <v>20190312172120387</v>
      </c>
      <c r="B1887" t="str">
        <f>"1552382480383106"</f>
        <v>1552382480383106</v>
      </c>
      <c r="C1887" t="s">
        <v>40</v>
      </c>
      <c r="D1887">
        <v>3.4873799999999999</v>
      </c>
      <c r="E1887">
        <v>0.53017919999999996</v>
      </c>
      <c r="F1887" t="s">
        <v>42</v>
      </c>
      <c r="G1887">
        <v>-190.74549999999999</v>
      </c>
      <c r="H1887" s="1">
        <v>-3.6276869999999999E-6</v>
      </c>
      <c r="I1887">
        <v>307.5829</v>
      </c>
      <c r="J1887">
        <v>-186.37960000000001</v>
      </c>
      <c r="K1887">
        <v>1.11114</v>
      </c>
      <c r="L1887">
        <v>325.85649999999998</v>
      </c>
      <c r="M1887">
        <v>-6.0430940000000002E-2</v>
      </c>
      <c r="N1887">
        <v>0</v>
      </c>
      <c r="O1887">
        <v>-0.99809840000000005</v>
      </c>
      <c r="P1887">
        <v>-0.15416740000000001</v>
      </c>
      <c r="Q1887">
        <v>0.1518408</v>
      </c>
      <c r="R1887">
        <v>-0.9763077</v>
      </c>
      <c r="S1887">
        <v>-0.70657349999999997</v>
      </c>
      <c r="T1887">
        <v>-0.17917640000000001</v>
      </c>
      <c r="U1887">
        <v>-2.9904480000000002</v>
      </c>
      <c r="V1887">
        <v>9.4563620000000001E-2</v>
      </c>
      <c r="W1887">
        <v>0.16398119999999999</v>
      </c>
      <c r="X1887">
        <v>0.98192049999999997</v>
      </c>
      <c r="Y1887">
        <v>0.17031660000000001</v>
      </c>
      <c r="Z1887">
        <v>5.8407679999999997E-2</v>
      </c>
      <c r="AA1887">
        <v>0.9836568</v>
      </c>
      <c r="AB1887">
        <v>26</v>
      </c>
      <c r="AC1887">
        <v>-4.3658999999999804</v>
      </c>
      <c r="AD1887">
        <v>-1.1111436276869999</v>
      </c>
      <c r="AE1887">
        <v>-18.273599999999899</v>
      </c>
      <c r="AF1887">
        <v>3.2422069474942199</v>
      </c>
      <c r="AG1887">
        <v>-1.1111436276869999</v>
      </c>
      <c r="AH1887">
        <v>18.439556627863801</v>
      </c>
      <c r="AI1887">
        <v>93.396421981668695</v>
      </c>
      <c r="AJ1887">
        <v>80.027679787081397</v>
      </c>
      <c r="AK1887">
        <v>18.755367090087201</v>
      </c>
      <c r="AL1887">
        <v>80.561944480000406</v>
      </c>
      <c r="AM1887">
        <v>84.499107940821204</v>
      </c>
      <c r="AN1887">
        <v>0.99999999025059705</v>
      </c>
    </row>
    <row r="1888" spans="1:40" x14ac:dyDescent="0.25">
      <c r="A1888" t="str">
        <f>"20190312172120410"</f>
        <v>20190312172120410</v>
      </c>
      <c r="B1888" t="str">
        <f>"1552382480402626"</f>
        <v>1552382480402626</v>
      </c>
      <c r="C1888" t="s">
        <v>40</v>
      </c>
      <c r="D1888">
        <v>3.4685649999999999</v>
      </c>
      <c r="E1888">
        <v>0.52856519999999996</v>
      </c>
      <c r="F1888" t="s">
        <v>42</v>
      </c>
      <c r="G1888">
        <v>-190.6086</v>
      </c>
      <c r="H1888" s="1">
        <v>-3.7529859999999999E-6</v>
      </c>
      <c r="I1888">
        <v>307.95999999999998</v>
      </c>
      <c r="J1888">
        <v>-186.39429999999999</v>
      </c>
      <c r="K1888">
        <v>1.1112470000000001</v>
      </c>
      <c r="L1888">
        <v>325.59109999999998</v>
      </c>
      <c r="M1888">
        <v>-5.9114640000000003E-2</v>
      </c>
      <c r="N1888">
        <v>0</v>
      </c>
      <c r="O1888">
        <v>-0.99817679999999998</v>
      </c>
      <c r="P1888">
        <v>-0.1555484</v>
      </c>
      <c r="Q1888">
        <v>0.14889330000000001</v>
      </c>
      <c r="R1888">
        <v>-0.97654280000000004</v>
      </c>
      <c r="S1888">
        <v>-0.70657349999999997</v>
      </c>
      <c r="T1888">
        <v>-0.1856488</v>
      </c>
      <c r="U1888">
        <v>-2.9901430000000002</v>
      </c>
      <c r="V1888">
        <v>9.7185610000000006E-2</v>
      </c>
      <c r="W1888">
        <v>0.16109279999999901</v>
      </c>
      <c r="X1888">
        <v>0.98214259999999998</v>
      </c>
      <c r="Y1888">
        <v>0.1716094</v>
      </c>
      <c r="Z1888">
        <v>6.0516130000000001E-2</v>
      </c>
      <c r="AA1888">
        <v>0.98330459999999997</v>
      </c>
      <c r="AB1888">
        <v>26</v>
      </c>
      <c r="AC1888">
        <v>-4.2142999999999997</v>
      </c>
      <c r="AD1888">
        <v>-1.1112507529859901</v>
      </c>
      <c r="AE1888">
        <v>-17.6311</v>
      </c>
      <c r="AF1888">
        <v>3.1527479505982399</v>
      </c>
      <c r="AG1888">
        <v>-1.1112507529859901</v>
      </c>
      <c r="AH1888">
        <v>17.782583825050502</v>
      </c>
      <c r="AI1888">
        <v>93.521049103244593</v>
      </c>
      <c r="AJ1888">
        <v>79.946265559941907</v>
      </c>
      <c r="AK1888">
        <v>18.0940593944798</v>
      </c>
      <c r="AL1888">
        <v>80.729668170396394</v>
      </c>
      <c r="AM1888">
        <v>84.348827762101394</v>
      </c>
      <c r="AN1888">
        <v>1.00000000986883</v>
      </c>
    </row>
    <row r="1889" spans="1:40" x14ac:dyDescent="0.25">
      <c r="A1889" t="str">
        <f>"20190312172120431"</f>
        <v>20190312172120431</v>
      </c>
      <c r="B1889" t="str">
        <f>"1552382480423123"</f>
        <v>1552382480423123</v>
      </c>
      <c r="C1889" t="s">
        <v>40</v>
      </c>
      <c r="D1889">
        <v>3.493474</v>
      </c>
      <c r="E1889">
        <v>0.50246020000000002</v>
      </c>
      <c r="F1889" t="s">
        <v>42</v>
      </c>
      <c r="G1889">
        <v>-190.31829999999999</v>
      </c>
      <c r="H1889" s="1">
        <v>-4.0039069999999999E-6</v>
      </c>
      <c r="I1889">
        <v>308.72489999999999</v>
      </c>
      <c r="J1889">
        <v>-186.40790000000001</v>
      </c>
      <c r="K1889">
        <v>1.1113569999999999</v>
      </c>
      <c r="L1889">
        <v>325.3372</v>
      </c>
      <c r="M1889">
        <v>-5.7661129999999998E-2</v>
      </c>
      <c r="N1889">
        <v>0</v>
      </c>
      <c r="O1889">
        <v>-0.99826150000000002</v>
      </c>
      <c r="P1889">
        <v>-0.15577469999999999</v>
      </c>
      <c r="Q1889">
        <v>0.1453972</v>
      </c>
      <c r="R1889">
        <v>-0.97703329999999999</v>
      </c>
      <c r="S1889">
        <v>-0.695938099999999</v>
      </c>
      <c r="T1889">
        <v>-0.1970857</v>
      </c>
      <c r="U1889">
        <v>-2.9913020000000001</v>
      </c>
      <c r="V1889">
        <v>9.8774870000000001E-2</v>
      </c>
      <c r="W1889">
        <v>0.157662</v>
      </c>
      <c r="X1889">
        <v>0.98254070000000004</v>
      </c>
      <c r="Y1889">
        <v>0.169591299999999</v>
      </c>
      <c r="Z1889">
        <v>6.4250059999999998E-2</v>
      </c>
      <c r="AA1889">
        <v>0.98341789999999996</v>
      </c>
      <c r="AB1889">
        <v>26</v>
      </c>
      <c r="AC1889">
        <v>-3.9103999999999801</v>
      </c>
      <c r="AD1889">
        <v>-1.1113610039070001</v>
      </c>
      <c r="AE1889">
        <v>-16.612300000000001</v>
      </c>
      <c r="AF1889">
        <v>2.9334976502032402</v>
      </c>
      <c r="AG1889">
        <v>-1.1113610039070001</v>
      </c>
      <c r="AH1889">
        <v>16.739166918689399</v>
      </c>
      <c r="AI1889">
        <v>93.741600176997096</v>
      </c>
      <c r="AJ1889">
        <v>80.059994099872696</v>
      </c>
      <c r="AK1889">
        <v>17.0305678377586</v>
      </c>
      <c r="AL1889">
        <v>80.928783733054402</v>
      </c>
      <c r="AM1889">
        <v>84.259339256301502</v>
      </c>
      <c r="AN1889">
        <v>1.0000000041720001</v>
      </c>
    </row>
    <row r="1890" spans="1:40" x14ac:dyDescent="0.25">
      <c r="A1890" t="str">
        <f>"20190312172120454"</f>
        <v>20190312172120454</v>
      </c>
      <c r="B1890" t="str">
        <f>"1552382480442645"</f>
        <v>1552382480442645</v>
      </c>
      <c r="C1890" t="s">
        <v>40</v>
      </c>
      <c r="D1890">
        <v>3.4390719999999999</v>
      </c>
      <c r="E1890">
        <v>0.50039880000000003</v>
      </c>
      <c r="F1890" t="s">
        <v>41</v>
      </c>
      <c r="G1890">
        <v>-186.54300000000001</v>
      </c>
      <c r="H1890">
        <v>1.0510809999999999</v>
      </c>
      <c r="I1890">
        <v>324.50639999999999</v>
      </c>
      <c r="J1890">
        <v>-186.4212</v>
      </c>
      <c r="K1890">
        <v>1.1115139999999999</v>
      </c>
      <c r="L1890">
        <v>325.07479999999998</v>
      </c>
      <c r="M1890">
        <v>-5.5933770000000001E-2</v>
      </c>
      <c r="N1890">
        <v>0</v>
      </c>
      <c r="O1890">
        <v>-0.99835960000000001</v>
      </c>
      <c r="P1890">
        <v>-0.15538750000000001</v>
      </c>
      <c r="Q1890">
        <v>0.1442841</v>
      </c>
      <c r="R1890">
        <v>-0.97726020000000002</v>
      </c>
      <c r="S1890">
        <v>-0.4913788</v>
      </c>
      <c r="T1890">
        <v>-0.21991430000000001</v>
      </c>
      <c r="U1890">
        <v>-3.0248719999999998</v>
      </c>
      <c r="V1890">
        <v>0.1000231</v>
      </c>
      <c r="W1890">
        <v>0.15661989999999901</v>
      </c>
      <c r="X1890">
        <v>0.98258109999999999</v>
      </c>
      <c r="Y1890">
        <v>0.1044664</v>
      </c>
      <c r="Z1890">
        <v>7.167548E-2</v>
      </c>
      <c r="AA1890">
        <v>0.9919422</v>
      </c>
      <c r="AB1890">
        <v>26</v>
      </c>
      <c r="AC1890">
        <v>-0.121800000000007</v>
      </c>
      <c r="AD1890">
        <v>-6.0432999999999903E-2</v>
      </c>
      <c r="AE1890">
        <v>-0.56839999999999602</v>
      </c>
      <c r="AF1890">
        <v>8.8853833583991307E-2</v>
      </c>
      <c r="AG1890">
        <v>-6.0432999999999903E-2</v>
      </c>
      <c r="AH1890">
        <v>0.56818239502310397</v>
      </c>
      <c r="AI1890">
        <v>95.998897600477704</v>
      </c>
      <c r="AJ1890">
        <v>81.111925294569403</v>
      </c>
      <c r="AK1890">
        <v>0.57825460244235205</v>
      </c>
      <c r="AL1890">
        <v>80.989242905894997</v>
      </c>
      <c r="AM1890">
        <v>84.1875248742667</v>
      </c>
      <c r="AN1890">
        <v>1.0000000158434099</v>
      </c>
    </row>
    <row r="1891" spans="1:40" x14ac:dyDescent="0.25">
      <c r="A1891" t="str">
        <f>"20190312172120474"</f>
        <v>20190312172120474</v>
      </c>
      <c r="B1891" t="str">
        <f>"1552382480472899"</f>
        <v>1552382480472899</v>
      </c>
      <c r="C1891" t="s">
        <v>40</v>
      </c>
      <c r="D1891">
        <v>3.4507400000000001</v>
      </c>
      <c r="E1891">
        <v>0.49912380000000001</v>
      </c>
      <c r="F1891" t="s">
        <v>42</v>
      </c>
      <c r="G1891">
        <v>-188.99639999999999</v>
      </c>
      <c r="H1891" s="1">
        <v>-4.0342000000000003E-6</v>
      </c>
      <c r="I1891">
        <v>308.6216</v>
      </c>
      <c r="J1891">
        <v>-186.4331</v>
      </c>
      <c r="K1891">
        <v>1.1116870000000001</v>
      </c>
      <c r="L1891">
        <v>324.8279</v>
      </c>
      <c r="M1891">
        <v>-5.4089449999999997E-2</v>
      </c>
      <c r="N1891">
        <v>0</v>
      </c>
      <c r="O1891">
        <v>-0.99846080000000004</v>
      </c>
      <c r="P1891">
        <v>-0.15515079999999901</v>
      </c>
      <c r="Q1891">
        <v>0.14589250000000001</v>
      </c>
      <c r="R1891">
        <v>-0.97705880000000001</v>
      </c>
      <c r="S1891">
        <v>-0.47341919999999998</v>
      </c>
      <c r="T1891">
        <v>-0.20433760000000001</v>
      </c>
      <c r="U1891">
        <v>-3.024689</v>
      </c>
      <c r="V1891">
        <v>0.10154970000000001</v>
      </c>
      <c r="W1891">
        <v>0.1582944</v>
      </c>
      <c r="X1891">
        <v>0.98215609999999998</v>
      </c>
      <c r="Y1891">
        <v>0.100622</v>
      </c>
      <c r="Z1891">
        <v>6.6680420000000004E-2</v>
      </c>
      <c r="AA1891">
        <v>0.99268769999999995</v>
      </c>
      <c r="AB1891">
        <v>26</v>
      </c>
      <c r="AC1891">
        <v>-2.5632999999999901</v>
      </c>
      <c r="AD1891">
        <v>-1.1116910341999999</v>
      </c>
      <c r="AE1891">
        <v>-16.206299999999999</v>
      </c>
      <c r="AF1891">
        <v>1.67520106286258</v>
      </c>
      <c r="AG1891">
        <v>-1.1116910341999999</v>
      </c>
      <c r="AH1891">
        <v>16.246647976209399</v>
      </c>
      <c r="AI1891">
        <v>93.893831529443005</v>
      </c>
      <c r="AJ1891">
        <v>84.1130040410346</v>
      </c>
      <c r="AK1891">
        <v>16.370575005765801</v>
      </c>
      <c r="AL1891">
        <v>80.892089345193</v>
      </c>
      <c r="AM1891">
        <v>84.096898109501495</v>
      </c>
      <c r="AN1891">
        <v>1.0000000317043201</v>
      </c>
    </row>
    <row r="1892" spans="1:40" x14ac:dyDescent="0.25">
      <c r="A1892" t="str">
        <f>"20190312172120497"</f>
        <v>20190312172120497</v>
      </c>
      <c r="B1892" t="str">
        <f>"1552382480492418"</f>
        <v>1552382480492418</v>
      </c>
      <c r="C1892" t="s">
        <v>40</v>
      </c>
      <c r="D1892">
        <v>3.4680070000000001</v>
      </c>
      <c r="E1892">
        <v>0.49863590000000002</v>
      </c>
      <c r="F1892" t="s">
        <v>42</v>
      </c>
      <c r="G1892">
        <v>-189.06389999999999</v>
      </c>
      <c r="H1892" s="1">
        <v>-3.5713730000000001E-6</v>
      </c>
      <c r="I1892">
        <v>307.57069999999999</v>
      </c>
      <c r="J1892">
        <v>-186.4451</v>
      </c>
      <c r="K1892">
        <v>1.111864</v>
      </c>
      <c r="L1892">
        <v>324.56509999999997</v>
      </c>
      <c r="M1892">
        <v>-5.1899849999999997E-2</v>
      </c>
      <c r="N1892">
        <v>0</v>
      </c>
      <c r="O1892">
        <v>-0.99857669999999998</v>
      </c>
      <c r="P1892">
        <v>-0.15483359999999999</v>
      </c>
      <c r="Q1892">
        <v>0.1467868</v>
      </c>
      <c r="R1892">
        <v>-0.97697520000000004</v>
      </c>
      <c r="S1892">
        <v>-0.46134950000000002</v>
      </c>
      <c r="T1892">
        <v>-0.19495560000000001</v>
      </c>
      <c r="U1892">
        <v>-3.026367</v>
      </c>
      <c r="V1892">
        <v>0.10332379999999999</v>
      </c>
      <c r="W1892">
        <v>0.1592614</v>
      </c>
      <c r="X1892">
        <v>0.98181470000000004</v>
      </c>
      <c r="Y1892">
        <v>9.8882620000000004E-2</v>
      </c>
      <c r="Z1892">
        <v>6.3632729999999998E-2</v>
      </c>
      <c r="AA1892">
        <v>0.99306249999999996</v>
      </c>
      <c r="AB1892">
        <v>26</v>
      </c>
      <c r="AC1892">
        <v>-2.61879999999999</v>
      </c>
      <c r="AD1892">
        <v>-1.111867571373</v>
      </c>
      <c r="AE1892">
        <v>-16.994399999999899</v>
      </c>
      <c r="AF1892">
        <v>1.72598000673048</v>
      </c>
      <c r="AG1892">
        <v>-1.111867571373</v>
      </c>
      <c r="AH1892">
        <v>17.036186776555098</v>
      </c>
      <c r="AI1892">
        <v>93.715151777401999</v>
      </c>
      <c r="AJ1892">
        <v>84.214955988961705</v>
      </c>
      <c r="AK1892">
        <v>17.1594555964219</v>
      </c>
      <c r="AL1892">
        <v>80.835972643403096</v>
      </c>
      <c r="AM1892">
        <v>83.992443666704602</v>
      </c>
      <c r="AN1892">
        <v>1.0000000531562401</v>
      </c>
    </row>
    <row r="1893" spans="1:40" x14ac:dyDescent="0.25">
      <c r="A1893" t="str">
        <f>"20190312172120520"</f>
        <v>20190312172120520</v>
      </c>
      <c r="B1893" t="str">
        <f>"1552382480512915"</f>
        <v>1552382480512915</v>
      </c>
      <c r="C1893" t="s">
        <v>40</v>
      </c>
      <c r="D1893">
        <v>3.449719</v>
      </c>
      <c r="E1893">
        <v>0.49833830000000001</v>
      </c>
      <c r="F1893" t="s">
        <v>42</v>
      </c>
      <c r="G1893">
        <v>-189.12989999999999</v>
      </c>
      <c r="H1893" s="1">
        <v>-3.2191939999999999E-6</v>
      </c>
      <c r="I1893">
        <v>306.77699999999999</v>
      </c>
      <c r="J1893">
        <v>-186.45650000000001</v>
      </c>
      <c r="K1893">
        <v>1.112042</v>
      </c>
      <c r="L1893">
        <v>324.29329999999999</v>
      </c>
      <c r="M1893">
        <v>-4.9394470000000003E-2</v>
      </c>
      <c r="N1893">
        <v>0</v>
      </c>
      <c r="O1893">
        <v>-0.99870340000000002</v>
      </c>
      <c r="P1893">
        <v>-0.15453729999999999</v>
      </c>
      <c r="Q1893">
        <v>0.1469625</v>
      </c>
      <c r="R1893">
        <v>-0.97699559999999996</v>
      </c>
      <c r="S1893">
        <v>-0.45684809999999998</v>
      </c>
      <c r="T1893">
        <v>-0.18919259999999999</v>
      </c>
      <c r="U1893">
        <v>-3.026764</v>
      </c>
      <c r="V1893">
        <v>0.1054267</v>
      </c>
      <c r="W1893">
        <v>0.1595123</v>
      </c>
      <c r="X1893">
        <v>0.98155029999999999</v>
      </c>
      <c r="Y1893">
        <v>9.9933469999999996E-2</v>
      </c>
      <c r="Z1893">
        <v>6.1766410000000001E-2</v>
      </c>
      <c r="AA1893">
        <v>0.99307509999999999</v>
      </c>
      <c r="AB1893">
        <v>26</v>
      </c>
      <c r="AC1893">
        <v>-2.67339999999998</v>
      </c>
      <c r="AD1893">
        <v>-1.112045219194</v>
      </c>
      <c r="AE1893">
        <v>-17.516300000000001</v>
      </c>
      <c r="AF1893">
        <v>1.7977811911170101</v>
      </c>
      <c r="AG1893">
        <v>-1.112045219194</v>
      </c>
      <c r="AH1893">
        <v>17.557820567521901</v>
      </c>
      <c r="AI1893">
        <v>93.605255233375701</v>
      </c>
      <c r="AJ1893">
        <v>84.153742013625703</v>
      </c>
      <c r="AK1893">
        <v>17.684618312589102</v>
      </c>
      <c r="AL1893">
        <v>80.821410276308796</v>
      </c>
      <c r="AM1893">
        <v>83.869457772228401</v>
      </c>
      <c r="AN1893">
        <v>0.99999997717713396</v>
      </c>
    </row>
    <row r="1894" spans="1:40" x14ac:dyDescent="0.25">
      <c r="A1894" t="str">
        <f>"20190312172120543"</f>
        <v>20190312172120543</v>
      </c>
      <c r="B1894" t="str">
        <f>"1552382480532434"</f>
        <v>1552382480532434</v>
      </c>
      <c r="C1894" t="s">
        <v>40</v>
      </c>
      <c r="D1894">
        <v>3.4593250000000002</v>
      </c>
      <c r="E1894">
        <v>0.4980946</v>
      </c>
      <c r="F1894" t="s">
        <v>41</v>
      </c>
      <c r="G1894">
        <v>-186.601</v>
      </c>
      <c r="H1894">
        <v>1.052745</v>
      </c>
      <c r="I1894">
        <v>323.33390000000003</v>
      </c>
      <c r="J1894">
        <v>-186.4666</v>
      </c>
      <c r="K1894">
        <v>1.112195</v>
      </c>
      <c r="L1894">
        <v>324.0326</v>
      </c>
      <c r="M1894">
        <v>-4.6766950000000002E-2</v>
      </c>
      <c r="N1894">
        <v>0</v>
      </c>
      <c r="O1894">
        <v>-0.99882969999999904</v>
      </c>
      <c r="P1894">
        <v>-0.15335209999999999</v>
      </c>
      <c r="Q1894">
        <v>0.1469491</v>
      </c>
      <c r="R1894">
        <v>-0.97718459999999996</v>
      </c>
      <c r="S1894">
        <v>-0.45541379999999998</v>
      </c>
      <c r="T1894">
        <v>-0.18725059999999999</v>
      </c>
      <c r="U1894">
        <v>-3.0267029999999999</v>
      </c>
      <c r="V1894">
        <v>0.106764899999999</v>
      </c>
      <c r="W1894">
        <v>0.15956319999999999</v>
      </c>
      <c r="X1894">
        <v>0.98139739999999998</v>
      </c>
      <c r="Y1894">
        <v>0.1020993</v>
      </c>
      <c r="Z1894">
        <v>6.1143009999999998E-2</v>
      </c>
      <c r="AA1894">
        <v>0.99289340000000004</v>
      </c>
      <c r="AB1894">
        <v>26</v>
      </c>
      <c r="AC1894">
        <v>-0.13439999999999899</v>
      </c>
      <c r="AD1894">
        <v>-5.9450000000000003E-2</v>
      </c>
      <c r="AE1894">
        <v>-0.69869999999997301</v>
      </c>
      <c r="AF1894">
        <v>0.10087015232454501</v>
      </c>
      <c r="AG1894">
        <v>-5.9450000000000003E-2</v>
      </c>
      <c r="AH1894">
        <v>0.699338971810333</v>
      </c>
      <c r="AI1894">
        <v>94.809432737104501</v>
      </c>
      <c r="AJ1894">
        <v>81.792466207164793</v>
      </c>
      <c r="AK1894">
        <v>0.70907269558396502</v>
      </c>
      <c r="AL1894">
        <v>80.8184563658901</v>
      </c>
      <c r="AM1894">
        <v>83.791285885960704</v>
      </c>
      <c r="AN1894">
        <v>1.0000000076965001</v>
      </c>
    </row>
    <row r="1895" spans="1:40" x14ac:dyDescent="0.25">
      <c r="A1895" t="str">
        <f>"20190312172120564"</f>
        <v>20190312172120564</v>
      </c>
      <c r="B1895" t="str">
        <f>"1552382480552930"</f>
        <v>1552382480552930</v>
      </c>
      <c r="C1895" t="s">
        <v>40</v>
      </c>
      <c r="D1895">
        <v>3.4395709999999999</v>
      </c>
      <c r="E1895">
        <v>0.49798589999999998</v>
      </c>
      <c r="F1895" t="s">
        <v>41</v>
      </c>
      <c r="G1895">
        <v>-186.60659999999999</v>
      </c>
      <c r="H1895">
        <v>1.0540179999999999</v>
      </c>
      <c r="I1895">
        <v>323.09359999999998</v>
      </c>
      <c r="J1895">
        <v>-186.47550000000001</v>
      </c>
      <c r="K1895">
        <v>1.1123080000000001</v>
      </c>
      <c r="L1895">
        <v>323.77839999999998</v>
      </c>
      <c r="M1895">
        <v>-4.4058350000000003E-2</v>
      </c>
      <c r="N1895">
        <v>0</v>
      </c>
      <c r="O1895">
        <v>-0.99895250000000002</v>
      </c>
      <c r="P1895">
        <v>-0.15201629999999899</v>
      </c>
      <c r="Q1895">
        <v>0.14764949999999999</v>
      </c>
      <c r="R1895">
        <v>-0.97728749999999998</v>
      </c>
      <c r="S1895">
        <v>-0.45075989999999999</v>
      </c>
      <c r="T1895">
        <v>-0.18806200000000001</v>
      </c>
      <c r="U1895">
        <v>-3.0275569999999998</v>
      </c>
      <c r="V1895">
        <v>0.108046</v>
      </c>
      <c r="W1895">
        <v>0.16031479999999901</v>
      </c>
      <c r="X1895">
        <v>0.98113470000000003</v>
      </c>
      <c r="Y1895">
        <v>0.103260199999999</v>
      </c>
      <c r="Z1895">
        <v>6.1404439999999998E-2</v>
      </c>
      <c r="AA1895">
        <v>0.99275720000000001</v>
      </c>
      <c r="AB1895">
        <v>26</v>
      </c>
      <c r="AC1895">
        <v>-0.13109999999997499</v>
      </c>
      <c r="AD1895">
        <v>-5.8289999999999897E-2</v>
      </c>
      <c r="AE1895">
        <v>-0.68479999999999497</v>
      </c>
      <c r="AF1895">
        <v>0.100099596767199</v>
      </c>
      <c r="AG1895">
        <v>-5.8289999999999897E-2</v>
      </c>
      <c r="AH1895">
        <v>0.68512295001331402</v>
      </c>
      <c r="AI1895">
        <v>94.812145631516898</v>
      </c>
      <c r="AJ1895">
        <v>81.687638305099398</v>
      </c>
      <c r="AK1895">
        <v>0.69484610526929103</v>
      </c>
      <c r="AL1895">
        <v>80.774831533872202</v>
      </c>
      <c r="AM1895">
        <v>83.7157094295859</v>
      </c>
      <c r="AN1895">
        <v>1.00000003637956</v>
      </c>
    </row>
    <row r="1896" spans="1:40" x14ac:dyDescent="0.25">
      <c r="A1896" t="str">
        <f>"20190312172120588"</f>
        <v>20190312172120588</v>
      </c>
      <c r="B1896" t="str">
        <f>"1552382480582210"</f>
        <v>1552382480582210</v>
      </c>
      <c r="C1896" t="s">
        <v>40</v>
      </c>
      <c r="D1896">
        <v>3.4402529999999998</v>
      </c>
      <c r="E1896">
        <v>0.4978436</v>
      </c>
      <c r="F1896" t="s">
        <v>42</v>
      </c>
      <c r="G1896">
        <v>-189.16409999999999</v>
      </c>
      <c r="H1896" s="1">
        <v>-2.683069E-6</v>
      </c>
      <c r="I1896">
        <v>305.54149999999998</v>
      </c>
      <c r="J1896">
        <v>-186.48410000000001</v>
      </c>
      <c r="K1896">
        <v>1.112398</v>
      </c>
      <c r="L1896">
        <v>323.50850000000003</v>
      </c>
      <c r="M1896">
        <v>-4.1057179999999999E-2</v>
      </c>
      <c r="N1896">
        <v>0</v>
      </c>
      <c r="O1896">
        <v>-0.99908010000000003</v>
      </c>
      <c r="P1896">
        <v>-0.1501728</v>
      </c>
      <c r="Q1896">
        <v>0.1483286</v>
      </c>
      <c r="R1896">
        <v>-0.9774699</v>
      </c>
      <c r="S1896">
        <v>-0.4464417</v>
      </c>
      <c r="T1896">
        <v>-0.1846988</v>
      </c>
      <c r="U1896">
        <v>-3.0282290000000001</v>
      </c>
      <c r="V1896">
        <v>0.1091128</v>
      </c>
      <c r="W1896">
        <v>0.16103679999999901</v>
      </c>
      <c r="X1896">
        <v>0.9808983</v>
      </c>
      <c r="Y1896">
        <v>0.1048404</v>
      </c>
      <c r="Z1896">
        <v>6.0310019999999999E-2</v>
      </c>
      <c r="AA1896">
        <v>0.9926587</v>
      </c>
      <c r="AB1896">
        <v>26</v>
      </c>
      <c r="AC1896">
        <v>-2.67999999999997</v>
      </c>
      <c r="AD1896">
        <v>-1.1124006830689901</v>
      </c>
      <c r="AE1896">
        <v>-17.966999999999999</v>
      </c>
      <c r="AF1896">
        <v>1.93276140992484</v>
      </c>
      <c r="AG1896">
        <v>-1.1124006830689901</v>
      </c>
      <c r="AH1896">
        <v>17.9944131081417</v>
      </c>
      <c r="AI1896">
        <v>93.517299421998402</v>
      </c>
      <c r="AJ1896">
        <v>83.869422658446496</v>
      </c>
      <c r="AK1896">
        <v>18.132068416312801</v>
      </c>
      <c r="AL1896">
        <v>80.732918755693106</v>
      </c>
      <c r="AM1896">
        <v>83.652647882418194</v>
      </c>
      <c r="AN1896">
        <v>0.99999996451048401</v>
      </c>
    </row>
    <row r="1897" spans="1:40" x14ac:dyDescent="0.25">
      <c r="A1897" t="str">
        <f>"20190312172120610"</f>
        <v>20190312172120610</v>
      </c>
      <c r="B1897" t="str">
        <f>"1552382480602706"</f>
        <v>1552382480602706</v>
      </c>
      <c r="C1897" t="s">
        <v>40</v>
      </c>
      <c r="D1897">
        <v>3.4427400000000001</v>
      </c>
      <c r="E1897">
        <v>0.49770520000000001</v>
      </c>
      <c r="F1897" t="s">
        <v>42</v>
      </c>
      <c r="G1897">
        <v>-189.17500000000001</v>
      </c>
      <c r="H1897" s="1">
        <v>-2.4466439999999999E-6</v>
      </c>
      <c r="I1897">
        <v>304.9948</v>
      </c>
      <c r="J1897">
        <v>-186.49170000000001</v>
      </c>
      <c r="K1897">
        <v>1.1124529999999999</v>
      </c>
      <c r="L1897">
        <v>323.24250000000001</v>
      </c>
      <c r="M1897">
        <v>-3.8007909999999999E-2</v>
      </c>
      <c r="N1897">
        <v>0</v>
      </c>
      <c r="O1897">
        <v>-0.99920039999999999</v>
      </c>
      <c r="P1897">
        <v>-0.14807479999999901</v>
      </c>
      <c r="Q1897">
        <v>0.14812629999999999</v>
      </c>
      <c r="R1897">
        <v>-0.97782040000000003</v>
      </c>
      <c r="S1897">
        <v>-0.44026179999999898</v>
      </c>
      <c r="T1897">
        <v>-0.18200369999999999</v>
      </c>
      <c r="U1897">
        <v>-3.029083</v>
      </c>
      <c r="V1897">
        <v>0.1099797</v>
      </c>
      <c r="W1897">
        <v>0.16086929999999999</v>
      </c>
      <c r="X1897">
        <v>0.98082899999999995</v>
      </c>
      <c r="Y1897">
        <v>0.1058598</v>
      </c>
      <c r="Z1897">
        <v>5.9432850000000002E-2</v>
      </c>
      <c r="AA1897">
        <v>0.99260340000000002</v>
      </c>
      <c r="AB1897">
        <v>26</v>
      </c>
      <c r="AC1897">
        <v>-2.6833</v>
      </c>
      <c r="AD1897">
        <v>-1.112455446644</v>
      </c>
      <c r="AE1897">
        <v>-18.247699999999998</v>
      </c>
      <c r="AF1897">
        <v>1.9805453669708499</v>
      </c>
      <c r="AG1897">
        <v>-1.112455446644</v>
      </c>
      <c r="AH1897">
        <v>18.270041634539201</v>
      </c>
      <c r="AI1897">
        <v>93.464169729787997</v>
      </c>
      <c r="AJ1897">
        <v>83.813068631429005</v>
      </c>
      <c r="AK1897">
        <v>18.410718030516801</v>
      </c>
      <c r="AL1897">
        <v>80.7426428780024</v>
      </c>
      <c r="AM1897">
        <v>83.602186447281895</v>
      </c>
      <c r="AN1897">
        <v>0.99999999666778905</v>
      </c>
    </row>
    <row r="1898" spans="1:40" x14ac:dyDescent="0.25">
      <c r="A1898" t="str">
        <f>"20190312172120631"</f>
        <v>20190312172120631</v>
      </c>
      <c r="B1898" t="str">
        <f>"1552382480623206"</f>
        <v>1552382480623206</v>
      </c>
      <c r="C1898" t="s">
        <v>40</v>
      </c>
      <c r="D1898">
        <v>3.4480400000000002</v>
      </c>
      <c r="E1898">
        <v>0.49761830000000001</v>
      </c>
      <c r="F1898" t="s">
        <v>42</v>
      </c>
      <c r="G1898">
        <v>-189.13</v>
      </c>
      <c r="H1898" s="1">
        <v>-2.3776980000000001E-6</v>
      </c>
      <c r="I1898">
        <v>304.81560000000002</v>
      </c>
      <c r="J1898">
        <v>-186.4982</v>
      </c>
      <c r="K1898">
        <v>1.1124810000000001</v>
      </c>
      <c r="L1898">
        <v>322.98790000000002</v>
      </c>
      <c r="M1898">
        <v>-3.5040050000000003E-2</v>
      </c>
      <c r="N1898">
        <v>0</v>
      </c>
      <c r="O1898">
        <v>-0.9993088</v>
      </c>
      <c r="P1898">
        <v>-0.1464897</v>
      </c>
      <c r="Q1898">
        <v>0.14694939999999901</v>
      </c>
      <c r="R1898">
        <v>-0.97823640000000001</v>
      </c>
      <c r="S1898">
        <v>-0.4338379</v>
      </c>
      <c r="T1898">
        <v>-0.1829298</v>
      </c>
      <c r="U1898">
        <v>-3.03009</v>
      </c>
      <c r="V1898">
        <v>0.11129070000000001</v>
      </c>
      <c r="W1898">
        <v>0.1597227</v>
      </c>
      <c r="X1898">
        <v>0.98086850000000003</v>
      </c>
      <c r="Y1898">
        <v>0.1067022</v>
      </c>
      <c r="Z1898">
        <v>5.9730600000000002E-2</v>
      </c>
      <c r="AA1898">
        <v>0.99249529999999997</v>
      </c>
      <c r="AB1898">
        <v>26</v>
      </c>
      <c r="AC1898">
        <v>-2.6317999999999899</v>
      </c>
      <c r="AD1898">
        <v>-1.1124833776980001</v>
      </c>
      <c r="AE1898">
        <v>-18.1723</v>
      </c>
      <c r="AF1898">
        <v>1.98608582627843</v>
      </c>
      <c r="AG1898">
        <v>-1.1124833776980001</v>
      </c>
      <c r="AH1898">
        <v>18.1866062141887</v>
      </c>
      <c r="AI1898">
        <v>93.479811264324297</v>
      </c>
      <c r="AJ1898">
        <v>83.767656501109698</v>
      </c>
      <c r="AK1898">
        <v>18.328524265880301</v>
      </c>
      <c r="AL1898">
        <v>80.809198774458906</v>
      </c>
      <c r="AM1898">
        <v>83.5268241413673</v>
      </c>
      <c r="AN1898">
        <v>0.99999998754701402</v>
      </c>
    </row>
    <row r="1899" spans="1:40" x14ac:dyDescent="0.25">
      <c r="A1899" t="str">
        <f>"20190312172120654"</f>
        <v>20190312172120654</v>
      </c>
      <c r="B1899" t="str">
        <f>"1552382480642725"</f>
        <v>1552382480642725</v>
      </c>
      <c r="C1899" t="s">
        <v>40</v>
      </c>
      <c r="D1899">
        <v>3.4692210000000001</v>
      </c>
      <c r="E1899">
        <v>0.4975115</v>
      </c>
      <c r="F1899" t="s">
        <v>42</v>
      </c>
      <c r="G1899">
        <v>-189.05539999999999</v>
      </c>
      <c r="H1899" s="1">
        <v>-2.44169E-6</v>
      </c>
      <c r="I1899">
        <v>304.93380000000002</v>
      </c>
      <c r="J1899">
        <v>-186.50380000000001</v>
      </c>
      <c r="K1899">
        <v>1.1124959999999999</v>
      </c>
      <c r="L1899">
        <v>322.73419999999999</v>
      </c>
      <c r="M1899">
        <v>-3.2062590000000002E-2</v>
      </c>
      <c r="N1899">
        <v>0</v>
      </c>
      <c r="O1899">
        <v>-0.99940850000000003</v>
      </c>
      <c r="P1899">
        <v>-0.14536769999999999</v>
      </c>
      <c r="Q1899">
        <v>0.14595810000000001</v>
      </c>
      <c r="R1899">
        <v>-0.97855219999999998</v>
      </c>
      <c r="S1899">
        <v>-0.42924499999999999</v>
      </c>
      <c r="T1899">
        <v>-0.18673899999999999</v>
      </c>
      <c r="U1899">
        <v>-3.0305179999999998</v>
      </c>
      <c r="V1899">
        <v>0.1130833</v>
      </c>
      <c r="W1899">
        <v>0.15875719999999999</v>
      </c>
      <c r="X1899">
        <v>0.98082020000000003</v>
      </c>
      <c r="Y1899">
        <v>0.1081599</v>
      </c>
      <c r="Z1899">
        <v>6.097205E-2</v>
      </c>
      <c r="AA1899">
        <v>0.99226199999999998</v>
      </c>
      <c r="AB1899">
        <v>26</v>
      </c>
      <c r="AC1899">
        <v>-2.5515999999999699</v>
      </c>
      <c r="AD1899">
        <v>-1.1124984416899999</v>
      </c>
      <c r="AE1899">
        <v>-17.8003999999999</v>
      </c>
      <c r="AF1899">
        <v>1.9719693125147599</v>
      </c>
      <c r="AG1899">
        <v>-1.1124984416899999</v>
      </c>
      <c r="AH1899">
        <v>17.804917103242701</v>
      </c>
      <c r="AI1899">
        <v>93.553671366283794</v>
      </c>
      <c r="AJ1899">
        <v>83.680009279407699</v>
      </c>
      <c r="AK1899">
        <v>17.948297657594399</v>
      </c>
      <c r="AL1899">
        <v>80.865232718652294</v>
      </c>
      <c r="AM1899">
        <v>83.423143557989505</v>
      </c>
      <c r="AN1899">
        <v>0.99999997300938404</v>
      </c>
    </row>
    <row r="1900" spans="1:40" x14ac:dyDescent="0.25">
      <c r="A1900" t="str">
        <f>"20190312172120676"</f>
        <v>20190312172120676</v>
      </c>
      <c r="B1900" t="str">
        <f>"1552382480672978"</f>
        <v>1552382480672978</v>
      </c>
      <c r="C1900" t="s">
        <v>40</v>
      </c>
      <c r="D1900">
        <v>3.446358</v>
      </c>
      <c r="E1900">
        <v>0.4975366</v>
      </c>
      <c r="F1900" t="s">
        <v>42</v>
      </c>
      <c r="G1900">
        <v>-188.98820000000001</v>
      </c>
      <c r="H1900" s="1">
        <v>-2.488024E-6</v>
      </c>
      <c r="I1900">
        <v>305.01409999999998</v>
      </c>
      <c r="J1900">
        <v>-186.50880000000001</v>
      </c>
      <c r="K1900">
        <v>1.112495</v>
      </c>
      <c r="L1900">
        <v>322.4751</v>
      </c>
      <c r="M1900">
        <v>-2.9021160000000001E-2</v>
      </c>
      <c r="N1900">
        <v>0</v>
      </c>
      <c r="O1900">
        <v>-0.99950150000000004</v>
      </c>
      <c r="P1900">
        <v>-0.14467189999999999</v>
      </c>
      <c r="Q1900">
        <v>0.14494499999999999</v>
      </c>
      <c r="R1900">
        <v>-0.97880630000000002</v>
      </c>
      <c r="S1900">
        <v>-0.42495729999999998</v>
      </c>
      <c r="T1900">
        <v>-0.19029309999999999</v>
      </c>
      <c r="U1900">
        <v>-3.0310359999999998</v>
      </c>
      <c r="V1900">
        <v>0.115372699999999</v>
      </c>
      <c r="W1900">
        <v>0.15776660000000001</v>
      </c>
      <c r="X1900">
        <v>0.98071339999999996</v>
      </c>
      <c r="Y1900">
        <v>0.1097751</v>
      </c>
      <c r="Z1900">
        <v>6.2126790000000001E-2</v>
      </c>
      <c r="AA1900">
        <v>0.99201300000000003</v>
      </c>
      <c r="AB1900">
        <v>26</v>
      </c>
      <c r="AC1900">
        <v>-2.4793999999999898</v>
      </c>
      <c r="AD1900">
        <v>-1.1124974880239999</v>
      </c>
      <c r="AE1900">
        <v>-17.460999999999999</v>
      </c>
      <c r="AF1900">
        <v>1.9637637678480899</v>
      </c>
      <c r="AG1900">
        <v>-1.1124974880239999</v>
      </c>
      <c r="AH1900">
        <v>17.456144256292799</v>
      </c>
      <c r="AI1900">
        <v>93.6237885030679</v>
      </c>
      <c r="AJ1900">
        <v>83.581383308880504</v>
      </c>
      <c r="AK1900">
        <v>17.601448550993702</v>
      </c>
      <c r="AL1900">
        <v>80.922714293299904</v>
      </c>
      <c r="AM1900">
        <v>83.290471316565799</v>
      </c>
      <c r="AN1900">
        <v>0.99999996646020395</v>
      </c>
    </row>
    <row r="1901" spans="1:40" x14ac:dyDescent="0.25">
      <c r="A1901" t="str">
        <f>"20190312172120699"</f>
        <v>20190312172120699</v>
      </c>
      <c r="B1901" t="str">
        <f>"1552382480692498"</f>
        <v>1552382480692498</v>
      </c>
      <c r="C1901" t="s">
        <v>40</v>
      </c>
      <c r="D1901">
        <v>3.4752839999999998</v>
      </c>
      <c r="E1901">
        <v>0.49775510000000001</v>
      </c>
      <c r="F1901" t="s">
        <v>42</v>
      </c>
      <c r="G1901">
        <v>-188.93129999999999</v>
      </c>
      <c r="H1901" s="1">
        <v>-2.5256649999999999E-6</v>
      </c>
      <c r="I1901">
        <v>305.07830000000001</v>
      </c>
      <c r="J1901">
        <v>-186.51320000000001</v>
      </c>
      <c r="K1901">
        <v>1.1124830000000001</v>
      </c>
      <c r="L1901">
        <v>322.20569999999998</v>
      </c>
      <c r="M1901">
        <v>-2.587685E-2</v>
      </c>
      <c r="N1901">
        <v>0</v>
      </c>
      <c r="O1901">
        <v>-0.99958769999999997</v>
      </c>
      <c r="P1901">
        <v>-0.1444906</v>
      </c>
      <c r="Q1901">
        <v>0.14412620000000001</v>
      </c>
      <c r="R1901">
        <v>-0.97895399999999999</v>
      </c>
      <c r="S1901">
        <v>-0.42210389999999998</v>
      </c>
      <c r="T1901">
        <v>-0.1938436</v>
      </c>
      <c r="U1901">
        <v>-3.03125</v>
      </c>
      <c r="V1901">
        <v>0.1182848</v>
      </c>
      <c r="W1901">
        <v>0.15696650000000001</v>
      </c>
      <c r="X1901">
        <v>0.98049489999999995</v>
      </c>
      <c r="Y1901">
        <v>0.11196589999999999</v>
      </c>
      <c r="Z1901">
        <v>6.3281450000000003E-2</v>
      </c>
      <c r="AA1901">
        <v>0.99169499999999999</v>
      </c>
      <c r="AB1901">
        <v>26</v>
      </c>
      <c r="AC1901">
        <v>-2.4180999999999799</v>
      </c>
      <c r="AD1901">
        <v>-1.1124855256649999</v>
      </c>
      <c r="AE1901">
        <v>-17.127399999999898</v>
      </c>
      <c r="AF1901">
        <v>1.9659206172770001</v>
      </c>
      <c r="AG1901">
        <v>-1.1124855256649999</v>
      </c>
      <c r="AH1901">
        <v>17.113451448450501</v>
      </c>
      <c r="AI1901">
        <v>93.695131257039804</v>
      </c>
      <c r="AJ1901">
        <v>83.446829623701902</v>
      </c>
      <c r="AK1901">
        <v>17.261885424156901</v>
      </c>
      <c r="AL1901">
        <v>80.969135458827395</v>
      </c>
      <c r="AM1901">
        <v>83.121201799121707</v>
      </c>
      <c r="AN1901">
        <v>1.00000001247965</v>
      </c>
    </row>
    <row r="1902" spans="1:40" x14ac:dyDescent="0.25">
      <c r="A1902" t="str">
        <f>"20190312172120721"</f>
        <v>20190312172120721</v>
      </c>
      <c r="B1902" t="str">
        <f>"1552382480712995"</f>
        <v>1552382480712995</v>
      </c>
      <c r="C1902" t="s">
        <v>40</v>
      </c>
      <c r="D1902">
        <v>3.484677</v>
      </c>
      <c r="E1902">
        <v>0.49788359999999898</v>
      </c>
      <c r="F1902" t="s">
        <v>42</v>
      </c>
      <c r="G1902">
        <v>-188.87629999999999</v>
      </c>
      <c r="H1902" s="1">
        <v>-2.6312049999999998E-6</v>
      </c>
      <c r="I1902">
        <v>305.30160000000001</v>
      </c>
      <c r="J1902">
        <v>-186.51650000000001</v>
      </c>
      <c r="K1902">
        <v>1.1124639999999999</v>
      </c>
      <c r="L1902">
        <v>321.94630000000001</v>
      </c>
      <c r="M1902">
        <v>-2.2882E-2</v>
      </c>
      <c r="N1902">
        <v>0</v>
      </c>
      <c r="O1902">
        <v>-0.99966069999999996</v>
      </c>
      <c r="P1902">
        <v>-0.14609800000000001</v>
      </c>
      <c r="Q1902">
        <v>0.14274879999999901</v>
      </c>
      <c r="R1902">
        <v>-0.97891689999999998</v>
      </c>
      <c r="S1902">
        <v>-0.42376710000000001</v>
      </c>
      <c r="T1902">
        <v>-0.19949359999999999</v>
      </c>
      <c r="U1902">
        <v>-3.0312809999999999</v>
      </c>
      <c r="V1902">
        <v>0.1228496</v>
      </c>
      <c r="W1902">
        <v>0.1556092</v>
      </c>
      <c r="X1902">
        <v>0.98014990000000002</v>
      </c>
      <c r="Y1902">
        <v>0.1154583</v>
      </c>
      <c r="Z1902">
        <v>6.5109159999999999E-2</v>
      </c>
      <c r="AA1902">
        <v>0.9911761</v>
      </c>
      <c r="AB1902">
        <v>26</v>
      </c>
      <c r="AC1902">
        <v>-2.3597999999999701</v>
      </c>
      <c r="AD1902">
        <v>-1.112466631205</v>
      </c>
      <c r="AE1902">
        <v>-16.6447</v>
      </c>
      <c r="AF1902">
        <v>1.96966327686807</v>
      </c>
      <c r="AG1902">
        <v>-1.112466631205</v>
      </c>
      <c r="AH1902">
        <v>16.6215559006923</v>
      </c>
      <c r="AI1902">
        <v>93.802521023150206</v>
      </c>
      <c r="AJ1902">
        <v>83.241934947645305</v>
      </c>
      <c r="AK1902">
        <v>16.774780952060901</v>
      </c>
      <c r="AL1902">
        <v>81.047870778676298</v>
      </c>
      <c r="AM1902">
        <v>82.855941051408294</v>
      </c>
      <c r="AN1902">
        <v>1.0000000369074</v>
      </c>
    </row>
    <row r="1903" spans="1:40" x14ac:dyDescent="0.25">
      <c r="A1903" t="str">
        <f>"20190312172120744"</f>
        <v>20190312172120744</v>
      </c>
      <c r="B1903" t="str">
        <f>"1552382480732515"</f>
        <v>1552382480732515</v>
      </c>
      <c r="C1903" t="s">
        <v>40</v>
      </c>
      <c r="D1903">
        <v>3.4882070000000001</v>
      </c>
      <c r="E1903">
        <v>0.4980251</v>
      </c>
      <c r="F1903" t="s">
        <v>41</v>
      </c>
      <c r="G1903">
        <v>-186.65110000000001</v>
      </c>
      <c r="H1903">
        <v>1.0483880000000001</v>
      </c>
      <c r="I1903">
        <v>320.99829999999997</v>
      </c>
      <c r="J1903">
        <v>-186.51910000000001</v>
      </c>
      <c r="K1903">
        <v>1.1124289999999999</v>
      </c>
      <c r="L1903">
        <v>321.68819999999999</v>
      </c>
      <c r="M1903">
        <v>-1.994348E-2</v>
      </c>
      <c r="N1903">
        <v>0</v>
      </c>
      <c r="O1903">
        <v>-0.99972369999999999</v>
      </c>
      <c r="P1903">
        <v>-0.1479684</v>
      </c>
      <c r="Q1903">
        <v>0.14085110000000001</v>
      </c>
      <c r="R1903">
        <v>-0.97891110000000003</v>
      </c>
      <c r="S1903">
        <v>-0.43019099999999999</v>
      </c>
      <c r="T1903">
        <v>-0.20483699999999999</v>
      </c>
      <c r="U1903">
        <v>-3.0303040000000001</v>
      </c>
      <c r="V1903">
        <v>0.1276265</v>
      </c>
      <c r="W1903">
        <v>0.15372759999999999</v>
      </c>
      <c r="X1903">
        <v>0.97983629999999999</v>
      </c>
      <c r="Y1903">
        <v>0.1204645</v>
      </c>
      <c r="Z1903">
        <v>6.6843139999999995E-2</v>
      </c>
      <c r="AA1903">
        <v>0.99046469999999998</v>
      </c>
      <c r="AB1903">
        <v>26</v>
      </c>
      <c r="AC1903">
        <v>-0.132000000000005</v>
      </c>
      <c r="AD1903">
        <v>-6.4041000000000195E-2</v>
      </c>
      <c r="AE1903">
        <v>-0.68990000000002205</v>
      </c>
      <c r="AF1903">
        <v>0.117239125417973</v>
      </c>
      <c r="AG1903">
        <v>-6.4041000000000195E-2</v>
      </c>
      <c r="AH1903">
        <v>0.686687447542917</v>
      </c>
      <c r="AI1903">
        <v>95.252468680583604</v>
      </c>
      <c r="AJ1903">
        <v>80.311229240617394</v>
      </c>
      <c r="AK1903">
        <v>0.69956122878757299</v>
      </c>
      <c r="AL1903">
        <v>81.156990749647093</v>
      </c>
      <c r="AM1903">
        <v>82.578840169830301</v>
      </c>
      <c r="AN1903">
        <v>0.99999993665084796</v>
      </c>
    </row>
    <row r="1904" spans="1:40" x14ac:dyDescent="0.25">
      <c r="A1904" t="str">
        <f>"20190312172120766"</f>
        <v>20190312172120766</v>
      </c>
      <c r="B1904" t="str">
        <f>"1552382480762770"</f>
        <v>1552382480762770</v>
      </c>
      <c r="C1904" t="s">
        <v>40</v>
      </c>
      <c r="D1904">
        <v>3.4911729999999999</v>
      </c>
      <c r="E1904">
        <v>0.49823010000000001</v>
      </c>
      <c r="F1904" t="s">
        <v>41</v>
      </c>
      <c r="G1904">
        <v>-186.65280000000001</v>
      </c>
      <c r="H1904">
        <v>1.047939</v>
      </c>
      <c r="I1904">
        <v>320.76490000000001</v>
      </c>
      <c r="J1904">
        <v>-186.52109999999999</v>
      </c>
      <c r="K1904">
        <v>1.112392</v>
      </c>
      <c r="L1904">
        <v>321.42160000000001</v>
      </c>
      <c r="M1904">
        <v>-1.6950759999999999E-2</v>
      </c>
      <c r="N1904">
        <v>0</v>
      </c>
      <c r="O1904">
        <v>-0.99977870000000002</v>
      </c>
      <c r="P1904">
        <v>-0.15003629999999901</v>
      </c>
      <c r="Q1904">
        <v>0.14043810000000001</v>
      </c>
      <c r="R1904">
        <v>-0.97865550000000001</v>
      </c>
      <c r="S1904">
        <v>-0.4376526</v>
      </c>
      <c r="T1904">
        <v>-0.21193699999999999</v>
      </c>
      <c r="U1904">
        <v>-3.0289000000000001</v>
      </c>
      <c r="V1904">
        <v>0.1326514</v>
      </c>
      <c r="W1904">
        <v>0.15332799999999999</v>
      </c>
      <c r="X1904">
        <v>0.97923139999999997</v>
      </c>
      <c r="Y1904">
        <v>0.12586649999999999</v>
      </c>
      <c r="Z1904">
        <v>6.9151099999999993E-2</v>
      </c>
      <c r="AA1904">
        <v>0.98963420000000002</v>
      </c>
      <c r="AB1904">
        <v>26</v>
      </c>
      <c r="AC1904">
        <v>-0.13170000000002299</v>
      </c>
      <c r="AD1904">
        <v>-6.4453000000000094E-2</v>
      </c>
      <c r="AE1904">
        <v>-0.65669999999999995</v>
      </c>
      <c r="AF1904">
        <v>0.119442567497746</v>
      </c>
      <c r="AG1904">
        <v>-6.4453000000000094E-2</v>
      </c>
      <c r="AH1904">
        <v>0.65279313239362402</v>
      </c>
      <c r="AI1904">
        <v>95.547272301371805</v>
      </c>
      <c r="AJ1904">
        <v>79.631198391192996</v>
      </c>
      <c r="AK1904">
        <v>0.66675302012044402</v>
      </c>
      <c r="AL1904">
        <v>81.180161423871198</v>
      </c>
      <c r="AM1904">
        <v>82.2853986109712</v>
      </c>
      <c r="AN1904">
        <v>1.0000000021259601</v>
      </c>
    </row>
    <row r="1905" spans="1:40" x14ac:dyDescent="0.25">
      <c r="A1905" t="str">
        <f>"20190312172120790"</f>
        <v>20190312172120790</v>
      </c>
      <c r="B1905" t="str">
        <f>"1552382480783266"</f>
        <v>1552382480783266</v>
      </c>
      <c r="C1905" t="s">
        <v>40</v>
      </c>
      <c r="D1905">
        <v>3.4786069999999998</v>
      </c>
      <c r="E1905">
        <v>0.4983397</v>
      </c>
      <c r="F1905" t="s">
        <v>41</v>
      </c>
      <c r="G1905">
        <v>-186.65389999999999</v>
      </c>
      <c r="H1905">
        <v>1.0488599999999999</v>
      </c>
      <c r="I1905">
        <v>320.5213</v>
      </c>
      <c r="J1905">
        <v>-186.5223</v>
      </c>
      <c r="K1905">
        <v>1.11236</v>
      </c>
      <c r="L1905">
        <v>321.15179999999998</v>
      </c>
      <c r="M1905">
        <v>-1.3981510000000001E-2</v>
      </c>
      <c r="N1905">
        <v>0</v>
      </c>
      <c r="O1905">
        <v>-0.99982459999999995</v>
      </c>
      <c r="P1905">
        <v>-0.152561999999999</v>
      </c>
      <c r="Q1905">
        <v>0.1429067</v>
      </c>
      <c r="R1905">
        <v>-0.97790719999999998</v>
      </c>
      <c r="S1905">
        <v>-0.44673160000000001</v>
      </c>
      <c r="T1905">
        <v>-0.21357209999999999</v>
      </c>
      <c r="U1905">
        <v>-3.0276179999999999</v>
      </c>
      <c r="V1905">
        <v>0.13810320000000001</v>
      </c>
      <c r="W1905">
        <v>0.15580649999999999</v>
      </c>
      <c r="X1905">
        <v>0.97808580000000001</v>
      </c>
      <c r="Y1905">
        <v>0.13177</v>
      </c>
      <c r="Z1905">
        <v>6.9674120000000006E-2</v>
      </c>
      <c r="AA1905">
        <v>0.9888287</v>
      </c>
      <c r="AB1905">
        <v>26</v>
      </c>
      <c r="AC1905">
        <v>-0.131599999999991</v>
      </c>
      <c r="AD1905">
        <v>-6.3499999999999807E-2</v>
      </c>
      <c r="AE1905">
        <v>-0.63049999999998296</v>
      </c>
      <c r="AF1905">
        <v>0.12158928376605201</v>
      </c>
      <c r="AG1905">
        <v>-6.3499999999999807E-2</v>
      </c>
      <c r="AH1905">
        <v>0.62619200622220095</v>
      </c>
      <c r="AI1905">
        <v>95.684913481741702</v>
      </c>
      <c r="AJ1905">
        <v>79.011472087704107</v>
      </c>
      <c r="AK1905">
        <v>0.64104027376080397</v>
      </c>
      <c r="AL1905">
        <v>81.036426368419001</v>
      </c>
      <c r="AM1905">
        <v>81.963111947429496</v>
      </c>
      <c r="AN1905">
        <v>0.99999999572706499</v>
      </c>
    </row>
    <row r="1906" spans="1:40" x14ac:dyDescent="0.25">
      <c r="A1906" t="str">
        <f>"20190312172120813"</f>
        <v>20190312172120813</v>
      </c>
      <c r="B1906" t="str">
        <f>"1552382480802786"</f>
        <v>1552382480802786</v>
      </c>
      <c r="C1906" t="s">
        <v>40</v>
      </c>
      <c r="D1906">
        <v>3.4424000000000001</v>
      </c>
      <c r="E1906">
        <v>0.4984053</v>
      </c>
      <c r="F1906" t="s">
        <v>42</v>
      </c>
      <c r="G1906">
        <v>-188.97470000000001</v>
      </c>
      <c r="H1906" s="1">
        <v>-2.421629E-6</v>
      </c>
      <c r="I1906">
        <v>304.8537</v>
      </c>
      <c r="J1906">
        <v>-186.52279999999999</v>
      </c>
      <c r="K1906">
        <v>1.1123160000000001</v>
      </c>
      <c r="L1906">
        <v>320.88420000000002</v>
      </c>
      <c r="M1906">
        <v>-1.110884E-2</v>
      </c>
      <c r="N1906">
        <v>0</v>
      </c>
      <c r="O1906">
        <v>-0.99986039999999998</v>
      </c>
      <c r="P1906">
        <v>-0.15556500000000001</v>
      </c>
      <c r="Q1906">
        <v>0.1445968</v>
      </c>
      <c r="R1906">
        <v>-0.97718539999999998</v>
      </c>
      <c r="S1906">
        <v>-0.45545960000000002</v>
      </c>
      <c r="T1906">
        <v>-0.20659</v>
      </c>
      <c r="U1906">
        <v>-3.0269170000000001</v>
      </c>
      <c r="V1906">
        <v>0.1439394</v>
      </c>
      <c r="W1906">
        <v>0.15750620000000001</v>
      </c>
      <c r="X1906">
        <v>0.97697140000000005</v>
      </c>
      <c r="Y1906">
        <v>0.13746149999999999</v>
      </c>
      <c r="Z1906">
        <v>6.7385589999999995E-2</v>
      </c>
      <c r="AA1906">
        <v>0.98821230000000004</v>
      </c>
      <c r="AB1906">
        <v>26</v>
      </c>
      <c r="AC1906">
        <v>-2.4519000000000202</v>
      </c>
      <c r="AD1906">
        <v>-1.1123184216290001</v>
      </c>
      <c r="AE1906">
        <v>-16.0305</v>
      </c>
      <c r="AF1906">
        <v>2.2630080420980199</v>
      </c>
      <c r="AG1906">
        <v>-1.1123184216290001</v>
      </c>
      <c r="AH1906">
        <v>15.981563981331901</v>
      </c>
      <c r="AI1906">
        <v>93.9421713225979</v>
      </c>
      <c r="AJ1906">
        <v>81.940433125865596</v>
      </c>
      <c r="AK1906">
        <v>16.1792720775411</v>
      </c>
      <c r="AL1906">
        <v>80.937822729836498</v>
      </c>
      <c r="AM1906">
        <v>81.618779613727398</v>
      </c>
      <c r="AN1906">
        <v>0.99999993516437702</v>
      </c>
    </row>
    <row r="1907" spans="1:40" x14ac:dyDescent="0.25">
      <c r="A1907" t="str">
        <f>"20190312172120835"</f>
        <v>20190312172120835</v>
      </c>
      <c r="B1907" t="str">
        <f>"1552382480833043"</f>
        <v>1552382480833043</v>
      </c>
      <c r="C1907" t="s">
        <v>40</v>
      </c>
      <c r="D1907">
        <v>3.4803809999999999</v>
      </c>
      <c r="E1907">
        <v>0.49843100000000001</v>
      </c>
      <c r="F1907" t="s">
        <v>42</v>
      </c>
      <c r="G1907">
        <v>-189.08420000000001</v>
      </c>
      <c r="H1907" s="1">
        <v>-2.1144640000000001E-6</v>
      </c>
      <c r="I1907">
        <v>304.18299999999999</v>
      </c>
      <c r="J1907">
        <v>-186.52260000000001</v>
      </c>
      <c r="K1907">
        <v>1.1122590000000001</v>
      </c>
      <c r="L1907">
        <v>320.61959999999999</v>
      </c>
      <c r="M1907">
        <v>-8.3544020000000004E-3</v>
      </c>
      <c r="N1907">
        <v>0</v>
      </c>
      <c r="O1907">
        <v>-0.99988719999999998</v>
      </c>
      <c r="P1907">
        <v>-0.15892290000000001</v>
      </c>
      <c r="Q1907">
        <v>0.14422660000000001</v>
      </c>
      <c r="R1907">
        <v>-0.97669980000000001</v>
      </c>
      <c r="S1907">
        <v>-0.46408080000000002</v>
      </c>
      <c r="T1907">
        <v>-0.2015325</v>
      </c>
      <c r="U1907">
        <v>-3.02597</v>
      </c>
      <c r="V1907">
        <v>0.15002199999999999</v>
      </c>
      <c r="W1907">
        <v>0.1571427</v>
      </c>
      <c r="X1907">
        <v>0.9761145</v>
      </c>
      <c r="Y1907">
        <v>0.14300199999999999</v>
      </c>
      <c r="Z1907">
        <v>6.5726270000000003E-2</v>
      </c>
      <c r="AA1907">
        <v>0.98753760000000002</v>
      </c>
      <c r="AB1907">
        <v>26</v>
      </c>
      <c r="AC1907">
        <v>-2.5615999999999901</v>
      </c>
      <c r="AD1907">
        <v>-1.112261114464</v>
      </c>
      <c r="AE1907">
        <v>-16.436599999999999</v>
      </c>
      <c r="AF1907">
        <v>2.4133925786508899</v>
      </c>
      <c r="AG1907">
        <v>-1.112261114464</v>
      </c>
      <c r="AH1907">
        <v>16.384181230119101</v>
      </c>
      <c r="AI1907">
        <v>93.842304663130605</v>
      </c>
      <c r="AJ1907">
        <v>81.620579281774198</v>
      </c>
      <c r="AK1907">
        <v>16.598282534853499</v>
      </c>
      <c r="AL1907">
        <v>80.958912721055398</v>
      </c>
      <c r="AM1907">
        <v>81.262408153567407</v>
      </c>
      <c r="AN1907">
        <v>0.99999997287876896</v>
      </c>
    </row>
    <row r="1908" spans="1:40" x14ac:dyDescent="0.25">
      <c r="A1908" t="str">
        <f>"20190312172120854"</f>
        <v>20190312172120854</v>
      </c>
      <c r="B1908" t="str">
        <f>"1552382480852563"</f>
        <v>1552382480852563</v>
      </c>
      <c r="C1908" t="s">
        <v>40</v>
      </c>
      <c r="D1908">
        <v>3.4501050000000002</v>
      </c>
      <c r="E1908">
        <v>0.49842189999999997</v>
      </c>
      <c r="F1908" t="s">
        <v>42</v>
      </c>
      <c r="G1908">
        <v>-189.11439999999999</v>
      </c>
      <c r="H1908" s="1">
        <v>-2.0587540000000001E-6</v>
      </c>
      <c r="I1908">
        <v>304.06560000000002</v>
      </c>
      <c r="J1908">
        <v>-186.52189999999999</v>
      </c>
      <c r="K1908">
        <v>1.112195</v>
      </c>
      <c r="L1908">
        <v>320.39550000000003</v>
      </c>
      <c r="M1908">
        <v>-6.1063940000000002E-3</v>
      </c>
      <c r="N1908">
        <v>0</v>
      </c>
      <c r="O1908">
        <v>-0.99990310000000004</v>
      </c>
      <c r="P1908">
        <v>-0.162721799999999</v>
      </c>
      <c r="Q1908">
        <v>0.1441837</v>
      </c>
      <c r="R1908">
        <v>-0.97608050000000002</v>
      </c>
      <c r="S1908">
        <v>-0.4735413</v>
      </c>
      <c r="T1908">
        <v>-0.20321980000000001</v>
      </c>
      <c r="U1908">
        <v>-3.0245669999999998</v>
      </c>
      <c r="V1908">
        <v>0.1560473</v>
      </c>
      <c r="W1908">
        <v>0.1570993</v>
      </c>
      <c r="X1908">
        <v>0.97517640000000005</v>
      </c>
      <c r="Y1908">
        <v>0.14830450000000001</v>
      </c>
      <c r="Z1908">
        <v>6.6264240000000002E-2</v>
      </c>
      <c r="AA1908">
        <v>0.98671929999999997</v>
      </c>
      <c r="AB1908">
        <v>26</v>
      </c>
      <c r="AC1908">
        <v>-2.5924999999999998</v>
      </c>
      <c r="AD1908">
        <v>-1.112197058754</v>
      </c>
      <c r="AE1908">
        <v>-16.329899999999999</v>
      </c>
      <c r="AF1908">
        <v>2.4814991060259599</v>
      </c>
      <c r="AG1908">
        <v>-1.112197058754</v>
      </c>
      <c r="AH1908">
        <v>16.2718031546672</v>
      </c>
      <c r="AI1908">
        <v>93.865597624928199</v>
      </c>
      <c r="AJ1908">
        <v>81.329029500612805</v>
      </c>
      <c r="AK1908">
        <v>16.497466411996299</v>
      </c>
      <c r="AL1908">
        <v>80.961430701551905</v>
      </c>
      <c r="AM1908">
        <v>80.908630262218495</v>
      </c>
      <c r="AN1908">
        <v>0.99999998050736905</v>
      </c>
    </row>
    <row r="1909" spans="1:40" x14ac:dyDescent="0.25">
      <c r="A1909" t="str">
        <f>"20190312172120877"</f>
        <v>20190312172120877</v>
      </c>
      <c r="B1909" t="str">
        <f>"1552382480873059"</f>
        <v>1552382480873059</v>
      </c>
      <c r="C1909" t="s">
        <v>40</v>
      </c>
      <c r="D1909">
        <v>3.448852</v>
      </c>
      <c r="E1909">
        <v>0.49839440000000002</v>
      </c>
      <c r="F1909" t="s">
        <v>42</v>
      </c>
      <c r="G1909">
        <v>-189.1678</v>
      </c>
      <c r="H1909" s="1">
        <v>-1.98426E-6</v>
      </c>
      <c r="I1909">
        <v>303.91410000000002</v>
      </c>
      <c r="J1909">
        <v>-186.52070000000001</v>
      </c>
      <c r="K1909">
        <v>1.112109</v>
      </c>
      <c r="L1909">
        <v>320.13080000000002</v>
      </c>
      <c r="M1909">
        <v>-3.563386E-3</v>
      </c>
      <c r="N1909">
        <v>0</v>
      </c>
      <c r="O1909">
        <v>-0.99991549999999996</v>
      </c>
      <c r="P1909">
        <v>-0.1657652</v>
      </c>
      <c r="Q1909">
        <v>0.1459269</v>
      </c>
      <c r="R1909">
        <v>-0.97530910000000004</v>
      </c>
      <c r="S1909">
        <v>-0.48527530000000002</v>
      </c>
      <c r="T1909">
        <v>-0.20398579999999999</v>
      </c>
      <c r="U1909">
        <v>-3.0228269999999999</v>
      </c>
      <c r="V1909">
        <v>0.16160469999999999</v>
      </c>
      <c r="W1909">
        <v>0.15882499999999999</v>
      </c>
      <c r="X1909">
        <v>0.97399100000000005</v>
      </c>
      <c r="Y1909">
        <v>0.15463689999999999</v>
      </c>
      <c r="Z1909">
        <v>6.6499310000000006E-2</v>
      </c>
      <c r="AA1909">
        <v>0.98573080000000002</v>
      </c>
      <c r="AB1909">
        <v>26</v>
      </c>
      <c r="AC1909">
        <v>-2.6470999999999898</v>
      </c>
      <c r="AD1909">
        <v>-1.1121109842599901</v>
      </c>
      <c r="AE1909">
        <v>-16.216699999999999</v>
      </c>
      <c r="AF1909">
        <v>2.5774851064905899</v>
      </c>
      <c r="AG1909">
        <v>-1.1121109842599901</v>
      </c>
      <c r="AH1909">
        <v>16.1520394926671</v>
      </c>
      <c r="AI1909">
        <v>93.8896913689737</v>
      </c>
      <c r="AJ1909">
        <v>80.933386580009696</v>
      </c>
      <c r="AK1909">
        <v>16.394163598310499</v>
      </c>
      <c r="AL1909">
        <v>80.861298059495894</v>
      </c>
      <c r="AM1909">
        <v>80.579300949511904</v>
      </c>
      <c r="AN1909">
        <v>0.999999963884044</v>
      </c>
    </row>
    <row r="1910" spans="1:40" x14ac:dyDescent="0.25">
      <c r="A1910" t="str">
        <f>"20190312172120900"</f>
        <v>20190312172120900</v>
      </c>
      <c r="B1910" t="str">
        <f>"1552382480892579"</f>
        <v>1552382480892579</v>
      </c>
      <c r="C1910" t="s">
        <v>40</v>
      </c>
      <c r="D1910">
        <v>3.4714119999999999</v>
      </c>
      <c r="E1910">
        <v>0.49829370000000001</v>
      </c>
      <c r="F1910" t="s">
        <v>42</v>
      </c>
      <c r="G1910">
        <v>-189.2807</v>
      </c>
      <c r="H1910" s="1">
        <v>-1.69000999999999E-6</v>
      </c>
      <c r="I1910">
        <v>303.27480000000003</v>
      </c>
      <c r="J1910">
        <v>-186.5189</v>
      </c>
      <c r="K1910">
        <v>1.11199</v>
      </c>
      <c r="L1910">
        <v>319.86380000000003</v>
      </c>
      <c r="M1910">
        <v>-1.1533229999999999E-3</v>
      </c>
      <c r="N1910">
        <v>0</v>
      </c>
      <c r="O1910">
        <v>-0.99992119999999995</v>
      </c>
      <c r="P1910">
        <v>-0.1695287</v>
      </c>
      <c r="Q1910">
        <v>0.14685979999999901</v>
      </c>
      <c r="R1910">
        <v>-0.97452150000000004</v>
      </c>
      <c r="S1910">
        <v>-0.49476619999999999</v>
      </c>
      <c r="T1910">
        <v>-0.19936129999999999</v>
      </c>
      <c r="U1910">
        <v>-3.0216669999999999</v>
      </c>
      <c r="V1910">
        <v>0.1677592</v>
      </c>
      <c r="W1910">
        <v>0.15973119999999999</v>
      </c>
      <c r="X1910">
        <v>0.97280149999999999</v>
      </c>
      <c r="Y1910">
        <v>0.1601079</v>
      </c>
      <c r="Z1910">
        <v>6.4978640000000004E-2</v>
      </c>
      <c r="AA1910">
        <v>0.98495849999999996</v>
      </c>
      <c r="AB1910">
        <v>26</v>
      </c>
      <c r="AC1910">
        <v>-2.7617999999999898</v>
      </c>
      <c r="AD1910">
        <v>-1.11199169001</v>
      </c>
      <c r="AE1910">
        <v>-16.588999999999999</v>
      </c>
      <c r="AF1910">
        <v>2.7307252136340998</v>
      </c>
      <c r="AG1910">
        <v>-1.11199169001</v>
      </c>
      <c r="AH1910">
        <v>16.519947747640799</v>
      </c>
      <c r="AI1910">
        <v>93.799483894256795</v>
      </c>
      <c r="AJ1910">
        <v>80.613957312985505</v>
      </c>
      <c r="AK1910">
        <v>16.781002928782598</v>
      </c>
      <c r="AL1910">
        <v>80.808705374179496</v>
      </c>
      <c r="AM1910">
        <v>80.215602312371402</v>
      </c>
      <c r="AN1910">
        <v>0.99999998192016404</v>
      </c>
    </row>
    <row r="1911" spans="1:40" x14ac:dyDescent="0.25">
      <c r="A1911" t="str">
        <f>"20190312172120923"</f>
        <v>20190312172120923</v>
      </c>
      <c r="B1911" t="str">
        <f>"1552382480912703"</f>
        <v>1552382480912703</v>
      </c>
      <c r="C1911" t="s">
        <v>40</v>
      </c>
      <c r="D1911">
        <v>3.4538600000000002</v>
      </c>
      <c r="E1911">
        <v>0.49819910000000001</v>
      </c>
      <c r="F1911" t="s">
        <v>42</v>
      </c>
      <c r="G1911">
        <v>-189.38409999999999</v>
      </c>
      <c r="H1911" s="1">
        <v>-1.437469E-6</v>
      </c>
      <c r="I1911">
        <v>302.72890000000001</v>
      </c>
      <c r="J1911">
        <v>-186.51660000000001</v>
      </c>
      <c r="K1911">
        <v>1.1118410000000001</v>
      </c>
      <c r="L1911">
        <v>319.59820000000002</v>
      </c>
      <c r="M1911">
        <v>1.0384680000000001E-3</v>
      </c>
      <c r="N1911">
        <v>0</v>
      </c>
      <c r="O1911">
        <v>-0.99992130000000001</v>
      </c>
      <c r="P1911">
        <v>-0.17210039999999999</v>
      </c>
      <c r="Q1911">
        <v>0.14322409999999999</v>
      </c>
      <c r="R1911">
        <v>-0.97461220000000004</v>
      </c>
      <c r="S1911">
        <v>-0.50502009999999997</v>
      </c>
      <c r="T1911">
        <v>-0.1959941</v>
      </c>
      <c r="U1911">
        <v>-3.020111</v>
      </c>
      <c r="V1911">
        <v>0.17253189999999999</v>
      </c>
      <c r="W1911">
        <v>0.1560599</v>
      </c>
      <c r="X1911">
        <v>0.97256260000000005</v>
      </c>
      <c r="Y1911">
        <v>0.1656166</v>
      </c>
      <c r="Z1911">
        <v>6.3871319999999995E-2</v>
      </c>
      <c r="AA1911">
        <v>0.98411970000000004</v>
      </c>
      <c r="AB1911">
        <v>26</v>
      </c>
      <c r="AC1911">
        <v>-2.86749999999997</v>
      </c>
      <c r="AD1911">
        <v>-1.1118424374689999</v>
      </c>
      <c r="AE1911">
        <v>-16.869299999999999</v>
      </c>
      <c r="AF1911">
        <v>2.8728886214515499</v>
      </c>
      <c r="AG1911">
        <v>-1.1118424374689999</v>
      </c>
      <c r="AH1911">
        <v>16.795402125765399</v>
      </c>
      <c r="AI1911">
        <v>93.733343364468695</v>
      </c>
      <c r="AJ1911">
        <v>80.293377786976293</v>
      </c>
      <c r="AK1911">
        <v>17.075573641994801</v>
      </c>
      <c r="AL1911">
        <v>81.021727676128805</v>
      </c>
      <c r="AM1911">
        <v>79.940425596555002</v>
      </c>
      <c r="AN1911">
        <v>0.99999997991218903</v>
      </c>
    </row>
    <row r="1912" spans="1:40" x14ac:dyDescent="0.25">
      <c r="A1912" t="str">
        <f>"20190312172120945"</f>
        <v>20190312172120945</v>
      </c>
      <c r="B1912" t="str">
        <f>"1552382480942957"</f>
        <v>1552382480942957</v>
      </c>
      <c r="C1912" t="s">
        <v>40</v>
      </c>
      <c r="D1912">
        <v>3.4534729999999998</v>
      </c>
      <c r="E1912">
        <v>0.49803750000000002</v>
      </c>
      <c r="F1912" t="s">
        <v>42</v>
      </c>
      <c r="G1912">
        <v>-189.2602</v>
      </c>
      <c r="H1912" s="1">
        <v>-1.742475E-6</v>
      </c>
      <c r="I1912">
        <v>303.3886</v>
      </c>
      <c r="J1912">
        <v>-186.51400000000001</v>
      </c>
      <c r="K1912">
        <v>1.1117030000000001</v>
      </c>
      <c r="L1912">
        <v>319.34230000000002</v>
      </c>
      <c r="M1912">
        <v>2.9874900000000002E-3</v>
      </c>
      <c r="N1912">
        <v>0</v>
      </c>
      <c r="O1912">
        <v>-0.9999171</v>
      </c>
      <c r="P1912">
        <v>-0.17459079999999999</v>
      </c>
      <c r="Q1912">
        <v>0.1398539</v>
      </c>
      <c r="R1912">
        <v>-0.97465869999999999</v>
      </c>
      <c r="S1912">
        <v>-0.51087950000000004</v>
      </c>
      <c r="T1912">
        <v>-0.2070333</v>
      </c>
      <c r="U1912">
        <v>-3.0183409999999999</v>
      </c>
      <c r="V1912">
        <v>0.17698179999999999</v>
      </c>
      <c r="W1912">
        <v>0.15265090000000001</v>
      </c>
      <c r="X1912">
        <v>0.97230399999999995</v>
      </c>
      <c r="Y1912">
        <v>0.16944970000000001</v>
      </c>
      <c r="Z1912">
        <v>6.7458199999999996E-2</v>
      </c>
      <c r="AA1912">
        <v>0.98322739999999997</v>
      </c>
      <c r="AB1912">
        <v>26</v>
      </c>
      <c r="AC1912">
        <v>-2.74619999999998</v>
      </c>
      <c r="AD1912">
        <v>-1.111704742475</v>
      </c>
      <c r="AE1912">
        <v>-15.9537</v>
      </c>
      <c r="AF1912">
        <v>2.7807390113891302</v>
      </c>
      <c r="AG1912">
        <v>-1.111704742475</v>
      </c>
      <c r="AH1912">
        <v>15.870578120404801</v>
      </c>
      <c r="AI1912">
        <v>93.946985284157606</v>
      </c>
      <c r="AJ1912">
        <v>80.061887617553495</v>
      </c>
      <c r="AK1912">
        <v>16.150654685175301</v>
      </c>
      <c r="AL1912">
        <v>81.219418180077398</v>
      </c>
      <c r="AM1912">
        <v>79.683788032830194</v>
      </c>
      <c r="AN1912">
        <v>0.99999996160902405</v>
      </c>
    </row>
    <row r="1913" spans="1:40" x14ac:dyDescent="0.25">
      <c r="A1913" t="str">
        <f>"20190312172120968"</f>
        <v>20190312172120968</v>
      </c>
      <c r="B1913" t="str">
        <f>"1552382480962477"</f>
        <v>1552382480962477</v>
      </c>
      <c r="C1913" t="s">
        <v>40</v>
      </c>
      <c r="D1913">
        <v>3.424458</v>
      </c>
      <c r="E1913">
        <v>0.49796390000000001</v>
      </c>
      <c r="F1913" t="s">
        <v>42</v>
      </c>
      <c r="G1913">
        <v>-189.15690000000001</v>
      </c>
      <c r="H1913" s="1">
        <v>-1.983036E-6</v>
      </c>
      <c r="I1913">
        <v>303.9067</v>
      </c>
      <c r="J1913">
        <v>-186.5111</v>
      </c>
      <c r="K1913">
        <v>1.111553</v>
      </c>
      <c r="L1913">
        <v>319.07990000000001</v>
      </c>
      <c r="M1913">
        <v>4.774571E-3</v>
      </c>
      <c r="N1913">
        <v>0</v>
      </c>
      <c r="O1913">
        <v>-0.99991039999999998</v>
      </c>
      <c r="P1913">
        <v>-0.17612620000000001</v>
      </c>
      <c r="Q1913">
        <v>0.13897010000000001</v>
      </c>
      <c r="R1913">
        <v>-0.97450879999999995</v>
      </c>
      <c r="S1913">
        <v>-0.51651000000000002</v>
      </c>
      <c r="T1913">
        <v>-0.21726570000000001</v>
      </c>
      <c r="U1913">
        <v>-3.0166629999999999</v>
      </c>
      <c r="V1913">
        <v>0.18031349999999999</v>
      </c>
      <c r="W1913">
        <v>0.15171119999999999</v>
      </c>
      <c r="X1913">
        <v>0.97183889999999995</v>
      </c>
      <c r="Y1913">
        <v>0.17304430000000001</v>
      </c>
      <c r="Z1913">
        <v>7.0780309999999999E-2</v>
      </c>
      <c r="AA1913">
        <v>0.98236749999999995</v>
      </c>
      <c r="AB1913">
        <v>26</v>
      </c>
      <c r="AC1913">
        <v>-2.6457999999999999</v>
      </c>
      <c r="AD1913">
        <v>-1.1115549830360001</v>
      </c>
      <c r="AE1913">
        <v>-15.1732</v>
      </c>
      <c r="AF1913">
        <v>2.70413696519477</v>
      </c>
      <c r="AG1913">
        <v>-1.1115549830360001</v>
      </c>
      <c r="AH1913">
        <v>15.0818421470708</v>
      </c>
      <c r="AI1913">
        <v>94.149236222595704</v>
      </c>
      <c r="AJ1913">
        <v>79.835016778744006</v>
      </c>
      <c r="AK1913">
        <v>15.3626128557614</v>
      </c>
      <c r="AL1913">
        <v>81.273894273783299</v>
      </c>
      <c r="AM1913">
        <v>79.488953790024098</v>
      </c>
      <c r="AN1913">
        <v>1.00000004702044</v>
      </c>
    </row>
    <row r="1914" spans="1:40" x14ac:dyDescent="0.25">
      <c r="A1914" t="str">
        <f>"20190312172120990"</f>
        <v>20190312172120990</v>
      </c>
      <c r="B1914" t="str">
        <f>"1552382480982973"</f>
        <v>1552382480982973</v>
      </c>
      <c r="C1914" t="s">
        <v>40</v>
      </c>
      <c r="D1914">
        <v>3.420401</v>
      </c>
      <c r="E1914">
        <v>0.49309019999999998</v>
      </c>
      <c r="F1914" t="s">
        <v>42</v>
      </c>
      <c r="G1914">
        <v>-189.142</v>
      </c>
      <c r="H1914" s="1">
        <v>-1.9564040000000001E-6</v>
      </c>
      <c r="I1914">
        <v>303.83839999999998</v>
      </c>
      <c r="J1914">
        <v>-186.50790000000001</v>
      </c>
      <c r="K1914">
        <v>1.1113820000000001</v>
      </c>
      <c r="L1914">
        <v>318.81040000000002</v>
      </c>
      <c r="M1914">
        <v>6.3247850000000003E-3</v>
      </c>
      <c r="N1914">
        <v>0</v>
      </c>
      <c r="O1914">
        <v>-0.99990129999999999</v>
      </c>
      <c r="P1914">
        <v>-0.17722179999999901</v>
      </c>
      <c r="Q1914">
        <v>0.1409069</v>
      </c>
      <c r="R1914">
        <v>-0.97403150000000005</v>
      </c>
      <c r="S1914">
        <v>-0.52056880000000005</v>
      </c>
      <c r="T1914">
        <v>-0.2199382</v>
      </c>
      <c r="U1914">
        <v>-3.0157470000000002</v>
      </c>
      <c r="V1914">
        <v>0.18297659999999999</v>
      </c>
      <c r="W1914">
        <v>0.15356979999999901</v>
      </c>
      <c r="X1914">
        <v>0.97104889999999999</v>
      </c>
      <c r="Y1914">
        <v>0.17589379999999999</v>
      </c>
      <c r="Z1914">
        <v>7.1640519999999999E-2</v>
      </c>
      <c r="AA1914">
        <v>0.98179890000000003</v>
      </c>
      <c r="AB1914">
        <v>26</v>
      </c>
      <c r="AC1914">
        <v>-2.6340999999999801</v>
      </c>
      <c r="AD1914">
        <v>-1.11138395640399</v>
      </c>
      <c r="AE1914">
        <v>-14.972</v>
      </c>
      <c r="AF1914">
        <v>2.7142424157228202</v>
      </c>
      <c r="AG1914">
        <v>-1.11138395640399</v>
      </c>
      <c r="AH1914">
        <v>14.8755326397725</v>
      </c>
      <c r="AI1914">
        <v>94.203608813788705</v>
      </c>
      <c r="AJ1914">
        <v>79.659364278194801</v>
      </c>
      <c r="AK1914">
        <v>15.161918002244899</v>
      </c>
      <c r="AL1914">
        <v>81.166141620843803</v>
      </c>
      <c r="AM1914">
        <v>79.3287722707488</v>
      </c>
      <c r="AN1914">
        <v>1.0000000429053999</v>
      </c>
    </row>
    <row r="1915" spans="1:40" x14ac:dyDescent="0.25">
      <c r="A1915" t="str">
        <f>"20190312172121014"</f>
        <v>20190312172121014</v>
      </c>
      <c r="B1915" t="str">
        <f>"1552382481002492"</f>
        <v>1552382481002492</v>
      </c>
      <c r="C1915" t="s">
        <v>40</v>
      </c>
      <c r="D1915">
        <v>3.4227180000000001</v>
      </c>
      <c r="E1915">
        <v>0.49352879999999899</v>
      </c>
      <c r="F1915" t="s">
        <v>42</v>
      </c>
      <c r="G1915">
        <v>-189.30179999999999</v>
      </c>
      <c r="H1915" s="1">
        <v>-9.0618869999999999E-7</v>
      </c>
      <c r="I1915">
        <v>301.45650000000001</v>
      </c>
      <c r="J1915">
        <v>-186.50470000000001</v>
      </c>
      <c r="K1915">
        <v>1.1111740000000001</v>
      </c>
      <c r="L1915">
        <v>318.54730000000001</v>
      </c>
      <c r="M1915">
        <v>7.5184259999999999E-3</v>
      </c>
      <c r="N1915">
        <v>0</v>
      </c>
      <c r="O1915">
        <v>-0.99989309999999998</v>
      </c>
      <c r="P1915">
        <v>-0.17934320000000001</v>
      </c>
      <c r="Q1915">
        <v>0.143035299999999</v>
      </c>
      <c r="R1915">
        <v>-0.973333</v>
      </c>
      <c r="S1915">
        <v>-0.4861298</v>
      </c>
      <c r="T1915">
        <v>-0.19337670000000001</v>
      </c>
      <c r="U1915">
        <v>-3.0195310000000002</v>
      </c>
      <c r="V1915">
        <v>0.1863301</v>
      </c>
      <c r="W1915">
        <v>0.15560539999999901</v>
      </c>
      <c r="X1915">
        <v>0.97008660000000002</v>
      </c>
      <c r="Y1915">
        <v>0.166050799999999</v>
      </c>
      <c r="Z1915">
        <v>6.30603E-2</v>
      </c>
      <c r="AA1915">
        <v>0.9840989</v>
      </c>
      <c r="AB1915">
        <v>26</v>
      </c>
      <c r="AC1915">
        <v>-2.7970999999999702</v>
      </c>
      <c r="AD1915">
        <v>-1.1111749061887</v>
      </c>
      <c r="AE1915">
        <v>-17.090800000000002</v>
      </c>
      <c r="AF1915">
        <v>2.9135324985111599</v>
      </c>
      <c r="AG1915">
        <v>-1.1111749061887</v>
      </c>
      <c r="AH1915">
        <v>16.9993025738322</v>
      </c>
      <c r="AI1915">
        <v>93.686271700983696</v>
      </c>
      <c r="AJ1915">
        <v>80.274496216235605</v>
      </c>
      <c r="AK1915">
        <v>17.282929997217501</v>
      </c>
      <c r="AL1915">
        <v>81.048090665577305</v>
      </c>
      <c r="AM1915">
        <v>79.127289511740798</v>
      </c>
      <c r="AN1915">
        <v>0.99999997908736404</v>
      </c>
    </row>
    <row r="1916" spans="1:40" x14ac:dyDescent="0.25">
      <c r="A1916" t="str">
        <f>"20190312172121035"</f>
        <v>20190312172121035</v>
      </c>
      <c r="B1916" t="str">
        <f>"1552382481032748"</f>
        <v>1552382481032748</v>
      </c>
      <c r="C1916" t="s">
        <v>40</v>
      </c>
      <c r="D1916">
        <v>3.4168959999999999</v>
      </c>
      <c r="E1916">
        <v>0.49374509999999999</v>
      </c>
      <c r="F1916" t="s">
        <v>42</v>
      </c>
      <c r="G1916">
        <v>-189.4041</v>
      </c>
      <c r="H1916" s="1">
        <v>-6.5773259999999996E-7</v>
      </c>
      <c r="I1916">
        <v>300.9196</v>
      </c>
      <c r="J1916">
        <v>-186.5017</v>
      </c>
      <c r="K1916">
        <v>1.1109209999999901</v>
      </c>
      <c r="L1916">
        <v>318.29230000000001</v>
      </c>
      <c r="M1916">
        <v>8.3247410000000001E-3</v>
      </c>
      <c r="N1916">
        <v>0</v>
      </c>
      <c r="O1916">
        <v>-0.99988679999999996</v>
      </c>
      <c r="P1916">
        <v>-0.18216270000000001</v>
      </c>
      <c r="Q1916">
        <v>0.14333360000000001</v>
      </c>
      <c r="R1916">
        <v>-0.97276549999999995</v>
      </c>
      <c r="S1916">
        <v>-0.49650569999999999</v>
      </c>
      <c r="T1916">
        <v>-0.1902838</v>
      </c>
      <c r="U1916">
        <v>-3.0186769999999998</v>
      </c>
      <c r="V1916">
        <v>0.1900239</v>
      </c>
      <c r="W1916">
        <v>0.1557943</v>
      </c>
      <c r="X1916">
        <v>0.96933950000000002</v>
      </c>
      <c r="Y1916">
        <v>0.17019400000000001</v>
      </c>
      <c r="Z1916">
        <v>6.2033310000000001E-2</v>
      </c>
      <c r="AA1916">
        <v>0.98345610000000006</v>
      </c>
      <c r="AB1916">
        <v>26</v>
      </c>
      <c r="AC1916">
        <v>-2.9024000000000001</v>
      </c>
      <c r="AD1916">
        <v>-1.11092165773259</v>
      </c>
      <c r="AE1916">
        <v>-17.372699999999998</v>
      </c>
      <c r="AF1916">
        <v>3.03486099542258</v>
      </c>
      <c r="AG1916">
        <v>-1.11092165773259</v>
      </c>
      <c r="AH1916">
        <v>17.2791957828689</v>
      </c>
      <c r="AI1916">
        <v>93.623311697863699</v>
      </c>
      <c r="AJ1916">
        <v>80.0383618869608</v>
      </c>
      <c r="AK1916">
        <v>17.578826328679298</v>
      </c>
      <c r="AL1916">
        <v>81.037134114553098</v>
      </c>
      <c r="AM1916">
        <v>78.908705693472399</v>
      </c>
      <c r="AN1916">
        <v>1.0000000063719701</v>
      </c>
    </row>
    <row r="1917" spans="1:40" x14ac:dyDescent="0.25">
      <c r="A1917" t="str">
        <f>"20190312172121056"</f>
        <v>20190312172121056</v>
      </c>
      <c r="B1917" t="str">
        <f>"1552382481053245"</f>
        <v>1552382481053245</v>
      </c>
      <c r="C1917" t="s">
        <v>40</v>
      </c>
      <c r="D1917">
        <v>3.4425669999999999</v>
      </c>
      <c r="E1917">
        <v>0.49371340000000002</v>
      </c>
      <c r="F1917" t="s">
        <v>42</v>
      </c>
      <c r="G1917">
        <v>-189.4075</v>
      </c>
      <c r="H1917" s="1">
        <v>-6.8885189999999999E-7</v>
      </c>
      <c r="I1917">
        <v>300.99349999999998</v>
      </c>
      <c r="J1917">
        <v>-186.4991</v>
      </c>
      <c r="K1917">
        <v>1.1106549999999999</v>
      </c>
      <c r="L1917">
        <v>318.05329999999998</v>
      </c>
      <c r="M1917">
        <v>8.7287909999999996E-3</v>
      </c>
      <c r="N1917">
        <v>0</v>
      </c>
      <c r="O1917">
        <v>-0.99988299999999997</v>
      </c>
      <c r="P1917">
        <v>-0.18565019999999999</v>
      </c>
      <c r="Q1917">
        <v>0.1434773</v>
      </c>
      <c r="R1917">
        <v>-0.97208459999999997</v>
      </c>
      <c r="S1917">
        <v>-0.50689700000000004</v>
      </c>
      <c r="T1917">
        <v>-0.1937922</v>
      </c>
      <c r="U1917">
        <v>-3.017639</v>
      </c>
      <c r="V1917">
        <v>0.19399959999999999</v>
      </c>
      <c r="W1917">
        <v>0.15582019999999999</v>
      </c>
      <c r="X1917">
        <v>0.96854750000000001</v>
      </c>
      <c r="Y1917">
        <v>0.173928799999999</v>
      </c>
      <c r="Z1917">
        <v>6.3155059999999999E-2</v>
      </c>
      <c r="AA1917">
        <v>0.98273100000000002</v>
      </c>
      <c r="AB1917">
        <v>26</v>
      </c>
      <c r="AC1917">
        <v>-2.9083999999999999</v>
      </c>
      <c r="AD1917">
        <v>-1.1106556888518999</v>
      </c>
      <c r="AE1917">
        <v>-17.0597999999999</v>
      </c>
      <c r="AF1917">
        <v>3.04467202978591</v>
      </c>
      <c r="AG1917">
        <v>-1.1106556888518999</v>
      </c>
      <c r="AH1917">
        <v>16.9638906407151</v>
      </c>
      <c r="AI1917">
        <v>93.687159044348604</v>
      </c>
      <c r="AJ1917">
        <v>79.824910782300506</v>
      </c>
      <c r="AK1917">
        <v>17.270702634759299</v>
      </c>
      <c r="AL1917">
        <v>81.035631926847202</v>
      </c>
      <c r="AM1917">
        <v>78.673567255221897</v>
      </c>
      <c r="AN1917">
        <v>1.0000000196422201</v>
      </c>
    </row>
    <row r="1918" spans="1:40" x14ac:dyDescent="0.25">
      <c r="A1918" t="str">
        <f>"20190312172121079"</f>
        <v>20190312172121079</v>
      </c>
      <c r="B1918" t="str">
        <f>"1552382481072764"</f>
        <v>1552382481072764</v>
      </c>
      <c r="C1918" t="s">
        <v>40</v>
      </c>
      <c r="D1918">
        <v>3.432207</v>
      </c>
      <c r="E1918">
        <v>0.49388330000000003</v>
      </c>
      <c r="F1918" t="s">
        <v>42</v>
      </c>
      <c r="G1918">
        <v>-189.47</v>
      </c>
      <c r="H1918" s="1">
        <v>-5.711835E-7</v>
      </c>
      <c r="I1918">
        <v>300.74509999999998</v>
      </c>
      <c r="J1918">
        <v>-186.49639999999999</v>
      </c>
      <c r="K1918">
        <v>1.110339</v>
      </c>
      <c r="L1918">
        <v>317.7756</v>
      </c>
      <c r="M1918">
        <v>8.7582509999999999E-3</v>
      </c>
      <c r="N1918">
        <v>0</v>
      </c>
      <c r="O1918">
        <v>-0.99988270000000001</v>
      </c>
      <c r="P1918">
        <v>-0.18985289999999999</v>
      </c>
      <c r="Q1918">
        <v>0.14728279999999999</v>
      </c>
      <c r="R1918">
        <v>-0.97070310000000004</v>
      </c>
      <c r="S1918">
        <v>-0.51766970000000001</v>
      </c>
      <c r="T1918">
        <v>-0.1935241</v>
      </c>
      <c r="U1918">
        <v>-3.0158390000000002</v>
      </c>
      <c r="V1918">
        <v>0.19834650000000001</v>
      </c>
      <c r="W1918">
        <v>0.1594681</v>
      </c>
      <c r="X1918">
        <v>0.96707220000000005</v>
      </c>
      <c r="Y1918">
        <v>0.1774654</v>
      </c>
      <c r="Z1918">
        <v>6.3066280000000002E-2</v>
      </c>
      <c r="AA1918">
        <v>0.98210419999999998</v>
      </c>
      <c r="AB1918">
        <v>26</v>
      </c>
      <c r="AC1918">
        <v>-2.9735999999999998</v>
      </c>
      <c r="AD1918">
        <v>-1.1103395711835</v>
      </c>
      <c r="AE1918">
        <v>-17.0305</v>
      </c>
      <c r="AF1918">
        <v>3.1098273442419302</v>
      </c>
      <c r="AG1918">
        <v>-1.1103395711835</v>
      </c>
      <c r="AH1918">
        <v>16.933950098231399</v>
      </c>
      <c r="AI1918">
        <v>93.6899170464701</v>
      </c>
      <c r="AJ1918">
        <v>79.593892565891807</v>
      </c>
      <c r="AK1918">
        <v>17.2528996404581</v>
      </c>
      <c r="AL1918">
        <v>80.823976025005706</v>
      </c>
      <c r="AM1918">
        <v>78.409375847332797</v>
      </c>
      <c r="AN1918">
        <v>1.0000000244963401</v>
      </c>
    </row>
    <row r="1919" spans="1:40" x14ac:dyDescent="0.25">
      <c r="A1919" t="str">
        <f>"20190312172121102"</f>
        <v>20190312172121102</v>
      </c>
      <c r="B1919" t="str">
        <f>"1552382481093260"</f>
        <v>1552382481093260</v>
      </c>
      <c r="C1919" t="s">
        <v>40</v>
      </c>
      <c r="D1919">
        <v>3.4214090000000001</v>
      </c>
      <c r="E1919">
        <v>0.4939712</v>
      </c>
      <c r="F1919" t="s">
        <v>45</v>
      </c>
      <c r="G1919">
        <v>-189.72669999999999</v>
      </c>
      <c r="H1919" s="1">
        <v>3.8862469999999998E-8</v>
      </c>
      <c r="I1919">
        <v>299.50639999999999</v>
      </c>
      <c r="J1919">
        <v>-186.49440000000001</v>
      </c>
      <c r="K1919">
        <v>1.1100270000000001</v>
      </c>
      <c r="L1919">
        <v>317.51659999999998</v>
      </c>
      <c r="M1919">
        <v>8.2597969999999993E-3</v>
      </c>
      <c r="N1919">
        <v>0</v>
      </c>
      <c r="O1919">
        <v>-0.99988639999999995</v>
      </c>
      <c r="P1919">
        <v>-0.19510060000000001</v>
      </c>
      <c r="Q1919">
        <v>0.1507484</v>
      </c>
      <c r="R1919">
        <v>-0.96912889999999996</v>
      </c>
      <c r="S1919">
        <v>-0.53295899999999996</v>
      </c>
      <c r="T1919">
        <v>-0.18319170000000001</v>
      </c>
      <c r="U1919">
        <v>-3.0141909999999998</v>
      </c>
      <c r="V1919">
        <v>0.20322879999999999</v>
      </c>
      <c r="W1919">
        <v>0.162777799999999</v>
      </c>
      <c r="X1919">
        <v>0.96550579999999997</v>
      </c>
      <c r="Y1919">
        <v>0.1819335</v>
      </c>
      <c r="Z1919">
        <v>5.9693839999999998E-2</v>
      </c>
      <c r="AA1919">
        <v>0.98149719999999996</v>
      </c>
      <c r="AB1919">
        <v>26</v>
      </c>
      <c r="AC1919">
        <v>-3.23229999999998</v>
      </c>
      <c r="AD1919">
        <v>-1.11002696113753</v>
      </c>
      <c r="AE1919">
        <v>-18.010199999999902</v>
      </c>
      <c r="AF1919">
        <v>3.3685654137627501</v>
      </c>
      <c r="AG1919">
        <v>-1.11002696113753</v>
      </c>
      <c r="AH1919">
        <v>17.9169487279759</v>
      </c>
      <c r="AI1919">
        <v>93.484280938633702</v>
      </c>
      <c r="AJ1919">
        <v>79.352119252237998</v>
      </c>
      <c r="AK1919">
        <v>18.264622758824501</v>
      </c>
      <c r="AL1919">
        <v>80.631833427701693</v>
      </c>
      <c r="AM1919">
        <v>78.113363721853503</v>
      </c>
      <c r="AN1919">
        <v>1.0000000035779599</v>
      </c>
    </row>
    <row r="1920" spans="1:40" x14ac:dyDescent="0.25">
      <c r="A1920" t="str">
        <f>"20190312172121124"</f>
        <v>20190312172121124</v>
      </c>
      <c r="B1920" t="str">
        <f>"1552382481112780"</f>
        <v>1552382481112780</v>
      </c>
      <c r="C1920" t="s">
        <v>40</v>
      </c>
      <c r="D1920">
        <v>3.4248609999999999</v>
      </c>
      <c r="E1920">
        <v>0.49400450000000001</v>
      </c>
      <c r="F1920" t="s">
        <v>45</v>
      </c>
      <c r="G1920">
        <v>-190.01150000000001</v>
      </c>
      <c r="H1920" s="1">
        <v>4.5958980000000002E-7</v>
      </c>
      <c r="I1920">
        <v>298.30270000000002</v>
      </c>
      <c r="J1920">
        <v>-186.4931</v>
      </c>
      <c r="K1920">
        <v>1.1096919999999999</v>
      </c>
      <c r="L1920">
        <v>317.25630000000001</v>
      </c>
      <c r="M1920">
        <v>7.2663449999999996E-3</v>
      </c>
      <c r="N1920">
        <v>0</v>
      </c>
      <c r="O1920">
        <v>-0.99989360000000005</v>
      </c>
      <c r="P1920">
        <v>-0.2034753</v>
      </c>
      <c r="Q1920">
        <v>0.14947969999999999</v>
      </c>
      <c r="R1920">
        <v>-0.96760230000000003</v>
      </c>
      <c r="S1920">
        <v>-0.55128480000000002</v>
      </c>
      <c r="T1920">
        <v>-0.1739898</v>
      </c>
      <c r="U1920">
        <v>-3.0116580000000002</v>
      </c>
      <c r="V1920">
        <v>0.2107629</v>
      </c>
      <c r="W1920">
        <v>0.1613493</v>
      </c>
      <c r="X1920">
        <v>0.96412929999999997</v>
      </c>
      <c r="Y1920">
        <v>0.1869121</v>
      </c>
      <c r="Z1920">
        <v>5.669594E-2</v>
      </c>
      <c r="AA1920">
        <v>0.98073920000000003</v>
      </c>
      <c r="AB1920">
        <v>26</v>
      </c>
      <c r="AC1920">
        <v>-3.51840000000001</v>
      </c>
      <c r="AD1920">
        <v>-1.1096915404101999</v>
      </c>
      <c r="AE1920">
        <v>-18.953599999999899</v>
      </c>
      <c r="AF1920">
        <v>3.6439666538045601</v>
      </c>
      <c r="AG1920">
        <v>-1.1096915404101999</v>
      </c>
      <c r="AH1920">
        <v>18.8650193618281</v>
      </c>
      <c r="AI1920">
        <v>93.305453246447399</v>
      </c>
      <c r="AJ1920">
        <v>79.067389758231101</v>
      </c>
      <c r="AK1920">
        <v>19.245749240054199</v>
      </c>
      <c r="AL1920">
        <v>80.714776458298999</v>
      </c>
      <c r="AM1920">
        <v>77.668874673714896</v>
      </c>
      <c r="AN1920">
        <v>0.99999995187269297</v>
      </c>
    </row>
    <row r="1921" spans="1:40" x14ac:dyDescent="0.25">
      <c r="A1921" t="str">
        <f>"20190312172121156"</f>
        <v>20190312172121156</v>
      </c>
      <c r="B1921" t="str">
        <f>"1552382481152796"</f>
        <v>1552382481152796</v>
      </c>
      <c r="C1921" t="s">
        <v>40</v>
      </c>
      <c r="D1921">
        <v>3.387556</v>
      </c>
      <c r="E1921">
        <v>0.49371199999999998</v>
      </c>
      <c r="F1921" t="s">
        <v>45</v>
      </c>
      <c r="G1921">
        <v>-190.07310000000001</v>
      </c>
      <c r="H1921" s="1">
        <v>3.5093469999999998E-7</v>
      </c>
      <c r="I1921">
        <v>298.59460000000001</v>
      </c>
      <c r="J1921">
        <v>-186.49260000000001</v>
      </c>
      <c r="K1921">
        <v>1.109251</v>
      </c>
      <c r="L1921">
        <v>316.88670000000002</v>
      </c>
      <c r="M1921">
        <v>5.1653360000000004E-3</v>
      </c>
      <c r="N1921">
        <v>0</v>
      </c>
      <c r="O1921">
        <v>-0.99990590000000001</v>
      </c>
      <c r="P1921">
        <v>-0.2113457</v>
      </c>
      <c r="Q1921">
        <v>0.14572309999999999</v>
      </c>
      <c r="R1921">
        <v>-0.9664876</v>
      </c>
      <c r="S1921">
        <v>-0.57679749999999996</v>
      </c>
      <c r="T1921">
        <v>-0.1787899</v>
      </c>
      <c r="U1921">
        <v>-3.0067140000000001</v>
      </c>
      <c r="V1921">
        <v>0.2167557</v>
      </c>
      <c r="W1921">
        <v>0.1574045</v>
      </c>
      <c r="X1921">
        <v>0.96345250000000004</v>
      </c>
      <c r="Y1921">
        <v>0.19315170000000001</v>
      </c>
      <c r="Z1921">
        <v>5.8269210000000002E-2</v>
      </c>
      <c r="AA1921">
        <v>0.97943720000000001</v>
      </c>
      <c r="AB1921">
        <v>26</v>
      </c>
      <c r="AC1921">
        <v>-3.5804999999999998</v>
      </c>
      <c r="AD1921">
        <v>-1.1092506490653</v>
      </c>
      <c r="AE1921">
        <v>-18.292100000000001</v>
      </c>
      <c r="AF1921">
        <v>3.6619753313774002</v>
      </c>
      <c r="AG1921">
        <v>-1.1092506490653</v>
      </c>
      <c r="AH1921">
        <v>18.2088708362358</v>
      </c>
      <c r="AI1921">
        <v>93.417780756792894</v>
      </c>
      <c r="AJ1921">
        <v>78.628960680585905</v>
      </c>
      <c r="AK1921">
        <v>18.606543941871301</v>
      </c>
      <c r="AL1921">
        <v>80.943723586088296</v>
      </c>
      <c r="AM1921">
        <v>77.320811558780093</v>
      </c>
      <c r="AN1921">
        <v>0.99999996492949395</v>
      </c>
    </row>
    <row r="1922" spans="1:40" x14ac:dyDescent="0.25">
      <c r="A1922" t="str">
        <f>"20190312172121180"</f>
        <v>20190312172121180</v>
      </c>
      <c r="B1922" t="str">
        <f>"1552382481173292"</f>
        <v>1552382481173292</v>
      </c>
      <c r="C1922" t="s">
        <v>40</v>
      </c>
      <c r="D1922">
        <v>3.4124690000000002</v>
      </c>
      <c r="E1922">
        <v>0.49356030000000001</v>
      </c>
      <c r="F1922" t="s">
        <v>45</v>
      </c>
      <c r="G1922">
        <v>-189.97020000000001</v>
      </c>
      <c r="H1922" s="1">
        <v>5.6007339999999903E-8</v>
      </c>
      <c r="I1922">
        <v>299.45479999999998</v>
      </c>
      <c r="J1922">
        <v>-186.4932</v>
      </c>
      <c r="K1922">
        <v>1.1089439999999999</v>
      </c>
      <c r="L1922">
        <v>316.61200000000002</v>
      </c>
      <c r="M1922">
        <v>3.0996349999999999E-3</v>
      </c>
      <c r="N1922">
        <v>0</v>
      </c>
      <c r="O1922">
        <v>-0.99991419999999998</v>
      </c>
      <c r="P1922">
        <v>-0.2177356</v>
      </c>
      <c r="Q1922">
        <v>0.14263319999999999</v>
      </c>
      <c r="R1922">
        <v>-0.96553</v>
      </c>
      <c r="S1922">
        <v>-0.59887699999999999</v>
      </c>
      <c r="T1922">
        <v>-0.19102</v>
      </c>
      <c r="U1922">
        <v>-3.0018919999999998</v>
      </c>
      <c r="V1922">
        <v>0.22124820000000001</v>
      </c>
      <c r="W1922">
        <v>0.15417939999999999</v>
      </c>
      <c r="X1922">
        <v>0.96295269999999999</v>
      </c>
      <c r="Y1922">
        <v>0.19830390000000001</v>
      </c>
      <c r="Z1922">
        <v>6.2262680000000001E-2</v>
      </c>
      <c r="AA1922">
        <v>0.97816099999999995</v>
      </c>
      <c r="AB1922">
        <v>26</v>
      </c>
      <c r="AC1922">
        <v>-3.4769999999999999</v>
      </c>
      <c r="AD1922">
        <v>-1.1089439439926501</v>
      </c>
      <c r="AE1922">
        <v>-17.1572</v>
      </c>
      <c r="AF1922">
        <v>3.5160594411625601</v>
      </c>
      <c r="AG1922">
        <v>-1.1089439439926501</v>
      </c>
      <c r="AH1922">
        <v>17.0778095482918</v>
      </c>
      <c r="AI1922">
        <v>93.639156181882498</v>
      </c>
      <c r="AJ1922">
        <v>78.366237811518104</v>
      </c>
      <c r="AK1922">
        <v>17.471233775335701</v>
      </c>
      <c r="AL1922">
        <v>81.130792546537407</v>
      </c>
      <c r="AM1922">
        <v>77.0602856733057</v>
      </c>
      <c r="AN1922">
        <v>0.99999997791244399</v>
      </c>
    </row>
    <row r="1923" spans="1:40" x14ac:dyDescent="0.25">
      <c r="A1923" t="str">
        <f>"20190312172121203"</f>
        <v>20190312172121203</v>
      </c>
      <c r="B1923" t="str">
        <f>"1552382481192817"</f>
        <v>1552382481192817</v>
      </c>
      <c r="C1923" t="s">
        <v>40</v>
      </c>
      <c r="D1923">
        <v>3.3887139999999998</v>
      </c>
      <c r="E1923">
        <v>0.49329790000000001</v>
      </c>
      <c r="F1923" t="s">
        <v>42</v>
      </c>
      <c r="G1923">
        <v>-189.88069999999999</v>
      </c>
      <c r="H1923" s="1">
        <v>-2.3842399999999999E-7</v>
      </c>
      <c r="I1923">
        <v>300.13920000000002</v>
      </c>
      <c r="J1923">
        <v>-186.4949</v>
      </c>
      <c r="K1923">
        <v>1.108646</v>
      </c>
      <c r="L1923">
        <v>316.34660000000002</v>
      </c>
      <c r="M1923">
        <v>6.3495839999999995E-4</v>
      </c>
      <c r="N1923">
        <v>0</v>
      </c>
      <c r="O1923">
        <v>-0.99991810000000003</v>
      </c>
      <c r="P1923">
        <v>-0.2255383</v>
      </c>
      <c r="Q1923">
        <v>0.13943720000000001</v>
      </c>
      <c r="R1923">
        <v>-0.96420470000000003</v>
      </c>
      <c r="S1923">
        <v>-0.61650090000000002</v>
      </c>
      <c r="T1923">
        <v>-0.20181930000000001</v>
      </c>
      <c r="U1923">
        <v>-2.997925</v>
      </c>
      <c r="V1923">
        <v>0.2267634</v>
      </c>
      <c r="W1923">
        <v>0.150842899999999</v>
      </c>
      <c r="X1923">
        <v>0.96219790000000005</v>
      </c>
      <c r="Y1923">
        <v>0.20161309999999999</v>
      </c>
      <c r="Z1923">
        <v>6.5792680000000006E-2</v>
      </c>
      <c r="AA1923">
        <v>0.97725300000000004</v>
      </c>
      <c r="AB1923">
        <v>26</v>
      </c>
      <c r="AC1923">
        <v>-3.3857999999999802</v>
      </c>
      <c r="AD1923">
        <v>-1.1086462384239999</v>
      </c>
      <c r="AE1923">
        <v>-16.2074</v>
      </c>
      <c r="AF1923">
        <v>3.3809330864760199</v>
      </c>
      <c r="AG1923">
        <v>-1.1086462384239999</v>
      </c>
      <c r="AH1923">
        <v>16.132916296945702</v>
      </c>
      <c r="AI1923">
        <v>93.847829790550804</v>
      </c>
      <c r="AJ1923">
        <v>78.163963000436297</v>
      </c>
      <c r="AK1923">
        <v>16.520617217932799</v>
      </c>
      <c r="AL1923">
        <v>81.324223087464205</v>
      </c>
      <c r="AM1923">
        <v>76.738949816250695</v>
      </c>
      <c r="AN1923">
        <v>1.0000000094121899</v>
      </c>
    </row>
    <row r="1924" spans="1:40" x14ac:dyDescent="0.25">
      <c r="A1924" t="str">
        <f>"20190312172121225"</f>
        <v>20190312172121225</v>
      </c>
      <c r="B1924" t="str">
        <f>"1552382481223068"</f>
        <v>1552382481223068</v>
      </c>
      <c r="C1924" t="s">
        <v>40</v>
      </c>
      <c r="D1924">
        <v>3.3942809999999999</v>
      </c>
      <c r="E1924">
        <v>0.49308299999999999</v>
      </c>
      <c r="F1924" t="s">
        <v>42</v>
      </c>
      <c r="G1924">
        <v>-189.83320000000001</v>
      </c>
      <c r="H1924" s="1">
        <v>-4.7025439999999999E-7</v>
      </c>
      <c r="I1924">
        <v>300.66000000000003</v>
      </c>
      <c r="J1924">
        <v>-186.49770000000001</v>
      </c>
      <c r="K1924">
        <v>1.1083590000000001</v>
      </c>
      <c r="L1924">
        <v>316.07780000000002</v>
      </c>
      <c r="M1924">
        <v>-2.2489430000000002E-3</v>
      </c>
      <c r="N1924">
        <v>0</v>
      </c>
      <c r="O1924">
        <v>-0.99991529999999995</v>
      </c>
      <c r="P1924">
        <v>-0.23493530000000001</v>
      </c>
      <c r="Q1924">
        <v>0.13673350000000001</v>
      </c>
      <c r="R1924">
        <v>-0.96234640000000005</v>
      </c>
      <c r="S1924">
        <v>-0.63694759999999995</v>
      </c>
      <c r="T1924">
        <v>-0.21152789999999999</v>
      </c>
      <c r="U1924">
        <v>-2.9929809999999999</v>
      </c>
      <c r="V1924">
        <v>0.23347280000000001</v>
      </c>
      <c r="W1924">
        <v>0.1479924</v>
      </c>
      <c r="X1924">
        <v>0.96103530000000004</v>
      </c>
      <c r="Y1924">
        <v>0.20545630000000001</v>
      </c>
      <c r="Z1924">
        <v>6.8978029999999996E-2</v>
      </c>
      <c r="AA1924">
        <v>0.9762324</v>
      </c>
      <c r="AB1924">
        <v>26</v>
      </c>
      <c r="AC1924">
        <v>-3.3354999999999899</v>
      </c>
      <c r="AD1924">
        <v>-1.1083594702544</v>
      </c>
      <c r="AE1924">
        <v>-15.4178</v>
      </c>
      <c r="AF1924">
        <v>3.2845993336780199</v>
      </c>
      <c r="AG1924">
        <v>-1.1083594702544</v>
      </c>
      <c r="AH1924">
        <v>15.34948461956</v>
      </c>
      <c r="AI1924">
        <v>94.038935156579498</v>
      </c>
      <c r="AJ1924">
        <v>77.921574873867399</v>
      </c>
      <c r="AK1924">
        <v>15.7360646790806</v>
      </c>
      <c r="AL1924">
        <v>81.489399549954797</v>
      </c>
      <c r="AM1924">
        <v>76.345160803397107</v>
      </c>
      <c r="AN1924">
        <v>1.0000000733218399</v>
      </c>
    </row>
    <row r="1925" spans="1:40" x14ac:dyDescent="0.25">
      <c r="A1925" t="str">
        <f>"20190312172121248"</f>
        <v>20190312172121248</v>
      </c>
      <c r="B1925" t="str">
        <f>"1552382481242589"</f>
        <v>1552382481242589</v>
      </c>
      <c r="C1925" t="s">
        <v>40</v>
      </c>
      <c r="D1925">
        <v>3.5480870000000002</v>
      </c>
      <c r="E1925">
        <v>0.51996609999999999</v>
      </c>
      <c r="F1925" t="s">
        <v>42</v>
      </c>
      <c r="G1925">
        <v>-189.83539999999999</v>
      </c>
      <c r="H1925" s="1">
        <v>-6.2474410000000002E-7</v>
      </c>
      <c r="I1925">
        <v>301.02100000000002</v>
      </c>
      <c r="J1925">
        <v>-186.5017</v>
      </c>
      <c r="K1925">
        <v>1.1081209999999999</v>
      </c>
      <c r="L1925">
        <v>315.81389999999999</v>
      </c>
      <c r="M1925">
        <v>-5.3654829999999999E-3</v>
      </c>
      <c r="N1925">
        <v>0</v>
      </c>
      <c r="O1925">
        <v>-0.99990230000000002</v>
      </c>
      <c r="P1925">
        <v>-0.24631130000000001</v>
      </c>
      <c r="Q1925">
        <v>0.1350449</v>
      </c>
      <c r="R1925">
        <v>-0.95973629999999999</v>
      </c>
      <c r="S1925">
        <v>-0.66212459999999995</v>
      </c>
      <c r="T1925">
        <v>-0.2198763</v>
      </c>
      <c r="U1925">
        <v>-2.9869690000000002</v>
      </c>
      <c r="V1925">
        <v>0.24193719999999999</v>
      </c>
      <c r="W1925">
        <v>0.14615429999999999</v>
      </c>
      <c r="X1925">
        <v>0.9592212</v>
      </c>
      <c r="Y1925">
        <v>0.21061859999999999</v>
      </c>
      <c r="Z1925">
        <v>7.1722439999999998E-2</v>
      </c>
      <c r="AA1925">
        <v>0.97493370000000001</v>
      </c>
      <c r="AB1925">
        <v>26</v>
      </c>
      <c r="AC1925">
        <v>-3.3336999999999901</v>
      </c>
      <c r="AD1925">
        <v>-1.1081216247440999</v>
      </c>
      <c r="AE1925">
        <v>-14.792899999999999</v>
      </c>
      <c r="AF1925">
        <v>3.2369883218650699</v>
      </c>
      <c r="AG1925">
        <v>-1.1081216247440999</v>
      </c>
      <c r="AH1925">
        <v>14.731904783768799</v>
      </c>
      <c r="AI1925">
        <v>94.201777489560499</v>
      </c>
      <c r="AJ1925">
        <v>77.607535060605699</v>
      </c>
      <c r="AK1925">
        <v>15.123989073295</v>
      </c>
      <c r="AL1925">
        <v>81.595872137850705</v>
      </c>
      <c r="AM1925">
        <v>75.843968324231</v>
      </c>
      <c r="AN1925">
        <v>0.99999999934088402</v>
      </c>
    </row>
    <row r="1926" spans="1:40" x14ac:dyDescent="0.25">
      <c r="A1926" t="str">
        <f>"20190312172121268"</f>
        <v>20190312172121268</v>
      </c>
      <c r="B1926" t="str">
        <f>"1552382481263085"</f>
        <v>1552382481263085</v>
      </c>
      <c r="C1926" t="s">
        <v>40</v>
      </c>
      <c r="D1926">
        <v>3.4865309999999998</v>
      </c>
      <c r="E1926">
        <v>0.537138</v>
      </c>
      <c r="F1926" t="s">
        <v>42</v>
      </c>
      <c r="G1926">
        <v>-190.69200000000001</v>
      </c>
      <c r="H1926" s="1">
        <v>-1.31656E-6</v>
      </c>
      <c r="I1926">
        <v>302.22890000000001</v>
      </c>
      <c r="J1926">
        <v>-186.50620000000001</v>
      </c>
      <c r="K1926">
        <v>1.1079429999999999</v>
      </c>
      <c r="L1926">
        <v>315.57429999999999</v>
      </c>
      <c r="M1926">
        <v>-8.4157009999999994E-3</v>
      </c>
      <c r="N1926">
        <v>0</v>
      </c>
      <c r="O1926">
        <v>-0.99988080000000001</v>
      </c>
      <c r="P1926">
        <v>-0.25913330000000001</v>
      </c>
      <c r="Q1926">
        <v>0.1362457</v>
      </c>
      <c r="R1926">
        <v>-0.95618369999999997</v>
      </c>
      <c r="S1926">
        <v>-0.90306090000000006</v>
      </c>
      <c r="T1926">
        <v>-0.23881050000000001</v>
      </c>
      <c r="U1926">
        <v>-2.9277039999999999</v>
      </c>
      <c r="V1926">
        <v>0.25192639999999999</v>
      </c>
      <c r="W1926">
        <v>0.14720139999999901</v>
      </c>
      <c r="X1926">
        <v>0.95648569999999999</v>
      </c>
      <c r="Y1926">
        <v>0.28580450000000002</v>
      </c>
      <c r="Z1926">
        <v>7.78026E-2</v>
      </c>
      <c r="AA1926">
        <v>0.95512439999999998</v>
      </c>
      <c r="AB1926">
        <v>26</v>
      </c>
      <c r="AC1926">
        <v>-4.1858000000000004</v>
      </c>
      <c r="AD1926">
        <v>-1.10794431656</v>
      </c>
      <c r="AE1926">
        <v>-13.3453999999999</v>
      </c>
      <c r="AF1926">
        <v>4.0479302371847004</v>
      </c>
      <c r="AG1926">
        <v>-1.10794431656</v>
      </c>
      <c r="AH1926">
        <v>13.2967183690795</v>
      </c>
      <c r="AI1926">
        <v>94.557562668799306</v>
      </c>
      <c r="AJ1926">
        <v>73.068137478898095</v>
      </c>
      <c r="AK1926">
        <v>13.943313781175901</v>
      </c>
      <c r="AL1926">
        <v>81.535221999266597</v>
      </c>
      <c r="AM1926">
        <v>75.2441332098076</v>
      </c>
      <c r="AN1926">
        <v>1.0000000287416999</v>
      </c>
    </row>
    <row r="1927" spans="1:40" x14ac:dyDescent="0.25">
      <c r="A1927" t="str">
        <f>"20190312172121292"</f>
        <v>20190312172121292</v>
      </c>
      <c r="B1927" t="str">
        <f>"1552382481282605"</f>
        <v>1552382481282605</v>
      </c>
      <c r="C1927" t="s">
        <v>40</v>
      </c>
      <c r="D1927">
        <v>3.454669</v>
      </c>
      <c r="E1927">
        <v>0.54403279999999998</v>
      </c>
      <c r="F1927" t="s">
        <v>42</v>
      </c>
      <c r="G1927">
        <v>-191.77930000000001</v>
      </c>
      <c r="H1927" s="1">
        <v>-1.262225E-6</v>
      </c>
      <c r="I1927">
        <v>301.42790000000002</v>
      </c>
      <c r="J1927">
        <v>-186.51249999999999</v>
      </c>
      <c r="K1927">
        <v>1.1077900000000001</v>
      </c>
      <c r="L1927">
        <v>315.3048</v>
      </c>
      <c r="M1927">
        <v>-1.2083089999999999E-2</v>
      </c>
      <c r="N1927">
        <v>0</v>
      </c>
      <c r="O1927">
        <v>-0.99984260000000003</v>
      </c>
      <c r="P1927">
        <v>-0.27362249999999999</v>
      </c>
      <c r="Q1927">
        <v>0.137679</v>
      </c>
      <c r="R1927">
        <v>-0.95193269999999997</v>
      </c>
      <c r="S1927">
        <v>-1.073059</v>
      </c>
      <c r="T1927">
        <v>-0.2254649</v>
      </c>
      <c r="U1927">
        <v>-2.878784</v>
      </c>
      <c r="V1927">
        <v>0.26301600000000003</v>
      </c>
      <c r="W1927">
        <v>0.14846999999999999</v>
      </c>
      <c r="X1927">
        <v>0.95329920000000001</v>
      </c>
      <c r="Y1927">
        <v>0.3369839</v>
      </c>
      <c r="Z1927">
        <v>7.3338630000000002E-2</v>
      </c>
      <c r="AA1927">
        <v>0.93864970000000003</v>
      </c>
      <c r="AB1927">
        <v>26</v>
      </c>
      <c r="AC1927">
        <v>-5.2668000000000097</v>
      </c>
      <c r="AD1927">
        <v>-1.1077912622249999</v>
      </c>
      <c r="AE1927">
        <v>-13.8768999999999</v>
      </c>
      <c r="AF1927">
        <v>5.0704808434669699</v>
      </c>
      <c r="AG1927">
        <v>-1.1077912622249999</v>
      </c>
      <c r="AH1927">
        <v>13.862312709531899</v>
      </c>
      <c r="AI1927">
        <v>94.292051745018995</v>
      </c>
      <c r="AJ1927">
        <v>69.908767706821095</v>
      </c>
      <c r="AK1927">
        <v>14.8020502337169</v>
      </c>
      <c r="AL1927">
        <v>81.461729301502899</v>
      </c>
      <c r="AM1927">
        <v>74.575777175218604</v>
      </c>
      <c r="AN1927">
        <v>1.00000006093831</v>
      </c>
    </row>
    <row r="1928" spans="1:40" x14ac:dyDescent="0.25">
      <c r="A1928" t="str">
        <f>"20190312172121314"</f>
        <v>20190312172121314</v>
      </c>
      <c r="B1928" t="str">
        <f>"1552382481303100"</f>
        <v>1552382481303100</v>
      </c>
      <c r="C1928" t="s">
        <v>40</v>
      </c>
      <c r="D1928">
        <v>3.490002</v>
      </c>
      <c r="E1928">
        <v>0.54639939999999998</v>
      </c>
      <c r="F1928" t="s">
        <v>42</v>
      </c>
      <c r="G1928">
        <v>-192.49639999999999</v>
      </c>
      <c r="H1928" s="1">
        <v>-1.1587170000000001E-6</v>
      </c>
      <c r="I1928">
        <v>300.74180000000001</v>
      </c>
      <c r="J1928">
        <v>-186.5196</v>
      </c>
      <c r="K1928">
        <v>1.107667</v>
      </c>
      <c r="L1928">
        <v>315.04649999999998</v>
      </c>
      <c r="M1928">
        <v>-1.5800499999999999E-2</v>
      </c>
      <c r="N1928">
        <v>0</v>
      </c>
      <c r="O1928">
        <v>-0.99979010000000001</v>
      </c>
      <c r="P1928">
        <v>-0.28822900000000001</v>
      </c>
      <c r="Q1928">
        <v>0.13769989999999999</v>
      </c>
      <c r="R1928">
        <v>-0.94760889999999998</v>
      </c>
      <c r="S1928">
        <v>-1.1696470000000001</v>
      </c>
      <c r="T1928">
        <v>-0.2165369</v>
      </c>
      <c r="U1928">
        <v>-2.8465880000000001</v>
      </c>
      <c r="V1928">
        <v>0.27418160000000003</v>
      </c>
      <c r="W1928">
        <v>0.1483361</v>
      </c>
      <c r="X1928">
        <v>0.95016880000000004</v>
      </c>
      <c r="Y1928">
        <v>0.36445640000000001</v>
      </c>
      <c r="Z1928">
        <v>7.0388140000000002E-2</v>
      </c>
      <c r="AA1928">
        <v>0.92855639999999995</v>
      </c>
      <c r="AB1928">
        <v>26</v>
      </c>
      <c r="AC1928">
        <v>-5.9767999999999901</v>
      </c>
      <c r="AD1928">
        <v>-1.1076681587170001</v>
      </c>
      <c r="AE1928">
        <v>-14.304699999999899</v>
      </c>
      <c r="AF1928">
        <v>5.7208093504293602</v>
      </c>
      <c r="AG1928">
        <v>-1.1076681587170001</v>
      </c>
      <c r="AH1928">
        <v>14.3242356137687</v>
      </c>
      <c r="AI1928">
        <v>94.107520974248501</v>
      </c>
      <c r="AJ1928">
        <v>68.229234012341493</v>
      </c>
      <c r="AK1928">
        <v>15.4640975906309</v>
      </c>
      <c r="AL1928">
        <v>81.469486141388799</v>
      </c>
      <c r="AM1928">
        <v>73.903926118695594</v>
      </c>
      <c r="AN1928">
        <v>0.99999994841760298</v>
      </c>
    </row>
    <row r="1929" spans="1:40" x14ac:dyDescent="0.25">
      <c r="A1929" t="str">
        <f>"20190312172121335"</f>
        <v>20190312172121335</v>
      </c>
      <c r="B1929" t="str">
        <f>"1552382481332381"</f>
        <v>1552382481332381</v>
      </c>
      <c r="C1929" t="s">
        <v>40</v>
      </c>
      <c r="D1929">
        <v>3.4696769999999999</v>
      </c>
      <c r="E1929">
        <v>0.54750940000000003</v>
      </c>
      <c r="F1929" t="s">
        <v>42</v>
      </c>
      <c r="G1929">
        <v>-192.80869999999999</v>
      </c>
      <c r="H1929" s="1">
        <v>-1.1937159999999999E-6</v>
      </c>
      <c r="I1929">
        <v>300.62970000000001</v>
      </c>
      <c r="J1929">
        <v>-186.5275</v>
      </c>
      <c r="K1929">
        <v>1.107572</v>
      </c>
      <c r="L1929">
        <v>314.80180000000001</v>
      </c>
      <c r="M1929">
        <v>-1.9471909999999999E-2</v>
      </c>
      <c r="N1929">
        <v>0</v>
      </c>
      <c r="O1929">
        <v>-0.99972499999999997</v>
      </c>
      <c r="P1929">
        <v>-0.30302770000000001</v>
      </c>
      <c r="Q1929">
        <v>0.13705719999999999</v>
      </c>
      <c r="R1929">
        <v>-0.94307490000000005</v>
      </c>
      <c r="S1929">
        <v>-1.2314000000000001</v>
      </c>
      <c r="T1929">
        <v>-0.21688109999999999</v>
      </c>
      <c r="U1929">
        <v>-2.8228149999999999</v>
      </c>
      <c r="V1929">
        <v>0.28559950000000001</v>
      </c>
      <c r="W1929">
        <v>0.14754239999999999</v>
      </c>
      <c r="X1929">
        <v>0.94692359999999998</v>
      </c>
      <c r="Y1929">
        <v>0.38092389999999998</v>
      </c>
      <c r="Z1929">
        <v>7.0506390000000002E-2</v>
      </c>
      <c r="AA1929">
        <v>0.92191420000000002</v>
      </c>
      <c r="AB1929">
        <v>26</v>
      </c>
      <c r="AC1929">
        <v>-6.2811999999999797</v>
      </c>
      <c r="AD1929">
        <v>-1.107573193716</v>
      </c>
      <c r="AE1929">
        <v>-14.1721</v>
      </c>
      <c r="AF1929">
        <v>5.9735331667709302</v>
      </c>
      <c r="AG1929">
        <v>-1.107573193716</v>
      </c>
      <c r="AH1929">
        <v>14.2191426034536</v>
      </c>
      <c r="AI1929">
        <v>94.107550901956401</v>
      </c>
      <c r="AJ1929">
        <v>67.212479604107997</v>
      </c>
      <c r="AK1929">
        <v>15.462659320159</v>
      </c>
      <c r="AL1929">
        <v>81.515468798882495</v>
      </c>
      <c r="AM1929">
        <v>73.216281733459397</v>
      </c>
      <c r="AN1929">
        <v>1.00000006921748</v>
      </c>
    </row>
    <row r="1930" spans="1:40" x14ac:dyDescent="0.25">
      <c r="A1930" t="str">
        <f>"20190312172121357"</f>
        <v>20190312172121357</v>
      </c>
      <c r="B1930" t="str">
        <f>"1552382481352877"</f>
        <v>1552382481352877</v>
      </c>
      <c r="C1930" t="s">
        <v>40</v>
      </c>
      <c r="D1930">
        <v>3.4443980000000001</v>
      </c>
      <c r="E1930">
        <v>0.54736119999999899</v>
      </c>
      <c r="F1930" t="s">
        <v>42</v>
      </c>
      <c r="G1930">
        <v>-193.01599999999999</v>
      </c>
      <c r="H1930" s="1">
        <v>-1.2564820000000001E-6</v>
      </c>
      <c r="I1930">
        <v>300.6474</v>
      </c>
      <c r="J1930">
        <v>-186.5369</v>
      </c>
      <c r="K1930">
        <v>1.1074710000000001</v>
      </c>
      <c r="L1930">
        <v>314.54270000000002</v>
      </c>
      <c r="M1930">
        <v>-2.3485559999999999E-2</v>
      </c>
      <c r="N1930">
        <v>0</v>
      </c>
      <c r="O1930">
        <v>-0.99963829999999998</v>
      </c>
      <c r="P1930">
        <v>-0.31731949999999998</v>
      </c>
      <c r="Q1930">
        <v>0.13663259999999999</v>
      </c>
      <c r="R1930">
        <v>-0.93842429999999999</v>
      </c>
      <c r="S1930">
        <v>-1.2837369999999999</v>
      </c>
      <c r="T1930">
        <v>-0.21913279999999999</v>
      </c>
      <c r="U1930">
        <v>-2.800446</v>
      </c>
      <c r="V1930">
        <v>0.29621449999999999</v>
      </c>
      <c r="W1930">
        <v>0.14697270000000001</v>
      </c>
      <c r="X1930">
        <v>0.94374570000000002</v>
      </c>
      <c r="Y1930">
        <v>0.39418429999999999</v>
      </c>
      <c r="Z1930">
        <v>7.1275740000000004E-2</v>
      </c>
      <c r="AA1930">
        <v>0.9162633</v>
      </c>
      <c r="AB1930">
        <v>26</v>
      </c>
      <c r="AC1930">
        <v>-6.4790999999999803</v>
      </c>
      <c r="AD1930">
        <v>-1.1074722564820001</v>
      </c>
      <c r="AE1930">
        <v>-13.895300000000001</v>
      </c>
      <c r="AF1930">
        <v>6.1190176463104802</v>
      </c>
      <c r="AG1930">
        <v>-1.1074722564820001</v>
      </c>
      <c r="AH1930">
        <v>13.970747961076601</v>
      </c>
      <c r="AI1930">
        <v>94.153044074359599</v>
      </c>
      <c r="AJ1930">
        <v>66.347166078632796</v>
      </c>
      <c r="AK1930">
        <v>15.292176769402801</v>
      </c>
      <c r="AL1930">
        <v>81.548469176857907</v>
      </c>
      <c r="AM1930">
        <v>72.574434305299505</v>
      </c>
      <c r="AN1930">
        <v>0.99999997541201402</v>
      </c>
    </row>
    <row r="1931" spans="1:40" x14ac:dyDescent="0.25">
      <c r="A1931" t="str">
        <f>"20190312172121381"</f>
        <v>20190312172121381</v>
      </c>
      <c r="B1931" t="str">
        <f>"1552382481372397"</f>
        <v>1552382481372397</v>
      </c>
      <c r="C1931" t="s">
        <v>40</v>
      </c>
      <c r="D1931">
        <v>3.4709539999999999</v>
      </c>
      <c r="E1931">
        <v>0.54673229999999995</v>
      </c>
      <c r="F1931" t="s">
        <v>42</v>
      </c>
      <c r="G1931">
        <v>-193.1643</v>
      </c>
      <c r="H1931" s="1">
        <v>-1.2859400000000001E-6</v>
      </c>
      <c r="I1931">
        <v>300.6241</v>
      </c>
      <c r="J1931">
        <v>-186.5479</v>
      </c>
      <c r="K1931">
        <v>1.1073820000000001</v>
      </c>
      <c r="L1931">
        <v>314.2756</v>
      </c>
      <c r="M1931">
        <v>-2.7736070000000002E-2</v>
      </c>
      <c r="N1931">
        <v>0</v>
      </c>
      <c r="O1931">
        <v>-0.99952909999999995</v>
      </c>
      <c r="P1931">
        <v>-0.3303663</v>
      </c>
      <c r="Q1931">
        <v>0.13558609999999999</v>
      </c>
      <c r="R1931">
        <v>-0.93406400000000001</v>
      </c>
      <c r="S1931">
        <v>-1.3242799999999999</v>
      </c>
      <c r="T1931">
        <v>-0.22129550000000001</v>
      </c>
      <c r="U1931">
        <v>-2.7812190000000001</v>
      </c>
      <c r="V1931">
        <v>0.30537419999999998</v>
      </c>
      <c r="W1931">
        <v>0.1457977</v>
      </c>
      <c r="X1931">
        <v>0.94100459999999997</v>
      </c>
      <c r="Y1931">
        <v>0.40357979999999999</v>
      </c>
      <c r="Z1931">
        <v>7.2047070000000005E-2</v>
      </c>
      <c r="AA1931">
        <v>0.91210340000000001</v>
      </c>
      <c r="AB1931">
        <v>26</v>
      </c>
      <c r="AC1931">
        <v>-6.6163999999999898</v>
      </c>
      <c r="AD1931">
        <v>-1.1073832859399999</v>
      </c>
      <c r="AE1931">
        <v>-13.6515</v>
      </c>
      <c r="AF1931">
        <v>6.2021345688133298</v>
      </c>
      <c r="AG1931">
        <v>-1.1073832859399999</v>
      </c>
      <c r="AH1931">
        <v>13.756474733009499</v>
      </c>
      <c r="AI1931">
        <v>94.197150412122895</v>
      </c>
      <c r="AJ1931">
        <v>65.731670735939105</v>
      </c>
      <c r="AK1931">
        <v>15.1305442080441</v>
      </c>
      <c r="AL1931">
        <v>81.616525170364497</v>
      </c>
      <c r="AM1931">
        <v>72.020750254402799</v>
      </c>
      <c r="AN1931">
        <v>1.0000000142860399</v>
      </c>
    </row>
    <row r="1932" spans="1:40" x14ac:dyDescent="0.25">
      <c r="A1932" t="str">
        <f>"20190312172121403"</f>
        <v>20190312172121403</v>
      </c>
      <c r="B1932" t="str">
        <f>"1552382481392892"</f>
        <v>1552382481392892</v>
      </c>
      <c r="C1932" t="s">
        <v>40</v>
      </c>
      <c r="D1932">
        <v>3.4489339999999902</v>
      </c>
      <c r="E1932">
        <v>0.54587299999999905</v>
      </c>
      <c r="F1932" t="s">
        <v>42</v>
      </c>
      <c r="G1932">
        <v>-193.2243</v>
      </c>
      <c r="H1932" s="1">
        <v>-1.3234049999999901E-6</v>
      </c>
      <c r="I1932">
        <v>300.67419999999998</v>
      </c>
      <c r="J1932">
        <v>-186.56</v>
      </c>
      <c r="K1932">
        <v>1.1073189999999999</v>
      </c>
      <c r="L1932">
        <v>314.0129</v>
      </c>
      <c r="M1932">
        <v>-3.202087E-2</v>
      </c>
      <c r="N1932">
        <v>0</v>
      </c>
      <c r="O1932">
        <v>-0.99940050000000002</v>
      </c>
      <c r="P1932">
        <v>-0.34112989999999999</v>
      </c>
      <c r="Q1932">
        <v>0.1365835</v>
      </c>
      <c r="R1932">
        <v>-0.9300408</v>
      </c>
      <c r="S1932">
        <v>-1.356995</v>
      </c>
      <c r="T1932">
        <v>-0.2250788</v>
      </c>
      <c r="U1932">
        <v>-2.764526</v>
      </c>
      <c r="V1932">
        <v>0.31224610000000003</v>
      </c>
      <c r="W1932">
        <v>0.1466925</v>
      </c>
      <c r="X1932">
        <v>0.93860730000000003</v>
      </c>
      <c r="Y1932">
        <v>0.41048010000000001</v>
      </c>
      <c r="Z1932">
        <v>7.3356850000000001E-2</v>
      </c>
      <c r="AA1932">
        <v>0.90891409999999995</v>
      </c>
      <c r="AB1932">
        <v>26</v>
      </c>
      <c r="AC1932">
        <v>-6.6642999999999901</v>
      </c>
      <c r="AD1932">
        <v>-1.107320323405</v>
      </c>
      <c r="AE1932">
        <v>-13.338699999999999</v>
      </c>
      <c r="AF1932">
        <v>6.19953806442693</v>
      </c>
      <c r="AG1932">
        <v>-1.107320323405</v>
      </c>
      <c r="AH1932">
        <v>13.4709822135935</v>
      </c>
      <c r="AI1932">
        <v>94.270477311330097</v>
      </c>
      <c r="AJ1932">
        <v>65.287438542940905</v>
      </c>
      <c r="AK1932">
        <v>14.8703662466617</v>
      </c>
      <c r="AL1932">
        <v>81.564699492530593</v>
      </c>
      <c r="AM1932">
        <v>71.599285023390394</v>
      </c>
      <c r="AN1932">
        <v>0.99999999006737506</v>
      </c>
    </row>
    <row r="1933" spans="1:40" x14ac:dyDescent="0.25">
      <c r="A1933" t="str">
        <f>"20190312172121427"</f>
        <v>20190312172121427</v>
      </c>
      <c r="B1933" t="str">
        <f>"1552382481423148"</f>
        <v>1552382481423148</v>
      </c>
      <c r="C1933" t="s">
        <v>40</v>
      </c>
      <c r="D1933">
        <v>3.4488639999999999</v>
      </c>
      <c r="E1933">
        <v>0.54426280000000005</v>
      </c>
      <c r="F1933" t="s">
        <v>42</v>
      </c>
      <c r="G1933">
        <v>-193.44929999999999</v>
      </c>
      <c r="H1933" s="1">
        <v>-1.2225069999999999E-6</v>
      </c>
      <c r="I1933">
        <v>300.29950000000002</v>
      </c>
      <c r="J1933">
        <v>-186.57339999999999</v>
      </c>
      <c r="K1933">
        <v>1.1072770000000001</v>
      </c>
      <c r="L1933">
        <v>313.74790000000002</v>
      </c>
      <c r="M1933">
        <v>-3.6415820000000002E-2</v>
      </c>
      <c r="N1933">
        <v>0</v>
      </c>
      <c r="O1933">
        <v>-0.99924959999999996</v>
      </c>
      <c r="P1933">
        <v>-0.35081830000000003</v>
      </c>
      <c r="Q1933">
        <v>0.1371146</v>
      </c>
      <c r="R1933">
        <v>-0.92635100000000004</v>
      </c>
      <c r="S1933">
        <v>-1.382172</v>
      </c>
      <c r="T1933">
        <v>-0.2221581</v>
      </c>
      <c r="U1933">
        <v>-2.7512819999999998</v>
      </c>
      <c r="V1933">
        <v>0.31794410000000001</v>
      </c>
      <c r="W1933">
        <v>0.14714249999999901</v>
      </c>
      <c r="X1933">
        <v>0.93662190000000001</v>
      </c>
      <c r="Y1933">
        <v>0.41489110000000001</v>
      </c>
      <c r="Z1933">
        <v>7.2489349999999994E-2</v>
      </c>
      <c r="AA1933">
        <v>0.90697879999999997</v>
      </c>
      <c r="AB1933">
        <v>26</v>
      </c>
      <c r="AC1933">
        <v>-6.8758999999999997</v>
      </c>
      <c r="AD1933">
        <v>-1.1072782225069999</v>
      </c>
      <c r="AE1933">
        <v>-13.4483999999999</v>
      </c>
      <c r="AF1933">
        <v>6.3474487284897103</v>
      </c>
      <c r="AG1933">
        <v>-1.1072782225069999</v>
      </c>
      <c r="AH1933">
        <v>13.6167123300939</v>
      </c>
      <c r="AI1933">
        <v>94.215259334814405</v>
      </c>
      <c r="AJ1933">
        <v>65.007357046033206</v>
      </c>
      <c r="AK1933">
        <v>15.064229987071201</v>
      </c>
      <c r="AL1933">
        <v>81.538633412928206</v>
      </c>
      <c r="AM1933">
        <v>71.249791172362507</v>
      </c>
      <c r="AN1933">
        <v>0.99999997479533398</v>
      </c>
    </row>
    <row r="1934" spans="1:40" x14ac:dyDescent="0.25">
      <c r="A1934" t="str">
        <f>"20190312172121448"</f>
        <v>20190312172121448</v>
      </c>
      <c r="B1934" t="str">
        <f>"1552382481442669"</f>
        <v>1552382481442669</v>
      </c>
      <c r="C1934" t="s">
        <v>40</v>
      </c>
      <c r="D1934">
        <v>3.4521099999999998</v>
      </c>
      <c r="E1934">
        <v>0.54375229999999997</v>
      </c>
      <c r="F1934" t="s">
        <v>42</v>
      </c>
      <c r="G1934">
        <v>-193.6319</v>
      </c>
      <c r="H1934" s="1">
        <v>-1.111184E-6</v>
      </c>
      <c r="I1934">
        <v>299.92669999999998</v>
      </c>
      <c r="J1934">
        <v>-186.58709999999999</v>
      </c>
      <c r="K1934">
        <v>1.1072489999999999</v>
      </c>
      <c r="L1934">
        <v>313.50040000000001</v>
      </c>
      <c r="M1934">
        <v>-4.0582180000000002E-2</v>
      </c>
      <c r="N1934">
        <v>0</v>
      </c>
      <c r="O1934">
        <v>-0.9990888</v>
      </c>
      <c r="P1934">
        <v>-0.35938029999999999</v>
      </c>
      <c r="Q1934">
        <v>0.13712639999999901</v>
      </c>
      <c r="R1934">
        <v>-0.92306129999999997</v>
      </c>
      <c r="S1934">
        <v>-1.3997649999999999</v>
      </c>
      <c r="T1934">
        <v>-0.21958320000000001</v>
      </c>
      <c r="U1934">
        <v>-2.740875</v>
      </c>
      <c r="V1934">
        <v>0.32272869999999998</v>
      </c>
      <c r="W1934">
        <v>0.14708869999999999</v>
      </c>
      <c r="X1934">
        <v>0.93499259999999995</v>
      </c>
      <c r="Y1934">
        <v>0.41713260000000002</v>
      </c>
      <c r="Z1934">
        <v>7.174113E-2</v>
      </c>
      <c r="AA1934">
        <v>0.90600970000000003</v>
      </c>
      <c r="AB1934">
        <v>26</v>
      </c>
      <c r="AC1934">
        <v>-7.0448000000000004</v>
      </c>
      <c r="AD1934">
        <v>-1.1072501111840001</v>
      </c>
      <c r="AE1934">
        <v>-13.573700000000001</v>
      </c>
      <c r="AF1934">
        <v>6.4542629176147797</v>
      </c>
      <c r="AG1934">
        <v>-1.1072501111840001</v>
      </c>
      <c r="AH1934">
        <v>13.776217552325001</v>
      </c>
      <c r="AI1934">
        <v>94.162770600284802</v>
      </c>
      <c r="AJ1934">
        <v>64.896551734077605</v>
      </c>
      <c r="AK1934">
        <v>15.253448222202101</v>
      </c>
      <c r="AL1934">
        <v>81.541750311638594</v>
      </c>
      <c r="AM1934">
        <v>70.957009450530094</v>
      </c>
      <c r="AN1934">
        <v>1.0000000307630601</v>
      </c>
    </row>
    <row r="1935" spans="1:40" x14ac:dyDescent="0.25">
      <c r="A1935" t="str">
        <f>"20190312172121470"</f>
        <v>20190312172121470</v>
      </c>
      <c r="B1935" t="str">
        <f>"1552382481463165"</f>
        <v>1552382481463165</v>
      </c>
      <c r="C1935" t="s">
        <v>40</v>
      </c>
      <c r="D1935">
        <v>3.50427</v>
      </c>
      <c r="E1935">
        <v>0.53255600000000003</v>
      </c>
      <c r="F1935" t="s">
        <v>42</v>
      </c>
      <c r="G1935">
        <v>-193.78120000000001</v>
      </c>
      <c r="H1935" s="1">
        <v>-1.051759E-6</v>
      </c>
      <c r="I1935">
        <v>299.69560000000001</v>
      </c>
      <c r="J1935">
        <v>-186.6027</v>
      </c>
      <c r="K1935">
        <v>1.1072139999999999</v>
      </c>
      <c r="L1935">
        <v>313.24020000000002</v>
      </c>
      <c r="M1935">
        <v>-4.502631E-2</v>
      </c>
      <c r="N1935">
        <v>0</v>
      </c>
      <c r="O1935">
        <v>-0.99889819999999996</v>
      </c>
      <c r="P1935">
        <v>-0.36761539999999998</v>
      </c>
      <c r="Q1935">
        <v>0.13729559999999999</v>
      </c>
      <c r="R1935">
        <v>-0.91978740000000003</v>
      </c>
      <c r="S1935">
        <v>-1.4221189999999999</v>
      </c>
      <c r="T1935">
        <v>-0.2188793</v>
      </c>
      <c r="U1935">
        <v>-2.7289119999999998</v>
      </c>
      <c r="V1935">
        <v>0.32694489999999998</v>
      </c>
      <c r="W1935">
        <v>0.1471982</v>
      </c>
      <c r="X1935">
        <v>0.93350940000000004</v>
      </c>
      <c r="Y1935">
        <v>0.42055799999999999</v>
      </c>
      <c r="Z1935">
        <v>7.1583030000000006E-2</v>
      </c>
      <c r="AA1935">
        <v>0.9044373</v>
      </c>
      <c r="AB1935">
        <v>26</v>
      </c>
      <c r="AC1935">
        <v>-7.1785000000000103</v>
      </c>
      <c r="AD1935">
        <v>-1.10721505175899</v>
      </c>
      <c r="AE1935">
        <v>-13.544600000000001</v>
      </c>
      <c r="AF1935">
        <v>6.5272489718597297</v>
      </c>
      <c r="AG1935">
        <v>-1.10721505175899</v>
      </c>
      <c r="AH1935">
        <v>13.782208685398199</v>
      </c>
      <c r="AI1935">
        <v>94.152704880880805</v>
      </c>
      <c r="AJ1935">
        <v>64.657782078637993</v>
      </c>
      <c r="AK1935">
        <v>15.2898718293958</v>
      </c>
      <c r="AL1935">
        <v>81.535407450782202</v>
      </c>
      <c r="AM1935">
        <v>70.698110700805103</v>
      </c>
      <c r="AN1935">
        <v>1.0000000388038</v>
      </c>
    </row>
    <row r="1936" spans="1:40" x14ac:dyDescent="0.25">
      <c r="A1936" t="str">
        <f>"20190312172121493"</f>
        <v>20190312172121493</v>
      </c>
      <c r="B1936" t="str">
        <f>"1552382481482684"</f>
        <v>1552382481482684</v>
      </c>
      <c r="C1936" t="s">
        <v>40</v>
      </c>
      <c r="D1936">
        <v>3.4544809999999999</v>
      </c>
      <c r="E1936">
        <v>0.5585426</v>
      </c>
      <c r="F1936" t="s">
        <v>45</v>
      </c>
      <c r="G1936">
        <v>-193.6584</v>
      </c>
      <c r="H1936" s="1">
        <v>1.0616930000000001E-7</v>
      </c>
      <c r="I1936">
        <v>299.01350000000002</v>
      </c>
      <c r="J1936">
        <v>-186.61940000000001</v>
      </c>
      <c r="K1936">
        <v>1.1071789999999999</v>
      </c>
      <c r="L1936">
        <v>312.98070000000001</v>
      </c>
      <c r="M1936">
        <v>-4.9525729999999997E-2</v>
      </c>
      <c r="N1936">
        <v>0</v>
      </c>
      <c r="O1936">
        <v>-0.99868509999999999</v>
      </c>
      <c r="P1936">
        <v>-0.37469710000000001</v>
      </c>
      <c r="Q1936">
        <v>0.13895940000000001</v>
      </c>
      <c r="R1936">
        <v>-0.91667489999999996</v>
      </c>
      <c r="S1936">
        <v>-1.363235</v>
      </c>
      <c r="T1936">
        <v>-0.2139248</v>
      </c>
      <c r="U1936">
        <v>-2.7487490000000001</v>
      </c>
      <c r="V1936">
        <v>0.32998</v>
      </c>
      <c r="W1936">
        <v>0.14880959999999999</v>
      </c>
      <c r="X1936">
        <v>0.93218509999999999</v>
      </c>
      <c r="Y1936">
        <v>0.3982967</v>
      </c>
      <c r="Z1936">
        <v>7.0185250000000005E-2</v>
      </c>
      <c r="AA1936">
        <v>0.91456749999999998</v>
      </c>
      <c r="AB1936">
        <v>26</v>
      </c>
      <c r="AC1936">
        <v>-7.0389999999999802</v>
      </c>
      <c r="AD1936">
        <v>-1.1071788938306999</v>
      </c>
      <c r="AE1936">
        <v>-13.967199999999901</v>
      </c>
      <c r="AF1936">
        <v>6.3069598988918099</v>
      </c>
      <c r="AG1936">
        <v>-1.1071788938306999</v>
      </c>
      <c r="AH1936">
        <v>14.2274055711756</v>
      </c>
      <c r="AI1936">
        <v>94.069350653107506</v>
      </c>
      <c r="AJ1936">
        <v>66.092455029132594</v>
      </c>
      <c r="AK1936">
        <v>15.602008125747499</v>
      </c>
      <c r="AL1936">
        <v>81.442053236935394</v>
      </c>
      <c r="AM1936">
        <v>70.506775679428799</v>
      </c>
      <c r="AN1936">
        <v>1.00000007905708</v>
      </c>
    </row>
    <row r="1937" spans="1:40" x14ac:dyDescent="0.25">
      <c r="A1937" t="str">
        <f>"20190312172121514"</f>
        <v>20190312172121514</v>
      </c>
      <c r="B1937" t="str">
        <f>"1552382481503184"</f>
        <v>1552382481503184</v>
      </c>
      <c r="C1937" t="s">
        <v>40</v>
      </c>
      <c r="D1937">
        <v>3.459139</v>
      </c>
      <c r="E1937">
        <v>0.5595483</v>
      </c>
      <c r="F1937" t="s">
        <v>45</v>
      </c>
      <c r="G1937">
        <v>-195.97669999999999</v>
      </c>
      <c r="H1937" s="1">
        <v>4.2459620000000001E-7</v>
      </c>
      <c r="I1937">
        <v>297.2054</v>
      </c>
      <c r="J1937">
        <v>-186.63659999999999</v>
      </c>
      <c r="K1937">
        <v>1.1071409999999999</v>
      </c>
      <c r="L1937">
        <v>312.7319</v>
      </c>
      <c r="M1937">
        <v>-5.3902890000000002E-2</v>
      </c>
      <c r="N1937">
        <v>0</v>
      </c>
      <c r="O1937">
        <v>-0.99845819999999996</v>
      </c>
      <c r="P1937">
        <v>-0.3807624</v>
      </c>
      <c r="Q1937">
        <v>0.1401299</v>
      </c>
      <c r="R1937">
        <v>-0.91399350000000001</v>
      </c>
      <c r="S1937">
        <v>-1.575912</v>
      </c>
      <c r="T1937">
        <v>-0.18646570000000001</v>
      </c>
      <c r="U1937">
        <v>-2.6567989999999999</v>
      </c>
      <c r="V1937">
        <v>0.33210610000000002</v>
      </c>
      <c r="W1937">
        <v>0.14993779999999901</v>
      </c>
      <c r="X1937">
        <v>0.93124870000000004</v>
      </c>
      <c r="Y1937">
        <v>0.4621133</v>
      </c>
      <c r="Z1937">
        <v>6.0963200000000002E-2</v>
      </c>
      <c r="AA1937">
        <v>0.88472299999999904</v>
      </c>
      <c r="AB1937">
        <v>26</v>
      </c>
      <c r="AC1937">
        <v>-9.3400999999999996</v>
      </c>
      <c r="AD1937">
        <v>-1.1071405754038</v>
      </c>
      <c r="AE1937">
        <v>-15.5265</v>
      </c>
      <c r="AF1937">
        <v>8.4579439066988602</v>
      </c>
      <c r="AG1937">
        <v>-1.1071405754038</v>
      </c>
      <c r="AH1937">
        <v>15.947883743742301</v>
      </c>
      <c r="AI1937">
        <v>93.509605954978397</v>
      </c>
      <c r="AJ1937">
        <v>62.060802273523002</v>
      </c>
      <c r="AK1937">
        <v>18.085838971042801</v>
      </c>
      <c r="AL1937">
        <v>81.376677772609199</v>
      </c>
      <c r="AM1937">
        <v>70.372520359976605</v>
      </c>
      <c r="AN1937">
        <v>0.99999997338886903</v>
      </c>
    </row>
    <row r="1938" spans="1:40" x14ac:dyDescent="0.25">
      <c r="A1938" t="str">
        <f>"20190312172121536"</f>
        <v>20190312172121536</v>
      </c>
      <c r="B1938" t="str">
        <f>"1552382481532461"</f>
        <v>1552382481532461</v>
      </c>
      <c r="C1938" t="s">
        <v>40</v>
      </c>
      <c r="D1938">
        <v>3.437951</v>
      </c>
      <c r="E1938">
        <v>0.55955480000000002</v>
      </c>
      <c r="F1938" t="s">
        <v>45</v>
      </c>
      <c r="G1938">
        <v>-196.3355</v>
      </c>
      <c r="H1938" s="1">
        <v>5.0734510000000001E-7</v>
      </c>
      <c r="I1938">
        <v>296.73559999999998</v>
      </c>
      <c r="J1938">
        <v>-186.65479999999999</v>
      </c>
      <c r="K1938">
        <v>1.107111</v>
      </c>
      <c r="L1938">
        <v>312.48469999999998</v>
      </c>
      <c r="M1938">
        <v>-5.8316809999999997E-2</v>
      </c>
      <c r="N1938">
        <v>0</v>
      </c>
      <c r="O1938">
        <v>-0.99820960000000003</v>
      </c>
      <c r="P1938">
        <v>-0.38658019999999998</v>
      </c>
      <c r="Q1938">
        <v>0.14000019999999999</v>
      </c>
      <c r="R1938">
        <v>-0.91156789999999999</v>
      </c>
      <c r="S1938">
        <v>-1.602371</v>
      </c>
      <c r="T1938">
        <v>-0.1829132</v>
      </c>
      <c r="U1938">
        <v>-2.642792</v>
      </c>
      <c r="V1938">
        <v>0.33394049999999997</v>
      </c>
      <c r="W1938">
        <v>0.1497723</v>
      </c>
      <c r="X1938">
        <v>0.93061910000000003</v>
      </c>
      <c r="Y1938">
        <v>0.46678389999999997</v>
      </c>
      <c r="Z1938">
        <v>5.9834039999999998E-2</v>
      </c>
      <c r="AA1938">
        <v>0.88234500000000005</v>
      </c>
      <c r="AB1938">
        <v>26</v>
      </c>
      <c r="AC1938">
        <v>-9.6806999999999999</v>
      </c>
      <c r="AD1938">
        <v>-1.1071104926549</v>
      </c>
      <c r="AE1938">
        <v>-15.7491</v>
      </c>
      <c r="AF1938">
        <v>8.71444876602345</v>
      </c>
      <c r="AG1938">
        <v>-1.1071104926549</v>
      </c>
      <c r="AH1938">
        <v>16.228685216613499</v>
      </c>
      <c r="AI1938">
        <v>93.439473559423007</v>
      </c>
      <c r="AJ1938">
        <v>61.765174883840899</v>
      </c>
      <c r="AK1938">
        <v>18.453659116785602</v>
      </c>
      <c r="AL1938">
        <v>81.386268358003207</v>
      </c>
      <c r="AM1938">
        <v>70.260138996651804</v>
      </c>
      <c r="AN1938">
        <v>0.99999995433617395</v>
      </c>
    </row>
    <row r="1939" spans="1:40" x14ac:dyDescent="0.25">
      <c r="A1939" t="str">
        <f>"20190312172121559"</f>
        <v>20190312172121559</v>
      </c>
      <c r="B1939" t="str">
        <f>"1552382481552957"</f>
        <v>1552382481552957</v>
      </c>
      <c r="C1939" t="s">
        <v>40</v>
      </c>
      <c r="D1939">
        <v>3.401462</v>
      </c>
      <c r="E1939">
        <v>0.55886190000000002</v>
      </c>
      <c r="F1939" t="s">
        <v>45</v>
      </c>
      <c r="G1939">
        <v>-196.21299999999999</v>
      </c>
      <c r="H1939" s="1">
        <v>4.696409E-7</v>
      </c>
      <c r="I1939">
        <v>296.94959999999998</v>
      </c>
      <c r="J1939">
        <v>-186.6763</v>
      </c>
      <c r="K1939">
        <v>1.1070690000000001</v>
      </c>
      <c r="L1939">
        <v>312.21159999999998</v>
      </c>
      <c r="M1939">
        <v>-6.3272590000000004E-2</v>
      </c>
      <c r="N1939">
        <v>0</v>
      </c>
      <c r="O1939">
        <v>-0.99790769999999995</v>
      </c>
      <c r="P1939">
        <v>-0.39291920000000002</v>
      </c>
      <c r="Q1939">
        <v>0.14085810000000001</v>
      </c>
      <c r="R1939">
        <v>-0.90872129999999995</v>
      </c>
      <c r="S1939">
        <v>-1.619904</v>
      </c>
      <c r="T1939">
        <v>-0.18763070000000001</v>
      </c>
      <c r="U1939">
        <v>-2.6328429999999998</v>
      </c>
      <c r="V1939">
        <v>0.33583740000000001</v>
      </c>
      <c r="W1939">
        <v>0.15058650000000001</v>
      </c>
      <c r="X1939">
        <v>0.92980479999999999</v>
      </c>
      <c r="Y1939">
        <v>0.46809600000000001</v>
      </c>
      <c r="Z1939">
        <v>6.1418059999999997E-2</v>
      </c>
      <c r="AA1939">
        <v>0.88154069999999995</v>
      </c>
      <c r="AB1939">
        <v>26</v>
      </c>
      <c r="AC1939">
        <v>-9.5366999999999909</v>
      </c>
      <c r="AD1939">
        <v>-1.1070685303590999</v>
      </c>
      <c r="AE1939">
        <v>-15.262</v>
      </c>
      <c r="AF1939">
        <v>8.5195966723439707</v>
      </c>
      <c r="AG1939">
        <v>-1.1070685303590999</v>
      </c>
      <c r="AH1939">
        <v>15.7751832215781</v>
      </c>
      <c r="AI1939">
        <v>93.5334273595452</v>
      </c>
      <c r="AJ1939">
        <v>61.628148125135397</v>
      </c>
      <c r="AK1939">
        <v>17.962893248713701</v>
      </c>
      <c r="AL1939">
        <v>81.339083473108104</v>
      </c>
      <c r="AM1939">
        <v>70.140721505173502</v>
      </c>
      <c r="AN1939">
        <v>1.0000000096620201</v>
      </c>
    </row>
    <row r="1940" spans="1:40" x14ac:dyDescent="0.25">
      <c r="A1940" t="str">
        <f>"20190312172121582"</f>
        <v>20190312172121582</v>
      </c>
      <c r="B1940" t="str">
        <f>"1552382481572480"</f>
        <v>1552382481572480</v>
      </c>
      <c r="C1940" t="s">
        <v>40</v>
      </c>
      <c r="D1940">
        <v>3.4301490000000001</v>
      </c>
      <c r="E1940">
        <v>0.55831540000000002</v>
      </c>
      <c r="F1940" t="s">
        <v>45</v>
      </c>
      <c r="G1940">
        <v>-196.47909999999999</v>
      </c>
      <c r="H1940" s="1">
        <v>5.5304119999999999E-7</v>
      </c>
      <c r="I1940">
        <v>296.47609999999997</v>
      </c>
      <c r="J1940">
        <v>-186.6977</v>
      </c>
      <c r="K1940">
        <v>1.107027</v>
      </c>
      <c r="L1940">
        <v>311.95830000000001</v>
      </c>
      <c r="M1940">
        <v>-6.7968319999999999E-2</v>
      </c>
      <c r="N1940">
        <v>0</v>
      </c>
      <c r="O1940">
        <v>-0.9975986</v>
      </c>
      <c r="P1940">
        <v>-0.39730549999999998</v>
      </c>
      <c r="Q1940">
        <v>0.14320949999999999</v>
      </c>
      <c r="R1940">
        <v>-0.90644369999999996</v>
      </c>
      <c r="S1940">
        <v>-1.634277</v>
      </c>
      <c r="T1940">
        <v>-0.18456510000000001</v>
      </c>
      <c r="U1940">
        <v>-2.6233520000000001</v>
      </c>
      <c r="V1940">
        <v>0.33601720000000002</v>
      </c>
      <c r="W1940">
        <v>0.15290870000000001</v>
      </c>
      <c r="X1940">
        <v>0.92936070000000004</v>
      </c>
      <c r="Y1940">
        <v>0.46887990000000002</v>
      </c>
      <c r="Z1940">
        <v>6.0481119999999999E-2</v>
      </c>
      <c r="AA1940">
        <v>0.88118879999999999</v>
      </c>
      <c r="AB1940">
        <v>26</v>
      </c>
      <c r="AC1940">
        <v>-9.7813999999999908</v>
      </c>
      <c r="AD1940">
        <v>-1.1070264469588</v>
      </c>
      <c r="AE1940">
        <v>-15.482200000000001</v>
      </c>
      <c r="AF1940">
        <v>8.6746852652950999</v>
      </c>
      <c r="AG1940">
        <v>-1.1070264469588</v>
      </c>
      <c r="AH1940">
        <v>16.0526163799451</v>
      </c>
      <c r="AI1940">
        <v>93.471904767357799</v>
      </c>
      <c r="AJ1940">
        <v>61.613623132480399</v>
      </c>
      <c r="AK1940">
        <v>18.280102971479</v>
      </c>
      <c r="AL1940">
        <v>81.204471935637997</v>
      </c>
      <c r="AM1940">
        <v>70.122170245320305</v>
      </c>
      <c r="AN1940">
        <v>0.99999996996800899</v>
      </c>
    </row>
    <row r="1941" spans="1:40" x14ac:dyDescent="0.25">
      <c r="A1941" t="str">
        <f>"20190312172121604"</f>
        <v>20190312172121604</v>
      </c>
      <c r="B1941" t="str">
        <f>"1552382481592972"</f>
        <v>1552382481592972</v>
      </c>
      <c r="C1941" t="s">
        <v>40</v>
      </c>
      <c r="D1941">
        <v>3.424566</v>
      </c>
      <c r="E1941">
        <v>0.55777169999999998</v>
      </c>
      <c r="F1941" t="s">
        <v>45</v>
      </c>
      <c r="G1941">
        <v>-196.91480000000001</v>
      </c>
      <c r="H1941" s="1">
        <v>7.6631519999999995E-7</v>
      </c>
      <c r="I1941">
        <v>295.70299999999997</v>
      </c>
      <c r="J1941">
        <v>-186.72120000000001</v>
      </c>
      <c r="K1941">
        <v>1.1069910000000001</v>
      </c>
      <c r="L1941">
        <v>311.6961</v>
      </c>
      <c r="M1941">
        <v>-7.2919049999999999E-2</v>
      </c>
      <c r="N1941">
        <v>0</v>
      </c>
      <c r="O1941">
        <v>-0.99724840000000003</v>
      </c>
      <c r="P1941">
        <v>-0.40184579999999998</v>
      </c>
      <c r="Q1941">
        <v>0.145792899999999</v>
      </c>
      <c r="R1941">
        <v>-0.90402700000000003</v>
      </c>
      <c r="S1941">
        <v>-1.644806</v>
      </c>
      <c r="T1941">
        <v>-0.17821489999999901</v>
      </c>
      <c r="U1941">
        <v>-2.6168520000000002</v>
      </c>
      <c r="V1941">
        <v>0.33613690000000002</v>
      </c>
      <c r="W1941">
        <v>0.1554584</v>
      </c>
      <c r="X1941">
        <v>0.92889429999999995</v>
      </c>
      <c r="Y1941">
        <v>0.4680899</v>
      </c>
      <c r="Z1941">
        <v>5.845467E-2</v>
      </c>
      <c r="AA1941">
        <v>0.88174540000000001</v>
      </c>
      <c r="AB1941">
        <v>26</v>
      </c>
      <c r="AC1941">
        <v>-10.1936</v>
      </c>
      <c r="AD1941">
        <v>-1.1069902336848001</v>
      </c>
      <c r="AE1941">
        <v>-15.9931</v>
      </c>
      <c r="AF1941">
        <v>8.9695940589711505</v>
      </c>
      <c r="AG1941">
        <v>-1.1069902336848001</v>
      </c>
      <c r="AH1941">
        <v>16.637209031090901</v>
      </c>
      <c r="AI1941">
        <v>93.351847603739003</v>
      </c>
      <c r="AJ1941">
        <v>61.669626444064498</v>
      </c>
      <c r="AK1941">
        <v>18.933456348602</v>
      </c>
      <c r="AL1941">
        <v>81.056616866483694</v>
      </c>
      <c r="AM1941">
        <v>70.106443202156001</v>
      </c>
      <c r="AN1941">
        <v>0.99999997512232897</v>
      </c>
    </row>
    <row r="1942" spans="1:40" x14ac:dyDescent="0.25">
      <c r="A1942" t="str">
        <f>"20190312172121628"</f>
        <v>20190312172121628</v>
      </c>
      <c r="B1942" t="str">
        <f>"1552382481623230"</f>
        <v>1552382481623230</v>
      </c>
      <c r="C1942" t="s">
        <v>40</v>
      </c>
      <c r="D1942">
        <v>3.3811</v>
      </c>
      <c r="E1942">
        <v>0.55696330000000005</v>
      </c>
      <c r="F1942" t="s">
        <v>45</v>
      </c>
      <c r="G1942">
        <v>-197.51410000000001</v>
      </c>
      <c r="H1942" s="1">
        <v>1.0746879999999999E-6</v>
      </c>
      <c r="I1942">
        <v>294.68029999999999</v>
      </c>
      <c r="J1942">
        <v>-186.74549999999999</v>
      </c>
      <c r="K1942">
        <v>1.1069519999999999</v>
      </c>
      <c r="L1942">
        <v>311.4393</v>
      </c>
      <c r="M1942">
        <v>-7.7851359999999994E-2</v>
      </c>
      <c r="N1942">
        <v>0</v>
      </c>
      <c r="O1942">
        <v>-0.99687519999999996</v>
      </c>
      <c r="P1942">
        <v>-0.40610839999999998</v>
      </c>
      <c r="Q1942">
        <v>0.14779579999999901</v>
      </c>
      <c r="R1942">
        <v>-0.90179410000000004</v>
      </c>
      <c r="S1942">
        <v>-1.6554869999999999</v>
      </c>
      <c r="T1942">
        <v>-0.1697968</v>
      </c>
      <c r="U1942">
        <v>-2.609985</v>
      </c>
      <c r="V1942">
        <v>0.33598739999999999</v>
      </c>
      <c r="W1942">
        <v>0.15743509999999999</v>
      </c>
      <c r="X1942">
        <v>0.92861550000000004</v>
      </c>
      <c r="Y1942">
        <v>0.4674256</v>
      </c>
      <c r="Z1942">
        <v>5.5748949999999999E-2</v>
      </c>
      <c r="AA1942">
        <v>0.88227279999999997</v>
      </c>
      <c r="AB1942">
        <v>26</v>
      </c>
      <c r="AC1942">
        <v>-10.768599999999999</v>
      </c>
      <c r="AD1942">
        <v>-1.106950925312</v>
      </c>
      <c r="AE1942">
        <v>-16.759</v>
      </c>
      <c r="AF1942">
        <v>9.4020513707454008</v>
      </c>
      <c r="AG1942">
        <v>-1.106950925312</v>
      </c>
      <c r="AH1942">
        <v>17.492537858039601</v>
      </c>
      <c r="AI1942">
        <v>93.190364354391093</v>
      </c>
      <c r="AJ1942">
        <v>61.742447452279201</v>
      </c>
      <c r="AK1942">
        <v>19.8900173716398</v>
      </c>
      <c r="AL1942">
        <v>80.941948932969495</v>
      </c>
      <c r="AM1942">
        <v>70.109095291730299</v>
      </c>
      <c r="AN1942">
        <v>1.0000000452555</v>
      </c>
    </row>
    <row r="1943" spans="1:40" x14ac:dyDescent="0.25">
      <c r="A1943" t="str">
        <f>"20190312172121650"</f>
        <v>20190312172121650</v>
      </c>
      <c r="B1943" t="str">
        <f>"1552382481642749"</f>
        <v>1552382481642749</v>
      </c>
      <c r="C1943" t="s">
        <v>40</v>
      </c>
      <c r="D1943">
        <v>3.379756</v>
      </c>
      <c r="E1943">
        <v>0.55673930000000005</v>
      </c>
      <c r="F1943" t="s">
        <v>45</v>
      </c>
      <c r="G1943">
        <v>-197.8013</v>
      </c>
      <c r="H1943" s="1">
        <v>1.159474E-6</v>
      </c>
      <c r="I1943">
        <v>294.11869999999999</v>
      </c>
      <c r="J1943">
        <v>-186.7713</v>
      </c>
      <c r="K1943">
        <v>1.1069089999999999</v>
      </c>
      <c r="L1943">
        <v>311.18119999999999</v>
      </c>
      <c r="M1943">
        <v>-8.2895709999999997E-2</v>
      </c>
      <c r="N1943">
        <v>0</v>
      </c>
      <c r="O1943">
        <v>-0.99646840000000003</v>
      </c>
      <c r="P1943">
        <v>-0.40935440000000001</v>
      </c>
      <c r="Q1943">
        <v>0.14814720000000001</v>
      </c>
      <c r="R1943">
        <v>-0.9002677</v>
      </c>
      <c r="S1943">
        <v>-1.6628719999999999</v>
      </c>
      <c r="T1943">
        <v>-0.1664928</v>
      </c>
      <c r="U1943">
        <v>-2.6051329999999999</v>
      </c>
      <c r="V1943">
        <v>0.33465669999999997</v>
      </c>
      <c r="W1943">
        <v>0.15778020000000001</v>
      </c>
      <c r="X1943">
        <v>0.92903729999999995</v>
      </c>
      <c r="Y1943">
        <v>0.46550560000000002</v>
      </c>
      <c r="Z1943">
        <v>5.4709960000000002E-2</v>
      </c>
      <c r="AA1943">
        <v>0.88335229999999998</v>
      </c>
      <c r="AB1943">
        <v>25</v>
      </c>
      <c r="AC1943">
        <v>-11.03</v>
      </c>
      <c r="AD1943">
        <v>-1.106907840526</v>
      </c>
      <c r="AE1943">
        <v>-17.0625</v>
      </c>
      <c r="AF1943">
        <v>9.5491519184462899</v>
      </c>
      <c r="AG1943">
        <v>-1.106907840526</v>
      </c>
      <c r="AH1943">
        <v>17.8651583052294</v>
      </c>
      <c r="AI1943">
        <v>93.127700013056497</v>
      </c>
      <c r="AJ1943">
        <v>61.874935496524003</v>
      </c>
      <c r="AK1943">
        <v>20.287321868593001</v>
      </c>
      <c r="AL1943">
        <v>80.921925508898298</v>
      </c>
      <c r="AM1943">
        <v>70.190026479793104</v>
      </c>
      <c r="AN1943">
        <v>1.00000000157911</v>
      </c>
    </row>
    <row r="1944" spans="1:40" x14ac:dyDescent="0.25">
      <c r="A1944" t="str">
        <f>"20190312172121671"</f>
        <v>20190312172121671</v>
      </c>
      <c r="B1944" t="str">
        <f>"1552382481663245"</f>
        <v>1552382481663245</v>
      </c>
      <c r="C1944" t="s">
        <v>40</v>
      </c>
      <c r="D1944">
        <v>3.356487</v>
      </c>
      <c r="E1944">
        <v>0.55257339999999999</v>
      </c>
      <c r="F1944" t="s">
        <v>45</v>
      </c>
      <c r="G1944">
        <v>-197.86920000000001</v>
      </c>
      <c r="H1944" s="1">
        <v>1.1896950000000001E-6</v>
      </c>
      <c r="I1944">
        <v>293.91289999999998</v>
      </c>
      <c r="J1944">
        <v>-186.79650000000001</v>
      </c>
      <c r="K1944">
        <v>1.1068639999999901</v>
      </c>
      <c r="L1944">
        <v>310.94229999999999</v>
      </c>
      <c r="M1944">
        <v>-8.7653469999999997E-2</v>
      </c>
      <c r="N1944">
        <v>0</v>
      </c>
      <c r="O1944">
        <v>-0.99606090000000003</v>
      </c>
      <c r="P1944">
        <v>-0.41251700000000002</v>
      </c>
      <c r="Q1944">
        <v>0.14937110000000001</v>
      </c>
      <c r="R1944">
        <v>-0.89862019999999998</v>
      </c>
      <c r="S1944">
        <v>-1.6709590000000001</v>
      </c>
      <c r="T1944">
        <v>-0.16666230000000001</v>
      </c>
      <c r="U1944">
        <v>-2.600006</v>
      </c>
      <c r="V1944">
        <v>0.33353159999999998</v>
      </c>
      <c r="W1944">
        <v>0.15899639999999901</v>
      </c>
      <c r="X1944">
        <v>0.92923460000000002</v>
      </c>
      <c r="Y1944">
        <v>0.46401439999999999</v>
      </c>
      <c r="Z1944">
        <v>5.4801910000000002E-2</v>
      </c>
      <c r="AA1944">
        <v>0.88413090000000005</v>
      </c>
      <c r="AB1944">
        <v>25</v>
      </c>
      <c r="AC1944">
        <v>-11.0726999999999</v>
      </c>
      <c r="AD1944">
        <v>-1.10686281030499</v>
      </c>
      <c r="AE1944">
        <v>-17.029399999999999</v>
      </c>
      <c r="AF1944">
        <v>9.5090187278363398</v>
      </c>
      <c r="AG1944">
        <v>-1.10686281030499</v>
      </c>
      <c r="AH1944">
        <v>17.881395144620999</v>
      </c>
      <c r="AI1944">
        <v>93.128274796701405</v>
      </c>
      <c r="AJ1944">
        <v>61.996722039014998</v>
      </c>
      <c r="AK1944">
        <v>20.2827728569161</v>
      </c>
      <c r="AL1944">
        <v>80.851352078048095</v>
      </c>
      <c r="AM1944">
        <v>70.255337042509396</v>
      </c>
      <c r="AN1944">
        <v>1.0000000626243299</v>
      </c>
    </row>
    <row r="1945" spans="1:40" x14ac:dyDescent="0.25">
      <c r="A1945" t="str">
        <f>"20190312172121694"</f>
        <v>20190312172121694</v>
      </c>
      <c r="B1945" t="str">
        <f>"1552382481682765"</f>
        <v>1552382481682765</v>
      </c>
      <c r="C1945" t="s">
        <v>40</v>
      </c>
      <c r="D1945">
        <v>3.3553389999999998</v>
      </c>
      <c r="E1945">
        <v>0.55253699999999994</v>
      </c>
      <c r="F1945" t="s">
        <v>45</v>
      </c>
      <c r="G1945">
        <v>-196.46459999999999</v>
      </c>
      <c r="H1945" s="1">
        <v>8.2063159999999999E-7</v>
      </c>
      <c r="I1945">
        <v>295.66230000000002</v>
      </c>
      <c r="J1945">
        <v>-186.8261</v>
      </c>
      <c r="K1945">
        <v>1.106808</v>
      </c>
      <c r="L1945">
        <v>310.67509999999999</v>
      </c>
      <c r="M1945">
        <v>-9.3083070000000004E-2</v>
      </c>
      <c r="N1945">
        <v>0</v>
      </c>
      <c r="O1945">
        <v>-0.9955676</v>
      </c>
      <c r="P1945">
        <v>-0.41557539999999998</v>
      </c>
      <c r="Q1945">
        <v>0.1503534</v>
      </c>
      <c r="R1945">
        <v>-0.8970456</v>
      </c>
      <c r="S1945">
        <v>-1.65232799999999</v>
      </c>
      <c r="T1945">
        <v>-0.1891687</v>
      </c>
      <c r="U1945">
        <v>-2.6114199999999999</v>
      </c>
      <c r="V1945">
        <v>0.33167469999999999</v>
      </c>
      <c r="W1945">
        <v>0.15997359999999999</v>
      </c>
      <c r="X1945">
        <v>0.92973130000000004</v>
      </c>
      <c r="Y1945">
        <v>0.45266990000000001</v>
      </c>
      <c r="Z1945">
        <v>6.2198030000000001E-2</v>
      </c>
      <c r="AA1945">
        <v>0.88950629999999997</v>
      </c>
      <c r="AB1945">
        <v>25</v>
      </c>
      <c r="AC1945">
        <v>-9.6384999999999899</v>
      </c>
      <c r="AD1945">
        <v>-1.10680717936839</v>
      </c>
      <c r="AE1945">
        <v>-15.012799999999899</v>
      </c>
      <c r="AF1945">
        <v>8.1676457776333393</v>
      </c>
      <c r="AG1945">
        <v>-1.10680717936839</v>
      </c>
      <c r="AH1945">
        <v>15.7841197638047</v>
      </c>
      <c r="AI1945">
        <v>93.563644745030899</v>
      </c>
      <c r="AJ1945">
        <v>62.640256768242203</v>
      </c>
      <c r="AK1945">
        <v>17.806568911481001</v>
      </c>
      <c r="AL1945">
        <v>80.794635890774302</v>
      </c>
      <c r="AM1945">
        <v>70.366520678275293</v>
      </c>
      <c r="AN1945">
        <v>0.99999997475836899</v>
      </c>
    </row>
    <row r="1946" spans="1:40" x14ac:dyDescent="0.25">
      <c r="A1946" t="str">
        <f>"20190312172121716"</f>
        <v>20190312172121716</v>
      </c>
      <c r="B1946" t="str">
        <f>"1552382481713022"</f>
        <v>1552382481713022</v>
      </c>
      <c r="C1946" t="s">
        <v>40</v>
      </c>
      <c r="D1946">
        <v>3.3532150000000001</v>
      </c>
      <c r="E1946">
        <v>0.55227559999999998</v>
      </c>
      <c r="F1946" t="s">
        <v>45</v>
      </c>
      <c r="G1946">
        <v>-196.566</v>
      </c>
      <c r="H1946" s="1">
        <v>9.0037949999999995E-7</v>
      </c>
      <c r="I1946">
        <v>295.41129999999998</v>
      </c>
      <c r="J1946">
        <v>-186.85480000000001</v>
      </c>
      <c r="K1946">
        <v>1.1067450000000001</v>
      </c>
      <c r="L1946">
        <v>310.42829999999998</v>
      </c>
      <c r="M1946">
        <v>-9.8213289999999995E-2</v>
      </c>
      <c r="N1946">
        <v>0</v>
      </c>
      <c r="O1946">
        <v>-0.99507440000000003</v>
      </c>
      <c r="P1946">
        <v>-0.41827199999999998</v>
      </c>
      <c r="Q1946">
        <v>0.1513389</v>
      </c>
      <c r="R1946">
        <v>-0.89562569999999997</v>
      </c>
      <c r="S1946">
        <v>-1.66272</v>
      </c>
      <c r="T1946">
        <v>-0.18894449999999999</v>
      </c>
      <c r="U1946">
        <v>-2.6057130000000002</v>
      </c>
      <c r="V1946">
        <v>0.32972699999999999</v>
      </c>
      <c r="W1946">
        <v>0.160949799999999</v>
      </c>
      <c r="X1946">
        <v>0.93025550000000001</v>
      </c>
      <c r="Y1946">
        <v>0.45148260000000001</v>
      </c>
      <c r="Z1946">
        <v>6.2150200000000003E-2</v>
      </c>
      <c r="AA1946">
        <v>0.89011280000000004</v>
      </c>
      <c r="AB1946">
        <v>25</v>
      </c>
      <c r="AC1946">
        <v>-9.7111999999999608</v>
      </c>
      <c r="AD1946">
        <v>-1.1067440996205</v>
      </c>
      <c r="AE1946">
        <v>-15.0169999999999</v>
      </c>
      <c r="AF1946">
        <v>8.1579944307382899</v>
      </c>
      <c r="AG1946">
        <v>-1.1067440996205</v>
      </c>
      <c r="AH1946">
        <v>15.8375837316351</v>
      </c>
      <c r="AI1946">
        <v>93.554847583103694</v>
      </c>
      <c r="AJ1946">
        <v>62.746846857198001</v>
      </c>
      <c r="AK1946">
        <v>17.8495606133752</v>
      </c>
      <c r="AL1946">
        <v>80.737969833533498</v>
      </c>
      <c r="AM1946">
        <v>70.483241121806998</v>
      </c>
      <c r="AN1946">
        <v>1.0000000139646401</v>
      </c>
    </row>
    <row r="1947" spans="1:40" x14ac:dyDescent="0.25">
      <c r="A1947" t="str">
        <f>"20190312172121738"</f>
        <v>20190312172121738</v>
      </c>
      <c r="B1947" t="str">
        <f>"1552382481732542"</f>
        <v>1552382481732542</v>
      </c>
      <c r="C1947" t="s">
        <v>40</v>
      </c>
      <c r="D1947">
        <v>3.3399070000000002</v>
      </c>
      <c r="E1947">
        <v>0.55219989999999997</v>
      </c>
      <c r="F1947" t="s">
        <v>45</v>
      </c>
      <c r="G1947">
        <v>-196.6824</v>
      </c>
      <c r="H1947" s="1">
        <v>9.8838189999999992E-7</v>
      </c>
      <c r="I1947">
        <v>295.13310000000001</v>
      </c>
      <c r="J1947">
        <v>-186.88579999999999</v>
      </c>
      <c r="K1947">
        <v>1.1066780000000001</v>
      </c>
      <c r="L1947">
        <v>310.17540000000002</v>
      </c>
      <c r="M1947">
        <v>-0.1035885</v>
      </c>
      <c r="N1947">
        <v>0</v>
      </c>
      <c r="O1947">
        <v>-0.99452879999999999</v>
      </c>
      <c r="P1947">
        <v>-0.42229440000000001</v>
      </c>
      <c r="Q1947">
        <v>0.151450799999999</v>
      </c>
      <c r="R1947">
        <v>-0.89371690000000004</v>
      </c>
      <c r="S1947">
        <v>-1.671173</v>
      </c>
      <c r="T1947">
        <v>-0.18820200000000001</v>
      </c>
      <c r="U1947">
        <v>-2.6009519999999999</v>
      </c>
      <c r="V1947">
        <v>0.32891569999999998</v>
      </c>
      <c r="W1947">
        <v>0.16103020000000001</v>
      </c>
      <c r="X1947">
        <v>0.93052880000000004</v>
      </c>
      <c r="Y1947">
        <v>0.44945930000000001</v>
      </c>
      <c r="Z1947">
        <v>6.193332E-2</v>
      </c>
      <c r="AA1947">
        <v>0.89115129999999998</v>
      </c>
      <c r="AB1947">
        <v>25</v>
      </c>
      <c r="AC1947">
        <v>-9.7966000000000104</v>
      </c>
      <c r="AD1947">
        <v>-1.1066770116180999</v>
      </c>
      <c r="AE1947">
        <v>-15.042299999999999</v>
      </c>
      <c r="AF1947">
        <v>8.1545435270707696</v>
      </c>
      <c r="AG1947">
        <v>-1.1066770116180999</v>
      </c>
      <c r="AH1947">
        <v>15.915778541684601</v>
      </c>
      <c r="AI1947">
        <v>93.541155432294403</v>
      </c>
      <c r="AJ1947">
        <v>62.8713982200521</v>
      </c>
      <c r="AK1947">
        <v>17.917402733959101</v>
      </c>
      <c r="AL1947">
        <v>80.733302757356796</v>
      </c>
      <c r="AM1947">
        <v>70.532934293362104</v>
      </c>
      <c r="AN1947">
        <v>1.0000000553239801</v>
      </c>
    </row>
    <row r="1948" spans="1:40" x14ac:dyDescent="0.25">
      <c r="A1948" t="str">
        <f>"20190312172121761"</f>
        <v>20190312172121761</v>
      </c>
      <c r="B1948" t="str">
        <f>"1552382481753037"</f>
        <v>1552382481753037</v>
      </c>
      <c r="C1948" t="s">
        <v>40</v>
      </c>
      <c r="D1948">
        <v>3.3428439999999999</v>
      </c>
      <c r="E1948">
        <v>0.55223829999999996</v>
      </c>
      <c r="F1948" t="s">
        <v>45</v>
      </c>
      <c r="G1948">
        <v>-196.7576</v>
      </c>
      <c r="H1948" s="1">
        <v>1.040391E-6</v>
      </c>
      <c r="I1948">
        <v>294.96710000000002</v>
      </c>
      <c r="J1948">
        <v>-186.91839999999999</v>
      </c>
      <c r="K1948">
        <v>1.10659</v>
      </c>
      <c r="L1948">
        <v>309.92180000000002</v>
      </c>
      <c r="M1948">
        <v>-0.1091062</v>
      </c>
      <c r="N1948">
        <v>0</v>
      </c>
      <c r="O1948">
        <v>-0.99393830000000005</v>
      </c>
      <c r="P1948">
        <v>-0.42747610000000003</v>
      </c>
      <c r="Q1948">
        <v>0.15221019999999999</v>
      </c>
      <c r="R1948">
        <v>-0.89112069999999999</v>
      </c>
      <c r="S1948">
        <v>-1.683365</v>
      </c>
      <c r="T1948">
        <v>-0.18871280000000001</v>
      </c>
      <c r="U1948">
        <v>-2.593353</v>
      </c>
      <c r="V1948">
        <v>0.32920919999999998</v>
      </c>
      <c r="W1948">
        <v>0.16173750000000001</v>
      </c>
      <c r="X1948">
        <v>0.93030230000000003</v>
      </c>
      <c r="Y1948">
        <v>0.44863779999999998</v>
      </c>
      <c r="Z1948">
        <v>6.213697E-2</v>
      </c>
      <c r="AA1948">
        <v>0.89155099999999998</v>
      </c>
      <c r="AB1948">
        <v>25</v>
      </c>
      <c r="AC1948">
        <v>-9.8391999999999999</v>
      </c>
      <c r="AD1948">
        <v>-1.1065889596089999</v>
      </c>
      <c r="AE1948">
        <v>-14.954700000000001</v>
      </c>
      <c r="AF1948">
        <v>8.1176310898574897</v>
      </c>
      <c r="AG1948">
        <v>-1.1065889596089999</v>
      </c>
      <c r="AH1948">
        <v>15.8783457164661</v>
      </c>
      <c r="AI1948">
        <v>93.550804474722995</v>
      </c>
      <c r="AJ1948">
        <v>62.922105981660998</v>
      </c>
      <c r="AK1948">
        <v>17.8673539263139</v>
      </c>
      <c r="AL1948">
        <v>80.692239063376903</v>
      </c>
      <c r="AM1948">
        <v>70.5124851356058</v>
      </c>
      <c r="AN1948">
        <v>1.00000004282808</v>
      </c>
    </row>
    <row r="1949" spans="1:40" x14ac:dyDescent="0.25">
      <c r="A1949" t="str">
        <f>"20190312172121784"</f>
        <v>20190312172121784</v>
      </c>
      <c r="B1949" t="str">
        <f>"1552382481772557"</f>
        <v>1552382481772557</v>
      </c>
      <c r="C1949" t="s">
        <v>40</v>
      </c>
      <c r="D1949">
        <v>3.3164839999999902</v>
      </c>
      <c r="E1949">
        <v>0.55232409999999998</v>
      </c>
      <c r="F1949" t="s">
        <v>45</v>
      </c>
      <c r="G1949">
        <v>-196.9452</v>
      </c>
      <c r="H1949" s="1">
        <v>1.1235600000000001E-6</v>
      </c>
      <c r="I1949">
        <v>294.6848</v>
      </c>
      <c r="J1949">
        <v>-186.95439999999999</v>
      </c>
      <c r="K1949">
        <v>1.106508</v>
      </c>
      <c r="L1949">
        <v>309.65550000000002</v>
      </c>
      <c r="M1949">
        <v>-0.1150481</v>
      </c>
      <c r="N1949">
        <v>0</v>
      </c>
      <c r="O1949">
        <v>-0.99326780000000003</v>
      </c>
      <c r="P1949">
        <v>-0.43344050000000001</v>
      </c>
      <c r="Q1949">
        <v>0.15183679999999999</v>
      </c>
      <c r="R1949">
        <v>-0.88829919999999996</v>
      </c>
      <c r="S1949">
        <v>-1.699875</v>
      </c>
      <c r="T1949">
        <v>-0.1876041</v>
      </c>
      <c r="U1949">
        <v>-2.5831909999999998</v>
      </c>
      <c r="V1949">
        <v>0.32990740000000002</v>
      </c>
      <c r="W1949">
        <v>0.1613079</v>
      </c>
      <c r="X1949">
        <v>0.93012950000000005</v>
      </c>
      <c r="Y1949">
        <v>0.4488953</v>
      </c>
      <c r="Z1949">
        <v>6.1808670000000003E-2</v>
      </c>
      <c r="AA1949">
        <v>0.89144409999999896</v>
      </c>
      <c r="AB1949">
        <v>25</v>
      </c>
      <c r="AC1949">
        <v>-9.9908000000000001</v>
      </c>
      <c r="AD1949">
        <v>-1.1065068764399999</v>
      </c>
      <c r="AE1949">
        <v>-14.970700000000001</v>
      </c>
      <c r="AF1949">
        <v>8.1710565412109002</v>
      </c>
      <c r="AG1949">
        <v>-1.1065068764399999</v>
      </c>
      <c r="AH1949">
        <v>15.960478574439501</v>
      </c>
      <c r="AI1949">
        <v>93.531293514083401</v>
      </c>
      <c r="AJ1949">
        <v>62.889568728118498</v>
      </c>
      <c r="AK1949">
        <v>17.964615186315999</v>
      </c>
      <c r="AL1949">
        <v>80.717180522881094</v>
      </c>
      <c r="AM1949">
        <v>70.470925727005195</v>
      </c>
      <c r="AN1949">
        <v>1.00000000897371</v>
      </c>
    </row>
    <row r="1950" spans="1:40" x14ac:dyDescent="0.25">
      <c r="A1950" t="str">
        <f>"20190312172121806"</f>
        <v>20190312172121806</v>
      </c>
      <c r="B1950" t="str">
        <f>"1552382481802814"</f>
        <v>1552382481802814</v>
      </c>
      <c r="C1950" t="s">
        <v>40</v>
      </c>
      <c r="D1950">
        <v>3.3023410000000002</v>
      </c>
      <c r="E1950">
        <v>0.55247519999999894</v>
      </c>
      <c r="F1950" t="s">
        <v>45</v>
      </c>
      <c r="G1950">
        <v>-196.91900000000001</v>
      </c>
      <c r="H1950" s="1">
        <v>1.1071050000000001E-6</v>
      </c>
      <c r="I1950">
        <v>294.73790000000002</v>
      </c>
      <c r="J1950">
        <v>-186.98910000000001</v>
      </c>
      <c r="K1950">
        <v>1.1064480000000001</v>
      </c>
      <c r="L1950">
        <v>309.41079999999999</v>
      </c>
      <c r="M1950">
        <v>-0.12061239999999999</v>
      </c>
      <c r="N1950">
        <v>0</v>
      </c>
      <c r="O1950">
        <v>-0.99260720000000002</v>
      </c>
      <c r="P1950">
        <v>-0.43882850000000001</v>
      </c>
      <c r="Q1950">
        <v>0.15177070000000001</v>
      </c>
      <c r="R1950">
        <v>-0.88566129999999998</v>
      </c>
      <c r="S1950">
        <v>-1.7178040000000001</v>
      </c>
      <c r="T1950">
        <v>-0.19075130000000001</v>
      </c>
      <c r="U1950">
        <v>-2.5716549999999998</v>
      </c>
      <c r="V1950">
        <v>0.33037129999999998</v>
      </c>
      <c r="W1950">
        <v>0.16119820000000001</v>
      </c>
      <c r="X1950">
        <v>0.92998389999999997</v>
      </c>
      <c r="Y1950">
        <v>0.44999820000000001</v>
      </c>
      <c r="Z1950">
        <v>6.2881409999999999E-2</v>
      </c>
      <c r="AA1950">
        <v>0.89081290000000002</v>
      </c>
      <c r="AB1950">
        <v>25</v>
      </c>
      <c r="AC1950">
        <v>-9.9298999999999999</v>
      </c>
      <c r="AD1950">
        <v>-1.106446892895</v>
      </c>
      <c r="AE1950">
        <v>-14.672899999999901</v>
      </c>
      <c r="AF1950">
        <v>8.0560796016573093</v>
      </c>
      <c r="AG1950">
        <v>-1.106446892895</v>
      </c>
      <c r="AH1950">
        <v>15.702302061710199</v>
      </c>
      <c r="AI1950">
        <v>93.587419273421403</v>
      </c>
      <c r="AJ1950">
        <v>62.839869422023703</v>
      </c>
      <c r="AK1950">
        <v>17.6829560117143</v>
      </c>
      <c r="AL1950">
        <v>80.723549646159498</v>
      </c>
      <c r="AM1950">
        <v>70.442717683212507</v>
      </c>
      <c r="AN1950">
        <v>1.0000000549030601</v>
      </c>
    </row>
    <row r="1951" spans="1:40" x14ac:dyDescent="0.25">
      <c r="A1951" t="str">
        <f>"20190312172121830"</f>
        <v>20190312172121830</v>
      </c>
      <c r="B1951" t="str">
        <f>"1552382481822333"</f>
        <v>1552382481822333</v>
      </c>
      <c r="C1951" t="s">
        <v>40</v>
      </c>
      <c r="D1951">
        <v>3.292446</v>
      </c>
      <c r="E1951">
        <v>0.55253369999999902</v>
      </c>
      <c r="F1951" t="s">
        <v>45</v>
      </c>
      <c r="G1951">
        <v>-196.946</v>
      </c>
      <c r="H1951" s="1">
        <v>1.112212E-6</v>
      </c>
      <c r="I1951">
        <v>294.7167</v>
      </c>
      <c r="J1951">
        <v>-187.02760000000001</v>
      </c>
      <c r="K1951">
        <v>1.1063909999999999</v>
      </c>
      <c r="L1951">
        <v>309.15039999999999</v>
      </c>
      <c r="M1951">
        <v>-0.12664700000000001</v>
      </c>
      <c r="N1951">
        <v>0</v>
      </c>
      <c r="O1951">
        <v>-0.99185480000000004</v>
      </c>
      <c r="P1951">
        <v>-0.44386160000000002</v>
      </c>
      <c r="Q1951">
        <v>0.1520174</v>
      </c>
      <c r="R1951">
        <v>-0.88310679999999997</v>
      </c>
      <c r="S1951">
        <v>-1.735123</v>
      </c>
      <c r="T1951">
        <v>-0.19281229999999999</v>
      </c>
      <c r="U1951">
        <v>-2.560638</v>
      </c>
      <c r="V1951">
        <v>0.3300401</v>
      </c>
      <c r="W1951">
        <v>0.16141559999999999</v>
      </c>
      <c r="X1951">
        <v>0.93006369999999905</v>
      </c>
      <c r="Y1951">
        <v>0.45045479999999999</v>
      </c>
      <c r="Z1951">
        <v>6.3592309999999999E-2</v>
      </c>
      <c r="AA1951">
        <v>0.89053159999999898</v>
      </c>
      <c r="AB1951">
        <v>25</v>
      </c>
      <c r="AC1951">
        <v>-9.9183999999999894</v>
      </c>
      <c r="AD1951">
        <v>-1.1063898877879901</v>
      </c>
      <c r="AE1951">
        <v>-14.4336999999999</v>
      </c>
      <c r="AF1951">
        <v>7.9785240462843303</v>
      </c>
      <c r="AG1951">
        <v>-1.1063898877879901</v>
      </c>
      <c r="AH1951">
        <v>15.511798414491199</v>
      </c>
      <c r="AI1951">
        <v>93.629258726518799</v>
      </c>
      <c r="AJ1951">
        <v>62.7808864629121</v>
      </c>
      <c r="AK1951">
        <v>17.4784677415599</v>
      </c>
      <c r="AL1951">
        <v>80.710927507652002</v>
      </c>
      <c r="AM1951">
        <v>70.462387732294005</v>
      </c>
      <c r="AN1951">
        <v>0.99999997479452896</v>
      </c>
    </row>
    <row r="1952" spans="1:40" x14ac:dyDescent="0.25">
      <c r="A1952" t="str">
        <f>"20190312172121852"</f>
        <v>20190312172121852</v>
      </c>
      <c r="B1952" t="str">
        <f>"1552382481842829"</f>
        <v>1552382481842829</v>
      </c>
      <c r="C1952" t="s">
        <v>40</v>
      </c>
      <c r="D1952">
        <v>3.2952530000000002</v>
      </c>
      <c r="E1952">
        <v>0.55253989999999997</v>
      </c>
      <c r="F1952" t="s">
        <v>45</v>
      </c>
      <c r="G1952">
        <v>-197.0924</v>
      </c>
      <c r="H1952" s="1">
        <v>1.155754E-6</v>
      </c>
      <c r="I1952">
        <v>294.49689999999998</v>
      </c>
      <c r="J1952">
        <v>-187.06710000000001</v>
      </c>
      <c r="K1952">
        <v>1.106336</v>
      </c>
      <c r="L1952">
        <v>308.89449999999999</v>
      </c>
      <c r="M1952">
        <v>-0.13269139999999999</v>
      </c>
      <c r="N1952">
        <v>0</v>
      </c>
      <c r="O1952">
        <v>-0.99106439999999996</v>
      </c>
      <c r="P1952">
        <v>-0.44912340000000001</v>
      </c>
      <c r="Q1952">
        <v>0.15280759999999999</v>
      </c>
      <c r="R1952">
        <v>-0.88030580000000003</v>
      </c>
      <c r="S1952">
        <v>-1.75145</v>
      </c>
      <c r="T1952">
        <v>-0.19253190000000001</v>
      </c>
      <c r="U1952">
        <v>-2.5499879999999999</v>
      </c>
      <c r="V1952">
        <v>0.32996969999999998</v>
      </c>
      <c r="W1952">
        <v>0.16217229999999999</v>
      </c>
      <c r="X1952">
        <v>0.92995700000000003</v>
      </c>
      <c r="Y1952">
        <v>0.45062809999999998</v>
      </c>
      <c r="Z1952">
        <v>6.3533270000000003E-2</v>
      </c>
      <c r="AA1952">
        <v>0.89044820000000002</v>
      </c>
      <c r="AB1952">
        <v>25</v>
      </c>
      <c r="AC1952">
        <v>-10.0252999999999</v>
      </c>
      <c r="AD1952">
        <v>-1.1063348442459999</v>
      </c>
      <c r="AE1952">
        <v>-14.397600000000001</v>
      </c>
      <c r="AF1952">
        <v>7.9942304758032101</v>
      </c>
      <c r="AG1952">
        <v>-1.1063348442459999</v>
      </c>
      <c r="AH1952">
        <v>15.538866625563299</v>
      </c>
      <c r="AI1952">
        <v>93.622605044903807</v>
      </c>
      <c r="AJ1952">
        <v>62.775685297889403</v>
      </c>
      <c r="AK1952">
        <v>17.5096565841509</v>
      </c>
      <c r="AL1952">
        <v>80.666992602511201</v>
      </c>
      <c r="AM1952">
        <v>70.464168179355994</v>
      </c>
      <c r="AN1952">
        <v>0.99999993982718804</v>
      </c>
    </row>
    <row r="1953" spans="1:40" x14ac:dyDescent="0.25">
      <c r="A1953" t="str">
        <f>"20190312172121873"</f>
        <v>20190312172121873</v>
      </c>
      <c r="B1953" t="str">
        <f>"1552382481862349"</f>
        <v>1552382481862349</v>
      </c>
      <c r="C1953" t="s">
        <v>40</v>
      </c>
      <c r="D1953">
        <v>3.3010950000000001</v>
      </c>
      <c r="E1953">
        <v>0.55261359999999904</v>
      </c>
      <c r="F1953" t="s">
        <v>45</v>
      </c>
      <c r="G1953">
        <v>-197.30330000000001</v>
      </c>
      <c r="H1953" s="1">
        <v>1.1921519999999999E-6</v>
      </c>
      <c r="I1953">
        <v>294.18400000000003</v>
      </c>
      <c r="J1953">
        <v>-187.10560000000001</v>
      </c>
      <c r="K1953">
        <v>1.1062799999999999</v>
      </c>
      <c r="L1953">
        <v>308.65539999999999</v>
      </c>
      <c r="M1953">
        <v>-0.13844119999999999</v>
      </c>
      <c r="N1953">
        <v>0</v>
      </c>
      <c r="O1953">
        <v>-0.99027719999999997</v>
      </c>
      <c r="P1953">
        <v>-0.45439190000000002</v>
      </c>
      <c r="Q1953">
        <v>0.1532859</v>
      </c>
      <c r="R1953">
        <v>-0.87751440000000003</v>
      </c>
      <c r="S1953">
        <v>-1.767136</v>
      </c>
      <c r="T1953">
        <v>-0.19099450000000001</v>
      </c>
      <c r="U1953">
        <v>-2.5395810000000001</v>
      </c>
      <c r="V1953">
        <v>0.33018760000000003</v>
      </c>
      <c r="W1953">
        <v>0.16261220000000001</v>
      </c>
      <c r="X1953">
        <v>0.92980289999999999</v>
      </c>
      <c r="Y1953">
        <v>0.45088400000000001</v>
      </c>
      <c r="Z1953">
        <v>6.3057849999999999E-2</v>
      </c>
      <c r="AA1953">
        <v>0.89035239999999904</v>
      </c>
      <c r="AB1953">
        <v>25</v>
      </c>
      <c r="AC1953">
        <v>-10.1976999999999</v>
      </c>
      <c r="AD1953">
        <v>-1.1062788078479999</v>
      </c>
      <c r="AE1953">
        <v>-14.4713999999999</v>
      </c>
      <c r="AF1953">
        <v>8.0643705590172594</v>
      </c>
      <c r="AG1953">
        <v>-1.1062788078479999</v>
      </c>
      <c r="AH1953">
        <v>15.682697087107901</v>
      </c>
      <c r="AI1953">
        <v>93.589645064737098</v>
      </c>
      <c r="AJ1953">
        <v>62.786825493862402</v>
      </c>
      <c r="AK1953">
        <v>17.669321244456999</v>
      </c>
      <c r="AL1953">
        <v>80.641449753602004</v>
      </c>
      <c r="AM1953">
        <v>70.449251120503504</v>
      </c>
      <c r="AN1953">
        <v>1.0000000058155001</v>
      </c>
    </row>
    <row r="1954" spans="1:40" x14ac:dyDescent="0.25">
      <c r="A1954" t="str">
        <f>"20190312172121894"</f>
        <v>20190312172121894</v>
      </c>
      <c r="B1954" t="str">
        <f>"1552382481882845"</f>
        <v>1552382481882845</v>
      </c>
      <c r="C1954" t="s">
        <v>40</v>
      </c>
      <c r="D1954">
        <v>3.292354</v>
      </c>
      <c r="E1954">
        <v>0.55258580000000002</v>
      </c>
      <c r="F1954" t="s">
        <v>45</v>
      </c>
      <c r="G1954">
        <v>-197.42490000000001</v>
      </c>
      <c r="H1954" s="1">
        <v>1.2107159999999999E-6</v>
      </c>
      <c r="I1954">
        <v>294.01729999999998</v>
      </c>
      <c r="J1954">
        <v>-187.1455</v>
      </c>
      <c r="K1954">
        <v>1.106217</v>
      </c>
      <c r="L1954">
        <v>308.41730000000001</v>
      </c>
      <c r="M1954">
        <v>-0.14427319999999999</v>
      </c>
      <c r="N1954">
        <v>0</v>
      </c>
      <c r="O1954">
        <v>-0.98944410000000005</v>
      </c>
      <c r="P1954">
        <v>-0.45951720000000001</v>
      </c>
      <c r="Q1954">
        <v>0.1535262</v>
      </c>
      <c r="R1954">
        <v>-0.87479959999999901</v>
      </c>
      <c r="S1954">
        <v>-1.7828219999999999</v>
      </c>
      <c r="T1954">
        <v>-0.19112689999999999</v>
      </c>
      <c r="U1954">
        <v>-2.5289609999999998</v>
      </c>
      <c r="V1954">
        <v>0.33018399999999998</v>
      </c>
      <c r="W1954">
        <v>0.16281499999999999</v>
      </c>
      <c r="X1954">
        <v>0.9297687</v>
      </c>
      <c r="Y1954">
        <v>0.45107589999999997</v>
      </c>
      <c r="Z1954">
        <v>6.3130889999999995E-2</v>
      </c>
      <c r="AA1954">
        <v>0.89024999999999999</v>
      </c>
      <c r="AB1954">
        <v>25</v>
      </c>
      <c r="AC1954">
        <v>-10.279400000000001</v>
      </c>
      <c r="AD1954">
        <v>-1.1062157892839899</v>
      </c>
      <c r="AE1954">
        <v>-14.4</v>
      </c>
      <c r="AF1954">
        <v>8.0625897404504592</v>
      </c>
      <c r="AG1954">
        <v>-1.1062157892839899</v>
      </c>
      <c r="AH1954">
        <v>15.6712335648687</v>
      </c>
      <c r="AI1954">
        <v>93.591677398537797</v>
      </c>
      <c r="AJ1954">
        <v>62.774931132001598</v>
      </c>
      <c r="AK1954">
        <v>17.6583302761033</v>
      </c>
      <c r="AL1954">
        <v>80.629673331600699</v>
      </c>
      <c r="AM1954">
        <v>70.448783518246998</v>
      </c>
      <c r="AN1954">
        <v>1.00000001679034</v>
      </c>
    </row>
    <row r="1955" spans="1:40" x14ac:dyDescent="0.25">
      <c r="A1955" t="str">
        <f>"20190312172121917"</f>
        <v>20190312172121917</v>
      </c>
      <c r="B1955" t="str">
        <f>"1552382481913101"</f>
        <v>1552382481913101</v>
      </c>
      <c r="C1955" t="s">
        <v>40</v>
      </c>
      <c r="D1955">
        <v>3.2680570000000002</v>
      </c>
      <c r="E1955">
        <v>0.55252979999999996</v>
      </c>
      <c r="F1955" t="s">
        <v>45</v>
      </c>
      <c r="G1955">
        <v>-197.54259999999999</v>
      </c>
      <c r="H1955" s="1">
        <v>1.229061E-6</v>
      </c>
      <c r="I1955">
        <v>293.85379999999998</v>
      </c>
      <c r="J1955">
        <v>-187.1884</v>
      </c>
      <c r="K1955">
        <v>1.106144</v>
      </c>
      <c r="L1955">
        <v>308.17020000000002</v>
      </c>
      <c r="M1955">
        <v>-0.15044370000000001</v>
      </c>
      <c r="N1955">
        <v>0</v>
      </c>
      <c r="O1955">
        <v>-0.98852430000000002</v>
      </c>
      <c r="P1955">
        <v>-0.46464699999999998</v>
      </c>
      <c r="Q1955">
        <v>0.15422729999999901</v>
      </c>
      <c r="R1955">
        <v>-0.87196200000000001</v>
      </c>
      <c r="S1955">
        <v>-1.7980039999999999</v>
      </c>
      <c r="T1955">
        <v>-0.1913</v>
      </c>
      <c r="U1955">
        <v>-2.518494</v>
      </c>
      <c r="V1955">
        <v>0.3299009</v>
      </c>
      <c r="W1955">
        <v>0.16347790000000001</v>
      </c>
      <c r="X1955">
        <v>0.92975289999999999</v>
      </c>
      <c r="Y1955">
        <v>0.45081270000000001</v>
      </c>
      <c r="Z1955">
        <v>6.3215629999999995E-2</v>
      </c>
      <c r="AA1955">
        <v>0.89037730000000004</v>
      </c>
      <c r="AB1955">
        <v>25</v>
      </c>
      <c r="AC1955">
        <v>-10.354199999999899</v>
      </c>
      <c r="AD1955">
        <v>-1.1061427709389999</v>
      </c>
      <c r="AE1955">
        <v>-14.3164</v>
      </c>
      <c r="AF1955">
        <v>8.0507642990662003</v>
      </c>
      <c r="AG1955">
        <v>-1.1061427709389999</v>
      </c>
      <c r="AH1955">
        <v>15.649957492882599</v>
      </c>
      <c r="AI1955">
        <v>93.596392667930701</v>
      </c>
      <c r="AJ1955">
        <v>62.777476491817197</v>
      </c>
      <c r="AK1955">
        <v>17.6340445490492</v>
      </c>
      <c r="AL1955">
        <v>80.591176402003896</v>
      </c>
      <c r="AM1955">
        <v>70.463970082666506</v>
      </c>
      <c r="AN1955">
        <v>1.0000000413338099</v>
      </c>
    </row>
    <row r="1956" spans="1:40" x14ac:dyDescent="0.25">
      <c r="A1956" t="str">
        <f>"20190312172121939"</f>
        <v>20190312172121939</v>
      </c>
      <c r="B1956" t="str">
        <f>"1552382481932621"</f>
        <v>1552382481932621</v>
      </c>
      <c r="C1956" t="s">
        <v>40</v>
      </c>
      <c r="D1956">
        <v>3.284125</v>
      </c>
      <c r="E1956">
        <v>0.55248359999999996</v>
      </c>
      <c r="F1956" t="s">
        <v>45</v>
      </c>
      <c r="G1956">
        <v>-197.81960000000001</v>
      </c>
      <c r="H1956" s="1">
        <v>1.2699999999999999E-6</v>
      </c>
      <c r="I1956">
        <v>293.4819</v>
      </c>
      <c r="J1956">
        <v>-187.23349999999999</v>
      </c>
      <c r="K1956">
        <v>1.1060589999999999</v>
      </c>
      <c r="L1956">
        <v>307.92110000000002</v>
      </c>
      <c r="M1956">
        <v>-0.15679799999999999</v>
      </c>
      <c r="N1956">
        <v>0</v>
      </c>
      <c r="O1956">
        <v>-0.98753610000000003</v>
      </c>
      <c r="P1956">
        <v>-0.46920309999999998</v>
      </c>
      <c r="Q1956">
        <v>0.15473899999999999</v>
      </c>
      <c r="R1956">
        <v>-0.86942759999999997</v>
      </c>
      <c r="S1956">
        <v>-1.8145450000000001</v>
      </c>
      <c r="T1956">
        <v>-0.18879750000000001</v>
      </c>
      <c r="U1956">
        <v>-2.5070190000000001</v>
      </c>
      <c r="V1956">
        <v>0.32883879999999999</v>
      </c>
      <c r="W1956">
        <v>0.16395860000000001</v>
      </c>
      <c r="X1956">
        <v>0.93004439999999999</v>
      </c>
      <c r="Y1956">
        <v>0.45089590000000002</v>
      </c>
      <c r="Z1956">
        <v>6.2417569999999999E-2</v>
      </c>
      <c r="AA1956">
        <v>0.8903915</v>
      </c>
      <c r="AB1956">
        <v>25</v>
      </c>
      <c r="AC1956">
        <v>-10.5861</v>
      </c>
      <c r="AD1956">
        <v>-1.1060577300000001</v>
      </c>
      <c r="AE1956">
        <v>-14.4392</v>
      </c>
      <c r="AF1956">
        <v>8.1597427650087599</v>
      </c>
      <c r="AG1956">
        <v>-1.1060577300000001</v>
      </c>
      <c r="AH1956">
        <v>15.860069860667499</v>
      </c>
      <c r="AI1956">
        <v>93.548517628848998</v>
      </c>
      <c r="AJ1956">
        <v>62.774931467707297</v>
      </c>
      <c r="AK1956">
        <v>17.870270889901398</v>
      </c>
      <c r="AL1956">
        <v>80.563257056486506</v>
      </c>
      <c r="AM1956">
        <v>70.527769098836202</v>
      </c>
      <c r="AN1956">
        <v>0.99999998243537902</v>
      </c>
    </row>
    <row r="1957" spans="1:40" x14ac:dyDescent="0.25">
      <c r="A1957" t="str">
        <f>"20190312172121961"</f>
        <v>20190312172121961</v>
      </c>
      <c r="B1957" t="str">
        <f>"1552382481953117"</f>
        <v>1552382481953117</v>
      </c>
      <c r="C1957" t="s">
        <v>40</v>
      </c>
      <c r="D1957">
        <v>3.281031</v>
      </c>
      <c r="E1957">
        <v>0.55246549999999905</v>
      </c>
      <c r="F1957" t="s">
        <v>45</v>
      </c>
      <c r="G1957">
        <v>-198.0292</v>
      </c>
      <c r="H1957" s="1">
        <v>1.3045859999999901E-6</v>
      </c>
      <c r="I1957">
        <v>293.17989999999998</v>
      </c>
      <c r="J1957">
        <v>-187.28120000000001</v>
      </c>
      <c r="K1957">
        <v>1.10597099999999</v>
      </c>
      <c r="L1957">
        <v>307.66820000000001</v>
      </c>
      <c r="M1957">
        <v>-0.163403399999999</v>
      </c>
      <c r="N1957">
        <v>0</v>
      </c>
      <c r="O1957">
        <v>-0.98646409999999995</v>
      </c>
      <c r="P1957">
        <v>-0.47392909999999999</v>
      </c>
      <c r="Q1957">
        <v>0.1551303</v>
      </c>
      <c r="R1957">
        <v>-0.86679039999999996</v>
      </c>
      <c r="S1957">
        <v>-1.8286899999999999</v>
      </c>
      <c r="T1957">
        <v>-0.18735540000000001</v>
      </c>
      <c r="U1957">
        <v>-2.4970089999999998</v>
      </c>
      <c r="V1957">
        <v>0.32772869999999998</v>
      </c>
      <c r="W1957">
        <v>0.16431470000000001</v>
      </c>
      <c r="X1957">
        <v>0.93037340000000002</v>
      </c>
      <c r="Y1957">
        <v>0.44992690000000002</v>
      </c>
      <c r="Z1957">
        <v>6.1962749999999997E-2</v>
      </c>
      <c r="AA1957">
        <v>0.89091319999999996</v>
      </c>
      <c r="AB1957">
        <v>25</v>
      </c>
      <c r="AC1957">
        <v>-10.7479999999999</v>
      </c>
      <c r="AD1957">
        <v>-1.1059696954139999</v>
      </c>
      <c r="AE1957">
        <v>-14.488300000000001</v>
      </c>
      <c r="AF1957">
        <v>8.2050129700432297</v>
      </c>
      <c r="AG1957">
        <v>-1.1059696954139999</v>
      </c>
      <c r="AH1957">
        <v>15.989855803046799</v>
      </c>
      <c r="AI1957">
        <v>93.521427978074797</v>
      </c>
      <c r="AJ1957">
        <v>62.835887897967901</v>
      </c>
      <c r="AK1957">
        <v>18.006134938069899</v>
      </c>
      <c r="AL1957">
        <v>80.542574083255403</v>
      </c>
      <c r="AM1957">
        <v>70.594931834402402</v>
      </c>
      <c r="AN1957">
        <v>1.0000000424336599</v>
      </c>
    </row>
    <row r="1958" spans="1:40" x14ac:dyDescent="0.25">
      <c r="A1958" t="str">
        <f>"20190312172121985"</f>
        <v>20190312172121985</v>
      </c>
      <c r="B1958" t="str">
        <f>"1552382481972650"</f>
        <v>1552382481972650</v>
      </c>
      <c r="C1958" t="s">
        <v>40</v>
      </c>
      <c r="D1958">
        <v>3.2622179999999998</v>
      </c>
      <c r="E1958">
        <v>0.55247469999999999</v>
      </c>
      <c r="F1958" t="s">
        <v>45</v>
      </c>
      <c r="G1958">
        <v>-198.20359999999999</v>
      </c>
      <c r="H1958" s="1">
        <v>1.334472E-6</v>
      </c>
      <c r="I1958">
        <v>292.92250000000001</v>
      </c>
      <c r="J1958">
        <v>-187.3322</v>
      </c>
      <c r="K1958">
        <v>1.1058760000000001</v>
      </c>
      <c r="L1958">
        <v>307.4092</v>
      </c>
      <c r="M1958">
        <v>-0.170339299999999</v>
      </c>
      <c r="N1958">
        <v>0</v>
      </c>
      <c r="O1958">
        <v>-0.98529</v>
      </c>
      <c r="P1958">
        <v>-0.47875790000000001</v>
      </c>
      <c r="Q1958">
        <v>0.15506259999999999</v>
      </c>
      <c r="R1958">
        <v>-0.86414519999999995</v>
      </c>
      <c r="S1958">
        <v>-1.842255</v>
      </c>
      <c r="T1958">
        <v>-0.1865424</v>
      </c>
      <c r="U1958">
        <v>-2.487152</v>
      </c>
      <c r="V1958">
        <v>0.32640819999999998</v>
      </c>
      <c r="W1958">
        <v>0.16421359999999999</v>
      </c>
      <c r="X1958">
        <v>0.93085530000000005</v>
      </c>
      <c r="Y1958">
        <v>0.44848260000000001</v>
      </c>
      <c r="Z1958">
        <v>6.1712719999999999E-2</v>
      </c>
      <c r="AA1958">
        <v>0.89165849999999902</v>
      </c>
      <c r="AB1958">
        <v>25</v>
      </c>
      <c r="AC1958">
        <v>-10.8713999999999</v>
      </c>
      <c r="AD1958">
        <v>-1.1058746655280001</v>
      </c>
      <c r="AE1958">
        <v>-14.4866999999999</v>
      </c>
      <c r="AF1958">
        <v>8.2139817065821799</v>
      </c>
      <c r="AG1958">
        <v>-1.1058746655280001</v>
      </c>
      <c r="AH1958">
        <v>16.067047380221702</v>
      </c>
      <c r="AI1958">
        <v>93.506957562697295</v>
      </c>
      <c r="AJ1958">
        <v>62.922448209587202</v>
      </c>
      <c r="AK1958">
        <v>18.078784963879901</v>
      </c>
      <c r="AL1958">
        <v>80.548446092462598</v>
      </c>
      <c r="AM1958">
        <v>70.676574863947195</v>
      </c>
      <c r="AN1958">
        <v>1.00000000449514</v>
      </c>
    </row>
    <row r="1959" spans="1:40" x14ac:dyDescent="0.25">
      <c r="A1959" t="str">
        <f>"20190312172122005"</f>
        <v>20190312172122005</v>
      </c>
      <c r="B1959" t="str">
        <f>"1552382482002893"</f>
        <v>1552382482002893</v>
      </c>
      <c r="C1959" t="s">
        <v>40</v>
      </c>
      <c r="D1959">
        <v>3.2444929999999998</v>
      </c>
      <c r="E1959">
        <v>0.55249820000000005</v>
      </c>
      <c r="F1959" t="s">
        <v>45</v>
      </c>
      <c r="G1959">
        <v>-198.29910000000001</v>
      </c>
      <c r="H1959" s="1">
        <v>1.3508799999999999E-6</v>
      </c>
      <c r="I1959">
        <v>292.78120000000001</v>
      </c>
      <c r="J1959">
        <v>-187.3792</v>
      </c>
      <c r="K1959">
        <v>1.1057920000000001</v>
      </c>
      <c r="L1959">
        <v>307.17880000000002</v>
      </c>
      <c r="M1959">
        <v>-0.17663029999999999</v>
      </c>
      <c r="N1959">
        <v>0</v>
      </c>
      <c r="O1959">
        <v>-0.98418119999999998</v>
      </c>
      <c r="P1959">
        <v>-0.48325580000000001</v>
      </c>
      <c r="Q1959">
        <v>0.15554979999999999</v>
      </c>
      <c r="R1959">
        <v>-0.86154969999999997</v>
      </c>
      <c r="S1959">
        <v>-1.8567199999999999</v>
      </c>
      <c r="T1959">
        <v>-0.1872269</v>
      </c>
      <c r="U1959">
        <v>-2.4765630000000001</v>
      </c>
      <c r="V1959">
        <v>0.3253645</v>
      </c>
      <c r="W1959">
        <v>0.1646735</v>
      </c>
      <c r="X1959">
        <v>0.9311393</v>
      </c>
      <c r="Y1959">
        <v>0.44793050000000001</v>
      </c>
      <c r="Z1959">
        <v>6.1955129999999997E-2</v>
      </c>
      <c r="AA1959">
        <v>0.89191909999999897</v>
      </c>
      <c r="AB1959">
        <v>25</v>
      </c>
      <c r="AC1959">
        <v>-10.9199</v>
      </c>
      <c r="AD1959">
        <v>-1.10579064912</v>
      </c>
      <c r="AE1959">
        <v>-14.397600000000001</v>
      </c>
      <c r="AF1959">
        <v>8.1742735718169097</v>
      </c>
      <c r="AG1959">
        <v>-1.10579064912</v>
      </c>
      <c r="AH1959">
        <v>16.040089646775201</v>
      </c>
      <c r="AI1959">
        <v>93.514864549348104</v>
      </c>
      <c r="AJ1959">
        <v>62.995917471699002</v>
      </c>
      <c r="AK1959">
        <v>18.036795648428502</v>
      </c>
      <c r="AL1959">
        <v>80.521731166577595</v>
      </c>
      <c r="AM1959">
        <v>70.739245703984096</v>
      </c>
      <c r="AN1959">
        <v>0.99999990773349001</v>
      </c>
    </row>
    <row r="1960" spans="1:40" x14ac:dyDescent="0.25">
      <c r="A1960" t="str">
        <f>"20190312172122030"</f>
        <v>20190312172122030</v>
      </c>
      <c r="B1960" t="str">
        <f>"1552382482022417"</f>
        <v>1552382482022417</v>
      </c>
      <c r="C1960" t="s">
        <v>40</v>
      </c>
      <c r="D1960">
        <v>3.2366760000000001</v>
      </c>
      <c r="E1960">
        <v>0.55248240000000004</v>
      </c>
      <c r="F1960" t="s">
        <v>45</v>
      </c>
      <c r="G1960">
        <v>-198.46170000000001</v>
      </c>
      <c r="H1960" s="1">
        <v>1.374018E-6</v>
      </c>
      <c r="I1960">
        <v>292.56790000000001</v>
      </c>
      <c r="J1960">
        <v>-187.43459999999999</v>
      </c>
      <c r="K1960">
        <v>1.1057140000000001</v>
      </c>
      <c r="L1960">
        <v>306.91739999999999</v>
      </c>
      <c r="M1960">
        <v>-0.1839172</v>
      </c>
      <c r="N1960">
        <v>0</v>
      </c>
      <c r="O1960">
        <v>-0.98284530000000003</v>
      </c>
      <c r="P1960">
        <v>-0.48910920000000002</v>
      </c>
      <c r="Q1960">
        <v>0.15616540000000001</v>
      </c>
      <c r="R1960">
        <v>-0.85812880000000002</v>
      </c>
      <c r="S1960">
        <v>-1.8708039999999999</v>
      </c>
      <c r="T1960">
        <v>-0.18666669999999999</v>
      </c>
      <c r="U1960">
        <v>-2.466431</v>
      </c>
      <c r="V1960">
        <v>0.32486549999999997</v>
      </c>
      <c r="W1960">
        <v>0.1652497</v>
      </c>
      <c r="X1960">
        <v>0.93121149999999997</v>
      </c>
      <c r="Y1960">
        <v>0.44631349999999997</v>
      </c>
      <c r="Z1960">
        <v>6.1775669999999998E-2</v>
      </c>
      <c r="AA1960">
        <v>0.89274189999999998</v>
      </c>
      <c r="AB1960">
        <v>25</v>
      </c>
      <c r="AC1960">
        <v>-11.027100000000001</v>
      </c>
      <c r="AD1960">
        <v>-1.10571262598199</v>
      </c>
      <c r="AE1960">
        <v>-14.3494999999999</v>
      </c>
      <c r="AF1960">
        <v>8.1690949930039096</v>
      </c>
      <c r="AG1960">
        <v>-1.10571262598199</v>
      </c>
      <c r="AH1960">
        <v>16.072939842093099</v>
      </c>
      <c r="AI1960">
        <v>93.509381136548299</v>
      </c>
      <c r="AJ1960">
        <v>63.057979853189799</v>
      </c>
      <c r="AK1960">
        <v>18.063668192909201</v>
      </c>
      <c r="AL1960">
        <v>80.488259236307599</v>
      </c>
      <c r="AM1960">
        <v>70.767995848957298</v>
      </c>
      <c r="AN1960">
        <v>0.99999995708629397</v>
      </c>
    </row>
    <row r="1961" spans="1:40" x14ac:dyDescent="0.25">
      <c r="A1961" t="str">
        <f>"20190312172122053"</f>
        <v>20190312172122053</v>
      </c>
      <c r="B1961" t="str">
        <f>"1552382482042913"</f>
        <v>1552382482042913</v>
      </c>
      <c r="C1961" t="s">
        <v>40</v>
      </c>
      <c r="D1961">
        <v>3.2507169999999999</v>
      </c>
      <c r="E1961">
        <v>0.55375669999999899</v>
      </c>
      <c r="F1961" t="s">
        <v>45</v>
      </c>
      <c r="G1961">
        <v>-198.7653</v>
      </c>
      <c r="H1961" s="1">
        <v>1.4117970000000001E-6</v>
      </c>
      <c r="I1961">
        <v>292.20049999999998</v>
      </c>
      <c r="J1961">
        <v>-187.49199999999999</v>
      </c>
      <c r="K1961">
        <v>1.105634</v>
      </c>
      <c r="L1961">
        <v>306.6567</v>
      </c>
      <c r="M1961">
        <v>-0.19135160000000001</v>
      </c>
      <c r="N1961">
        <v>0</v>
      </c>
      <c r="O1961">
        <v>-0.98142459999999998</v>
      </c>
      <c r="P1961">
        <v>-0.49549749999999998</v>
      </c>
      <c r="Q1961">
        <v>0.15732309999999999</v>
      </c>
      <c r="R1961">
        <v>-0.85424359999999999</v>
      </c>
      <c r="S1961">
        <v>-1.8885959999999999</v>
      </c>
      <c r="T1961">
        <v>-0.18429980000000001</v>
      </c>
      <c r="U1961">
        <v>-2.4530029999999998</v>
      </c>
      <c r="V1961">
        <v>0.32485429999999998</v>
      </c>
      <c r="W1961">
        <v>0.16635610000000001</v>
      </c>
      <c r="X1961">
        <v>0.93101840000000002</v>
      </c>
      <c r="Y1961">
        <v>0.4459997</v>
      </c>
      <c r="Z1961">
        <v>6.101024E-2</v>
      </c>
      <c r="AA1961">
        <v>0.8929513</v>
      </c>
      <c r="AB1961">
        <v>25</v>
      </c>
      <c r="AC1961">
        <v>-11.2732999999999</v>
      </c>
      <c r="AD1961">
        <v>-1.105632588203</v>
      </c>
      <c r="AE1961">
        <v>-14.456200000000001</v>
      </c>
      <c r="AF1961">
        <v>8.26839106839771</v>
      </c>
      <c r="AG1961">
        <v>-1.105632588203</v>
      </c>
      <c r="AH1961">
        <v>16.287146730548599</v>
      </c>
      <c r="AI1961">
        <v>93.463909253490698</v>
      </c>
      <c r="AJ1961">
        <v>63.084754479614702</v>
      </c>
      <c r="AK1961">
        <v>18.299176563508901</v>
      </c>
      <c r="AL1961">
        <v>80.423977523009498</v>
      </c>
      <c r="AM1961">
        <v>70.764914456870898</v>
      </c>
      <c r="AN1961">
        <v>0.99999996468712904</v>
      </c>
    </row>
    <row r="1962" spans="1:40" x14ac:dyDescent="0.25">
      <c r="A1962" t="str">
        <f>"20190312172122075"</f>
        <v>20190312172122075</v>
      </c>
      <c r="B1962" t="str">
        <f>"1552382482062433"</f>
        <v>1552382482062433</v>
      </c>
      <c r="C1962" t="s">
        <v>40</v>
      </c>
      <c r="D1962">
        <v>3.2331379999999998</v>
      </c>
      <c r="E1962">
        <v>0.55447599999999997</v>
      </c>
      <c r="F1962" t="s">
        <v>45</v>
      </c>
      <c r="G1962">
        <v>-197.98599999999999</v>
      </c>
      <c r="H1962" s="1">
        <v>1.2810539999999999E-6</v>
      </c>
      <c r="I1962">
        <v>293.33530000000002</v>
      </c>
      <c r="J1962">
        <v>-187.54640000000001</v>
      </c>
      <c r="K1962">
        <v>1.1055569999999999</v>
      </c>
      <c r="L1962">
        <v>306.4187</v>
      </c>
      <c r="M1962">
        <v>-0.19829920000000001</v>
      </c>
      <c r="N1962">
        <v>0</v>
      </c>
      <c r="O1962">
        <v>-0.98004420000000003</v>
      </c>
      <c r="P1962">
        <v>-0.50174589999999997</v>
      </c>
      <c r="Q1962">
        <v>0.1585753</v>
      </c>
      <c r="R1962">
        <v>-0.850356</v>
      </c>
      <c r="S1962">
        <v>-1.919006</v>
      </c>
      <c r="T1962">
        <v>-0.20218349999999999</v>
      </c>
      <c r="U1962">
        <v>-2.436035</v>
      </c>
      <c r="V1962">
        <v>0.32518209999999997</v>
      </c>
      <c r="W1962">
        <v>0.1675489</v>
      </c>
      <c r="X1962">
        <v>0.93069009999999996</v>
      </c>
      <c r="Y1962">
        <v>0.44934619999999997</v>
      </c>
      <c r="Z1962">
        <v>6.6836149999999997E-2</v>
      </c>
      <c r="AA1962">
        <v>0.89085409999999898</v>
      </c>
      <c r="AB1962">
        <v>25</v>
      </c>
      <c r="AC1962">
        <v>-10.439599999999899</v>
      </c>
      <c r="AD1962">
        <v>-1.1055557189459999</v>
      </c>
      <c r="AE1962">
        <v>-13.0833999999999</v>
      </c>
      <c r="AF1962">
        <v>7.60439470508667</v>
      </c>
      <c r="AG1962">
        <v>-1.1055557189459999</v>
      </c>
      <c r="AH1962">
        <v>14.829200328374</v>
      </c>
      <c r="AI1962">
        <v>93.795372716801296</v>
      </c>
      <c r="AJ1962">
        <v>62.851307690500697</v>
      </c>
      <c r="AK1962">
        <v>16.701923681345502</v>
      </c>
      <c r="AL1962">
        <v>80.354663069337903</v>
      </c>
      <c r="AM1962">
        <v>70.740641328595004</v>
      </c>
      <c r="AN1962">
        <v>1.0000000471448101</v>
      </c>
    </row>
    <row r="1963" spans="1:40" x14ac:dyDescent="0.25">
      <c r="A1963" t="str">
        <f>"20190312172122095"</f>
        <v>20190312172122095</v>
      </c>
      <c r="B1963" t="str">
        <f>"1552382482092689"</f>
        <v>1552382482092689</v>
      </c>
      <c r="C1963" t="s">
        <v>40</v>
      </c>
      <c r="D1963">
        <v>3.2316880000000001</v>
      </c>
      <c r="E1963">
        <v>0.55415170000000002</v>
      </c>
      <c r="F1963" t="s">
        <v>45</v>
      </c>
      <c r="G1963">
        <v>-198.4024</v>
      </c>
      <c r="H1963" s="1">
        <v>1.3196E-6</v>
      </c>
      <c r="I1963">
        <v>292.90679999999998</v>
      </c>
      <c r="J1963">
        <v>-187.60050000000001</v>
      </c>
      <c r="K1963">
        <v>1.105464</v>
      </c>
      <c r="L1963">
        <v>306.19009999999997</v>
      </c>
      <c r="M1963">
        <v>-0.2051173</v>
      </c>
      <c r="N1963">
        <v>0</v>
      </c>
      <c r="O1963">
        <v>-0.9786397</v>
      </c>
      <c r="P1963">
        <v>-0.50800659999999997</v>
      </c>
      <c r="Q1963">
        <v>0.1597355</v>
      </c>
      <c r="R1963">
        <v>-0.84641279999999997</v>
      </c>
      <c r="S1963">
        <v>-1.943039</v>
      </c>
      <c r="T1963">
        <v>-0.197875</v>
      </c>
      <c r="U1963">
        <v>-2.418396</v>
      </c>
      <c r="V1963">
        <v>0.32566990000000001</v>
      </c>
      <c r="W1963">
        <v>0.16864129999999899</v>
      </c>
      <c r="X1963">
        <v>0.93032210000000004</v>
      </c>
      <c r="Y1963">
        <v>0.45174379999999997</v>
      </c>
      <c r="Z1963">
        <v>6.5425629999999999E-2</v>
      </c>
      <c r="AA1963">
        <v>0.88974549999999997</v>
      </c>
      <c r="AB1963">
        <v>25</v>
      </c>
      <c r="AC1963">
        <v>-10.8018999999999</v>
      </c>
      <c r="AD1963">
        <v>-1.1054626804000001</v>
      </c>
      <c r="AE1963">
        <v>-13.283299999999899</v>
      </c>
      <c r="AF1963">
        <v>7.8147043763628297</v>
      </c>
      <c r="AG1963">
        <v>-1.1054626804000001</v>
      </c>
      <c r="AH1963">
        <v>15.153501317422201</v>
      </c>
      <c r="AI1963">
        <v>93.709693934072902</v>
      </c>
      <c r="AJ1963">
        <v>62.719711410246603</v>
      </c>
      <c r="AK1963">
        <v>17.085673952315101</v>
      </c>
      <c r="AL1963">
        <v>80.291169145986999</v>
      </c>
      <c r="AM1963">
        <v>70.706817428572904</v>
      </c>
      <c r="AN1963">
        <v>0.99999999079005497</v>
      </c>
    </row>
    <row r="1964" spans="1:40" x14ac:dyDescent="0.25">
      <c r="A1964" t="str">
        <f>"20190312172122118"</f>
        <v>20190312172122118</v>
      </c>
      <c r="B1964" t="str">
        <f>"1552382482113185"</f>
        <v>1552382482113185</v>
      </c>
      <c r="C1964" t="s">
        <v>40</v>
      </c>
      <c r="D1964">
        <v>3.2112759999999998</v>
      </c>
      <c r="E1964">
        <v>0.55387790000000003</v>
      </c>
      <c r="F1964" t="s">
        <v>45</v>
      </c>
      <c r="G1964">
        <v>-198.624</v>
      </c>
      <c r="H1964" s="1">
        <v>1.3432929999999999E-6</v>
      </c>
      <c r="I1964">
        <v>292.66059999999999</v>
      </c>
      <c r="J1964">
        <v>-187.65989999999999</v>
      </c>
      <c r="K1964">
        <v>1.1053630000000001</v>
      </c>
      <c r="L1964">
        <v>305.94749999999999</v>
      </c>
      <c r="M1964">
        <v>-0.21251390000000001</v>
      </c>
      <c r="N1964">
        <v>0</v>
      </c>
      <c r="O1964">
        <v>-0.97705980000000003</v>
      </c>
      <c r="P1964">
        <v>-0.51508739999999997</v>
      </c>
      <c r="Q1964">
        <v>0.1600355</v>
      </c>
      <c r="R1964">
        <v>-0.84206559999999897</v>
      </c>
      <c r="S1964">
        <v>-1.9597169999999999</v>
      </c>
      <c r="T1964">
        <v>-0.19652410000000001</v>
      </c>
      <c r="U1964">
        <v>-2.4052120000000001</v>
      </c>
      <c r="V1964">
        <v>0.32649850000000002</v>
      </c>
      <c r="W1964">
        <v>0.16886080000000001</v>
      </c>
      <c r="X1964">
        <v>0.92999180000000004</v>
      </c>
      <c r="Y1964">
        <v>0.45111420000000002</v>
      </c>
      <c r="Z1964">
        <v>6.4982750000000006E-2</v>
      </c>
      <c r="AA1964">
        <v>0.89009729999999998</v>
      </c>
      <c r="AB1964">
        <v>25</v>
      </c>
      <c r="AC1964">
        <v>-10.9641</v>
      </c>
      <c r="AD1964">
        <v>-1.1053616567069999</v>
      </c>
      <c r="AE1964">
        <v>-13.286899999999999</v>
      </c>
      <c r="AF1964">
        <v>7.8573367431774397</v>
      </c>
      <c r="AG1964">
        <v>-1.1053616567069999</v>
      </c>
      <c r="AH1964">
        <v>15.2507973692083</v>
      </c>
      <c r="AI1964">
        <v>93.686497078009396</v>
      </c>
      <c r="AJ1964">
        <v>62.742102406032998</v>
      </c>
      <c r="AK1964">
        <v>17.191462575489499</v>
      </c>
      <c r="AL1964">
        <v>80.278409768980396</v>
      </c>
      <c r="AM1964">
        <v>70.655011608954496</v>
      </c>
      <c r="AN1964">
        <v>0.99999999417306495</v>
      </c>
    </row>
    <row r="1965" spans="1:40" x14ac:dyDescent="0.25">
      <c r="A1965" t="str">
        <f>"20190312172122141"</f>
        <v>20190312172122141</v>
      </c>
      <c r="B1965" t="str">
        <f>"1552382482132705"</f>
        <v>1552382482132705</v>
      </c>
      <c r="C1965" t="s">
        <v>40</v>
      </c>
      <c r="D1965">
        <v>3.204402</v>
      </c>
      <c r="E1965">
        <v>0.55360699999999996</v>
      </c>
      <c r="F1965" t="s">
        <v>45</v>
      </c>
      <c r="G1965">
        <v>-198.76429999999999</v>
      </c>
      <c r="H1965" s="1">
        <v>1.351963E-6</v>
      </c>
      <c r="I1965">
        <v>292.54070000000002</v>
      </c>
      <c r="J1965">
        <v>-187.72290000000001</v>
      </c>
      <c r="K1965">
        <v>1.105259</v>
      </c>
      <c r="L1965">
        <v>305.69920000000002</v>
      </c>
      <c r="M1965">
        <v>-0.22025639999999999</v>
      </c>
      <c r="N1965">
        <v>0</v>
      </c>
      <c r="O1965">
        <v>-0.97534310000000002</v>
      </c>
      <c r="P1965">
        <v>-0.52206669999999999</v>
      </c>
      <c r="Q1965">
        <v>0.16088729999999901</v>
      </c>
      <c r="R1965">
        <v>-0.83759280000000003</v>
      </c>
      <c r="S1965">
        <v>-1.9791559999999999</v>
      </c>
      <c r="T1965">
        <v>-0.19700899999999999</v>
      </c>
      <c r="U1965">
        <v>-2.3894959999999998</v>
      </c>
      <c r="V1965">
        <v>0.32694489999999998</v>
      </c>
      <c r="W1965">
        <v>0.1696358</v>
      </c>
      <c r="X1965">
        <v>0.92969389999999996</v>
      </c>
      <c r="Y1965">
        <v>0.45120440000000001</v>
      </c>
      <c r="Z1965">
        <v>6.5147739999999996E-2</v>
      </c>
      <c r="AA1965">
        <v>0.89003960000000004</v>
      </c>
      <c r="AB1965">
        <v>25</v>
      </c>
      <c r="AC1965">
        <v>-11.0413999999999</v>
      </c>
      <c r="AD1965">
        <v>-1.105257648037</v>
      </c>
      <c r="AE1965">
        <v>-13.1585</v>
      </c>
      <c r="AF1965">
        <v>7.8392132259230403</v>
      </c>
      <c r="AG1965">
        <v>-1.105257648037</v>
      </c>
      <c r="AH1965">
        <v>15.2045148817946</v>
      </c>
      <c r="AI1965">
        <v>93.696775733718795</v>
      </c>
      <c r="AJ1965">
        <v>62.725066713458901</v>
      </c>
      <c r="AK1965">
        <v>17.142115717167002</v>
      </c>
      <c r="AL1965">
        <v>80.233355717249594</v>
      </c>
      <c r="AM1965">
        <v>70.624786753441896</v>
      </c>
      <c r="AN1965">
        <v>1.00000000998743</v>
      </c>
    </row>
    <row r="1966" spans="1:40" x14ac:dyDescent="0.25">
      <c r="A1966" t="str">
        <f>"20190312172122162"</f>
        <v>20190312172122162</v>
      </c>
      <c r="B1966" t="str">
        <f>"1552382482153204"</f>
        <v>1552382482153204</v>
      </c>
      <c r="C1966" t="s">
        <v>40</v>
      </c>
      <c r="D1966">
        <v>3.216062</v>
      </c>
      <c r="E1966">
        <v>0.55325190000000002</v>
      </c>
      <c r="F1966" t="s">
        <v>45</v>
      </c>
      <c r="G1966">
        <v>-199.05840000000001</v>
      </c>
      <c r="H1966" s="1">
        <v>1.3784429999999999E-6</v>
      </c>
      <c r="I1966">
        <v>292.2423</v>
      </c>
      <c r="J1966">
        <v>-187.78649999999999</v>
      </c>
      <c r="K1966">
        <v>1.105164</v>
      </c>
      <c r="L1966">
        <v>305.45780000000002</v>
      </c>
      <c r="M1966">
        <v>-0.2279544</v>
      </c>
      <c r="N1966">
        <v>0</v>
      </c>
      <c r="O1966">
        <v>-0.97357249999999995</v>
      </c>
      <c r="P1966">
        <v>-0.52882169999999995</v>
      </c>
      <c r="Q1966">
        <v>0.16195100000000001</v>
      </c>
      <c r="R1966">
        <v>-0.8331385</v>
      </c>
      <c r="S1966">
        <v>-1.9990540000000001</v>
      </c>
      <c r="T1966">
        <v>-0.1949166</v>
      </c>
      <c r="U1966">
        <v>-2.3731689999999999</v>
      </c>
      <c r="V1966">
        <v>0.32722059999999997</v>
      </c>
      <c r="W1966">
        <v>0.17063239999999999</v>
      </c>
      <c r="X1966">
        <v>0.92941450000000003</v>
      </c>
      <c r="Y1966">
        <v>0.45157019999999998</v>
      </c>
      <c r="Z1966">
        <v>6.4461290000000004E-2</v>
      </c>
      <c r="AA1966">
        <v>0.88990400000000003</v>
      </c>
      <c r="AB1966">
        <v>25</v>
      </c>
      <c r="AC1966">
        <v>-11.2719</v>
      </c>
      <c r="AD1966">
        <v>-1.1051626215570001</v>
      </c>
      <c r="AE1966">
        <v>-13.2155</v>
      </c>
      <c r="AF1966">
        <v>7.9301470042733397</v>
      </c>
      <c r="AG1966">
        <v>-1.1051626215570001</v>
      </c>
      <c r="AH1966">
        <v>15.3749771815756</v>
      </c>
      <c r="AI1966">
        <v>93.6552936959786</v>
      </c>
      <c r="AJ1966">
        <v>62.716099959829599</v>
      </c>
      <c r="AK1966">
        <v>17.334893690572301</v>
      </c>
      <c r="AL1966">
        <v>80.175410093215902</v>
      </c>
      <c r="AM1966">
        <v>70.604273234015196</v>
      </c>
      <c r="AN1966">
        <v>1.0000000249021801</v>
      </c>
    </row>
    <row r="1967" spans="1:40" x14ac:dyDescent="0.25">
      <c r="A1967" t="str">
        <f>"20190312172122196"</f>
        <v>20190312172122196</v>
      </c>
      <c r="B1967" t="str">
        <f>"1552382482193216"</f>
        <v>1552382482193216</v>
      </c>
      <c r="C1967" t="s">
        <v>40</v>
      </c>
      <c r="D1967">
        <v>3.2271830000000001</v>
      </c>
      <c r="E1967">
        <v>0.56430040000000004</v>
      </c>
      <c r="F1967" t="s">
        <v>45</v>
      </c>
      <c r="G1967">
        <v>-199.51859999999999</v>
      </c>
      <c r="H1967" s="1">
        <v>1.424366E-6</v>
      </c>
      <c r="I1967">
        <v>291.74979999999999</v>
      </c>
      <c r="J1967">
        <v>-187.8837</v>
      </c>
      <c r="K1967">
        <v>1.105057</v>
      </c>
      <c r="L1967">
        <v>305.10399999999998</v>
      </c>
      <c r="M1967">
        <v>-0.23946790000000001</v>
      </c>
      <c r="N1967">
        <v>0</v>
      </c>
      <c r="O1967">
        <v>-0.97080440000000001</v>
      </c>
      <c r="P1967">
        <v>-0.53750629999999999</v>
      </c>
      <c r="Q1967">
        <v>0.16336970000000001</v>
      </c>
      <c r="R1967">
        <v>-0.8272834</v>
      </c>
      <c r="S1967">
        <v>-2.0174560000000001</v>
      </c>
      <c r="T1967">
        <v>-0.19004380000000001</v>
      </c>
      <c r="U1967">
        <v>-2.3572389999999999</v>
      </c>
      <c r="V1967">
        <v>0.32606380000000001</v>
      </c>
      <c r="W1967">
        <v>0.17200650000000001</v>
      </c>
      <c r="X1967">
        <v>0.92956780000000006</v>
      </c>
      <c r="Y1967">
        <v>0.44805400000000001</v>
      </c>
      <c r="Z1967">
        <v>6.2829019999999999E-2</v>
      </c>
      <c r="AA1967">
        <v>0.89179609999999998</v>
      </c>
      <c r="AB1967">
        <v>25</v>
      </c>
      <c r="AC1967">
        <v>-11.634899999999901</v>
      </c>
      <c r="AD1967">
        <v>-1.1050555756339999</v>
      </c>
      <c r="AE1967">
        <v>-13.354200000000001</v>
      </c>
      <c r="AF1967">
        <v>8.0666943346740503</v>
      </c>
      <c r="AG1967">
        <v>-1.1050555756339999</v>
      </c>
      <c r="AH1967">
        <v>15.690949282283601</v>
      </c>
      <c r="AI1967">
        <v>93.5839832598394</v>
      </c>
      <c r="AJ1967">
        <v>62.792369585779497</v>
      </c>
      <c r="AK1967">
        <v>17.677629781548799</v>
      </c>
      <c r="AL1967">
        <v>80.095498921132702</v>
      </c>
      <c r="AM1967">
        <v>70.670698368243706</v>
      </c>
      <c r="AN1967">
        <v>1.0000000662547599</v>
      </c>
    </row>
    <row r="1968" spans="1:40" x14ac:dyDescent="0.25">
      <c r="A1968" t="str">
        <f>"20190312172122218"</f>
        <v>20190312172122218</v>
      </c>
      <c r="B1968" t="str">
        <f>"1552382482212737"</f>
        <v>1552382482212737</v>
      </c>
      <c r="C1968" t="s">
        <v>40</v>
      </c>
      <c r="D1968">
        <v>3.2539579999999999</v>
      </c>
      <c r="E1968">
        <v>0.56421350000000003</v>
      </c>
      <c r="F1968" t="s">
        <v>45</v>
      </c>
      <c r="G1968">
        <v>-200.04490000000001</v>
      </c>
      <c r="H1968" s="1">
        <v>1.390299E-6</v>
      </c>
      <c r="I1968">
        <v>291.96319999999997</v>
      </c>
      <c r="J1968">
        <v>-187.95410000000001</v>
      </c>
      <c r="K1968">
        <v>1.105005</v>
      </c>
      <c r="L1968">
        <v>304.8578</v>
      </c>
      <c r="M1968">
        <v>-0.2476226</v>
      </c>
      <c r="N1968">
        <v>0</v>
      </c>
      <c r="O1968">
        <v>-0.96875610000000001</v>
      </c>
      <c r="P1968">
        <v>-0.54320939999999995</v>
      </c>
      <c r="Q1968">
        <v>0.1645385</v>
      </c>
      <c r="R1968">
        <v>-0.82331710000000002</v>
      </c>
      <c r="S1968">
        <v>-2.117737</v>
      </c>
      <c r="T1968">
        <v>-0.1924332</v>
      </c>
      <c r="U1968">
        <v>-2.2883300000000002</v>
      </c>
      <c r="V1968">
        <v>0.324764</v>
      </c>
      <c r="W1968">
        <v>0.1731666</v>
      </c>
      <c r="X1968">
        <v>0.9298073</v>
      </c>
      <c r="Y1968">
        <v>0.47491679999999997</v>
      </c>
      <c r="Z1968">
        <v>6.3545470000000007E-2</v>
      </c>
      <c r="AA1968">
        <v>0.87773349999999895</v>
      </c>
      <c r="AB1968">
        <v>25</v>
      </c>
      <c r="AC1968">
        <v>-12.0908</v>
      </c>
      <c r="AD1968">
        <v>-1.1050036097010001</v>
      </c>
      <c r="AE1968">
        <v>-12.894600000000001</v>
      </c>
      <c r="AF1968">
        <v>8.4877027915993697</v>
      </c>
      <c r="AG1968">
        <v>-1.1050036097010001</v>
      </c>
      <c r="AH1968">
        <v>15.426899549377399</v>
      </c>
      <c r="AI1968">
        <v>93.590997174715795</v>
      </c>
      <c r="AJ1968">
        <v>61.180914778690799</v>
      </c>
      <c r="AK1968">
        <v>17.6423173467251</v>
      </c>
      <c r="AL1968">
        <v>80.028016526652294</v>
      </c>
      <c r="AM1968">
        <v>70.746663223436897</v>
      </c>
      <c r="AN1968">
        <v>0.999999971092424</v>
      </c>
    </row>
    <row r="1969" spans="1:40" x14ac:dyDescent="0.25">
      <c r="A1969" t="str">
        <f>"20190312172122242"</f>
        <v>20190312172122242</v>
      </c>
      <c r="B1969" t="str">
        <f>"1552382482233233"</f>
        <v>1552382482233233</v>
      </c>
      <c r="C1969" t="s">
        <v>40</v>
      </c>
      <c r="D1969">
        <v>3.225349</v>
      </c>
      <c r="E1969">
        <v>0.56414200000000003</v>
      </c>
      <c r="F1969" t="s">
        <v>45</v>
      </c>
      <c r="G1969">
        <v>-200.18989999999999</v>
      </c>
      <c r="H1969">
        <v>2.849716E-3</v>
      </c>
      <c r="I1969">
        <v>291.82330000000002</v>
      </c>
      <c r="J1969">
        <v>-188.02979999999999</v>
      </c>
      <c r="K1969">
        <v>1.1049580000000001</v>
      </c>
      <c r="L1969">
        <v>304.60210000000001</v>
      </c>
      <c r="M1969">
        <v>-0.2562123</v>
      </c>
      <c r="N1969">
        <v>0</v>
      </c>
      <c r="O1969">
        <v>-0.96651969999999998</v>
      </c>
      <c r="P1969">
        <v>-0.54987200000000003</v>
      </c>
      <c r="Q1969">
        <v>0.1654292</v>
      </c>
      <c r="R1969">
        <v>-0.81870279999999995</v>
      </c>
      <c r="S1969">
        <v>-2.1345209999999999</v>
      </c>
      <c r="T1969">
        <v>-0.19226940000000001</v>
      </c>
      <c r="U1969">
        <v>-2.2738339999999999</v>
      </c>
      <c r="V1969">
        <v>0.32413350000000002</v>
      </c>
      <c r="W1969">
        <v>0.174041</v>
      </c>
      <c r="X1969">
        <v>0.92986409999999997</v>
      </c>
      <c r="Y1969">
        <v>0.47335050000000001</v>
      </c>
      <c r="Z1969">
        <v>6.3455949999999997E-2</v>
      </c>
      <c r="AA1969">
        <v>0.87858559999999997</v>
      </c>
      <c r="AB1969">
        <v>25</v>
      </c>
      <c r="AC1969">
        <v>-12.1601</v>
      </c>
      <c r="AD1969">
        <v>-1.1021082839999901</v>
      </c>
      <c r="AE1969">
        <v>-12.778799999999899</v>
      </c>
      <c r="AF1969">
        <v>8.4467449052186794</v>
      </c>
      <c r="AG1969">
        <v>-1.1021082839999901</v>
      </c>
      <c r="AH1969">
        <v>15.4078917149726</v>
      </c>
      <c r="AI1969">
        <v>93.589008036281697</v>
      </c>
      <c r="AJ1969">
        <v>61.268050292627798</v>
      </c>
      <c r="AK1969">
        <v>17.605830547401599</v>
      </c>
      <c r="AL1969">
        <v>79.977145128520107</v>
      </c>
      <c r="AM1969">
        <v>70.782386048246806</v>
      </c>
      <c r="AN1969">
        <v>1.00000001998602</v>
      </c>
    </row>
    <row r="1970" spans="1:40" x14ac:dyDescent="0.25">
      <c r="A1970" t="str">
        <f>"20190312172122264"</f>
        <v>20190312172122264</v>
      </c>
      <c r="B1970" t="str">
        <f>"1552382482252753"</f>
        <v>1552382482252753</v>
      </c>
      <c r="C1970" t="s">
        <v>40</v>
      </c>
      <c r="D1970">
        <v>3.209349</v>
      </c>
      <c r="E1970">
        <v>0.56367509999999998</v>
      </c>
      <c r="F1970" t="s">
        <v>45</v>
      </c>
      <c r="G1970">
        <v>-200.17429999999999</v>
      </c>
      <c r="H1970">
        <v>2.2156970000000002E-2</v>
      </c>
      <c r="I1970">
        <v>291.88049999999998</v>
      </c>
      <c r="J1970">
        <v>-188.10220000000001</v>
      </c>
      <c r="K1970">
        <v>1.104916</v>
      </c>
      <c r="L1970">
        <v>304.36540000000002</v>
      </c>
      <c r="M1970">
        <v>-0.26425939999999998</v>
      </c>
      <c r="N1970">
        <v>0</v>
      </c>
      <c r="O1970">
        <v>-0.96435029999999999</v>
      </c>
      <c r="P1970">
        <v>-0.55575039999999998</v>
      </c>
      <c r="Q1970">
        <v>0.16649029999999901</v>
      </c>
      <c r="R1970">
        <v>-0.81450809999999996</v>
      </c>
      <c r="S1970">
        <v>-2.154083</v>
      </c>
      <c r="T1970">
        <v>-0.19205749999999999</v>
      </c>
      <c r="U1970">
        <v>-2.2564389999999999</v>
      </c>
      <c r="V1970">
        <v>0.32316409999999901</v>
      </c>
      <c r="W1970">
        <v>0.17509559999999999</v>
      </c>
      <c r="X1970">
        <v>0.93000349999999998</v>
      </c>
      <c r="Y1970">
        <v>0.47338649999999999</v>
      </c>
      <c r="Z1970">
        <v>6.3361730000000005E-2</v>
      </c>
      <c r="AA1970">
        <v>0.87857299999999905</v>
      </c>
      <c r="AB1970">
        <v>25</v>
      </c>
      <c r="AC1970">
        <v>-12.072099999999899</v>
      </c>
      <c r="AD1970">
        <v>-1.0827590300000001</v>
      </c>
      <c r="AE1970">
        <v>-12.4849</v>
      </c>
      <c r="AF1970">
        <v>8.3109912871559395</v>
      </c>
      <c r="AG1970">
        <v>-1.0827590300000001</v>
      </c>
      <c r="AH1970">
        <v>15.1724953996937</v>
      </c>
      <c r="AI1970">
        <v>93.581389078529199</v>
      </c>
      <c r="AJ1970">
        <v>61.287529394969901</v>
      </c>
      <c r="AK1970">
        <v>17.333480895248801</v>
      </c>
      <c r="AL1970">
        <v>79.915778591610902</v>
      </c>
      <c r="AM1970">
        <v>70.838326679733896</v>
      </c>
      <c r="AN1970">
        <v>1.00000000734021</v>
      </c>
    </row>
    <row r="1971" spans="1:40" x14ac:dyDescent="0.25">
      <c r="A1971" t="str">
        <f>"20190312172122285"</f>
        <v>20190312172122285</v>
      </c>
      <c r="B1971" t="str">
        <f>"1552382482283009"</f>
        <v>1552382482283009</v>
      </c>
      <c r="C1971" t="s">
        <v>40</v>
      </c>
      <c r="D1971">
        <v>3.1988240000000001</v>
      </c>
      <c r="E1971">
        <v>0.56313159999999995</v>
      </c>
      <c r="F1971" t="s">
        <v>45</v>
      </c>
      <c r="G1971">
        <v>-200.17449999999999</v>
      </c>
      <c r="H1971">
        <v>3.2246469999999999E-2</v>
      </c>
      <c r="I1971">
        <v>291.87979999999999</v>
      </c>
      <c r="J1971">
        <v>-188.1729</v>
      </c>
      <c r="K1971">
        <v>1.104884</v>
      </c>
      <c r="L1971">
        <v>304.14089999999999</v>
      </c>
      <c r="M1971">
        <v>-0.27194689999999999</v>
      </c>
      <c r="N1971">
        <v>0</v>
      </c>
      <c r="O1971">
        <v>-0.96221049999999997</v>
      </c>
      <c r="P1971">
        <v>-0.56155940000000004</v>
      </c>
      <c r="Q1971">
        <v>0.16733039999999999</v>
      </c>
      <c r="R1971">
        <v>-0.81034110000000004</v>
      </c>
      <c r="S1971">
        <v>-2.1686709999999998</v>
      </c>
      <c r="T1971">
        <v>-0.19269539999999999</v>
      </c>
      <c r="U1971">
        <v>-2.2429199999999998</v>
      </c>
      <c r="V1971">
        <v>0.32246350000000001</v>
      </c>
      <c r="W1971">
        <v>0.1759307</v>
      </c>
      <c r="X1971">
        <v>0.9300891</v>
      </c>
      <c r="Y1971">
        <v>0.47195219999999999</v>
      </c>
      <c r="Z1971">
        <v>6.3537440000000001E-2</v>
      </c>
      <c r="AA1971">
        <v>0.87933159999999899</v>
      </c>
      <c r="AB1971">
        <v>25</v>
      </c>
      <c r="AC1971">
        <v>-12.0015999999999</v>
      </c>
      <c r="AD1971">
        <v>-1.07263753</v>
      </c>
      <c r="AE1971">
        <v>-12.261100000000001</v>
      </c>
      <c r="AF1971">
        <v>8.1825205647906198</v>
      </c>
      <c r="AG1971">
        <v>-1.07263753</v>
      </c>
      <c r="AH1971">
        <v>15.0043877314996</v>
      </c>
      <c r="AI1971">
        <v>93.591298496512906</v>
      </c>
      <c r="AJ1971">
        <v>61.394516960235201</v>
      </c>
      <c r="AK1971">
        <v>17.124130496500001</v>
      </c>
      <c r="AL1971">
        <v>79.867176639087901</v>
      </c>
      <c r="AM1971">
        <v>70.878480242482595</v>
      </c>
      <c r="AN1971">
        <v>1.0000000269867699</v>
      </c>
    </row>
    <row r="1972" spans="1:40" x14ac:dyDescent="0.25">
      <c r="A1972" t="str">
        <f>"20190312172122307"</f>
        <v>20190312172122307</v>
      </c>
      <c r="B1972" t="str">
        <f>"1552382482302529"</f>
        <v>1552382482302529</v>
      </c>
      <c r="C1972" t="s">
        <v>40</v>
      </c>
      <c r="D1972">
        <v>3.236021</v>
      </c>
      <c r="E1972">
        <v>0.56294200000000005</v>
      </c>
      <c r="F1972" t="s">
        <v>45</v>
      </c>
      <c r="G1972">
        <v>-200.17449999999999</v>
      </c>
      <c r="H1972">
        <v>4.549512E-2</v>
      </c>
      <c r="I1972">
        <v>291.87970000000001</v>
      </c>
      <c r="J1972">
        <v>-188.2492</v>
      </c>
      <c r="K1972">
        <v>1.1048530000000001</v>
      </c>
      <c r="L1972">
        <v>303.90589999999997</v>
      </c>
      <c r="M1972">
        <v>-0.28004800000000002</v>
      </c>
      <c r="N1972">
        <v>0</v>
      </c>
      <c r="O1972">
        <v>-0.95988370000000001</v>
      </c>
      <c r="P1972">
        <v>-0.56767179999999995</v>
      </c>
      <c r="Q1972">
        <v>0.16751099999999999</v>
      </c>
      <c r="R1972">
        <v>-0.80603269999999905</v>
      </c>
      <c r="S1972">
        <v>-2.1823269999999999</v>
      </c>
      <c r="T1972">
        <v>-0.19263640000000001</v>
      </c>
      <c r="U1972">
        <v>-2.2295530000000001</v>
      </c>
      <c r="V1972">
        <v>0.3216812</v>
      </c>
      <c r="W1972">
        <v>0.1761142</v>
      </c>
      <c r="X1972">
        <v>0.93032519999999996</v>
      </c>
      <c r="Y1972">
        <v>0.46991159999999998</v>
      </c>
      <c r="Z1972">
        <v>6.3480259999999997E-2</v>
      </c>
      <c r="AA1972">
        <v>0.88042799999999999</v>
      </c>
      <c r="AB1972">
        <v>25</v>
      </c>
      <c r="AC1972">
        <v>-11.925299999999901</v>
      </c>
      <c r="AD1972">
        <v>-1.0593578800000001</v>
      </c>
      <c r="AE1972">
        <v>-12.0261999999999</v>
      </c>
      <c r="AF1972">
        <v>8.0482932337237791</v>
      </c>
      <c r="AG1972">
        <v>-1.0593578800000001</v>
      </c>
      <c r="AH1972">
        <v>14.8268630483965</v>
      </c>
      <c r="AI1972">
        <v>93.593103536025097</v>
      </c>
      <c r="AJ1972">
        <v>61.506078464767299</v>
      </c>
      <c r="AK1972">
        <v>16.903642534963499</v>
      </c>
      <c r="AL1972">
        <v>79.856495738967396</v>
      </c>
      <c r="AM1972">
        <v>70.926003754814403</v>
      </c>
      <c r="AN1972">
        <v>0.99999999181505905</v>
      </c>
    </row>
    <row r="1973" spans="1:40" x14ac:dyDescent="0.25">
      <c r="A1973" t="str">
        <f>"20190312172122330"</f>
        <v>20190312172122330</v>
      </c>
      <c r="B1973" t="str">
        <f>"1552382482323026"</f>
        <v>1552382482323026</v>
      </c>
      <c r="C1973" t="s">
        <v>40</v>
      </c>
      <c r="D1973">
        <v>3.2102249999999999</v>
      </c>
      <c r="E1973">
        <v>0.56277330000000003</v>
      </c>
      <c r="F1973" t="s">
        <v>45</v>
      </c>
      <c r="G1973">
        <v>-200.17140000000001</v>
      </c>
      <c r="H1973">
        <v>5.2198469999999997E-2</v>
      </c>
      <c r="I1973">
        <v>291.89909999999998</v>
      </c>
      <c r="J1973">
        <v>-188.33269999999999</v>
      </c>
      <c r="K1973">
        <v>1.10484</v>
      </c>
      <c r="L1973">
        <v>303.65640000000002</v>
      </c>
      <c r="M1973">
        <v>-0.28868830000000001</v>
      </c>
      <c r="N1973">
        <v>0</v>
      </c>
      <c r="O1973">
        <v>-0.95732059999999997</v>
      </c>
      <c r="P1973">
        <v>-0.57426409999999894</v>
      </c>
      <c r="Q1973">
        <v>0.16794539999999999</v>
      </c>
      <c r="R1973">
        <v>-0.80125900000000005</v>
      </c>
      <c r="S1973">
        <v>-2.1983640000000002</v>
      </c>
      <c r="T1973">
        <v>-0.1941012</v>
      </c>
      <c r="U1973">
        <v>-2.213959</v>
      </c>
      <c r="V1973">
        <v>0.32096370000000002</v>
      </c>
      <c r="W1973">
        <v>0.1765573</v>
      </c>
      <c r="X1973">
        <v>0.93048909999999996</v>
      </c>
      <c r="Y1973">
        <v>0.46825080000000002</v>
      </c>
      <c r="Z1973">
        <v>6.3915420000000001E-2</v>
      </c>
      <c r="AA1973">
        <v>0.88128090000000003</v>
      </c>
      <c r="AB1973">
        <v>25</v>
      </c>
      <c r="AC1973">
        <v>-11.838699999999999</v>
      </c>
      <c r="AD1973">
        <v>-1.05264153</v>
      </c>
      <c r="AE1973">
        <v>-11.757300000000001</v>
      </c>
      <c r="AF1973">
        <v>7.90853805993879</v>
      </c>
      <c r="AG1973">
        <v>-1.05264153</v>
      </c>
      <c r="AH1973">
        <v>14.616463301457999</v>
      </c>
      <c r="AI1973">
        <v>93.624286623139696</v>
      </c>
      <c r="AJ1973">
        <v>61.583484356999797</v>
      </c>
      <c r="AK1973">
        <v>16.65214784582</v>
      </c>
      <c r="AL1973">
        <v>79.830704635722299</v>
      </c>
      <c r="AM1973">
        <v>70.968594329092099</v>
      </c>
      <c r="AN1973">
        <v>1.00000007105989</v>
      </c>
    </row>
    <row r="1974" spans="1:40" x14ac:dyDescent="0.25">
      <c r="A1974" t="str">
        <f>"20190312172122353"</f>
        <v>20190312172122353</v>
      </c>
      <c r="B1974" t="str">
        <f>"1552382482342545"</f>
        <v>1552382482342545</v>
      </c>
      <c r="C1974" t="s">
        <v>40</v>
      </c>
      <c r="D1974">
        <v>3.2169940000000001</v>
      </c>
      <c r="E1974">
        <v>0.5626757</v>
      </c>
      <c r="F1974" t="s">
        <v>45</v>
      </c>
      <c r="G1974">
        <v>-200.18450000000001</v>
      </c>
      <c r="H1974">
        <v>6.861391E-2</v>
      </c>
      <c r="I1974">
        <v>291.9135</v>
      </c>
      <c r="J1974">
        <v>-188.4135</v>
      </c>
      <c r="K1974">
        <v>1.1048500000000001</v>
      </c>
      <c r="L1974">
        <v>303.42140000000001</v>
      </c>
      <c r="M1974">
        <v>-0.29684949999999999</v>
      </c>
      <c r="N1974">
        <v>0</v>
      </c>
      <c r="O1974">
        <v>-0.95482120000000004</v>
      </c>
      <c r="P1974">
        <v>-0.58026420000000001</v>
      </c>
      <c r="Q1974">
        <v>0.169049</v>
      </c>
      <c r="R1974">
        <v>-0.79669060000000003</v>
      </c>
      <c r="S1974">
        <v>-2.2165219999999999</v>
      </c>
      <c r="T1974">
        <v>-0.1937943</v>
      </c>
      <c r="U1974">
        <v>-2.1961360000000001</v>
      </c>
      <c r="V1974">
        <v>0.32009029999999999</v>
      </c>
      <c r="W1974">
        <v>0.1776799</v>
      </c>
      <c r="X1974">
        <v>0.93057619999999996</v>
      </c>
      <c r="Y1974">
        <v>0.4679045</v>
      </c>
      <c r="Z1974">
        <v>6.3777089999999995E-2</v>
      </c>
      <c r="AA1974">
        <v>0.8814748</v>
      </c>
      <c r="AB1974">
        <v>25</v>
      </c>
      <c r="AC1974">
        <v>-11.771000000000001</v>
      </c>
      <c r="AD1974">
        <v>-1.0362360900000001</v>
      </c>
      <c r="AE1974">
        <v>-11.507899999999999</v>
      </c>
      <c r="AF1974">
        <v>7.79297657568618</v>
      </c>
      <c r="AG1974">
        <v>-1.0362360900000001</v>
      </c>
      <c r="AH1974">
        <v>14.4264634086838</v>
      </c>
      <c r="AI1974">
        <v>93.616150120786699</v>
      </c>
      <c r="AJ1974">
        <v>61.622694067546597</v>
      </c>
      <c r="AK1974">
        <v>16.4294587745764</v>
      </c>
      <c r="AL1974">
        <v>79.765350445733105</v>
      </c>
      <c r="AM1974">
        <v>71.018319699885296</v>
      </c>
      <c r="AN1974">
        <v>1.00000000551227</v>
      </c>
    </row>
    <row r="1975" spans="1:40" x14ac:dyDescent="0.25">
      <c r="A1975" t="str">
        <f>"20190312172122374"</f>
        <v>20190312172122374</v>
      </c>
      <c r="B1975" t="str">
        <f>"1552382482363044"</f>
        <v>1552382482363044</v>
      </c>
      <c r="C1975" t="s">
        <v>40</v>
      </c>
      <c r="D1975">
        <v>3.235976</v>
      </c>
      <c r="E1975">
        <v>0.56052829999999998</v>
      </c>
      <c r="F1975" t="s">
        <v>45</v>
      </c>
      <c r="G1975">
        <v>-200.2295</v>
      </c>
      <c r="H1975">
        <v>7.9999979999999998E-2</v>
      </c>
      <c r="I1975">
        <v>291.88409999999999</v>
      </c>
      <c r="J1975">
        <v>-188.4913</v>
      </c>
      <c r="K1975">
        <v>1.10486</v>
      </c>
      <c r="L1975">
        <v>303.20159999999998</v>
      </c>
      <c r="M1975">
        <v>-0.30450300000000002</v>
      </c>
      <c r="N1975">
        <v>0</v>
      </c>
      <c r="O1975">
        <v>-0.95240809999999998</v>
      </c>
      <c r="P1975">
        <v>-0.58557219999999999</v>
      </c>
      <c r="Q1975">
        <v>0.1697504</v>
      </c>
      <c r="R1975">
        <v>-0.79264789999999996</v>
      </c>
      <c r="S1975">
        <v>-2.2329560000000002</v>
      </c>
      <c r="T1975">
        <v>-0.1936736</v>
      </c>
      <c r="U1975">
        <v>-2.1802980000000001</v>
      </c>
      <c r="V1975">
        <v>0.31888490000000003</v>
      </c>
      <c r="W1975">
        <v>0.17841370000000001</v>
      </c>
      <c r="X1975">
        <v>0.93084960000000005</v>
      </c>
      <c r="Y1975">
        <v>0.46726410000000002</v>
      </c>
      <c r="Z1975">
        <v>6.3686549999999995E-2</v>
      </c>
      <c r="AA1975">
        <v>0.88182099999999997</v>
      </c>
      <c r="AB1975">
        <v>25</v>
      </c>
      <c r="AC1975">
        <v>-11.738200000000001</v>
      </c>
      <c r="AD1975">
        <v>-1.02486002</v>
      </c>
      <c r="AE1975">
        <v>-11.3174999999999</v>
      </c>
      <c r="AF1975">
        <v>7.7036711139156804</v>
      </c>
      <c r="AG1975">
        <v>-1.02486002</v>
      </c>
      <c r="AH1975">
        <v>14.298122385068</v>
      </c>
      <c r="AI1975">
        <v>93.610675568786803</v>
      </c>
      <c r="AJ1975">
        <v>61.6847010797186</v>
      </c>
      <c r="AK1975">
        <v>16.2736962743673</v>
      </c>
      <c r="AL1975">
        <v>79.722624093472703</v>
      </c>
      <c r="AM1975">
        <v>71.089871705463494</v>
      </c>
      <c r="AN1975">
        <v>1.0000000028079301</v>
      </c>
    </row>
    <row r="1976" spans="1:40" x14ac:dyDescent="0.25">
      <c r="A1976" t="str">
        <f>"20190312172122397"</f>
        <v>20190312172122397</v>
      </c>
      <c r="B1976" t="str">
        <f>"1552382482393298"</f>
        <v>1552382482393298</v>
      </c>
      <c r="C1976" t="s">
        <v>40</v>
      </c>
      <c r="D1976">
        <v>3.2217210000000001</v>
      </c>
      <c r="E1976">
        <v>0.56042109999999901</v>
      </c>
      <c r="F1976" t="s">
        <v>45</v>
      </c>
      <c r="G1976">
        <v>-199.83750000000001</v>
      </c>
      <c r="H1976" s="1">
        <v>1.325528E-6</v>
      </c>
      <c r="I1976">
        <v>292.15039999999999</v>
      </c>
      <c r="J1976">
        <v>-188.57509999999999</v>
      </c>
      <c r="K1976">
        <v>1.1048629999999999</v>
      </c>
      <c r="L1976">
        <v>302.97050000000002</v>
      </c>
      <c r="M1976">
        <v>-0.3125521</v>
      </c>
      <c r="N1976">
        <v>0</v>
      </c>
      <c r="O1976">
        <v>-0.949797</v>
      </c>
      <c r="P1976">
        <v>-0.5914644</v>
      </c>
      <c r="Q1976">
        <v>0.16933529999999999</v>
      </c>
      <c r="R1976">
        <v>-0.78835</v>
      </c>
      <c r="S1976">
        <v>-2.2370000000000001</v>
      </c>
      <c r="T1976">
        <v>-0.21783240000000001</v>
      </c>
      <c r="U1976">
        <v>-2.178833</v>
      </c>
      <c r="V1976">
        <v>0.31790309999999999</v>
      </c>
      <c r="W1976">
        <v>0.17803359999999999</v>
      </c>
      <c r="X1976">
        <v>0.93125809999999998</v>
      </c>
      <c r="Y1976">
        <v>0.46047949999999999</v>
      </c>
      <c r="Z1976">
        <v>7.1424619999999994E-2</v>
      </c>
      <c r="AA1976">
        <v>0.88479209999999997</v>
      </c>
      <c r="AB1976">
        <v>25</v>
      </c>
      <c r="AC1976">
        <v>-11.2624</v>
      </c>
      <c r="AD1976">
        <v>-1.1048616744719999</v>
      </c>
      <c r="AE1976">
        <v>-10.8201</v>
      </c>
      <c r="AF1976">
        <v>7.2794376741781699</v>
      </c>
      <c r="AG1976">
        <v>-1.1048616744719999</v>
      </c>
      <c r="AH1976">
        <v>13.7296311901718</v>
      </c>
      <c r="AI1976">
        <v>94.066755938402096</v>
      </c>
      <c r="AJ1976">
        <v>62.067506489345497</v>
      </c>
      <c r="AK1976">
        <v>15.5792716386261</v>
      </c>
      <c r="AL1976">
        <v>79.744756492219295</v>
      </c>
      <c r="AM1976">
        <v>71.151661060283303</v>
      </c>
      <c r="AN1976">
        <v>0.99999999626709002</v>
      </c>
    </row>
    <row r="1977" spans="1:40" x14ac:dyDescent="0.25">
      <c r="A1977" t="str">
        <f>"20190312172122419"</f>
        <v>20190312172122419</v>
      </c>
      <c r="B1977" t="str">
        <f>"1552382482412818"</f>
        <v>1552382482412818</v>
      </c>
      <c r="C1977" t="s">
        <v>40</v>
      </c>
      <c r="D1977">
        <v>3.250553</v>
      </c>
      <c r="E1977">
        <v>0.560303199999999</v>
      </c>
      <c r="F1977" t="s">
        <v>45</v>
      </c>
      <c r="G1977">
        <v>-199.68539999999999</v>
      </c>
      <c r="H1977" s="1">
        <v>1.311591E-6</v>
      </c>
      <c r="I1977">
        <v>292.30619999999999</v>
      </c>
      <c r="J1977">
        <v>-188.66409999999999</v>
      </c>
      <c r="K1977">
        <v>1.104881</v>
      </c>
      <c r="L1977">
        <v>302.73149999999998</v>
      </c>
      <c r="M1977">
        <v>-0.3208725</v>
      </c>
      <c r="N1977">
        <v>0</v>
      </c>
      <c r="O1977">
        <v>-0.94701829999999998</v>
      </c>
      <c r="P1977">
        <v>-0.59724149999999998</v>
      </c>
      <c r="Q1977">
        <v>0.1689138</v>
      </c>
      <c r="R1977">
        <v>-0.78407349999999998</v>
      </c>
      <c r="S1977">
        <v>-2.2533720000000002</v>
      </c>
      <c r="T1977">
        <v>-0.2240877</v>
      </c>
      <c r="U1977">
        <v>-2.1629330000000002</v>
      </c>
      <c r="V1977">
        <v>0.31652930000000001</v>
      </c>
      <c r="W1977">
        <v>0.17765639999999999</v>
      </c>
      <c r="X1977">
        <v>0.93179789999999996</v>
      </c>
      <c r="Y1977">
        <v>0.45905269999999998</v>
      </c>
      <c r="Z1977">
        <v>7.3377070000000003E-2</v>
      </c>
      <c r="AA1977">
        <v>0.88537359999999898</v>
      </c>
      <c r="AB1977">
        <v>24</v>
      </c>
      <c r="AC1977">
        <v>-11.021299999999901</v>
      </c>
      <c r="AD1977">
        <v>-1.104879688409</v>
      </c>
      <c r="AE1977">
        <v>-10.425299999999901</v>
      </c>
      <c r="AF1977">
        <v>7.0554575145580696</v>
      </c>
      <c r="AG1977">
        <v>-1.104879688409</v>
      </c>
      <c r="AH1977">
        <v>13.339948396836499</v>
      </c>
      <c r="AI1977">
        <v>94.187451180184695</v>
      </c>
      <c r="AJ1977">
        <v>62.125774892760802</v>
      </c>
      <c r="AK1977">
        <v>15.131241293953799</v>
      </c>
      <c r="AL1977">
        <v>79.766718196952297</v>
      </c>
      <c r="AM1977">
        <v>71.237510677535397</v>
      </c>
      <c r="AN1977">
        <v>0.99999996033192895</v>
      </c>
    </row>
    <row r="1978" spans="1:40" x14ac:dyDescent="0.25">
      <c r="A1978" t="str">
        <f>"20190312172122444"</f>
        <v>20190312172122444</v>
      </c>
      <c r="B1978" t="str">
        <f>"1552382482433313"</f>
        <v>1552382482433313</v>
      </c>
      <c r="C1978" t="s">
        <v>40</v>
      </c>
      <c r="D1978">
        <v>3.257412</v>
      </c>
      <c r="E1978">
        <v>0.56029059999999997</v>
      </c>
      <c r="F1978" t="s">
        <v>45</v>
      </c>
      <c r="G1978">
        <v>-199.74379999999999</v>
      </c>
      <c r="H1978" s="1">
        <v>1.317097E-6</v>
      </c>
      <c r="I1978">
        <v>292.24549999999999</v>
      </c>
      <c r="J1978">
        <v>-188.75649999999999</v>
      </c>
      <c r="K1978">
        <v>1.1049020000000001</v>
      </c>
      <c r="L1978">
        <v>302.49059999999997</v>
      </c>
      <c r="M1978">
        <v>-0.32925840000000001</v>
      </c>
      <c r="N1978">
        <v>0</v>
      </c>
      <c r="O1978">
        <v>-0.94413550000000002</v>
      </c>
      <c r="P1978">
        <v>-0.60264530000000005</v>
      </c>
      <c r="Q1978">
        <v>0.16815959999999999</v>
      </c>
      <c r="R1978">
        <v>-0.78009059999999997</v>
      </c>
      <c r="S1978">
        <v>-2.268494</v>
      </c>
      <c r="T1978">
        <v>-0.22621659999999999</v>
      </c>
      <c r="U1978">
        <v>-2.1469420000000001</v>
      </c>
      <c r="V1978">
        <v>0.31462679999999998</v>
      </c>
      <c r="W1978">
        <v>0.17695569999999999</v>
      </c>
      <c r="X1978">
        <v>0.9325753</v>
      </c>
      <c r="Y1978">
        <v>0.45738200000000001</v>
      </c>
      <c r="Z1978">
        <v>7.3989059999999995E-2</v>
      </c>
      <c r="AA1978">
        <v>0.88618699999999995</v>
      </c>
      <c r="AB1978">
        <v>24</v>
      </c>
      <c r="AC1978">
        <v>-10.987299999999999</v>
      </c>
      <c r="AD1978">
        <v>-1.1049006829029999</v>
      </c>
      <c r="AE1978">
        <v>-10.2450999999999</v>
      </c>
      <c r="AF1978">
        <v>6.9632377520225397</v>
      </c>
      <c r="AG1978">
        <v>-1.1049006829029999</v>
      </c>
      <c r="AH1978">
        <v>13.220219883362301</v>
      </c>
      <c r="AI1978">
        <v>94.229118269051199</v>
      </c>
      <c r="AJ1978">
        <v>62.2237217603668</v>
      </c>
      <c r="AK1978">
        <v>14.982713348213</v>
      </c>
      <c r="AL1978">
        <v>79.807512273788404</v>
      </c>
      <c r="AM1978">
        <v>71.356934767811694</v>
      </c>
      <c r="AN1978">
        <v>1.0000000166054099</v>
      </c>
    </row>
    <row r="1979" spans="1:40" x14ac:dyDescent="0.25">
      <c r="A1979" t="str">
        <f>"20190312172122467"</f>
        <v>20190312172122467</v>
      </c>
      <c r="B1979" t="str">
        <f>"1552382482462593"</f>
        <v>1552382482462593</v>
      </c>
      <c r="C1979" t="s">
        <v>40</v>
      </c>
      <c r="D1979">
        <v>3.2439979999999999</v>
      </c>
      <c r="E1979">
        <v>0.5600368</v>
      </c>
      <c r="F1979" t="s">
        <v>45</v>
      </c>
      <c r="G1979">
        <v>-199.7184</v>
      </c>
      <c r="H1979" s="1">
        <v>1.3156890000000001E-6</v>
      </c>
      <c r="I1979">
        <v>292.2663</v>
      </c>
      <c r="J1979">
        <v>-188.85210000000001</v>
      </c>
      <c r="K1979">
        <v>1.1049279999999999</v>
      </c>
      <c r="L1979">
        <v>302.24759999999998</v>
      </c>
      <c r="M1979">
        <v>-0.33770919999999999</v>
      </c>
      <c r="N1979">
        <v>0</v>
      </c>
      <c r="O1979">
        <v>-0.94114580000000003</v>
      </c>
      <c r="P1979">
        <v>-0.60785389999999995</v>
      </c>
      <c r="Q1979">
        <v>0.1673269</v>
      </c>
      <c r="R1979">
        <v>-0.77621879999999999</v>
      </c>
      <c r="S1979">
        <v>-2.284348</v>
      </c>
      <c r="T1979">
        <v>-0.23025029999999999</v>
      </c>
      <c r="U1979">
        <v>-2.130646</v>
      </c>
      <c r="V1979">
        <v>0.3124229</v>
      </c>
      <c r="W1979">
        <v>0.1761809</v>
      </c>
      <c r="X1979">
        <v>0.93346249999999997</v>
      </c>
      <c r="Y1979">
        <v>0.45579380000000003</v>
      </c>
      <c r="Z1979">
        <v>7.5200550000000005E-2</v>
      </c>
      <c r="AA1979">
        <v>0.886903</v>
      </c>
      <c r="AB1979">
        <v>24</v>
      </c>
      <c r="AC1979">
        <v>-10.866299999999899</v>
      </c>
      <c r="AD1979">
        <v>-1.1049266843109999</v>
      </c>
      <c r="AE1979">
        <v>-9.9812999999999708</v>
      </c>
      <c r="AF1979">
        <v>6.8184341306460103</v>
      </c>
      <c r="AG1979">
        <v>-1.1049266843109999</v>
      </c>
      <c r="AH1979">
        <v>12.9919375951426</v>
      </c>
      <c r="AI1979">
        <v>94.306592708298894</v>
      </c>
      <c r="AJ1979">
        <v>62.308593826849702</v>
      </c>
      <c r="AK1979">
        <v>14.714018806829801</v>
      </c>
      <c r="AL1979">
        <v>79.852613575860502</v>
      </c>
      <c r="AM1979">
        <v>71.494992593587796</v>
      </c>
      <c r="AN1979">
        <v>1.0000000084377301</v>
      </c>
    </row>
    <row r="1980" spans="1:40" x14ac:dyDescent="0.25">
      <c r="A1980" t="str">
        <f>"20190312172122486"</f>
        <v>20190312172122486</v>
      </c>
      <c r="B1980" t="str">
        <f>"1552382482483089"</f>
        <v>1552382482483089</v>
      </c>
      <c r="C1980" t="s">
        <v>40</v>
      </c>
      <c r="D1980">
        <v>3.2785310000000001</v>
      </c>
      <c r="E1980">
        <v>0.55987069999999906</v>
      </c>
      <c r="F1980" t="s">
        <v>45</v>
      </c>
      <c r="G1980">
        <v>-199.54390000000001</v>
      </c>
      <c r="H1980" s="1">
        <v>1.308093E-6</v>
      </c>
      <c r="I1980">
        <v>292.3972</v>
      </c>
      <c r="J1980">
        <v>-188.9324</v>
      </c>
      <c r="K1980">
        <v>1.104948</v>
      </c>
      <c r="L1980">
        <v>302.04809999999998</v>
      </c>
      <c r="M1980">
        <v>-0.34464539999999999</v>
      </c>
      <c r="N1980">
        <v>0</v>
      </c>
      <c r="O1980">
        <v>-0.93862809999999997</v>
      </c>
      <c r="P1980">
        <v>-0.61144709999999902</v>
      </c>
      <c r="Q1980">
        <v>0.16814749999999901</v>
      </c>
      <c r="R1980">
        <v>-0.7732137</v>
      </c>
      <c r="S1980">
        <v>-2.2976230000000002</v>
      </c>
      <c r="T1980">
        <v>-0.23744370000000001</v>
      </c>
      <c r="U1980">
        <v>-2.1167910000000001</v>
      </c>
      <c r="V1980">
        <v>0.30992170000000002</v>
      </c>
      <c r="W1980">
        <v>0.1770562</v>
      </c>
      <c r="X1980">
        <v>0.93413040000000003</v>
      </c>
      <c r="Y1980">
        <v>0.45454369999999999</v>
      </c>
      <c r="Z1980">
        <v>7.744761E-2</v>
      </c>
      <c r="AA1980">
        <v>0.88735109999999995</v>
      </c>
      <c r="AB1980">
        <v>24</v>
      </c>
      <c r="AC1980">
        <v>-10.611499999999999</v>
      </c>
      <c r="AD1980">
        <v>-1.1049466919069999</v>
      </c>
      <c r="AE1980">
        <v>-9.6508999999999805</v>
      </c>
      <c r="AF1980">
        <v>6.5956276056087804</v>
      </c>
      <c r="AG1980">
        <v>-1.1049466919069999</v>
      </c>
      <c r="AH1980">
        <v>12.642042930938199</v>
      </c>
      <c r="AI1980">
        <v>94.431013674367406</v>
      </c>
      <c r="AJ1980">
        <v>62.447975298156003</v>
      </c>
      <c r="AK1980">
        <v>14.3019040750352</v>
      </c>
      <c r="AL1980">
        <v>79.801661300174203</v>
      </c>
      <c r="AM1980">
        <v>71.645413631089596</v>
      </c>
      <c r="AN1980">
        <v>0.99999998114674404</v>
      </c>
    </row>
    <row r="1981" spans="1:40" x14ac:dyDescent="0.25">
      <c r="A1981" t="str">
        <f>"20190312172122509"</f>
        <v>20190312172122509</v>
      </c>
      <c r="B1981" t="str">
        <f>"1552382482502610"</f>
        <v>1552382482502610</v>
      </c>
      <c r="C1981" t="s">
        <v>40</v>
      </c>
      <c r="D1981">
        <v>3.2582460000000002</v>
      </c>
      <c r="E1981">
        <v>0.559809</v>
      </c>
      <c r="F1981" t="s">
        <v>45</v>
      </c>
      <c r="G1981">
        <v>-199.67179999999999</v>
      </c>
      <c r="H1981" s="1">
        <v>1.3242129999999999E-6</v>
      </c>
      <c r="I1981">
        <v>292.24130000000002</v>
      </c>
      <c r="J1981">
        <v>-189.03020000000001</v>
      </c>
      <c r="K1981">
        <v>1.1049690000000001</v>
      </c>
      <c r="L1981">
        <v>301.8109</v>
      </c>
      <c r="M1981">
        <v>-0.3528905</v>
      </c>
      <c r="N1981">
        <v>0</v>
      </c>
      <c r="O1981">
        <v>-0.93555920000000004</v>
      </c>
      <c r="P1981">
        <v>-0.61610240000000005</v>
      </c>
      <c r="Q1981">
        <v>0.169073</v>
      </c>
      <c r="R1981">
        <v>-0.7693065</v>
      </c>
      <c r="S1981">
        <v>-2.3073429999999999</v>
      </c>
      <c r="T1981">
        <v>-0.23739550000000001</v>
      </c>
      <c r="U1981">
        <v>-2.1069640000000001</v>
      </c>
      <c r="V1981">
        <v>0.3074093</v>
      </c>
      <c r="W1981">
        <v>0.1780379</v>
      </c>
      <c r="X1981">
        <v>0.93477379999999999</v>
      </c>
      <c r="Y1981">
        <v>0.4506387</v>
      </c>
      <c r="Z1981">
        <v>7.7275629999999998E-2</v>
      </c>
      <c r="AA1981">
        <v>0.88935549999999997</v>
      </c>
      <c r="AB1981">
        <v>24</v>
      </c>
      <c r="AC1981">
        <v>-10.641599999999899</v>
      </c>
      <c r="AD1981">
        <v>-1.1049676757869999</v>
      </c>
      <c r="AE1981">
        <v>-9.5695999999999799</v>
      </c>
      <c r="AF1981">
        <v>6.5404865219357404</v>
      </c>
      <c r="AG1981">
        <v>-1.1049676757869999</v>
      </c>
      <c r="AH1981">
        <v>12.634187191506699</v>
      </c>
      <c r="AI1981">
        <v>94.441148094611705</v>
      </c>
      <c r="AJ1981">
        <v>62.630227757928601</v>
      </c>
      <c r="AK1981">
        <v>14.269604181552801</v>
      </c>
      <c r="AL1981">
        <v>79.744506308039206</v>
      </c>
      <c r="AM1981">
        <v>71.796055494152299</v>
      </c>
      <c r="AN1981">
        <v>1.0000000143646699</v>
      </c>
    </row>
    <row r="1982" spans="1:40" x14ac:dyDescent="0.25">
      <c r="A1982" t="str">
        <f>"20190312172122531"</f>
        <v>20190312172122531</v>
      </c>
      <c r="B1982" t="str">
        <f>"1552382482522803"</f>
        <v>1552382482522803</v>
      </c>
      <c r="C1982" t="s">
        <v>40</v>
      </c>
      <c r="D1982">
        <v>3.2689750000000002</v>
      </c>
      <c r="E1982">
        <v>0.55925259999999999</v>
      </c>
      <c r="F1982" t="s">
        <v>45</v>
      </c>
      <c r="G1982">
        <v>-199.94560000000001</v>
      </c>
      <c r="H1982" s="1">
        <v>1.3482789999999999E-6</v>
      </c>
      <c r="I1982">
        <v>291.96679999999998</v>
      </c>
      <c r="J1982">
        <v>-189.1258</v>
      </c>
      <c r="K1982">
        <v>1.1049929999999999</v>
      </c>
      <c r="L1982">
        <v>301.58440000000002</v>
      </c>
      <c r="M1982">
        <v>-0.36076190000000002</v>
      </c>
      <c r="N1982">
        <v>0</v>
      </c>
      <c r="O1982">
        <v>-0.93255239999999995</v>
      </c>
      <c r="P1982">
        <v>-0.62197290000000005</v>
      </c>
      <c r="Q1982">
        <v>0.16988210000000001</v>
      </c>
      <c r="R1982">
        <v>-0.76438909999999904</v>
      </c>
      <c r="S1982">
        <v>-2.3205260000000001</v>
      </c>
      <c r="T1982">
        <v>-0.2349078</v>
      </c>
      <c r="U1982">
        <v>-2.0927730000000002</v>
      </c>
      <c r="V1982">
        <v>0.3067531</v>
      </c>
      <c r="W1982">
        <v>0.17886930000000001</v>
      </c>
      <c r="X1982">
        <v>0.93483059999999996</v>
      </c>
      <c r="Y1982">
        <v>0.44868619999999998</v>
      </c>
      <c r="Z1982">
        <v>7.6348979999999997E-2</v>
      </c>
      <c r="AA1982">
        <v>0.89042209999999999</v>
      </c>
      <c r="AB1982">
        <v>24</v>
      </c>
      <c r="AC1982">
        <v>-10.819800000000001</v>
      </c>
      <c r="AD1982">
        <v>-1.1049916517209999</v>
      </c>
      <c r="AE1982">
        <v>-9.6176000000000297</v>
      </c>
      <c r="AF1982">
        <v>6.5826656773676202</v>
      </c>
      <c r="AG1982">
        <v>-1.1049916517209999</v>
      </c>
      <c r="AH1982">
        <v>12.7989835032618</v>
      </c>
      <c r="AI1982">
        <v>94.390285641929907</v>
      </c>
      <c r="AJ1982">
        <v>62.782715560820201</v>
      </c>
      <c r="AK1982">
        <v>14.434904664982501</v>
      </c>
      <c r="AL1982">
        <v>79.696093035319095</v>
      </c>
      <c r="AM1982">
        <v>71.833390030091905</v>
      </c>
      <c r="AN1982">
        <v>0.99999997076922897</v>
      </c>
    </row>
    <row r="1983" spans="1:40" x14ac:dyDescent="0.25">
      <c r="A1983" t="str">
        <f>"20190312172122554"</f>
        <v>20190312172122554</v>
      </c>
      <c r="B1983" t="str">
        <f>"1552382482543301"</f>
        <v>1552382482543301</v>
      </c>
      <c r="C1983" t="s">
        <v>40</v>
      </c>
      <c r="D1983">
        <v>3.2876910000000001</v>
      </c>
      <c r="E1983">
        <v>0.55871369999999998</v>
      </c>
      <c r="F1983" t="s">
        <v>45</v>
      </c>
      <c r="G1983">
        <v>-199.06630000000001</v>
      </c>
      <c r="H1983" s="1">
        <v>1.2908270000000001E-6</v>
      </c>
      <c r="I1983">
        <v>292.73579999999998</v>
      </c>
      <c r="J1983">
        <v>-189.22290000000001</v>
      </c>
      <c r="K1983">
        <v>1.1050199999999999</v>
      </c>
      <c r="L1983">
        <v>301.35980000000001</v>
      </c>
      <c r="M1983">
        <v>-0.36855860000000001</v>
      </c>
      <c r="N1983">
        <v>0</v>
      </c>
      <c r="O1983">
        <v>-0.92949870000000001</v>
      </c>
      <c r="P1983">
        <v>-0.62790690000000005</v>
      </c>
      <c r="Q1983">
        <v>0.1703556</v>
      </c>
      <c r="R1983">
        <v>-0.75941569999999903</v>
      </c>
      <c r="S1983">
        <v>-2.3373409999999999</v>
      </c>
      <c r="T1983">
        <v>-0.25982139999999998</v>
      </c>
      <c r="U1983">
        <v>-2.080597</v>
      </c>
      <c r="V1983">
        <v>0.30624010000000002</v>
      </c>
      <c r="W1983">
        <v>0.17936369999999999</v>
      </c>
      <c r="X1983">
        <v>0.93490410000000002</v>
      </c>
      <c r="Y1983">
        <v>0.44649</v>
      </c>
      <c r="Z1983">
        <v>8.4143679999999998E-2</v>
      </c>
      <c r="AA1983">
        <v>0.89082349999999999</v>
      </c>
      <c r="AB1983">
        <v>24</v>
      </c>
      <c r="AC1983">
        <v>-9.8434000000000008</v>
      </c>
      <c r="AD1983">
        <v>-1.1050187091729999</v>
      </c>
      <c r="AE1983">
        <v>-8.6240000000000201</v>
      </c>
      <c r="AF1983">
        <v>5.9292917546435202</v>
      </c>
      <c r="AG1983">
        <v>-1.1050187091729999</v>
      </c>
      <c r="AH1983">
        <v>11.562574860576399</v>
      </c>
      <c r="AI1983">
        <v>94.860697229890505</v>
      </c>
      <c r="AJ1983">
        <v>62.851235674556797</v>
      </c>
      <c r="AK1983">
        <v>13.0411159210298</v>
      </c>
      <c r="AL1983">
        <v>79.667300729533906</v>
      </c>
      <c r="AM1983">
        <v>71.863112655552598</v>
      </c>
      <c r="AN1983">
        <v>1.0000000059612499</v>
      </c>
    </row>
    <row r="1984" spans="1:40" x14ac:dyDescent="0.25">
      <c r="A1984" t="str">
        <f>"20190312172122575"</f>
        <v>20190312172122575</v>
      </c>
      <c r="B1984" t="str">
        <f>"1552382482572578"</f>
        <v>1552382482572578</v>
      </c>
      <c r="C1984" t="s">
        <v>40</v>
      </c>
      <c r="D1984">
        <v>3.2894260000000002</v>
      </c>
      <c r="E1984">
        <v>0.5582376</v>
      </c>
      <c r="F1984" t="s">
        <v>45</v>
      </c>
      <c r="G1984">
        <v>-199.2732</v>
      </c>
      <c r="H1984" s="1">
        <v>1.307463E-6</v>
      </c>
      <c r="I1984">
        <v>292.53719999999998</v>
      </c>
      <c r="J1984">
        <v>-189.3186</v>
      </c>
      <c r="K1984">
        <v>1.105048</v>
      </c>
      <c r="L1984">
        <v>301.14299999999997</v>
      </c>
      <c r="M1984">
        <v>-0.37606909999999999</v>
      </c>
      <c r="N1984">
        <v>0</v>
      </c>
      <c r="O1984">
        <v>-0.92648520000000001</v>
      </c>
      <c r="P1984">
        <v>-0.63387099999999996</v>
      </c>
      <c r="Q1984">
        <v>0.17047200000000001</v>
      </c>
      <c r="R1984">
        <v>-0.75441859999999905</v>
      </c>
      <c r="S1984">
        <v>-2.35141</v>
      </c>
      <c r="T1984">
        <v>-0.25853419999999999</v>
      </c>
      <c r="U1984">
        <v>-2.0641780000000001</v>
      </c>
      <c r="V1984">
        <v>0.30603950000000002</v>
      </c>
      <c r="W1984">
        <v>0.1795002</v>
      </c>
      <c r="X1984">
        <v>0.93494359999999999</v>
      </c>
      <c r="Y1984">
        <v>0.44544139999999999</v>
      </c>
      <c r="Z1984">
        <v>8.3617659999999996E-2</v>
      </c>
      <c r="AA1984">
        <v>0.89139780000000002</v>
      </c>
      <c r="AB1984">
        <v>24</v>
      </c>
      <c r="AC1984">
        <v>-9.9545999999999992</v>
      </c>
      <c r="AD1984">
        <v>-1.1050466925369999</v>
      </c>
      <c r="AE1984">
        <v>-8.6057999999999808</v>
      </c>
      <c r="AF1984">
        <v>5.9450781653796598</v>
      </c>
      <c r="AG1984">
        <v>-1.1050466925369999</v>
      </c>
      <c r="AH1984">
        <v>11.635860019932601</v>
      </c>
      <c r="AI1984">
        <v>94.834004124033797</v>
      </c>
      <c r="AJ1984">
        <v>62.936272090857898</v>
      </c>
      <c r="AK1984">
        <v>13.1132879549191</v>
      </c>
      <c r="AL1984">
        <v>79.659350939692104</v>
      </c>
      <c r="AM1984">
        <v>71.874931605209397</v>
      </c>
      <c r="AN1984">
        <v>1.00000001627062</v>
      </c>
    </row>
    <row r="1985" spans="1:40" x14ac:dyDescent="0.25">
      <c r="A1985" t="str">
        <f>"20190312172122597"</f>
        <v>20190312172122597</v>
      </c>
      <c r="B1985" t="str">
        <f>"1552382482593073"</f>
        <v>1552382482593073</v>
      </c>
      <c r="C1985" t="s">
        <v>40</v>
      </c>
      <c r="D1985">
        <v>3.2974909999999999</v>
      </c>
      <c r="E1985">
        <v>0.5580233</v>
      </c>
      <c r="F1985" t="s">
        <v>45</v>
      </c>
      <c r="G1985">
        <v>-199.3569</v>
      </c>
      <c r="H1985" s="1">
        <v>1.3158660000000001E-6</v>
      </c>
      <c r="I1985">
        <v>292.44729999999998</v>
      </c>
      <c r="J1985">
        <v>-189.42009999999999</v>
      </c>
      <c r="K1985">
        <v>1.105092</v>
      </c>
      <c r="L1985">
        <v>300.91820000000001</v>
      </c>
      <c r="M1985">
        <v>-0.38382959999999999</v>
      </c>
      <c r="N1985">
        <v>0</v>
      </c>
      <c r="O1985">
        <v>-0.92329729999999999</v>
      </c>
      <c r="P1985">
        <v>-0.63981319999999997</v>
      </c>
      <c r="Q1985">
        <v>0.17048260000000001</v>
      </c>
      <c r="R1985">
        <v>-0.74938319999999903</v>
      </c>
      <c r="S1985">
        <v>-2.3647610000000001</v>
      </c>
      <c r="T1985">
        <v>-0.26031929999999998</v>
      </c>
      <c r="U1985">
        <v>-2.048492</v>
      </c>
      <c r="V1985">
        <v>0.30556719999999998</v>
      </c>
      <c r="W1985">
        <v>0.17954249999999999</v>
      </c>
      <c r="X1985">
        <v>0.93508990000000003</v>
      </c>
      <c r="Y1985">
        <v>0.44377070000000002</v>
      </c>
      <c r="Z1985">
        <v>8.4054799999999999E-2</v>
      </c>
      <c r="AA1985">
        <v>0.89218960000000003</v>
      </c>
      <c r="AB1985">
        <v>24</v>
      </c>
      <c r="AC1985">
        <v>-9.9367999999999999</v>
      </c>
      <c r="AD1985">
        <v>-1.105090684134</v>
      </c>
      <c r="AE1985">
        <v>-8.4709000000000199</v>
      </c>
      <c r="AF1985">
        <v>5.8816925439400203</v>
      </c>
      <c r="AG1985">
        <v>-1.105090684134</v>
      </c>
      <c r="AH1985">
        <v>11.5535871796853</v>
      </c>
      <c r="AI1985">
        <v>94.872079996047006</v>
      </c>
      <c r="AJ1985">
        <v>63.0202956779479</v>
      </c>
      <c r="AK1985">
        <v>13.011568288265201</v>
      </c>
      <c r="AL1985">
        <v>79.656886841836894</v>
      </c>
      <c r="AM1985">
        <v>71.903725220681096</v>
      </c>
      <c r="AN1985">
        <v>0.99999997205204905</v>
      </c>
    </row>
    <row r="1986" spans="1:40" x14ac:dyDescent="0.25">
      <c r="A1986" t="str">
        <f>"20190312172122620"</f>
        <v>20190312172122620</v>
      </c>
      <c r="B1986" t="str">
        <f>"1552382482612594"</f>
        <v>1552382482612594</v>
      </c>
      <c r="C1986" t="s">
        <v>40</v>
      </c>
      <c r="D1986">
        <v>3.2989449999999998</v>
      </c>
      <c r="E1986">
        <v>0.55775779999999997</v>
      </c>
      <c r="F1986" t="s">
        <v>45</v>
      </c>
      <c r="G1986">
        <v>-199.47569999999999</v>
      </c>
      <c r="H1986" s="1">
        <v>1.3241120000000001E-6</v>
      </c>
      <c r="I1986">
        <v>292.34059999999999</v>
      </c>
      <c r="J1986">
        <v>-189.5248</v>
      </c>
      <c r="K1986">
        <v>1.1051530000000001</v>
      </c>
      <c r="L1986">
        <v>300.69139999999999</v>
      </c>
      <c r="M1986">
        <v>-0.39160820000000002</v>
      </c>
      <c r="N1986">
        <v>0</v>
      </c>
      <c r="O1986">
        <v>-0.92002510000000004</v>
      </c>
      <c r="P1986">
        <v>-0.64567790000000003</v>
      </c>
      <c r="Q1986">
        <v>0.17086409999999999</v>
      </c>
      <c r="R1986">
        <v>-0.74424840000000003</v>
      </c>
      <c r="S1986">
        <v>-2.380325</v>
      </c>
      <c r="T1986">
        <v>-0.26159320000000003</v>
      </c>
      <c r="U1986">
        <v>-2.0304570000000002</v>
      </c>
      <c r="V1986">
        <v>0.30503279999999999</v>
      </c>
      <c r="W1986">
        <v>0.1799655</v>
      </c>
      <c r="X1986">
        <v>0.93518310000000004</v>
      </c>
      <c r="Y1986">
        <v>0.44298579999999999</v>
      </c>
      <c r="Z1986">
        <v>8.4327589999999994E-2</v>
      </c>
      <c r="AA1986">
        <v>0.89255390000000001</v>
      </c>
      <c r="AB1986">
        <v>24</v>
      </c>
      <c r="AC1986">
        <v>-9.9508999999999901</v>
      </c>
      <c r="AD1986">
        <v>-1.105151675888</v>
      </c>
      <c r="AE1986">
        <v>-8.3507999999999907</v>
      </c>
      <c r="AF1986">
        <v>5.8431260966553999</v>
      </c>
      <c r="AG1986">
        <v>-1.105151675888</v>
      </c>
      <c r="AH1986">
        <v>11.497725570955399</v>
      </c>
      <c r="AI1986">
        <v>94.897639705653901</v>
      </c>
      <c r="AJ1986">
        <v>63.060394078938103</v>
      </c>
      <c r="AK1986">
        <v>12.944542329226399</v>
      </c>
      <c r="AL1986">
        <v>79.632249823825404</v>
      </c>
      <c r="AM1986">
        <v>71.934998831174596</v>
      </c>
      <c r="AN1986">
        <v>1.00000001039585</v>
      </c>
    </row>
    <row r="1987" spans="1:40" x14ac:dyDescent="0.25">
      <c r="A1987" t="str">
        <f>"20190312172122645"</f>
        <v>20190312172122645</v>
      </c>
      <c r="B1987" t="str">
        <f>"1552382482632620"</f>
        <v>1552382482632620</v>
      </c>
      <c r="C1987" t="s">
        <v>40</v>
      </c>
      <c r="D1987">
        <v>3.2783880000000001</v>
      </c>
      <c r="E1987">
        <v>0.55764630000000004</v>
      </c>
      <c r="F1987" t="s">
        <v>45</v>
      </c>
      <c r="G1987">
        <v>-199.65209999999999</v>
      </c>
      <c r="H1987" s="1">
        <v>1.3375169999999999E-6</v>
      </c>
      <c r="I1987">
        <v>292.17570000000001</v>
      </c>
      <c r="J1987">
        <v>-189.6353</v>
      </c>
      <c r="K1987">
        <v>1.105224</v>
      </c>
      <c r="L1987">
        <v>300.45729999999998</v>
      </c>
      <c r="M1987">
        <v>-0.39954580000000001</v>
      </c>
      <c r="N1987">
        <v>0</v>
      </c>
      <c r="O1987">
        <v>-0.91660609999999998</v>
      </c>
      <c r="P1987">
        <v>-0.65154799999999902</v>
      </c>
      <c r="Q1987">
        <v>0.17145439999999901</v>
      </c>
      <c r="R1987">
        <v>-0.73897829999999998</v>
      </c>
      <c r="S1987">
        <v>-2.3945470000000002</v>
      </c>
      <c r="T1987">
        <v>-0.2613066</v>
      </c>
      <c r="U1987">
        <v>-2.0134889999999999</v>
      </c>
      <c r="V1987">
        <v>0.3043785</v>
      </c>
      <c r="W1987">
        <v>0.1806123</v>
      </c>
      <c r="X1987">
        <v>0.93527159999999998</v>
      </c>
      <c r="Y1987">
        <v>0.44157220000000003</v>
      </c>
      <c r="Z1987">
        <v>8.4082030000000002E-2</v>
      </c>
      <c r="AA1987">
        <v>0.89327719999999899</v>
      </c>
      <c r="AB1987">
        <v>24</v>
      </c>
      <c r="AC1987">
        <v>-10.0167999999999</v>
      </c>
      <c r="AD1987">
        <v>-1.1052226624829999</v>
      </c>
      <c r="AE1987">
        <v>-8.2815999999999601</v>
      </c>
      <c r="AF1987">
        <v>5.8309927225083804</v>
      </c>
      <c r="AG1987">
        <v>-1.1052226624829999</v>
      </c>
      <c r="AH1987">
        <v>11.5110345584885</v>
      </c>
      <c r="AI1987">
        <v>94.895543308408605</v>
      </c>
      <c r="AJ1987">
        <v>63.135196586830098</v>
      </c>
      <c r="AK1987">
        <v>12.950903824456701</v>
      </c>
      <c r="AL1987">
        <v>79.594573639150298</v>
      </c>
      <c r="AM1987">
        <v>71.972834092032301</v>
      </c>
      <c r="AN1987">
        <v>1.0000000199700401</v>
      </c>
    </row>
    <row r="1988" spans="1:40" x14ac:dyDescent="0.25">
      <c r="A1988" t="str">
        <f>"20190312172122667"</f>
        <v>20190312172122667</v>
      </c>
      <c r="B1988" t="str">
        <f>"1552382482662876"</f>
        <v>1552382482662876</v>
      </c>
      <c r="C1988" t="s">
        <v>40</v>
      </c>
      <c r="D1988">
        <v>3.2812049999999999</v>
      </c>
      <c r="E1988">
        <v>0.55475319999999995</v>
      </c>
      <c r="F1988" t="s">
        <v>45</v>
      </c>
      <c r="G1988">
        <v>-199.87299999999999</v>
      </c>
      <c r="H1988" s="1">
        <v>1.352495E-6</v>
      </c>
      <c r="I1988">
        <v>291.9794</v>
      </c>
      <c r="J1988">
        <v>-189.74629999999999</v>
      </c>
      <c r="K1988">
        <v>1.1053109999999999</v>
      </c>
      <c r="L1988">
        <v>300.22710000000001</v>
      </c>
      <c r="M1988">
        <v>-0.40727540000000001</v>
      </c>
      <c r="N1988">
        <v>0</v>
      </c>
      <c r="O1988">
        <v>-0.91319830000000002</v>
      </c>
      <c r="P1988">
        <v>-0.65734550000000003</v>
      </c>
      <c r="Q1988">
        <v>0.1716781</v>
      </c>
      <c r="R1988">
        <v>-0.73377380000000003</v>
      </c>
      <c r="S1988">
        <v>-2.4096829999999998</v>
      </c>
      <c r="T1988">
        <v>-0.26013979999999998</v>
      </c>
      <c r="U1988">
        <v>-1.9954829999999999</v>
      </c>
      <c r="V1988">
        <v>0.30382670000000001</v>
      </c>
      <c r="W1988">
        <v>0.18089469999999999</v>
      </c>
      <c r="X1988">
        <v>0.93539640000000002</v>
      </c>
      <c r="Y1988">
        <v>0.44074720000000001</v>
      </c>
      <c r="Z1988">
        <v>8.3557950000000006E-2</v>
      </c>
      <c r="AA1988">
        <v>0.89373369999999996</v>
      </c>
      <c r="AB1988">
        <v>24</v>
      </c>
      <c r="AC1988">
        <v>-10.1267</v>
      </c>
      <c r="AD1988">
        <v>-1.1053096475049999</v>
      </c>
      <c r="AE1988">
        <v>-8.2477</v>
      </c>
      <c r="AF1988">
        <v>5.8472957513633803</v>
      </c>
      <c r="AG1988">
        <v>-1.1053096475049999</v>
      </c>
      <c r="AH1988">
        <v>11.574382233587</v>
      </c>
      <c r="AI1988">
        <v>94.871922929961002</v>
      </c>
      <c r="AJ1988">
        <v>63.197418473269103</v>
      </c>
      <c r="AK1988">
        <v>13.014564960456999</v>
      </c>
      <c r="AL1988">
        <v>79.5781220232073</v>
      </c>
      <c r="AM1988">
        <v>72.005652152925194</v>
      </c>
      <c r="AN1988">
        <v>0.99999999062696998</v>
      </c>
    </row>
    <row r="1989" spans="1:40" x14ac:dyDescent="0.25">
      <c r="A1989" t="str">
        <f>"20190312172122688"</f>
        <v>20190312172122688</v>
      </c>
      <c r="B1989" t="str">
        <f>"1552382482682396"</f>
        <v>1552382482682396</v>
      </c>
      <c r="C1989" t="s">
        <v>40</v>
      </c>
      <c r="D1989">
        <v>3.2729699999999999</v>
      </c>
      <c r="E1989">
        <v>0.55445710000000004</v>
      </c>
      <c r="F1989" t="s">
        <v>45</v>
      </c>
      <c r="G1989">
        <v>-198.54349999999999</v>
      </c>
      <c r="H1989" s="1">
        <v>1.298588E-6</v>
      </c>
      <c r="I1989">
        <v>292.95499999999998</v>
      </c>
      <c r="J1989">
        <v>-189.84379999999999</v>
      </c>
      <c r="K1989">
        <v>1.105391</v>
      </c>
      <c r="L1989">
        <v>300.02839999999998</v>
      </c>
      <c r="M1989">
        <v>-0.41385169999999999</v>
      </c>
      <c r="N1989">
        <v>0</v>
      </c>
      <c r="O1989">
        <v>-0.91023679999999996</v>
      </c>
      <c r="P1989">
        <v>-0.66296250000000001</v>
      </c>
      <c r="Q1989">
        <v>0.171741899999999</v>
      </c>
      <c r="R1989">
        <v>-0.72868769999999905</v>
      </c>
      <c r="S1989">
        <v>-2.4148100000000001</v>
      </c>
      <c r="T1989">
        <v>-0.30340430000000002</v>
      </c>
      <c r="U1989">
        <v>-1.9961549999999999</v>
      </c>
      <c r="V1989">
        <v>0.30423749999999999</v>
      </c>
      <c r="W1989">
        <v>0.1809992</v>
      </c>
      <c r="X1989">
        <v>0.93524269999999998</v>
      </c>
      <c r="Y1989">
        <v>0.43404949999999998</v>
      </c>
      <c r="Z1989">
        <v>9.6923309999999999E-2</v>
      </c>
      <c r="AA1989">
        <v>0.89566000000000001</v>
      </c>
      <c r="AB1989">
        <v>24</v>
      </c>
      <c r="AC1989">
        <v>-8.6997</v>
      </c>
      <c r="AD1989">
        <v>-1.105389701412</v>
      </c>
      <c r="AE1989">
        <v>-7.0733999999999897</v>
      </c>
      <c r="AF1989">
        <v>4.9438860340064403</v>
      </c>
      <c r="AG1989">
        <v>-1.105389701412</v>
      </c>
      <c r="AH1989">
        <v>9.9431965266732902</v>
      </c>
      <c r="AI1989">
        <v>95.684758176171897</v>
      </c>
      <c r="AJ1989">
        <v>63.562840349144999</v>
      </c>
      <c r="AK1989">
        <v>11.1593482191962</v>
      </c>
      <c r="AL1989">
        <v>79.572034613039904</v>
      </c>
      <c r="AM1989">
        <v>71.980124189172898</v>
      </c>
      <c r="AN1989">
        <v>1.0000000373550799</v>
      </c>
    </row>
    <row r="1990" spans="1:40" x14ac:dyDescent="0.25">
      <c r="A1990" t="str">
        <f>"20190312172122710"</f>
        <v>20190312172122710</v>
      </c>
      <c r="B1990" t="str">
        <f>"1552382482702892"</f>
        <v>1552382482702892</v>
      </c>
      <c r="C1990" t="s">
        <v>40</v>
      </c>
      <c r="D1990">
        <v>3.2350750000000001</v>
      </c>
      <c r="E1990">
        <v>0.55423840000000002</v>
      </c>
      <c r="F1990" t="s">
        <v>45</v>
      </c>
      <c r="G1990">
        <v>-198.60310000000001</v>
      </c>
      <c r="H1990" s="1">
        <v>1.304515E-6</v>
      </c>
      <c r="I1990">
        <v>292.8913</v>
      </c>
      <c r="J1990">
        <v>-189.9538</v>
      </c>
      <c r="K1990">
        <v>1.105504</v>
      </c>
      <c r="L1990">
        <v>299.80829999999997</v>
      </c>
      <c r="M1990">
        <v>-0.42101129999999998</v>
      </c>
      <c r="N1990">
        <v>0</v>
      </c>
      <c r="O1990">
        <v>-0.90694770000000002</v>
      </c>
      <c r="P1990">
        <v>-0.66881480000000004</v>
      </c>
      <c r="Q1990">
        <v>0.17199210000000001</v>
      </c>
      <c r="R1990">
        <v>-0.72326049999999997</v>
      </c>
      <c r="S1990">
        <v>-2.4290919999999998</v>
      </c>
      <c r="T1990">
        <v>-0.3065408</v>
      </c>
      <c r="U1990">
        <v>-1.9792179999999999</v>
      </c>
      <c r="V1990">
        <v>0.30438860000000001</v>
      </c>
      <c r="W1990">
        <v>0.1813111</v>
      </c>
      <c r="X1990">
        <v>0.93513310000000005</v>
      </c>
      <c r="Y1990">
        <v>0.43322050000000001</v>
      </c>
      <c r="Z1990">
        <v>9.7728919999999997E-2</v>
      </c>
      <c r="AA1990">
        <v>0.89597380000000004</v>
      </c>
      <c r="AB1990">
        <v>24</v>
      </c>
      <c r="AC1990">
        <v>-8.6493000000000002</v>
      </c>
      <c r="AD1990">
        <v>-1.105502695485</v>
      </c>
      <c r="AE1990">
        <v>-6.9169999999999696</v>
      </c>
      <c r="AF1990">
        <v>4.8841438571213001</v>
      </c>
      <c r="AG1990">
        <v>-1.105502695485</v>
      </c>
      <c r="AH1990">
        <v>9.8179528697439995</v>
      </c>
      <c r="AI1990">
        <v>95.756789129194502</v>
      </c>
      <c r="AJ1990">
        <v>63.5510007867002</v>
      </c>
      <c r="AK1990">
        <v>11.021306455193701</v>
      </c>
      <c r="AL1990">
        <v>79.553863275788899</v>
      </c>
      <c r="AM1990">
        <v>71.969777378203503</v>
      </c>
      <c r="AN1990">
        <v>1.0000000247543801</v>
      </c>
    </row>
    <row r="1991" spans="1:40" x14ac:dyDescent="0.25">
      <c r="A1991" t="str">
        <f>"20190312172122733"</f>
        <v>20190312172122733</v>
      </c>
      <c r="B1991" t="str">
        <f>"1552382482722425"</f>
        <v>1552382482722425</v>
      </c>
      <c r="C1991" t="s">
        <v>40</v>
      </c>
      <c r="D1991">
        <v>3.2758400000000001</v>
      </c>
      <c r="E1991">
        <v>0.55405509999999902</v>
      </c>
      <c r="F1991" t="s">
        <v>45</v>
      </c>
      <c r="G1991">
        <v>-198.7433</v>
      </c>
      <c r="H1991" s="1">
        <v>1.315473E-6</v>
      </c>
      <c r="I1991">
        <v>292.75850000000003</v>
      </c>
      <c r="J1991">
        <v>-190.0652</v>
      </c>
      <c r="K1991">
        <v>1.1056330000000001</v>
      </c>
      <c r="L1991">
        <v>299.58929999999998</v>
      </c>
      <c r="M1991">
        <v>-0.42796980000000001</v>
      </c>
      <c r="N1991">
        <v>0</v>
      </c>
      <c r="O1991">
        <v>-0.90368510000000002</v>
      </c>
      <c r="P1991">
        <v>-0.67470249999999998</v>
      </c>
      <c r="Q1991">
        <v>0.17235020000000001</v>
      </c>
      <c r="R1991">
        <v>-0.71768509999999996</v>
      </c>
      <c r="S1991">
        <v>-2.4443969999999999</v>
      </c>
      <c r="T1991">
        <v>-0.30744690000000002</v>
      </c>
      <c r="U1991">
        <v>-1.9605710000000001</v>
      </c>
      <c r="V1991">
        <v>0.3048285</v>
      </c>
      <c r="W1991">
        <v>0.1817378</v>
      </c>
      <c r="X1991">
        <v>0.93490700000000004</v>
      </c>
      <c r="Y1991">
        <v>0.43318380000000001</v>
      </c>
      <c r="Z1991">
        <v>9.7847009999999998E-2</v>
      </c>
      <c r="AA1991">
        <v>0.89597870000000002</v>
      </c>
      <c r="AB1991">
        <v>24</v>
      </c>
      <c r="AC1991">
        <v>-8.6781000000000006</v>
      </c>
      <c r="AD1991">
        <v>-1.105631684527</v>
      </c>
      <c r="AE1991">
        <v>-6.8307999999999502</v>
      </c>
      <c r="AF1991">
        <v>4.8705588783180502</v>
      </c>
      <c r="AG1991">
        <v>-1.105631684527</v>
      </c>
      <c r="AH1991">
        <v>9.7897053701430092</v>
      </c>
      <c r="AI1991">
        <v>95.773847784608705</v>
      </c>
      <c r="AJ1991">
        <v>63.54880833152</v>
      </c>
      <c r="AK1991">
        <v>10.990136325050701</v>
      </c>
      <c r="AL1991">
        <v>79.529002619282096</v>
      </c>
      <c r="AM1991">
        <v>71.9413272067995</v>
      </c>
      <c r="AN1991">
        <v>1.00000007050504</v>
      </c>
    </row>
    <row r="1992" spans="1:40" x14ac:dyDescent="0.25">
      <c r="A1992" t="str">
        <f>"20190312172122755"</f>
        <v>20190312172122755</v>
      </c>
      <c r="B1992" t="str">
        <f>"1552382482752668"</f>
        <v>1552382482752668</v>
      </c>
      <c r="C1992" t="s">
        <v>40</v>
      </c>
      <c r="D1992">
        <v>3.2584599999999999</v>
      </c>
      <c r="E1992">
        <v>0.55380180000000001</v>
      </c>
      <c r="F1992" t="s">
        <v>45</v>
      </c>
      <c r="G1992">
        <v>-198.92779999999999</v>
      </c>
      <c r="H1992" s="1">
        <v>1.3279790000000001E-6</v>
      </c>
      <c r="I1992">
        <v>292.59460000000001</v>
      </c>
      <c r="J1992">
        <v>-190.17619999999999</v>
      </c>
      <c r="K1992">
        <v>1.1057760000000001</v>
      </c>
      <c r="L1992">
        <v>299.37470000000002</v>
      </c>
      <c r="M1992">
        <v>-0.43461359999999899</v>
      </c>
      <c r="N1992">
        <v>0</v>
      </c>
      <c r="O1992">
        <v>-0.90050919999999901</v>
      </c>
      <c r="P1992">
        <v>-0.68008279999999999</v>
      </c>
      <c r="Q1992">
        <v>0.17194119999999999</v>
      </c>
      <c r="R1992">
        <v>-0.71268799999999999</v>
      </c>
      <c r="S1992">
        <v>-2.4597630000000001</v>
      </c>
      <c r="T1992">
        <v>-0.30686059999999998</v>
      </c>
      <c r="U1992">
        <v>-1.9413450000000001</v>
      </c>
      <c r="V1992">
        <v>0.30486449999999998</v>
      </c>
      <c r="W1992">
        <v>0.181418</v>
      </c>
      <c r="X1992">
        <v>0.93495729999999999</v>
      </c>
      <c r="Y1992">
        <v>0.4336141</v>
      </c>
      <c r="Z1992">
        <v>9.7510609999999998E-2</v>
      </c>
      <c r="AA1992">
        <v>0.89580720000000003</v>
      </c>
      <c r="AB1992">
        <v>24</v>
      </c>
      <c r="AC1992">
        <v>-8.7515999999999892</v>
      </c>
      <c r="AD1992">
        <v>-1.105774672021</v>
      </c>
      <c r="AE1992">
        <v>-6.7801</v>
      </c>
      <c r="AF1992">
        <v>4.8859069648485702</v>
      </c>
      <c r="AG1992">
        <v>-1.105774672021</v>
      </c>
      <c r="AH1992">
        <v>9.8121767217623592</v>
      </c>
      <c r="AI1992">
        <v>95.760484191980794</v>
      </c>
      <c r="AJ1992">
        <v>63.529301779833801</v>
      </c>
      <c r="AK1992">
        <v>11.016970387249501</v>
      </c>
      <c r="AL1992">
        <v>79.547634842962495</v>
      </c>
      <c r="AM1992">
        <v>71.940241536552605</v>
      </c>
      <c r="AN1992">
        <v>1.0000000034537699</v>
      </c>
    </row>
    <row r="1993" spans="1:40" x14ac:dyDescent="0.25">
      <c r="A1993" t="str">
        <f>"20190312172122778"</f>
        <v>20190312172122778</v>
      </c>
      <c r="B1993" t="str">
        <f>"1552382482773164"</f>
        <v>1552382482773164</v>
      </c>
      <c r="C1993" t="s">
        <v>40</v>
      </c>
      <c r="D1993">
        <v>3.2743159999999998</v>
      </c>
      <c r="E1993">
        <v>0.55372440000000001</v>
      </c>
      <c r="F1993" t="s">
        <v>45</v>
      </c>
      <c r="G1993">
        <v>-198.97749999999999</v>
      </c>
      <c r="H1993" s="1">
        <v>1.336675E-6</v>
      </c>
      <c r="I1993">
        <v>292.52019999999999</v>
      </c>
      <c r="J1993">
        <v>-190.29130000000001</v>
      </c>
      <c r="K1993">
        <v>1.105945</v>
      </c>
      <c r="L1993">
        <v>299.15559999999999</v>
      </c>
      <c r="M1993">
        <v>-0.44118849999999998</v>
      </c>
      <c r="N1993">
        <v>0</v>
      </c>
      <c r="O1993">
        <v>-0.89730669999999901</v>
      </c>
      <c r="P1993">
        <v>-0.6852104</v>
      </c>
      <c r="Q1993">
        <v>0.1721366</v>
      </c>
      <c r="R1993">
        <v>-0.7077118</v>
      </c>
      <c r="S1993">
        <v>-2.4721069999999998</v>
      </c>
      <c r="T1993">
        <v>-0.31059189999999998</v>
      </c>
      <c r="U1993">
        <v>-1.9252929999999999</v>
      </c>
      <c r="V1993">
        <v>0.30472389999999999</v>
      </c>
      <c r="W1993">
        <v>0.18171860000000001</v>
      </c>
      <c r="X1993">
        <v>0.93494469999999996</v>
      </c>
      <c r="Y1993">
        <v>0.43273010000000001</v>
      </c>
      <c r="Z1993">
        <v>9.8503779999999999E-2</v>
      </c>
      <c r="AA1993">
        <v>0.89612590000000003</v>
      </c>
      <c r="AB1993">
        <v>24</v>
      </c>
      <c r="AC1993">
        <v>-8.6861999999999799</v>
      </c>
      <c r="AD1993">
        <v>-1.1059436633249999</v>
      </c>
      <c r="AE1993">
        <v>-6.6353999999999997</v>
      </c>
      <c r="AF1993">
        <v>4.81787302359362</v>
      </c>
      <c r="AG1993">
        <v>-1.1059436633249999</v>
      </c>
      <c r="AH1993">
        <v>9.6880099797448</v>
      </c>
      <c r="AI1993">
        <v>95.836173695219202</v>
      </c>
      <c r="AJ1993">
        <v>63.558719648082104</v>
      </c>
      <c r="AK1993">
        <v>10.876237824981301</v>
      </c>
      <c r="AL1993">
        <v>79.5301200335293</v>
      </c>
      <c r="AM1993">
        <v>71.947802527290193</v>
      </c>
      <c r="AN1993">
        <v>0.99999994843762796</v>
      </c>
    </row>
    <row r="1994" spans="1:40" x14ac:dyDescent="0.25">
      <c r="A1994" t="str">
        <f>"20190312172122801"</f>
        <v>20190312172122801</v>
      </c>
      <c r="B1994" t="str">
        <f>"1552382482792685"</f>
        <v>1552382482792685</v>
      </c>
      <c r="C1994" t="s">
        <v>40</v>
      </c>
      <c r="D1994">
        <v>3.2540849999999999</v>
      </c>
      <c r="E1994">
        <v>0.55345250000000001</v>
      </c>
      <c r="F1994" t="s">
        <v>45</v>
      </c>
      <c r="G1994">
        <v>-199.12899999999999</v>
      </c>
      <c r="H1994" s="1">
        <v>1.3496669999999999E-6</v>
      </c>
      <c r="I1994">
        <v>292.37009999999998</v>
      </c>
      <c r="J1994">
        <v>-190.40620000000001</v>
      </c>
      <c r="K1994">
        <v>1.1061219999999901</v>
      </c>
      <c r="L1994">
        <v>298.94</v>
      </c>
      <c r="M1994">
        <v>-0.44742799999999999</v>
      </c>
      <c r="N1994">
        <v>0</v>
      </c>
      <c r="O1994">
        <v>-0.89421219999999901</v>
      </c>
      <c r="P1994">
        <v>-0.68984540000000005</v>
      </c>
      <c r="Q1994">
        <v>0.1722003</v>
      </c>
      <c r="R1994">
        <v>-0.70317919999999901</v>
      </c>
      <c r="S1994">
        <v>-2.4853969999999999</v>
      </c>
      <c r="T1994">
        <v>-0.31102079999999999</v>
      </c>
      <c r="U1994">
        <v>-1.908264</v>
      </c>
      <c r="V1994">
        <v>0.30427949999999998</v>
      </c>
      <c r="W1994">
        <v>0.18190100000000001</v>
      </c>
      <c r="X1994">
        <v>0.93505400000000005</v>
      </c>
      <c r="Y1994">
        <v>0.43263309999999999</v>
      </c>
      <c r="Z1994">
        <v>9.8469409999999993E-2</v>
      </c>
      <c r="AA1994">
        <v>0.89617649999999904</v>
      </c>
      <c r="AB1994">
        <v>24</v>
      </c>
      <c r="AC1994">
        <v>-8.7227999999999994</v>
      </c>
      <c r="AD1994">
        <v>-1.1061206503330001</v>
      </c>
      <c r="AE1994">
        <v>-6.5699000000000103</v>
      </c>
      <c r="AF1994">
        <v>4.8115790253585304</v>
      </c>
      <c r="AG1994">
        <v>-1.1061206503330001</v>
      </c>
      <c r="AH1994">
        <v>9.6793428389864093</v>
      </c>
      <c r="AI1994">
        <v>95.842765840716496</v>
      </c>
      <c r="AJ1994">
        <v>63.568135011901703</v>
      </c>
      <c r="AK1994">
        <v>10.8657477149527</v>
      </c>
      <c r="AL1994">
        <v>79.519492547498203</v>
      </c>
      <c r="AM1994">
        <v>71.974395663252807</v>
      </c>
      <c r="AN1994">
        <v>0.999999985418625</v>
      </c>
    </row>
    <row r="1995" spans="1:40" x14ac:dyDescent="0.25">
      <c r="A1995" t="str">
        <f>"20190312172122823"</f>
        <v>20190312172122823</v>
      </c>
      <c r="B1995" t="str">
        <f>"1552382482813181"</f>
        <v>1552382482813181</v>
      </c>
      <c r="C1995" t="s">
        <v>40</v>
      </c>
      <c r="D1995">
        <v>3.2543700000000002</v>
      </c>
      <c r="E1995">
        <v>0.55048199999999903</v>
      </c>
      <c r="F1995" t="s">
        <v>45</v>
      </c>
      <c r="G1995">
        <v>-199.26480000000001</v>
      </c>
      <c r="H1995" s="1">
        <v>1.364183E-6</v>
      </c>
      <c r="I1995">
        <v>292.21929999999998</v>
      </c>
      <c r="J1995">
        <v>-190.52449999999999</v>
      </c>
      <c r="K1995">
        <v>1.1063210000000001</v>
      </c>
      <c r="L1995">
        <v>298.72160000000002</v>
      </c>
      <c r="M1995">
        <v>-0.45348680000000002</v>
      </c>
      <c r="N1995">
        <v>0</v>
      </c>
      <c r="O1995">
        <v>-0.89115540000000004</v>
      </c>
      <c r="P1995">
        <v>-0.69432360000000004</v>
      </c>
      <c r="Q1995">
        <v>0.1719725</v>
      </c>
      <c r="R1995">
        <v>-0.69881389999999999</v>
      </c>
      <c r="S1995">
        <v>-2.4962620000000002</v>
      </c>
      <c r="T1995">
        <v>-0.31169330000000001</v>
      </c>
      <c r="U1995">
        <v>-1.893829</v>
      </c>
      <c r="V1995">
        <v>0.30379119999999998</v>
      </c>
      <c r="W1995">
        <v>0.18179970000000001</v>
      </c>
      <c r="X1995">
        <v>0.93523250000000002</v>
      </c>
      <c r="Y1995">
        <v>0.43168000000000001</v>
      </c>
      <c r="Z1995">
        <v>9.8494760000000001E-2</v>
      </c>
      <c r="AA1995">
        <v>0.89663329999999997</v>
      </c>
      <c r="AB1995">
        <v>24</v>
      </c>
      <c r="AC1995">
        <v>-8.7403000000000102</v>
      </c>
      <c r="AD1995">
        <v>-1.106319635817</v>
      </c>
      <c r="AE1995">
        <v>-6.5023000000000399</v>
      </c>
      <c r="AF1995">
        <v>4.79130689321694</v>
      </c>
      <c r="AG1995">
        <v>-1.106319635817</v>
      </c>
      <c r="AH1995">
        <v>9.6594822327210608</v>
      </c>
      <c r="AI1995">
        <v>95.858235886840504</v>
      </c>
      <c r="AJ1995">
        <v>63.617618796314702</v>
      </c>
      <c r="AK1995">
        <v>10.839103370936</v>
      </c>
      <c r="AL1995">
        <v>79.525395462797704</v>
      </c>
      <c r="AM1995">
        <v>72.004669255643293</v>
      </c>
      <c r="AN1995">
        <v>1.00000002658688</v>
      </c>
    </row>
    <row r="1996" spans="1:40" x14ac:dyDescent="0.25">
      <c r="A1996" t="str">
        <f>"20190312172122845"</f>
        <v>20190312172122845</v>
      </c>
      <c r="B1996" t="str">
        <f>"1552382482842966"</f>
        <v>1552382482842966</v>
      </c>
      <c r="C1996" t="s">
        <v>40</v>
      </c>
      <c r="D1996">
        <v>3.2782840000000002</v>
      </c>
      <c r="E1996">
        <v>0.55049809999999999</v>
      </c>
      <c r="F1996" t="s">
        <v>45</v>
      </c>
      <c r="G1996">
        <v>-199.25020000000001</v>
      </c>
      <c r="H1996" s="1">
        <v>1.389408E-6</v>
      </c>
      <c r="I1996">
        <v>292.08339999999998</v>
      </c>
      <c r="J1996">
        <v>-190.6412</v>
      </c>
      <c r="K1996">
        <v>1.1064959999999999</v>
      </c>
      <c r="L1996">
        <v>298.5086</v>
      </c>
      <c r="M1996">
        <v>-0.45918639999999999</v>
      </c>
      <c r="N1996">
        <v>0</v>
      </c>
      <c r="O1996">
        <v>-0.88823220000000003</v>
      </c>
      <c r="P1996">
        <v>-0.69804600000000006</v>
      </c>
      <c r="Q1996">
        <v>0.17200599999999999</v>
      </c>
      <c r="R1996">
        <v>-0.69508700000000001</v>
      </c>
      <c r="S1996">
        <v>-2.491409</v>
      </c>
      <c r="T1996">
        <v>-0.31588179999999999</v>
      </c>
      <c r="U1996">
        <v>-1.8953549999999999</v>
      </c>
      <c r="V1996">
        <v>0.30271910000000002</v>
      </c>
      <c r="W1996">
        <v>0.18195259999999999</v>
      </c>
      <c r="X1996">
        <v>0.93555029999999995</v>
      </c>
      <c r="Y1996">
        <v>0.42460639999999999</v>
      </c>
      <c r="Z1996">
        <v>9.9547659999999996E-2</v>
      </c>
      <c r="AA1996">
        <v>0.89988869999999899</v>
      </c>
      <c r="AB1996">
        <v>24</v>
      </c>
      <c r="AC1996">
        <v>-8.609</v>
      </c>
      <c r="AD1996">
        <v>-1.1064946105919999</v>
      </c>
      <c r="AE1996">
        <v>-6.42520000000001</v>
      </c>
      <c r="AF1996">
        <v>4.6475671411015602</v>
      </c>
      <c r="AG1996">
        <v>-1.1064946105919999</v>
      </c>
      <c r="AH1996">
        <v>9.55970502032973</v>
      </c>
      <c r="AI1996">
        <v>95.942849534209003</v>
      </c>
      <c r="AJ1996">
        <v>64.072731257650204</v>
      </c>
      <c r="AK1996">
        <v>10.6870094380997</v>
      </c>
      <c r="AL1996">
        <v>79.516485884965306</v>
      </c>
      <c r="AM1996">
        <v>72.069803807186602</v>
      </c>
      <c r="AN1996">
        <v>0.99999998299082904</v>
      </c>
    </row>
    <row r="1997" spans="1:40" x14ac:dyDescent="0.25">
      <c r="A1997" t="str">
        <f>"20190312172122869"</f>
        <v>20190312172122869</v>
      </c>
      <c r="B1997" t="str">
        <f>"1552382482862486"</f>
        <v>1552382482862486</v>
      </c>
      <c r="C1997" t="s">
        <v>40</v>
      </c>
      <c r="D1997">
        <v>3.2433700000000001</v>
      </c>
      <c r="E1997">
        <v>0.55049499999999996</v>
      </c>
      <c r="F1997" t="s">
        <v>45</v>
      </c>
      <c r="G1997">
        <v>-199.32060000000001</v>
      </c>
      <c r="H1997" s="1">
        <v>1.4022450000000001E-6</v>
      </c>
      <c r="I1997">
        <v>291.9751</v>
      </c>
      <c r="J1997">
        <v>-190.76249999999999</v>
      </c>
      <c r="K1997">
        <v>1.1066659999999999</v>
      </c>
      <c r="L1997">
        <v>298.29000000000002</v>
      </c>
      <c r="M1997">
        <v>-0.46480919999999998</v>
      </c>
      <c r="N1997">
        <v>0</v>
      </c>
      <c r="O1997">
        <v>-0.88530309999999901</v>
      </c>
      <c r="P1997">
        <v>-0.70159819999999995</v>
      </c>
      <c r="Q1997">
        <v>0.17219329999999999</v>
      </c>
      <c r="R1997">
        <v>-0.69145509999999999</v>
      </c>
      <c r="S1997">
        <v>-2.5013730000000001</v>
      </c>
      <c r="T1997">
        <v>-0.3188879</v>
      </c>
      <c r="U1997">
        <v>-1.882935</v>
      </c>
      <c r="V1997">
        <v>0.3015256</v>
      </c>
      <c r="W1997">
        <v>0.1822559</v>
      </c>
      <c r="X1997">
        <v>0.93587670000000001</v>
      </c>
      <c r="Y1997">
        <v>0.423377</v>
      </c>
      <c r="Z1997">
        <v>0.1002707</v>
      </c>
      <c r="AA1997">
        <v>0.90038750000000001</v>
      </c>
      <c r="AB1997">
        <v>24</v>
      </c>
      <c r="AC1997">
        <v>-8.5581000000000191</v>
      </c>
      <c r="AD1997">
        <v>-1.106664597755</v>
      </c>
      <c r="AE1997">
        <v>-6.3149000000000202</v>
      </c>
      <c r="AF1997">
        <v>4.5920153531370902</v>
      </c>
      <c r="AG1997">
        <v>-1.106664597755</v>
      </c>
      <c r="AH1997">
        <v>9.4669019012281002</v>
      </c>
      <c r="AI1997">
        <v>96.004179721049695</v>
      </c>
      <c r="AJ1997">
        <v>64.123832152708104</v>
      </c>
      <c r="AK1997">
        <v>10.579864986985701</v>
      </c>
      <c r="AL1997">
        <v>79.4988132648906</v>
      </c>
      <c r="AM1997">
        <v>72.141828850396394</v>
      </c>
      <c r="AN1997">
        <v>1.00000004907152</v>
      </c>
    </row>
    <row r="1998" spans="1:40" x14ac:dyDescent="0.25">
      <c r="A1998" t="str">
        <f>"20190312172122889"</f>
        <v>20190312172122889</v>
      </c>
      <c r="B1998" t="str">
        <f>"1552382482882982"</f>
        <v>1552382482882982</v>
      </c>
      <c r="C1998" t="s">
        <v>40</v>
      </c>
      <c r="D1998">
        <v>3.2943839999999902</v>
      </c>
      <c r="E1998">
        <v>0.55058619999999903</v>
      </c>
      <c r="F1998" t="s">
        <v>45</v>
      </c>
      <c r="G1998">
        <v>-199.4554</v>
      </c>
      <c r="H1998" s="1">
        <v>1.417816E-6</v>
      </c>
      <c r="I1998">
        <v>291.81880000000001</v>
      </c>
      <c r="J1998">
        <v>-190.86840000000001</v>
      </c>
      <c r="K1998">
        <v>1.1068129999999901</v>
      </c>
      <c r="L1998">
        <v>298.10149999999999</v>
      </c>
      <c r="M1998">
        <v>-0.46945409999999999</v>
      </c>
      <c r="N1998">
        <v>0</v>
      </c>
      <c r="O1998">
        <v>-0.88284940000000001</v>
      </c>
      <c r="P1998">
        <v>-0.70480069999999995</v>
      </c>
      <c r="Q1998">
        <v>0.17179610000000001</v>
      </c>
      <c r="R1998">
        <v>-0.6882897</v>
      </c>
      <c r="S1998">
        <v>-2.5116879999999999</v>
      </c>
      <c r="T1998">
        <v>-0.31975569999999998</v>
      </c>
      <c r="U1998">
        <v>-1.8697809999999999</v>
      </c>
      <c r="V1998">
        <v>0.3008342</v>
      </c>
      <c r="W1998">
        <v>0.1819586</v>
      </c>
      <c r="X1998">
        <v>0.93615700000000002</v>
      </c>
      <c r="Y1998">
        <v>0.42341309999999899</v>
      </c>
      <c r="Z1998">
        <v>0.1003872</v>
      </c>
      <c r="AA1998">
        <v>0.90035759999999898</v>
      </c>
      <c r="AB1998">
        <v>24</v>
      </c>
      <c r="AC1998">
        <v>-8.5869999999999802</v>
      </c>
      <c r="AD1998">
        <v>-1.1068115821840001</v>
      </c>
      <c r="AE1998">
        <v>-6.28269999999997</v>
      </c>
      <c r="AF1998">
        <v>4.5824415498855897</v>
      </c>
      <c r="AG1998">
        <v>-1.1068115821840001</v>
      </c>
      <c r="AH1998">
        <v>9.4762469376460903</v>
      </c>
      <c r="AI1998">
        <v>96.002571586448795</v>
      </c>
      <c r="AJ1998">
        <v>64.192919591062207</v>
      </c>
      <c r="AK1998">
        <v>10.5840945980193</v>
      </c>
      <c r="AL1998">
        <v>79.516136860832205</v>
      </c>
      <c r="AM1998">
        <v>72.185183220219699</v>
      </c>
      <c r="AN1998">
        <v>1.0000000383262899</v>
      </c>
    </row>
    <row r="1999" spans="1:40" x14ac:dyDescent="0.25">
      <c r="A1999" t="str">
        <f>"20190312172122911"</f>
        <v>20190312172122911</v>
      </c>
      <c r="B1999" t="str">
        <f>"1552382482902503"</f>
        <v>1552382482902503</v>
      </c>
      <c r="C1999" t="s">
        <v>40</v>
      </c>
      <c r="D1999">
        <v>3.283588</v>
      </c>
      <c r="E1999">
        <v>0.55040739999999999</v>
      </c>
      <c r="F1999" t="s">
        <v>45</v>
      </c>
      <c r="G1999">
        <v>-199.5472</v>
      </c>
      <c r="H1999" s="1">
        <v>1.429145E-6</v>
      </c>
      <c r="I1999">
        <v>291.70819999999998</v>
      </c>
      <c r="J1999">
        <v>-190.98840000000001</v>
      </c>
      <c r="K1999">
        <v>1.107003</v>
      </c>
      <c r="L1999">
        <v>297.88990000000001</v>
      </c>
      <c r="M1999">
        <v>-0.47441250000000001</v>
      </c>
      <c r="N1999">
        <v>0</v>
      </c>
      <c r="O1999">
        <v>-0.88019519999999996</v>
      </c>
      <c r="P1999">
        <v>-0.70818979999999998</v>
      </c>
      <c r="Q1999">
        <v>0.1720547</v>
      </c>
      <c r="R1999">
        <v>-0.68473680000000003</v>
      </c>
      <c r="S1999">
        <v>-2.5211790000000001</v>
      </c>
      <c r="T1999">
        <v>-0.32152740000000002</v>
      </c>
      <c r="U1999">
        <v>-1.8572390000000001</v>
      </c>
      <c r="V1999">
        <v>0.3001356</v>
      </c>
      <c r="W1999">
        <v>0.1823398</v>
      </c>
      <c r="X1999">
        <v>0.936307</v>
      </c>
      <c r="Y1999">
        <v>0.42280630000000002</v>
      </c>
      <c r="Z1999">
        <v>0.10075919999999999</v>
      </c>
      <c r="AA1999">
        <v>0.90060110000000004</v>
      </c>
      <c r="AB1999">
        <v>24</v>
      </c>
      <c r="AC1999">
        <v>-8.5587999999999909</v>
      </c>
      <c r="AD1999">
        <v>-1.1070015708550001</v>
      </c>
      <c r="AE1999">
        <v>-6.1817000000000304</v>
      </c>
      <c r="AF1999">
        <v>4.5511393732907299</v>
      </c>
      <c r="AG1999">
        <v>-1.1070015708550001</v>
      </c>
      <c r="AH1999">
        <v>9.3990707465614207</v>
      </c>
      <c r="AI1999">
        <v>96.051017789148503</v>
      </c>
      <c r="AJ1999">
        <v>64.163194517359003</v>
      </c>
      <c r="AK1999">
        <v>10.501469086364001</v>
      </c>
      <c r="AL1999">
        <v>79.493923593951195</v>
      </c>
      <c r="AM1999">
        <v>72.226614730586405</v>
      </c>
      <c r="AN1999">
        <v>0.99999998965019898</v>
      </c>
    </row>
    <row r="2000" spans="1:40" x14ac:dyDescent="0.25">
      <c r="A2000" t="str">
        <f>"20190312172122933"</f>
        <v>20190312172122933</v>
      </c>
      <c r="B2000" t="str">
        <f>"1552382482922998"</f>
        <v>1552382482922998</v>
      </c>
      <c r="C2000" t="s">
        <v>40</v>
      </c>
      <c r="D2000">
        <v>3.2967010000000001</v>
      </c>
      <c r="E2000">
        <v>0.55039890000000002</v>
      </c>
      <c r="F2000" t="s">
        <v>45</v>
      </c>
      <c r="G2000">
        <v>-199.66579999999999</v>
      </c>
      <c r="H2000" s="1">
        <v>1.445141E-6</v>
      </c>
      <c r="I2000">
        <v>291.55759999999998</v>
      </c>
      <c r="J2000">
        <v>-191.1079</v>
      </c>
      <c r="K2000">
        <v>1.1072229999999901</v>
      </c>
      <c r="L2000">
        <v>297.6814</v>
      </c>
      <c r="M2000">
        <v>-0.47903099999999998</v>
      </c>
      <c r="N2000">
        <v>0</v>
      </c>
      <c r="O2000">
        <v>-0.87769079999999999</v>
      </c>
      <c r="P2000">
        <v>-0.71137669999999997</v>
      </c>
      <c r="Q2000">
        <v>0.17261660000000001</v>
      </c>
      <c r="R2000">
        <v>-0.68128350000000004</v>
      </c>
      <c r="S2000">
        <v>-2.5296780000000001</v>
      </c>
      <c r="T2000">
        <v>-0.3227177</v>
      </c>
      <c r="U2000">
        <v>-1.8460080000000001</v>
      </c>
      <c r="V2000">
        <v>0.2995584</v>
      </c>
      <c r="W2000">
        <v>0.1830388</v>
      </c>
      <c r="X2000">
        <v>0.93635550000000001</v>
      </c>
      <c r="Y2000">
        <v>0.42207689999999998</v>
      </c>
      <c r="Z2000">
        <v>0.1009509</v>
      </c>
      <c r="AA2000">
        <v>0.90092169999999905</v>
      </c>
      <c r="AB2000">
        <v>24</v>
      </c>
      <c r="AC2000">
        <v>-8.5578999999999894</v>
      </c>
      <c r="AD2000">
        <v>-1.1072215548590001</v>
      </c>
      <c r="AE2000">
        <v>-6.1238000000000099</v>
      </c>
      <c r="AF2000">
        <v>4.5280031997489303</v>
      </c>
      <c r="AG2000">
        <v>-1.1072215548590001</v>
      </c>
      <c r="AH2000">
        <v>9.3714465002461402</v>
      </c>
      <c r="AI2000">
        <v>96.072378459494701</v>
      </c>
      <c r="AJ2000">
        <v>64.211553191056893</v>
      </c>
      <c r="AK2000">
        <v>10.466745533137599</v>
      </c>
      <c r="AL2000">
        <v>79.453188724859501</v>
      </c>
      <c r="AM2000">
        <v>72.259511431121297</v>
      </c>
      <c r="AN2000">
        <v>1.00000002984812</v>
      </c>
    </row>
    <row r="2001" spans="1:40" x14ac:dyDescent="0.25">
      <c r="A2001" t="str">
        <f>"20190312172122956"</f>
        <v>20190312172122956</v>
      </c>
      <c r="B2001" t="str">
        <f>"1552382482953254"</f>
        <v>1552382482953254</v>
      </c>
      <c r="C2001" t="s">
        <v>40</v>
      </c>
      <c r="D2001">
        <v>3.3480720000000002</v>
      </c>
      <c r="E2001">
        <v>0.55031049999999904</v>
      </c>
      <c r="F2001" t="s">
        <v>45</v>
      </c>
      <c r="G2001">
        <v>-199.81020000000001</v>
      </c>
      <c r="H2001" s="1">
        <v>1.4615450000000001E-6</v>
      </c>
      <c r="I2001">
        <v>291.39179999999999</v>
      </c>
      <c r="J2001">
        <v>-191.22370000000001</v>
      </c>
      <c r="K2001">
        <v>1.1074569999999999</v>
      </c>
      <c r="L2001">
        <v>297.48099999999999</v>
      </c>
      <c r="M2001">
        <v>-0.48320590000000002</v>
      </c>
      <c r="N2001">
        <v>0</v>
      </c>
      <c r="O2001">
        <v>-0.87539940000000005</v>
      </c>
      <c r="P2001">
        <v>-0.71449569999999996</v>
      </c>
      <c r="Q2001">
        <v>0.17294129999999899</v>
      </c>
      <c r="R2001">
        <v>-0.67792909999999995</v>
      </c>
      <c r="S2001">
        <v>-2.5384669999999998</v>
      </c>
      <c r="T2001">
        <v>-0.32297920000000002</v>
      </c>
      <c r="U2001">
        <v>-1.834686</v>
      </c>
      <c r="V2001">
        <v>0.29933539999999997</v>
      </c>
      <c r="W2001">
        <v>0.18350530000000001</v>
      </c>
      <c r="X2001">
        <v>0.93633549999999999</v>
      </c>
      <c r="Y2001">
        <v>0.42188720000000002</v>
      </c>
      <c r="Z2001">
        <v>0.1008729</v>
      </c>
      <c r="AA2001">
        <v>0.90101929999999997</v>
      </c>
      <c r="AB2001">
        <v>24</v>
      </c>
      <c r="AC2001">
        <v>-8.5864999999999991</v>
      </c>
      <c r="AD2001">
        <v>-1.107455538455</v>
      </c>
      <c r="AE2001">
        <v>-6.0891999999999999</v>
      </c>
      <c r="AF2001">
        <v>4.5246287436125998</v>
      </c>
      <c r="AG2001">
        <v>-1.107455538455</v>
      </c>
      <c r="AH2001">
        <v>9.3766353422080897</v>
      </c>
      <c r="AI2001">
        <v>96.071796157172699</v>
      </c>
      <c r="AJ2001">
        <v>64.240697335964597</v>
      </c>
      <c r="AK2001">
        <v>10.4699576588411</v>
      </c>
      <c r="AL2001">
        <v>79.425999646763003</v>
      </c>
      <c r="AM2001">
        <v>72.271535821272707</v>
      </c>
      <c r="AN2001">
        <v>1.00000002269074</v>
      </c>
    </row>
    <row r="2002" spans="1:40" x14ac:dyDescent="0.25">
      <c r="A2002" t="str">
        <f>"20190312172122979"</f>
        <v>20190312172122979</v>
      </c>
      <c r="B2002" t="str">
        <f>"1552382482972774"</f>
        <v>1552382482972774</v>
      </c>
      <c r="C2002" t="s">
        <v>40</v>
      </c>
      <c r="D2002">
        <v>3.2722220000000002</v>
      </c>
      <c r="E2002">
        <v>0.55031219999999903</v>
      </c>
      <c r="F2002" t="s">
        <v>45</v>
      </c>
      <c r="G2002">
        <v>-199.94839999999999</v>
      </c>
      <c r="H2002" s="1">
        <v>1.4774390000000001E-6</v>
      </c>
      <c r="I2002">
        <v>291.23200000000003</v>
      </c>
      <c r="J2002">
        <v>-191.34800000000001</v>
      </c>
      <c r="K2002">
        <v>1.1077109999999999</v>
      </c>
      <c r="L2002">
        <v>297.26749999999998</v>
      </c>
      <c r="M2002">
        <v>-0.48736350000000001</v>
      </c>
      <c r="N2002">
        <v>0</v>
      </c>
      <c r="O2002">
        <v>-0.87309199999999998</v>
      </c>
      <c r="P2002">
        <v>-0.71709820000000002</v>
      </c>
      <c r="Q2002">
        <v>0.17375699999999999</v>
      </c>
      <c r="R2002">
        <v>-0.674965699999999</v>
      </c>
      <c r="S2002">
        <v>-2.5464630000000001</v>
      </c>
      <c r="T2002">
        <v>-0.32323170000000001</v>
      </c>
      <c r="U2002">
        <v>-1.8238829999999999</v>
      </c>
      <c r="V2002">
        <v>0.29847810000000002</v>
      </c>
      <c r="W2002">
        <v>0.18448290000000001</v>
      </c>
      <c r="X2002">
        <v>0.93641700000000005</v>
      </c>
      <c r="Y2002">
        <v>0.42144860000000001</v>
      </c>
      <c r="Z2002">
        <v>0.1007914</v>
      </c>
      <c r="AA2002">
        <v>0.90123370000000003</v>
      </c>
      <c r="AB2002">
        <v>24</v>
      </c>
      <c r="AC2002">
        <v>-8.6004000000000005</v>
      </c>
      <c r="AD2002">
        <v>-1.1077095225610001</v>
      </c>
      <c r="AE2002">
        <v>-6.0354999999999501</v>
      </c>
      <c r="AF2002">
        <v>4.5176720614074197</v>
      </c>
      <c r="AG2002">
        <v>-1.1077095225610001</v>
      </c>
      <c r="AH2002">
        <v>9.3579407666236794</v>
      </c>
      <c r="AI2002">
        <v>96.084698342631199</v>
      </c>
      <c r="AJ2002">
        <v>64.230446524991393</v>
      </c>
      <c r="AK2002">
        <v>10.4502361998392</v>
      </c>
      <c r="AL2002">
        <v>79.369013698213394</v>
      </c>
      <c r="AM2002">
        <v>72.320586670462106</v>
      </c>
      <c r="AN2002">
        <v>0.99999995723050905</v>
      </c>
    </row>
    <row r="2003" spans="1:40" x14ac:dyDescent="0.25">
      <c r="A2003" t="str">
        <f>"20190312172123002"</f>
        <v>20190312172123002</v>
      </c>
      <c r="B2003" t="str">
        <f>"1552382482993270"</f>
        <v>1552382482993270</v>
      </c>
      <c r="C2003" t="s">
        <v>40</v>
      </c>
      <c r="D2003">
        <v>3.3026749999999998</v>
      </c>
      <c r="E2003">
        <v>0.5504038</v>
      </c>
      <c r="F2003" t="s">
        <v>45</v>
      </c>
      <c r="G2003">
        <v>-200.15600000000001</v>
      </c>
      <c r="H2003" s="1">
        <v>1.612361E-6</v>
      </c>
      <c r="I2003">
        <v>291.00959999999998</v>
      </c>
      <c r="J2003">
        <v>-191.47130000000001</v>
      </c>
      <c r="K2003">
        <v>1.1079509999999999</v>
      </c>
      <c r="L2003">
        <v>297.05720000000002</v>
      </c>
      <c r="M2003">
        <v>-0.49114980000000003</v>
      </c>
      <c r="N2003">
        <v>0</v>
      </c>
      <c r="O2003">
        <v>-0.87096830000000003</v>
      </c>
      <c r="P2003">
        <v>-0.71966980000000003</v>
      </c>
      <c r="Q2003">
        <v>0.1748044</v>
      </c>
      <c r="R2003">
        <v>-0.67195179999999999</v>
      </c>
      <c r="S2003">
        <v>-2.5536500000000002</v>
      </c>
      <c r="T2003">
        <v>-0.32115090000000002</v>
      </c>
      <c r="U2003">
        <v>-1.8143009999999999</v>
      </c>
      <c r="V2003">
        <v>0.29802099999999998</v>
      </c>
      <c r="W2003">
        <v>0.18567510000000001</v>
      </c>
      <c r="X2003">
        <v>0.93632700000000002</v>
      </c>
      <c r="Y2003">
        <v>0.42102909999999999</v>
      </c>
      <c r="Z2003">
        <v>9.9996520000000005E-2</v>
      </c>
      <c r="AA2003">
        <v>0.90151829999999999</v>
      </c>
      <c r="AB2003">
        <v>24</v>
      </c>
      <c r="AC2003">
        <v>-8.6846999999999603</v>
      </c>
      <c r="AD2003">
        <v>-1.1079493876389901</v>
      </c>
      <c r="AE2003">
        <v>-6.0476000000000401</v>
      </c>
      <c r="AF2003">
        <v>4.5444389029620096</v>
      </c>
      <c r="AG2003">
        <v>-1.1079493876389901</v>
      </c>
      <c r="AH2003">
        <v>9.4302827727382308</v>
      </c>
      <c r="AI2003">
        <v>96.041694702870899</v>
      </c>
      <c r="AJ2003">
        <v>64.270653706030998</v>
      </c>
      <c r="AK2003">
        <v>10.5266191135676</v>
      </c>
      <c r="AL2003">
        <v>79.299505319784203</v>
      </c>
      <c r="AM2003">
        <v>72.344387490142793</v>
      </c>
      <c r="AN2003">
        <v>1.000000005065</v>
      </c>
    </row>
    <row r="2004" spans="1:40" x14ac:dyDescent="0.25">
      <c r="A2004" t="str">
        <f>"20190312172123023"</f>
        <v>20190312172123023</v>
      </c>
      <c r="B2004" t="str">
        <f>"1552382483012790"</f>
        <v>1552382483012790</v>
      </c>
      <c r="C2004" t="s">
        <v>40</v>
      </c>
      <c r="D2004">
        <v>3.3093059999999999</v>
      </c>
      <c r="E2004">
        <v>0.55060430000000005</v>
      </c>
      <c r="F2004" t="s">
        <v>45</v>
      </c>
      <c r="G2004">
        <v>-200.34970000000001</v>
      </c>
      <c r="H2004" s="1">
        <v>1.743096E-6</v>
      </c>
      <c r="I2004">
        <v>290.80349999999999</v>
      </c>
      <c r="J2004">
        <v>-191.59030000000001</v>
      </c>
      <c r="K2004">
        <v>1.1081540000000001</v>
      </c>
      <c r="L2004">
        <v>296.85559999999998</v>
      </c>
      <c r="M2004">
        <v>-0.49451489999999998</v>
      </c>
      <c r="N2004">
        <v>0</v>
      </c>
      <c r="O2004">
        <v>-0.86906229999999995</v>
      </c>
      <c r="P2004">
        <v>-0.72187400000000002</v>
      </c>
      <c r="Q2004">
        <v>0.17689920000000001</v>
      </c>
      <c r="R2004">
        <v>-0.66903290000000004</v>
      </c>
      <c r="S2004">
        <v>-2.561569</v>
      </c>
      <c r="T2004">
        <v>-0.31965880000000002</v>
      </c>
      <c r="U2004">
        <v>-1.8042910000000001</v>
      </c>
      <c r="V2004">
        <v>0.29767090000000002</v>
      </c>
      <c r="W2004">
        <v>0.18788659999999999</v>
      </c>
      <c r="X2004">
        <v>0.93599710000000003</v>
      </c>
      <c r="Y2004">
        <v>0.42124260000000002</v>
      </c>
      <c r="Z2004">
        <v>9.940338E-2</v>
      </c>
      <c r="AA2004">
        <v>0.90148410000000001</v>
      </c>
      <c r="AB2004">
        <v>24</v>
      </c>
      <c r="AC2004">
        <v>-8.7593999999999994</v>
      </c>
      <c r="AD2004">
        <v>-1.1081522569040001</v>
      </c>
      <c r="AE2004">
        <v>-6.0520999999999896</v>
      </c>
      <c r="AF2004">
        <v>4.5705261641169299</v>
      </c>
      <c r="AG2004">
        <v>-1.1081522569040001</v>
      </c>
      <c r="AH2004">
        <v>9.48939573563894</v>
      </c>
      <c r="AI2004">
        <v>96.006015306496295</v>
      </c>
      <c r="AJ2004">
        <v>64.282410812277206</v>
      </c>
      <c r="AK2004">
        <v>10.590861261904999</v>
      </c>
      <c r="AL2004">
        <v>79.170525295978194</v>
      </c>
      <c r="AM2004">
        <v>72.358011680103203</v>
      </c>
      <c r="AN2004">
        <v>0.99999995518738805</v>
      </c>
    </row>
    <row r="2005" spans="1:40" x14ac:dyDescent="0.25">
      <c r="A2005" t="str">
        <f>"20190312172123046"</f>
        <v>20190312172123046</v>
      </c>
      <c r="B2005" t="str">
        <f>"1552382483043048"</f>
        <v>1552382483043048</v>
      </c>
      <c r="C2005" t="s">
        <v>40</v>
      </c>
      <c r="D2005">
        <v>3.3165230000000001</v>
      </c>
      <c r="E2005">
        <v>0.55067239999999995</v>
      </c>
      <c r="F2005" t="s">
        <v>45</v>
      </c>
      <c r="G2005">
        <v>-200.65809999999999</v>
      </c>
      <c r="H2005" s="1">
        <v>1.9427090000000001E-6</v>
      </c>
      <c r="I2005">
        <v>290.52339999999998</v>
      </c>
      <c r="J2005">
        <v>-191.71340000000001</v>
      </c>
      <c r="K2005">
        <v>1.108322</v>
      </c>
      <c r="L2005">
        <v>296.64830000000001</v>
      </c>
      <c r="M2005">
        <v>-0.49777250000000001</v>
      </c>
      <c r="N2005">
        <v>0</v>
      </c>
      <c r="O2005">
        <v>-0.867201</v>
      </c>
      <c r="P2005">
        <v>-0.72408549999999905</v>
      </c>
      <c r="Q2005">
        <v>0.17963889999999999</v>
      </c>
      <c r="R2005">
        <v>-0.66590569999999905</v>
      </c>
      <c r="S2005">
        <v>-2.5697169999999998</v>
      </c>
      <c r="T2005">
        <v>-0.31403720000000002</v>
      </c>
      <c r="U2005">
        <v>-1.7944639999999901</v>
      </c>
      <c r="V2005">
        <v>0.29756690000000002</v>
      </c>
      <c r="W2005">
        <v>0.1907085</v>
      </c>
      <c r="X2005">
        <v>0.93545929999999999</v>
      </c>
      <c r="Y2005">
        <v>0.42166940000000003</v>
      </c>
      <c r="Z2005">
        <v>9.7536919999999999E-2</v>
      </c>
      <c r="AA2005">
        <v>0.90148850000000003</v>
      </c>
      <c r="AB2005">
        <v>24</v>
      </c>
      <c r="AC2005">
        <v>-8.9446999999999797</v>
      </c>
      <c r="AD2005">
        <v>-1.1083200572909999</v>
      </c>
      <c r="AE2005">
        <v>-6.1249000000000198</v>
      </c>
      <c r="AF2005">
        <v>4.6597761878318504</v>
      </c>
      <c r="AG2005">
        <v>-1.1083200572909999</v>
      </c>
      <c r="AH2005">
        <v>9.6638390565268999</v>
      </c>
      <c r="AI2005">
        <v>95.898018330744307</v>
      </c>
      <c r="AJ2005">
        <v>64.257246142600906</v>
      </c>
      <c r="AK2005">
        <v>10.785716145927999</v>
      </c>
      <c r="AL2005">
        <v>79.005865082102702</v>
      </c>
      <c r="AM2005">
        <v>72.354283114091501</v>
      </c>
      <c r="AN2005">
        <v>0.99999994695217298</v>
      </c>
    </row>
    <row r="2006" spans="1:40" x14ac:dyDescent="0.25">
      <c r="A2006" t="str">
        <f>"20190312172123069"</f>
        <v>20190312172123069</v>
      </c>
      <c r="B2006" t="str">
        <f>"1552382483062566"</f>
        <v>1552382483062566</v>
      </c>
      <c r="C2006" t="s">
        <v>40</v>
      </c>
      <c r="D2006">
        <v>3.3216519999999998</v>
      </c>
      <c r="E2006">
        <v>0.54972390000000004</v>
      </c>
      <c r="F2006" t="s">
        <v>45</v>
      </c>
      <c r="G2006">
        <v>-200.91220000000001</v>
      </c>
      <c r="H2006" s="1">
        <v>2.096846E-6</v>
      </c>
      <c r="I2006">
        <v>290.2783</v>
      </c>
      <c r="J2006">
        <v>-191.83779999999999</v>
      </c>
      <c r="K2006">
        <v>1.1084449999999999</v>
      </c>
      <c r="L2006">
        <v>296.4402</v>
      </c>
      <c r="M2006">
        <v>-0.50088299999999997</v>
      </c>
      <c r="N2006">
        <v>0</v>
      </c>
      <c r="O2006">
        <v>-0.86540849999999903</v>
      </c>
      <c r="P2006">
        <v>-0.72642069999999903</v>
      </c>
      <c r="Q2006">
        <v>0.1820512</v>
      </c>
      <c r="R2006">
        <v>-0.6626995</v>
      </c>
      <c r="S2006">
        <v>-2.5782620000000001</v>
      </c>
      <c r="T2006">
        <v>-0.31064239999999999</v>
      </c>
      <c r="U2006">
        <v>-1.7854000000000001</v>
      </c>
      <c r="V2006">
        <v>0.29778569999999999</v>
      </c>
      <c r="W2006">
        <v>0.19317239999999999</v>
      </c>
      <c r="X2006">
        <v>0.93488400000000005</v>
      </c>
      <c r="Y2006">
        <v>0.42206389999999999</v>
      </c>
      <c r="Z2006">
        <v>9.6337859999999997E-2</v>
      </c>
      <c r="AA2006">
        <v>0.90143280000000003</v>
      </c>
      <c r="AB2006">
        <v>24</v>
      </c>
      <c r="AC2006">
        <v>-9.0744000000000202</v>
      </c>
      <c r="AD2006">
        <v>-1.108442903154</v>
      </c>
      <c r="AE2006">
        <v>-6.1619000000000002</v>
      </c>
      <c r="AF2006">
        <v>4.7189216655641504</v>
      </c>
      <c r="AG2006">
        <v>-1.108442903154</v>
      </c>
      <c r="AH2006">
        <v>9.7788224613307406</v>
      </c>
      <c r="AI2006">
        <v>95.828931401087601</v>
      </c>
      <c r="AJ2006">
        <v>64.239649949767497</v>
      </c>
      <c r="AK2006">
        <v>10.9143133584073</v>
      </c>
      <c r="AL2006">
        <v>78.8620199346433</v>
      </c>
      <c r="AM2006">
        <v>72.331923635115103</v>
      </c>
      <c r="AN2006">
        <v>0.99999999635112502</v>
      </c>
    </row>
    <row r="2007" spans="1:40" x14ac:dyDescent="0.25">
      <c r="A2007" t="str">
        <f>"20190312172123089"</f>
        <v>20190312172123089</v>
      </c>
      <c r="B2007" t="str">
        <f>"1552382483083063"</f>
        <v>1552382483083063</v>
      </c>
      <c r="C2007" t="s">
        <v>40</v>
      </c>
      <c r="D2007">
        <v>3.341008</v>
      </c>
      <c r="E2007">
        <v>0.54859579999999997</v>
      </c>
      <c r="F2007" t="s">
        <v>45</v>
      </c>
      <c r="G2007">
        <v>-201.393</v>
      </c>
      <c r="H2007" s="1">
        <v>2.3670400000000002E-6</v>
      </c>
      <c r="I2007">
        <v>289.84750000000003</v>
      </c>
      <c r="J2007">
        <v>-191.9556</v>
      </c>
      <c r="K2007">
        <v>1.108525</v>
      </c>
      <c r="L2007">
        <v>296.24439999999998</v>
      </c>
      <c r="M2007">
        <v>-0.50370190000000004</v>
      </c>
      <c r="N2007">
        <v>0</v>
      </c>
      <c r="O2007">
        <v>-0.86377109999999901</v>
      </c>
      <c r="P2007">
        <v>-0.72870900000000005</v>
      </c>
      <c r="Q2007">
        <v>0.1842819</v>
      </c>
      <c r="R2007">
        <v>-0.65956320000000002</v>
      </c>
      <c r="S2007">
        <v>-2.5805509999999998</v>
      </c>
      <c r="T2007">
        <v>-0.29935460000000003</v>
      </c>
      <c r="U2007">
        <v>-1.7804869999999999</v>
      </c>
      <c r="V2007">
        <v>0.29826140000000001</v>
      </c>
      <c r="W2007">
        <v>0.1954284</v>
      </c>
      <c r="X2007">
        <v>0.93426330000000002</v>
      </c>
      <c r="Y2007">
        <v>0.42095700000000003</v>
      </c>
      <c r="Z2007">
        <v>9.2763230000000002E-2</v>
      </c>
      <c r="AA2007">
        <v>0.90232489999999999</v>
      </c>
      <c r="AB2007">
        <v>24</v>
      </c>
      <c r="AC2007">
        <v>-9.4373999999999896</v>
      </c>
      <c r="AD2007">
        <v>-1.10852263296</v>
      </c>
      <c r="AE2007">
        <v>-6.3968999999999596</v>
      </c>
      <c r="AF2007">
        <v>4.8839055916362097</v>
      </c>
      <c r="AG2007">
        <v>-1.10852263296</v>
      </c>
      <c r="AH2007">
        <v>10.1837657995233</v>
      </c>
      <c r="AI2007">
        <v>95.605552545846393</v>
      </c>
      <c r="AJ2007">
        <v>64.378668919200607</v>
      </c>
      <c r="AK2007">
        <v>11.348587670513901</v>
      </c>
      <c r="AL2007">
        <v>78.730249596891298</v>
      </c>
      <c r="AM2007">
        <v>72.294437245898493</v>
      </c>
      <c r="AN2007">
        <v>1.0000000179916999</v>
      </c>
    </row>
    <row r="2008" spans="1:40" x14ac:dyDescent="0.25">
      <c r="A2008" t="str">
        <f>"20190312172123112"</f>
        <v>20190312172123112</v>
      </c>
      <c r="B2008" t="str">
        <f>"1552382483102582"</f>
        <v>1552382483102582</v>
      </c>
      <c r="C2008" t="s">
        <v>40</v>
      </c>
      <c r="D2008">
        <v>3.324217</v>
      </c>
      <c r="E2008">
        <v>0.54762569999999999</v>
      </c>
      <c r="F2008" t="s">
        <v>45</v>
      </c>
      <c r="G2008">
        <v>-201.95930000000001</v>
      </c>
      <c r="H2008" s="1">
        <v>2.6710919999999999E-6</v>
      </c>
      <c r="I2008">
        <v>289.36059999999998</v>
      </c>
      <c r="J2008">
        <v>-192.07730000000001</v>
      </c>
      <c r="K2008">
        <v>1.1085860000000001</v>
      </c>
      <c r="L2008">
        <v>296.04360000000003</v>
      </c>
      <c r="M2008">
        <v>-0.50652339999999996</v>
      </c>
      <c r="N2008">
        <v>0</v>
      </c>
      <c r="O2008">
        <v>-0.86211970000000004</v>
      </c>
      <c r="P2008">
        <v>-0.73130439999999997</v>
      </c>
      <c r="Q2008">
        <v>0.18524969999999999</v>
      </c>
      <c r="R2008">
        <v>-0.65641179999999999</v>
      </c>
      <c r="S2008">
        <v>-2.5814210000000002</v>
      </c>
      <c r="T2008">
        <v>-0.28605150000000001</v>
      </c>
      <c r="U2008">
        <v>-1.7763369999999901</v>
      </c>
      <c r="V2008">
        <v>0.29901149999999999</v>
      </c>
      <c r="W2008">
        <v>0.19640750000000001</v>
      </c>
      <c r="X2008">
        <v>0.93381809999999998</v>
      </c>
      <c r="Y2008">
        <v>0.41946860000000002</v>
      </c>
      <c r="Z2008">
        <v>8.8581989999999999E-2</v>
      </c>
      <c r="AA2008">
        <v>0.90343759999999995</v>
      </c>
      <c r="AB2008">
        <v>24</v>
      </c>
      <c r="AC2008">
        <v>-9.8819999999999997</v>
      </c>
      <c r="AD2008">
        <v>-1.108583328908</v>
      </c>
      <c r="AE2008">
        <v>-6.6830000000000496</v>
      </c>
      <c r="AF2008">
        <v>5.0908808529011402</v>
      </c>
      <c r="AG2008">
        <v>-1.108583328908</v>
      </c>
      <c r="AH2008">
        <v>10.675809385748099</v>
      </c>
      <c r="AI2008">
        <v>95.354645369060904</v>
      </c>
      <c r="AJ2008">
        <v>64.505329996692396</v>
      </c>
      <c r="AK2008">
        <v>11.879348925610101</v>
      </c>
      <c r="AL2008">
        <v>78.673042592439003</v>
      </c>
      <c r="AM2008">
        <v>72.244770386770497</v>
      </c>
      <c r="AN2008">
        <v>1.00000001353805</v>
      </c>
    </row>
    <row r="2009" spans="1:40" x14ac:dyDescent="0.25">
      <c r="A2009" t="str">
        <f>"20190312172123134"</f>
        <v>20190312172123134</v>
      </c>
      <c r="B2009" t="str">
        <f>"1552382483132840"</f>
        <v>1552382483132840</v>
      </c>
      <c r="C2009" t="s">
        <v>40</v>
      </c>
      <c r="D2009">
        <v>3.3333330000000001</v>
      </c>
      <c r="E2009">
        <v>0.5464154</v>
      </c>
      <c r="F2009" t="s">
        <v>45</v>
      </c>
      <c r="G2009">
        <v>-202.37270000000001</v>
      </c>
      <c r="H2009" s="1">
        <v>2.8868960000000002E-6</v>
      </c>
      <c r="I2009">
        <v>288.98939999999999</v>
      </c>
      <c r="J2009">
        <v>-192.20269999999999</v>
      </c>
      <c r="K2009">
        <v>1.1086129999999901</v>
      </c>
      <c r="L2009">
        <v>295.83780000000002</v>
      </c>
      <c r="M2009">
        <v>-0.50938509999999904</v>
      </c>
      <c r="N2009">
        <v>0</v>
      </c>
      <c r="O2009">
        <v>-0.86043230000000004</v>
      </c>
      <c r="P2009">
        <v>-0.73387760000000002</v>
      </c>
      <c r="Q2009">
        <v>0.1857009</v>
      </c>
      <c r="R2009">
        <v>-0.65340549999999997</v>
      </c>
      <c r="S2009">
        <v>-2.58371</v>
      </c>
      <c r="T2009">
        <v>-0.278205599999999</v>
      </c>
      <c r="U2009">
        <v>-1.77029399999999</v>
      </c>
      <c r="V2009">
        <v>0.29963190000000001</v>
      </c>
      <c r="W2009">
        <v>0.1968606</v>
      </c>
      <c r="X2009">
        <v>0.93352380000000001</v>
      </c>
      <c r="Y2009">
        <v>0.41846470000000002</v>
      </c>
      <c r="Z2009">
        <v>8.6090269999999997E-2</v>
      </c>
      <c r="AA2009">
        <v>0.90414369999999999</v>
      </c>
      <c r="AB2009">
        <v>24</v>
      </c>
      <c r="AC2009">
        <v>-10.17</v>
      </c>
      <c r="AD2009">
        <v>-1.10861011310399</v>
      </c>
      <c r="AE2009">
        <v>-6.8484000000000202</v>
      </c>
      <c r="AF2009">
        <v>5.2199298685322999</v>
      </c>
      <c r="AG2009">
        <v>-1.10861011310399</v>
      </c>
      <c r="AH2009">
        <v>10.984243265618799</v>
      </c>
      <c r="AI2009">
        <v>95.208550462483601</v>
      </c>
      <c r="AJ2009">
        <v>64.582007591150202</v>
      </c>
      <c r="AK2009">
        <v>12.211891103902101</v>
      </c>
      <c r="AL2009">
        <v>78.646565119765199</v>
      </c>
      <c r="AM2009">
        <v>72.204996782790602</v>
      </c>
      <c r="AN2009">
        <v>1.0000000282482</v>
      </c>
    </row>
    <row r="2010" spans="1:40" x14ac:dyDescent="0.25">
      <c r="A2010" t="str">
        <f>"20190312172123156"</f>
        <v>20190312172123156</v>
      </c>
      <c r="B2010" t="str">
        <f>"1552382483153334"</f>
        <v>1552382483153334</v>
      </c>
      <c r="C2010" t="s">
        <v>40</v>
      </c>
      <c r="D2010">
        <v>3.310781</v>
      </c>
      <c r="E2010">
        <v>0.54572240000000005</v>
      </c>
      <c r="F2010" t="s">
        <v>45</v>
      </c>
      <c r="G2010">
        <v>-202.7252</v>
      </c>
      <c r="H2010" s="1">
        <v>3.0734169999999999E-6</v>
      </c>
      <c r="I2010">
        <v>288.64370000000002</v>
      </c>
      <c r="J2010">
        <v>-192.31960000000001</v>
      </c>
      <c r="K2010">
        <v>1.108625</v>
      </c>
      <c r="L2010">
        <v>295.64749999999998</v>
      </c>
      <c r="M2010">
        <v>-0.51203129999999997</v>
      </c>
      <c r="N2010">
        <v>0</v>
      </c>
      <c r="O2010">
        <v>-0.85886030000000002</v>
      </c>
      <c r="P2010">
        <v>-0.73651200000000006</v>
      </c>
      <c r="Q2010">
        <v>0.1855541</v>
      </c>
      <c r="R2010">
        <v>-0.65047659999999996</v>
      </c>
      <c r="S2010">
        <v>-2.5838779999999999</v>
      </c>
      <c r="T2010">
        <v>-0.27222809999999997</v>
      </c>
      <c r="U2010">
        <v>-1.7665709999999999</v>
      </c>
      <c r="V2010">
        <v>0.30050510000000002</v>
      </c>
      <c r="W2010">
        <v>0.1967034</v>
      </c>
      <c r="X2010">
        <v>0.9332762</v>
      </c>
      <c r="Y2010">
        <v>0.4167341</v>
      </c>
      <c r="Z2010">
        <v>8.4174330000000006E-2</v>
      </c>
      <c r="AA2010">
        <v>0.90512280000000001</v>
      </c>
      <c r="AB2010">
        <v>24</v>
      </c>
      <c r="AC2010">
        <v>-10.4055999999999</v>
      </c>
      <c r="AD2010">
        <v>-1.108621926583</v>
      </c>
      <c r="AE2010">
        <v>-7.0037999999999503</v>
      </c>
      <c r="AF2010">
        <v>5.3098018139842003</v>
      </c>
      <c r="AG2010">
        <v>-1.108621926583</v>
      </c>
      <c r="AH2010">
        <v>11.256382708122199</v>
      </c>
      <c r="AI2010">
        <v>95.090207504021194</v>
      </c>
      <c r="AJ2010">
        <v>64.746056636133403</v>
      </c>
      <c r="AK2010">
        <v>12.495166647612299</v>
      </c>
      <c r="AL2010">
        <v>78.655751359903604</v>
      </c>
      <c r="AM2010">
        <v>72.151988598715207</v>
      </c>
      <c r="AN2010">
        <v>1.0000000040920001</v>
      </c>
    </row>
    <row r="2011" spans="1:40" x14ac:dyDescent="0.25">
      <c r="A2011" t="str">
        <f>"20190312172123179"</f>
        <v>20190312172123179</v>
      </c>
      <c r="B2011" t="str">
        <f>"1552382483172854"</f>
        <v>1552382483172854</v>
      </c>
      <c r="C2011" t="s">
        <v>40</v>
      </c>
      <c r="D2011">
        <v>3.2776190000000001</v>
      </c>
      <c r="E2011">
        <v>0.54504569999999997</v>
      </c>
      <c r="F2011" t="s">
        <v>45</v>
      </c>
      <c r="G2011">
        <v>-202.893</v>
      </c>
      <c r="H2011" s="1">
        <v>3.164886E-6</v>
      </c>
      <c r="I2011">
        <v>288.44869999999997</v>
      </c>
      <c r="J2011">
        <v>-192.4503</v>
      </c>
      <c r="K2011">
        <v>1.108619</v>
      </c>
      <c r="L2011">
        <v>295.43599999999998</v>
      </c>
      <c r="M2011">
        <v>-0.51498619999999995</v>
      </c>
      <c r="N2011">
        <v>0</v>
      </c>
      <c r="O2011">
        <v>-0.85709190000000002</v>
      </c>
      <c r="P2011">
        <v>-0.7394212</v>
      </c>
      <c r="Q2011">
        <v>0.18481059999999999</v>
      </c>
      <c r="R2011">
        <v>-0.64738070000000003</v>
      </c>
      <c r="S2011">
        <v>-2.5863800000000001</v>
      </c>
      <c r="T2011">
        <v>-0.27118130000000001</v>
      </c>
      <c r="U2011">
        <v>-1.7608950000000001</v>
      </c>
      <c r="V2011">
        <v>0.30136659999999998</v>
      </c>
      <c r="W2011">
        <v>0.19594130000000001</v>
      </c>
      <c r="X2011">
        <v>0.93315870000000001</v>
      </c>
      <c r="Y2011">
        <v>0.41539920000000002</v>
      </c>
      <c r="Z2011">
        <v>8.3751889999999996E-2</v>
      </c>
      <c r="AA2011">
        <v>0.90577540000000001</v>
      </c>
      <c r="AB2011">
        <v>24</v>
      </c>
      <c r="AC2011">
        <v>-10.4427</v>
      </c>
      <c r="AD2011">
        <v>-1.1086158351140001</v>
      </c>
      <c r="AE2011">
        <v>-6.9873000000000003</v>
      </c>
      <c r="AF2011">
        <v>5.3111325233923798</v>
      </c>
      <c r="AG2011">
        <v>-1.1086158351140001</v>
      </c>
      <c r="AH2011">
        <v>11.279830073866</v>
      </c>
      <c r="AI2011">
        <v>95.081335269521801</v>
      </c>
      <c r="AJ2011">
        <v>64.786496764690995</v>
      </c>
      <c r="AK2011">
        <v>12.516857602697</v>
      </c>
      <c r="AL2011">
        <v>78.700282927036596</v>
      </c>
      <c r="AM2011">
        <v>72.101970895884094</v>
      </c>
      <c r="AN2011">
        <v>0.99999999001346995</v>
      </c>
    </row>
    <row r="2012" spans="1:40" x14ac:dyDescent="0.25">
      <c r="A2012" t="str">
        <f>"20190312172123202"</f>
        <v>20190312172123202</v>
      </c>
      <c r="B2012" t="str">
        <f>"1552382483193351"</f>
        <v>1552382483193351</v>
      </c>
      <c r="C2012" t="s">
        <v>40</v>
      </c>
      <c r="D2012">
        <v>3.287471</v>
      </c>
      <c r="E2012">
        <v>0.54445330000000003</v>
      </c>
      <c r="F2012" t="s">
        <v>45</v>
      </c>
      <c r="G2012">
        <v>-202.97399999999999</v>
      </c>
      <c r="H2012" s="1">
        <v>3.2131650000000001E-6</v>
      </c>
      <c r="I2012">
        <v>288.3075</v>
      </c>
      <c r="J2012">
        <v>-192.57599999999999</v>
      </c>
      <c r="K2012">
        <v>1.1085929999999999</v>
      </c>
      <c r="L2012">
        <v>295.23439999999999</v>
      </c>
      <c r="M2012">
        <v>-0.51783539999999995</v>
      </c>
      <c r="N2012">
        <v>0</v>
      </c>
      <c r="O2012">
        <v>-0.85537359999999896</v>
      </c>
      <c r="P2012">
        <v>-0.74282930000000003</v>
      </c>
      <c r="Q2012">
        <v>0.1841052</v>
      </c>
      <c r="R2012">
        <v>-0.64366909999999999</v>
      </c>
      <c r="S2012">
        <v>-2.5895999999999999</v>
      </c>
      <c r="T2012">
        <v>-0.27280019999999999</v>
      </c>
      <c r="U2012">
        <v>-1.7541500000000001</v>
      </c>
      <c r="V2012">
        <v>0.30309449999999999</v>
      </c>
      <c r="W2012">
        <v>0.1951997</v>
      </c>
      <c r="X2012">
        <v>0.93275439999999998</v>
      </c>
      <c r="Y2012">
        <v>0.41447790000000001</v>
      </c>
      <c r="Z2012">
        <v>8.4160139999999994E-2</v>
      </c>
      <c r="AA2012">
        <v>0.90615950000000001</v>
      </c>
      <c r="AB2012">
        <v>24</v>
      </c>
      <c r="AC2012">
        <v>-10.398</v>
      </c>
      <c r="AD2012">
        <v>-1.1085897868350001</v>
      </c>
      <c r="AE2012">
        <v>-6.9268999999999803</v>
      </c>
      <c r="AF2012">
        <v>5.2662044142432398</v>
      </c>
      <c r="AG2012">
        <v>-1.1085897868350001</v>
      </c>
      <c r="AH2012">
        <v>11.222219977716</v>
      </c>
      <c r="AI2012">
        <v>95.110267236225894</v>
      </c>
      <c r="AJ2012">
        <v>64.860938998340799</v>
      </c>
      <c r="AK2012">
        <v>12.4458869300793</v>
      </c>
      <c r="AL2012">
        <v>78.743610082765599</v>
      </c>
      <c r="AM2012">
        <v>71.9986541241514</v>
      </c>
      <c r="AN2012">
        <v>0.99999998476484897</v>
      </c>
    </row>
    <row r="2013" spans="1:40" x14ac:dyDescent="0.25">
      <c r="A2013" t="str">
        <f>"20190312172123236"</f>
        <v>20190312172123236</v>
      </c>
      <c r="B2013" t="str">
        <f>"1552382483233367"</f>
        <v>1552382483233367</v>
      </c>
      <c r="C2013" t="s">
        <v>40</v>
      </c>
      <c r="D2013">
        <v>3.2807400000000002</v>
      </c>
      <c r="E2013">
        <v>0.54350549999999997</v>
      </c>
      <c r="F2013" t="s">
        <v>45</v>
      </c>
      <c r="G2013">
        <v>-203.0232</v>
      </c>
      <c r="H2013" s="1">
        <v>3.243863E-6</v>
      </c>
      <c r="I2013">
        <v>288.2056</v>
      </c>
      <c r="J2013">
        <v>-192.76609999999999</v>
      </c>
      <c r="K2013">
        <v>1.108554</v>
      </c>
      <c r="L2013">
        <v>294.9323</v>
      </c>
      <c r="M2013">
        <v>-0.52218180000000003</v>
      </c>
      <c r="N2013">
        <v>0</v>
      </c>
      <c r="O2013">
        <v>-0.85272769999999998</v>
      </c>
      <c r="P2013">
        <v>-0.74721110000000002</v>
      </c>
      <c r="Q2013">
        <v>0.1834691</v>
      </c>
      <c r="R2013">
        <v>-0.63876080000000002</v>
      </c>
      <c r="S2013">
        <v>-2.594376</v>
      </c>
      <c r="T2013">
        <v>-0.2752984</v>
      </c>
      <c r="U2013">
        <v>-1.7454829999999999</v>
      </c>
      <c r="V2013">
        <v>0.30465189999999998</v>
      </c>
      <c r="W2013">
        <v>0.19450329999999999</v>
      </c>
      <c r="X2013">
        <v>0.93239249999999996</v>
      </c>
      <c r="Y2013">
        <v>0.41265200000000002</v>
      </c>
      <c r="Z2013">
        <v>8.475336E-2</v>
      </c>
      <c r="AA2013">
        <v>0.9069372</v>
      </c>
      <c r="AB2013">
        <v>24</v>
      </c>
      <c r="AC2013">
        <v>-10.257099999999999</v>
      </c>
      <c r="AD2013">
        <v>-1.108550756137</v>
      </c>
      <c r="AE2013">
        <v>-6.7266999999999904</v>
      </c>
      <c r="AF2013">
        <v>5.1920214932956803</v>
      </c>
      <c r="AG2013">
        <v>-1.108550756137</v>
      </c>
      <c r="AH2013">
        <v>11.0032505854556</v>
      </c>
      <c r="AI2013">
        <v>95.206044726994506</v>
      </c>
      <c r="AJ2013">
        <v>64.739131957348704</v>
      </c>
      <c r="AK2013">
        <v>12.2170984858151</v>
      </c>
      <c r="AL2013">
        <v>78.784291271254105</v>
      </c>
      <c r="AM2013">
        <v>71.905604525349901</v>
      </c>
      <c r="AN2013">
        <v>1.00000004397037</v>
      </c>
    </row>
    <row r="2014" spans="1:40" x14ac:dyDescent="0.25">
      <c r="A2014" t="str">
        <f>"20190312172123259"</f>
        <v>20190312172123259</v>
      </c>
      <c r="B2014" t="str">
        <f>"1552382483252886"</f>
        <v>1552382483252886</v>
      </c>
      <c r="C2014" t="s">
        <v>40</v>
      </c>
      <c r="D2014">
        <v>3.265984</v>
      </c>
      <c r="E2014">
        <v>0.54309030000000003</v>
      </c>
      <c r="F2014" t="s">
        <v>45</v>
      </c>
      <c r="G2014">
        <v>-203.15299999999999</v>
      </c>
      <c r="H2014" s="1">
        <v>3.3189359999999998E-6</v>
      </c>
      <c r="I2014">
        <v>288.00540000000001</v>
      </c>
      <c r="J2014">
        <v>-192.89850000000001</v>
      </c>
      <c r="K2014">
        <v>1.108514</v>
      </c>
      <c r="L2014">
        <v>294.72390000000001</v>
      </c>
      <c r="M2014">
        <v>-0.5252386</v>
      </c>
      <c r="N2014">
        <v>0</v>
      </c>
      <c r="O2014">
        <v>-0.85084819999999906</v>
      </c>
      <c r="P2014">
        <v>-0.74999530000000003</v>
      </c>
      <c r="Q2014">
        <v>0.1834953</v>
      </c>
      <c r="R2014">
        <v>-0.63548149999999903</v>
      </c>
      <c r="S2014">
        <v>-2.6005549999999999</v>
      </c>
      <c r="T2014">
        <v>-0.27754590000000001</v>
      </c>
      <c r="U2014">
        <v>-1.7342529999999901</v>
      </c>
      <c r="V2014">
        <v>0.30540719999999999</v>
      </c>
      <c r="W2014">
        <v>0.19448550000000001</v>
      </c>
      <c r="X2014">
        <v>0.93214909999999995</v>
      </c>
      <c r="Y2014">
        <v>0.41303640000000003</v>
      </c>
      <c r="Z2014">
        <v>8.5374389999999994E-2</v>
      </c>
      <c r="AA2014">
        <v>0.90670399999999995</v>
      </c>
      <c r="AB2014">
        <v>23</v>
      </c>
      <c r="AC2014">
        <v>-10.254499999999901</v>
      </c>
      <c r="AD2014">
        <v>-1.108510681064</v>
      </c>
      <c r="AE2014">
        <v>-6.7184999999999997</v>
      </c>
      <c r="AF2014">
        <v>5.1545361157501999</v>
      </c>
      <c r="AG2014">
        <v>-1.108510681064</v>
      </c>
      <c r="AH2014">
        <v>11.0134459977021</v>
      </c>
      <c r="AI2014">
        <v>95.208716912183405</v>
      </c>
      <c r="AJ2014">
        <v>64.919367292835105</v>
      </c>
      <c r="AK2014">
        <v>12.2104066780311</v>
      </c>
      <c r="AL2014">
        <v>78.785331128482895</v>
      </c>
      <c r="AM2014">
        <v>71.859252761266603</v>
      </c>
      <c r="AN2014">
        <v>1.0000000560764399</v>
      </c>
    </row>
    <row r="2015" spans="1:40" x14ac:dyDescent="0.25">
      <c r="A2015" t="str">
        <f>"20190312172123283"</f>
        <v>20190312172123283</v>
      </c>
      <c r="B2015" t="str">
        <f>"1552382483273382"</f>
        <v>1552382483273382</v>
      </c>
      <c r="C2015" t="s">
        <v>40</v>
      </c>
      <c r="D2015">
        <v>3.274295</v>
      </c>
      <c r="E2015">
        <v>0.54270079999999998</v>
      </c>
      <c r="F2015" t="s">
        <v>45</v>
      </c>
      <c r="G2015">
        <v>-203.31299999999999</v>
      </c>
      <c r="H2015" s="1">
        <v>3.4052029999999999E-6</v>
      </c>
      <c r="I2015">
        <v>287.83010000000002</v>
      </c>
      <c r="J2015">
        <v>-193.02979999999999</v>
      </c>
      <c r="K2015">
        <v>1.1084499999999999</v>
      </c>
      <c r="L2015">
        <v>294.51909999999998</v>
      </c>
      <c r="M2015">
        <v>-0.52833369999999902</v>
      </c>
      <c r="N2015">
        <v>0</v>
      </c>
      <c r="O2015">
        <v>-0.84893009999999902</v>
      </c>
      <c r="P2015">
        <v>-0.75311729999999999</v>
      </c>
      <c r="Q2015">
        <v>0.18345210000000001</v>
      </c>
      <c r="R2015">
        <v>-0.63179149999999995</v>
      </c>
      <c r="S2015">
        <v>-2.6061709999999998</v>
      </c>
      <c r="T2015">
        <v>-0.2773988</v>
      </c>
      <c r="U2015">
        <v>-1.72512799999999</v>
      </c>
      <c r="V2015">
        <v>0.30663020000000002</v>
      </c>
      <c r="W2015">
        <v>0.1943821</v>
      </c>
      <c r="X2015">
        <v>0.93176899999999996</v>
      </c>
      <c r="Y2015">
        <v>0.41283720000000002</v>
      </c>
      <c r="Z2015">
        <v>8.5224309999999998E-2</v>
      </c>
      <c r="AA2015">
        <v>0.90680890000000003</v>
      </c>
      <c r="AB2015">
        <v>23</v>
      </c>
      <c r="AC2015">
        <v>-10.2831999999999</v>
      </c>
      <c r="AD2015">
        <v>-1.1084465947969999</v>
      </c>
      <c r="AE2015">
        <v>-6.6889999999999601</v>
      </c>
      <c r="AF2015">
        <v>5.1540840101807497</v>
      </c>
      <c r="AG2015">
        <v>-1.1084465947969999</v>
      </c>
      <c r="AH2015">
        <v>11.0224681160879</v>
      </c>
      <c r="AI2015">
        <v>95.205020191602202</v>
      </c>
      <c r="AJ2015">
        <v>64.939303592265205</v>
      </c>
      <c r="AK2015">
        <v>12.2183484648169</v>
      </c>
      <c r="AL2015">
        <v>78.791369852351593</v>
      </c>
      <c r="AM2015">
        <v>71.784455638500106</v>
      </c>
      <c r="AN2015">
        <v>0.99999997485672398</v>
      </c>
    </row>
    <row r="2016" spans="1:40" x14ac:dyDescent="0.25">
      <c r="A2016" t="str">
        <f>"20190312172123303"</f>
        <v>20190312172123303</v>
      </c>
      <c r="B2016" t="str">
        <f>"1552382483292902"</f>
        <v>1552382483292902</v>
      </c>
      <c r="C2016" t="s">
        <v>40</v>
      </c>
      <c r="D2016">
        <v>3.294286</v>
      </c>
      <c r="E2016">
        <v>0.54236300000000004</v>
      </c>
      <c r="F2016" t="s">
        <v>45</v>
      </c>
      <c r="G2016">
        <v>-203.4666</v>
      </c>
      <c r="H2016" s="1">
        <v>3.4874470000000001E-6</v>
      </c>
      <c r="I2016">
        <v>287.66849999999999</v>
      </c>
      <c r="J2016">
        <v>-193.14920000000001</v>
      </c>
      <c r="K2016">
        <v>1.1083689999999999</v>
      </c>
      <c r="L2016">
        <v>294.33449999999999</v>
      </c>
      <c r="M2016">
        <v>-0.5312154</v>
      </c>
      <c r="N2016">
        <v>0</v>
      </c>
      <c r="O2016">
        <v>-0.84712980000000004</v>
      </c>
      <c r="P2016">
        <v>-0.75600029999999996</v>
      </c>
      <c r="Q2016">
        <v>0.18385389999999999</v>
      </c>
      <c r="R2016">
        <v>-0.62822140000000004</v>
      </c>
      <c r="S2016">
        <v>-2.6124879999999999</v>
      </c>
      <c r="T2016">
        <v>-0.27746150000000003</v>
      </c>
      <c r="U2016">
        <v>-1.7148129999999999</v>
      </c>
      <c r="V2016">
        <v>0.30782910000000002</v>
      </c>
      <c r="W2016">
        <v>0.19471559999999999</v>
      </c>
      <c r="X2016">
        <v>0.93130400000000002</v>
      </c>
      <c r="Y2016">
        <v>0.41325420000000002</v>
      </c>
      <c r="Z2016">
        <v>8.5162089999999996E-2</v>
      </c>
      <c r="AA2016">
        <v>0.90662469999999995</v>
      </c>
      <c r="AB2016">
        <v>23</v>
      </c>
      <c r="AC2016">
        <v>-10.3173999999999</v>
      </c>
      <c r="AD2016">
        <v>-1.1083655125530001</v>
      </c>
      <c r="AE2016">
        <v>-6.6659999999999897</v>
      </c>
      <c r="AF2016">
        <v>5.1575744188831401</v>
      </c>
      <c r="AG2016">
        <v>-1.1083655125530001</v>
      </c>
      <c r="AH2016">
        <v>11.0388613668238</v>
      </c>
      <c r="AI2016">
        <v>95.197704662522398</v>
      </c>
      <c r="AJ2016">
        <v>64.957088189345498</v>
      </c>
      <c r="AK2016">
        <v>12.2346029061711</v>
      </c>
      <c r="AL2016">
        <v>78.771890122596304</v>
      </c>
      <c r="AM2016">
        <v>71.709442006992603</v>
      </c>
      <c r="AN2016">
        <v>1.00000003005308</v>
      </c>
    </row>
    <row r="2017" spans="1:40" x14ac:dyDescent="0.25">
      <c r="A2017" t="str">
        <f>"20190312172123325"</f>
        <v>20190312172123325</v>
      </c>
      <c r="B2017" t="str">
        <f>"1552382483323159"</f>
        <v>1552382483323159</v>
      </c>
      <c r="C2017" t="s">
        <v>40</v>
      </c>
      <c r="D2017">
        <v>3.2621389999999999</v>
      </c>
      <c r="E2017">
        <v>0.54186119999999904</v>
      </c>
      <c r="F2017" t="s">
        <v>45</v>
      </c>
      <c r="G2017">
        <v>-203.6635</v>
      </c>
      <c r="H2017" s="1">
        <v>3.5903179999999998E-6</v>
      </c>
      <c r="I2017">
        <v>287.49040000000002</v>
      </c>
      <c r="J2017">
        <v>-193.27459999999999</v>
      </c>
      <c r="K2017">
        <v>1.108274</v>
      </c>
      <c r="L2017">
        <v>294.14229999999998</v>
      </c>
      <c r="M2017">
        <v>-0.53430349999999904</v>
      </c>
      <c r="N2017">
        <v>0</v>
      </c>
      <c r="O2017">
        <v>-0.84518530000000003</v>
      </c>
      <c r="P2017">
        <v>-0.75932319999999998</v>
      </c>
      <c r="Q2017">
        <v>0.18394430000000001</v>
      </c>
      <c r="R2017">
        <v>-0.62417400000000001</v>
      </c>
      <c r="S2017">
        <v>-2.6188199999999999</v>
      </c>
      <c r="T2017">
        <v>-0.27606459999999999</v>
      </c>
      <c r="U2017">
        <v>-1.7046809999999999</v>
      </c>
      <c r="V2017">
        <v>0.30942920000000002</v>
      </c>
      <c r="W2017">
        <v>0.19472919999999999</v>
      </c>
      <c r="X2017">
        <v>0.93077069999999995</v>
      </c>
      <c r="Y2017">
        <v>0.41343859999999899</v>
      </c>
      <c r="Z2017">
        <v>8.4635730000000006E-2</v>
      </c>
      <c r="AA2017">
        <v>0.90658989999999995</v>
      </c>
      <c r="AB2017">
        <v>23</v>
      </c>
      <c r="AC2017">
        <v>-10.3889</v>
      </c>
      <c r="AD2017">
        <v>-1.108270409682</v>
      </c>
      <c r="AE2017">
        <v>-6.6518999999999497</v>
      </c>
      <c r="AF2017">
        <v>5.1850367949244802</v>
      </c>
      <c r="AG2017">
        <v>-1.108270409682</v>
      </c>
      <c r="AH2017">
        <v>11.0844624478892</v>
      </c>
      <c r="AI2017">
        <v>95.1748992986997</v>
      </c>
      <c r="AJ2017">
        <v>64.930972131206005</v>
      </c>
      <c r="AK2017">
        <v>12.287317755489299</v>
      </c>
      <c r="AL2017">
        <v>78.771095278282999</v>
      </c>
      <c r="AM2017">
        <v>71.610919322082793</v>
      </c>
      <c r="AN2017">
        <v>0.99999999356188496</v>
      </c>
    </row>
    <row r="2018" spans="1:40" x14ac:dyDescent="0.25">
      <c r="A2018" t="str">
        <f>"20190312172123346"</f>
        <v>20190312172123346</v>
      </c>
      <c r="B2018" t="str">
        <f>"1552382483342679"</f>
        <v>1552382483342679</v>
      </c>
      <c r="C2018" t="s">
        <v>40</v>
      </c>
      <c r="D2018">
        <v>3.2988209999999998</v>
      </c>
      <c r="E2018">
        <v>0.54156729999999997</v>
      </c>
      <c r="F2018" t="s">
        <v>45</v>
      </c>
      <c r="G2018">
        <v>-203.80709999999999</v>
      </c>
      <c r="H2018" s="1">
        <v>3.6667649999999999E-6</v>
      </c>
      <c r="I2018">
        <v>287.34480000000002</v>
      </c>
      <c r="J2018">
        <v>-193.39660000000001</v>
      </c>
      <c r="K2018">
        <v>1.108185</v>
      </c>
      <c r="L2018">
        <v>293.9572</v>
      </c>
      <c r="M2018">
        <v>-0.53736989999999996</v>
      </c>
      <c r="N2018">
        <v>0</v>
      </c>
      <c r="O2018">
        <v>-0.84323890000000001</v>
      </c>
      <c r="P2018">
        <v>-0.76281330000000003</v>
      </c>
      <c r="Q2018">
        <v>0.18337880000000001</v>
      </c>
      <c r="R2018">
        <v>-0.62007109999999999</v>
      </c>
      <c r="S2018">
        <v>-2.6251370000000001</v>
      </c>
      <c r="T2018">
        <v>-0.276227099999999</v>
      </c>
      <c r="U2018">
        <v>-1.6942140000000001</v>
      </c>
      <c r="V2018">
        <v>0.31122060000000001</v>
      </c>
      <c r="W2018">
        <v>0.19408610000000001</v>
      </c>
      <c r="X2018">
        <v>0.93030760000000001</v>
      </c>
      <c r="Y2018">
        <v>0.41367949999999998</v>
      </c>
      <c r="Z2018">
        <v>8.4590020000000002E-2</v>
      </c>
      <c r="AA2018">
        <v>0.90648430000000002</v>
      </c>
      <c r="AB2018">
        <v>23</v>
      </c>
      <c r="AC2018">
        <v>-10.4104999999999</v>
      </c>
      <c r="AD2018">
        <v>-1.1081813332349999</v>
      </c>
      <c r="AE2018">
        <v>-6.6123999999999796</v>
      </c>
      <c r="AF2018">
        <v>5.1838545908892497</v>
      </c>
      <c r="AG2018">
        <v>-1.1081813332349999</v>
      </c>
      <c r="AH2018">
        <v>11.081664714281899</v>
      </c>
      <c r="AI2018">
        <v>95.175762356542904</v>
      </c>
      <c r="AJ2018">
        <v>64.930435481472998</v>
      </c>
      <c r="AK2018">
        <v>12.284287001148099</v>
      </c>
      <c r="AL2018">
        <v>78.808658421679198</v>
      </c>
      <c r="AM2018">
        <v>71.5031000020455</v>
      </c>
      <c r="AN2018">
        <v>0.99999995334766301</v>
      </c>
    </row>
    <row r="2019" spans="1:40" x14ac:dyDescent="0.25">
      <c r="A2019" t="str">
        <f>"20190312172123370"</f>
        <v>20190312172123370</v>
      </c>
      <c r="B2019" t="str">
        <f>"1552382483363175"</f>
        <v>1552382483363175</v>
      </c>
      <c r="C2019" t="s">
        <v>40</v>
      </c>
      <c r="D2019">
        <v>3.2896990000000002</v>
      </c>
      <c r="E2019">
        <v>0.54130659999999997</v>
      </c>
      <c r="F2019" t="s">
        <v>45</v>
      </c>
      <c r="G2019">
        <v>-203.85249999999999</v>
      </c>
      <c r="H2019" s="1">
        <v>3.6929339999999999E-6</v>
      </c>
      <c r="I2019">
        <v>287.27569999999997</v>
      </c>
      <c r="J2019">
        <v>-193.53270000000001</v>
      </c>
      <c r="K2019">
        <v>1.1080939999999999</v>
      </c>
      <c r="L2019">
        <v>293.75240000000002</v>
      </c>
      <c r="M2019">
        <v>-0.54088910000000001</v>
      </c>
      <c r="N2019">
        <v>0</v>
      </c>
      <c r="O2019">
        <v>-0.84098569999999995</v>
      </c>
      <c r="P2019">
        <v>-0.76770169999999904</v>
      </c>
      <c r="Q2019">
        <v>0.18166489999999999</v>
      </c>
      <c r="R2019">
        <v>-0.61451820000000001</v>
      </c>
      <c r="S2019">
        <v>-2.6324770000000002</v>
      </c>
      <c r="T2019">
        <v>-0.2790049</v>
      </c>
      <c r="U2019">
        <v>-1.6821900000000001</v>
      </c>
      <c r="V2019">
        <v>0.3144691</v>
      </c>
      <c r="W2019">
        <v>0.1922721</v>
      </c>
      <c r="X2019">
        <v>0.92959170000000002</v>
      </c>
      <c r="Y2019">
        <v>0.41389920000000002</v>
      </c>
      <c r="Z2019">
        <v>8.5318359999999996E-2</v>
      </c>
      <c r="AA2019">
        <v>0.90631569999999995</v>
      </c>
      <c r="AB2019">
        <v>23</v>
      </c>
      <c r="AC2019">
        <v>-10.319799999999899</v>
      </c>
      <c r="AD2019">
        <v>-1.108090307066</v>
      </c>
      <c r="AE2019">
        <v>-6.4767000000000499</v>
      </c>
      <c r="AF2019">
        <v>5.1336362710180898</v>
      </c>
      <c r="AG2019">
        <v>-1.108090307066</v>
      </c>
      <c r="AH2019">
        <v>10.939200217646899</v>
      </c>
      <c r="AI2019">
        <v>95.239360027275893</v>
      </c>
      <c r="AJ2019">
        <v>64.859894401731395</v>
      </c>
      <c r="AK2019">
        <v>12.134586391529499</v>
      </c>
      <c r="AL2019">
        <v>78.914589442388802</v>
      </c>
      <c r="AM2019">
        <v>71.309972849120498</v>
      </c>
      <c r="AN2019">
        <v>1.0000000520010499</v>
      </c>
    </row>
    <row r="2020" spans="1:40" x14ac:dyDescent="0.25">
      <c r="A2020" t="str">
        <f>"20190312172123391"</f>
        <v>20190312172123391</v>
      </c>
      <c r="B2020" t="str">
        <f>"1552382483382695"</f>
        <v>1552382483382695</v>
      </c>
      <c r="C2020" t="s">
        <v>40</v>
      </c>
      <c r="D2020">
        <v>3.3785470000000002</v>
      </c>
      <c r="E2020">
        <v>0.54132539999999996</v>
      </c>
      <c r="F2020" t="s">
        <v>45</v>
      </c>
      <c r="G2020">
        <v>-203.80850000000001</v>
      </c>
      <c r="H2020" s="1">
        <v>3.6726499999999999E-6</v>
      </c>
      <c r="I2020">
        <v>287.28440000000001</v>
      </c>
      <c r="J2020">
        <v>-193.66120000000001</v>
      </c>
      <c r="K2020">
        <v>1.1079969999999999</v>
      </c>
      <c r="L2020">
        <v>293.56119999999999</v>
      </c>
      <c r="M2020">
        <v>-0.54430800000000001</v>
      </c>
      <c r="N2020">
        <v>0</v>
      </c>
      <c r="O2020">
        <v>-0.83877690000000005</v>
      </c>
      <c r="P2020">
        <v>-0.77255109999999905</v>
      </c>
      <c r="Q2020">
        <v>0.18090639999999999</v>
      </c>
      <c r="R2020">
        <v>-0.60863579999999995</v>
      </c>
      <c r="S2020">
        <v>-2.6433719999999998</v>
      </c>
      <c r="T2020">
        <v>-0.285049</v>
      </c>
      <c r="U2020">
        <v>-1.6638489999999999</v>
      </c>
      <c r="V2020">
        <v>0.31798140000000003</v>
      </c>
      <c r="W2020">
        <v>0.1914083</v>
      </c>
      <c r="X2020">
        <v>0.92857460000000003</v>
      </c>
      <c r="Y2020">
        <v>0.41622720000000002</v>
      </c>
      <c r="Z2020">
        <v>8.7106089999999997E-2</v>
      </c>
      <c r="AA2020">
        <v>0.90507870000000001</v>
      </c>
      <c r="AB2020">
        <v>23</v>
      </c>
      <c r="AC2020">
        <v>-10.1473</v>
      </c>
      <c r="AD2020">
        <v>-1.10799332735</v>
      </c>
      <c r="AE2020">
        <v>-6.2767999999999802</v>
      </c>
      <c r="AF2020">
        <v>5.0517104719281702</v>
      </c>
      <c r="AG2020">
        <v>-1.10799332735</v>
      </c>
      <c r="AH2020">
        <v>10.6968329863014</v>
      </c>
      <c r="AI2020">
        <v>95.350822698784597</v>
      </c>
      <c r="AJ2020">
        <v>64.720402286757505</v>
      </c>
      <c r="AK2020">
        <v>11.881484075756999</v>
      </c>
      <c r="AL2020">
        <v>78.965018144855506</v>
      </c>
      <c r="AM2020">
        <v>71.096727498542094</v>
      </c>
      <c r="AN2020">
        <v>1.00000004791</v>
      </c>
    </row>
    <row r="2021" spans="1:40" x14ac:dyDescent="0.25">
      <c r="A2021" t="str">
        <f>"20190312172123414"</f>
        <v>20190312172123414</v>
      </c>
      <c r="B2021" t="str">
        <f>"1552382483403194"</f>
        <v>1552382483403194</v>
      </c>
      <c r="C2021" t="s">
        <v>40</v>
      </c>
      <c r="D2021">
        <v>3.3024849999999999</v>
      </c>
      <c r="E2021">
        <v>0.57277599999999995</v>
      </c>
      <c r="F2021" t="s">
        <v>45</v>
      </c>
      <c r="G2021">
        <v>-203.87520000000001</v>
      </c>
      <c r="H2021" s="1">
        <v>3.7061739999999999E-6</v>
      </c>
      <c r="I2021">
        <v>287.23930000000001</v>
      </c>
      <c r="J2021">
        <v>-193.7954</v>
      </c>
      <c r="K2021">
        <v>1.107893</v>
      </c>
      <c r="L2021">
        <v>293.36349999999999</v>
      </c>
      <c r="M2021">
        <v>-0.54798530000000001</v>
      </c>
      <c r="N2021">
        <v>0</v>
      </c>
      <c r="O2021">
        <v>-0.83637919999999999</v>
      </c>
      <c r="P2021">
        <v>-0.77761759999999902</v>
      </c>
      <c r="Q2021">
        <v>0.18042440000000001</v>
      </c>
      <c r="R2021">
        <v>-0.60229429999999995</v>
      </c>
      <c r="S2021">
        <v>-2.655716</v>
      </c>
      <c r="T2021">
        <v>-0.28808739999999999</v>
      </c>
      <c r="U2021">
        <v>-1.6437379999999999</v>
      </c>
      <c r="V2021">
        <v>0.32164989999999999</v>
      </c>
      <c r="W2021">
        <v>0.19080920000000001</v>
      </c>
      <c r="X2021">
        <v>0.92743370000000003</v>
      </c>
      <c r="Y2021">
        <v>0.41899609999999898</v>
      </c>
      <c r="Z2021">
        <v>8.7968530000000003E-2</v>
      </c>
      <c r="AA2021">
        <v>0.90371670000000004</v>
      </c>
      <c r="AB2021">
        <v>23</v>
      </c>
      <c r="AC2021">
        <v>-10.079800000000001</v>
      </c>
      <c r="AD2021">
        <v>-1.1078892938259901</v>
      </c>
      <c r="AE2021">
        <v>-6.1241999999999699</v>
      </c>
      <c r="AF2021">
        <v>5.0306374534776896</v>
      </c>
      <c r="AG2021">
        <v>-1.1078892938259901</v>
      </c>
      <c r="AH2021">
        <v>10.5535849535969</v>
      </c>
      <c r="AI2021">
        <v>95.4133098422502</v>
      </c>
      <c r="AJ2021">
        <v>64.513996983509699</v>
      </c>
      <c r="AK2021">
        <v>11.743631774221001</v>
      </c>
      <c r="AL2021">
        <v>78.999988484563204</v>
      </c>
      <c r="AM2021">
        <v>70.872577680034297</v>
      </c>
      <c r="AN2021">
        <v>1.0000000384351599</v>
      </c>
    </row>
    <row r="2022" spans="1:40" x14ac:dyDescent="0.25">
      <c r="A2022" t="str">
        <f>"20190312172123436"</f>
        <v>20190312172123436</v>
      </c>
      <c r="B2022" t="str">
        <f>"1552382483432471"</f>
        <v>1552382483432471</v>
      </c>
      <c r="C2022" t="s">
        <v>40</v>
      </c>
      <c r="D2022">
        <v>3.3144200000000001</v>
      </c>
      <c r="E2022">
        <v>0.57769359999999903</v>
      </c>
      <c r="F2022" t="s">
        <v>45</v>
      </c>
      <c r="G2022">
        <v>-208.97200000000001</v>
      </c>
      <c r="H2022" s="1">
        <v>6.0997089999999998E-6</v>
      </c>
      <c r="I2022">
        <v>285.71420000000001</v>
      </c>
      <c r="J2022">
        <v>-193.9211</v>
      </c>
      <c r="K2022">
        <v>1.107785</v>
      </c>
      <c r="L2022">
        <v>293.18029999999999</v>
      </c>
      <c r="M2022">
        <v>-0.55153249999999998</v>
      </c>
      <c r="N2022">
        <v>0</v>
      </c>
      <c r="O2022">
        <v>-0.83404439999999902</v>
      </c>
      <c r="P2022">
        <v>-0.78277949999999996</v>
      </c>
      <c r="Q2022">
        <v>0.17972929999999901</v>
      </c>
      <c r="R2022">
        <v>-0.59578039999999999</v>
      </c>
      <c r="S2022">
        <v>-2.8089599999999999</v>
      </c>
      <c r="T2022">
        <v>-0.20505390000000001</v>
      </c>
      <c r="U2022">
        <v>-1.4157709999999999</v>
      </c>
      <c r="V2022">
        <v>0.3256406</v>
      </c>
      <c r="W2022">
        <v>0.18999179999999999</v>
      </c>
      <c r="X2022">
        <v>0.92620800000000003</v>
      </c>
      <c r="Y2022">
        <v>0.49450529999999998</v>
      </c>
      <c r="Z2022">
        <v>6.3787389999999999E-2</v>
      </c>
      <c r="AA2022">
        <v>0.86683080000000001</v>
      </c>
      <c r="AB2022">
        <v>23</v>
      </c>
      <c r="AC2022">
        <v>-15.0509</v>
      </c>
      <c r="AD2022">
        <v>-1.1077789002909999</v>
      </c>
      <c r="AE2022">
        <v>-7.4660999999999804</v>
      </c>
      <c r="AF2022">
        <v>8.3995721003060808</v>
      </c>
      <c r="AG2022">
        <v>-1.1077789002909999</v>
      </c>
      <c r="AH2022">
        <v>14.4665473922371</v>
      </c>
      <c r="AI2022">
        <v>93.788715447850507</v>
      </c>
      <c r="AJ2022">
        <v>59.859676744366602</v>
      </c>
      <c r="AK2022">
        <v>16.764873367013902</v>
      </c>
      <c r="AL2022">
        <v>79.047694031080198</v>
      </c>
      <c r="AM2022">
        <v>70.629103821504401</v>
      </c>
      <c r="AN2022">
        <v>0.99999997184979905</v>
      </c>
    </row>
    <row r="2023" spans="1:40" x14ac:dyDescent="0.25">
      <c r="A2023" t="str">
        <f>"20190312172123461"</f>
        <v>20190312172123461</v>
      </c>
      <c r="B2023" t="str">
        <f>"1552382483452966"</f>
        <v>1552382483452966</v>
      </c>
      <c r="C2023" t="s">
        <v>40</v>
      </c>
      <c r="D2023">
        <v>3.3452030000000001</v>
      </c>
      <c r="E2023">
        <v>0.57936980000000005</v>
      </c>
      <c r="F2023" t="s">
        <v>45</v>
      </c>
      <c r="G2023">
        <v>-208.96799999999999</v>
      </c>
      <c r="H2023" s="1">
        <v>6.074953E-6</v>
      </c>
      <c r="I2023">
        <v>285.97710000000001</v>
      </c>
      <c r="J2023">
        <v>-194.0703</v>
      </c>
      <c r="K2023">
        <v>1.1076539999999999</v>
      </c>
      <c r="L2023">
        <v>292.96550000000002</v>
      </c>
      <c r="M2023">
        <v>-0.5558689</v>
      </c>
      <c r="N2023">
        <v>0</v>
      </c>
      <c r="O2023">
        <v>-0.83116039999999902</v>
      </c>
      <c r="P2023">
        <v>-0.78876169999999901</v>
      </c>
      <c r="Q2023">
        <v>0.17884939999999999</v>
      </c>
      <c r="R2023">
        <v>-0.58810569999999995</v>
      </c>
      <c r="S2023">
        <v>-2.8442539999999998</v>
      </c>
      <c r="T2023">
        <v>-0.2093998</v>
      </c>
      <c r="U2023">
        <v>-1.3616029999999999</v>
      </c>
      <c r="V2023">
        <v>0.33009359999999999</v>
      </c>
      <c r="W2023">
        <v>0.18896370000000001</v>
      </c>
      <c r="X2023">
        <v>0.92484100000000002</v>
      </c>
      <c r="Y2023">
        <v>0.50749849999999996</v>
      </c>
      <c r="Z2023">
        <v>6.5157309999999996E-2</v>
      </c>
      <c r="AA2023">
        <v>0.85918559999999999</v>
      </c>
      <c r="AB2023">
        <v>23</v>
      </c>
      <c r="AC2023">
        <v>-14.897699999999899</v>
      </c>
      <c r="AD2023">
        <v>-1.1076479250469999</v>
      </c>
      <c r="AE2023">
        <v>-6.9884000000000102</v>
      </c>
      <c r="AF2023">
        <v>8.46018555023117</v>
      </c>
      <c r="AG2023">
        <v>-1.1076479250469999</v>
      </c>
      <c r="AH2023">
        <v>14.027375701814201</v>
      </c>
      <c r="AI2023">
        <v>93.868293939499097</v>
      </c>
      <c r="AJ2023">
        <v>58.904996940985299</v>
      </c>
      <c r="AK2023">
        <v>16.4185533025918</v>
      </c>
      <c r="AL2023">
        <v>79.107686570428598</v>
      </c>
      <c r="AM2023">
        <v>70.357536786711705</v>
      </c>
      <c r="AN2023">
        <v>0.99999996997982399</v>
      </c>
    </row>
    <row r="2024" spans="1:40" x14ac:dyDescent="0.25">
      <c r="A2024" t="str">
        <f>"20190312172123483"</f>
        <v>20190312172123483</v>
      </c>
      <c r="B2024" t="str">
        <f>"1552382483473462"</f>
        <v>1552382483473462</v>
      </c>
      <c r="C2024" t="s">
        <v>40</v>
      </c>
      <c r="D2024">
        <v>3.3270840000000002</v>
      </c>
      <c r="E2024">
        <v>0.58048699999999998</v>
      </c>
      <c r="F2024" t="s">
        <v>45</v>
      </c>
      <c r="G2024">
        <v>-209.38239999999999</v>
      </c>
      <c r="H2024" s="1">
        <v>6.2661309999999998E-6</v>
      </c>
      <c r="I2024">
        <v>285.89240000000001</v>
      </c>
      <c r="J2024">
        <v>-194.20179999999999</v>
      </c>
      <c r="K2024">
        <v>1.1075280000000001</v>
      </c>
      <c r="L2024">
        <v>292.77859999999998</v>
      </c>
      <c r="M2024">
        <v>-0.55981990000000004</v>
      </c>
      <c r="N2024">
        <v>0</v>
      </c>
      <c r="O2024">
        <v>-0.82850409999999997</v>
      </c>
      <c r="P2024">
        <v>-0.79434510000000003</v>
      </c>
      <c r="Q2024">
        <v>0.1775523</v>
      </c>
      <c r="R2024">
        <v>-0.58094049999999997</v>
      </c>
      <c r="S2024">
        <v>-2.8640140000000001</v>
      </c>
      <c r="T2024">
        <v>-0.20717769999999999</v>
      </c>
      <c r="U2024">
        <v>-1.3229679999999999</v>
      </c>
      <c r="V2024">
        <v>0.33435819999999999</v>
      </c>
      <c r="W2024">
        <v>0.1875288</v>
      </c>
      <c r="X2024">
        <v>0.92360030000000004</v>
      </c>
      <c r="Y2024">
        <v>0.51523719999999995</v>
      </c>
      <c r="Z2024">
        <v>6.4513909999999994E-2</v>
      </c>
      <c r="AA2024">
        <v>0.85461609999999999</v>
      </c>
      <c r="AB2024">
        <v>23</v>
      </c>
      <c r="AC2024">
        <v>-15.180599999999901</v>
      </c>
      <c r="AD2024">
        <v>-1.107521733869</v>
      </c>
      <c r="AE2024">
        <v>-6.8861999999999703</v>
      </c>
      <c r="AF2024">
        <v>8.6846175975839497</v>
      </c>
      <c r="AG2024">
        <v>-1.107521733869</v>
      </c>
      <c r="AH2024">
        <v>14.1425147670152</v>
      </c>
      <c r="AI2024">
        <v>93.817888249400198</v>
      </c>
      <c r="AJ2024">
        <v>58.446798954907202</v>
      </c>
      <c r="AK2024">
        <v>16.633096859649999</v>
      </c>
      <c r="AL2024">
        <v>79.1913970489001</v>
      </c>
      <c r="AM2024">
        <v>70.098927245229106</v>
      </c>
      <c r="AN2024">
        <v>0.99999998544838498</v>
      </c>
    </row>
    <row r="2025" spans="1:40" x14ac:dyDescent="0.25">
      <c r="A2025" t="str">
        <f>"20190312172123504"</f>
        <v>20190312172123504</v>
      </c>
      <c r="B2025" t="str">
        <f>"1552382483492982"</f>
        <v>1552382483492982</v>
      </c>
      <c r="C2025" t="s">
        <v>40</v>
      </c>
      <c r="D2025">
        <v>3.3315640000000002</v>
      </c>
      <c r="E2025">
        <v>0.58077029999999996</v>
      </c>
      <c r="F2025" t="s">
        <v>45</v>
      </c>
      <c r="G2025">
        <v>-209.41159999999999</v>
      </c>
      <c r="H2025" s="1">
        <v>6.2728170000000002E-6</v>
      </c>
      <c r="I2025">
        <v>285.96420000000001</v>
      </c>
      <c r="J2025">
        <v>-194.33670000000001</v>
      </c>
      <c r="K2025">
        <v>1.1074170000000001</v>
      </c>
      <c r="L2025">
        <v>292.58920000000001</v>
      </c>
      <c r="M2025">
        <v>-0.56396290000000004</v>
      </c>
      <c r="N2025">
        <v>0</v>
      </c>
      <c r="O2025">
        <v>-0.82568929999999996</v>
      </c>
      <c r="P2025">
        <v>-0.79953469999999904</v>
      </c>
      <c r="Q2025">
        <v>0.17749970000000001</v>
      </c>
      <c r="R2025">
        <v>-0.57379290000000005</v>
      </c>
      <c r="S2025">
        <v>-2.8799290000000002</v>
      </c>
      <c r="T2025">
        <v>-0.20970549999999999</v>
      </c>
      <c r="U2025">
        <v>-1.2902830000000001</v>
      </c>
      <c r="V2025">
        <v>0.33808199999999999</v>
      </c>
      <c r="W2025">
        <v>0.1873475</v>
      </c>
      <c r="X2025">
        <v>0.92228060000000001</v>
      </c>
      <c r="Y2025">
        <v>0.52072450000000003</v>
      </c>
      <c r="Z2025">
        <v>6.5298679999999998E-2</v>
      </c>
      <c r="AA2025">
        <v>0.85122389999999903</v>
      </c>
      <c r="AB2025">
        <v>23</v>
      </c>
      <c r="AC2025">
        <v>-15.0748999999999</v>
      </c>
      <c r="AD2025">
        <v>-1.107410727183</v>
      </c>
      <c r="AE2025">
        <v>-6.625</v>
      </c>
      <c r="AF2025">
        <v>8.6725016836261002</v>
      </c>
      <c r="AG2025">
        <v>-1.107410727183</v>
      </c>
      <c r="AH2025">
        <v>13.910239857411399</v>
      </c>
      <c r="AI2025">
        <v>93.864848091827099</v>
      </c>
      <c r="AJ2025">
        <v>58.058041132858598</v>
      </c>
      <c r="AK2025">
        <v>16.4296505398592</v>
      </c>
      <c r="AL2025">
        <v>79.201972524473007</v>
      </c>
      <c r="AM2025">
        <v>69.868491281657498</v>
      </c>
      <c r="AN2025">
        <v>1.0000000148082999</v>
      </c>
    </row>
    <row r="2026" spans="1:40" x14ac:dyDescent="0.25">
      <c r="A2026" t="str">
        <f>"20190312172123526"</f>
        <v>20190312172123526</v>
      </c>
      <c r="B2026" t="str">
        <f>"1552382483523239"</f>
        <v>1552382483523239</v>
      </c>
      <c r="C2026" t="s">
        <v>40</v>
      </c>
      <c r="D2026">
        <v>3.3513169999999999</v>
      </c>
      <c r="E2026">
        <v>0.58096689999999995</v>
      </c>
      <c r="F2026" t="s">
        <v>45</v>
      </c>
      <c r="G2026">
        <v>-209.6173</v>
      </c>
      <c r="H2026" s="1">
        <v>6.3684069999999999E-6</v>
      </c>
      <c r="I2026">
        <v>285.91419999999999</v>
      </c>
      <c r="J2026">
        <v>-194.4658</v>
      </c>
      <c r="K2026">
        <v>1.1073200000000001</v>
      </c>
      <c r="L2026">
        <v>292.41000000000003</v>
      </c>
      <c r="M2026">
        <v>-0.56801800000000002</v>
      </c>
      <c r="N2026">
        <v>0</v>
      </c>
      <c r="O2026">
        <v>-0.82290509999999994</v>
      </c>
      <c r="P2026">
        <v>-0.80451899999999998</v>
      </c>
      <c r="Q2026">
        <v>0.17816089999999901</v>
      </c>
      <c r="R2026">
        <v>-0.56657639999999998</v>
      </c>
      <c r="S2026">
        <v>-2.8920750000000002</v>
      </c>
      <c r="T2026">
        <v>-0.2095928</v>
      </c>
      <c r="U2026">
        <v>-1.263336</v>
      </c>
      <c r="V2026">
        <v>0.34178069999999999</v>
      </c>
      <c r="W2026">
        <v>0.1878843</v>
      </c>
      <c r="X2026">
        <v>0.92080689999999998</v>
      </c>
      <c r="Y2026">
        <v>0.52449820000000003</v>
      </c>
      <c r="Z2026">
        <v>6.5241099999999996E-2</v>
      </c>
      <c r="AA2026">
        <v>0.84890829999999995</v>
      </c>
      <c r="AB2026">
        <v>23</v>
      </c>
      <c r="AC2026">
        <v>-15.1515</v>
      </c>
      <c r="AD2026">
        <v>-1.1073136315929999</v>
      </c>
      <c r="AE2026">
        <v>-6.4958000000000302</v>
      </c>
      <c r="AF2026">
        <v>8.73988487554284</v>
      </c>
      <c r="AG2026">
        <v>-1.1073136315929999</v>
      </c>
      <c r="AH2026">
        <v>13.890356092566099</v>
      </c>
      <c r="AI2026">
        <v>93.860069312573799</v>
      </c>
      <c r="AJ2026">
        <v>57.8216820302871</v>
      </c>
      <c r="AK2026">
        <v>16.448517364636299</v>
      </c>
      <c r="AL2026">
        <v>79.170659431691604</v>
      </c>
      <c r="AM2026">
        <v>69.636322183237795</v>
      </c>
      <c r="AN2026">
        <v>0.99999995208329295</v>
      </c>
    </row>
    <row r="2027" spans="1:40" x14ac:dyDescent="0.25">
      <c r="A2027" t="str">
        <f>"20190312172123547"</f>
        <v>20190312172123547</v>
      </c>
      <c r="B2027" t="str">
        <f>"1552382483542759"</f>
        <v>1552382483542759</v>
      </c>
      <c r="C2027" t="s">
        <v>40</v>
      </c>
      <c r="D2027">
        <v>3.355664</v>
      </c>
      <c r="E2027">
        <v>0.58089269999999904</v>
      </c>
      <c r="F2027" t="s">
        <v>46</v>
      </c>
      <c r="G2027">
        <v>-210.03229999999999</v>
      </c>
      <c r="H2027" s="1">
        <v>-1.519606E-6</v>
      </c>
      <c r="I2027">
        <v>285.78149999999999</v>
      </c>
      <c r="J2027">
        <v>-194.59950000000001</v>
      </c>
      <c r="K2027">
        <v>1.1072219999999999</v>
      </c>
      <c r="L2027">
        <v>292.22669999999999</v>
      </c>
      <c r="M2027">
        <v>-0.5723201</v>
      </c>
      <c r="N2027">
        <v>0</v>
      </c>
      <c r="O2027">
        <v>-0.81991879999999995</v>
      </c>
      <c r="P2027">
        <v>-0.80933559999999904</v>
      </c>
      <c r="Q2027">
        <v>0.1796702</v>
      </c>
      <c r="R2027">
        <v>-0.55919140000000001</v>
      </c>
      <c r="S2027">
        <v>-2.9038539999999999</v>
      </c>
      <c r="T2027">
        <v>-0.20656550000000001</v>
      </c>
      <c r="U2027">
        <v>-1.2365109999999999</v>
      </c>
      <c r="V2027">
        <v>0.34517819999999999</v>
      </c>
      <c r="W2027">
        <v>0.18925910000000001</v>
      </c>
      <c r="X2027">
        <v>0.91925679999999999</v>
      </c>
      <c r="Y2027">
        <v>0.52798459999999903</v>
      </c>
      <c r="Z2027">
        <v>6.4265820000000001E-2</v>
      </c>
      <c r="AA2027">
        <v>0.84681890000000004</v>
      </c>
      <c r="AB2027">
        <v>23</v>
      </c>
      <c r="AC2027">
        <v>-15.432799999999901</v>
      </c>
      <c r="AD2027">
        <v>-1.1072235196060001</v>
      </c>
      <c r="AE2027">
        <v>-6.4451999999999998</v>
      </c>
      <c r="AF2027">
        <v>8.9266208314297302</v>
      </c>
      <c r="AG2027">
        <v>-1.1072235196060001</v>
      </c>
      <c r="AH2027">
        <v>14.056724276231201</v>
      </c>
      <c r="AI2027">
        <v>93.804196243201702</v>
      </c>
      <c r="AJ2027">
        <v>57.582707183315399</v>
      </c>
      <c r="AK2027">
        <v>16.688379213346899</v>
      </c>
      <c r="AL2027">
        <v>79.090451049076293</v>
      </c>
      <c r="AM2027">
        <v>69.418991993797903</v>
      </c>
      <c r="AN2027">
        <v>1.0000000305171399</v>
      </c>
    </row>
    <row r="2028" spans="1:40" x14ac:dyDescent="0.25">
      <c r="A2028" t="str">
        <f>"20190312172123571"</f>
        <v>20190312172123571</v>
      </c>
      <c r="B2028" t="str">
        <f>"1552382483563255"</f>
        <v>1552382483563255</v>
      </c>
      <c r="C2028" t="s">
        <v>40</v>
      </c>
      <c r="D2028">
        <v>3.3252570000000001</v>
      </c>
      <c r="E2028">
        <v>0.58067290000000005</v>
      </c>
      <c r="F2028" t="s">
        <v>46</v>
      </c>
      <c r="G2028">
        <v>-210.58099999999999</v>
      </c>
      <c r="H2028" s="1">
        <v>-1.227628E-6</v>
      </c>
      <c r="I2028">
        <v>285.58330000000001</v>
      </c>
      <c r="J2028">
        <v>-194.7441</v>
      </c>
      <c r="K2028">
        <v>1.1071</v>
      </c>
      <c r="L2028">
        <v>292.03109999999998</v>
      </c>
      <c r="M2028">
        <v>-0.57710649999999997</v>
      </c>
      <c r="N2028">
        <v>0</v>
      </c>
      <c r="O2028">
        <v>-0.81655649999999902</v>
      </c>
      <c r="P2028">
        <v>-0.81451459999999998</v>
      </c>
      <c r="Q2028">
        <v>0.18139649999999999</v>
      </c>
      <c r="R2028">
        <v>-0.55105499999999996</v>
      </c>
      <c r="S2028">
        <v>-2.9144899999999998</v>
      </c>
      <c r="T2028">
        <v>-0.2019204</v>
      </c>
      <c r="U2028">
        <v>-1.2115479999999901</v>
      </c>
      <c r="V2028">
        <v>0.34878140000000002</v>
      </c>
      <c r="W2028">
        <v>0.19082270000000001</v>
      </c>
      <c r="X2028">
        <v>0.9175719</v>
      </c>
      <c r="Y2028">
        <v>0.53040030000000005</v>
      </c>
      <c r="Z2028">
        <v>6.2752420000000003E-2</v>
      </c>
      <c r="AA2028">
        <v>0.8454216</v>
      </c>
      <c r="AB2028">
        <v>23</v>
      </c>
      <c r="AC2028">
        <v>-15.836899999999901</v>
      </c>
      <c r="AD2028">
        <v>-1.1071012276279999</v>
      </c>
      <c r="AE2028">
        <v>-6.4477999999999698</v>
      </c>
      <c r="AF2028">
        <v>9.1730481362081804</v>
      </c>
      <c r="AG2028">
        <v>-1.1071012276279999</v>
      </c>
      <c r="AH2028">
        <v>14.345755350136599</v>
      </c>
      <c r="AI2028">
        <v>93.719982804171394</v>
      </c>
      <c r="AJ2028">
        <v>57.404096629979399</v>
      </c>
      <c r="AK2028">
        <v>17.063738799084501</v>
      </c>
      <c r="AL2028">
        <v>78.999199859566701</v>
      </c>
      <c r="AM2028">
        <v>69.1875303090995</v>
      </c>
      <c r="AN2028">
        <v>0.99999997974542898</v>
      </c>
    </row>
    <row r="2029" spans="1:40" x14ac:dyDescent="0.25">
      <c r="A2029" t="str">
        <f>"20190312172123593"</f>
        <v>20190312172123593</v>
      </c>
      <c r="B2029" t="str">
        <f>"1552382483582774"</f>
        <v>1552382483582774</v>
      </c>
      <c r="C2029" t="s">
        <v>40</v>
      </c>
      <c r="D2029">
        <v>3.3304819999999999</v>
      </c>
      <c r="E2029">
        <v>0.58039399999999997</v>
      </c>
      <c r="F2029" t="s">
        <v>46</v>
      </c>
      <c r="G2029">
        <v>-211.31280000000001</v>
      </c>
      <c r="H2029" s="1">
        <v>-8.3818609999999995E-7</v>
      </c>
      <c r="I2029">
        <v>285.31880000000001</v>
      </c>
      <c r="J2029">
        <v>-194.88249999999999</v>
      </c>
      <c r="K2029">
        <v>1.1069560000000001</v>
      </c>
      <c r="L2029">
        <v>291.84660000000002</v>
      </c>
      <c r="M2029">
        <v>-0.58181590000000005</v>
      </c>
      <c r="N2029">
        <v>0</v>
      </c>
      <c r="O2029">
        <v>-0.81320780000000004</v>
      </c>
      <c r="P2029">
        <v>-0.81925029999999999</v>
      </c>
      <c r="Q2029">
        <v>0.18304190000000001</v>
      </c>
      <c r="R2029">
        <v>-0.54343790000000003</v>
      </c>
      <c r="S2029">
        <v>-2.9250180000000001</v>
      </c>
      <c r="T2029">
        <v>-0.19544639999999999</v>
      </c>
      <c r="U2029">
        <v>-1.184998</v>
      </c>
      <c r="V2029">
        <v>0.35182439999999998</v>
      </c>
      <c r="W2029">
        <v>0.19230259999999999</v>
      </c>
      <c r="X2029">
        <v>0.91610009999999997</v>
      </c>
      <c r="Y2029">
        <v>0.53328850000000005</v>
      </c>
      <c r="Z2029">
        <v>6.0695989999999998E-2</v>
      </c>
      <c r="AA2029">
        <v>0.84375319999999898</v>
      </c>
      <c r="AB2029">
        <v>23</v>
      </c>
      <c r="AC2029">
        <v>-16.430299999999999</v>
      </c>
      <c r="AD2029">
        <v>-1.1069568381860999</v>
      </c>
      <c r="AE2029">
        <v>-6.5278000000000098</v>
      </c>
      <c r="AF2029">
        <v>9.5267992054244495</v>
      </c>
      <c r="AG2029">
        <v>-1.1069568381860999</v>
      </c>
      <c r="AH2029">
        <v>14.811166639161099</v>
      </c>
      <c r="AI2029">
        <v>93.5967482104288</v>
      </c>
      <c r="AJ2029">
        <v>57.250173224365902</v>
      </c>
      <c r="AK2029">
        <v>17.645280211860701</v>
      </c>
      <c r="AL2029">
        <v>78.912808620491305</v>
      </c>
      <c r="AM2029">
        <v>68.990923448747793</v>
      </c>
      <c r="AN2029">
        <v>1.0000000458110601</v>
      </c>
    </row>
    <row r="2030" spans="1:40" x14ac:dyDescent="0.25">
      <c r="A2030" t="str">
        <f>"20190312172123614"</f>
        <v>20190312172123614</v>
      </c>
      <c r="B2030" t="str">
        <f>"1552382483603273"</f>
        <v>1552382483603273</v>
      </c>
      <c r="C2030" t="s">
        <v>40</v>
      </c>
      <c r="D2030">
        <v>3.311515</v>
      </c>
      <c r="E2030">
        <v>0.57997639999999995</v>
      </c>
      <c r="F2030" t="s">
        <v>46</v>
      </c>
      <c r="G2030">
        <v>-211.96010000000001</v>
      </c>
      <c r="H2030" s="1">
        <v>-4.9371200000000005E-7</v>
      </c>
      <c r="I2030">
        <v>285.09469999999999</v>
      </c>
      <c r="J2030">
        <v>-195.01920000000001</v>
      </c>
      <c r="K2030">
        <v>1.106797</v>
      </c>
      <c r="L2030">
        <v>291.6669</v>
      </c>
      <c r="M2030">
        <v>-0.58660649999999903</v>
      </c>
      <c r="N2030">
        <v>0</v>
      </c>
      <c r="O2030">
        <v>-0.8097588</v>
      </c>
      <c r="P2030">
        <v>-0.82448140000000003</v>
      </c>
      <c r="Q2030">
        <v>0.1843301</v>
      </c>
      <c r="R2030">
        <v>-0.53502649999999996</v>
      </c>
      <c r="S2030">
        <v>-2.9347379999999998</v>
      </c>
      <c r="T2030">
        <v>-0.1902269</v>
      </c>
      <c r="U2030">
        <v>-1.1602779999999999</v>
      </c>
      <c r="V2030">
        <v>0.35565419999999998</v>
      </c>
      <c r="W2030">
        <v>0.19340170000000001</v>
      </c>
      <c r="X2030">
        <v>0.91438830000000004</v>
      </c>
      <c r="Y2030">
        <v>0.53550629999999999</v>
      </c>
      <c r="Z2030">
        <v>5.9008669999999999E-2</v>
      </c>
      <c r="AA2030">
        <v>0.84246719999999897</v>
      </c>
      <c r="AB2030">
        <v>23</v>
      </c>
      <c r="AC2030">
        <v>-16.940899999999999</v>
      </c>
      <c r="AD2030">
        <v>-1.106797493712</v>
      </c>
      <c r="AE2030">
        <v>-6.5721999999999996</v>
      </c>
      <c r="AF2030">
        <v>9.8271936527044392</v>
      </c>
      <c r="AG2030">
        <v>-1.106797493712</v>
      </c>
      <c r="AH2030">
        <v>15.2045301256661</v>
      </c>
      <c r="AI2030">
        <v>93.498470990809096</v>
      </c>
      <c r="AJ2030">
        <v>57.124069428316503</v>
      </c>
      <c r="AK2030">
        <v>18.1377085686734</v>
      </c>
      <c r="AL2030">
        <v>78.848630052345996</v>
      </c>
      <c r="AM2030">
        <v>68.7462968747557</v>
      </c>
      <c r="AN2030">
        <v>1.0000000453586999</v>
      </c>
    </row>
    <row r="2031" spans="1:40" x14ac:dyDescent="0.25">
      <c r="A2031" t="str">
        <f>"20190312172123636"</f>
        <v>20190312172123636</v>
      </c>
      <c r="B2031" t="str">
        <f>"1552382483632554"</f>
        <v>1552382483632554</v>
      </c>
      <c r="C2031" t="s">
        <v>40</v>
      </c>
      <c r="D2031">
        <v>3.29678</v>
      </c>
      <c r="E2031">
        <v>0.57919279999999995</v>
      </c>
      <c r="F2031" t="s">
        <v>46</v>
      </c>
      <c r="G2031">
        <v>-212.50139999999999</v>
      </c>
      <c r="H2031" s="1">
        <v>-2.0567790000000001E-7</v>
      </c>
      <c r="I2031">
        <v>284.93849999999998</v>
      </c>
      <c r="J2031">
        <v>-195.1568</v>
      </c>
      <c r="K2031">
        <v>1.1066149999999999</v>
      </c>
      <c r="L2031">
        <v>291.48860000000002</v>
      </c>
      <c r="M2031">
        <v>-0.59157969999999904</v>
      </c>
      <c r="N2031">
        <v>0</v>
      </c>
      <c r="O2031">
        <v>-0.80613239999999997</v>
      </c>
      <c r="P2031">
        <v>-0.82964369999999998</v>
      </c>
      <c r="Q2031">
        <v>0.1846111</v>
      </c>
      <c r="R2031">
        <v>-0.52688740000000001</v>
      </c>
      <c r="S2031">
        <v>-2.944855</v>
      </c>
      <c r="T2031">
        <v>-0.18643870000000001</v>
      </c>
      <c r="U2031">
        <v>-1.133392</v>
      </c>
      <c r="V2031">
        <v>0.35906690000000002</v>
      </c>
      <c r="W2031">
        <v>0.19348860000000001</v>
      </c>
      <c r="X2031">
        <v>0.91303509999999999</v>
      </c>
      <c r="Y2031">
        <v>0.53805530000000001</v>
      </c>
      <c r="Z2031">
        <v>5.7771709999999997E-2</v>
      </c>
      <c r="AA2031">
        <v>0.84092739999999999</v>
      </c>
      <c r="AB2031">
        <v>23</v>
      </c>
      <c r="AC2031">
        <v>-17.3445999999999</v>
      </c>
      <c r="AD2031">
        <v>-1.1066152056778999</v>
      </c>
      <c r="AE2031">
        <v>-6.5501000000000396</v>
      </c>
      <c r="AF2031">
        <v>10.072184923889401</v>
      </c>
      <c r="AG2031">
        <v>-1.1066152056778999</v>
      </c>
      <c r="AH2031">
        <v>15.487216724792599</v>
      </c>
      <c r="AI2031">
        <v>93.427920445878499</v>
      </c>
      <c r="AJ2031">
        <v>56.961846156025601</v>
      </c>
      <c r="AK2031">
        <v>18.5074954608979</v>
      </c>
      <c r="AL2031">
        <v>78.8435545134449</v>
      </c>
      <c r="AM2031">
        <v>68.531905472968901</v>
      </c>
      <c r="AN2031">
        <v>0.99999998541878898</v>
      </c>
    </row>
    <row r="2032" spans="1:40" x14ac:dyDescent="0.25">
      <c r="A2032" t="str">
        <f>"20190312172123661"</f>
        <v>20190312172123661</v>
      </c>
      <c r="B2032" t="str">
        <f>"1552382483653050"</f>
        <v>1552382483653050</v>
      </c>
      <c r="C2032" t="s">
        <v>40</v>
      </c>
      <c r="D2032">
        <v>3.2950529999999998</v>
      </c>
      <c r="E2032">
        <v>0.57871879999999998</v>
      </c>
      <c r="F2032" t="s">
        <v>46</v>
      </c>
      <c r="G2032">
        <v>-212.71369999999999</v>
      </c>
      <c r="H2032" s="1">
        <v>-9.270491E-8</v>
      </c>
      <c r="I2032">
        <v>284.89170000000001</v>
      </c>
      <c r="J2032">
        <v>-195.3124</v>
      </c>
      <c r="K2032">
        <v>1.1064039999999999</v>
      </c>
      <c r="L2032">
        <v>291.2903</v>
      </c>
      <c r="M2032">
        <v>-0.59738409999999997</v>
      </c>
      <c r="N2032">
        <v>0</v>
      </c>
      <c r="O2032">
        <v>-0.80184049999999996</v>
      </c>
      <c r="P2032">
        <v>-0.83602860000000001</v>
      </c>
      <c r="Q2032">
        <v>0.18390290000000001</v>
      </c>
      <c r="R2032">
        <v>-0.51694949999999995</v>
      </c>
      <c r="S2032">
        <v>-2.9527890000000001</v>
      </c>
      <c r="T2032">
        <v>-0.18611549999999999</v>
      </c>
      <c r="U2032">
        <v>-1.109497</v>
      </c>
      <c r="V2032">
        <v>0.36359609999999998</v>
      </c>
      <c r="W2032">
        <v>0.19254450000000001</v>
      </c>
      <c r="X2032">
        <v>0.9114409</v>
      </c>
      <c r="Y2032">
        <v>0.53868959999999999</v>
      </c>
      <c r="Z2032">
        <v>5.7553279999999998E-2</v>
      </c>
      <c r="AA2032">
        <v>0.84053630000000001</v>
      </c>
      <c r="AB2032">
        <v>23</v>
      </c>
      <c r="AC2032">
        <v>-17.4012999999999</v>
      </c>
      <c r="AD2032">
        <v>-1.1064040927049099</v>
      </c>
      <c r="AE2032">
        <v>-6.3985999999999796</v>
      </c>
      <c r="AF2032">
        <v>10.095625721615001</v>
      </c>
      <c r="AG2032">
        <v>-1.1064040927049099</v>
      </c>
      <c r="AH2032">
        <v>15.472246797274501</v>
      </c>
      <c r="AI2032">
        <v>93.427221523225398</v>
      </c>
      <c r="AJ2032">
        <v>56.875591650251202</v>
      </c>
      <c r="AK2032">
        <v>18.5077337803163</v>
      </c>
      <c r="AL2032">
        <v>78.898684438178904</v>
      </c>
      <c r="AM2032">
        <v>68.251732573100298</v>
      </c>
      <c r="AN2032">
        <v>1.0000000113041301</v>
      </c>
    </row>
    <row r="2033" spans="1:40" x14ac:dyDescent="0.25">
      <c r="A2033" t="str">
        <f>"20190312172123684"</f>
        <v>20190312172123684</v>
      </c>
      <c r="B2033" t="str">
        <f>"1552382483672569"</f>
        <v>1552382483672569</v>
      </c>
      <c r="C2033" t="s">
        <v>40</v>
      </c>
      <c r="D2033">
        <v>3.2947340000000001</v>
      </c>
      <c r="E2033">
        <v>0.57818570000000002</v>
      </c>
      <c r="F2033" t="s">
        <v>46</v>
      </c>
      <c r="G2033">
        <v>-212.67099999999999</v>
      </c>
      <c r="H2033" s="1">
        <v>-1.154247E-7</v>
      </c>
      <c r="I2033">
        <v>284.99059999999997</v>
      </c>
      <c r="J2033">
        <v>-195.4606</v>
      </c>
      <c r="K2033">
        <v>1.1062080000000001</v>
      </c>
      <c r="L2033">
        <v>291.10509999999999</v>
      </c>
      <c r="M2033">
        <v>-0.60310520000000001</v>
      </c>
      <c r="N2033">
        <v>0</v>
      </c>
      <c r="O2033">
        <v>-0.79754559999999997</v>
      </c>
      <c r="P2033">
        <v>-0.84219349999999904</v>
      </c>
      <c r="Q2033">
        <v>0.18423619999999999</v>
      </c>
      <c r="R2033">
        <v>-0.50672220000000001</v>
      </c>
      <c r="S2033">
        <v>-2.9646759999999999</v>
      </c>
      <c r="T2033">
        <v>-0.18896270000000001</v>
      </c>
      <c r="U2033">
        <v>-1.075928</v>
      </c>
      <c r="V2033">
        <v>0.36822820000000001</v>
      </c>
      <c r="W2033">
        <v>0.19264890000000001</v>
      </c>
      <c r="X2033">
        <v>0.90955730000000001</v>
      </c>
      <c r="Y2033">
        <v>0.54209540000000001</v>
      </c>
      <c r="Z2033">
        <v>5.8363610000000003E-2</v>
      </c>
      <c r="AA2033">
        <v>0.83828769999999997</v>
      </c>
      <c r="AB2033">
        <v>23</v>
      </c>
      <c r="AC2033">
        <v>-17.2103999999999</v>
      </c>
      <c r="AD2033">
        <v>-1.1062081154246901</v>
      </c>
      <c r="AE2033">
        <v>-6.11450000000002</v>
      </c>
      <c r="AF2033">
        <v>10.002628559184799</v>
      </c>
      <c r="AG2033">
        <v>-1.1062081154246901</v>
      </c>
      <c r="AH2033">
        <v>15.2019212170923</v>
      </c>
      <c r="AI2033">
        <v>93.478662965592093</v>
      </c>
      <c r="AJ2033">
        <v>56.655703281230501</v>
      </c>
      <c r="AK2033">
        <v>18.231145964484298</v>
      </c>
      <c r="AL2033">
        <v>78.892589000587506</v>
      </c>
      <c r="AM2033">
        <v>67.959764919767693</v>
      </c>
      <c r="AN2033">
        <v>1.00000004396486</v>
      </c>
    </row>
    <row r="2034" spans="1:40" x14ac:dyDescent="0.25">
      <c r="A2034" t="str">
        <f>"20190312172123706"</f>
        <v>20190312172123706</v>
      </c>
      <c r="B2034" t="str">
        <f>"1552382483702826"</f>
        <v>1552382483702826</v>
      </c>
      <c r="C2034" t="s">
        <v>40</v>
      </c>
      <c r="D2034">
        <v>3.2855509999999999</v>
      </c>
      <c r="E2034">
        <v>0.57763089999999995</v>
      </c>
      <c r="F2034" t="s">
        <v>46</v>
      </c>
      <c r="G2034">
        <v>-212.8201</v>
      </c>
      <c r="H2034" s="1">
        <v>-3.6052229999999998E-8</v>
      </c>
      <c r="I2034">
        <v>285.02170000000001</v>
      </c>
      <c r="J2034">
        <v>-195.60310000000001</v>
      </c>
      <c r="K2034">
        <v>1.1060490000000001</v>
      </c>
      <c r="L2034">
        <v>290.92989999999998</v>
      </c>
      <c r="M2034">
        <v>-0.60871679999999995</v>
      </c>
      <c r="N2034">
        <v>0</v>
      </c>
      <c r="O2034">
        <v>-0.79327049999999999</v>
      </c>
      <c r="P2034">
        <v>-0.84832249999999998</v>
      </c>
      <c r="Q2034">
        <v>0.1830107</v>
      </c>
      <c r="R2034">
        <v>-0.49684630000000002</v>
      </c>
      <c r="S2034">
        <v>-2.9761199999999999</v>
      </c>
      <c r="T2034">
        <v>-0.18964829999999999</v>
      </c>
      <c r="U2034">
        <v>-1.0429379999999999</v>
      </c>
      <c r="V2034">
        <v>0.37271959999999998</v>
      </c>
      <c r="W2034">
        <v>0.1912257</v>
      </c>
      <c r="X2034">
        <v>0.90802689999999997</v>
      </c>
      <c r="Y2034">
        <v>0.54543609999999998</v>
      </c>
      <c r="Z2034">
        <v>5.8502829999999999E-2</v>
      </c>
      <c r="AA2034">
        <v>0.83610819999999997</v>
      </c>
      <c r="AB2034">
        <v>23</v>
      </c>
      <c r="AC2034">
        <v>-17.216999999999899</v>
      </c>
      <c r="AD2034">
        <v>-1.1060490360522299</v>
      </c>
      <c r="AE2034">
        <v>-5.9081999999999599</v>
      </c>
      <c r="AF2034">
        <v>10.0252370790189</v>
      </c>
      <c r="AG2034">
        <v>-1.1060490360522299</v>
      </c>
      <c r="AH2034">
        <v>15.112687812340701</v>
      </c>
      <c r="AI2034">
        <v>93.490023398388104</v>
      </c>
      <c r="AJ2034">
        <v>56.4410735439264</v>
      </c>
      <c r="AK2034">
        <v>18.169261291366801</v>
      </c>
      <c r="AL2034">
        <v>78.975676820481496</v>
      </c>
      <c r="AM2034">
        <v>67.683223840406498</v>
      </c>
      <c r="AN2034">
        <v>1.00000000984413</v>
      </c>
    </row>
    <row r="2035" spans="1:40" x14ac:dyDescent="0.25">
      <c r="A2035" t="str">
        <f>"20190312172123727"</f>
        <v>20190312172123727</v>
      </c>
      <c r="B2035" t="str">
        <f>"1552382483723322"</f>
        <v>1552382483723322</v>
      </c>
      <c r="C2035" t="s">
        <v>40</v>
      </c>
      <c r="D2035">
        <v>3.2836430000000001</v>
      </c>
      <c r="E2035">
        <v>0.56707359999999996</v>
      </c>
      <c r="F2035" t="s">
        <v>46</v>
      </c>
      <c r="G2035">
        <v>-212.5035</v>
      </c>
      <c r="H2035" s="1">
        <v>-2.0455510000000001E-7</v>
      </c>
      <c r="I2035">
        <v>285.20850000000002</v>
      </c>
      <c r="J2035">
        <v>-195.74459999999999</v>
      </c>
      <c r="K2035">
        <v>1.105904</v>
      </c>
      <c r="L2035">
        <v>290.75889999999998</v>
      </c>
      <c r="M2035">
        <v>-0.61439109999999997</v>
      </c>
      <c r="N2035">
        <v>0</v>
      </c>
      <c r="O2035">
        <v>-0.78888349999999996</v>
      </c>
      <c r="P2035">
        <v>-0.85326689999999905</v>
      </c>
      <c r="Q2035">
        <v>0.18291209999999999</v>
      </c>
      <c r="R2035">
        <v>-0.48834319999999998</v>
      </c>
      <c r="S2035">
        <v>-2.9864199999999999</v>
      </c>
      <c r="T2035">
        <v>-0.1954466</v>
      </c>
      <c r="U2035">
        <v>-1.0110170000000001</v>
      </c>
      <c r="V2035">
        <v>0.37536809999999998</v>
      </c>
      <c r="W2035">
        <v>0.190973</v>
      </c>
      <c r="X2035">
        <v>0.90698849999999998</v>
      </c>
      <c r="Y2035">
        <v>0.548199199999999</v>
      </c>
      <c r="Z2035">
        <v>6.0201289999999998E-2</v>
      </c>
      <c r="AA2035">
        <v>0.83417830000000004</v>
      </c>
      <c r="AB2035">
        <v>23</v>
      </c>
      <c r="AC2035">
        <v>-16.758900000000001</v>
      </c>
      <c r="AD2035">
        <v>-1.1059042045551</v>
      </c>
      <c r="AE2035">
        <v>-5.5503999999999598</v>
      </c>
      <c r="AF2035">
        <v>9.7732662538924995</v>
      </c>
      <c r="AG2035">
        <v>-1.1059042045551</v>
      </c>
      <c r="AH2035">
        <v>14.619138511876301</v>
      </c>
      <c r="AI2035">
        <v>93.598517286249702</v>
      </c>
      <c r="AJ2035">
        <v>56.2362643651418</v>
      </c>
      <c r="AK2035">
        <v>17.619845862224501</v>
      </c>
      <c r="AL2035">
        <v>78.990427397884403</v>
      </c>
      <c r="AM2035">
        <v>67.5171939264483</v>
      </c>
      <c r="AN2035">
        <v>1.00000001817942</v>
      </c>
    </row>
    <row r="2036" spans="1:40" x14ac:dyDescent="0.25">
      <c r="A2036" t="str">
        <f>"20190312172123748"</f>
        <v>20190312172123748</v>
      </c>
      <c r="B2036" t="str">
        <f>"1552382483742842"</f>
        <v>1552382483742842</v>
      </c>
      <c r="C2036" t="s">
        <v>40</v>
      </c>
      <c r="D2036">
        <v>3.3044690000000001</v>
      </c>
      <c r="E2036">
        <v>0.56662749999999995</v>
      </c>
      <c r="F2036" t="s">
        <v>45</v>
      </c>
      <c r="G2036">
        <v>-209.28370000000001</v>
      </c>
      <c r="H2036" s="1">
        <v>6.2196770000000004E-6</v>
      </c>
      <c r="I2036">
        <v>285.92329999999998</v>
      </c>
      <c r="J2036">
        <v>-195.89240000000001</v>
      </c>
      <c r="K2036">
        <v>1.1057669999999999</v>
      </c>
      <c r="L2036">
        <v>290.5831</v>
      </c>
      <c r="M2036">
        <v>-0.62042410000000003</v>
      </c>
      <c r="N2036">
        <v>0</v>
      </c>
      <c r="O2036">
        <v>-0.78414759999999994</v>
      </c>
      <c r="P2036">
        <v>-0.85967990000000005</v>
      </c>
      <c r="Q2036">
        <v>0.1821112</v>
      </c>
      <c r="R2036">
        <v>-0.47726960000000002</v>
      </c>
      <c r="S2036">
        <v>-2.9622649999999999</v>
      </c>
      <c r="T2036">
        <v>-0.2419617</v>
      </c>
      <c r="U2036">
        <v>-1.0579829999999999</v>
      </c>
      <c r="V2036">
        <v>0.38033359999999999</v>
      </c>
      <c r="W2036">
        <v>0.18998200000000001</v>
      </c>
      <c r="X2036">
        <v>0.90512599999999999</v>
      </c>
      <c r="Y2036">
        <v>0.52672330000000001</v>
      </c>
      <c r="Z2036">
        <v>7.3767929999999995E-2</v>
      </c>
      <c r="AA2036">
        <v>0.84682990000000002</v>
      </c>
      <c r="AB2036">
        <v>23</v>
      </c>
      <c r="AC2036">
        <v>-13.391299999999999</v>
      </c>
      <c r="AD2036">
        <v>-1.1057607803229901</v>
      </c>
      <c r="AE2036">
        <v>-4.6598000000000104</v>
      </c>
      <c r="AF2036">
        <v>7.5644072689765203</v>
      </c>
      <c r="AG2036">
        <v>-1.1057607803229901</v>
      </c>
      <c r="AH2036">
        <v>11.8910516840066</v>
      </c>
      <c r="AI2036">
        <v>94.486280114454701</v>
      </c>
      <c r="AJ2036">
        <v>57.5378133424677</v>
      </c>
      <c r="AK2036">
        <v>14.1364802686511</v>
      </c>
      <c r="AL2036">
        <v>79.048265612460398</v>
      </c>
      <c r="AM2036">
        <v>67.207872670505594</v>
      </c>
      <c r="AN2036">
        <v>0.99999994174447804</v>
      </c>
    </row>
    <row r="2037" spans="1:40" x14ac:dyDescent="0.25">
      <c r="A2037" t="str">
        <f>"20190312172123773"</f>
        <v>20190312172123773</v>
      </c>
      <c r="B2037" t="str">
        <f>"1552382483763338"</f>
        <v>1552382483763338</v>
      </c>
      <c r="C2037" t="s">
        <v>40</v>
      </c>
      <c r="D2037">
        <v>3.2889179999999998</v>
      </c>
      <c r="E2037">
        <v>0.56292449999999905</v>
      </c>
      <c r="F2037" t="s">
        <v>45</v>
      </c>
      <c r="G2037">
        <v>-209.20050000000001</v>
      </c>
      <c r="H2037" s="1">
        <v>6.1753279999999999E-6</v>
      </c>
      <c r="I2037">
        <v>286.00839999999999</v>
      </c>
      <c r="J2037">
        <v>-196.0558</v>
      </c>
      <c r="K2037">
        <v>1.1056189999999999</v>
      </c>
      <c r="L2037">
        <v>290.39249999999998</v>
      </c>
      <c r="M2037">
        <v>-0.62719239999999998</v>
      </c>
      <c r="N2037">
        <v>0</v>
      </c>
      <c r="O2037">
        <v>-0.77874399999999999</v>
      </c>
      <c r="P2037">
        <v>-0.86638999999999999</v>
      </c>
      <c r="Q2037">
        <v>0.1820515</v>
      </c>
      <c r="R2037">
        <v>-0.465001</v>
      </c>
      <c r="S2037">
        <v>-2.97438</v>
      </c>
      <c r="T2037">
        <v>-0.2471399</v>
      </c>
      <c r="U2037">
        <v>-1.0224610000000001</v>
      </c>
      <c r="V2037">
        <v>0.38544630000000002</v>
      </c>
      <c r="W2037">
        <v>0.1897161</v>
      </c>
      <c r="X2037">
        <v>0.90301659999999995</v>
      </c>
      <c r="Y2037">
        <v>0.52934309999999996</v>
      </c>
      <c r="Z2037">
        <v>7.5158870000000003E-2</v>
      </c>
      <c r="AA2037">
        <v>0.84507219999999905</v>
      </c>
      <c r="AB2037">
        <v>23</v>
      </c>
      <c r="AC2037">
        <v>-13.1447</v>
      </c>
      <c r="AD2037">
        <v>-1.1056128246720001</v>
      </c>
      <c r="AE2037">
        <v>-4.3840999999999797</v>
      </c>
      <c r="AF2037">
        <v>7.4400174716408003</v>
      </c>
      <c r="AG2037">
        <v>-1.1056128246720001</v>
      </c>
      <c r="AH2037">
        <v>11.5856808826105</v>
      </c>
      <c r="AI2037">
        <v>94.5908858700206</v>
      </c>
      <c r="AJ2037">
        <v>57.292497394936703</v>
      </c>
      <c r="AK2037">
        <v>13.8131908410072</v>
      </c>
      <c r="AL2037">
        <v>79.063783570769502</v>
      </c>
      <c r="AM2037">
        <v>66.885127281291503</v>
      </c>
      <c r="AN2037">
        <v>1.00000001432923</v>
      </c>
    </row>
    <row r="2038" spans="1:40" x14ac:dyDescent="0.25">
      <c r="A2038" t="str">
        <f>"20190312172123795"</f>
        <v>20190312172123795</v>
      </c>
      <c r="B2038" t="str">
        <f>"1552382483782858"</f>
        <v>1552382483782858</v>
      </c>
      <c r="C2038" t="s">
        <v>40</v>
      </c>
      <c r="D2038">
        <v>3.4704290000000002</v>
      </c>
      <c r="E2038">
        <v>0.56218859999999904</v>
      </c>
      <c r="F2038" t="s">
        <v>45</v>
      </c>
      <c r="G2038">
        <v>-209.46340000000001</v>
      </c>
      <c r="H2038" s="1">
        <v>6.3050200000000003E-6</v>
      </c>
      <c r="I2038">
        <v>285.85829999999999</v>
      </c>
      <c r="J2038">
        <v>-196.20089999999999</v>
      </c>
      <c r="K2038">
        <v>1.1054930000000001</v>
      </c>
      <c r="L2038">
        <v>290.22629999999998</v>
      </c>
      <c r="M2038">
        <v>-0.6332721</v>
      </c>
      <c r="N2038">
        <v>0</v>
      </c>
      <c r="O2038">
        <v>-0.77380780000000005</v>
      </c>
      <c r="P2038">
        <v>-0.87268199999999996</v>
      </c>
      <c r="Q2038">
        <v>0.1829259</v>
      </c>
      <c r="R2038">
        <v>-0.45273020000000003</v>
      </c>
      <c r="S2038">
        <v>-2.9743189999999999</v>
      </c>
      <c r="T2038">
        <v>-0.24526819999999999</v>
      </c>
      <c r="U2038">
        <v>-1.0058590000000001</v>
      </c>
      <c r="V2038">
        <v>0.39105420000000002</v>
      </c>
      <c r="W2038">
        <v>0.19038269999999999</v>
      </c>
      <c r="X2038">
        <v>0.90046159999999997</v>
      </c>
      <c r="Y2038">
        <v>0.52698020000000001</v>
      </c>
      <c r="Z2038">
        <v>7.4397530000000003E-2</v>
      </c>
      <c r="AA2038">
        <v>0.84661489999999995</v>
      </c>
      <c r="AB2038">
        <v>23</v>
      </c>
      <c r="AC2038">
        <v>-13.262499999999999</v>
      </c>
      <c r="AD2038">
        <v>-1.10548669498</v>
      </c>
      <c r="AE2038">
        <v>-4.3679999999999897</v>
      </c>
      <c r="AF2038">
        <v>7.45049791797131</v>
      </c>
      <c r="AG2038">
        <v>-1.10548669498</v>
      </c>
      <c r="AH2038">
        <v>11.706493895676701</v>
      </c>
      <c r="AI2038">
        <v>94.554974414444203</v>
      </c>
      <c r="AJ2038">
        <v>57.525634603657302</v>
      </c>
      <c r="AK2038">
        <v>13.920273682223</v>
      </c>
      <c r="AL2038">
        <v>79.024881324194396</v>
      </c>
      <c r="AM2038">
        <v>66.525564903188396</v>
      </c>
      <c r="AN2038">
        <v>1.00000002643574</v>
      </c>
    </row>
    <row r="2039" spans="1:40" x14ac:dyDescent="0.25">
      <c r="A2039" t="str">
        <f>"20190312172123817"</f>
        <v>20190312172123817</v>
      </c>
      <c r="B2039" t="str">
        <f>"1552382483813115"</f>
        <v>1552382483813115</v>
      </c>
      <c r="C2039" t="s">
        <v>40</v>
      </c>
      <c r="D2039">
        <v>3.3415020000000002</v>
      </c>
      <c r="E2039">
        <v>0.56149349999999998</v>
      </c>
      <c r="F2039" t="s">
        <v>45</v>
      </c>
      <c r="G2039">
        <v>-209.61770000000001</v>
      </c>
      <c r="H2039" s="1">
        <v>6.3729229999999898E-6</v>
      </c>
      <c r="I2039">
        <v>285.8646</v>
      </c>
      <c r="J2039">
        <v>-196.35210000000001</v>
      </c>
      <c r="K2039">
        <v>1.105359</v>
      </c>
      <c r="L2039">
        <v>290.05630000000002</v>
      </c>
      <c r="M2039">
        <v>-0.63966509999999999</v>
      </c>
      <c r="N2039">
        <v>0</v>
      </c>
      <c r="O2039">
        <v>-0.76853099999999996</v>
      </c>
      <c r="P2039">
        <v>-0.87890519999999905</v>
      </c>
      <c r="Q2039">
        <v>0.18338570000000001</v>
      </c>
      <c r="R2039">
        <v>-0.44033600000000001</v>
      </c>
      <c r="S2039">
        <v>-2.9857179999999999</v>
      </c>
      <c r="T2039">
        <v>-0.24600939999999999</v>
      </c>
      <c r="U2039">
        <v>-0.97064209999999995</v>
      </c>
      <c r="V2039">
        <v>0.3963353</v>
      </c>
      <c r="W2039">
        <v>0.190635</v>
      </c>
      <c r="X2039">
        <v>0.89809609999999995</v>
      </c>
      <c r="Y2039">
        <v>0.52990809999999999</v>
      </c>
      <c r="Z2039">
        <v>7.4452480000000001E-2</v>
      </c>
      <c r="AA2039">
        <v>0.84478059999999999</v>
      </c>
      <c r="AB2039">
        <v>23</v>
      </c>
      <c r="AC2039">
        <v>-13.265599999999999</v>
      </c>
      <c r="AD2039">
        <v>-1.105352627077</v>
      </c>
      <c r="AE2039">
        <v>-4.1917000000000204</v>
      </c>
      <c r="AF2039">
        <v>7.4673104869511899</v>
      </c>
      <c r="AG2039">
        <v>-1.105352627077</v>
      </c>
      <c r="AH2039">
        <v>11.6346509603543</v>
      </c>
      <c r="AI2039">
        <v>94.571312477298704</v>
      </c>
      <c r="AJ2039">
        <v>57.306984480740603</v>
      </c>
      <c r="AK2039">
        <v>13.868944924109799</v>
      </c>
      <c r="AL2039">
        <v>79.010155494410796</v>
      </c>
      <c r="AM2039">
        <v>66.187838966315098</v>
      </c>
      <c r="AN2039">
        <v>0.99999998904314902</v>
      </c>
    </row>
    <row r="2040" spans="1:40" x14ac:dyDescent="0.25">
      <c r="A2040" t="str">
        <f>"20190312172123838"</f>
        <v>20190312172123838</v>
      </c>
      <c r="B2040" t="str">
        <f>"1552382483832634"</f>
        <v>1552382483832634</v>
      </c>
      <c r="C2040" t="s">
        <v>40</v>
      </c>
      <c r="D2040">
        <v>3.4422489999999999</v>
      </c>
      <c r="E2040">
        <v>0.58467190000000002</v>
      </c>
      <c r="F2040" t="s">
        <v>45</v>
      </c>
      <c r="G2040">
        <v>-209.80850000000001</v>
      </c>
      <c r="H2040" s="1">
        <v>6.4581650000000004E-6</v>
      </c>
      <c r="I2040">
        <v>285.85719999999998</v>
      </c>
      <c r="J2040">
        <v>-196.5008</v>
      </c>
      <c r="K2040">
        <v>1.1052439999999999</v>
      </c>
      <c r="L2040">
        <v>289.8922</v>
      </c>
      <c r="M2040">
        <v>-0.64600419999999903</v>
      </c>
      <c r="N2040">
        <v>0</v>
      </c>
      <c r="O2040">
        <v>-0.76320980000000005</v>
      </c>
      <c r="P2040">
        <v>-0.88502289999999995</v>
      </c>
      <c r="Q2040">
        <v>0.18334249999999999</v>
      </c>
      <c r="R2040">
        <v>-0.42792520000000001</v>
      </c>
      <c r="S2040">
        <v>-2.9962460000000002</v>
      </c>
      <c r="T2040">
        <v>-0.2461208</v>
      </c>
      <c r="U2040">
        <v>-0.93499759999999998</v>
      </c>
      <c r="V2040">
        <v>0.40161330000000001</v>
      </c>
      <c r="W2040">
        <v>0.19038840000000001</v>
      </c>
      <c r="X2040">
        <v>0.89580079999999995</v>
      </c>
      <c r="Y2040">
        <v>0.5328965</v>
      </c>
      <c r="Z2040">
        <v>7.4328710000000006E-2</v>
      </c>
      <c r="AA2040">
        <v>0.84290959999999904</v>
      </c>
      <c r="AB2040">
        <v>23</v>
      </c>
      <c r="AC2040">
        <v>-13.307700000000001</v>
      </c>
      <c r="AD2040">
        <v>-1.105237541835</v>
      </c>
      <c r="AE2040">
        <v>-4.0350000000000197</v>
      </c>
      <c r="AF2040">
        <v>7.5032572827224699</v>
      </c>
      <c r="AG2040">
        <v>-1.105237541835</v>
      </c>
      <c r="AH2040">
        <v>11.604184176645401</v>
      </c>
      <c r="AI2040">
        <v>94.572862514958203</v>
      </c>
      <c r="AJ2040">
        <v>57.113319819844101</v>
      </c>
      <c r="AK2040">
        <v>13.8628103312465</v>
      </c>
      <c r="AL2040">
        <v>79.024548686851602</v>
      </c>
      <c r="AM2040">
        <v>65.851932369196902</v>
      </c>
      <c r="AN2040">
        <v>1.00000002943604</v>
      </c>
    </row>
    <row r="2041" spans="1:40" x14ac:dyDescent="0.25">
      <c r="A2041" t="str">
        <f>"20190312172123861"</f>
        <v>20190312172123861</v>
      </c>
      <c r="B2041" t="str">
        <f>"1552382483853130"</f>
        <v>1552382483853130</v>
      </c>
      <c r="C2041" t="s">
        <v>40</v>
      </c>
      <c r="D2041">
        <v>3.231732</v>
      </c>
      <c r="E2041">
        <v>0.59428380000000003</v>
      </c>
      <c r="F2041" t="s">
        <v>46</v>
      </c>
      <c r="G2041">
        <v>-214.12880000000001</v>
      </c>
      <c r="H2041" s="1">
        <v>6.6033400000000004E-7</v>
      </c>
      <c r="I2041">
        <v>285.75330000000002</v>
      </c>
      <c r="J2041">
        <v>-196.6617</v>
      </c>
      <c r="K2041">
        <v>1.105119</v>
      </c>
      <c r="L2041">
        <v>289.71809999999999</v>
      </c>
      <c r="M2041">
        <v>-0.65290409999999999</v>
      </c>
      <c r="N2041">
        <v>0</v>
      </c>
      <c r="O2041">
        <v>-0.75731499999999996</v>
      </c>
      <c r="P2041">
        <v>-0.89117289999999905</v>
      </c>
      <c r="Q2041">
        <v>0.18361720000000001</v>
      </c>
      <c r="R2041">
        <v>-0.4148442</v>
      </c>
      <c r="S2041">
        <v>-3.0800779999999999</v>
      </c>
      <c r="T2041">
        <v>-0.1931158</v>
      </c>
      <c r="U2041">
        <v>-0.72317500000000001</v>
      </c>
      <c r="V2041">
        <v>0.4067057</v>
      </c>
      <c r="W2041">
        <v>0.19045999999999999</v>
      </c>
      <c r="X2041">
        <v>0.89348499999999997</v>
      </c>
      <c r="Y2041">
        <v>0.58597600000000005</v>
      </c>
      <c r="Z2041">
        <v>5.9064690000000003E-2</v>
      </c>
      <c r="AA2041">
        <v>0.80817289999999997</v>
      </c>
      <c r="AB2041">
        <v>23</v>
      </c>
      <c r="AC2041">
        <v>-17.467099999999999</v>
      </c>
      <c r="AD2041">
        <v>-1.105118339666</v>
      </c>
      <c r="AE2041">
        <v>-3.9647999999999599</v>
      </c>
      <c r="AF2041">
        <v>10.6001224819288</v>
      </c>
      <c r="AG2041">
        <v>-1.105118339666</v>
      </c>
      <c r="AH2041">
        <v>14.353673005874301</v>
      </c>
      <c r="AI2041">
        <v>93.544026664765994</v>
      </c>
      <c r="AJ2041">
        <v>53.554300217513898</v>
      </c>
      <c r="AK2041">
        <v>17.877690341208002</v>
      </c>
      <c r="AL2041">
        <v>79.020369423912996</v>
      </c>
      <c r="AM2041">
        <v>65.525432539942798</v>
      </c>
      <c r="AN2041">
        <v>0.99999999161874498</v>
      </c>
    </row>
    <row r="2042" spans="1:40" x14ac:dyDescent="0.25">
      <c r="A2042" t="str">
        <f>"20190312172123884"</f>
        <v>20190312172123884</v>
      </c>
      <c r="B2042" t="str">
        <f>"1552382483872649"</f>
        <v>1552382483872649</v>
      </c>
      <c r="C2042" t="s">
        <v>40</v>
      </c>
      <c r="D2042">
        <v>3.280707</v>
      </c>
      <c r="E2042">
        <v>0.59811259999999999</v>
      </c>
      <c r="F2042" t="s">
        <v>46</v>
      </c>
      <c r="G2042">
        <v>-218.01230000000001</v>
      </c>
      <c r="H2042" s="1">
        <v>2.7269570000000002E-6</v>
      </c>
      <c r="I2042">
        <v>285.57299999999998</v>
      </c>
      <c r="J2042">
        <v>-196.82480000000001</v>
      </c>
      <c r="K2042">
        <v>1.104997</v>
      </c>
      <c r="L2042">
        <v>289.54539999999997</v>
      </c>
      <c r="M2042">
        <v>-0.65994059999999999</v>
      </c>
      <c r="N2042">
        <v>0</v>
      </c>
      <c r="O2042">
        <v>-0.75119099999999905</v>
      </c>
      <c r="P2042">
        <v>-0.89773989999999904</v>
      </c>
      <c r="Q2042">
        <v>0.18167240000000001</v>
      </c>
      <c r="R2042">
        <v>-0.40132129999999999</v>
      </c>
      <c r="S2042">
        <v>-3.1178279999999998</v>
      </c>
      <c r="T2042">
        <v>-0.1613801</v>
      </c>
      <c r="U2042">
        <v>-0.60531619999999997</v>
      </c>
      <c r="V2042">
        <v>0.41221340000000001</v>
      </c>
      <c r="W2042">
        <v>0.18831980000000001</v>
      </c>
      <c r="X2042">
        <v>0.89141229999999905</v>
      </c>
      <c r="Y2042">
        <v>0.61020180000000002</v>
      </c>
      <c r="Z2042">
        <v>4.9554090000000002E-2</v>
      </c>
      <c r="AA2042">
        <v>0.79069480000000003</v>
      </c>
      <c r="AB2042">
        <v>23</v>
      </c>
      <c r="AC2042">
        <v>-21.1875</v>
      </c>
      <c r="AD2042">
        <v>-1.104994273043</v>
      </c>
      <c r="AE2042">
        <v>-3.9723999999999902</v>
      </c>
      <c r="AF2042">
        <v>13.2607339509541</v>
      </c>
      <c r="AG2042">
        <v>-1.104994273043</v>
      </c>
      <c r="AH2042">
        <v>16.9236703977814</v>
      </c>
      <c r="AI2042">
        <v>92.942108219735999</v>
      </c>
      <c r="AJ2042">
        <v>51.919122805012201</v>
      </c>
      <c r="AK2042">
        <v>21.528555385677599</v>
      </c>
      <c r="AL2042">
        <v>79.1452548123969</v>
      </c>
      <c r="AM2042">
        <v>65.18288926772</v>
      </c>
      <c r="AN2042">
        <v>1.0000000614014399</v>
      </c>
    </row>
    <row r="2043" spans="1:40" x14ac:dyDescent="0.25">
      <c r="A2043" t="str">
        <f>"20190312172123905"</f>
        <v>20190312172123905</v>
      </c>
      <c r="B2043" t="str">
        <f>"1552382483902907"</f>
        <v>1552382483902907</v>
      </c>
      <c r="C2043" t="s">
        <v>40</v>
      </c>
      <c r="D2043">
        <v>3.276678</v>
      </c>
      <c r="E2043">
        <v>0.60002759999999999</v>
      </c>
      <c r="F2043" t="s">
        <v>46</v>
      </c>
      <c r="G2043">
        <v>-219.73820000000001</v>
      </c>
      <c r="H2043" s="1">
        <v>3.6453999999999999E-6</v>
      </c>
      <c r="I2043">
        <v>285.69310000000002</v>
      </c>
      <c r="J2043">
        <v>-196.97909999999999</v>
      </c>
      <c r="K2043">
        <v>1.1048990000000001</v>
      </c>
      <c r="L2043">
        <v>289.3852</v>
      </c>
      <c r="M2043">
        <v>-0.66659409999999997</v>
      </c>
      <c r="N2043">
        <v>0</v>
      </c>
      <c r="O2043">
        <v>-0.74529239999999997</v>
      </c>
      <c r="P2043">
        <v>-0.90399810000000003</v>
      </c>
      <c r="Q2043">
        <v>0.1794335</v>
      </c>
      <c r="R2043">
        <v>-0.38806109999999999</v>
      </c>
      <c r="S2043">
        <v>-3.1365810000000001</v>
      </c>
      <c r="T2043">
        <v>-0.15126099999999901</v>
      </c>
      <c r="U2043">
        <v>-0.52734380000000003</v>
      </c>
      <c r="V2043">
        <v>0.41776000000000002</v>
      </c>
      <c r="W2043">
        <v>0.1859075</v>
      </c>
      <c r="X2043">
        <v>0.88933399999999996</v>
      </c>
      <c r="Y2043">
        <v>0.62318070000000003</v>
      </c>
      <c r="Z2043">
        <v>4.650514E-2</v>
      </c>
      <c r="AA2043">
        <v>0.78069390000000005</v>
      </c>
      <c r="AB2043">
        <v>23</v>
      </c>
      <c r="AC2043">
        <v>-22.7591</v>
      </c>
      <c r="AD2043">
        <v>-1.1048953546</v>
      </c>
      <c r="AE2043">
        <v>-3.69209999999998</v>
      </c>
      <c r="AF2043">
        <v>14.4692138445007</v>
      </c>
      <c r="AG2043">
        <v>-1.1048953546</v>
      </c>
      <c r="AH2043">
        <v>17.8834248153563</v>
      </c>
      <c r="AI2043">
        <v>92.749859292695106</v>
      </c>
      <c r="AJ2043">
        <v>51.024191740972903</v>
      </c>
      <c r="AK2043">
        <v>23.030324056534901</v>
      </c>
      <c r="AL2043">
        <v>79.285953674055406</v>
      </c>
      <c r="AM2043">
        <v>64.8384541261496</v>
      </c>
      <c r="AN2043">
        <v>0.99999998985612504</v>
      </c>
    </row>
    <row r="2044" spans="1:40" x14ac:dyDescent="0.25">
      <c r="A2044" t="str">
        <f>"20190312172123928"</f>
        <v>20190312172123928</v>
      </c>
      <c r="B2044" t="str">
        <f>"1552382483922426"</f>
        <v>1552382483922426</v>
      </c>
      <c r="C2044" t="s">
        <v>40</v>
      </c>
      <c r="D2044">
        <v>3.3297270000000001</v>
      </c>
      <c r="E2044">
        <v>0.60071009999999903</v>
      </c>
      <c r="F2044" t="s">
        <v>46</v>
      </c>
      <c r="G2044">
        <v>-219.8124</v>
      </c>
      <c r="H2044" s="1">
        <v>3.6848689999999999E-6</v>
      </c>
      <c r="I2044">
        <v>286.01639999999998</v>
      </c>
      <c r="J2044">
        <v>-197.13740000000001</v>
      </c>
      <c r="K2044">
        <v>1.1048169999999999</v>
      </c>
      <c r="L2044">
        <v>289.22399999999999</v>
      </c>
      <c r="M2044">
        <v>-0.67340429999999996</v>
      </c>
      <c r="N2044">
        <v>0</v>
      </c>
      <c r="O2044">
        <v>-0.73914429999999998</v>
      </c>
      <c r="P2044">
        <v>-0.91010619999999998</v>
      </c>
      <c r="Q2044">
        <v>0.17797479999999999</v>
      </c>
      <c r="R2044">
        <v>-0.37420819999999999</v>
      </c>
      <c r="S2044">
        <v>-3.149384</v>
      </c>
      <c r="T2044">
        <v>-0.15239800000000001</v>
      </c>
      <c r="U2044">
        <v>-0.46466059999999998</v>
      </c>
      <c r="V2044">
        <v>0.42341479999999998</v>
      </c>
      <c r="W2044">
        <v>0.1842819</v>
      </c>
      <c r="X2044">
        <v>0.88699499999999998</v>
      </c>
      <c r="Y2044">
        <v>0.63163319999999901</v>
      </c>
      <c r="Z2044">
        <v>4.6829259999999998E-2</v>
      </c>
      <c r="AA2044">
        <v>0.77385179999999998</v>
      </c>
      <c r="AB2044">
        <v>23</v>
      </c>
      <c r="AC2044">
        <v>-22.674999999999901</v>
      </c>
      <c r="AD2044">
        <v>-1.104813315131</v>
      </c>
      <c r="AE2044">
        <v>-3.20760000000001</v>
      </c>
      <c r="AF2044">
        <v>14.567584581446599</v>
      </c>
      <c r="AG2044">
        <v>-1.104813315131</v>
      </c>
      <c r="AH2044">
        <v>17.601053196715501</v>
      </c>
      <c r="AI2044">
        <v>92.768428417082006</v>
      </c>
      <c r="AJ2044">
        <v>50.387001672684903</v>
      </c>
      <c r="AK2044">
        <v>22.8742695322168</v>
      </c>
      <c r="AL2044">
        <v>79.380731731941907</v>
      </c>
      <c r="AM2044">
        <v>64.482116673086395</v>
      </c>
      <c r="AN2044">
        <v>1.00000002077582</v>
      </c>
    </row>
    <row r="2045" spans="1:40" x14ac:dyDescent="0.25">
      <c r="A2045" t="str">
        <f>"20190312172123950"</f>
        <v>20190312172123950</v>
      </c>
      <c r="B2045" t="str">
        <f>"1552382483942922"</f>
        <v>1552382483942922</v>
      </c>
      <c r="C2045" t="s">
        <v>40</v>
      </c>
      <c r="D2045">
        <v>3.3272569999999999</v>
      </c>
      <c r="E2045">
        <v>0.6008095</v>
      </c>
      <c r="F2045" t="s">
        <v>46</v>
      </c>
      <c r="G2045">
        <v>-219.4254</v>
      </c>
      <c r="H2045" s="1">
        <v>3.4789470000000001E-6</v>
      </c>
      <c r="I2045">
        <v>286.32929999999999</v>
      </c>
      <c r="J2045">
        <v>-197.30160000000001</v>
      </c>
      <c r="K2045">
        <v>1.104757</v>
      </c>
      <c r="L2045">
        <v>289.06</v>
      </c>
      <c r="M2045">
        <v>-0.68045239999999996</v>
      </c>
      <c r="N2045">
        <v>0</v>
      </c>
      <c r="O2045">
        <v>-0.73266069999999905</v>
      </c>
      <c r="P2045">
        <v>-0.9155008</v>
      </c>
      <c r="Q2045">
        <v>0.179202</v>
      </c>
      <c r="R2045">
        <v>-0.36020170000000001</v>
      </c>
      <c r="S2045">
        <v>-3.1582949999999999</v>
      </c>
      <c r="T2045">
        <v>-0.156556</v>
      </c>
      <c r="U2045">
        <v>-0.41018680000000002</v>
      </c>
      <c r="V2045">
        <v>0.4284075</v>
      </c>
      <c r="W2045">
        <v>0.18535180000000001</v>
      </c>
      <c r="X2045">
        <v>0.88437080000000001</v>
      </c>
      <c r="Y2045">
        <v>0.63753149999999903</v>
      </c>
      <c r="Z2045">
        <v>4.8034359999999998E-2</v>
      </c>
      <c r="AA2045">
        <v>0.76892550000000004</v>
      </c>
      <c r="AB2045">
        <v>23</v>
      </c>
      <c r="AC2045">
        <v>-22.1237999999999</v>
      </c>
      <c r="AD2045">
        <v>-1.104753521053</v>
      </c>
      <c r="AE2045">
        <v>-2.7307000000000099</v>
      </c>
      <c r="AF2045">
        <v>14.317346542456299</v>
      </c>
      <c r="AG2045">
        <v>-1.104753521053</v>
      </c>
      <c r="AH2045">
        <v>17.014724203234302</v>
      </c>
      <c r="AI2045">
        <v>92.844156919514901</v>
      </c>
      <c r="AJ2045">
        <v>49.920461047406398</v>
      </c>
      <c r="AK2045">
        <v>22.264494875725202</v>
      </c>
      <c r="AL2045">
        <v>79.318356144052402</v>
      </c>
      <c r="AM2045">
        <v>64.153492807800603</v>
      </c>
      <c r="AN2045">
        <v>0.99999999385606497</v>
      </c>
    </row>
    <row r="2046" spans="1:40" x14ac:dyDescent="0.25">
      <c r="A2046" t="str">
        <f>"20190312172123972"</f>
        <v>20190312172123972</v>
      </c>
      <c r="B2046" t="str">
        <f>"1552382483962453"</f>
        <v>1552382483962453</v>
      </c>
      <c r="C2046" t="s">
        <v>40</v>
      </c>
      <c r="D2046">
        <v>3.2876300000000001</v>
      </c>
      <c r="E2046">
        <v>0.60013509999999903</v>
      </c>
      <c r="F2046" t="s">
        <v>46</v>
      </c>
      <c r="G2046">
        <v>-219.57400000000001</v>
      </c>
      <c r="H2046" s="1">
        <v>3.5580040000000002E-6</v>
      </c>
      <c r="I2046">
        <v>286.51100000000002</v>
      </c>
      <c r="J2046">
        <v>-197.4639</v>
      </c>
      <c r="K2046">
        <v>1.104697</v>
      </c>
      <c r="L2046">
        <v>288.90109999999999</v>
      </c>
      <c r="M2046">
        <v>-0.68739340000000004</v>
      </c>
      <c r="N2046">
        <v>0</v>
      </c>
      <c r="O2046">
        <v>-0.72615209999999997</v>
      </c>
      <c r="P2046">
        <v>-0.92019119999999999</v>
      </c>
      <c r="Q2046">
        <v>0.181089</v>
      </c>
      <c r="R2046">
        <v>-0.34706619999999999</v>
      </c>
      <c r="S2046">
        <v>-3.1651310000000001</v>
      </c>
      <c r="T2046">
        <v>-0.15699639999999901</v>
      </c>
      <c r="U2046">
        <v>-0.3622437</v>
      </c>
      <c r="V2046">
        <v>0.43244070000000001</v>
      </c>
      <c r="W2046">
        <v>0.1870964</v>
      </c>
      <c r="X2046">
        <v>0.88203739999999997</v>
      </c>
      <c r="Y2046">
        <v>0.64187890000000003</v>
      </c>
      <c r="Z2046">
        <v>4.8066119999999997E-2</v>
      </c>
      <c r="AA2046">
        <v>0.76529809999999998</v>
      </c>
      <c r="AB2046">
        <v>23</v>
      </c>
      <c r="AC2046">
        <v>-22.110099999999999</v>
      </c>
      <c r="AD2046">
        <v>-1.1046934419959999</v>
      </c>
      <c r="AE2046">
        <v>-2.3901000000000101</v>
      </c>
      <c r="AF2046">
        <v>14.3782724165362</v>
      </c>
      <c r="AG2046">
        <v>-1.1046934419959999</v>
      </c>
      <c r="AH2046">
        <v>16.893865487686</v>
      </c>
      <c r="AI2046">
        <v>92.850772971346203</v>
      </c>
      <c r="AJ2046">
        <v>49.599083613059797</v>
      </c>
      <c r="AK2046">
        <v>22.211658119126199</v>
      </c>
      <c r="AL2046">
        <v>79.216618290970004</v>
      </c>
      <c r="AM2046">
        <v>63.882451426716003</v>
      </c>
      <c r="AN2046">
        <v>0.99999999845410403</v>
      </c>
    </row>
    <row r="2047" spans="1:40" x14ac:dyDescent="0.25">
      <c r="A2047" t="str">
        <f>"20190312172123995"</f>
        <v>20190312172123995</v>
      </c>
      <c r="B2047" t="str">
        <f>"1552382483992698"</f>
        <v>1552382483992698</v>
      </c>
      <c r="C2047" t="s">
        <v>40</v>
      </c>
      <c r="D2047">
        <v>3.321736</v>
      </c>
      <c r="E2047">
        <v>0.5985395</v>
      </c>
      <c r="F2047" t="s">
        <v>46</v>
      </c>
      <c r="G2047">
        <v>-220.2535</v>
      </c>
      <c r="H2047" s="1">
        <v>-1.4018869999999999E-6</v>
      </c>
      <c r="I2047">
        <v>286.57749999999999</v>
      </c>
      <c r="J2047">
        <v>-197.63390000000001</v>
      </c>
      <c r="K2047">
        <v>1.1046260000000001</v>
      </c>
      <c r="L2047">
        <v>288.73820000000001</v>
      </c>
      <c r="M2047">
        <v>-0.69462930000000001</v>
      </c>
      <c r="N2047">
        <v>0</v>
      </c>
      <c r="O2047">
        <v>-0.71923329999999996</v>
      </c>
      <c r="P2047">
        <v>-0.92512950000000005</v>
      </c>
      <c r="Q2047">
        <v>0.18092359999999999</v>
      </c>
      <c r="R2047">
        <v>-0.3337697</v>
      </c>
      <c r="S2047">
        <v>-3.1685639999999999</v>
      </c>
      <c r="T2047">
        <v>-0.15359220000000001</v>
      </c>
      <c r="U2047">
        <v>-0.32305909999999999</v>
      </c>
      <c r="V2047">
        <v>0.43638100000000002</v>
      </c>
      <c r="W2047">
        <v>0.18678349999999999</v>
      </c>
      <c r="X2047">
        <v>0.88016109999999903</v>
      </c>
      <c r="Y2047">
        <v>0.64372249999999998</v>
      </c>
      <c r="Z2047">
        <v>4.6876359999999999E-2</v>
      </c>
      <c r="AA2047">
        <v>0.76382190000000005</v>
      </c>
      <c r="AB2047">
        <v>23</v>
      </c>
      <c r="AC2047">
        <v>-22.619599999999899</v>
      </c>
      <c r="AD2047">
        <v>-1.1046274018869999</v>
      </c>
      <c r="AE2047">
        <v>-2.1607000000000198</v>
      </c>
      <c r="AF2047">
        <v>14.734491860318601</v>
      </c>
      <c r="AG2047">
        <v>-1.1046274018869999</v>
      </c>
      <c r="AH2047">
        <v>17.227242924056</v>
      </c>
      <c r="AI2047">
        <v>92.789734474338402</v>
      </c>
      <c r="AJ2047">
        <v>49.459569628939597</v>
      </c>
      <c r="AK2047">
        <v>22.695888412733101</v>
      </c>
      <c r="AL2047">
        <v>79.234867954284397</v>
      </c>
      <c r="AM2047">
        <v>63.627936022548298</v>
      </c>
      <c r="AN2047">
        <v>1.00000000749322</v>
      </c>
    </row>
    <row r="2048" spans="1:40" x14ac:dyDescent="0.25">
      <c r="A2048" t="str">
        <f>"20190312172124017"</f>
        <v>20190312172124017</v>
      </c>
      <c r="B2048" t="str">
        <f>"1552382484013194"</f>
        <v>1552382484013194</v>
      </c>
      <c r="C2048" t="s">
        <v>40</v>
      </c>
      <c r="D2048">
        <v>3.258918</v>
      </c>
      <c r="E2048">
        <v>0.59734449999999994</v>
      </c>
      <c r="F2048" t="s">
        <v>46</v>
      </c>
      <c r="G2048">
        <v>-219.81880000000001</v>
      </c>
      <c r="H2048" s="1">
        <v>3.6882999999999999E-6</v>
      </c>
      <c r="I2048">
        <v>286.70929999999998</v>
      </c>
      <c r="J2048">
        <v>-197.79169999999999</v>
      </c>
      <c r="K2048">
        <v>1.1045510000000001</v>
      </c>
      <c r="L2048">
        <v>288.58999999999997</v>
      </c>
      <c r="M2048">
        <v>-0.70131149999999998</v>
      </c>
      <c r="N2048">
        <v>0</v>
      </c>
      <c r="O2048">
        <v>-0.71271879999999999</v>
      </c>
      <c r="P2048">
        <v>-0.92945</v>
      </c>
      <c r="Q2048">
        <v>0.18001400000000001</v>
      </c>
      <c r="R2048">
        <v>-0.32205299999999998</v>
      </c>
      <c r="S2048">
        <v>-3.169098</v>
      </c>
      <c r="T2048">
        <v>-0.1577942</v>
      </c>
      <c r="U2048">
        <v>-0.28982540000000001</v>
      </c>
      <c r="V2048">
        <v>0.43943880000000002</v>
      </c>
      <c r="W2048">
        <v>0.1857454</v>
      </c>
      <c r="X2048">
        <v>0.87885840000000004</v>
      </c>
      <c r="Y2048">
        <v>0.64446029999999999</v>
      </c>
      <c r="Z2048">
        <v>4.8014939999999999E-2</v>
      </c>
      <c r="AA2048">
        <v>0.76312880000000005</v>
      </c>
      <c r="AB2048">
        <v>23</v>
      </c>
      <c r="AC2048">
        <v>-22.027100000000001</v>
      </c>
      <c r="AD2048">
        <v>-1.1045473117</v>
      </c>
      <c r="AE2048">
        <v>-1.88069999999999</v>
      </c>
      <c r="AF2048">
        <v>14.345755948363999</v>
      </c>
      <c r="AG2048">
        <v>-1.1045473117</v>
      </c>
      <c r="AH2048">
        <v>16.7480897426233</v>
      </c>
      <c r="AI2048">
        <v>92.867427039502203</v>
      </c>
      <c r="AJ2048">
        <v>49.417938211512599</v>
      </c>
      <c r="AK2048">
        <v>22.0798380546772</v>
      </c>
      <c r="AL2048">
        <v>79.295405521672194</v>
      </c>
      <c r="AM2048">
        <v>63.434448139690097</v>
      </c>
      <c r="AN2048">
        <v>0.99999994990857799</v>
      </c>
    </row>
    <row r="2049" spans="1:40" x14ac:dyDescent="0.25">
      <c r="A2049" t="str">
        <f>"20190312172124038"</f>
        <v>20190312172124038</v>
      </c>
      <c r="B2049" t="str">
        <f>"1552382484032714"</f>
        <v>1552382484032714</v>
      </c>
      <c r="C2049" t="s">
        <v>40</v>
      </c>
      <c r="D2049">
        <v>3.3027030000000002</v>
      </c>
      <c r="E2049">
        <v>0.58230630000000005</v>
      </c>
      <c r="F2049" t="s">
        <v>46</v>
      </c>
      <c r="G2049">
        <v>-219.29949999999999</v>
      </c>
      <c r="H2049" s="1">
        <v>3.4119479999999999E-6</v>
      </c>
      <c r="I2049">
        <v>286.83109999999999</v>
      </c>
      <c r="J2049">
        <v>-197.95769999999999</v>
      </c>
      <c r="K2049">
        <v>1.1044659999999999</v>
      </c>
      <c r="L2049">
        <v>288.43729999999999</v>
      </c>
      <c r="M2049">
        <v>-0.70829949999999997</v>
      </c>
      <c r="N2049">
        <v>0</v>
      </c>
      <c r="O2049">
        <v>-0.70577429999999997</v>
      </c>
      <c r="P2049">
        <v>-0.93329740000000005</v>
      </c>
      <c r="Q2049">
        <v>0.1794356</v>
      </c>
      <c r="R2049">
        <v>-0.31106159999999999</v>
      </c>
      <c r="S2049">
        <v>-3.1694179999999998</v>
      </c>
      <c r="T2049">
        <v>-0.16276760000000001</v>
      </c>
      <c r="U2049">
        <v>-0.25918580000000002</v>
      </c>
      <c r="V2049">
        <v>0.44125950000000003</v>
      </c>
      <c r="W2049">
        <v>0.1850598</v>
      </c>
      <c r="X2049">
        <v>0.8780905</v>
      </c>
      <c r="Y2049">
        <v>0.64417349999999995</v>
      </c>
      <c r="Z2049">
        <v>4.9330550000000001E-2</v>
      </c>
      <c r="AA2049">
        <v>0.76328699999999905</v>
      </c>
      <c r="AB2049">
        <v>23</v>
      </c>
      <c r="AC2049">
        <v>-21.341799999999999</v>
      </c>
      <c r="AD2049">
        <v>-1.104462588052</v>
      </c>
      <c r="AE2049">
        <v>-1.6062000000000001</v>
      </c>
      <c r="AF2049">
        <v>13.8891891228995</v>
      </c>
      <c r="AG2049">
        <v>-1.104462588052</v>
      </c>
      <c r="AH2049">
        <v>16.2084165518506</v>
      </c>
      <c r="AI2049">
        <v>92.9619928513291</v>
      </c>
      <c r="AJ2049">
        <v>49.406326229938998</v>
      </c>
      <c r="AK2049">
        <v>21.3738667353004</v>
      </c>
      <c r="AL2049">
        <v>79.335381124460397</v>
      </c>
      <c r="AM2049">
        <v>63.319480842757599</v>
      </c>
      <c r="AN2049">
        <v>1.0000000010532699</v>
      </c>
    </row>
    <row r="2050" spans="1:40" x14ac:dyDescent="0.25">
      <c r="A2050" t="str">
        <f>"20190312172124061"</f>
        <v>20190312172124061</v>
      </c>
      <c r="B2050" t="str">
        <f>"1552382484053210"</f>
        <v>1552382484053210</v>
      </c>
      <c r="C2050" t="s">
        <v>40</v>
      </c>
      <c r="D2050">
        <v>3.2738610000000001</v>
      </c>
      <c r="E2050">
        <v>0.58170469999999996</v>
      </c>
      <c r="F2050" t="s">
        <v>46</v>
      </c>
      <c r="G2050">
        <v>-218.07419999999999</v>
      </c>
      <c r="H2050" s="1">
        <v>2.7599149999999998E-6</v>
      </c>
      <c r="I2050">
        <v>286.286</v>
      </c>
      <c r="J2050">
        <v>-198.13050000000001</v>
      </c>
      <c r="K2050">
        <v>1.1043889999999901</v>
      </c>
      <c r="L2050">
        <v>288.2817</v>
      </c>
      <c r="M2050">
        <v>-0.71553180000000005</v>
      </c>
      <c r="N2050">
        <v>0</v>
      </c>
      <c r="O2050">
        <v>-0.69844079999999997</v>
      </c>
      <c r="P2050">
        <v>-0.93660909999999997</v>
      </c>
      <c r="Q2050">
        <v>0.1790108</v>
      </c>
      <c r="R2050">
        <v>-0.30119570000000001</v>
      </c>
      <c r="S2050">
        <v>-3.1357270000000002</v>
      </c>
      <c r="T2050">
        <v>-0.1721616</v>
      </c>
      <c r="U2050">
        <v>-0.33532709999999999</v>
      </c>
      <c r="V2050">
        <v>0.44156600000000001</v>
      </c>
      <c r="W2050">
        <v>0.18456030000000001</v>
      </c>
      <c r="X2050">
        <v>0.87804159999999998</v>
      </c>
      <c r="Y2050">
        <v>0.61670609999999904</v>
      </c>
      <c r="Z2050">
        <v>5.1574139999999997E-2</v>
      </c>
      <c r="AA2050">
        <v>0.78550220000000004</v>
      </c>
      <c r="AB2050">
        <v>23</v>
      </c>
      <c r="AC2050">
        <v>-19.9436999999999</v>
      </c>
      <c r="AD2050">
        <v>-1.10438624008499</v>
      </c>
      <c r="AE2050">
        <v>-1.9957</v>
      </c>
      <c r="AF2050">
        <v>12.464880600070099</v>
      </c>
      <c r="AG2050">
        <v>-1.10438624008499</v>
      </c>
      <c r="AH2050">
        <v>15.6183374870559</v>
      </c>
      <c r="AI2050">
        <v>93.163364674825601</v>
      </c>
      <c r="AJ2050">
        <v>51.406889260068397</v>
      </c>
      <c r="AK2050">
        <v>20.013130269922002</v>
      </c>
      <c r="AL2050">
        <v>79.364502457396</v>
      </c>
      <c r="AM2050">
        <v>63.302235233131697</v>
      </c>
      <c r="AN2050">
        <v>1.0000000440113199</v>
      </c>
    </row>
    <row r="2051" spans="1:40" x14ac:dyDescent="0.25">
      <c r="A2051" t="str">
        <f>"20190312172124085"</f>
        <v>20190312172124085</v>
      </c>
      <c r="B2051" t="str">
        <f>"1552382484082489"</f>
        <v>1552382484082489</v>
      </c>
      <c r="C2051" t="s">
        <v>40</v>
      </c>
      <c r="D2051">
        <v>3.2577319999999999</v>
      </c>
      <c r="E2051">
        <v>0.58065540000000004</v>
      </c>
      <c r="F2051" t="s">
        <v>46</v>
      </c>
      <c r="G2051">
        <v>-217.87520000000001</v>
      </c>
      <c r="H2051" s="1">
        <v>2.653979E-6</v>
      </c>
      <c r="I2051">
        <v>286.35210000000001</v>
      </c>
      <c r="J2051">
        <v>-198.31620000000001</v>
      </c>
      <c r="K2051">
        <v>1.1043149999999999</v>
      </c>
      <c r="L2051">
        <v>288.11849999999998</v>
      </c>
      <c r="M2051">
        <v>-0.72325779999999995</v>
      </c>
      <c r="N2051">
        <v>0</v>
      </c>
      <c r="O2051">
        <v>-0.69043669999999902</v>
      </c>
      <c r="P2051">
        <v>-0.93926399999999999</v>
      </c>
      <c r="Q2051">
        <v>0.17986009999999999</v>
      </c>
      <c r="R2051">
        <v>-0.29229070000000001</v>
      </c>
      <c r="S2051">
        <v>-3.1379700000000001</v>
      </c>
      <c r="T2051">
        <v>-0.17551710000000001</v>
      </c>
      <c r="U2051">
        <v>-0.30667109999999997</v>
      </c>
      <c r="V2051">
        <v>0.44006299999999998</v>
      </c>
      <c r="W2051">
        <v>0.1853747</v>
      </c>
      <c r="X2051">
        <v>0.87862439999999997</v>
      </c>
      <c r="Y2051">
        <v>0.61505730000000003</v>
      </c>
      <c r="Z2051">
        <v>5.2245659999999999E-2</v>
      </c>
      <c r="AA2051">
        <v>0.78674960000000005</v>
      </c>
      <c r="AB2051">
        <v>22</v>
      </c>
      <c r="AC2051">
        <v>-19.559000000000001</v>
      </c>
      <c r="AD2051">
        <v>-1.104312346021</v>
      </c>
      <c r="AE2051">
        <v>-1.76639999999997</v>
      </c>
      <c r="AF2051">
        <v>12.189340285274699</v>
      </c>
      <c r="AG2051">
        <v>-1.104312346021</v>
      </c>
      <c r="AH2051">
        <v>15.318849223433</v>
      </c>
      <c r="AI2051">
        <v>93.228606193984305</v>
      </c>
      <c r="AJ2051">
        <v>51.490431701126298</v>
      </c>
      <c r="AK2051">
        <v>19.607821497506301</v>
      </c>
      <c r="AL2051">
        <v>79.317021320294401</v>
      </c>
      <c r="AM2051">
        <v>63.395794011518397</v>
      </c>
      <c r="AN2051">
        <v>1.00000002982222</v>
      </c>
    </row>
    <row r="2052" spans="1:40" x14ac:dyDescent="0.25">
      <c r="A2052" t="str">
        <f>"20190312172124107"</f>
        <v>20190312172124107</v>
      </c>
      <c r="B2052" t="str">
        <f>"1552382484102986"</f>
        <v>1552382484102986</v>
      </c>
      <c r="C2052" t="s">
        <v>40</v>
      </c>
      <c r="D2052">
        <v>3.2540049999999998</v>
      </c>
      <c r="E2052">
        <v>0.57982630000000002</v>
      </c>
      <c r="F2052" t="s">
        <v>46</v>
      </c>
      <c r="G2052">
        <v>-218.25899999999999</v>
      </c>
      <c r="H2052" s="1">
        <v>2.8582399999999998E-6</v>
      </c>
      <c r="I2052">
        <v>286.30180000000001</v>
      </c>
      <c r="J2052">
        <v>-198.48410000000001</v>
      </c>
      <c r="K2052">
        <v>1.104266</v>
      </c>
      <c r="L2052">
        <v>287.9742</v>
      </c>
      <c r="M2052">
        <v>-0.7301744</v>
      </c>
      <c r="N2052">
        <v>0</v>
      </c>
      <c r="O2052">
        <v>-0.68311769999999905</v>
      </c>
      <c r="P2052">
        <v>-0.94110890000000003</v>
      </c>
      <c r="Q2052">
        <v>0.18066670000000001</v>
      </c>
      <c r="R2052">
        <v>-0.2857867</v>
      </c>
      <c r="S2052">
        <v>-3.138306</v>
      </c>
      <c r="T2052">
        <v>-0.17378060000000001</v>
      </c>
      <c r="U2052">
        <v>-0.2858887</v>
      </c>
      <c r="V2052">
        <v>0.43721409999999999</v>
      </c>
      <c r="W2052">
        <v>0.18619649999999999</v>
      </c>
      <c r="X2052">
        <v>0.87987199999999999</v>
      </c>
      <c r="Y2052">
        <v>0.61234119999999903</v>
      </c>
      <c r="Z2052">
        <v>5.1406840000000002E-2</v>
      </c>
      <c r="AA2052">
        <v>0.78892050000000002</v>
      </c>
      <c r="AB2052">
        <v>22</v>
      </c>
      <c r="AC2052">
        <v>-19.774899999999999</v>
      </c>
      <c r="AD2052">
        <v>-1.10426314176</v>
      </c>
      <c r="AE2052">
        <v>-1.6723999999999799</v>
      </c>
      <c r="AF2052">
        <v>12.250712153613399</v>
      </c>
      <c r="AG2052">
        <v>-1.10426314176</v>
      </c>
      <c r="AH2052">
        <v>15.5349969115726</v>
      </c>
      <c r="AI2052">
        <v>93.194666250152906</v>
      </c>
      <c r="AJ2052">
        <v>51.741111849851002</v>
      </c>
      <c r="AK2052">
        <v>19.815031526583802</v>
      </c>
      <c r="AL2052">
        <v>79.269101282595003</v>
      </c>
      <c r="AM2052">
        <v>63.576920636657398</v>
      </c>
      <c r="AN2052">
        <v>1.00000002111752</v>
      </c>
    </row>
    <row r="2053" spans="1:40" x14ac:dyDescent="0.25">
      <c r="A2053" t="str">
        <f>"20190312172124127"</f>
        <v>20190312172124127</v>
      </c>
      <c r="B2053" t="str">
        <f>"1552382484122506"</f>
        <v>1552382484122506</v>
      </c>
      <c r="C2053" t="s">
        <v>40</v>
      </c>
      <c r="D2053">
        <v>3.2324630000000001</v>
      </c>
      <c r="E2053">
        <v>0.57913359999999903</v>
      </c>
      <c r="F2053" t="s">
        <v>46</v>
      </c>
      <c r="G2053">
        <v>-218.27699999999999</v>
      </c>
      <c r="H2053" s="1">
        <v>2.8678240000000001E-6</v>
      </c>
      <c r="I2053">
        <v>286.26060000000001</v>
      </c>
      <c r="J2053">
        <v>-198.64349999999999</v>
      </c>
      <c r="K2053">
        <v>1.104231</v>
      </c>
      <c r="L2053">
        <v>287.83999999999997</v>
      </c>
      <c r="M2053">
        <v>-0.73668180000000005</v>
      </c>
      <c r="N2053">
        <v>0</v>
      </c>
      <c r="O2053">
        <v>-0.67609469999999905</v>
      </c>
      <c r="P2053">
        <v>-0.94245469999999998</v>
      </c>
      <c r="Q2053">
        <v>0.18190899999999999</v>
      </c>
      <c r="R2053">
        <v>-0.28051559999999998</v>
      </c>
      <c r="S2053">
        <v>-3.1388240000000001</v>
      </c>
      <c r="T2053">
        <v>-0.17511769999999999</v>
      </c>
      <c r="U2053">
        <v>-0.27175899999999997</v>
      </c>
      <c r="V2053">
        <v>0.43357800000000002</v>
      </c>
      <c r="W2053">
        <v>0.18748049999999999</v>
      </c>
      <c r="X2053">
        <v>0.88139719999999999</v>
      </c>
      <c r="Y2053">
        <v>0.6082938</v>
      </c>
      <c r="Z2053">
        <v>5.1430879999999998E-2</v>
      </c>
      <c r="AA2053">
        <v>0.79204390000000002</v>
      </c>
      <c r="AB2053">
        <v>22</v>
      </c>
      <c r="AC2053">
        <v>-19.633500000000002</v>
      </c>
      <c r="AD2053">
        <v>-1.1042281321759999</v>
      </c>
      <c r="AE2053">
        <v>-1.5793999999999599</v>
      </c>
      <c r="AF2053">
        <v>12.0738303692284</v>
      </c>
      <c r="AG2053">
        <v>-1.1042281321759999</v>
      </c>
      <c r="AH2053">
        <v>15.4843228991313</v>
      </c>
      <c r="AI2053">
        <v>93.2187599430343</v>
      </c>
      <c r="AJ2053">
        <v>52.054837941466701</v>
      </c>
      <c r="AK2053">
        <v>19.666238969293399</v>
      </c>
      <c r="AL2053">
        <v>79.194213711380598</v>
      </c>
      <c r="AM2053">
        <v>63.806447399699799</v>
      </c>
      <c r="AN2053">
        <v>0.99999992206604105</v>
      </c>
    </row>
    <row r="2054" spans="1:40" x14ac:dyDescent="0.25">
      <c r="A2054" t="str">
        <f>"20190312172124150"</f>
        <v>20190312172124150</v>
      </c>
      <c r="B2054" t="str">
        <f>"1552382484143002"</f>
        <v>1552382484143002</v>
      </c>
      <c r="C2054" t="s">
        <v>40</v>
      </c>
      <c r="D2054">
        <v>3.2513329999999998</v>
      </c>
      <c r="E2054">
        <v>0.57884230000000003</v>
      </c>
      <c r="F2054" t="s">
        <v>46</v>
      </c>
      <c r="G2054">
        <v>-218.74350000000001</v>
      </c>
      <c r="H2054" s="1">
        <v>3.1160579999999998E-6</v>
      </c>
      <c r="I2054">
        <v>286.17989999999998</v>
      </c>
      <c r="J2054">
        <v>-198.82830000000001</v>
      </c>
      <c r="K2054">
        <v>1.1041859999999999</v>
      </c>
      <c r="L2054">
        <v>287.68770000000001</v>
      </c>
      <c r="M2054">
        <v>-0.74415559999999903</v>
      </c>
      <c r="N2054">
        <v>0</v>
      </c>
      <c r="O2054">
        <v>-0.66785919999999999</v>
      </c>
      <c r="P2054">
        <v>-0.94434580000000001</v>
      </c>
      <c r="Q2054">
        <v>0.1832298</v>
      </c>
      <c r="R2054">
        <v>-0.2731999</v>
      </c>
      <c r="S2054">
        <v>-3.1392820000000001</v>
      </c>
      <c r="T2054">
        <v>-0.1724617</v>
      </c>
      <c r="U2054">
        <v>-0.25927729999999999</v>
      </c>
      <c r="V2054">
        <v>0.43046990000000002</v>
      </c>
      <c r="W2054">
        <v>0.18882979999999999</v>
      </c>
      <c r="X2054">
        <v>0.88263189999999903</v>
      </c>
      <c r="Y2054">
        <v>0.6026688</v>
      </c>
      <c r="Z2054">
        <v>5.0189570000000003E-2</v>
      </c>
      <c r="AA2054">
        <v>0.79641149999999905</v>
      </c>
      <c r="AB2054">
        <v>22</v>
      </c>
      <c r="AC2054">
        <v>-19.915199999999999</v>
      </c>
      <c r="AD2054">
        <v>-1.104182883942</v>
      </c>
      <c r="AE2054">
        <v>-1.50780000000003</v>
      </c>
      <c r="AF2054">
        <v>12.142594288899099</v>
      </c>
      <c r="AG2054">
        <v>-1.104182883942</v>
      </c>
      <c r="AH2054">
        <v>15.780327960264801</v>
      </c>
      <c r="AI2054">
        <v>93.1740854969498</v>
      </c>
      <c r="AJ2054">
        <v>52.422557342479202</v>
      </c>
      <c r="AK2054">
        <v>19.941929857451399</v>
      </c>
      <c r="AL2054">
        <v>79.115500001832203</v>
      </c>
      <c r="AM2054">
        <v>64.000967073282297</v>
      </c>
      <c r="AN2054">
        <v>1.0000000495358199</v>
      </c>
    </row>
    <row r="2055" spans="1:40" x14ac:dyDescent="0.25">
      <c r="A2055" t="str">
        <f>"20190312172124173"</f>
        <v>20190312172124173</v>
      </c>
      <c r="B2055" t="str">
        <f>"1552382484162522"</f>
        <v>1552382484162522</v>
      </c>
      <c r="C2055" t="s">
        <v>40</v>
      </c>
      <c r="D2055">
        <v>3.2350449999999999</v>
      </c>
      <c r="E2055">
        <v>0.57406899999999905</v>
      </c>
      <c r="F2055" t="s">
        <v>46</v>
      </c>
      <c r="G2055">
        <v>-219.2775</v>
      </c>
      <c r="H2055" s="1">
        <v>3.4002609999999999E-6</v>
      </c>
      <c r="I2055">
        <v>286.14260000000002</v>
      </c>
      <c r="J2055">
        <v>-199.00550000000001</v>
      </c>
      <c r="K2055">
        <v>1.1041430000000001</v>
      </c>
      <c r="L2055">
        <v>287.54509999999999</v>
      </c>
      <c r="M2055">
        <v>-0.7512413</v>
      </c>
      <c r="N2055">
        <v>0</v>
      </c>
      <c r="O2055">
        <v>-0.65987879999999999</v>
      </c>
      <c r="P2055">
        <v>-0.94621279999999997</v>
      </c>
      <c r="Q2055">
        <v>0.18451319999999999</v>
      </c>
      <c r="R2055">
        <v>-0.26577529999999999</v>
      </c>
      <c r="S2055">
        <v>-3.1410520000000002</v>
      </c>
      <c r="T2055">
        <v>-0.16960529999999999</v>
      </c>
      <c r="U2055">
        <v>-0.2373352</v>
      </c>
      <c r="V2055">
        <v>0.4278496</v>
      </c>
      <c r="W2055">
        <v>0.19012950000000001</v>
      </c>
      <c r="X2055">
        <v>0.88362629999999998</v>
      </c>
      <c r="Y2055">
        <v>0.59979329999999997</v>
      </c>
      <c r="Z2055">
        <v>4.8976800000000001E-2</v>
      </c>
      <c r="AA2055">
        <v>0.79865459999999899</v>
      </c>
      <c r="AB2055">
        <v>22</v>
      </c>
      <c r="AC2055">
        <v>-20.271999999999899</v>
      </c>
      <c r="AD2055">
        <v>-1.104139599739</v>
      </c>
      <c r="AE2055">
        <v>-1.4024999999999701</v>
      </c>
      <c r="AF2055">
        <v>12.288377244112199</v>
      </c>
      <c r="AG2055">
        <v>-1.104139599739</v>
      </c>
      <c r="AH2055">
        <v>16.108671027285101</v>
      </c>
      <c r="AI2055">
        <v>93.119349901098104</v>
      </c>
      <c r="AJ2055">
        <v>52.662076155016599</v>
      </c>
      <c r="AK2055">
        <v>20.290702841809601</v>
      </c>
      <c r="AL2055">
        <v>79.039657930088396</v>
      </c>
      <c r="AM2055">
        <v>64.163852762291597</v>
      </c>
      <c r="AN2055">
        <v>0.999999972521049</v>
      </c>
    </row>
    <row r="2056" spans="1:40" x14ac:dyDescent="0.25">
      <c r="A2056" t="str">
        <f>"20190312172124194"</f>
        <v>20190312172124194</v>
      </c>
      <c r="B2056" t="str">
        <f>"1552382484183018"</f>
        <v>1552382484183018</v>
      </c>
      <c r="C2056" t="s">
        <v>40</v>
      </c>
      <c r="D2056">
        <v>3.231452</v>
      </c>
      <c r="E2056">
        <v>0.57420490000000002</v>
      </c>
      <c r="F2056" t="s">
        <v>46</v>
      </c>
      <c r="G2056">
        <v>-217.60380000000001</v>
      </c>
      <c r="H2056" s="1">
        <v>2.50958E-6</v>
      </c>
      <c r="I2056">
        <v>286.06200000000001</v>
      </c>
      <c r="J2056">
        <v>-199.1771</v>
      </c>
      <c r="K2056">
        <v>1.104096</v>
      </c>
      <c r="L2056">
        <v>287.41000000000003</v>
      </c>
      <c r="M2056">
        <v>-0.75802999999999998</v>
      </c>
      <c r="N2056">
        <v>0</v>
      </c>
      <c r="O2056">
        <v>-0.65206900000000001</v>
      </c>
      <c r="P2056">
        <v>-0.94805289999999998</v>
      </c>
      <c r="Q2056">
        <v>0.1855415</v>
      </c>
      <c r="R2056">
        <v>-0.2583994</v>
      </c>
      <c r="S2056">
        <v>-3.1365970000000001</v>
      </c>
      <c r="T2056">
        <v>-0.1862124</v>
      </c>
      <c r="U2056">
        <v>-0.25012210000000001</v>
      </c>
      <c r="V2056">
        <v>0.42548530000000001</v>
      </c>
      <c r="W2056">
        <v>0.19116440000000001</v>
      </c>
      <c r="X2056">
        <v>0.884544199999999</v>
      </c>
      <c r="Y2056">
        <v>0.5878217</v>
      </c>
      <c r="Z2056">
        <v>5.3125400000000003E-2</v>
      </c>
      <c r="AA2056">
        <v>0.80724430000000003</v>
      </c>
      <c r="AB2056">
        <v>22</v>
      </c>
      <c r="AC2056">
        <v>-18.4267</v>
      </c>
      <c r="AD2056">
        <v>-1.1040934904199999</v>
      </c>
      <c r="AE2056">
        <v>-1.3480000000000101</v>
      </c>
      <c r="AF2056">
        <v>10.9556126190393</v>
      </c>
      <c r="AG2056">
        <v>-1.1040934904199999</v>
      </c>
      <c r="AH2056">
        <v>14.795603465364399</v>
      </c>
      <c r="AI2056">
        <v>93.432023133429297</v>
      </c>
      <c r="AJ2056">
        <v>53.481382085185999</v>
      </c>
      <c r="AK2056">
        <v>18.4432739012992</v>
      </c>
      <c r="AL2056">
        <v>78.979255009408107</v>
      </c>
      <c r="AM2056">
        <v>64.311417694221703</v>
      </c>
      <c r="AN2056">
        <v>1.00000000504854</v>
      </c>
    </row>
    <row r="2057" spans="1:40" x14ac:dyDescent="0.25">
      <c r="A2057" t="str">
        <f>"20190312172124217"</f>
        <v>20190312172124217</v>
      </c>
      <c r="B2057" t="str">
        <f>"1552382484213275"</f>
        <v>1552382484213275</v>
      </c>
      <c r="C2057" t="s">
        <v>40</v>
      </c>
      <c r="D2057">
        <v>3.2271339999999999</v>
      </c>
      <c r="E2057">
        <v>0.57355579999999995</v>
      </c>
      <c r="F2057" t="s">
        <v>46</v>
      </c>
      <c r="G2057">
        <v>-218.17269999999999</v>
      </c>
      <c r="H2057" s="1">
        <v>2.8123179999999998E-6</v>
      </c>
      <c r="I2057">
        <v>286.05239999999998</v>
      </c>
      <c r="J2057">
        <v>-199.3563</v>
      </c>
      <c r="K2057">
        <v>1.104053</v>
      </c>
      <c r="L2057">
        <v>287.27199999999999</v>
      </c>
      <c r="M2057">
        <v>-0.76503399999999999</v>
      </c>
      <c r="N2057">
        <v>0</v>
      </c>
      <c r="O2057">
        <v>-0.643837199999999</v>
      </c>
      <c r="P2057">
        <v>-0.94985759999999997</v>
      </c>
      <c r="Q2057">
        <v>0.18739910000000001</v>
      </c>
      <c r="R2057">
        <v>-0.25030459999999999</v>
      </c>
      <c r="S2057">
        <v>-3.1389309999999999</v>
      </c>
      <c r="T2057">
        <v>-0.18244589999999999</v>
      </c>
      <c r="U2057">
        <v>-0.2243347</v>
      </c>
      <c r="V2057">
        <v>0.42327949999999998</v>
      </c>
      <c r="W2057">
        <v>0.19301850000000001</v>
      </c>
      <c r="X2057">
        <v>0.88519959999999898</v>
      </c>
      <c r="Y2057">
        <v>0.58582199999999995</v>
      </c>
      <c r="Z2057">
        <v>5.1641230000000003E-2</v>
      </c>
      <c r="AA2057">
        <v>0.80879279999999998</v>
      </c>
      <c r="AB2057">
        <v>22</v>
      </c>
      <c r="AC2057">
        <v>-18.816399999999899</v>
      </c>
      <c r="AD2057">
        <v>-1.1040501876819999</v>
      </c>
      <c r="AE2057">
        <v>-1.21960000000001</v>
      </c>
      <c r="AF2057">
        <v>11.1445550373888</v>
      </c>
      <c r="AG2057">
        <v>-1.1040501876819999</v>
      </c>
      <c r="AH2057">
        <v>15.1300314649014</v>
      </c>
      <c r="AI2057">
        <v>93.3624200333592</v>
      </c>
      <c r="AJ2057">
        <v>53.625194776701903</v>
      </c>
      <c r="AK2057">
        <v>18.823864797836201</v>
      </c>
      <c r="AL2057">
        <v>78.871006977774897</v>
      </c>
      <c r="AM2057">
        <v>64.444082186925002</v>
      </c>
      <c r="AN2057">
        <v>1.0000000041513299</v>
      </c>
    </row>
    <row r="2058" spans="1:40" x14ac:dyDescent="0.25">
      <c r="A2058" t="str">
        <f>"20190312172124241"</f>
        <v>20190312172124241</v>
      </c>
      <c r="B2058" t="str">
        <f>"1552382484232585"</f>
        <v>1552382484232585</v>
      </c>
      <c r="C2058" t="s">
        <v>40</v>
      </c>
      <c r="D2058">
        <v>3.213463</v>
      </c>
      <c r="E2058">
        <v>0.57305740000000005</v>
      </c>
      <c r="F2058" t="s">
        <v>46</v>
      </c>
      <c r="G2058">
        <v>-218.8081</v>
      </c>
      <c r="H2058" s="1">
        <v>3.1504329999999998E-6</v>
      </c>
      <c r="I2058">
        <v>286.01639999999998</v>
      </c>
      <c r="J2058">
        <v>-199.55</v>
      </c>
      <c r="K2058">
        <v>1.104017</v>
      </c>
      <c r="L2058">
        <v>287.12650000000002</v>
      </c>
      <c r="M2058">
        <v>-0.77250399999999997</v>
      </c>
      <c r="N2058">
        <v>0</v>
      </c>
      <c r="O2058">
        <v>-0.63485499999999995</v>
      </c>
      <c r="P2058">
        <v>-0.95153929999999998</v>
      </c>
      <c r="Q2058">
        <v>0.18906719999999999</v>
      </c>
      <c r="R2058">
        <v>-0.24254310000000001</v>
      </c>
      <c r="S2058">
        <v>-3.1401520000000001</v>
      </c>
      <c r="T2058">
        <v>-0.17823</v>
      </c>
      <c r="U2058">
        <v>-0.20269780000000001</v>
      </c>
      <c r="V2058">
        <v>0.41999320000000001</v>
      </c>
      <c r="W2058">
        <v>0.1947081</v>
      </c>
      <c r="X2058">
        <v>0.88639409999999896</v>
      </c>
      <c r="Y2058">
        <v>0.58203139999999998</v>
      </c>
      <c r="Z2058">
        <v>4.996987E-2</v>
      </c>
      <c r="AA2058">
        <v>0.8116295</v>
      </c>
      <c r="AB2058">
        <v>22</v>
      </c>
      <c r="AC2058">
        <v>-19.258099999999899</v>
      </c>
      <c r="AD2058">
        <v>-1.104013849567</v>
      </c>
      <c r="AE2058">
        <v>-1.1101000000000401</v>
      </c>
      <c r="AF2058">
        <v>11.332542563511501</v>
      </c>
      <c r="AG2058">
        <v>-1.104013849567</v>
      </c>
      <c r="AH2058">
        <v>15.532367769101199</v>
      </c>
      <c r="AI2058">
        <v>93.286298392190801</v>
      </c>
      <c r="AJ2058">
        <v>53.885203830605697</v>
      </c>
      <c r="AK2058">
        <v>19.2587594628639</v>
      </c>
      <c r="AL2058">
        <v>78.772328070540496</v>
      </c>
      <c r="AM2058">
        <v>64.647367198235401</v>
      </c>
      <c r="AN2058">
        <v>1.00000001638332</v>
      </c>
    </row>
    <row r="2059" spans="1:40" x14ac:dyDescent="0.25">
      <c r="A2059" t="str">
        <f>"20190312172124274"</f>
        <v>20190312172124274</v>
      </c>
      <c r="B2059" t="str">
        <f>"1552382484262840"</f>
        <v>1552382484262840</v>
      </c>
      <c r="C2059" t="s">
        <v>40</v>
      </c>
      <c r="D2059">
        <v>3.1576659999999999</v>
      </c>
      <c r="E2059">
        <v>0.56996219999999997</v>
      </c>
      <c r="F2059" t="s">
        <v>46</v>
      </c>
      <c r="G2059">
        <v>-219.59139999999999</v>
      </c>
      <c r="H2059" s="1">
        <v>3.5672840000000001E-6</v>
      </c>
      <c r="I2059">
        <v>285.97750000000002</v>
      </c>
      <c r="J2059">
        <v>-199.827</v>
      </c>
      <c r="K2059">
        <v>1.103958</v>
      </c>
      <c r="L2059">
        <v>286.92509999999999</v>
      </c>
      <c r="M2059">
        <v>-0.78299810000000003</v>
      </c>
      <c r="N2059">
        <v>0</v>
      </c>
      <c r="O2059">
        <v>-0.62186609999999998</v>
      </c>
      <c r="P2059">
        <v>-0.95438489999999998</v>
      </c>
      <c r="Q2059">
        <v>0.1904759</v>
      </c>
      <c r="R2059">
        <v>-0.229932</v>
      </c>
      <c r="S2059">
        <v>-3.1412659999999999</v>
      </c>
      <c r="T2059">
        <v>-0.1730421</v>
      </c>
      <c r="U2059">
        <v>-0.1800842</v>
      </c>
      <c r="V2059">
        <v>0.41678520000000002</v>
      </c>
      <c r="W2059">
        <v>0.1961204</v>
      </c>
      <c r="X2059">
        <v>0.887596099999999</v>
      </c>
      <c r="Y2059">
        <v>0.57441089999999995</v>
      </c>
      <c r="Z2059">
        <v>4.777174E-2</v>
      </c>
      <c r="AA2059">
        <v>0.81717189999999995</v>
      </c>
      <c r="AB2059">
        <v>22</v>
      </c>
      <c r="AC2059">
        <v>-19.764399999999899</v>
      </c>
      <c r="AD2059">
        <v>-1.103954432716</v>
      </c>
      <c r="AE2059">
        <v>-0.94759999999996503</v>
      </c>
      <c r="AF2059">
        <v>11.514136255325401</v>
      </c>
      <c r="AG2059">
        <v>-1.103954432716</v>
      </c>
      <c r="AH2059">
        <v>16.016492190469499</v>
      </c>
      <c r="AI2059">
        <v>93.203232678730103</v>
      </c>
      <c r="AJ2059">
        <v>54.2879251091504</v>
      </c>
      <c r="AK2059">
        <v>19.756570329464601</v>
      </c>
      <c r="AL2059">
        <v>78.689818047110293</v>
      </c>
      <c r="AM2059">
        <v>64.846832915113296</v>
      </c>
      <c r="AN2059">
        <v>0.99999997548520403</v>
      </c>
    </row>
    <row r="2060" spans="1:40" x14ac:dyDescent="0.25">
      <c r="A2060" t="str">
        <f>"20190312172124297"</f>
        <v>20190312172124297</v>
      </c>
      <c r="B2060" t="str">
        <f>"1552382484293096"</f>
        <v>1552382484293096</v>
      </c>
      <c r="C2060" t="s">
        <v>40</v>
      </c>
      <c r="D2060">
        <v>3.159017</v>
      </c>
      <c r="E2060">
        <v>0.56922790000000001</v>
      </c>
      <c r="F2060" t="s">
        <v>46</v>
      </c>
      <c r="G2060">
        <v>-217.34379999999999</v>
      </c>
      <c r="H2060" s="1">
        <v>2.3711949999999999E-6</v>
      </c>
      <c r="I2060">
        <v>286.02080000000001</v>
      </c>
      <c r="J2060">
        <v>-200.0086</v>
      </c>
      <c r="K2060">
        <v>1.103923</v>
      </c>
      <c r="L2060">
        <v>286.79680000000002</v>
      </c>
      <c r="M2060">
        <v>-0.78975090000000003</v>
      </c>
      <c r="N2060">
        <v>0</v>
      </c>
      <c r="O2060">
        <v>-0.61326749999999997</v>
      </c>
      <c r="P2060">
        <v>-0.95616659999999998</v>
      </c>
      <c r="Q2060">
        <v>0.19059860000000001</v>
      </c>
      <c r="R2060">
        <v>-0.22230130000000001</v>
      </c>
      <c r="S2060">
        <v>-3.1438139999999999</v>
      </c>
      <c r="T2060">
        <v>-0.19813149999999999</v>
      </c>
      <c r="U2060">
        <v>-0.16229250000000001</v>
      </c>
      <c r="V2060">
        <v>0.41416170000000002</v>
      </c>
      <c r="W2060">
        <v>0.1962672</v>
      </c>
      <c r="X2060">
        <v>0.88879089999999905</v>
      </c>
      <c r="Y2060">
        <v>0.56961319999999904</v>
      </c>
      <c r="Z2060">
        <v>5.409253E-2</v>
      </c>
      <c r="AA2060">
        <v>0.82013099999999906</v>
      </c>
      <c r="AB2060">
        <v>22</v>
      </c>
      <c r="AC2060">
        <v>-17.335199999999901</v>
      </c>
      <c r="AD2060">
        <v>-1.1039206288050001</v>
      </c>
      <c r="AE2060">
        <v>-0.77600000000001002</v>
      </c>
      <c r="AF2060">
        <v>9.9788665503945708</v>
      </c>
      <c r="AG2060">
        <v>-1.1039206288050001</v>
      </c>
      <c r="AH2060">
        <v>14.110669456173801</v>
      </c>
      <c r="AI2060">
        <v>93.654781684326807</v>
      </c>
      <c r="AJ2060">
        <v>54.7325881205606</v>
      </c>
      <c r="AK2060">
        <v>17.317835051953899</v>
      </c>
      <c r="AL2060">
        <v>78.681240551721402</v>
      </c>
      <c r="AM2060">
        <v>65.015267847825896</v>
      </c>
      <c r="AN2060">
        <v>0.99999999573276899</v>
      </c>
    </row>
    <row r="2061" spans="1:40" x14ac:dyDescent="0.25">
      <c r="A2061" t="str">
        <f>"20190312172124317"</f>
        <v>20190312172124317</v>
      </c>
      <c r="B2061" t="str">
        <f>"1552382484312616"</f>
        <v>1552382484312616</v>
      </c>
      <c r="C2061" t="s">
        <v>40</v>
      </c>
      <c r="D2061">
        <v>3.1633749999999998</v>
      </c>
      <c r="E2061">
        <v>0.56897619999999904</v>
      </c>
      <c r="F2061" t="s">
        <v>46</v>
      </c>
      <c r="G2061">
        <v>-217.35900000000001</v>
      </c>
      <c r="H2061" s="1">
        <v>2.3792999999999998E-6</v>
      </c>
      <c r="I2061">
        <v>286.01510000000002</v>
      </c>
      <c r="J2061">
        <v>-200.1875</v>
      </c>
      <c r="K2061">
        <v>1.103898</v>
      </c>
      <c r="L2061">
        <v>286.67329999999998</v>
      </c>
      <c r="M2061">
        <v>-0.79630299999999998</v>
      </c>
      <c r="N2061">
        <v>0</v>
      </c>
      <c r="O2061">
        <v>-0.60473580000000005</v>
      </c>
      <c r="P2061">
        <v>-0.95771209999999996</v>
      </c>
      <c r="Q2061">
        <v>0.19020229999999999</v>
      </c>
      <c r="R2061">
        <v>-0.21589610000000001</v>
      </c>
      <c r="S2061">
        <v>-3.144485</v>
      </c>
      <c r="T2061">
        <v>-0.20006769999999999</v>
      </c>
      <c r="U2061">
        <v>-0.1416626</v>
      </c>
      <c r="V2061">
        <v>0.41058749999999999</v>
      </c>
      <c r="W2061">
        <v>0.19592490000000001</v>
      </c>
      <c r="X2061">
        <v>0.89052310000000001</v>
      </c>
      <c r="Y2061">
        <v>0.56613210000000003</v>
      </c>
      <c r="Z2061">
        <v>5.409709E-2</v>
      </c>
      <c r="AA2061">
        <v>0.82253750000000003</v>
      </c>
      <c r="AB2061">
        <v>22</v>
      </c>
      <c r="AC2061">
        <v>-17.171500000000002</v>
      </c>
      <c r="AD2061">
        <v>-1.1038956206999999</v>
      </c>
      <c r="AE2061">
        <v>-0.65819999999996504</v>
      </c>
      <c r="AF2061">
        <v>9.8205349872003502</v>
      </c>
      <c r="AG2061">
        <v>-1.1038956206999999</v>
      </c>
      <c r="AH2061">
        <v>14.0152975197689</v>
      </c>
      <c r="AI2061">
        <v>93.690717895946307</v>
      </c>
      <c r="AJ2061">
        <v>54.981027260814102</v>
      </c>
      <c r="AK2061">
        <v>17.149054129714202</v>
      </c>
      <c r="AL2061">
        <v>78.701241569824802</v>
      </c>
      <c r="AM2061">
        <v>65.247308326746705</v>
      </c>
      <c r="AN2061">
        <v>1.00000002661493</v>
      </c>
    </row>
    <row r="2062" spans="1:40" x14ac:dyDescent="0.25">
      <c r="A2062" t="str">
        <f>"20190312172124340"</f>
        <v>20190312172124340</v>
      </c>
      <c r="B2062" t="str">
        <f>"1552382484332733"</f>
        <v>1552382484332733</v>
      </c>
      <c r="C2062" t="s">
        <v>40</v>
      </c>
      <c r="D2062">
        <v>3.1379920000000001</v>
      </c>
      <c r="E2062">
        <v>0.56849689999999997</v>
      </c>
      <c r="F2062" t="s">
        <v>46</v>
      </c>
      <c r="G2062">
        <v>-217.3887</v>
      </c>
      <c r="H2062" s="1">
        <v>2.3951070000000001E-6</v>
      </c>
      <c r="I2062">
        <v>286.01130000000001</v>
      </c>
      <c r="J2062">
        <v>-200.3767</v>
      </c>
      <c r="K2062">
        <v>1.1038709999999901</v>
      </c>
      <c r="L2062">
        <v>286.54590000000002</v>
      </c>
      <c r="M2062">
        <v>-0.80312349999999999</v>
      </c>
      <c r="N2062">
        <v>0</v>
      </c>
      <c r="O2062">
        <v>-0.59564790000000001</v>
      </c>
      <c r="P2062">
        <v>-0.95917090000000005</v>
      </c>
      <c r="Q2062">
        <v>0.19032180000000001</v>
      </c>
      <c r="R2062">
        <v>-0.2092107</v>
      </c>
      <c r="S2062">
        <v>-3.1452789999999999</v>
      </c>
      <c r="T2062">
        <v>-0.20185040000000001</v>
      </c>
      <c r="U2062">
        <v>-0.1210632</v>
      </c>
      <c r="V2062">
        <v>0.40666370000000002</v>
      </c>
      <c r="W2062">
        <v>0.19610540000000001</v>
      </c>
      <c r="X2062">
        <v>0.89228200000000002</v>
      </c>
      <c r="Y2062">
        <v>0.56214149999999996</v>
      </c>
      <c r="Z2062">
        <v>5.3996790000000003E-2</v>
      </c>
      <c r="AA2062">
        <v>0.82527649999999997</v>
      </c>
      <c r="AB2062">
        <v>22</v>
      </c>
      <c r="AC2062">
        <v>-17.012</v>
      </c>
      <c r="AD2062">
        <v>-1.10386860489299</v>
      </c>
      <c r="AE2062">
        <v>-0.53460000000001096</v>
      </c>
      <c r="AF2062">
        <v>9.6641147394092108</v>
      </c>
      <c r="AG2062">
        <v>-1.10386860489299</v>
      </c>
      <c r="AH2062">
        <v>13.9239745104896</v>
      </c>
      <c r="AI2062">
        <v>93.726321345124603</v>
      </c>
      <c r="AJ2062">
        <v>55.236917989795998</v>
      </c>
      <c r="AK2062">
        <v>16.9850141525434</v>
      </c>
      <c r="AL2062">
        <v>78.690693984150698</v>
      </c>
      <c r="AM2062">
        <v>65.498545007066696</v>
      </c>
      <c r="AN2062">
        <v>0.99999993016542199</v>
      </c>
    </row>
    <row r="2063" spans="1:40" x14ac:dyDescent="0.25">
      <c r="A2063" t="str">
        <f>"20190312172124363"</f>
        <v>20190312172124363</v>
      </c>
      <c r="B2063" t="str">
        <f>"1552382484353232"</f>
        <v>1552382484353232</v>
      </c>
      <c r="C2063" t="s">
        <v>40</v>
      </c>
      <c r="D2063">
        <v>3.222909</v>
      </c>
      <c r="E2063">
        <v>0.5677664</v>
      </c>
      <c r="F2063" t="s">
        <v>46</v>
      </c>
      <c r="G2063">
        <v>-217.6165</v>
      </c>
      <c r="H2063" s="1">
        <v>2.516339E-6</v>
      </c>
      <c r="I2063">
        <v>285.98719999999997</v>
      </c>
      <c r="J2063">
        <v>-200.57689999999999</v>
      </c>
      <c r="K2063">
        <v>1.103842</v>
      </c>
      <c r="L2063">
        <v>286.41489999999999</v>
      </c>
      <c r="M2063">
        <v>-0.81021480000000001</v>
      </c>
      <c r="N2063">
        <v>0</v>
      </c>
      <c r="O2063">
        <v>-0.58596579999999998</v>
      </c>
      <c r="P2063">
        <v>-0.96067170000000002</v>
      </c>
      <c r="Q2063">
        <v>0.19091089999999999</v>
      </c>
      <c r="R2063">
        <v>-0.20165089999999999</v>
      </c>
      <c r="S2063">
        <v>-3.1454469999999999</v>
      </c>
      <c r="T2063">
        <v>-0.201404</v>
      </c>
      <c r="U2063">
        <v>-0.1019287</v>
      </c>
      <c r="V2063">
        <v>0.4029218</v>
      </c>
      <c r="W2063">
        <v>0.19674829999999999</v>
      </c>
      <c r="X2063">
        <v>0.89383670000000004</v>
      </c>
      <c r="Y2063">
        <v>0.55726969999999898</v>
      </c>
      <c r="Z2063">
        <v>5.3240509999999998E-2</v>
      </c>
      <c r="AA2063">
        <v>0.82862289999999905</v>
      </c>
      <c r="AB2063">
        <v>22</v>
      </c>
      <c r="AC2063">
        <v>-17.0396</v>
      </c>
      <c r="AD2063">
        <v>-1.1038394836609999</v>
      </c>
      <c r="AE2063">
        <v>-0.42770000000001501</v>
      </c>
      <c r="AF2063">
        <v>9.5987824639647403</v>
      </c>
      <c r="AG2063">
        <v>-1.1038394836609999</v>
      </c>
      <c r="AH2063">
        <v>13.9990211278985</v>
      </c>
      <c r="AI2063">
        <v>93.7208217502547</v>
      </c>
      <c r="AJ2063">
        <v>55.562531567727</v>
      </c>
      <c r="AK2063">
        <v>17.009634885427602</v>
      </c>
      <c r="AL2063">
        <v>78.653126979734793</v>
      </c>
      <c r="AM2063">
        <v>65.735202331623597</v>
      </c>
      <c r="AN2063">
        <v>0.99999995836750899</v>
      </c>
    </row>
    <row r="2064" spans="1:40" x14ac:dyDescent="0.25">
      <c r="A2064" t="str">
        <f>"20190312172124384"</f>
        <v>20190312172124384</v>
      </c>
      <c r="B2064" t="str">
        <f>"1552382484372752"</f>
        <v>1552382484372752</v>
      </c>
      <c r="C2064" t="s">
        <v>40</v>
      </c>
      <c r="D2064">
        <v>3.194556</v>
      </c>
      <c r="E2064">
        <v>0.56715139999999997</v>
      </c>
      <c r="F2064" t="s">
        <v>46</v>
      </c>
      <c r="G2064">
        <v>-217.99529999999999</v>
      </c>
      <c r="H2064" s="1">
        <v>2.7179339999999999E-6</v>
      </c>
      <c r="I2064">
        <v>285.95940000000002</v>
      </c>
      <c r="J2064">
        <v>-200.75370000000001</v>
      </c>
      <c r="K2064">
        <v>1.1038209999999999</v>
      </c>
      <c r="L2064">
        <v>286.30180000000001</v>
      </c>
      <c r="M2064">
        <v>-0.81636830000000005</v>
      </c>
      <c r="N2064">
        <v>0</v>
      </c>
      <c r="O2064">
        <v>-0.57736189999999998</v>
      </c>
      <c r="P2064">
        <v>-0.96177230000000002</v>
      </c>
      <c r="Q2064">
        <v>0.1916873</v>
      </c>
      <c r="R2064">
        <v>-0.19557640000000001</v>
      </c>
      <c r="S2064">
        <v>-3.1451570000000002</v>
      </c>
      <c r="T2064">
        <v>-0.1993143</v>
      </c>
      <c r="U2064">
        <v>-8.2244869999999998E-2</v>
      </c>
      <c r="V2064">
        <v>0.39903519999999998</v>
      </c>
      <c r="W2064">
        <v>0.1975856</v>
      </c>
      <c r="X2064">
        <v>0.89539429999999998</v>
      </c>
      <c r="Y2064">
        <v>0.55373660000000002</v>
      </c>
      <c r="Z2064">
        <v>5.2158040000000003E-2</v>
      </c>
      <c r="AA2064">
        <v>0.83105680000000004</v>
      </c>
      <c r="AB2064">
        <v>22</v>
      </c>
      <c r="AC2064">
        <v>-17.241599999999899</v>
      </c>
      <c r="AD2064">
        <v>-1.1038182820660001</v>
      </c>
      <c r="AE2064">
        <v>-0.34239999999999698</v>
      </c>
      <c r="AF2064">
        <v>9.6365855522249007</v>
      </c>
      <c r="AG2064">
        <v>-1.1038182820660001</v>
      </c>
      <c r="AH2064">
        <v>14.216338904877199</v>
      </c>
      <c r="AI2064">
        <v>93.677357073431494</v>
      </c>
      <c r="AJ2064">
        <v>55.868506475481801</v>
      </c>
      <c r="AK2064">
        <v>17.2100693712576</v>
      </c>
      <c r="AL2064">
        <v>78.604193766276296</v>
      </c>
      <c r="AM2064">
        <v>65.979711363936403</v>
      </c>
      <c r="AN2064">
        <v>1.00000005631944</v>
      </c>
    </row>
    <row r="2065" spans="1:40" x14ac:dyDescent="0.25">
      <c r="A2065" t="str">
        <f>"20190312172124406"</f>
        <v>20190312172124406</v>
      </c>
      <c r="B2065" t="str">
        <f>"1552382484403005"</f>
        <v>1552382484403005</v>
      </c>
      <c r="C2065" t="s">
        <v>40</v>
      </c>
      <c r="D2065">
        <v>3.090846</v>
      </c>
      <c r="E2065">
        <v>0.56637249999999995</v>
      </c>
      <c r="F2065" t="s">
        <v>46</v>
      </c>
      <c r="G2065">
        <v>-218.51259999999999</v>
      </c>
      <c r="H2065" s="1">
        <v>2.993214E-6</v>
      </c>
      <c r="I2065">
        <v>285.92610000000002</v>
      </c>
      <c r="J2065">
        <v>-200.9435</v>
      </c>
      <c r="K2065">
        <v>1.1037969999999999</v>
      </c>
      <c r="L2065">
        <v>286.18360000000001</v>
      </c>
      <c r="M2065">
        <v>-0.82285769999999903</v>
      </c>
      <c r="N2065">
        <v>0</v>
      </c>
      <c r="O2065">
        <v>-0.5680752</v>
      </c>
      <c r="P2065">
        <v>-0.96296139999999997</v>
      </c>
      <c r="Q2065">
        <v>0.19275610000000001</v>
      </c>
      <c r="R2065">
        <v>-0.18854950000000001</v>
      </c>
      <c r="S2065">
        <v>-3.1446839999999998</v>
      </c>
      <c r="T2065">
        <v>-0.19545969999999999</v>
      </c>
      <c r="U2065">
        <v>-6.6528320000000002E-2</v>
      </c>
      <c r="V2065">
        <v>0.39532260000000002</v>
      </c>
      <c r="W2065">
        <v>0.19870450000000001</v>
      </c>
      <c r="X2065">
        <v>0.89679240000000005</v>
      </c>
      <c r="Y2065">
        <v>0.54855669999999901</v>
      </c>
      <c r="Z2065">
        <v>5.05373E-2</v>
      </c>
      <c r="AA2065">
        <v>0.83458469999999996</v>
      </c>
      <c r="AB2065">
        <v>22</v>
      </c>
      <c r="AC2065">
        <v>-17.569099999999899</v>
      </c>
      <c r="AD2065">
        <v>-1.1037940067859999</v>
      </c>
      <c r="AE2065">
        <v>-0.25749999999999301</v>
      </c>
      <c r="AF2065">
        <v>9.7312386736511503</v>
      </c>
      <c r="AG2065">
        <v>-1.1037940067859999</v>
      </c>
      <c r="AH2065">
        <v>14.547171575350401</v>
      </c>
      <c r="AI2065">
        <v>93.6086948730415</v>
      </c>
      <c r="AJ2065">
        <v>56.219706148076497</v>
      </c>
      <c r="AK2065">
        <v>17.5366920533966</v>
      </c>
      <c r="AL2065">
        <v>78.538788321052905</v>
      </c>
      <c r="AM2065">
        <v>66.211231631919901</v>
      </c>
      <c r="AN2065">
        <v>1.0000000225443799</v>
      </c>
    </row>
    <row r="2066" spans="1:40" x14ac:dyDescent="0.25">
      <c r="A2066" t="str">
        <f>"20190312172124429"</f>
        <v>20190312172124429</v>
      </c>
      <c r="B2066" t="str">
        <f>"1552382484422525"</f>
        <v>1552382484422525</v>
      </c>
      <c r="C2066" t="s">
        <v>40</v>
      </c>
      <c r="D2066">
        <v>3.1328969999999998</v>
      </c>
      <c r="E2066">
        <v>0.56634879999999999</v>
      </c>
      <c r="F2066" t="s">
        <v>46</v>
      </c>
      <c r="G2066">
        <v>-219.03579999999999</v>
      </c>
      <c r="H2066" s="1">
        <v>3.2715980000000001E-6</v>
      </c>
      <c r="I2066">
        <v>285.9033</v>
      </c>
      <c r="J2066">
        <v>-201.1369</v>
      </c>
      <c r="K2066">
        <v>1.103775</v>
      </c>
      <c r="L2066">
        <v>286.06610000000001</v>
      </c>
      <c r="M2066">
        <v>-0.8293507</v>
      </c>
      <c r="N2066">
        <v>0</v>
      </c>
      <c r="O2066">
        <v>-0.55855339999999998</v>
      </c>
      <c r="P2066">
        <v>-0.96409520000000004</v>
      </c>
      <c r="Q2066">
        <v>0.19452810000000001</v>
      </c>
      <c r="R2066">
        <v>-0.18077560000000001</v>
      </c>
      <c r="S2066">
        <v>-3.1442410000000001</v>
      </c>
      <c r="T2066">
        <v>-0.19182730000000001</v>
      </c>
      <c r="U2066">
        <v>-4.8706050000000001E-2</v>
      </c>
      <c r="V2066">
        <v>0.39205210000000001</v>
      </c>
      <c r="W2066">
        <v>0.20051179999999999</v>
      </c>
      <c r="X2066">
        <v>0.89782519999999999</v>
      </c>
      <c r="Y2066">
        <v>0.54374630000000002</v>
      </c>
      <c r="Z2066">
        <v>4.8991930000000003E-2</v>
      </c>
      <c r="AA2066">
        <v>0.83781839999999996</v>
      </c>
      <c r="AB2066">
        <v>22</v>
      </c>
      <c r="AC2066">
        <v>-17.898899999999902</v>
      </c>
      <c r="AD2066">
        <v>-1.1037717284020001</v>
      </c>
      <c r="AE2066">
        <v>-0.162800000000004</v>
      </c>
      <c r="AF2066">
        <v>9.8260737276855306</v>
      </c>
      <c r="AG2066">
        <v>-1.1037717284020001</v>
      </c>
      <c r="AH2066">
        <v>14.880275665420999</v>
      </c>
      <c r="AI2066">
        <v>93.542029094008001</v>
      </c>
      <c r="AJ2066">
        <v>56.561534177899503</v>
      </c>
      <c r="AK2066">
        <v>17.865963192877398</v>
      </c>
      <c r="AL2066">
        <v>78.433110244042098</v>
      </c>
      <c r="AM2066">
        <v>66.410615793927505</v>
      </c>
      <c r="AN2066">
        <v>0.99999996040434402</v>
      </c>
    </row>
    <row r="2067" spans="1:40" x14ac:dyDescent="0.25">
      <c r="A2067" t="str">
        <f>"20190312172124451"</f>
        <v>20190312172124451</v>
      </c>
      <c r="B2067" t="str">
        <f>"1552382484443021"</f>
        <v>1552382484443021</v>
      </c>
      <c r="C2067" t="s">
        <v>40</v>
      </c>
      <c r="D2067">
        <v>3.0930149999999998</v>
      </c>
      <c r="E2067">
        <v>0.56635480000000005</v>
      </c>
      <c r="F2067" t="s">
        <v>46</v>
      </c>
      <c r="G2067">
        <v>-219.59270000000001</v>
      </c>
      <c r="H2067" s="1">
        <v>3.5679420000000001E-6</v>
      </c>
      <c r="I2067">
        <v>285.93090000000001</v>
      </c>
      <c r="J2067">
        <v>-201.33539999999999</v>
      </c>
      <c r="K2067">
        <v>1.103756</v>
      </c>
      <c r="L2067">
        <v>285.94880000000001</v>
      </c>
      <c r="M2067">
        <v>-0.83588669999999998</v>
      </c>
      <c r="N2067">
        <v>0</v>
      </c>
      <c r="O2067">
        <v>-0.5487244</v>
      </c>
      <c r="P2067">
        <v>-0.96542340000000004</v>
      </c>
      <c r="Q2067">
        <v>0.196024</v>
      </c>
      <c r="R2067">
        <v>-0.1718499</v>
      </c>
      <c r="S2067">
        <v>-3.14534</v>
      </c>
      <c r="T2067">
        <v>-0.18811159999999999</v>
      </c>
      <c r="U2067">
        <v>-2.3040769999999999E-2</v>
      </c>
      <c r="V2067">
        <v>0.38962160000000001</v>
      </c>
      <c r="W2067">
        <v>0.2020265</v>
      </c>
      <c r="X2067">
        <v>0.89854339999999999</v>
      </c>
      <c r="Y2067">
        <v>0.5407824</v>
      </c>
      <c r="Z2067">
        <v>4.7464880000000001E-2</v>
      </c>
      <c r="AA2067">
        <v>0.83982230000000002</v>
      </c>
      <c r="AB2067">
        <v>22</v>
      </c>
      <c r="AC2067">
        <v>-18.257300000000001</v>
      </c>
      <c r="AD2067">
        <v>-1.1037524320580001</v>
      </c>
      <c r="AE2067">
        <v>-1.78999999999973E-2</v>
      </c>
      <c r="AF2067">
        <v>9.96780799939296</v>
      </c>
      <c r="AG2067">
        <v>-1.1037524320580001</v>
      </c>
      <c r="AH2067">
        <v>15.216730316031001</v>
      </c>
      <c r="AI2067">
        <v>93.472240622280495</v>
      </c>
      <c r="AJ2067">
        <v>56.772962547133297</v>
      </c>
      <c r="AK2067">
        <v>18.224279059947801</v>
      </c>
      <c r="AL2067">
        <v>78.344511331884505</v>
      </c>
      <c r="AM2067">
        <v>66.557737517288203</v>
      </c>
      <c r="AN2067">
        <v>0.999999969786184</v>
      </c>
    </row>
    <row r="2068" spans="1:40" x14ac:dyDescent="0.25">
      <c r="A2068" t="str">
        <f>"20190312172124475"</f>
        <v>20190312172124475</v>
      </c>
      <c r="B2068" t="str">
        <f>"1552382484462541"</f>
        <v>1552382484462541</v>
      </c>
      <c r="C2068" t="s">
        <v>40</v>
      </c>
      <c r="D2068">
        <v>3.099809</v>
      </c>
      <c r="E2068">
        <v>0.56601729999999995</v>
      </c>
      <c r="F2068" t="s">
        <v>46</v>
      </c>
      <c r="G2068">
        <v>-220.0831</v>
      </c>
      <c r="H2068" s="1">
        <v>-1.4925530000000001E-6</v>
      </c>
      <c r="I2068">
        <v>285.98590000000002</v>
      </c>
      <c r="J2068">
        <v>-201.5333</v>
      </c>
      <c r="K2068">
        <v>1.103742</v>
      </c>
      <c r="L2068">
        <v>285.83499999999998</v>
      </c>
      <c r="M2068">
        <v>-0.84228060000000005</v>
      </c>
      <c r="N2068">
        <v>0</v>
      </c>
      <c r="O2068">
        <v>-0.53885879999999997</v>
      </c>
      <c r="P2068">
        <v>-0.96666359999999996</v>
      </c>
      <c r="Q2068">
        <v>0.19737250000000001</v>
      </c>
      <c r="R2068">
        <v>-0.16311419999999999</v>
      </c>
      <c r="S2068">
        <v>-3.1461640000000002</v>
      </c>
      <c r="T2068">
        <v>-0.18522759999999999</v>
      </c>
      <c r="U2068">
        <v>6.225586E-3</v>
      </c>
      <c r="V2068">
        <v>0.38705980000000001</v>
      </c>
      <c r="W2068">
        <v>0.20340030000000001</v>
      </c>
      <c r="X2068">
        <v>0.89934029999999998</v>
      </c>
      <c r="Y2068">
        <v>0.53879030000000006</v>
      </c>
      <c r="Z2068">
        <v>4.619405E-2</v>
      </c>
      <c r="AA2068">
        <v>0.84117249999999999</v>
      </c>
      <c r="AB2068">
        <v>22</v>
      </c>
      <c r="AC2068">
        <v>-18.549800000000001</v>
      </c>
      <c r="AD2068">
        <v>-1.1037434925530001</v>
      </c>
      <c r="AE2068">
        <v>0.15090000000003501</v>
      </c>
      <c r="AF2068">
        <v>10.088094148066199</v>
      </c>
      <c r="AG2068">
        <v>-1.1037434925530001</v>
      </c>
      <c r="AH2068">
        <v>15.489499207278</v>
      </c>
      <c r="AI2068">
        <v>93.417091663842996</v>
      </c>
      <c r="AJ2068">
        <v>56.924364642177501</v>
      </c>
      <c r="AK2068">
        <v>18.517896179908401</v>
      </c>
      <c r="AL2068">
        <v>78.264129539935595</v>
      </c>
      <c r="AM2068">
        <v>66.713830298872693</v>
      </c>
      <c r="AN2068">
        <v>0.99999997301010901</v>
      </c>
    </row>
    <row r="2069" spans="1:40" x14ac:dyDescent="0.25">
      <c r="A2069" t="str">
        <f>"20190312172124498"</f>
        <v>20190312172124498</v>
      </c>
      <c r="B2069" t="str">
        <f>"1552382484492798"</f>
        <v>1552382484492798</v>
      </c>
      <c r="C2069" t="s">
        <v>40</v>
      </c>
      <c r="D2069">
        <v>3.0979459999999999</v>
      </c>
      <c r="E2069">
        <v>0.56540419999999902</v>
      </c>
      <c r="F2069" t="s">
        <v>46</v>
      </c>
      <c r="G2069">
        <v>-220.69909999999999</v>
      </c>
      <c r="H2069" s="1">
        <v>-1.1647879999999999E-6</v>
      </c>
      <c r="I2069">
        <v>286.0324</v>
      </c>
      <c r="J2069">
        <v>-201.7362</v>
      </c>
      <c r="K2069">
        <v>1.103723</v>
      </c>
      <c r="L2069">
        <v>285.72149999999999</v>
      </c>
      <c r="M2069">
        <v>-0.84870579999999995</v>
      </c>
      <c r="N2069">
        <v>0</v>
      </c>
      <c r="O2069">
        <v>-0.52868099999999996</v>
      </c>
      <c r="P2069">
        <v>-0.96779289999999996</v>
      </c>
      <c r="Q2069">
        <v>0.19858719999999999</v>
      </c>
      <c r="R2069">
        <v>-0.15472659999999999</v>
      </c>
      <c r="S2069">
        <v>-3.1459199999999998</v>
      </c>
      <c r="T2069">
        <v>-0.18117150000000001</v>
      </c>
      <c r="U2069">
        <v>3.2409670000000002E-2</v>
      </c>
      <c r="V2069">
        <v>0.38392270000000001</v>
      </c>
      <c r="W2069">
        <v>0.20465549999999999</v>
      </c>
      <c r="X2069">
        <v>0.90039959999999997</v>
      </c>
      <c r="Y2069">
        <v>0.53575399999999995</v>
      </c>
      <c r="Z2069">
        <v>4.4612529999999997E-2</v>
      </c>
      <c r="AA2069">
        <v>0.84319469999999996</v>
      </c>
      <c r="AB2069">
        <v>22</v>
      </c>
      <c r="AC2069">
        <v>-18.962899999999902</v>
      </c>
      <c r="AD2069">
        <v>-1.1037241647880001</v>
      </c>
      <c r="AE2069">
        <v>0.31090000000000301</v>
      </c>
      <c r="AF2069">
        <v>10.2554566116305</v>
      </c>
      <c r="AG2069">
        <v>-1.1037241647880001</v>
      </c>
      <c r="AH2069">
        <v>15.8773345623983</v>
      </c>
      <c r="AI2069">
        <v>93.341916340851895</v>
      </c>
      <c r="AJ2069">
        <v>57.140853880919899</v>
      </c>
      <c r="AK2069">
        <v>18.9336301366458</v>
      </c>
      <c r="AL2069">
        <v>78.190666623431994</v>
      </c>
      <c r="AM2069">
        <v>66.907014220870906</v>
      </c>
      <c r="AN2069">
        <v>0.99999997646784899</v>
      </c>
    </row>
    <row r="2070" spans="1:40" x14ac:dyDescent="0.25">
      <c r="A2070" t="str">
        <f>"20190312172124519"</f>
        <v>20190312172124519</v>
      </c>
      <c r="B2070" t="str">
        <f>"1552382484513293"</f>
        <v>1552382484513293</v>
      </c>
      <c r="C2070" t="s">
        <v>40</v>
      </c>
      <c r="D2070">
        <v>3.0876809999999999</v>
      </c>
      <c r="E2070">
        <v>0.56498029999999999</v>
      </c>
      <c r="F2070" t="s">
        <v>46</v>
      </c>
      <c r="G2070">
        <v>-221.24770000000001</v>
      </c>
      <c r="H2070" s="1">
        <v>-8.7284599999999897E-7</v>
      </c>
      <c r="I2070">
        <v>286.06479999999999</v>
      </c>
      <c r="J2070">
        <v>-201.9237</v>
      </c>
      <c r="K2070">
        <v>1.1037030000000001</v>
      </c>
      <c r="L2070">
        <v>285.61959999999999</v>
      </c>
      <c r="M2070">
        <v>-0.85452759999999905</v>
      </c>
      <c r="N2070">
        <v>0</v>
      </c>
      <c r="O2070">
        <v>-0.51921850000000003</v>
      </c>
      <c r="P2070">
        <v>-0.96867890000000001</v>
      </c>
      <c r="Q2070">
        <v>0.19926749999999999</v>
      </c>
      <c r="R2070">
        <v>-0.14816879999999999</v>
      </c>
      <c r="S2070">
        <v>-3.145187</v>
      </c>
      <c r="T2070">
        <v>-0.17791660000000001</v>
      </c>
      <c r="U2070">
        <v>5.5328370000000002E-2</v>
      </c>
      <c r="V2070">
        <v>0.37995269999999998</v>
      </c>
      <c r="W2070">
        <v>0.20539750000000001</v>
      </c>
      <c r="X2070">
        <v>0.90191339999999998</v>
      </c>
      <c r="Y2070">
        <v>0.53260039999999997</v>
      </c>
      <c r="Z2070">
        <v>4.3281239999999999E-2</v>
      </c>
      <c r="AA2070">
        <v>0.84525939999999999</v>
      </c>
      <c r="AB2070">
        <v>22</v>
      </c>
      <c r="AC2070">
        <v>-19.324000000000002</v>
      </c>
      <c r="AD2070">
        <v>-1.103703872846</v>
      </c>
      <c r="AE2070">
        <v>0.44519999999999899</v>
      </c>
      <c r="AF2070">
        <v>10.380981161355299</v>
      </c>
      <c r="AG2070">
        <v>-1.103703872846</v>
      </c>
      <c r="AH2070">
        <v>16.2304019807281</v>
      </c>
      <c r="AI2070">
        <v>93.278704179968003</v>
      </c>
      <c r="AJ2070">
        <v>57.396978395086002</v>
      </c>
      <c r="AK2070">
        <v>19.297898345865899</v>
      </c>
      <c r="AL2070">
        <v>78.147230504948794</v>
      </c>
      <c r="AM2070">
        <v>67.155571329074803</v>
      </c>
      <c r="AN2070">
        <v>0.99999998417154901</v>
      </c>
    </row>
    <row r="2071" spans="1:40" x14ac:dyDescent="0.25">
      <c r="A2071" t="str">
        <f>"20190312172124541"</f>
        <v>20190312172124541</v>
      </c>
      <c r="B2071" t="str">
        <f>"1552382484532813"</f>
        <v>1552382484532813</v>
      </c>
      <c r="C2071" t="s">
        <v>40</v>
      </c>
      <c r="D2071">
        <v>3.0963910000000001</v>
      </c>
      <c r="E2071">
        <v>0.56463619999999903</v>
      </c>
      <c r="F2071" t="s">
        <v>46</v>
      </c>
      <c r="G2071">
        <v>-221.65430000000001</v>
      </c>
      <c r="H2071" s="1">
        <v>-6.5644129999999997E-7</v>
      </c>
      <c r="I2071">
        <v>286.0849</v>
      </c>
      <c r="J2071">
        <v>-202.12379999999999</v>
      </c>
      <c r="K2071">
        <v>1.1036699999999999</v>
      </c>
      <c r="L2071">
        <v>285.51389999999998</v>
      </c>
      <c r="M2071">
        <v>-0.86062299999999903</v>
      </c>
      <c r="N2071">
        <v>0</v>
      </c>
      <c r="O2071">
        <v>-0.50905159999999905</v>
      </c>
      <c r="P2071">
        <v>-0.96958549999999999</v>
      </c>
      <c r="Q2071">
        <v>0.19965450000000001</v>
      </c>
      <c r="R2071">
        <v>-0.14157</v>
      </c>
      <c r="S2071">
        <v>-3.1445310000000002</v>
      </c>
      <c r="T2071">
        <v>-0.17590039999999901</v>
      </c>
      <c r="U2071">
        <v>7.4157710000000002E-2</v>
      </c>
      <c r="V2071">
        <v>0.37536350000000002</v>
      </c>
      <c r="W2071">
        <v>0.20585529999999999</v>
      </c>
      <c r="X2071">
        <v>0.9037288</v>
      </c>
      <c r="Y2071">
        <v>0.52768689999999996</v>
      </c>
      <c r="Z2071">
        <v>4.2174419999999997E-2</v>
      </c>
      <c r="AA2071">
        <v>0.84839140000000002</v>
      </c>
      <c r="AB2071">
        <v>22</v>
      </c>
      <c r="AC2071">
        <v>-19.5305</v>
      </c>
      <c r="AD2071">
        <v>-1.1036706564412999</v>
      </c>
      <c r="AE2071">
        <v>0.57100000000002604</v>
      </c>
      <c r="AF2071">
        <v>10.401275927098199</v>
      </c>
      <c r="AG2071">
        <v>-1.1036706564412999</v>
      </c>
      <c r="AH2071">
        <v>16.46679576112</v>
      </c>
      <c r="AI2071">
        <v>93.243265602935097</v>
      </c>
      <c r="AJ2071">
        <v>57.721384958989802</v>
      </c>
      <c r="AK2071">
        <v>19.507946905503999</v>
      </c>
      <c r="AL2071">
        <v>78.120427358379104</v>
      </c>
      <c r="AM2071">
        <v>67.444458749667803</v>
      </c>
      <c r="AN2071">
        <v>0.99999995280988796</v>
      </c>
    </row>
    <row r="2072" spans="1:40" x14ac:dyDescent="0.25">
      <c r="A2072" t="str">
        <f>"20190312172124564"</f>
        <v>20190312172124564</v>
      </c>
      <c r="B2072" t="str">
        <f>"1552382484553312"</f>
        <v>1552382484553312</v>
      </c>
      <c r="C2072" t="s">
        <v>40</v>
      </c>
      <c r="D2072">
        <v>3.0892810000000002</v>
      </c>
      <c r="E2072">
        <v>0.56434659999999903</v>
      </c>
      <c r="F2072" t="s">
        <v>46</v>
      </c>
      <c r="G2072">
        <v>-221.88480000000001</v>
      </c>
      <c r="H2072" s="1">
        <v>-5.3379979999999999E-7</v>
      </c>
      <c r="I2072">
        <v>286.09609999999998</v>
      </c>
      <c r="J2072">
        <v>-202.3235</v>
      </c>
      <c r="K2072">
        <v>1.1036330000000001</v>
      </c>
      <c r="L2072">
        <v>285.4117</v>
      </c>
      <c r="M2072">
        <v>-0.86657870000000004</v>
      </c>
      <c r="N2072">
        <v>0</v>
      </c>
      <c r="O2072">
        <v>-0.49884610000000001</v>
      </c>
      <c r="P2072">
        <v>-0.97046889999999997</v>
      </c>
      <c r="Q2072">
        <v>0.19998830000000001</v>
      </c>
      <c r="R2072">
        <v>-0.13488900000000001</v>
      </c>
      <c r="S2072">
        <v>-3.1437680000000001</v>
      </c>
      <c r="T2072">
        <v>-0.17558260000000001</v>
      </c>
      <c r="U2072">
        <v>9.2620850000000005E-2</v>
      </c>
      <c r="V2072">
        <v>0.37087700000000001</v>
      </c>
      <c r="W2072">
        <v>0.20625379999999999</v>
      </c>
      <c r="X2072">
        <v>0.90548859999999998</v>
      </c>
      <c r="Y2072">
        <v>0.5226594</v>
      </c>
      <c r="Z2072">
        <v>4.1473179999999998E-2</v>
      </c>
      <c r="AA2072">
        <v>0.85153219999999996</v>
      </c>
      <c r="AB2072">
        <v>22</v>
      </c>
      <c r="AC2072">
        <v>-19.561299999999999</v>
      </c>
      <c r="AD2072">
        <v>-1.1036335337998</v>
      </c>
      <c r="AE2072">
        <v>0.68439999999998202</v>
      </c>
      <c r="AF2072">
        <v>10.3193607958929</v>
      </c>
      <c r="AG2072">
        <v>-1.1036335337998</v>
      </c>
      <c r="AH2072">
        <v>16.558961556006398</v>
      </c>
      <c r="AI2072">
        <v>93.237428294247195</v>
      </c>
      <c r="AJ2072">
        <v>58.0692981027073</v>
      </c>
      <c r="AK2072">
        <v>19.542426206232399</v>
      </c>
      <c r="AL2072">
        <v>78.097094745274603</v>
      </c>
      <c r="AM2072">
        <v>67.726596872462906</v>
      </c>
      <c r="AN2072">
        <v>0.99999999193669997</v>
      </c>
    </row>
    <row r="2073" spans="1:40" x14ac:dyDescent="0.25">
      <c r="A2073" t="str">
        <f>"20190312172124584"</f>
        <v>20190312172124584</v>
      </c>
      <c r="B2073" t="str">
        <f>"1552382484572829"</f>
        <v>1552382484572829</v>
      </c>
      <c r="C2073" t="s">
        <v>40</v>
      </c>
      <c r="D2073">
        <v>3.1295099999999998</v>
      </c>
      <c r="E2073">
        <v>0.56412850000000003</v>
      </c>
      <c r="F2073" t="s">
        <v>46</v>
      </c>
      <c r="G2073">
        <v>-221.88939999999999</v>
      </c>
      <c r="H2073" s="1">
        <v>-5.3133659999999999E-7</v>
      </c>
      <c r="I2073">
        <v>286.09859999999998</v>
      </c>
      <c r="J2073">
        <v>-202.51429999999999</v>
      </c>
      <c r="K2073">
        <v>1.103599</v>
      </c>
      <c r="L2073">
        <v>285.3168</v>
      </c>
      <c r="M2073">
        <v>-0.87214749999999996</v>
      </c>
      <c r="N2073">
        <v>0</v>
      </c>
      <c r="O2073">
        <v>-0.4890448</v>
      </c>
      <c r="P2073">
        <v>-0.97133119999999995</v>
      </c>
      <c r="Q2073">
        <v>0.19983229999999999</v>
      </c>
      <c r="R2073">
        <v>-0.12877520000000001</v>
      </c>
      <c r="S2073">
        <v>-3.143173</v>
      </c>
      <c r="T2073">
        <v>-0.17729339999999999</v>
      </c>
      <c r="U2073">
        <v>0.11035159999999999</v>
      </c>
      <c r="V2073">
        <v>0.36637799999999998</v>
      </c>
      <c r="W2073">
        <v>0.2061703</v>
      </c>
      <c r="X2073">
        <v>0.90733730000000001</v>
      </c>
      <c r="Y2073">
        <v>0.51784240000000004</v>
      </c>
      <c r="Z2073">
        <v>4.1263960000000002E-2</v>
      </c>
      <c r="AA2073">
        <v>0.85448029999999997</v>
      </c>
      <c r="AB2073">
        <v>22</v>
      </c>
      <c r="AC2073">
        <v>-19.3751</v>
      </c>
      <c r="AD2073">
        <v>-1.1035995313366</v>
      </c>
      <c r="AE2073">
        <v>0.78179999999997496</v>
      </c>
      <c r="AF2073">
        <v>10.125324551335</v>
      </c>
      <c r="AG2073">
        <v>-1.1035995313366</v>
      </c>
      <c r="AH2073">
        <v>16.463882723888101</v>
      </c>
      <c r="AI2073">
        <v>93.267910042463996</v>
      </c>
      <c r="AJ2073">
        <v>58.408391689898302</v>
      </c>
      <c r="AK2073">
        <v>19.359740792205201</v>
      </c>
      <c r="AL2073">
        <v>78.101984168980906</v>
      </c>
      <c r="AM2073">
        <v>68.011404439726903</v>
      </c>
      <c r="AN2073">
        <v>1.00000000372869</v>
      </c>
    </row>
    <row r="2074" spans="1:40" x14ac:dyDescent="0.25">
      <c r="A2074" t="str">
        <f>"20190312172124607"</f>
        <v>20190312172124607</v>
      </c>
      <c r="B2074" t="str">
        <f>"1552382484603086"</f>
        <v>1552382484603086</v>
      </c>
      <c r="C2074" t="s">
        <v>40</v>
      </c>
      <c r="D2074">
        <v>3.0830419999999998</v>
      </c>
      <c r="E2074">
        <v>0.5637723</v>
      </c>
      <c r="F2074" t="s">
        <v>46</v>
      </c>
      <c r="G2074">
        <v>-221.73159999999999</v>
      </c>
      <c r="H2074" s="1">
        <v>-6.1531960000000001E-7</v>
      </c>
      <c r="I2074">
        <v>286.0924</v>
      </c>
      <c r="J2074">
        <v>-202.72069999999999</v>
      </c>
      <c r="K2074">
        <v>1.1035809999999999</v>
      </c>
      <c r="L2074">
        <v>285.21719999999999</v>
      </c>
      <c r="M2074">
        <v>-0.87803909999999996</v>
      </c>
      <c r="N2074">
        <v>0</v>
      </c>
      <c r="O2074">
        <v>-0.4783867</v>
      </c>
      <c r="P2074">
        <v>-0.97233119999999995</v>
      </c>
      <c r="Q2074">
        <v>0.198991</v>
      </c>
      <c r="R2074">
        <v>-0.1223721</v>
      </c>
      <c r="S2074">
        <v>-3.142487</v>
      </c>
      <c r="T2074">
        <v>-0.18046490000000001</v>
      </c>
      <c r="U2074">
        <v>0.1268311</v>
      </c>
      <c r="V2074">
        <v>0.3613633</v>
      </c>
      <c r="W2074">
        <v>0.2054204</v>
      </c>
      <c r="X2074">
        <v>0.90951590000000004</v>
      </c>
      <c r="Y2074">
        <v>0.51187039999999995</v>
      </c>
      <c r="Z2074">
        <v>4.129621E-2</v>
      </c>
      <c r="AA2074">
        <v>0.85806949999999904</v>
      </c>
      <c r="AB2074">
        <v>22</v>
      </c>
      <c r="AC2074">
        <v>-19.0108999999999</v>
      </c>
      <c r="AD2074">
        <v>-1.1035816153196001</v>
      </c>
      <c r="AE2074">
        <v>0.87520000000000597</v>
      </c>
      <c r="AF2074">
        <v>9.8309178207486898</v>
      </c>
      <c r="AG2074">
        <v>-1.1035816153196001</v>
      </c>
      <c r="AH2074">
        <v>16.220659516175498</v>
      </c>
      <c r="AI2074">
        <v>93.329915871559706</v>
      </c>
      <c r="AJ2074">
        <v>58.781041597323799</v>
      </c>
      <c r="AK2074">
        <v>18.999332428263902</v>
      </c>
      <c r="AL2074">
        <v>78.145890921967705</v>
      </c>
      <c r="AM2074">
        <v>68.331388091046506</v>
      </c>
      <c r="AN2074">
        <v>1.00000007383792</v>
      </c>
    </row>
    <row r="2075" spans="1:40" x14ac:dyDescent="0.25">
      <c r="A2075" t="str">
        <f>"20190312172124630"</f>
        <v>20190312172124630</v>
      </c>
      <c r="B2075" t="str">
        <f>"1552382484622605"</f>
        <v>1552382484622605</v>
      </c>
      <c r="C2075" t="s">
        <v>40</v>
      </c>
      <c r="D2075">
        <v>3.273237</v>
      </c>
      <c r="E2075">
        <v>0.53627499999999995</v>
      </c>
      <c r="F2075" t="s">
        <v>46</v>
      </c>
      <c r="G2075">
        <v>-221.40360000000001</v>
      </c>
      <c r="H2075" s="1">
        <v>-7.8983769999999905E-7</v>
      </c>
      <c r="I2075">
        <v>286.0754</v>
      </c>
      <c r="J2075">
        <v>-202.92580000000001</v>
      </c>
      <c r="K2075">
        <v>1.103567</v>
      </c>
      <c r="L2075">
        <v>285.12130000000002</v>
      </c>
      <c r="M2075">
        <v>-0.88375230000000005</v>
      </c>
      <c r="N2075">
        <v>0</v>
      </c>
      <c r="O2075">
        <v>-0.467748</v>
      </c>
      <c r="P2075">
        <v>-0.97316429999999998</v>
      </c>
      <c r="Q2075">
        <v>0.19829330000000001</v>
      </c>
      <c r="R2075">
        <v>-0.1167518</v>
      </c>
      <c r="S2075">
        <v>-3.1415250000000001</v>
      </c>
      <c r="T2075">
        <v>-0.18556700000000001</v>
      </c>
      <c r="U2075">
        <v>0.14431759999999999</v>
      </c>
      <c r="V2075">
        <v>0.35567290000000001</v>
      </c>
      <c r="W2075">
        <v>0.20483419999999999</v>
      </c>
      <c r="X2075">
        <v>0.91188800000000003</v>
      </c>
      <c r="Y2075">
        <v>0.50620699999999996</v>
      </c>
      <c r="Z2075">
        <v>4.1745989999999997E-2</v>
      </c>
      <c r="AA2075">
        <v>0.86140099999999997</v>
      </c>
      <c r="AB2075">
        <v>22</v>
      </c>
      <c r="AC2075">
        <v>-18.477799999999998</v>
      </c>
      <c r="AD2075">
        <v>-1.1035677898377001</v>
      </c>
      <c r="AE2075">
        <v>0.95409999999998196</v>
      </c>
      <c r="AF2075">
        <v>9.4534305508803307</v>
      </c>
      <c r="AG2075">
        <v>-1.1035677898377001</v>
      </c>
      <c r="AH2075">
        <v>15.828747988274699</v>
      </c>
      <c r="AI2075">
        <v>93.425449664781894</v>
      </c>
      <c r="AJ2075">
        <v>59.153011035807097</v>
      </c>
      <c r="AK2075">
        <v>18.469826039337701</v>
      </c>
      <c r="AL2075">
        <v>78.180206465912306</v>
      </c>
      <c r="AM2075">
        <v>68.692221447130294</v>
      </c>
      <c r="AN2075">
        <v>0.99999999291402497</v>
      </c>
    </row>
    <row r="2076" spans="1:40" x14ac:dyDescent="0.25">
      <c r="A2076" t="str">
        <f>"20190312172124652"</f>
        <v>20190312172124652</v>
      </c>
      <c r="B2076" t="str">
        <f>"1552382484643105"</f>
        <v>1552382484643105</v>
      </c>
      <c r="C2076" t="s">
        <v>40</v>
      </c>
      <c r="D2076">
        <v>3.1296179999999998</v>
      </c>
      <c r="E2076">
        <v>0.52894600000000003</v>
      </c>
      <c r="F2076" t="s">
        <v>46</v>
      </c>
      <c r="G2076">
        <v>-223.11449999999999</v>
      </c>
      <c r="H2076" s="1">
        <v>1.205944E-7</v>
      </c>
      <c r="I2076">
        <v>284.76839999999999</v>
      </c>
      <c r="J2076">
        <v>-203.12989999999999</v>
      </c>
      <c r="K2076">
        <v>1.1035569999999999</v>
      </c>
      <c r="L2076">
        <v>285.02890000000002</v>
      </c>
      <c r="M2076">
        <v>-0.88930390000000004</v>
      </c>
      <c r="N2076">
        <v>0</v>
      </c>
      <c r="O2076">
        <v>-0.45710519999999999</v>
      </c>
      <c r="P2076">
        <v>-0.97351909999999997</v>
      </c>
      <c r="Q2076">
        <v>0.19978209999999999</v>
      </c>
      <c r="R2076">
        <v>-0.1111214</v>
      </c>
      <c r="S2076">
        <v>-3.1108549999999999</v>
      </c>
      <c r="T2076">
        <v>-0.17004710000000001</v>
      </c>
      <c r="U2076">
        <v>-5.4382319999999998E-2</v>
      </c>
      <c r="V2076">
        <v>0.3498696</v>
      </c>
      <c r="W2076">
        <v>0.2064339</v>
      </c>
      <c r="X2076">
        <v>0.91377039999999998</v>
      </c>
      <c r="Y2076">
        <v>0.4402375</v>
      </c>
      <c r="Z2076">
        <v>3.6234589999999997E-2</v>
      </c>
      <c r="AA2076">
        <v>0.89714989999999994</v>
      </c>
      <c r="AB2076">
        <v>22</v>
      </c>
      <c r="AC2076">
        <v>-19.9846</v>
      </c>
      <c r="AD2076">
        <v>-1.1035568794056001</v>
      </c>
      <c r="AE2076">
        <v>-0.26050000000003498</v>
      </c>
      <c r="AF2076">
        <v>8.8771975021820406</v>
      </c>
      <c r="AG2076">
        <v>-1.1035568794056001</v>
      </c>
      <c r="AH2076">
        <v>17.838802649328301</v>
      </c>
      <c r="AI2076">
        <v>93.170031596388995</v>
      </c>
      <c r="AJ2076">
        <v>63.543493709788599</v>
      </c>
      <c r="AK2076">
        <v>19.9560856191918</v>
      </c>
      <c r="AL2076">
        <v>78.086549137188101</v>
      </c>
      <c r="AM2076">
        <v>69.048872565294104</v>
      </c>
      <c r="AN2076">
        <v>1.0000000179947599</v>
      </c>
    </row>
    <row r="2077" spans="1:40" x14ac:dyDescent="0.25">
      <c r="A2077" t="str">
        <f>"20190312172124675"</f>
        <v>20190312172124675</v>
      </c>
      <c r="B2077" t="str">
        <f>"1552382484662621"</f>
        <v>1552382484662621</v>
      </c>
      <c r="C2077" t="s">
        <v>40</v>
      </c>
      <c r="D2077">
        <v>3.1386430000000001</v>
      </c>
      <c r="E2077">
        <v>0.52590709999999996</v>
      </c>
      <c r="F2077" t="s">
        <v>46</v>
      </c>
      <c r="G2077">
        <v>-225.29849999999999</v>
      </c>
      <c r="H2077" s="1">
        <v>1.2828029999999999E-6</v>
      </c>
      <c r="I2077">
        <v>284.35489999999999</v>
      </c>
      <c r="J2077">
        <v>-203.3339</v>
      </c>
      <c r="K2077">
        <v>1.103559</v>
      </c>
      <c r="L2077">
        <v>284.93950000000001</v>
      </c>
      <c r="M2077">
        <v>-0.89471069999999997</v>
      </c>
      <c r="N2077">
        <v>0</v>
      </c>
      <c r="O2077">
        <v>-0.44643040000000001</v>
      </c>
      <c r="P2077">
        <v>-0.97384329999999997</v>
      </c>
      <c r="Q2077">
        <v>0.2013325</v>
      </c>
      <c r="R2077">
        <v>-0.1053326</v>
      </c>
      <c r="S2077">
        <v>-3.1025239999999998</v>
      </c>
      <c r="T2077">
        <v>-0.1544442</v>
      </c>
      <c r="U2077">
        <v>-9.4329830000000003E-2</v>
      </c>
      <c r="V2077">
        <v>0.34423350000000003</v>
      </c>
      <c r="W2077">
        <v>0.20809369999999999</v>
      </c>
      <c r="X2077">
        <v>0.91553280000000004</v>
      </c>
      <c r="Y2077">
        <v>0.41803889999999999</v>
      </c>
      <c r="Z2077">
        <v>3.1948600000000001E-2</v>
      </c>
      <c r="AA2077">
        <v>0.90786710000000004</v>
      </c>
      <c r="AB2077">
        <v>22</v>
      </c>
      <c r="AC2077">
        <v>-21.964599999999901</v>
      </c>
      <c r="AD2077">
        <v>-1.1035577171969999</v>
      </c>
      <c r="AE2077">
        <v>-0.58460000000002299</v>
      </c>
      <c r="AF2077">
        <v>9.2601526254856594</v>
      </c>
      <c r="AG2077">
        <v>-1.1035577171969999</v>
      </c>
      <c r="AH2077">
        <v>19.864754959619901</v>
      </c>
      <c r="AI2077">
        <v>92.8824922016302</v>
      </c>
      <c r="AJ2077">
        <v>65.006953204183205</v>
      </c>
      <c r="AK2077">
        <v>21.944857162629599</v>
      </c>
      <c r="AL2077">
        <v>77.989338445511095</v>
      </c>
      <c r="AM2077">
        <v>69.3941140310111</v>
      </c>
      <c r="AN2077">
        <v>0.99999999918889004</v>
      </c>
    </row>
    <row r="2078" spans="1:40" x14ac:dyDescent="0.25">
      <c r="A2078" t="str">
        <f>"20190312172124697"</f>
        <v>20190312172124697</v>
      </c>
      <c r="B2078" t="str">
        <f>"1552382484692877"</f>
        <v>1552382484692877</v>
      </c>
      <c r="C2078" t="s">
        <v>40</v>
      </c>
      <c r="D2078">
        <v>3.1375730000000002</v>
      </c>
      <c r="E2078">
        <v>0.52370550000000005</v>
      </c>
      <c r="F2078" t="s">
        <v>46</v>
      </c>
      <c r="G2078">
        <v>-226.63560000000001</v>
      </c>
      <c r="H2078" s="1">
        <v>1.9943390000000001E-6</v>
      </c>
      <c r="I2078">
        <v>284.17669999999998</v>
      </c>
      <c r="J2078">
        <v>-203.5437</v>
      </c>
      <c r="K2078">
        <v>1.10354</v>
      </c>
      <c r="L2078">
        <v>284.85050000000001</v>
      </c>
      <c r="M2078">
        <v>-0.90012499999999995</v>
      </c>
      <c r="N2078">
        <v>0</v>
      </c>
      <c r="O2078">
        <v>-0.43541039999999998</v>
      </c>
      <c r="P2078">
        <v>-0.97449730000000001</v>
      </c>
      <c r="Q2078">
        <v>0.20096069999999999</v>
      </c>
      <c r="R2078">
        <v>-9.9849510000000002E-2</v>
      </c>
      <c r="S2078">
        <v>-3.099945</v>
      </c>
      <c r="T2078">
        <v>-0.14681179999999999</v>
      </c>
      <c r="U2078">
        <v>-0.1014709</v>
      </c>
      <c r="V2078">
        <v>0.33815050000000002</v>
      </c>
      <c r="W2078">
        <v>0.20784830000000001</v>
      </c>
      <c r="X2078">
        <v>0.91785249999999996</v>
      </c>
      <c r="Y2078">
        <v>0.40485640000000001</v>
      </c>
      <c r="Z2078">
        <v>2.9606919999999998E-2</v>
      </c>
      <c r="AA2078">
        <v>0.91390090000000002</v>
      </c>
      <c r="AB2078">
        <v>22</v>
      </c>
      <c r="AC2078">
        <v>-23.091899999999999</v>
      </c>
      <c r="AD2078">
        <v>-1.103538005661</v>
      </c>
      <c r="AE2078">
        <v>-0.67380000000002804</v>
      </c>
      <c r="AF2078">
        <v>9.4273482304598701</v>
      </c>
      <c r="AG2078">
        <v>-1.103538005661</v>
      </c>
      <c r="AH2078">
        <v>21.033013961320901</v>
      </c>
      <c r="AI2078">
        <v>92.741093228513705</v>
      </c>
      <c r="AJ2078">
        <v>65.857280369197497</v>
      </c>
      <c r="AK2078">
        <v>23.075536116966202</v>
      </c>
      <c r="AL2078">
        <v>78.003712461925701</v>
      </c>
      <c r="AM2078">
        <v>69.775452992631202</v>
      </c>
      <c r="AN2078">
        <v>0.99999994410969295</v>
      </c>
    </row>
    <row r="2079" spans="1:40" x14ac:dyDescent="0.25">
      <c r="A2079" t="str">
        <f>"20190312172124721"</f>
        <v>20190312172124721</v>
      </c>
      <c r="B2079" t="str">
        <f>"1552382484713374"</f>
        <v>1552382484713374</v>
      </c>
      <c r="C2079" t="s">
        <v>40</v>
      </c>
      <c r="D2079">
        <v>3.1145800000000001</v>
      </c>
      <c r="E2079">
        <v>0.52267370000000002</v>
      </c>
      <c r="F2079" t="s">
        <v>46</v>
      </c>
      <c r="G2079">
        <v>-226.18190000000001</v>
      </c>
      <c r="H2079" s="1">
        <v>1.752939E-6</v>
      </c>
      <c r="I2079">
        <v>284.10120000000001</v>
      </c>
      <c r="J2079">
        <v>-203.7533</v>
      </c>
      <c r="K2079">
        <v>1.1035269999999999</v>
      </c>
      <c r="L2079">
        <v>284.76459999999997</v>
      </c>
      <c r="M2079">
        <v>-0.90538450000000004</v>
      </c>
      <c r="N2079">
        <v>0</v>
      </c>
      <c r="O2079">
        <v>-0.42436560000000001</v>
      </c>
      <c r="P2079">
        <v>-0.97550769999999998</v>
      </c>
      <c r="Q2079">
        <v>0.19888839999999999</v>
      </c>
      <c r="R2079">
        <v>-9.3958379999999994E-2</v>
      </c>
      <c r="S2079">
        <v>-3.099167</v>
      </c>
      <c r="T2079">
        <v>-0.1510736</v>
      </c>
      <c r="U2079">
        <v>-0.1025696</v>
      </c>
      <c r="V2079">
        <v>0.33259229999999901</v>
      </c>
      <c r="W2079">
        <v>0.20589779999999999</v>
      </c>
      <c r="X2079">
        <v>0.92031969999999996</v>
      </c>
      <c r="Y2079">
        <v>0.39328180000000001</v>
      </c>
      <c r="Z2079">
        <v>2.969863E-2</v>
      </c>
      <c r="AA2079">
        <v>0.91893820000000004</v>
      </c>
      <c r="AB2079">
        <v>22</v>
      </c>
      <c r="AC2079">
        <v>-22.428599999999999</v>
      </c>
      <c r="AD2079">
        <v>-1.103525247061</v>
      </c>
      <c r="AE2079">
        <v>-0.66339999999996702</v>
      </c>
      <c r="AF2079">
        <v>8.8966355094939509</v>
      </c>
      <c r="AG2079">
        <v>-1.103525247061</v>
      </c>
      <c r="AH2079">
        <v>20.540334612496299</v>
      </c>
      <c r="AI2079">
        <v>92.822347826653498</v>
      </c>
      <c r="AJ2079">
        <v>66.581115380531699</v>
      </c>
      <c r="AK2079">
        <v>22.411453262852099</v>
      </c>
      <c r="AL2079">
        <v>78.117938901095101</v>
      </c>
      <c r="AM2079">
        <v>70.130763196304699</v>
      </c>
      <c r="AN2079">
        <v>0.99999994613610799</v>
      </c>
    </row>
    <row r="2080" spans="1:40" x14ac:dyDescent="0.25">
      <c r="A2080" t="str">
        <f>"20190312172124741"</f>
        <v>20190312172124741</v>
      </c>
      <c r="B2080" t="str">
        <f>"1552382484732893"</f>
        <v>1552382484732893</v>
      </c>
      <c r="C2080" t="s">
        <v>40</v>
      </c>
      <c r="D2080">
        <v>3.1502430000000001</v>
      </c>
      <c r="E2080">
        <v>0.52191419999999999</v>
      </c>
      <c r="F2080" t="s">
        <v>46</v>
      </c>
      <c r="G2080">
        <v>-225.42169999999999</v>
      </c>
      <c r="H2080" s="1">
        <v>1.34836E-6</v>
      </c>
      <c r="I2080">
        <v>284.1302</v>
      </c>
      <c r="J2080">
        <v>-203.95930000000001</v>
      </c>
      <c r="K2080">
        <v>1.1035280000000001</v>
      </c>
      <c r="L2080">
        <v>284.68329999999997</v>
      </c>
      <c r="M2080">
        <v>-0.91040339999999997</v>
      </c>
      <c r="N2080">
        <v>0</v>
      </c>
      <c r="O2080">
        <v>-0.41348859999999898</v>
      </c>
      <c r="P2080">
        <v>-0.97599919999999996</v>
      </c>
      <c r="Q2080">
        <v>0.1995468</v>
      </c>
      <c r="R2080">
        <v>-8.721603E-2</v>
      </c>
      <c r="S2080">
        <v>-3.0987399999999998</v>
      </c>
      <c r="T2080">
        <v>-0.15781229999999999</v>
      </c>
      <c r="U2080">
        <v>-9.0728760000000006E-2</v>
      </c>
      <c r="V2080">
        <v>0.3278645</v>
      </c>
      <c r="W2080">
        <v>0.20665510000000001</v>
      </c>
      <c r="X2080">
        <v>0.92184520000000003</v>
      </c>
      <c r="Y2080">
        <v>0.38569759999999997</v>
      </c>
      <c r="Z2080">
        <v>3.0330059999999999E-2</v>
      </c>
      <c r="AA2080">
        <v>0.92212660000000002</v>
      </c>
      <c r="AB2080">
        <v>22</v>
      </c>
      <c r="AC2080">
        <v>-21.462399999999899</v>
      </c>
      <c r="AD2080">
        <v>-1.10352665164</v>
      </c>
      <c r="AE2080">
        <v>-0.55309999999997195</v>
      </c>
      <c r="AF2080">
        <v>8.3496616003088207</v>
      </c>
      <c r="AG2080">
        <v>-1.10352665164</v>
      </c>
      <c r="AH2080">
        <v>19.717955276521</v>
      </c>
      <c r="AI2080">
        <v>92.950154972549598</v>
      </c>
      <c r="AJ2080">
        <v>67.049541278335994</v>
      </c>
      <c r="AK2080">
        <v>21.4413707630234</v>
      </c>
      <c r="AL2080">
        <v>78.073595990086005</v>
      </c>
      <c r="AM2080">
        <v>70.421504567714805</v>
      </c>
      <c r="AN2080">
        <v>1.0000000167396399</v>
      </c>
    </row>
    <row r="2081" spans="1:40" x14ac:dyDescent="0.25">
      <c r="A2081" t="str">
        <f>"20190312172124765"</f>
        <v>20190312172124765</v>
      </c>
      <c r="B2081" t="str">
        <f>"1552382484753393"</f>
        <v>1552382484753393</v>
      </c>
      <c r="C2081" t="s">
        <v>40</v>
      </c>
      <c r="D2081">
        <v>3.1306609999999999</v>
      </c>
      <c r="E2081">
        <v>0.52125589999999999</v>
      </c>
      <c r="F2081" t="s">
        <v>46</v>
      </c>
      <c r="G2081">
        <v>-225.76130000000001</v>
      </c>
      <c r="H2081" s="1">
        <v>1.5290979999999901E-6</v>
      </c>
      <c r="I2081">
        <v>284.15870000000001</v>
      </c>
      <c r="J2081">
        <v>-204.16659999999999</v>
      </c>
      <c r="K2081">
        <v>1.103532</v>
      </c>
      <c r="L2081">
        <v>284.60449999999997</v>
      </c>
      <c r="M2081">
        <v>-0.91530350000000005</v>
      </c>
      <c r="N2081">
        <v>0</v>
      </c>
      <c r="O2081">
        <v>-0.40252599999999999</v>
      </c>
      <c r="P2081">
        <v>-0.97650210000000004</v>
      </c>
      <c r="Q2081">
        <v>0.20101140000000001</v>
      </c>
      <c r="R2081">
        <v>-7.7708390000000002E-2</v>
      </c>
      <c r="S2081">
        <v>-3.0991819999999999</v>
      </c>
      <c r="T2081">
        <v>-0.15686789999999901</v>
      </c>
      <c r="U2081">
        <v>-7.4584960000000006E-2</v>
      </c>
      <c r="V2081">
        <v>0.32566590000000001</v>
      </c>
      <c r="W2081">
        <v>0.20816409999999999</v>
      </c>
      <c r="X2081">
        <v>0.92228489999999996</v>
      </c>
      <c r="Y2081">
        <v>0.37944939999999999</v>
      </c>
      <c r="Z2081">
        <v>2.948127E-2</v>
      </c>
      <c r="AA2081">
        <v>0.92474259999999997</v>
      </c>
      <c r="AB2081">
        <v>22</v>
      </c>
      <c r="AC2081">
        <v>-21.5947</v>
      </c>
      <c r="AD2081">
        <v>-1.103530470902</v>
      </c>
      <c r="AE2081">
        <v>-0.445799999999962</v>
      </c>
      <c r="AF2081">
        <v>8.2636122131741807</v>
      </c>
      <c r="AG2081">
        <v>-1.103530470902</v>
      </c>
      <c r="AH2081">
        <v>19.895136670097202</v>
      </c>
      <c r="AI2081">
        <v>92.932378323023499</v>
      </c>
      <c r="AJ2081">
        <v>67.4440341866826</v>
      </c>
      <c r="AK2081">
        <v>21.571312649715502</v>
      </c>
      <c r="AL2081">
        <v>77.985214571293199</v>
      </c>
      <c r="AM2081">
        <v>70.551481367702195</v>
      </c>
      <c r="AN2081">
        <v>1.00000000385981</v>
      </c>
    </row>
    <row r="2082" spans="1:40" x14ac:dyDescent="0.25">
      <c r="A2082" t="str">
        <f>"20190312172124787"</f>
        <v>20190312172124787</v>
      </c>
      <c r="B2082" t="str">
        <f>"1552382484782669"</f>
        <v>1552382484782669</v>
      </c>
      <c r="C2082" t="s">
        <v>40</v>
      </c>
      <c r="D2082">
        <v>3.1199659999999998</v>
      </c>
      <c r="E2082">
        <v>0.52064949999999999</v>
      </c>
      <c r="F2082" t="s">
        <v>46</v>
      </c>
      <c r="G2082">
        <v>-226.41139999999999</v>
      </c>
      <c r="H2082" s="1">
        <v>1.875043E-6</v>
      </c>
      <c r="I2082">
        <v>284.24549999999999</v>
      </c>
      <c r="J2082">
        <v>-204.37719999999999</v>
      </c>
      <c r="K2082">
        <v>1.1035429999999999</v>
      </c>
      <c r="L2082">
        <v>284.52719999999999</v>
      </c>
      <c r="M2082">
        <v>-0.92012780000000005</v>
      </c>
      <c r="N2082">
        <v>0</v>
      </c>
      <c r="O2082">
        <v>-0.39137260000000001</v>
      </c>
      <c r="P2082">
        <v>-0.97675880000000004</v>
      </c>
      <c r="Q2082">
        <v>0.2016414</v>
      </c>
      <c r="R2082">
        <v>-7.2686749999999994E-2</v>
      </c>
      <c r="S2082">
        <v>-3.099869</v>
      </c>
      <c r="T2082">
        <v>-0.15378</v>
      </c>
      <c r="U2082">
        <v>-5.0018310000000003E-2</v>
      </c>
      <c r="V2082">
        <v>0.31912770000000001</v>
      </c>
      <c r="W2082">
        <v>0.20894009999999999</v>
      </c>
      <c r="X2082">
        <v>0.92439249999999995</v>
      </c>
      <c r="Y2082">
        <v>0.37559150000000002</v>
      </c>
      <c r="Z2082">
        <v>2.8295440000000002E-2</v>
      </c>
      <c r="AA2082">
        <v>0.92635330000000005</v>
      </c>
      <c r="AB2082">
        <v>22</v>
      </c>
      <c r="AC2082">
        <v>-22.034199999999998</v>
      </c>
      <c r="AD2082">
        <v>-1.103541124957</v>
      </c>
      <c r="AE2082">
        <v>-0.28170000000000001</v>
      </c>
      <c r="AF2082">
        <v>8.3442599441426299</v>
      </c>
      <c r="AG2082">
        <v>-1.103541124957</v>
      </c>
      <c r="AH2082">
        <v>20.335490560959801</v>
      </c>
      <c r="AI2082">
        <v>92.874098863748202</v>
      </c>
      <c r="AJ2082">
        <v>67.690190657739294</v>
      </c>
      <c r="AK2082">
        <v>22.0085586394198</v>
      </c>
      <c r="AL2082">
        <v>77.939753048171895</v>
      </c>
      <c r="AM2082">
        <v>70.953808006790396</v>
      </c>
      <c r="AN2082">
        <v>0.99999997417577402</v>
      </c>
    </row>
    <row r="2083" spans="1:40" x14ac:dyDescent="0.25">
      <c r="A2083" t="str">
        <f>"20190312172124809"</f>
        <v>20190312172124809</v>
      </c>
      <c r="B2083" t="str">
        <f>"1552382484803166"</f>
        <v>1552382484803166</v>
      </c>
      <c r="C2083" t="s">
        <v>40</v>
      </c>
      <c r="D2083">
        <v>3.1260750000000002</v>
      </c>
      <c r="E2083">
        <v>0.52019929999999903</v>
      </c>
      <c r="F2083" t="s">
        <v>46</v>
      </c>
      <c r="G2083">
        <v>-226.5479</v>
      </c>
      <c r="H2083" s="1">
        <v>1.9476639999999999E-6</v>
      </c>
      <c r="I2083">
        <v>284.24220000000003</v>
      </c>
      <c r="J2083">
        <v>-204.5823</v>
      </c>
      <c r="K2083">
        <v>1.1035569999999999</v>
      </c>
      <c r="L2083">
        <v>284.4547</v>
      </c>
      <c r="M2083">
        <v>-0.92467679999999997</v>
      </c>
      <c r="N2083">
        <v>0</v>
      </c>
      <c r="O2083">
        <v>-0.38050070000000003</v>
      </c>
      <c r="P2083">
        <v>-0.97714670000000003</v>
      </c>
      <c r="Q2083">
        <v>0.2009918</v>
      </c>
      <c r="R2083">
        <v>-6.9189870000000001E-2</v>
      </c>
      <c r="S2083">
        <v>-3.100266</v>
      </c>
      <c r="T2083">
        <v>-0.15431549999999999</v>
      </c>
      <c r="U2083">
        <v>-3.9855960000000003E-2</v>
      </c>
      <c r="V2083">
        <v>0.31154229999999999</v>
      </c>
      <c r="W2083">
        <v>0.20846300000000001</v>
      </c>
      <c r="X2083">
        <v>0.92708389999999996</v>
      </c>
      <c r="Y2083">
        <v>0.36771169999999997</v>
      </c>
      <c r="Z2083">
        <v>2.7692390000000001E-2</v>
      </c>
      <c r="AA2083">
        <v>0.92952749999999995</v>
      </c>
      <c r="AB2083">
        <v>22</v>
      </c>
      <c r="AC2083">
        <v>-21.965599999999899</v>
      </c>
      <c r="AD2083">
        <v>-1.10355505233599</v>
      </c>
      <c r="AE2083">
        <v>-0.21249999999997701</v>
      </c>
      <c r="AF2083">
        <v>8.1416678615854003</v>
      </c>
      <c r="AG2083">
        <v>-1.10355505233599</v>
      </c>
      <c r="AH2083">
        <v>20.342554078652199</v>
      </c>
      <c r="AI2083">
        <v>92.883242322455601</v>
      </c>
      <c r="AJ2083">
        <v>68.187310083212694</v>
      </c>
      <c r="AK2083">
        <v>21.939099702695099</v>
      </c>
      <c r="AL2083">
        <v>77.967704593087205</v>
      </c>
      <c r="AM2083">
        <v>71.425313060679898</v>
      </c>
      <c r="AN2083">
        <v>0.99999999234874903</v>
      </c>
    </row>
    <row r="2084" spans="1:40" x14ac:dyDescent="0.25">
      <c r="A2084" t="str">
        <f>"20190312172124831"</f>
        <v>20190312172124831</v>
      </c>
      <c r="B2084" t="str">
        <f>"1552382484822685"</f>
        <v>1552382484822685</v>
      </c>
      <c r="C2084" t="s">
        <v>40</v>
      </c>
      <c r="D2084">
        <v>3.0945870000000002</v>
      </c>
      <c r="E2084">
        <v>0.51982819999999996</v>
      </c>
      <c r="F2084" t="s">
        <v>46</v>
      </c>
      <c r="G2084">
        <v>-226.4161</v>
      </c>
      <c r="H2084" s="1">
        <v>1.8775509999999999E-6</v>
      </c>
      <c r="I2084">
        <v>284.22739999999999</v>
      </c>
      <c r="J2084">
        <v>-204.79900000000001</v>
      </c>
      <c r="K2084">
        <v>1.1035759999999999</v>
      </c>
      <c r="L2084">
        <v>284.38099999999997</v>
      </c>
      <c r="M2084">
        <v>-0.92932570000000003</v>
      </c>
      <c r="N2084">
        <v>0</v>
      </c>
      <c r="O2084">
        <v>-0.36900119999999997</v>
      </c>
      <c r="P2084">
        <v>-0.97718020000000005</v>
      </c>
      <c r="Q2084">
        <v>0.20220289999999999</v>
      </c>
      <c r="R2084">
        <v>-6.5061759999999996E-2</v>
      </c>
      <c r="S2084">
        <v>-3.1001280000000002</v>
      </c>
      <c r="T2084">
        <v>-0.156691</v>
      </c>
      <c r="U2084">
        <v>-3.22876E-2</v>
      </c>
      <c r="V2084">
        <v>0.3038479</v>
      </c>
      <c r="W2084">
        <v>0.20983769999999999</v>
      </c>
      <c r="X2084">
        <v>0.92932479999999995</v>
      </c>
      <c r="Y2084">
        <v>0.358427</v>
      </c>
      <c r="Z2084">
        <v>2.7341890000000001E-2</v>
      </c>
      <c r="AA2084">
        <v>0.93315729999999997</v>
      </c>
      <c r="AB2084">
        <v>22</v>
      </c>
      <c r="AC2084">
        <v>-21.617099999999901</v>
      </c>
      <c r="AD2084">
        <v>-1.1035741224490001</v>
      </c>
      <c r="AE2084">
        <v>-0.153599999999983</v>
      </c>
      <c r="AF2084">
        <v>7.8143782033582703</v>
      </c>
      <c r="AG2084">
        <v>-1.1035741224490001</v>
      </c>
      <c r="AH2084">
        <v>20.095567561328199</v>
      </c>
      <c r="AI2084">
        <v>92.929997632698203</v>
      </c>
      <c r="AJ2084">
        <v>68.750893142774899</v>
      </c>
      <c r="AK2084">
        <v>21.589678509898398</v>
      </c>
      <c r="AL2084">
        <v>77.887158719125694</v>
      </c>
      <c r="AM2084">
        <v>71.894556127460405</v>
      </c>
      <c r="AN2084">
        <v>0.99999999528536898</v>
      </c>
    </row>
    <row r="2085" spans="1:40" x14ac:dyDescent="0.25">
      <c r="A2085" t="str">
        <f>"20190312172124852"</f>
        <v>20190312172124852</v>
      </c>
      <c r="B2085" t="str">
        <f>"1552382484843185"</f>
        <v>1552382484843185</v>
      </c>
      <c r="C2085" t="s">
        <v>40</v>
      </c>
      <c r="D2085">
        <v>3.117642</v>
      </c>
      <c r="E2085">
        <v>0.51941130000000002</v>
      </c>
      <c r="F2085" t="s">
        <v>46</v>
      </c>
      <c r="G2085">
        <v>-226.53270000000001</v>
      </c>
      <c r="H2085" s="1">
        <v>1.9396099999999999E-6</v>
      </c>
      <c r="I2085">
        <v>284.2296</v>
      </c>
      <c r="J2085">
        <v>-205.00540000000001</v>
      </c>
      <c r="K2085">
        <v>1.103585</v>
      </c>
      <c r="L2085">
        <v>284.31360000000001</v>
      </c>
      <c r="M2085">
        <v>-0.93360299999999996</v>
      </c>
      <c r="N2085">
        <v>0</v>
      </c>
      <c r="O2085">
        <v>-0.35804200000000003</v>
      </c>
      <c r="P2085">
        <v>-0.97736630000000002</v>
      </c>
      <c r="Q2085">
        <v>0.20237550000000001</v>
      </c>
      <c r="R2085">
        <v>-6.1638499999999999E-2</v>
      </c>
      <c r="S2085">
        <v>-3.1011959999999998</v>
      </c>
      <c r="T2085">
        <v>-0.15746949999999901</v>
      </c>
      <c r="U2085">
        <v>-2.1606449999999999E-2</v>
      </c>
      <c r="V2085">
        <v>0.2961202</v>
      </c>
      <c r="W2085">
        <v>0.21017330000000001</v>
      </c>
      <c r="X2085">
        <v>0.93174029999999997</v>
      </c>
      <c r="Y2085">
        <v>0.35066589999999997</v>
      </c>
      <c r="Z2085">
        <v>2.6749769999999999E-2</v>
      </c>
      <c r="AA2085">
        <v>0.93611849999999996</v>
      </c>
      <c r="AB2085">
        <v>22</v>
      </c>
      <c r="AC2085">
        <v>-21.5273</v>
      </c>
      <c r="AD2085">
        <v>-1.1035830603899901</v>
      </c>
      <c r="AE2085">
        <v>-8.40000000000031E-2</v>
      </c>
      <c r="AF2085">
        <v>7.6099859892399797</v>
      </c>
      <c r="AG2085">
        <v>-1.1035830603899901</v>
      </c>
      <c r="AH2085">
        <v>20.077190832435601</v>
      </c>
      <c r="AI2085">
        <v>92.942338324719898</v>
      </c>
      <c r="AJ2085">
        <v>69.241468588815295</v>
      </c>
      <c r="AK2085">
        <v>21.499380782935201</v>
      </c>
      <c r="AL2085">
        <v>77.867491591808502</v>
      </c>
      <c r="AM2085">
        <v>72.369009887199098</v>
      </c>
      <c r="AN2085">
        <v>0.99999998776250898</v>
      </c>
    </row>
    <row r="2086" spans="1:40" x14ac:dyDescent="0.25">
      <c r="A2086" t="str">
        <f>"20190312172124865"</f>
        <v>20190312172124865</v>
      </c>
      <c r="B2086" t="str">
        <f>"1552382484852942"</f>
        <v>1552382484852942</v>
      </c>
      <c r="C2086" t="s">
        <v>40</v>
      </c>
      <c r="D2086">
        <v>3.231646</v>
      </c>
      <c r="E2086">
        <v>0.51926629999999996</v>
      </c>
      <c r="F2086" t="s">
        <v>46</v>
      </c>
      <c r="G2086">
        <v>-226.3296</v>
      </c>
      <c r="H2086" s="1">
        <v>1.831486E-6</v>
      </c>
      <c r="I2086">
        <v>284.2165</v>
      </c>
      <c r="J2086">
        <v>-205.11859999999999</v>
      </c>
      <c r="K2086">
        <v>1.103585</v>
      </c>
      <c r="L2086">
        <v>284.27769999999998</v>
      </c>
      <c r="M2086">
        <v>-0.93588660000000001</v>
      </c>
      <c r="N2086">
        <v>0</v>
      </c>
      <c r="O2086">
        <v>-0.35203030000000002</v>
      </c>
      <c r="P2086">
        <v>-0.97783909999999996</v>
      </c>
      <c r="Q2086">
        <v>0.2006406</v>
      </c>
      <c r="R2086">
        <v>-5.9786279999999997E-2</v>
      </c>
      <c r="S2086">
        <v>-3.1018219999999999</v>
      </c>
      <c r="T2086">
        <v>-0.160527799999999</v>
      </c>
      <c r="U2086">
        <v>-1.4129640000000001E-2</v>
      </c>
      <c r="V2086">
        <v>0.29197030000000002</v>
      </c>
      <c r="W2086">
        <v>0.2085311</v>
      </c>
      <c r="X2086">
        <v>0.93341739999999995</v>
      </c>
      <c r="Y2086">
        <v>0.3468774</v>
      </c>
      <c r="Z2086">
        <v>2.6872969999999999E-2</v>
      </c>
      <c r="AA2086">
        <v>0.93752550000000001</v>
      </c>
      <c r="AB2086">
        <v>22</v>
      </c>
      <c r="AC2086">
        <v>-21.210999999999999</v>
      </c>
      <c r="AD2086">
        <v>-1.1035831685140001</v>
      </c>
      <c r="AE2086">
        <v>-6.1199999999985197E-2</v>
      </c>
      <c r="AF2086">
        <v>7.3903404658923701</v>
      </c>
      <c r="AG2086">
        <v>-1.1035831685140001</v>
      </c>
      <c r="AH2086">
        <v>19.820877818139799</v>
      </c>
      <c r="AI2086">
        <v>92.986381245039894</v>
      </c>
      <c r="AJ2086">
        <v>69.551709458970606</v>
      </c>
      <c r="AK2086">
        <v>21.182592511146101</v>
      </c>
      <c r="AL2086">
        <v>77.963714667631905</v>
      </c>
      <c r="AM2086">
        <v>72.630466092923101</v>
      </c>
      <c r="AN2086">
        <v>0.99999995918602902</v>
      </c>
    </row>
    <row r="2087" spans="1:40" x14ac:dyDescent="0.25">
      <c r="A2087" t="str">
        <f>"20190312172124879"</f>
        <v>20190312172124879</v>
      </c>
      <c r="B2087" t="str">
        <f>"1552382484873438"</f>
        <v>1552382484873438</v>
      </c>
      <c r="C2087" t="s">
        <v>40</v>
      </c>
      <c r="D2087">
        <v>3.1311969999999998</v>
      </c>
      <c r="E2087">
        <v>0.51898650000000002</v>
      </c>
      <c r="F2087" t="s">
        <v>46</v>
      </c>
      <c r="G2087">
        <v>-225.57140000000001</v>
      </c>
      <c r="H2087" s="1">
        <v>1.428025E-6</v>
      </c>
      <c r="I2087">
        <v>284.21879999999999</v>
      </c>
      <c r="J2087">
        <v>-205.25739999999999</v>
      </c>
      <c r="K2087">
        <v>1.1035820000000001</v>
      </c>
      <c r="L2087">
        <v>284.2346</v>
      </c>
      <c r="M2087">
        <v>-0.93862710000000005</v>
      </c>
      <c r="N2087">
        <v>0</v>
      </c>
      <c r="O2087">
        <v>-0.34465649999999998</v>
      </c>
      <c r="P2087">
        <v>-0.97836389999999995</v>
      </c>
      <c r="Q2087">
        <v>0.1990585</v>
      </c>
      <c r="R2087">
        <v>-5.6388439999999998E-2</v>
      </c>
      <c r="S2087">
        <v>-3.1018219999999999</v>
      </c>
      <c r="T2087">
        <v>-0.16736709999999999</v>
      </c>
      <c r="U2087">
        <v>-8.9416500000000006E-3</v>
      </c>
      <c r="V2087">
        <v>0.28793429999999998</v>
      </c>
      <c r="W2087">
        <v>0.20703849999999999</v>
      </c>
      <c r="X2087">
        <v>0.93500209999999995</v>
      </c>
      <c r="Y2087">
        <v>0.34100069999999999</v>
      </c>
      <c r="Z2087">
        <v>2.7481930000000002E-2</v>
      </c>
      <c r="AA2087">
        <v>0.93966130000000003</v>
      </c>
      <c r="AB2087">
        <v>22</v>
      </c>
      <c r="AC2087">
        <v>-20.314</v>
      </c>
      <c r="AD2087">
        <v>-1.103580571975</v>
      </c>
      <c r="AE2087">
        <v>-1.5800000000012901E-2</v>
      </c>
      <c r="AF2087">
        <v>6.9666285851829599</v>
      </c>
      <c r="AG2087">
        <v>-1.103580571975</v>
      </c>
      <c r="AH2087">
        <v>19.018409305915799</v>
      </c>
      <c r="AI2087">
        <v>93.118758407385201</v>
      </c>
      <c r="AJ2087">
        <v>69.881725395400807</v>
      </c>
      <c r="AK2087">
        <v>20.284272144942101</v>
      </c>
      <c r="AL2087">
        <v>78.051143180342606</v>
      </c>
      <c r="AM2087">
        <v>72.883761698540695</v>
      </c>
      <c r="AN2087">
        <v>1.0000000143015699</v>
      </c>
    </row>
    <row r="2088" spans="1:40" x14ac:dyDescent="0.25">
      <c r="A2088" t="str">
        <f>"20190312172124898"</f>
        <v>20190312172124898</v>
      </c>
      <c r="B2088" t="str">
        <f>"1552382484892957"</f>
        <v>1552382484892957</v>
      </c>
      <c r="C2088" t="s">
        <v>40</v>
      </c>
      <c r="D2088">
        <v>3.1025939999999999</v>
      </c>
      <c r="E2088">
        <v>0.51870569999999905</v>
      </c>
      <c r="F2088" t="s">
        <v>46</v>
      </c>
      <c r="G2088">
        <v>-224.8904</v>
      </c>
      <c r="H2088" s="1">
        <v>1.0656180000000001E-6</v>
      </c>
      <c r="I2088">
        <v>284.23430000000002</v>
      </c>
      <c r="J2088">
        <v>-205.43899999999999</v>
      </c>
      <c r="K2088">
        <v>1.1035820000000001</v>
      </c>
      <c r="L2088">
        <v>284.18040000000002</v>
      </c>
      <c r="M2088">
        <v>-0.94211069999999997</v>
      </c>
      <c r="N2088">
        <v>0</v>
      </c>
      <c r="O2088">
        <v>-0.33501750000000002</v>
      </c>
      <c r="P2088">
        <v>-0.97924889999999998</v>
      </c>
      <c r="Q2088">
        <v>0.19476450000000001</v>
      </c>
      <c r="R2088">
        <v>-5.602302E-2</v>
      </c>
      <c r="S2088">
        <v>-3.101807</v>
      </c>
      <c r="T2088">
        <v>-0.1743547</v>
      </c>
      <c r="U2088" s="1">
        <v>-6.1035159999999999E-5</v>
      </c>
      <c r="V2088">
        <v>0.27886759999999999</v>
      </c>
      <c r="W2088">
        <v>0.2029502</v>
      </c>
      <c r="X2088">
        <v>0.93863949999999996</v>
      </c>
      <c r="Y2088">
        <v>0.33399050000000002</v>
      </c>
      <c r="Z2088">
        <v>2.791778E-2</v>
      </c>
      <c r="AA2088">
        <v>0.94216290000000003</v>
      </c>
      <c r="AB2088">
        <v>22</v>
      </c>
      <c r="AC2088">
        <v>-19.4513999999999</v>
      </c>
      <c r="AD2088">
        <v>-1.103580934382</v>
      </c>
      <c r="AE2088">
        <v>5.3899999999998699E-2</v>
      </c>
      <c r="AF2088">
        <v>6.5468918756996297</v>
      </c>
      <c r="AG2088">
        <v>-1.103580934382</v>
      </c>
      <c r="AH2088">
        <v>18.250315137054098</v>
      </c>
      <c r="AI2088">
        <v>93.257629240441801</v>
      </c>
      <c r="AJ2088">
        <v>70.265688353179101</v>
      </c>
      <c r="AK2088">
        <v>19.4204450698901</v>
      </c>
      <c r="AL2088">
        <v>78.2904682391314</v>
      </c>
      <c r="AM2088">
        <v>73.4534386296029</v>
      </c>
      <c r="AN2088">
        <v>1.00000001648502</v>
      </c>
    </row>
    <row r="2089" spans="1:40" x14ac:dyDescent="0.25">
      <c r="A2089" t="str">
        <f>"20190312172124922"</f>
        <v>20190312172124922</v>
      </c>
      <c r="B2089" t="str">
        <f>"1552382484913454"</f>
        <v>1552382484913454</v>
      </c>
      <c r="C2089" t="s">
        <v>40</v>
      </c>
      <c r="D2089">
        <v>3.1311599999999999</v>
      </c>
      <c r="E2089">
        <v>0.51838989999999996</v>
      </c>
      <c r="F2089" t="s">
        <v>46</v>
      </c>
      <c r="G2089">
        <v>-223.4178</v>
      </c>
      <c r="H2089" s="1">
        <v>2.8201649999999999E-7</v>
      </c>
      <c r="I2089">
        <v>284.17950000000002</v>
      </c>
      <c r="J2089">
        <v>-205.654</v>
      </c>
      <c r="K2089">
        <v>1.1036049999999999</v>
      </c>
      <c r="L2089">
        <v>284.11880000000002</v>
      </c>
      <c r="M2089">
        <v>-0.94608809999999999</v>
      </c>
      <c r="N2089">
        <v>0</v>
      </c>
      <c r="O2089">
        <v>-0.3236155</v>
      </c>
      <c r="P2089">
        <v>-0.97951630000000001</v>
      </c>
      <c r="Q2089">
        <v>0.19399</v>
      </c>
      <c r="R2089">
        <v>-5.3997200000000002E-2</v>
      </c>
      <c r="S2089">
        <v>-3.1014249999999999</v>
      </c>
      <c r="T2089">
        <v>-0.1903725</v>
      </c>
      <c r="U2089">
        <v>-1.5258789999999999E-4</v>
      </c>
      <c r="V2089">
        <v>0.26945750000000002</v>
      </c>
      <c r="W2089">
        <v>0.20238</v>
      </c>
      <c r="X2089">
        <v>0.94150670000000003</v>
      </c>
      <c r="Y2089">
        <v>0.32240079999999999</v>
      </c>
      <c r="Z2089">
        <v>2.945828E-2</v>
      </c>
      <c r="AA2089">
        <v>0.94614480000000001</v>
      </c>
      <c r="AB2089">
        <v>22</v>
      </c>
      <c r="AC2089">
        <v>-17.7637999999999</v>
      </c>
      <c r="AD2089">
        <v>-1.1036047179835</v>
      </c>
      <c r="AE2089">
        <v>6.0699999999996999E-2</v>
      </c>
      <c r="AF2089">
        <v>5.7842956593199597</v>
      </c>
      <c r="AG2089">
        <v>-1.1036047179835</v>
      </c>
      <c r="AH2089">
        <v>16.7235266096509</v>
      </c>
      <c r="AI2089">
        <v>93.568688640468693</v>
      </c>
      <c r="AJ2089">
        <v>70.920635975235299</v>
      </c>
      <c r="AK2089">
        <v>17.729984825478098</v>
      </c>
      <c r="AL2089">
        <v>78.323829689091397</v>
      </c>
      <c r="AM2089">
        <v>74.028974961728295</v>
      </c>
      <c r="AN2089">
        <v>0.99999993742556803</v>
      </c>
    </row>
    <row r="2090" spans="1:40" x14ac:dyDescent="0.25">
      <c r="A2090" t="str">
        <f>"20190312172124933"</f>
        <v>20190312172124933</v>
      </c>
      <c r="B2090" t="str">
        <f>"1552382484923214"</f>
        <v>1552382484923214</v>
      </c>
      <c r="C2090" t="s">
        <v>40</v>
      </c>
      <c r="D2090">
        <v>3.1474060000000001</v>
      </c>
      <c r="E2090">
        <v>0.51826919999999999</v>
      </c>
      <c r="F2090" t="s">
        <v>46</v>
      </c>
      <c r="G2090">
        <v>-223.4804</v>
      </c>
      <c r="H2090" s="1">
        <v>3.1532170000000002E-7</v>
      </c>
      <c r="I2090">
        <v>284.15559999999999</v>
      </c>
      <c r="J2090">
        <v>-205.7775</v>
      </c>
      <c r="K2090">
        <v>1.103629</v>
      </c>
      <c r="L2090">
        <v>284.08479999999997</v>
      </c>
      <c r="M2090">
        <v>-0.94829640000000004</v>
      </c>
      <c r="N2090">
        <v>0</v>
      </c>
      <c r="O2090">
        <v>-0.3170868</v>
      </c>
      <c r="P2090">
        <v>-0.97945550000000003</v>
      </c>
      <c r="Q2090">
        <v>0.1948473</v>
      </c>
      <c r="R2090">
        <v>-5.197645E-2</v>
      </c>
      <c r="S2090">
        <v>-3.1011199999999999</v>
      </c>
      <c r="T2090">
        <v>-0.19198560000000001</v>
      </c>
      <c r="U2090">
        <v>6.4086909999999898E-3</v>
      </c>
      <c r="V2090">
        <v>0.26484540000000001</v>
      </c>
      <c r="W2090">
        <v>0.20333680000000001</v>
      </c>
      <c r="X2090">
        <v>0.94260869999999997</v>
      </c>
      <c r="Y2090">
        <v>0.3178764</v>
      </c>
      <c r="Z2090">
        <v>2.9185220000000001E-2</v>
      </c>
      <c r="AA2090">
        <v>0.94768289999999999</v>
      </c>
      <c r="AB2090">
        <v>22</v>
      </c>
      <c r="AC2090">
        <v>-17.7029</v>
      </c>
      <c r="AD2090">
        <v>-1.1036286846783001</v>
      </c>
      <c r="AE2090">
        <v>7.0800000000019694E-2</v>
      </c>
      <c r="AF2090">
        <v>5.6590412998891404</v>
      </c>
      <c r="AG2090">
        <v>-1.1036286846783001</v>
      </c>
      <c r="AH2090">
        <v>16.701828276769799</v>
      </c>
      <c r="AI2090">
        <v>93.581098485423695</v>
      </c>
      <c r="AJ2090">
        <v>71.282198434172301</v>
      </c>
      <c r="AK2090">
        <v>17.669007116819099</v>
      </c>
      <c r="AL2090">
        <v>78.267846401453696</v>
      </c>
      <c r="AM2090">
        <v>74.306194391744995</v>
      </c>
      <c r="AN2090">
        <v>1.00000005072554</v>
      </c>
    </row>
    <row r="2091" spans="1:40" x14ac:dyDescent="0.25">
      <c r="A2091" t="str">
        <f>"20190312172124953"</f>
        <v>20190312172124953</v>
      </c>
      <c r="B2091" t="str">
        <f>"1552382484942733"</f>
        <v>1552382484942733</v>
      </c>
      <c r="C2091" t="s">
        <v>40</v>
      </c>
      <c r="D2091">
        <v>3.1571709999999999</v>
      </c>
      <c r="E2091">
        <v>0.51809150000000004</v>
      </c>
      <c r="F2091" t="s">
        <v>46</v>
      </c>
      <c r="G2091">
        <v>-223.92250000000001</v>
      </c>
      <c r="H2091" s="1">
        <v>5.5055939999999997E-7</v>
      </c>
      <c r="I2091">
        <v>284.15989999999999</v>
      </c>
      <c r="J2091">
        <v>-205.96369999999999</v>
      </c>
      <c r="K2091">
        <v>1.1036919999999999</v>
      </c>
      <c r="L2091">
        <v>284.03489999999999</v>
      </c>
      <c r="M2091">
        <v>-0.95152800000000004</v>
      </c>
      <c r="N2091">
        <v>0</v>
      </c>
      <c r="O2091">
        <v>-0.30725400000000003</v>
      </c>
      <c r="P2091">
        <v>-0.97885469999999997</v>
      </c>
      <c r="Q2091">
        <v>0.1980556</v>
      </c>
      <c r="R2091">
        <v>-5.1162689999999997E-2</v>
      </c>
      <c r="S2091">
        <v>-3.1011350000000002</v>
      </c>
      <c r="T2091">
        <v>-0.1886197</v>
      </c>
      <c r="U2091">
        <v>1.2847900000000001E-2</v>
      </c>
      <c r="V2091">
        <v>0.25567499999999999</v>
      </c>
      <c r="W2091">
        <v>0.20673530000000001</v>
      </c>
      <c r="X2091">
        <v>0.94439969999999995</v>
      </c>
      <c r="Y2091">
        <v>0.31009579999999998</v>
      </c>
      <c r="Z2091">
        <v>2.7865500000000001E-2</v>
      </c>
      <c r="AA2091">
        <v>0.9502969</v>
      </c>
      <c r="AB2091">
        <v>22</v>
      </c>
      <c r="AC2091">
        <v>-17.9588</v>
      </c>
      <c r="AD2091">
        <v>-1.1036914494406</v>
      </c>
      <c r="AE2091">
        <v>0.125</v>
      </c>
      <c r="AF2091">
        <v>5.6161771791385799</v>
      </c>
      <c r="AG2091">
        <v>-1.1036914494406</v>
      </c>
      <c r="AH2091">
        <v>16.987352334737899</v>
      </c>
      <c r="AI2091">
        <v>93.529958831880293</v>
      </c>
      <c r="AJ2091">
        <v>71.705632267117906</v>
      </c>
      <c r="AK2091">
        <v>17.925672100860499</v>
      </c>
      <c r="AL2091">
        <v>78.068899144590205</v>
      </c>
      <c r="AM2091">
        <v>74.851579807250999</v>
      </c>
      <c r="AN2091">
        <v>0.99999999162558995</v>
      </c>
    </row>
    <row r="2092" spans="1:40" x14ac:dyDescent="0.25">
      <c r="A2092" t="str">
        <f>"20190312172124966"</f>
        <v>20190312172124966</v>
      </c>
      <c r="B2092" t="str">
        <f>"1552382484963230"</f>
        <v>1552382484963230</v>
      </c>
      <c r="C2092" t="s">
        <v>40</v>
      </c>
      <c r="D2092">
        <v>3.1434850000000001</v>
      </c>
      <c r="E2092">
        <v>0.51798659999999996</v>
      </c>
      <c r="F2092" t="s">
        <v>46</v>
      </c>
      <c r="G2092">
        <v>-225.1277</v>
      </c>
      <c r="H2092" s="1">
        <v>1.191902E-6</v>
      </c>
      <c r="I2092">
        <v>284.12880000000001</v>
      </c>
      <c r="J2092">
        <v>-206.08529999999999</v>
      </c>
      <c r="K2092">
        <v>1.1037239999999999</v>
      </c>
      <c r="L2092">
        <v>284.00349999999997</v>
      </c>
      <c r="M2092">
        <v>-0.95357159999999996</v>
      </c>
      <c r="N2092">
        <v>0</v>
      </c>
      <c r="O2092">
        <v>-0.30085129999999999</v>
      </c>
      <c r="P2092">
        <v>-0.97871109999999994</v>
      </c>
      <c r="Q2092">
        <v>0.1990944</v>
      </c>
      <c r="R2092">
        <v>-4.9856119999999997E-2</v>
      </c>
      <c r="S2092">
        <v>-3.1017299999999999</v>
      </c>
      <c r="T2092">
        <v>-0.17863470000000001</v>
      </c>
      <c r="U2092">
        <v>1.5197749999999999E-2</v>
      </c>
      <c r="V2092">
        <v>0.25051040000000002</v>
      </c>
      <c r="W2092">
        <v>0.20788519999999999</v>
      </c>
      <c r="X2092">
        <v>0.94553069999999895</v>
      </c>
      <c r="Y2092">
        <v>0.30455710000000003</v>
      </c>
      <c r="Z2092">
        <v>2.58742E-2</v>
      </c>
      <c r="AA2092">
        <v>0.95214259999999995</v>
      </c>
      <c r="AB2092">
        <v>22</v>
      </c>
      <c r="AC2092">
        <v>-19.042400000000001</v>
      </c>
      <c r="AD2092">
        <v>-1.1037228080979999</v>
      </c>
      <c r="AE2092">
        <v>0.12530000000003799</v>
      </c>
      <c r="AF2092">
        <v>5.8293850521392701</v>
      </c>
      <c r="AG2092">
        <v>-1.1037228080979999</v>
      </c>
      <c r="AH2092">
        <v>18.061638411924601</v>
      </c>
      <c r="AI2092">
        <v>93.328274975407794</v>
      </c>
      <c r="AJ2092">
        <v>72.112540191104998</v>
      </c>
      <c r="AK2092">
        <v>19.0111208571807</v>
      </c>
      <c r="AL2092">
        <v>78.001551847494696</v>
      </c>
      <c r="AM2092">
        <v>75.160900436034794</v>
      </c>
      <c r="AN2092">
        <v>1.0000000107648399</v>
      </c>
    </row>
    <row r="2093" spans="1:40" x14ac:dyDescent="0.25">
      <c r="A2093" t="str">
        <f>"20190312172124978"</f>
        <v>20190312172124978</v>
      </c>
      <c r="B2093" t="str">
        <f>"1552382484972990"</f>
        <v>1552382484972990</v>
      </c>
      <c r="C2093" t="s">
        <v>40</v>
      </c>
      <c r="D2093">
        <v>3.149635</v>
      </c>
      <c r="E2093">
        <v>0.51794059999999997</v>
      </c>
      <c r="F2093" t="s">
        <v>46</v>
      </c>
      <c r="G2093">
        <v>-225.59520000000001</v>
      </c>
      <c r="H2093" s="1">
        <v>1.440692E-6</v>
      </c>
      <c r="I2093">
        <v>284.12290000000002</v>
      </c>
      <c r="J2093">
        <v>-206.20580000000001</v>
      </c>
      <c r="K2093">
        <v>1.1037600000000001</v>
      </c>
      <c r="L2093">
        <v>283.97300000000001</v>
      </c>
      <c r="M2093">
        <v>-0.9555458</v>
      </c>
      <c r="N2093">
        <v>0</v>
      </c>
      <c r="O2093">
        <v>-0.29452209999999901</v>
      </c>
      <c r="P2093">
        <v>-0.97870670000000004</v>
      </c>
      <c r="Q2093">
        <v>0.19932330000000001</v>
      </c>
      <c r="R2093">
        <v>-4.902815E-2</v>
      </c>
      <c r="S2093">
        <v>-3.1019130000000001</v>
      </c>
      <c r="T2093">
        <v>-0.1754829</v>
      </c>
      <c r="U2093">
        <v>1.8981930000000001E-2</v>
      </c>
      <c r="V2093">
        <v>0.2449955</v>
      </c>
      <c r="W2093">
        <v>0.2082359</v>
      </c>
      <c r="X2093">
        <v>0.94689760000000001</v>
      </c>
      <c r="Y2093">
        <v>0.29945280000000002</v>
      </c>
      <c r="Z2093">
        <v>2.4928240000000001E-2</v>
      </c>
      <c r="AA2093">
        <v>0.95378540000000001</v>
      </c>
      <c r="AB2093">
        <v>22</v>
      </c>
      <c r="AC2093">
        <v>-19.389399999999899</v>
      </c>
      <c r="AD2093">
        <v>-1.1037585593079999</v>
      </c>
      <c r="AE2093">
        <v>0.149900000000002</v>
      </c>
      <c r="AF2093">
        <v>5.8354871726911997</v>
      </c>
      <c r="AG2093">
        <v>-1.1037585593079999</v>
      </c>
      <c r="AH2093">
        <v>18.425352587766401</v>
      </c>
      <c r="AI2093">
        <v>93.268533157667093</v>
      </c>
      <c r="AJ2093">
        <v>72.426502363507694</v>
      </c>
      <c r="AK2093">
        <v>19.358843237223599</v>
      </c>
      <c r="AL2093">
        <v>77.981008822674994</v>
      </c>
      <c r="AM2093">
        <v>75.493697367653695</v>
      </c>
      <c r="AN2093">
        <v>1.0000000249773999</v>
      </c>
    </row>
    <row r="2094" spans="1:40" x14ac:dyDescent="0.25">
      <c r="A2094" t="str">
        <f>"20190312172124999"</f>
        <v>20190312172124999</v>
      </c>
      <c r="B2094" t="str">
        <f>"1552382484992510"</f>
        <v>1552382484992510</v>
      </c>
      <c r="C2094" t="s">
        <v>40</v>
      </c>
      <c r="D2094">
        <v>3.1344289999999999</v>
      </c>
      <c r="E2094">
        <v>0.51792799999999894</v>
      </c>
      <c r="F2094" t="s">
        <v>46</v>
      </c>
      <c r="G2094">
        <v>-225.76769999999999</v>
      </c>
      <c r="H2094" s="1">
        <v>1.5325069999999999E-6</v>
      </c>
      <c r="I2094">
        <v>284.11430000000001</v>
      </c>
      <c r="J2094">
        <v>-206.3981</v>
      </c>
      <c r="K2094">
        <v>1.103831</v>
      </c>
      <c r="L2094">
        <v>283.92630000000003</v>
      </c>
      <c r="M2094">
        <v>-0.95857809999999999</v>
      </c>
      <c r="N2094">
        <v>0</v>
      </c>
      <c r="O2094">
        <v>-0.2844991</v>
      </c>
      <c r="P2094">
        <v>-0.97881079999999998</v>
      </c>
      <c r="Q2094">
        <v>0.1984572</v>
      </c>
      <c r="R2094">
        <v>-5.0441949999999999E-2</v>
      </c>
      <c r="S2094">
        <v>-3.1020509999999999</v>
      </c>
      <c r="T2094">
        <v>-0.17502960000000001</v>
      </c>
      <c r="U2094">
        <v>2.23999E-2</v>
      </c>
      <c r="V2094">
        <v>0.23366419999999999</v>
      </c>
      <c r="W2094">
        <v>0.20762259999999999</v>
      </c>
      <c r="X2094">
        <v>0.9498915</v>
      </c>
      <c r="Y2094">
        <v>0.2905353</v>
      </c>
      <c r="Z2094">
        <v>2.4065739999999999E-2</v>
      </c>
      <c r="AA2094">
        <v>0.95656160000000001</v>
      </c>
      <c r="AB2094">
        <v>22</v>
      </c>
      <c r="AC2094">
        <v>-19.369599999999899</v>
      </c>
      <c r="AD2094">
        <v>-1.103829467493</v>
      </c>
      <c r="AE2094">
        <v>0.18799999999998801</v>
      </c>
      <c r="AF2094">
        <v>5.6729605090850299</v>
      </c>
      <c r="AG2094">
        <v>-1.103829467493</v>
      </c>
      <c r="AH2094">
        <v>18.455600964145901</v>
      </c>
      <c r="AI2094">
        <v>93.272043152125903</v>
      </c>
      <c r="AJ2094">
        <v>72.913397875404002</v>
      </c>
      <c r="AK2094">
        <v>19.3393414411848</v>
      </c>
      <c r="AL2094">
        <v>78.0169329767904</v>
      </c>
      <c r="AM2094">
        <v>76.180178560441604</v>
      </c>
      <c r="AN2094">
        <v>0.99999998208232399</v>
      </c>
    </row>
    <row r="2095" spans="1:40" x14ac:dyDescent="0.25">
      <c r="A2095" t="str">
        <f>"20190312172125012"</f>
        <v>20190312172125012</v>
      </c>
      <c r="B2095" t="str">
        <f>"1552382485003246"</f>
        <v>1552382485003246</v>
      </c>
      <c r="C2095" t="s">
        <v>40</v>
      </c>
      <c r="D2095">
        <v>3.1457989999999998</v>
      </c>
      <c r="E2095">
        <v>0.5179473</v>
      </c>
      <c r="F2095" t="s">
        <v>46</v>
      </c>
      <c r="G2095">
        <v>-225.4682</v>
      </c>
      <c r="H2095" s="1">
        <v>1.3730959999999999E-6</v>
      </c>
      <c r="I2095">
        <v>284.04500000000002</v>
      </c>
      <c r="J2095">
        <v>-206.5282</v>
      </c>
      <c r="K2095">
        <v>1.10389</v>
      </c>
      <c r="L2095">
        <v>283.89600000000002</v>
      </c>
      <c r="M2095">
        <v>-0.96054580000000001</v>
      </c>
      <c r="N2095">
        <v>0</v>
      </c>
      <c r="O2095">
        <v>-0.27778429999999998</v>
      </c>
      <c r="P2095">
        <v>-0.97895549999999998</v>
      </c>
      <c r="Q2095">
        <v>0.1979059</v>
      </c>
      <c r="R2095">
        <v>-4.9795550000000001E-2</v>
      </c>
      <c r="S2095">
        <v>-3.1023559999999999</v>
      </c>
      <c r="T2095">
        <v>-0.17957279999999901</v>
      </c>
      <c r="U2095">
        <v>1.9317629999999999E-2</v>
      </c>
      <c r="V2095">
        <v>0.2276135</v>
      </c>
      <c r="W2095">
        <v>0.20721249999999999</v>
      </c>
      <c r="X2095">
        <v>0.95144890000000004</v>
      </c>
      <c r="Y2095">
        <v>0.28285700000000003</v>
      </c>
      <c r="Z2095">
        <v>2.4088209999999999E-2</v>
      </c>
      <c r="AA2095">
        <v>0.95885960000000003</v>
      </c>
      <c r="AB2095">
        <v>22</v>
      </c>
      <c r="AC2095">
        <v>-18.940000000000001</v>
      </c>
      <c r="AD2095">
        <v>-1.103888626904</v>
      </c>
      <c r="AE2095">
        <v>0.149000000000057</v>
      </c>
      <c r="AF2095">
        <v>5.3865662744506899</v>
      </c>
      <c r="AG2095">
        <v>-1.103888626904</v>
      </c>
      <c r="AH2095">
        <v>18.091598218663499</v>
      </c>
      <c r="AI2095">
        <v>93.346823612229002</v>
      </c>
      <c r="AJ2095">
        <v>73.419702446772305</v>
      </c>
      <c r="AK2095">
        <v>18.9087173662098</v>
      </c>
      <c r="AL2095">
        <v>78.040952159696403</v>
      </c>
      <c r="AM2095">
        <v>76.546081264669695</v>
      </c>
      <c r="AN2095">
        <v>0.99999996742485397</v>
      </c>
    </row>
    <row r="2096" spans="1:40" x14ac:dyDescent="0.25">
      <c r="A2096" t="str">
        <f>"20190312172125032"</f>
        <v>20190312172125032</v>
      </c>
      <c r="B2096" t="str">
        <f>"1552382485022765"</f>
        <v>1552382485022765</v>
      </c>
      <c r="C2096" t="s">
        <v>40</v>
      </c>
      <c r="D2096">
        <v>3.1399149999999998</v>
      </c>
      <c r="E2096">
        <v>0.5178682</v>
      </c>
      <c r="F2096" t="s">
        <v>46</v>
      </c>
      <c r="G2096">
        <v>-225.30760000000001</v>
      </c>
      <c r="H2096" s="1">
        <v>1.2876420000000001E-6</v>
      </c>
      <c r="I2096">
        <v>284.0301</v>
      </c>
      <c r="J2096">
        <v>-206.7268</v>
      </c>
      <c r="K2096">
        <v>1.103996</v>
      </c>
      <c r="L2096">
        <v>283.85120000000001</v>
      </c>
      <c r="M2096">
        <v>-0.96342269999999997</v>
      </c>
      <c r="N2096">
        <v>0</v>
      </c>
      <c r="O2096">
        <v>-0.26763720000000002</v>
      </c>
      <c r="P2096">
        <v>-0.97914599999999996</v>
      </c>
      <c r="Q2096">
        <v>0.19653509999999999</v>
      </c>
      <c r="R2096">
        <v>-5.1448439999999998E-2</v>
      </c>
      <c r="S2096">
        <v>-3.1024929999999999</v>
      </c>
      <c r="T2096">
        <v>-0.18237110000000001</v>
      </c>
      <c r="U2096">
        <v>2.215576E-2</v>
      </c>
      <c r="V2096">
        <v>0.21591769999999999</v>
      </c>
      <c r="W2096">
        <v>0.2061064</v>
      </c>
      <c r="X2096">
        <v>0.95441069999999995</v>
      </c>
      <c r="Y2096">
        <v>0.27360980000000001</v>
      </c>
      <c r="Z2096">
        <v>2.3612190000000002E-2</v>
      </c>
      <c r="AA2096">
        <v>0.96155089999999999</v>
      </c>
      <c r="AB2096">
        <v>22</v>
      </c>
      <c r="AC2096">
        <v>-18.5808</v>
      </c>
      <c r="AD2096">
        <v>-1.1039947123580001</v>
      </c>
      <c r="AE2096">
        <v>0.17889999999999801</v>
      </c>
      <c r="AF2096">
        <v>5.1276506364210102</v>
      </c>
      <c r="AG2096">
        <v>-1.1039947123580001</v>
      </c>
      <c r="AH2096">
        <v>17.792149125885501</v>
      </c>
      <c r="AI2096">
        <v>93.4120986752242</v>
      </c>
      <c r="AJ2096">
        <v>73.923157520632699</v>
      </c>
      <c r="AK2096">
        <v>18.549182620585999</v>
      </c>
      <c r="AL2096">
        <v>78.105726198591697</v>
      </c>
      <c r="AM2096">
        <v>77.252478129339806</v>
      </c>
      <c r="AN2096">
        <v>1.0000000427843601</v>
      </c>
    </row>
    <row r="2097" spans="1:40" x14ac:dyDescent="0.25">
      <c r="A2097" t="str">
        <f>"20190312172125045"</f>
        <v>20190312172125045</v>
      </c>
      <c r="B2097" t="str">
        <f>"1552382485043262"</f>
        <v>1552382485043262</v>
      </c>
      <c r="C2097" t="s">
        <v>40</v>
      </c>
      <c r="D2097">
        <v>3.1355930000000001</v>
      </c>
      <c r="E2097">
        <v>0.51793690000000003</v>
      </c>
      <c r="F2097" t="s">
        <v>46</v>
      </c>
      <c r="G2097">
        <v>-224.98439999999999</v>
      </c>
      <c r="H2097" s="1">
        <v>1.1156510000000001E-6</v>
      </c>
      <c r="I2097">
        <v>283.95760000000001</v>
      </c>
      <c r="J2097">
        <v>-206.8485</v>
      </c>
      <c r="K2097">
        <v>1.1040669999999999</v>
      </c>
      <c r="L2097">
        <v>283.82479999999998</v>
      </c>
      <c r="M2097">
        <v>-0.96511089999999999</v>
      </c>
      <c r="N2097">
        <v>0</v>
      </c>
      <c r="O2097">
        <v>-0.26148490000000002</v>
      </c>
      <c r="P2097">
        <v>-0.97929560000000004</v>
      </c>
      <c r="Q2097">
        <v>0.19599249999999999</v>
      </c>
      <c r="R2097">
        <v>-5.0671109999999998E-2</v>
      </c>
      <c r="S2097">
        <v>-3.1024929999999999</v>
      </c>
      <c r="T2097">
        <v>-0.18760060000000001</v>
      </c>
      <c r="U2097">
        <v>1.8066410000000001E-2</v>
      </c>
      <c r="V2097">
        <v>0.21054890000000001</v>
      </c>
      <c r="W2097">
        <v>0.20568639999999999</v>
      </c>
      <c r="X2097">
        <v>0.95569990000000005</v>
      </c>
      <c r="Y2097">
        <v>0.26616970000000001</v>
      </c>
      <c r="Z2097">
        <v>2.3701239999999998E-2</v>
      </c>
      <c r="AA2097">
        <v>0.96363480000000001</v>
      </c>
      <c r="AB2097">
        <v>22</v>
      </c>
      <c r="AC2097">
        <v>-18.1358999999999</v>
      </c>
      <c r="AD2097">
        <v>-1.1040658843490001</v>
      </c>
      <c r="AE2097">
        <v>0.132800000000031</v>
      </c>
      <c r="AF2097">
        <v>4.8529010452262797</v>
      </c>
      <c r="AG2097">
        <v>-1.1040658843490001</v>
      </c>
      <c r="AH2097">
        <v>17.405557111832302</v>
      </c>
      <c r="AI2097">
        <v>93.496501641345702</v>
      </c>
      <c r="AJ2097">
        <v>74.420822049563597</v>
      </c>
      <c r="AK2097">
        <v>18.103122062368101</v>
      </c>
      <c r="AL2097">
        <v>78.130317004771797</v>
      </c>
      <c r="AM2097">
        <v>77.575717762991303</v>
      </c>
      <c r="AN2097">
        <v>1.00000001664808</v>
      </c>
    </row>
    <row r="2098" spans="1:40" x14ac:dyDescent="0.25">
      <c r="A2098" t="str">
        <f>"20190312172125057"</f>
        <v>20190312172125057</v>
      </c>
      <c r="B2098" t="str">
        <f>"1552382485053022"</f>
        <v>1552382485053022</v>
      </c>
      <c r="C2098" t="s">
        <v>40</v>
      </c>
      <c r="D2098">
        <v>3.1526179999999999</v>
      </c>
      <c r="E2098">
        <v>0.51795939999999996</v>
      </c>
      <c r="F2098" t="s">
        <v>46</v>
      </c>
      <c r="G2098">
        <v>-224.84270000000001</v>
      </c>
      <c r="H2098" s="1">
        <v>1.0402720000000001E-6</v>
      </c>
      <c r="I2098">
        <v>283.95429999999999</v>
      </c>
      <c r="J2098">
        <v>-206.9743</v>
      </c>
      <c r="K2098">
        <v>1.1041449999999999</v>
      </c>
      <c r="L2098">
        <v>283.79809999999998</v>
      </c>
      <c r="M2098">
        <v>-0.96679729999999997</v>
      </c>
      <c r="N2098">
        <v>0</v>
      </c>
      <c r="O2098">
        <v>-0.25518049999999998</v>
      </c>
      <c r="P2098">
        <v>-0.9796089</v>
      </c>
      <c r="Q2098">
        <v>0.1947478</v>
      </c>
      <c r="R2098">
        <v>-4.9396599999999999E-2</v>
      </c>
      <c r="S2098">
        <v>-3.1027070000000001</v>
      </c>
      <c r="T2098">
        <v>-0.1903715</v>
      </c>
      <c r="U2098">
        <v>2.233887E-2</v>
      </c>
      <c r="V2098">
        <v>0.2055389</v>
      </c>
      <c r="W2098">
        <v>0.2045584</v>
      </c>
      <c r="X2098">
        <v>0.95703170000000004</v>
      </c>
      <c r="Y2098">
        <v>0.26119550000000002</v>
      </c>
      <c r="Z2098">
        <v>2.3520739999999998E-2</v>
      </c>
      <c r="AA2098">
        <v>0.9649993</v>
      </c>
      <c r="AB2098">
        <v>22</v>
      </c>
      <c r="AC2098">
        <v>-17.868400000000001</v>
      </c>
      <c r="AD2098">
        <v>-1.1041439597280001</v>
      </c>
      <c r="AE2098">
        <v>0.156200000000012</v>
      </c>
      <c r="AF2098">
        <v>4.6931997981142404</v>
      </c>
      <c r="AG2098">
        <v>-1.1041439597280001</v>
      </c>
      <c r="AH2098">
        <v>17.171302176816798</v>
      </c>
      <c r="AI2098">
        <v>93.5493192657827</v>
      </c>
      <c r="AJ2098">
        <v>74.713464293814894</v>
      </c>
      <c r="AK2098">
        <v>17.8353266489957</v>
      </c>
      <c r="AL2098">
        <v>78.196350886541097</v>
      </c>
      <c r="AM2098">
        <v>77.878876350836094</v>
      </c>
      <c r="AN2098">
        <v>1.0000000266143201</v>
      </c>
    </row>
    <row r="2099" spans="1:40" x14ac:dyDescent="0.25">
      <c r="A2099" t="str">
        <f>"20190312172125076"</f>
        <v>20190312172125076</v>
      </c>
      <c r="B2099" t="str">
        <f>"1552382485072542"</f>
        <v>1552382485072542</v>
      </c>
      <c r="C2099" t="s">
        <v>40</v>
      </c>
      <c r="D2099">
        <v>3.1634880000000001</v>
      </c>
      <c r="E2099">
        <v>0.51799459999999997</v>
      </c>
      <c r="F2099" t="s">
        <v>46</v>
      </c>
      <c r="G2099">
        <v>-224.59350000000001</v>
      </c>
      <c r="H2099" s="1">
        <v>9.0764440000000002E-7</v>
      </c>
      <c r="I2099">
        <v>283.95760000000001</v>
      </c>
      <c r="J2099">
        <v>-207.1499</v>
      </c>
      <c r="K2099">
        <v>1.10426</v>
      </c>
      <c r="L2099">
        <v>283.76240000000001</v>
      </c>
      <c r="M2099">
        <v>-0.96904259999999998</v>
      </c>
      <c r="N2099">
        <v>0</v>
      </c>
      <c r="O2099">
        <v>-0.24651890000000001</v>
      </c>
      <c r="P2099">
        <v>-0.98015140000000001</v>
      </c>
      <c r="Q2099">
        <v>0.19189110000000001</v>
      </c>
      <c r="R2099">
        <v>-4.9814030000000002E-2</v>
      </c>
      <c r="S2099">
        <v>-3.1025390000000002</v>
      </c>
      <c r="T2099">
        <v>-0.19442709999999999</v>
      </c>
      <c r="U2099">
        <v>2.8076170000000001E-2</v>
      </c>
      <c r="V2099">
        <v>0.19656390000000001</v>
      </c>
      <c r="W2099">
        <v>0.20190140000000001</v>
      </c>
      <c r="X2099">
        <v>0.95947830000000001</v>
      </c>
      <c r="Y2099">
        <v>0.25432589999999999</v>
      </c>
      <c r="Z2099">
        <v>2.3278770000000001E-2</v>
      </c>
      <c r="AA2099">
        <v>0.96683839999999999</v>
      </c>
      <c r="AB2099">
        <v>22</v>
      </c>
      <c r="AC2099">
        <v>-17.4436</v>
      </c>
      <c r="AD2099">
        <v>-1.1042590923555999</v>
      </c>
      <c r="AE2099">
        <v>0.19519999999999901</v>
      </c>
      <c r="AF2099">
        <v>4.4718307705812403</v>
      </c>
      <c r="AG2099">
        <v>-1.1042590923555999</v>
      </c>
      <c r="AH2099">
        <v>16.789753347826</v>
      </c>
      <c r="AI2099">
        <v>93.636497782954706</v>
      </c>
      <c r="AJ2099">
        <v>75.085905748159703</v>
      </c>
      <c r="AK2099">
        <v>17.410125676301099</v>
      </c>
      <c r="AL2099">
        <v>78.351831091442094</v>
      </c>
      <c r="AM2099">
        <v>78.422275284456504</v>
      </c>
      <c r="AN2099">
        <v>1.00000007513802</v>
      </c>
    </row>
    <row r="2100" spans="1:40" x14ac:dyDescent="0.25">
      <c r="A2100" t="str">
        <f>"20190312172125099"</f>
        <v>20190312172125099</v>
      </c>
      <c r="B2100" t="str">
        <f>"1552382485093038"</f>
        <v>1552382485093038</v>
      </c>
      <c r="C2100" t="s">
        <v>40</v>
      </c>
      <c r="D2100">
        <v>3.1589849999999999</v>
      </c>
      <c r="E2100">
        <v>0.51809850000000002</v>
      </c>
      <c r="F2100" t="s">
        <v>46</v>
      </c>
      <c r="G2100">
        <v>-223.91480000000001</v>
      </c>
      <c r="H2100" s="1">
        <v>5.4645169999999905E-7</v>
      </c>
      <c r="I2100">
        <v>283.91820000000001</v>
      </c>
      <c r="J2100">
        <v>-207.37960000000001</v>
      </c>
      <c r="K2100">
        <v>1.104419</v>
      </c>
      <c r="L2100">
        <v>283.7176</v>
      </c>
      <c r="M2100">
        <v>-0.97180250000000001</v>
      </c>
      <c r="N2100">
        <v>0</v>
      </c>
      <c r="O2100">
        <v>-0.23540739999999999</v>
      </c>
      <c r="P2100">
        <v>-0.98113070000000002</v>
      </c>
      <c r="Q2100">
        <v>0.18745580000000001</v>
      </c>
      <c r="R2100">
        <v>-4.7364749999999997E-2</v>
      </c>
      <c r="S2100">
        <v>-3.1022189999999998</v>
      </c>
      <c r="T2100">
        <v>-0.20433560000000001</v>
      </c>
      <c r="U2100">
        <v>2.8839110000000001E-2</v>
      </c>
      <c r="V2100">
        <v>0.1879883</v>
      </c>
      <c r="W2100">
        <v>0.19766829999999999</v>
      </c>
      <c r="X2100">
        <v>0.9620746</v>
      </c>
      <c r="Y2100">
        <v>0.24342259999999999</v>
      </c>
      <c r="Z2100">
        <v>2.3391720000000001E-2</v>
      </c>
      <c r="AA2100">
        <v>0.96963820000000001</v>
      </c>
      <c r="AB2100">
        <v>22</v>
      </c>
      <c r="AC2100">
        <v>-16.5352</v>
      </c>
      <c r="AD2100">
        <v>-1.1044184535482999</v>
      </c>
      <c r="AE2100">
        <v>0.20060000000000799</v>
      </c>
      <c r="AF2100">
        <v>4.069673781114</v>
      </c>
      <c r="AG2100">
        <v>-1.1044184535482999</v>
      </c>
      <c r="AH2100">
        <v>15.952039992681099</v>
      </c>
      <c r="AI2100">
        <v>93.837934103413701</v>
      </c>
      <c r="AJ2100">
        <v>75.688028582425304</v>
      </c>
      <c r="AK2100">
        <v>16.4999868100954</v>
      </c>
      <c r="AL2100">
        <v>78.599358807493701</v>
      </c>
      <c r="AM2100">
        <v>78.943775662123898</v>
      </c>
      <c r="AN2100">
        <v>0.99999994686346805</v>
      </c>
    </row>
    <row r="2101" spans="1:40" x14ac:dyDescent="0.25">
      <c r="A2101" t="str">
        <f>"20190312172125122"</f>
        <v>20190312172125122</v>
      </c>
      <c r="B2101" t="str">
        <f>"1552382485113534"</f>
        <v>1552382485113534</v>
      </c>
      <c r="C2101" t="s">
        <v>40</v>
      </c>
      <c r="D2101">
        <v>3.147348</v>
      </c>
      <c r="E2101">
        <v>0.5181732</v>
      </c>
      <c r="F2101" t="s">
        <v>46</v>
      </c>
      <c r="G2101">
        <v>-222.95849999999999</v>
      </c>
      <c r="H2101" s="1">
        <v>3.7603479999999997E-8</v>
      </c>
      <c r="I2101">
        <v>283.90120000000002</v>
      </c>
      <c r="J2101">
        <v>-207.59370000000001</v>
      </c>
      <c r="K2101">
        <v>1.104584</v>
      </c>
      <c r="L2101">
        <v>283.6782</v>
      </c>
      <c r="M2101">
        <v>-0.97418369999999999</v>
      </c>
      <c r="N2101">
        <v>0</v>
      </c>
      <c r="O2101">
        <v>-0.22535250000000001</v>
      </c>
      <c r="P2101">
        <v>-0.98194859999999995</v>
      </c>
      <c r="Q2101">
        <v>0.18345500000000001</v>
      </c>
      <c r="R2101">
        <v>-4.6056359999999998E-2</v>
      </c>
      <c r="S2101">
        <v>-3.1014710000000001</v>
      </c>
      <c r="T2101">
        <v>-0.2198688</v>
      </c>
      <c r="U2101">
        <v>3.6560059999999998E-2</v>
      </c>
      <c r="V2101">
        <v>0.17932049999999999</v>
      </c>
      <c r="W2101">
        <v>0.19386239999999999</v>
      </c>
      <c r="X2101">
        <v>0.96450069999999999</v>
      </c>
      <c r="Y2101">
        <v>0.23569090000000001</v>
      </c>
      <c r="Z2101">
        <v>2.4201230000000001E-2</v>
      </c>
      <c r="AA2101">
        <v>0.97152669999999997</v>
      </c>
      <c r="AB2101">
        <v>22</v>
      </c>
      <c r="AC2101">
        <v>-15.364799999999899</v>
      </c>
      <c r="AD2101">
        <v>-1.1045839623965199</v>
      </c>
      <c r="AE2101">
        <v>0.22300000000001299</v>
      </c>
      <c r="AF2101">
        <v>3.6611568443409701</v>
      </c>
      <c r="AG2101">
        <v>-1.1045839623965199</v>
      </c>
      <c r="AH2101">
        <v>14.842550694820799</v>
      </c>
      <c r="AI2101">
        <v>94.132691059918599</v>
      </c>
      <c r="AJ2101">
        <v>76.143669095498595</v>
      </c>
      <c r="AK2101">
        <v>15.3272791550612</v>
      </c>
      <c r="AL2101">
        <v>78.821724577558001</v>
      </c>
      <c r="AM2101">
        <v>79.467792085295699</v>
      </c>
      <c r="AN2101">
        <v>1.0000000360772401</v>
      </c>
    </row>
    <row r="2102" spans="1:40" x14ac:dyDescent="0.25">
      <c r="A2102" t="str">
        <f>"20190312172125134"</f>
        <v>20190312172125134</v>
      </c>
      <c r="B2102" t="str">
        <f>"1552382485123294"</f>
        <v>1552382485123294</v>
      </c>
      <c r="C2102" t="s">
        <v>40</v>
      </c>
      <c r="D2102">
        <v>3.147624</v>
      </c>
      <c r="E2102">
        <v>0.5182428</v>
      </c>
      <c r="F2102" t="s">
        <v>46</v>
      </c>
      <c r="G2102">
        <v>-222.25409999999999</v>
      </c>
      <c r="H2102" s="1">
        <v>-3.3727310000000002E-7</v>
      </c>
      <c r="I2102">
        <v>283.87079999999997</v>
      </c>
      <c r="J2102">
        <v>-207.7166</v>
      </c>
      <c r="K2102">
        <v>1.104692</v>
      </c>
      <c r="L2102">
        <v>283.65660000000003</v>
      </c>
      <c r="M2102">
        <v>-0.97547059999999997</v>
      </c>
      <c r="N2102">
        <v>0</v>
      </c>
      <c r="O2102">
        <v>-0.219717</v>
      </c>
      <c r="P2102">
        <v>-0.98216769999999998</v>
      </c>
      <c r="Q2102">
        <v>0.18259049999999999</v>
      </c>
      <c r="R2102">
        <v>-4.4802160000000001E-2</v>
      </c>
      <c r="S2102">
        <v>-3.1007229999999999</v>
      </c>
      <c r="T2102">
        <v>-0.23362269999999999</v>
      </c>
      <c r="U2102">
        <v>4.0740970000000001E-2</v>
      </c>
      <c r="V2102">
        <v>0.17493239999999999</v>
      </c>
      <c r="W2102">
        <v>0.1930933</v>
      </c>
      <c r="X2102">
        <v>0.96546030000000005</v>
      </c>
      <c r="Y2102">
        <v>0.23126369999999999</v>
      </c>
      <c r="Z2102">
        <v>2.5134940000000001E-2</v>
      </c>
      <c r="AA2102">
        <v>0.97256640000000005</v>
      </c>
      <c r="AB2102">
        <v>22</v>
      </c>
      <c r="AC2102">
        <v>-14.5374999999999</v>
      </c>
      <c r="AD2102">
        <v>-1.1046923372730999</v>
      </c>
      <c r="AE2102">
        <v>0.21419999999994799</v>
      </c>
      <c r="AF2102">
        <v>3.3838553148134398</v>
      </c>
      <c r="AG2102">
        <v>-1.1046923372730999</v>
      </c>
      <c r="AH2102">
        <v>14.053988571651701</v>
      </c>
      <c r="AI2102">
        <v>94.370024146718904</v>
      </c>
      <c r="AJ2102">
        <v>76.462264310174604</v>
      </c>
      <c r="AK2102">
        <v>14.4977728194278</v>
      </c>
      <c r="AL2102">
        <v>78.866638799734403</v>
      </c>
      <c r="AM2102">
        <v>79.729960549418394</v>
      </c>
      <c r="AN2102">
        <v>0.99999997897536896</v>
      </c>
    </row>
    <row r="2103" spans="1:40" x14ac:dyDescent="0.25">
      <c r="A2103" t="str">
        <f>"20190312172125154"</f>
        <v>20190312172125154</v>
      </c>
      <c r="B2103" t="str">
        <f>"1552382485142813"</f>
        <v>1552382485142813</v>
      </c>
      <c r="C2103" t="s">
        <v>40</v>
      </c>
      <c r="D2103">
        <v>3.181146</v>
      </c>
      <c r="E2103">
        <v>0.51837679999999997</v>
      </c>
      <c r="F2103" t="s">
        <v>46</v>
      </c>
      <c r="G2103">
        <v>-222.22989999999999</v>
      </c>
      <c r="H2103" s="1">
        <v>-3.5013820000000002E-7</v>
      </c>
      <c r="I2103">
        <v>283.86930000000001</v>
      </c>
      <c r="J2103">
        <v>-207.91079999999999</v>
      </c>
      <c r="K2103">
        <v>1.1048610000000001</v>
      </c>
      <c r="L2103">
        <v>283.6234</v>
      </c>
      <c r="M2103">
        <v>-0.97740150000000003</v>
      </c>
      <c r="N2103">
        <v>0</v>
      </c>
      <c r="O2103">
        <v>-0.21096580000000001</v>
      </c>
      <c r="P2103">
        <v>-0.98223479999999996</v>
      </c>
      <c r="Q2103">
        <v>0.18245</v>
      </c>
      <c r="R2103">
        <v>-4.3899880000000002E-2</v>
      </c>
      <c r="S2103">
        <v>-3.1004179999999999</v>
      </c>
      <c r="T2103">
        <v>-0.23599110000000001</v>
      </c>
      <c r="U2103">
        <v>4.5440670000000002E-2</v>
      </c>
      <c r="V2103">
        <v>0.16706279999999901</v>
      </c>
      <c r="W2103">
        <v>0.19310740000000001</v>
      </c>
      <c r="X2103">
        <v>0.96685030000000005</v>
      </c>
      <c r="Y2103">
        <v>0.22403480000000001</v>
      </c>
      <c r="Z2103">
        <v>2.446357E-2</v>
      </c>
      <c r="AA2103">
        <v>0.97427399999999997</v>
      </c>
      <c r="AB2103">
        <v>22</v>
      </c>
      <c r="AC2103">
        <v>-14.319099999999899</v>
      </c>
      <c r="AD2103">
        <v>-1.1048613501381901</v>
      </c>
      <c r="AE2103">
        <v>0.245900000000006</v>
      </c>
      <c r="AF2103">
        <v>3.2421793892665298</v>
      </c>
      <c r="AG2103">
        <v>-1.1048613501381901</v>
      </c>
      <c r="AH2103">
        <v>13.8623790285013</v>
      </c>
      <c r="AI2103">
        <v>94.437703012503206</v>
      </c>
      <c r="AJ2103">
        <v>76.836095859261306</v>
      </c>
      <c r="AK2103">
        <v>14.2792856307676</v>
      </c>
      <c r="AL2103">
        <v>78.865815386060603</v>
      </c>
      <c r="AM2103">
        <v>80.1966190904391</v>
      </c>
      <c r="AN2103">
        <v>0.999999974844344</v>
      </c>
    </row>
    <row r="2104" spans="1:40" x14ac:dyDescent="0.25">
      <c r="A2104" t="str">
        <f>"20190312172125167"</f>
        <v>20190312172125167</v>
      </c>
      <c r="B2104" t="str">
        <f>"1552382485163310"</f>
        <v>1552382485163310</v>
      </c>
      <c r="C2104" t="s">
        <v>40</v>
      </c>
      <c r="D2104">
        <v>3.206499</v>
      </c>
      <c r="E2104">
        <v>0.51849899999999904</v>
      </c>
      <c r="F2104" t="s">
        <v>46</v>
      </c>
      <c r="G2104">
        <v>-222.47559999999999</v>
      </c>
      <c r="H2104" s="1">
        <v>-2.1940350000000001E-7</v>
      </c>
      <c r="I2104">
        <v>283.86470000000003</v>
      </c>
      <c r="J2104">
        <v>-208.03380000000001</v>
      </c>
      <c r="K2104">
        <v>1.104967</v>
      </c>
      <c r="L2104">
        <v>283.60329999999999</v>
      </c>
      <c r="M2104">
        <v>-0.97855689999999995</v>
      </c>
      <c r="N2104">
        <v>0</v>
      </c>
      <c r="O2104">
        <v>-0.20554159999999999</v>
      </c>
      <c r="P2104">
        <v>-0.98252759999999995</v>
      </c>
      <c r="Q2104">
        <v>0.1813941</v>
      </c>
      <c r="R2104">
        <v>-4.166972E-2</v>
      </c>
      <c r="S2104">
        <v>-3.1002350000000001</v>
      </c>
      <c r="T2104">
        <v>-0.2351792</v>
      </c>
      <c r="U2104">
        <v>5.1361080000000003E-2</v>
      </c>
      <c r="V2104">
        <v>0.1638608</v>
      </c>
      <c r="W2104">
        <v>0.1921187</v>
      </c>
      <c r="X2104">
        <v>0.96759499999999998</v>
      </c>
      <c r="Y2104">
        <v>0.2205242</v>
      </c>
      <c r="Z2104">
        <v>2.3844279999999999E-2</v>
      </c>
      <c r="AA2104">
        <v>0.97509000000000001</v>
      </c>
      <c r="AB2104">
        <v>22</v>
      </c>
      <c r="AC2104">
        <v>-14.441799999999899</v>
      </c>
      <c r="AD2104">
        <v>-1.1049672194035001</v>
      </c>
      <c r="AE2104">
        <v>0.26140000000003699</v>
      </c>
      <c r="AF2104">
        <v>3.2057138765388999</v>
      </c>
      <c r="AG2104">
        <v>-1.1049672194035001</v>
      </c>
      <c r="AH2104">
        <v>13.9977383923916</v>
      </c>
      <c r="AI2104">
        <v>94.400061776508394</v>
      </c>
      <c r="AJ2104">
        <v>77.100763006438896</v>
      </c>
      <c r="AK2104">
        <v>14.4025773428239</v>
      </c>
      <c r="AL2104">
        <v>78.923545231727402</v>
      </c>
      <c r="AM2104">
        <v>80.388236105687696</v>
      </c>
      <c r="AN2104">
        <v>1.00000002034566</v>
      </c>
    </row>
    <row r="2105" spans="1:40" x14ac:dyDescent="0.25">
      <c r="A2105" t="str">
        <f>"20190312172125179"</f>
        <v>20190312172125179</v>
      </c>
      <c r="B2105" t="str">
        <f>"1552382485173070"</f>
        <v>1552382485173070</v>
      </c>
      <c r="C2105" t="s">
        <v>40</v>
      </c>
      <c r="D2105">
        <v>3.1857250000000001</v>
      </c>
      <c r="E2105">
        <v>0.51856389999999997</v>
      </c>
      <c r="F2105" t="s">
        <v>46</v>
      </c>
      <c r="G2105">
        <v>-222.4599</v>
      </c>
      <c r="H2105" s="1">
        <v>-2.277431E-7</v>
      </c>
      <c r="I2105">
        <v>283.88279999999997</v>
      </c>
      <c r="J2105">
        <v>-208.15700000000001</v>
      </c>
      <c r="K2105">
        <v>1.1050719999999901</v>
      </c>
      <c r="L2105">
        <v>283.58350000000002</v>
      </c>
      <c r="M2105">
        <v>-0.9796686</v>
      </c>
      <c r="N2105">
        <v>0</v>
      </c>
      <c r="O2105">
        <v>-0.2001773</v>
      </c>
      <c r="P2105">
        <v>-0.98288540000000002</v>
      </c>
      <c r="Q2105">
        <v>0.18070020000000001</v>
      </c>
      <c r="R2105">
        <v>-3.5832990000000002E-2</v>
      </c>
      <c r="S2105">
        <v>-3.0997309999999998</v>
      </c>
      <c r="T2105">
        <v>-0.2374243</v>
      </c>
      <c r="U2105">
        <v>6.0058590000000002E-2</v>
      </c>
      <c r="V2105">
        <v>0.164272</v>
      </c>
      <c r="W2105">
        <v>0.19143309999999999</v>
      </c>
      <c r="X2105">
        <v>0.96766110000000005</v>
      </c>
      <c r="Y2105">
        <v>0.21791769999999999</v>
      </c>
      <c r="Z2105">
        <v>2.3571870000000002E-2</v>
      </c>
      <c r="AA2105">
        <v>0.97568239999999995</v>
      </c>
      <c r="AB2105">
        <v>22</v>
      </c>
      <c r="AC2105">
        <v>-14.3028999999999</v>
      </c>
      <c r="AD2105">
        <v>-1.10507222774309</v>
      </c>
      <c r="AE2105">
        <v>0.29929999999995899</v>
      </c>
      <c r="AF2105">
        <v>3.1378892066405601</v>
      </c>
      <c r="AG2105">
        <v>-1.10507222774309</v>
      </c>
      <c r="AH2105">
        <v>13.870670427776901</v>
      </c>
      <c r="AI2105">
        <v>94.443303102086702</v>
      </c>
      <c r="AJ2105">
        <v>77.252841366270104</v>
      </c>
      <c r="AK2105">
        <v>14.2640468106946</v>
      </c>
      <c r="AL2105">
        <v>78.963569491052993</v>
      </c>
      <c r="AM2105">
        <v>80.365213392594399</v>
      </c>
      <c r="AN2105">
        <v>0.99999996310640904</v>
      </c>
    </row>
    <row r="2106" spans="1:40" x14ac:dyDescent="0.25">
      <c r="A2106" t="str">
        <f>"20190312172125191"</f>
        <v>20190312172125191</v>
      </c>
      <c r="B2106" t="str">
        <f>"1552382485182830"</f>
        <v>1552382485182830</v>
      </c>
      <c r="C2106" t="s">
        <v>40</v>
      </c>
      <c r="D2106">
        <v>3.2032929999999999</v>
      </c>
      <c r="E2106">
        <v>0.51861359999999901</v>
      </c>
      <c r="F2106" t="s">
        <v>46</v>
      </c>
      <c r="G2106">
        <v>-222.46430000000001</v>
      </c>
      <c r="H2106" s="1">
        <v>-2.254178E-7</v>
      </c>
      <c r="I2106">
        <v>283.947</v>
      </c>
      <c r="J2106">
        <v>-208.2756</v>
      </c>
      <c r="K2106">
        <v>1.105173</v>
      </c>
      <c r="L2106">
        <v>283.56540000000001</v>
      </c>
      <c r="M2106">
        <v>-0.98067800000000005</v>
      </c>
      <c r="N2106">
        <v>0</v>
      </c>
      <c r="O2106">
        <v>-0.19517470000000001</v>
      </c>
      <c r="P2106">
        <v>-0.98338499999999995</v>
      </c>
      <c r="Q2106">
        <v>0.17825729999999901</v>
      </c>
      <c r="R2106">
        <v>-3.4326250000000003E-2</v>
      </c>
      <c r="S2106">
        <v>-3.0991209999999998</v>
      </c>
      <c r="T2106">
        <v>-0.23937130000000001</v>
      </c>
      <c r="U2106">
        <v>7.8735349999999996E-2</v>
      </c>
      <c r="V2106">
        <v>0.16080899999999901</v>
      </c>
      <c r="W2106">
        <v>0.18906529999999999</v>
      </c>
      <c r="X2106">
        <v>0.96870780000000001</v>
      </c>
      <c r="Y2106">
        <v>0.2188099</v>
      </c>
      <c r="Z2106">
        <v>2.342398E-2</v>
      </c>
      <c r="AA2106">
        <v>0.97548630000000003</v>
      </c>
      <c r="AB2106">
        <v>22</v>
      </c>
      <c r="AC2106">
        <v>-14.188700000000001</v>
      </c>
      <c r="AD2106">
        <v>-1.1051732254177999</v>
      </c>
      <c r="AE2106">
        <v>0.381599999999991</v>
      </c>
      <c r="AF2106">
        <v>3.1248362645464902</v>
      </c>
      <c r="AG2106">
        <v>-1.1051732254177999</v>
      </c>
      <c r="AH2106">
        <v>13.7578866648628</v>
      </c>
      <c r="AI2106">
        <v>94.479117066149996</v>
      </c>
      <c r="AJ2106">
        <v>77.203480622306003</v>
      </c>
      <c r="AK2106">
        <v>14.151517763887201</v>
      </c>
      <c r="AL2106">
        <v>79.101758923838403</v>
      </c>
      <c r="AM2106">
        <v>80.5746448741249</v>
      </c>
      <c r="AN2106">
        <v>1.00000001196296</v>
      </c>
    </row>
    <row r="2107" spans="1:40" x14ac:dyDescent="0.25">
      <c r="A2107" t="str">
        <f>"20190312172125211"</f>
        <v>20190312172125211</v>
      </c>
      <c r="B2107" t="str">
        <f>"1552382485203325"</f>
        <v>1552382485203325</v>
      </c>
      <c r="C2107" t="s">
        <v>40</v>
      </c>
      <c r="D2107">
        <v>3.206823</v>
      </c>
      <c r="E2107">
        <v>0.51874129999999996</v>
      </c>
      <c r="F2107" t="s">
        <v>46</v>
      </c>
      <c r="G2107">
        <v>-222.1482</v>
      </c>
      <c r="H2107" s="1">
        <v>-3.9364340000000002E-7</v>
      </c>
      <c r="I2107">
        <v>283.93830000000003</v>
      </c>
      <c r="J2107">
        <v>-208.4623</v>
      </c>
      <c r="K2107">
        <v>1.1053500000000001</v>
      </c>
      <c r="L2107">
        <v>283.53750000000002</v>
      </c>
      <c r="M2107">
        <v>-0.982182</v>
      </c>
      <c r="N2107">
        <v>0</v>
      </c>
      <c r="O2107">
        <v>-0.18746260000000001</v>
      </c>
      <c r="P2107">
        <v>-0.98388799999999998</v>
      </c>
      <c r="Q2107">
        <v>0.17542070000000001</v>
      </c>
      <c r="R2107">
        <v>-3.4529539999999997E-2</v>
      </c>
      <c r="S2107">
        <v>-3.098328</v>
      </c>
      <c r="T2107">
        <v>-0.2468312</v>
      </c>
      <c r="U2107">
        <v>8.3282469999999997E-2</v>
      </c>
      <c r="V2107">
        <v>0.15294440000000001</v>
      </c>
      <c r="W2107">
        <v>0.1863774</v>
      </c>
      <c r="X2107">
        <v>0.97050060000000005</v>
      </c>
      <c r="Y2107">
        <v>0.21254239999999999</v>
      </c>
      <c r="Z2107">
        <v>2.3303279999999999E-2</v>
      </c>
      <c r="AA2107">
        <v>0.97687389999999996</v>
      </c>
      <c r="AB2107">
        <v>22</v>
      </c>
      <c r="AC2107">
        <v>-13.6859</v>
      </c>
      <c r="AD2107">
        <v>-1.1053503936433999</v>
      </c>
      <c r="AE2107">
        <v>0.40080000000000299</v>
      </c>
      <c r="AF2107">
        <v>2.9403500986804598</v>
      </c>
      <c r="AG2107">
        <v>-1.1053503936433999</v>
      </c>
      <c r="AH2107">
        <v>13.281525705643199</v>
      </c>
      <c r="AI2107">
        <v>94.645487484942194</v>
      </c>
      <c r="AJ2107">
        <v>77.516831991695199</v>
      </c>
      <c r="AK2107">
        <v>13.6479442871517</v>
      </c>
      <c r="AL2107">
        <v>79.258551252534602</v>
      </c>
      <c r="AM2107">
        <v>81.044224670189493</v>
      </c>
      <c r="AN2107">
        <v>0.99999996966123905</v>
      </c>
    </row>
    <row r="2108" spans="1:40" x14ac:dyDescent="0.25">
      <c r="A2108" t="str">
        <f>"20190312172125223"</f>
        <v>20190312172125223</v>
      </c>
      <c r="B2108" t="str">
        <f>"1552382485213087"</f>
        <v>1552382485213087</v>
      </c>
      <c r="C2108" t="s">
        <v>40</v>
      </c>
      <c r="D2108">
        <v>3.1716609999999998</v>
      </c>
      <c r="E2108">
        <v>0.51879589999999998</v>
      </c>
      <c r="F2108" t="s">
        <v>46</v>
      </c>
      <c r="G2108">
        <v>-221.89250000000001</v>
      </c>
      <c r="H2108" s="1">
        <v>-5.2971569999999997E-7</v>
      </c>
      <c r="I2108">
        <v>283.89699999999999</v>
      </c>
      <c r="J2108">
        <v>-208.58500000000001</v>
      </c>
      <c r="K2108">
        <v>1.1054839999999999</v>
      </c>
      <c r="L2108">
        <v>283.51979999999998</v>
      </c>
      <c r="M2108">
        <v>-0.98311159999999997</v>
      </c>
      <c r="N2108">
        <v>0</v>
      </c>
      <c r="O2108">
        <v>-0.18252699999999999</v>
      </c>
      <c r="P2108">
        <v>-0.98393419999999998</v>
      </c>
      <c r="Q2108">
        <v>0.17533570000000001</v>
      </c>
      <c r="R2108">
        <v>-3.3631210000000002E-2</v>
      </c>
      <c r="S2108">
        <v>-3.0974729999999999</v>
      </c>
      <c r="T2108">
        <v>-0.25493339999999998</v>
      </c>
      <c r="U2108">
        <v>8.2916260000000006E-2</v>
      </c>
      <c r="V2108">
        <v>0.14888670000000001</v>
      </c>
      <c r="W2108">
        <v>0.18636800000000001</v>
      </c>
      <c r="X2108">
        <v>0.97113320000000003</v>
      </c>
      <c r="Y2108">
        <v>0.2074733</v>
      </c>
      <c r="Z2108">
        <v>2.346343E-2</v>
      </c>
      <c r="AA2108">
        <v>0.97795929999999998</v>
      </c>
      <c r="AB2108">
        <v>22</v>
      </c>
      <c r="AC2108">
        <v>-13.307499999999999</v>
      </c>
      <c r="AD2108">
        <v>-1.1054845297157001</v>
      </c>
      <c r="AE2108">
        <v>0.37720000000001602</v>
      </c>
      <c r="AF2108">
        <v>2.7808779814719502</v>
      </c>
      <c r="AG2108">
        <v>-1.1054845297157001</v>
      </c>
      <c r="AH2108">
        <v>12.925920159590399</v>
      </c>
      <c r="AI2108">
        <v>94.7794710633177</v>
      </c>
      <c r="AJ2108">
        <v>77.858472034753206</v>
      </c>
      <c r="AK2108">
        <v>13.267810307861</v>
      </c>
      <c r="AL2108">
        <v>79.259099620593702</v>
      </c>
      <c r="AM2108">
        <v>81.283718430999599</v>
      </c>
      <c r="AN2108">
        <v>0.99999998650156496</v>
      </c>
    </row>
    <row r="2109" spans="1:40" x14ac:dyDescent="0.25">
      <c r="A2109" t="str">
        <f>"20190312172125235"</f>
        <v>20190312172125235</v>
      </c>
      <c r="B2109" t="str">
        <f>"1552382485232606"</f>
        <v>1552382485232606</v>
      </c>
      <c r="C2109" t="s">
        <v>40</v>
      </c>
      <c r="D2109">
        <v>3.167373</v>
      </c>
      <c r="E2109">
        <v>0.51896679999999995</v>
      </c>
      <c r="F2109" t="s">
        <v>46</v>
      </c>
      <c r="G2109">
        <v>-222.01939999999999</v>
      </c>
      <c r="H2109" s="1">
        <v>-4.6214269999999998E-7</v>
      </c>
      <c r="I2109">
        <v>283.892</v>
      </c>
      <c r="J2109">
        <v>-208.70500000000001</v>
      </c>
      <c r="K2109">
        <v>1.10562</v>
      </c>
      <c r="L2109">
        <v>283.50299999999999</v>
      </c>
      <c r="M2109">
        <v>-0.9839734</v>
      </c>
      <c r="N2109">
        <v>0</v>
      </c>
      <c r="O2109">
        <v>-0.17782609999999999</v>
      </c>
      <c r="P2109">
        <v>-0.98410580000000003</v>
      </c>
      <c r="Q2109">
        <v>0.17463229999999999</v>
      </c>
      <c r="R2109">
        <v>-3.2245030000000001E-2</v>
      </c>
      <c r="S2109">
        <v>-3.0973510000000002</v>
      </c>
      <c r="T2109">
        <v>-0.25487199999999999</v>
      </c>
      <c r="U2109">
        <v>8.5815429999999998E-2</v>
      </c>
      <c r="V2109">
        <v>0.1455572</v>
      </c>
      <c r="W2109">
        <v>0.18572849999999999</v>
      </c>
      <c r="X2109">
        <v>0.97176030000000002</v>
      </c>
      <c r="Y2109">
        <v>0.2037418</v>
      </c>
      <c r="Z2109">
        <v>2.2923720000000002E-2</v>
      </c>
      <c r="AA2109">
        <v>0.97875619999999997</v>
      </c>
      <c r="AB2109">
        <v>22</v>
      </c>
      <c r="AC2109">
        <v>-13.3143999999999</v>
      </c>
      <c r="AD2109">
        <v>-1.1056204621426999</v>
      </c>
      <c r="AE2109">
        <v>0.38900000000001</v>
      </c>
      <c r="AF2109">
        <v>2.7318316898699799</v>
      </c>
      <c r="AG2109">
        <v>-1.1056204621426999</v>
      </c>
      <c r="AH2109">
        <v>12.943797988867001</v>
      </c>
      <c r="AI2109">
        <v>94.777443743025003</v>
      </c>
      <c r="AJ2109">
        <v>78.082430768082105</v>
      </c>
      <c r="AK2109">
        <v>13.2750595992893</v>
      </c>
      <c r="AL2109">
        <v>79.296391807085797</v>
      </c>
      <c r="AM2109">
        <v>81.481162146030101</v>
      </c>
      <c r="AN2109">
        <v>1.00000002742008</v>
      </c>
    </row>
    <row r="2110" spans="1:40" x14ac:dyDescent="0.25">
      <c r="A2110" t="str">
        <f>"20190312172125255"</f>
        <v>20190312172125255</v>
      </c>
      <c r="B2110" t="str">
        <f>"1552382485243345"</f>
        <v>1552382485243345</v>
      </c>
      <c r="C2110" t="s">
        <v>40</v>
      </c>
      <c r="D2110">
        <v>3.1916410000000002</v>
      </c>
      <c r="E2110">
        <v>0.51902320000000002</v>
      </c>
      <c r="F2110" t="s">
        <v>46</v>
      </c>
      <c r="G2110">
        <v>-222.09569999999999</v>
      </c>
      <c r="H2110" s="1">
        <v>-4.2157570000000001E-7</v>
      </c>
      <c r="I2110">
        <v>283.90249999999997</v>
      </c>
      <c r="J2110">
        <v>-208.88630000000001</v>
      </c>
      <c r="K2110">
        <v>1.105829</v>
      </c>
      <c r="L2110">
        <v>283.47859999999997</v>
      </c>
      <c r="M2110">
        <v>-0.98519559999999995</v>
      </c>
      <c r="N2110">
        <v>0</v>
      </c>
      <c r="O2110">
        <v>-0.17092769999999999</v>
      </c>
      <c r="P2110">
        <v>-0.98425779999999996</v>
      </c>
      <c r="Q2110">
        <v>0.174016</v>
      </c>
      <c r="R2110">
        <v>-3.0908519999999998E-2</v>
      </c>
      <c r="S2110">
        <v>-3.096848</v>
      </c>
      <c r="T2110">
        <v>-0.2556947</v>
      </c>
      <c r="U2110">
        <v>9.2376710000000001E-2</v>
      </c>
      <c r="V2110">
        <v>0.13997100000000001</v>
      </c>
      <c r="W2110">
        <v>0.18521299999999999</v>
      </c>
      <c r="X2110">
        <v>0.97267890000000001</v>
      </c>
      <c r="Y2110">
        <v>0.19898869999999999</v>
      </c>
      <c r="Z2110">
        <v>2.224274E-2</v>
      </c>
      <c r="AA2110">
        <v>0.97974930000000005</v>
      </c>
      <c r="AB2110">
        <v>22</v>
      </c>
      <c r="AC2110">
        <v>-13.209399999999899</v>
      </c>
      <c r="AD2110">
        <v>-1.1058294215756901</v>
      </c>
      <c r="AE2110">
        <v>0.423900000000003</v>
      </c>
      <c r="AF2110">
        <v>2.6571061747162199</v>
      </c>
      <c r="AG2110">
        <v>-1.1058294215756901</v>
      </c>
      <c r="AH2110">
        <v>12.8525271886447</v>
      </c>
      <c r="AI2110">
        <v>94.816255286382997</v>
      </c>
      <c r="AJ2110">
        <v>78.319340791960101</v>
      </c>
      <c r="AK2110">
        <v>13.1708210476109</v>
      </c>
      <c r="AL2110">
        <v>79.326448873616997</v>
      </c>
      <c r="AM2110">
        <v>81.8112052892929</v>
      </c>
      <c r="AN2110">
        <v>0.99999998935760503</v>
      </c>
    </row>
    <row r="2111" spans="1:40" x14ac:dyDescent="0.25">
      <c r="A2111" t="str">
        <f>"20190312172125266"</f>
        <v>20190312172125266</v>
      </c>
      <c r="B2111" t="str">
        <f>"1552382485262862"</f>
        <v>1552382485262862</v>
      </c>
      <c r="C2111" t="s">
        <v>40</v>
      </c>
      <c r="D2111">
        <v>3.2309209999999999</v>
      </c>
      <c r="E2111">
        <v>0.51915489999999997</v>
      </c>
      <c r="F2111" t="s">
        <v>46</v>
      </c>
      <c r="G2111">
        <v>-222.23949999999999</v>
      </c>
      <c r="H2111" s="1">
        <v>-3.4505809999999998E-7</v>
      </c>
      <c r="I2111">
        <v>283.90800000000002</v>
      </c>
      <c r="J2111">
        <v>-209.00489999999999</v>
      </c>
      <c r="K2111">
        <v>1.1059749999999999</v>
      </c>
      <c r="L2111">
        <v>283.4631</v>
      </c>
      <c r="M2111">
        <v>-0.98594420000000005</v>
      </c>
      <c r="N2111">
        <v>0</v>
      </c>
      <c r="O2111">
        <v>-0.1665584</v>
      </c>
      <c r="P2111">
        <v>-0.98424270000000003</v>
      </c>
      <c r="Q2111">
        <v>0.17443529999999999</v>
      </c>
      <c r="R2111">
        <v>-2.8957859999999998E-2</v>
      </c>
      <c r="S2111">
        <v>-3.0964510000000001</v>
      </c>
      <c r="T2111">
        <v>-0.25642870000000001</v>
      </c>
      <c r="U2111">
        <v>9.9578860000000005E-2</v>
      </c>
      <c r="V2111">
        <v>0.1375094</v>
      </c>
      <c r="W2111">
        <v>0.18567980000000001</v>
      </c>
      <c r="X2111">
        <v>0.97294099999999994</v>
      </c>
      <c r="Y2111">
        <v>0.19693930000000001</v>
      </c>
      <c r="Z2111">
        <v>2.1866719999999999E-2</v>
      </c>
      <c r="AA2111">
        <v>0.98017180000000004</v>
      </c>
      <c r="AB2111">
        <v>22</v>
      </c>
      <c r="AC2111">
        <v>-13.2346</v>
      </c>
      <c r="AD2111">
        <v>-1.1059753450581</v>
      </c>
      <c r="AE2111">
        <v>0.444900000000018</v>
      </c>
      <c r="AF2111">
        <v>2.62489802247834</v>
      </c>
      <c r="AG2111">
        <v>-1.1059753450581</v>
      </c>
      <c r="AH2111">
        <v>12.8857084286433</v>
      </c>
      <c r="AI2111">
        <v>94.807398315146003</v>
      </c>
      <c r="AJ2111">
        <v>78.486034372136601</v>
      </c>
      <c r="AK2111">
        <v>13.196770544352701</v>
      </c>
      <c r="AL2111">
        <v>79.299231277895601</v>
      </c>
      <c r="AM2111">
        <v>81.955454134347903</v>
      </c>
      <c r="AN2111">
        <v>1.00000000634869</v>
      </c>
    </row>
    <row r="2112" spans="1:40" x14ac:dyDescent="0.25">
      <c r="A2112" t="str">
        <f>"20190312172125280"</f>
        <v>20190312172125280</v>
      </c>
      <c r="B2112" t="str">
        <f>"1552382485272623"</f>
        <v>1552382485272623</v>
      </c>
      <c r="C2112" t="s">
        <v>40</v>
      </c>
      <c r="D2112">
        <v>3.2155900000000002</v>
      </c>
      <c r="E2112">
        <v>0.51920909999999998</v>
      </c>
      <c r="F2112" t="s">
        <v>46</v>
      </c>
      <c r="G2112">
        <v>-222.4923</v>
      </c>
      <c r="H2112" s="1">
        <v>-2.1052059999999999E-7</v>
      </c>
      <c r="I2112">
        <v>283.92939999999999</v>
      </c>
      <c r="J2112">
        <v>-209.1387</v>
      </c>
      <c r="K2112">
        <v>1.1061449999999999</v>
      </c>
      <c r="L2112">
        <v>283.4461</v>
      </c>
      <c r="M2112">
        <v>-0.98674709999999999</v>
      </c>
      <c r="N2112">
        <v>0</v>
      </c>
      <c r="O2112">
        <v>-0.16173609999999999</v>
      </c>
      <c r="P2112">
        <v>-0.98412189999999999</v>
      </c>
      <c r="Q2112">
        <v>0.17547550000000001</v>
      </c>
      <c r="R2112">
        <v>-2.6695320000000002E-2</v>
      </c>
      <c r="S2112">
        <v>-3.0961759999999998</v>
      </c>
      <c r="T2112">
        <v>-0.25388880000000003</v>
      </c>
      <c r="U2112">
        <v>0.1070251</v>
      </c>
      <c r="V2112">
        <v>0.13489110000000001</v>
      </c>
      <c r="W2112">
        <v>0.1867695</v>
      </c>
      <c r="X2112">
        <v>0.97309889999999999</v>
      </c>
      <c r="Y2112">
        <v>0.19455220000000001</v>
      </c>
      <c r="Z2112">
        <v>2.116376E-2</v>
      </c>
      <c r="AA2112">
        <v>0.98066379999999997</v>
      </c>
      <c r="AB2112">
        <v>22</v>
      </c>
      <c r="AC2112">
        <v>-13.3536</v>
      </c>
      <c r="AD2112">
        <v>-1.1061452105206</v>
      </c>
      <c r="AE2112">
        <v>0.48329999999998502</v>
      </c>
      <c r="AF2112">
        <v>2.61893364892134</v>
      </c>
      <c r="AG2112">
        <v>-1.1061452105206</v>
      </c>
      <c r="AH2112">
        <v>13.010426969214</v>
      </c>
      <c r="AI2112">
        <v>94.764479113162494</v>
      </c>
      <c r="AJ2112">
        <v>78.618742110926107</v>
      </c>
      <c r="AK2112">
        <v>13.317416438839</v>
      </c>
      <c r="AL2112">
        <v>79.235683969154294</v>
      </c>
      <c r="AM2112">
        <v>82.107944947907598</v>
      </c>
      <c r="AN2112">
        <v>0.99999996208533404</v>
      </c>
    </row>
    <row r="2113" spans="1:40" x14ac:dyDescent="0.25">
      <c r="A2113" t="str">
        <f>"20190312172125301"</f>
        <v>20190312172125301</v>
      </c>
      <c r="B2113" t="str">
        <f>"1552382485293118"</f>
        <v>1552382485293118</v>
      </c>
      <c r="C2113" t="s">
        <v>40</v>
      </c>
      <c r="D2113">
        <v>3.1937570000000002</v>
      </c>
      <c r="E2113">
        <v>0.51935329999999902</v>
      </c>
      <c r="F2113" t="s">
        <v>46</v>
      </c>
      <c r="G2113">
        <v>-222.82480000000001</v>
      </c>
      <c r="H2113" s="1">
        <v>-3.3589600000000003E-8</v>
      </c>
      <c r="I2113">
        <v>283.95170000000002</v>
      </c>
      <c r="J2113">
        <v>-209.34399999999999</v>
      </c>
      <c r="K2113">
        <v>1.1064130000000001</v>
      </c>
      <c r="L2113">
        <v>283.42099999999999</v>
      </c>
      <c r="M2113">
        <v>-0.987873</v>
      </c>
      <c r="N2113">
        <v>0</v>
      </c>
      <c r="O2113">
        <v>-0.15471650000000001</v>
      </c>
      <c r="P2113">
        <v>-0.98359249999999998</v>
      </c>
      <c r="Q2113">
        <v>0.1786401</v>
      </c>
      <c r="R2113">
        <v>-2.517906E-2</v>
      </c>
      <c r="S2113">
        <v>-3.0961150000000002</v>
      </c>
      <c r="T2113">
        <v>-0.25023590000000001</v>
      </c>
      <c r="U2113">
        <v>0.11437990000000001</v>
      </c>
      <c r="V2113">
        <v>0.1292828</v>
      </c>
      <c r="W2113">
        <v>0.19002459999999999</v>
      </c>
      <c r="X2113">
        <v>0.97323000000000004</v>
      </c>
      <c r="Y2113">
        <v>0.18997629999999999</v>
      </c>
      <c r="Z2113">
        <v>2.0114179999999999E-2</v>
      </c>
      <c r="AA2113">
        <v>0.98158259999999997</v>
      </c>
      <c r="AB2113">
        <v>22</v>
      </c>
      <c r="AC2113">
        <v>-13.480799999999901</v>
      </c>
      <c r="AD2113">
        <v>-1.1064130335896001</v>
      </c>
      <c r="AE2113">
        <v>0.53070000000002404</v>
      </c>
      <c r="AF2113">
        <v>2.59275014405344</v>
      </c>
      <c r="AG2113">
        <v>-1.1064130335896001</v>
      </c>
      <c r="AH2113">
        <v>13.1479062204457</v>
      </c>
      <c r="AI2113">
        <v>94.719709029331995</v>
      </c>
      <c r="AJ2113">
        <v>78.844479279797397</v>
      </c>
      <c r="AK2113">
        <v>13.446707444278699</v>
      </c>
      <c r="AL2113">
        <v>79.045780302608406</v>
      </c>
      <c r="AM2113">
        <v>82.433192699911203</v>
      </c>
      <c r="AN2113">
        <v>1.0000000119404999</v>
      </c>
    </row>
    <row r="2114" spans="1:40" x14ac:dyDescent="0.25">
      <c r="A2114" t="str">
        <f>"20190312172125323"</f>
        <v>20190312172125323</v>
      </c>
      <c r="B2114" t="str">
        <f>"1552382485312638"</f>
        <v>1552382485312638</v>
      </c>
      <c r="C2114" t="s">
        <v>40</v>
      </c>
      <c r="D2114">
        <v>3.1733549999999999</v>
      </c>
      <c r="E2114">
        <v>0.51941850000000001</v>
      </c>
      <c r="F2114" t="s">
        <v>46</v>
      </c>
      <c r="G2114">
        <v>-223.6181</v>
      </c>
      <c r="H2114" s="1">
        <v>3.8857679999999999E-7</v>
      </c>
      <c r="I2114">
        <v>283.96449999999999</v>
      </c>
      <c r="J2114">
        <v>-209.55539999999999</v>
      </c>
      <c r="K2114">
        <v>1.1066860000000001</v>
      </c>
      <c r="L2114">
        <v>283.39620000000002</v>
      </c>
      <c r="M2114">
        <v>-0.98891949999999995</v>
      </c>
      <c r="N2114">
        <v>0</v>
      </c>
      <c r="O2114">
        <v>-0.14788409999999999</v>
      </c>
      <c r="P2114">
        <v>-0.98354079999999999</v>
      </c>
      <c r="Q2114">
        <v>0.17897759999999999</v>
      </c>
      <c r="R2114">
        <v>-2.4786610000000001E-2</v>
      </c>
      <c r="S2114">
        <v>-3.0966640000000001</v>
      </c>
      <c r="T2114">
        <v>-0.2400291</v>
      </c>
      <c r="U2114">
        <v>0.11791989999999899</v>
      </c>
      <c r="V2114">
        <v>0.12279710000000001</v>
      </c>
      <c r="W2114">
        <v>0.1904623</v>
      </c>
      <c r="X2114">
        <v>0.97398410000000002</v>
      </c>
      <c r="Y2114">
        <v>0.1844287</v>
      </c>
      <c r="Z2114">
        <v>1.855331E-2</v>
      </c>
      <c r="AA2114">
        <v>0.98267079999999996</v>
      </c>
      <c r="AB2114">
        <v>22</v>
      </c>
      <c r="AC2114">
        <v>-14.0627</v>
      </c>
      <c r="AD2114">
        <v>-1.1066856114232</v>
      </c>
      <c r="AE2114">
        <v>0.56829999999996506</v>
      </c>
      <c r="AF2114">
        <v>2.6256408365746702</v>
      </c>
      <c r="AG2114">
        <v>-1.1066856114232</v>
      </c>
      <c r="AH2114">
        <v>13.7390513700976</v>
      </c>
      <c r="AI2114">
        <v>94.523734405792595</v>
      </c>
      <c r="AJ2114">
        <v>79.180780783122898</v>
      </c>
      <c r="AK2114">
        <v>14.031403186973201</v>
      </c>
      <c r="AL2114">
        <v>79.020235515987295</v>
      </c>
      <c r="AM2114">
        <v>82.814227344826406</v>
      </c>
      <c r="AN2114">
        <v>1.0000000212712501</v>
      </c>
    </row>
    <row r="2115" spans="1:40" x14ac:dyDescent="0.25">
      <c r="A2115" t="str">
        <f>"20190312172125335"</f>
        <v>20190312172125335</v>
      </c>
      <c r="B2115" t="str">
        <f>"1552382485333134"</f>
        <v>1552382485333134</v>
      </c>
      <c r="C2115" t="s">
        <v>40</v>
      </c>
      <c r="D2115">
        <v>3.167052</v>
      </c>
      <c r="E2115">
        <v>0.52465209999999995</v>
      </c>
      <c r="F2115" t="s">
        <v>46</v>
      </c>
      <c r="G2115">
        <v>-223.87909999999999</v>
      </c>
      <c r="H2115" s="1">
        <v>5.2744919999999998E-7</v>
      </c>
      <c r="I2115">
        <v>283.93970000000002</v>
      </c>
      <c r="J2115">
        <v>-209.67779999999999</v>
      </c>
      <c r="K2115">
        <v>1.1068260000000001</v>
      </c>
      <c r="L2115">
        <v>283.38240000000002</v>
      </c>
      <c r="M2115">
        <v>-0.98947929999999995</v>
      </c>
      <c r="N2115">
        <v>0</v>
      </c>
      <c r="O2115">
        <v>-0.14409430000000001</v>
      </c>
      <c r="P2115">
        <v>-0.98370360000000001</v>
      </c>
      <c r="Q2115">
        <v>0.17814920000000001</v>
      </c>
      <c r="R2115">
        <v>-2.4295779999999999E-2</v>
      </c>
      <c r="S2115">
        <v>-3.096695</v>
      </c>
      <c r="T2115">
        <v>-0.2392591</v>
      </c>
      <c r="U2115">
        <v>0.11749270000000001</v>
      </c>
      <c r="V2115">
        <v>0.11949</v>
      </c>
      <c r="W2115">
        <v>0.18968380000000001</v>
      </c>
      <c r="X2115">
        <v>0.97454719999999995</v>
      </c>
      <c r="Y2115">
        <v>0.18055570000000001</v>
      </c>
      <c r="Z2115">
        <v>1.805414E-2</v>
      </c>
      <c r="AA2115">
        <v>0.98339900000000002</v>
      </c>
      <c r="AB2115">
        <v>22</v>
      </c>
      <c r="AC2115">
        <v>-14.2013</v>
      </c>
      <c r="AD2115">
        <v>-1.1068254725508</v>
      </c>
      <c r="AE2115">
        <v>0.55729999999999702</v>
      </c>
      <c r="AF2115">
        <v>2.5823189762021501</v>
      </c>
      <c r="AG2115">
        <v>-1.1068254725508</v>
      </c>
      <c r="AH2115">
        <v>13.8885247489271</v>
      </c>
      <c r="AI2115">
        <v>94.480012770993895</v>
      </c>
      <c r="AJ2115">
        <v>79.467166735734395</v>
      </c>
      <c r="AK2115">
        <v>14.1698466337184</v>
      </c>
      <c r="AL2115">
        <v>79.065668563038301</v>
      </c>
      <c r="AM2115">
        <v>83.009808793226597</v>
      </c>
      <c r="AN2115">
        <v>1.0000000245551299</v>
      </c>
    </row>
    <row r="2116" spans="1:40" x14ac:dyDescent="0.25">
      <c r="A2116" t="str">
        <f>"20190312172125355"</f>
        <v>20190312172125355</v>
      </c>
      <c r="B2116" t="str">
        <f>"1552382485342894"</f>
        <v>1552382485342894</v>
      </c>
      <c r="C2116" t="s">
        <v>40</v>
      </c>
      <c r="D2116">
        <v>3.2146720000000002</v>
      </c>
      <c r="E2116">
        <v>0.52453609999999995</v>
      </c>
      <c r="F2116" t="s">
        <v>46</v>
      </c>
      <c r="G2116">
        <v>-224.83250000000001</v>
      </c>
      <c r="H2116" s="1">
        <v>1.0348320000000001E-6</v>
      </c>
      <c r="I2116">
        <v>284.16730000000001</v>
      </c>
      <c r="J2116">
        <v>-209.86789999999999</v>
      </c>
      <c r="K2116">
        <v>1.1070390000000001</v>
      </c>
      <c r="L2116">
        <v>283.36149999999998</v>
      </c>
      <c r="M2116">
        <v>-0.99028329999999998</v>
      </c>
      <c r="N2116">
        <v>0</v>
      </c>
      <c r="O2116">
        <v>-0.13846530000000001</v>
      </c>
      <c r="P2116">
        <v>-0.98404069999999999</v>
      </c>
      <c r="Q2116">
        <v>0.1760755</v>
      </c>
      <c r="R2116">
        <v>-2.5720710000000001E-2</v>
      </c>
      <c r="S2116">
        <v>-3.0946039999999999</v>
      </c>
      <c r="T2116">
        <v>-0.2260141</v>
      </c>
      <c r="U2116">
        <v>0.16027829999999901</v>
      </c>
      <c r="V2116">
        <v>0.1124472</v>
      </c>
      <c r="W2116">
        <v>0.1877048</v>
      </c>
      <c r="X2116">
        <v>0.97576770000000002</v>
      </c>
      <c r="Y2116">
        <v>0.18864790000000001</v>
      </c>
      <c r="Z2116">
        <v>1.695323E-2</v>
      </c>
      <c r="AA2116">
        <v>0.98189839999999995</v>
      </c>
      <c r="AB2116">
        <v>22</v>
      </c>
      <c r="AC2116">
        <v>-14.964600000000001</v>
      </c>
      <c r="AD2116">
        <v>-1.10703796516799</v>
      </c>
      <c r="AE2116">
        <v>0.80580000000003305</v>
      </c>
      <c r="AF2116">
        <v>2.854709298071</v>
      </c>
      <c r="AG2116">
        <v>-1.10703796516799</v>
      </c>
      <c r="AH2116">
        <v>14.6290140805052</v>
      </c>
      <c r="AI2116">
        <v>94.247741152632301</v>
      </c>
      <c r="AJ2116">
        <v>78.958050462697301</v>
      </c>
      <c r="AK2116">
        <v>14.9460011775871</v>
      </c>
      <c r="AL2116">
        <v>79.181131222119305</v>
      </c>
      <c r="AM2116">
        <v>83.4262480970647</v>
      </c>
      <c r="AN2116">
        <v>1.0000000345470801</v>
      </c>
    </row>
    <row r="2117" spans="1:40" x14ac:dyDescent="0.25">
      <c r="A2117" t="str">
        <f>"20190312172125368"</f>
        <v>20190312172125368</v>
      </c>
      <c r="B2117" t="str">
        <f>"1552382485363390"</f>
        <v>1552382485363390</v>
      </c>
      <c r="C2117" t="s">
        <v>40</v>
      </c>
      <c r="D2117">
        <v>3.1886100000000002</v>
      </c>
      <c r="E2117">
        <v>0.52432730000000005</v>
      </c>
      <c r="F2117" t="s">
        <v>46</v>
      </c>
      <c r="G2117">
        <v>-224.69820000000001</v>
      </c>
      <c r="H2117" s="1">
        <v>9.633745E-7</v>
      </c>
      <c r="I2117">
        <v>284.10840000000002</v>
      </c>
      <c r="J2117">
        <v>-209.9933</v>
      </c>
      <c r="K2117">
        <v>1.1071930000000001</v>
      </c>
      <c r="L2117">
        <v>283.34809999999999</v>
      </c>
      <c r="M2117">
        <v>-0.99076589999999998</v>
      </c>
      <c r="N2117">
        <v>0</v>
      </c>
      <c r="O2117">
        <v>-0.13497089999999901</v>
      </c>
      <c r="P2117">
        <v>-0.98423079999999996</v>
      </c>
      <c r="Q2117">
        <v>0.1750806</v>
      </c>
      <c r="R2117">
        <v>-2.5232170000000002E-2</v>
      </c>
      <c r="S2117">
        <v>-3.094055</v>
      </c>
      <c r="T2117">
        <v>-0.2309611</v>
      </c>
      <c r="U2117">
        <v>0.15582279999999901</v>
      </c>
      <c r="V2117">
        <v>0.1094234</v>
      </c>
      <c r="W2117">
        <v>0.18675539999999999</v>
      </c>
      <c r="X2117">
        <v>0.97629339999999998</v>
      </c>
      <c r="Y2117">
        <v>0.18376480000000001</v>
      </c>
      <c r="Z2117">
        <v>1.6885910000000001E-2</v>
      </c>
      <c r="AA2117">
        <v>0.98282519999999995</v>
      </c>
      <c r="AB2117">
        <v>22</v>
      </c>
      <c r="AC2117">
        <v>-14.7049</v>
      </c>
      <c r="AD2117">
        <v>-1.1071920366254999</v>
      </c>
      <c r="AE2117">
        <v>0.76030000000002895</v>
      </c>
      <c r="AF2117">
        <v>2.72284469905403</v>
      </c>
      <c r="AG2117">
        <v>-1.1071920366254999</v>
      </c>
      <c r="AH2117">
        <v>14.386352781885099</v>
      </c>
      <c r="AI2117">
        <v>94.324407969966899</v>
      </c>
      <c r="AJ2117">
        <v>79.282638739302399</v>
      </c>
      <c r="AK2117">
        <v>14.6835589632073</v>
      </c>
      <c r="AL2117">
        <v>79.236505974325894</v>
      </c>
      <c r="AM2117">
        <v>83.604952593860702</v>
      </c>
      <c r="AN2117">
        <v>0.99999993139013699</v>
      </c>
    </row>
    <row r="2118" spans="1:40" x14ac:dyDescent="0.25">
      <c r="A2118" t="str">
        <f>"20190312172125381"</f>
        <v>20190312172125381</v>
      </c>
      <c r="B2118" t="str">
        <f>"1552382485373150"</f>
        <v>1552382485373150</v>
      </c>
      <c r="C2118" t="s">
        <v>40</v>
      </c>
      <c r="D2118">
        <v>3.1859869999999999</v>
      </c>
      <c r="E2118">
        <v>0.52437800000000001</v>
      </c>
      <c r="F2118" t="s">
        <v>46</v>
      </c>
      <c r="G2118">
        <v>-224.62790000000001</v>
      </c>
      <c r="H2118" s="1">
        <v>9.2596670000000002E-7</v>
      </c>
      <c r="I2118">
        <v>284.08440000000002</v>
      </c>
      <c r="J2118">
        <v>-210.12119999999999</v>
      </c>
      <c r="K2118">
        <v>1.1073649999999999</v>
      </c>
      <c r="L2118">
        <v>283.3347</v>
      </c>
      <c r="M2118">
        <v>-0.99122750000000004</v>
      </c>
      <c r="N2118">
        <v>0</v>
      </c>
      <c r="O2118">
        <v>-0.131542299999999</v>
      </c>
      <c r="P2118">
        <v>-0.98432839999999999</v>
      </c>
      <c r="Q2118">
        <v>0.174589299999999</v>
      </c>
      <c r="R2118">
        <v>-2.483366E-2</v>
      </c>
      <c r="S2118">
        <v>-3.0937039999999998</v>
      </c>
      <c r="T2118">
        <v>-0.23405670000000001</v>
      </c>
      <c r="U2118">
        <v>0.15563959999999999</v>
      </c>
      <c r="V2118">
        <v>0.1063607</v>
      </c>
      <c r="W2118">
        <v>0.186309</v>
      </c>
      <c r="X2118">
        <v>0.9767171</v>
      </c>
      <c r="Y2118">
        <v>0.18030650000000001</v>
      </c>
      <c r="Z2118">
        <v>1.672541E-2</v>
      </c>
      <c r="AA2118">
        <v>0.98346829999999996</v>
      </c>
      <c r="AB2118">
        <v>22</v>
      </c>
      <c r="AC2118">
        <v>-14.5067</v>
      </c>
      <c r="AD2118">
        <v>-1.1073640740332999</v>
      </c>
      <c r="AE2118">
        <v>0.74970000000001802</v>
      </c>
      <c r="AF2118">
        <v>2.63626571060452</v>
      </c>
      <c r="AG2118">
        <v>-1.1073640740332999</v>
      </c>
      <c r="AH2118">
        <v>14.1994789423446</v>
      </c>
      <c r="AI2118">
        <v>94.384629400121597</v>
      </c>
      <c r="AJ2118">
        <v>79.482259609377195</v>
      </c>
      <c r="AK2118">
        <v>14.4845211975908</v>
      </c>
      <c r="AL2118">
        <v>79.262540129460405</v>
      </c>
      <c r="AM2118">
        <v>83.785200648202405</v>
      </c>
      <c r="AN2118">
        <v>0.99999996770894894</v>
      </c>
    </row>
    <row r="2119" spans="1:40" x14ac:dyDescent="0.25">
      <c r="A2119" t="str">
        <f>"20190312172125392"</f>
        <v>20190312172125392</v>
      </c>
      <c r="B2119" t="str">
        <f>"1552382485382910"</f>
        <v>1552382485382910</v>
      </c>
      <c r="C2119" t="s">
        <v>40</v>
      </c>
      <c r="D2119">
        <v>3.204059</v>
      </c>
      <c r="E2119">
        <v>0.52445259999999905</v>
      </c>
      <c r="F2119" t="s">
        <v>46</v>
      </c>
      <c r="G2119">
        <v>-224.64590000000001</v>
      </c>
      <c r="H2119" s="1">
        <v>9.3553429999999999E-7</v>
      </c>
      <c r="I2119">
        <v>284.07029999999997</v>
      </c>
      <c r="J2119">
        <v>-210.23869999999999</v>
      </c>
      <c r="K2119">
        <v>1.107545</v>
      </c>
      <c r="L2119">
        <v>283.32260000000002</v>
      </c>
      <c r="M2119">
        <v>-0.99160870000000001</v>
      </c>
      <c r="N2119">
        <v>0</v>
      </c>
      <c r="O2119">
        <v>-0.12864059999999999</v>
      </c>
      <c r="P2119">
        <v>-0.98423000000000005</v>
      </c>
      <c r="Q2119">
        <v>0.1751354</v>
      </c>
      <c r="R2119">
        <v>-2.4884980000000001E-2</v>
      </c>
      <c r="S2119">
        <v>-3.0935670000000002</v>
      </c>
      <c r="T2119">
        <v>-0.23585339999999999</v>
      </c>
      <c r="U2119">
        <v>0.15667719999999999</v>
      </c>
      <c r="V2119">
        <v>0.10335129999999999</v>
      </c>
      <c r="W2119">
        <v>0.18689829999999999</v>
      </c>
      <c r="X2119">
        <v>0.97692760000000001</v>
      </c>
      <c r="Y2119">
        <v>0.17776059999999999</v>
      </c>
      <c r="Z2119">
        <v>1.653752E-2</v>
      </c>
      <c r="AA2119">
        <v>0.9839348</v>
      </c>
      <c r="AB2119">
        <v>22</v>
      </c>
      <c r="AC2119">
        <v>-14.4072</v>
      </c>
      <c r="AD2119">
        <v>-1.1075440644657</v>
      </c>
      <c r="AE2119">
        <v>0.74769999999995196</v>
      </c>
      <c r="AF2119">
        <v>2.5797844824045399</v>
      </c>
      <c r="AG2119">
        <v>-1.1075440644657</v>
      </c>
      <c r="AH2119">
        <v>14.1081320937722</v>
      </c>
      <c r="AI2119">
        <v>94.415816722358997</v>
      </c>
      <c r="AJ2119">
        <v>79.6374947002802</v>
      </c>
      <c r="AK2119">
        <v>14.3847604431118</v>
      </c>
      <c r="AL2119">
        <v>79.228172418947594</v>
      </c>
      <c r="AM2119">
        <v>83.9610171641405</v>
      </c>
      <c r="AN2119">
        <v>1.00000000069817</v>
      </c>
    </row>
    <row r="2120" spans="1:40" x14ac:dyDescent="0.25">
      <c r="A2120" t="str">
        <f>"20190312172125412"</f>
        <v>20190312172125412</v>
      </c>
      <c r="B2120" t="str">
        <f>"1552382485403409"</f>
        <v>1552382485403409</v>
      </c>
      <c r="C2120" t="s">
        <v>40</v>
      </c>
      <c r="D2120">
        <v>3.1840229999999998</v>
      </c>
      <c r="E2120">
        <v>0.52433719999999995</v>
      </c>
      <c r="F2120" t="s">
        <v>46</v>
      </c>
      <c r="G2120">
        <v>-224.8674</v>
      </c>
      <c r="H2120" s="1">
        <v>1.053371E-6</v>
      </c>
      <c r="I2120">
        <v>284.05840000000001</v>
      </c>
      <c r="J2120">
        <v>-210.42089999999999</v>
      </c>
      <c r="K2120">
        <v>1.107839</v>
      </c>
      <c r="L2120">
        <v>283.30419999999998</v>
      </c>
      <c r="M2120">
        <v>-0.99215019999999998</v>
      </c>
      <c r="N2120">
        <v>0</v>
      </c>
      <c r="O2120">
        <v>-0.1243992</v>
      </c>
      <c r="P2120">
        <v>-0.98408300000000004</v>
      </c>
      <c r="Q2120">
        <v>0.1757348</v>
      </c>
      <c r="R2120">
        <v>-2.6426979999999999E-2</v>
      </c>
      <c r="S2120">
        <v>-3.0936889999999999</v>
      </c>
      <c r="T2120">
        <v>-0.23422470000000001</v>
      </c>
      <c r="U2120">
        <v>0.1556091</v>
      </c>
      <c r="V2120">
        <v>9.7481819999999997E-2</v>
      </c>
      <c r="W2120">
        <v>0.1875733</v>
      </c>
      <c r="X2120">
        <v>0.97740139999999998</v>
      </c>
      <c r="Y2120">
        <v>0.1732477</v>
      </c>
      <c r="Z2120">
        <v>1.5933559999999999E-2</v>
      </c>
      <c r="AA2120">
        <v>0.9847494</v>
      </c>
      <c r="AB2120">
        <v>22</v>
      </c>
      <c r="AC2120">
        <v>-14.4465</v>
      </c>
      <c r="AD2120">
        <v>-1.107837946629</v>
      </c>
      <c r="AE2120">
        <v>0.75420000000002496</v>
      </c>
      <c r="AF2120">
        <v>2.5307777414439601</v>
      </c>
      <c r="AG2120">
        <v>-1.107837946629</v>
      </c>
      <c r="AH2120">
        <v>14.157406533394701</v>
      </c>
      <c r="AI2120">
        <v>94.404818022882097</v>
      </c>
      <c r="AJ2120">
        <v>79.864859201351805</v>
      </c>
      <c r="AK2120">
        <v>14.424434153351999</v>
      </c>
      <c r="AL2120">
        <v>79.188801182555594</v>
      </c>
      <c r="AM2120">
        <v>84.304400178301606</v>
      </c>
      <c r="AN2120">
        <v>0.99999997241268002</v>
      </c>
    </row>
    <row r="2121" spans="1:40" x14ac:dyDescent="0.25">
      <c r="A2121" t="str">
        <f>"20190312172125424"</f>
        <v>20190312172125424</v>
      </c>
      <c r="B2121" t="str">
        <f>"1552382485413167"</f>
        <v>1552382485413167</v>
      </c>
      <c r="C2121" t="s">
        <v>40</v>
      </c>
      <c r="D2121">
        <v>3.1907749999999999</v>
      </c>
      <c r="E2121">
        <v>0.5243485</v>
      </c>
      <c r="F2121" t="s">
        <v>46</v>
      </c>
      <c r="G2121">
        <v>-225.08359999999999</v>
      </c>
      <c r="H2121" s="1">
        <v>1.1684619999999999E-6</v>
      </c>
      <c r="I2121">
        <v>284.00549999999998</v>
      </c>
      <c r="J2121">
        <v>-210.53880000000001</v>
      </c>
      <c r="K2121">
        <v>1.1080380000000001</v>
      </c>
      <c r="L2121">
        <v>283.29250000000002</v>
      </c>
      <c r="M2121">
        <v>-0.99246809999999996</v>
      </c>
      <c r="N2121">
        <v>0</v>
      </c>
      <c r="O2121">
        <v>-0.1218393</v>
      </c>
      <c r="P2121">
        <v>-0.98422270000000001</v>
      </c>
      <c r="Q2121">
        <v>0.1748063</v>
      </c>
      <c r="R2121">
        <v>-2.7360740000000001E-2</v>
      </c>
      <c r="S2121">
        <v>-3.0942539999999998</v>
      </c>
      <c r="T2121">
        <v>-0.23378489999999999</v>
      </c>
      <c r="U2121">
        <v>0.14797969999999999</v>
      </c>
      <c r="V2121">
        <v>9.3945909999999994E-2</v>
      </c>
      <c r="W2121">
        <v>0.18669259999999999</v>
      </c>
      <c r="X2121">
        <v>0.97791620000000001</v>
      </c>
      <c r="Y2121">
        <v>0.16829859999999999</v>
      </c>
      <c r="Z2121">
        <v>1.5522620000000001E-2</v>
      </c>
      <c r="AA2121">
        <v>0.98561379999999998</v>
      </c>
      <c r="AB2121">
        <v>22</v>
      </c>
      <c r="AC2121">
        <v>-14.544799999999899</v>
      </c>
      <c r="AD2121">
        <v>-1.10803683153799</v>
      </c>
      <c r="AE2121">
        <v>0.712999999999965</v>
      </c>
      <c r="AF2121">
        <v>2.46568382057858</v>
      </c>
      <c r="AG2121">
        <v>-1.10803683153799</v>
      </c>
      <c r="AH2121">
        <v>14.266942532602499</v>
      </c>
      <c r="AI2121">
        <v>94.376322449159204</v>
      </c>
      <c r="AJ2121">
        <v>80.194716313590504</v>
      </c>
      <c r="AK2121">
        <v>14.5207779251558</v>
      </c>
      <c r="AL2121">
        <v>79.240169612808302</v>
      </c>
      <c r="AM2121">
        <v>84.512580598567894</v>
      </c>
      <c r="AN2121">
        <v>1.00000002756146</v>
      </c>
    </row>
    <row r="2122" spans="1:40" x14ac:dyDescent="0.25">
      <c r="A2122" t="str">
        <f>"20190312172125436"</f>
        <v>20190312172125436</v>
      </c>
      <c r="B2122" t="str">
        <f>"1552382485432688"</f>
        <v>1552382485432688</v>
      </c>
      <c r="C2122" t="s">
        <v>40</v>
      </c>
      <c r="D2122">
        <v>3.1821600000000001</v>
      </c>
      <c r="E2122">
        <v>0.52442509999999998</v>
      </c>
      <c r="F2122" t="s">
        <v>46</v>
      </c>
      <c r="G2122">
        <v>-225.0273</v>
      </c>
      <c r="H2122" s="1">
        <v>1.1385059999999999E-6</v>
      </c>
      <c r="I2122">
        <v>283.97109999999998</v>
      </c>
      <c r="J2122">
        <v>-210.6584</v>
      </c>
      <c r="K2122">
        <v>1.108244</v>
      </c>
      <c r="L2122">
        <v>283.28070000000002</v>
      </c>
      <c r="M2122">
        <v>-0.99276209999999998</v>
      </c>
      <c r="N2122">
        <v>0</v>
      </c>
      <c r="O2122">
        <v>-0.119423</v>
      </c>
      <c r="P2122">
        <v>-0.98447609999999997</v>
      </c>
      <c r="Q2122">
        <v>0.17319670000000001</v>
      </c>
      <c r="R2122">
        <v>-2.8455390000000001E-2</v>
      </c>
      <c r="S2122">
        <v>-3.094147</v>
      </c>
      <c r="T2122">
        <v>-0.23663139999999999</v>
      </c>
      <c r="U2122">
        <v>0.144928</v>
      </c>
      <c r="V2122">
        <v>9.0397660000000005E-2</v>
      </c>
      <c r="W2122">
        <v>0.18513199999999999</v>
      </c>
      <c r="X2122">
        <v>0.9785471</v>
      </c>
      <c r="Y2122">
        <v>0.16492660000000001</v>
      </c>
      <c r="Z2122">
        <v>1.539948E-2</v>
      </c>
      <c r="AA2122">
        <v>0.9861856</v>
      </c>
      <c r="AB2122">
        <v>22</v>
      </c>
      <c r="AC2122">
        <v>-14.368899999999901</v>
      </c>
      <c r="AD2122">
        <v>-1.1082428614939901</v>
      </c>
      <c r="AE2122">
        <v>0.69039999999995405</v>
      </c>
      <c r="AF2122">
        <v>2.3874048365661098</v>
      </c>
      <c r="AG2122">
        <v>-1.1082428614939901</v>
      </c>
      <c r="AH2122">
        <v>14.0999123910057</v>
      </c>
      <c r="AI2122">
        <v>94.4313503297805</v>
      </c>
      <c r="AJ2122">
        <v>80.389795412551607</v>
      </c>
      <c r="AK2122">
        <v>14.3434805234903</v>
      </c>
      <c r="AL2122">
        <v>79.331171734540902</v>
      </c>
      <c r="AM2122">
        <v>84.722026399759699</v>
      </c>
      <c r="AN2122">
        <v>1.0000000106379401</v>
      </c>
    </row>
    <row r="2123" spans="1:40" x14ac:dyDescent="0.25">
      <c r="A2123" t="str">
        <f>"20190312172125456"</f>
        <v>20190312172125456</v>
      </c>
      <c r="B2123" t="str">
        <f>"1552382485453181"</f>
        <v>1552382485453181</v>
      </c>
      <c r="C2123" t="s">
        <v>40</v>
      </c>
      <c r="D2123">
        <v>3.2149209999999999</v>
      </c>
      <c r="E2123">
        <v>0.52471719999999999</v>
      </c>
      <c r="F2123" t="s">
        <v>46</v>
      </c>
      <c r="G2123">
        <v>-224.91300000000001</v>
      </c>
      <c r="H2123" s="1">
        <v>1.0776859999999999E-6</v>
      </c>
      <c r="I2123">
        <v>283.93900000000002</v>
      </c>
      <c r="J2123">
        <v>-210.84190000000001</v>
      </c>
      <c r="K2123">
        <v>1.108552</v>
      </c>
      <c r="L2123">
        <v>283.26280000000003</v>
      </c>
      <c r="M2123">
        <v>-0.99316020000000005</v>
      </c>
      <c r="N2123">
        <v>0</v>
      </c>
      <c r="O2123">
        <v>-0.116070699999999</v>
      </c>
      <c r="P2123">
        <v>-0.9848344</v>
      </c>
      <c r="Q2123">
        <v>0.17031089999999999</v>
      </c>
      <c r="R2123">
        <v>-3.309525E-2</v>
      </c>
      <c r="S2123">
        <v>-3.0937649999999999</v>
      </c>
      <c r="T2123">
        <v>-0.24052899999999999</v>
      </c>
      <c r="U2123">
        <v>0.14288329999999999</v>
      </c>
      <c r="V2123">
        <v>8.2360509999999998E-2</v>
      </c>
      <c r="W2123">
        <v>0.1823314</v>
      </c>
      <c r="X2123">
        <v>0.97978160000000003</v>
      </c>
      <c r="Y2123">
        <v>0.16094549999999999</v>
      </c>
      <c r="Z2123">
        <v>1.524088E-2</v>
      </c>
      <c r="AA2123">
        <v>0.98684559999999999</v>
      </c>
      <c r="AB2123">
        <v>22</v>
      </c>
      <c r="AC2123">
        <v>-14.0710999999999</v>
      </c>
      <c r="AD2123">
        <v>-1.108550922314</v>
      </c>
      <c r="AE2123">
        <v>0.67619999999999403</v>
      </c>
      <c r="AF2123">
        <v>2.2908167629419398</v>
      </c>
      <c r="AG2123">
        <v>-1.108550922314</v>
      </c>
      <c r="AH2123">
        <v>13.811956118792001</v>
      </c>
      <c r="AI2123">
        <v>94.527153523610906</v>
      </c>
      <c r="AJ2123">
        <v>80.582791501574704</v>
      </c>
      <c r="AK2123">
        <v>14.044460061396901</v>
      </c>
      <c r="AL2123">
        <v>79.494413070499704</v>
      </c>
      <c r="AM2123">
        <v>85.1950090177383</v>
      </c>
      <c r="AN2123">
        <v>0.99999998836598902</v>
      </c>
    </row>
    <row r="2124" spans="1:40" x14ac:dyDescent="0.25">
      <c r="A2124" t="str">
        <f>"20190312172125467"</f>
        <v>20190312172125467</v>
      </c>
      <c r="B2124" t="str">
        <f>"1552382485462942"</f>
        <v>1552382485462942</v>
      </c>
      <c r="C2124" t="s">
        <v>40</v>
      </c>
      <c r="D2124">
        <v>3.2189909999999999</v>
      </c>
      <c r="E2124">
        <v>0.52478100000000005</v>
      </c>
      <c r="F2124" t="s">
        <v>41</v>
      </c>
      <c r="G2124">
        <v>-211.63310000000001</v>
      </c>
      <c r="H2124">
        <v>1.0450159999999999</v>
      </c>
      <c r="I2124">
        <v>283.29689999999999</v>
      </c>
      <c r="J2124">
        <v>-210.9562</v>
      </c>
      <c r="K2124">
        <v>1.108741</v>
      </c>
      <c r="L2124">
        <v>283.25170000000003</v>
      </c>
      <c r="M2124">
        <v>-0.99337640000000005</v>
      </c>
      <c r="N2124">
        <v>0</v>
      </c>
      <c r="O2124">
        <v>-0.1142085</v>
      </c>
      <c r="P2124">
        <v>-0.98501269999999996</v>
      </c>
      <c r="Q2124">
        <v>0.16886960000000001</v>
      </c>
      <c r="R2124">
        <v>-3.511835E-2</v>
      </c>
      <c r="S2124">
        <v>-3.0936279999999998</v>
      </c>
      <c r="T2124">
        <v>-0.24836240000000001</v>
      </c>
      <c r="U2124">
        <v>0.13317870000000001</v>
      </c>
      <c r="V2124">
        <v>7.8436899999999907E-2</v>
      </c>
      <c r="W2124">
        <v>0.18093029999999999</v>
      </c>
      <c r="X2124">
        <v>0.98036310000000004</v>
      </c>
      <c r="Y2124">
        <v>0.15597249999999999</v>
      </c>
      <c r="Z2124">
        <v>1.5389190000000001E-2</v>
      </c>
      <c r="AA2124">
        <v>0.98764149999999995</v>
      </c>
      <c r="AB2124">
        <v>22</v>
      </c>
      <c r="AC2124">
        <v>-0.67690000000001704</v>
      </c>
      <c r="AD2124">
        <v>-6.3725000000000004E-2</v>
      </c>
      <c r="AE2124">
        <v>4.5199999999965698E-2</v>
      </c>
      <c r="AF2124">
        <v>0.12114915561113</v>
      </c>
      <c r="AG2124">
        <v>-6.3725000000000004E-2</v>
      </c>
      <c r="AH2124">
        <v>0.66147110507565798</v>
      </c>
      <c r="AI2124">
        <v>95.413300189204094</v>
      </c>
      <c r="AJ2124">
        <v>79.621244594202693</v>
      </c>
      <c r="AK2124">
        <v>0.67548650347753203</v>
      </c>
      <c r="AL2124">
        <v>79.576047793967902</v>
      </c>
      <c r="AM2124">
        <v>85.425622760867597</v>
      </c>
      <c r="AN2124">
        <v>0.99999996429065396</v>
      </c>
    </row>
    <row r="2125" spans="1:40" x14ac:dyDescent="0.25">
      <c r="A2125" t="str">
        <f>"20190312172125491"</f>
        <v>20190312172125491</v>
      </c>
      <c r="B2125" t="str">
        <f>"1552382485483439"</f>
        <v>1552382485483439</v>
      </c>
      <c r="C2125" t="s">
        <v>40</v>
      </c>
      <c r="D2125">
        <v>3.2064599999999999</v>
      </c>
      <c r="E2125">
        <v>0.52489609999999998</v>
      </c>
      <c r="F2125" t="s">
        <v>41</v>
      </c>
      <c r="G2125">
        <v>-211.82040000000001</v>
      </c>
      <c r="H2125">
        <v>1.0384059999999999</v>
      </c>
      <c r="I2125">
        <v>283.2878</v>
      </c>
      <c r="J2125">
        <v>-211.1857</v>
      </c>
      <c r="K2125">
        <v>1.1091219999999999</v>
      </c>
      <c r="L2125">
        <v>283.22949999999997</v>
      </c>
      <c r="M2125">
        <v>-0.9937452</v>
      </c>
      <c r="N2125">
        <v>0</v>
      </c>
      <c r="O2125">
        <v>-0.11095869999999999</v>
      </c>
      <c r="P2125">
        <v>-0.98483379999999998</v>
      </c>
      <c r="Q2125">
        <v>0.16903280000000001</v>
      </c>
      <c r="R2125">
        <v>-3.9124440000000003E-2</v>
      </c>
      <c r="S2125">
        <v>-3.0933989999999998</v>
      </c>
      <c r="T2125">
        <v>-0.25188670000000002</v>
      </c>
      <c r="U2125">
        <v>0.12829589999999999</v>
      </c>
      <c r="V2125">
        <v>7.1054220000000001E-2</v>
      </c>
      <c r="W2125">
        <v>0.18115400000000001</v>
      </c>
      <c r="X2125">
        <v>0.9808846</v>
      </c>
      <c r="Y2125">
        <v>0.15118870000000001</v>
      </c>
      <c r="Z2125">
        <v>1.5150820000000001E-2</v>
      </c>
      <c r="AA2125">
        <v>0.98838879999999996</v>
      </c>
      <c r="AB2125">
        <v>22</v>
      </c>
      <c r="AC2125">
        <v>-0.63470000000000903</v>
      </c>
      <c r="AD2125">
        <v>-7.0716000000000001E-2</v>
      </c>
      <c r="AE2125">
        <v>5.8300000000031098E-2</v>
      </c>
      <c r="AF2125">
        <v>0.12681001456861701</v>
      </c>
      <c r="AG2125">
        <v>-7.0716000000000001E-2</v>
      </c>
      <c r="AH2125">
        <v>0.61671904782911802</v>
      </c>
      <c r="AI2125">
        <v>96.408325331544901</v>
      </c>
      <c r="AJ2125">
        <v>78.380765471107694</v>
      </c>
      <c r="AK2125">
        <v>0.63358023675470398</v>
      </c>
      <c r="AL2125">
        <v>79.563016130200594</v>
      </c>
      <c r="AM2125">
        <v>85.856792578945999</v>
      </c>
      <c r="AN2125">
        <v>1.00000003620648</v>
      </c>
    </row>
    <row r="2126" spans="1:40" x14ac:dyDescent="0.25">
      <c r="A2126" t="str">
        <f>"20190312172125513"</f>
        <v>20190312172125513</v>
      </c>
      <c r="B2126" t="str">
        <f>"1552382485502958"</f>
        <v>1552382485502958</v>
      </c>
      <c r="C2126" t="s">
        <v>40</v>
      </c>
      <c r="D2126">
        <v>3.2268840000000001</v>
      </c>
      <c r="E2126">
        <v>0.52507360000000003</v>
      </c>
      <c r="F2126" t="s">
        <v>41</v>
      </c>
      <c r="G2126">
        <v>-212.01390000000001</v>
      </c>
      <c r="H2126">
        <v>1.0417799999999999</v>
      </c>
      <c r="I2126">
        <v>283.26100000000002</v>
      </c>
      <c r="J2126">
        <v>-211.40649999999999</v>
      </c>
      <c r="K2126">
        <v>1.109478</v>
      </c>
      <c r="L2126">
        <v>283.20819999999998</v>
      </c>
      <c r="M2126">
        <v>-0.99402460000000004</v>
      </c>
      <c r="N2126">
        <v>0</v>
      </c>
      <c r="O2126">
        <v>-0.1084319</v>
      </c>
      <c r="P2126">
        <v>-0.98401459999999996</v>
      </c>
      <c r="Q2126">
        <v>0.1729704</v>
      </c>
      <c r="R2126">
        <v>-4.239006E-2</v>
      </c>
      <c r="S2126">
        <v>-3.0940089999999998</v>
      </c>
      <c r="T2126">
        <v>-0.25157929999999901</v>
      </c>
      <c r="U2126">
        <v>0.1170654</v>
      </c>
      <c r="V2126">
        <v>6.5079199999999907E-2</v>
      </c>
      <c r="W2126">
        <v>0.1851236</v>
      </c>
      <c r="X2126">
        <v>0.98055800000000004</v>
      </c>
      <c r="Y2126">
        <v>0.14511370000000001</v>
      </c>
      <c r="Z2126">
        <v>1.467921E-2</v>
      </c>
      <c r="AA2126">
        <v>0.98930609999999997</v>
      </c>
      <c r="AB2126">
        <v>22</v>
      </c>
      <c r="AC2126">
        <v>-0.60740000000001204</v>
      </c>
      <c r="AD2126">
        <v>-6.7697999999999994E-2</v>
      </c>
      <c r="AE2126">
        <v>5.2799999999990598E-2</v>
      </c>
      <c r="AF2126">
        <v>0.116913914972406</v>
      </c>
      <c r="AG2126">
        <v>-6.7697999999999994E-2</v>
      </c>
      <c r="AH2126">
        <v>0.59080831731535999</v>
      </c>
      <c r="AI2126">
        <v>96.413447669714699</v>
      </c>
      <c r="AJ2126">
        <v>78.806465539599401</v>
      </c>
      <c r="AK2126">
        <v>0.60605804220980497</v>
      </c>
      <c r="AL2126">
        <v>79.331661590660701</v>
      </c>
      <c r="AM2126">
        <v>86.202873310031194</v>
      </c>
      <c r="AN2126">
        <v>1.00000002045679</v>
      </c>
    </row>
    <row r="2127" spans="1:40" x14ac:dyDescent="0.25">
      <c r="A2127" t="str">
        <f>"20190312172125534"</f>
        <v>20190312172125534</v>
      </c>
      <c r="B2127" t="str">
        <f>"1552382485523457"</f>
        <v>1552382485523457</v>
      </c>
      <c r="C2127" t="s">
        <v>40</v>
      </c>
      <c r="D2127">
        <v>3.274912</v>
      </c>
      <c r="E2127">
        <v>0.52516219999999902</v>
      </c>
      <c r="F2127" t="s">
        <v>41</v>
      </c>
      <c r="G2127">
        <v>-212.2097</v>
      </c>
      <c r="H2127">
        <v>1.047153</v>
      </c>
      <c r="I2127">
        <v>283.23590000000002</v>
      </c>
      <c r="J2127">
        <v>-211.6036</v>
      </c>
      <c r="K2127">
        <v>1.109782</v>
      </c>
      <c r="L2127">
        <v>283.1891</v>
      </c>
      <c r="M2127">
        <v>-0.99421720000000002</v>
      </c>
      <c r="N2127">
        <v>0</v>
      </c>
      <c r="O2127">
        <v>-0.1066549</v>
      </c>
      <c r="P2127">
        <v>-0.98343179999999997</v>
      </c>
      <c r="Q2127">
        <v>0.17532210000000001</v>
      </c>
      <c r="R2127">
        <v>-4.6091979999999998E-2</v>
      </c>
      <c r="S2127">
        <v>-3.0955349999999999</v>
      </c>
      <c r="T2127">
        <v>-0.2403209</v>
      </c>
      <c r="U2127">
        <v>0.105896</v>
      </c>
      <c r="V2127">
        <v>5.945545E-2</v>
      </c>
      <c r="W2127">
        <v>0.18749930000000001</v>
      </c>
      <c r="X2127">
        <v>0.98046369999999905</v>
      </c>
      <c r="Y2127">
        <v>0.13985439999999999</v>
      </c>
      <c r="Z2127">
        <v>1.3676890000000001E-2</v>
      </c>
      <c r="AA2127">
        <v>0.9900776</v>
      </c>
      <c r="AB2127">
        <v>22</v>
      </c>
      <c r="AC2127">
        <v>-0.60609999999999697</v>
      </c>
      <c r="AD2127">
        <v>-6.2629000000000004E-2</v>
      </c>
      <c r="AE2127">
        <v>4.6800000000018799E-2</v>
      </c>
      <c r="AF2127">
        <v>0.110013929603241</v>
      </c>
      <c r="AG2127">
        <v>-6.2629000000000004E-2</v>
      </c>
      <c r="AH2127">
        <v>0.59137361700267499</v>
      </c>
      <c r="AI2127">
        <v>95.944102985914299</v>
      </c>
      <c r="AJ2127">
        <v>79.461665527841902</v>
      </c>
      <c r="AK2127">
        <v>0.60477120569234599</v>
      </c>
      <c r="AL2127">
        <v>79.193117983971504</v>
      </c>
      <c r="AM2127">
        <v>86.529825636759597</v>
      </c>
      <c r="AN2127">
        <v>1.0000000025264399</v>
      </c>
    </row>
    <row r="2128" spans="1:40" x14ac:dyDescent="0.25">
      <c r="A2128" t="str">
        <f>"20190312172125546"</f>
        <v>20190312172125546</v>
      </c>
      <c r="B2128" t="str">
        <f>"1552382485542974"</f>
        <v>1552382485542974</v>
      </c>
      <c r="C2128" t="s">
        <v>40</v>
      </c>
      <c r="D2128">
        <v>3.2325219999999999</v>
      </c>
      <c r="E2128">
        <v>0.52310809999999996</v>
      </c>
      <c r="F2128" t="s">
        <v>41</v>
      </c>
      <c r="G2128">
        <v>-212.4033</v>
      </c>
      <c r="H2128">
        <v>1.049453</v>
      </c>
      <c r="I2128">
        <v>283.21319999999997</v>
      </c>
      <c r="J2128">
        <v>-211.72219999999999</v>
      </c>
      <c r="K2128">
        <v>1.109958</v>
      </c>
      <c r="L2128">
        <v>283.17759999999998</v>
      </c>
      <c r="M2128">
        <v>-0.99430810000000003</v>
      </c>
      <c r="N2128">
        <v>0</v>
      </c>
      <c r="O2128">
        <v>-0.10580539999999899</v>
      </c>
      <c r="P2128">
        <v>-0.98330550000000005</v>
      </c>
      <c r="Q2128">
        <v>0.1755246</v>
      </c>
      <c r="R2128">
        <v>-4.797332E-2</v>
      </c>
      <c r="S2128">
        <v>-3.0965880000000001</v>
      </c>
      <c r="T2128">
        <v>-0.2337226</v>
      </c>
      <c r="U2128">
        <v>9.2864989999999994E-2</v>
      </c>
      <c r="V2128">
        <v>5.6654900000000001E-2</v>
      </c>
      <c r="W2128">
        <v>0.1877152</v>
      </c>
      <c r="X2128">
        <v>0.98058820000000002</v>
      </c>
      <c r="Y2128">
        <v>0.13489010000000001</v>
      </c>
      <c r="Z2128">
        <v>1.304756E-2</v>
      </c>
      <c r="AA2128">
        <v>0.99077459999999995</v>
      </c>
      <c r="AB2128">
        <v>22</v>
      </c>
      <c r="AC2128">
        <v>-0.68110000000001403</v>
      </c>
      <c r="AD2128">
        <v>-6.0505000000000003E-2</v>
      </c>
      <c r="AE2128">
        <v>3.5599999999988002E-2</v>
      </c>
      <c r="AF2128">
        <v>0.10663065704076601</v>
      </c>
      <c r="AG2128">
        <v>-6.0505000000000003E-2</v>
      </c>
      <c r="AH2128">
        <v>0.66825017606801296</v>
      </c>
      <c r="AI2128">
        <v>95.109304603568106</v>
      </c>
      <c r="AJ2128">
        <v>80.933916097411498</v>
      </c>
      <c r="AK2128">
        <v>0.67940359865169697</v>
      </c>
      <c r="AL2128">
        <v>79.180524140174796</v>
      </c>
      <c r="AM2128">
        <v>86.693329640169594</v>
      </c>
      <c r="AN2128">
        <v>0.99999999599214495</v>
      </c>
    </row>
    <row r="2129" spans="1:40" x14ac:dyDescent="0.25">
      <c r="A2129" t="str">
        <f>"20190312172125558"</f>
        <v>20190312172125558</v>
      </c>
      <c r="B2129" t="str">
        <f>"1552382485552734"</f>
        <v>1552382485552734</v>
      </c>
      <c r="C2129" t="s">
        <v>40</v>
      </c>
      <c r="D2129">
        <v>3.2405930000000001</v>
      </c>
      <c r="E2129">
        <v>0.52251029999999998</v>
      </c>
      <c r="F2129" t="s">
        <v>41</v>
      </c>
      <c r="G2129">
        <v>-212.58840000000001</v>
      </c>
      <c r="H2129">
        <v>1.0412629999999901</v>
      </c>
      <c r="I2129">
        <v>283.19779999999997</v>
      </c>
      <c r="J2129">
        <v>-211.84219999999999</v>
      </c>
      <c r="K2129">
        <v>1.110134</v>
      </c>
      <c r="L2129">
        <v>283.16590000000002</v>
      </c>
      <c r="M2129">
        <v>-0.99438649999999995</v>
      </c>
      <c r="N2129">
        <v>0</v>
      </c>
      <c r="O2129">
        <v>-0.10506790000000001</v>
      </c>
      <c r="P2129">
        <v>-0.98331219999999997</v>
      </c>
      <c r="Q2129">
        <v>0.17489759999999999</v>
      </c>
      <c r="R2129">
        <v>-5.0081439999999998E-2</v>
      </c>
      <c r="S2129">
        <v>-3.098328</v>
      </c>
      <c r="T2129">
        <v>-0.24591160000000001</v>
      </c>
      <c r="U2129">
        <v>7.1716310000000005E-2</v>
      </c>
      <c r="V2129">
        <v>5.3751479999999997E-2</v>
      </c>
      <c r="W2129">
        <v>0.18710160000000001</v>
      </c>
      <c r="X2129">
        <v>0.98086890000000004</v>
      </c>
      <c r="Y2129">
        <v>0.12733050000000001</v>
      </c>
      <c r="Z2129">
        <v>1.336101E-2</v>
      </c>
      <c r="AA2129">
        <v>0.99177029999999999</v>
      </c>
      <c r="AB2129">
        <v>22</v>
      </c>
      <c r="AC2129">
        <v>-0.74620000000001596</v>
      </c>
      <c r="AD2129">
        <v>-6.8871000000000099E-2</v>
      </c>
      <c r="AE2129">
        <v>3.1899999999950503E-2</v>
      </c>
      <c r="AF2129">
        <v>0.10920265523568801</v>
      </c>
      <c r="AG2129">
        <v>-6.8871000000000099E-2</v>
      </c>
      <c r="AH2129">
        <v>0.73248893327175602</v>
      </c>
      <c r="AI2129">
        <v>95.312967729115101</v>
      </c>
      <c r="AJ2129">
        <v>81.520548276141298</v>
      </c>
      <c r="AK2129">
        <v>0.74377985447114703</v>
      </c>
      <c r="AL2129">
        <v>79.216315173876694</v>
      </c>
      <c r="AM2129">
        <v>86.863336526192299</v>
      </c>
      <c r="AN2129">
        <v>1.00000001465598</v>
      </c>
    </row>
    <row r="2130" spans="1:40" x14ac:dyDescent="0.25">
      <c r="A2130" t="str">
        <f>"20190312172125580"</f>
        <v>20190312172125580</v>
      </c>
      <c r="B2130" t="str">
        <f>"1552382485573231"</f>
        <v>1552382485573231</v>
      </c>
      <c r="C2130" t="s">
        <v>40</v>
      </c>
      <c r="D2130">
        <v>3.2557700000000001</v>
      </c>
      <c r="E2130">
        <v>0.52136629999999995</v>
      </c>
      <c r="F2130" t="s">
        <v>41</v>
      </c>
      <c r="G2130">
        <v>-212.59280000000001</v>
      </c>
      <c r="H2130">
        <v>1.0491900000000001</v>
      </c>
      <c r="I2130">
        <v>283.18090000000001</v>
      </c>
      <c r="J2130">
        <v>-212.03729999999999</v>
      </c>
      <c r="K2130">
        <v>1.1104179999999999</v>
      </c>
      <c r="L2130">
        <v>283.1465</v>
      </c>
      <c r="M2130">
        <v>-0.99446979999999996</v>
      </c>
      <c r="N2130">
        <v>0</v>
      </c>
      <c r="O2130">
        <v>-0.104280399999999</v>
      </c>
      <c r="P2130">
        <v>-0.98301519999999998</v>
      </c>
      <c r="Q2130">
        <v>0.17550940000000001</v>
      </c>
      <c r="R2130">
        <v>-5.3644499999999998E-2</v>
      </c>
      <c r="S2130">
        <v>-3.0988310000000001</v>
      </c>
      <c r="T2130">
        <v>-0.25185160000000001</v>
      </c>
      <c r="U2130">
        <v>6.1584470000000002E-2</v>
      </c>
      <c r="V2130">
        <v>4.9269449999999999E-2</v>
      </c>
      <c r="W2130">
        <v>0.18773110000000001</v>
      </c>
      <c r="X2130">
        <v>0.98098399999999997</v>
      </c>
      <c r="Y2130">
        <v>0.1232796</v>
      </c>
      <c r="Z2130">
        <v>1.345259E-2</v>
      </c>
      <c r="AA2130">
        <v>0.99228079999999996</v>
      </c>
      <c r="AB2130">
        <v>22</v>
      </c>
      <c r="AC2130">
        <v>-0.55550000000002298</v>
      </c>
      <c r="AD2130">
        <v>-6.1227999999999998E-2</v>
      </c>
      <c r="AE2130">
        <v>3.4400000000005003E-2</v>
      </c>
      <c r="AF2130">
        <v>9.1042851376473499E-2</v>
      </c>
      <c r="AG2130">
        <v>-6.1227999999999998E-2</v>
      </c>
      <c r="AH2130">
        <v>0.54232003467101098</v>
      </c>
      <c r="AI2130">
        <v>96.353263262025393</v>
      </c>
      <c r="AJ2130">
        <v>80.470239798776802</v>
      </c>
      <c r="AK2130">
        <v>0.553307047466708</v>
      </c>
      <c r="AL2130">
        <v>79.179596981665895</v>
      </c>
      <c r="AM2130">
        <v>87.124762980040899</v>
      </c>
      <c r="AN2130">
        <v>1.00000002643325</v>
      </c>
    </row>
    <row r="2131" spans="1:40" x14ac:dyDescent="0.25">
      <c r="A2131" t="str">
        <f>"20190312172125591"</f>
        <v>20190312172125591</v>
      </c>
      <c r="B2131" t="str">
        <f>"1552382485582990"</f>
        <v>1552382485582990</v>
      </c>
      <c r="C2131" t="s">
        <v>40</v>
      </c>
      <c r="D2131">
        <v>3.2587480000000002</v>
      </c>
      <c r="E2131">
        <v>0.52096500000000001</v>
      </c>
      <c r="F2131" t="s">
        <v>41</v>
      </c>
      <c r="G2131">
        <v>-212.7833</v>
      </c>
      <c r="H2131">
        <v>1.048432</v>
      </c>
      <c r="I2131">
        <v>283.15660000000003</v>
      </c>
      <c r="J2131">
        <v>-212.15479999999999</v>
      </c>
      <c r="K2131">
        <v>1.110595</v>
      </c>
      <c r="L2131">
        <v>283.13470000000001</v>
      </c>
      <c r="M2131">
        <v>-0.9944925</v>
      </c>
      <c r="N2131">
        <v>0</v>
      </c>
      <c r="O2131">
        <v>-0.10406509999999999</v>
      </c>
      <c r="P2131">
        <v>-0.98283960000000004</v>
      </c>
      <c r="Q2131">
        <v>0.17600460000000001</v>
      </c>
      <c r="R2131">
        <v>-5.5216910000000001E-2</v>
      </c>
      <c r="S2131">
        <v>-3.1001430000000001</v>
      </c>
      <c r="T2131">
        <v>-0.25764700000000001</v>
      </c>
      <c r="U2131">
        <v>4.1748050000000002E-2</v>
      </c>
      <c r="V2131">
        <v>4.7393560000000001E-2</v>
      </c>
      <c r="W2131">
        <v>0.18823599999999999</v>
      </c>
      <c r="X2131">
        <v>0.98097970000000001</v>
      </c>
      <c r="Y2131">
        <v>0.1166956</v>
      </c>
      <c r="Z2131">
        <v>1.34644E-2</v>
      </c>
      <c r="AA2131">
        <v>0.99307639999999997</v>
      </c>
      <c r="AB2131">
        <v>22</v>
      </c>
      <c r="AC2131">
        <v>-0.62850000000000195</v>
      </c>
      <c r="AD2131">
        <v>-6.2162999999999899E-2</v>
      </c>
      <c r="AE2131">
        <v>2.1900000000016399E-2</v>
      </c>
      <c r="AF2131">
        <v>8.6347388214965806E-2</v>
      </c>
      <c r="AG2131">
        <v>-6.2162999999999899E-2</v>
      </c>
      <c r="AH2131">
        <v>0.61678142216450305</v>
      </c>
      <c r="AI2131">
        <v>95.699969763213403</v>
      </c>
      <c r="AJ2131">
        <v>82.030572815863195</v>
      </c>
      <c r="AK2131">
        <v>0.62589091122000895</v>
      </c>
      <c r="AL2131">
        <v>79.150143577438598</v>
      </c>
      <c r="AM2131">
        <v>87.234049582648296</v>
      </c>
      <c r="AN2131">
        <v>1.0000000565187801</v>
      </c>
    </row>
    <row r="2132" spans="1:40" x14ac:dyDescent="0.25">
      <c r="A2132" t="str">
        <f>"20190312172125604"</f>
        <v>20190312172125604</v>
      </c>
      <c r="B2132" t="str">
        <f>"1552382485592751"</f>
        <v>1552382485592751</v>
      </c>
      <c r="C2132" t="s">
        <v>40</v>
      </c>
      <c r="D2132">
        <v>3.248542</v>
      </c>
      <c r="E2132">
        <v>0.52059040000000001</v>
      </c>
      <c r="F2132" t="s">
        <v>41</v>
      </c>
      <c r="G2132">
        <v>-212.97069999999999</v>
      </c>
      <c r="H2132">
        <v>1.0420419999999999</v>
      </c>
      <c r="I2132">
        <v>283.14339999999999</v>
      </c>
      <c r="J2132">
        <v>-212.2741</v>
      </c>
      <c r="K2132">
        <v>1.110778</v>
      </c>
      <c r="L2132">
        <v>283.12259999999998</v>
      </c>
      <c r="M2132">
        <v>-0.99450519999999998</v>
      </c>
      <c r="N2132">
        <v>0</v>
      </c>
      <c r="O2132">
        <v>-0.1039453</v>
      </c>
      <c r="P2132">
        <v>-0.98277130000000001</v>
      </c>
      <c r="Q2132">
        <v>0.17586379999999999</v>
      </c>
      <c r="R2132">
        <v>-5.6855759999999998E-2</v>
      </c>
      <c r="S2132">
        <v>-3.1008909999999998</v>
      </c>
      <c r="T2132">
        <v>-0.26080750000000003</v>
      </c>
      <c r="U2132">
        <v>3.207397E-2</v>
      </c>
      <c r="V2132">
        <v>4.5554490000000003E-2</v>
      </c>
      <c r="W2132">
        <v>0.18810579999999999</v>
      </c>
      <c r="X2132">
        <v>0.98109170000000001</v>
      </c>
      <c r="Y2132">
        <v>0.11346779999999999</v>
      </c>
      <c r="Z2132">
        <v>1.348008E-2</v>
      </c>
      <c r="AA2132">
        <v>0.99345019999999995</v>
      </c>
      <c r="AB2132">
        <v>22</v>
      </c>
      <c r="AC2132">
        <v>-0.69659999999998901</v>
      </c>
      <c r="AD2132">
        <v>-6.8736000000000103E-2</v>
      </c>
      <c r="AE2132">
        <v>2.0800000000008301E-2</v>
      </c>
      <c r="AF2132">
        <v>9.2204265155903201E-2</v>
      </c>
      <c r="AG2132">
        <v>-6.8736000000000103E-2</v>
      </c>
      <c r="AH2132">
        <v>0.68400980415490797</v>
      </c>
      <c r="AI2132">
        <v>95.687279492931907</v>
      </c>
      <c r="AJ2132">
        <v>82.322827676776996</v>
      </c>
      <c r="AK2132">
        <v>0.69361060861911294</v>
      </c>
      <c r="AL2132">
        <v>79.157738154174396</v>
      </c>
      <c r="AM2132">
        <v>87.341526093647602</v>
      </c>
      <c r="AN2132">
        <v>0.99999996368084398</v>
      </c>
    </row>
    <row r="2133" spans="1:40" x14ac:dyDescent="0.25">
      <c r="A2133" t="str">
        <f>"20190312172125616"</f>
        <v>20190312172125616</v>
      </c>
      <c r="B2133" t="str">
        <f>"1552382485613247"</f>
        <v>1552382485613247</v>
      </c>
      <c r="C2133" t="s">
        <v>40</v>
      </c>
      <c r="D2133">
        <v>3.5193469999999998</v>
      </c>
      <c r="E2133">
        <v>0.51995990000000003</v>
      </c>
      <c r="F2133" t="s">
        <v>41</v>
      </c>
      <c r="G2133">
        <v>-213.15960000000001</v>
      </c>
      <c r="H2133">
        <v>1.0350919999999999</v>
      </c>
      <c r="I2133">
        <v>283.12900000000002</v>
      </c>
      <c r="J2133">
        <v>-212.39519999999999</v>
      </c>
      <c r="K2133">
        <v>1.1109659999999999</v>
      </c>
      <c r="L2133">
        <v>283.11</v>
      </c>
      <c r="M2133">
        <v>-0.99449940000000003</v>
      </c>
      <c r="N2133">
        <v>0</v>
      </c>
      <c r="O2133">
        <v>-0.1040022</v>
      </c>
      <c r="P2133">
        <v>-0.98274700000000004</v>
      </c>
      <c r="Q2133">
        <v>0.1754394</v>
      </c>
      <c r="R2133">
        <v>-5.8561149999999999E-2</v>
      </c>
      <c r="S2133">
        <v>-3.1013639999999998</v>
      </c>
      <c r="T2133">
        <v>-0.2651905</v>
      </c>
      <c r="U2133">
        <v>2.2460939999999999E-2</v>
      </c>
      <c r="V2133">
        <v>4.3826490000000003E-2</v>
      </c>
      <c r="W2133">
        <v>0.1876931</v>
      </c>
      <c r="X2133">
        <v>0.9812495</v>
      </c>
      <c r="Y2133">
        <v>0.1104287</v>
      </c>
      <c r="Z2133">
        <v>1.3578700000000001E-2</v>
      </c>
      <c r="AA2133">
        <v>0.99379130000000004</v>
      </c>
      <c r="AB2133">
        <v>22</v>
      </c>
      <c r="AC2133">
        <v>-0.76440000000002295</v>
      </c>
      <c r="AD2133">
        <v>-7.5873999999999997E-2</v>
      </c>
      <c r="AE2133">
        <v>1.9000000000005401E-2</v>
      </c>
      <c r="AF2133">
        <v>9.7442912012964206E-2</v>
      </c>
      <c r="AG2133">
        <v>-7.5873999999999997E-2</v>
      </c>
      <c r="AH2133">
        <v>0.75088438423409198</v>
      </c>
      <c r="AI2133">
        <v>95.722275939766106</v>
      </c>
      <c r="AJ2133">
        <v>82.605998837571406</v>
      </c>
      <c r="AK2133">
        <v>0.760972629904767</v>
      </c>
      <c r="AL2133">
        <v>79.181813566014796</v>
      </c>
      <c r="AM2133">
        <v>87.442643130651604</v>
      </c>
      <c r="AN2133">
        <v>1.0000000211317801</v>
      </c>
    </row>
    <row r="2134" spans="1:40" x14ac:dyDescent="0.25">
      <c r="A2134" t="str">
        <f>"20190312172125635"</f>
        <v>20190312172125635</v>
      </c>
      <c r="B2134" t="str">
        <f>"1552382485623006"</f>
        <v>1552382485623006</v>
      </c>
      <c r="C2134" t="s">
        <v>40</v>
      </c>
      <c r="D2134">
        <v>3.413151</v>
      </c>
      <c r="E2134">
        <v>0.51995990000000003</v>
      </c>
      <c r="F2134" t="s">
        <v>41</v>
      </c>
      <c r="G2134">
        <v>-213.1618</v>
      </c>
      <c r="H2134">
        <v>1.0432650000000001</v>
      </c>
      <c r="I2134">
        <v>283.113</v>
      </c>
      <c r="J2134">
        <v>-212.57140000000001</v>
      </c>
      <c r="K2134">
        <v>1.111218</v>
      </c>
      <c r="L2134">
        <v>283.0915</v>
      </c>
      <c r="M2134">
        <v>-0.99446029999999996</v>
      </c>
      <c r="N2134">
        <v>0</v>
      </c>
      <c r="O2134">
        <v>-0.10437730000000001</v>
      </c>
      <c r="P2134">
        <v>-0.98313050000000002</v>
      </c>
      <c r="Q2134">
        <v>0.171808399999999</v>
      </c>
      <c r="R2134">
        <v>-6.2741320000000003E-2</v>
      </c>
      <c r="S2134">
        <v>-3.1023100000000001</v>
      </c>
      <c r="T2134">
        <v>-0.27407540000000002</v>
      </c>
      <c r="U2134">
        <v>1.1627200000000001E-2</v>
      </c>
      <c r="V2134">
        <v>3.9965559999999997E-2</v>
      </c>
      <c r="W2134">
        <v>0.1840841</v>
      </c>
      <c r="X2134">
        <v>0.98209760000000002</v>
      </c>
      <c r="Y2134">
        <v>0.1072886</v>
      </c>
      <c r="Z2134">
        <v>1.392185E-2</v>
      </c>
      <c r="AA2134">
        <v>0.99413039999999997</v>
      </c>
      <c r="AB2134">
        <v>22</v>
      </c>
      <c r="AC2134">
        <v>-0.59039999999998805</v>
      </c>
      <c r="AD2134">
        <v>-6.7953000000000097E-2</v>
      </c>
      <c r="AE2134">
        <v>2.15000000000031E-2</v>
      </c>
      <c r="AF2134">
        <v>8.1927772856194098E-2</v>
      </c>
      <c r="AG2134">
        <v>-6.7953000000000097E-2</v>
      </c>
      <c r="AH2134">
        <v>0.57729292205211202</v>
      </c>
      <c r="AI2134">
        <v>96.647377145329898</v>
      </c>
      <c r="AJ2134">
        <v>81.922684402364297</v>
      </c>
      <c r="AK2134">
        <v>0.58702375422604602</v>
      </c>
      <c r="AL2134">
        <v>79.392261327426993</v>
      </c>
      <c r="AM2134">
        <v>87.669686637638307</v>
      </c>
      <c r="AN2134">
        <v>0.99999994889234001</v>
      </c>
    </row>
    <row r="2135" spans="1:40" x14ac:dyDescent="0.25">
      <c r="A2135" t="str">
        <f>"20190312172125648"</f>
        <v>20190312172125648</v>
      </c>
      <c r="B2135" t="str">
        <f>"1552382485643502"</f>
        <v>1552382485643502</v>
      </c>
      <c r="C2135" t="s">
        <v>40</v>
      </c>
      <c r="D2135">
        <v>3.2866080000000002</v>
      </c>
      <c r="E2135">
        <v>0.51041219999999998</v>
      </c>
      <c r="F2135" t="s">
        <v>41</v>
      </c>
      <c r="G2135">
        <v>-213.35130000000001</v>
      </c>
      <c r="H2135">
        <v>1.039615</v>
      </c>
      <c r="I2135">
        <v>283.0917</v>
      </c>
      <c r="J2135">
        <v>-212.6909</v>
      </c>
      <c r="K2135">
        <v>1.1113820000000001</v>
      </c>
      <c r="L2135">
        <v>283.07859999999999</v>
      </c>
      <c r="M2135">
        <v>-0.99441310000000005</v>
      </c>
      <c r="N2135">
        <v>0</v>
      </c>
      <c r="O2135">
        <v>-0.1048254</v>
      </c>
      <c r="P2135">
        <v>-0.98320320000000005</v>
      </c>
      <c r="Q2135">
        <v>0.17048250000000001</v>
      </c>
      <c r="R2135">
        <v>-6.5171000000000007E-2</v>
      </c>
      <c r="S2135">
        <v>-3.101318</v>
      </c>
      <c r="T2135">
        <v>-0.28510170000000001</v>
      </c>
      <c r="U2135">
        <v>1.220703E-4</v>
      </c>
      <c r="V2135">
        <v>3.7926649999999999E-2</v>
      </c>
      <c r="W2135">
        <v>0.1827693</v>
      </c>
      <c r="X2135">
        <v>0.98242399999999996</v>
      </c>
      <c r="Y2135">
        <v>0.1039933</v>
      </c>
      <c r="Z2135">
        <v>1.437362E-2</v>
      </c>
      <c r="AA2135">
        <v>0.99447410000000003</v>
      </c>
      <c r="AB2135">
        <v>22</v>
      </c>
      <c r="AC2135">
        <v>-0.66040000000000898</v>
      </c>
      <c r="AD2135">
        <v>-7.17669999999999E-2</v>
      </c>
      <c r="AE2135">
        <v>1.3100000000008501E-2</v>
      </c>
      <c r="AF2135">
        <v>8.1300104496674103E-2</v>
      </c>
      <c r="AG2135">
        <v>-7.17669999999999E-2</v>
      </c>
      <c r="AH2135">
        <v>0.647741177957602</v>
      </c>
      <c r="AI2135">
        <v>96.273520234353199</v>
      </c>
      <c r="AJ2135">
        <v>82.846030483567304</v>
      </c>
      <c r="AK2135">
        <v>0.65675630404440899</v>
      </c>
      <c r="AL2135">
        <v>79.468894376021694</v>
      </c>
      <c r="AM2135">
        <v>87.789184298280702</v>
      </c>
      <c r="AN2135">
        <v>0.99999998178935601</v>
      </c>
    </row>
    <row r="2136" spans="1:40" x14ac:dyDescent="0.25">
      <c r="A2136" t="str">
        <f>"20190312172125661"</f>
        <v>20190312172125661</v>
      </c>
      <c r="B2136" t="str">
        <f>"1552382485653263"</f>
        <v>1552382485653263</v>
      </c>
      <c r="C2136" t="s">
        <v>40</v>
      </c>
      <c r="D2136">
        <v>3.3172039999999998</v>
      </c>
      <c r="E2136">
        <v>0.51112679999999999</v>
      </c>
      <c r="F2136" t="s">
        <v>41</v>
      </c>
      <c r="G2136">
        <v>-213.52189999999999</v>
      </c>
      <c r="H2136">
        <v>1.0008429999999999</v>
      </c>
      <c r="I2136">
        <v>283.0582</v>
      </c>
      <c r="J2136">
        <v>-212.8192</v>
      </c>
      <c r="K2136">
        <v>1.1115489999999999</v>
      </c>
      <c r="L2136">
        <v>283.06459999999998</v>
      </c>
      <c r="M2136">
        <v>-0.99434940000000005</v>
      </c>
      <c r="N2136">
        <v>0</v>
      </c>
      <c r="O2136">
        <v>-0.10542989999999999</v>
      </c>
      <c r="P2136">
        <v>-0.983294</v>
      </c>
      <c r="Q2136">
        <v>0.16916610000000001</v>
      </c>
      <c r="R2136">
        <v>-6.7201109999999994E-2</v>
      </c>
      <c r="S2136">
        <v>-3.1180729999999999</v>
      </c>
      <c r="T2136">
        <v>-0.41502149999999999</v>
      </c>
      <c r="U2136">
        <v>-7.7270510000000001E-2</v>
      </c>
      <c r="V2136">
        <v>3.6440199999999999E-2</v>
      </c>
      <c r="W2136">
        <v>0.1814635</v>
      </c>
      <c r="X2136">
        <v>0.98272230000000005</v>
      </c>
      <c r="Y2136">
        <v>7.9146629999999996E-2</v>
      </c>
      <c r="Z2136">
        <v>1.918949E-2</v>
      </c>
      <c r="AA2136">
        <v>0.99667830000000002</v>
      </c>
      <c r="AB2136">
        <v>22</v>
      </c>
      <c r="AC2136">
        <v>-0.702699999999992</v>
      </c>
      <c r="AD2136">
        <v>-0.110705999999999</v>
      </c>
      <c r="AE2136">
        <v>-6.39999999998508E-3</v>
      </c>
      <c r="AF2136">
        <v>6.6086821942437798E-2</v>
      </c>
      <c r="AG2136">
        <v>-0.110705999999999</v>
      </c>
      <c r="AH2136">
        <v>0.68251912323640895</v>
      </c>
      <c r="AI2136">
        <v>99.171095133233393</v>
      </c>
      <c r="AJ2136">
        <v>84.469417205970203</v>
      </c>
      <c r="AK2136">
        <v>0.69459026775059796</v>
      </c>
      <c r="AL2136">
        <v>79.544983894733306</v>
      </c>
      <c r="AM2136">
        <v>87.876395478918894</v>
      </c>
      <c r="AN2136">
        <v>1.0000000044627899</v>
      </c>
    </row>
    <row r="2137" spans="1:40" x14ac:dyDescent="0.25">
      <c r="A2137" t="str">
        <f>"20190312172125680"</f>
        <v>20190312172125680</v>
      </c>
      <c r="B2137" t="str">
        <f>"1552382485672782"</f>
        <v>1552382485672782</v>
      </c>
      <c r="C2137" t="s">
        <v>40</v>
      </c>
      <c r="D2137">
        <v>3.3182049999999998</v>
      </c>
      <c r="E2137">
        <v>0.51189490000000004</v>
      </c>
      <c r="F2137" t="s">
        <v>41</v>
      </c>
      <c r="G2137">
        <v>-213.70939999999999</v>
      </c>
      <c r="H2137">
        <v>0.9927146</v>
      </c>
      <c r="I2137">
        <v>283.04289999999997</v>
      </c>
      <c r="J2137">
        <v>-213.00229999999999</v>
      </c>
      <c r="K2137">
        <v>1.1117680000000001</v>
      </c>
      <c r="L2137">
        <v>283.04410000000001</v>
      </c>
      <c r="M2137">
        <v>-0.99422089999999996</v>
      </c>
      <c r="N2137">
        <v>0</v>
      </c>
      <c r="O2137">
        <v>-0.1066347</v>
      </c>
      <c r="P2137">
        <v>-0.98319259999999997</v>
      </c>
      <c r="Q2137">
        <v>0.1683849</v>
      </c>
      <c r="R2137">
        <v>-7.0561659999999998E-2</v>
      </c>
      <c r="S2137">
        <v>-3.1173709999999999</v>
      </c>
      <c r="T2137">
        <v>-0.41644189999999998</v>
      </c>
      <c r="U2137">
        <v>-7.6782230000000007E-2</v>
      </c>
      <c r="V2137">
        <v>3.4180699999999897E-2</v>
      </c>
      <c r="W2137">
        <v>0.18069350000000001</v>
      </c>
      <c r="X2137">
        <v>0.98294530000000002</v>
      </c>
      <c r="Y2137">
        <v>8.047058E-2</v>
      </c>
      <c r="Z2137">
        <v>1.9506409999999998E-2</v>
      </c>
      <c r="AA2137">
        <v>0.99656610000000001</v>
      </c>
      <c r="AB2137">
        <v>22</v>
      </c>
      <c r="AC2137">
        <v>-0.70709999999999695</v>
      </c>
      <c r="AD2137">
        <v>-0.119053399999999</v>
      </c>
      <c r="AE2137">
        <v>-1.20000000003983E-3</v>
      </c>
      <c r="AF2137">
        <v>7.2168223568802203E-2</v>
      </c>
      <c r="AG2137">
        <v>-0.119053399999999</v>
      </c>
      <c r="AH2137">
        <v>0.68381105494049699</v>
      </c>
      <c r="AI2137">
        <v>99.822875766409197</v>
      </c>
      <c r="AJ2137">
        <v>83.975405478498402</v>
      </c>
      <c r="AK2137">
        <v>0.69783918161957004</v>
      </c>
      <c r="AL2137">
        <v>79.589842784550001</v>
      </c>
      <c r="AM2137">
        <v>88.008413037747403</v>
      </c>
      <c r="AN2137">
        <v>0.99999996199341401</v>
      </c>
    </row>
    <row r="2138" spans="1:40" x14ac:dyDescent="0.25">
      <c r="A2138" t="str">
        <f>"20190312172125694"</f>
        <v>20190312172125694</v>
      </c>
      <c r="B2138" t="str">
        <f>"1552382485683518"</f>
        <v>1552382485683518</v>
      </c>
      <c r="C2138" t="s">
        <v>40</v>
      </c>
      <c r="D2138">
        <v>3.2993890000000001</v>
      </c>
      <c r="E2138">
        <v>0.51193169999999999</v>
      </c>
      <c r="F2138" t="s">
        <v>41</v>
      </c>
      <c r="G2138">
        <v>-213.89959999999999</v>
      </c>
      <c r="H2138">
        <v>0.99192360000000002</v>
      </c>
      <c r="I2138">
        <v>283.01979999999998</v>
      </c>
      <c r="J2138">
        <v>-213.14109999999999</v>
      </c>
      <c r="K2138">
        <v>1.1119139999999901</v>
      </c>
      <c r="L2138">
        <v>283.02800000000002</v>
      </c>
      <c r="M2138">
        <v>-0.99409709999999996</v>
      </c>
      <c r="N2138">
        <v>0</v>
      </c>
      <c r="O2138">
        <v>-0.1077837</v>
      </c>
      <c r="P2138">
        <v>-0.98303960000000001</v>
      </c>
      <c r="Q2138">
        <v>0.1681761</v>
      </c>
      <c r="R2138">
        <v>-7.3144470000000003E-2</v>
      </c>
      <c r="S2138">
        <v>-3.1165470000000002</v>
      </c>
      <c r="T2138">
        <v>-0.4163772</v>
      </c>
      <c r="U2138">
        <v>-8.4594730000000007E-2</v>
      </c>
      <c r="V2138">
        <v>3.2669440000000001E-2</v>
      </c>
      <c r="W2138">
        <v>0.18049080000000001</v>
      </c>
      <c r="X2138">
        <v>0.98303399999999996</v>
      </c>
      <c r="Y2138">
        <v>7.9121079999999996E-2</v>
      </c>
      <c r="Z2138">
        <v>1.9569719999999999E-2</v>
      </c>
      <c r="AA2138">
        <v>0.99667289999999997</v>
      </c>
      <c r="AB2138">
        <v>22</v>
      </c>
      <c r="AC2138">
        <v>-0.75849999999999795</v>
      </c>
      <c r="AD2138">
        <v>-0.119990399999999</v>
      </c>
      <c r="AE2138">
        <v>-8.2000000000448294E-3</v>
      </c>
      <c r="AF2138">
        <v>7.1811099822194205E-2</v>
      </c>
      <c r="AG2138">
        <v>-0.119990399999999</v>
      </c>
      <c r="AH2138">
        <v>0.73653452029700095</v>
      </c>
      <c r="AI2138">
        <v>99.209972231388903</v>
      </c>
      <c r="AJ2138">
        <v>84.431341206278404</v>
      </c>
      <c r="AK2138">
        <v>0.74969168978918699</v>
      </c>
      <c r="AL2138">
        <v>79.601651534286404</v>
      </c>
      <c r="AM2138">
        <v>88.096574100131093</v>
      </c>
      <c r="AN2138">
        <v>1.0000000331752701</v>
      </c>
    </row>
    <row r="2139" spans="1:40" x14ac:dyDescent="0.25">
      <c r="A2139" t="str">
        <f>"20190312172125715"</f>
        <v>20190312172125715</v>
      </c>
      <c r="B2139" t="str">
        <f>"1552382485712799"</f>
        <v>1552382485712799</v>
      </c>
      <c r="C2139" t="s">
        <v>40</v>
      </c>
      <c r="D2139">
        <v>3.3158729999999998</v>
      </c>
      <c r="E2139">
        <v>0.51225329999999902</v>
      </c>
      <c r="F2139" t="s">
        <v>41</v>
      </c>
      <c r="G2139">
        <v>-213.90729999999999</v>
      </c>
      <c r="H2139">
        <v>1.010707</v>
      </c>
      <c r="I2139">
        <v>283.005</v>
      </c>
      <c r="J2139">
        <v>-213.3407</v>
      </c>
      <c r="K2139">
        <v>1.1120939999999999</v>
      </c>
      <c r="L2139">
        <v>283.00439999999998</v>
      </c>
      <c r="M2139">
        <v>-0.99389419999999995</v>
      </c>
      <c r="N2139">
        <v>0</v>
      </c>
      <c r="O2139">
        <v>-0.1096391</v>
      </c>
      <c r="P2139">
        <v>-0.98283169999999997</v>
      </c>
      <c r="Q2139">
        <v>0.16704289999999999</v>
      </c>
      <c r="R2139">
        <v>-7.8351439999999994E-2</v>
      </c>
      <c r="S2139">
        <v>-3.1152039999999999</v>
      </c>
      <c r="T2139">
        <v>-0.41168680000000002</v>
      </c>
      <c r="U2139">
        <v>-9.3872070000000002E-2</v>
      </c>
      <c r="V2139">
        <v>2.9235069999999998E-2</v>
      </c>
      <c r="W2139">
        <v>0.1793604</v>
      </c>
      <c r="X2139">
        <v>0.98334900000000003</v>
      </c>
      <c r="Y2139">
        <v>7.8033480000000002E-2</v>
      </c>
      <c r="Z2139">
        <v>1.9529339999999999E-2</v>
      </c>
      <c r="AA2139">
        <v>0.99675939999999996</v>
      </c>
      <c r="AB2139">
        <v>22</v>
      </c>
      <c r="AC2139">
        <v>-0.566599999999994</v>
      </c>
      <c r="AD2139">
        <v>-0.101387</v>
      </c>
      <c r="AE2139">
        <v>6.0000000001991696E-4</v>
      </c>
      <c r="AF2139">
        <v>6.0776645900092199E-2</v>
      </c>
      <c r="AG2139">
        <v>-0.101387</v>
      </c>
      <c r="AH2139">
        <v>0.54564672630227495</v>
      </c>
      <c r="AI2139">
        <v>100.46286213502199</v>
      </c>
      <c r="AJ2139">
        <v>83.644329686463195</v>
      </c>
      <c r="AK2139">
        <v>0.55830410564517197</v>
      </c>
      <c r="AL2139">
        <v>79.667493373034404</v>
      </c>
      <c r="AM2139">
        <v>88.297092005466098</v>
      </c>
      <c r="AN2139">
        <v>1.0000000491035299</v>
      </c>
    </row>
    <row r="2140" spans="1:40" x14ac:dyDescent="0.25">
      <c r="A2140" t="str">
        <f>"20190312172125736"</f>
        <v>20190312172125736</v>
      </c>
      <c r="B2140" t="str">
        <f>"1552382485733295"</f>
        <v>1552382485733295</v>
      </c>
      <c r="C2140" t="s">
        <v>40</v>
      </c>
      <c r="D2140">
        <v>3.3027009999999999</v>
      </c>
      <c r="E2140">
        <v>0.512434099999999</v>
      </c>
      <c r="F2140" t="s">
        <v>41</v>
      </c>
      <c r="G2140">
        <v>-214.0984</v>
      </c>
      <c r="H2140">
        <v>1.0129090000000001</v>
      </c>
      <c r="I2140">
        <v>282.97840000000002</v>
      </c>
      <c r="J2140">
        <v>-213.53620000000001</v>
      </c>
      <c r="K2140">
        <v>1.1122259999999999</v>
      </c>
      <c r="L2140">
        <v>282.98059999999998</v>
      </c>
      <c r="M2140">
        <v>-0.99366500000000002</v>
      </c>
      <c r="N2140">
        <v>0</v>
      </c>
      <c r="O2140">
        <v>-0.111696699999999</v>
      </c>
      <c r="P2140">
        <v>-0.98248550000000001</v>
      </c>
      <c r="Q2140">
        <v>0.1661531</v>
      </c>
      <c r="R2140">
        <v>-8.4353209999999998E-2</v>
      </c>
      <c r="S2140">
        <v>-3.113159</v>
      </c>
      <c r="T2140">
        <v>-0.40753800000000001</v>
      </c>
      <c r="U2140">
        <v>-0.106781</v>
      </c>
      <c r="V2140">
        <v>2.5218580000000001E-2</v>
      </c>
      <c r="W2140">
        <v>0.17846529999999899</v>
      </c>
      <c r="X2140">
        <v>0.98362300000000003</v>
      </c>
      <c r="Y2140">
        <v>7.5979550000000007E-2</v>
      </c>
      <c r="Z2140">
        <v>1.947753E-2</v>
      </c>
      <c r="AA2140">
        <v>0.99691909999999895</v>
      </c>
      <c r="AB2140">
        <v>22</v>
      </c>
      <c r="AC2140">
        <v>-0.56219999999999004</v>
      </c>
      <c r="AD2140">
        <v>-9.9316999999999794E-2</v>
      </c>
      <c r="AE2140">
        <v>-2.1999999999593399E-3</v>
      </c>
      <c r="AF2140">
        <v>5.8780101125679302E-2</v>
      </c>
      <c r="AG2140">
        <v>-9.9316999999999794E-2</v>
      </c>
      <c r="AH2140">
        <v>0.54201231087664703</v>
      </c>
      <c r="AI2140">
        <v>100.32432597325899</v>
      </c>
      <c r="AJ2140">
        <v>83.810581428899894</v>
      </c>
      <c r="AK2140">
        <v>0.55416271249443305</v>
      </c>
      <c r="AL2140">
        <v>79.719619619659795</v>
      </c>
      <c r="AM2140">
        <v>88.531346127772196</v>
      </c>
      <c r="AN2140">
        <v>1.00000002310515</v>
      </c>
    </row>
    <row r="2141" spans="1:40" x14ac:dyDescent="0.25">
      <c r="A2141" t="str">
        <f>"20190312172125757"</f>
        <v>20190312172125757</v>
      </c>
      <c r="B2141" t="str">
        <f>"1552382485752815"</f>
        <v>1552382485752815</v>
      </c>
      <c r="C2141" t="s">
        <v>40</v>
      </c>
      <c r="D2141">
        <v>3.3176559999999999</v>
      </c>
      <c r="E2141">
        <v>0.51260539999999999</v>
      </c>
      <c r="F2141" t="s">
        <v>41</v>
      </c>
      <c r="G2141">
        <v>-214.28870000000001</v>
      </c>
      <c r="H2141">
        <v>1.0139629999999999</v>
      </c>
      <c r="I2141">
        <v>282.95100000000002</v>
      </c>
      <c r="J2141">
        <v>-213.7379</v>
      </c>
      <c r="K2141">
        <v>1.1123130000000001</v>
      </c>
      <c r="L2141">
        <v>282.9554</v>
      </c>
      <c r="M2141">
        <v>-0.9934037</v>
      </c>
      <c r="N2141">
        <v>0</v>
      </c>
      <c r="O2141">
        <v>-0.11399860000000001</v>
      </c>
      <c r="P2141">
        <v>-0.98178600000000005</v>
      </c>
      <c r="Q2141">
        <v>0.16766239999999999</v>
      </c>
      <c r="R2141">
        <v>-8.9362369999999997E-2</v>
      </c>
      <c r="S2141">
        <v>-3.1116790000000001</v>
      </c>
      <c r="T2141">
        <v>-0.4064584</v>
      </c>
      <c r="U2141">
        <v>-0.1227417</v>
      </c>
      <c r="V2141">
        <v>2.2400819999999998E-2</v>
      </c>
      <c r="W2141">
        <v>0.17996319999999999</v>
      </c>
      <c r="X2141">
        <v>0.98341820000000002</v>
      </c>
      <c r="Y2141">
        <v>7.3178179999999995E-2</v>
      </c>
      <c r="Z2141">
        <v>1.9548090000000001E-2</v>
      </c>
      <c r="AA2141">
        <v>0.99712730000000005</v>
      </c>
      <c r="AB2141">
        <v>22</v>
      </c>
      <c r="AC2141">
        <v>-0.55080000000000895</v>
      </c>
      <c r="AD2141">
        <v>-9.8349999999999896E-2</v>
      </c>
      <c r="AE2141">
        <v>-4.4000000000323702E-3</v>
      </c>
      <c r="AF2141">
        <v>5.6618863090559898E-2</v>
      </c>
      <c r="AG2141">
        <v>-9.8349999999999896E-2</v>
      </c>
      <c r="AH2141">
        <v>0.53078825715689804</v>
      </c>
      <c r="AI2141">
        <v>100.439397902045</v>
      </c>
      <c r="AJ2141">
        <v>83.911317194236403</v>
      </c>
      <c r="AK2141">
        <v>0.54278411186522801</v>
      </c>
      <c r="AL2141">
        <v>79.632383190703194</v>
      </c>
      <c r="AM2141">
        <v>88.695112078174105</v>
      </c>
      <c r="AN2141">
        <v>0.99999995309107503</v>
      </c>
    </row>
    <row r="2142" spans="1:40" x14ac:dyDescent="0.25">
      <c r="A2142" t="str">
        <f>"20190312172125772"</f>
        <v>20190312172125772</v>
      </c>
      <c r="B2142" t="str">
        <f>"1552382485763551"</f>
        <v>1552382485763551</v>
      </c>
      <c r="C2142" t="s">
        <v>40</v>
      </c>
      <c r="D2142">
        <v>3.3177859999999999</v>
      </c>
      <c r="E2142">
        <v>0.51271560000000005</v>
      </c>
      <c r="F2142" t="s">
        <v>41</v>
      </c>
      <c r="G2142">
        <v>-214.48</v>
      </c>
      <c r="H2142">
        <v>1.0173049999999999</v>
      </c>
      <c r="I2142">
        <v>282.92309999999998</v>
      </c>
      <c r="J2142">
        <v>-213.8783</v>
      </c>
      <c r="K2142">
        <v>1.112347</v>
      </c>
      <c r="L2142">
        <v>282.93740000000003</v>
      </c>
      <c r="M2142">
        <v>-0.99321000000000004</v>
      </c>
      <c r="N2142">
        <v>0</v>
      </c>
      <c r="O2142">
        <v>-0.115673</v>
      </c>
      <c r="P2142">
        <v>-0.98130980000000001</v>
      </c>
      <c r="Q2142">
        <v>0.16885600000000001</v>
      </c>
      <c r="R2142">
        <v>-9.2296169999999997E-2</v>
      </c>
      <c r="S2142">
        <v>-3.1113740000000001</v>
      </c>
      <c r="T2142">
        <v>-0.39869520000000003</v>
      </c>
      <c r="U2142">
        <v>-0.13613889999999901</v>
      </c>
      <c r="V2142">
        <v>2.1074610000000001E-2</v>
      </c>
      <c r="W2142">
        <v>0.18114930000000001</v>
      </c>
      <c r="X2142">
        <v>0.98322980000000004</v>
      </c>
      <c r="Y2142">
        <v>7.0635909999999996E-2</v>
      </c>
      <c r="Z2142">
        <v>1.922718E-2</v>
      </c>
      <c r="AA2142">
        <v>0.9973168</v>
      </c>
      <c r="AB2142">
        <v>22</v>
      </c>
      <c r="AC2142">
        <v>-0.60169999999999302</v>
      </c>
      <c r="AD2142">
        <v>-9.5042000000000001E-2</v>
      </c>
      <c r="AE2142">
        <v>-1.43000000000483E-2</v>
      </c>
      <c r="AF2142">
        <v>5.4053912058543901E-2</v>
      </c>
      <c r="AG2142">
        <v>-9.5042000000000001E-2</v>
      </c>
      <c r="AH2142">
        <v>0.58473373597886102</v>
      </c>
      <c r="AI2142">
        <v>99.193535171688595</v>
      </c>
      <c r="AJ2142">
        <v>84.718478158946994</v>
      </c>
      <c r="AK2142">
        <v>0.59486834607720496</v>
      </c>
      <c r="AL2142">
        <v>79.563289820181296</v>
      </c>
      <c r="AM2142">
        <v>88.772106637968093</v>
      </c>
      <c r="AN2142">
        <v>1.0000000238425899</v>
      </c>
    </row>
    <row r="2143" spans="1:40" x14ac:dyDescent="0.25">
      <c r="A2143" t="str">
        <f>"20190312172125792"</f>
        <v>20190312172125792</v>
      </c>
      <c r="B2143" t="str">
        <f>"1552382485783070"</f>
        <v>1552382485783070</v>
      </c>
      <c r="C2143" t="s">
        <v>40</v>
      </c>
      <c r="D2143">
        <v>3.3120829999999999</v>
      </c>
      <c r="E2143">
        <v>0.50303089999999995</v>
      </c>
      <c r="F2143" t="s">
        <v>41</v>
      </c>
      <c r="G2143">
        <v>-214.66759999999999</v>
      </c>
      <c r="H2143">
        <v>1.0123340000000001</v>
      </c>
      <c r="I2143">
        <v>282.9006</v>
      </c>
      <c r="J2143">
        <v>-214.071</v>
      </c>
      <c r="K2143">
        <v>1.1123749999999999</v>
      </c>
      <c r="L2143">
        <v>282.91219999999998</v>
      </c>
      <c r="M2143">
        <v>-0.99293580000000004</v>
      </c>
      <c r="N2143">
        <v>0</v>
      </c>
      <c r="O2143">
        <v>-0.118004399999999</v>
      </c>
      <c r="P2143">
        <v>-0.98043009999999997</v>
      </c>
      <c r="Q2143">
        <v>0.1715024</v>
      </c>
      <c r="R2143">
        <v>-9.6663490000000005E-2</v>
      </c>
      <c r="S2143">
        <v>-3.1113740000000001</v>
      </c>
      <c r="T2143">
        <v>-0.39432349999999999</v>
      </c>
      <c r="U2143">
        <v>-0.14511109999999999</v>
      </c>
      <c r="V2143">
        <v>1.8932270000000001E-2</v>
      </c>
      <c r="W2143">
        <v>0.18377850000000001</v>
      </c>
      <c r="X2143">
        <v>0.98278529999999997</v>
      </c>
      <c r="Y2143">
        <v>7.0126339999999995E-2</v>
      </c>
      <c r="Z2143">
        <v>1.92763E-2</v>
      </c>
      <c r="AA2143">
        <v>0.99735180000000001</v>
      </c>
      <c r="AB2143">
        <v>22</v>
      </c>
      <c r="AC2143">
        <v>-0.59659999999999502</v>
      </c>
      <c r="AD2143">
        <v>-0.10004099999999901</v>
      </c>
      <c r="AE2143">
        <v>-1.15999999999871E-2</v>
      </c>
      <c r="AF2143">
        <v>5.7277936970860699E-2</v>
      </c>
      <c r="AG2143">
        <v>-0.10004099999999901</v>
      </c>
      <c r="AH2143">
        <v>0.57756586172180302</v>
      </c>
      <c r="AI2143">
        <v>99.779741293208005</v>
      </c>
      <c r="AJ2143">
        <v>84.336423614169803</v>
      </c>
      <c r="AK2143">
        <v>0.58895779846359697</v>
      </c>
      <c r="AL2143">
        <v>79.410074918875395</v>
      </c>
      <c r="AM2143">
        <v>88.896396785619999</v>
      </c>
      <c r="AN2143">
        <v>0.99999995690284504</v>
      </c>
    </row>
    <row r="2144" spans="1:40" x14ac:dyDescent="0.25">
      <c r="A2144" t="str">
        <f>"20190312172125815"</f>
        <v>20190312172125815</v>
      </c>
      <c r="B2144" t="str">
        <f>"1552382485802590"</f>
        <v>1552382485802590</v>
      </c>
      <c r="C2144" t="s">
        <v>40</v>
      </c>
      <c r="D2144">
        <v>3.3685619999999998</v>
      </c>
      <c r="E2144">
        <v>0.50085559999999996</v>
      </c>
      <c r="F2144" t="s">
        <v>41</v>
      </c>
      <c r="G2144">
        <v>-214.8681</v>
      </c>
      <c r="H2144">
        <v>1.0397700000000001</v>
      </c>
      <c r="I2144">
        <v>282.8501</v>
      </c>
      <c r="J2144">
        <v>-214.28559999999999</v>
      </c>
      <c r="K2144">
        <v>1.1123529999999999</v>
      </c>
      <c r="L2144">
        <v>282.88369999999998</v>
      </c>
      <c r="M2144">
        <v>-0.99262249999999996</v>
      </c>
      <c r="N2144">
        <v>0</v>
      </c>
      <c r="O2144">
        <v>-0.12061230000000001</v>
      </c>
      <c r="P2144">
        <v>-0.97964609999999996</v>
      </c>
      <c r="Q2144">
        <v>0.17272860000000001</v>
      </c>
      <c r="R2144">
        <v>-0.1022681</v>
      </c>
      <c r="S2144">
        <v>-3.0853419999999998</v>
      </c>
      <c r="T2144">
        <v>-0.2813927</v>
      </c>
      <c r="U2144">
        <v>-0.2409973</v>
      </c>
      <c r="V2144">
        <v>1.5870189999999999E-2</v>
      </c>
      <c r="W2144">
        <v>0.18498529999999999</v>
      </c>
      <c r="X2144">
        <v>0.98261310000000002</v>
      </c>
      <c r="Y2144">
        <v>4.2282050000000002E-2</v>
      </c>
      <c r="Z2144">
        <v>1.2849950000000001E-2</v>
      </c>
      <c r="AA2144">
        <v>0.99902310000000005</v>
      </c>
      <c r="AB2144">
        <v>22</v>
      </c>
      <c r="AC2144">
        <v>-0.58250000000001001</v>
      </c>
      <c r="AD2144">
        <v>-7.2582999999999995E-2</v>
      </c>
      <c r="AE2144">
        <v>-3.3599999999978501E-2</v>
      </c>
      <c r="AF2144">
        <v>3.6344932881408297E-2</v>
      </c>
      <c r="AG2144">
        <v>-7.2582999999999995E-2</v>
      </c>
      <c r="AH2144">
        <v>0.57342593627723304</v>
      </c>
      <c r="AI2144">
        <v>97.199715009206699</v>
      </c>
      <c r="AJ2144">
        <v>86.373325163466902</v>
      </c>
      <c r="AK2144">
        <v>0.57914294473003403</v>
      </c>
      <c r="AL2144">
        <v>79.339724256962995</v>
      </c>
      <c r="AM2144">
        <v>89.074695976740202</v>
      </c>
      <c r="AN2144">
        <v>0.99999996421916704</v>
      </c>
    </row>
    <row r="2145" spans="1:40" x14ac:dyDescent="0.25">
      <c r="A2145" t="str">
        <f>"20190312172125835"</f>
        <v>20190312172125835</v>
      </c>
      <c r="B2145" t="str">
        <f>"1552382485832846"</f>
        <v>1552382485832846</v>
      </c>
      <c r="C2145" t="s">
        <v>40</v>
      </c>
      <c r="D2145">
        <v>3.3379020000000001</v>
      </c>
      <c r="E2145">
        <v>0.50076560000000003</v>
      </c>
      <c r="F2145" t="s">
        <v>41</v>
      </c>
      <c r="G2145">
        <v>-215.07400000000001</v>
      </c>
      <c r="H2145">
        <v>1.051266</v>
      </c>
      <c r="I2145">
        <v>282.81299999999999</v>
      </c>
      <c r="J2145">
        <v>-214.4821</v>
      </c>
      <c r="K2145">
        <v>1.1123050000000001</v>
      </c>
      <c r="L2145">
        <v>282.85700000000003</v>
      </c>
      <c r="M2145">
        <v>-0.99233269999999996</v>
      </c>
      <c r="N2145">
        <v>0</v>
      </c>
      <c r="O2145">
        <v>-0.1229735</v>
      </c>
      <c r="P2145">
        <v>-0.97884910000000003</v>
      </c>
      <c r="Q2145">
        <v>0.17390420000000001</v>
      </c>
      <c r="R2145">
        <v>-0.10775849999999999</v>
      </c>
      <c r="S2145">
        <v>-3.0755460000000001</v>
      </c>
      <c r="T2145">
        <v>-0.23827200000000001</v>
      </c>
      <c r="U2145">
        <v>-0.27563480000000001</v>
      </c>
      <c r="V2145">
        <v>1.268597E-2</v>
      </c>
      <c r="W2145">
        <v>0.18614120000000001</v>
      </c>
      <c r="X2145">
        <v>0.98244109999999996</v>
      </c>
      <c r="Y2145">
        <v>3.3443609999999999E-2</v>
      </c>
      <c r="Z2145">
        <v>1.075453E-2</v>
      </c>
      <c r="AA2145">
        <v>0.99938269999999996</v>
      </c>
      <c r="AB2145">
        <v>21</v>
      </c>
      <c r="AC2145">
        <v>-0.59190000000000897</v>
      </c>
      <c r="AD2145">
        <v>-6.1038999999999802E-2</v>
      </c>
      <c r="AE2145">
        <v>-4.4000000000039501E-2</v>
      </c>
      <c r="AF2145">
        <v>2.8822776936423201E-2</v>
      </c>
      <c r="AG2145">
        <v>-6.1038999999999802E-2</v>
      </c>
      <c r="AH2145">
        <v>0.58661393191461597</v>
      </c>
      <c r="AI2145">
        <v>95.933319582077701</v>
      </c>
      <c r="AJ2145">
        <v>87.187082733469097</v>
      </c>
      <c r="AK2145">
        <v>0.59048489998276199</v>
      </c>
      <c r="AL2145">
        <v>79.272325860839103</v>
      </c>
      <c r="AM2145">
        <v>89.2601977399801</v>
      </c>
      <c r="AN2145">
        <v>0.99999999757074498</v>
      </c>
    </row>
    <row r="2146" spans="1:40" x14ac:dyDescent="0.25">
      <c r="A2146" t="str">
        <f>"20190312172125849"</f>
        <v>20190312172125849</v>
      </c>
      <c r="B2146" t="str">
        <f>"1552382485842607"</f>
        <v>1552382485842607</v>
      </c>
      <c r="C2146" t="s">
        <v>40</v>
      </c>
      <c r="D2146">
        <v>3.3772199999999999</v>
      </c>
      <c r="E2146">
        <v>0.50089439999999996</v>
      </c>
      <c r="F2146" t="s">
        <v>46</v>
      </c>
      <c r="G2146">
        <v>-230.19720000000001</v>
      </c>
      <c r="H2146" s="1">
        <v>-1.289572E-6</v>
      </c>
      <c r="I2146">
        <v>281.36169999999998</v>
      </c>
      <c r="J2146">
        <v>-214.60339999999999</v>
      </c>
      <c r="K2146">
        <v>1.1122719999999999</v>
      </c>
      <c r="L2146">
        <v>282.84030000000001</v>
      </c>
      <c r="M2146">
        <v>-0.99215390000000003</v>
      </c>
      <c r="N2146">
        <v>0</v>
      </c>
      <c r="O2146">
        <v>-0.12440759999999999</v>
      </c>
      <c r="P2146">
        <v>-0.9783444</v>
      </c>
      <c r="Q2146">
        <v>0.17497099999999999</v>
      </c>
      <c r="R2146">
        <v>-0.1105775</v>
      </c>
      <c r="S2146">
        <v>-3.0712739999999998</v>
      </c>
      <c r="T2146">
        <v>-0.21738299999999999</v>
      </c>
      <c r="U2146">
        <v>-0.2922363</v>
      </c>
      <c r="V2146">
        <v>1.1262889999999999E-2</v>
      </c>
      <c r="W2146">
        <v>0.18719669999999999</v>
      </c>
      <c r="X2146">
        <v>0.98225790000000002</v>
      </c>
      <c r="Y2146">
        <v>2.9490829999999999E-2</v>
      </c>
      <c r="Z2146">
        <v>9.7854250000000004E-3</v>
      </c>
      <c r="AA2146">
        <v>0.99951710000000005</v>
      </c>
      <c r="AB2146">
        <v>21</v>
      </c>
      <c r="AC2146">
        <v>-15.5938</v>
      </c>
      <c r="AD2146">
        <v>-1.112273289572</v>
      </c>
      <c r="AE2146">
        <v>-1.4786000000000199</v>
      </c>
      <c r="AF2146">
        <v>0.47065157184162298</v>
      </c>
      <c r="AG2146">
        <v>-1.112273289572</v>
      </c>
      <c r="AH2146">
        <v>15.5780495934781</v>
      </c>
      <c r="AI2146">
        <v>94.082133723865994</v>
      </c>
      <c r="AJ2146">
        <v>88.269478594996997</v>
      </c>
      <c r="AK2146">
        <v>15.624797403794901</v>
      </c>
      <c r="AL2146">
        <v>79.2107683956649</v>
      </c>
      <c r="AM2146">
        <v>89.343056662593497</v>
      </c>
      <c r="AN2146">
        <v>1.0000000196472201</v>
      </c>
    </row>
    <row r="2147" spans="1:40" x14ac:dyDescent="0.25">
      <c r="A2147" t="str">
        <f>"20190312172125862"</f>
        <v>20190312172125862</v>
      </c>
      <c r="B2147" t="str">
        <f>"1552382485853342"</f>
        <v>1552382485853342</v>
      </c>
      <c r="C2147" t="s">
        <v>40</v>
      </c>
      <c r="D2147">
        <v>3.3790740000000001</v>
      </c>
      <c r="E2147">
        <v>0.50089589999999995</v>
      </c>
      <c r="F2147" t="s">
        <v>46</v>
      </c>
      <c r="G2147">
        <v>-230.74359999999999</v>
      </c>
      <c r="H2147" s="1">
        <v>-9.9455579999999994E-7</v>
      </c>
      <c r="I2147">
        <v>281.26409999999998</v>
      </c>
      <c r="J2147">
        <v>-214.73140000000001</v>
      </c>
      <c r="K2147">
        <v>1.112236</v>
      </c>
      <c r="L2147">
        <v>282.82260000000002</v>
      </c>
      <c r="M2147">
        <v>-0.99196479999999998</v>
      </c>
      <c r="N2147">
        <v>0</v>
      </c>
      <c r="O2147">
        <v>-0.12590680000000001</v>
      </c>
      <c r="P2147">
        <v>-0.97783790000000004</v>
      </c>
      <c r="Q2147">
        <v>0.1760505</v>
      </c>
      <c r="R2147">
        <v>-0.1133125</v>
      </c>
      <c r="S2147">
        <v>-3.0703580000000001</v>
      </c>
      <c r="T2147">
        <v>-0.211588</v>
      </c>
      <c r="U2147">
        <v>-0.29983520000000002</v>
      </c>
      <c r="V2147">
        <v>9.988907E-3</v>
      </c>
      <c r="W2147">
        <v>0.1882655</v>
      </c>
      <c r="X2147">
        <v>0.98206740000000003</v>
      </c>
      <c r="Y2147">
        <v>2.8540889999999999E-2</v>
      </c>
      <c r="Z2147">
        <v>9.5959659999999992E-3</v>
      </c>
      <c r="AA2147">
        <v>0.99954659999999995</v>
      </c>
      <c r="AB2147">
        <v>21</v>
      </c>
      <c r="AC2147">
        <v>-16.012199999999901</v>
      </c>
      <c r="AD2147">
        <v>-1.1122369945557999</v>
      </c>
      <c r="AE2147">
        <v>-1.55850000000003</v>
      </c>
      <c r="AF2147">
        <v>0.46786750877593902</v>
      </c>
      <c r="AG2147">
        <v>-1.1122369945557999</v>
      </c>
      <c r="AH2147">
        <v>16.004501079843799</v>
      </c>
      <c r="AI2147">
        <v>93.973701431135794</v>
      </c>
      <c r="AJ2147">
        <v>88.325520985947605</v>
      </c>
      <c r="AK2147">
        <v>16.0499229266856</v>
      </c>
      <c r="AL2147">
        <v>79.148422263077606</v>
      </c>
      <c r="AM2147">
        <v>89.417247250384804</v>
      </c>
      <c r="AN2147">
        <v>1.0000000274480301</v>
      </c>
    </row>
    <row r="2148" spans="1:40" x14ac:dyDescent="0.25">
      <c r="A2148" t="str">
        <f>"20190312172125881"</f>
        <v>20190312172125881</v>
      </c>
      <c r="B2148" t="str">
        <f>"1552382485872862"</f>
        <v>1552382485872862</v>
      </c>
      <c r="C2148" t="s">
        <v>40</v>
      </c>
      <c r="D2148">
        <v>3.3816169999999999</v>
      </c>
      <c r="E2148">
        <v>0.50125759999999997</v>
      </c>
      <c r="F2148" t="s">
        <v>41</v>
      </c>
      <c r="G2148">
        <v>-215.63499999999999</v>
      </c>
      <c r="H2148">
        <v>1.0511629999999901</v>
      </c>
      <c r="I2148">
        <v>282.73180000000002</v>
      </c>
      <c r="J2148">
        <v>-214.9143</v>
      </c>
      <c r="K2148">
        <v>1.112179</v>
      </c>
      <c r="L2148">
        <v>282.79680000000002</v>
      </c>
      <c r="M2148">
        <v>-0.99169640000000003</v>
      </c>
      <c r="N2148">
        <v>0</v>
      </c>
      <c r="O2148">
        <v>-0.1280048</v>
      </c>
      <c r="P2148">
        <v>-0.97709860000000004</v>
      </c>
      <c r="Q2148">
        <v>0.17753720000000001</v>
      </c>
      <c r="R2148">
        <v>-0.11729879999999999</v>
      </c>
      <c r="S2148">
        <v>-3.0695950000000001</v>
      </c>
      <c r="T2148">
        <v>-0.20762700000000001</v>
      </c>
      <c r="U2148">
        <v>-0.30871579999999998</v>
      </c>
      <c r="V2148">
        <v>8.0436229999999997E-3</v>
      </c>
      <c r="W2148">
        <v>0.18973760000000001</v>
      </c>
      <c r="X2148">
        <v>0.98180190000000001</v>
      </c>
      <c r="Y2148">
        <v>2.7777980000000001E-2</v>
      </c>
      <c r="Z2148">
        <v>9.5317209999999999E-3</v>
      </c>
      <c r="AA2148">
        <v>0.99956869999999998</v>
      </c>
      <c r="AB2148">
        <v>21</v>
      </c>
      <c r="AC2148">
        <v>-0.72069999999999301</v>
      </c>
      <c r="AD2148">
        <v>-6.1016000000000098E-2</v>
      </c>
      <c r="AE2148">
        <v>-6.4999999999997699E-2</v>
      </c>
      <c r="AF2148">
        <v>2.7598697624510098E-2</v>
      </c>
      <c r="AG2148">
        <v>-6.1016000000000098E-2</v>
      </c>
      <c r="AH2148">
        <v>0.71798646230796204</v>
      </c>
      <c r="AI2148">
        <v>94.8538774156127</v>
      </c>
      <c r="AJ2148">
        <v>87.798690015685807</v>
      </c>
      <c r="AK2148">
        <v>0.72110276689531005</v>
      </c>
      <c r="AL2148">
        <v>79.062528917220405</v>
      </c>
      <c r="AM2148">
        <v>89.530602518573005</v>
      </c>
      <c r="AN2148">
        <v>1.00000001378416</v>
      </c>
    </row>
    <row r="2149" spans="1:40" x14ac:dyDescent="0.25">
      <c r="A2149" t="str">
        <f>"20190312172125905"</f>
        <v>20190312172125905</v>
      </c>
      <c r="B2149" t="str">
        <f>"1552382485893359"</f>
        <v>1552382485893359</v>
      </c>
      <c r="C2149" t="s">
        <v>40</v>
      </c>
      <c r="D2149">
        <v>3.394247</v>
      </c>
      <c r="E2149">
        <v>0.50169889999999995</v>
      </c>
      <c r="F2149" t="s">
        <v>46</v>
      </c>
      <c r="G2149">
        <v>-231.8032</v>
      </c>
      <c r="H2149" s="1">
        <v>-4.2081789999999998E-7</v>
      </c>
      <c r="I2149">
        <v>281.0378</v>
      </c>
      <c r="J2149">
        <v>-215.12870000000001</v>
      </c>
      <c r="K2149">
        <v>1.112114</v>
      </c>
      <c r="L2149">
        <v>282.76620000000003</v>
      </c>
      <c r="M2149">
        <v>-0.99138360000000003</v>
      </c>
      <c r="N2149">
        <v>0</v>
      </c>
      <c r="O2149">
        <v>-0.13040560000000001</v>
      </c>
      <c r="P2149">
        <v>-0.97692730000000005</v>
      </c>
      <c r="Q2149">
        <v>0.1758372</v>
      </c>
      <c r="R2149">
        <v>-0.1212217</v>
      </c>
      <c r="S2149">
        <v>-3.0686650000000002</v>
      </c>
      <c r="T2149">
        <v>-0.2020805</v>
      </c>
      <c r="U2149">
        <v>-0.31961060000000002</v>
      </c>
      <c r="V2149">
        <v>6.5463519999999897E-3</v>
      </c>
      <c r="W2149">
        <v>0.18803130000000001</v>
      </c>
      <c r="X2149">
        <v>0.98214120000000005</v>
      </c>
      <c r="Y2149">
        <v>2.6671739999999999E-2</v>
      </c>
      <c r="Z2149">
        <v>9.3979939999999998E-3</v>
      </c>
      <c r="AA2149">
        <v>0.99960009999999999</v>
      </c>
      <c r="AB2149">
        <v>21</v>
      </c>
      <c r="AC2149">
        <v>-16.674499999999899</v>
      </c>
      <c r="AD2149">
        <v>-1.1121144208178999</v>
      </c>
      <c r="AE2149">
        <v>-1.7284000000000199</v>
      </c>
      <c r="AF2149">
        <v>0.45895614576816801</v>
      </c>
      <c r="AG2149">
        <v>-1.1121144208178999</v>
      </c>
      <c r="AH2149">
        <v>16.6840736413968</v>
      </c>
      <c r="AI2149">
        <v>93.812099696924705</v>
      </c>
      <c r="AJ2149">
        <v>88.424268515132795</v>
      </c>
      <c r="AK2149">
        <v>16.7273952694459</v>
      </c>
      <c r="AL2149">
        <v>79.162084427730804</v>
      </c>
      <c r="AM2149">
        <v>89.6181070640651</v>
      </c>
      <c r="AN2149">
        <v>0.99999998062081796</v>
      </c>
    </row>
    <row r="2150" spans="1:40" x14ac:dyDescent="0.25">
      <c r="A2150" t="str">
        <f>"20190312172125925"</f>
        <v>20190312172125925</v>
      </c>
      <c r="B2150" t="str">
        <f>"1552382485922639"</f>
        <v>1552382485922639</v>
      </c>
      <c r="C2150" t="s">
        <v>40</v>
      </c>
      <c r="D2150">
        <v>3.423387</v>
      </c>
      <c r="E2150">
        <v>0.5023782</v>
      </c>
      <c r="F2150" t="s">
        <v>46</v>
      </c>
      <c r="G2150">
        <v>-231.52950000000001</v>
      </c>
      <c r="H2150" s="1">
        <v>-5.6539799999999997E-7</v>
      </c>
      <c r="I2150">
        <v>281.01369999999997</v>
      </c>
      <c r="J2150">
        <v>-215.32560000000001</v>
      </c>
      <c r="K2150">
        <v>1.1120699999999999</v>
      </c>
      <c r="L2150">
        <v>282.73770000000002</v>
      </c>
      <c r="M2150">
        <v>-0.99109630000000004</v>
      </c>
      <c r="N2150">
        <v>0</v>
      </c>
      <c r="O2150">
        <v>-0.1325712</v>
      </c>
      <c r="P2150">
        <v>-0.97685460000000002</v>
      </c>
      <c r="Q2150">
        <v>0.17435580000000001</v>
      </c>
      <c r="R2150">
        <v>-0.1239175</v>
      </c>
      <c r="S2150">
        <v>-3.067612</v>
      </c>
      <c r="T2150">
        <v>-0.2080101</v>
      </c>
      <c r="U2150">
        <v>-0.32778930000000001</v>
      </c>
      <c r="V2150">
        <v>6.0392419999999898E-3</v>
      </c>
      <c r="W2150">
        <v>0.1865484</v>
      </c>
      <c r="X2150">
        <v>0.98242719999999994</v>
      </c>
      <c r="Y2150">
        <v>2.6160969999999999E-2</v>
      </c>
      <c r="Z2150">
        <v>9.8022620000000008E-3</v>
      </c>
      <c r="AA2150">
        <v>0.99960970000000005</v>
      </c>
      <c r="AB2150">
        <v>21</v>
      </c>
      <c r="AC2150">
        <v>-16.203900000000001</v>
      </c>
      <c r="AD2150">
        <v>-1.1120705653980001</v>
      </c>
      <c r="AE2150">
        <v>-1.7240000000000399</v>
      </c>
      <c r="AF2150">
        <v>0.43751641509549799</v>
      </c>
      <c r="AG2150">
        <v>-1.1120705653980001</v>
      </c>
      <c r="AH2150">
        <v>16.213910731535499</v>
      </c>
      <c r="AI2150">
        <v>93.922202525825995</v>
      </c>
      <c r="AJ2150">
        <v>88.454304896038906</v>
      </c>
      <c r="AK2150">
        <v>16.257891092208201</v>
      </c>
      <c r="AL2150">
        <v>79.248579004933305</v>
      </c>
      <c r="AM2150">
        <v>89.647791999704495</v>
      </c>
      <c r="AN2150">
        <v>0.99999999064316702</v>
      </c>
    </row>
    <row r="2151" spans="1:40" x14ac:dyDescent="0.25">
      <c r="A2151" t="str">
        <f>"20190312172125947"</f>
        <v>20190312172125947</v>
      </c>
      <c r="B2151" t="str">
        <f>"1552382485942861"</f>
        <v>1552382485942861</v>
      </c>
      <c r="C2151" t="s">
        <v>40</v>
      </c>
      <c r="D2151">
        <v>3.401011</v>
      </c>
      <c r="E2151">
        <v>0.50287490000000001</v>
      </c>
      <c r="F2151" t="s">
        <v>41</v>
      </c>
      <c r="G2151">
        <v>-216.2063</v>
      </c>
      <c r="H2151">
        <v>1.050783</v>
      </c>
      <c r="I2151">
        <v>282.6429</v>
      </c>
      <c r="J2151">
        <v>-215.53550000000001</v>
      </c>
      <c r="K2151">
        <v>1.1120270000000001</v>
      </c>
      <c r="L2151">
        <v>282.70679999999999</v>
      </c>
      <c r="M2151">
        <v>-0.99078820000000001</v>
      </c>
      <c r="N2151">
        <v>0</v>
      </c>
      <c r="O2151">
        <v>-0.13485420000000001</v>
      </c>
      <c r="P2151">
        <v>-0.97684870000000001</v>
      </c>
      <c r="Q2151">
        <v>0.17385519999999999</v>
      </c>
      <c r="R2151">
        <v>-0.1246632</v>
      </c>
      <c r="S2151">
        <v>-3.0673370000000002</v>
      </c>
      <c r="T2151">
        <v>-0.21353659999999999</v>
      </c>
      <c r="U2151">
        <v>-0.33001710000000001</v>
      </c>
      <c r="V2151">
        <v>7.5845969999999898E-3</v>
      </c>
      <c r="W2151">
        <v>0.1860504</v>
      </c>
      <c r="X2151">
        <v>0.98251089999999996</v>
      </c>
      <c r="Y2151">
        <v>2.7708529999999999E-2</v>
      </c>
      <c r="Z2151">
        <v>1.027278E-2</v>
      </c>
      <c r="AA2151">
        <v>0.99956330000000004</v>
      </c>
      <c r="AB2151">
        <v>21</v>
      </c>
      <c r="AC2151">
        <v>-0.67079999999998496</v>
      </c>
      <c r="AD2151">
        <v>-6.1244E-2</v>
      </c>
      <c r="AE2151">
        <v>-6.3899999999989604E-2</v>
      </c>
      <c r="AF2151">
        <v>2.6928461255131E-2</v>
      </c>
      <c r="AG2151">
        <v>-6.1244E-2</v>
      </c>
      <c r="AH2151">
        <v>0.66777315994519004</v>
      </c>
      <c r="AI2151">
        <v>95.235921068422002</v>
      </c>
      <c r="AJ2151">
        <v>87.690755251191703</v>
      </c>
      <c r="AK2151">
        <v>0.671116206557965</v>
      </c>
      <c r="AL2151">
        <v>79.277620545742494</v>
      </c>
      <c r="AM2151">
        <v>89.557707944549605</v>
      </c>
      <c r="AN2151">
        <v>0.99999997303530996</v>
      </c>
    </row>
    <row r="2152" spans="1:40" x14ac:dyDescent="0.25">
      <c r="A2152" t="str">
        <f>"20190312172125970"</f>
        <v>20190312172125970</v>
      </c>
      <c r="B2152" t="str">
        <f>"1552382485963359"</f>
        <v>1552382485963359</v>
      </c>
      <c r="C2152" t="s">
        <v>40</v>
      </c>
      <c r="D2152">
        <v>3.3944559999999999</v>
      </c>
      <c r="E2152">
        <v>0.50330559999999902</v>
      </c>
      <c r="F2152" t="s">
        <v>41</v>
      </c>
      <c r="G2152">
        <v>-216.39779999999999</v>
      </c>
      <c r="H2152">
        <v>1.0511740000000001</v>
      </c>
      <c r="I2152">
        <v>282.61399999999998</v>
      </c>
      <c r="J2152">
        <v>-215.7533</v>
      </c>
      <c r="K2152">
        <v>1.111993</v>
      </c>
      <c r="L2152">
        <v>282.67430000000002</v>
      </c>
      <c r="M2152">
        <v>-0.99046540000000005</v>
      </c>
      <c r="N2152">
        <v>0</v>
      </c>
      <c r="O2152">
        <v>-0.1372051</v>
      </c>
      <c r="P2152">
        <v>-0.97696729999999998</v>
      </c>
      <c r="Q2152">
        <v>0.17329420000000001</v>
      </c>
      <c r="R2152">
        <v>-0.1245146</v>
      </c>
      <c r="S2152">
        <v>-3.0674739999999998</v>
      </c>
      <c r="T2152">
        <v>-0.2166873</v>
      </c>
      <c r="U2152">
        <v>-0.33071899999999999</v>
      </c>
      <c r="V2152">
        <v>1.009935E-2</v>
      </c>
      <c r="W2152">
        <v>0.1854961</v>
      </c>
      <c r="X2152">
        <v>0.9825931</v>
      </c>
      <c r="Y2152">
        <v>2.9836979999999999E-2</v>
      </c>
      <c r="Z2152">
        <v>1.066185E-2</v>
      </c>
      <c r="AA2152">
        <v>0.99949790000000005</v>
      </c>
      <c r="AB2152">
        <v>21</v>
      </c>
      <c r="AC2152">
        <v>-0.64449999999999297</v>
      </c>
      <c r="AD2152">
        <v>-6.0818999999999901E-2</v>
      </c>
      <c r="AE2152">
        <v>-6.0299999999983797E-2</v>
      </c>
      <c r="AF2152">
        <v>2.84546311922916E-2</v>
      </c>
      <c r="AG2152">
        <v>-6.0818999999999901E-2</v>
      </c>
      <c r="AH2152">
        <v>0.64101918201271701</v>
      </c>
      <c r="AI2152">
        <v>95.414618461502798</v>
      </c>
      <c r="AJ2152">
        <v>87.458327674773997</v>
      </c>
      <c r="AK2152">
        <v>0.64452634430684197</v>
      </c>
      <c r="AL2152">
        <v>79.309942525342393</v>
      </c>
      <c r="AM2152">
        <v>89.4111196634707</v>
      </c>
      <c r="AN2152">
        <v>1.00000000007662</v>
      </c>
    </row>
    <row r="2153" spans="1:40" x14ac:dyDescent="0.25">
      <c r="A2153" t="str">
        <f>"20190312172125983"</f>
        <v>20190312172125983</v>
      </c>
      <c r="B2153" t="str">
        <f>"1552382485973118"</f>
        <v>1552382485973118</v>
      </c>
      <c r="C2153" t="s">
        <v>40</v>
      </c>
      <c r="D2153">
        <v>3.4369960000000002</v>
      </c>
      <c r="E2153">
        <v>0.50354750000000004</v>
      </c>
      <c r="F2153" t="s">
        <v>46</v>
      </c>
      <c r="G2153">
        <v>-231.28100000000001</v>
      </c>
      <c r="H2153" s="1">
        <v>-6.9736969999999997E-7</v>
      </c>
      <c r="I2153">
        <v>281.0077</v>
      </c>
      <c r="J2153">
        <v>-215.8768</v>
      </c>
      <c r="K2153">
        <v>1.111974</v>
      </c>
      <c r="L2153">
        <v>282.65559999999999</v>
      </c>
      <c r="M2153">
        <v>-0.99028110000000003</v>
      </c>
      <c r="N2153">
        <v>0</v>
      </c>
      <c r="O2153">
        <v>-0.13852909999999999</v>
      </c>
      <c r="P2153">
        <v>-0.97691640000000002</v>
      </c>
      <c r="Q2153">
        <v>0.17329</v>
      </c>
      <c r="R2153">
        <v>-0.12492</v>
      </c>
      <c r="S2153">
        <v>-3.0677340000000002</v>
      </c>
      <c r="T2153">
        <v>-0.2196911</v>
      </c>
      <c r="U2153">
        <v>-0.3292542</v>
      </c>
      <c r="V2153">
        <v>1.1015179999999999E-2</v>
      </c>
      <c r="W2153">
        <v>0.18549280000000001</v>
      </c>
      <c r="X2153">
        <v>0.98258389999999995</v>
      </c>
      <c r="Y2153">
        <v>3.1634860000000001E-2</v>
      </c>
      <c r="Z2153">
        <v>1.096624E-2</v>
      </c>
      <c r="AA2153">
        <v>0.99943939999999998</v>
      </c>
      <c r="AB2153">
        <v>21</v>
      </c>
      <c r="AC2153">
        <v>-15.4041999999999</v>
      </c>
      <c r="AD2153">
        <v>-1.1119746973697</v>
      </c>
      <c r="AE2153">
        <v>-1.6478999999999899</v>
      </c>
      <c r="AF2153">
        <v>0.49951071414614601</v>
      </c>
      <c r="AG2153">
        <v>-1.1119746973697</v>
      </c>
      <c r="AH2153">
        <v>15.4045917207761</v>
      </c>
      <c r="AI2153">
        <v>94.126551953617906</v>
      </c>
      <c r="AJ2153">
        <v>88.142772506556597</v>
      </c>
      <c r="AK2153">
        <v>15.452748776995699</v>
      </c>
      <c r="AL2153">
        <v>79.310135121497794</v>
      </c>
      <c r="AM2153">
        <v>89.357717047810496</v>
      </c>
      <c r="AN2153">
        <v>1.0000000167907399</v>
      </c>
    </row>
    <row r="2154" spans="1:40" x14ac:dyDescent="0.25">
      <c r="A2154" t="str">
        <f>"20190312172125997"</f>
        <v>20190312172125997</v>
      </c>
      <c r="B2154" t="str">
        <f>"1552382485993614"</f>
        <v>1552382485993614</v>
      </c>
      <c r="C2154" t="s">
        <v>40</v>
      </c>
      <c r="D2154">
        <v>3.4370620000000001</v>
      </c>
      <c r="E2154">
        <v>0.50388889999999997</v>
      </c>
      <c r="F2154" t="s">
        <v>41</v>
      </c>
      <c r="G2154">
        <v>-216.76419999999999</v>
      </c>
      <c r="H2154">
        <v>1.0483720000000001</v>
      </c>
      <c r="I2154">
        <v>282.56049999999999</v>
      </c>
      <c r="J2154">
        <v>-216.0078</v>
      </c>
      <c r="K2154">
        <v>1.111953</v>
      </c>
      <c r="L2154">
        <v>282.63560000000001</v>
      </c>
      <c r="M2154">
        <v>-0.99008569999999996</v>
      </c>
      <c r="N2154">
        <v>0</v>
      </c>
      <c r="O2154">
        <v>-0.13992089999999999</v>
      </c>
      <c r="P2154">
        <v>-0.97697699999999998</v>
      </c>
      <c r="Q2154">
        <v>0.17253309999999999</v>
      </c>
      <c r="R2154">
        <v>-0.1254941</v>
      </c>
      <c r="S2154">
        <v>-3.0678709999999998</v>
      </c>
      <c r="T2154">
        <v>-0.22018190000000001</v>
      </c>
      <c r="U2154">
        <v>-0.32910159999999899</v>
      </c>
      <c r="V2154">
        <v>1.1851510000000001E-2</v>
      </c>
      <c r="W2154">
        <v>0.18473790000000001</v>
      </c>
      <c r="X2154">
        <v>0.98271640000000005</v>
      </c>
      <c r="Y2154">
        <v>3.3084530000000001E-2</v>
      </c>
      <c r="Z2154">
        <v>1.114041E-2</v>
      </c>
      <c r="AA2154">
        <v>0.99939049999999996</v>
      </c>
      <c r="AB2154">
        <v>21</v>
      </c>
      <c r="AC2154">
        <v>-0.75639999999998497</v>
      </c>
      <c r="AD2154">
        <v>-6.3581000000000096E-2</v>
      </c>
      <c r="AE2154">
        <v>-7.5100000000020303E-2</v>
      </c>
      <c r="AF2154">
        <v>3.1264385924655101E-2</v>
      </c>
      <c r="AG2154">
        <v>-6.3581000000000096E-2</v>
      </c>
      <c r="AH2154">
        <v>0.75418995576523196</v>
      </c>
      <c r="AI2154">
        <v>94.814735721507802</v>
      </c>
      <c r="AJ2154">
        <v>87.626205035264505</v>
      </c>
      <c r="AK2154">
        <v>0.75751072254154195</v>
      </c>
      <c r="AL2154">
        <v>79.354148607417898</v>
      </c>
      <c r="AM2154">
        <v>89.309049298190999</v>
      </c>
      <c r="AN2154">
        <v>1.00000003640732</v>
      </c>
    </row>
    <row r="2155" spans="1:40" x14ac:dyDescent="0.25">
      <c r="A2155" t="str">
        <f>"20190312172126015"</f>
        <v>20190312172126015</v>
      </c>
      <c r="B2155" t="str">
        <f>"1552382486003373"</f>
        <v>1552382486003373</v>
      </c>
      <c r="C2155" t="s">
        <v>40</v>
      </c>
      <c r="D2155">
        <v>3.436337</v>
      </c>
      <c r="E2155">
        <v>0.50406149999999905</v>
      </c>
      <c r="F2155" t="s">
        <v>46</v>
      </c>
      <c r="G2155">
        <v>-231.26750000000001</v>
      </c>
      <c r="H2155" s="1">
        <v>-7.0444999999999903E-7</v>
      </c>
      <c r="I2155">
        <v>281.00560000000002</v>
      </c>
      <c r="J2155">
        <v>-216.17150000000001</v>
      </c>
      <c r="K2155">
        <v>1.111907</v>
      </c>
      <c r="L2155">
        <v>282.61040000000003</v>
      </c>
      <c r="M2155">
        <v>-0.98984349999999999</v>
      </c>
      <c r="N2155">
        <v>0</v>
      </c>
      <c r="O2155">
        <v>-0.1416232</v>
      </c>
      <c r="P2155">
        <v>-0.97702619999999896</v>
      </c>
      <c r="Q2155">
        <v>0.17234369999999999</v>
      </c>
      <c r="R2155">
        <v>-0.1253706</v>
      </c>
      <c r="S2155">
        <v>-3.068085</v>
      </c>
      <c r="T2155">
        <v>-0.22356679999999901</v>
      </c>
      <c r="U2155">
        <v>-0.32772829999999997</v>
      </c>
      <c r="V2155">
        <v>1.36925E-2</v>
      </c>
      <c r="W2155">
        <v>0.18455089999999999</v>
      </c>
      <c r="X2155">
        <v>0.98272760000000003</v>
      </c>
      <c r="Y2155">
        <v>3.5229280000000002E-2</v>
      </c>
      <c r="Z2155">
        <v>1.151076E-2</v>
      </c>
      <c r="AA2155">
        <v>0.99931289999999995</v>
      </c>
      <c r="AB2155">
        <v>21</v>
      </c>
      <c r="AC2155">
        <v>-15.096</v>
      </c>
      <c r="AD2155">
        <v>-1.1119077044499901</v>
      </c>
      <c r="AE2155">
        <v>-1.60480000000001</v>
      </c>
      <c r="AF2155">
        <v>0.54655292700747904</v>
      </c>
      <c r="AG2155">
        <v>-1.1119077044499901</v>
      </c>
      <c r="AH2155">
        <v>15.090160942862401</v>
      </c>
      <c r="AI2155">
        <v>94.211431224502604</v>
      </c>
      <c r="AJ2155">
        <v>87.925701818847102</v>
      </c>
      <c r="AK2155">
        <v>15.140938416317701</v>
      </c>
      <c r="AL2155">
        <v>79.365050273714402</v>
      </c>
      <c r="AM2155">
        <v>89.201740441926304</v>
      </c>
      <c r="AN2155">
        <v>1.0000000275244001</v>
      </c>
    </row>
    <row r="2156" spans="1:40" x14ac:dyDescent="0.25">
      <c r="A2156" t="str">
        <f>"20190312172126027"</f>
        <v>20190312172126027</v>
      </c>
      <c r="B2156" t="str">
        <f>"1552382486022893"</f>
        <v>1552382486022893</v>
      </c>
      <c r="C2156" t="s">
        <v>40</v>
      </c>
      <c r="D2156">
        <v>3.4355129999999998</v>
      </c>
      <c r="E2156">
        <v>0.50438620000000001</v>
      </c>
      <c r="F2156" t="s">
        <v>46</v>
      </c>
      <c r="G2156">
        <v>-231.3818</v>
      </c>
      <c r="H2156" s="1">
        <v>-6.4341789999999998E-7</v>
      </c>
      <c r="I2156">
        <v>281.00069999999999</v>
      </c>
      <c r="J2156">
        <v>-216.29259999999999</v>
      </c>
      <c r="K2156">
        <v>1.111864</v>
      </c>
      <c r="L2156">
        <v>282.59160000000003</v>
      </c>
      <c r="M2156">
        <v>-0.98966829999999995</v>
      </c>
      <c r="N2156">
        <v>0</v>
      </c>
      <c r="O2156">
        <v>-0.14284129999999901</v>
      </c>
      <c r="P2156">
        <v>-0.97700889999999996</v>
      </c>
      <c r="Q2156">
        <v>0.1723179</v>
      </c>
      <c r="R2156">
        <v>-0.12553879999999901</v>
      </c>
      <c r="S2156">
        <v>-3.068451</v>
      </c>
      <c r="T2156">
        <v>-0.2243106</v>
      </c>
      <c r="U2156">
        <v>-0.32473750000000001</v>
      </c>
      <c r="V2156">
        <v>1.475391E-2</v>
      </c>
      <c r="W2156">
        <v>0.18452460000000001</v>
      </c>
      <c r="X2156">
        <v>0.98271719999999896</v>
      </c>
      <c r="Y2156">
        <v>3.7422869999999997E-2</v>
      </c>
      <c r="Z2156">
        <v>1.171588E-2</v>
      </c>
      <c r="AA2156">
        <v>0.99923090000000003</v>
      </c>
      <c r="AB2156">
        <v>21</v>
      </c>
      <c r="AC2156">
        <v>-15.0892</v>
      </c>
      <c r="AD2156">
        <v>-1.11186464341789</v>
      </c>
      <c r="AE2156">
        <v>-1.59090000000003</v>
      </c>
      <c r="AF2156">
        <v>0.57783912660838399</v>
      </c>
      <c r="AG2156">
        <v>-1.11186464341789</v>
      </c>
      <c r="AH2156">
        <v>15.0807264239587</v>
      </c>
      <c r="AI2156">
        <v>94.213566100382806</v>
      </c>
      <c r="AJ2156">
        <v>87.805705495791301</v>
      </c>
      <c r="AK2156">
        <v>15.1326947539362</v>
      </c>
      <c r="AL2156">
        <v>79.366583732296505</v>
      </c>
      <c r="AM2156">
        <v>89.139861122343603</v>
      </c>
      <c r="AN2156">
        <v>1.0000000505206399</v>
      </c>
    </row>
    <row r="2157" spans="1:40" x14ac:dyDescent="0.25">
      <c r="A2157" t="str">
        <f>"20190312172126041"</f>
        <v>20190312172126041</v>
      </c>
      <c r="B2157" t="str">
        <f>"1552382486033629"</f>
        <v>1552382486033629</v>
      </c>
      <c r="C2157" t="s">
        <v>40</v>
      </c>
      <c r="D2157">
        <v>3.4200710000000001</v>
      </c>
      <c r="E2157">
        <v>0.50446530000000001</v>
      </c>
      <c r="F2157" t="s">
        <v>41</v>
      </c>
      <c r="G2157">
        <v>-217.14240000000001</v>
      </c>
      <c r="H2157">
        <v>1.04955</v>
      </c>
      <c r="I2157">
        <v>282.5025</v>
      </c>
      <c r="J2157">
        <v>-216.42320000000001</v>
      </c>
      <c r="K2157">
        <v>1.111809</v>
      </c>
      <c r="L2157">
        <v>282.57130000000001</v>
      </c>
      <c r="M2157">
        <v>-0.98948349999999996</v>
      </c>
      <c r="N2157">
        <v>0</v>
      </c>
      <c r="O2157">
        <v>-0.14411749999999901</v>
      </c>
      <c r="P2157">
        <v>-0.97704199999999997</v>
      </c>
      <c r="Q2157">
        <v>0.17245969999999999</v>
      </c>
      <c r="R2157">
        <v>-0.12508739999999999</v>
      </c>
      <c r="S2157">
        <v>-3.068924</v>
      </c>
      <c r="T2157">
        <v>-0.22529070000000001</v>
      </c>
      <c r="U2157">
        <v>-0.32232670000000002</v>
      </c>
      <c r="V2157">
        <v>1.6499940000000001E-2</v>
      </c>
      <c r="W2157">
        <v>0.18466669999999999</v>
      </c>
      <c r="X2157">
        <v>0.9826627</v>
      </c>
      <c r="Y2157">
        <v>3.9491129999999999E-2</v>
      </c>
      <c r="Z2157">
        <v>1.1933600000000001E-2</v>
      </c>
      <c r="AA2157">
        <v>0.9991487</v>
      </c>
      <c r="AB2157">
        <v>21</v>
      </c>
      <c r="AC2157">
        <v>-0.71919999999999995</v>
      </c>
      <c r="AD2157">
        <v>-6.2259000000000002E-2</v>
      </c>
      <c r="AE2157">
        <v>-6.8800000000010103E-2</v>
      </c>
      <c r="AF2157">
        <v>3.5313321868494001E-2</v>
      </c>
      <c r="AG2157">
        <v>-6.2259000000000002E-2</v>
      </c>
      <c r="AH2157">
        <v>0.71628778320882602</v>
      </c>
      <c r="AI2157">
        <v>94.961609711458095</v>
      </c>
      <c r="AJ2157">
        <v>87.177576527960497</v>
      </c>
      <c r="AK2157">
        <v>0.71985512581116096</v>
      </c>
      <c r="AL2157">
        <v>79.358299200754502</v>
      </c>
      <c r="AM2157">
        <v>89.038034014206403</v>
      </c>
      <c r="AN2157">
        <v>1.0000000100400901</v>
      </c>
    </row>
    <row r="2158" spans="1:40" x14ac:dyDescent="0.25">
      <c r="A2158" t="str">
        <f>"20190312172126059"</f>
        <v>20190312172126059</v>
      </c>
      <c r="B2158" t="str">
        <f>"1552382486052679"</f>
        <v>1552382486052679</v>
      </c>
      <c r="C2158" t="s">
        <v>40</v>
      </c>
      <c r="D2158">
        <v>3.4325220000000001</v>
      </c>
      <c r="E2158">
        <v>0.50462050000000003</v>
      </c>
      <c r="F2158" t="s">
        <v>41</v>
      </c>
      <c r="G2158">
        <v>-217.32749999999999</v>
      </c>
      <c r="H2158">
        <v>1.0454650000000001</v>
      </c>
      <c r="I2158">
        <v>282.4769</v>
      </c>
      <c r="J2158">
        <v>-216.59440000000001</v>
      </c>
      <c r="K2158">
        <v>1.111704</v>
      </c>
      <c r="L2158">
        <v>282.5444</v>
      </c>
      <c r="M2158">
        <v>-0.98925609999999997</v>
      </c>
      <c r="N2158">
        <v>0</v>
      </c>
      <c r="O2158">
        <v>-0.14567049999999901</v>
      </c>
      <c r="P2158">
        <v>-0.9772111</v>
      </c>
      <c r="Q2158">
        <v>0.17323859999999999</v>
      </c>
      <c r="R2158">
        <v>-0.1226672</v>
      </c>
      <c r="S2158">
        <v>-3.069229</v>
      </c>
      <c r="T2158">
        <v>-0.22526760000000001</v>
      </c>
      <c r="U2158">
        <v>-0.32049559999999999</v>
      </c>
      <c r="V2158">
        <v>2.0509099999999999E-2</v>
      </c>
      <c r="W2158">
        <v>0.18544550000000001</v>
      </c>
      <c r="X2158">
        <v>0.98244050000000005</v>
      </c>
      <c r="Y2158">
        <v>4.1649850000000002E-2</v>
      </c>
      <c r="Z2158">
        <v>1.212278E-2</v>
      </c>
      <c r="AA2158">
        <v>0.99905869999999997</v>
      </c>
      <c r="AB2158">
        <v>21</v>
      </c>
      <c r="AC2158">
        <v>-0.73309999999997899</v>
      </c>
      <c r="AD2158">
        <v>-6.6239000000000103E-2</v>
      </c>
      <c r="AE2158">
        <v>-6.7499999999995397E-2</v>
      </c>
      <c r="AF2158">
        <v>3.9697939788239898E-2</v>
      </c>
      <c r="AG2158">
        <v>-6.6239000000000103E-2</v>
      </c>
      <c r="AH2158">
        <v>0.72920925809454595</v>
      </c>
      <c r="AI2158">
        <v>95.182685748697693</v>
      </c>
      <c r="AJ2158">
        <v>86.883910375193295</v>
      </c>
      <c r="AK2158">
        <v>0.73328689722047302</v>
      </c>
      <c r="AL2158">
        <v>79.312892840787995</v>
      </c>
      <c r="AM2158">
        <v>88.804086132302302</v>
      </c>
      <c r="AN2158">
        <v>0.99999999634665504</v>
      </c>
    </row>
    <row r="2159" spans="1:40" x14ac:dyDescent="0.25">
      <c r="A2159" t="str">
        <f>"20190312172126072"</f>
        <v>20190312172126072</v>
      </c>
      <c r="B2159" t="str">
        <f>"1552382486063495"</f>
        <v>1552382486063495</v>
      </c>
      <c r="C2159" t="s">
        <v>40</v>
      </c>
      <c r="D2159">
        <v>3.441675</v>
      </c>
      <c r="E2159">
        <v>0.50469710000000001</v>
      </c>
      <c r="F2159" t="s">
        <v>46</v>
      </c>
      <c r="G2159">
        <v>-231.845</v>
      </c>
      <c r="H2159" s="1">
        <v>-3.9621249999999999E-7</v>
      </c>
      <c r="I2159">
        <v>280.98489999999998</v>
      </c>
      <c r="J2159">
        <v>-216.70859999999999</v>
      </c>
      <c r="K2159">
        <v>1.111621</v>
      </c>
      <c r="L2159">
        <v>282.52640000000002</v>
      </c>
      <c r="M2159">
        <v>-0.98911700000000002</v>
      </c>
      <c r="N2159">
        <v>0</v>
      </c>
      <c r="O2159">
        <v>-0.14661160000000001</v>
      </c>
      <c r="P2159">
        <v>-0.97721959999999997</v>
      </c>
      <c r="Q2159">
        <v>0.17364569999999999</v>
      </c>
      <c r="R2159">
        <v>-0.1220212</v>
      </c>
      <c r="S2159">
        <v>-3.0702210000000001</v>
      </c>
      <c r="T2159">
        <v>-0.22380539999999999</v>
      </c>
      <c r="U2159">
        <v>-0.31396479999999999</v>
      </c>
      <c r="V2159">
        <v>2.2123179999999999E-2</v>
      </c>
      <c r="W2159">
        <v>0.18584800000000001</v>
      </c>
      <c r="X2159">
        <v>0.98232940000000002</v>
      </c>
      <c r="Y2159">
        <v>4.4732309999999997E-2</v>
      </c>
      <c r="Z2159">
        <v>1.2221589999999999E-2</v>
      </c>
      <c r="AA2159">
        <v>0.99892429999999999</v>
      </c>
      <c r="AB2159">
        <v>21</v>
      </c>
      <c r="AC2159">
        <v>-15.1364</v>
      </c>
      <c r="AD2159">
        <v>-1.1116213962124999</v>
      </c>
      <c r="AE2159">
        <v>-1.5415000000000401</v>
      </c>
      <c r="AF2159">
        <v>0.69081332141375795</v>
      </c>
      <c r="AG2159">
        <v>-1.1116213962124999</v>
      </c>
      <c r="AH2159">
        <v>15.1181298094618</v>
      </c>
      <c r="AI2159">
        <v>94.200967402507402</v>
      </c>
      <c r="AJ2159">
        <v>87.383725706822702</v>
      </c>
      <c r="AK2159">
        <v>15.174675420228899</v>
      </c>
      <c r="AL2159">
        <v>79.289423153972194</v>
      </c>
      <c r="AM2159">
        <v>88.7098517005996</v>
      </c>
      <c r="AN2159">
        <v>0.99999998215083596</v>
      </c>
    </row>
    <row r="2160" spans="1:40" x14ac:dyDescent="0.25">
      <c r="A2160" t="str">
        <f>"20190312172126094"</f>
        <v>20190312172126094</v>
      </c>
      <c r="B2160" t="str">
        <f>"1552382486082935"</f>
        <v>1552382486082935</v>
      </c>
      <c r="C2160" t="s">
        <v>40</v>
      </c>
      <c r="D2160">
        <v>3.4520050000000002</v>
      </c>
      <c r="E2160">
        <v>0.50485389999999997</v>
      </c>
      <c r="F2160" t="s">
        <v>41</v>
      </c>
      <c r="G2160">
        <v>-217.52500000000001</v>
      </c>
      <c r="H2160">
        <v>1.0524629999999999</v>
      </c>
      <c r="I2160">
        <v>282.4436</v>
      </c>
      <c r="J2160">
        <v>-216.9221</v>
      </c>
      <c r="K2160">
        <v>1.111443</v>
      </c>
      <c r="L2160">
        <v>282.49270000000001</v>
      </c>
      <c r="M2160">
        <v>-0.98887990000000003</v>
      </c>
      <c r="N2160">
        <v>0</v>
      </c>
      <c r="O2160">
        <v>-0.1482021</v>
      </c>
      <c r="P2160">
        <v>-0.97720340000000006</v>
      </c>
      <c r="Q2160">
        <v>0.1746636</v>
      </c>
      <c r="R2160">
        <v>-0.1206902</v>
      </c>
      <c r="S2160">
        <v>-3.0705110000000002</v>
      </c>
      <c r="T2160">
        <v>-0.2228204</v>
      </c>
      <c r="U2160">
        <v>-0.31253049999999999</v>
      </c>
      <c r="V2160">
        <v>2.510043E-2</v>
      </c>
      <c r="W2160">
        <v>0.1868533</v>
      </c>
      <c r="X2160">
        <v>0.98206709999999997</v>
      </c>
      <c r="Y2160">
        <v>4.6805109999999997E-2</v>
      </c>
      <c r="Z2160">
        <v>1.2355700000000001E-2</v>
      </c>
      <c r="AA2160">
        <v>0.99882760000000004</v>
      </c>
      <c r="AB2160">
        <v>21</v>
      </c>
      <c r="AC2160">
        <v>-0.60290000000000499</v>
      </c>
      <c r="AD2160">
        <v>-5.8979999999999998E-2</v>
      </c>
      <c r="AE2160">
        <v>-4.91000000000099E-2</v>
      </c>
      <c r="AF2160">
        <v>4.0415919640551502E-2</v>
      </c>
      <c r="AG2160">
        <v>-5.8979999999999998E-2</v>
      </c>
      <c r="AH2160">
        <v>0.59783481422073503</v>
      </c>
      <c r="AI2160">
        <v>95.621591750483105</v>
      </c>
      <c r="AJ2160">
        <v>86.132470927846697</v>
      </c>
      <c r="AK2160">
        <v>0.60209513538537496</v>
      </c>
      <c r="AL2160">
        <v>79.230796826958397</v>
      </c>
      <c r="AM2160">
        <v>88.535908932953902</v>
      </c>
      <c r="AN2160">
        <v>0.999999988104742</v>
      </c>
    </row>
    <row r="2161" spans="1:40" x14ac:dyDescent="0.25">
      <c r="A2161" t="str">
        <f>"20190312172126117"</f>
        <v>20190312172126117</v>
      </c>
      <c r="B2161" t="str">
        <f>"1552382486113191"</f>
        <v>1552382486113191</v>
      </c>
      <c r="C2161" t="s">
        <v>40</v>
      </c>
      <c r="D2161">
        <v>3.4574609999999999</v>
      </c>
      <c r="E2161">
        <v>0.50505389999999994</v>
      </c>
      <c r="F2161" t="s">
        <v>46</v>
      </c>
      <c r="G2161">
        <v>-232.3931</v>
      </c>
      <c r="H2161" s="1">
        <v>-1.027259E-7</v>
      </c>
      <c r="I2161">
        <v>280.94209999999998</v>
      </c>
      <c r="J2161">
        <v>-217.12989999999999</v>
      </c>
      <c r="K2161">
        <v>1.111237</v>
      </c>
      <c r="L2161">
        <v>282.4599</v>
      </c>
      <c r="M2161">
        <v>-0.98869229999999997</v>
      </c>
      <c r="N2161">
        <v>0</v>
      </c>
      <c r="O2161">
        <v>-0.14944979999999999</v>
      </c>
      <c r="P2161">
        <v>-0.97707010000000005</v>
      </c>
      <c r="Q2161">
        <v>0.17562710000000001</v>
      </c>
      <c r="R2161">
        <v>-0.1203724</v>
      </c>
      <c r="S2161">
        <v>-3.0713810000000001</v>
      </c>
      <c r="T2161">
        <v>-0.22065000000000001</v>
      </c>
      <c r="U2161">
        <v>-0.30783080000000002</v>
      </c>
      <c r="V2161">
        <v>2.67289E-2</v>
      </c>
      <c r="W2161">
        <v>0.18779899999999999</v>
      </c>
      <c r="X2161">
        <v>0.98184369999999999</v>
      </c>
      <c r="Y2161">
        <v>4.9606459999999998E-2</v>
      </c>
      <c r="Z2161">
        <v>1.242191E-2</v>
      </c>
      <c r="AA2161">
        <v>0.99869160000000001</v>
      </c>
      <c r="AB2161">
        <v>21</v>
      </c>
      <c r="AC2161">
        <v>-15.263199999999999</v>
      </c>
      <c r="AD2161">
        <v>-1.1112371027259</v>
      </c>
      <c r="AE2161">
        <v>-1.51780000000002</v>
      </c>
      <c r="AF2161">
        <v>0.77642923322988699</v>
      </c>
      <c r="AG2161">
        <v>-1.1112371027259</v>
      </c>
      <c r="AH2161">
        <v>15.2386272888556</v>
      </c>
      <c r="AI2161">
        <v>94.165378446813406</v>
      </c>
      <c r="AJ2161">
        <v>87.083222708391602</v>
      </c>
      <c r="AK2161">
        <v>15.298805571068099</v>
      </c>
      <c r="AL2161">
        <v>79.175635585940995</v>
      </c>
      <c r="AM2161">
        <v>88.4406122801187</v>
      </c>
      <c r="AN2161">
        <v>0.999999974862949</v>
      </c>
    </row>
    <row r="2162" spans="1:40" x14ac:dyDescent="0.25">
      <c r="A2162" t="str">
        <f>"20190312172126138"</f>
        <v>20190312172126138</v>
      </c>
      <c r="B2162" t="str">
        <f>"1552382486132711"</f>
        <v>1552382486132711</v>
      </c>
      <c r="C2162" t="s">
        <v>40</v>
      </c>
      <c r="D2162">
        <v>3.4402469999999998</v>
      </c>
      <c r="E2162">
        <v>0.50518409999999903</v>
      </c>
      <c r="F2162" t="s">
        <v>46</v>
      </c>
      <c r="G2162">
        <v>-232.73750000000001</v>
      </c>
      <c r="H2162" s="1">
        <v>8.1964200000000003E-8</v>
      </c>
      <c r="I2162">
        <v>280.91019999999997</v>
      </c>
      <c r="J2162">
        <v>-217.33090000000001</v>
      </c>
      <c r="K2162">
        <v>1.1110180000000001</v>
      </c>
      <c r="L2162">
        <v>282.42829999999998</v>
      </c>
      <c r="M2162">
        <v>-0.98856010000000005</v>
      </c>
      <c r="N2162">
        <v>0</v>
      </c>
      <c r="O2162">
        <v>-0.15032200000000001</v>
      </c>
      <c r="P2162">
        <v>-0.97697650000000003</v>
      </c>
      <c r="Q2162">
        <v>0.17606179999999999</v>
      </c>
      <c r="R2162">
        <v>-0.1204966</v>
      </c>
      <c r="S2162">
        <v>-3.0721280000000002</v>
      </c>
      <c r="T2162">
        <v>-0.2187316</v>
      </c>
      <c r="U2162">
        <v>-0.30505369999999998</v>
      </c>
      <c r="V2162">
        <v>2.756076E-2</v>
      </c>
      <c r="W2162">
        <v>0.1882144</v>
      </c>
      <c r="X2162">
        <v>0.98174119999999998</v>
      </c>
      <c r="Y2162">
        <v>5.1407790000000002E-2</v>
      </c>
      <c r="Z2162">
        <v>1.243694E-2</v>
      </c>
      <c r="AA2162">
        <v>0.9986003</v>
      </c>
      <c r="AB2162">
        <v>21</v>
      </c>
      <c r="AC2162">
        <v>-15.4065999999999</v>
      </c>
      <c r="AD2162">
        <v>-1.1110179180358</v>
      </c>
      <c r="AE2162">
        <v>-1.5181</v>
      </c>
      <c r="AF2162">
        <v>0.81110247516804201</v>
      </c>
      <c r="AG2162">
        <v>-1.1110179180358</v>
      </c>
      <c r="AH2162">
        <v>15.380516381302</v>
      </c>
      <c r="AI2162">
        <v>94.125894610385899</v>
      </c>
      <c r="AJ2162">
        <v>86.981262652136806</v>
      </c>
      <c r="AK2162">
        <v>15.441908308072501</v>
      </c>
      <c r="AL2162">
        <v>79.151403286603994</v>
      </c>
      <c r="AM2162">
        <v>88.391938136084804</v>
      </c>
      <c r="AN2162">
        <v>1.0000000198182799</v>
      </c>
    </row>
    <row r="2163" spans="1:40" x14ac:dyDescent="0.25">
      <c r="A2163" t="str">
        <f>"20190312172126161"</f>
        <v>20190312172126161</v>
      </c>
      <c r="B2163" t="str">
        <f>"1552382486152738"</f>
        <v>1552382486152738</v>
      </c>
      <c r="C2163" t="s">
        <v>40</v>
      </c>
      <c r="D2163">
        <v>3.4548580000000002</v>
      </c>
      <c r="E2163">
        <v>0.50531380000000004</v>
      </c>
      <c r="F2163" t="s">
        <v>46</v>
      </c>
      <c r="G2163">
        <v>-232.98740000000001</v>
      </c>
      <c r="H2163" s="1">
        <v>2.164383E-7</v>
      </c>
      <c r="I2163">
        <v>280.87630000000001</v>
      </c>
      <c r="J2163">
        <v>-217.54740000000001</v>
      </c>
      <c r="K2163">
        <v>1.1107629999999999</v>
      </c>
      <c r="L2163">
        <v>282.39449999999999</v>
      </c>
      <c r="M2163">
        <v>-0.98847910000000005</v>
      </c>
      <c r="N2163">
        <v>0</v>
      </c>
      <c r="O2163">
        <v>-0.15085470000000001</v>
      </c>
      <c r="P2163">
        <v>-0.97691589999999995</v>
      </c>
      <c r="Q2163">
        <v>0.1765766</v>
      </c>
      <c r="R2163">
        <v>-0.1202329</v>
      </c>
      <c r="S2163">
        <v>-3.0724179999999999</v>
      </c>
      <c r="T2163">
        <v>-0.21802560000000001</v>
      </c>
      <c r="U2163">
        <v>-0.30456539999999999</v>
      </c>
      <c r="V2163">
        <v>2.8459870000000002E-2</v>
      </c>
      <c r="W2163">
        <v>0.1887066</v>
      </c>
      <c r="X2163">
        <v>0.98162099999999997</v>
      </c>
      <c r="Y2163">
        <v>5.2112619999999998E-2</v>
      </c>
      <c r="Z2163">
        <v>1.245798E-2</v>
      </c>
      <c r="AA2163">
        <v>0.99856350000000005</v>
      </c>
      <c r="AB2163">
        <v>21</v>
      </c>
      <c r="AC2163">
        <v>-15.4399999999999</v>
      </c>
      <c r="AD2163">
        <v>-1.1107627835617</v>
      </c>
      <c r="AE2163">
        <v>-1.51819999999997</v>
      </c>
      <c r="AF2163">
        <v>0.82432514172661397</v>
      </c>
      <c r="AG2163">
        <v>-1.1107627835617</v>
      </c>
      <c r="AH2163">
        <v>15.4133148740347</v>
      </c>
      <c r="AI2163">
        <v>94.116041012613593</v>
      </c>
      <c r="AJ2163">
        <v>86.938659933517599</v>
      </c>
      <c r="AK2163">
        <v>15.475257067550301</v>
      </c>
      <c r="AL2163">
        <v>79.122687155236406</v>
      </c>
      <c r="AM2163">
        <v>88.339304297723501</v>
      </c>
      <c r="AN2163">
        <v>0.999999966362487</v>
      </c>
    </row>
    <row r="2164" spans="1:40" x14ac:dyDescent="0.25">
      <c r="A2164" t="str">
        <f>"20190312172126173"</f>
        <v>20190312172126173</v>
      </c>
      <c r="B2164" t="str">
        <f>"1552382486163474"</f>
        <v>1552382486163474</v>
      </c>
      <c r="C2164" t="s">
        <v>40</v>
      </c>
      <c r="D2164">
        <v>3.4682140000000001</v>
      </c>
      <c r="E2164">
        <v>0.50538050000000001</v>
      </c>
      <c r="F2164" t="s">
        <v>41</v>
      </c>
      <c r="G2164">
        <v>-218.46080000000001</v>
      </c>
      <c r="H2164">
        <v>1.0461309999999999</v>
      </c>
      <c r="I2164">
        <v>282.30399999999997</v>
      </c>
      <c r="J2164">
        <v>-217.66480000000001</v>
      </c>
      <c r="K2164">
        <v>1.1106130000000001</v>
      </c>
      <c r="L2164">
        <v>282.37639999999999</v>
      </c>
      <c r="M2164">
        <v>-0.98847079999999998</v>
      </c>
      <c r="N2164">
        <v>0</v>
      </c>
      <c r="O2164">
        <v>-0.15090909999999999</v>
      </c>
      <c r="P2164">
        <v>-0.97685250000000001</v>
      </c>
      <c r="Q2164">
        <v>0.17691099999999901</v>
      </c>
      <c r="R2164">
        <v>-0.1202579</v>
      </c>
      <c r="S2164">
        <v>-3.0727389999999999</v>
      </c>
      <c r="T2164">
        <v>-0.2174352</v>
      </c>
      <c r="U2164">
        <v>-0.30435180000000001</v>
      </c>
      <c r="V2164">
        <v>2.8549169999999999E-2</v>
      </c>
      <c r="W2164">
        <v>0.18902830000000001</v>
      </c>
      <c r="X2164">
        <v>0.98155650000000005</v>
      </c>
      <c r="Y2164">
        <v>5.2248839999999998E-2</v>
      </c>
      <c r="Z2164">
        <v>1.243169E-2</v>
      </c>
      <c r="AA2164">
        <v>0.99855669999999996</v>
      </c>
      <c r="AB2164">
        <v>21</v>
      </c>
      <c r="AC2164">
        <v>-0.79599999999999205</v>
      </c>
      <c r="AD2164">
        <v>-6.4481999999999901E-2</v>
      </c>
      <c r="AE2164">
        <v>-7.2399999999959094E-2</v>
      </c>
      <c r="AF2164">
        <v>4.82480301611969E-2</v>
      </c>
      <c r="AG2164">
        <v>-6.4481999999999901E-2</v>
      </c>
      <c r="AH2164">
        <v>0.79265031144889497</v>
      </c>
      <c r="AI2164">
        <v>94.642208759843498</v>
      </c>
      <c r="AJ2164">
        <v>86.516746511201404</v>
      </c>
      <c r="AK2164">
        <v>0.79673101921443101</v>
      </c>
      <c r="AL2164">
        <v>79.103917201099605</v>
      </c>
      <c r="AM2164">
        <v>88.333986970880204</v>
      </c>
      <c r="AN2164">
        <v>0.99999995800041297</v>
      </c>
    </row>
    <row r="2165" spans="1:40" x14ac:dyDescent="0.25">
      <c r="A2165" t="str">
        <f>"20190312172126184"</f>
        <v>20190312172126184</v>
      </c>
      <c r="B2165" t="str">
        <f>"1552382486173234"</f>
        <v>1552382486173234</v>
      </c>
      <c r="C2165" t="s">
        <v>40</v>
      </c>
      <c r="D2165">
        <v>3.4566699999999999</v>
      </c>
      <c r="E2165">
        <v>0.5054343</v>
      </c>
      <c r="F2165" t="s">
        <v>41</v>
      </c>
      <c r="G2165">
        <v>-218.47499999999999</v>
      </c>
      <c r="H2165">
        <v>1.0534220000000001</v>
      </c>
      <c r="I2165">
        <v>282.29610000000002</v>
      </c>
      <c r="J2165">
        <v>-217.7784</v>
      </c>
      <c r="K2165">
        <v>1.1104689999999999</v>
      </c>
      <c r="L2165">
        <v>282.35890000000001</v>
      </c>
      <c r="M2165">
        <v>-0.98847470000000004</v>
      </c>
      <c r="N2165">
        <v>0</v>
      </c>
      <c r="O2165">
        <v>-0.15088299999999999</v>
      </c>
      <c r="P2165">
        <v>-0.97678449999999994</v>
      </c>
      <c r="Q2165">
        <v>0.17716709999999999</v>
      </c>
      <c r="R2165">
        <v>-0.1204321</v>
      </c>
      <c r="S2165">
        <v>-3.0728759999999999</v>
      </c>
      <c r="T2165">
        <v>-0.21691050000000001</v>
      </c>
      <c r="U2165">
        <v>-0.3045349</v>
      </c>
      <c r="V2165">
        <v>2.8406669999999998E-2</v>
      </c>
      <c r="W2165">
        <v>0.1892732</v>
      </c>
      <c r="X2165">
        <v>0.98151350000000004</v>
      </c>
      <c r="Y2165">
        <v>5.2170689999999999E-2</v>
      </c>
      <c r="Z2165">
        <v>1.2396610000000001E-2</v>
      </c>
      <c r="AA2165">
        <v>0.99856129999999999</v>
      </c>
      <c r="AB2165">
        <v>21</v>
      </c>
      <c r="AC2165">
        <v>-0.69659999999998901</v>
      </c>
      <c r="AD2165">
        <v>-5.7047000000000202E-2</v>
      </c>
      <c r="AE2165">
        <v>-6.2799999999981496E-2</v>
      </c>
      <c r="AF2165">
        <v>4.27477805520666E-2</v>
      </c>
      <c r="AG2165">
        <v>-5.7047000000000202E-2</v>
      </c>
      <c r="AH2165">
        <v>0.69348661425487101</v>
      </c>
      <c r="AI2165">
        <v>94.693758763229297</v>
      </c>
      <c r="AJ2165">
        <v>86.472646710388403</v>
      </c>
      <c r="AK2165">
        <v>0.697140887555601</v>
      </c>
      <c r="AL2165">
        <v>79.089628157974005</v>
      </c>
      <c r="AM2165">
        <v>88.342225454531999</v>
      </c>
      <c r="AN2165">
        <v>1.0000000169104799</v>
      </c>
    </row>
    <row r="2166" spans="1:40" x14ac:dyDescent="0.25">
      <c r="A2166" t="str">
        <f>"20190312172126204"</f>
        <v>20190312172126204</v>
      </c>
      <c r="B2166" t="str">
        <f>"1552382486192753"</f>
        <v>1552382486192753</v>
      </c>
      <c r="C2166" t="s">
        <v>40</v>
      </c>
      <c r="D2166">
        <v>3.476982</v>
      </c>
      <c r="E2166">
        <v>0.50556140000000005</v>
      </c>
      <c r="F2166" t="s">
        <v>41</v>
      </c>
      <c r="G2166">
        <v>-218.65199999999999</v>
      </c>
      <c r="H2166">
        <v>1.048861</v>
      </c>
      <c r="I2166">
        <v>282.2722</v>
      </c>
      <c r="J2166">
        <v>-217.95920000000001</v>
      </c>
      <c r="K2166">
        <v>1.110247</v>
      </c>
      <c r="L2166">
        <v>282.33139999999997</v>
      </c>
      <c r="M2166">
        <v>-0.9885178</v>
      </c>
      <c r="N2166">
        <v>0</v>
      </c>
      <c r="O2166">
        <v>-0.1506014</v>
      </c>
      <c r="P2166">
        <v>-0.976773</v>
      </c>
      <c r="Q2166">
        <v>0.17724770000000001</v>
      </c>
      <c r="R2166">
        <v>-0.120408</v>
      </c>
      <c r="S2166">
        <v>-3.0729679999999999</v>
      </c>
      <c r="T2166">
        <v>-0.2167703</v>
      </c>
      <c r="U2166">
        <v>-0.30541990000000002</v>
      </c>
      <c r="V2166">
        <v>2.825014E-2</v>
      </c>
      <c r="W2166">
        <v>0.18933829999999999</v>
      </c>
      <c r="X2166">
        <v>0.98150550000000003</v>
      </c>
      <c r="Y2166">
        <v>5.1606989999999998E-2</v>
      </c>
      <c r="Z2166">
        <v>1.2348659999999999E-2</v>
      </c>
      <c r="AA2166">
        <v>0.99859109999999995</v>
      </c>
      <c r="AB2166">
        <v>21</v>
      </c>
      <c r="AC2166">
        <v>-0.69280000000000497</v>
      </c>
      <c r="AD2166">
        <v>-6.1385999999999899E-2</v>
      </c>
      <c r="AE2166">
        <v>-5.9199999999975703E-2</v>
      </c>
      <c r="AF2166">
        <v>4.54655129147764E-2</v>
      </c>
      <c r="AG2166">
        <v>-6.1385999999999899E-2</v>
      </c>
      <c r="AH2166">
        <v>0.68844759273532297</v>
      </c>
      <c r="AI2166">
        <v>95.084333541846206</v>
      </c>
      <c r="AJ2166">
        <v>86.221637176278307</v>
      </c>
      <c r="AK2166">
        <v>0.69267268013374494</v>
      </c>
      <c r="AL2166">
        <v>79.085829930598706</v>
      </c>
      <c r="AM2166">
        <v>88.351341846408104</v>
      </c>
      <c r="AN2166">
        <v>1.0000000543935701</v>
      </c>
    </row>
    <row r="2167" spans="1:40" x14ac:dyDescent="0.25">
      <c r="A2167" t="str">
        <f>"20190312172126217"</f>
        <v>20190312172126217</v>
      </c>
      <c r="B2167" t="str">
        <f>"1552382486213250"</f>
        <v>1552382486213250</v>
      </c>
      <c r="C2167" t="s">
        <v>40</v>
      </c>
      <c r="D2167">
        <v>3.4810590000000001</v>
      </c>
      <c r="E2167">
        <v>0.50570509999999902</v>
      </c>
      <c r="F2167" t="s">
        <v>41</v>
      </c>
      <c r="G2167">
        <v>-218.84039999999999</v>
      </c>
      <c r="H2167">
        <v>1.047817</v>
      </c>
      <c r="I2167">
        <v>282.24369999999999</v>
      </c>
      <c r="J2167">
        <v>-218.0789</v>
      </c>
      <c r="K2167">
        <v>1.1100969999999999</v>
      </c>
      <c r="L2167">
        <v>282.3134</v>
      </c>
      <c r="M2167">
        <v>-0.98857220000000001</v>
      </c>
      <c r="N2167">
        <v>0</v>
      </c>
      <c r="O2167">
        <v>-0.15024370000000001</v>
      </c>
      <c r="P2167">
        <v>-0.97675040000000002</v>
      </c>
      <c r="Q2167">
        <v>0.1773362</v>
      </c>
      <c r="R2167">
        <v>-0.1204591</v>
      </c>
      <c r="S2167">
        <v>-3.0731809999999999</v>
      </c>
      <c r="T2167">
        <v>-0.21766099999999999</v>
      </c>
      <c r="U2167">
        <v>-0.30554199999999998</v>
      </c>
      <c r="V2167">
        <v>2.790923E-2</v>
      </c>
      <c r="W2167">
        <v>0.18941649999999999</v>
      </c>
      <c r="X2167">
        <v>0.98150009999999999</v>
      </c>
      <c r="Y2167">
        <v>5.1211050000000001E-2</v>
      </c>
      <c r="Z2167">
        <v>1.2359490000000001E-2</v>
      </c>
      <c r="AA2167">
        <v>0.99861140000000004</v>
      </c>
      <c r="AB2167">
        <v>21</v>
      </c>
      <c r="AC2167">
        <v>-0.76149999999998297</v>
      </c>
      <c r="AD2167">
        <v>-6.2279999999999801E-2</v>
      </c>
      <c r="AE2167">
        <v>-6.97000000000116E-2</v>
      </c>
      <c r="AF2167">
        <v>4.5210651480488299E-2</v>
      </c>
      <c r="AG2167">
        <v>-6.2279999999999801E-2</v>
      </c>
      <c r="AH2167">
        <v>0.75829760095749399</v>
      </c>
      <c r="AI2167">
        <v>94.686955101046905</v>
      </c>
      <c r="AJ2167">
        <v>86.587993011939901</v>
      </c>
      <c r="AK2167">
        <v>0.76219292375695902</v>
      </c>
      <c r="AL2167">
        <v>79.081266127428606</v>
      </c>
      <c r="AM2167">
        <v>88.3712173739425</v>
      </c>
      <c r="AN2167">
        <v>0.999999990945726</v>
      </c>
    </row>
    <row r="2168" spans="1:40" x14ac:dyDescent="0.25">
      <c r="A2168" t="str">
        <f>"20190312172126237"</f>
        <v>20190312172126237</v>
      </c>
      <c r="B2168" t="str">
        <f>"1552382486232770"</f>
        <v>1552382486232770</v>
      </c>
      <c r="C2168" t="s">
        <v>40</v>
      </c>
      <c r="D2168">
        <v>3.4660099999999998</v>
      </c>
      <c r="E2168">
        <v>0.50586350000000002</v>
      </c>
      <c r="F2168" t="s">
        <v>46</v>
      </c>
      <c r="G2168">
        <v>-233.7422</v>
      </c>
      <c r="H2168" s="1">
        <v>6.2311069999999997E-7</v>
      </c>
      <c r="I2168">
        <v>280.76139999999998</v>
      </c>
      <c r="J2168">
        <v>-218.27350000000001</v>
      </c>
      <c r="K2168">
        <v>1.1098509999999999</v>
      </c>
      <c r="L2168">
        <v>282.28460000000001</v>
      </c>
      <c r="M2168">
        <v>-0.98870639999999999</v>
      </c>
      <c r="N2168">
        <v>0</v>
      </c>
      <c r="O2168">
        <v>-0.14935780000000001</v>
      </c>
      <c r="P2168">
        <v>-0.97665469999999999</v>
      </c>
      <c r="Q2168">
        <v>0.17795469999999999</v>
      </c>
      <c r="R2168">
        <v>-0.1203244</v>
      </c>
      <c r="S2168">
        <v>-3.07341</v>
      </c>
      <c r="T2168">
        <v>-0.21781980000000001</v>
      </c>
      <c r="U2168">
        <v>-0.3045349</v>
      </c>
      <c r="V2168">
        <v>2.7259760000000001E-2</v>
      </c>
      <c r="W2168">
        <v>0.1900194</v>
      </c>
      <c r="X2168">
        <v>0.98140179999999999</v>
      </c>
      <c r="Y2168">
        <v>5.0650390000000003E-2</v>
      </c>
      <c r="Z2168">
        <v>1.228625E-2</v>
      </c>
      <c r="AA2168">
        <v>0.99864090000000005</v>
      </c>
      <c r="AB2168">
        <v>21</v>
      </c>
      <c r="AC2168">
        <v>-15.468699999999901</v>
      </c>
      <c r="AD2168">
        <v>-1.1098503768893</v>
      </c>
      <c r="AE2168">
        <v>-1.5232000000000301</v>
      </c>
      <c r="AF2168">
        <v>0.80035401974584697</v>
      </c>
      <c r="AG2168">
        <v>-1.1098503768893</v>
      </c>
      <c r="AH2168">
        <v>15.443944715714601</v>
      </c>
      <c r="AI2168">
        <v>94.104899048942897</v>
      </c>
      <c r="AJ2168">
        <v>87.033405480221603</v>
      </c>
      <c r="AK2168">
        <v>15.5044433243523</v>
      </c>
      <c r="AL2168">
        <v>79.046083415322002</v>
      </c>
      <c r="AM2168">
        <v>88.408941464809402</v>
      </c>
      <c r="AN2168">
        <v>0.99999997996742795</v>
      </c>
    </row>
    <row r="2169" spans="1:40" x14ac:dyDescent="0.25">
      <c r="A2169" t="str">
        <f>"20190312172126250"</f>
        <v>20190312172126250</v>
      </c>
      <c r="B2169" t="str">
        <f>"1552382486243037"</f>
        <v>1552382486243037</v>
      </c>
      <c r="C2169" t="s">
        <v>40</v>
      </c>
      <c r="D2169">
        <v>3.4835539999999998</v>
      </c>
      <c r="E2169">
        <v>0.5059418</v>
      </c>
      <c r="F2169" t="s">
        <v>46</v>
      </c>
      <c r="G2169">
        <v>-234.0361</v>
      </c>
      <c r="H2169" s="1">
        <v>7.809258E-7</v>
      </c>
      <c r="I2169">
        <v>280.72890000000001</v>
      </c>
      <c r="J2169">
        <v>-218.3997</v>
      </c>
      <c r="K2169">
        <v>1.1096900000000001</v>
      </c>
      <c r="L2169">
        <v>282.26620000000003</v>
      </c>
      <c r="M2169">
        <v>-0.98882689999999995</v>
      </c>
      <c r="N2169">
        <v>0</v>
      </c>
      <c r="O2169">
        <v>-0.1485582</v>
      </c>
      <c r="P2169">
        <v>-0.97669090000000003</v>
      </c>
      <c r="Q2169">
        <v>0.17795359999999999</v>
      </c>
      <c r="R2169">
        <v>-0.1200328</v>
      </c>
      <c r="S2169">
        <v>-3.0737920000000001</v>
      </c>
      <c r="T2169">
        <v>-0.2164268</v>
      </c>
      <c r="U2169">
        <v>-0.30337520000000001</v>
      </c>
      <c r="V2169">
        <v>2.6832350000000001E-2</v>
      </c>
      <c r="W2169">
        <v>0.19001109999999999</v>
      </c>
      <c r="X2169">
        <v>0.98141520000000004</v>
      </c>
      <c r="Y2169">
        <v>5.0237379999999998E-2</v>
      </c>
      <c r="Z2169">
        <v>1.213676E-2</v>
      </c>
      <c r="AA2169">
        <v>0.99866350000000004</v>
      </c>
      <c r="AB2169">
        <v>21</v>
      </c>
      <c r="AC2169">
        <v>-15.6364</v>
      </c>
      <c r="AD2169">
        <v>-1.1096892190742</v>
      </c>
      <c r="AE2169">
        <v>-1.5373000000000101</v>
      </c>
      <c r="AF2169">
        <v>0.79886781078180502</v>
      </c>
      <c r="AG2169">
        <v>-1.1096892190742</v>
      </c>
      <c r="AH2169">
        <v>15.613378629374299</v>
      </c>
      <c r="AI2169">
        <v>94.060052161088294</v>
      </c>
      <c r="AJ2169">
        <v>87.070981533237301</v>
      </c>
      <c r="AK2169">
        <v>15.673136002926601</v>
      </c>
      <c r="AL2169">
        <v>79.046567950316501</v>
      </c>
      <c r="AM2169">
        <v>88.433896768061402</v>
      </c>
      <c r="AN2169">
        <v>0.99999999396038597</v>
      </c>
    </row>
    <row r="2170" spans="1:40" x14ac:dyDescent="0.25">
      <c r="A2170" t="str">
        <f>"20190312172126272"</f>
        <v>20190312172126272</v>
      </c>
      <c r="B2170" t="str">
        <f>"1552382486263539"</f>
        <v>1552382486263539</v>
      </c>
      <c r="C2170" t="s">
        <v>40</v>
      </c>
      <c r="D2170">
        <v>3.511876</v>
      </c>
      <c r="E2170">
        <v>0.50598390000000004</v>
      </c>
      <c r="F2170" t="s">
        <v>41</v>
      </c>
      <c r="G2170">
        <v>-219.22239999999999</v>
      </c>
      <c r="H2170">
        <v>1.0516970000000001</v>
      </c>
      <c r="I2170">
        <v>282.18549999999999</v>
      </c>
      <c r="J2170">
        <v>-218.60300000000001</v>
      </c>
      <c r="K2170">
        <v>1.1094329999999999</v>
      </c>
      <c r="L2170">
        <v>282.23719999999997</v>
      </c>
      <c r="M2170">
        <v>-0.98905829999999995</v>
      </c>
      <c r="N2170">
        <v>0</v>
      </c>
      <c r="O2170">
        <v>-0.147009</v>
      </c>
      <c r="P2170">
        <v>-0.97680290000000003</v>
      </c>
      <c r="Q2170">
        <v>0.17775839999999901</v>
      </c>
      <c r="R2170">
        <v>-0.11940729999999999</v>
      </c>
      <c r="S2170">
        <v>-3.0739749999999999</v>
      </c>
      <c r="T2170">
        <v>-0.21670909999999999</v>
      </c>
      <c r="U2170">
        <v>-0.30175780000000002</v>
      </c>
      <c r="V2170">
        <v>2.6042940000000001E-2</v>
      </c>
      <c r="W2170">
        <v>0.18980639999999999</v>
      </c>
      <c r="X2170">
        <v>0.98147609999999996</v>
      </c>
      <c r="Y2170">
        <v>4.9204030000000003E-2</v>
      </c>
      <c r="Z2170">
        <v>1.2008420000000001E-2</v>
      </c>
      <c r="AA2170">
        <v>0.99871650000000001</v>
      </c>
      <c r="AB2170">
        <v>21</v>
      </c>
      <c r="AC2170">
        <v>-0.61940000000001205</v>
      </c>
      <c r="AD2170">
        <v>-5.7736000000000003E-2</v>
      </c>
      <c r="AE2170">
        <v>-5.1699999999982503E-2</v>
      </c>
      <c r="AF2170">
        <v>3.9584540060416097E-2</v>
      </c>
      <c r="AG2170">
        <v>-5.7736000000000003E-2</v>
      </c>
      <c r="AH2170">
        <v>0.61496400600654899</v>
      </c>
      <c r="AI2170">
        <v>95.352489490586805</v>
      </c>
      <c r="AJ2170">
        <v>86.317016264098498</v>
      </c>
      <c r="AK2170">
        <v>0.61893546528811705</v>
      </c>
      <c r="AL2170">
        <v>79.058514073223506</v>
      </c>
      <c r="AM2170">
        <v>88.480043987463205</v>
      </c>
      <c r="AN2170">
        <v>1.0000000195380001</v>
      </c>
    </row>
    <row r="2171" spans="1:40" x14ac:dyDescent="0.25">
      <c r="A2171" t="str">
        <f>"20190312172126285"</f>
        <v>20190312172126285</v>
      </c>
      <c r="B2171" t="str">
        <f>"1552382486273294"</f>
        <v>1552382486273294</v>
      </c>
      <c r="C2171" t="s">
        <v>40</v>
      </c>
      <c r="D2171">
        <v>3.4842909999999998</v>
      </c>
      <c r="E2171">
        <v>0.50859049999999995</v>
      </c>
      <c r="F2171" t="s">
        <v>41</v>
      </c>
      <c r="G2171">
        <v>-219.4144</v>
      </c>
      <c r="H2171">
        <v>1.052017</v>
      </c>
      <c r="I2171">
        <v>282.15820000000002</v>
      </c>
      <c r="J2171">
        <v>-218.72229999999999</v>
      </c>
      <c r="K2171">
        <v>1.109297</v>
      </c>
      <c r="L2171">
        <v>282.22050000000002</v>
      </c>
      <c r="M2171">
        <v>-0.98921440000000005</v>
      </c>
      <c r="N2171">
        <v>0</v>
      </c>
      <c r="O2171">
        <v>-0.14595439999999901</v>
      </c>
      <c r="P2171">
        <v>-0.97684749999999998</v>
      </c>
      <c r="Q2171">
        <v>0.17786939999999901</v>
      </c>
      <c r="R2171">
        <v>-0.1188757</v>
      </c>
      <c r="S2171">
        <v>-3.0742189999999998</v>
      </c>
      <c r="T2171">
        <v>-0.2176323</v>
      </c>
      <c r="U2171">
        <v>-0.29977419999999999</v>
      </c>
      <c r="V2171">
        <v>2.5590399999999999E-2</v>
      </c>
      <c r="W2171">
        <v>0.18991369999999999</v>
      </c>
      <c r="X2171">
        <v>0.98146719999999998</v>
      </c>
      <c r="Y2171">
        <v>4.878482E-2</v>
      </c>
      <c r="Z2171">
        <v>1.1970700000000001E-2</v>
      </c>
      <c r="AA2171">
        <v>0.9987376</v>
      </c>
      <c r="AB2171">
        <v>21</v>
      </c>
      <c r="AC2171">
        <v>-0.69210000000001004</v>
      </c>
      <c r="AD2171">
        <v>-5.7279999999999998E-2</v>
      </c>
      <c r="AE2171">
        <v>-6.2299999999993298E-2</v>
      </c>
      <c r="AF2171">
        <v>3.9124147819054302E-2</v>
      </c>
      <c r="AG2171">
        <v>-5.7279999999999998E-2</v>
      </c>
      <c r="AH2171">
        <v>0.68909889175875005</v>
      </c>
      <c r="AI2171">
        <v>94.744070960538295</v>
      </c>
      <c r="AJ2171">
        <v>86.750474313823602</v>
      </c>
      <c r="AK2171">
        <v>0.69258138869428598</v>
      </c>
      <c r="AL2171">
        <v>79.052251830687197</v>
      </c>
      <c r="AM2171">
        <v>88.506430179988101</v>
      </c>
      <c r="AN2171">
        <v>0.99999997334784396</v>
      </c>
    </row>
    <row r="2172" spans="1:40" x14ac:dyDescent="0.25">
      <c r="A2172" t="str">
        <f>"20190312172126306"</f>
        <v>20190312172126306</v>
      </c>
      <c r="B2172" t="str">
        <f>"1552382486302574"</f>
        <v>1552382486302574</v>
      </c>
      <c r="C2172" t="s">
        <v>40</v>
      </c>
      <c r="D2172">
        <v>3.4860449999999998</v>
      </c>
      <c r="E2172">
        <v>0.50945169999999995</v>
      </c>
      <c r="F2172" t="s">
        <v>41</v>
      </c>
      <c r="G2172">
        <v>-219.5941</v>
      </c>
      <c r="H2172">
        <v>1.0407759999999999</v>
      </c>
      <c r="I2172">
        <v>282.1422</v>
      </c>
      <c r="J2172">
        <v>-218.92189999999999</v>
      </c>
      <c r="K2172">
        <v>1.109113</v>
      </c>
      <c r="L2172">
        <v>282.19319999999999</v>
      </c>
      <c r="M2172">
        <v>-0.98950459999999996</v>
      </c>
      <c r="N2172">
        <v>0</v>
      </c>
      <c r="O2172">
        <v>-0.14397370000000001</v>
      </c>
      <c r="P2172">
        <v>-0.97697710000000004</v>
      </c>
      <c r="Q2172">
        <v>0.17837809999999901</v>
      </c>
      <c r="R2172">
        <v>-0.1170382</v>
      </c>
      <c r="S2172">
        <v>-3.0814970000000002</v>
      </c>
      <c r="T2172">
        <v>-0.24233150000000001</v>
      </c>
      <c r="U2172">
        <v>-0.27700809999999998</v>
      </c>
      <c r="V2172">
        <v>2.554878E-2</v>
      </c>
      <c r="W2172">
        <v>0.190415</v>
      </c>
      <c r="X2172">
        <v>0.9813712</v>
      </c>
      <c r="Y2172">
        <v>5.4203660000000001E-2</v>
      </c>
      <c r="Z2172">
        <v>1.3359019999999999E-2</v>
      </c>
      <c r="AA2172">
        <v>0.99844060000000001</v>
      </c>
      <c r="AB2172">
        <v>21</v>
      </c>
      <c r="AC2172">
        <v>-0.67220000000000302</v>
      </c>
      <c r="AD2172">
        <v>-6.8336999999999995E-2</v>
      </c>
      <c r="AE2172">
        <v>-5.0999999999987701E-2</v>
      </c>
      <c r="AF2172">
        <v>4.5846792525706802E-2</v>
      </c>
      <c r="AG2172">
        <v>-6.8336999999999995E-2</v>
      </c>
      <c r="AH2172">
        <v>0.66569815788466102</v>
      </c>
      <c r="AI2172">
        <v>95.847391854551105</v>
      </c>
      <c r="AJ2172">
        <v>86.060246895441395</v>
      </c>
      <c r="AK2172">
        <v>0.67076516856864798</v>
      </c>
      <c r="AL2172">
        <v>79.022996139274099</v>
      </c>
      <c r="AM2172">
        <v>88.508712410043003</v>
      </c>
      <c r="AN2172">
        <v>1.0000000222869601</v>
      </c>
    </row>
    <row r="2173" spans="1:40" x14ac:dyDescent="0.25">
      <c r="A2173" t="str">
        <f>"20190312172126328"</f>
        <v>20190312172126328</v>
      </c>
      <c r="B2173" t="str">
        <f>"1552382486323069"</f>
        <v>1552382486323069</v>
      </c>
      <c r="C2173" t="s">
        <v>40</v>
      </c>
      <c r="D2173">
        <v>3.524572</v>
      </c>
      <c r="E2173">
        <v>0.50973809999999997</v>
      </c>
      <c r="F2173" t="s">
        <v>41</v>
      </c>
      <c r="G2173">
        <v>-219.7841</v>
      </c>
      <c r="H2173">
        <v>1.0404719999999901</v>
      </c>
      <c r="I2173">
        <v>282.11930000000001</v>
      </c>
      <c r="J2173">
        <v>-219.13200000000001</v>
      </c>
      <c r="K2173">
        <v>1.108981</v>
      </c>
      <c r="L2173">
        <v>282.16520000000003</v>
      </c>
      <c r="M2173">
        <v>-0.98983540000000003</v>
      </c>
      <c r="N2173">
        <v>0</v>
      </c>
      <c r="O2173">
        <v>-0.141681</v>
      </c>
      <c r="P2173">
        <v>-0.9772187</v>
      </c>
      <c r="Q2173">
        <v>0.17931150000000001</v>
      </c>
      <c r="R2173">
        <v>-0.11353920000000001</v>
      </c>
      <c r="S2173">
        <v>-3.0838009999999998</v>
      </c>
      <c r="T2173">
        <v>-0.24551029999999999</v>
      </c>
      <c r="U2173">
        <v>-0.26477050000000002</v>
      </c>
      <c r="V2173">
        <v>2.683396E-2</v>
      </c>
      <c r="W2173">
        <v>0.19133620000000001</v>
      </c>
      <c r="X2173">
        <v>0.98115770000000002</v>
      </c>
      <c r="Y2173">
        <v>5.5875250000000001E-2</v>
      </c>
      <c r="Z2173">
        <v>1.341318E-2</v>
      </c>
      <c r="AA2173">
        <v>0.9983476</v>
      </c>
      <c r="AB2173">
        <v>21</v>
      </c>
      <c r="AC2173">
        <v>-0.65209999999999002</v>
      </c>
      <c r="AD2173">
        <v>-6.8509000000000098E-2</v>
      </c>
      <c r="AE2173">
        <v>-4.5900000000017302E-2</v>
      </c>
      <c r="AF2173">
        <v>4.6450151753839902E-2</v>
      </c>
      <c r="AG2173">
        <v>-6.8509000000000098E-2</v>
      </c>
      <c r="AH2173">
        <v>0.64494112033037598</v>
      </c>
      <c r="AI2173">
        <v>96.047968206723397</v>
      </c>
      <c r="AJ2173">
        <v>85.880538404718294</v>
      </c>
      <c r="AK2173">
        <v>0.65023084237211903</v>
      </c>
      <c r="AL2173">
        <v>78.969226620602697</v>
      </c>
      <c r="AM2173">
        <v>88.433392009314204</v>
      </c>
      <c r="AN2173">
        <v>1.0000000175545001</v>
      </c>
    </row>
    <row r="2174" spans="1:40" x14ac:dyDescent="0.25">
      <c r="A2174" t="str">
        <f>"20190312172126341"</f>
        <v>20190312172126341</v>
      </c>
      <c r="B2174" t="str">
        <f>"1552382486332830"</f>
        <v>1552382486332830</v>
      </c>
      <c r="C2174" t="s">
        <v>40</v>
      </c>
      <c r="D2174">
        <v>3.4928789999999998</v>
      </c>
      <c r="E2174">
        <v>0.50980349999999997</v>
      </c>
      <c r="F2174" t="s">
        <v>41</v>
      </c>
      <c r="G2174">
        <v>-219.97499999999999</v>
      </c>
      <c r="H2174">
        <v>1.042225</v>
      </c>
      <c r="I2174">
        <v>282.09629999999999</v>
      </c>
      <c r="J2174">
        <v>-219.255</v>
      </c>
      <c r="K2174">
        <v>1.1089279999999999</v>
      </c>
      <c r="L2174">
        <v>282.149</v>
      </c>
      <c r="M2174">
        <v>-0.9900352</v>
      </c>
      <c r="N2174">
        <v>0</v>
      </c>
      <c r="O2174">
        <v>-0.1402794</v>
      </c>
      <c r="P2174">
        <v>-0.97742530000000005</v>
      </c>
      <c r="Q2174">
        <v>0.17971899999999999</v>
      </c>
      <c r="R2174">
        <v>-0.1110897</v>
      </c>
      <c r="S2174">
        <v>-3.0854949999999999</v>
      </c>
      <c r="T2174">
        <v>-0.24436830000000001</v>
      </c>
      <c r="U2174">
        <v>-0.25219730000000001</v>
      </c>
      <c r="V2174">
        <v>2.7920960000000002E-2</v>
      </c>
      <c r="W2174">
        <v>0.19173589999999999</v>
      </c>
      <c r="X2174">
        <v>0.98104930000000001</v>
      </c>
      <c r="Y2174">
        <v>5.8550070000000003E-2</v>
      </c>
      <c r="Z2174">
        <v>1.334285E-2</v>
      </c>
      <c r="AA2174">
        <v>0.99819530000000001</v>
      </c>
      <c r="AB2174">
        <v>21</v>
      </c>
      <c r="AC2174">
        <v>-0.71999999999999797</v>
      </c>
      <c r="AD2174">
        <v>-6.6703000000000096E-2</v>
      </c>
      <c r="AE2174">
        <v>-5.27000000000157E-2</v>
      </c>
      <c r="AF2174">
        <v>4.8416690744955401E-2</v>
      </c>
      <c r="AG2174">
        <v>-6.6703000000000096E-2</v>
      </c>
      <c r="AH2174">
        <v>0.71417588942793997</v>
      </c>
      <c r="AI2174">
        <v>95.323714410919195</v>
      </c>
      <c r="AJ2174">
        <v>86.121636303835203</v>
      </c>
      <c r="AK2174">
        <v>0.71891631445661397</v>
      </c>
      <c r="AL2174">
        <v>78.945893102714507</v>
      </c>
      <c r="AM2174">
        <v>88.369784831049202</v>
      </c>
      <c r="AN2174">
        <v>0.99999998219330999</v>
      </c>
    </row>
    <row r="2175" spans="1:40" x14ac:dyDescent="0.25">
      <c r="A2175" t="str">
        <f>"20190312172126352"</f>
        <v>20190312172126352</v>
      </c>
      <c r="B2175" t="str">
        <f>"1552382486343097"</f>
        <v>1552382486343097</v>
      </c>
      <c r="C2175" t="s">
        <v>40</v>
      </c>
      <c r="D2175">
        <v>3.4549590000000001</v>
      </c>
      <c r="E2175">
        <v>0.5098355</v>
      </c>
      <c r="F2175" t="s">
        <v>41</v>
      </c>
      <c r="G2175">
        <v>-220.16300000000001</v>
      </c>
      <c r="H2175">
        <v>1.037042</v>
      </c>
      <c r="I2175">
        <v>282.07729999999998</v>
      </c>
      <c r="J2175">
        <v>-219.37350000000001</v>
      </c>
      <c r="K2175">
        <v>1.1089089999999999</v>
      </c>
      <c r="L2175">
        <v>282.13380000000001</v>
      </c>
      <c r="M2175">
        <v>-0.9902318</v>
      </c>
      <c r="N2175">
        <v>0</v>
      </c>
      <c r="O2175">
        <v>-0.13888339999999999</v>
      </c>
      <c r="P2175">
        <v>-0.97763129999999998</v>
      </c>
      <c r="Q2175">
        <v>0.18005299999999999</v>
      </c>
      <c r="R2175">
        <v>-0.1087114</v>
      </c>
      <c r="S2175">
        <v>-3.086411</v>
      </c>
      <c r="T2175">
        <v>-0.24436869999999999</v>
      </c>
      <c r="U2175">
        <v>-0.24462890000000001</v>
      </c>
      <c r="V2175">
        <v>2.8927660000000001E-2</v>
      </c>
      <c r="W2175">
        <v>0.1920644</v>
      </c>
      <c r="X2175">
        <v>0.98095589999999999</v>
      </c>
      <c r="Y2175">
        <v>5.9599899999999997E-2</v>
      </c>
      <c r="Z2175">
        <v>1.327308E-2</v>
      </c>
      <c r="AA2175">
        <v>0.99813410000000002</v>
      </c>
      <c r="AB2175">
        <v>21</v>
      </c>
      <c r="AC2175">
        <v>-0.789499999999975</v>
      </c>
      <c r="AD2175">
        <v>-7.1866999999999903E-2</v>
      </c>
      <c r="AE2175">
        <v>-5.6500000000028097E-2</v>
      </c>
      <c r="AF2175">
        <v>5.3265322054070301E-2</v>
      </c>
      <c r="AG2175">
        <v>-7.1866999999999903E-2</v>
      </c>
      <c r="AH2175">
        <v>0.78323809999110505</v>
      </c>
      <c r="AI2175">
        <v>95.2305524894077</v>
      </c>
      <c r="AJ2175">
        <v>86.109501959988293</v>
      </c>
      <c r="AK2175">
        <v>0.78832986845622</v>
      </c>
      <c r="AL2175">
        <v>78.926715320707004</v>
      </c>
      <c r="AM2175">
        <v>88.310879585704996</v>
      </c>
      <c r="AN2175">
        <v>1.0000000105026201</v>
      </c>
    </row>
    <row r="2176" spans="1:40" x14ac:dyDescent="0.25">
      <c r="A2176" t="str">
        <f>"20190312172126372"</f>
        <v>20190312172126372</v>
      </c>
      <c r="B2176" t="str">
        <f>"1552382486362616"</f>
        <v>1552382486362616</v>
      </c>
      <c r="C2176" t="s">
        <v>40</v>
      </c>
      <c r="D2176">
        <v>3.5072909999999999</v>
      </c>
      <c r="E2176">
        <v>0.5098625</v>
      </c>
      <c r="F2176" t="s">
        <v>41</v>
      </c>
      <c r="G2176">
        <v>-220.16820000000001</v>
      </c>
      <c r="H2176">
        <v>1.046214</v>
      </c>
      <c r="I2176">
        <v>282.0729</v>
      </c>
      <c r="J2176">
        <v>-219.55619999999999</v>
      </c>
      <c r="K2176">
        <v>1.1089070000000001</v>
      </c>
      <c r="L2176">
        <v>282.11070000000001</v>
      </c>
      <c r="M2176">
        <v>-0.99053400000000003</v>
      </c>
      <c r="N2176">
        <v>0</v>
      </c>
      <c r="O2176">
        <v>-0.13671140000000001</v>
      </c>
      <c r="P2176">
        <v>-0.97797920000000005</v>
      </c>
      <c r="Q2176">
        <v>0.18025240000000001</v>
      </c>
      <c r="R2176">
        <v>-0.105195</v>
      </c>
      <c r="S2176">
        <v>-3.087097</v>
      </c>
      <c r="T2176">
        <v>-0.2435484</v>
      </c>
      <c r="U2176">
        <v>-0.23745730000000001</v>
      </c>
      <c r="V2176">
        <v>3.0301270000000002E-2</v>
      </c>
      <c r="W2176">
        <v>0.19225809999999999</v>
      </c>
      <c r="X2176">
        <v>0.98087639999999998</v>
      </c>
      <c r="Y2176">
        <v>5.9743310000000001E-2</v>
      </c>
      <c r="Z2176">
        <v>1.306384E-2</v>
      </c>
      <c r="AA2176">
        <v>0.99812829999999997</v>
      </c>
      <c r="AB2176">
        <v>21</v>
      </c>
      <c r="AC2176">
        <v>-0.61200000000002297</v>
      </c>
      <c r="AD2176">
        <v>-6.2692999999999804E-2</v>
      </c>
      <c r="AE2176">
        <v>-3.7800000000004198E-2</v>
      </c>
      <c r="AF2176">
        <v>4.5750439936308798E-2</v>
      </c>
      <c r="AG2176">
        <v>-6.2692999999999804E-2</v>
      </c>
      <c r="AH2176">
        <v>0.60509543223682605</v>
      </c>
      <c r="AI2176">
        <v>95.8985044560727</v>
      </c>
      <c r="AJ2176">
        <v>85.676171067174096</v>
      </c>
      <c r="AK2176">
        <v>0.61005245439817402</v>
      </c>
      <c r="AL2176">
        <v>78.915405441706199</v>
      </c>
      <c r="AM2176">
        <v>88.230579381861702</v>
      </c>
      <c r="AN2176">
        <v>0.99999992802808801</v>
      </c>
    </row>
    <row r="2177" spans="1:40" x14ac:dyDescent="0.25">
      <c r="A2177" t="str">
        <f>"20190312172126386"</f>
        <v>20190312172126386</v>
      </c>
      <c r="B2177" t="str">
        <f>"1552382486383113"</f>
        <v>1552382486383113</v>
      </c>
      <c r="C2177" t="s">
        <v>40</v>
      </c>
      <c r="D2177">
        <v>3.4887600000000001</v>
      </c>
      <c r="E2177">
        <v>0.50975599999999999</v>
      </c>
      <c r="F2177" t="s">
        <v>41</v>
      </c>
      <c r="G2177">
        <v>-220.3579</v>
      </c>
      <c r="H2177">
        <v>1.045687</v>
      </c>
      <c r="I2177">
        <v>282.0521</v>
      </c>
      <c r="J2177">
        <v>-219.6773</v>
      </c>
      <c r="K2177">
        <v>1.1089230000000001</v>
      </c>
      <c r="L2177">
        <v>282.09559999999999</v>
      </c>
      <c r="M2177">
        <v>-0.9907319</v>
      </c>
      <c r="N2177">
        <v>0</v>
      </c>
      <c r="O2177">
        <v>-0.135269</v>
      </c>
      <c r="P2177">
        <v>-0.97814429999999997</v>
      </c>
      <c r="Q2177">
        <v>0.1805206</v>
      </c>
      <c r="R2177">
        <v>-0.1031793</v>
      </c>
      <c r="S2177">
        <v>-3.0880740000000002</v>
      </c>
      <c r="T2177">
        <v>-0.24354310000000001</v>
      </c>
      <c r="U2177">
        <v>-0.2264099</v>
      </c>
      <c r="V2177">
        <v>3.088078E-2</v>
      </c>
      <c r="W2177">
        <v>0.1925248</v>
      </c>
      <c r="X2177">
        <v>0.98080610000000001</v>
      </c>
      <c r="Y2177">
        <v>6.1862640000000003E-2</v>
      </c>
      <c r="Z2177">
        <v>1.3032820000000001E-2</v>
      </c>
      <c r="AA2177">
        <v>0.99799959999999999</v>
      </c>
      <c r="AB2177">
        <v>21</v>
      </c>
      <c r="AC2177">
        <v>-0.68059999999999798</v>
      </c>
      <c r="AD2177">
        <v>-6.3235999999999806E-2</v>
      </c>
      <c r="AE2177">
        <v>-4.3499999999994501E-2</v>
      </c>
      <c r="AF2177">
        <v>4.8553539192373499E-2</v>
      </c>
      <c r="AG2177">
        <v>-6.3235999999999806E-2</v>
      </c>
      <c r="AH2177">
        <v>0.67442979623613197</v>
      </c>
      <c r="AI2177">
        <v>95.342769000321496</v>
      </c>
      <c r="AJ2177">
        <v>85.882267202770393</v>
      </c>
      <c r="AK2177">
        <v>0.679125752652051</v>
      </c>
      <c r="AL2177">
        <v>78.899834710559603</v>
      </c>
      <c r="AM2177">
        <v>88.196632286103593</v>
      </c>
      <c r="AN2177">
        <v>1.00000001349282</v>
      </c>
    </row>
    <row r="2178" spans="1:40" x14ac:dyDescent="0.25">
      <c r="A2178" t="str">
        <f>"20190312172126405"</f>
        <v>20190312172126405</v>
      </c>
      <c r="B2178" t="str">
        <f>"1552382486402632"</f>
        <v>1552382486402632</v>
      </c>
      <c r="C2178" t="s">
        <v>40</v>
      </c>
      <c r="D2178">
        <v>3.5173410000000001</v>
      </c>
      <c r="E2178">
        <v>0.50972680000000004</v>
      </c>
      <c r="F2178" t="s">
        <v>41</v>
      </c>
      <c r="G2178">
        <v>-220.54470000000001</v>
      </c>
      <c r="H2178">
        <v>1.0402209999999901</v>
      </c>
      <c r="I2178">
        <v>282.03379999999999</v>
      </c>
      <c r="J2178">
        <v>-219.86529999999999</v>
      </c>
      <c r="K2178">
        <v>1.1089770000000001</v>
      </c>
      <c r="L2178">
        <v>282.07249999999999</v>
      </c>
      <c r="M2178">
        <v>-0.99103249999999998</v>
      </c>
      <c r="N2178">
        <v>0</v>
      </c>
      <c r="O2178">
        <v>-0.1330489</v>
      </c>
      <c r="P2178">
        <v>-0.9784043</v>
      </c>
      <c r="Q2178">
        <v>0.18108730000000001</v>
      </c>
      <c r="R2178">
        <v>-9.9662970000000004E-2</v>
      </c>
      <c r="S2178">
        <v>-3.0889129999999998</v>
      </c>
      <c r="T2178">
        <v>-0.24470700000000001</v>
      </c>
      <c r="U2178">
        <v>-0.22076419999999999</v>
      </c>
      <c r="V2178">
        <v>3.2176650000000001E-2</v>
      </c>
      <c r="W2178">
        <v>0.19308819999999999</v>
      </c>
      <c r="X2178">
        <v>0.98065360000000001</v>
      </c>
      <c r="Y2178">
        <v>6.1463289999999997E-2</v>
      </c>
      <c r="Z2178">
        <v>1.2903019999999999E-2</v>
      </c>
      <c r="AA2178">
        <v>0.99802599999999997</v>
      </c>
      <c r="AB2178">
        <v>21</v>
      </c>
      <c r="AC2178">
        <v>-0.67940000000001499</v>
      </c>
      <c r="AD2178">
        <v>-6.8756000000000206E-2</v>
      </c>
      <c r="AE2178">
        <v>-3.8700000000005702E-2</v>
      </c>
      <c r="AF2178">
        <v>5.1518507094389397E-2</v>
      </c>
      <c r="AG2178">
        <v>-6.8756000000000206E-2</v>
      </c>
      <c r="AH2178">
        <v>0.67165165942176996</v>
      </c>
      <c r="AI2178">
        <v>95.827924213922103</v>
      </c>
      <c r="AJ2178">
        <v>85.613761479408495</v>
      </c>
      <c r="AK2178">
        <v>0.67712443148453305</v>
      </c>
      <c r="AL2178">
        <v>78.866936133738506</v>
      </c>
      <c r="AM2178">
        <v>88.120717575187399</v>
      </c>
      <c r="AN2178">
        <v>0.999999936488709</v>
      </c>
    </row>
    <row r="2179" spans="1:40" x14ac:dyDescent="0.25">
      <c r="A2179" t="str">
        <f>"20190312172126417"</f>
        <v>20190312172126417</v>
      </c>
      <c r="B2179" t="str">
        <f>"1552382486413369"</f>
        <v>1552382486413369</v>
      </c>
      <c r="C2179" t="s">
        <v>40</v>
      </c>
      <c r="D2179">
        <v>3.4958480000000001</v>
      </c>
      <c r="E2179">
        <v>0.50971909999999998</v>
      </c>
      <c r="F2179" t="s">
        <v>41</v>
      </c>
      <c r="G2179">
        <v>-220.7346</v>
      </c>
      <c r="H2179">
        <v>1.0399229999999999</v>
      </c>
      <c r="I2179">
        <v>282.01339999999999</v>
      </c>
      <c r="J2179">
        <v>-219.9795</v>
      </c>
      <c r="K2179">
        <v>1.1090150000000001</v>
      </c>
      <c r="L2179">
        <v>282.05869999999999</v>
      </c>
      <c r="M2179">
        <v>-0.99121020000000004</v>
      </c>
      <c r="N2179">
        <v>0</v>
      </c>
      <c r="O2179">
        <v>-0.13171959999999999</v>
      </c>
      <c r="P2179">
        <v>-0.97849730000000001</v>
      </c>
      <c r="Q2179">
        <v>0.1816672</v>
      </c>
      <c r="R2179">
        <v>-9.7676840000000001E-2</v>
      </c>
      <c r="S2179">
        <v>-3.0902400000000001</v>
      </c>
      <c r="T2179">
        <v>-0.2455696</v>
      </c>
      <c r="U2179">
        <v>-0.21041869999999999</v>
      </c>
      <c r="V2179">
        <v>3.282479E-2</v>
      </c>
      <c r="W2179">
        <v>0.19366639999999999</v>
      </c>
      <c r="X2179">
        <v>0.98051820000000001</v>
      </c>
      <c r="Y2179">
        <v>6.3473890000000005E-2</v>
      </c>
      <c r="Z2179">
        <v>1.292017E-2</v>
      </c>
      <c r="AA2179">
        <v>0.99789989999999995</v>
      </c>
      <c r="AB2179">
        <v>21</v>
      </c>
      <c r="AC2179">
        <v>-0.755099999999998</v>
      </c>
      <c r="AD2179">
        <v>-6.9091999999999903E-2</v>
      </c>
      <c r="AE2179">
        <v>-4.5299999999997398E-2</v>
      </c>
      <c r="AF2179">
        <v>5.4112380443135197E-2</v>
      </c>
      <c r="AG2179">
        <v>-6.9091999999999903E-2</v>
      </c>
      <c r="AH2179">
        <v>0.74824507840775301</v>
      </c>
      <c r="AI2179">
        <v>95.261994385907499</v>
      </c>
      <c r="AJ2179">
        <v>85.863624220809598</v>
      </c>
      <c r="AK2179">
        <v>0.75337411127715703</v>
      </c>
      <c r="AL2179">
        <v>78.833171545677402</v>
      </c>
      <c r="AM2179">
        <v>88.082626286566807</v>
      </c>
      <c r="AN2179">
        <v>1.0000000409293699</v>
      </c>
    </row>
    <row r="2180" spans="1:40" x14ac:dyDescent="0.25">
      <c r="A2180" t="str">
        <f>"20190312172126429"</f>
        <v>20190312172126429</v>
      </c>
      <c r="B2180" t="str">
        <f>"1552382486423128"</f>
        <v>1552382486423128</v>
      </c>
      <c r="C2180" t="s">
        <v>40</v>
      </c>
      <c r="D2180">
        <v>3.4861529999999998</v>
      </c>
      <c r="E2180">
        <v>0.5096098</v>
      </c>
      <c r="F2180" t="s">
        <v>41</v>
      </c>
      <c r="G2180">
        <v>-220.74080000000001</v>
      </c>
      <c r="H2180">
        <v>1.04897</v>
      </c>
      <c r="I2180">
        <v>282.00830000000002</v>
      </c>
      <c r="J2180">
        <v>-220.096</v>
      </c>
      <c r="K2180">
        <v>1.1090549999999999</v>
      </c>
      <c r="L2180">
        <v>282.04480000000001</v>
      </c>
      <c r="M2180">
        <v>-0.99138570000000004</v>
      </c>
      <c r="N2180">
        <v>0</v>
      </c>
      <c r="O2180">
        <v>-0.13039210000000001</v>
      </c>
      <c r="P2180">
        <v>-0.97854730000000001</v>
      </c>
      <c r="Q2180">
        <v>0.18240899999999999</v>
      </c>
      <c r="R2180">
        <v>-9.5771729999999999E-2</v>
      </c>
      <c r="S2180">
        <v>-3.0907589999999998</v>
      </c>
      <c r="T2180">
        <v>-0.24387229999999999</v>
      </c>
      <c r="U2180">
        <v>-0.20483399999999999</v>
      </c>
      <c r="V2180">
        <v>3.3389530000000001E-2</v>
      </c>
      <c r="W2180">
        <v>0.19440689999999999</v>
      </c>
      <c r="X2180">
        <v>0.98035249999999996</v>
      </c>
      <c r="Y2180">
        <v>6.3954899999999995E-2</v>
      </c>
      <c r="Z2180">
        <v>1.274544E-2</v>
      </c>
      <c r="AA2180">
        <v>0.99787139999999996</v>
      </c>
      <c r="AB2180">
        <v>21</v>
      </c>
      <c r="AC2180">
        <v>-0.64480000000003201</v>
      </c>
      <c r="AD2180">
        <v>-6.0084999999999701E-2</v>
      </c>
      <c r="AE2180">
        <v>-3.6499999999989499E-2</v>
      </c>
      <c r="AF2180">
        <v>4.7483897853973799E-2</v>
      </c>
      <c r="AG2180">
        <v>-6.0084999999999701E-2</v>
      </c>
      <c r="AH2180">
        <v>0.63852707793922903</v>
      </c>
      <c r="AI2180">
        <v>95.360951500301198</v>
      </c>
      <c r="AJ2180">
        <v>85.747042709649193</v>
      </c>
      <c r="AK2180">
        <v>0.64310322425098798</v>
      </c>
      <c r="AL2180">
        <v>78.7899211584824</v>
      </c>
      <c r="AM2180">
        <v>88.049334354082504</v>
      </c>
      <c r="AN2180">
        <v>0.99999996386873902</v>
      </c>
    </row>
    <row r="2181" spans="1:40" x14ac:dyDescent="0.25">
      <c r="A2181" t="str">
        <f>"20190312172126442"</f>
        <v>20190312172126442</v>
      </c>
      <c r="B2181" t="str">
        <f>"1552382486432888"</f>
        <v>1552382486432888</v>
      </c>
      <c r="C2181" t="s">
        <v>40</v>
      </c>
      <c r="D2181">
        <v>3.4909289999999999</v>
      </c>
      <c r="E2181">
        <v>0.50953859999999995</v>
      </c>
      <c r="F2181" t="s">
        <v>41</v>
      </c>
      <c r="G2181">
        <v>-220.9265</v>
      </c>
      <c r="H2181">
        <v>1.0439909999999999</v>
      </c>
      <c r="I2181">
        <v>281.99099999999999</v>
      </c>
      <c r="J2181">
        <v>-220.21250000000001</v>
      </c>
      <c r="K2181">
        <v>1.109091</v>
      </c>
      <c r="L2181">
        <v>282.03089999999997</v>
      </c>
      <c r="M2181">
        <v>-0.99155760000000004</v>
      </c>
      <c r="N2181">
        <v>0</v>
      </c>
      <c r="O2181">
        <v>-0.12907730000000001</v>
      </c>
      <c r="P2181">
        <v>-0.97858339999999999</v>
      </c>
      <c r="Q2181">
        <v>0.1831827</v>
      </c>
      <c r="R2181">
        <v>-9.3908850000000002E-2</v>
      </c>
      <c r="S2181">
        <v>-3.0912480000000002</v>
      </c>
      <c r="T2181">
        <v>-0.2422388</v>
      </c>
      <c r="U2181">
        <v>-0.2008972</v>
      </c>
      <c r="V2181">
        <v>3.3924370000000002E-2</v>
      </c>
      <c r="W2181">
        <v>0.19517909999999999</v>
      </c>
      <c r="X2181">
        <v>0.98018070000000002</v>
      </c>
      <c r="Y2181">
        <v>6.3919429999999999E-2</v>
      </c>
      <c r="Z2181">
        <v>1.2555790000000001E-2</v>
      </c>
      <c r="AA2181">
        <v>0.99787599999999999</v>
      </c>
      <c r="AB2181">
        <v>21</v>
      </c>
      <c r="AC2181">
        <v>-0.71399999999999797</v>
      </c>
      <c r="AD2181">
        <v>-6.5100000000000102E-2</v>
      </c>
      <c r="AE2181">
        <v>-3.9899999999988701E-2</v>
      </c>
      <c r="AF2181">
        <v>5.2169712590491003E-2</v>
      </c>
      <c r="AG2181">
        <v>-6.5100000000000102E-2</v>
      </c>
      <c r="AH2181">
        <v>0.70731500999933405</v>
      </c>
      <c r="AI2181">
        <v>95.244419119421707</v>
      </c>
      <c r="AJ2181">
        <v>85.781650980742</v>
      </c>
      <c r="AK2181">
        <v>0.71221781238756798</v>
      </c>
      <c r="AL2181">
        <v>78.744813404068793</v>
      </c>
      <c r="AM2181">
        <v>88.017765837596599</v>
      </c>
      <c r="AN2181">
        <v>0.99999997430459797</v>
      </c>
    </row>
    <row r="2182" spans="1:40" x14ac:dyDescent="0.25">
      <c r="A2182" t="str">
        <f>"20190312172126462"</f>
        <v>20190312172126462</v>
      </c>
      <c r="B2182" t="str">
        <f>"1552382486452915"</f>
        <v>1552382486452915</v>
      </c>
      <c r="C2182" t="s">
        <v>40</v>
      </c>
      <c r="D2182">
        <v>3.5070830000000002</v>
      </c>
      <c r="E2182">
        <v>0.50931800000000005</v>
      </c>
      <c r="F2182" t="s">
        <v>41</v>
      </c>
      <c r="G2182">
        <v>-221.11420000000001</v>
      </c>
      <c r="H2182">
        <v>1.0389729999999999</v>
      </c>
      <c r="I2182">
        <v>281.97370000000001</v>
      </c>
      <c r="J2182">
        <v>-220.4051</v>
      </c>
      <c r="K2182">
        <v>1.1091439999999999</v>
      </c>
      <c r="L2182">
        <v>282.00839999999999</v>
      </c>
      <c r="M2182">
        <v>-0.99183129999999997</v>
      </c>
      <c r="N2182">
        <v>0</v>
      </c>
      <c r="O2182">
        <v>-0.12695770000000001</v>
      </c>
      <c r="P2182">
        <v>-0.97876110000000005</v>
      </c>
      <c r="Q2182">
        <v>0.18368960000000001</v>
      </c>
      <c r="R2182">
        <v>-9.1023430000000002E-2</v>
      </c>
      <c r="S2182">
        <v>-3.0918269999999999</v>
      </c>
      <c r="T2182">
        <v>-0.2404347</v>
      </c>
      <c r="U2182">
        <v>-0.19628909999999999</v>
      </c>
      <c r="V2182">
        <v>3.468719E-2</v>
      </c>
      <c r="W2182">
        <v>0.19568459999999999</v>
      </c>
      <c r="X2182">
        <v>0.98005319999999996</v>
      </c>
      <c r="Y2182">
        <v>6.3296740000000004E-2</v>
      </c>
      <c r="Z2182">
        <v>1.2273849999999999E-2</v>
      </c>
      <c r="AA2182">
        <v>0.99791929999999995</v>
      </c>
      <c r="AB2182">
        <v>21</v>
      </c>
      <c r="AC2182">
        <v>-0.70910000000000595</v>
      </c>
      <c r="AD2182">
        <v>-7.0171000000000205E-2</v>
      </c>
      <c r="AE2182">
        <v>-3.4699999999986603E-2</v>
      </c>
      <c r="AF2182">
        <v>5.5075351904912799E-2</v>
      </c>
      <c r="AG2182">
        <v>-7.0171000000000205E-2</v>
      </c>
      <c r="AH2182">
        <v>0.70091948229854895</v>
      </c>
      <c r="AI2182">
        <v>95.699539393519004</v>
      </c>
      <c r="AJ2182">
        <v>85.507166111469104</v>
      </c>
      <c r="AK2182">
        <v>0.70657298582249495</v>
      </c>
      <c r="AL2182">
        <v>78.715280863011799</v>
      </c>
      <c r="AM2182">
        <v>87.972966830216393</v>
      </c>
      <c r="AN2182">
        <v>0.99999996932874702</v>
      </c>
    </row>
    <row r="2183" spans="1:40" x14ac:dyDescent="0.25">
      <c r="A2183" t="str">
        <f>"20190312172126473"</f>
        <v>20190312172126473</v>
      </c>
      <c r="B2183" t="str">
        <f>"1552382486462675"</f>
        <v>1552382486462675</v>
      </c>
      <c r="C2183" t="s">
        <v>40</v>
      </c>
      <c r="D2183">
        <v>3.514691</v>
      </c>
      <c r="E2183">
        <v>0.50922120000000004</v>
      </c>
      <c r="F2183" t="s">
        <v>41</v>
      </c>
      <c r="G2183">
        <v>-221.30430000000001</v>
      </c>
      <c r="H2183">
        <v>1.039501</v>
      </c>
      <c r="I2183">
        <v>281.95350000000002</v>
      </c>
      <c r="J2183">
        <v>-220.51580000000001</v>
      </c>
      <c r="K2183">
        <v>1.1091679999999999</v>
      </c>
      <c r="L2183">
        <v>281.9957</v>
      </c>
      <c r="M2183">
        <v>-0.99198379999999997</v>
      </c>
      <c r="N2183">
        <v>0</v>
      </c>
      <c r="O2183">
        <v>-0.12576099999999901</v>
      </c>
      <c r="P2183">
        <v>-0.97889510000000002</v>
      </c>
      <c r="Q2183">
        <v>0.18384349999999999</v>
      </c>
      <c r="R2183">
        <v>-8.9254330000000007E-2</v>
      </c>
      <c r="S2183">
        <v>-3.0924529999999999</v>
      </c>
      <c r="T2183">
        <v>-0.2395158</v>
      </c>
      <c r="U2183">
        <v>-0.18930050000000001</v>
      </c>
      <c r="V2183">
        <v>3.526377E-2</v>
      </c>
      <c r="W2183">
        <v>0.1958375</v>
      </c>
      <c r="X2183">
        <v>0.98000209999999999</v>
      </c>
      <c r="Y2183">
        <v>6.4356679999999999E-2</v>
      </c>
      <c r="Z2183">
        <v>1.217504E-2</v>
      </c>
      <c r="AA2183">
        <v>0.99785270000000004</v>
      </c>
      <c r="AB2183">
        <v>21</v>
      </c>
      <c r="AC2183">
        <v>-0.78849999999999898</v>
      </c>
      <c r="AD2183">
        <v>-6.9666999999999896E-2</v>
      </c>
      <c r="AE2183">
        <v>-4.2199999999979802E-2</v>
      </c>
      <c r="AF2183">
        <v>5.6862572234273497E-2</v>
      </c>
      <c r="AG2183">
        <v>-6.9666999999999896E-2</v>
      </c>
      <c r="AH2183">
        <v>0.78146332693326903</v>
      </c>
      <c r="AI2183">
        <v>95.081054857913998</v>
      </c>
      <c r="AJ2183">
        <v>85.838251723578793</v>
      </c>
      <c r="AK2183">
        <v>0.78662047669235802</v>
      </c>
      <c r="AL2183">
        <v>78.706347704811193</v>
      </c>
      <c r="AM2183">
        <v>87.939194382109307</v>
      </c>
      <c r="AN2183">
        <v>0.999999987942636</v>
      </c>
    </row>
    <row r="2184" spans="1:40" x14ac:dyDescent="0.25">
      <c r="A2184" t="str">
        <f>"20190312172126495"</f>
        <v>20190312172126495</v>
      </c>
      <c r="B2184" t="str">
        <f>"1552382486492931"</f>
        <v>1552382486492931</v>
      </c>
      <c r="C2184" t="s">
        <v>40</v>
      </c>
      <c r="D2184">
        <v>3.4885130000000002</v>
      </c>
      <c r="E2184">
        <v>0.50905089999999997</v>
      </c>
      <c r="F2184" t="s">
        <v>41</v>
      </c>
      <c r="G2184">
        <v>-221.30940000000001</v>
      </c>
      <c r="H2184">
        <v>1.0476749999999999</v>
      </c>
      <c r="I2184">
        <v>281.94839999999999</v>
      </c>
      <c r="J2184">
        <v>-220.72</v>
      </c>
      <c r="K2184">
        <v>1.109202</v>
      </c>
      <c r="L2184">
        <v>281.97250000000003</v>
      </c>
      <c r="M2184">
        <v>-0.99225929999999996</v>
      </c>
      <c r="N2184">
        <v>0</v>
      </c>
      <c r="O2184">
        <v>-0.1235687</v>
      </c>
      <c r="P2184">
        <v>-0.97914829999999997</v>
      </c>
      <c r="Q2184">
        <v>0.184031</v>
      </c>
      <c r="R2184">
        <v>-8.6032250000000005E-2</v>
      </c>
      <c r="S2184">
        <v>-3.0928339999999999</v>
      </c>
      <c r="T2184">
        <v>-0.23967240000000001</v>
      </c>
      <c r="U2184">
        <v>-0.1847839</v>
      </c>
      <c r="V2184">
        <v>3.630771E-2</v>
      </c>
      <c r="W2184">
        <v>0.19602220000000001</v>
      </c>
      <c r="X2184">
        <v>0.97992710000000005</v>
      </c>
      <c r="Y2184">
        <v>6.3619029999999993E-2</v>
      </c>
      <c r="Z2184">
        <v>1.1985549999999999E-2</v>
      </c>
      <c r="AA2184">
        <v>0.99790230000000002</v>
      </c>
      <c r="AB2184">
        <v>21</v>
      </c>
      <c r="AC2184">
        <v>-0.58940000000001103</v>
      </c>
      <c r="AD2184">
        <v>-6.1527000000000102E-2</v>
      </c>
      <c r="AE2184">
        <v>-2.4100000000032599E-2</v>
      </c>
      <c r="AF2184">
        <v>4.8395179933520903E-2</v>
      </c>
      <c r="AG2184">
        <v>-6.1527000000000102E-2</v>
      </c>
      <c r="AH2184">
        <v>0.58153393179806001</v>
      </c>
      <c r="AI2184">
        <v>96.018842723537702</v>
      </c>
      <c r="AJ2184">
        <v>85.242814336574398</v>
      </c>
      <c r="AK2184">
        <v>0.58677881608175697</v>
      </c>
      <c r="AL2184">
        <v>78.695556570552995</v>
      </c>
      <c r="AM2184">
        <v>87.878079513997804</v>
      </c>
      <c r="AN2184">
        <v>1.00000003700634</v>
      </c>
    </row>
    <row r="2185" spans="1:40" x14ac:dyDescent="0.25">
      <c r="A2185" t="str">
        <f>"20190312172126510"</f>
        <v>20190312172126510</v>
      </c>
      <c r="B2185" t="str">
        <f>"1552382486502691"</f>
        <v>1552382486502691</v>
      </c>
      <c r="C2185" t="s">
        <v>40</v>
      </c>
      <c r="D2185">
        <v>3.498154</v>
      </c>
      <c r="E2185">
        <v>0.50585379999999902</v>
      </c>
      <c r="F2185" t="s">
        <v>41</v>
      </c>
      <c r="G2185">
        <v>-221.5</v>
      </c>
      <c r="H2185">
        <v>1.04863</v>
      </c>
      <c r="I2185">
        <v>281.92790000000002</v>
      </c>
      <c r="J2185">
        <v>-220.85599999999999</v>
      </c>
      <c r="K2185">
        <v>1.109213</v>
      </c>
      <c r="L2185">
        <v>281.95729999999998</v>
      </c>
      <c r="M2185">
        <v>-0.99244010000000005</v>
      </c>
      <c r="N2185">
        <v>0</v>
      </c>
      <c r="O2185">
        <v>-0.12210699999999999</v>
      </c>
      <c r="P2185">
        <v>-0.97916950000000003</v>
      </c>
      <c r="Q2185">
        <v>0.1847432</v>
      </c>
      <c r="R2185">
        <v>-8.4242689999999995E-2</v>
      </c>
      <c r="S2185">
        <v>-3.0934750000000002</v>
      </c>
      <c r="T2185">
        <v>-0.24015220000000001</v>
      </c>
      <c r="U2185">
        <v>-0.1769714</v>
      </c>
      <c r="V2185">
        <v>3.6637530000000001E-2</v>
      </c>
      <c r="W2185">
        <v>0.19673199999999999</v>
      </c>
      <c r="X2185">
        <v>0.97977250000000005</v>
      </c>
      <c r="Y2185">
        <v>6.4672019999999997E-2</v>
      </c>
      <c r="Z2185">
        <v>1.193666E-2</v>
      </c>
      <c r="AA2185">
        <v>0.99783520000000003</v>
      </c>
      <c r="AB2185">
        <v>21</v>
      </c>
      <c r="AC2185">
        <v>-0.64400000000000501</v>
      </c>
      <c r="AD2185">
        <v>-6.0582999999999998E-2</v>
      </c>
      <c r="AE2185">
        <v>-2.9399999999952801E-2</v>
      </c>
      <c r="AF2185">
        <v>4.9029942332908201E-2</v>
      </c>
      <c r="AG2185">
        <v>-6.0582999999999998E-2</v>
      </c>
      <c r="AH2185">
        <v>0.63714357349544004</v>
      </c>
      <c r="AI2185">
        <v>95.415741187650099</v>
      </c>
      <c r="AJ2185">
        <v>85.599605204216601</v>
      </c>
      <c r="AK2185">
        <v>0.64189264552626502</v>
      </c>
      <c r="AL2185">
        <v>78.654079652497302</v>
      </c>
      <c r="AM2185">
        <v>87.858484258789801</v>
      </c>
      <c r="AN2185">
        <v>0.99999997009237496</v>
      </c>
    </row>
    <row r="2186" spans="1:40" x14ac:dyDescent="0.25">
      <c r="A2186" t="str">
        <f>"20190312172126529"</f>
        <v>20190312172126529</v>
      </c>
      <c r="B2186" t="str">
        <f>"1552382486523187"</f>
        <v>1552382486523187</v>
      </c>
      <c r="C2186" t="s">
        <v>40</v>
      </c>
      <c r="D2186">
        <v>3.4682930000000001</v>
      </c>
      <c r="E2186">
        <v>0.5050576</v>
      </c>
      <c r="F2186" t="s">
        <v>41</v>
      </c>
      <c r="G2186">
        <v>-221.684</v>
      </c>
      <c r="H2186">
        <v>1.04159</v>
      </c>
      <c r="I2186">
        <v>281.90480000000002</v>
      </c>
      <c r="J2186">
        <v>-221.0376</v>
      </c>
      <c r="K2186">
        <v>1.1092139999999999</v>
      </c>
      <c r="L2186">
        <v>281.93729999999999</v>
      </c>
      <c r="M2186">
        <v>-0.99268080000000003</v>
      </c>
      <c r="N2186">
        <v>0</v>
      </c>
      <c r="O2186">
        <v>-0.12013459999999999</v>
      </c>
      <c r="P2186">
        <v>-0.97906360000000003</v>
      </c>
      <c r="Q2186">
        <v>0.18651239999999999</v>
      </c>
      <c r="R2186">
        <v>-8.1532960000000002E-2</v>
      </c>
      <c r="S2186">
        <v>-3.0945429999999998</v>
      </c>
      <c r="T2186">
        <v>-0.25271909999999997</v>
      </c>
      <c r="U2186">
        <v>-0.19696040000000001</v>
      </c>
      <c r="V2186">
        <v>3.7369560000000003E-2</v>
      </c>
      <c r="W2186">
        <v>0.1984937</v>
      </c>
      <c r="X2186">
        <v>0.97938950000000002</v>
      </c>
      <c r="Y2186">
        <v>5.6259789999999997E-2</v>
      </c>
      <c r="Z2186">
        <v>1.2049519999999999E-2</v>
      </c>
      <c r="AA2186">
        <v>0.99834350000000005</v>
      </c>
      <c r="AB2186">
        <v>21</v>
      </c>
      <c r="AC2186">
        <v>-0.64640000000002795</v>
      </c>
      <c r="AD2186">
        <v>-6.7623999999999906E-2</v>
      </c>
      <c r="AE2186">
        <v>-3.24999999999704E-2</v>
      </c>
      <c r="AF2186">
        <v>4.49061021605619E-2</v>
      </c>
      <c r="AG2186">
        <v>-6.7623999999999906E-2</v>
      </c>
      <c r="AH2186">
        <v>0.63865034313199398</v>
      </c>
      <c r="AI2186">
        <v>96.029510542890193</v>
      </c>
      <c r="AJ2186">
        <v>85.977920558607195</v>
      </c>
      <c r="AK2186">
        <v>0.64378864868050401</v>
      </c>
      <c r="AL2186">
        <v>78.551111630996004</v>
      </c>
      <c r="AM2186">
        <v>87.814883753766495</v>
      </c>
      <c r="AN2186">
        <v>1.0000000128322599</v>
      </c>
    </row>
    <row r="2187" spans="1:40" x14ac:dyDescent="0.25">
      <c r="A2187" t="str">
        <f>"20190312172126543"</f>
        <v>20190312172126543</v>
      </c>
      <c r="B2187" t="str">
        <f>"1552382486532947"</f>
        <v>1552382486532947</v>
      </c>
      <c r="C2187" t="s">
        <v>40</v>
      </c>
      <c r="D2187">
        <v>3.4782479999999998</v>
      </c>
      <c r="E2187">
        <v>0.50483829999999996</v>
      </c>
      <c r="F2187" t="s">
        <v>41</v>
      </c>
      <c r="G2187">
        <v>-221.874</v>
      </c>
      <c r="H2187">
        <v>1.042341</v>
      </c>
      <c r="I2187">
        <v>281.8843</v>
      </c>
      <c r="J2187">
        <v>-221.17570000000001</v>
      </c>
      <c r="K2187">
        <v>1.109208</v>
      </c>
      <c r="L2187">
        <v>281.92239999999998</v>
      </c>
      <c r="M2187">
        <v>-0.99286410000000003</v>
      </c>
      <c r="N2187">
        <v>0</v>
      </c>
      <c r="O2187">
        <v>-0.11861049999999999</v>
      </c>
      <c r="P2187">
        <v>-0.97895540000000003</v>
      </c>
      <c r="Q2187">
        <v>0.18776999999999999</v>
      </c>
      <c r="R2187">
        <v>-7.993074E-2</v>
      </c>
      <c r="S2187">
        <v>-3.0949710000000001</v>
      </c>
      <c r="T2187">
        <v>-0.24743290000000001</v>
      </c>
      <c r="U2187">
        <v>-0.19604489999999999</v>
      </c>
      <c r="V2187">
        <v>3.7449549999999998E-2</v>
      </c>
      <c r="W2187">
        <v>0.19974749999999999</v>
      </c>
      <c r="X2187">
        <v>0.97913150000000004</v>
      </c>
      <c r="Y2187">
        <v>5.5062640000000003E-2</v>
      </c>
      <c r="Z2187">
        <v>1.162843E-2</v>
      </c>
      <c r="AA2187">
        <v>0.99841519999999995</v>
      </c>
      <c r="AB2187">
        <v>21</v>
      </c>
      <c r="AC2187">
        <v>-0.69830000000001702</v>
      </c>
      <c r="AD2187">
        <v>-6.6866999999999996E-2</v>
      </c>
      <c r="AE2187">
        <v>-3.8099999999985798E-2</v>
      </c>
      <c r="AF2187">
        <v>4.4593340479525803E-2</v>
      </c>
      <c r="AG2187">
        <v>-6.6866999999999996E-2</v>
      </c>
      <c r="AH2187">
        <v>0.69156683973775301</v>
      </c>
      <c r="AI2187">
        <v>95.511336717757601</v>
      </c>
      <c r="AJ2187">
        <v>86.310583843154603</v>
      </c>
      <c r="AK2187">
        <v>0.69622155635184502</v>
      </c>
      <c r="AL2187">
        <v>78.477806243946205</v>
      </c>
      <c r="AM2187">
        <v>87.809634589373701</v>
      </c>
      <c r="AN2187">
        <v>1.0000000134218501</v>
      </c>
    </row>
    <row r="2188" spans="1:40" x14ac:dyDescent="0.25">
      <c r="A2188" t="str">
        <f>"20190312172126562"</f>
        <v>20190312172126562</v>
      </c>
      <c r="B2188" t="str">
        <f>"1552382486552974"</f>
        <v>1552382486552974</v>
      </c>
      <c r="C2188" t="s">
        <v>40</v>
      </c>
      <c r="D2188">
        <v>3.4549629999999998</v>
      </c>
      <c r="E2188">
        <v>0.50431819999999905</v>
      </c>
      <c r="F2188" t="s">
        <v>41</v>
      </c>
      <c r="G2188">
        <v>-222.0624</v>
      </c>
      <c r="H2188">
        <v>1.039029</v>
      </c>
      <c r="I2188">
        <v>281.86720000000003</v>
      </c>
      <c r="J2188">
        <v>-221.35720000000001</v>
      </c>
      <c r="K2188">
        <v>1.109192</v>
      </c>
      <c r="L2188">
        <v>281.90309999999999</v>
      </c>
      <c r="M2188">
        <v>-0.99310699999999996</v>
      </c>
      <c r="N2188">
        <v>0</v>
      </c>
      <c r="O2188">
        <v>-0.11655939999999999</v>
      </c>
      <c r="P2188">
        <v>-0.97872630000000005</v>
      </c>
      <c r="Q2188">
        <v>0.18965209999999999</v>
      </c>
      <c r="R2188">
        <v>-7.827394E-2</v>
      </c>
      <c r="S2188">
        <v>-3.095688</v>
      </c>
      <c r="T2188">
        <v>-0.24512030000000001</v>
      </c>
      <c r="U2188">
        <v>-0.19351199999999999</v>
      </c>
      <c r="V2188">
        <v>3.7059179999999997E-2</v>
      </c>
      <c r="W2188">
        <v>0.20162440000000001</v>
      </c>
      <c r="X2188">
        <v>0.97876160000000001</v>
      </c>
      <c r="Y2188">
        <v>5.3849040000000001E-2</v>
      </c>
      <c r="Z2188">
        <v>1.1309049999999999E-2</v>
      </c>
      <c r="AA2188">
        <v>0.99848499999999996</v>
      </c>
      <c r="AB2188">
        <v>21</v>
      </c>
      <c r="AC2188">
        <v>-0.70519999999998995</v>
      </c>
      <c r="AD2188">
        <v>-7.0162999999999906E-2</v>
      </c>
      <c r="AE2188">
        <v>-3.5899999999969602E-2</v>
      </c>
      <c r="AF2188">
        <v>4.6093593123760698E-2</v>
      </c>
      <c r="AG2188">
        <v>-7.0162999999999906E-2</v>
      </c>
      <c r="AH2188">
        <v>0.69768865359141696</v>
      </c>
      <c r="AI2188">
        <v>95.730229660064694</v>
      </c>
      <c r="AJ2188">
        <v>86.220182181117906</v>
      </c>
      <c r="AK2188">
        <v>0.70272108495922003</v>
      </c>
      <c r="AL2188">
        <v>78.368034685260199</v>
      </c>
      <c r="AM2188">
        <v>87.831626430303103</v>
      </c>
      <c r="AN2188">
        <v>1.0000000255660899</v>
      </c>
    </row>
    <row r="2189" spans="1:40" x14ac:dyDescent="0.25">
      <c r="A2189" t="str">
        <f>"20190312172126575"</f>
        <v>20190312172126575</v>
      </c>
      <c r="B2189" t="str">
        <f>"1552382486562735"</f>
        <v>1552382486562735</v>
      </c>
      <c r="C2189" t="s">
        <v>40</v>
      </c>
      <c r="D2189">
        <v>3.5331860000000002</v>
      </c>
      <c r="E2189">
        <v>0.50431819999999905</v>
      </c>
      <c r="F2189" t="s">
        <v>41</v>
      </c>
      <c r="G2189">
        <v>-222.25210000000001</v>
      </c>
      <c r="H2189">
        <v>1.039031</v>
      </c>
      <c r="I2189">
        <v>281.84719999999999</v>
      </c>
      <c r="J2189">
        <v>-221.4786</v>
      </c>
      <c r="K2189">
        <v>1.1091740000000001</v>
      </c>
      <c r="L2189">
        <v>281.89049999999997</v>
      </c>
      <c r="M2189">
        <v>-0.99327120000000002</v>
      </c>
      <c r="N2189">
        <v>0</v>
      </c>
      <c r="O2189">
        <v>-0.1151524</v>
      </c>
      <c r="P2189">
        <v>-0.97868029999999995</v>
      </c>
      <c r="Q2189">
        <v>0.19030420000000001</v>
      </c>
      <c r="R2189">
        <v>-7.7261979999999994E-2</v>
      </c>
      <c r="S2189">
        <v>-3.0967709999999999</v>
      </c>
      <c r="T2189">
        <v>-0.24278440000000001</v>
      </c>
      <c r="U2189">
        <v>-0.19360350000000001</v>
      </c>
      <c r="V2189">
        <v>3.668196E-2</v>
      </c>
      <c r="W2189">
        <v>0.20227220000000001</v>
      </c>
      <c r="X2189">
        <v>0.97864209999999996</v>
      </c>
      <c r="Y2189">
        <v>5.2445690000000003E-2</v>
      </c>
      <c r="Z2189">
        <v>1.103355E-2</v>
      </c>
      <c r="AA2189">
        <v>0.99856279999999997</v>
      </c>
      <c r="AB2189">
        <v>21</v>
      </c>
      <c r="AC2189">
        <v>-0.77350000000001196</v>
      </c>
      <c r="AD2189">
        <v>-7.0142999999999803E-2</v>
      </c>
      <c r="AE2189">
        <v>-4.3299999999987897E-2</v>
      </c>
      <c r="AF2189">
        <v>4.5690689095434903E-2</v>
      </c>
      <c r="AG2189">
        <v>-7.0142999999999803E-2</v>
      </c>
      <c r="AH2189">
        <v>0.76705222063729905</v>
      </c>
      <c r="AI2189">
        <v>95.215680620356693</v>
      </c>
      <c r="AJ2189">
        <v>86.591113469647595</v>
      </c>
      <c r="AK2189">
        <v>0.77160662821390202</v>
      </c>
      <c r="AL2189">
        <v>78.330137169956203</v>
      </c>
      <c r="AM2189">
        <v>87.853415402759893</v>
      </c>
      <c r="AN2189">
        <v>0.99999998448734495</v>
      </c>
    </row>
    <row r="2190" spans="1:40" x14ac:dyDescent="0.25">
      <c r="A2190" t="str">
        <f>"20190312172126595"</f>
        <v>20190312172126595</v>
      </c>
      <c r="B2190" t="str">
        <f>"1552382486592990"</f>
        <v>1552382486592990</v>
      </c>
      <c r="C2190" t="s">
        <v>40</v>
      </c>
      <c r="D2190">
        <v>3.5653000000000001</v>
      </c>
      <c r="E2190">
        <v>0.50962489999999905</v>
      </c>
      <c r="F2190" t="s">
        <v>41</v>
      </c>
      <c r="G2190">
        <v>-222.2585</v>
      </c>
      <c r="H2190">
        <v>1.048546</v>
      </c>
      <c r="I2190">
        <v>281.8426</v>
      </c>
      <c r="J2190">
        <v>-221.6651</v>
      </c>
      <c r="K2190">
        <v>1.1091409999999999</v>
      </c>
      <c r="L2190">
        <v>281.87150000000003</v>
      </c>
      <c r="M2190">
        <v>-0.99352529999999994</v>
      </c>
      <c r="N2190">
        <v>0</v>
      </c>
      <c r="O2190">
        <v>-0.11294</v>
      </c>
      <c r="P2190">
        <v>-0.97864989999999996</v>
      </c>
      <c r="Q2190">
        <v>0.19091900000000001</v>
      </c>
      <c r="R2190">
        <v>-7.612228E-2</v>
      </c>
      <c r="S2190">
        <v>-3.097137</v>
      </c>
      <c r="T2190">
        <v>-0.24071509999999999</v>
      </c>
      <c r="U2190">
        <v>-0.19030759999999999</v>
      </c>
      <c r="V2190">
        <v>3.5645620000000003E-2</v>
      </c>
      <c r="W2190">
        <v>0.2028797</v>
      </c>
      <c r="X2190">
        <v>0.9785547</v>
      </c>
      <c r="Y2190">
        <v>5.1306209999999998E-2</v>
      </c>
      <c r="Z2190">
        <v>1.072442E-2</v>
      </c>
      <c r="AA2190">
        <v>0.9986254</v>
      </c>
      <c r="AB2190">
        <v>21</v>
      </c>
      <c r="AC2190">
        <v>-0.59340000000000204</v>
      </c>
      <c r="AD2190">
        <v>-6.0594999999999899E-2</v>
      </c>
      <c r="AE2190">
        <v>-2.8900000000021402E-2</v>
      </c>
      <c r="AF2190">
        <v>3.79142136656112E-2</v>
      </c>
      <c r="AG2190">
        <v>-6.0594999999999899E-2</v>
      </c>
      <c r="AH2190">
        <v>0.58676298005599503</v>
      </c>
      <c r="AI2190">
        <v>95.883849359803094</v>
      </c>
      <c r="AJ2190">
        <v>86.302921715503601</v>
      </c>
      <c r="AK2190">
        <v>0.59110069902434803</v>
      </c>
      <c r="AL2190">
        <v>78.294593711703797</v>
      </c>
      <c r="AM2190">
        <v>87.913820284264105</v>
      </c>
      <c r="AN2190">
        <v>1.0000000418946799</v>
      </c>
    </row>
    <row r="2191" spans="1:40" x14ac:dyDescent="0.25">
      <c r="A2191" t="str">
        <f>"20190312172126607"</f>
        <v>20190312172126607</v>
      </c>
      <c r="B2191" t="str">
        <f>"1552382486602750"</f>
        <v>1552382486602750</v>
      </c>
      <c r="C2191" t="s">
        <v>40</v>
      </c>
      <c r="D2191">
        <v>3.5304630000000001</v>
      </c>
      <c r="E2191">
        <v>0.51075579999999998</v>
      </c>
      <c r="F2191" t="s">
        <v>41</v>
      </c>
      <c r="G2191">
        <v>-222.4547</v>
      </c>
      <c r="H2191">
        <v>1.053248</v>
      </c>
      <c r="I2191">
        <v>281.83499999999998</v>
      </c>
      <c r="J2191">
        <v>-221.78389999999999</v>
      </c>
      <c r="K2191">
        <v>1.109113</v>
      </c>
      <c r="L2191">
        <v>281.85969999999998</v>
      </c>
      <c r="M2191">
        <v>-0.99368840000000003</v>
      </c>
      <c r="N2191">
        <v>0</v>
      </c>
      <c r="O2191">
        <v>-0.111496</v>
      </c>
      <c r="P2191">
        <v>-0.97864490000000004</v>
      </c>
      <c r="Q2191">
        <v>0.1912702</v>
      </c>
      <c r="R2191">
        <v>-7.5300740000000005E-2</v>
      </c>
      <c r="S2191">
        <v>-3.0969540000000002</v>
      </c>
      <c r="T2191">
        <v>-0.21924950000000001</v>
      </c>
      <c r="U2191">
        <v>-0.144531299999999</v>
      </c>
      <c r="V2191">
        <v>3.5048820000000001E-2</v>
      </c>
      <c r="W2191">
        <v>0.20322560000000001</v>
      </c>
      <c r="X2191">
        <v>0.97850440000000005</v>
      </c>
      <c r="Y2191">
        <v>6.4617480000000005E-2</v>
      </c>
      <c r="Z2191">
        <v>1.0145609999999999E-2</v>
      </c>
      <c r="AA2191">
        <v>0.99785849999999998</v>
      </c>
      <c r="AB2191">
        <v>21</v>
      </c>
      <c r="AC2191">
        <v>-0.67080000000001405</v>
      </c>
      <c r="AD2191">
        <v>-5.5864999999999998E-2</v>
      </c>
      <c r="AE2191">
        <v>-2.4699999999995701E-2</v>
      </c>
      <c r="AF2191">
        <v>4.9905568763511703E-2</v>
      </c>
      <c r="AG2191">
        <v>-5.5864999999999998E-2</v>
      </c>
      <c r="AH2191">
        <v>0.66476659317359599</v>
      </c>
      <c r="AI2191">
        <v>94.790262621590401</v>
      </c>
      <c r="AJ2191">
        <v>85.706726381133507</v>
      </c>
      <c r="AK2191">
        <v>0.66897390638068899</v>
      </c>
      <c r="AL2191">
        <v>78.274352510048303</v>
      </c>
      <c r="AM2191">
        <v>87.948612887645893</v>
      </c>
      <c r="AN2191">
        <v>0.99999996254905499</v>
      </c>
    </row>
    <row r="2192" spans="1:40" x14ac:dyDescent="0.25">
      <c r="A2192" t="str">
        <f>"20190312172126619"</f>
        <v>20190312172126619</v>
      </c>
      <c r="B2192" t="str">
        <f>"1552382486613488"</f>
        <v>1552382486613488</v>
      </c>
      <c r="C2192" t="s">
        <v>40</v>
      </c>
      <c r="D2192">
        <v>3.521093</v>
      </c>
      <c r="E2192">
        <v>0.51170400000000005</v>
      </c>
      <c r="F2192" t="s">
        <v>41</v>
      </c>
      <c r="G2192">
        <v>-222.64080000000001</v>
      </c>
      <c r="H2192">
        <v>1.049844</v>
      </c>
      <c r="I2192">
        <v>281.8229</v>
      </c>
      <c r="J2192">
        <v>-221.90180000000001</v>
      </c>
      <c r="K2192">
        <v>1.1090869999999999</v>
      </c>
      <c r="L2192">
        <v>281.84800000000001</v>
      </c>
      <c r="M2192">
        <v>-0.99385009999999996</v>
      </c>
      <c r="N2192">
        <v>0</v>
      </c>
      <c r="O2192">
        <v>-0.110046</v>
      </c>
      <c r="P2192">
        <v>-0.97873710000000003</v>
      </c>
      <c r="Q2192">
        <v>0.19119159999999999</v>
      </c>
      <c r="R2192">
        <v>-7.4296790000000001E-2</v>
      </c>
      <c r="S2192">
        <v>-3.0971069999999998</v>
      </c>
      <c r="T2192">
        <v>-0.21425739999999999</v>
      </c>
      <c r="U2192">
        <v>-0.13293460000000001</v>
      </c>
      <c r="V2192">
        <v>3.4636710000000001E-2</v>
      </c>
      <c r="W2192">
        <v>0.20314160000000001</v>
      </c>
      <c r="X2192">
        <v>0.97853650000000003</v>
      </c>
      <c r="Y2192">
        <v>6.6910029999999995E-2</v>
      </c>
      <c r="Z2192">
        <v>9.8954920000000005E-3</v>
      </c>
      <c r="AA2192">
        <v>0.99770990000000004</v>
      </c>
      <c r="AB2192">
        <v>21</v>
      </c>
      <c r="AC2192">
        <v>-0.73900000000000399</v>
      </c>
      <c r="AD2192">
        <v>-5.9243000000000101E-2</v>
      </c>
      <c r="AE2192">
        <v>-2.5100000000009001E-2</v>
      </c>
      <c r="AF2192">
        <v>5.6023011805402402E-2</v>
      </c>
      <c r="AG2192">
        <v>-5.9243000000000101E-2</v>
      </c>
      <c r="AH2192">
        <v>0.73257080323342705</v>
      </c>
      <c r="AI2192">
        <v>94.610045426390499</v>
      </c>
      <c r="AJ2192">
        <v>85.626843883636795</v>
      </c>
      <c r="AK2192">
        <v>0.73709449370539804</v>
      </c>
      <c r="AL2192">
        <v>78.279267697450194</v>
      </c>
      <c r="AM2192">
        <v>87.972779648535393</v>
      </c>
      <c r="AN2192">
        <v>0.99999994658121505</v>
      </c>
    </row>
    <row r="2193" spans="1:40" x14ac:dyDescent="0.25">
      <c r="A2193" t="str">
        <f>"20190312172126632"</f>
        <v>20190312172126632</v>
      </c>
      <c r="B2193" t="str">
        <f>"1552382486623247"</f>
        <v>1552382486623247</v>
      </c>
      <c r="C2193" t="s">
        <v>40</v>
      </c>
      <c r="D2193">
        <v>3.5226820000000001</v>
      </c>
      <c r="E2193">
        <v>0.51243930000000004</v>
      </c>
      <c r="F2193" t="s">
        <v>46</v>
      </c>
      <c r="G2193">
        <v>-238.1653</v>
      </c>
      <c r="H2193" s="1">
        <v>2.957489E-6</v>
      </c>
      <c r="I2193">
        <v>281.2056</v>
      </c>
      <c r="J2193">
        <v>-222.01480000000001</v>
      </c>
      <c r="K2193">
        <v>1.109059</v>
      </c>
      <c r="L2193">
        <v>281.8372</v>
      </c>
      <c r="M2193">
        <v>-0.99400710000000003</v>
      </c>
      <c r="N2193">
        <v>0</v>
      </c>
      <c r="O2193">
        <v>-0.1086198</v>
      </c>
      <c r="P2193">
        <v>-0.97892979999999996</v>
      </c>
      <c r="Q2193">
        <v>0.19053919999999999</v>
      </c>
      <c r="R2193">
        <v>-7.3426359999999996E-2</v>
      </c>
      <c r="S2193">
        <v>-3.097137</v>
      </c>
      <c r="T2193">
        <v>-0.21120749999999999</v>
      </c>
      <c r="U2193">
        <v>-0.122345</v>
      </c>
      <c r="V2193">
        <v>3.4122880000000001E-2</v>
      </c>
      <c r="W2193">
        <v>0.20248749999999999</v>
      </c>
      <c r="X2193">
        <v>0.97869010000000001</v>
      </c>
      <c r="Y2193">
        <v>6.8894730000000001E-2</v>
      </c>
      <c r="Z2193">
        <v>9.7269020000000008E-3</v>
      </c>
      <c r="AA2193">
        <v>0.99757649999999998</v>
      </c>
      <c r="AB2193">
        <v>21</v>
      </c>
      <c r="AC2193">
        <v>-16.150499999999901</v>
      </c>
      <c r="AD2193">
        <v>-1.1090560425110001</v>
      </c>
      <c r="AE2193">
        <v>-0.63159999999999095</v>
      </c>
      <c r="AF2193">
        <v>1.1212553095393201</v>
      </c>
      <c r="AG2193">
        <v>-1.1090560425110001</v>
      </c>
      <c r="AH2193">
        <v>16.047978386330801</v>
      </c>
      <c r="AI2193">
        <v>93.943771131970607</v>
      </c>
      <c r="AJ2193">
        <v>86.003299446106496</v>
      </c>
      <c r="AK2193">
        <v>16.125285394768699</v>
      </c>
      <c r="AL2193">
        <v>78.317540147848803</v>
      </c>
      <c r="AM2193">
        <v>88.003141789104006</v>
      </c>
      <c r="AN2193">
        <v>0.99999993521687502</v>
      </c>
    </row>
    <row r="2194" spans="1:40" x14ac:dyDescent="0.25">
      <c r="A2194" t="str">
        <f>"20190312172126652"</f>
        <v>20190312172126652</v>
      </c>
      <c r="B2194" t="str">
        <f>"1552382486643274"</f>
        <v>1552382486643274</v>
      </c>
      <c r="C2194" t="s">
        <v>40</v>
      </c>
      <c r="D2194">
        <v>3.5416029999999998</v>
      </c>
      <c r="E2194">
        <v>0.51365649999999996</v>
      </c>
      <c r="F2194" t="s">
        <v>41</v>
      </c>
      <c r="G2194">
        <v>-222.8338</v>
      </c>
      <c r="H2194">
        <v>1.0531440000000001</v>
      </c>
      <c r="I2194">
        <v>281.80739999999997</v>
      </c>
      <c r="J2194">
        <v>-222.20650000000001</v>
      </c>
      <c r="K2194">
        <v>1.109027</v>
      </c>
      <c r="L2194">
        <v>281.81900000000002</v>
      </c>
      <c r="M2194">
        <v>-0.99427180000000004</v>
      </c>
      <c r="N2194">
        <v>0</v>
      </c>
      <c r="O2194">
        <v>-0.1061694</v>
      </c>
      <c r="P2194">
        <v>-0.97911899999999996</v>
      </c>
      <c r="Q2194">
        <v>0.1899265</v>
      </c>
      <c r="R2194">
        <v>-7.2484640000000003E-2</v>
      </c>
      <c r="S2194">
        <v>-3.0971829999999998</v>
      </c>
      <c r="T2194">
        <v>-0.21146770000000001</v>
      </c>
      <c r="U2194">
        <v>-0.113678</v>
      </c>
      <c r="V2194">
        <v>3.2674040000000001E-2</v>
      </c>
      <c r="W2194">
        <v>0.20187379999999999</v>
      </c>
      <c r="X2194">
        <v>0.97886640000000003</v>
      </c>
      <c r="Y2194">
        <v>6.9227609999999995E-2</v>
      </c>
      <c r="Z2194">
        <v>9.5846769999999998E-3</v>
      </c>
      <c r="AA2194">
        <v>0.99755479999999996</v>
      </c>
      <c r="AB2194">
        <v>21</v>
      </c>
      <c r="AC2194">
        <v>-0.62729999999999098</v>
      </c>
      <c r="AD2194">
        <v>-5.5882999999999898E-2</v>
      </c>
      <c r="AE2194">
        <v>-1.1600000000044E-2</v>
      </c>
      <c r="AF2194">
        <v>5.4637227534719501E-2</v>
      </c>
      <c r="AG2194">
        <v>-5.5882999999999898E-2</v>
      </c>
      <c r="AH2194">
        <v>0.62006640898260101</v>
      </c>
      <c r="AI2194">
        <v>95.130054050462306</v>
      </c>
      <c r="AJ2194">
        <v>84.964381142495</v>
      </c>
      <c r="AK2194">
        <v>0.62497238968634306</v>
      </c>
      <c r="AL2194">
        <v>78.353445127749396</v>
      </c>
      <c r="AM2194">
        <v>88.088207164138893</v>
      </c>
      <c r="AN2194">
        <v>1.0000000265326601</v>
      </c>
    </row>
    <row r="2195" spans="1:40" x14ac:dyDescent="0.25">
      <c r="A2195" t="str">
        <f>"20190312172126663"</f>
        <v>20190312172126663</v>
      </c>
      <c r="B2195" t="str">
        <f>"1552382486653032"</f>
        <v>1552382486653032</v>
      </c>
      <c r="C2195" t="s">
        <v>40</v>
      </c>
      <c r="D2195">
        <v>3.5418829999999999</v>
      </c>
      <c r="E2195">
        <v>0.51422590000000001</v>
      </c>
      <c r="F2195" t="s">
        <v>41</v>
      </c>
      <c r="G2195">
        <v>-223.02879999999999</v>
      </c>
      <c r="H2195">
        <v>1.053545</v>
      </c>
      <c r="I2195">
        <v>281.79230000000001</v>
      </c>
      <c r="J2195">
        <v>-222.31739999999999</v>
      </c>
      <c r="K2195">
        <v>1.1090150000000001</v>
      </c>
      <c r="L2195">
        <v>281.80880000000002</v>
      </c>
      <c r="M2195">
        <v>-0.99442410000000003</v>
      </c>
      <c r="N2195">
        <v>0</v>
      </c>
      <c r="O2195">
        <v>-0.10473449999999999</v>
      </c>
      <c r="P2195">
        <v>-0.9791685</v>
      </c>
      <c r="Q2195">
        <v>0.18985109999999999</v>
      </c>
      <c r="R2195">
        <v>-7.2012129999999994E-2</v>
      </c>
      <c r="S2195">
        <v>-3.0970460000000002</v>
      </c>
      <c r="T2195">
        <v>-0.20902090000000001</v>
      </c>
      <c r="U2195">
        <v>-0.1011353</v>
      </c>
      <c r="V2195">
        <v>3.1739990000000003E-2</v>
      </c>
      <c r="W2195">
        <v>0.20179820000000001</v>
      </c>
      <c r="X2195">
        <v>0.97891269999999997</v>
      </c>
      <c r="Y2195">
        <v>7.1827859999999993E-2</v>
      </c>
      <c r="Z2195">
        <v>9.4668919999999993E-3</v>
      </c>
      <c r="AA2195">
        <v>0.99737209999999998</v>
      </c>
      <c r="AB2195">
        <v>21</v>
      </c>
      <c r="AC2195">
        <v>-0.71139999999999703</v>
      </c>
      <c r="AD2195">
        <v>-5.5469999999999603E-2</v>
      </c>
      <c r="AE2195">
        <v>-1.6500000000007699E-2</v>
      </c>
      <c r="AF2195">
        <v>5.7753583254865203E-2</v>
      </c>
      <c r="AG2195">
        <v>-5.5469999999999603E-2</v>
      </c>
      <c r="AH2195">
        <v>0.70493157946467799</v>
      </c>
      <c r="AI2195">
        <v>94.484284350660204</v>
      </c>
      <c r="AJ2195">
        <v>85.316336052003095</v>
      </c>
      <c r="AK2195">
        <v>0.70946524157659896</v>
      </c>
      <c r="AL2195">
        <v>78.357867481824798</v>
      </c>
      <c r="AM2195">
        <v>88.142908366285397</v>
      </c>
      <c r="AN2195">
        <v>1.0000000073548601</v>
      </c>
    </row>
    <row r="2196" spans="1:40" x14ac:dyDescent="0.25">
      <c r="A2196" t="str">
        <f>"20190312172126675"</f>
        <v>20190312172126675</v>
      </c>
      <c r="B2196" t="str">
        <f>"1552382486673528"</f>
        <v>1552382486673528</v>
      </c>
      <c r="C2196" t="s">
        <v>40</v>
      </c>
      <c r="D2196">
        <v>3.4937969999999998</v>
      </c>
      <c r="E2196">
        <v>0.51503009999999905</v>
      </c>
      <c r="F2196" t="s">
        <v>41</v>
      </c>
      <c r="G2196">
        <v>-223.2106</v>
      </c>
      <c r="H2196">
        <v>1.049056</v>
      </c>
      <c r="I2196">
        <v>281.78160000000003</v>
      </c>
      <c r="J2196">
        <v>-222.43459999999999</v>
      </c>
      <c r="K2196">
        <v>1.109003</v>
      </c>
      <c r="L2196">
        <v>281.79820000000001</v>
      </c>
      <c r="M2196">
        <v>-0.99458400000000002</v>
      </c>
      <c r="N2196">
        <v>0</v>
      </c>
      <c r="O2196">
        <v>-0.1032053</v>
      </c>
      <c r="P2196">
        <v>-0.9791242</v>
      </c>
      <c r="Q2196">
        <v>0.19028970000000001</v>
      </c>
      <c r="R2196">
        <v>-7.1454770000000001E-2</v>
      </c>
      <c r="S2196">
        <v>-3.0971679999999999</v>
      </c>
      <c r="T2196">
        <v>-0.20789560000000001</v>
      </c>
      <c r="U2196">
        <v>-9.5001219999999997E-2</v>
      </c>
      <c r="V2196">
        <v>3.078875E-2</v>
      </c>
      <c r="W2196">
        <v>0.20223530000000001</v>
      </c>
      <c r="X2196">
        <v>0.97885290000000003</v>
      </c>
      <c r="Y2196">
        <v>7.2275560000000003E-2</v>
      </c>
      <c r="Z2196">
        <v>9.3291420000000003E-3</v>
      </c>
      <c r="AA2196">
        <v>0.99734109999999998</v>
      </c>
      <c r="AB2196">
        <v>21</v>
      </c>
      <c r="AC2196">
        <v>-0.77600000000001002</v>
      </c>
      <c r="AD2196">
        <v>-5.9946999999999903E-2</v>
      </c>
      <c r="AE2196">
        <v>-1.6599999999982601E-2</v>
      </c>
      <c r="AF2196">
        <v>6.3205009708696899E-2</v>
      </c>
      <c r="AG2196">
        <v>-5.9946999999999903E-2</v>
      </c>
      <c r="AH2196">
        <v>0.76898192568393797</v>
      </c>
      <c r="AI2196">
        <v>94.442631814558695</v>
      </c>
      <c r="AJ2196">
        <v>85.301244303471606</v>
      </c>
      <c r="AK2196">
        <v>0.77390032826576205</v>
      </c>
      <c r="AL2196">
        <v>78.332296559860694</v>
      </c>
      <c r="AM2196">
        <v>88.198417741679194</v>
      </c>
      <c r="AN2196">
        <v>1.00000003176553</v>
      </c>
    </row>
    <row r="2197" spans="1:40" x14ac:dyDescent="0.25">
      <c r="A2197" t="str">
        <f>"20190312172126688"</f>
        <v>20190312172126688</v>
      </c>
      <c r="B2197" t="str">
        <f>"1552382486683288"</f>
        <v>1552382486683288</v>
      </c>
      <c r="C2197" t="s">
        <v>40</v>
      </c>
      <c r="D2197">
        <v>3.5116719999999999</v>
      </c>
      <c r="E2197">
        <v>0.51541800000000004</v>
      </c>
      <c r="F2197" t="s">
        <v>46</v>
      </c>
      <c r="G2197">
        <v>-239.20740000000001</v>
      </c>
      <c r="H2197" s="1">
        <v>3.5065600000000002E-6</v>
      </c>
      <c r="I2197">
        <v>281.33069999999998</v>
      </c>
      <c r="J2197">
        <v>-222.54349999999999</v>
      </c>
      <c r="K2197">
        <v>1.1089960000000001</v>
      </c>
      <c r="L2197">
        <v>281.7885</v>
      </c>
      <c r="M2197">
        <v>-0.99473109999999998</v>
      </c>
      <c r="N2197">
        <v>0</v>
      </c>
      <c r="O2197">
        <v>-0.1017782</v>
      </c>
      <c r="P2197">
        <v>-0.97909710000000005</v>
      </c>
      <c r="Q2197">
        <v>0.19057689999999999</v>
      </c>
      <c r="R2197">
        <v>-7.1062539999999993E-2</v>
      </c>
      <c r="S2197">
        <v>-3.0974430000000002</v>
      </c>
      <c r="T2197">
        <v>-0.2047997</v>
      </c>
      <c r="U2197">
        <v>-8.6334229999999998E-2</v>
      </c>
      <c r="V2197">
        <v>2.9773460000000002E-2</v>
      </c>
      <c r="W2197">
        <v>0.20252200000000001</v>
      </c>
      <c r="X2197">
        <v>0.97882499999999995</v>
      </c>
      <c r="Y2197">
        <v>7.3647249999999997E-2</v>
      </c>
      <c r="Z2197">
        <v>9.1418109999999997E-3</v>
      </c>
      <c r="AA2197">
        <v>0.99724250000000003</v>
      </c>
      <c r="AB2197">
        <v>21</v>
      </c>
      <c r="AC2197">
        <v>-16.663900000000002</v>
      </c>
      <c r="AD2197">
        <v>-1.1089924934399999</v>
      </c>
      <c r="AE2197">
        <v>-0.45780000000002002</v>
      </c>
      <c r="AF2197">
        <v>1.23526085272863</v>
      </c>
      <c r="AG2197">
        <v>-1.1089924934399999</v>
      </c>
      <c r="AH2197">
        <v>16.550703277140901</v>
      </c>
      <c r="AI2197">
        <v>93.822816375071795</v>
      </c>
      <c r="AJ2197">
        <v>85.731646269947404</v>
      </c>
      <c r="AK2197">
        <v>16.6337462014049</v>
      </c>
      <c r="AL2197">
        <v>78.315522389854195</v>
      </c>
      <c r="AM2197">
        <v>88.257739863429094</v>
      </c>
      <c r="AN2197">
        <v>1.00000000001468</v>
      </c>
    </row>
    <row r="2198" spans="1:40" x14ac:dyDescent="0.25">
      <c r="A2198" t="str">
        <f>"20190312172126708"</f>
        <v>20190312172126708</v>
      </c>
      <c r="B2198" t="str">
        <f>"1552382486702808"</f>
        <v>1552382486702808</v>
      </c>
      <c r="C2198" t="s">
        <v>40</v>
      </c>
      <c r="D2198">
        <v>3.5420430000000001</v>
      </c>
      <c r="E2198">
        <v>0.51601540000000001</v>
      </c>
      <c r="F2198" t="s">
        <v>41</v>
      </c>
      <c r="G2198">
        <v>-223.40379999999999</v>
      </c>
      <c r="H2198">
        <v>1.0527010000000001</v>
      </c>
      <c r="I2198">
        <v>281.76589999999999</v>
      </c>
      <c r="J2198">
        <v>-222.74289999999999</v>
      </c>
      <c r="K2198">
        <v>1.1089830000000001</v>
      </c>
      <c r="L2198">
        <v>281.77109999999999</v>
      </c>
      <c r="M2198">
        <v>-0.99499599999999999</v>
      </c>
      <c r="N2198">
        <v>0</v>
      </c>
      <c r="O2198">
        <v>-9.915496E-2</v>
      </c>
      <c r="P2198">
        <v>-0.97910569999999997</v>
      </c>
      <c r="Q2198">
        <v>0.19093950000000001</v>
      </c>
      <c r="R2198">
        <v>-6.9957030000000003E-2</v>
      </c>
      <c r="S2198">
        <v>-3.0975649999999999</v>
      </c>
      <c r="T2198">
        <v>-0.2026964</v>
      </c>
      <c r="U2198">
        <v>-8.1603999999999996E-2</v>
      </c>
      <c r="V2198">
        <v>2.829195E-2</v>
      </c>
      <c r="W2198">
        <v>0.20288300000000001</v>
      </c>
      <c r="X2198">
        <v>0.97879419999999995</v>
      </c>
      <c r="Y2198">
        <v>7.2556190000000007E-2</v>
      </c>
      <c r="Z2198">
        <v>8.8417469999999901E-3</v>
      </c>
      <c r="AA2198">
        <v>0.99732509999999996</v>
      </c>
      <c r="AB2198">
        <v>21</v>
      </c>
      <c r="AC2198">
        <v>-0.66089999999999705</v>
      </c>
      <c r="AD2198">
        <v>-5.6281999999999902E-2</v>
      </c>
      <c r="AE2198">
        <v>-5.2000000000020901E-3</v>
      </c>
      <c r="AF2198">
        <v>5.9927521801448801E-2</v>
      </c>
      <c r="AG2198">
        <v>-5.6281999999999902E-2</v>
      </c>
      <c r="AH2198">
        <v>0.65341982501464502</v>
      </c>
      <c r="AI2198">
        <v>94.902518954852894</v>
      </c>
      <c r="AJ2198">
        <v>84.759854023410895</v>
      </c>
      <c r="AK2198">
        <v>0.65857151404796799</v>
      </c>
      <c r="AL2198">
        <v>78.294400313032398</v>
      </c>
      <c r="AM2198">
        <v>88.344332130418593</v>
      </c>
      <c r="AN2198">
        <v>1.0000000160387199</v>
      </c>
    </row>
    <row r="2199" spans="1:40" x14ac:dyDescent="0.25">
      <c r="A2199" t="str">
        <f>"20190312172126731"</f>
        <v>20190312172126731</v>
      </c>
      <c r="B2199" t="str">
        <f>"1552382486723304"</f>
        <v>1552382486723304</v>
      </c>
      <c r="C2199" t="s">
        <v>40</v>
      </c>
      <c r="D2199">
        <v>3.503546</v>
      </c>
      <c r="E2199">
        <v>0.51652580000000003</v>
      </c>
      <c r="F2199" t="s">
        <v>41</v>
      </c>
      <c r="G2199">
        <v>-223.6009</v>
      </c>
      <c r="H2199">
        <v>1.0536939999999999</v>
      </c>
      <c r="I2199">
        <v>281.75110000000001</v>
      </c>
      <c r="J2199">
        <v>-222.95570000000001</v>
      </c>
      <c r="K2199">
        <v>1.108973</v>
      </c>
      <c r="L2199">
        <v>281.75319999999999</v>
      </c>
      <c r="M2199">
        <v>-0.99527149999999998</v>
      </c>
      <c r="N2199">
        <v>0</v>
      </c>
      <c r="O2199">
        <v>-9.6352170000000001E-2</v>
      </c>
      <c r="P2199">
        <v>-0.97923269999999996</v>
      </c>
      <c r="Q2199">
        <v>0.19059309999999999</v>
      </c>
      <c r="R2199">
        <v>-6.9124270000000002E-2</v>
      </c>
      <c r="S2199">
        <v>-3.0977329999999998</v>
      </c>
      <c r="T2199">
        <v>-0.1997129</v>
      </c>
      <c r="U2199">
        <v>-7.2967530000000003E-2</v>
      </c>
      <c r="V2199">
        <v>2.6367910000000001E-2</v>
      </c>
      <c r="W2199">
        <v>0.20253879999999999</v>
      </c>
      <c r="X2199">
        <v>0.97891919999999999</v>
      </c>
      <c r="Y2199">
        <v>7.2543910000000003E-2</v>
      </c>
      <c r="Z2199">
        <v>8.5317889999999997E-3</v>
      </c>
      <c r="AA2199">
        <v>0.99732869999999996</v>
      </c>
      <c r="AB2199">
        <v>21</v>
      </c>
      <c r="AC2199">
        <v>-0.64519999999998801</v>
      </c>
      <c r="AD2199">
        <v>-5.5278999999999801E-2</v>
      </c>
      <c r="AE2199">
        <v>-2.0999999999844398E-3</v>
      </c>
      <c r="AF2199">
        <v>5.9643071851372603E-2</v>
      </c>
      <c r="AG2199">
        <v>-5.5278999999999801E-2</v>
      </c>
      <c r="AH2199">
        <v>0.63771879263275599</v>
      </c>
      <c r="AI2199">
        <v>94.932733057382606</v>
      </c>
      <c r="AJ2199">
        <v>84.6569168917312</v>
      </c>
      <c r="AK2199">
        <v>0.64288282162292099</v>
      </c>
      <c r="AL2199">
        <v>78.314539641572594</v>
      </c>
      <c r="AM2199">
        <v>88.457069035999098</v>
      </c>
      <c r="AN2199">
        <v>1.0000000161559199</v>
      </c>
    </row>
    <row r="2200" spans="1:40" x14ac:dyDescent="0.25">
      <c r="A2200" t="str">
        <f>"20190312172126752"</f>
        <v>20190312172126752</v>
      </c>
      <c r="B2200" t="str">
        <f>"1552382486742824"</f>
        <v>1552382486742824</v>
      </c>
      <c r="C2200" t="s">
        <v>40</v>
      </c>
      <c r="D2200">
        <v>3.4919190000000002</v>
      </c>
      <c r="E2200">
        <v>0.5168779</v>
      </c>
      <c r="F2200" t="s">
        <v>46</v>
      </c>
      <c r="G2200">
        <v>-240.21440000000001</v>
      </c>
      <c r="H2200" s="1">
        <v>-1.422678E-6</v>
      </c>
      <c r="I2200">
        <v>281.38850000000002</v>
      </c>
      <c r="J2200">
        <v>-223.15889999999999</v>
      </c>
      <c r="K2200">
        <v>1.108976</v>
      </c>
      <c r="L2200">
        <v>281.73660000000001</v>
      </c>
      <c r="M2200">
        <v>-0.99552640000000003</v>
      </c>
      <c r="N2200">
        <v>0</v>
      </c>
      <c r="O2200">
        <v>-9.368224E-2</v>
      </c>
      <c r="P2200">
        <v>-0.9793385</v>
      </c>
      <c r="Q2200">
        <v>0.19035009999999999</v>
      </c>
      <c r="R2200">
        <v>-6.8288000000000001E-2</v>
      </c>
      <c r="S2200">
        <v>-3.097763</v>
      </c>
      <c r="T2200">
        <v>-0.19904959999999999</v>
      </c>
      <c r="U2200">
        <v>-6.5460210000000005E-2</v>
      </c>
      <c r="V2200">
        <v>2.457407E-2</v>
      </c>
      <c r="W2200">
        <v>0.20229829999999999</v>
      </c>
      <c r="X2200">
        <v>0.97901559999999999</v>
      </c>
      <c r="Y2200">
        <v>7.2293070000000001E-2</v>
      </c>
      <c r="Z2200">
        <v>8.3250809999999998E-3</v>
      </c>
      <c r="AA2200">
        <v>0.99734869999999998</v>
      </c>
      <c r="AB2200">
        <v>21</v>
      </c>
      <c r="AC2200">
        <v>-17.055499999999999</v>
      </c>
      <c r="AD2200">
        <v>-1.108977422678</v>
      </c>
      <c r="AE2200">
        <v>-0.34809999999998797</v>
      </c>
      <c r="AF2200">
        <v>1.24608305394068</v>
      </c>
      <c r="AG2200">
        <v>-1.108977422678</v>
      </c>
      <c r="AH2200">
        <v>16.9414985658291</v>
      </c>
      <c r="AI2200">
        <v>93.735133268048003</v>
      </c>
      <c r="AJ2200">
        <v>85.793349185315506</v>
      </c>
      <c r="AK2200">
        <v>17.023422909547801</v>
      </c>
      <c r="AL2200">
        <v>78.328610555938795</v>
      </c>
      <c r="AM2200">
        <v>88.562132302323405</v>
      </c>
      <c r="AN2200">
        <v>1.0000000160713001</v>
      </c>
    </row>
    <row r="2201" spans="1:40" x14ac:dyDescent="0.25">
      <c r="A2201" t="str">
        <f>"20190312172126765"</f>
        <v>20190312172126765</v>
      </c>
      <c r="B2201" t="str">
        <f>"1552382486753560"</f>
        <v>1552382486753560</v>
      </c>
      <c r="C2201" t="s">
        <v>40</v>
      </c>
      <c r="D2201">
        <v>3.5218060000000002</v>
      </c>
      <c r="E2201">
        <v>0.51704629999999996</v>
      </c>
      <c r="F2201" t="s">
        <v>46</v>
      </c>
      <c r="G2201">
        <v>-240.44470000000001</v>
      </c>
      <c r="H2201" s="1">
        <v>-1.3001409999999999E-6</v>
      </c>
      <c r="I2201">
        <v>281.40219999999999</v>
      </c>
      <c r="J2201">
        <v>-223.27510000000001</v>
      </c>
      <c r="K2201">
        <v>1.1089770000000001</v>
      </c>
      <c r="L2201">
        <v>281.72739999999999</v>
      </c>
      <c r="M2201">
        <v>-0.99566840000000001</v>
      </c>
      <c r="N2201">
        <v>0</v>
      </c>
      <c r="O2201">
        <v>-9.2161339999999994E-2</v>
      </c>
      <c r="P2201">
        <v>-0.97939790000000004</v>
      </c>
      <c r="Q2201">
        <v>0.1902684</v>
      </c>
      <c r="R2201">
        <v>-6.7658940000000001E-2</v>
      </c>
      <c r="S2201">
        <v>-3.0977480000000002</v>
      </c>
      <c r="T2201">
        <v>-0.19873769999999999</v>
      </c>
      <c r="U2201">
        <v>-5.993652E-2</v>
      </c>
      <c r="V2201">
        <v>2.3703809999999999E-2</v>
      </c>
      <c r="W2201">
        <v>0.20221800000000001</v>
      </c>
      <c r="X2201">
        <v>0.97905359999999997</v>
      </c>
      <c r="Y2201">
        <v>7.2550610000000001E-2</v>
      </c>
      <c r="Z2201">
        <v>8.2235180000000008E-3</v>
      </c>
      <c r="AA2201">
        <v>0.99733079999999996</v>
      </c>
      <c r="AB2201">
        <v>21</v>
      </c>
      <c r="AC2201">
        <v>-17.169599999999999</v>
      </c>
      <c r="AD2201">
        <v>-1.1089783001410001</v>
      </c>
      <c r="AE2201">
        <v>-0.32519999999999499</v>
      </c>
      <c r="AF2201">
        <v>1.2534495471634799</v>
      </c>
      <c r="AG2201">
        <v>-1.1089783001410001</v>
      </c>
      <c r="AH2201">
        <v>17.0553633497418</v>
      </c>
      <c r="AI2201">
        <v>93.710285635300394</v>
      </c>
      <c r="AJ2201">
        <v>85.7967189326734</v>
      </c>
      <c r="AK2201">
        <v>17.137280636938399</v>
      </c>
      <c r="AL2201">
        <v>78.333307968615799</v>
      </c>
      <c r="AM2201">
        <v>88.613086147565696</v>
      </c>
      <c r="AN2201">
        <v>0.99999997090273696</v>
      </c>
    </row>
    <row r="2202" spans="1:40" x14ac:dyDescent="0.25">
      <c r="A2202" t="str">
        <f>"20190312172126785"</f>
        <v>20190312172126785</v>
      </c>
      <c r="B2202" t="str">
        <f>"1552382486782841"</f>
        <v>1552382486782841</v>
      </c>
      <c r="C2202" t="s">
        <v>40</v>
      </c>
      <c r="D2202">
        <v>3.4860920000000002</v>
      </c>
      <c r="E2202">
        <v>0.5174339</v>
      </c>
      <c r="F2202" t="s">
        <v>41</v>
      </c>
      <c r="G2202">
        <v>-224.16309999999999</v>
      </c>
      <c r="H2202">
        <v>1.0520719999999999</v>
      </c>
      <c r="I2202">
        <v>281.71120000000002</v>
      </c>
      <c r="J2202">
        <v>-223.47450000000001</v>
      </c>
      <c r="K2202">
        <v>1.1089869999999999</v>
      </c>
      <c r="L2202">
        <v>281.71199999999999</v>
      </c>
      <c r="M2202">
        <v>-0.99590579999999995</v>
      </c>
      <c r="N2202">
        <v>0</v>
      </c>
      <c r="O2202">
        <v>-8.9561539999999995E-2</v>
      </c>
      <c r="P2202">
        <v>-0.97944070000000005</v>
      </c>
      <c r="Q2202">
        <v>0.1903521</v>
      </c>
      <c r="R2202">
        <v>-6.6801669999999994E-2</v>
      </c>
      <c r="S2202">
        <v>-3.097763</v>
      </c>
      <c r="T2202">
        <v>-0.19854089999999999</v>
      </c>
      <c r="U2202">
        <v>-5.6793209999999997E-2</v>
      </c>
      <c r="V2202">
        <v>2.1994710000000001E-2</v>
      </c>
      <c r="W2202">
        <v>0.20230390000000001</v>
      </c>
      <c r="X2202">
        <v>0.97907580000000005</v>
      </c>
      <c r="Y2202">
        <v>7.0967600000000006E-2</v>
      </c>
      <c r="Z2202">
        <v>7.9989589999999999E-3</v>
      </c>
      <c r="AA2202">
        <v>0.99744650000000001</v>
      </c>
      <c r="AB2202">
        <v>21</v>
      </c>
      <c r="AC2202">
        <v>-0.68859999999997901</v>
      </c>
      <c r="AD2202">
        <v>-5.6915000000000202E-2</v>
      </c>
      <c r="AE2202">
        <v>-7.9999999996971296E-4</v>
      </c>
      <c r="AF2202">
        <v>6.0466847259303499E-2</v>
      </c>
      <c r="AG2202">
        <v>-5.6915000000000202E-2</v>
      </c>
      <c r="AH2202">
        <v>0.68124996510191704</v>
      </c>
      <c r="AI2202">
        <v>94.757067836923397</v>
      </c>
      <c r="AJ2202">
        <v>84.927794193115602</v>
      </c>
      <c r="AK2202">
        <v>0.68629226412210398</v>
      </c>
      <c r="AL2202">
        <v>78.328283074568702</v>
      </c>
      <c r="AM2202">
        <v>88.713080105919005</v>
      </c>
      <c r="AN2202">
        <v>1.00000002868441</v>
      </c>
    </row>
    <row r="2203" spans="1:40" x14ac:dyDescent="0.25">
      <c r="A2203" t="str">
        <f>"20190312172126799"</f>
        <v>20190312172126799</v>
      </c>
      <c r="B2203" t="str">
        <f>"1552382486793576"</f>
        <v>1552382486793576</v>
      </c>
      <c r="C2203" t="s">
        <v>40</v>
      </c>
      <c r="D2203">
        <v>3.4846889999999999</v>
      </c>
      <c r="E2203">
        <v>0.51755589999999996</v>
      </c>
      <c r="F2203" t="s">
        <v>41</v>
      </c>
      <c r="G2203">
        <v>-224.35390000000001</v>
      </c>
      <c r="H2203">
        <v>1.0531699999999999</v>
      </c>
      <c r="I2203">
        <v>281.69760000000002</v>
      </c>
      <c r="J2203">
        <v>-223.60990000000001</v>
      </c>
      <c r="K2203">
        <v>1.1089929999999999</v>
      </c>
      <c r="L2203">
        <v>281.70179999999999</v>
      </c>
      <c r="M2203">
        <v>-0.99606220000000001</v>
      </c>
      <c r="N2203">
        <v>0</v>
      </c>
      <c r="O2203">
        <v>-8.7804499999999994E-2</v>
      </c>
      <c r="P2203">
        <v>-0.97945720000000003</v>
      </c>
      <c r="Q2203">
        <v>0.19054270000000001</v>
      </c>
      <c r="R2203">
        <v>-6.6010830000000006E-2</v>
      </c>
      <c r="S2203">
        <v>-3.0977169999999998</v>
      </c>
      <c r="T2203">
        <v>-0.19669929999999999</v>
      </c>
      <c r="U2203">
        <v>-5.1239010000000001E-2</v>
      </c>
      <c r="V2203">
        <v>2.1049709999999999E-2</v>
      </c>
      <c r="W2203">
        <v>0.20249490000000001</v>
      </c>
      <c r="X2203">
        <v>0.97905710000000001</v>
      </c>
      <c r="Y2203">
        <v>7.1005059999999995E-2</v>
      </c>
      <c r="Z2203">
        <v>7.8153719999999993E-3</v>
      </c>
      <c r="AA2203">
        <v>0.99744529999999998</v>
      </c>
      <c r="AB2203">
        <v>21</v>
      </c>
      <c r="AC2203">
        <v>-0.743999999999999</v>
      </c>
      <c r="AD2203">
        <v>-5.58229999999999E-2</v>
      </c>
      <c r="AE2203">
        <v>-4.1999999999688901E-3</v>
      </c>
      <c r="AF2203">
        <v>6.0805385775786203E-2</v>
      </c>
      <c r="AG2203">
        <v>-5.58229999999999E-2</v>
      </c>
      <c r="AH2203">
        <v>0.73734399422804298</v>
      </c>
      <c r="AI2203">
        <v>94.314910713501604</v>
      </c>
      <c r="AJ2203">
        <v>85.285746386900001</v>
      </c>
      <c r="AK2203">
        <v>0.74194990942280303</v>
      </c>
      <c r="AL2203">
        <v>78.317108430628295</v>
      </c>
      <c r="AM2203">
        <v>88.768331529248698</v>
      </c>
      <c r="AN2203">
        <v>1.0000000399387501</v>
      </c>
    </row>
    <row r="2204" spans="1:40" x14ac:dyDescent="0.25">
      <c r="A2204" t="str">
        <f>"20190312172126820"</f>
        <v>20190312172126820</v>
      </c>
      <c r="B2204" t="str">
        <f>"1552382486813096"</f>
        <v>1552382486813096</v>
      </c>
      <c r="C2204" t="s">
        <v>40</v>
      </c>
      <c r="D2204">
        <v>3.5122439999999999</v>
      </c>
      <c r="E2204">
        <v>0.51775289999999996</v>
      </c>
      <c r="F2204" t="s">
        <v>46</v>
      </c>
      <c r="G2204">
        <v>-241.15809999999999</v>
      </c>
      <c r="H2204" s="1">
        <v>-9.2050330000000002E-7</v>
      </c>
      <c r="I2204">
        <v>281.42970000000003</v>
      </c>
      <c r="J2204">
        <v>-223.80240000000001</v>
      </c>
      <c r="K2204">
        <v>1.109008</v>
      </c>
      <c r="L2204">
        <v>281.68770000000001</v>
      </c>
      <c r="M2204">
        <v>-0.99627829999999995</v>
      </c>
      <c r="N2204">
        <v>0</v>
      </c>
      <c r="O2204">
        <v>-8.5318430000000001E-2</v>
      </c>
      <c r="P2204">
        <v>-0.97942070000000003</v>
      </c>
      <c r="Q2204">
        <v>0.19094820000000001</v>
      </c>
      <c r="R2204">
        <v>-6.5378049999999993E-2</v>
      </c>
      <c r="S2204">
        <v>-3.0977779999999999</v>
      </c>
      <c r="T2204">
        <v>-0.1957699</v>
      </c>
      <c r="U2204">
        <v>-4.8034670000000002E-2</v>
      </c>
      <c r="V2204">
        <v>1.9224410000000001E-2</v>
      </c>
      <c r="W2204">
        <v>0.20290349999999999</v>
      </c>
      <c r="X2204">
        <v>0.97901000000000005</v>
      </c>
      <c r="Y2204">
        <v>6.9558339999999996E-2</v>
      </c>
      <c r="Z2204">
        <v>7.5763660000000002E-3</v>
      </c>
      <c r="AA2204">
        <v>0.99754909999999997</v>
      </c>
      <c r="AB2204">
        <v>21</v>
      </c>
      <c r="AC2204">
        <v>-17.355699999999899</v>
      </c>
      <c r="AD2204">
        <v>-1.1090089205033</v>
      </c>
      <c r="AE2204">
        <v>-0.25799999999998102</v>
      </c>
      <c r="AF2204">
        <v>1.2188377672224699</v>
      </c>
      <c r="AG2204">
        <v>-1.1090089205033</v>
      </c>
      <c r="AH2204">
        <v>17.2440279459578</v>
      </c>
      <c r="AI2204">
        <v>93.670642423326498</v>
      </c>
      <c r="AJ2204">
        <v>85.956958989536403</v>
      </c>
      <c r="AK2204">
        <v>17.322585433171799</v>
      </c>
      <c r="AL2204">
        <v>78.293200541187105</v>
      </c>
      <c r="AM2204">
        <v>88.875051312549402</v>
      </c>
      <c r="AN2204">
        <v>0.99999999417604901</v>
      </c>
    </row>
    <row r="2205" spans="1:40" x14ac:dyDescent="0.25">
      <c r="A2205" t="str">
        <f>"20190312172126842"</f>
        <v>20190312172126842</v>
      </c>
      <c r="B2205" t="str">
        <f>"1552382486833595"</f>
        <v>1552382486833595</v>
      </c>
      <c r="C2205" t="s">
        <v>40</v>
      </c>
      <c r="D2205">
        <v>3.509779</v>
      </c>
      <c r="E2205">
        <v>0.51794019999999996</v>
      </c>
      <c r="F2205" t="s">
        <v>41</v>
      </c>
      <c r="G2205">
        <v>-224.73169999999999</v>
      </c>
      <c r="H2205">
        <v>1.050916</v>
      </c>
      <c r="I2205">
        <v>281.67439999999999</v>
      </c>
      <c r="J2205">
        <v>-224.01140000000001</v>
      </c>
      <c r="K2205">
        <v>1.109032</v>
      </c>
      <c r="L2205">
        <v>281.673</v>
      </c>
      <c r="M2205">
        <v>-0.9965039</v>
      </c>
      <c r="N2205">
        <v>0</v>
      </c>
      <c r="O2205">
        <v>-8.2640829999999998E-2</v>
      </c>
      <c r="P2205">
        <v>-0.97945990000000005</v>
      </c>
      <c r="Q2205">
        <v>0.1911612</v>
      </c>
      <c r="R2205">
        <v>-6.4155149999999994E-2</v>
      </c>
      <c r="S2205">
        <v>-3.0977939999999999</v>
      </c>
      <c r="T2205">
        <v>-0.19372259999999999</v>
      </c>
      <c r="U2205">
        <v>-4.4769290000000003E-2</v>
      </c>
      <c r="V2205">
        <v>1.780311E-2</v>
      </c>
      <c r="W2205">
        <v>0.2031182</v>
      </c>
      <c r="X2205">
        <v>0.97899230000000004</v>
      </c>
      <c r="Y2205">
        <v>6.7943630000000005E-2</v>
      </c>
      <c r="Z2205">
        <v>7.2801469999999998E-3</v>
      </c>
      <c r="AA2205">
        <v>0.99766259999999996</v>
      </c>
      <c r="AB2205">
        <v>21</v>
      </c>
      <c r="AC2205">
        <v>-0.72029999999997996</v>
      </c>
      <c r="AD2205">
        <v>-5.8116000000000001E-2</v>
      </c>
      <c r="AE2205">
        <v>1.39999999998963E-3</v>
      </c>
      <c r="AF2205">
        <v>6.0531833378047302E-2</v>
      </c>
      <c r="AG2205">
        <v>-5.8116000000000001E-2</v>
      </c>
      <c r="AH2205">
        <v>0.71307811605472105</v>
      </c>
      <c r="AI2205">
        <v>94.6426946178631</v>
      </c>
      <c r="AJ2205">
        <v>85.147903589406695</v>
      </c>
      <c r="AK2205">
        <v>0.71799858767567104</v>
      </c>
      <c r="AL2205">
        <v>78.280636871610099</v>
      </c>
      <c r="AM2205">
        <v>88.958183179762003</v>
      </c>
      <c r="AN2205">
        <v>0.999999938678099</v>
      </c>
    </row>
    <row r="2206" spans="1:40" x14ac:dyDescent="0.25">
      <c r="A2206" t="str">
        <f>"20190312172126853"</f>
        <v>20190312172126853</v>
      </c>
      <c r="B2206" t="str">
        <f>"1552382486843352"</f>
        <v>1552382486843352</v>
      </c>
      <c r="C2206" t="s">
        <v>40</v>
      </c>
      <c r="D2206">
        <v>3.4749880000000002</v>
      </c>
      <c r="E2206">
        <v>0.51801620000000004</v>
      </c>
      <c r="F2206" t="s">
        <v>41</v>
      </c>
      <c r="G2206">
        <v>-224.9229</v>
      </c>
      <c r="H2206">
        <v>1.052524</v>
      </c>
      <c r="I2206">
        <v>281.66140000000001</v>
      </c>
      <c r="J2206">
        <v>-224.12549999999999</v>
      </c>
      <c r="K2206">
        <v>1.1090420000000001</v>
      </c>
      <c r="L2206">
        <v>281.66520000000003</v>
      </c>
      <c r="M2206">
        <v>-0.9966235</v>
      </c>
      <c r="N2206">
        <v>0</v>
      </c>
      <c r="O2206">
        <v>-8.1187430000000005E-2</v>
      </c>
      <c r="P2206">
        <v>-0.97949909999999996</v>
      </c>
      <c r="Q2206">
        <v>0.1912228</v>
      </c>
      <c r="R2206">
        <v>-6.3369049999999996E-2</v>
      </c>
      <c r="S2206">
        <v>-3.097763</v>
      </c>
      <c r="T2206">
        <v>-0.19202230000000001</v>
      </c>
      <c r="U2206">
        <v>-3.9855960000000003E-2</v>
      </c>
      <c r="V2206">
        <v>1.7154530000000001E-2</v>
      </c>
      <c r="W2206">
        <v>0.20318040000000001</v>
      </c>
      <c r="X2206">
        <v>0.97899099999999994</v>
      </c>
      <c r="Y2206">
        <v>6.8078169999999993E-2</v>
      </c>
      <c r="Z2206">
        <v>7.1310119999999999E-3</v>
      </c>
      <c r="AA2206">
        <v>0.9976545</v>
      </c>
      <c r="AB2206">
        <v>21</v>
      </c>
      <c r="AC2206">
        <v>-0.79740000000000999</v>
      </c>
      <c r="AD2206">
        <v>-5.6517999999999999E-2</v>
      </c>
      <c r="AE2206">
        <v>-3.8000000000124601E-3</v>
      </c>
      <c r="AF2206">
        <v>6.0651578783015102E-2</v>
      </c>
      <c r="AG2206">
        <v>-5.6517999999999999E-2</v>
      </c>
      <c r="AH2206">
        <v>0.79110166028690199</v>
      </c>
      <c r="AI2206">
        <v>94.074473962005598</v>
      </c>
      <c r="AJ2206">
        <v>85.615867229067902</v>
      </c>
      <c r="AK2206">
        <v>0.79543367746253002</v>
      </c>
      <c r="AL2206">
        <v>78.276997496631196</v>
      </c>
      <c r="AM2206">
        <v>88.996128063363599</v>
      </c>
      <c r="AN2206">
        <v>0.99999996546233905</v>
      </c>
    </row>
    <row r="2207" spans="1:40" x14ac:dyDescent="0.25">
      <c r="A2207" t="str">
        <f>"20190312172126865"</f>
        <v>20190312172126865</v>
      </c>
      <c r="B2207" t="str">
        <f>"1552382486862872"</f>
        <v>1552382486862872</v>
      </c>
      <c r="C2207" t="s">
        <v>40</v>
      </c>
      <c r="D2207">
        <v>3.4645169999999998</v>
      </c>
      <c r="E2207">
        <v>0.51817150000000001</v>
      </c>
      <c r="F2207" t="s">
        <v>46</v>
      </c>
      <c r="G2207">
        <v>-242.0718</v>
      </c>
      <c r="H2207" s="1">
        <v>-4.3429860000000002E-7</v>
      </c>
      <c r="I2207">
        <v>281.4522</v>
      </c>
      <c r="J2207">
        <v>-224.23830000000001</v>
      </c>
      <c r="K2207">
        <v>1.109046</v>
      </c>
      <c r="L2207">
        <v>281.65769999999998</v>
      </c>
      <c r="M2207">
        <v>-0.99673909999999999</v>
      </c>
      <c r="N2207">
        <v>0</v>
      </c>
      <c r="O2207">
        <v>-7.9755740000000006E-2</v>
      </c>
      <c r="P2207">
        <v>-0.97954280000000005</v>
      </c>
      <c r="Q2207">
        <v>0.1913926</v>
      </c>
      <c r="R2207">
        <v>-6.2170580000000003E-2</v>
      </c>
      <c r="S2207">
        <v>-3.097763</v>
      </c>
      <c r="T2207">
        <v>-0.1914352</v>
      </c>
      <c r="U2207">
        <v>-3.6773680000000003E-2</v>
      </c>
      <c r="V2207">
        <v>1.6939030000000001E-2</v>
      </c>
      <c r="W2207">
        <v>0.2033489</v>
      </c>
      <c r="X2207">
        <v>0.97895980000000005</v>
      </c>
      <c r="Y2207">
        <v>6.7642880000000002E-2</v>
      </c>
      <c r="Z2207">
        <v>7.0077519999999999E-3</v>
      </c>
      <c r="AA2207">
        <v>0.99768500000000004</v>
      </c>
      <c r="AB2207">
        <v>21</v>
      </c>
      <c r="AC2207">
        <v>-17.833499999999901</v>
      </c>
      <c r="AD2207">
        <v>-1.1090464342985999</v>
      </c>
      <c r="AE2207">
        <v>-0.20549999999997201</v>
      </c>
      <c r="AF2207">
        <v>1.2128953349910501</v>
      </c>
      <c r="AG2207">
        <v>-1.1090464342985999</v>
      </c>
      <c r="AH2207">
        <v>17.724532858897899</v>
      </c>
      <c r="AI2207">
        <v>93.572069620469605</v>
      </c>
      <c r="AJ2207">
        <v>86.085334662164598</v>
      </c>
      <c r="AK2207">
        <v>17.800566399787002</v>
      </c>
      <c r="AL2207">
        <v>78.267137701124796</v>
      </c>
      <c r="AM2207">
        <v>89.008704865056501</v>
      </c>
      <c r="AN2207">
        <v>0.99999999794229499</v>
      </c>
    </row>
    <row r="2208" spans="1:40" x14ac:dyDescent="0.25">
      <c r="A2208" t="str">
        <f>"20190312172126885"</f>
        <v>20190312172126885</v>
      </c>
      <c r="B2208" t="str">
        <f>"1552382486883368"</f>
        <v>1552382486883368</v>
      </c>
      <c r="C2208" t="s">
        <v>40</v>
      </c>
      <c r="D2208">
        <v>3.4689450000000002</v>
      </c>
      <c r="E2208">
        <v>0.51828890000000005</v>
      </c>
      <c r="F2208" t="s">
        <v>46</v>
      </c>
      <c r="G2208">
        <v>-242.24940000000001</v>
      </c>
      <c r="H2208" s="1">
        <v>-3.3979530000000001E-7</v>
      </c>
      <c r="I2208">
        <v>281.47230000000002</v>
      </c>
      <c r="J2208">
        <v>-224.4205</v>
      </c>
      <c r="K2208">
        <v>1.109064</v>
      </c>
      <c r="L2208">
        <v>281.64580000000001</v>
      </c>
      <c r="M2208">
        <v>-0.99692029999999998</v>
      </c>
      <c r="N2208">
        <v>0</v>
      </c>
      <c r="O2208">
        <v>-7.7456189999999994E-2</v>
      </c>
      <c r="P2208">
        <v>-0.97961359999999997</v>
      </c>
      <c r="Q2208">
        <v>0.1916371</v>
      </c>
      <c r="R2208">
        <v>-6.0269990000000002E-2</v>
      </c>
      <c r="S2208">
        <v>-3.0978850000000002</v>
      </c>
      <c r="T2208">
        <v>-0.1907547</v>
      </c>
      <c r="U2208">
        <v>-3.1890870000000002E-2</v>
      </c>
      <c r="V2208">
        <v>1.6567740000000001E-2</v>
      </c>
      <c r="W2208">
        <v>0.20359169999999999</v>
      </c>
      <c r="X2208">
        <v>0.97891570000000006</v>
      </c>
      <c r="Y2208">
        <v>6.6921839999999996E-2</v>
      </c>
      <c r="Z2208">
        <v>6.8194609999999998E-3</v>
      </c>
      <c r="AA2208">
        <v>0.99773489999999998</v>
      </c>
      <c r="AB2208">
        <v>21</v>
      </c>
      <c r="AC2208">
        <v>-17.828900000000001</v>
      </c>
      <c r="AD2208">
        <v>-1.1090643397952999</v>
      </c>
      <c r="AE2208">
        <v>-0.173499999999989</v>
      </c>
      <c r="AF2208">
        <v>1.2034275536422301</v>
      </c>
      <c r="AG2208">
        <v>-1.1090643397952999</v>
      </c>
      <c r="AH2208">
        <v>17.720205883445701</v>
      </c>
      <c r="AI2208">
        <v>93.573122301038197</v>
      </c>
      <c r="AJ2208">
        <v>86.114852826568395</v>
      </c>
      <c r="AK2208">
        <v>17.795616261831899</v>
      </c>
      <c r="AL2208">
        <v>78.252929188736303</v>
      </c>
      <c r="AM2208">
        <v>89.030385397158298</v>
      </c>
      <c r="AN2208">
        <v>1.00000000901204</v>
      </c>
    </row>
    <row r="2209" spans="1:40" x14ac:dyDescent="0.25">
      <c r="A2209" t="str">
        <f>"20190312172126897"</f>
        <v>20190312172126897</v>
      </c>
      <c r="B2209" t="str">
        <f>"1552382486893127"</f>
        <v>1552382486893127</v>
      </c>
      <c r="C2209" t="s">
        <v>40</v>
      </c>
      <c r="D2209">
        <v>3.4686499999999998</v>
      </c>
      <c r="E2209">
        <v>0.51835359999999997</v>
      </c>
      <c r="F2209" t="s">
        <v>46</v>
      </c>
      <c r="G2209">
        <v>-242.54400000000001</v>
      </c>
      <c r="H2209" s="1">
        <v>-1.8297859999999999E-7</v>
      </c>
      <c r="I2209">
        <v>281.50009999999997</v>
      </c>
      <c r="J2209">
        <v>-224.52940000000001</v>
      </c>
      <c r="K2209">
        <v>1.1090789999999999</v>
      </c>
      <c r="L2209">
        <v>281.63889999999998</v>
      </c>
      <c r="M2209">
        <v>-0.9970253</v>
      </c>
      <c r="N2209">
        <v>0</v>
      </c>
      <c r="O2209">
        <v>-7.6094869999999995E-2</v>
      </c>
      <c r="P2209">
        <v>-0.97956960000000004</v>
      </c>
      <c r="Q2209">
        <v>0.19225229999999999</v>
      </c>
      <c r="R2209">
        <v>-5.9015449999999997E-2</v>
      </c>
      <c r="S2209">
        <v>-3.0979920000000001</v>
      </c>
      <c r="T2209">
        <v>-0.18958120000000001</v>
      </c>
      <c r="U2209">
        <v>-2.4902339999999999E-2</v>
      </c>
      <c r="V2209">
        <v>1.6471079999999999E-2</v>
      </c>
      <c r="W2209">
        <v>0.20420459999999999</v>
      </c>
      <c r="X2209">
        <v>0.97878960000000004</v>
      </c>
      <c r="Y2209">
        <v>6.7814520000000003E-2</v>
      </c>
      <c r="Z2209">
        <v>6.7217789999999998E-3</v>
      </c>
      <c r="AA2209">
        <v>0.99767530000000004</v>
      </c>
      <c r="AB2209">
        <v>21</v>
      </c>
      <c r="AC2209">
        <v>-18.014600000000002</v>
      </c>
      <c r="AD2209">
        <v>-1.1090791829786</v>
      </c>
      <c r="AE2209">
        <v>-0.138800000000003</v>
      </c>
      <c r="AF2209">
        <v>1.22787030643593</v>
      </c>
      <c r="AG2209">
        <v>-1.1090791829786</v>
      </c>
      <c r="AH2209">
        <v>17.905061172514401</v>
      </c>
      <c r="AI2209">
        <v>93.536214914577201</v>
      </c>
      <c r="AJ2209">
        <v>86.076985543606</v>
      </c>
      <c r="AK2209">
        <v>17.981349718945602</v>
      </c>
      <c r="AL2209">
        <v>78.2170583210968</v>
      </c>
      <c r="AM2209">
        <v>89.035917115006896</v>
      </c>
      <c r="AN2209">
        <v>0.99999994810284099</v>
      </c>
    </row>
    <row r="2210" spans="1:40" x14ac:dyDescent="0.25">
      <c r="A2210" t="str">
        <f>"20190312172126909"</f>
        <v>20190312172126909</v>
      </c>
      <c r="B2210" t="str">
        <f>"1552382486902888"</f>
        <v>1552382486902888</v>
      </c>
      <c r="C2210" t="s">
        <v>40</v>
      </c>
      <c r="D2210">
        <v>3.494291</v>
      </c>
      <c r="E2210">
        <v>0.51840010000000003</v>
      </c>
      <c r="F2210" t="s">
        <v>46</v>
      </c>
      <c r="G2210">
        <v>-242.8836</v>
      </c>
      <c r="H2210" s="1">
        <v>-2.2814669999999999E-9</v>
      </c>
      <c r="I2210">
        <v>281.52069999999998</v>
      </c>
      <c r="J2210">
        <v>-224.65170000000001</v>
      </c>
      <c r="K2210">
        <v>1.109097</v>
      </c>
      <c r="L2210">
        <v>281.63139999999999</v>
      </c>
      <c r="M2210">
        <v>-0.99713989999999997</v>
      </c>
      <c r="N2210">
        <v>0</v>
      </c>
      <c r="O2210">
        <v>-7.4578140000000001E-2</v>
      </c>
      <c r="P2210">
        <v>-0.97954920000000001</v>
      </c>
      <c r="Q2210">
        <v>0.192774</v>
      </c>
      <c r="R2210">
        <v>-5.7633799999999999E-2</v>
      </c>
      <c r="S2210">
        <v>-3.0980989999999999</v>
      </c>
      <c r="T2210">
        <v>-0.1872066</v>
      </c>
      <c r="U2210">
        <v>-1.9958500000000001E-2</v>
      </c>
      <c r="V2210">
        <v>1.6348370000000001E-2</v>
      </c>
      <c r="W2210">
        <v>0.20472370000000001</v>
      </c>
      <c r="X2210">
        <v>0.97868330000000003</v>
      </c>
      <c r="Y2210">
        <v>6.7898440000000004E-2</v>
      </c>
      <c r="Z2210">
        <v>6.5487879999999998E-3</v>
      </c>
      <c r="AA2210">
        <v>0.99767079999999997</v>
      </c>
      <c r="AB2210">
        <v>21</v>
      </c>
      <c r="AC2210">
        <v>-18.2319</v>
      </c>
      <c r="AD2210">
        <v>-1.1090970022814599</v>
      </c>
      <c r="AE2210">
        <v>-0.110700000000008</v>
      </c>
      <c r="AF2210">
        <v>1.24480519988868</v>
      </c>
      <c r="AG2210">
        <v>-1.1090970022814599</v>
      </c>
      <c r="AH2210">
        <v>18.1223146590069</v>
      </c>
      <c r="AI2210">
        <v>93.493957045528902</v>
      </c>
      <c r="AJ2210">
        <v>86.070577533881305</v>
      </c>
      <c r="AK2210">
        <v>18.198844049724599</v>
      </c>
      <c r="AL2210">
        <v>78.186675193164504</v>
      </c>
      <c r="AM2210">
        <v>89.042994303691103</v>
      </c>
      <c r="AN2210">
        <v>1.00000003212111</v>
      </c>
    </row>
    <row r="2211" spans="1:40" x14ac:dyDescent="0.25">
      <c r="A2211" t="str">
        <f>"20190312172126932"</f>
        <v>20190312172126932</v>
      </c>
      <c r="B2211" t="str">
        <f>"1552382486923384"</f>
        <v>1552382486923384</v>
      </c>
      <c r="C2211" t="s">
        <v>40</v>
      </c>
      <c r="D2211">
        <v>3.469633</v>
      </c>
      <c r="E2211">
        <v>0.51845649999999999</v>
      </c>
      <c r="F2211" t="s">
        <v>46</v>
      </c>
      <c r="G2211">
        <v>-243.1968</v>
      </c>
      <c r="H2211" s="1">
        <v>1.6436519999999999E-7</v>
      </c>
      <c r="I2211">
        <v>281.541</v>
      </c>
      <c r="J2211">
        <v>-224.86340000000001</v>
      </c>
      <c r="K2211">
        <v>1.109129</v>
      </c>
      <c r="L2211">
        <v>281.61860000000001</v>
      </c>
      <c r="M2211">
        <v>-0.99733090000000002</v>
      </c>
      <c r="N2211">
        <v>0</v>
      </c>
      <c r="O2211">
        <v>-7.1980349999999999E-2</v>
      </c>
      <c r="P2211">
        <v>-0.97943150000000001</v>
      </c>
      <c r="Q2211">
        <v>0.1940849</v>
      </c>
      <c r="R2211">
        <v>-5.5183250000000003E-2</v>
      </c>
      <c r="S2211">
        <v>-3.0982059999999998</v>
      </c>
      <c r="T2211">
        <v>-0.18529019999999999</v>
      </c>
      <c r="U2211">
        <v>-1.51062E-2</v>
      </c>
      <c r="V2211">
        <v>1.621767E-2</v>
      </c>
      <c r="W2211">
        <v>0.2060294</v>
      </c>
      <c r="X2211">
        <v>0.97841140000000004</v>
      </c>
      <c r="Y2211">
        <v>6.6873899999999903E-2</v>
      </c>
      <c r="Z2211">
        <v>6.2962249999999999E-3</v>
      </c>
      <c r="AA2211">
        <v>0.99774160000000001</v>
      </c>
      <c r="AB2211">
        <v>21</v>
      </c>
      <c r="AC2211">
        <v>-18.333399999999902</v>
      </c>
      <c r="AD2211">
        <v>-1.1091288356347999</v>
      </c>
      <c r="AE2211">
        <v>-7.7600000000018099E-2</v>
      </c>
      <c r="AF2211">
        <v>1.23781450389431</v>
      </c>
      <c r="AG2211">
        <v>-1.1091288356347999</v>
      </c>
      <c r="AH2211">
        <v>18.2247222285074</v>
      </c>
      <c r="AI2211">
        <v>93.474653003307793</v>
      </c>
      <c r="AJ2211">
        <v>86.114465192109407</v>
      </c>
      <c r="AK2211">
        <v>18.300351139427299</v>
      </c>
      <c r="AL2211">
        <v>78.110234185540904</v>
      </c>
      <c r="AM2211">
        <v>89.050380075599193</v>
      </c>
      <c r="AN2211">
        <v>0.99999999706727405</v>
      </c>
    </row>
    <row r="2212" spans="1:40" x14ac:dyDescent="0.25">
      <c r="A2212" t="str">
        <f>"20190312172126953"</f>
        <v>20190312172126953</v>
      </c>
      <c r="B2212" t="str">
        <f>"1552382486942904"</f>
        <v>1552382486942904</v>
      </c>
      <c r="C2212" t="s">
        <v>40</v>
      </c>
      <c r="D2212">
        <v>3.4622989999999998</v>
      </c>
      <c r="E2212">
        <v>0.51846429999999999</v>
      </c>
      <c r="F2212" t="s">
        <v>46</v>
      </c>
      <c r="G2212">
        <v>-243.89150000000001</v>
      </c>
      <c r="H2212" s="1">
        <v>5.340723E-7</v>
      </c>
      <c r="I2212">
        <v>281.57589999999999</v>
      </c>
      <c r="J2212">
        <v>-225.07239999999999</v>
      </c>
      <c r="K2212">
        <v>1.109167</v>
      </c>
      <c r="L2212">
        <v>281.60660000000001</v>
      </c>
      <c r="M2212">
        <v>-0.99751049999999997</v>
      </c>
      <c r="N2212">
        <v>0</v>
      </c>
      <c r="O2212">
        <v>-6.9446670000000002E-2</v>
      </c>
      <c r="P2212">
        <v>-0.97930810000000001</v>
      </c>
      <c r="Q2212">
        <v>0.1953056</v>
      </c>
      <c r="R2212">
        <v>-5.3023670000000002E-2</v>
      </c>
      <c r="S2212">
        <v>-3.0983890000000001</v>
      </c>
      <c r="T2212">
        <v>-0.18060200000000001</v>
      </c>
      <c r="U2212">
        <v>-6.9580079999999999E-3</v>
      </c>
      <c r="V2212">
        <v>1.5862230000000001E-2</v>
      </c>
      <c r="W2212">
        <v>0.2072466</v>
      </c>
      <c r="X2212">
        <v>0.97816009999999998</v>
      </c>
      <c r="Y2212">
        <v>6.6980029999999996E-2</v>
      </c>
      <c r="Z2212">
        <v>5.9927590000000003E-3</v>
      </c>
      <c r="AA2212">
        <v>0.99773630000000002</v>
      </c>
      <c r="AB2212">
        <v>21</v>
      </c>
      <c r="AC2212">
        <v>-18.819099999999999</v>
      </c>
      <c r="AD2212">
        <v>-1.1091664659276901</v>
      </c>
      <c r="AE2212">
        <v>-3.0700000000024302E-2</v>
      </c>
      <c r="AF2212">
        <v>1.2719774728268001</v>
      </c>
      <c r="AG2212">
        <v>-1.1091664659276901</v>
      </c>
      <c r="AH2212">
        <v>18.710793719547599</v>
      </c>
      <c r="AI2212">
        <v>93.384701172099895</v>
      </c>
      <c r="AJ2212">
        <v>86.1109622394507</v>
      </c>
      <c r="AK2212">
        <v>18.786750079669901</v>
      </c>
      <c r="AL2212">
        <v>78.038955080629094</v>
      </c>
      <c r="AM2212">
        <v>89.070950472205894</v>
      </c>
      <c r="AN2212">
        <v>0.99999997239207095</v>
      </c>
    </row>
    <row r="2213" spans="1:40" x14ac:dyDescent="0.25">
      <c r="A2213" t="str">
        <f>"20190312172126974"</f>
        <v>20190312172126974</v>
      </c>
      <c r="B2213" t="str">
        <f>"1552382486963400"</f>
        <v>1552382486963400</v>
      </c>
      <c r="C2213" t="s">
        <v>40</v>
      </c>
      <c r="D2213">
        <v>3.4723869999999999</v>
      </c>
      <c r="E2213">
        <v>0.51845410000000003</v>
      </c>
      <c r="F2213" t="s">
        <v>46</v>
      </c>
      <c r="G2213">
        <v>-244.55869999999999</v>
      </c>
      <c r="H2213" s="1">
        <v>8.8911759999999999E-7</v>
      </c>
      <c r="I2213">
        <v>281.60430000000002</v>
      </c>
      <c r="J2213">
        <v>-225.2672</v>
      </c>
      <c r="K2213">
        <v>1.1091879999999901</v>
      </c>
      <c r="L2213">
        <v>281.59570000000002</v>
      </c>
      <c r="M2213">
        <v>-0.99767070000000002</v>
      </c>
      <c r="N2213">
        <v>0</v>
      </c>
      <c r="O2213">
        <v>-6.7108760000000003E-2</v>
      </c>
      <c r="P2213">
        <v>-0.97912030000000005</v>
      </c>
      <c r="Q2213">
        <v>0.1967023</v>
      </c>
      <c r="R2213">
        <v>-5.130411E-2</v>
      </c>
      <c r="S2213">
        <v>-3.098541</v>
      </c>
      <c r="T2213">
        <v>-0.1763701</v>
      </c>
      <c r="U2213">
        <v>-3.6621089999999999E-4</v>
      </c>
      <c r="V2213">
        <v>1.526228E-2</v>
      </c>
      <c r="W2213">
        <v>0.2086403</v>
      </c>
      <c r="X2213">
        <v>0.9778734</v>
      </c>
      <c r="Y2213">
        <v>6.6779249999999998E-2</v>
      </c>
      <c r="Z2213">
        <v>5.7139060000000004E-3</v>
      </c>
      <c r="AA2213">
        <v>0.99775139999999995</v>
      </c>
      <c r="AB2213">
        <v>21</v>
      </c>
      <c r="AC2213">
        <v>-19.2914999999999</v>
      </c>
      <c r="AD2213">
        <v>-1.1091871108824001</v>
      </c>
      <c r="AE2213">
        <v>8.6000000000012698E-3</v>
      </c>
      <c r="AF2213">
        <v>1.29901181226953</v>
      </c>
      <c r="AG2213">
        <v>-1.1091871108824001</v>
      </c>
      <c r="AH2213">
        <v>19.184008189997499</v>
      </c>
      <c r="AI2213">
        <v>93.301518168893693</v>
      </c>
      <c r="AJ2213">
        <v>86.126229055239904</v>
      </c>
      <c r="AK2213">
        <v>19.259903893043099</v>
      </c>
      <c r="AL2213">
        <v>77.957318351537097</v>
      </c>
      <c r="AM2213">
        <v>89.105821638838606</v>
      </c>
      <c r="AN2213">
        <v>1.00000004920122</v>
      </c>
    </row>
    <row r="2214" spans="1:40" x14ac:dyDescent="0.25">
      <c r="A2214" t="str">
        <f>"20190312172126988"</f>
        <v>20190312172126988</v>
      </c>
      <c r="B2214" t="str">
        <f>"1552382486982920"</f>
        <v>1552382486982920</v>
      </c>
      <c r="C2214" t="s">
        <v>40</v>
      </c>
      <c r="D2214">
        <v>3.4838809999999998</v>
      </c>
      <c r="E2214">
        <v>0.5184436</v>
      </c>
      <c r="F2214" t="s">
        <v>46</v>
      </c>
      <c r="G2214">
        <v>-245.2696</v>
      </c>
      <c r="H2214" s="1">
        <v>1.2674430000000001E-6</v>
      </c>
      <c r="I2214">
        <v>281.62470000000002</v>
      </c>
      <c r="J2214">
        <v>-225.39869999999999</v>
      </c>
      <c r="K2214">
        <v>1.1091979999999999</v>
      </c>
      <c r="L2214">
        <v>281.58870000000002</v>
      </c>
      <c r="M2214">
        <v>-0.99777490000000002</v>
      </c>
      <c r="N2214">
        <v>0</v>
      </c>
      <c r="O2214">
        <v>-6.5540329999999994E-2</v>
      </c>
      <c r="P2214">
        <v>-0.97903989999999996</v>
      </c>
      <c r="Q2214">
        <v>0.19741549999999999</v>
      </c>
      <c r="R2214">
        <v>-5.0081929999999997E-2</v>
      </c>
      <c r="S2214">
        <v>-3.0987399999999998</v>
      </c>
      <c r="T2214">
        <v>-0.17183329999999999</v>
      </c>
      <c r="U2214">
        <v>4.4860840000000004E-3</v>
      </c>
      <c r="V2214">
        <v>1.4934019999999999E-2</v>
      </c>
      <c r="W2214">
        <v>0.20935090000000001</v>
      </c>
      <c r="X2214">
        <v>0.97772650000000005</v>
      </c>
      <c r="Y2214">
        <v>6.6786579999999998E-2</v>
      </c>
      <c r="Z2214">
        <v>5.4802770000000004E-3</v>
      </c>
      <c r="AA2214">
        <v>0.99775219999999998</v>
      </c>
      <c r="AB2214">
        <v>21</v>
      </c>
      <c r="AC2214">
        <v>-19.870899999999999</v>
      </c>
      <c r="AD2214">
        <v>-1.10919673255699</v>
      </c>
      <c r="AE2214">
        <v>3.6000000000001302E-2</v>
      </c>
      <c r="AF2214">
        <v>1.33420819756696</v>
      </c>
      <c r="AG2214">
        <v>-1.10919673255699</v>
      </c>
      <c r="AH2214">
        <v>19.764227014512599</v>
      </c>
      <c r="AI2214">
        <v>93.204872815269795</v>
      </c>
      <c r="AJ2214">
        <v>86.138037998545897</v>
      </c>
      <c r="AK2214">
        <v>19.8402393732324</v>
      </c>
      <c r="AL2214">
        <v>77.915683541170907</v>
      </c>
      <c r="AM2214">
        <v>89.124919101269199</v>
      </c>
      <c r="AN2214">
        <v>0.999999966543209</v>
      </c>
    </row>
    <row r="2215" spans="1:40" x14ac:dyDescent="0.25">
      <c r="A2215" t="str">
        <f>"20190312172127008"</f>
        <v>20190312172127008</v>
      </c>
      <c r="B2215" t="str">
        <f>"1552382487003417"</f>
        <v>1552382487003417</v>
      </c>
      <c r="C2215" t="s">
        <v>40</v>
      </c>
      <c r="D2215">
        <v>3.472261</v>
      </c>
      <c r="E2215">
        <v>0.51841409999999999</v>
      </c>
      <c r="F2215" t="s">
        <v>46</v>
      </c>
      <c r="G2215">
        <v>-245.67140000000001</v>
      </c>
      <c r="H2215" s="1">
        <v>1.4812300000000001E-6</v>
      </c>
      <c r="I2215">
        <v>281.64179999999999</v>
      </c>
      <c r="J2215">
        <v>-225.58969999999999</v>
      </c>
      <c r="K2215">
        <v>1.109213</v>
      </c>
      <c r="L2215">
        <v>281.5788</v>
      </c>
      <c r="M2215">
        <v>-0.99792130000000001</v>
      </c>
      <c r="N2215">
        <v>0</v>
      </c>
      <c r="O2215">
        <v>-6.3273330000000003E-2</v>
      </c>
      <c r="P2215">
        <v>-0.97892170000000001</v>
      </c>
      <c r="Q2215">
        <v>0.19842280000000001</v>
      </c>
      <c r="R2215">
        <v>-4.8382109999999999E-2</v>
      </c>
      <c r="S2215">
        <v>-3.0988009999999999</v>
      </c>
      <c r="T2215">
        <v>-0.16954759999999999</v>
      </c>
      <c r="U2215">
        <v>8.1176759999999903E-3</v>
      </c>
      <c r="V2215">
        <v>1.4396519999999999E-2</v>
      </c>
      <c r="W2215">
        <v>0.21035609999999999</v>
      </c>
      <c r="X2215">
        <v>0.97751889999999997</v>
      </c>
      <c r="Y2215">
        <v>6.5699399999999894E-2</v>
      </c>
      <c r="Z2215">
        <v>5.2539240000000001E-3</v>
      </c>
      <c r="AA2215">
        <v>0.99782559999999998</v>
      </c>
      <c r="AB2215">
        <v>21</v>
      </c>
      <c r="AC2215">
        <v>-20.081700000000001</v>
      </c>
      <c r="AD2215">
        <v>-1.10921151877</v>
      </c>
      <c r="AE2215">
        <v>6.2999999999988093E-2</v>
      </c>
      <c r="AF2215">
        <v>1.32954852880695</v>
      </c>
      <c r="AG2215">
        <v>-1.10921151877</v>
      </c>
      <c r="AH2215">
        <v>19.9765227076721</v>
      </c>
      <c r="AI2215">
        <v>93.171126611506907</v>
      </c>
      <c r="AJ2215">
        <v>86.192263349841994</v>
      </c>
      <c r="AK2215">
        <v>20.051421619774601</v>
      </c>
      <c r="AL2215">
        <v>77.856779490847501</v>
      </c>
      <c r="AM2215">
        <v>89.156230937980197</v>
      </c>
      <c r="AN2215">
        <v>1.00000007422626</v>
      </c>
    </row>
    <row r="2216" spans="1:40" x14ac:dyDescent="0.25">
      <c r="A2216" t="str">
        <f>"20190312172127020"</f>
        <v>20190312172127020</v>
      </c>
      <c r="B2216" t="str">
        <f>"1552382487013177"</f>
        <v>1552382487013177</v>
      </c>
      <c r="C2216" t="s">
        <v>40</v>
      </c>
      <c r="D2216">
        <v>3.4802080000000002</v>
      </c>
      <c r="E2216">
        <v>0.51839670000000004</v>
      </c>
      <c r="F2216" t="s">
        <v>46</v>
      </c>
      <c r="G2216">
        <v>-246.22970000000001</v>
      </c>
      <c r="H2216" s="1">
        <v>1.778348E-6</v>
      </c>
      <c r="I2216">
        <v>281.66309999999999</v>
      </c>
      <c r="J2216">
        <v>-225.71080000000001</v>
      </c>
      <c r="K2216">
        <v>1.1092150000000001</v>
      </c>
      <c r="L2216">
        <v>281.5727</v>
      </c>
      <c r="M2216">
        <v>-0.99801119999999999</v>
      </c>
      <c r="N2216">
        <v>0</v>
      </c>
      <c r="O2216">
        <v>-6.1839169999999999E-2</v>
      </c>
      <c r="P2216">
        <v>-0.97889280000000001</v>
      </c>
      <c r="Q2216">
        <v>0.1988423</v>
      </c>
      <c r="R2216">
        <v>-4.7234560000000002E-2</v>
      </c>
      <c r="S2216">
        <v>-3.0989840000000002</v>
      </c>
      <c r="T2216">
        <v>-0.16654169999999999</v>
      </c>
      <c r="U2216">
        <v>1.266479E-2</v>
      </c>
      <c r="V2216">
        <v>1.4133039999999999E-2</v>
      </c>
      <c r="W2216">
        <v>0.21077419999999999</v>
      </c>
      <c r="X2216">
        <v>0.97743259999999998</v>
      </c>
      <c r="Y2216">
        <v>6.5738160000000004E-2</v>
      </c>
      <c r="Z2216">
        <v>5.084763E-3</v>
      </c>
      <c r="AA2216">
        <v>0.99782400000000004</v>
      </c>
      <c r="AB2216">
        <v>21</v>
      </c>
      <c r="AC2216">
        <v>-20.518899999999999</v>
      </c>
      <c r="AD2216">
        <v>-1.1092132216519901</v>
      </c>
      <c r="AE2216">
        <v>9.0399999999988198E-2</v>
      </c>
      <c r="AF2216">
        <v>1.3552333080351899</v>
      </c>
      <c r="AG2216">
        <v>-1.1092132216519901</v>
      </c>
      <c r="AH2216">
        <v>20.414377491004</v>
      </c>
      <c r="AI2216">
        <v>93.103285020566602</v>
      </c>
      <c r="AJ2216">
        <v>86.201922906305995</v>
      </c>
      <c r="AK2216">
        <v>20.489358692636198</v>
      </c>
      <c r="AL2216">
        <v>77.832273770401798</v>
      </c>
      <c r="AM2216">
        <v>89.171598003186702</v>
      </c>
      <c r="AN2216">
        <v>0.99999999687401997</v>
      </c>
    </row>
    <row r="2217" spans="1:40" x14ac:dyDescent="0.25">
      <c r="A2217" t="str">
        <f>"20190312172127032"</f>
        <v>20190312172127032</v>
      </c>
      <c r="B2217" t="str">
        <f>"1552382487022936"</f>
        <v>1552382487022936</v>
      </c>
      <c r="C2217" t="s">
        <v>40</v>
      </c>
      <c r="D2217">
        <v>3.4597370000000001</v>
      </c>
      <c r="E2217">
        <v>0.51836179999999998</v>
      </c>
      <c r="F2217" t="s">
        <v>46</v>
      </c>
      <c r="G2217">
        <v>-246.51079999999999</v>
      </c>
      <c r="H2217" s="1">
        <v>1.9279530000000002E-6</v>
      </c>
      <c r="I2217">
        <v>281.68020000000001</v>
      </c>
      <c r="J2217">
        <v>-225.82560000000001</v>
      </c>
      <c r="K2217">
        <v>1.109213</v>
      </c>
      <c r="L2217">
        <v>281.56720000000001</v>
      </c>
      <c r="M2217">
        <v>-0.99809440000000005</v>
      </c>
      <c r="N2217">
        <v>0</v>
      </c>
      <c r="O2217">
        <v>-6.0481050000000001E-2</v>
      </c>
      <c r="P2217">
        <v>-0.97882009999999997</v>
      </c>
      <c r="Q2217">
        <v>0.19942850000000001</v>
      </c>
      <c r="R2217">
        <v>-4.62592E-2</v>
      </c>
      <c r="S2217">
        <v>-3.0990449999999998</v>
      </c>
      <c r="T2217">
        <v>-0.16526379999999999</v>
      </c>
      <c r="U2217">
        <v>1.6021730000000001E-2</v>
      </c>
      <c r="V2217">
        <v>1.3771790000000001E-2</v>
      </c>
      <c r="W2217">
        <v>0.21135960000000001</v>
      </c>
      <c r="X2217">
        <v>0.97731129999999999</v>
      </c>
      <c r="Y2217">
        <v>6.5466220000000006E-2</v>
      </c>
      <c r="Z2217">
        <v>4.966191E-3</v>
      </c>
      <c r="AA2217">
        <v>0.99784240000000002</v>
      </c>
      <c r="AB2217">
        <v>21</v>
      </c>
      <c r="AC2217">
        <v>-20.685199999999899</v>
      </c>
      <c r="AD2217">
        <v>-1.1092110720469901</v>
      </c>
      <c r="AE2217">
        <v>0.112999999999999</v>
      </c>
      <c r="AF2217">
        <v>1.3600386829275799</v>
      </c>
      <c r="AG2217">
        <v>-1.1092110720469901</v>
      </c>
      <c r="AH2217">
        <v>20.581312811749999</v>
      </c>
      <c r="AI2217">
        <v>93.078218668429301</v>
      </c>
      <c r="AJ2217">
        <v>86.219320486829901</v>
      </c>
      <c r="AK2217">
        <v>20.6560037634707</v>
      </c>
      <c r="AL2217">
        <v>77.797959323761006</v>
      </c>
      <c r="AM2217">
        <v>89.192669499305495</v>
      </c>
      <c r="AN2217">
        <v>0.99999995990982604</v>
      </c>
    </row>
    <row r="2218" spans="1:40" x14ac:dyDescent="0.25">
      <c r="A2218" t="str">
        <f>"20190312172127045"</f>
        <v>20190312172127045</v>
      </c>
      <c r="B2218" t="str">
        <f>"1552382487032696"</f>
        <v>1552382487032696</v>
      </c>
      <c r="C2218" t="s">
        <v>40</v>
      </c>
      <c r="D2218">
        <v>3.4684309999999998</v>
      </c>
      <c r="E2218">
        <v>0.51834389999999997</v>
      </c>
      <c r="F2218" t="s">
        <v>46</v>
      </c>
      <c r="G2218">
        <v>-246.8647</v>
      </c>
      <c r="H2218" s="1">
        <v>2.1162580000000001E-6</v>
      </c>
      <c r="I2218">
        <v>281.69330000000002</v>
      </c>
      <c r="J2218">
        <v>-225.93520000000001</v>
      </c>
      <c r="K2218">
        <v>1.1092150000000001</v>
      </c>
      <c r="L2218">
        <v>281.56200000000001</v>
      </c>
      <c r="M2218">
        <v>-0.99817210000000001</v>
      </c>
      <c r="N2218">
        <v>0</v>
      </c>
      <c r="O2218">
        <v>-5.9183230000000003E-2</v>
      </c>
      <c r="P2218">
        <v>-0.97885509999999998</v>
      </c>
      <c r="Q2218">
        <v>0.19947290000000001</v>
      </c>
      <c r="R2218">
        <v>-4.5314930000000003E-2</v>
      </c>
      <c r="S2218">
        <v>-3.099091</v>
      </c>
      <c r="T2218">
        <v>-0.16338829999999999</v>
      </c>
      <c r="U2218">
        <v>1.8585210000000001E-2</v>
      </c>
      <c r="V2218">
        <v>1.344366E-2</v>
      </c>
      <c r="W2218">
        <v>0.21140390000000001</v>
      </c>
      <c r="X2218">
        <v>0.97730629999999996</v>
      </c>
      <c r="Y2218">
        <v>6.5000559999999999E-2</v>
      </c>
      <c r="Z2218">
        <v>4.829285E-3</v>
      </c>
      <c r="AA2218">
        <v>0.99787349999999997</v>
      </c>
      <c r="AB2218">
        <v>21</v>
      </c>
      <c r="AC2218">
        <v>-20.929499999999901</v>
      </c>
      <c r="AD2218">
        <v>-1.1092128837420001</v>
      </c>
      <c r="AE2218">
        <v>0.13130000000000999</v>
      </c>
      <c r="AF2218">
        <v>1.36600141968679</v>
      </c>
      <c r="AG2218">
        <v>-1.1092128837420001</v>
      </c>
      <c r="AH2218">
        <v>20.826542482240502</v>
      </c>
      <c r="AI2218">
        <v>93.042144394339701</v>
      </c>
      <c r="AJ2218">
        <v>86.247376536213196</v>
      </c>
      <c r="AK2218">
        <v>20.900746036077599</v>
      </c>
      <c r="AL2218">
        <v>77.7953625960604</v>
      </c>
      <c r="AM2218">
        <v>89.211898663903696</v>
      </c>
      <c r="AN2218">
        <v>0.99999997247454697</v>
      </c>
    </row>
    <row r="2219" spans="1:40" x14ac:dyDescent="0.25">
      <c r="A2219" t="str">
        <f>"20190312172127063"</f>
        <v>20190312172127063</v>
      </c>
      <c r="B2219" t="str">
        <f>"1552382487053195"</f>
        <v>1552382487053195</v>
      </c>
      <c r="C2219" t="s">
        <v>40</v>
      </c>
      <c r="D2219">
        <v>3.4671979999999998</v>
      </c>
      <c r="E2219">
        <v>0.51829020000000003</v>
      </c>
      <c r="F2219" t="s">
        <v>46</v>
      </c>
      <c r="G2219">
        <v>-246.9547</v>
      </c>
      <c r="H2219" s="1">
        <v>2.1641569999999998E-6</v>
      </c>
      <c r="I2219">
        <v>281.70420000000001</v>
      </c>
      <c r="J2219">
        <v>-226.1183</v>
      </c>
      <c r="K2219">
        <v>1.1091979999999999</v>
      </c>
      <c r="L2219">
        <v>281.55369999999999</v>
      </c>
      <c r="M2219">
        <v>-0.99829860000000004</v>
      </c>
      <c r="N2219">
        <v>0</v>
      </c>
      <c r="O2219">
        <v>-5.7013519999999998E-2</v>
      </c>
      <c r="P2219">
        <v>-0.97887769999999996</v>
      </c>
      <c r="Q2219">
        <v>0.19960159999999999</v>
      </c>
      <c r="R2219">
        <v>-4.4251829999999999E-2</v>
      </c>
      <c r="S2219">
        <v>-3.0991059999999999</v>
      </c>
      <c r="T2219">
        <v>-0.16354199999999999</v>
      </c>
      <c r="U2219">
        <v>2.0965580000000001E-2</v>
      </c>
      <c r="V2219">
        <v>1.237924E-2</v>
      </c>
      <c r="W2219">
        <v>0.21153440000000001</v>
      </c>
      <c r="X2219">
        <v>0.97729219999999895</v>
      </c>
      <c r="Y2219">
        <v>6.3602580000000006E-2</v>
      </c>
      <c r="Z2219">
        <v>4.6826530000000002E-3</v>
      </c>
      <c r="AA2219">
        <v>0.99796430000000003</v>
      </c>
      <c r="AB2219">
        <v>21</v>
      </c>
      <c r="AC2219">
        <v>-20.836400000000001</v>
      </c>
      <c r="AD2219">
        <v>-1.1091958358430001</v>
      </c>
      <c r="AE2219">
        <v>0.15050000000002201</v>
      </c>
      <c r="AF2219">
        <v>1.33451881933546</v>
      </c>
      <c r="AG2219">
        <v>-1.1091958358430001</v>
      </c>
      <c r="AH2219">
        <v>20.735164900552299</v>
      </c>
      <c r="AI2219">
        <v>93.055721137594503</v>
      </c>
      <c r="AJ2219">
        <v>86.317512633526206</v>
      </c>
      <c r="AK2219">
        <v>20.8076505001047</v>
      </c>
      <c r="AL2219">
        <v>77.787713399565902</v>
      </c>
      <c r="AM2219">
        <v>89.274280225788502</v>
      </c>
      <c r="AN2219">
        <v>1.0000000460735801</v>
      </c>
    </row>
    <row r="2220" spans="1:40" x14ac:dyDescent="0.25">
      <c r="A2220" t="str">
        <f>"20190312172127075"</f>
        <v>20190312172127075</v>
      </c>
      <c r="B2220" t="str">
        <f>"1552382487062953"</f>
        <v>1552382487062953</v>
      </c>
      <c r="C2220" t="s">
        <v>40</v>
      </c>
      <c r="D2220">
        <v>3.469042</v>
      </c>
      <c r="E2220">
        <v>0.51827290000000004</v>
      </c>
      <c r="F2220" t="s">
        <v>46</v>
      </c>
      <c r="G2220">
        <v>-247.17330000000001</v>
      </c>
      <c r="H2220" s="1">
        <v>2.280475E-6</v>
      </c>
      <c r="I2220">
        <v>281.71640000000002</v>
      </c>
      <c r="J2220">
        <v>-226.22620000000001</v>
      </c>
      <c r="K2220">
        <v>1.1091930000000001</v>
      </c>
      <c r="L2220">
        <v>281.54899999999998</v>
      </c>
      <c r="M2220">
        <v>-0.9983708</v>
      </c>
      <c r="N2220">
        <v>0</v>
      </c>
      <c r="O2220">
        <v>-5.5732160000000003E-2</v>
      </c>
      <c r="P2220">
        <v>-0.97894510000000001</v>
      </c>
      <c r="Q2220">
        <v>0.19940930000000001</v>
      </c>
      <c r="R2220">
        <v>-4.3617309999999999E-2</v>
      </c>
      <c r="S2220">
        <v>-3.0991059999999999</v>
      </c>
      <c r="T2220">
        <v>-0.16326399999999999</v>
      </c>
      <c r="U2220">
        <v>2.39563E-2</v>
      </c>
      <c r="V2220">
        <v>1.175943E-2</v>
      </c>
      <c r="W2220">
        <v>0.21134420000000001</v>
      </c>
      <c r="X2220">
        <v>0.97734089999999996</v>
      </c>
      <c r="Y2220">
        <v>6.3287499999999997E-2</v>
      </c>
      <c r="Z2220">
        <v>4.5990299999999996E-3</v>
      </c>
      <c r="AA2220">
        <v>0.99798480000000001</v>
      </c>
      <c r="AB2220">
        <v>21</v>
      </c>
      <c r="AC2220">
        <v>-20.947099999999999</v>
      </c>
      <c r="AD2220">
        <v>-1.1091907195249999</v>
      </c>
      <c r="AE2220">
        <v>0.167399999999986</v>
      </c>
      <c r="AF2220">
        <v>1.3309227304540301</v>
      </c>
      <c r="AG2220">
        <v>-1.1091907195249999</v>
      </c>
      <c r="AH2220">
        <v>20.846759161535399</v>
      </c>
      <c r="AI2220">
        <v>93.039480525631902</v>
      </c>
      <c r="AJ2220">
        <v>86.347014811124893</v>
      </c>
      <c r="AK2220">
        <v>20.918628705194301</v>
      </c>
      <c r="AL2220">
        <v>77.7988618863928</v>
      </c>
      <c r="AM2220">
        <v>89.310646676630498</v>
      </c>
      <c r="AN2220">
        <v>0.99999994494018596</v>
      </c>
    </row>
    <row r="2221" spans="1:40" x14ac:dyDescent="0.25">
      <c r="A2221" t="str">
        <f>"20190312172127087"</f>
        <v>20190312172127087</v>
      </c>
      <c r="B2221" t="str">
        <f>"1552382487083448"</f>
        <v>1552382487083448</v>
      </c>
      <c r="C2221" t="s">
        <v>40</v>
      </c>
      <c r="D2221">
        <v>3.4384350000000001</v>
      </c>
      <c r="E2221">
        <v>0.51818960000000003</v>
      </c>
      <c r="F2221" t="s">
        <v>46</v>
      </c>
      <c r="G2221">
        <v>-247.1816</v>
      </c>
      <c r="H2221" s="1">
        <v>2.284902E-6</v>
      </c>
      <c r="I2221">
        <v>281.72379999999998</v>
      </c>
      <c r="J2221">
        <v>-226.33539999999999</v>
      </c>
      <c r="K2221">
        <v>1.1091869999999999</v>
      </c>
      <c r="L2221">
        <v>281.54430000000002</v>
      </c>
      <c r="M2221">
        <v>-0.99844270000000002</v>
      </c>
      <c r="N2221">
        <v>0</v>
      </c>
      <c r="O2221">
        <v>-5.443183E-2</v>
      </c>
      <c r="P2221">
        <v>-0.9790219</v>
      </c>
      <c r="Q2221">
        <v>0.19922019999999999</v>
      </c>
      <c r="R2221">
        <v>-4.2754790000000001E-2</v>
      </c>
      <c r="S2221">
        <v>-3.0991059999999999</v>
      </c>
      <c r="T2221">
        <v>-0.16403899999999999</v>
      </c>
      <c r="U2221">
        <v>2.5848389999999999E-2</v>
      </c>
      <c r="V2221">
        <v>1.134919E-2</v>
      </c>
      <c r="W2221">
        <v>0.21115500000000001</v>
      </c>
      <c r="X2221">
        <v>0.97738670000000005</v>
      </c>
      <c r="Y2221">
        <v>6.259816E-2</v>
      </c>
      <c r="Z2221">
        <v>4.5338870000000003E-3</v>
      </c>
      <c r="AA2221">
        <v>0.99802849999999999</v>
      </c>
      <c r="AB2221">
        <v>21</v>
      </c>
      <c r="AC2221">
        <v>-20.8462</v>
      </c>
      <c r="AD2221">
        <v>-1.1091847150980001</v>
      </c>
      <c r="AE2221">
        <v>0.179499999999961</v>
      </c>
      <c r="AF2221">
        <v>1.3103060856256801</v>
      </c>
      <c r="AG2221">
        <v>-1.1091847150980001</v>
      </c>
      <c r="AH2221">
        <v>20.7467877106867</v>
      </c>
      <c r="AI2221">
        <v>93.054214821473096</v>
      </c>
      <c r="AJ2221">
        <v>86.386166969118506</v>
      </c>
      <c r="AK2221">
        <v>20.817694230690801</v>
      </c>
      <c r="AL2221">
        <v>77.809953219002296</v>
      </c>
      <c r="AM2221">
        <v>89.334724459953307</v>
      </c>
      <c r="AN2221">
        <v>0.99999999973777298</v>
      </c>
    </row>
    <row r="2222" spans="1:40" x14ac:dyDescent="0.25">
      <c r="A2222" t="str">
        <f>"20190312172127099"</f>
        <v>20190312172127099</v>
      </c>
      <c r="B2222" t="str">
        <f>"1552382487093208"</f>
        <v>1552382487093208</v>
      </c>
      <c r="C2222" t="s">
        <v>40</v>
      </c>
      <c r="D2222">
        <v>3.4636849999999999</v>
      </c>
      <c r="E2222">
        <v>0.51813980000000004</v>
      </c>
      <c r="F2222" t="s">
        <v>46</v>
      </c>
      <c r="G2222">
        <v>-247.18029999999999</v>
      </c>
      <c r="H2222" s="1">
        <v>2.2842230000000001E-6</v>
      </c>
      <c r="I2222">
        <v>281.73200000000003</v>
      </c>
      <c r="J2222">
        <v>-226.4478</v>
      </c>
      <c r="K2222">
        <v>1.1091869999999999</v>
      </c>
      <c r="L2222">
        <v>281.53969999999998</v>
      </c>
      <c r="M2222">
        <v>-0.99851480000000004</v>
      </c>
      <c r="N2222">
        <v>0</v>
      </c>
      <c r="O2222">
        <v>-5.3092050000000002E-2</v>
      </c>
      <c r="P2222">
        <v>-0.97915260000000004</v>
      </c>
      <c r="Q2222">
        <v>0.1987679</v>
      </c>
      <c r="R2222">
        <v>-4.1853920000000003E-2</v>
      </c>
      <c r="S2222">
        <v>-3.0990600000000001</v>
      </c>
      <c r="T2222">
        <v>-0.1649051</v>
      </c>
      <c r="U2222">
        <v>2.7893069999999999E-2</v>
      </c>
      <c r="V2222">
        <v>1.094022E-2</v>
      </c>
      <c r="W2222">
        <v>0.21070150000000001</v>
      </c>
      <c r="X2222">
        <v>0.97748919999999995</v>
      </c>
      <c r="Y2222">
        <v>6.1918639999999997E-2</v>
      </c>
      <c r="Z2222">
        <v>4.4686149999999996E-3</v>
      </c>
      <c r="AA2222">
        <v>0.99807120000000005</v>
      </c>
      <c r="AB2222">
        <v>21</v>
      </c>
      <c r="AC2222">
        <v>-20.732499999999899</v>
      </c>
      <c r="AD2222">
        <v>-1.1091847157770001</v>
      </c>
      <c r="AE2222">
        <v>0.19230000000004499</v>
      </c>
      <c r="AF2222">
        <v>1.2891523877618101</v>
      </c>
      <c r="AG2222">
        <v>-1.1091847157770001</v>
      </c>
      <c r="AH2222">
        <v>20.6339904827393</v>
      </c>
      <c r="AI2222">
        <v>93.071009442967906</v>
      </c>
      <c r="AJ2222">
        <v>86.424971209197395</v>
      </c>
      <c r="AK2222">
        <v>20.7039553673775</v>
      </c>
      <c r="AL2222">
        <v>77.836534575751202</v>
      </c>
      <c r="AM2222">
        <v>89.358762979903204</v>
      </c>
      <c r="AN2222">
        <v>0.999999973316268</v>
      </c>
    </row>
    <row r="2223" spans="1:40" x14ac:dyDescent="0.25">
      <c r="A2223" t="str">
        <f>"20190312172127112"</f>
        <v>20190312172127112</v>
      </c>
      <c r="B2223" t="str">
        <f>"1552382487102968"</f>
        <v>1552382487102968</v>
      </c>
      <c r="C2223" t="s">
        <v>40</v>
      </c>
      <c r="D2223">
        <v>3.433929</v>
      </c>
      <c r="E2223">
        <v>0.51809189999999905</v>
      </c>
      <c r="F2223" t="s">
        <v>46</v>
      </c>
      <c r="G2223">
        <v>-247.0796</v>
      </c>
      <c r="H2223" s="1">
        <v>2.2306190000000002E-6</v>
      </c>
      <c r="I2223">
        <v>281.7423</v>
      </c>
      <c r="J2223">
        <v>-226.57650000000001</v>
      </c>
      <c r="K2223">
        <v>1.1091799999999901</v>
      </c>
      <c r="L2223">
        <v>281.53469999999999</v>
      </c>
      <c r="M2223">
        <v>-0.99859560000000003</v>
      </c>
      <c r="N2223">
        <v>0</v>
      </c>
      <c r="O2223">
        <v>-5.1552109999999998E-2</v>
      </c>
      <c r="P2223">
        <v>-0.97918910000000003</v>
      </c>
      <c r="Q2223">
        <v>0.19881889999999999</v>
      </c>
      <c r="R2223">
        <v>-4.0743179999999997E-2</v>
      </c>
      <c r="S2223">
        <v>-3.0989840000000002</v>
      </c>
      <c r="T2223">
        <v>-0.1666039</v>
      </c>
      <c r="U2223">
        <v>3.042603E-2</v>
      </c>
      <c r="V2223">
        <v>1.054103E-2</v>
      </c>
      <c r="W2223">
        <v>0.2107472</v>
      </c>
      <c r="X2223">
        <v>0.97748369999999996</v>
      </c>
      <c r="Y2223">
        <v>6.1195220000000002E-2</v>
      </c>
      <c r="Z2223">
        <v>4.4126039999999997E-3</v>
      </c>
      <c r="AA2223">
        <v>0.99811609999999995</v>
      </c>
      <c r="AB2223">
        <v>21</v>
      </c>
      <c r="AC2223">
        <v>-20.5030999999999</v>
      </c>
      <c r="AD2223">
        <v>-1.1091777693810001</v>
      </c>
      <c r="AE2223">
        <v>0.207600000000013</v>
      </c>
      <c r="AF2223">
        <v>1.26069168315844</v>
      </c>
      <c r="AG2223">
        <v>-1.1091777693810001</v>
      </c>
      <c r="AH2223">
        <v>20.405417704033599</v>
      </c>
      <c r="AI2223">
        <v>93.105456514050303</v>
      </c>
      <c r="AJ2223">
        <v>86.464634093356906</v>
      </c>
      <c r="AK2223">
        <v>20.4743910903392</v>
      </c>
      <c r="AL2223">
        <v>77.833855597502406</v>
      </c>
      <c r="AM2223">
        <v>89.382155302708796</v>
      </c>
      <c r="AN2223">
        <v>0.99999993969349299</v>
      </c>
    </row>
    <row r="2224" spans="1:40" x14ac:dyDescent="0.25">
      <c r="A2224" t="str">
        <f>"20190312172127133"</f>
        <v>20190312172127133</v>
      </c>
      <c r="B2224" t="str">
        <f>"1552382487123464"</f>
        <v>1552382487123464</v>
      </c>
      <c r="C2224" t="s">
        <v>40</v>
      </c>
      <c r="D2224">
        <v>3.4332419999999999</v>
      </c>
      <c r="E2224">
        <v>0.51800009999999996</v>
      </c>
      <c r="F2224" t="s">
        <v>46</v>
      </c>
      <c r="G2224">
        <v>-247.2133</v>
      </c>
      <c r="H2224" s="1">
        <v>2.3017490000000002E-6</v>
      </c>
      <c r="I2224">
        <v>281.75540000000001</v>
      </c>
      <c r="J2224">
        <v>-226.77459999999999</v>
      </c>
      <c r="K2224">
        <v>1.1091719999999901</v>
      </c>
      <c r="L2224">
        <v>281.52719999999999</v>
      </c>
      <c r="M2224">
        <v>-0.99871549999999998</v>
      </c>
      <c r="N2224">
        <v>0</v>
      </c>
      <c r="O2224">
        <v>-4.9177940000000003E-2</v>
      </c>
      <c r="P2224">
        <v>-0.97925379999999995</v>
      </c>
      <c r="Q2224">
        <v>0.1987428</v>
      </c>
      <c r="R2224">
        <v>-3.954034E-2</v>
      </c>
      <c r="S2224">
        <v>-3.0989689999999999</v>
      </c>
      <c r="T2224">
        <v>-0.166562299999999</v>
      </c>
      <c r="U2224">
        <v>3.3142089999999999E-2</v>
      </c>
      <c r="V2224">
        <v>9.4167680000000007E-3</v>
      </c>
      <c r="W2224">
        <v>0.2106642</v>
      </c>
      <c r="X2224">
        <v>0.97751310000000002</v>
      </c>
      <c r="Y2224">
        <v>5.9702680000000001E-2</v>
      </c>
      <c r="Z2224">
        <v>4.2440250000000002E-3</v>
      </c>
      <c r="AA2224">
        <v>0.99820719999999996</v>
      </c>
      <c r="AB2224">
        <v>21</v>
      </c>
      <c r="AC2224">
        <v>-20.438700000000001</v>
      </c>
      <c r="AD2224">
        <v>-1.10916969825099</v>
      </c>
      <c r="AE2224">
        <v>0.228200000000015</v>
      </c>
      <c r="AF2224">
        <v>1.2295113430759299</v>
      </c>
      <c r="AG2224">
        <v>-1.10916969825099</v>
      </c>
      <c r="AH2224">
        <v>20.342840153425598</v>
      </c>
      <c r="AI2224">
        <v>93.115222096534396</v>
      </c>
      <c r="AJ2224">
        <v>86.541278414177597</v>
      </c>
      <c r="AK2224">
        <v>20.4101225148233</v>
      </c>
      <c r="AL2224">
        <v>77.838720746285404</v>
      </c>
      <c r="AM2224">
        <v>89.448064303411897</v>
      </c>
      <c r="AN2224">
        <v>0.999999970676407</v>
      </c>
    </row>
    <row r="2225" spans="1:40" x14ac:dyDescent="0.25">
      <c r="A2225" t="str">
        <f>"20190312172127153"</f>
        <v>20190312172127153</v>
      </c>
      <c r="B2225" t="str">
        <f>"1552382487142984"</f>
        <v>1552382487142984</v>
      </c>
      <c r="C2225" t="s">
        <v>40</v>
      </c>
      <c r="D2225">
        <v>3.433649</v>
      </c>
      <c r="E2225">
        <v>0.51788310000000004</v>
      </c>
      <c r="F2225" t="s">
        <v>46</v>
      </c>
      <c r="G2225">
        <v>-247.35849999999999</v>
      </c>
      <c r="H2225" s="1">
        <v>2.3790150000000002E-6</v>
      </c>
      <c r="I2225">
        <v>281.77019999999999</v>
      </c>
      <c r="J2225">
        <v>-226.9691</v>
      </c>
      <c r="K2225">
        <v>1.1091679999999999</v>
      </c>
      <c r="L2225">
        <v>281.52030000000002</v>
      </c>
      <c r="M2225">
        <v>-0.99882780000000004</v>
      </c>
      <c r="N2225">
        <v>0</v>
      </c>
      <c r="O2225">
        <v>-4.6844209999999997E-2</v>
      </c>
      <c r="P2225">
        <v>-0.97923979999999999</v>
      </c>
      <c r="Q2225">
        <v>0.19900490000000001</v>
      </c>
      <c r="R2225">
        <v>-3.8557189999999998E-2</v>
      </c>
      <c r="S2225">
        <v>-3.0989230000000001</v>
      </c>
      <c r="T2225">
        <v>-0.16698689999999999</v>
      </c>
      <c r="U2225">
        <v>3.6590579999999998E-2</v>
      </c>
      <c r="V2225">
        <v>8.1100830000000006E-3</v>
      </c>
      <c r="W2225">
        <v>0.210921</v>
      </c>
      <c r="X2225">
        <v>0.97746940000000004</v>
      </c>
      <c r="Y2225">
        <v>5.8485379999999997E-2</v>
      </c>
      <c r="Z2225">
        <v>4.096532E-3</v>
      </c>
      <c r="AA2225">
        <v>0.9982799</v>
      </c>
      <c r="AB2225">
        <v>21</v>
      </c>
      <c r="AC2225">
        <v>-20.389399999999899</v>
      </c>
      <c r="AD2225">
        <v>-1.1091656209849901</v>
      </c>
      <c r="AE2225">
        <v>0.24989999999996801</v>
      </c>
      <c r="AF2225">
        <v>1.20126761616806</v>
      </c>
      <c r="AG2225">
        <v>-1.1091656209849901</v>
      </c>
      <c r="AH2225">
        <v>20.2952560729311</v>
      </c>
      <c r="AI2225">
        <v>93.122732294650305</v>
      </c>
      <c r="AJ2225">
        <v>86.612639141278905</v>
      </c>
      <c r="AK2225">
        <v>20.361009585142799</v>
      </c>
      <c r="AL2225">
        <v>77.823668545376506</v>
      </c>
      <c r="AM2225">
        <v>89.524626689030498</v>
      </c>
      <c r="AN2225">
        <v>0.99999993481181104</v>
      </c>
    </row>
    <row r="2226" spans="1:40" x14ac:dyDescent="0.25">
      <c r="A2226" t="str">
        <f>"20190312172127166"</f>
        <v>20190312172127166</v>
      </c>
      <c r="B2226" t="str">
        <f>"1552382487163482"</f>
        <v>1552382487163482</v>
      </c>
      <c r="C2226" t="s">
        <v>40</v>
      </c>
      <c r="D2226">
        <v>3.447117</v>
      </c>
      <c r="E2226">
        <v>0.51775509999999902</v>
      </c>
      <c r="F2226" t="s">
        <v>46</v>
      </c>
      <c r="G2226">
        <v>-247.61429999999999</v>
      </c>
      <c r="H2226" s="1">
        <v>2.5151740000000002E-6</v>
      </c>
      <c r="I2226">
        <v>281.78120000000001</v>
      </c>
      <c r="J2226">
        <v>-227.0831</v>
      </c>
      <c r="K2226">
        <v>1.109162</v>
      </c>
      <c r="L2226">
        <v>281.51650000000001</v>
      </c>
      <c r="M2226">
        <v>-0.99889110000000003</v>
      </c>
      <c r="N2226">
        <v>0</v>
      </c>
      <c r="O2226">
        <v>-4.5474750000000001E-2</v>
      </c>
      <c r="P2226">
        <v>-0.97927580000000003</v>
      </c>
      <c r="Q2226">
        <v>0.1989687</v>
      </c>
      <c r="R2226">
        <v>-3.7823559999999999E-2</v>
      </c>
      <c r="S2226">
        <v>-3.0989840000000002</v>
      </c>
      <c r="T2226">
        <v>-0.166493</v>
      </c>
      <c r="U2226">
        <v>3.9154050000000003E-2</v>
      </c>
      <c r="V2226">
        <v>7.5014590000000003E-3</v>
      </c>
      <c r="W2226">
        <v>0.21088190000000001</v>
      </c>
      <c r="X2226">
        <v>0.97748270000000004</v>
      </c>
      <c r="Y2226">
        <v>5.7945780000000002E-2</v>
      </c>
      <c r="Z2226">
        <v>3.9963849999999999E-3</v>
      </c>
      <c r="AA2226">
        <v>0.99831179999999997</v>
      </c>
      <c r="AB2226">
        <v>21</v>
      </c>
      <c r="AC2226">
        <v>-20.531199999999899</v>
      </c>
      <c r="AD2226">
        <v>-1.109159484826</v>
      </c>
      <c r="AE2226">
        <v>0.26470000000000399</v>
      </c>
      <c r="AF2226">
        <v>1.1946606627040399</v>
      </c>
      <c r="AG2226">
        <v>-1.109159484826</v>
      </c>
      <c r="AH2226">
        <v>20.4382798610383</v>
      </c>
      <c r="AI2226">
        <v>93.101039381881805</v>
      </c>
      <c r="AJ2226">
        <v>86.654746956472195</v>
      </c>
      <c r="AK2226">
        <v>20.503188350593501</v>
      </c>
      <c r="AL2226">
        <v>77.825960401620506</v>
      </c>
      <c r="AM2226">
        <v>89.560305769545195</v>
      </c>
      <c r="AN2226">
        <v>0.99999993821701205</v>
      </c>
    </row>
    <row r="2227" spans="1:40" x14ac:dyDescent="0.25">
      <c r="A2227" t="str">
        <f>"20190312172127186"</f>
        <v>20190312172127186</v>
      </c>
      <c r="B2227" t="str">
        <f>"1552382487183000"</f>
        <v>1552382487183000</v>
      </c>
      <c r="C2227" t="s">
        <v>40</v>
      </c>
      <c r="D2227">
        <v>3.4204880000000002</v>
      </c>
      <c r="E2227">
        <v>0.51764790000000005</v>
      </c>
      <c r="F2227" t="s">
        <v>46</v>
      </c>
      <c r="G2227">
        <v>-247.69560000000001</v>
      </c>
      <c r="H2227" s="1">
        <v>2.5584259999999998E-6</v>
      </c>
      <c r="I2227">
        <v>281.78829999999999</v>
      </c>
      <c r="J2227">
        <v>-227.27979999999999</v>
      </c>
      <c r="K2227">
        <v>1.1091610000000001</v>
      </c>
      <c r="L2227">
        <v>281.51029999999997</v>
      </c>
      <c r="M2227">
        <v>-0.99899590000000005</v>
      </c>
      <c r="N2227">
        <v>0</v>
      </c>
      <c r="O2227">
        <v>-4.3112280000000003E-2</v>
      </c>
      <c r="P2227">
        <v>-0.97922220000000004</v>
      </c>
      <c r="Q2227">
        <v>0.1993694</v>
      </c>
      <c r="R2227">
        <v>-3.709465E-2</v>
      </c>
      <c r="S2227">
        <v>-3.0989529999999998</v>
      </c>
      <c r="T2227">
        <v>-0.16675509999999999</v>
      </c>
      <c r="U2227">
        <v>4.0863040000000003E-2</v>
      </c>
      <c r="V2227">
        <v>5.9119259999999996E-3</v>
      </c>
      <c r="W2227">
        <v>0.21128</v>
      </c>
      <c r="X2227">
        <v>0.97740769999999999</v>
      </c>
      <c r="Y2227">
        <v>5.6140839999999997E-2</v>
      </c>
      <c r="Z2227">
        <v>3.8272139999999998E-3</v>
      </c>
      <c r="AA2227">
        <v>0.99841550000000001</v>
      </c>
      <c r="AB2227">
        <v>21</v>
      </c>
      <c r="AC2227">
        <v>-20.415800000000001</v>
      </c>
      <c r="AD2227">
        <v>-1.1091584415739999</v>
      </c>
      <c r="AE2227">
        <v>0.27800000000002001</v>
      </c>
      <c r="AF2227">
        <v>1.15457136616426</v>
      </c>
      <c r="AG2227">
        <v>-1.1091584415739999</v>
      </c>
      <c r="AH2227">
        <v>20.324849873268398</v>
      </c>
      <c r="AI2227">
        <v>93.118603123024201</v>
      </c>
      <c r="AJ2227">
        <v>86.748755897369406</v>
      </c>
      <c r="AK2227">
        <v>20.387809834775801</v>
      </c>
      <c r="AL2227">
        <v>77.802625947591096</v>
      </c>
      <c r="AM2227">
        <v>89.653446276452499</v>
      </c>
      <c r="AN2227">
        <v>1.0000000006441501</v>
      </c>
    </row>
    <row r="2228" spans="1:40" x14ac:dyDescent="0.25">
      <c r="A2228" t="str">
        <f>"20190312172127198"</f>
        <v>20190312172127198</v>
      </c>
      <c r="B2228" t="str">
        <f>"1552382487192760"</f>
        <v>1552382487192760</v>
      </c>
      <c r="C2228" t="s">
        <v>40</v>
      </c>
      <c r="D2228">
        <v>3.4013390000000001</v>
      </c>
      <c r="E2228">
        <v>0.51759790000000006</v>
      </c>
      <c r="F2228" t="s">
        <v>46</v>
      </c>
      <c r="G2228">
        <v>-248.018</v>
      </c>
      <c r="H2228" s="1">
        <v>2.729989E-6</v>
      </c>
      <c r="I2228">
        <v>281.79520000000002</v>
      </c>
      <c r="J2228">
        <v>-227.39320000000001</v>
      </c>
      <c r="K2228">
        <v>1.1091569999999999</v>
      </c>
      <c r="L2228">
        <v>281.50689999999997</v>
      </c>
      <c r="M2228">
        <v>-0.99905379999999999</v>
      </c>
      <c r="N2228">
        <v>0</v>
      </c>
      <c r="O2228">
        <v>-4.1751049999999998E-2</v>
      </c>
      <c r="P2228">
        <v>-0.97929330000000003</v>
      </c>
      <c r="Q2228">
        <v>0.19908980000000001</v>
      </c>
      <c r="R2228">
        <v>-3.6717119999999999E-2</v>
      </c>
      <c r="S2228">
        <v>-3.0989990000000001</v>
      </c>
      <c r="T2228">
        <v>-0.1657467</v>
      </c>
      <c r="U2228">
        <v>4.2572020000000002E-2</v>
      </c>
      <c r="V2228">
        <v>4.9562640000000002E-3</v>
      </c>
      <c r="W2228">
        <v>0.21099979999999999</v>
      </c>
      <c r="X2228">
        <v>0.97747360000000005</v>
      </c>
      <c r="Y2228">
        <v>5.5335549999999997E-2</v>
      </c>
      <c r="Z2228">
        <v>3.709805E-3</v>
      </c>
      <c r="AA2228">
        <v>0.99846089999999998</v>
      </c>
      <c r="AB2228">
        <v>21</v>
      </c>
      <c r="AC2228">
        <v>-20.6248</v>
      </c>
      <c r="AD2228">
        <v>-1.109154270011</v>
      </c>
      <c r="AE2228">
        <v>0.28830000000004902</v>
      </c>
      <c r="AF2228">
        <v>1.1459061557271799</v>
      </c>
      <c r="AG2228">
        <v>-1.109154270011</v>
      </c>
      <c r="AH2228">
        <v>20.535398099654099</v>
      </c>
      <c r="AI2228">
        <v>93.086852504098005</v>
      </c>
      <c r="AJ2228">
        <v>86.806121466115101</v>
      </c>
      <c r="AK2228">
        <v>20.597230377497201</v>
      </c>
      <c r="AL2228">
        <v>77.819051229653994</v>
      </c>
      <c r="AM2228">
        <v>89.709485170996004</v>
      </c>
      <c r="AN2228">
        <v>1.0000000594249101</v>
      </c>
    </row>
    <row r="2229" spans="1:40" x14ac:dyDescent="0.25">
      <c r="A2229" t="str">
        <f>"20190312172127210"</f>
        <v>20190312172127210</v>
      </c>
      <c r="B2229" t="str">
        <f>"1552382487203497"</f>
        <v>1552382487203497</v>
      </c>
      <c r="C2229" t="s">
        <v>40</v>
      </c>
      <c r="D2229">
        <v>3.4144420000000002</v>
      </c>
      <c r="E2229">
        <v>0.51759790000000006</v>
      </c>
      <c r="F2229" t="s">
        <v>46</v>
      </c>
      <c r="G2229">
        <v>-248.01509999999999</v>
      </c>
      <c r="H2229" s="1">
        <v>2.7284469999999998E-6</v>
      </c>
      <c r="I2229">
        <v>281.7987</v>
      </c>
      <c r="J2229">
        <v>-227.50360000000001</v>
      </c>
      <c r="K2229">
        <v>1.1091580000000001</v>
      </c>
      <c r="L2229">
        <v>281.50389999999999</v>
      </c>
      <c r="M2229">
        <v>-0.99910840000000001</v>
      </c>
      <c r="N2229">
        <v>0</v>
      </c>
      <c r="O2229">
        <v>-4.0424509999999997E-2</v>
      </c>
      <c r="P2229">
        <v>-0.97930850000000003</v>
      </c>
      <c r="Q2229">
        <v>0.1990884</v>
      </c>
      <c r="R2229">
        <v>-3.6318000000000003E-2</v>
      </c>
      <c r="S2229">
        <v>-3.0989529999999998</v>
      </c>
      <c r="T2229">
        <v>-0.16667770000000001</v>
      </c>
      <c r="U2229">
        <v>4.3853759999999999E-2</v>
      </c>
      <c r="V2229">
        <v>4.0548609999999999E-3</v>
      </c>
      <c r="W2229">
        <v>0.21099699999999999</v>
      </c>
      <c r="X2229">
        <v>0.97747830000000002</v>
      </c>
      <c r="Y2229">
        <v>5.4424569999999999E-2</v>
      </c>
      <c r="Z2229">
        <v>3.6349199999999998E-3</v>
      </c>
      <c r="AA2229">
        <v>0.99851129999999999</v>
      </c>
      <c r="AB2229">
        <v>21</v>
      </c>
      <c r="AC2229">
        <v>-20.511499999999899</v>
      </c>
      <c r="AD2229">
        <v>-1.109155271553</v>
      </c>
      <c r="AE2229">
        <v>0.294800000000009</v>
      </c>
      <c r="AF2229">
        <v>1.12051201030071</v>
      </c>
      <c r="AG2229">
        <v>-1.109155271553</v>
      </c>
      <c r="AH2229">
        <v>20.423106742272299</v>
      </c>
      <c r="AI2229">
        <v>93.103954548296699</v>
      </c>
      <c r="AJ2229">
        <v>86.859620430043194</v>
      </c>
      <c r="AK2229">
        <v>20.483873207669699</v>
      </c>
      <c r="AL2229">
        <v>77.819214635675806</v>
      </c>
      <c r="AM2229">
        <v>89.762321998166897</v>
      </c>
      <c r="AN2229">
        <v>1.0000000014388</v>
      </c>
    </row>
    <row r="2230" spans="1:40" x14ac:dyDescent="0.25">
      <c r="A2230" t="str">
        <f>"20190312172127223"</f>
        <v>20190312172127223</v>
      </c>
      <c r="B2230" t="str">
        <f>"1552382487213256"</f>
        <v>1552382487213256</v>
      </c>
      <c r="C2230" t="s">
        <v>40</v>
      </c>
      <c r="D2230">
        <v>3.411124</v>
      </c>
      <c r="E2230">
        <v>0.51236619999999999</v>
      </c>
      <c r="F2230" t="s">
        <v>46</v>
      </c>
      <c r="G2230">
        <v>-248.13579999999999</v>
      </c>
      <c r="H2230" s="1">
        <v>2.7926880000000001E-6</v>
      </c>
      <c r="I2230">
        <v>281.80759999999998</v>
      </c>
      <c r="J2230">
        <v>-227.62200000000001</v>
      </c>
      <c r="K2230">
        <v>1.109154</v>
      </c>
      <c r="L2230">
        <v>281.50060000000002</v>
      </c>
      <c r="M2230">
        <v>-0.99916499999999997</v>
      </c>
      <c r="N2230">
        <v>0</v>
      </c>
      <c r="O2230">
        <v>-3.9003549999999998E-2</v>
      </c>
      <c r="P2230">
        <v>-0.97935019999999995</v>
      </c>
      <c r="Q2230">
        <v>0.19893930000000001</v>
      </c>
      <c r="R2230">
        <v>-3.6008440000000003E-2</v>
      </c>
      <c r="S2230">
        <v>-3.0989230000000001</v>
      </c>
      <c r="T2230">
        <v>-0.16659360000000001</v>
      </c>
      <c r="U2230">
        <v>4.5623780000000003E-2</v>
      </c>
      <c r="V2230">
        <v>2.9717839999999999E-3</v>
      </c>
      <c r="W2230">
        <v>0.2108479</v>
      </c>
      <c r="X2230">
        <v>0.97751440000000001</v>
      </c>
      <c r="Y2230">
        <v>5.3578229999999998E-2</v>
      </c>
      <c r="Z2230">
        <v>3.5340810000000001E-3</v>
      </c>
      <c r="AA2230">
        <v>0.99855740000000004</v>
      </c>
      <c r="AB2230">
        <v>21</v>
      </c>
      <c r="AC2230">
        <v>-20.5137999999999</v>
      </c>
      <c r="AD2230">
        <v>-1.109151207312</v>
      </c>
      <c r="AE2230">
        <v>0.30699999999995897</v>
      </c>
      <c r="AF2230">
        <v>1.1037107364722401</v>
      </c>
      <c r="AG2230">
        <v>-1.109151207312</v>
      </c>
      <c r="AH2230">
        <v>20.426511552861299</v>
      </c>
      <c r="AI2230">
        <v>93.103566672862001</v>
      </c>
      <c r="AJ2230">
        <v>86.907130646942903</v>
      </c>
      <c r="AK2230">
        <v>20.486355654670799</v>
      </c>
      <c r="AL2230">
        <v>77.827954467472296</v>
      </c>
      <c r="AM2230">
        <v>89.825813147864196</v>
      </c>
      <c r="AN2230">
        <v>1.0000000353209499</v>
      </c>
    </row>
    <row r="2231" spans="1:40" x14ac:dyDescent="0.25">
      <c r="A2231" t="str">
        <f>"20190312172127234"</f>
        <v>20190312172127234</v>
      </c>
      <c r="B2231" t="str">
        <f>"1552382487223017"</f>
        <v>1552382487223017</v>
      </c>
      <c r="C2231" t="s">
        <v>40</v>
      </c>
      <c r="D2231">
        <v>3.4101840000000001</v>
      </c>
      <c r="E2231">
        <v>0.51229219999999998</v>
      </c>
      <c r="F2231" t="s">
        <v>46</v>
      </c>
      <c r="G2231">
        <v>-246.8897</v>
      </c>
      <c r="H2231" s="1">
        <v>2.1295440000000001E-6</v>
      </c>
      <c r="I2231">
        <v>281.53539999999998</v>
      </c>
      <c r="J2231">
        <v>-227.7346</v>
      </c>
      <c r="K2231">
        <v>1.109151</v>
      </c>
      <c r="L2231">
        <v>281.49770000000001</v>
      </c>
      <c r="M2231">
        <v>-0.99921689999999996</v>
      </c>
      <c r="N2231">
        <v>0</v>
      </c>
      <c r="O2231">
        <v>-3.7650910000000003E-2</v>
      </c>
      <c r="P2231">
        <v>-0.97938970000000003</v>
      </c>
      <c r="Q2231">
        <v>0.19878480000000001</v>
      </c>
      <c r="R2231">
        <v>-3.579189E-2</v>
      </c>
      <c r="S2231">
        <v>-3.0996860000000002</v>
      </c>
      <c r="T2231">
        <v>-0.1784346</v>
      </c>
      <c r="U2231">
        <v>5.5847170000000003E-3</v>
      </c>
      <c r="V2231">
        <v>1.862879E-3</v>
      </c>
      <c r="W2231">
        <v>0.21069309999999999</v>
      </c>
      <c r="X2231">
        <v>0.97755049999999999</v>
      </c>
      <c r="Y2231">
        <v>3.9326649999999998E-2</v>
      </c>
      <c r="Z2231">
        <v>3.2963789999999999E-3</v>
      </c>
      <c r="AA2231">
        <v>0.99922100000000003</v>
      </c>
      <c r="AB2231">
        <v>21</v>
      </c>
      <c r="AC2231">
        <v>-19.155100000000001</v>
      </c>
      <c r="AD2231">
        <v>-1.109148870456</v>
      </c>
      <c r="AE2231">
        <v>3.7699999999972499E-2</v>
      </c>
      <c r="AF2231">
        <v>0.756397526397668</v>
      </c>
      <c r="AG2231">
        <v>-1.109148870456</v>
      </c>
      <c r="AH2231">
        <v>19.076137883800499</v>
      </c>
      <c r="AI2231">
        <v>93.325010069137207</v>
      </c>
      <c r="AJ2231">
        <v>87.7293257808482</v>
      </c>
      <c r="AK2231">
        <v>19.123320449036601</v>
      </c>
      <c r="AL2231">
        <v>77.8370274443798</v>
      </c>
      <c r="AM2231">
        <v>89.890813850292503</v>
      </c>
      <c r="AN2231">
        <v>1.0000000163780101</v>
      </c>
    </row>
    <row r="2232" spans="1:40" x14ac:dyDescent="0.25">
      <c r="A2232" t="str">
        <f>"20190312172127246"</f>
        <v>20190312172127246</v>
      </c>
      <c r="B2232" t="str">
        <f>"1552382487243512"</f>
        <v>1552382487243512</v>
      </c>
      <c r="C2232" t="s">
        <v>40</v>
      </c>
      <c r="D2232">
        <v>3.3564880000000001</v>
      </c>
      <c r="E2232">
        <v>0.51251309999999894</v>
      </c>
      <c r="F2232" t="s">
        <v>46</v>
      </c>
      <c r="G2232">
        <v>-247.05940000000001</v>
      </c>
      <c r="H2232" s="1">
        <v>2.219887E-6</v>
      </c>
      <c r="I2232">
        <v>281.5326</v>
      </c>
      <c r="J2232">
        <v>-227.84639999999999</v>
      </c>
      <c r="K2232">
        <v>1.109148</v>
      </c>
      <c r="L2232">
        <v>281.49509999999998</v>
      </c>
      <c r="M2232">
        <v>-0.9992666</v>
      </c>
      <c r="N2232">
        <v>0</v>
      </c>
      <c r="O2232">
        <v>-3.6309590000000003E-2</v>
      </c>
      <c r="P2232">
        <v>-0.97942370000000001</v>
      </c>
      <c r="Q2232">
        <v>0.198714</v>
      </c>
      <c r="R2232">
        <v>-3.5248330000000001E-2</v>
      </c>
      <c r="S2232">
        <v>-3.0994419999999998</v>
      </c>
      <c r="T2232">
        <v>-0.17789289999999999</v>
      </c>
      <c r="U2232">
        <v>5.5847170000000003E-3</v>
      </c>
      <c r="V2232">
        <v>1.091573E-3</v>
      </c>
      <c r="W2232">
        <v>0.21062130000000001</v>
      </c>
      <c r="X2232">
        <v>0.97756710000000002</v>
      </c>
      <c r="Y2232">
        <v>3.7990610000000001E-2</v>
      </c>
      <c r="Z2232">
        <v>3.1714479999999999E-3</v>
      </c>
      <c r="AA2232">
        <v>0.99927310000000003</v>
      </c>
      <c r="AB2232">
        <v>21</v>
      </c>
      <c r="AC2232">
        <v>-19.213000000000001</v>
      </c>
      <c r="AD2232">
        <v>-1.109145780113</v>
      </c>
      <c r="AE2232">
        <v>3.7500000000022703E-2</v>
      </c>
      <c r="AF2232">
        <v>0.73270119556486202</v>
      </c>
      <c r="AG2232">
        <v>-1.109145780113</v>
      </c>
      <c r="AH2232">
        <v>19.135196901385001</v>
      </c>
      <c r="AI2232">
        <v>93.314936564113694</v>
      </c>
      <c r="AJ2232">
        <v>87.807172443244198</v>
      </c>
      <c r="AK2232">
        <v>19.181314236993799</v>
      </c>
      <c r="AL2232">
        <v>77.841235256852997</v>
      </c>
      <c r="AM2232">
        <v>89.936022294595503</v>
      </c>
      <c r="AN2232">
        <v>0.99999997927385698</v>
      </c>
    </row>
    <row r="2233" spans="1:40" x14ac:dyDescent="0.25">
      <c r="A2233" t="str">
        <f>"20190312172127264"</f>
        <v>20190312172127264</v>
      </c>
      <c r="B2233" t="str">
        <f>"1552382487263032"</f>
        <v>1552382487263032</v>
      </c>
      <c r="C2233" t="s">
        <v>40</v>
      </c>
      <c r="D2233">
        <v>3.2800739999999999</v>
      </c>
      <c r="E2233">
        <v>0.51251309999999894</v>
      </c>
      <c r="F2233" t="s">
        <v>46</v>
      </c>
      <c r="G2233">
        <v>-247.2011</v>
      </c>
      <c r="H2233" s="1">
        <v>2.2953030000000002E-6</v>
      </c>
      <c r="I2233">
        <v>281.55169999999998</v>
      </c>
      <c r="J2233">
        <v>-228.02440000000001</v>
      </c>
      <c r="K2233">
        <v>1.109148</v>
      </c>
      <c r="L2233">
        <v>281.49110000000002</v>
      </c>
      <c r="M2233">
        <v>-0.99934199999999995</v>
      </c>
      <c r="N2233">
        <v>0</v>
      </c>
      <c r="O2233">
        <v>-3.4174000000000003E-2</v>
      </c>
      <c r="P2233">
        <v>-0.97955060000000005</v>
      </c>
      <c r="Q2233">
        <v>0.19812869999999999</v>
      </c>
      <c r="R2233">
        <v>-3.501083E-2</v>
      </c>
      <c r="S2233">
        <v>-3.0994109999999999</v>
      </c>
      <c r="T2233">
        <v>-0.177615299999999</v>
      </c>
      <c r="U2233">
        <v>9.0637210000000003E-3</v>
      </c>
      <c r="V2233">
        <v>-7.6346509999999999E-4</v>
      </c>
      <c r="W2233">
        <v>0.21003810000000001</v>
      </c>
      <c r="X2233">
        <v>0.97769289999999998</v>
      </c>
      <c r="Y2233">
        <v>3.6982269999999998E-2</v>
      </c>
      <c r="Z2233">
        <v>3.0154380000000001E-3</v>
      </c>
      <c r="AA2233">
        <v>0.99931139999999996</v>
      </c>
      <c r="AB2233">
        <v>21</v>
      </c>
      <c r="AC2233">
        <v>-19.176699999999901</v>
      </c>
      <c r="AD2233">
        <v>-1.1091457046969999</v>
      </c>
      <c r="AE2233">
        <v>6.05999999999653E-2</v>
      </c>
      <c r="AF2233">
        <v>0.71357049544643103</v>
      </c>
      <c r="AG2233">
        <v>-1.1091457046969999</v>
      </c>
      <c r="AH2233">
        <v>19.099533897342202</v>
      </c>
      <c r="AI2233">
        <v>93.321228628154998</v>
      </c>
      <c r="AJ2233">
        <v>87.860389082939506</v>
      </c>
      <c r="AK2233">
        <v>19.145014550580601</v>
      </c>
      <c r="AL2233">
        <v>77.875414946460396</v>
      </c>
      <c r="AM2233">
        <v>90.044741369344294</v>
      </c>
      <c r="AN2233">
        <v>0.99999999652048899</v>
      </c>
    </row>
    <row r="2234" spans="1:40" x14ac:dyDescent="0.25">
      <c r="A2234" t="str">
        <f>"20190312172127377"</f>
        <v>20190312172127377</v>
      </c>
      <c r="B2234" t="str">
        <f>"1552382487373320"</f>
        <v>1552382487373320</v>
      </c>
      <c r="C2234" t="s">
        <v>40</v>
      </c>
      <c r="D2234">
        <v>3.3502999999999998</v>
      </c>
      <c r="E2234">
        <v>0.51506439999999998</v>
      </c>
      <c r="F2234" t="s">
        <v>46</v>
      </c>
      <c r="G2234">
        <v>-247.1831</v>
      </c>
      <c r="H2234" s="1">
        <v>2.2856880000000001E-6</v>
      </c>
      <c r="I2234">
        <v>281.55430000000001</v>
      </c>
      <c r="J2234">
        <v>-229.0822</v>
      </c>
      <c r="K2234">
        <v>1.1091549999999999</v>
      </c>
      <c r="L2234">
        <v>281.4751</v>
      </c>
      <c r="M2234">
        <v>-0.99969390000000002</v>
      </c>
      <c r="N2234">
        <v>0</v>
      </c>
      <c r="O2234">
        <v>-2.156371E-2</v>
      </c>
      <c r="P2234">
        <v>-0.97984179999999999</v>
      </c>
      <c r="Q2234">
        <v>0.19732250000000001</v>
      </c>
      <c r="R2234">
        <v>-3.120968E-2</v>
      </c>
      <c r="S2234">
        <v>-3.0992890000000002</v>
      </c>
      <c r="T2234">
        <v>-0.179425799999999</v>
      </c>
      <c r="U2234">
        <v>1.0223390000000001E-2</v>
      </c>
      <c r="V2234">
        <v>-9.3407200000000003E-3</v>
      </c>
      <c r="W2234">
        <v>0.20923810000000001</v>
      </c>
      <c r="X2234">
        <v>0.97782009999999997</v>
      </c>
      <c r="Y2234">
        <v>2.4785419999999999E-2</v>
      </c>
      <c r="Z2234">
        <v>1.9642050000000001E-3</v>
      </c>
      <c r="AA2234">
        <v>0.99969090000000005</v>
      </c>
      <c r="AB2234">
        <v>21</v>
      </c>
      <c r="AC2234">
        <v>-18.100899999999999</v>
      </c>
      <c r="AD2234">
        <v>-1.1091527143119999</v>
      </c>
      <c r="AE2234">
        <v>7.9200000000014301E-2</v>
      </c>
      <c r="AF2234">
        <v>0.46777649806142402</v>
      </c>
      <c r="AG2234">
        <v>-1.1091527143119999</v>
      </c>
      <c r="AH2234">
        <v>18.027295619184201</v>
      </c>
      <c r="AI2234">
        <v>93.5195772280086</v>
      </c>
      <c r="AJ2234">
        <v>88.513609205987706</v>
      </c>
      <c r="AK2234">
        <v>18.0674409349322</v>
      </c>
      <c r="AL2234">
        <v>77.922293169298101</v>
      </c>
      <c r="AM2234">
        <v>90.547306764940501</v>
      </c>
      <c r="AN2234">
        <v>0.99999998975286897</v>
      </c>
    </row>
    <row r="2235" spans="1:40" x14ac:dyDescent="0.25">
      <c r="A2235" t="str">
        <f>"20190312172127389"</f>
        <v>20190312172127389</v>
      </c>
      <c r="B2235" t="str">
        <f>"1552382487383080"</f>
        <v>1552382487383080</v>
      </c>
      <c r="C2235" t="s">
        <v>40</v>
      </c>
      <c r="D2235">
        <v>3.3630450000000001</v>
      </c>
      <c r="E2235">
        <v>0.51561250000000003</v>
      </c>
      <c r="F2235" t="s">
        <v>41</v>
      </c>
      <c r="G2235">
        <v>-229.81280000000001</v>
      </c>
      <c r="H2235">
        <v>0.98110560000000002</v>
      </c>
      <c r="I2235">
        <v>281.48759999999999</v>
      </c>
      <c r="J2235">
        <v>-229.2097</v>
      </c>
      <c r="K2235">
        <v>1.1091679999999999</v>
      </c>
      <c r="L2235">
        <v>281.47399999999999</v>
      </c>
      <c r="M2235">
        <v>-0.99972470000000002</v>
      </c>
      <c r="N2235">
        <v>0</v>
      </c>
      <c r="O2235">
        <v>-2.0086099999999999E-2</v>
      </c>
      <c r="P2235">
        <v>-0.97998090000000004</v>
      </c>
      <c r="Q2235">
        <v>0.1967295</v>
      </c>
      <c r="R2235">
        <v>-3.0572470000000001E-2</v>
      </c>
      <c r="S2235">
        <v>-3.1755369999999998</v>
      </c>
      <c r="T2235">
        <v>-0.55655259999999995</v>
      </c>
      <c r="U2235">
        <v>5.4382319999999998E-2</v>
      </c>
      <c r="V2235">
        <v>-1.0160779999999999E-2</v>
      </c>
      <c r="W2235">
        <v>0.20864630000000001</v>
      </c>
      <c r="X2235">
        <v>0.97793839999999999</v>
      </c>
      <c r="Y2235">
        <v>3.6344130000000002E-2</v>
      </c>
      <c r="Z2235">
        <v>6.6542600000000004E-3</v>
      </c>
      <c r="AA2235">
        <v>0.99931720000000002</v>
      </c>
      <c r="AB2235">
        <v>21</v>
      </c>
      <c r="AC2235">
        <v>-0.60310000000001196</v>
      </c>
      <c r="AD2235">
        <v>-0.12806239999999899</v>
      </c>
      <c r="AE2235">
        <v>1.35999999999967E-2</v>
      </c>
      <c r="AF2235">
        <v>2.46033139579586E-2</v>
      </c>
      <c r="AG2235">
        <v>-0.12806239999999899</v>
      </c>
      <c r="AH2235">
        <v>0.576715181785738</v>
      </c>
      <c r="AI2235">
        <v>102.508649687166</v>
      </c>
      <c r="AJ2235">
        <v>87.557179271131602</v>
      </c>
      <c r="AK2235">
        <v>0.59127464198427304</v>
      </c>
      <c r="AL2235">
        <v>77.956966448053606</v>
      </c>
      <c r="AM2235">
        <v>90.595281730525898</v>
      </c>
      <c r="AN2235">
        <v>1.00000001707422</v>
      </c>
    </row>
    <row r="2236" spans="1:40" x14ac:dyDescent="0.25">
      <c r="A2236" t="str">
        <f>"20190312172127411"</f>
        <v>20190312172127411</v>
      </c>
      <c r="B2236" t="str">
        <f>"1552382487403576"</f>
        <v>1552382487403576</v>
      </c>
      <c r="C2236" t="s">
        <v>40</v>
      </c>
      <c r="D2236">
        <v>3.7970869999999999</v>
      </c>
      <c r="E2236">
        <v>0.51594949999999995</v>
      </c>
      <c r="F2236" t="s">
        <v>41</v>
      </c>
      <c r="G2236">
        <v>-230.00399999999999</v>
      </c>
      <c r="H2236">
        <v>0.98488529999999996</v>
      </c>
      <c r="I2236">
        <v>281.48919999999998</v>
      </c>
      <c r="J2236">
        <v>-229.40549999999999</v>
      </c>
      <c r="K2236">
        <v>1.1091959999999901</v>
      </c>
      <c r="L2236">
        <v>281.47269999999997</v>
      </c>
      <c r="M2236">
        <v>-0.99976699999999996</v>
      </c>
      <c r="N2236">
        <v>0</v>
      </c>
      <c r="O2236">
        <v>-1.785457E-2</v>
      </c>
      <c r="P2236">
        <v>-0.98008629999999997</v>
      </c>
      <c r="Q2236">
        <v>0.1962991</v>
      </c>
      <c r="R2236">
        <v>-2.995271E-2</v>
      </c>
      <c r="S2236">
        <v>-3.162506</v>
      </c>
      <c r="T2236">
        <v>-0.4948398</v>
      </c>
      <c r="U2236">
        <v>5.9661869999999999E-2</v>
      </c>
      <c r="V2236">
        <v>-1.1746879999999999E-2</v>
      </c>
      <c r="W2236">
        <v>0.20821770000000001</v>
      </c>
      <c r="X2236">
        <v>0.97801199999999999</v>
      </c>
      <c r="Y2236">
        <v>3.6055940000000002E-2</v>
      </c>
      <c r="Z2236">
        <v>5.5803409999999999E-3</v>
      </c>
      <c r="AA2236">
        <v>0.99933419999999895</v>
      </c>
      <c r="AB2236">
        <v>21</v>
      </c>
      <c r="AC2236">
        <v>-0.59850000000002901</v>
      </c>
      <c r="AD2236">
        <v>-0.124310699999999</v>
      </c>
      <c r="AE2236">
        <v>1.6500000000007699E-2</v>
      </c>
      <c r="AF2236">
        <v>2.6060689443952598E-2</v>
      </c>
      <c r="AG2236">
        <v>-0.124310699999999</v>
      </c>
      <c r="AH2236">
        <v>0.57339212186122002</v>
      </c>
      <c r="AI2236">
        <v>102.220116005843</v>
      </c>
      <c r="AJ2236">
        <v>87.397695950330899</v>
      </c>
      <c r="AK2236">
        <v>0.58729109909932697</v>
      </c>
      <c r="AL2236">
        <v>77.982075109294598</v>
      </c>
      <c r="AM2236">
        <v>90.688145220994699</v>
      </c>
      <c r="AN2236">
        <v>1.0000000359635099</v>
      </c>
    </row>
    <row r="2237" spans="1:40" x14ac:dyDescent="0.25">
      <c r="A2237" t="str">
        <f>"20190312172127423"</f>
        <v>20190312172127423</v>
      </c>
      <c r="B2237" t="str">
        <f>"1552382487413337"</f>
        <v>1552382487413337</v>
      </c>
      <c r="C2237" t="s">
        <v>40</v>
      </c>
      <c r="D2237">
        <v>3.4014630000000001</v>
      </c>
      <c r="E2237">
        <v>0.51603840000000001</v>
      </c>
      <c r="F2237" t="s">
        <v>41</v>
      </c>
      <c r="G2237">
        <v>-230.20529999999999</v>
      </c>
      <c r="H2237">
        <v>1.0095700000000001</v>
      </c>
      <c r="I2237">
        <v>281.48849999999999</v>
      </c>
      <c r="J2237">
        <v>-229.52099999999999</v>
      </c>
      <c r="K2237">
        <v>1.1092229999999901</v>
      </c>
      <c r="L2237">
        <v>281.47210000000001</v>
      </c>
      <c r="M2237">
        <v>-0.99978940000000005</v>
      </c>
      <c r="N2237">
        <v>0</v>
      </c>
      <c r="O2237">
        <v>-1.6562400000000001E-2</v>
      </c>
      <c r="P2237">
        <v>-0.98008130000000004</v>
      </c>
      <c r="Q2237">
        <v>0.1963973</v>
      </c>
      <c r="R2237">
        <v>-2.9478150000000002E-2</v>
      </c>
      <c r="S2237">
        <v>-3.1412200000000001</v>
      </c>
      <c r="T2237">
        <v>-0.39133780000000001</v>
      </c>
      <c r="U2237">
        <v>6.2011719999999999E-2</v>
      </c>
      <c r="V2237">
        <v>-1.2552000000000001E-2</v>
      </c>
      <c r="W2237">
        <v>0.20831520000000001</v>
      </c>
      <c r="X2237">
        <v>0.97798119999999999</v>
      </c>
      <c r="Y2237">
        <v>3.5889770000000001E-2</v>
      </c>
      <c r="Z2237">
        <v>4.2821659999999996E-3</v>
      </c>
      <c r="AA2237">
        <v>0.99934659999999997</v>
      </c>
      <c r="AB2237">
        <v>21</v>
      </c>
      <c r="AC2237">
        <v>-0.68430000000000701</v>
      </c>
      <c r="AD2237">
        <v>-9.96529999999997E-2</v>
      </c>
      <c r="AE2237">
        <v>1.6399999999975899E-2</v>
      </c>
      <c r="AF2237">
        <v>2.7156641214819501E-2</v>
      </c>
      <c r="AG2237">
        <v>-9.96529999999997E-2</v>
      </c>
      <c r="AH2237">
        <v>0.66973919848684305</v>
      </c>
      <c r="AI2237">
        <v>98.4563126326358</v>
      </c>
      <c r="AJ2237">
        <v>87.678037916518207</v>
      </c>
      <c r="AK2237">
        <v>0.67765684351363897</v>
      </c>
      <c r="AL2237">
        <v>77.976363106437404</v>
      </c>
      <c r="AM2237">
        <v>90.735328183278</v>
      </c>
      <c r="AN2237">
        <v>1.0000000014042301</v>
      </c>
    </row>
    <row r="2238" spans="1:40" x14ac:dyDescent="0.25">
      <c r="A2238" t="str">
        <f>"20190312172127435"</f>
        <v>20190312172127435</v>
      </c>
      <c r="B2238" t="str">
        <f>"1552382487432857"</f>
        <v>1552382487432857</v>
      </c>
      <c r="C2238" t="s">
        <v>40</v>
      </c>
      <c r="D2238">
        <v>3.38164</v>
      </c>
      <c r="E2238">
        <v>0.51665490000000003</v>
      </c>
      <c r="F2238" t="s">
        <v>41</v>
      </c>
      <c r="G2238">
        <v>-230.39519999999999</v>
      </c>
      <c r="H2238">
        <v>1.011031</v>
      </c>
      <c r="I2238">
        <v>281.48989999999998</v>
      </c>
      <c r="J2238">
        <v>-229.64070000000001</v>
      </c>
      <c r="K2238">
        <v>1.1092500000000001</v>
      </c>
      <c r="L2238">
        <v>281.47160000000002</v>
      </c>
      <c r="M2238">
        <v>-0.99981030000000004</v>
      </c>
      <c r="N2238">
        <v>0</v>
      </c>
      <c r="O2238">
        <v>-1.524821E-2</v>
      </c>
      <c r="P2238">
        <v>-0.98010180000000002</v>
      </c>
      <c r="Q2238">
        <v>0.19636239999999999</v>
      </c>
      <c r="R2238">
        <v>-2.9021539999999998E-2</v>
      </c>
      <c r="S2238">
        <v>-3.1334080000000002</v>
      </c>
      <c r="T2238">
        <v>-0.35197009999999901</v>
      </c>
      <c r="U2238">
        <v>6.3446039999999995E-2</v>
      </c>
      <c r="V2238">
        <v>-1.339804E-2</v>
      </c>
      <c r="W2238">
        <v>0.20827979999999999</v>
      </c>
      <c r="X2238">
        <v>0.97797750000000006</v>
      </c>
      <c r="Y2238">
        <v>3.5170970000000003E-2</v>
      </c>
      <c r="Z2238">
        <v>3.6763579999999998E-3</v>
      </c>
      <c r="AA2238">
        <v>0.9993746</v>
      </c>
      <c r="AB2238">
        <v>21</v>
      </c>
      <c r="AC2238">
        <v>-0.75449999999997797</v>
      </c>
      <c r="AD2238">
        <v>-9.8219000000000001E-2</v>
      </c>
      <c r="AE2238">
        <v>1.8299999999953801E-2</v>
      </c>
      <c r="AF2238">
        <v>2.9307138561244499E-2</v>
      </c>
      <c r="AG2238">
        <v>-9.8219000000000001E-2</v>
      </c>
      <c r="AH2238">
        <v>0.74157373158608098</v>
      </c>
      <c r="AI2238">
        <v>97.538907825876095</v>
      </c>
      <c r="AJ2238">
        <v>87.736837361335304</v>
      </c>
      <c r="AK2238">
        <v>0.74862372371582897</v>
      </c>
      <c r="AL2238">
        <v>77.978436682409097</v>
      </c>
      <c r="AM2238">
        <v>90.784888329378802</v>
      </c>
      <c r="AN2238">
        <v>0.99999998653506506</v>
      </c>
    </row>
    <row r="2239" spans="1:40" x14ac:dyDescent="0.25">
      <c r="A2239" t="str">
        <f>"20190312172127448"</f>
        <v>20190312172127448</v>
      </c>
      <c r="B2239" t="str">
        <f>"1552382487443593"</f>
        <v>1552382487443593</v>
      </c>
      <c r="C2239" t="s">
        <v>40</v>
      </c>
      <c r="D2239">
        <v>3.4000379999999999</v>
      </c>
      <c r="E2239">
        <v>0.51669419999999999</v>
      </c>
      <c r="F2239" t="s">
        <v>41</v>
      </c>
      <c r="G2239">
        <v>-230.40710000000001</v>
      </c>
      <c r="H2239">
        <v>1.035255</v>
      </c>
      <c r="I2239">
        <v>281.48860000000002</v>
      </c>
      <c r="J2239">
        <v>-229.75380000000001</v>
      </c>
      <c r="K2239">
        <v>1.1092789999999999</v>
      </c>
      <c r="L2239">
        <v>281.47129999999999</v>
      </c>
      <c r="M2239">
        <v>-0.99982800000000005</v>
      </c>
      <c r="N2239">
        <v>0</v>
      </c>
      <c r="O2239">
        <v>-1.4032019999999999E-2</v>
      </c>
      <c r="P2239">
        <v>-0.98009579999999996</v>
      </c>
      <c r="Q2239">
        <v>0.19643869999999999</v>
      </c>
      <c r="R2239">
        <v>-2.8709999999999999E-2</v>
      </c>
      <c r="S2239">
        <v>-3.123383</v>
      </c>
      <c r="T2239">
        <v>-0.30163440000000002</v>
      </c>
      <c r="U2239">
        <v>6.8695069999999997E-2</v>
      </c>
      <c r="V2239">
        <v>-1.429363E-2</v>
      </c>
      <c r="W2239">
        <v>0.2083535</v>
      </c>
      <c r="X2239">
        <v>0.97794910000000002</v>
      </c>
      <c r="Y2239">
        <v>3.578431E-2</v>
      </c>
      <c r="Z2239">
        <v>3.0756070000000002E-3</v>
      </c>
      <c r="AA2239">
        <v>0.99935479999999999</v>
      </c>
      <c r="AB2239">
        <v>21</v>
      </c>
      <c r="AC2239">
        <v>-0.65330000000000099</v>
      </c>
      <c r="AD2239">
        <v>-7.4024000000000006E-2</v>
      </c>
      <c r="AE2239">
        <v>1.7300000000034201E-2</v>
      </c>
      <c r="AF2239">
        <v>2.6130839421869698E-2</v>
      </c>
      <c r="AG2239">
        <v>-7.4024000000000006E-2</v>
      </c>
      <c r="AH2239">
        <v>0.64472133964965395</v>
      </c>
      <c r="AI2239">
        <v>96.544436375787001</v>
      </c>
      <c r="AJ2239">
        <v>87.679047192607101</v>
      </c>
      <c r="AK2239">
        <v>0.64948285515826798</v>
      </c>
      <c r="AL2239">
        <v>77.974119008796706</v>
      </c>
      <c r="AM2239">
        <v>90.837371150727094</v>
      </c>
      <c r="AN2239">
        <v>0.99999996550581705</v>
      </c>
    </row>
    <row r="2240" spans="1:40" x14ac:dyDescent="0.25">
      <c r="A2240" t="str">
        <f>"20190312172127467"</f>
        <v>20190312172127467</v>
      </c>
      <c r="B2240" t="str">
        <f>"1552382487463113"</f>
        <v>1552382487463113</v>
      </c>
      <c r="C2240" t="s">
        <v>40</v>
      </c>
      <c r="D2240">
        <v>3.364935</v>
      </c>
      <c r="E2240">
        <v>0.5167138</v>
      </c>
      <c r="F2240" t="s">
        <v>41</v>
      </c>
      <c r="G2240">
        <v>-230.5951</v>
      </c>
      <c r="H2240">
        <v>1.032948</v>
      </c>
      <c r="I2240">
        <v>281.49009999999998</v>
      </c>
      <c r="J2240">
        <v>-229.9273</v>
      </c>
      <c r="K2240">
        <v>1.1093189999999999</v>
      </c>
      <c r="L2240">
        <v>281.471</v>
      </c>
      <c r="M2240">
        <v>-0.99985210000000002</v>
      </c>
      <c r="N2240">
        <v>0</v>
      </c>
      <c r="O2240">
        <v>-1.221211E-2</v>
      </c>
      <c r="P2240">
        <v>-0.98017670000000001</v>
      </c>
      <c r="Q2240">
        <v>0.19594790000000001</v>
      </c>
      <c r="R2240">
        <v>-2.929356E-2</v>
      </c>
      <c r="S2240">
        <v>-3.119675</v>
      </c>
      <c r="T2240">
        <v>-0.28299200000000002</v>
      </c>
      <c r="U2240">
        <v>6.9854739999999999E-2</v>
      </c>
      <c r="V2240">
        <v>-1.6685749999999999E-2</v>
      </c>
      <c r="W2240">
        <v>0.20785999999999999</v>
      </c>
      <c r="X2240">
        <v>0.97801629999999995</v>
      </c>
      <c r="Y2240">
        <v>3.4403030000000001E-2</v>
      </c>
      <c r="Z2240">
        <v>2.6624700000000001E-3</v>
      </c>
      <c r="AA2240">
        <v>0.99940450000000003</v>
      </c>
      <c r="AB2240">
        <v>21</v>
      </c>
      <c r="AC2240">
        <v>-0.66779999999999895</v>
      </c>
      <c r="AD2240">
        <v>-7.6370999999999897E-2</v>
      </c>
      <c r="AE2240">
        <v>1.9099999999980299E-2</v>
      </c>
      <c r="AF2240">
        <v>2.6902854172373598E-2</v>
      </c>
      <c r="AG2240">
        <v>-7.6370999999999897E-2</v>
      </c>
      <c r="AH2240">
        <v>0.65890634047181895</v>
      </c>
      <c r="AI2240">
        <v>96.6059512970714</v>
      </c>
      <c r="AJ2240">
        <v>87.661937335834196</v>
      </c>
      <c r="AK2240">
        <v>0.66386283125174606</v>
      </c>
      <c r="AL2240">
        <v>78.003028282326298</v>
      </c>
      <c r="AM2240">
        <v>90.977417566835598</v>
      </c>
      <c r="AN2240">
        <v>1.0000000384593699</v>
      </c>
    </row>
    <row r="2241" spans="1:40" x14ac:dyDescent="0.25">
      <c r="A2241" t="str">
        <f>"20190312172127477"</f>
        <v>20190312172127477</v>
      </c>
      <c r="B2241" t="str">
        <f>"1552382487472873"</f>
        <v>1552382487472873</v>
      </c>
      <c r="C2241" t="s">
        <v>40</v>
      </c>
      <c r="D2241">
        <v>3.3353630000000001</v>
      </c>
      <c r="E2241">
        <v>0.51673639999999998</v>
      </c>
      <c r="F2241" t="s">
        <v>41</v>
      </c>
      <c r="G2241">
        <v>-230.78639999999999</v>
      </c>
      <c r="H2241">
        <v>1.0370950000000001</v>
      </c>
      <c r="I2241">
        <v>281.49020000000002</v>
      </c>
      <c r="J2241">
        <v>-230.0395</v>
      </c>
      <c r="K2241">
        <v>1.1093489999999999</v>
      </c>
      <c r="L2241">
        <v>281.47089999999997</v>
      </c>
      <c r="M2241">
        <v>-0.99986560000000002</v>
      </c>
      <c r="N2241">
        <v>0</v>
      </c>
      <c r="O2241">
        <v>-1.1066990000000001E-2</v>
      </c>
      <c r="P2241">
        <v>-0.98026559999999996</v>
      </c>
      <c r="Q2241">
        <v>0.1955307</v>
      </c>
      <c r="R2241">
        <v>-2.9108539999999999E-2</v>
      </c>
      <c r="S2241">
        <v>-3.1151430000000002</v>
      </c>
      <c r="T2241">
        <v>-0.2619764</v>
      </c>
      <c r="U2241">
        <v>6.8908689999999995E-2</v>
      </c>
      <c r="V2241">
        <v>-1.7640590000000001E-2</v>
      </c>
      <c r="W2241">
        <v>0.20743739999999999</v>
      </c>
      <c r="X2241">
        <v>0.97808919999999999</v>
      </c>
      <c r="Y2241">
        <v>3.3023320000000002E-2</v>
      </c>
      <c r="Z2241">
        <v>2.315016E-3</v>
      </c>
      <c r="AA2241">
        <v>0.99945189999999995</v>
      </c>
      <c r="AB2241">
        <v>21</v>
      </c>
      <c r="AC2241">
        <v>-0.74689999999998202</v>
      </c>
      <c r="AD2241">
        <v>-7.2253999999999804E-2</v>
      </c>
      <c r="AE2241">
        <v>1.9300000000043799E-2</v>
      </c>
      <c r="AF2241">
        <v>2.7309952131207502E-2</v>
      </c>
      <c r="AG2241">
        <v>-7.2253999999999804E-2</v>
      </c>
      <c r="AH2241">
        <v>0.73972268585942902</v>
      </c>
      <c r="AI2241">
        <v>95.575016787349696</v>
      </c>
      <c r="AJ2241">
        <v>87.885647314298794</v>
      </c>
      <c r="AK2241">
        <v>0.74374466450287602</v>
      </c>
      <c r="AL2241">
        <v>78.027780221348195</v>
      </c>
      <c r="AM2241">
        <v>91.033261366411807</v>
      </c>
      <c r="AN2241">
        <v>0.99999997424547304</v>
      </c>
    </row>
    <row r="2242" spans="1:40" x14ac:dyDescent="0.25">
      <c r="A2242" t="str">
        <f>"20190312172127490"</f>
        <v>20190312172127490</v>
      </c>
      <c r="B2242" t="str">
        <f>"1552382487482633"</f>
        <v>1552382487482633</v>
      </c>
      <c r="C2242" t="s">
        <v>40</v>
      </c>
      <c r="D2242">
        <v>3.384595</v>
      </c>
      <c r="E2242">
        <v>0.51677819999999997</v>
      </c>
      <c r="F2242" t="s">
        <v>41</v>
      </c>
      <c r="G2242">
        <v>-230.7946</v>
      </c>
      <c r="H2242">
        <v>1.047587</v>
      </c>
      <c r="I2242">
        <v>281.488</v>
      </c>
      <c r="J2242">
        <v>-230.15369999999999</v>
      </c>
      <c r="K2242">
        <v>1.109383</v>
      </c>
      <c r="L2242">
        <v>281.47089999999997</v>
      </c>
      <c r="M2242">
        <v>-0.99987749999999997</v>
      </c>
      <c r="N2242">
        <v>0</v>
      </c>
      <c r="O2242">
        <v>-9.9425150000000007E-3</v>
      </c>
      <c r="P2242">
        <v>-0.98036540000000005</v>
      </c>
      <c r="Q2242">
        <v>0.19503190000000001</v>
      </c>
      <c r="R2242">
        <v>-2.9096859999999999E-2</v>
      </c>
      <c r="S2242">
        <v>-3.1132810000000002</v>
      </c>
      <c r="T2242">
        <v>-0.25468099999999999</v>
      </c>
      <c r="U2242">
        <v>6.97937E-2</v>
      </c>
      <c r="V2242">
        <v>-1.874936E-2</v>
      </c>
      <c r="W2242">
        <v>0.2069336</v>
      </c>
      <c r="X2242">
        <v>0.97817529999999997</v>
      </c>
      <c r="Y2242">
        <v>3.2211299999999998E-2</v>
      </c>
      <c r="Z2242">
        <v>2.1271150000000002E-3</v>
      </c>
      <c r="AA2242">
        <v>0.9994788</v>
      </c>
      <c r="AB2242">
        <v>21</v>
      </c>
      <c r="AC2242">
        <v>-0.64090000000001601</v>
      </c>
      <c r="AD2242">
        <v>-6.17959999999999E-2</v>
      </c>
      <c r="AE2242">
        <v>1.71000000000276E-2</v>
      </c>
      <c r="AF2242">
        <v>2.3255724807057E-2</v>
      </c>
      <c r="AG2242">
        <v>-6.17959999999999E-2</v>
      </c>
      <c r="AH2242">
        <v>0.63480077898774401</v>
      </c>
      <c r="AI2242">
        <v>95.556353595190998</v>
      </c>
      <c r="AJ2242">
        <v>87.901925598191596</v>
      </c>
      <c r="AK2242">
        <v>0.63822535467948005</v>
      </c>
      <c r="AL2242">
        <v>78.0572861989573</v>
      </c>
      <c r="AM2242">
        <v>91.0980932196032</v>
      </c>
      <c r="AN2242">
        <v>0.99999998541972901</v>
      </c>
    </row>
    <row r="2243" spans="1:40" x14ac:dyDescent="0.25">
      <c r="A2243" t="str">
        <f>"20190312172127503"</f>
        <v>20190312172127503</v>
      </c>
      <c r="B2243" t="str">
        <f>"1552382487493368"</f>
        <v>1552382487493368</v>
      </c>
      <c r="C2243" t="s">
        <v>40</v>
      </c>
      <c r="D2243">
        <v>3.36076</v>
      </c>
      <c r="E2243">
        <v>0.51665399999999995</v>
      </c>
      <c r="F2243" t="s">
        <v>41</v>
      </c>
      <c r="G2243">
        <v>-230.98009999999999</v>
      </c>
      <c r="H2243">
        <v>1.0435570000000001</v>
      </c>
      <c r="I2243">
        <v>281.4898</v>
      </c>
      <c r="J2243">
        <v>-230.273</v>
      </c>
      <c r="K2243">
        <v>1.1094139999999999</v>
      </c>
      <c r="L2243">
        <v>281.47109999999998</v>
      </c>
      <c r="M2243">
        <v>-0.99988849999999996</v>
      </c>
      <c r="N2243">
        <v>0</v>
      </c>
      <c r="O2243">
        <v>-8.7885009999999902E-3</v>
      </c>
      <c r="P2243">
        <v>-0.98049169999999997</v>
      </c>
      <c r="Q2243">
        <v>0.194468</v>
      </c>
      <c r="R2243">
        <v>-2.861257E-2</v>
      </c>
      <c r="S2243">
        <v>-3.1114809999999999</v>
      </c>
      <c r="T2243">
        <v>-0.24787809999999999</v>
      </c>
      <c r="U2243">
        <v>7.0617680000000002E-2</v>
      </c>
      <c r="V2243">
        <v>-1.9415479999999999E-2</v>
      </c>
      <c r="W2243">
        <v>0.20636299999999999</v>
      </c>
      <c r="X2243">
        <v>0.97828289999999996</v>
      </c>
      <c r="Y2243">
        <v>3.1348899999999999E-2</v>
      </c>
      <c r="Z2243">
        <v>1.945586E-3</v>
      </c>
      <c r="AA2243">
        <v>0.99950660000000002</v>
      </c>
      <c r="AB2243">
        <v>21</v>
      </c>
      <c r="AC2243">
        <v>-0.70709999999999695</v>
      </c>
      <c r="AD2243">
        <v>-6.5856999999999805E-2</v>
      </c>
      <c r="AE2243">
        <v>1.8700000000023899E-2</v>
      </c>
      <c r="AF2243">
        <v>2.4699970640438301E-2</v>
      </c>
      <c r="AG2243">
        <v>-6.5856999999999805E-2</v>
      </c>
      <c r="AH2243">
        <v>0.70083323348368498</v>
      </c>
      <c r="AI2243">
        <v>95.364984321985403</v>
      </c>
      <c r="AJ2243">
        <v>87.981519012661096</v>
      </c>
      <c r="AK2243">
        <v>0.70435392676823705</v>
      </c>
      <c r="AL2243">
        <v>78.090701073744398</v>
      </c>
      <c r="AM2243">
        <v>91.136970748018797</v>
      </c>
      <c r="AN2243">
        <v>1.00000004053251</v>
      </c>
    </row>
    <row r="2244" spans="1:40" x14ac:dyDescent="0.25">
      <c r="A2244" t="str">
        <f>"20190312172127515"</f>
        <v>20190312172127515</v>
      </c>
      <c r="B2244" t="str">
        <f>"1552382487512889"</f>
        <v>1552382487512889</v>
      </c>
      <c r="C2244" t="s">
        <v>40</v>
      </c>
      <c r="D2244">
        <v>3.3264339999999901</v>
      </c>
      <c r="E2244">
        <v>0.51650909999999906</v>
      </c>
      <c r="F2244" t="s">
        <v>41</v>
      </c>
      <c r="G2244">
        <v>-231.166</v>
      </c>
      <c r="H2244">
        <v>1.0400720000000001</v>
      </c>
      <c r="I2244">
        <v>281.49160000000001</v>
      </c>
      <c r="J2244">
        <v>-230.39760000000001</v>
      </c>
      <c r="K2244">
        <v>1.10945</v>
      </c>
      <c r="L2244">
        <v>281.47129999999999</v>
      </c>
      <c r="M2244">
        <v>-0.99989810000000001</v>
      </c>
      <c r="N2244">
        <v>0</v>
      </c>
      <c r="O2244">
        <v>-7.6298879999999996E-3</v>
      </c>
      <c r="P2244">
        <v>-0.98053729999999995</v>
      </c>
      <c r="Q2244">
        <v>0.19432669999999999</v>
      </c>
      <c r="R2244">
        <v>-2.8003139999999999E-2</v>
      </c>
      <c r="S2244">
        <v>-3.10968</v>
      </c>
      <c r="T2244">
        <v>-0.24149789999999999</v>
      </c>
      <c r="U2244">
        <v>7.0922849999999996E-2</v>
      </c>
      <c r="V2244">
        <v>-1.9962830000000001E-2</v>
      </c>
      <c r="W2244">
        <v>0.2062137</v>
      </c>
      <c r="X2244">
        <v>0.97830329999999999</v>
      </c>
      <c r="Y2244">
        <v>3.0314790000000001E-2</v>
      </c>
      <c r="Z2244">
        <v>1.766824E-3</v>
      </c>
      <c r="AA2244">
        <v>0.99953879999999995</v>
      </c>
      <c r="AB2244">
        <v>21</v>
      </c>
      <c r="AC2244">
        <v>-0.76839999999998498</v>
      </c>
      <c r="AD2244">
        <v>-6.9378000000000106E-2</v>
      </c>
      <c r="AE2244">
        <v>2.0300000000020101E-2</v>
      </c>
      <c r="AF2244">
        <v>2.5951232572809999E-2</v>
      </c>
      <c r="AG2244">
        <v>-6.9378000000000106E-2</v>
      </c>
      <c r="AH2244">
        <v>0.76201505124507696</v>
      </c>
      <c r="AI2244">
        <v>95.199179693978806</v>
      </c>
      <c r="AJ2244">
        <v>88.049485170701601</v>
      </c>
      <c r="AK2244">
        <v>0.76560676047177501</v>
      </c>
      <c r="AL2244">
        <v>78.099442586572394</v>
      </c>
      <c r="AM2244">
        <v>91.168990427869304</v>
      </c>
      <c r="AN2244">
        <v>0.99999997572009403</v>
      </c>
    </row>
    <row r="2245" spans="1:40" x14ac:dyDescent="0.25">
      <c r="A2245" t="str">
        <f>"20190312172127535"</f>
        <v>20190312172127535</v>
      </c>
      <c r="B2245" t="str">
        <f>"1552382487533384"</f>
        <v>1552382487533384</v>
      </c>
      <c r="C2245" t="s">
        <v>40</v>
      </c>
      <c r="D2245">
        <v>3.3787929999999999</v>
      </c>
      <c r="E2245">
        <v>0.51641979999999998</v>
      </c>
      <c r="F2245" t="s">
        <v>46</v>
      </c>
      <c r="G2245">
        <v>-245.42140000000001</v>
      </c>
      <c r="H2245" s="1">
        <v>1.348219E-6</v>
      </c>
      <c r="I2245">
        <v>281.81580000000002</v>
      </c>
      <c r="J2245">
        <v>-230.57900000000001</v>
      </c>
      <c r="K2245">
        <v>1.109497</v>
      </c>
      <c r="L2245">
        <v>281.47190000000001</v>
      </c>
      <c r="M2245">
        <v>-0.99990919999999905</v>
      </c>
      <c r="N2245">
        <v>0</v>
      </c>
      <c r="O2245">
        <v>-6.0087269999999898E-3</v>
      </c>
      <c r="P2245">
        <v>-0.98063739999999999</v>
      </c>
      <c r="Q2245">
        <v>0.19380810000000001</v>
      </c>
      <c r="R2245">
        <v>-2.8089309999999999E-2</v>
      </c>
      <c r="S2245">
        <v>-3.1070709999999999</v>
      </c>
      <c r="T2245">
        <v>-0.22944429999999999</v>
      </c>
      <c r="U2245">
        <v>7.1228029999999998E-2</v>
      </c>
      <c r="V2245">
        <v>-2.166935E-2</v>
      </c>
      <c r="W2245">
        <v>0.20568690000000001</v>
      </c>
      <c r="X2245">
        <v>0.97837790000000002</v>
      </c>
      <c r="Y2245">
        <v>2.8830830000000002E-2</v>
      </c>
      <c r="Z2245">
        <v>1.506028E-3</v>
      </c>
      <c r="AA2245">
        <v>0.99958320000000001</v>
      </c>
      <c r="AB2245">
        <v>21</v>
      </c>
      <c r="AC2245">
        <v>-14.8423999999999</v>
      </c>
      <c r="AD2245">
        <v>-1.109495651781</v>
      </c>
      <c r="AE2245">
        <v>0.34390000000001902</v>
      </c>
      <c r="AF2245">
        <v>0.43067894059977402</v>
      </c>
      <c r="AG2245">
        <v>-1.109495651781</v>
      </c>
      <c r="AH2245">
        <v>14.7576465383588</v>
      </c>
      <c r="AI2245">
        <v>94.297646837303304</v>
      </c>
      <c r="AJ2245">
        <v>88.328386317331294</v>
      </c>
      <c r="AK2245">
        <v>14.8055596416458</v>
      </c>
      <c r="AL2245">
        <v>78.130287390585593</v>
      </c>
      <c r="AM2245">
        <v>91.268793321710206</v>
      </c>
      <c r="AN2245">
        <v>0.99999998838472104</v>
      </c>
    </row>
    <row r="2246" spans="1:40" x14ac:dyDescent="0.25">
      <c r="A2246" t="str">
        <f>"20190312172127555"</f>
        <v>20190312172127555</v>
      </c>
      <c r="B2246" t="str">
        <f>"1552382487552905"</f>
        <v>1552382487552905</v>
      </c>
      <c r="C2246" t="s">
        <v>40</v>
      </c>
      <c r="D2246">
        <v>3.3726780000000001</v>
      </c>
      <c r="E2246">
        <v>0.5163141</v>
      </c>
      <c r="F2246" t="s">
        <v>46</v>
      </c>
      <c r="G2246">
        <v>-246.0977</v>
      </c>
      <c r="H2246" s="1">
        <v>1.708092E-6</v>
      </c>
      <c r="I2246">
        <v>281.82170000000002</v>
      </c>
      <c r="J2246">
        <v>-230.77340000000001</v>
      </c>
      <c r="K2246">
        <v>1.1095619999999999</v>
      </c>
      <c r="L2246">
        <v>281.47269999999997</v>
      </c>
      <c r="M2246">
        <v>-0.99991770000000002</v>
      </c>
      <c r="N2246">
        <v>0</v>
      </c>
      <c r="O2246">
        <v>-4.3622460000000002E-3</v>
      </c>
      <c r="P2246">
        <v>-0.98074570000000005</v>
      </c>
      <c r="Q2246">
        <v>0.19326689999999999</v>
      </c>
      <c r="R2246">
        <v>-2.803079E-2</v>
      </c>
      <c r="S2246">
        <v>-3.1051329999999999</v>
      </c>
      <c r="T2246">
        <v>-0.22199869999999999</v>
      </c>
      <c r="U2246">
        <v>6.997681E-2</v>
      </c>
      <c r="V2246">
        <v>-2.3259189999999999E-2</v>
      </c>
      <c r="W2246">
        <v>0.20513619999999999</v>
      </c>
      <c r="X2246">
        <v>0.97845700000000002</v>
      </c>
      <c r="Y2246">
        <v>2.681184E-2</v>
      </c>
      <c r="Z2246">
        <v>1.2685649999999999E-3</v>
      </c>
      <c r="AA2246">
        <v>0.99963970000000002</v>
      </c>
      <c r="AB2246">
        <v>21</v>
      </c>
      <c r="AC2246">
        <v>-15.3242999999999</v>
      </c>
      <c r="AD2246">
        <v>-1.1095602919079901</v>
      </c>
      <c r="AE2246">
        <v>0.349000000000046</v>
      </c>
      <c r="AF2246">
        <v>0.41368229561557401</v>
      </c>
      <c r="AG2246">
        <v>-1.1095602919079901</v>
      </c>
      <c r="AH2246">
        <v>15.2427624989466</v>
      </c>
      <c r="AI2246">
        <v>94.161838432683595</v>
      </c>
      <c r="AJ2246">
        <v>88.445397754141695</v>
      </c>
      <c r="AK2246">
        <v>15.288690777250199</v>
      </c>
      <c r="AL2246">
        <v>78.162527526495495</v>
      </c>
      <c r="AM2246">
        <v>91.361738421641206</v>
      </c>
      <c r="AN2246">
        <v>0.99999997565944698</v>
      </c>
    </row>
    <row r="2247" spans="1:40" x14ac:dyDescent="0.25">
      <c r="A2247" t="str">
        <f>"20190312172127567"</f>
        <v>20190312172127567</v>
      </c>
      <c r="B2247" t="str">
        <f>"1552382487562665"</f>
        <v>1552382487562665</v>
      </c>
      <c r="C2247" t="s">
        <v>40</v>
      </c>
      <c r="D2247">
        <v>3.3501940000000001</v>
      </c>
      <c r="E2247">
        <v>0.51621170000000005</v>
      </c>
      <c r="F2247" t="s">
        <v>46</v>
      </c>
      <c r="G2247">
        <v>-246.6848</v>
      </c>
      <c r="H2247" s="1">
        <v>2.0205450000000002E-6</v>
      </c>
      <c r="I2247">
        <v>281.82960000000003</v>
      </c>
      <c r="J2247">
        <v>-230.88640000000001</v>
      </c>
      <c r="K2247">
        <v>1.10959599999999</v>
      </c>
      <c r="L2247">
        <v>281.47329999999999</v>
      </c>
      <c r="M2247">
        <v>-0.99992150000000002</v>
      </c>
      <c r="N2247">
        <v>0</v>
      </c>
      <c r="O2247">
        <v>-3.4526470000000001E-3</v>
      </c>
      <c r="P2247">
        <v>-0.98075939999999995</v>
      </c>
      <c r="Q2247">
        <v>0.19321840000000001</v>
      </c>
      <c r="R2247">
        <v>-2.789177E-2</v>
      </c>
      <c r="S2247">
        <v>-3.1035159999999999</v>
      </c>
      <c r="T2247">
        <v>-0.2164191</v>
      </c>
      <c r="U2247">
        <v>6.9610599999999995E-2</v>
      </c>
      <c r="V2247">
        <v>-2.4031170000000001E-2</v>
      </c>
      <c r="W2247">
        <v>0.20508109999999999</v>
      </c>
      <c r="X2247">
        <v>0.97844989999999998</v>
      </c>
      <c r="Y2247">
        <v>2.5804839999999999E-2</v>
      </c>
      <c r="Z2247">
        <v>1.1389900000000001E-3</v>
      </c>
      <c r="AA2247">
        <v>0.99966630000000001</v>
      </c>
      <c r="AB2247">
        <v>21</v>
      </c>
      <c r="AC2247">
        <v>-15.7983999999999</v>
      </c>
      <c r="AD2247">
        <v>-1.1095939794549901</v>
      </c>
      <c r="AE2247">
        <v>0.35630000000003198</v>
      </c>
      <c r="AF2247">
        <v>0.40883242873789599</v>
      </c>
      <c r="AG2247">
        <v>-1.1095939794549901</v>
      </c>
      <c r="AH2247">
        <v>15.7195719591674</v>
      </c>
      <c r="AI2247">
        <v>94.036267355987306</v>
      </c>
      <c r="AJ2247">
        <v>88.510195225787498</v>
      </c>
      <c r="AK2247">
        <v>15.763986974540201</v>
      </c>
      <c r="AL2247">
        <v>78.165753163543798</v>
      </c>
      <c r="AM2247">
        <v>91.406927288875707</v>
      </c>
      <c r="AN2247">
        <v>0.999999980759394</v>
      </c>
    </row>
    <row r="2248" spans="1:40" x14ac:dyDescent="0.25">
      <c r="A2248" t="str">
        <f>"20190312172127589"</f>
        <v>20190312172127589</v>
      </c>
      <c r="B2248" t="str">
        <f>"1552382487583162"</f>
        <v>1552382487583162</v>
      </c>
      <c r="C2248" t="s">
        <v>40</v>
      </c>
      <c r="D2248">
        <v>3.365211</v>
      </c>
      <c r="E2248">
        <v>0.51589200000000002</v>
      </c>
      <c r="F2248" t="s">
        <v>46</v>
      </c>
      <c r="G2248">
        <v>-247.01499999999999</v>
      </c>
      <c r="H2248" s="1">
        <v>2.1962440000000002E-6</v>
      </c>
      <c r="I2248">
        <v>281.8313</v>
      </c>
      <c r="J2248">
        <v>-231.0898</v>
      </c>
      <c r="K2248">
        <v>1.109661</v>
      </c>
      <c r="L2248">
        <v>281.47449999999998</v>
      </c>
      <c r="M2248">
        <v>-0.99992570000000003</v>
      </c>
      <c r="N2248">
        <v>0</v>
      </c>
      <c r="O2248">
        <v>-1.8913199999999999E-3</v>
      </c>
      <c r="P2248">
        <v>-0.98085</v>
      </c>
      <c r="Q2248">
        <v>0.19271949999999999</v>
      </c>
      <c r="R2248">
        <v>-2.8151160000000001E-2</v>
      </c>
      <c r="S2248">
        <v>-3.102859</v>
      </c>
      <c r="T2248">
        <v>-0.21346689999999999</v>
      </c>
      <c r="U2248">
        <v>6.8878170000000002E-2</v>
      </c>
      <c r="V2248">
        <v>-2.5855860000000001E-2</v>
      </c>
      <c r="W2248">
        <v>0.2045719</v>
      </c>
      <c r="X2248">
        <v>0.97850999999999999</v>
      </c>
      <c r="Y2248">
        <v>2.402255E-2</v>
      </c>
      <c r="Z2248">
        <v>9.5521829999999997E-4</v>
      </c>
      <c r="AA2248">
        <v>0.99971100000000002</v>
      </c>
      <c r="AB2248">
        <v>21</v>
      </c>
      <c r="AC2248">
        <v>-15.925199999999901</v>
      </c>
      <c r="AD2248">
        <v>-1.109658803756</v>
      </c>
      <c r="AE2248">
        <v>0.35680000000002099</v>
      </c>
      <c r="AF2248">
        <v>0.38505261704245802</v>
      </c>
      <c r="AG2248">
        <v>-1.109658803756</v>
      </c>
      <c r="AH2248">
        <v>15.8475916617989</v>
      </c>
      <c r="AI2248">
        <v>94.004172889606807</v>
      </c>
      <c r="AJ2248">
        <v>88.608144984915995</v>
      </c>
      <c r="AK2248">
        <v>15.8910594252794</v>
      </c>
      <c r="AL2248">
        <v>78.195560411473096</v>
      </c>
      <c r="AM2248">
        <v>91.513614591054903</v>
      </c>
      <c r="AN2248">
        <v>1.0000000039329699</v>
      </c>
    </row>
    <row r="2249" spans="1:40" x14ac:dyDescent="0.25">
      <c r="A2249" t="str">
        <f>"20190312172127601"</f>
        <v>20190312172127601</v>
      </c>
      <c r="B2249" t="str">
        <f>"1552382487592920"</f>
        <v>1552382487592920</v>
      </c>
      <c r="C2249" t="s">
        <v>40</v>
      </c>
      <c r="D2249">
        <v>3.35941</v>
      </c>
      <c r="E2249">
        <v>0.51572169999999995</v>
      </c>
      <c r="F2249" t="s">
        <v>46</v>
      </c>
      <c r="G2249">
        <v>-247.5412</v>
      </c>
      <c r="H2249" s="1">
        <v>2.476281E-6</v>
      </c>
      <c r="I2249">
        <v>281.8193</v>
      </c>
      <c r="J2249">
        <v>-231.2088</v>
      </c>
      <c r="K2249">
        <v>1.109696</v>
      </c>
      <c r="L2249">
        <v>281.4753</v>
      </c>
      <c r="M2249">
        <v>-0.99992729999999996</v>
      </c>
      <c r="N2249">
        <v>0</v>
      </c>
      <c r="O2249">
        <v>-1.014266E-3</v>
      </c>
      <c r="P2249">
        <v>-0.98099369999999997</v>
      </c>
      <c r="Q2249">
        <v>0.19197420000000001</v>
      </c>
      <c r="R2249">
        <v>-2.823925E-2</v>
      </c>
      <c r="S2249">
        <v>-3.1015320000000002</v>
      </c>
      <c r="T2249">
        <v>-0.20919969999999999</v>
      </c>
      <c r="U2249">
        <v>6.5002439999999995E-2</v>
      </c>
      <c r="V2249">
        <v>-2.6823650000000001E-2</v>
      </c>
      <c r="W2249">
        <v>0.2038218</v>
      </c>
      <c r="X2249">
        <v>0.97864039999999997</v>
      </c>
      <c r="Y2249">
        <v>2.19156E-2</v>
      </c>
      <c r="Z2249">
        <v>8.0652169999999995E-4</v>
      </c>
      <c r="AA2249">
        <v>0.99975950000000002</v>
      </c>
      <c r="AB2249">
        <v>21</v>
      </c>
      <c r="AC2249">
        <v>-16.3324</v>
      </c>
      <c r="AD2249">
        <v>-1.109693523719</v>
      </c>
      <c r="AE2249">
        <v>0.34399999999999398</v>
      </c>
      <c r="AF2249">
        <v>0.35891026813918497</v>
      </c>
      <c r="AG2249">
        <v>-1.109693523719</v>
      </c>
      <c r="AH2249">
        <v>16.2570265481612</v>
      </c>
      <c r="AI2249">
        <v>93.9039651639536</v>
      </c>
      <c r="AJ2249">
        <v>88.735272806401198</v>
      </c>
      <c r="AK2249">
        <v>16.298808192158599</v>
      </c>
      <c r="AL2249">
        <v>78.239462170208995</v>
      </c>
      <c r="AM2249">
        <v>91.570032510671595</v>
      </c>
      <c r="AN2249">
        <v>0.99999993343335902</v>
      </c>
    </row>
    <row r="2250" spans="1:40" x14ac:dyDescent="0.25">
      <c r="A2250" t="str">
        <f>"20190312172127613"</f>
        <v>20190312172127613</v>
      </c>
      <c r="B2250" t="str">
        <f>"1552382487603657"</f>
        <v>1552382487603657</v>
      </c>
      <c r="C2250" t="s">
        <v>40</v>
      </c>
      <c r="D2250">
        <v>3.3645119999999999</v>
      </c>
      <c r="E2250">
        <v>0.51557089999999905</v>
      </c>
      <c r="F2250" t="s">
        <v>41</v>
      </c>
      <c r="G2250">
        <v>-232.12520000000001</v>
      </c>
      <c r="H2250">
        <v>1.04799</v>
      </c>
      <c r="I2250">
        <v>281.4941</v>
      </c>
      <c r="J2250">
        <v>-231.32390000000001</v>
      </c>
      <c r="K2250">
        <v>1.109723</v>
      </c>
      <c r="L2250">
        <v>281.47620000000001</v>
      </c>
      <c r="M2250">
        <v>-0.99992769999999997</v>
      </c>
      <c r="N2250">
        <v>0</v>
      </c>
      <c r="O2250">
        <v>-2.022359E-4</v>
      </c>
      <c r="P2250">
        <v>-0.98101349999999998</v>
      </c>
      <c r="Q2250">
        <v>0.19184039999999999</v>
      </c>
      <c r="R2250">
        <v>-2.8463349999999998E-2</v>
      </c>
      <c r="S2250">
        <v>-3.1008300000000002</v>
      </c>
      <c r="T2250">
        <v>-0.20889469999999999</v>
      </c>
      <c r="U2250">
        <v>6.3201900000000005E-2</v>
      </c>
      <c r="V2250">
        <v>-2.786042E-2</v>
      </c>
      <c r="W2250">
        <v>0.20368269999999999</v>
      </c>
      <c r="X2250">
        <v>0.97864039999999997</v>
      </c>
      <c r="Y2250">
        <v>2.0533249999999999E-2</v>
      </c>
      <c r="Z2250">
        <v>7.043889E-4</v>
      </c>
      <c r="AA2250">
        <v>0.99978889999999998</v>
      </c>
      <c r="AB2250">
        <v>21</v>
      </c>
      <c r="AC2250">
        <v>-0.80129999999999701</v>
      </c>
      <c r="AD2250">
        <v>-6.1733000000000003E-2</v>
      </c>
      <c r="AE2250">
        <v>1.78999999999973E-2</v>
      </c>
      <c r="AF2250">
        <v>1.7955544145224302E-2</v>
      </c>
      <c r="AG2250">
        <v>-6.1733000000000003E-2</v>
      </c>
      <c r="AH2250">
        <v>0.79657081505551297</v>
      </c>
      <c r="AI2250">
        <v>94.430355284725806</v>
      </c>
      <c r="AJ2250">
        <v>88.708711527134398</v>
      </c>
      <c r="AK2250">
        <v>0.79916107778892498</v>
      </c>
      <c r="AL2250">
        <v>78.247602848688999</v>
      </c>
      <c r="AM2250">
        <v>91.630684214545298</v>
      </c>
      <c r="AN2250">
        <v>0.999999938897011</v>
      </c>
    </row>
    <row r="2251" spans="1:40" x14ac:dyDescent="0.25">
      <c r="A2251" t="str">
        <f>"20190312172127626"</f>
        <v>20190312172127626</v>
      </c>
      <c r="B2251" t="str">
        <f>"1552382487623177"</f>
        <v>1552382487623177</v>
      </c>
      <c r="C2251" t="s">
        <v>40</v>
      </c>
      <c r="D2251">
        <v>3.3790990000000001</v>
      </c>
      <c r="E2251">
        <v>0.51529469999999999</v>
      </c>
      <c r="F2251" t="s">
        <v>46</v>
      </c>
      <c r="G2251">
        <v>-247.92910000000001</v>
      </c>
      <c r="H2251" s="1">
        <v>2.682671E-6</v>
      </c>
      <c r="I2251">
        <v>281.80130000000003</v>
      </c>
      <c r="J2251">
        <v>-231.44110000000001</v>
      </c>
      <c r="K2251">
        <v>1.1097490000000001</v>
      </c>
      <c r="L2251">
        <v>281.47710000000001</v>
      </c>
      <c r="M2251">
        <v>-0.99992760000000003</v>
      </c>
      <c r="N2251">
        <v>0</v>
      </c>
      <c r="O2251">
        <v>6.060738E-4</v>
      </c>
      <c r="P2251">
        <v>-0.98118050000000001</v>
      </c>
      <c r="Q2251">
        <v>0.19097749999999999</v>
      </c>
      <c r="R2251">
        <v>-2.8501169999999999E-2</v>
      </c>
      <c r="S2251">
        <v>-3.1003270000000001</v>
      </c>
      <c r="T2251">
        <v>-0.20719389999999999</v>
      </c>
      <c r="U2251">
        <v>6.0699459999999997E-2</v>
      </c>
      <c r="V2251">
        <v>-2.870706E-2</v>
      </c>
      <c r="W2251">
        <v>0.20281569999999999</v>
      </c>
      <c r="X2251">
        <v>0.97879609999999995</v>
      </c>
      <c r="Y2251">
        <v>1.8927800000000002E-2</v>
      </c>
      <c r="Z2251">
        <v>5.912472E-4</v>
      </c>
      <c r="AA2251">
        <v>0.99982059999999995</v>
      </c>
      <c r="AB2251">
        <v>21</v>
      </c>
      <c r="AC2251">
        <v>-16.488</v>
      </c>
      <c r="AD2251">
        <v>-1.1097463173290001</v>
      </c>
      <c r="AE2251">
        <v>0.32420000000001797</v>
      </c>
      <c r="AF2251">
        <v>0.31278984029917301</v>
      </c>
      <c r="AG2251">
        <v>-1.1097463173290001</v>
      </c>
      <c r="AH2251">
        <v>16.4138651316166</v>
      </c>
      <c r="AI2251">
        <v>93.867198337504107</v>
      </c>
      <c r="AJ2251">
        <v>88.908278539947801</v>
      </c>
      <c r="AK2251">
        <v>16.454310770491698</v>
      </c>
      <c r="AL2251">
        <v>78.298338642955699</v>
      </c>
      <c r="AM2251">
        <v>91.679943364521705</v>
      </c>
      <c r="AN2251">
        <v>1.0000000544177701</v>
      </c>
    </row>
    <row r="2252" spans="1:40" x14ac:dyDescent="0.25">
      <c r="A2252" t="str">
        <f>"20190312172127644"</f>
        <v>20190312172127644</v>
      </c>
      <c r="B2252" t="str">
        <f>"1552382487632937"</f>
        <v>1552382487632937</v>
      </c>
      <c r="C2252" t="s">
        <v>40</v>
      </c>
      <c r="D2252">
        <v>3.3471769999999998</v>
      </c>
      <c r="E2252">
        <v>0.51513959999999903</v>
      </c>
      <c r="F2252" t="s">
        <v>46</v>
      </c>
      <c r="G2252">
        <v>-248.15690000000001</v>
      </c>
      <c r="H2252" s="1">
        <v>2.8039099999999998E-6</v>
      </c>
      <c r="I2252">
        <v>281.79129999999998</v>
      </c>
      <c r="J2252">
        <v>-231.61330000000001</v>
      </c>
      <c r="K2252">
        <v>1.109775</v>
      </c>
      <c r="L2252">
        <v>281.47859999999997</v>
      </c>
      <c r="M2252">
        <v>-0.99992639999999999</v>
      </c>
      <c r="N2252">
        <v>0</v>
      </c>
      <c r="O2252">
        <v>1.7550700000000001E-3</v>
      </c>
      <c r="P2252">
        <v>-0.98140760000000005</v>
      </c>
      <c r="Q2252">
        <v>0.1897363</v>
      </c>
      <c r="R2252">
        <v>-2.898011E-2</v>
      </c>
      <c r="S2252">
        <v>-3.0992739999999999</v>
      </c>
      <c r="T2252">
        <v>-0.2057582</v>
      </c>
      <c r="U2252">
        <v>5.825806E-2</v>
      </c>
      <c r="V2252">
        <v>-3.0332649999999999E-2</v>
      </c>
      <c r="W2252">
        <v>0.20157069999999999</v>
      </c>
      <c r="X2252">
        <v>0.97900419999999999</v>
      </c>
      <c r="Y2252">
        <v>1.7005530000000001E-2</v>
      </c>
      <c r="Z2252">
        <v>4.4743400000000003E-4</v>
      </c>
      <c r="AA2252">
        <v>0.9998553</v>
      </c>
      <c r="AB2252">
        <v>21</v>
      </c>
      <c r="AC2252">
        <v>-16.543599999999898</v>
      </c>
      <c r="AD2252">
        <v>-1.10977219609</v>
      </c>
      <c r="AE2252">
        <v>0.31270000000000597</v>
      </c>
      <c r="AF2252">
        <v>0.28239195417012602</v>
      </c>
      <c r="AG2252">
        <v>-1.10977219609</v>
      </c>
      <c r="AH2252">
        <v>16.470035508475402</v>
      </c>
      <c r="AI2252">
        <v>93.854271687554302</v>
      </c>
      <c r="AJ2252">
        <v>89.017714205736397</v>
      </c>
      <c r="AK2252">
        <v>16.509797369847899</v>
      </c>
      <c r="AL2252">
        <v>78.371175900447696</v>
      </c>
      <c r="AM2252">
        <v>91.774636955769594</v>
      </c>
      <c r="AN2252">
        <v>1.0000000201860699</v>
      </c>
    </row>
    <row r="2253" spans="1:40" x14ac:dyDescent="0.25">
      <c r="A2253" t="str">
        <f>"20190312172127656"</f>
        <v>20190312172127656</v>
      </c>
      <c r="B2253" t="str">
        <f>"1552382487653433"</f>
        <v>1552382487653433</v>
      </c>
      <c r="C2253" t="s">
        <v>40</v>
      </c>
      <c r="D2253">
        <v>3.3777620000000002</v>
      </c>
      <c r="E2253">
        <v>0.51485649999999905</v>
      </c>
      <c r="F2253" t="s">
        <v>46</v>
      </c>
      <c r="G2253">
        <v>-248.14490000000001</v>
      </c>
      <c r="H2253" s="1">
        <v>2.7975209999999998E-6</v>
      </c>
      <c r="I2253">
        <v>281.77420000000001</v>
      </c>
      <c r="J2253">
        <v>-231.72970000000001</v>
      </c>
      <c r="K2253">
        <v>1.109793</v>
      </c>
      <c r="L2253">
        <v>281.4796</v>
      </c>
      <c r="M2253">
        <v>-0.99992479999999995</v>
      </c>
      <c r="N2253">
        <v>0</v>
      </c>
      <c r="O2253">
        <v>2.5087820000000002E-3</v>
      </c>
      <c r="P2253">
        <v>-0.98153639999999998</v>
      </c>
      <c r="Q2253">
        <v>0.18906870000000001</v>
      </c>
      <c r="R2253">
        <v>-2.8974630000000001E-2</v>
      </c>
      <c r="S2253">
        <v>-3.0986940000000001</v>
      </c>
      <c r="T2253">
        <v>-0.2080166</v>
      </c>
      <c r="U2253">
        <v>5.5419919999999998E-2</v>
      </c>
      <c r="V2253">
        <v>-3.107741E-2</v>
      </c>
      <c r="W2253">
        <v>0.20089950000000001</v>
      </c>
      <c r="X2253">
        <v>0.97911879999999996</v>
      </c>
      <c r="Y2253">
        <v>1.534457E-2</v>
      </c>
      <c r="Z2253">
        <v>3.4620000000000001E-4</v>
      </c>
      <c r="AA2253">
        <v>0.99988220000000005</v>
      </c>
      <c r="AB2253">
        <v>21</v>
      </c>
      <c r="AC2253">
        <v>-16.415199999999999</v>
      </c>
      <c r="AD2253">
        <v>-1.1097902024789901</v>
      </c>
      <c r="AE2253">
        <v>0.29460000000000203</v>
      </c>
      <c r="AF2253">
        <v>0.25226128976548801</v>
      </c>
      <c r="AG2253">
        <v>-1.1097902024789901</v>
      </c>
      <c r="AH2253">
        <v>16.341219559614601</v>
      </c>
      <c r="AI2253">
        <v>93.884732421979393</v>
      </c>
      <c r="AJ2253">
        <v>89.115588696582407</v>
      </c>
      <c r="AK2253">
        <v>16.3808036050544</v>
      </c>
      <c r="AL2253">
        <v>78.4104359641603</v>
      </c>
      <c r="AM2253">
        <v>91.817968199699607</v>
      </c>
      <c r="AN2253">
        <v>1.0000000195129899</v>
      </c>
    </row>
    <row r="2254" spans="1:40" x14ac:dyDescent="0.25">
      <c r="A2254" t="str">
        <f>"20190312172127669"</f>
        <v>20190312172127669</v>
      </c>
      <c r="B2254" t="str">
        <f>"1552382487663194"</f>
        <v>1552382487663194</v>
      </c>
      <c r="C2254" t="s">
        <v>40</v>
      </c>
      <c r="D2254">
        <v>3.3347639999999998</v>
      </c>
      <c r="E2254">
        <v>0.51473250000000004</v>
      </c>
      <c r="F2254" t="s">
        <v>46</v>
      </c>
      <c r="G2254">
        <v>-248.3569</v>
      </c>
      <c r="H2254" s="1">
        <v>2.9103419999999998E-6</v>
      </c>
      <c r="I2254">
        <v>281.76350000000002</v>
      </c>
      <c r="J2254">
        <v>-231.84700000000001</v>
      </c>
      <c r="K2254">
        <v>1.109804</v>
      </c>
      <c r="L2254">
        <v>281.48079999999999</v>
      </c>
      <c r="M2254">
        <v>-0.9999228</v>
      </c>
      <c r="N2254">
        <v>0</v>
      </c>
      <c r="O2254">
        <v>3.2515230000000001E-3</v>
      </c>
      <c r="P2254">
        <v>-0.98170440000000003</v>
      </c>
      <c r="Q2254">
        <v>0.1881979</v>
      </c>
      <c r="R2254">
        <v>-2.8955040000000001E-2</v>
      </c>
      <c r="S2254">
        <v>-3.0978240000000001</v>
      </c>
      <c r="T2254">
        <v>-0.20676520000000001</v>
      </c>
      <c r="U2254">
        <v>5.2886959999999997E-2</v>
      </c>
      <c r="V2254">
        <v>-3.179564E-2</v>
      </c>
      <c r="W2254">
        <v>0.20002729999999999</v>
      </c>
      <c r="X2254">
        <v>0.97927430000000004</v>
      </c>
      <c r="Y2254">
        <v>1.379498E-2</v>
      </c>
      <c r="Z2254">
        <v>2.430493E-4</v>
      </c>
      <c r="AA2254">
        <v>0.99990480000000004</v>
      </c>
      <c r="AB2254">
        <v>21</v>
      </c>
      <c r="AC2254">
        <v>-16.509899999999899</v>
      </c>
      <c r="AD2254">
        <v>-1.109801089658</v>
      </c>
      <c r="AE2254">
        <v>0.28270000000003298</v>
      </c>
      <c r="AF2254">
        <v>0.22798247130153601</v>
      </c>
      <c r="AG2254">
        <v>-1.109801089658</v>
      </c>
      <c r="AH2254">
        <v>16.436484281491101</v>
      </c>
      <c r="AI2254">
        <v>93.8624112810203</v>
      </c>
      <c r="AJ2254">
        <v>89.205329096980904</v>
      </c>
      <c r="AK2254">
        <v>16.4754863358121</v>
      </c>
      <c r="AL2254">
        <v>78.461444756325307</v>
      </c>
      <c r="AM2254">
        <v>91.859658946885006</v>
      </c>
      <c r="AN2254">
        <v>1.0000000190543901</v>
      </c>
    </row>
    <row r="2255" spans="1:40" x14ac:dyDescent="0.25">
      <c r="A2255" t="str">
        <f>"20190312172127681"</f>
        <v>20190312172127681</v>
      </c>
      <c r="B2255" t="str">
        <f>"1552382487672953"</f>
        <v>1552382487672953</v>
      </c>
      <c r="C2255" t="s">
        <v>40</v>
      </c>
      <c r="D2255">
        <v>3.3517220000000001</v>
      </c>
      <c r="E2255">
        <v>0.51459900000000003</v>
      </c>
      <c r="F2255" t="s">
        <v>46</v>
      </c>
      <c r="G2255">
        <v>-248.38200000000001</v>
      </c>
      <c r="H2255" s="1">
        <v>2.9236919999999998E-6</v>
      </c>
      <c r="I2255">
        <v>281.75799999999998</v>
      </c>
      <c r="J2255">
        <v>-231.9675</v>
      </c>
      <c r="K2255">
        <v>1.109815</v>
      </c>
      <c r="L2255">
        <v>281.4821</v>
      </c>
      <c r="M2255">
        <v>-0.99992000000000003</v>
      </c>
      <c r="N2255">
        <v>0</v>
      </c>
      <c r="O2255">
        <v>4.0044199999999999E-3</v>
      </c>
      <c r="P2255">
        <v>-0.98181640000000003</v>
      </c>
      <c r="Q2255">
        <v>0.18763669999999999</v>
      </c>
      <c r="R2255">
        <v>-2.879087E-2</v>
      </c>
      <c r="S2255">
        <v>-3.097305</v>
      </c>
      <c r="T2255">
        <v>-0.2078865</v>
      </c>
      <c r="U2255">
        <v>5.1910400000000002E-2</v>
      </c>
      <c r="V2255">
        <v>-3.2377990000000002E-2</v>
      </c>
      <c r="W2255">
        <v>0.1994629</v>
      </c>
      <c r="X2255">
        <v>0.97937030000000003</v>
      </c>
      <c r="Y2255">
        <v>1.2733589999999999E-2</v>
      </c>
      <c r="Z2255">
        <v>1.5835339999999999E-4</v>
      </c>
      <c r="AA2255">
        <v>0.99991890000000005</v>
      </c>
      <c r="AB2255">
        <v>21</v>
      </c>
      <c r="AC2255">
        <v>-16.4145</v>
      </c>
      <c r="AD2255">
        <v>-1.1098120763079999</v>
      </c>
      <c r="AE2255">
        <v>0.275899999999978</v>
      </c>
      <c r="AF2255">
        <v>0.20920642008531201</v>
      </c>
      <c r="AG2255">
        <v>-1.1098120763079999</v>
      </c>
      <c r="AH2255">
        <v>16.340795032275899</v>
      </c>
      <c r="AI2255">
        <v>93.885053412365707</v>
      </c>
      <c r="AJ2255">
        <v>89.266498964643603</v>
      </c>
      <c r="AK2255">
        <v>16.3797751040048</v>
      </c>
      <c r="AL2255">
        <v>78.4944471570644</v>
      </c>
      <c r="AM2255">
        <v>91.893509286854496</v>
      </c>
      <c r="AN2255">
        <v>0.999999983617469</v>
      </c>
    </row>
    <row r="2256" spans="1:40" x14ac:dyDescent="0.25">
      <c r="A2256" t="str">
        <f>"20190312172127693"</f>
        <v>20190312172127693</v>
      </c>
      <c r="B2256" t="str">
        <f>"1552382487682713"</f>
        <v>1552382487682713</v>
      </c>
      <c r="C2256" t="s">
        <v>40</v>
      </c>
      <c r="D2256">
        <v>3.3507980000000002</v>
      </c>
      <c r="E2256">
        <v>0.5144801</v>
      </c>
      <c r="F2256" t="s">
        <v>46</v>
      </c>
      <c r="G2256">
        <v>-248.46850000000001</v>
      </c>
      <c r="H2256" s="1">
        <v>2.969735E-6</v>
      </c>
      <c r="I2256">
        <v>281.75670000000002</v>
      </c>
      <c r="J2256">
        <v>-232.0804</v>
      </c>
      <c r="K2256">
        <v>1.1098220000000001</v>
      </c>
      <c r="L2256">
        <v>281.48340000000002</v>
      </c>
      <c r="M2256">
        <v>-0.99991699999999994</v>
      </c>
      <c r="N2256">
        <v>0</v>
      </c>
      <c r="O2256">
        <v>4.6968679999999999E-3</v>
      </c>
      <c r="P2256">
        <v>-0.98186450000000003</v>
      </c>
      <c r="Q2256">
        <v>0.1873677</v>
      </c>
      <c r="R2256">
        <v>-2.891175E-2</v>
      </c>
      <c r="S2256">
        <v>-3.0968930000000001</v>
      </c>
      <c r="T2256">
        <v>-0.20828830000000001</v>
      </c>
      <c r="U2256">
        <v>5.1544189999999997E-2</v>
      </c>
      <c r="V2256">
        <v>-3.3182639999999999E-2</v>
      </c>
      <c r="W2256">
        <v>0.19919149999999999</v>
      </c>
      <c r="X2256">
        <v>0.97939860000000001</v>
      </c>
      <c r="Y2256">
        <v>1.192846E-2</v>
      </c>
      <c r="Z2256" s="1">
        <v>8.5118519999999895E-5</v>
      </c>
      <c r="AA2256">
        <v>0.99992879999999995</v>
      </c>
      <c r="AB2256">
        <v>21</v>
      </c>
      <c r="AC2256">
        <v>-16.388100000000001</v>
      </c>
      <c r="AD2256">
        <v>-1.109819030265</v>
      </c>
      <c r="AE2256">
        <v>0.27330000000000598</v>
      </c>
      <c r="AF2256">
        <v>0.195422716092919</v>
      </c>
      <c r="AG2256">
        <v>-1.109819030265</v>
      </c>
      <c r="AH2256">
        <v>16.314403649226701</v>
      </c>
      <c r="AI2256">
        <v>93.891382786551802</v>
      </c>
      <c r="AJ2256">
        <v>89.313713108393799</v>
      </c>
      <c r="AK2256">
        <v>16.353276575286198</v>
      </c>
      <c r="AL2256">
        <v>78.510315617206899</v>
      </c>
      <c r="AM2256">
        <v>91.940474752054101</v>
      </c>
      <c r="AN2256">
        <v>0.999999979475789</v>
      </c>
    </row>
    <row r="2257" spans="1:40" x14ac:dyDescent="0.25">
      <c r="A2257" t="str">
        <f>"20190312172127712"</f>
        <v>20190312172127712</v>
      </c>
      <c r="B2257" t="str">
        <f>"1552382487703212"</f>
        <v>1552382487703212</v>
      </c>
      <c r="C2257" t="s">
        <v>40</v>
      </c>
      <c r="D2257">
        <v>3.3417460000000001</v>
      </c>
      <c r="E2257">
        <v>0.51431629999999995</v>
      </c>
      <c r="F2257" t="s">
        <v>46</v>
      </c>
      <c r="G2257">
        <v>-248.61019999999999</v>
      </c>
      <c r="H2257" s="1">
        <v>3.0451319999999999E-6</v>
      </c>
      <c r="I2257">
        <v>281.75400000000002</v>
      </c>
      <c r="J2257">
        <v>-232.2552</v>
      </c>
      <c r="K2257">
        <v>1.109828</v>
      </c>
      <c r="L2257">
        <v>281.4855</v>
      </c>
      <c r="M2257">
        <v>-0.99991169999999996</v>
      </c>
      <c r="N2257">
        <v>0</v>
      </c>
      <c r="O2257">
        <v>5.7579019999999996E-3</v>
      </c>
      <c r="P2257">
        <v>-0.98204060000000004</v>
      </c>
      <c r="Q2257">
        <v>0.1864074</v>
      </c>
      <c r="R2257">
        <v>-2.9134190000000001E-2</v>
      </c>
      <c r="S2257">
        <v>-3.0965729999999998</v>
      </c>
      <c r="T2257">
        <v>-0.2079059</v>
      </c>
      <c r="U2257">
        <v>5.0689699999999997E-2</v>
      </c>
      <c r="V2257">
        <v>-3.4452730000000001E-2</v>
      </c>
      <c r="W2257">
        <v>0.19823009999999999</v>
      </c>
      <c r="X2257">
        <v>0.97954980000000003</v>
      </c>
      <c r="Y2257">
        <v>1.0598710000000001E-2</v>
      </c>
      <c r="Z2257" s="1">
        <v>-3.0772000000000003E-5</v>
      </c>
      <c r="AA2257">
        <v>0.9999439</v>
      </c>
      <c r="AB2257">
        <v>21</v>
      </c>
      <c r="AC2257">
        <v>-16.354999999999901</v>
      </c>
      <c r="AD2257">
        <v>-1.1098249548679999</v>
      </c>
      <c r="AE2257">
        <v>0.268500000000017</v>
      </c>
      <c r="AF2257">
        <v>0.17351950469677199</v>
      </c>
      <c r="AG2257">
        <v>-1.1098249548679999</v>
      </c>
      <c r="AH2257">
        <v>16.2813234171015</v>
      </c>
      <c r="AI2257">
        <v>93.899343755972595</v>
      </c>
      <c r="AJ2257">
        <v>89.389388771518398</v>
      </c>
      <c r="AK2257">
        <v>16.3200279614103</v>
      </c>
      <c r="AL2257">
        <v>78.566520699941506</v>
      </c>
      <c r="AM2257">
        <v>92.014377048510298</v>
      </c>
      <c r="AN2257">
        <v>0.99999998691525105</v>
      </c>
    </row>
    <row r="2258" spans="1:40" x14ac:dyDescent="0.25">
      <c r="A2258" t="str">
        <f>"20190312172127726"</f>
        <v>20190312172127726</v>
      </c>
      <c r="B2258" t="str">
        <f>"1552382487723705"</f>
        <v>1552382487723705</v>
      </c>
      <c r="C2258" t="s">
        <v>40</v>
      </c>
      <c r="D2258">
        <v>3.3340800000000002</v>
      </c>
      <c r="E2258">
        <v>0.51421949999999905</v>
      </c>
      <c r="F2258" t="s">
        <v>46</v>
      </c>
      <c r="G2258">
        <v>-248.80070000000001</v>
      </c>
      <c r="H2258" s="1">
        <v>3.146506E-6</v>
      </c>
      <c r="I2258">
        <v>281.74860000000001</v>
      </c>
      <c r="J2258">
        <v>-232.38640000000001</v>
      </c>
      <c r="K2258">
        <v>1.1098300000000001</v>
      </c>
      <c r="L2258">
        <v>281.48719999999997</v>
      </c>
      <c r="M2258">
        <v>-0.99990670000000004</v>
      </c>
      <c r="N2258">
        <v>0</v>
      </c>
      <c r="O2258">
        <v>6.5479669999999896E-3</v>
      </c>
      <c r="P2258">
        <v>-0.98212529999999998</v>
      </c>
      <c r="Q2258">
        <v>0.18601719999999999</v>
      </c>
      <c r="R2258">
        <v>-2.87747E-2</v>
      </c>
      <c r="S2258">
        <v>-3.0957490000000001</v>
      </c>
      <c r="T2258">
        <v>-0.20765430000000001</v>
      </c>
      <c r="U2258">
        <v>4.9224850000000001E-2</v>
      </c>
      <c r="V2258">
        <v>-3.4871720000000002E-2</v>
      </c>
      <c r="W2258">
        <v>0.1978375</v>
      </c>
      <c r="X2258">
        <v>0.9796144</v>
      </c>
      <c r="Y2258">
        <v>9.3445490000000006E-3</v>
      </c>
      <c r="Z2258">
        <v>-1.2569060000000001E-4</v>
      </c>
      <c r="AA2258">
        <v>0.99995630000000002</v>
      </c>
      <c r="AB2258">
        <v>21</v>
      </c>
      <c r="AC2258">
        <v>-16.414299999999901</v>
      </c>
      <c r="AD2258">
        <v>-1.1098268534939999</v>
      </c>
      <c r="AE2258">
        <v>0.26140000000003699</v>
      </c>
      <c r="AF2258">
        <v>0.153206160737869</v>
      </c>
      <c r="AG2258">
        <v>-1.1098268534939999</v>
      </c>
      <c r="AH2258">
        <v>16.340974789018102</v>
      </c>
      <c r="AI2258">
        <v>93.885209556410601</v>
      </c>
      <c r="AJ2258">
        <v>89.462834418956305</v>
      </c>
      <c r="AK2258">
        <v>16.379335909241</v>
      </c>
      <c r="AL2258">
        <v>78.589470168702306</v>
      </c>
      <c r="AM2258">
        <v>92.038719604597205</v>
      </c>
      <c r="AN2258">
        <v>1.00000004297468</v>
      </c>
    </row>
    <row r="2259" spans="1:40" x14ac:dyDescent="0.25">
      <c r="A2259" t="str">
        <f>"20190312172127748"</f>
        <v>20190312172127748</v>
      </c>
      <c r="B2259" t="str">
        <f>"1552382487743224"</f>
        <v>1552382487743224</v>
      </c>
      <c r="C2259" t="s">
        <v>40</v>
      </c>
      <c r="D2259">
        <v>3.3425600000000002</v>
      </c>
      <c r="E2259">
        <v>0.51409280000000002</v>
      </c>
      <c r="F2259" t="s">
        <v>46</v>
      </c>
      <c r="G2259">
        <v>-249.0317</v>
      </c>
      <c r="H2259" s="1">
        <v>3.2694399999999998E-6</v>
      </c>
      <c r="I2259">
        <v>281.75450000000001</v>
      </c>
      <c r="J2259">
        <v>-232.5787</v>
      </c>
      <c r="K2259">
        <v>1.109828</v>
      </c>
      <c r="L2259">
        <v>281.4898</v>
      </c>
      <c r="M2259">
        <v>-0.99989859999999997</v>
      </c>
      <c r="N2259">
        <v>0</v>
      </c>
      <c r="O2259">
        <v>7.6980379999999999E-3</v>
      </c>
      <c r="P2259">
        <v>-0.98237909999999995</v>
      </c>
      <c r="Q2259">
        <v>0.18472169999999999</v>
      </c>
      <c r="R2259">
        <v>-2.844824E-2</v>
      </c>
      <c r="S2259">
        <v>-3.0951390000000001</v>
      </c>
      <c r="T2259">
        <v>-0.20636840000000001</v>
      </c>
      <c r="U2259">
        <v>4.9713130000000001E-2</v>
      </c>
      <c r="V2259">
        <v>-3.5680900000000002E-2</v>
      </c>
      <c r="W2259">
        <v>0.1965412</v>
      </c>
      <c r="X2259">
        <v>0.97984610000000005</v>
      </c>
      <c r="Y2259">
        <v>8.3600710000000002E-3</v>
      </c>
      <c r="Z2259">
        <v>-2.343128E-4</v>
      </c>
      <c r="AA2259">
        <v>0.99996499999999999</v>
      </c>
      <c r="AB2259">
        <v>21</v>
      </c>
      <c r="AC2259">
        <v>-16.452999999999999</v>
      </c>
      <c r="AD2259">
        <v>-1.10982473056</v>
      </c>
      <c r="AE2259">
        <v>0.26470000000000399</v>
      </c>
      <c r="AF2259">
        <v>0.137402217399376</v>
      </c>
      <c r="AG2259">
        <v>-1.10982473056</v>
      </c>
      <c r="AH2259">
        <v>16.380039110636002</v>
      </c>
      <c r="AI2259">
        <v>93.875998586901403</v>
      </c>
      <c r="AJ2259">
        <v>89.519391714763799</v>
      </c>
      <c r="AK2259">
        <v>16.418168946867201</v>
      </c>
      <c r="AL2259">
        <v>78.665229423882394</v>
      </c>
      <c r="AM2259">
        <v>92.085492877406594</v>
      </c>
      <c r="AN2259">
        <v>0.99999997480372904</v>
      </c>
    </row>
    <row r="2260" spans="1:40" x14ac:dyDescent="0.25">
      <c r="A2260" t="str">
        <f>"20190312172127769"</f>
        <v>20190312172127769</v>
      </c>
      <c r="B2260" t="str">
        <f>"1552382487762746"</f>
        <v>1552382487762746</v>
      </c>
      <c r="C2260" t="s">
        <v>40</v>
      </c>
      <c r="D2260">
        <v>3.3337729999999999</v>
      </c>
      <c r="E2260">
        <v>0.51400440000000003</v>
      </c>
      <c r="F2260" t="s">
        <v>46</v>
      </c>
      <c r="G2260">
        <v>-249.08279999999999</v>
      </c>
      <c r="H2260" s="1">
        <v>3.2966470000000002E-6</v>
      </c>
      <c r="I2260">
        <v>281.75540000000001</v>
      </c>
      <c r="J2260">
        <v>-232.792</v>
      </c>
      <c r="K2260">
        <v>1.109823</v>
      </c>
      <c r="L2260">
        <v>281.49299999999999</v>
      </c>
      <c r="M2260">
        <v>-0.99988809999999995</v>
      </c>
      <c r="N2260">
        <v>0</v>
      </c>
      <c r="O2260">
        <v>8.9629700000000007E-3</v>
      </c>
      <c r="P2260">
        <v>-0.98264269999999998</v>
      </c>
      <c r="Q2260">
        <v>0.1834818</v>
      </c>
      <c r="R2260">
        <v>-2.7348839999999999E-2</v>
      </c>
      <c r="S2260">
        <v>-3.094376</v>
      </c>
      <c r="T2260">
        <v>-0.20808209999999999</v>
      </c>
      <c r="U2260">
        <v>4.9804689999999999E-2</v>
      </c>
      <c r="V2260">
        <v>-3.5829659999999999E-2</v>
      </c>
      <c r="W2260">
        <v>0.1952998</v>
      </c>
      <c r="X2260">
        <v>0.98008890000000004</v>
      </c>
      <c r="Y2260">
        <v>7.134179E-3</v>
      </c>
      <c r="Z2260">
        <v>-3.6244119999999998E-4</v>
      </c>
      <c r="AA2260">
        <v>0.99997449999999999</v>
      </c>
      <c r="AB2260">
        <v>21</v>
      </c>
      <c r="AC2260">
        <v>-16.290799999999901</v>
      </c>
      <c r="AD2260">
        <v>-1.109819703353</v>
      </c>
      <c r="AE2260">
        <v>0.26240000000001301</v>
      </c>
      <c r="AF2260">
        <v>0.115827605530727</v>
      </c>
      <c r="AG2260">
        <v>-1.109819703353</v>
      </c>
      <c r="AH2260">
        <v>16.217251376392198</v>
      </c>
      <c r="AI2260">
        <v>93.914805319245204</v>
      </c>
      <c r="AJ2260">
        <v>89.590786382214901</v>
      </c>
      <c r="AK2260">
        <v>16.255594668090399</v>
      </c>
      <c r="AL2260">
        <v>78.737762560041702</v>
      </c>
      <c r="AM2260">
        <v>92.093661606501399</v>
      </c>
      <c r="AN2260">
        <v>1.00000001415948</v>
      </c>
    </row>
    <row r="2261" spans="1:40" x14ac:dyDescent="0.25">
      <c r="A2261" t="str">
        <f>"20190312172127791"</f>
        <v>20190312172127791</v>
      </c>
      <c r="B2261" t="str">
        <f>"1552382487783241"</f>
        <v>1552382487783241</v>
      </c>
      <c r="C2261" t="s">
        <v>40</v>
      </c>
      <c r="D2261">
        <v>3.451336</v>
      </c>
      <c r="E2261">
        <v>0.51393009999999995</v>
      </c>
      <c r="F2261" t="s">
        <v>46</v>
      </c>
      <c r="G2261">
        <v>-249.14230000000001</v>
      </c>
      <c r="H2261" s="1">
        <v>3.3282620000000002E-6</v>
      </c>
      <c r="I2261">
        <v>281.7704</v>
      </c>
      <c r="J2261">
        <v>-232.9975</v>
      </c>
      <c r="K2261">
        <v>1.1098250000000001</v>
      </c>
      <c r="L2261">
        <v>281.49619999999999</v>
      </c>
      <c r="M2261">
        <v>-0.99987669999999995</v>
      </c>
      <c r="N2261">
        <v>0</v>
      </c>
      <c r="O2261">
        <v>1.0167209999999999E-2</v>
      </c>
      <c r="P2261">
        <v>-0.98273719999999998</v>
      </c>
      <c r="Q2261">
        <v>0.1831256</v>
      </c>
      <c r="R2261">
        <v>-2.6320389999999999E-2</v>
      </c>
      <c r="S2261">
        <v>-3.093658</v>
      </c>
      <c r="T2261">
        <v>-0.20999090000000001</v>
      </c>
      <c r="U2261">
        <v>5.2490229999999999E-2</v>
      </c>
      <c r="V2261">
        <v>-3.5988390000000002E-2</v>
      </c>
      <c r="W2261">
        <v>0.19493820000000001</v>
      </c>
      <c r="X2261">
        <v>0.98015509999999995</v>
      </c>
      <c r="Y2261">
        <v>6.8049850000000004E-3</v>
      </c>
      <c r="Z2261">
        <v>-4.5863940000000003E-4</v>
      </c>
      <c r="AA2261">
        <v>0.9999768</v>
      </c>
      <c r="AB2261">
        <v>21</v>
      </c>
      <c r="AC2261">
        <v>-16.1448</v>
      </c>
      <c r="AD2261">
        <v>-1.1098216717380001</v>
      </c>
      <c r="AE2261">
        <v>0.27420000000000699</v>
      </c>
      <c r="AF2261">
        <v>0.10950916963669299</v>
      </c>
      <c r="AG2261">
        <v>-1.1098216717380001</v>
      </c>
      <c r="AH2261">
        <v>16.070833792297002</v>
      </c>
      <c r="AI2261">
        <v>93.950375771046396</v>
      </c>
      <c r="AJ2261">
        <v>89.609583658865205</v>
      </c>
      <c r="AK2261">
        <v>16.109481530481698</v>
      </c>
      <c r="AL2261">
        <v>78.758887058174693</v>
      </c>
      <c r="AM2261">
        <v>92.102786582366406</v>
      </c>
      <c r="AN2261">
        <v>1.00000004304502</v>
      </c>
    </row>
    <row r="2262" spans="1:40" x14ac:dyDescent="0.25">
      <c r="A2262" t="str">
        <f>"20190312172127804"</f>
        <v>20190312172127804</v>
      </c>
      <c r="B2262" t="str">
        <f>"1552382487793001"</f>
        <v>1552382487793001</v>
      </c>
      <c r="C2262" t="s">
        <v>40</v>
      </c>
      <c r="D2262">
        <v>3.3267709999999999</v>
      </c>
      <c r="E2262">
        <v>0.51386929999999997</v>
      </c>
      <c r="F2262" t="s">
        <v>46</v>
      </c>
      <c r="G2262">
        <v>-249.41300000000001</v>
      </c>
      <c r="H2262" s="1">
        <v>3.472363E-6</v>
      </c>
      <c r="I2262">
        <v>281.78809999999999</v>
      </c>
      <c r="J2262">
        <v>-233.1223</v>
      </c>
      <c r="K2262">
        <v>1.109829</v>
      </c>
      <c r="L2262">
        <v>281.49829999999997</v>
      </c>
      <c r="M2262">
        <v>-0.99986920000000001</v>
      </c>
      <c r="N2262">
        <v>0</v>
      </c>
      <c r="O2262">
        <v>1.088824E-2</v>
      </c>
      <c r="P2262">
        <v>-0.98270539999999995</v>
      </c>
      <c r="Q2262">
        <v>0.1834134</v>
      </c>
      <c r="R2262">
        <v>-2.549237E-2</v>
      </c>
      <c r="S2262">
        <v>-3.0931549999999999</v>
      </c>
      <c r="T2262">
        <v>-0.2091219</v>
      </c>
      <c r="U2262">
        <v>5.4992680000000002E-2</v>
      </c>
      <c r="V2262">
        <v>-3.5870440000000003E-2</v>
      </c>
      <c r="W2262">
        <v>0.19521830000000001</v>
      </c>
      <c r="X2262">
        <v>0.98010359999999996</v>
      </c>
      <c r="Y2262">
        <v>6.8967799999999999E-3</v>
      </c>
      <c r="Z2262">
        <v>-5.0240400000000002E-4</v>
      </c>
      <c r="AA2262">
        <v>0.99997610000000003</v>
      </c>
      <c r="AB2262">
        <v>21</v>
      </c>
      <c r="AC2262">
        <v>-16.290699999999902</v>
      </c>
      <c r="AD2262">
        <v>-1.1098255276369999</v>
      </c>
      <c r="AE2262">
        <v>0.28980000000001299</v>
      </c>
      <c r="AF2262">
        <v>0.111874015826867</v>
      </c>
      <c r="AG2262">
        <v>-1.1098255276369999</v>
      </c>
      <c r="AH2262">
        <v>16.217644351675599</v>
      </c>
      <c r="AI2262">
        <v>93.914737916909004</v>
      </c>
      <c r="AJ2262">
        <v>89.604763359392805</v>
      </c>
      <c r="AK2262">
        <v>16.255959424612499</v>
      </c>
      <c r="AL2262">
        <v>78.742523307539003</v>
      </c>
      <c r="AM2262">
        <v>92.096011001514398</v>
      </c>
      <c r="AN2262">
        <v>0.99999996992682105</v>
      </c>
    </row>
    <row r="2263" spans="1:40" x14ac:dyDescent="0.25">
      <c r="A2263" t="str">
        <f>"20190312172127818"</f>
        <v>20190312172127818</v>
      </c>
      <c r="B2263" t="str">
        <f>"1552382487813497"</f>
        <v>1552382487813497</v>
      </c>
      <c r="C2263" t="s">
        <v>40</v>
      </c>
      <c r="D2263">
        <v>3.3352979999999999</v>
      </c>
      <c r="E2263">
        <v>0.51376630000000001</v>
      </c>
      <c r="F2263" t="s">
        <v>46</v>
      </c>
      <c r="G2263">
        <v>-249.67490000000001</v>
      </c>
      <c r="H2263" s="1">
        <v>3.6117340000000002E-6</v>
      </c>
      <c r="I2263">
        <v>281.8032</v>
      </c>
      <c r="J2263">
        <v>-233.25229999999999</v>
      </c>
      <c r="K2263">
        <v>1.1098380000000001</v>
      </c>
      <c r="L2263">
        <v>281.50049999999999</v>
      </c>
      <c r="M2263">
        <v>-0.99986090000000005</v>
      </c>
      <c r="N2263">
        <v>0</v>
      </c>
      <c r="O2263">
        <v>1.162724E-2</v>
      </c>
      <c r="P2263">
        <v>-0.98269919999999999</v>
      </c>
      <c r="Q2263">
        <v>0.18355759999999999</v>
      </c>
      <c r="R2263">
        <v>-2.4682450000000002E-2</v>
      </c>
      <c r="S2263">
        <v>-3.0929869999999999</v>
      </c>
      <c r="T2263">
        <v>-0.20737990000000001</v>
      </c>
      <c r="U2263">
        <v>5.6976319999999997E-2</v>
      </c>
      <c r="V2263">
        <v>-3.579048E-2</v>
      </c>
      <c r="W2263">
        <v>0.1953531</v>
      </c>
      <c r="X2263">
        <v>0.9800797</v>
      </c>
      <c r="Y2263">
        <v>6.8014900000000003E-3</v>
      </c>
      <c r="Z2263">
        <v>-5.5093039999999996E-4</v>
      </c>
      <c r="AA2263">
        <v>0.99997670000000005</v>
      </c>
      <c r="AB2263">
        <v>21</v>
      </c>
      <c r="AC2263">
        <v>-16.422599999999999</v>
      </c>
      <c r="AD2263">
        <v>-1.10983438826599</v>
      </c>
      <c r="AE2263">
        <v>0.30270000000001501</v>
      </c>
      <c r="AF2263">
        <v>0.11120865095046401</v>
      </c>
      <c r="AG2263">
        <v>-1.10983438826599</v>
      </c>
      <c r="AH2263">
        <v>16.350362507550201</v>
      </c>
      <c r="AI2263">
        <v>93.883092525303297</v>
      </c>
      <c r="AJ2263">
        <v>89.610302946625396</v>
      </c>
      <c r="AK2263">
        <v>16.388363367393598</v>
      </c>
      <c r="AL2263">
        <v>78.734648615335999</v>
      </c>
      <c r="AM2263">
        <v>92.091393820345303</v>
      </c>
      <c r="AN2263">
        <v>1.0000000052451601</v>
      </c>
    </row>
    <row r="2264" spans="1:40" x14ac:dyDescent="0.25">
      <c r="A2264" t="str">
        <f>"20190312172127835"</f>
        <v>20190312172127835</v>
      </c>
      <c r="B2264" t="str">
        <f>"1552382487833017"</f>
        <v>1552382487833017</v>
      </c>
      <c r="C2264" t="s">
        <v>40</v>
      </c>
      <c r="D2264">
        <v>3.3484400000000001</v>
      </c>
      <c r="E2264">
        <v>0.51363110000000001</v>
      </c>
      <c r="F2264" t="s">
        <v>46</v>
      </c>
      <c r="G2264">
        <v>-249.9819</v>
      </c>
      <c r="H2264" s="1">
        <v>-1.546424E-6</v>
      </c>
      <c r="I2264">
        <v>281.81799999999998</v>
      </c>
      <c r="J2264">
        <v>-233.41970000000001</v>
      </c>
      <c r="K2264">
        <v>1.1098570000000001</v>
      </c>
      <c r="L2264">
        <v>281.50360000000001</v>
      </c>
      <c r="M2264">
        <v>-0.99985000000000002</v>
      </c>
      <c r="N2264">
        <v>0</v>
      </c>
      <c r="O2264">
        <v>1.2549660000000001E-2</v>
      </c>
      <c r="P2264">
        <v>-0.98268560000000005</v>
      </c>
      <c r="Q2264">
        <v>0.18377270000000001</v>
      </c>
      <c r="R2264">
        <v>-2.3593880000000001E-2</v>
      </c>
      <c r="S2264">
        <v>-3.0926209999999998</v>
      </c>
      <c r="T2264">
        <v>-0.20516429999999999</v>
      </c>
      <c r="U2264">
        <v>5.8685300000000003E-2</v>
      </c>
      <c r="V2264">
        <v>-3.5617040000000003E-2</v>
      </c>
      <c r="W2264">
        <v>0.19555510000000001</v>
      </c>
      <c r="X2264">
        <v>0.98004570000000002</v>
      </c>
      <c r="Y2264">
        <v>6.4361430000000001E-3</v>
      </c>
      <c r="Z2264">
        <v>-6.1834029999999999E-4</v>
      </c>
      <c r="AA2264">
        <v>0.99997910000000001</v>
      </c>
      <c r="AB2264">
        <v>21</v>
      </c>
      <c r="AC2264">
        <v>-16.562199999999901</v>
      </c>
      <c r="AD2264">
        <v>-1.1098585464239901</v>
      </c>
      <c r="AE2264">
        <v>0.31439999999997698</v>
      </c>
      <c r="AF2264">
        <v>0.106034468207152</v>
      </c>
      <c r="AG2264">
        <v>-1.1098585464239901</v>
      </c>
      <c r="AH2264">
        <v>16.490815333843901</v>
      </c>
      <c r="AI2264">
        <v>93.850212983685907</v>
      </c>
      <c r="AJ2264">
        <v>89.631598337337195</v>
      </c>
      <c r="AK2264">
        <v>16.528460898597299</v>
      </c>
      <c r="AL2264">
        <v>78.722846877807697</v>
      </c>
      <c r="AM2264">
        <v>92.081340039837997</v>
      </c>
      <c r="AN2264">
        <v>0.99999997238143001</v>
      </c>
    </row>
    <row r="2265" spans="1:40" x14ac:dyDescent="0.25">
      <c r="A2265" t="str">
        <f>"20190312172127849"</f>
        <v>20190312172127849</v>
      </c>
      <c r="B2265" t="str">
        <f>"1552382487842777"</f>
        <v>1552382487842777</v>
      </c>
      <c r="C2265" t="s">
        <v>40</v>
      </c>
      <c r="D2265">
        <v>3.2985380000000002</v>
      </c>
      <c r="E2265">
        <v>0.51355329999999999</v>
      </c>
      <c r="F2265" t="s">
        <v>46</v>
      </c>
      <c r="G2265">
        <v>-250.3449</v>
      </c>
      <c r="H2265" s="1">
        <v>-1.353245E-6</v>
      </c>
      <c r="I2265">
        <v>281.83819999999997</v>
      </c>
      <c r="J2265">
        <v>-233.5444</v>
      </c>
      <c r="K2265">
        <v>1.1098749999999999</v>
      </c>
      <c r="L2265">
        <v>281.5059</v>
      </c>
      <c r="M2265">
        <v>-0.9998416</v>
      </c>
      <c r="N2265">
        <v>0</v>
      </c>
      <c r="O2265">
        <v>1.321134E-2</v>
      </c>
      <c r="P2265">
        <v>-0.98269399999999996</v>
      </c>
      <c r="Q2265">
        <v>0.1838304</v>
      </c>
      <c r="R2265">
        <v>-2.278612E-2</v>
      </c>
      <c r="S2265">
        <v>-3.0922390000000002</v>
      </c>
      <c r="T2265">
        <v>-0.2027709</v>
      </c>
      <c r="U2265">
        <v>6.1126710000000001E-2</v>
      </c>
      <c r="V2265">
        <v>-3.5468090000000001E-2</v>
      </c>
      <c r="W2265">
        <v>0.19560330000000001</v>
      </c>
      <c r="X2265">
        <v>0.98004150000000001</v>
      </c>
      <c r="Y2265">
        <v>6.566761E-3</v>
      </c>
      <c r="Z2265">
        <v>-6.5027019999999995E-4</v>
      </c>
      <c r="AA2265">
        <v>0.99997820000000004</v>
      </c>
      <c r="AB2265">
        <v>21</v>
      </c>
      <c r="AC2265">
        <v>-16.8005</v>
      </c>
      <c r="AD2265">
        <v>-1.109876353245</v>
      </c>
      <c r="AE2265">
        <v>0.332299999999975</v>
      </c>
      <c r="AF2265">
        <v>0.109819005604487</v>
      </c>
      <c r="AG2265">
        <v>-1.109876353245</v>
      </c>
      <c r="AH2265">
        <v>16.730437547159301</v>
      </c>
      <c r="AI2265">
        <v>93.795287932165095</v>
      </c>
      <c r="AJ2265">
        <v>89.623914488362999</v>
      </c>
      <c r="AK2265">
        <v>16.767570672368802</v>
      </c>
      <c r="AL2265">
        <v>78.720031028028203</v>
      </c>
      <c r="AM2265">
        <v>92.072652384750199</v>
      </c>
      <c r="AN2265">
        <v>0.99999998905069298</v>
      </c>
    </row>
    <row r="2266" spans="1:40" x14ac:dyDescent="0.25">
      <c r="A2266" t="str">
        <f>"20190312172127861"</f>
        <v>20190312172127861</v>
      </c>
      <c r="B2266" t="str">
        <f>"1552382487853513"</f>
        <v>1552382487853513</v>
      </c>
      <c r="C2266" t="s">
        <v>40</v>
      </c>
      <c r="D2266">
        <v>3.3454809999999999</v>
      </c>
      <c r="E2266">
        <v>0.51347940000000003</v>
      </c>
      <c r="F2266" t="s">
        <v>46</v>
      </c>
      <c r="G2266">
        <v>-250.5608</v>
      </c>
      <c r="H2266" s="1">
        <v>-1.2383719999999999E-6</v>
      </c>
      <c r="I2266">
        <v>281.85469999999998</v>
      </c>
      <c r="J2266">
        <v>-233.6627</v>
      </c>
      <c r="K2266">
        <v>1.109893</v>
      </c>
      <c r="L2266">
        <v>281.50819999999999</v>
      </c>
      <c r="M2266">
        <v>-0.99983339999999998</v>
      </c>
      <c r="N2266">
        <v>0</v>
      </c>
      <c r="O2266">
        <v>1.382328E-2</v>
      </c>
      <c r="P2266">
        <v>-0.98276799999999997</v>
      </c>
      <c r="Q2266">
        <v>0.183527</v>
      </c>
      <c r="R2266">
        <v>-2.2026469999999999E-2</v>
      </c>
      <c r="S2266">
        <v>-3.0920260000000002</v>
      </c>
      <c r="T2266">
        <v>-0.20167489999999999</v>
      </c>
      <c r="U2266">
        <v>6.3385010000000006E-2</v>
      </c>
      <c r="V2266">
        <v>-3.5321709999999999E-2</v>
      </c>
      <c r="W2266">
        <v>0.1952913</v>
      </c>
      <c r="X2266">
        <v>0.98010900000000001</v>
      </c>
      <c r="Y2266">
        <v>6.687045E-3</v>
      </c>
      <c r="Z2266">
        <v>-6.8274729999999895E-4</v>
      </c>
      <c r="AA2266">
        <v>0.99997740000000002</v>
      </c>
      <c r="AB2266">
        <v>21</v>
      </c>
      <c r="AC2266">
        <v>-16.898099999999999</v>
      </c>
      <c r="AD2266">
        <v>-1.1098942383720001</v>
      </c>
      <c r="AE2266">
        <v>0.34649999999999098</v>
      </c>
      <c r="AF2266">
        <v>0.112378518611078</v>
      </c>
      <c r="AG2266">
        <v>-1.1098942383720001</v>
      </c>
      <c r="AH2266">
        <v>16.828705586502998</v>
      </c>
      <c r="AI2266">
        <v>93.773248067179907</v>
      </c>
      <c r="AJ2266">
        <v>89.617396650891806</v>
      </c>
      <c r="AK2266">
        <v>16.8656403930895</v>
      </c>
      <c r="AL2266">
        <v>78.738258785839093</v>
      </c>
      <c r="AM2266">
        <v>92.063963744520194</v>
      </c>
      <c r="AN2266">
        <v>0.99999998346700603</v>
      </c>
    </row>
    <row r="2267" spans="1:40" x14ac:dyDescent="0.25">
      <c r="A2267" t="str">
        <f>"20190312172127878"</f>
        <v>20190312172127878</v>
      </c>
      <c r="B2267" t="str">
        <f>"1552382487873034"</f>
        <v>1552382487873034</v>
      </c>
      <c r="C2267" t="s">
        <v>40</v>
      </c>
      <c r="D2267">
        <v>3.322454</v>
      </c>
      <c r="E2267">
        <v>0.51330549999999997</v>
      </c>
      <c r="F2267" t="s">
        <v>46</v>
      </c>
      <c r="G2267">
        <v>-250.66499999999999</v>
      </c>
      <c r="H2267" s="1">
        <v>-1.182925E-6</v>
      </c>
      <c r="I2267">
        <v>281.8655</v>
      </c>
      <c r="J2267">
        <v>-233.8305</v>
      </c>
      <c r="K2267">
        <v>1.1099300000000001</v>
      </c>
      <c r="L2267">
        <v>281.51150000000001</v>
      </c>
      <c r="M2267">
        <v>-0.99982179999999998</v>
      </c>
      <c r="N2267">
        <v>0</v>
      </c>
      <c r="O2267">
        <v>1.4641319999999999E-2</v>
      </c>
      <c r="P2267">
        <v>-0.98285809999999996</v>
      </c>
      <c r="Q2267">
        <v>0.18311160000000001</v>
      </c>
      <c r="R2267">
        <v>-2.1452769999999999E-2</v>
      </c>
      <c r="S2267">
        <v>-3.0917659999999998</v>
      </c>
      <c r="T2267">
        <v>-0.20182820000000001</v>
      </c>
      <c r="U2267">
        <v>6.4971920000000002E-2</v>
      </c>
      <c r="V2267">
        <v>-3.5572510000000002E-2</v>
      </c>
      <c r="W2267">
        <v>0.19486149999999999</v>
      </c>
      <c r="X2267">
        <v>0.98018550000000004</v>
      </c>
      <c r="Y2267">
        <v>6.3860490000000004E-3</v>
      </c>
      <c r="Z2267">
        <v>-7.4646469999999998E-4</v>
      </c>
      <c r="AA2267">
        <v>0.99997930000000002</v>
      </c>
      <c r="AB2267">
        <v>21</v>
      </c>
      <c r="AC2267">
        <v>-16.834499999999899</v>
      </c>
      <c r="AD2267">
        <v>-1.10993118292499</v>
      </c>
      <c r="AE2267">
        <v>0.35399999999998399</v>
      </c>
      <c r="AF2267">
        <v>0.10700031899593899</v>
      </c>
      <c r="AG2267">
        <v>-1.10993118292499</v>
      </c>
      <c r="AH2267">
        <v>16.765032925237801</v>
      </c>
      <c r="AI2267">
        <v>93.787670012398607</v>
      </c>
      <c r="AJ2267">
        <v>89.634323208824895</v>
      </c>
      <c r="AK2267">
        <v>16.802075029096901</v>
      </c>
      <c r="AL2267">
        <v>78.763367201883497</v>
      </c>
      <c r="AM2267">
        <v>92.078443918244005</v>
      </c>
      <c r="AN2267">
        <v>1.0000000110300999</v>
      </c>
    </row>
    <row r="2268" spans="1:40" x14ac:dyDescent="0.25">
      <c r="A2268" t="str">
        <f>"20190312172127891"</f>
        <v>20190312172127891</v>
      </c>
      <c r="B2268" t="str">
        <f>"1552382487882793"</f>
        <v>1552382487882793</v>
      </c>
      <c r="C2268" t="s">
        <v>40</v>
      </c>
      <c r="D2268">
        <v>3.3043149999999999</v>
      </c>
      <c r="E2268">
        <v>0.5132139</v>
      </c>
      <c r="F2268" t="s">
        <v>46</v>
      </c>
      <c r="G2268">
        <v>-250.84209999999999</v>
      </c>
      <c r="H2268" s="1">
        <v>-1.0886539999999901E-6</v>
      </c>
      <c r="I2268">
        <v>281.8734</v>
      </c>
      <c r="J2268">
        <v>-233.9443</v>
      </c>
      <c r="K2268">
        <v>1.109955</v>
      </c>
      <c r="L2268">
        <v>281.5138</v>
      </c>
      <c r="M2268">
        <v>-0.99981430000000004</v>
      </c>
      <c r="N2268">
        <v>0</v>
      </c>
      <c r="O2268">
        <v>1.515883E-2</v>
      </c>
      <c r="P2268">
        <v>-0.98288880000000001</v>
      </c>
      <c r="Q2268">
        <v>0.18299170000000001</v>
      </c>
      <c r="R2268">
        <v>-2.1071779999999998E-2</v>
      </c>
      <c r="S2268">
        <v>-3.0913089999999999</v>
      </c>
      <c r="T2268">
        <v>-0.20169380000000001</v>
      </c>
      <c r="U2268">
        <v>6.5765379999999998E-2</v>
      </c>
      <c r="V2268">
        <v>-3.5713689999999999E-2</v>
      </c>
      <c r="W2268">
        <v>0.1947287</v>
      </c>
      <c r="X2268">
        <v>0.98020669999999999</v>
      </c>
      <c r="Y2268">
        <v>6.1297399999999998E-3</v>
      </c>
      <c r="Z2268">
        <v>-7.8815109999999999E-4</v>
      </c>
      <c r="AA2268">
        <v>0.99998089999999995</v>
      </c>
      <c r="AB2268">
        <v>21</v>
      </c>
      <c r="AC2268">
        <v>-16.897799999999901</v>
      </c>
      <c r="AD2268">
        <v>-1.1099560886540001</v>
      </c>
      <c r="AE2268">
        <v>0.35959999999999998</v>
      </c>
      <c r="AF2268">
        <v>0.102945684329347</v>
      </c>
      <c r="AG2268">
        <v>-1.1099560886540001</v>
      </c>
      <c r="AH2268">
        <v>16.8287314717772</v>
      </c>
      <c r="AI2268">
        <v>93.773465433372706</v>
      </c>
      <c r="AJ2268">
        <v>89.649511333107597</v>
      </c>
      <c r="AK2268">
        <v>16.865610077368899</v>
      </c>
      <c r="AL2268">
        <v>78.771124040852996</v>
      </c>
      <c r="AM2268">
        <v>92.086640467135894</v>
      </c>
      <c r="AN2268">
        <v>0.99999995449099699</v>
      </c>
    </row>
    <row r="2269" spans="1:40" x14ac:dyDescent="0.25">
      <c r="A2269" t="str">
        <f>"20190312172127903"</f>
        <v>20190312172127903</v>
      </c>
      <c r="B2269" t="str">
        <f>"1552382487893528"</f>
        <v>1552382487893528</v>
      </c>
      <c r="C2269" t="s">
        <v>40</v>
      </c>
      <c r="D2269">
        <v>3.343791</v>
      </c>
      <c r="E2269">
        <v>0.51313189999999997</v>
      </c>
      <c r="F2269" t="s">
        <v>46</v>
      </c>
      <c r="G2269">
        <v>-250.98099999999999</v>
      </c>
      <c r="H2269" s="1">
        <v>-1.0147340000000001E-6</v>
      </c>
      <c r="I2269">
        <v>281.87889999999999</v>
      </c>
      <c r="J2269">
        <v>-234.0592</v>
      </c>
      <c r="K2269">
        <v>1.109982</v>
      </c>
      <c r="L2269">
        <v>281.51609999999999</v>
      </c>
      <c r="M2269">
        <v>-0.99980650000000004</v>
      </c>
      <c r="N2269">
        <v>0</v>
      </c>
      <c r="O2269">
        <v>1.566555E-2</v>
      </c>
      <c r="P2269">
        <v>-0.9829521</v>
      </c>
      <c r="Q2269">
        <v>0.1826624</v>
      </c>
      <c r="R2269">
        <v>-2.0965419999999999E-2</v>
      </c>
      <c r="S2269">
        <v>-3.0911409999999999</v>
      </c>
      <c r="T2269">
        <v>-0.2013906</v>
      </c>
      <c r="U2269">
        <v>6.6253660000000006E-2</v>
      </c>
      <c r="V2269">
        <v>-3.6121420000000001E-2</v>
      </c>
      <c r="W2269">
        <v>0.1943868</v>
      </c>
      <c r="X2269">
        <v>0.98025969999999996</v>
      </c>
      <c r="Y2269">
        <v>5.7837309999999899E-3</v>
      </c>
      <c r="Z2269">
        <v>-8.3123870000000001E-4</v>
      </c>
      <c r="AA2269">
        <v>0.99998299999999996</v>
      </c>
      <c r="AB2269">
        <v>21</v>
      </c>
      <c r="AC2269">
        <v>-16.921799999999902</v>
      </c>
      <c r="AD2269">
        <v>-1.109983014734</v>
      </c>
      <c r="AE2269">
        <v>0.36279999999999202</v>
      </c>
      <c r="AF2269">
        <v>9.7229250974159298E-2</v>
      </c>
      <c r="AG2269">
        <v>-1.109983014734</v>
      </c>
      <c r="AH2269">
        <v>16.852927535647002</v>
      </c>
      <c r="AI2269">
        <v>93.768162332265106</v>
      </c>
      <c r="AJ2269">
        <v>89.669448295677697</v>
      </c>
      <c r="AK2269">
        <v>16.889721203797698</v>
      </c>
      <c r="AL2269">
        <v>78.791095977017306</v>
      </c>
      <c r="AM2269">
        <v>92.110327447291198</v>
      </c>
      <c r="AN2269">
        <v>1.00000003222057</v>
      </c>
    </row>
    <row r="2270" spans="1:40" x14ac:dyDescent="0.25">
      <c r="A2270" t="str">
        <f>"20190312172127915"</f>
        <v>20190312172127915</v>
      </c>
      <c r="B2270" t="str">
        <f>"1552382487903288"</f>
        <v>1552382487903288</v>
      </c>
      <c r="C2270" t="s">
        <v>40</v>
      </c>
      <c r="D2270">
        <v>3.318581</v>
      </c>
      <c r="E2270">
        <v>0.51303460000000001</v>
      </c>
      <c r="F2270" t="s">
        <v>46</v>
      </c>
      <c r="G2270">
        <v>-251.0652</v>
      </c>
      <c r="H2270" s="1">
        <v>-9.6992790000000001E-7</v>
      </c>
      <c r="I2270">
        <v>281.8811</v>
      </c>
      <c r="J2270">
        <v>-234.17310000000001</v>
      </c>
      <c r="K2270">
        <v>1.110009</v>
      </c>
      <c r="L2270">
        <v>281.51850000000002</v>
      </c>
      <c r="M2270">
        <v>-0.9997992</v>
      </c>
      <c r="N2270">
        <v>0</v>
      </c>
      <c r="O2270">
        <v>1.613595E-2</v>
      </c>
      <c r="P2270">
        <v>-0.9830335</v>
      </c>
      <c r="Q2270">
        <v>0.18225640000000001</v>
      </c>
      <c r="R2270">
        <v>-2.0691319999999999E-2</v>
      </c>
      <c r="S2270">
        <v>-3.0909420000000001</v>
      </c>
      <c r="T2270">
        <v>-0.20174520000000001</v>
      </c>
      <c r="U2270">
        <v>6.6345210000000002E-2</v>
      </c>
      <c r="V2270">
        <v>-3.632548E-2</v>
      </c>
      <c r="W2270">
        <v>0.19396769999999999</v>
      </c>
      <c r="X2270">
        <v>0.98033510000000001</v>
      </c>
      <c r="Y2270">
        <v>5.3462340000000001E-3</v>
      </c>
      <c r="Z2270">
        <v>-8.7767610000000001E-4</v>
      </c>
      <c r="AA2270">
        <v>0.99998529999999997</v>
      </c>
      <c r="AB2270">
        <v>21</v>
      </c>
      <c r="AC2270">
        <v>-16.892099999999999</v>
      </c>
      <c r="AD2270">
        <v>-1.11000996992789</v>
      </c>
      <c r="AE2270">
        <v>0.36259999999998599</v>
      </c>
      <c r="AF2270">
        <v>8.9576842080755295E-2</v>
      </c>
      <c r="AG2270">
        <v>-1.11000996992789</v>
      </c>
      <c r="AH2270">
        <v>16.823142253340201</v>
      </c>
      <c r="AI2270">
        <v>93.774915259017803</v>
      </c>
      <c r="AJ2270">
        <v>89.694924621498799</v>
      </c>
      <c r="AK2270">
        <v>16.859960303040399</v>
      </c>
      <c r="AL2270">
        <v>78.815573718832198</v>
      </c>
      <c r="AM2270">
        <v>92.122075328990803</v>
      </c>
      <c r="AN2270">
        <v>0.99999995871626401</v>
      </c>
    </row>
    <row r="2271" spans="1:40" x14ac:dyDescent="0.25">
      <c r="A2271" t="str">
        <f>"20190312172127937"</f>
        <v>20190312172127937</v>
      </c>
      <c r="B2271" t="str">
        <f>"1552382487933545"</f>
        <v>1552382487933545</v>
      </c>
      <c r="C2271" t="s">
        <v>40</v>
      </c>
      <c r="D2271">
        <v>3.2970950000000001</v>
      </c>
      <c r="E2271">
        <v>0.51274120000000001</v>
      </c>
      <c r="F2271" t="s">
        <v>46</v>
      </c>
      <c r="G2271">
        <v>-251.11449999999999</v>
      </c>
      <c r="H2271" s="1">
        <v>-9.4369550000000005E-7</v>
      </c>
      <c r="I2271">
        <v>281.8811</v>
      </c>
      <c r="J2271">
        <v>-234.37209999999999</v>
      </c>
      <c r="K2271">
        <v>1.1100570000000001</v>
      </c>
      <c r="L2271">
        <v>281.52260000000001</v>
      </c>
      <c r="M2271">
        <v>-0.99978679999999998</v>
      </c>
      <c r="N2271">
        <v>0</v>
      </c>
      <c r="O2271">
        <v>1.6895879999999999E-2</v>
      </c>
      <c r="P2271">
        <v>-0.9832128</v>
      </c>
      <c r="Q2271">
        <v>0.1812907</v>
      </c>
      <c r="R2271">
        <v>-2.0647229999999999E-2</v>
      </c>
      <c r="S2271">
        <v>-3.0907290000000001</v>
      </c>
      <c r="T2271">
        <v>-0.2025064</v>
      </c>
      <c r="U2271">
        <v>6.6162109999999996E-2</v>
      </c>
      <c r="V2271">
        <v>-3.7057380000000001E-2</v>
      </c>
      <c r="W2271">
        <v>0.19298199999999999</v>
      </c>
      <c r="X2271">
        <v>0.98050219999999999</v>
      </c>
      <c r="Y2271">
        <v>4.5319699999999997E-3</v>
      </c>
      <c r="Z2271">
        <v>-9.5741190000000001E-4</v>
      </c>
      <c r="AA2271">
        <v>0.99998929999999997</v>
      </c>
      <c r="AB2271">
        <v>21</v>
      </c>
      <c r="AC2271">
        <v>-16.7424</v>
      </c>
      <c r="AD2271">
        <v>-1.1100579436955</v>
      </c>
      <c r="AE2271">
        <v>0.35849999999999199</v>
      </c>
      <c r="AF2271">
        <v>7.5220790979434002E-2</v>
      </c>
      <c r="AG2271">
        <v>-1.1100579436955</v>
      </c>
      <c r="AH2271">
        <v>16.672807593187201</v>
      </c>
      <c r="AI2271">
        <v>93.809032325751105</v>
      </c>
      <c r="AJ2271">
        <v>89.741506966378296</v>
      </c>
      <c r="AK2271">
        <v>16.709889282852799</v>
      </c>
      <c r="AL2271">
        <v>78.873137544072705</v>
      </c>
      <c r="AM2271">
        <v>92.164422876774793</v>
      </c>
      <c r="AN2271">
        <v>0.99999993297064904</v>
      </c>
    </row>
    <row r="2272" spans="1:40" x14ac:dyDescent="0.25">
      <c r="A2272" t="str">
        <f>"20190312172127958"</f>
        <v>20190312172127958</v>
      </c>
      <c r="B2272" t="str">
        <f>"1552382487953065"</f>
        <v>1552382487953065</v>
      </c>
      <c r="C2272" t="s">
        <v>40</v>
      </c>
      <c r="D2272">
        <v>3.2694549999999998</v>
      </c>
      <c r="E2272">
        <v>0.51254960000000005</v>
      </c>
      <c r="F2272" t="s">
        <v>46</v>
      </c>
      <c r="G2272">
        <v>-251.1884</v>
      </c>
      <c r="H2272" s="1">
        <v>-9.0436899999999996E-7</v>
      </c>
      <c r="I2272">
        <v>281.86759999999998</v>
      </c>
      <c r="J2272">
        <v>-234.57730000000001</v>
      </c>
      <c r="K2272">
        <v>1.1101000000000001</v>
      </c>
      <c r="L2272">
        <v>281.52699999999999</v>
      </c>
      <c r="M2272">
        <v>-0.99977490000000002</v>
      </c>
      <c r="N2272">
        <v>0</v>
      </c>
      <c r="O2272">
        <v>1.7593480000000002E-2</v>
      </c>
      <c r="P2272">
        <v>-0.98339049999999995</v>
      </c>
      <c r="Q2272">
        <v>0.18029139999999999</v>
      </c>
      <c r="R2272">
        <v>-2.09342E-2</v>
      </c>
      <c r="S2272">
        <v>-3.0901489999999998</v>
      </c>
      <c r="T2272">
        <v>-0.20398330000000001</v>
      </c>
      <c r="U2272">
        <v>6.3385010000000006E-2</v>
      </c>
      <c r="V2272">
        <v>-3.8058149999999999E-2</v>
      </c>
      <c r="W2272">
        <v>0.1919643</v>
      </c>
      <c r="X2272">
        <v>0.98066370000000003</v>
      </c>
      <c r="Y2272">
        <v>2.9453180000000002E-3</v>
      </c>
      <c r="Z2272">
        <v>-1.0628650000000001E-3</v>
      </c>
      <c r="AA2272">
        <v>0.99999510000000003</v>
      </c>
      <c r="AB2272">
        <v>21</v>
      </c>
      <c r="AC2272">
        <v>-16.611099999999901</v>
      </c>
      <c r="AD2272">
        <v>-1.110100904369</v>
      </c>
      <c r="AE2272">
        <v>0.34059999999999402</v>
      </c>
      <c r="AF2272">
        <v>4.8065096785748197E-2</v>
      </c>
      <c r="AG2272">
        <v>-1.110100904369</v>
      </c>
      <c r="AH2272">
        <v>16.540680145775401</v>
      </c>
      <c r="AI2272">
        <v>93.839539287782202</v>
      </c>
      <c r="AJ2272">
        <v>89.833506275920399</v>
      </c>
      <c r="AK2272">
        <v>16.577959282018401</v>
      </c>
      <c r="AL2272">
        <v>78.932559299366403</v>
      </c>
      <c r="AM2272">
        <v>92.222451627795195</v>
      </c>
      <c r="AN2272">
        <v>1.0000000038768</v>
      </c>
    </row>
    <row r="2273" spans="1:40" x14ac:dyDescent="0.25">
      <c r="A2273" t="str">
        <f>"20190312172127971"</f>
        <v>20190312172127971</v>
      </c>
      <c r="B2273" t="str">
        <f>"1552382487962826"</f>
        <v>1552382487962826</v>
      </c>
      <c r="C2273" t="s">
        <v>40</v>
      </c>
      <c r="D2273">
        <v>3.3237269999999999</v>
      </c>
      <c r="E2273">
        <v>0.51244559999999995</v>
      </c>
      <c r="F2273" t="s">
        <v>46</v>
      </c>
      <c r="G2273">
        <v>-251.20320000000001</v>
      </c>
      <c r="H2273" s="1">
        <v>-8.9651349999999996E-7</v>
      </c>
      <c r="I2273">
        <v>281.85509999999999</v>
      </c>
      <c r="J2273">
        <v>-234.69900000000001</v>
      </c>
      <c r="K2273">
        <v>1.110123</v>
      </c>
      <c r="L2273">
        <v>281.52960000000002</v>
      </c>
      <c r="M2273">
        <v>-0.99976860000000001</v>
      </c>
      <c r="N2273">
        <v>0</v>
      </c>
      <c r="O2273">
        <v>1.7959909999999999E-2</v>
      </c>
      <c r="P2273">
        <v>-0.98349470000000005</v>
      </c>
      <c r="Q2273">
        <v>0.17970829999999999</v>
      </c>
      <c r="R2273">
        <v>-2.105311E-2</v>
      </c>
      <c r="S2273">
        <v>-3.089798</v>
      </c>
      <c r="T2273">
        <v>-0.2063044</v>
      </c>
      <c r="U2273">
        <v>6.097412E-2</v>
      </c>
      <c r="V2273">
        <v>-3.8553249999999997E-2</v>
      </c>
      <c r="W2273">
        <v>0.1913685</v>
      </c>
      <c r="X2273">
        <v>0.98076079999999999</v>
      </c>
      <c r="Y2273">
        <v>1.8052750000000001E-3</v>
      </c>
      <c r="Z2273">
        <v>-1.137512E-3</v>
      </c>
      <c r="AA2273">
        <v>0.99999769999999999</v>
      </c>
      <c r="AB2273">
        <v>21</v>
      </c>
      <c r="AC2273">
        <v>-16.504199999999901</v>
      </c>
      <c r="AD2273">
        <v>-1.1101238965135001</v>
      </c>
      <c r="AE2273">
        <v>0.32549999999997598</v>
      </c>
      <c r="AF2273">
        <v>2.8882144922574599E-2</v>
      </c>
      <c r="AG2273">
        <v>-1.1101238965135001</v>
      </c>
      <c r="AH2273">
        <v>16.433064346597</v>
      </c>
      <c r="AI2273">
        <v>93.8646975869801</v>
      </c>
      <c r="AJ2273">
        <v>89.899299164871707</v>
      </c>
      <c r="AK2273">
        <v>16.470543799866</v>
      </c>
      <c r="AL2273">
        <v>78.967340944617504</v>
      </c>
      <c r="AM2273">
        <v>92.251111367402203</v>
      </c>
      <c r="AN2273">
        <v>1.0000000013472199</v>
      </c>
    </row>
    <row r="2274" spans="1:40" x14ac:dyDescent="0.25">
      <c r="A2274" t="str">
        <f>"20190312172127985"</f>
        <v>20190312172127985</v>
      </c>
      <c r="B2274" t="str">
        <f>"1552382487973561"</f>
        <v>1552382487973561</v>
      </c>
      <c r="C2274" t="s">
        <v>40</v>
      </c>
      <c r="D2274">
        <v>3.304055</v>
      </c>
      <c r="E2274">
        <v>0.51235600000000003</v>
      </c>
      <c r="F2274" t="s">
        <v>46</v>
      </c>
      <c r="G2274">
        <v>-251.2174</v>
      </c>
      <c r="H2274" s="1">
        <v>-8.8896490000000003E-7</v>
      </c>
      <c r="I2274">
        <v>281.8492</v>
      </c>
      <c r="J2274">
        <v>-234.8211</v>
      </c>
      <c r="K2274">
        <v>1.1101460000000001</v>
      </c>
      <c r="L2274">
        <v>281.53219999999999</v>
      </c>
      <c r="M2274">
        <v>-0.99976240000000005</v>
      </c>
      <c r="N2274">
        <v>0</v>
      </c>
      <c r="O2274">
        <v>1.8309240000000001E-2</v>
      </c>
      <c r="P2274">
        <v>-0.9836416</v>
      </c>
      <c r="Q2274">
        <v>0.17892249999999901</v>
      </c>
      <c r="R2274">
        <v>-2.0882209999999998E-2</v>
      </c>
      <c r="S2274">
        <v>-3.089569</v>
      </c>
      <c r="T2274">
        <v>-0.20763590000000001</v>
      </c>
      <c r="U2274">
        <v>5.9783940000000001E-2</v>
      </c>
      <c r="V2274">
        <v>-3.8740839999999999E-2</v>
      </c>
      <c r="W2274">
        <v>0.1905695</v>
      </c>
      <c r="X2274">
        <v>0.98090900000000003</v>
      </c>
      <c r="Y2274">
        <v>1.075145E-3</v>
      </c>
      <c r="Z2274">
        <v>-1.192876E-3</v>
      </c>
      <c r="AA2274">
        <v>0.99999870000000002</v>
      </c>
      <c r="AB2274">
        <v>21</v>
      </c>
      <c r="AC2274">
        <v>-16.396299999999901</v>
      </c>
      <c r="AD2274">
        <v>-1.11014688896489</v>
      </c>
      <c r="AE2274">
        <v>0.317000000000007</v>
      </c>
      <c r="AF2274">
        <v>1.6645778809992798E-2</v>
      </c>
      <c r="AG2274">
        <v>-1.11014688896489</v>
      </c>
      <c r="AH2274">
        <v>16.324547570911299</v>
      </c>
      <c r="AI2274">
        <v>93.8903936831626</v>
      </c>
      <c r="AJ2274">
        <v>89.941576785645495</v>
      </c>
      <c r="AK2274">
        <v>16.3622601309225</v>
      </c>
      <c r="AL2274">
        <v>79.0139788712426</v>
      </c>
      <c r="AM2274">
        <v>92.261711927963802</v>
      </c>
      <c r="AN2274">
        <v>1.0000000266475699</v>
      </c>
    </row>
    <row r="2275" spans="1:40" x14ac:dyDescent="0.25">
      <c r="A2275" t="str">
        <f>"20190312172128003"</f>
        <v>20190312172128003</v>
      </c>
      <c r="B2275" t="str">
        <f>"1552382487993084"</f>
        <v>1552382487993084</v>
      </c>
      <c r="C2275" t="s">
        <v>40</v>
      </c>
      <c r="D2275">
        <v>3.285012</v>
      </c>
      <c r="E2275">
        <v>0.51215900000000003</v>
      </c>
      <c r="F2275" t="s">
        <v>46</v>
      </c>
      <c r="G2275">
        <v>-251.1738</v>
      </c>
      <c r="H2275" s="1">
        <v>-9.1215079999999996E-7</v>
      </c>
      <c r="I2275">
        <v>281.84649999999999</v>
      </c>
      <c r="J2275">
        <v>-235.00649999999999</v>
      </c>
      <c r="K2275">
        <v>1.1101730000000001</v>
      </c>
      <c r="L2275">
        <v>281.53620000000001</v>
      </c>
      <c r="M2275">
        <v>-0.99975380000000003</v>
      </c>
      <c r="N2275">
        <v>0</v>
      </c>
      <c r="O2275">
        <v>1.8789199999999999E-2</v>
      </c>
      <c r="P2275">
        <v>-0.98385599999999995</v>
      </c>
      <c r="Q2275">
        <v>0.17773320000000001</v>
      </c>
      <c r="R2275">
        <v>-2.0938890000000002E-2</v>
      </c>
      <c r="S2275">
        <v>-3.0893250000000001</v>
      </c>
      <c r="T2275">
        <v>-0.20972689999999999</v>
      </c>
      <c r="U2275">
        <v>5.9387210000000003E-2</v>
      </c>
      <c r="V2275">
        <v>-3.9291850000000003E-2</v>
      </c>
      <c r="W2275">
        <v>0.18935750000000001</v>
      </c>
      <c r="X2275">
        <v>0.98112180000000004</v>
      </c>
      <c r="Y2275">
        <v>4.715155E-4</v>
      </c>
      <c r="Z2275">
        <v>-1.2579609999999999E-3</v>
      </c>
      <c r="AA2275">
        <v>0.99999910000000003</v>
      </c>
      <c r="AB2275">
        <v>21</v>
      </c>
      <c r="AC2275">
        <v>-16.167300000000001</v>
      </c>
      <c r="AD2275">
        <v>-1.1101739121508001</v>
      </c>
      <c r="AE2275">
        <v>0.31029999999998298</v>
      </c>
      <c r="AF2275">
        <v>6.4231447515265497E-3</v>
      </c>
      <c r="AG2275">
        <v>-1.1101739121508001</v>
      </c>
      <c r="AH2275">
        <v>16.094414593800401</v>
      </c>
      <c r="AI2275">
        <v>93.945945154060894</v>
      </c>
      <c r="AJ2275">
        <v>89.977133740169194</v>
      </c>
      <c r="AK2275">
        <v>16.1326596842909</v>
      </c>
      <c r="AL2275">
        <v>79.084709529079106</v>
      </c>
      <c r="AM2275">
        <v>92.293349087110798</v>
      </c>
      <c r="AN2275">
        <v>1.00000004935895</v>
      </c>
    </row>
    <row r="2276" spans="1:40" x14ac:dyDescent="0.25">
      <c r="A2276" t="str">
        <f>"20190312172128016"</f>
        <v>20190312172128016</v>
      </c>
      <c r="B2276" t="str">
        <f>"1552382488013577"</f>
        <v>1552382488013577</v>
      </c>
      <c r="C2276" t="s">
        <v>40</v>
      </c>
      <c r="D2276">
        <v>3.3300139999999998</v>
      </c>
      <c r="E2276">
        <v>0.51195809999999997</v>
      </c>
      <c r="F2276" t="s">
        <v>46</v>
      </c>
      <c r="G2276">
        <v>-251.1267</v>
      </c>
      <c r="H2276" s="1">
        <v>-9.3723839999999996E-7</v>
      </c>
      <c r="I2276">
        <v>281.83620000000002</v>
      </c>
      <c r="J2276">
        <v>-235.12610000000001</v>
      </c>
      <c r="K2276">
        <v>1.1101909999999999</v>
      </c>
      <c r="L2276">
        <v>281.53879999999998</v>
      </c>
      <c r="M2276">
        <v>-0.99974850000000004</v>
      </c>
      <c r="N2276">
        <v>0</v>
      </c>
      <c r="O2276">
        <v>1.9074009999999999E-2</v>
      </c>
      <c r="P2276">
        <v>-0.98399289999999995</v>
      </c>
      <c r="Q2276">
        <v>0.17698520000000001</v>
      </c>
      <c r="R2276">
        <v>-2.084072E-2</v>
      </c>
      <c r="S2276">
        <v>-3.0888819999999999</v>
      </c>
      <c r="T2276">
        <v>-0.21272679999999999</v>
      </c>
      <c r="U2276">
        <v>5.7495119999999997E-2</v>
      </c>
      <c r="V2276">
        <v>-3.9486750000000001E-2</v>
      </c>
      <c r="W2276">
        <v>0.18859519999999999</v>
      </c>
      <c r="X2276">
        <v>0.98126080000000004</v>
      </c>
      <c r="Y2276">
        <v>-4.1892729999999998E-4</v>
      </c>
      <c r="Z2276">
        <v>-1.326313E-3</v>
      </c>
      <c r="AA2276">
        <v>0.99999899999999997</v>
      </c>
      <c r="AB2276">
        <v>21</v>
      </c>
      <c r="AC2276">
        <v>-16.000599999999899</v>
      </c>
      <c r="AD2276">
        <v>-1.1101919372383999</v>
      </c>
      <c r="AE2276">
        <v>0.29740000000003802</v>
      </c>
      <c r="AF2276">
        <v>-7.8332502595984104E-3</v>
      </c>
      <c r="AG2276">
        <v>-1.1101919372383999</v>
      </c>
      <c r="AH2276">
        <v>15.926713870019601</v>
      </c>
      <c r="AI2276">
        <v>93.987425120485398</v>
      </c>
      <c r="AJ2276">
        <v>90.028179833405503</v>
      </c>
      <c r="AK2276">
        <v>15.9653625763649</v>
      </c>
      <c r="AL2276">
        <v>79.129187586158594</v>
      </c>
      <c r="AM2276">
        <v>92.304386466107601</v>
      </c>
      <c r="AN2276">
        <v>1.00000005525261</v>
      </c>
    </row>
    <row r="2277" spans="1:40" x14ac:dyDescent="0.25">
      <c r="A2277" t="str">
        <f>"20190312172128036"</f>
        <v>20190312172128036</v>
      </c>
      <c r="B2277" t="str">
        <f>"1552382488033096"</f>
        <v>1552382488033096</v>
      </c>
      <c r="C2277" t="s">
        <v>40</v>
      </c>
      <c r="D2277">
        <v>3.3408720000000001</v>
      </c>
      <c r="E2277">
        <v>0.51175329999999997</v>
      </c>
      <c r="F2277" t="s">
        <v>46</v>
      </c>
      <c r="G2277">
        <v>-251.13079999999999</v>
      </c>
      <c r="H2277" s="1">
        <v>-9.3505329999999995E-7</v>
      </c>
      <c r="I2277">
        <v>281.82839999999999</v>
      </c>
      <c r="J2277">
        <v>-235.3039</v>
      </c>
      <c r="K2277">
        <v>1.1102050000000001</v>
      </c>
      <c r="L2277">
        <v>281.54270000000002</v>
      </c>
      <c r="M2277">
        <v>-0.9997412</v>
      </c>
      <c r="N2277">
        <v>0</v>
      </c>
      <c r="O2277">
        <v>1.94691E-2</v>
      </c>
      <c r="P2277">
        <v>-0.98423919999999998</v>
      </c>
      <c r="Q2277">
        <v>0.17565749999999999</v>
      </c>
      <c r="R2277">
        <v>-2.0452089999999999E-2</v>
      </c>
      <c r="S2277">
        <v>-3.0885310000000001</v>
      </c>
      <c r="T2277">
        <v>-0.21424209999999999</v>
      </c>
      <c r="U2277">
        <v>5.5877690000000001E-2</v>
      </c>
      <c r="V2277">
        <v>-3.9504600000000001E-2</v>
      </c>
      <c r="W2277">
        <v>0.18724959999999999</v>
      </c>
      <c r="X2277">
        <v>0.98151770000000005</v>
      </c>
      <c r="Y2277">
        <v>-1.331697E-3</v>
      </c>
      <c r="Z2277">
        <v>-1.3948809999999999E-3</v>
      </c>
      <c r="AA2277">
        <v>0.99999819999999995</v>
      </c>
      <c r="AB2277">
        <v>21</v>
      </c>
      <c r="AC2277">
        <v>-15.826899999999901</v>
      </c>
      <c r="AD2277">
        <v>-1.11020593505329</v>
      </c>
      <c r="AE2277">
        <v>0.28569999999996298</v>
      </c>
      <c r="AF2277">
        <v>-2.2400807919211601E-2</v>
      </c>
      <c r="AG2277">
        <v>-1.11020593505329</v>
      </c>
      <c r="AH2277">
        <v>15.7519789876413</v>
      </c>
      <c r="AI2277">
        <v>94.031559198807201</v>
      </c>
      <c r="AJ2277">
        <v>90.081479977039706</v>
      </c>
      <c r="AK2277">
        <v>15.791070294363101</v>
      </c>
      <c r="AL2277">
        <v>79.207682792257302</v>
      </c>
      <c r="AM2277">
        <v>92.304824275216703</v>
      </c>
      <c r="AN2277">
        <v>1.0000000107672999</v>
      </c>
    </row>
    <row r="2278" spans="1:40" x14ac:dyDescent="0.25">
      <c r="A2278" t="str">
        <f>"20190312172128048"</f>
        <v>20190312172128048</v>
      </c>
      <c r="B2278" t="str">
        <f>"1552382488042857"</f>
        <v>1552382488042857</v>
      </c>
      <c r="C2278" t="s">
        <v>40</v>
      </c>
      <c r="D2278">
        <v>3.319121</v>
      </c>
      <c r="E2278">
        <v>0.51175329999999997</v>
      </c>
      <c r="F2278" t="s">
        <v>46</v>
      </c>
      <c r="G2278">
        <v>-251.0462</v>
      </c>
      <c r="H2278" s="1">
        <v>-9.8002810000000001E-7</v>
      </c>
      <c r="I2278">
        <v>281.8245</v>
      </c>
      <c r="J2278">
        <v>-235.42429999999999</v>
      </c>
      <c r="K2278">
        <v>1.1102190000000001</v>
      </c>
      <c r="L2278">
        <v>281.54539999999997</v>
      </c>
      <c r="M2278">
        <v>-0.99973639999999997</v>
      </c>
      <c r="N2278">
        <v>0</v>
      </c>
      <c r="O2278">
        <v>1.9716959999999999E-2</v>
      </c>
      <c r="P2278">
        <v>-0.98433720000000002</v>
      </c>
      <c r="Q2278">
        <v>0.175128799999999</v>
      </c>
      <c r="R2278">
        <v>-2.0251100000000001E-2</v>
      </c>
      <c r="S2278">
        <v>-3.0880740000000002</v>
      </c>
      <c r="T2278">
        <v>-0.2177818</v>
      </c>
      <c r="U2278">
        <v>5.5267330000000003E-2</v>
      </c>
      <c r="V2278">
        <v>-3.955695E-2</v>
      </c>
      <c r="W2278">
        <v>0.1867076</v>
      </c>
      <c r="X2278">
        <v>0.98161880000000001</v>
      </c>
      <c r="Y2278">
        <v>-1.7711440000000001E-3</v>
      </c>
      <c r="Z2278">
        <v>-1.4510129999999999E-3</v>
      </c>
      <c r="AA2278">
        <v>0.99999740000000004</v>
      </c>
      <c r="AB2278">
        <v>21</v>
      </c>
      <c r="AC2278">
        <v>-15.6219</v>
      </c>
      <c r="AD2278">
        <v>-1.1102199800281001</v>
      </c>
      <c r="AE2278">
        <v>0.27910000000002799</v>
      </c>
      <c r="AF2278">
        <v>-2.8846306941059201E-2</v>
      </c>
      <c r="AG2278">
        <v>-1.1102199800281001</v>
      </c>
      <c r="AH2278">
        <v>15.545873822090201</v>
      </c>
      <c r="AI2278">
        <v>94.084877938591404</v>
      </c>
      <c r="AJ2278">
        <v>90.106315654191704</v>
      </c>
      <c r="AK2278">
        <v>15.5854936850209</v>
      </c>
      <c r="AL2278">
        <v>79.239294214767199</v>
      </c>
      <c r="AM2278">
        <v>92.307637802334696</v>
      </c>
      <c r="AN2278">
        <v>0.99999997435225096</v>
      </c>
    </row>
    <row r="2279" spans="1:40" x14ac:dyDescent="0.25">
      <c r="A2279" t="str">
        <f>"20190312172128070"</f>
        <v>20190312172128070</v>
      </c>
      <c r="B2279" t="str">
        <f>"1552382488063354"</f>
        <v>1552382488063354</v>
      </c>
      <c r="C2279" t="s">
        <v>40</v>
      </c>
      <c r="D2279">
        <v>3.3579479999999999</v>
      </c>
      <c r="E2279">
        <v>0.50505329999999904</v>
      </c>
      <c r="F2279" t="s">
        <v>46</v>
      </c>
      <c r="G2279">
        <v>-251.04640000000001</v>
      </c>
      <c r="H2279" s="1">
        <v>-9.7994060000000003E-7</v>
      </c>
      <c r="I2279">
        <v>281.8272</v>
      </c>
      <c r="J2279">
        <v>-235.62610000000001</v>
      </c>
      <c r="K2279">
        <v>1.1102379999999901</v>
      </c>
      <c r="L2279">
        <v>281.54989999999998</v>
      </c>
      <c r="M2279">
        <v>-0.99972910000000004</v>
      </c>
      <c r="N2279">
        <v>0</v>
      </c>
      <c r="O2279">
        <v>2.0100489999999999E-2</v>
      </c>
      <c r="P2279">
        <v>-0.98443590000000003</v>
      </c>
      <c r="Q2279">
        <v>0.17460709999999999</v>
      </c>
      <c r="R2279">
        <v>-1.995121E-2</v>
      </c>
      <c r="S2279">
        <v>-3.0879210000000001</v>
      </c>
      <c r="T2279">
        <v>-0.21944959999999999</v>
      </c>
      <c r="U2279">
        <v>5.569458E-2</v>
      </c>
      <c r="V2279">
        <v>-3.9648669999999997E-2</v>
      </c>
      <c r="W2279">
        <v>0.18615899999999999</v>
      </c>
      <c r="X2279">
        <v>0.98171929999999996</v>
      </c>
      <c r="Y2279">
        <v>-2.013169E-3</v>
      </c>
      <c r="Z2279">
        <v>-1.4979699999999999E-3</v>
      </c>
      <c r="AA2279">
        <v>0.99999680000000002</v>
      </c>
      <c r="AB2279">
        <v>21</v>
      </c>
      <c r="AC2279">
        <v>-15.4202999999999</v>
      </c>
      <c r="AD2279">
        <v>-1.1102389799405901</v>
      </c>
      <c r="AE2279">
        <v>0.27730000000002503</v>
      </c>
      <c r="AF2279">
        <v>-3.2564208799500997E-2</v>
      </c>
      <c r="AG2279">
        <v>-1.1102389799405901</v>
      </c>
      <c r="AH2279">
        <v>15.343247932128699</v>
      </c>
      <c r="AI2279">
        <v>94.138705782916702</v>
      </c>
      <c r="AJ2279">
        <v>90.121603257287404</v>
      </c>
      <c r="AK2279">
        <v>15.3833984583072</v>
      </c>
      <c r="AL2279">
        <v>79.271287739858806</v>
      </c>
      <c r="AM2279">
        <v>92.312746150457798</v>
      </c>
      <c r="AN2279">
        <v>0.99999998715312899</v>
      </c>
    </row>
    <row r="2280" spans="1:40" x14ac:dyDescent="0.25">
      <c r="A2280" t="str">
        <f>"20190312172128081"</f>
        <v>20190312172128081</v>
      </c>
      <c r="B2280" t="str">
        <f>"1552382488073113"</f>
        <v>1552382488073113</v>
      </c>
      <c r="C2280" t="s">
        <v>40</v>
      </c>
      <c r="D2280">
        <v>3.3584170000000002</v>
      </c>
      <c r="E2280">
        <v>0.50491520000000001</v>
      </c>
      <c r="F2280" t="s">
        <v>46</v>
      </c>
      <c r="G2280">
        <v>-254.7499</v>
      </c>
      <c r="H2280" s="1">
        <v>9.9088370000000007E-7</v>
      </c>
      <c r="I2280">
        <v>281.56180000000001</v>
      </c>
      <c r="J2280">
        <v>-235.74369999999999</v>
      </c>
      <c r="K2280">
        <v>1.110249</v>
      </c>
      <c r="L2280">
        <v>281.55250000000001</v>
      </c>
      <c r="M2280">
        <v>-0.99972519999999998</v>
      </c>
      <c r="N2280">
        <v>0</v>
      </c>
      <c r="O2280">
        <v>2.0307950000000002E-2</v>
      </c>
      <c r="P2280">
        <v>-0.98443150000000001</v>
      </c>
      <c r="Q2280">
        <v>0.17466409999999999</v>
      </c>
      <c r="R2280">
        <v>-1.9679539999999999E-2</v>
      </c>
      <c r="S2280">
        <v>-3.0791629999999999</v>
      </c>
      <c r="T2280">
        <v>-0.17876110000000001</v>
      </c>
      <c r="U2280">
        <v>1.922607E-3</v>
      </c>
      <c r="V2280">
        <v>-3.9587079999999997E-2</v>
      </c>
      <c r="W2280">
        <v>0.18619559999999999</v>
      </c>
      <c r="X2280">
        <v>0.9817148</v>
      </c>
      <c r="Y2280">
        <v>-1.9617849999999999E-2</v>
      </c>
      <c r="Z2280">
        <v>-1.7469860000000001E-3</v>
      </c>
      <c r="AA2280">
        <v>0.99980599999999997</v>
      </c>
      <c r="AB2280">
        <v>21</v>
      </c>
      <c r="AC2280">
        <v>-19.0062</v>
      </c>
      <c r="AD2280">
        <v>-1.1102480091163001</v>
      </c>
      <c r="AE2280">
        <v>9.2999999999960892E-3</v>
      </c>
      <c r="AF2280">
        <v>-0.37542427469618</v>
      </c>
      <c r="AG2280">
        <v>-1.1102480091163001</v>
      </c>
      <c r="AH2280">
        <v>18.937846806736999</v>
      </c>
      <c r="AI2280">
        <v>93.3545177523376</v>
      </c>
      <c r="AJ2280">
        <v>91.135683986126097</v>
      </c>
      <c r="AK2280">
        <v>18.974077993494699</v>
      </c>
      <c r="AL2280">
        <v>79.269152923288999</v>
      </c>
      <c r="AM2280">
        <v>92.309168010143594</v>
      </c>
      <c r="AN2280">
        <v>0.99999994345066101</v>
      </c>
    </row>
    <row r="2281" spans="1:40" x14ac:dyDescent="0.25">
      <c r="A2281" t="str">
        <f>"20190312172128093"</f>
        <v>20190312172128093</v>
      </c>
      <c r="B2281" t="str">
        <f>"1552382488082874"</f>
        <v>1552382488082874</v>
      </c>
      <c r="C2281" t="s">
        <v>40</v>
      </c>
      <c r="D2281">
        <v>3.3346710000000002</v>
      </c>
      <c r="E2281">
        <v>0.50486149999999996</v>
      </c>
      <c r="F2281" t="s">
        <v>46</v>
      </c>
      <c r="G2281">
        <v>-255.4701</v>
      </c>
      <c r="H2281" s="1">
        <v>1.374103E-6</v>
      </c>
      <c r="I2281">
        <v>281.56209999999999</v>
      </c>
      <c r="J2281">
        <v>-235.86019999999999</v>
      </c>
      <c r="K2281">
        <v>1.1102559999999999</v>
      </c>
      <c r="L2281">
        <v>281.55509999999998</v>
      </c>
      <c r="M2281">
        <v>-0.99972159999999999</v>
      </c>
      <c r="N2281">
        <v>0</v>
      </c>
      <c r="O2281">
        <v>2.0496469999999999E-2</v>
      </c>
      <c r="P2281">
        <v>-0.98442819999999998</v>
      </c>
      <c r="Q2281">
        <v>0.1747049</v>
      </c>
      <c r="R2281">
        <v>-1.9480810000000001E-2</v>
      </c>
      <c r="S2281">
        <v>-3.078201</v>
      </c>
      <c r="T2281">
        <v>-0.17324909999999999</v>
      </c>
      <c r="U2281">
        <v>1.495361E-3</v>
      </c>
      <c r="V2281">
        <v>-3.9579900000000001E-2</v>
      </c>
      <c r="W2281">
        <v>0.18621480000000001</v>
      </c>
      <c r="X2281">
        <v>0.98171149999999996</v>
      </c>
      <c r="Y2281">
        <v>-1.9948179999999999E-2</v>
      </c>
      <c r="Z2281">
        <v>-1.7136219999999999E-3</v>
      </c>
      <c r="AA2281">
        <v>0.99979949999999995</v>
      </c>
      <c r="AB2281">
        <v>21</v>
      </c>
      <c r="AC2281">
        <v>-19.6099</v>
      </c>
      <c r="AD2281">
        <v>-1.1102546258970001</v>
      </c>
      <c r="AE2281">
        <v>7.0000000000049996E-3</v>
      </c>
      <c r="AF2281">
        <v>-0.39370065278301403</v>
      </c>
      <c r="AG2281">
        <v>-1.1102546258970001</v>
      </c>
      <c r="AH2281">
        <v>19.543277605454701</v>
      </c>
      <c r="AI2281">
        <v>93.250823172033193</v>
      </c>
      <c r="AJ2281">
        <v>91.154071264458096</v>
      </c>
      <c r="AK2281">
        <v>19.578747791986</v>
      </c>
      <c r="AL2281">
        <v>79.268033819200596</v>
      </c>
      <c r="AM2281">
        <v>92.308757396679397</v>
      </c>
      <c r="AN2281">
        <v>0.99999999472765</v>
      </c>
    </row>
    <row r="2282" spans="1:40" x14ac:dyDescent="0.25">
      <c r="A2282" t="str">
        <f>"20190312172128105"</f>
        <v>20190312172128105</v>
      </c>
      <c r="B2282" t="str">
        <f>"1552382488103370"</f>
        <v>1552382488103370</v>
      </c>
      <c r="C2282" t="s">
        <v>40</v>
      </c>
      <c r="D2282">
        <v>3.3234059999999999</v>
      </c>
      <c r="E2282">
        <v>0.50469649999999999</v>
      </c>
      <c r="F2282" t="s">
        <v>46</v>
      </c>
      <c r="G2282">
        <v>-255.82849999999999</v>
      </c>
      <c r="H2282" s="1">
        <v>1.5648499999999999E-6</v>
      </c>
      <c r="I2282">
        <v>281.56619999999998</v>
      </c>
      <c r="J2282">
        <v>-235.9648</v>
      </c>
      <c r="K2282">
        <v>1.110266</v>
      </c>
      <c r="L2282">
        <v>281.5575</v>
      </c>
      <c r="M2282">
        <v>-0.99971840000000001</v>
      </c>
      <c r="N2282">
        <v>0</v>
      </c>
      <c r="O2282">
        <v>2.065722E-2</v>
      </c>
      <c r="P2282">
        <v>-0.98440839999999996</v>
      </c>
      <c r="Q2282">
        <v>0.17486119999999999</v>
      </c>
      <c r="R2282">
        <v>-1.9070139999999999E-2</v>
      </c>
      <c r="S2282">
        <v>-3.0778660000000002</v>
      </c>
      <c r="T2282">
        <v>-0.17113159999999999</v>
      </c>
      <c r="U2282">
        <v>1.708984E-3</v>
      </c>
      <c r="V2282">
        <v>-3.9332640000000002E-2</v>
      </c>
      <c r="W2282">
        <v>0.18635209999999999</v>
      </c>
      <c r="X2282">
        <v>0.9816954</v>
      </c>
      <c r="Y2282">
        <v>-2.0040639999999998E-2</v>
      </c>
      <c r="Z2282">
        <v>-1.70439299999999E-3</v>
      </c>
      <c r="AA2282">
        <v>0.99979770000000001</v>
      </c>
      <c r="AB2282">
        <v>21</v>
      </c>
      <c r="AC2282">
        <v>-19.863699999999898</v>
      </c>
      <c r="AD2282">
        <v>-1.11026443515</v>
      </c>
      <c r="AE2282">
        <v>8.6999999999761695E-3</v>
      </c>
      <c r="AF2282">
        <v>-0.40040772934308699</v>
      </c>
      <c r="AG2282">
        <v>-1.11026443515</v>
      </c>
      <c r="AH2282">
        <v>19.79778922441</v>
      </c>
      <c r="AI2282">
        <v>93.209143078590799</v>
      </c>
      <c r="AJ2282">
        <v>91.158641776681407</v>
      </c>
      <c r="AK2282">
        <v>19.8329390570294</v>
      </c>
      <c r="AL2282">
        <v>79.260027123508394</v>
      </c>
      <c r="AM2282">
        <v>92.294387384055597</v>
      </c>
      <c r="AN2282">
        <v>1.00000001006246</v>
      </c>
    </row>
    <row r="2283" spans="1:40" x14ac:dyDescent="0.25">
      <c r="A2283" t="str">
        <f>"20190312172128124"</f>
        <v>20190312172128124</v>
      </c>
      <c r="B2283" t="str">
        <f>"1552382488113129"</f>
        <v>1552382488113129</v>
      </c>
      <c r="C2283" t="s">
        <v>40</v>
      </c>
      <c r="D2283">
        <v>3.3259150000000002</v>
      </c>
      <c r="E2283">
        <v>0.50459520000000002</v>
      </c>
      <c r="F2283" t="s">
        <v>46</v>
      </c>
      <c r="G2283">
        <v>-256.12990000000002</v>
      </c>
      <c r="H2283" s="1">
        <v>1.725245E-6</v>
      </c>
      <c r="I2283">
        <v>281.56650000000002</v>
      </c>
      <c r="J2283">
        <v>-236.14609999999999</v>
      </c>
      <c r="K2283">
        <v>1.11029</v>
      </c>
      <c r="L2283">
        <v>281.56150000000002</v>
      </c>
      <c r="M2283">
        <v>-0.99971350000000003</v>
      </c>
      <c r="N2283">
        <v>0</v>
      </c>
      <c r="O2283">
        <v>2.091047E-2</v>
      </c>
      <c r="P2283">
        <v>-0.98437419999999998</v>
      </c>
      <c r="Q2283">
        <v>0.175061299999999</v>
      </c>
      <c r="R2283">
        <v>-1.9002089999999999E-2</v>
      </c>
      <c r="S2283">
        <v>-3.0776520000000001</v>
      </c>
      <c r="T2283">
        <v>-0.16945180000000001</v>
      </c>
      <c r="U2283">
        <v>1.373291E-3</v>
      </c>
      <c r="V2283">
        <v>-3.9522349999999998E-2</v>
      </c>
      <c r="W2283">
        <v>0.1865193</v>
      </c>
      <c r="X2283">
        <v>0.98165599999999997</v>
      </c>
      <c r="Y2283">
        <v>-2.04032E-2</v>
      </c>
      <c r="Z2283">
        <v>-1.7117110000000001E-3</v>
      </c>
      <c r="AA2283">
        <v>0.99979039999999997</v>
      </c>
      <c r="AB2283">
        <v>21</v>
      </c>
      <c r="AC2283">
        <v>-19.983799999999999</v>
      </c>
      <c r="AD2283">
        <v>-1.110288274755</v>
      </c>
      <c r="AE2283">
        <v>4.9999999999954499E-3</v>
      </c>
      <c r="AF2283">
        <v>-0.41162945513625998</v>
      </c>
      <c r="AG2283">
        <v>-1.110288274755</v>
      </c>
      <c r="AH2283">
        <v>19.918050546341401</v>
      </c>
      <c r="AI2283">
        <v>93.189846670924993</v>
      </c>
      <c r="AJ2283">
        <v>91.183914747207893</v>
      </c>
      <c r="AK2283">
        <v>19.9532181972735</v>
      </c>
      <c r="AL2283">
        <v>79.250276025036399</v>
      </c>
      <c r="AM2283">
        <v>92.305534240305207</v>
      </c>
      <c r="AN2283">
        <v>0.99999998387900602</v>
      </c>
    </row>
    <row r="2284" spans="1:40" x14ac:dyDescent="0.25">
      <c r="A2284" t="str">
        <f>"20190312172128138"</f>
        <v>20190312172128138</v>
      </c>
      <c r="B2284" t="str">
        <f>"1552382488133624"</f>
        <v>1552382488133624</v>
      </c>
      <c r="C2284" t="s">
        <v>40</v>
      </c>
      <c r="D2284">
        <v>3.332608</v>
      </c>
      <c r="E2284">
        <v>0.50434440000000003</v>
      </c>
      <c r="F2284" t="s">
        <v>46</v>
      </c>
      <c r="G2284">
        <v>-256.52510000000001</v>
      </c>
      <c r="H2284" s="1">
        <v>1.935573E-6</v>
      </c>
      <c r="I2284">
        <v>281.57119999999998</v>
      </c>
      <c r="J2284">
        <v>-236.2809</v>
      </c>
      <c r="K2284">
        <v>1.110304</v>
      </c>
      <c r="L2284">
        <v>281.56459999999998</v>
      </c>
      <c r="M2284">
        <v>-0.9997104</v>
      </c>
      <c r="N2284">
        <v>0</v>
      </c>
      <c r="O2284">
        <v>2.1077019999999998E-2</v>
      </c>
      <c r="P2284">
        <v>-0.98435779999999995</v>
      </c>
      <c r="Q2284">
        <v>0.17514849999999901</v>
      </c>
      <c r="R2284">
        <v>-1.9050919999999999E-2</v>
      </c>
      <c r="S2284">
        <v>-3.0774539999999999</v>
      </c>
      <c r="T2284">
        <v>-0.1676657</v>
      </c>
      <c r="U2284">
        <v>1.4648440000000001E-3</v>
      </c>
      <c r="V2284">
        <v>-3.9742800000000002E-2</v>
      </c>
      <c r="W2284">
        <v>0.1865821</v>
      </c>
      <c r="X2284">
        <v>0.98163520000000004</v>
      </c>
      <c r="Y2284">
        <v>-2.0540840000000001E-2</v>
      </c>
      <c r="Z2284">
        <v>-1.7066169999999999E-3</v>
      </c>
      <c r="AA2284">
        <v>0.9997876</v>
      </c>
      <c r="AB2284">
        <v>21</v>
      </c>
      <c r="AC2284">
        <v>-20.244199999999999</v>
      </c>
      <c r="AD2284">
        <v>-1.1103020644270001</v>
      </c>
      <c r="AE2284">
        <v>6.5999999999917201E-3</v>
      </c>
      <c r="AF2284">
        <v>-0.41885771912000003</v>
      </c>
      <c r="AG2284">
        <v>-1.1103020644270001</v>
      </c>
      <c r="AH2284">
        <v>20.17914205848</v>
      </c>
      <c r="AI2284">
        <v>93.148690964403301</v>
      </c>
      <c r="AJ2284">
        <v>91.189115657453499</v>
      </c>
      <c r="AK2284">
        <v>20.214004716519099</v>
      </c>
      <c r="AL2284">
        <v>79.246613928290003</v>
      </c>
      <c r="AM2284">
        <v>92.318429257031895</v>
      </c>
      <c r="AN2284">
        <v>1.0000000180356401</v>
      </c>
    </row>
    <row r="2285" spans="1:40" x14ac:dyDescent="0.25">
      <c r="A2285" t="str">
        <f>"20190312172128161"</f>
        <v>20190312172128161</v>
      </c>
      <c r="B2285" t="str">
        <f>"1552382488153244"</f>
        <v>1552382488153244</v>
      </c>
      <c r="C2285" t="s">
        <v>40</v>
      </c>
      <c r="D2285">
        <v>3.324891</v>
      </c>
      <c r="E2285">
        <v>0.50424460000000004</v>
      </c>
      <c r="F2285" t="s">
        <v>46</v>
      </c>
      <c r="G2285">
        <v>-256.83519999999999</v>
      </c>
      <c r="H2285" s="1">
        <v>2.1005620000000001E-6</v>
      </c>
      <c r="I2285">
        <v>281.5609</v>
      </c>
      <c r="J2285">
        <v>-236.4838</v>
      </c>
      <c r="K2285">
        <v>1.1103289999999999</v>
      </c>
      <c r="L2285">
        <v>281.56909999999999</v>
      </c>
      <c r="M2285">
        <v>-0.9997064</v>
      </c>
      <c r="N2285">
        <v>0</v>
      </c>
      <c r="O2285">
        <v>2.128534E-2</v>
      </c>
      <c r="P2285">
        <v>-0.98434730000000004</v>
      </c>
      <c r="Q2285">
        <v>0.17519199999999999</v>
      </c>
      <c r="R2285">
        <v>-1.9199959999999999E-2</v>
      </c>
      <c r="S2285">
        <v>-3.0772400000000002</v>
      </c>
      <c r="T2285">
        <v>-0.1662265</v>
      </c>
      <c r="U2285">
        <v>-5.4931640000000002E-4</v>
      </c>
      <c r="V2285">
        <v>-4.01088E-2</v>
      </c>
      <c r="W2285">
        <v>0.18658720000000001</v>
      </c>
      <c r="X2285">
        <v>0.98161929999999997</v>
      </c>
      <c r="Y2285">
        <v>-2.1402999999999998E-2</v>
      </c>
      <c r="Z2285">
        <v>-1.7266200000000001E-3</v>
      </c>
      <c r="AA2285">
        <v>0.99976940000000003</v>
      </c>
      <c r="AB2285">
        <v>21</v>
      </c>
      <c r="AC2285">
        <v>-20.351399999999899</v>
      </c>
      <c r="AD2285">
        <v>-1.110326899438</v>
      </c>
      <c r="AE2285">
        <v>-8.1999999999879895E-3</v>
      </c>
      <c r="AF2285">
        <v>-0.44010365707063898</v>
      </c>
      <c r="AG2285">
        <v>-1.110326899438</v>
      </c>
      <c r="AH2285">
        <v>20.286231081586099</v>
      </c>
      <c r="AI2285">
        <v>93.132110243511207</v>
      </c>
      <c r="AJ2285">
        <v>91.2428196764305</v>
      </c>
      <c r="AK2285">
        <v>20.321360401018801</v>
      </c>
      <c r="AL2285">
        <v>79.246316023789504</v>
      </c>
      <c r="AM2285">
        <v>92.339794406962795</v>
      </c>
      <c r="AN2285">
        <v>0.99999997458688406</v>
      </c>
    </row>
    <row r="2286" spans="1:40" x14ac:dyDescent="0.25">
      <c r="A2286" t="str">
        <f>"20190312172128182"</f>
        <v>20190312172128182</v>
      </c>
      <c r="B2286" t="str">
        <f>"1552382488172764"</f>
        <v>1552382488172764</v>
      </c>
      <c r="C2286" t="s">
        <v>40</v>
      </c>
      <c r="D2286">
        <v>3.333437</v>
      </c>
      <c r="E2286">
        <v>0.50407429999999998</v>
      </c>
      <c r="F2286" t="s">
        <v>46</v>
      </c>
      <c r="G2286">
        <v>-256.81569999999999</v>
      </c>
      <c r="H2286" s="1">
        <v>2.0902139999999999E-6</v>
      </c>
      <c r="I2286">
        <v>281.56060000000002</v>
      </c>
      <c r="J2286">
        <v>-236.69550000000001</v>
      </c>
      <c r="K2286">
        <v>1.110355</v>
      </c>
      <c r="L2286">
        <v>281.57380000000001</v>
      </c>
      <c r="M2286">
        <v>-0.99970360000000003</v>
      </c>
      <c r="N2286">
        <v>0</v>
      </c>
      <c r="O2286">
        <v>2.143753E-2</v>
      </c>
      <c r="P2286">
        <v>-0.98433660000000001</v>
      </c>
      <c r="Q2286">
        <v>0.17521519999999999</v>
      </c>
      <c r="R2286">
        <v>-1.952916E-2</v>
      </c>
      <c r="S2286">
        <v>-3.0775760000000001</v>
      </c>
      <c r="T2286">
        <v>-0.16806599999999999</v>
      </c>
      <c r="U2286">
        <v>-1.2817379999999999E-3</v>
      </c>
      <c r="V2286">
        <v>-4.060279E-2</v>
      </c>
      <c r="W2286">
        <v>0.18656529999999999</v>
      </c>
      <c r="X2286">
        <v>0.98160320000000001</v>
      </c>
      <c r="Y2286">
        <v>-2.179093E-2</v>
      </c>
      <c r="Z2286">
        <v>-1.7643979999999999E-3</v>
      </c>
      <c r="AA2286">
        <v>0.99976100000000001</v>
      </c>
      <c r="AB2286">
        <v>21</v>
      </c>
      <c r="AC2286">
        <v>-20.120199999999901</v>
      </c>
      <c r="AD2286">
        <v>-1.1103529097860001</v>
      </c>
      <c r="AE2286">
        <v>-1.31999999999834E-2</v>
      </c>
      <c r="AF2286">
        <v>-0.44320330290426302</v>
      </c>
      <c r="AG2286">
        <v>-1.1103529097860001</v>
      </c>
      <c r="AH2286">
        <v>20.054217625829899</v>
      </c>
      <c r="AI2286">
        <v>93.168319197805701</v>
      </c>
      <c r="AJ2286">
        <v>91.266045184956099</v>
      </c>
      <c r="AK2286">
        <v>20.089822232566501</v>
      </c>
      <c r="AL2286">
        <v>79.247593722443298</v>
      </c>
      <c r="AM2286">
        <v>92.368618082587702</v>
      </c>
      <c r="AN2286">
        <v>1.0000000199850501</v>
      </c>
    </row>
    <row r="2287" spans="1:40" x14ac:dyDescent="0.25">
      <c r="A2287" t="str">
        <f>"20190312172128194"</f>
        <v>20190312172128194</v>
      </c>
      <c r="B2287" t="str">
        <f>"1552382488183500"</f>
        <v>1552382488183500</v>
      </c>
      <c r="C2287" t="s">
        <v>40</v>
      </c>
      <c r="D2287">
        <v>3.3255530000000002</v>
      </c>
      <c r="E2287">
        <v>0.50402499999999995</v>
      </c>
      <c r="F2287" t="s">
        <v>46</v>
      </c>
      <c r="G2287">
        <v>-256.68520000000001</v>
      </c>
      <c r="H2287" s="1">
        <v>2.020723E-6</v>
      </c>
      <c r="I2287">
        <v>281.55340000000001</v>
      </c>
      <c r="J2287">
        <v>-236.81049999999999</v>
      </c>
      <c r="K2287">
        <v>1.1103730000000001</v>
      </c>
      <c r="L2287">
        <v>281.57639999999998</v>
      </c>
      <c r="M2287">
        <v>-0.9997026</v>
      </c>
      <c r="N2287">
        <v>0</v>
      </c>
      <c r="O2287">
        <v>2.1496129999999999E-2</v>
      </c>
      <c r="P2287">
        <v>-0.98434069999999996</v>
      </c>
      <c r="Q2287">
        <v>0.1751627</v>
      </c>
      <c r="R2287">
        <v>-1.9796959999999999E-2</v>
      </c>
      <c r="S2287">
        <v>-3.0780940000000001</v>
      </c>
      <c r="T2287">
        <v>-0.17097660000000001</v>
      </c>
      <c r="U2287">
        <v>-3.1433110000000002E-3</v>
      </c>
      <c r="V2287">
        <v>-4.0936189999999997E-2</v>
      </c>
      <c r="W2287">
        <v>0.1864875</v>
      </c>
      <c r="X2287">
        <v>0.98160409999999998</v>
      </c>
      <c r="Y2287">
        <v>-2.2450749999999998E-2</v>
      </c>
      <c r="Z2287">
        <v>-1.81617E-3</v>
      </c>
      <c r="AA2287">
        <v>0.99974629999999998</v>
      </c>
      <c r="AB2287">
        <v>21</v>
      </c>
      <c r="AC2287">
        <v>-19.874700000000001</v>
      </c>
      <c r="AD2287">
        <v>-1.110370979277</v>
      </c>
      <c r="AE2287">
        <v>-2.2999999999967699E-2</v>
      </c>
      <c r="AF2287">
        <v>-0.44885115798733199</v>
      </c>
      <c r="AG2287">
        <v>-1.110370979277</v>
      </c>
      <c r="AH2287">
        <v>19.807786635335599</v>
      </c>
      <c r="AI2287">
        <v>93.207666808554904</v>
      </c>
      <c r="AJ2287">
        <v>91.2981196207446</v>
      </c>
      <c r="AK2287">
        <v>19.843961360187802</v>
      </c>
      <c r="AL2287">
        <v>79.252130573853194</v>
      </c>
      <c r="AM2287">
        <v>92.388042805651693</v>
      </c>
      <c r="AN2287">
        <v>0.99999998422238701</v>
      </c>
    </row>
    <row r="2288" spans="1:40" x14ac:dyDescent="0.25">
      <c r="A2288" t="str">
        <f>"20190312172128206"</f>
        <v>20190312172128206</v>
      </c>
      <c r="B2288" t="str">
        <f>"1552382488203022"</f>
        <v>1552382488203022</v>
      </c>
      <c r="C2288" t="s">
        <v>40</v>
      </c>
      <c r="D2288">
        <v>3.3026689999999999</v>
      </c>
      <c r="E2288">
        <v>0.50393679999999996</v>
      </c>
      <c r="F2288" t="s">
        <v>46</v>
      </c>
      <c r="G2288">
        <v>-256.65129999999999</v>
      </c>
      <c r="H2288" s="1">
        <v>2.0026990000000001E-6</v>
      </c>
      <c r="I2288">
        <v>281.54899999999998</v>
      </c>
      <c r="J2288">
        <v>-236.92349999999999</v>
      </c>
      <c r="K2288">
        <v>1.110387</v>
      </c>
      <c r="L2288">
        <v>281.57889999999998</v>
      </c>
      <c r="M2288">
        <v>-0.99970210000000004</v>
      </c>
      <c r="N2288">
        <v>0</v>
      </c>
      <c r="O2288">
        <v>2.1538870000000002E-2</v>
      </c>
      <c r="P2288">
        <v>-0.98427589999999998</v>
      </c>
      <c r="Q2288">
        <v>0.17552400000000001</v>
      </c>
      <c r="R2288">
        <v>-1.981434E-2</v>
      </c>
      <c r="S2288">
        <v>-3.0782780000000001</v>
      </c>
      <c r="T2288">
        <v>-0.1722727</v>
      </c>
      <c r="U2288">
        <v>-4.2419429999999998E-3</v>
      </c>
      <c r="V2288">
        <v>-4.1001860000000001E-2</v>
      </c>
      <c r="W2288">
        <v>0.18682380000000001</v>
      </c>
      <c r="X2288">
        <v>0.9815374</v>
      </c>
      <c r="Y2288">
        <v>-2.2848520000000001E-2</v>
      </c>
      <c r="Z2288">
        <v>-1.8433200000000001E-3</v>
      </c>
      <c r="AA2288">
        <v>0.99973730000000005</v>
      </c>
      <c r="AB2288">
        <v>21</v>
      </c>
      <c r="AC2288">
        <v>-19.727799999999998</v>
      </c>
      <c r="AD2288">
        <v>-1.110384997301</v>
      </c>
      <c r="AE2288">
        <v>-2.9899999999940901E-2</v>
      </c>
      <c r="AF2288">
        <v>-0.45339920350388502</v>
      </c>
      <c r="AG2288">
        <v>-1.110384997301</v>
      </c>
      <c r="AH2288">
        <v>19.6602943804942</v>
      </c>
      <c r="AI2288">
        <v>93.231691168079294</v>
      </c>
      <c r="AJ2288">
        <v>91.321102136190106</v>
      </c>
      <c r="AK2288">
        <v>19.696844945515</v>
      </c>
      <c r="AL2288">
        <v>79.232517219906995</v>
      </c>
      <c r="AM2288">
        <v>92.392031617545797</v>
      </c>
      <c r="AN2288">
        <v>0.99999997618432901</v>
      </c>
    </row>
    <row r="2289" spans="1:40" x14ac:dyDescent="0.25">
      <c r="A2289" t="str">
        <f>"20190312172128225"</f>
        <v>20190312172128225</v>
      </c>
      <c r="B2289" t="str">
        <f>"1552382488212781"</f>
        <v>1552382488212781</v>
      </c>
      <c r="C2289" t="s">
        <v>40</v>
      </c>
      <c r="D2289">
        <v>3.2940309999999999</v>
      </c>
      <c r="E2289">
        <v>0.50390429999999997</v>
      </c>
      <c r="F2289" t="s">
        <v>46</v>
      </c>
      <c r="G2289">
        <v>-256.79329999999999</v>
      </c>
      <c r="H2289" s="1">
        <v>2.0782740000000002E-6</v>
      </c>
      <c r="I2289">
        <v>281.5446</v>
      </c>
      <c r="J2289">
        <v>-237.10040000000001</v>
      </c>
      <c r="K2289">
        <v>1.1104080000000001</v>
      </c>
      <c r="L2289">
        <v>281.58269999999999</v>
      </c>
      <c r="M2289">
        <v>-0.99970150000000002</v>
      </c>
      <c r="N2289">
        <v>0</v>
      </c>
      <c r="O2289">
        <v>2.1577949999999999E-2</v>
      </c>
      <c r="P2289">
        <v>-0.98426230000000003</v>
      </c>
      <c r="Q2289">
        <v>0.17551229999999901</v>
      </c>
      <c r="R2289">
        <v>-2.0570580000000002E-2</v>
      </c>
      <c r="S2289">
        <v>-3.0784910000000001</v>
      </c>
      <c r="T2289">
        <v>-0.172035299999999</v>
      </c>
      <c r="U2289">
        <v>-5.3100589999999998E-3</v>
      </c>
      <c r="V2289">
        <v>-4.1807259999999999E-2</v>
      </c>
      <c r="W2289">
        <v>0.1867751</v>
      </c>
      <c r="X2289">
        <v>0.98151270000000002</v>
      </c>
      <c r="Y2289">
        <v>-2.3233899999999998E-2</v>
      </c>
      <c r="Z2289">
        <v>-1.8535979999999999E-3</v>
      </c>
      <c r="AA2289">
        <v>0.99972830000000001</v>
      </c>
      <c r="AB2289">
        <v>21</v>
      </c>
      <c r="AC2289">
        <v>-19.692899999999899</v>
      </c>
      <c r="AD2289">
        <v>-1.1104059217260001</v>
      </c>
      <c r="AE2289">
        <v>-3.8099999999985798E-2</v>
      </c>
      <c r="AF2289">
        <v>-0.46158388871599798</v>
      </c>
      <c r="AG2289">
        <v>-1.1104059217260001</v>
      </c>
      <c r="AH2289">
        <v>19.6250964480822</v>
      </c>
      <c r="AI2289">
        <v>93.237501344914804</v>
      </c>
      <c r="AJ2289">
        <v>91.3473530518187</v>
      </c>
      <c r="AK2289">
        <v>19.6619040683718</v>
      </c>
      <c r="AL2289">
        <v>79.235357589241303</v>
      </c>
      <c r="AM2289">
        <v>92.439023429882099</v>
      </c>
      <c r="AN2289">
        <v>0.999999982615003</v>
      </c>
    </row>
    <row r="2290" spans="1:40" x14ac:dyDescent="0.25">
      <c r="A2290" t="str">
        <f>"20190312172128238"</f>
        <v>20190312172128238</v>
      </c>
      <c r="B2290" t="str">
        <f>"1552382488233276"</f>
        <v>1552382488233276</v>
      </c>
      <c r="C2290" t="s">
        <v>40</v>
      </c>
      <c r="D2290">
        <v>3.2948520000000001</v>
      </c>
      <c r="E2290">
        <v>0.50381450000000005</v>
      </c>
      <c r="F2290" t="s">
        <v>46</v>
      </c>
      <c r="G2290">
        <v>-256.90089999999998</v>
      </c>
      <c r="H2290" s="1">
        <v>2.135524E-6</v>
      </c>
      <c r="I2290">
        <v>281.53250000000003</v>
      </c>
      <c r="J2290">
        <v>-237.2192</v>
      </c>
      <c r="K2290">
        <v>1.11042</v>
      </c>
      <c r="L2290">
        <v>281.58530000000002</v>
      </c>
      <c r="M2290">
        <v>-0.99970159999999997</v>
      </c>
      <c r="N2290">
        <v>0</v>
      </c>
      <c r="O2290">
        <v>2.1586890000000001E-2</v>
      </c>
      <c r="P2290">
        <v>-0.9842938</v>
      </c>
      <c r="Q2290">
        <v>0.17531959999999999</v>
      </c>
      <c r="R2290">
        <v>-2.0717909999999999E-2</v>
      </c>
      <c r="S2290">
        <v>-3.0786289999999998</v>
      </c>
      <c r="T2290">
        <v>-0.17264839999999901</v>
      </c>
      <c r="U2290">
        <v>-7.8125E-3</v>
      </c>
      <c r="V2290">
        <v>-4.1970489999999999E-2</v>
      </c>
      <c r="W2290">
        <v>0.18655820000000001</v>
      </c>
      <c r="X2290">
        <v>0.98154699999999995</v>
      </c>
      <c r="Y2290">
        <v>-2.4053580000000001E-2</v>
      </c>
      <c r="Z2290">
        <v>-1.883577E-3</v>
      </c>
      <c r="AA2290">
        <v>0.99970890000000001</v>
      </c>
      <c r="AB2290">
        <v>21</v>
      </c>
      <c r="AC2290">
        <v>-19.6816999999999</v>
      </c>
      <c r="AD2290">
        <v>-1.1104178644760001</v>
      </c>
      <c r="AE2290">
        <v>-5.2799999999990598E-2</v>
      </c>
      <c r="AF2290">
        <v>-0.476166493514325</v>
      </c>
      <c r="AG2290">
        <v>-1.1104178644760001</v>
      </c>
      <c r="AH2290">
        <v>19.613542187900599</v>
      </c>
      <c r="AI2290">
        <v>93.239380775845703</v>
      </c>
      <c r="AJ2290">
        <v>91.390721372241202</v>
      </c>
      <c r="AK2290">
        <v>19.65072007637</v>
      </c>
      <c r="AL2290">
        <v>79.248007559671805</v>
      </c>
      <c r="AM2290">
        <v>92.448449193797401</v>
      </c>
      <c r="AN2290">
        <v>0.99999999861353905</v>
      </c>
    </row>
    <row r="2291" spans="1:40" x14ac:dyDescent="0.25">
      <c r="A2291" t="str">
        <f>"20190312172128251"</f>
        <v>20190312172128251</v>
      </c>
      <c r="B2291" t="str">
        <f>"1552382488243036"</f>
        <v>1552382488243036</v>
      </c>
      <c r="C2291" t="s">
        <v>40</v>
      </c>
      <c r="D2291">
        <v>3.2694269999999999</v>
      </c>
      <c r="E2291">
        <v>0.50250689999999998</v>
      </c>
      <c r="F2291" t="s">
        <v>46</v>
      </c>
      <c r="G2291">
        <v>-256.90339999999998</v>
      </c>
      <c r="H2291" s="1">
        <v>2.1368550000000001E-6</v>
      </c>
      <c r="I2291">
        <v>281.52850000000001</v>
      </c>
      <c r="J2291">
        <v>-237.34719999999999</v>
      </c>
      <c r="K2291">
        <v>1.1104259999999999</v>
      </c>
      <c r="L2291">
        <v>281.5881</v>
      </c>
      <c r="M2291">
        <v>-0.99970199999999998</v>
      </c>
      <c r="N2291">
        <v>0</v>
      </c>
      <c r="O2291">
        <v>2.1581409999999999E-2</v>
      </c>
      <c r="P2291">
        <v>-0.98425010000000002</v>
      </c>
      <c r="Q2291">
        <v>0.1755321</v>
      </c>
      <c r="R2291">
        <v>-2.0985050000000002E-2</v>
      </c>
      <c r="S2291">
        <v>-3.0786289999999998</v>
      </c>
      <c r="T2291">
        <v>-0.17367050000000001</v>
      </c>
      <c r="U2291">
        <v>-8.8806149999999997E-3</v>
      </c>
      <c r="V2291">
        <v>-4.223623E-2</v>
      </c>
      <c r="W2291">
        <v>0.1867432</v>
      </c>
      <c r="X2291">
        <v>0.98150040000000005</v>
      </c>
      <c r="Y2291">
        <v>-2.4393539999999998E-2</v>
      </c>
      <c r="Z2291">
        <v>-1.9039829999999999E-3</v>
      </c>
      <c r="AA2291">
        <v>0.99970060000000005</v>
      </c>
      <c r="AB2291">
        <v>21</v>
      </c>
      <c r="AC2291">
        <v>-19.556199999999901</v>
      </c>
      <c r="AD2291">
        <v>-1.1104238631450001</v>
      </c>
      <c r="AE2291">
        <v>-5.9599999999989002E-2</v>
      </c>
      <c r="AF2291">
        <v>-0.48011602752660998</v>
      </c>
      <c r="AG2291">
        <v>-1.1104238631450001</v>
      </c>
      <c r="AH2291">
        <v>19.487529142067601</v>
      </c>
      <c r="AI2291">
        <v>93.260271655864898</v>
      </c>
      <c r="AJ2291">
        <v>91.411315826361701</v>
      </c>
      <c r="AK2291">
        <v>19.525044036279699</v>
      </c>
      <c r="AL2291">
        <v>79.237218013802504</v>
      </c>
      <c r="AM2291">
        <v>92.464049567478696</v>
      </c>
      <c r="AN2291">
        <v>0.99999997853550604</v>
      </c>
    </row>
    <row r="2292" spans="1:40" x14ac:dyDescent="0.25">
      <c r="A2292" t="str">
        <f>"20190312172128264"</f>
        <v>20190312172128264</v>
      </c>
      <c r="B2292" t="str">
        <f>"1552382488253304"</f>
        <v>1552382488253304</v>
      </c>
      <c r="C2292" t="s">
        <v>40</v>
      </c>
      <c r="D2292">
        <v>3.2695249999999998</v>
      </c>
      <c r="E2292">
        <v>0.50172740000000005</v>
      </c>
      <c r="F2292" t="s">
        <v>46</v>
      </c>
      <c r="G2292">
        <v>-257.02199999999999</v>
      </c>
      <c r="H2292" s="1">
        <v>2.1999470000000001E-6</v>
      </c>
      <c r="I2292">
        <v>281.45960000000002</v>
      </c>
      <c r="J2292">
        <v>-237.4631</v>
      </c>
      <c r="K2292">
        <v>1.1104339999999999</v>
      </c>
      <c r="L2292">
        <v>281.59059999999999</v>
      </c>
      <c r="M2292">
        <v>-0.99970250000000005</v>
      </c>
      <c r="N2292">
        <v>0</v>
      </c>
      <c r="O2292">
        <v>2.1569870000000001E-2</v>
      </c>
      <c r="P2292">
        <v>-0.98427620000000005</v>
      </c>
      <c r="Q2292">
        <v>0.17534459999999999</v>
      </c>
      <c r="R2292">
        <v>-2.1322750000000001E-2</v>
      </c>
      <c r="S2292">
        <v>-3.0785520000000002</v>
      </c>
      <c r="T2292">
        <v>-0.1737503</v>
      </c>
      <c r="U2292">
        <v>-2.011108E-2</v>
      </c>
      <c r="V2292">
        <v>-4.2566970000000003E-2</v>
      </c>
      <c r="W2292">
        <v>0.18653239999999999</v>
      </c>
      <c r="X2292">
        <v>0.98152620000000002</v>
      </c>
      <c r="Y2292">
        <v>-2.802288E-2</v>
      </c>
      <c r="Z2292">
        <v>-2.0065840000000001E-3</v>
      </c>
      <c r="AA2292">
        <v>0.99960519999999997</v>
      </c>
      <c r="AB2292">
        <v>21</v>
      </c>
      <c r="AC2292">
        <v>-19.558899999999898</v>
      </c>
      <c r="AD2292">
        <v>-1.110431800053</v>
      </c>
      <c r="AE2292">
        <v>-0.130999999999971</v>
      </c>
      <c r="AF2292">
        <v>-0.55110353143866297</v>
      </c>
      <c r="AG2292">
        <v>-1.110431800053</v>
      </c>
      <c r="AH2292">
        <v>19.488708766125999</v>
      </c>
      <c r="AI2292">
        <v>93.259784853778299</v>
      </c>
      <c r="AJ2292">
        <v>91.619783756683603</v>
      </c>
      <c r="AK2292">
        <v>19.528096252728002</v>
      </c>
      <c r="AL2292">
        <v>79.249512024580994</v>
      </c>
      <c r="AM2292">
        <v>92.483255588654501</v>
      </c>
      <c r="AN2292">
        <v>0.99999998223558995</v>
      </c>
    </row>
    <row r="2293" spans="1:40" x14ac:dyDescent="0.25">
      <c r="A2293" t="str">
        <f>"20190312172128282"</f>
        <v>20190312172128282</v>
      </c>
      <c r="B2293" t="str">
        <f>"1552382488272823"</f>
        <v>1552382488272823</v>
      </c>
      <c r="C2293" t="s">
        <v>40</v>
      </c>
      <c r="D2293">
        <v>3.2918280000000002</v>
      </c>
      <c r="E2293">
        <v>0.50025779999999997</v>
      </c>
      <c r="F2293" t="s">
        <v>46</v>
      </c>
      <c r="G2293">
        <v>-257.06740000000002</v>
      </c>
      <c r="H2293" s="1">
        <v>2.224146E-6</v>
      </c>
      <c r="I2293">
        <v>281.41359999999997</v>
      </c>
      <c r="J2293">
        <v>-237.64179999999999</v>
      </c>
      <c r="K2293">
        <v>1.110439</v>
      </c>
      <c r="L2293">
        <v>281.59449999999998</v>
      </c>
      <c r="M2293">
        <v>-0.99970369999999997</v>
      </c>
      <c r="N2293">
        <v>0</v>
      </c>
      <c r="O2293">
        <v>2.1536309999999999E-2</v>
      </c>
      <c r="P2293">
        <v>-0.98428979999999999</v>
      </c>
      <c r="Q2293">
        <v>0.1752475</v>
      </c>
      <c r="R2293">
        <v>-2.150065E-2</v>
      </c>
      <c r="S2293">
        <v>-3.0784150000000001</v>
      </c>
      <c r="T2293">
        <v>-0.1743682</v>
      </c>
      <c r="U2293">
        <v>-2.7801510000000001E-2</v>
      </c>
      <c r="V2293">
        <v>-4.2715019999999999E-2</v>
      </c>
      <c r="W2293">
        <v>0.18640080000000001</v>
      </c>
      <c r="X2293">
        <v>0.9815448</v>
      </c>
      <c r="Y2293">
        <v>-3.0482100000000002E-2</v>
      </c>
      <c r="Z2293">
        <v>-2.0814779999999999E-3</v>
      </c>
      <c r="AA2293">
        <v>0.99953309999999995</v>
      </c>
      <c r="AB2293">
        <v>21</v>
      </c>
      <c r="AC2293">
        <v>-19.425599999999999</v>
      </c>
      <c r="AD2293">
        <v>-1.1104367758539999</v>
      </c>
      <c r="AE2293">
        <v>-0.180900000000008</v>
      </c>
      <c r="AF2293">
        <v>-0.59728912790382105</v>
      </c>
      <c r="AG2293">
        <v>-1.1104367758539999</v>
      </c>
      <c r="AH2293">
        <v>19.353960848459302</v>
      </c>
      <c r="AI2293">
        <v>93.282195691796801</v>
      </c>
      <c r="AJ2293">
        <v>91.767663374256202</v>
      </c>
      <c r="AK2293">
        <v>19.3949896792749</v>
      </c>
      <c r="AL2293">
        <v>79.257187086232605</v>
      </c>
      <c r="AM2293">
        <v>92.491834443655193</v>
      </c>
      <c r="AN2293">
        <v>1.0000000127906401</v>
      </c>
    </row>
    <row r="2294" spans="1:40" x14ac:dyDescent="0.25">
      <c r="A2294" t="str">
        <f>"20190312172128294"</f>
        <v>20190312172128294</v>
      </c>
      <c r="B2294" t="str">
        <f>"1552382488283560"</f>
        <v>1552382488283560</v>
      </c>
      <c r="C2294" t="s">
        <v>40</v>
      </c>
      <c r="D2294">
        <v>3.2774040000000002</v>
      </c>
      <c r="E2294">
        <v>0.49954480000000001</v>
      </c>
      <c r="F2294" t="s">
        <v>46</v>
      </c>
      <c r="G2294">
        <v>-257.291</v>
      </c>
      <c r="H2294" s="1">
        <v>2.3431110000000002E-6</v>
      </c>
      <c r="I2294">
        <v>281.33569999999997</v>
      </c>
      <c r="J2294">
        <v>-237.7587</v>
      </c>
      <c r="K2294">
        <v>1.110439</v>
      </c>
      <c r="L2294">
        <v>281.59699999999998</v>
      </c>
      <c r="M2294">
        <v>-0.9997045</v>
      </c>
      <c r="N2294">
        <v>0</v>
      </c>
      <c r="O2294">
        <v>2.1506910000000001E-2</v>
      </c>
      <c r="P2294">
        <v>-0.98429080000000002</v>
      </c>
      <c r="Q2294">
        <v>0.17520479999999899</v>
      </c>
      <c r="R2294">
        <v>-2.1799700000000002E-2</v>
      </c>
      <c r="S2294">
        <v>-3.0779570000000001</v>
      </c>
      <c r="T2294">
        <v>-0.1739445</v>
      </c>
      <c r="U2294">
        <v>-4.0527340000000002E-2</v>
      </c>
      <c r="V2294">
        <v>-4.2985599999999999E-2</v>
      </c>
      <c r="W2294">
        <v>0.18633710000000001</v>
      </c>
      <c r="X2294">
        <v>0.98154509999999995</v>
      </c>
      <c r="Y2294">
        <v>-3.4579720000000001E-2</v>
      </c>
      <c r="Z2294">
        <v>-2.1907300000000001E-3</v>
      </c>
      <c r="AA2294">
        <v>0.9993995</v>
      </c>
      <c r="AB2294">
        <v>21</v>
      </c>
      <c r="AC2294">
        <v>-19.5322999999999</v>
      </c>
      <c r="AD2294">
        <v>-1.1104366568889901</v>
      </c>
      <c r="AE2294">
        <v>-0.26130000000000497</v>
      </c>
      <c r="AF2294">
        <v>-0.67915126419875804</v>
      </c>
      <c r="AG2294">
        <v>-1.1104366568889901</v>
      </c>
      <c r="AH2294">
        <v>19.459278970908201</v>
      </c>
      <c r="AI2294">
        <v>93.264037665634206</v>
      </c>
      <c r="AJ2294">
        <v>91.998877401174894</v>
      </c>
      <c r="AK2294">
        <v>19.502765293061799</v>
      </c>
      <c r="AL2294">
        <v>79.260902098604802</v>
      </c>
      <c r="AM2294">
        <v>92.507598217566198</v>
      </c>
      <c r="AN2294">
        <v>1.00000002998888</v>
      </c>
    </row>
    <row r="2295" spans="1:40" x14ac:dyDescent="0.25">
      <c r="A2295" t="str">
        <f>"20190312172128306"</f>
        <v>20190312172128306</v>
      </c>
      <c r="B2295" t="str">
        <f>"1552382488303080"</f>
        <v>1552382488303080</v>
      </c>
      <c r="C2295" t="s">
        <v>40</v>
      </c>
      <c r="D2295">
        <v>3.263379</v>
      </c>
      <c r="E2295">
        <v>0.49830829999999998</v>
      </c>
      <c r="F2295" t="s">
        <v>46</v>
      </c>
      <c r="G2295">
        <v>-257.47730000000001</v>
      </c>
      <c r="H2295" s="1">
        <v>2.4422600000000001E-6</v>
      </c>
      <c r="I2295">
        <v>281.29309999999998</v>
      </c>
      <c r="J2295">
        <v>-237.87010000000001</v>
      </c>
      <c r="K2295">
        <v>1.1104369999999999</v>
      </c>
      <c r="L2295">
        <v>281.59930000000003</v>
      </c>
      <c r="M2295">
        <v>-0.99970539999999997</v>
      </c>
      <c r="N2295">
        <v>0</v>
      </c>
      <c r="O2295">
        <v>2.147715E-2</v>
      </c>
      <c r="P2295">
        <v>-0.98424040000000002</v>
      </c>
      <c r="Q2295">
        <v>0.17549509999999999</v>
      </c>
      <c r="R2295">
        <v>-2.1740349999999999E-2</v>
      </c>
      <c r="S2295">
        <v>-3.0776979999999998</v>
      </c>
      <c r="T2295">
        <v>-0.17331830000000001</v>
      </c>
      <c r="U2295">
        <v>-4.7424319999999999E-2</v>
      </c>
      <c r="V2295">
        <v>-4.2896299999999998E-2</v>
      </c>
      <c r="W2295">
        <v>0.18660879999999999</v>
      </c>
      <c r="X2295">
        <v>0.98149730000000002</v>
      </c>
      <c r="Y2295">
        <v>-3.6787319999999998E-2</v>
      </c>
      <c r="Z2295">
        <v>-2.2434439999999998E-3</v>
      </c>
      <c r="AA2295">
        <v>0.9993206</v>
      </c>
      <c r="AB2295">
        <v>21</v>
      </c>
      <c r="AC2295">
        <v>-19.607199999999999</v>
      </c>
      <c r="AD2295">
        <v>-1.1104345577399899</v>
      </c>
      <c r="AE2295">
        <v>-0.30620000000004599</v>
      </c>
      <c r="AF2295">
        <v>-0.72493844948943398</v>
      </c>
      <c r="AG2295">
        <v>-1.1104345577399899</v>
      </c>
      <c r="AH2295">
        <v>19.533463495922199</v>
      </c>
      <c r="AI2295">
        <v>93.251403938483193</v>
      </c>
      <c r="AJ2295">
        <v>92.125422330213596</v>
      </c>
      <c r="AK2295">
        <v>19.5784268216089</v>
      </c>
      <c r="AL2295">
        <v>79.245055969784104</v>
      </c>
      <c r="AM2295">
        <v>92.502517176479301</v>
      </c>
      <c r="AN2295">
        <v>0.99999994334920805</v>
      </c>
    </row>
    <row r="2296" spans="1:40" x14ac:dyDescent="0.25">
      <c r="A2296" t="str">
        <f>"20190312172128318"</f>
        <v>20190312172128318</v>
      </c>
      <c r="B2296" t="str">
        <f>"1552382488312840"</f>
        <v>1552382488312840</v>
      </c>
      <c r="C2296" t="s">
        <v>40</v>
      </c>
      <c r="D2296">
        <v>3.2563200000000001</v>
      </c>
      <c r="E2296">
        <v>0.49783749999999999</v>
      </c>
      <c r="F2296" t="s">
        <v>46</v>
      </c>
      <c r="G2296">
        <v>-257.82459999999998</v>
      </c>
      <c r="H2296" s="1">
        <v>2.6270590000000002E-6</v>
      </c>
      <c r="I2296">
        <v>281.22449999999998</v>
      </c>
      <c r="J2296">
        <v>-237.9881</v>
      </c>
      <c r="K2296">
        <v>1.1104350000000001</v>
      </c>
      <c r="L2296">
        <v>281.60180000000003</v>
      </c>
      <c r="M2296">
        <v>-0.99970610000000004</v>
      </c>
      <c r="N2296">
        <v>0</v>
      </c>
      <c r="O2296">
        <v>2.144443E-2</v>
      </c>
      <c r="P2296">
        <v>-0.98426309999999995</v>
      </c>
      <c r="Q2296">
        <v>0.1753691</v>
      </c>
      <c r="R2296">
        <v>-2.1719849999999999E-2</v>
      </c>
      <c r="S2296">
        <v>-3.0773009999999998</v>
      </c>
      <c r="T2296">
        <v>-0.17124690000000001</v>
      </c>
      <c r="U2296">
        <v>-5.7800289999999997E-2</v>
      </c>
      <c r="V2296">
        <v>-4.284367E-2</v>
      </c>
      <c r="W2296">
        <v>0.18646499999999999</v>
      </c>
      <c r="X2296">
        <v>0.98152700000000004</v>
      </c>
      <c r="Y2296">
        <v>-4.0121950000000003E-2</v>
      </c>
      <c r="Z2296">
        <v>-2.3077879999999999E-3</v>
      </c>
      <c r="AA2296">
        <v>0.99919210000000003</v>
      </c>
      <c r="AB2296">
        <v>21</v>
      </c>
      <c r="AC2296">
        <v>-19.836499999999901</v>
      </c>
      <c r="AD2296">
        <v>-1.1104323729409999</v>
      </c>
      <c r="AE2296">
        <v>-0.37730000000004699</v>
      </c>
      <c r="AF2296">
        <v>-0.800116457316984</v>
      </c>
      <c r="AG2296">
        <v>-1.1104323729409999</v>
      </c>
      <c r="AH2296">
        <v>19.7619412183017</v>
      </c>
      <c r="AI2296">
        <v>93.213466445414497</v>
      </c>
      <c r="AJ2296">
        <v>92.318510644733706</v>
      </c>
      <c r="AK2296">
        <v>19.809279823248399</v>
      </c>
      <c r="AL2296">
        <v>79.253443068977703</v>
      </c>
      <c r="AM2296">
        <v>92.499375168585303</v>
      </c>
      <c r="AN2296">
        <v>1.0000000140065299</v>
      </c>
    </row>
    <row r="2297" spans="1:40" x14ac:dyDescent="0.25">
      <c r="A2297" t="str">
        <f>"20190312172128337"</f>
        <v>20190312172128337</v>
      </c>
      <c r="B2297" t="str">
        <f>"1552382488333335"</f>
        <v>1552382488333335</v>
      </c>
      <c r="C2297" t="s">
        <v>40</v>
      </c>
      <c r="D2297">
        <v>3.285812</v>
      </c>
      <c r="E2297">
        <v>0.49682520000000002</v>
      </c>
      <c r="F2297" t="s">
        <v>46</v>
      </c>
      <c r="G2297">
        <v>-257.90069999999997</v>
      </c>
      <c r="H2297" s="1">
        <v>2.6675840000000001E-6</v>
      </c>
      <c r="I2297">
        <v>281.20100000000002</v>
      </c>
      <c r="J2297">
        <v>-238.1619</v>
      </c>
      <c r="K2297">
        <v>1.11043</v>
      </c>
      <c r="L2297">
        <v>281.60550000000001</v>
      </c>
      <c r="M2297">
        <v>-0.99970749999999997</v>
      </c>
      <c r="N2297">
        <v>0</v>
      </c>
      <c r="O2297">
        <v>2.139777E-2</v>
      </c>
      <c r="P2297">
        <v>-0.98426499999999995</v>
      </c>
      <c r="Q2297">
        <v>0.17534820000000001</v>
      </c>
      <c r="R2297">
        <v>-2.1805990000000001E-2</v>
      </c>
      <c r="S2297">
        <v>-3.0771639999999998</v>
      </c>
      <c r="T2297">
        <v>-0.1715988</v>
      </c>
      <c r="U2297">
        <v>-6.1950680000000001E-2</v>
      </c>
      <c r="V2297">
        <v>-4.288194E-2</v>
      </c>
      <c r="W2297">
        <v>0.18642049999999999</v>
      </c>
      <c r="X2297">
        <v>0.98153380000000001</v>
      </c>
      <c r="Y2297">
        <v>-4.1420940000000003E-2</v>
      </c>
      <c r="Z2297">
        <v>-2.3461879999999999E-3</v>
      </c>
      <c r="AA2297">
        <v>0.999139</v>
      </c>
      <c r="AB2297">
        <v>21</v>
      </c>
      <c r="AC2297">
        <v>-19.738799999999902</v>
      </c>
      <c r="AD2297">
        <v>-1.1104273324159999</v>
      </c>
      <c r="AE2297">
        <v>-0.40450000000004099</v>
      </c>
      <c r="AF2297">
        <v>-0.82419324339539302</v>
      </c>
      <c r="AG2297">
        <v>-1.1104273324159999</v>
      </c>
      <c r="AH2297">
        <v>19.6634205123793</v>
      </c>
      <c r="AI2297">
        <v>93.229329237361398</v>
      </c>
      <c r="AJ2297">
        <v>92.400150505006494</v>
      </c>
      <c r="AK2297">
        <v>19.7119874596575</v>
      </c>
      <c r="AL2297">
        <v>79.256038431608502</v>
      </c>
      <c r="AM2297">
        <v>92.501587585259401</v>
      </c>
      <c r="AN2297">
        <v>1.0000000320704201</v>
      </c>
    </row>
    <row r="2298" spans="1:40" x14ac:dyDescent="0.25">
      <c r="A2298" t="str">
        <f>"20190312172128361"</f>
        <v>20190312172128361</v>
      </c>
      <c r="B2298" t="str">
        <f>"1552382488352855"</f>
        <v>1552382488352855</v>
      </c>
      <c r="C2298" t="s">
        <v>40</v>
      </c>
      <c r="D2298">
        <v>3.3089979999999999</v>
      </c>
      <c r="E2298">
        <v>0.49606359999999999</v>
      </c>
      <c r="F2298" t="s">
        <v>46</v>
      </c>
      <c r="G2298">
        <v>-258.06130000000002</v>
      </c>
      <c r="H2298" s="1">
        <v>2.753017E-6</v>
      </c>
      <c r="I2298">
        <v>281.14670000000001</v>
      </c>
      <c r="J2298">
        <v>-238.3903</v>
      </c>
      <c r="K2298">
        <v>1.110414</v>
      </c>
      <c r="L2298">
        <v>281.61040000000003</v>
      </c>
      <c r="M2298">
        <v>-0.99970910000000002</v>
      </c>
      <c r="N2298">
        <v>0</v>
      </c>
      <c r="O2298">
        <v>2.1343520000000001E-2</v>
      </c>
      <c r="P2298">
        <v>-0.98428680000000002</v>
      </c>
      <c r="Q2298">
        <v>0.17521010000000001</v>
      </c>
      <c r="R2298">
        <v>-2.1930850000000002E-2</v>
      </c>
      <c r="S2298">
        <v>-3.076965</v>
      </c>
      <c r="T2298">
        <v>-0.1717013</v>
      </c>
      <c r="U2298">
        <v>-7.0953370000000002E-2</v>
      </c>
      <c r="V2298">
        <v>-4.295123E-2</v>
      </c>
      <c r="W2298">
        <v>0.186249</v>
      </c>
      <c r="X2298">
        <v>0.98156330000000003</v>
      </c>
      <c r="Y2298">
        <v>-4.4285289999999998E-2</v>
      </c>
      <c r="Z2298">
        <v>-2.424495E-3</v>
      </c>
      <c r="AA2298">
        <v>0.99901600000000002</v>
      </c>
      <c r="AB2298">
        <v>21</v>
      </c>
      <c r="AC2298">
        <v>-19.670999999999999</v>
      </c>
      <c r="AD2298">
        <v>-1.1104112469830001</v>
      </c>
      <c r="AE2298">
        <v>-0.46370000000001699</v>
      </c>
      <c r="AF2298">
        <v>-0.88066454188600096</v>
      </c>
      <c r="AG2298">
        <v>-1.1104112469830001</v>
      </c>
      <c r="AH2298">
        <v>19.594218357008199</v>
      </c>
      <c r="AI2298">
        <v>93.240238634770904</v>
      </c>
      <c r="AJ2298">
        <v>92.573433920452402</v>
      </c>
      <c r="AK2298">
        <v>19.645405981930701</v>
      </c>
      <c r="AL2298">
        <v>79.266039524954707</v>
      </c>
      <c r="AM2298">
        <v>92.505549374134802</v>
      </c>
      <c r="AN2298">
        <v>1.0000000050332001</v>
      </c>
    </row>
    <row r="2299" spans="1:40" x14ac:dyDescent="0.25">
      <c r="A2299" t="str">
        <f>"20190312172128383"</f>
        <v>20190312172128383</v>
      </c>
      <c r="B2299" t="str">
        <f>"1552382488373354"</f>
        <v>1552382488373354</v>
      </c>
      <c r="C2299" t="s">
        <v>40</v>
      </c>
      <c r="D2299">
        <v>3.3018100000000001</v>
      </c>
      <c r="E2299">
        <v>0.49532710000000002</v>
      </c>
      <c r="F2299" t="s">
        <v>46</v>
      </c>
      <c r="G2299">
        <v>-258.21269999999998</v>
      </c>
      <c r="H2299" s="1">
        <v>2.8335949999999999E-6</v>
      </c>
      <c r="I2299">
        <v>281.10899999999998</v>
      </c>
      <c r="J2299">
        <v>-238.59549999999999</v>
      </c>
      <c r="K2299">
        <v>1.110401</v>
      </c>
      <c r="L2299">
        <v>281.61470000000003</v>
      </c>
      <c r="M2299">
        <v>-0.99971030000000005</v>
      </c>
      <c r="N2299">
        <v>0</v>
      </c>
      <c r="O2299">
        <v>2.1304110000000001E-2</v>
      </c>
      <c r="P2299">
        <v>-0.98440859999999997</v>
      </c>
      <c r="Q2299">
        <v>0.17453729999999901</v>
      </c>
      <c r="R2299">
        <v>-2.183268E-2</v>
      </c>
      <c r="S2299">
        <v>-3.0768589999999998</v>
      </c>
      <c r="T2299">
        <v>-0.1723596</v>
      </c>
      <c r="U2299">
        <v>-7.7819819999999998E-2</v>
      </c>
      <c r="V2299">
        <v>-4.2813820000000002E-2</v>
      </c>
      <c r="W2299">
        <v>0.18554480000000001</v>
      </c>
      <c r="X2299">
        <v>0.98170259999999998</v>
      </c>
      <c r="Y2299">
        <v>-4.6470589999999999E-2</v>
      </c>
      <c r="Z2299">
        <v>-2.492747E-3</v>
      </c>
      <c r="AA2299">
        <v>0.99891660000000004</v>
      </c>
      <c r="AB2299">
        <v>21</v>
      </c>
      <c r="AC2299">
        <v>-19.6172</v>
      </c>
      <c r="AD2299">
        <v>-1.110398166405</v>
      </c>
      <c r="AE2299">
        <v>-0.50569999999999005</v>
      </c>
      <c r="AF2299">
        <v>-0.92059086384573596</v>
      </c>
      <c r="AG2299">
        <v>-1.110398166405</v>
      </c>
      <c r="AH2299">
        <v>19.539411597646701</v>
      </c>
      <c r="AI2299">
        <v>93.248946575331999</v>
      </c>
      <c r="AJ2299">
        <v>92.697470934715696</v>
      </c>
      <c r="AK2299">
        <v>19.592577094624499</v>
      </c>
      <c r="AL2299">
        <v>79.307102335255394</v>
      </c>
      <c r="AM2299">
        <v>92.497189818496906</v>
      </c>
      <c r="AN2299">
        <v>0.99999994541839399</v>
      </c>
    </row>
    <row r="2300" spans="1:40" x14ac:dyDescent="0.25">
      <c r="A2300" t="str">
        <f>"20190312172128394"</f>
        <v>20190312172128394</v>
      </c>
      <c r="B2300" t="str">
        <f>"1552382488383112"</f>
        <v>1552382488383112</v>
      </c>
      <c r="C2300" t="s">
        <v>40</v>
      </c>
      <c r="D2300">
        <v>3.25773</v>
      </c>
      <c r="E2300">
        <v>0.49499910000000003</v>
      </c>
      <c r="F2300" t="s">
        <v>46</v>
      </c>
      <c r="G2300">
        <v>-258.17439999999999</v>
      </c>
      <c r="H2300" s="1">
        <v>2.8132099999999999E-6</v>
      </c>
      <c r="I2300">
        <v>281.0822</v>
      </c>
      <c r="J2300">
        <v>-238.71170000000001</v>
      </c>
      <c r="K2300">
        <v>1.1103889999999901</v>
      </c>
      <c r="L2300">
        <v>281.61720000000003</v>
      </c>
      <c r="M2300">
        <v>-0.99971080000000001</v>
      </c>
      <c r="N2300">
        <v>0</v>
      </c>
      <c r="O2300">
        <v>2.1285249999999999E-2</v>
      </c>
      <c r="P2300">
        <v>-0.98443409999999998</v>
      </c>
      <c r="Q2300">
        <v>0.17439479999999999</v>
      </c>
      <c r="R2300">
        <v>-2.1819169999999999E-2</v>
      </c>
      <c r="S2300">
        <v>-3.076584</v>
      </c>
      <c r="T2300">
        <v>-0.17448559999999999</v>
      </c>
      <c r="U2300">
        <v>-8.3679199999999995E-2</v>
      </c>
      <c r="V2300">
        <v>-4.2780480000000003E-2</v>
      </c>
      <c r="W2300">
        <v>0.18538550000000001</v>
      </c>
      <c r="X2300">
        <v>0.9817342</v>
      </c>
      <c r="Y2300">
        <v>-4.8349419999999997E-2</v>
      </c>
      <c r="Z2300">
        <v>-2.5757689999999999E-3</v>
      </c>
      <c r="AA2300">
        <v>0.99882720000000003</v>
      </c>
      <c r="AB2300">
        <v>21</v>
      </c>
      <c r="AC2300">
        <v>-19.462699999999899</v>
      </c>
      <c r="AD2300">
        <v>-1.11038618678999</v>
      </c>
      <c r="AE2300">
        <v>-0.53500000000002501</v>
      </c>
      <c r="AF2300">
        <v>-0.94609600609178601</v>
      </c>
      <c r="AG2300">
        <v>-1.11038618678999</v>
      </c>
      <c r="AH2300">
        <v>19.3838562261768</v>
      </c>
      <c r="AI2300">
        <v>93.274662716688695</v>
      </c>
      <c r="AJ2300">
        <v>92.794300760602695</v>
      </c>
      <c r="AK2300">
        <v>19.4386711823018</v>
      </c>
      <c r="AL2300">
        <v>79.316391248344502</v>
      </c>
      <c r="AM2300">
        <v>92.495167449013096</v>
      </c>
      <c r="AN2300">
        <v>0.99999999626446001</v>
      </c>
    </row>
    <row r="2301" spans="1:40" x14ac:dyDescent="0.25">
      <c r="A2301" t="str">
        <f>"20190312172128406"</f>
        <v>20190312172128406</v>
      </c>
      <c r="B2301" t="str">
        <f>"1552382488403608"</f>
        <v>1552382488403608</v>
      </c>
      <c r="C2301" t="s">
        <v>40</v>
      </c>
      <c r="D2301">
        <v>3.2569919999999999</v>
      </c>
      <c r="E2301">
        <v>0.49434090000000003</v>
      </c>
      <c r="F2301" t="s">
        <v>46</v>
      </c>
      <c r="G2301">
        <v>-258.23219999999998</v>
      </c>
      <c r="H2301" s="1">
        <v>2.843983E-6</v>
      </c>
      <c r="I2301">
        <v>281.06990000000002</v>
      </c>
      <c r="J2301">
        <v>-238.8244</v>
      </c>
      <c r="K2301">
        <v>1.1103799999999999</v>
      </c>
      <c r="L2301">
        <v>281.61950000000002</v>
      </c>
      <c r="M2301">
        <v>-0.99971149999999998</v>
      </c>
      <c r="N2301">
        <v>0</v>
      </c>
      <c r="O2301">
        <v>2.1268530000000001E-2</v>
      </c>
      <c r="P2301">
        <v>-0.98445570000000004</v>
      </c>
      <c r="Q2301">
        <v>0.1743045</v>
      </c>
      <c r="R2301">
        <v>-2.1561520000000001E-2</v>
      </c>
      <c r="S2301">
        <v>-3.076508</v>
      </c>
      <c r="T2301">
        <v>-0.17500109999999999</v>
      </c>
      <c r="U2301">
        <v>-8.6242680000000002E-2</v>
      </c>
      <c r="V2301">
        <v>-4.2505620000000001E-2</v>
      </c>
      <c r="W2301">
        <v>0.18527959999999999</v>
      </c>
      <c r="X2301">
        <v>0.98176609999999997</v>
      </c>
      <c r="Y2301">
        <v>-4.9163039999999998E-2</v>
      </c>
      <c r="Z2301">
        <v>-2.6055710000000001E-3</v>
      </c>
      <c r="AA2301">
        <v>0.99878730000000004</v>
      </c>
      <c r="AB2301">
        <v>21</v>
      </c>
      <c r="AC2301">
        <v>-19.407799999999899</v>
      </c>
      <c r="AD2301">
        <v>-1.1103771560169999</v>
      </c>
      <c r="AE2301">
        <v>-0.54959999999999798</v>
      </c>
      <c r="AF2301">
        <v>-0.95913969735944704</v>
      </c>
      <c r="AG2301">
        <v>-1.1103771560169999</v>
      </c>
      <c r="AH2301">
        <v>19.3285018129917</v>
      </c>
      <c r="AI2301">
        <v>93.283862739111001</v>
      </c>
      <c r="AJ2301">
        <v>92.840862473005899</v>
      </c>
      <c r="AK2301">
        <v>19.384113823501899</v>
      </c>
      <c r="AL2301">
        <v>79.322565519480406</v>
      </c>
      <c r="AM2301">
        <v>92.4790758786976</v>
      </c>
      <c r="AN2301">
        <v>0.999999966508476</v>
      </c>
    </row>
    <row r="2302" spans="1:40" x14ac:dyDescent="0.25">
      <c r="A2302" t="str">
        <f>"20190312172128427"</f>
        <v>20190312172128427</v>
      </c>
      <c r="B2302" t="str">
        <f>"1552382488423128"</f>
        <v>1552382488423128</v>
      </c>
      <c r="C2302" t="s">
        <v>40</v>
      </c>
      <c r="D2302">
        <v>3.3004310000000001</v>
      </c>
      <c r="E2302">
        <v>0.49379279999999998</v>
      </c>
      <c r="F2302" t="s">
        <v>46</v>
      </c>
      <c r="G2302">
        <v>-258.31760000000003</v>
      </c>
      <c r="H2302" s="1">
        <v>2.8894050000000002E-6</v>
      </c>
      <c r="I2302">
        <v>281.04390000000001</v>
      </c>
      <c r="J2302">
        <v>-239.01339999999999</v>
      </c>
      <c r="K2302">
        <v>1.110368</v>
      </c>
      <c r="L2302">
        <v>281.62349999999998</v>
      </c>
      <c r="M2302">
        <v>-0.9997123</v>
      </c>
      <c r="N2302">
        <v>0</v>
      </c>
      <c r="O2302">
        <v>2.1243769999999999E-2</v>
      </c>
      <c r="P2302">
        <v>-0.98456310000000002</v>
      </c>
      <c r="Q2302">
        <v>0.17372019999999999</v>
      </c>
      <c r="R2302">
        <v>-2.1383249999999999E-2</v>
      </c>
      <c r="S2302">
        <v>-3.0764010000000002</v>
      </c>
      <c r="T2302">
        <v>-0.17523939999999999</v>
      </c>
      <c r="U2302">
        <v>-9.0850829999999994E-2</v>
      </c>
      <c r="V2302">
        <v>-4.2302680000000002E-2</v>
      </c>
      <c r="W2302">
        <v>0.18467320000000001</v>
      </c>
      <c r="X2302">
        <v>0.98188909999999996</v>
      </c>
      <c r="Y2302">
        <v>-5.06314E-2</v>
      </c>
      <c r="Z2302">
        <v>-2.6495210000000002E-3</v>
      </c>
      <c r="AA2302">
        <v>0.99871390000000004</v>
      </c>
      <c r="AB2302">
        <v>21</v>
      </c>
      <c r="AC2302">
        <v>-19.304200000000002</v>
      </c>
      <c r="AD2302">
        <v>-1.1103651105949901</v>
      </c>
      <c r="AE2302">
        <v>-0.57959999999997003</v>
      </c>
      <c r="AF2302">
        <v>-0.98632829546017398</v>
      </c>
      <c r="AG2302">
        <v>-1.1103651105949901</v>
      </c>
      <c r="AH2302">
        <v>19.2239845354162</v>
      </c>
      <c r="AI2302">
        <v>93.3013621128582</v>
      </c>
      <c r="AJ2302">
        <v>92.937109023185798</v>
      </c>
      <c r="AK2302">
        <v>19.281269035080999</v>
      </c>
      <c r="AL2302">
        <v>79.357919680092294</v>
      </c>
      <c r="AM2302">
        <v>92.466945684295794</v>
      </c>
      <c r="AN2302">
        <v>0.99999995611611503</v>
      </c>
    </row>
    <row r="2303" spans="1:40" x14ac:dyDescent="0.25">
      <c r="A2303" t="str">
        <f>"20190312172128437"</f>
        <v>20190312172128437</v>
      </c>
      <c r="B2303" t="str">
        <f>"1552382488432888"</f>
        <v>1552382488432888</v>
      </c>
      <c r="C2303" t="s">
        <v>40</v>
      </c>
      <c r="D2303">
        <v>3.262823</v>
      </c>
      <c r="E2303">
        <v>0.49350620000000001</v>
      </c>
      <c r="F2303" t="s">
        <v>46</v>
      </c>
      <c r="G2303">
        <v>-258.2604</v>
      </c>
      <c r="H2303" s="1">
        <v>2.8590110000000002E-6</v>
      </c>
      <c r="I2303">
        <v>281.03199999999998</v>
      </c>
      <c r="J2303">
        <v>-239.12440000000001</v>
      </c>
      <c r="K2303">
        <v>1.1103590000000001</v>
      </c>
      <c r="L2303">
        <v>281.6259</v>
      </c>
      <c r="M2303">
        <v>-0.99971259999999995</v>
      </c>
      <c r="N2303">
        <v>0</v>
      </c>
      <c r="O2303">
        <v>2.1230539999999999E-2</v>
      </c>
      <c r="P2303">
        <v>-0.98457260000000002</v>
      </c>
      <c r="Q2303">
        <v>0.17369100000000001</v>
      </c>
      <c r="R2303">
        <v>-2.1171550000000001E-2</v>
      </c>
      <c r="S2303">
        <v>-3.0762939999999999</v>
      </c>
      <c r="T2303">
        <v>-0.17747180000000001</v>
      </c>
      <c r="U2303">
        <v>-9.4543459999999996E-2</v>
      </c>
      <c r="V2303">
        <v>-4.2076860000000001E-2</v>
      </c>
      <c r="W2303">
        <v>0.18463199999999999</v>
      </c>
      <c r="X2303">
        <v>0.98190659999999996</v>
      </c>
      <c r="Y2303">
        <v>-5.1811959999999997E-2</v>
      </c>
      <c r="Z2303">
        <v>-2.7165190000000001E-3</v>
      </c>
      <c r="AA2303">
        <v>0.99865320000000002</v>
      </c>
      <c r="AB2303">
        <v>21</v>
      </c>
      <c r="AC2303">
        <v>-19.135999999999999</v>
      </c>
      <c r="AD2303">
        <v>-1.1103561409889999</v>
      </c>
      <c r="AE2303">
        <v>-0.59390000000001897</v>
      </c>
      <c r="AF2303">
        <v>-0.99670640274654598</v>
      </c>
      <c r="AG2303">
        <v>-1.1103561409889999</v>
      </c>
      <c r="AH2303">
        <v>19.054983424938001</v>
      </c>
      <c r="AI2303">
        <v>93.330378210970494</v>
      </c>
      <c r="AJ2303">
        <v>92.994233715735007</v>
      </c>
      <c r="AK2303">
        <v>19.113312317277</v>
      </c>
      <c r="AL2303">
        <v>79.360322088702901</v>
      </c>
      <c r="AM2303">
        <v>92.453749105058705</v>
      </c>
      <c r="AN2303">
        <v>1.0000000043474999</v>
      </c>
    </row>
    <row r="2304" spans="1:40" x14ac:dyDescent="0.25">
      <c r="A2304" t="str">
        <f>"20190312172128449"</f>
        <v>20190312172128449</v>
      </c>
      <c r="B2304" t="str">
        <f>"1552382488443624"</f>
        <v>1552382488443624</v>
      </c>
      <c r="C2304" t="s">
        <v>40</v>
      </c>
      <c r="D2304">
        <v>3.2651460000000001</v>
      </c>
      <c r="E2304">
        <v>0.49325940000000001</v>
      </c>
      <c r="F2304" t="s">
        <v>46</v>
      </c>
      <c r="G2304">
        <v>-258.40129999999999</v>
      </c>
      <c r="H2304" s="1">
        <v>2.9339570000000001E-6</v>
      </c>
      <c r="I2304">
        <v>281.02190000000002</v>
      </c>
      <c r="J2304">
        <v>-239.22829999999999</v>
      </c>
      <c r="K2304">
        <v>1.110355</v>
      </c>
      <c r="L2304">
        <v>281.62810000000002</v>
      </c>
      <c r="M2304">
        <v>-0.99971310000000002</v>
      </c>
      <c r="N2304">
        <v>0</v>
      </c>
      <c r="O2304">
        <v>2.1219129999999999E-2</v>
      </c>
      <c r="P2304">
        <v>-0.98460570000000003</v>
      </c>
      <c r="Q2304">
        <v>0.1735283</v>
      </c>
      <c r="R2304">
        <v>-2.0976330000000001E-2</v>
      </c>
      <c r="S2304">
        <v>-3.0761720000000001</v>
      </c>
      <c r="T2304">
        <v>-0.17718889999999901</v>
      </c>
      <c r="U2304">
        <v>-9.6374509999999997E-2</v>
      </c>
      <c r="V2304">
        <v>-4.186989E-2</v>
      </c>
      <c r="W2304">
        <v>0.1844586</v>
      </c>
      <c r="X2304">
        <v>0.98194800000000004</v>
      </c>
      <c r="Y2304">
        <v>-5.2395070000000002E-2</v>
      </c>
      <c r="Z2304">
        <v>-2.7284000000000002E-3</v>
      </c>
      <c r="AA2304">
        <v>0.99862269999999997</v>
      </c>
      <c r="AB2304">
        <v>21</v>
      </c>
      <c r="AC2304">
        <v>-19.172999999999998</v>
      </c>
      <c r="AD2304">
        <v>-1.110352066043</v>
      </c>
      <c r="AE2304">
        <v>-0.60620000000000096</v>
      </c>
      <c r="AF2304">
        <v>-1.00954054572918</v>
      </c>
      <c r="AG2304">
        <v>-1.110352066043</v>
      </c>
      <c r="AH2304">
        <v>19.091851901311198</v>
      </c>
      <c r="AI2304">
        <v>93.323849787993197</v>
      </c>
      <c r="AJ2304">
        <v>93.026871996622603</v>
      </c>
      <c r="AK2304">
        <v>19.150740529954401</v>
      </c>
      <c r="AL2304">
        <v>79.370430421293307</v>
      </c>
      <c r="AM2304">
        <v>92.441591291291004</v>
      </c>
      <c r="AN2304">
        <v>0.99999996875328501</v>
      </c>
    </row>
    <row r="2305" spans="1:40" x14ac:dyDescent="0.25">
      <c r="A2305" t="str">
        <f>"20190312172128460"</f>
        <v>20190312172128460</v>
      </c>
      <c r="B2305" t="str">
        <f>"1552382488453384"</f>
        <v>1552382488453384</v>
      </c>
      <c r="C2305" t="s">
        <v>40</v>
      </c>
      <c r="D2305">
        <v>3.2663250000000001</v>
      </c>
      <c r="E2305">
        <v>0.49302170000000001</v>
      </c>
      <c r="F2305" t="s">
        <v>46</v>
      </c>
      <c r="G2305">
        <v>-258.43880000000001</v>
      </c>
      <c r="H2305" s="1">
        <v>2.9539389999999998E-6</v>
      </c>
      <c r="I2305">
        <v>281.01859999999999</v>
      </c>
      <c r="J2305">
        <v>-239.33770000000001</v>
      </c>
      <c r="K2305">
        <v>1.11036</v>
      </c>
      <c r="L2305">
        <v>281.63040000000001</v>
      </c>
      <c r="M2305">
        <v>-0.99971339999999997</v>
      </c>
      <c r="N2305">
        <v>0</v>
      </c>
      <c r="O2305">
        <v>2.1207719999999999E-2</v>
      </c>
      <c r="P2305">
        <v>-0.98460689999999995</v>
      </c>
      <c r="Q2305">
        <v>0.17350409999999999</v>
      </c>
      <c r="R2305">
        <v>-2.1113460000000001E-2</v>
      </c>
      <c r="S2305">
        <v>-3.0761569999999998</v>
      </c>
      <c r="T2305">
        <v>-0.1777996</v>
      </c>
      <c r="U2305">
        <v>-9.7595210000000002E-2</v>
      </c>
      <c r="V2305">
        <v>-4.1994730000000001E-2</v>
      </c>
      <c r="W2305">
        <v>0.1844239</v>
      </c>
      <c r="X2305">
        <v>0.98194919999999997</v>
      </c>
      <c r="Y2305">
        <v>-5.2778249999999999E-2</v>
      </c>
      <c r="Z2305">
        <v>-2.7481889999999998E-3</v>
      </c>
      <c r="AA2305">
        <v>0.9986024</v>
      </c>
      <c r="AB2305">
        <v>21</v>
      </c>
      <c r="AC2305">
        <v>-19.101099999999999</v>
      </c>
      <c r="AD2305">
        <v>-1.1103570460609999</v>
      </c>
      <c r="AE2305">
        <v>-0.611800000000016</v>
      </c>
      <c r="AF2305">
        <v>-1.0133573648949901</v>
      </c>
      <c r="AG2305">
        <v>-1.1103570460609999</v>
      </c>
      <c r="AH2305">
        <v>19.019623324656902</v>
      </c>
      <c r="AI2305">
        <v>93.336388107308494</v>
      </c>
      <c r="AJ2305">
        <v>93.049810868964002</v>
      </c>
      <c r="AK2305">
        <v>19.078937531491601</v>
      </c>
      <c r="AL2305">
        <v>79.372453430547097</v>
      </c>
      <c r="AM2305">
        <v>92.448859344393796</v>
      </c>
      <c r="AN2305">
        <v>0.99999998180981098</v>
      </c>
    </row>
    <row r="2306" spans="1:40" x14ac:dyDescent="0.25">
      <c r="A2306" t="str">
        <f>"20190312172128471"</f>
        <v>20190312172128471</v>
      </c>
      <c r="B2306" t="str">
        <f>"1552382488463144"</f>
        <v>1552382488463144</v>
      </c>
      <c r="C2306" t="s">
        <v>40</v>
      </c>
      <c r="D2306">
        <v>3.2889200000000001</v>
      </c>
      <c r="E2306">
        <v>0.49278820000000001</v>
      </c>
      <c r="F2306" t="s">
        <v>46</v>
      </c>
      <c r="G2306">
        <v>-258.52789999999999</v>
      </c>
      <c r="H2306" s="1">
        <v>3.0013399999999998E-6</v>
      </c>
      <c r="I2306">
        <v>281.0059</v>
      </c>
      <c r="J2306">
        <v>-239.45249999999999</v>
      </c>
      <c r="K2306">
        <v>1.1103559999999999</v>
      </c>
      <c r="L2306">
        <v>281.63279999999997</v>
      </c>
      <c r="M2306">
        <v>-0.99971379999999999</v>
      </c>
      <c r="N2306">
        <v>0</v>
      </c>
      <c r="O2306">
        <v>2.1196130000000001E-2</v>
      </c>
      <c r="P2306">
        <v>-0.98461589999999999</v>
      </c>
      <c r="Q2306">
        <v>0.17347899999999999</v>
      </c>
      <c r="R2306">
        <v>-2.0897510000000001E-2</v>
      </c>
      <c r="S2306">
        <v>-3.0761259999999999</v>
      </c>
      <c r="T2306">
        <v>-0.17798639999999999</v>
      </c>
      <c r="U2306">
        <v>-0.1000977</v>
      </c>
      <c r="V2306">
        <v>-4.1766980000000002E-2</v>
      </c>
      <c r="W2306">
        <v>0.18438779999999999</v>
      </c>
      <c r="X2306">
        <v>0.98196570000000005</v>
      </c>
      <c r="Y2306">
        <v>-5.357692E-2</v>
      </c>
      <c r="Z2306">
        <v>-2.7734769999999999E-3</v>
      </c>
      <c r="AA2306">
        <v>0.99855989999999994</v>
      </c>
      <c r="AB2306">
        <v>21</v>
      </c>
      <c r="AC2306">
        <v>-19.075399999999998</v>
      </c>
      <c r="AD2306">
        <v>-1.11035299865999</v>
      </c>
      <c r="AE2306">
        <v>-0.62689999999997703</v>
      </c>
      <c r="AF2306">
        <v>-1.0276305685252201</v>
      </c>
      <c r="AG2306">
        <v>-1.11035299865999</v>
      </c>
      <c r="AH2306">
        <v>18.993539922391101</v>
      </c>
      <c r="AI2306">
        <v>93.340800208321099</v>
      </c>
      <c r="AJ2306">
        <v>93.096923691596601</v>
      </c>
      <c r="AK2306">
        <v>19.053699565975698</v>
      </c>
      <c r="AL2306">
        <v>79.374557973457797</v>
      </c>
      <c r="AM2306">
        <v>92.4355536075808</v>
      </c>
      <c r="AN2306">
        <v>0.99999998869182505</v>
      </c>
    </row>
    <row r="2307" spans="1:40" x14ac:dyDescent="0.25">
      <c r="A2307" t="str">
        <f>"20190312172128484"</f>
        <v>20190312172128484</v>
      </c>
      <c r="B2307" t="str">
        <f>"1552382488472904"</f>
        <v>1552382488472904</v>
      </c>
      <c r="C2307" t="s">
        <v>40</v>
      </c>
      <c r="D2307">
        <v>3.2780580000000001</v>
      </c>
      <c r="E2307">
        <v>0.49253439999999998</v>
      </c>
      <c r="F2307" t="s">
        <v>46</v>
      </c>
      <c r="G2307">
        <v>-258.62849999999997</v>
      </c>
      <c r="H2307" s="1">
        <v>3.0548750000000001E-6</v>
      </c>
      <c r="I2307">
        <v>281.00330000000002</v>
      </c>
      <c r="J2307">
        <v>-239.56639999999999</v>
      </c>
      <c r="K2307">
        <v>1.1103540000000001</v>
      </c>
      <c r="L2307">
        <v>281.6352</v>
      </c>
      <c r="M2307">
        <v>-0.9997142</v>
      </c>
      <c r="N2307">
        <v>0</v>
      </c>
      <c r="O2307">
        <v>2.1184709999999999E-2</v>
      </c>
      <c r="P2307">
        <v>-0.98468219999999995</v>
      </c>
      <c r="Q2307">
        <v>0.17308399999999999</v>
      </c>
      <c r="R2307">
        <v>-2.104644E-2</v>
      </c>
      <c r="S2307">
        <v>-3.0760960000000002</v>
      </c>
      <c r="T2307">
        <v>-0.17811550000000001</v>
      </c>
      <c r="U2307">
        <v>-0.10098269999999999</v>
      </c>
      <c r="V2307">
        <v>-4.1905070000000003E-2</v>
      </c>
      <c r="W2307">
        <v>0.1839829</v>
      </c>
      <c r="X2307">
        <v>0.98203580000000001</v>
      </c>
      <c r="Y2307">
        <v>-5.3852200000000003E-2</v>
      </c>
      <c r="Z2307">
        <v>-2.7828000000000002E-3</v>
      </c>
      <c r="AA2307">
        <v>0.99854509999999996</v>
      </c>
      <c r="AB2307">
        <v>21</v>
      </c>
      <c r="AC2307">
        <v>-19.062099999999901</v>
      </c>
      <c r="AD2307">
        <v>-1.110350945125</v>
      </c>
      <c r="AE2307">
        <v>-0.63189999999997304</v>
      </c>
      <c r="AF2307">
        <v>-1.0321099473939399</v>
      </c>
      <c r="AG2307">
        <v>-1.110350945125</v>
      </c>
      <c r="AH2307">
        <v>18.980106000443801</v>
      </c>
      <c r="AI2307">
        <v>93.343103779879897</v>
      </c>
      <c r="AJ2307">
        <v>93.112593722797598</v>
      </c>
      <c r="AK2307">
        <v>19.040550253417901</v>
      </c>
      <c r="AL2307">
        <v>79.398161259553305</v>
      </c>
      <c r="AM2307">
        <v>92.443422072492098</v>
      </c>
      <c r="AN2307">
        <v>1.00000002743287</v>
      </c>
    </row>
    <row r="2308" spans="1:40" x14ac:dyDescent="0.25">
      <c r="A2308" t="str">
        <f>"20190312172128496"</f>
        <v>20190312172128496</v>
      </c>
      <c r="B2308" t="str">
        <f>"1552382488493400"</f>
        <v>1552382488493400</v>
      </c>
      <c r="C2308" t="s">
        <v>40</v>
      </c>
      <c r="D2308">
        <v>3.25597</v>
      </c>
      <c r="E2308">
        <v>0.49213499999999999</v>
      </c>
      <c r="F2308" t="s">
        <v>46</v>
      </c>
      <c r="G2308">
        <v>-258.64710000000002</v>
      </c>
      <c r="H2308" s="1">
        <v>3.0647870000000001E-6</v>
      </c>
      <c r="I2308">
        <v>280.9914</v>
      </c>
      <c r="J2308">
        <v>-239.68199999999999</v>
      </c>
      <c r="K2308">
        <v>1.110355</v>
      </c>
      <c r="L2308">
        <v>281.6377</v>
      </c>
      <c r="M2308">
        <v>-0.9997144</v>
      </c>
      <c r="N2308">
        <v>0</v>
      </c>
      <c r="O2308">
        <v>2.1173399999999998E-2</v>
      </c>
      <c r="P2308">
        <v>-0.98468440000000002</v>
      </c>
      <c r="Q2308">
        <v>0.17305619999999999</v>
      </c>
      <c r="R2308">
        <v>-2.1181809999999999E-2</v>
      </c>
      <c r="S2308">
        <v>-3.0759120000000002</v>
      </c>
      <c r="T2308">
        <v>-0.17899470000000001</v>
      </c>
      <c r="U2308">
        <v>-0.1037903</v>
      </c>
      <c r="V2308">
        <v>-4.2028990000000002E-2</v>
      </c>
      <c r="W2308">
        <v>0.18394540000000001</v>
      </c>
      <c r="X2308">
        <v>0.98203750000000001</v>
      </c>
      <c r="Y2308">
        <v>-5.4750510000000002E-2</v>
      </c>
      <c r="Z2308">
        <v>-2.8220900000000002E-3</v>
      </c>
      <c r="AA2308">
        <v>0.9984961</v>
      </c>
      <c r="AB2308">
        <v>21</v>
      </c>
      <c r="AC2308">
        <v>-18.9651</v>
      </c>
      <c r="AD2308">
        <v>-1.110351935213</v>
      </c>
      <c r="AE2308">
        <v>-0.64629999999999599</v>
      </c>
      <c r="AF2308">
        <v>-1.0441604161875999</v>
      </c>
      <c r="AG2308">
        <v>-1.110351935213</v>
      </c>
      <c r="AH2308">
        <v>18.882512907432201</v>
      </c>
      <c r="AI2308">
        <v>93.360177406931996</v>
      </c>
      <c r="AJ2308">
        <v>93.165104002039598</v>
      </c>
      <c r="AK2308">
        <v>18.943929003617701</v>
      </c>
      <c r="AL2308">
        <v>79.400346850980796</v>
      </c>
      <c r="AM2308">
        <v>92.450634629338595</v>
      </c>
      <c r="AN2308">
        <v>0.99999999879391499</v>
      </c>
    </row>
    <row r="2309" spans="1:40" x14ac:dyDescent="0.25">
      <c r="A2309" t="str">
        <f>"20190312172128508"</f>
        <v>20190312172128508</v>
      </c>
      <c r="B2309" t="str">
        <f>"1552382488503161"</f>
        <v>1552382488503161</v>
      </c>
      <c r="C2309" t="s">
        <v>40</v>
      </c>
      <c r="D2309">
        <v>3.2334339999999999</v>
      </c>
      <c r="E2309">
        <v>0.49193340000000002</v>
      </c>
      <c r="F2309" t="s">
        <v>46</v>
      </c>
      <c r="G2309">
        <v>-258.7482</v>
      </c>
      <c r="H2309" s="1">
        <v>3.118543E-6</v>
      </c>
      <c r="I2309">
        <v>280.97219999999999</v>
      </c>
      <c r="J2309">
        <v>-239.79560000000001</v>
      </c>
      <c r="K2309">
        <v>1.1103510000000001</v>
      </c>
      <c r="L2309">
        <v>281.64</v>
      </c>
      <c r="M2309">
        <v>-0.99971480000000001</v>
      </c>
      <c r="N2309">
        <v>0</v>
      </c>
      <c r="O2309">
        <v>2.1161969999999999E-2</v>
      </c>
      <c r="P2309">
        <v>-0.98473500000000003</v>
      </c>
      <c r="Q2309">
        <v>0.1727725</v>
      </c>
      <c r="R2309">
        <v>-2.11358E-2</v>
      </c>
      <c r="S2309">
        <v>-3.0758670000000001</v>
      </c>
      <c r="T2309">
        <v>-0.17912839999999999</v>
      </c>
      <c r="U2309">
        <v>-0.10736080000000001</v>
      </c>
      <c r="V2309">
        <v>-4.1971849999999998E-2</v>
      </c>
      <c r="W2309">
        <v>0.18365380000000001</v>
      </c>
      <c r="X2309">
        <v>0.98209449999999998</v>
      </c>
      <c r="Y2309">
        <v>-5.5895159999999999E-2</v>
      </c>
      <c r="Z2309">
        <v>-2.8568109999999999E-3</v>
      </c>
      <c r="AA2309">
        <v>0.9984326</v>
      </c>
      <c r="AB2309">
        <v>21</v>
      </c>
      <c r="AC2309">
        <v>-18.952599999999901</v>
      </c>
      <c r="AD2309">
        <v>-1.110347881457</v>
      </c>
      <c r="AE2309">
        <v>-0.66779999999999895</v>
      </c>
      <c r="AF2309">
        <v>-1.06509818948696</v>
      </c>
      <c r="AG2309">
        <v>-1.110347881457</v>
      </c>
      <c r="AH2309">
        <v>18.869537508715201</v>
      </c>
      <c r="AI2309">
        <v>93.362256012192702</v>
      </c>
      <c r="AJ2309">
        <v>93.230653838104601</v>
      </c>
      <c r="AK2309">
        <v>18.932161851302599</v>
      </c>
      <c r="AL2309">
        <v>79.417343672192303</v>
      </c>
      <c r="AM2309">
        <v>92.447165085510207</v>
      </c>
      <c r="AN2309">
        <v>0.999999980688556</v>
      </c>
    </row>
    <row r="2310" spans="1:40" x14ac:dyDescent="0.25">
      <c r="A2310" t="str">
        <f>"20190312172128526"</f>
        <v>20190312172128526</v>
      </c>
      <c r="B2310" t="str">
        <f>"1552382488523656"</f>
        <v>1552382488523656</v>
      </c>
      <c r="C2310" t="s">
        <v>40</v>
      </c>
      <c r="D2310">
        <v>3.2549929999999998</v>
      </c>
      <c r="E2310">
        <v>0.49154199999999998</v>
      </c>
      <c r="F2310" t="s">
        <v>46</v>
      </c>
      <c r="G2310">
        <v>-258.80009999999999</v>
      </c>
      <c r="H2310" s="1">
        <v>3.1461900000000002E-6</v>
      </c>
      <c r="I2310">
        <v>280.96710000000002</v>
      </c>
      <c r="J2310">
        <v>-239.9701</v>
      </c>
      <c r="K2310">
        <v>1.1103430000000001</v>
      </c>
      <c r="L2310">
        <v>281.64370000000002</v>
      </c>
      <c r="M2310">
        <v>-0.99971540000000003</v>
      </c>
      <c r="N2310">
        <v>0</v>
      </c>
      <c r="O2310">
        <v>2.1143579999999999E-2</v>
      </c>
      <c r="P2310">
        <v>-0.98477320000000002</v>
      </c>
      <c r="Q2310">
        <v>0.17253070000000001</v>
      </c>
      <c r="R2310">
        <v>-2.1336219999999999E-2</v>
      </c>
      <c r="S2310">
        <v>-3.0757140000000001</v>
      </c>
      <c r="T2310">
        <v>-0.1797001</v>
      </c>
      <c r="U2310">
        <v>-0.10891720000000001</v>
      </c>
      <c r="V2310">
        <v>-4.215464E-2</v>
      </c>
      <c r="W2310">
        <v>0.1833998</v>
      </c>
      <c r="X2310">
        <v>0.98213419999999896</v>
      </c>
      <c r="Y2310">
        <v>-5.6381489999999999E-2</v>
      </c>
      <c r="Z2310">
        <v>-2.8791480000000002E-3</v>
      </c>
      <c r="AA2310">
        <v>0.99840519999999999</v>
      </c>
      <c r="AB2310">
        <v>21</v>
      </c>
      <c r="AC2310">
        <v>-18.829999999999899</v>
      </c>
      <c r="AD2310">
        <v>-1.11033985381</v>
      </c>
      <c r="AE2310">
        <v>-0.67660000000000697</v>
      </c>
      <c r="AF2310">
        <v>-1.07088790868063</v>
      </c>
      <c r="AG2310">
        <v>-1.11033985381</v>
      </c>
      <c r="AH2310">
        <v>18.746385298840998</v>
      </c>
      <c r="AI2310">
        <v>93.384138491614195</v>
      </c>
      <c r="AJ2310">
        <v>93.269470088772394</v>
      </c>
      <c r="AK2310">
        <v>18.809747932296101</v>
      </c>
      <c r="AL2310">
        <v>79.432148932874696</v>
      </c>
      <c r="AM2310">
        <v>92.457710371293501</v>
      </c>
      <c r="AN2310">
        <v>1.0000000435616001</v>
      </c>
    </row>
    <row r="2311" spans="1:40" x14ac:dyDescent="0.25">
      <c r="A2311" t="str">
        <f>"20190312172128538"</f>
        <v>20190312172128538</v>
      </c>
      <c r="B2311" t="str">
        <f>"1552382488533415"</f>
        <v>1552382488533415</v>
      </c>
      <c r="C2311" t="s">
        <v>40</v>
      </c>
      <c r="D2311">
        <v>3.2988360000000001</v>
      </c>
      <c r="E2311">
        <v>0.49154199999999998</v>
      </c>
      <c r="F2311" t="s">
        <v>46</v>
      </c>
      <c r="G2311">
        <v>-258.9751</v>
      </c>
      <c r="H2311" s="1">
        <v>3.2393130000000002E-6</v>
      </c>
      <c r="I2311">
        <v>280.9461</v>
      </c>
      <c r="J2311">
        <v>-240.0847</v>
      </c>
      <c r="K2311">
        <v>1.1103430000000001</v>
      </c>
      <c r="L2311">
        <v>281.64609999999999</v>
      </c>
      <c r="M2311">
        <v>-0.99971569999999998</v>
      </c>
      <c r="N2311">
        <v>0</v>
      </c>
      <c r="O2311">
        <v>2.113112E-2</v>
      </c>
      <c r="P2311">
        <v>-0.98478449999999995</v>
      </c>
      <c r="Q2311">
        <v>0.172484</v>
      </c>
      <c r="R2311">
        <v>-2.1195180000000001E-2</v>
      </c>
      <c r="S2311">
        <v>-3.0754090000000001</v>
      </c>
      <c r="T2311">
        <v>-0.17967620000000001</v>
      </c>
      <c r="U2311">
        <v>-0.1128845</v>
      </c>
      <c r="V2311">
        <v>-4.2000999999999997E-2</v>
      </c>
      <c r="W2311">
        <v>0.18334590000000001</v>
      </c>
      <c r="X2311">
        <v>0.98215079999999999</v>
      </c>
      <c r="Y2311">
        <v>-5.765663E-2</v>
      </c>
      <c r="Z2311">
        <v>-2.9154649999999999E-3</v>
      </c>
      <c r="AA2311">
        <v>0.9983322</v>
      </c>
      <c r="AB2311">
        <v>21</v>
      </c>
      <c r="AC2311">
        <v>-18.8904</v>
      </c>
      <c r="AD2311">
        <v>-1.110339760687</v>
      </c>
      <c r="AE2311">
        <v>-0.69999999999998797</v>
      </c>
      <c r="AF2311">
        <v>-1.0952645517780699</v>
      </c>
      <c r="AG2311">
        <v>-1.110339760687</v>
      </c>
      <c r="AH2311">
        <v>18.806504219885198</v>
      </c>
      <c r="AI2311">
        <v>93.373129670877304</v>
      </c>
      <c r="AJ2311">
        <v>93.333061328920294</v>
      </c>
      <c r="AK2311">
        <v>18.871064087515201</v>
      </c>
      <c r="AL2311">
        <v>79.435289962899105</v>
      </c>
      <c r="AM2311">
        <v>92.448722399681898</v>
      </c>
      <c r="AN2311">
        <v>0.99999999849422505</v>
      </c>
    </row>
    <row r="2312" spans="1:40" x14ac:dyDescent="0.25">
      <c r="A2312" t="str">
        <f>"20190312172128551"</f>
        <v>20190312172128551</v>
      </c>
      <c r="B2312" t="str">
        <f>"1552382488543175"</f>
        <v>1552382488543175</v>
      </c>
      <c r="C2312" t="s">
        <v>40</v>
      </c>
      <c r="D2312">
        <v>3.2288169999999998</v>
      </c>
      <c r="E2312">
        <v>0.48191709999999899</v>
      </c>
      <c r="F2312" t="s">
        <v>46</v>
      </c>
      <c r="G2312">
        <v>-259.0752</v>
      </c>
      <c r="H2312" s="1">
        <v>3.292584E-6</v>
      </c>
      <c r="I2312">
        <v>280.9504</v>
      </c>
      <c r="J2312">
        <v>-240.21430000000001</v>
      </c>
      <c r="K2312">
        <v>1.110341</v>
      </c>
      <c r="L2312">
        <v>281.64890000000003</v>
      </c>
      <c r="M2312">
        <v>-0.99971600000000005</v>
      </c>
      <c r="N2312">
        <v>0</v>
      </c>
      <c r="O2312">
        <v>2.1116800000000002E-2</v>
      </c>
      <c r="P2312">
        <v>-0.98478089999999996</v>
      </c>
      <c r="Q2312">
        <v>0.17250299999999999</v>
      </c>
      <c r="R2312">
        <v>-2.1194640000000001E-2</v>
      </c>
      <c r="S2312">
        <v>-3.0754549999999998</v>
      </c>
      <c r="T2312">
        <v>-0.17981629999999901</v>
      </c>
      <c r="U2312">
        <v>-0.11267089999999901</v>
      </c>
      <c r="V2312">
        <v>-4.1986389999999998E-2</v>
      </c>
      <c r="W2312">
        <v>0.18335670000000001</v>
      </c>
      <c r="X2312">
        <v>0.98214939999999995</v>
      </c>
      <c r="Y2312">
        <v>-5.7572499999999999E-2</v>
      </c>
      <c r="Z2312">
        <v>-2.914402E-3</v>
      </c>
      <c r="AA2312">
        <v>0.99833709999999998</v>
      </c>
      <c r="AB2312">
        <v>21</v>
      </c>
      <c r="AC2312">
        <v>-18.860899999999901</v>
      </c>
      <c r="AD2312">
        <v>-1.1103377074159999</v>
      </c>
      <c r="AE2312">
        <v>-0.69850000000002399</v>
      </c>
      <c r="AF2312">
        <v>-1.0928680606005701</v>
      </c>
      <c r="AG2312">
        <v>-1.1103377074159999</v>
      </c>
      <c r="AH2312">
        <v>18.7769574835994</v>
      </c>
      <c r="AI2312">
        <v>93.378426025274706</v>
      </c>
      <c r="AJ2312">
        <v>93.331006378627293</v>
      </c>
      <c r="AK2312">
        <v>18.841479314621001</v>
      </c>
      <c r="AL2312">
        <v>79.434660408268499</v>
      </c>
      <c r="AM2312">
        <v>92.447875135752398</v>
      </c>
      <c r="AN2312">
        <v>0.99999999015024099</v>
      </c>
    </row>
    <row r="2313" spans="1:40" x14ac:dyDescent="0.25">
      <c r="A2313" t="str">
        <f>"20190312172128574"</f>
        <v>20190312172128574</v>
      </c>
      <c r="B2313" t="str">
        <f>"1552382488562697"</f>
        <v>1552382488562697</v>
      </c>
      <c r="C2313" t="s">
        <v>40</v>
      </c>
      <c r="D2313">
        <v>2.365526</v>
      </c>
      <c r="E2313">
        <v>0.4822786</v>
      </c>
      <c r="F2313" t="s">
        <v>46</v>
      </c>
      <c r="G2313">
        <v>-265.37810000000002</v>
      </c>
      <c r="H2313" s="1">
        <v>1.325154E-6</v>
      </c>
      <c r="I2313">
        <v>280.08170000000001</v>
      </c>
      <c r="J2313">
        <v>-240.4203</v>
      </c>
      <c r="K2313">
        <v>1.1103400000000001</v>
      </c>
      <c r="L2313">
        <v>281.65320000000003</v>
      </c>
      <c r="M2313">
        <v>-0.99971670000000001</v>
      </c>
      <c r="N2313">
        <v>0</v>
      </c>
      <c r="O2313">
        <v>2.1092860000000001E-2</v>
      </c>
      <c r="P2313">
        <v>-0.98492179999999996</v>
      </c>
      <c r="Q2313">
        <v>0.17170189999999999</v>
      </c>
      <c r="R2313">
        <v>-2.115742E-2</v>
      </c>
      <c r="S2313">
        <v>-3.0659480000000001</v>
      </c>
      <c r="T2313">
        <v>-0.135283399999999</v>
      </c>
      <c r="U2313">
        <v>-0.19094849999999999</v>
      </c>
      <c r="V2313">
        <v>-4.1928689999999998E-2</v>
      </c>
      <c r="W2313">
        <v>0.18254329999999999</v>
      </c>
      <c r="X2313">
        <v>0.98230340000000005</v>
      </c>
      <c r="Y2313">
        <v>-8.3098459999999999E-2</v>
      </c>
      <c r="Z2313">
        <v>-2.7601919999999999E-3</v>
      </c>
      <c r="AA2313">
        <v>0.99653749999999997</v>
      </c>
      <c r="AB2313">
        <v>21</v>
      </c>
      <c r="AC2313">
        <v>-24.957799999999999</v>
      </c>
      <c r="AD2313">
        <v>-1.11033867484599</v>
      </c>
      <c r="AE2313">
        <v>-1.5715000000000101</v>
      </c>
      <c r="AF2313">
        <v>-2.0934865776300899</v>
      </c>
      <c r="AG2313">
        <v>-1.11033867484599</v>
      </c>
      <c r="AH2313">
        <v>24.870067860658299</v>
      </c>
      <c r="AI2313">
        <v>92.547308989049895</v>
      </c>
      <c r="AJ2313">
        <v>94.811640925249804</v>
      </c>
      <c r="AK2313">
        <v>24.982710289664801</v>
      </c>
      <c r="AL2313">
        <v>79.482065202783403</v>
      </c>
      <c r="AM2313">
        <v>92.444132442551094</v>
      </c>
      <c r="AN2313">
        <v>1.00000002053578</v>
      </c>
    </row>
    <row r="2314" spans="1:40" x14ac:dyDescent="0.25">
      <c r="A2314" t="str">
        <f>"20190312172128683"</f>
        <v>20190312172128683</v>
      </c>
      <c r="B2314" t="str">
        <f>"1552382488672984"</f>
        <v>1552382488672984</v>
      </c>
      <c r="C2314" t="s">
        <v>40</v>
      </c>
      <c r="D2314">
        <v>3.0823670000000001</v>
      </c>
      <c r="E2314">
        <v>0.49478719999999998</v>
      </c>
      <c r="F2314" t="s">
        <v>46</v>
      </c>
      <c r="G2314">
        <v>-266.6429</v>
      </c>
      <c r="H2314" s="1">
        <v>1.9982370000000002E-6</v>
      </c>
      <c r="I2314">
        <v>280.04140000000001</v>
      </c>
      <c r="J2314">
        <v>-241.47839999999999</v>
      </c>
      <c r="K2314">
        <v>1.110322</v>
      </c>
      <c r="L2314">
        <v>281.67540000000002</v>
      </c>
      <c r="M2314">
        <v>-0.99972050000000001</v>
      </c>
      <c r="N2314">
        <v>0</v>
      </c>
      <c r="O2314">
        <v>2.0961230000000001E-2</v>
      </c>
      <c r="P2314">
        <v>-0.98548259999999999</v>
      </c>
      <c r="Q2314">
        <v>0.168319</v>
      </c>
      <c r="R2314">
        <v>-2.220078E-2</v>
      </c>
      <c r="S2314">
        <v>-3.0644840000000002</v>
      </c>
      <c r="T2314">
        <v>-0.1297585</v>
      </c>
      <c r="U2314">
        <v>-0.18835450000000001</v>
      </c>
      <c r="V2314">
        <v>-4.2854280000000002E-2</v>
      </c>
      <c r="W2314">
        <v>0.179086</v>
      </c>
      <c r="X2314">
        <v>0.98289970000000004</v>
      </c>
      <c r="Y2314">
        <v>-8.2165370000000001E-2</v>
      </c>
      <c r="Z2314">
        <v>-2.6236050000000002E-3</v>
      </c>
      <c r="AA2314">
        <v>0.99661520000000003</v>
      </c>
      <c r="AB2314">
        <v>22</v>
      </c>
      <c r="AC2314">
        <v>-25.1645</v>
      </c>
      <c r="AD2314">
        <v>-1.1103200017629999</v>
      </c>
      <c r="AE2314">
        <v>-1.6340000000000101</v>
      </c>
      <c r="AF2314">
        <v>-2.15696981196117</v>
      </c>
      <c r="AG2314">
        <v>-1.1103200017629999</v>
      </c>
      <c r="AH2314">
        <v>25.076104718023601</v>
      </c>
      <c r="AI2314">
        <v>92.525971732476705</v>
      </c>
      <c r="AJ2314">
        <v>94.916306389035697</v>
      </c>
      <c r="AK2314">
        <v>25.193180765939601</v>
      </c>
      <c r="AL2314">
        <v>79.6834741221641</v>
      </c>
      <c r="AM2314">
        <v>92.496506314822497</v>
      </c>
      <c r="AN2314">
        <v>1.0000000524852</v>
      </c>
    </row>
    <row r="2315" spans="1:40" x14ac:dyDescent="0.25">
      <c r="A2315" t="str">
        <f>"20190312172128694"</f>
        <v>20190312172128694</v>
      </c>
      <c r="B2315" t="str">
        <f>"1552382488682744"</f>
        <v>1552382488682744</v>
      </c>
      <c r="C2315" t="s">
        <v>40</v>
      </c>
      <c r="D2315">
        <v>3.2276720000000001</v>
      </c>
      <c r="E2315">
        <v>0.49749270000000001</v>
      </c>
      <c r="F2315" t="s">
        <v>41</v>
      </c>
      <c r="G2315">
        <v>-242.33070000000001</v>
      </c>
      <c r="H2315">
        <v>0.96123650000000005</v>
      </c>
      <c r="I2315">
        <v>281.65170000000001</v>
      </c>
      <c r="J2315">
        <v>-241.58670000000001</v>
      </c>
      <c r="K2315">
        <v>1.11032</v>
      </c>
      <c r="L2315">
        <v>281.67759999999998</v>
      </c>
      <c r="M2315">
        <v>-0.99972079999999997</v>
      </c>
      <c r="N2315">
        <v>0</v>
      </c>
      <c r="O2315">
        <v>2.0947549999999999E-2</v>
      </c>
      <c r="P2315">
        <v>-0.98555870000000001</v>
      </c>
      <c r="Q2315">
        <v>0.16792460000000001</v>
      </c>
      <c r="R2315">
        <v>-2.1815959999999999E-2</v>
      </c>
      <c r="S2315">
        <v>-3.13591</v>
      </c>
      <c r="T2315">
        <v>-0.54864389999999996</v>
      </c>
      <c r="U2315">
        <v>-8.7493899999999999E-2</v>
      </c>
      <c r="V2315">
        <v>-4.2457630000000003E-2</v>
      </c>
      <c r="W2315">
        <v>0.17868629999999999</v>
      </c>
      <c r="X2315">
        <v>0.98298960000000002</v>
      </c>
      <c r="Y2315">
        <v>-4.7781049999999999E-2</v>
      </c>
      <c r="Z2315">
        <v>-7.7843269999999997E-3</v>
      </c>
      <c r="AA2315">
        <v>0.99882749999999998</v>
      </c>
      <c r="AB2315">
        <v>22</v>
      </c>
      <c r="AC2315">
        <v>-0.743999999999999</v>
      </c>
      <c r="AD2315">
        <v>-0.14908350000000001</v>
      </c>
      <c r="AE2315">
        <v>-2.58999999999787E-2</v>
      </c>
      <c r="AF2315">
        <v>-3.9880844927473499E-2</v>
      </c>
      <c r="AG2315">
        <v>-0.14908350000000001</v>
      </c>
      <c r="AH2315">
        <v>0.71463447959460102</v>
      </c>
      <c r="AI2315">
        <v>101.765961588447</v>
      </c>
      <c r="AJ2315">
        <v>93.194131434986403</v>
      </c>
      <c r="AK2315">
        <v>0.73110793402193797</v>
      </c>
      <c r="AL2315">
        <v>79.706750143220503</v>
      </c>
      <c r="AM2315">
        <v>92.473202092466494</v>
      </c>
      <c r="AN2315">
        <v>0.99999999893053304</v>
      </c>
    </row>
    <row r="2316" spans="1:40" x14ac:dyDescent="0.25">
      <c r="A2316" t="str">
        <f>"20190312172128707"</f>
        <v>20190312172128707</v>
      </c>
      <c r="B2316" t="str">
        <f>"1552382488703240"</f>
        <v>1552382488703240</v>
      </c>
      <c r="C2316" t="s">
        <v>40</v>
      </c>
      <c r="D2316">
        <v>3.2395480000000001</v>
      </c>
      <c r="E2316">
        <v>0.4984806</v>
      </c>
      <c r="F2316" t="s">
        <v>41</v>
      </c>
      <c r="G2316">
        <v>-242.3536</v>
      </c>
      <c r="H2316">
        <v>1.0107630000000001</v>
      </c>
      <c r="I2316">
        <v>281.661</v>
      </c>
      <c r="J2316">
        <v>-241.70490000000001</v>
      </c>
      <c r="K2316">
        <v>1.1103179999999999</v>
      </c>
      <c r="L2316">
        <v>281.68009999999998</v>
      </c>
      <c r="M2316">
        <v>-0.99972110000000003</v>
      </c>
      <c r="N2316">
        <v>0</v>
      </c>
      <c r="O2316">
        <v>2.093275E-2</v>
      </c>
      <c r="P2316">
        <v>-0.98566410000000004</v>
      </c>
      <c r="Q2316">
        <v>0.16734739999999901</v>
      </c>
      <c r="R2316">
        <v>-2.1471799999999999E-2</v>
      </c>
      <c r="S2316">
        <v>-3.1112980000000001</v>
      </c>
      <c r="T2316">
        <v>-0.40397040000000001</v>
      </c>
      <c r="U2316">
        <v>-6.7871089999999995E-2</v>
      </c>
      <c r="V2316">
        <v>-4.2101680000000002E-2</v>
      </c>
      <c r="W2316">
        <v>0.17810399999999901</v>
      </c>
      <c r="X2316">
        <v>0.9831105</v>
      </c>
      <c r="Y2316">
        <v>-4.2203690000000002E-2</v>
      </c>
      <c r="Z2316">
        <v>-5.4344839999999998E-3</v>
      </c>
      <c r="AA2316">
        <v>0.99909420000000004</v>
      </c>
      <c r="AB2316">
        <v>22</v>
      </c>
      <c r="AC2316">
        <v>-0.64869999999999095</v>
      </c>
      <c r="AD2316">
        <v>-9.9555000000000199E-2</v>
      </c>
      <c r="AE2316">
        <v>-1.9099999999980299E-2</v>
      </c>
      <c r="AF2316">
        <v>-3.1924449407365399E-2</v>
      </c>
      <c r="AG2316">
        <v>-9.9555000000000199E-2</v>
      </c>
      <c r="AH2316">
        <v>0.63325611228526701</v>
      </c>
      <c r="AI2316">
        <v>98.923266275769194</v>
      </c>
      <c r="AJ2316">
        <v>92.886018723945895</v>
      </c>
      <c r="AK2316">
        <v>0.64182838223438998</v>
      </c>
      <c r="AL2316">
        <v>79.740656573889595</v>
      </c>
      <c r="AM2316">
        <v>92.452191818229906</v>
      </c>
      <c r="AN2316">
        <v>0.99999992074253297</v>
      </c>
    </row>
    <row r="2317" spans="1:40" x14ac:dyDescent="0.25">
      <c r="A2317" t="str">
        <f>"20190312172128718"</f>
        <v>20190312172128718</v>
      </c>
      <c r="B2317" t="str">
        <f>"1552382488713000"</f>
        <v>1552382488713000</v>
      </c>
      <c r="C2317" t="s">
        <v>40</v>
      </c>
      <c r="D2317">
        <v>3.423197</v>
      </c>
      <c r="E2317">
        <v>0.49835669999999999</v>
      </c>
      <c r="F2317" t="s">
        <v>46</v>
      </c>
      <c r="G2317">
        <v>-253.995</v>
      </c>
      <c r="H2317" s="1">
        <v>5.8914469999999899E-7</v>
      </c>
      <c r="I2317">
        <v>281.4348</v>
      </c>
      <c r="J2317">
        <v>-241.82169999999999</v>
      </c>
      <c r="K2317">
        <v>1.1103130000000001</v>
      </c>
      <c r="L2317">
        <v>281.6825</v>
      </c>
      <c r="M2317">
        <v>-0.99972150000000004</v>
      </c>
      <c r="N2317">
        <v>0</v>
      </c>
      <c r="O2317">
        <v>2.0918119999999998E-2</v>
      </c>
      <c r="P2317">
        <v>-0.98571529999999996</v>
      </c>
      <c r="Q2317">
        <v>0.16710059999999999</v>
      </c>
      <c r="R2317">
        <v>-2.1040980000000001E-2</v>
      </c>
      <c r="S2317">
        <v>-3.0896910000000002</v>
      </c>
      <c r="T2317">
        <v>-0.27912959999999998</v>
      </c>
      <c r="U2317">
        <v>-6.167603E-2</v>
      </c>
      <c r="V2317">
        <v>-4.1657340000000001E-2</v>
      </c>
      <c r="W2317">
        <v>0.17785109999999901</v>
      </c>
      <c r="X2317">
        <v>0.98317529999999997</v>
      </c>
      <c r="Y2317">
        <v>-4.0618210000000002E-2</v>
      </c>
      <c r="Z2317">
        <v>-3.7167300000000001E-3</v>
      </c>
      <c r="AA2317">
        <v>0.99916780000000005</v>
      </c>
      <c r="AB2317">
        <v>22</v>
      </c>
      <c r="AC2317">
        <v>-12.173299999999999</v>
      </c>
      <c r="AD2317">
        <v>-1.1103124108553</v>
      </c>
      <c r="AE2317">
        <v>-0.247700000000008</v>
      </c>
      <c r="AF2317">
        <v>-0.49816103135358702</v>
      </c>
      <c r="AG2317">
        <v>-1.1103124108553</v>
      </c>
      <c r="AH2317">
        <v>12.065125497584299</v>
      </c>
      <c r="AI2317">
        <v>95.253474795385202</v>
      </c>
      <c r="AJ2317">
        <v>92.364361757931107</v>
      </c>
      <c r="AK2317">
        <v>12.1263436919509</v>
      </c>
      <c r="AL2317">
        <v>79.755382687564307</v>
      </c>
      <c r="AM2317">
        <v>92.426182819992604</v>
      </c>
      <c r="AN2317">
        <v>1.0000000091385799</v>
      </c>
    </row>
    <row r="2318" spans="1:40" x14ac:dyDescent="0.25">
      <c r="A2318" t="str">
        <f>"20190312172128731"</f>
        <v>20190312172128731</v>
      </c>
      <c r="B2318" t="str">
        <f>"1552382488722760"</f>
        <v>1552382488722760</v>
      </c>
      <c r="C2318" t="s">
        <v>40</v>
      </c>
      <c r="D2318">
        <v>3.2322989999999998</v>
      </c>
      <c r="E2318">
        <v>0.49891259999999998</v>
      </c>
      <c r="F2318" t="s">
        <v>46</v>
      </c>
      <c r="G2318">
        <v>-255.69030000000001</v>
      </c>
      <c r="H2318" s="1">
        <v>1.491299E-6</v>
      </c>
      <c r="I2318">
        <v>281.40210000000002</v>
      </c>
      <c r="J2318">
        <v>-241.94659999999999</v>
      </c>
      <c r="K2318">
        <v>1.1103080000000001</v>
      </c>
      <c r="L2318">
        <v>281.68509999999998</v>
      </c>
      <c r="M2318">
        <v>-0.99972190000000005</v>
      </c>
      <c r="N2318">
        <v>0</v>
      </c>
      <c r="O2318">
        <v>2.0902E-2</v>
      </c>
      <c r="P2318">
        <v>-0.98577020000000004</v>
      </c>
      <c r="Q2318">
        <v>0.16684560000000001</v>
      </c>
      <c r="R2318">
        <v>-2.0485280000000002E-2</v>
      </c>
      <c r="S2318">
        <v>-3.0840000000000001</v>
      </c>
      <c r="T2318">
        <v>-0.24690309999999999</v>
      </c>
      <c r="U2318">
        <v>-6.2347409999999999E-2</v>
      </c>
      <c r="V2318">
        <v>-4.1086860000000003E-2</v>
      </c>
      <c r="W2318">
        <v>0.1775911</v>
      </c>
      <c r="X2318">
        <v>0.98324630000000002</v>
      </c>
      <c r="Y2318">
        <v>-4.0909149999999998E-2</v>
      </c>
      <c r="Z2318">
        <v>-3.3054529999999999E-3</v>
      </c>
      <c r="AA2318">
        <v>0.99915739999999997</v>
      </c>
      <c r="AB2318">
        <v>22</v>
      </c>
      <c r="AC2318">
        <v>-13.7437</v>
      </c>
      <c r="AD2318">
        <v>-1.110306508701</v>
      </c>
      <c r="AE2318">
        <v>-0.28299999999995801</v>
      </c>
      <c r="AF2318">
        <v>-0.56653023356855703</v>
      </c>
      <c r="AG2318">
        <v>-1.110306508701</v>
      </c>
      <c r="AH2318">
        <v>13.6457605073767</v>
      </c>
      <c r="AI2318">
        <v>94.647718028149001</v>
      </c>
      <c r="AJ2318">
        <v>92.377380194683894</v>
      </c>
      <c r="AK2318">
        <v>13.702573366834899</v>
      </c>
      <c r="AL2318">
        <v>79.770520556441895</v>
      </c>
      <c r="AM2318">
        <v>92.392823547939798</v>
      </c>
      <c r="AN2318">
        <v>1.0000000076637701</v>
      </c>
    </row>
    <row r="2319" spans="1:40" x14ac:dyDescent="0.25">
      <c r="A2319" t="str">
        <f>"20190312172128744"</f>
        <v>20190312172128744</v>
      </c>
      <c r="B2319" t="str">
        <f>"1552382488733496"</f>
        <v>1552382488733496</v>
      </c>
      <c r="C2319" t="s">
        <v>40</v>
      </c>
      <c r="D2319">
        <v>3.2701920000000002</v>
      </c>
      <c r="E2319">
        <v>0.49961610000000001</v>
      </c>
      <c r="F2319" t="s">
        <v>46</v>
      </c>
      <c r="G2319">
        <v>-257.13499999999999</v>
      </c>
      <c r="H2319" s="1">
        <v>2.2600859999999998E-6</v>
      </c>
      <c r="I2319">
        <v>281.40140000000002</v>
      </c>
      <c r="J2319">
        <v>-242.06219999999999</v>
      </c>
      <c r="K2319">
        <v>1.110304</v>
      </c>
      <c r="L2319">
        <v>281.6875</v>
      </c>
      <c r="M2319">
        <v>-0.99972240000000001</v>
      </c>
      <c r="N2319">
        <v>0</v>
      </c>
      <c r="O2319">
        <v>2.088713E-2</v>
      </c>
      <c r="P2319">
        <v>-0.98582170000000002</v>
      </c>
      <c r="Q2319">
        <v>0.16665329999999901</v>
      </c>
      <c r="R2319">
        <v>-1.9560299999999999E-2</v>
      </c>
      <c r="S2319">
        <v>-3.0802149999999999</v>
      </c>
      <c r="T2319">
        <v>-0.22517039999999999</v>
      </c>
      <c r="U2319">
        <v>-5.7525630000000001E-2</v>
      </c>
      <c r="V2319">
        <v>-4.0148250000000003E-2</v>
      </c>
      <c r="W2319">
        <v>0.177395</v>
      </c>
      <c r="X2319">
        <v>0.98332050000000004</v>
      </c>
      <c r="Y2319">
        <v>-3.9392450000000002E-2</v>
      </c>
      <c r="Z2319">
        <v>-2.9626029999999999E-3</v>
      </c>
      <c r="AA2319">
        <v>0.99921939999999998</v>
      </c>
      <c r="AB2319">
        <v>22</v>
      </c>
      <c r="AC2319">
        <v>-15.072800000000001</v>
      </c>
      <c r="AD2319">
        <v>-1.1103017399140001</v>
      </c>
      <c r="AE2319">
        <v>-0.28609999999997598</v>
      </c>
      <c r="AF2319">
        <v>-0.59764207520300106</v>
      </c>
      <c r="AG2319">
        <v>-1.1103017399140001</v>
      </c>
      <c r="AH2319">
        <v>14.982267967595</v>
      </c>
      <c r="AI2319">
        <v>94.234956378697007</v>
      </c>
      <c r="AJ2319">
        <v>92.284315279140699</v>
      </c>
      <c r="AK2319">
        <v>15.035235264422401</v>
      </c>
      <c r="AL2319">
        <v>79.781937838484893</v>
      </c>
      <c r="AM2319">
        <v>92.338045754982701</v>
      </c>
      <c r="AN2319">
        <v>1.00000003686165</v>
      </c>
    </row>
    <row r="2320" spans="1:40" x14ac:dyDescent="0.25">
      <c r="A2320" t="str">
        <f>"20190312172128763"</f>
        <v>20190312172128763</v>
      </c>
      <c r="B2320" t="str">
        <f>"1552382488753016"</f>
        <v>1552382488753016</v>
      </c>
      <c r="C2320" t="s">
        <v>40</v>
      </c>
      <c r="D2320">
        <v>3.2807249999999999</v>
      </c>
      <c r="E2320">
        <v>0.50033679999999903</v>
      </c>
      <c r="F2320" t="s">
        <v>46</v>
      </c>
      <c r="G2320">
        <v>-258.25850000000003</v>
      </c>
      <c r="H2320" s="1">
        <v>2.8579869999999998E-6</v>
      </c>
      <c r="I2320">
        <v>281.42349999999999</v>
      </c>
      <c r="J2320">
        <v>-242.25069999999999</v>
      </c>
      <c r="K2320">
        <v>1.110303</v>
      </c>
      <c r="L2320">
        <v>281.69139999999999</v>
      </c>
      <c r="M2320">
        <v>-0.99972300000000003</v>
      </c>
      <c r="N2320">
        <v>0</v>
      </c>
      <c r="O2320">
        <v>2.0863509999999998E-2</v>
      </c>
      <c r="P2320">
        <v>-0.98584070000000001</v>
      </c>
      <c r="Q2320">
        <v>0.16665060000000001</v>
      </c>
      <c r="R2320">
        <v>-1.8596149999999999E-2</v>
      </c>
      <c r="S2320">
        <v>-3.0778349999999999</v>
      </c>
      <c r="T2320">
        <v>-0.21099409999999999</v>
      </c>
      <c r="U2320">
        <v>-5.0170899999999997E-2</v>
      </c>
      <c r="V2320">
        <v>-3.9161759999999997E-2</v>
      </c>
      <c r="W2320">
        <v>0.17738519999999999</v>
      </c>
      <c r="X2320">
        <v>0.98336199999999996</v>
      </c>
      <c r="Y2320">
        <v>-3.7021150000000003E-2</v>
      </c>
      <c r="Z2320">
        <v>-2.6959280000000002E-3</v>
      </c>
      <c r="AA2320">
        <v>0.9993109</v>
      </c>
      <c r="AB2320">
        <v>22</v>
      </c>
      <c r="AC2320">
        <v>-16.0078</v>
      </c>
      <c r="AD2320">
        <v>-1.1103001420129901</v>
      </c>
      <c r="AE2320">
        <v>-0.26789999999999697</v>
      </c>
      <c r="AF2320">
        <v>-0.598959718621212</v>
      </c>
      <c r="AG2320">
        <v>-1.1103001420129901</v>
      </c>
      <c r="AH2320">
        <v>15.922148696725699</v>
      </c>
      <c r="AI2320">
        <v>93.986142340149598</v>
      </c>
      <c r="AJ2320">
        <v>92.154337988294003</v>
      </c>
      <c r="AK2320">
        <v>15.9720486560281</v>
      </c>
      <c r="AL2320">
        <v>79.782507879317507</v>
      </c>
      <c r="AM2320">
        <v>92.280562483619306</v>
      </c>
      <c r="AN2320">
        <v>0.99999998783466804</v>
      </c>
    </row>
    <row r="2321" spans="1:40" x14ac:dyDescent="0.25">
      <c r="A2321" t="str">
        <f>"20190312172128786"</f>
        <v>20190312172128786</v>
      </c>
      <c r="B2321" t="str">
        <f>"1552382488783273"</f>
        <v>1552382488783273</v>
      </c>
      <c r="C2321" t="s">
        <v>40</v>
      </c>
      <c r="D2321">
        <v>3.2610299999999999</v>
      </c>
      <c r="E2321">
        <v>0.50071160000000003</v>
      </c>
      <c r="F2321" t="s">
        <v>46</v>
      </c>
      <c r="G2321">
        <v>-260.21710000000002</v>
      </c>
      <c r="H2321" s="1">
        <v>-1.4212770000000001E-6</v>
      </c>
      <c r="I2321">
        <v>281.43889999999999</v>
      </c>
      <c r="J2321">
        <v>-242.47110000000001</v>
      </c>
      <c r="K2321">
        <v>1.1103050000000001</v>
      </c>
      <c r="L2321">
        <v>281.69600000000003</v>
      </c>
      <c r="M2321">
        <v>-0.99972360000000005</v>
      </c>
      <c r="N2321">
        <v>0</v>
      </c>
      <c r="O2321">
        <v>2.083602E-2</v>
      </c>
      <c r="P2321">
        <v>-0.98580590000000001</v>
      </c>
      <c r="Q2321">
        <v>0.16696920000000001</v>
      </c>
      <c r="R2321">
        <v>-1.7551089999999998E-2</v>
      </c>
      <c r="S2321">
        <v>-3.0744020000000001</v>
      </c>
      <c r="T2321">
        <v>-0.18999479999999999</v>
      </c>
      <c r="U2321">
        <v>-4.3212889999999997E-2</v>
      </c>
      <c r="V2321">
        <v>-3.8088599999999903E-2</v>
      </c>
      <c r="W2321">
        <v>0.1776963</v>
      </c>
      <c r="X2321">
        <v>0.983348</v>
      </c>
      <c r="Y2321">
        <v>-3.478038E-2</v>
      </c>
      <c r="Z2321">
        <v>-2.3600259999999999E-3</v>
      </c>
      <c r="AA2321">
        <v>0.99939219999999895</v>
      </c>
      <c r="AB2321">
        <v>22</v>
      </c>
      <c r="AC2321">
        <v>-17.745999999999999</v>
      </c>
      <c r="AD2321">
        <v>-1.110306421277</v>
      </c>
      <c r="AE2321">
        <v>-0.25709999999997901</v>
      </c>
      <c r="AF2321">
        <v>-0.62437845098450795</v>
      </c>
      <c r="AG2321">
        <v>-1.110306421277</v>
      </c>
      <c r="AH2321">
        <v>17.667642924193</v>
      </c>
      <c r="AI2321">
        <v>93.593732886743993</v>
      </c>
      <c r="AJ2321">
        <v>92.024003324574593</v>
      </c>
      <c r="AK2321">
        <v>17.713504320037</v>
      </c>
      <c r="AL2321">
        <v>79.764395572237305</v>
      </c>
      <c r="AM2321">
        <v>92.218162480769607</v>
      </c>
      <c r="AN2321">
        <v>1.0000000027938201</v>
      </c>
    </row>
    <row r="2322" spans="1:40" x14ac:dyDescent="0.25">
      <c r="A2322" t="str">
        <f>"20190312172128806"</f>
        <v>20190312172128806</v>
      </c>
      <c r="B2322" t="str">
        <f>"1552382488802792"</f>
        <v>1552382488802792</v>
      </c>
      <c r="C2322" t="s">
        <v>40</v>
      </c>
      <c r="D2322">
        <v>3.2295449999999999</v>
      </c>
      <c r="E2322">
        <v>0.50081520000000002</v>
      </c>
      <c r="F2322" t="s">
        <v>46</v>
      </c>
      <c r="G2322">
        <v>-261.815</v>
      </c>
      <c r="H2322" s="1">
        <v>-5.7094119999999996E-7</v>
      </c>
      <c r="I2322">
        <v>281.45479999999998</v>
      </c>
      <c r="J2322">
        <v>-242.66589999999999</v>
      </c>
      <c r="K2322">
        <v>1.1103069999999999</v>
      </c>
      <c r="L2322">
        <v>281.7</v>
      </c>
      <c r="M2322">
        <v>-0.9997241</v>
      </c>
      <c r="N2322">
        <v>0</v>
      </c>
      <c r="O2322">
        <v>2.0811739999999999E-2</v>
      </c>
      <c r="P2322">
        <v>-0.98567360000000004</v>
      </c>
      <c r="Q2322">
        <v>0.1678576</v>
      </c>
      <c r="R2322">
        <v>-1.647067E-2</v>
      </c>
      <c r="S2322">
        <v>-3.0723720000000001</v>
      </c>
      <c r="T2322">
        <v>-0.17634859999999999</v>
      </c>
      <c r="U2322">
        <v>-3.8299560000000003E-2</v>
      </c>
      <c r="V2322">
        <v>-3.6981600000000003E-2</v>
      </c>
      <c r="W2322">
        <v>0.17857790000000001</v>
      </c>
      <c r="X2322">
        <v>0.98323050000000001</v>
      </c>
      <c r="Y2322">
        <v>-3.3184619999999998E-2</v>
      </c>
      <c r="Z2322">
        <v>-2.1451199999999999E-3</v>
      </c>
      <c r="AA2322">
        <v>0.99944690000000003</v>
      </c>
      <c r="AB2322">
        <v>22</v>
      </c>
      <c r="AC2322">
        <v>-19.149100000000001</v>
      </c>
      <c r="AD2322">
        <v>-1.1103075709412</v>
      </c>
      <c r="AE2322">
        <v>-0.24520000000001099</v>
      </c>
      <c r="AF2322">
        <v>-0.64154014515240598</v>
      </c>
      <c r="AG2322">
        <v>-1.1103075709412</v>
      </c>
      <c r="AH2322">
        <v>19.075727781402801</v>
      </c>
      <c r="AI2322">
        <v>93.329278904484397</v>
      </c>
      <c r="AJ2322">
        <v>91.926201411621193</v>
      </c>
      <c r="AK2322">
        <v>19.118779957155098</v>
      </c>
      <c r="AL2322">
        <v>79.713062136223002</v>
      </c>
      <c r="AM2322">
        <v>92.154012978225694</v>
      </c>
      <c r="AN2322">
        <v>0.99999996061860896</v>
      </c>
    </row>
    <row r="2323" spans="1:40" x14ac:dyDescent="0.25">
      <c r="A2323" t="str">
        <f>"20190312172128830"</f>
        <v>20190312172128830</v>
      </c>
      <c r="B2323" t="str">
        <f>"1552382488823289"</f>
        <v>1552382488823289</v>
      </c>
      <c r="C2323" t="s">
        <v>40</v>
      </c>
      <c r="D2323">
        <v>3.2563770000000001</v>
      </c>
      <c r="E2323">
        <v>0.50083299999999997</v>
      </c>
      <c r="F2323" t="s">
        <v>46</v>
      </c>
      <c r="G2323">
        <v>-262.89359999999999</v>
      </c>
      <c r="H2323" s="1">
        <v>3.01111E-9</v>
      </c>
      <c r="I2323">
        <v>281.46550000000002</v>
      </c>
      <c r="J2323">
        <v>-242.8913</v>
      </c>
      <c r="K2323">
        <v>1.110309</v>
      </c>
      <c r="L2323">
        <v>281.7047</v>
      </c>
      <c r="M2323">
        <v>-0.99972490000000003</v>
      </c>
      <c r="N2323">
        <v>0</v>
      </c>
      <c r="O2323">
        <v>2.0783579999999999E-2</v>
      </c>
      <c r="P2323">
        <v>-0.98553590000000002</v>
      </c>
      <c r="Q2323">
        <v>0.1688105</v>
      </c>
      <c r="R2323">
        <v>-1.490912E-2</v>
      </c>
      <c r="S2323">
        <v>-3.071701</v>
      </c>
      <c r="T2323">
        <v>-0.16860720000000001</v>
      </c>
      <c r="U2323">
        <v>-3.5614010000000001E-2</v>
      </c>
      <c r="V2323">
        <v>-3.5389740000000003E-2</v>
      </c>
      <c r="W2323">
        <v>0.17952370000000001</v>
      </c>
      <c r="X2323">
        <v>0.98311689999999996</v>
      </c>
      <c r="Y2323">
        <v>-3.2294469999999999E-2</v>
      </c>
      <c r="Z2323">
        <v>-2.0255989999999999E-3</v>
      </c>
      <c r="AA2323">
        <v>0.99947640000000004</v>
      </c>
      <c r="AB2323">
        <v>22</v>
      </c>
      <c r="AC2323">
        <v>-20.002299999999899</v>
      </c>
      <c r="AD2323">
        <v>-1.11030899698889</v>
      </c>
      <c r="AE2323">
        <v>-0.23919999999998201</v>
      </c>
      <c r="AF2323">
        <v>-0.652880887035311</v>
      </c>
      <c r="AG2323">
        <v>-1.11030899698889</v>
      </c>
      <c r="AH2323">
        <v>19.931601633495301</v>
      </c>
      <c r="AI2323">
        <v>93.186715429174598</v>
      </c>
      <c r="AJ2323">
        <v>91.876113610636907</v>
      </c>
      <c r="AK2323">
        <v>19.973176592565402</v>
      </c>
      <c r="AL2323">
        <v>79.657982250917598</v>
      </c>
      <c r="AM2323">
        <v>92.061614019278295</v>
      </c>
      <c r="AN2323">
        <v>1.0000000158122799</v>
      </c>
    </row>
    <row r="2324" spans="1:40" x14ac:dyDescent="0.25">
      <c r="A2324" t="str">
        <f>"20190312172128841"</f>
        <v>20190312172128841</v>
      </c>
      <c r="B2324" t="str">
        <f>"1552382488833048"</f>
        <v>1552382488833048</v>
      </c>
      <c r="C2324" t="s">
        <v>40</v>
      </c>
      <c r="D2324">
        <v>3.2236509999999998</v>
      </c>
      <c r="E2324">
        <v>0.50082839999999995</v>
      </c>
      <c r="F2324" t="s">
        <v>46</v>
      </c>
      <c r="G2324">
        <v>-263.94490000000002</v>
      </c>
      <c r="H2324" s="1">
        <v>5.6248959999999998E-7</v>
      </c>
      <c r="I2324">
        <v>281.4821</v>
      </c>
      <c r="J2324">
        <v>-243.0129</v>
      </c>
      <c r="K2324">
        <v>1.1103099999999999</v>
      </c>
      <c r="L2324">
        <v>281.70729999999998</v>
      </c>
      <c r="M2324">
        <v>-0.99972519999999998</v>
      </c>
      <c r="N2324">
        <v>0</v>
      </c>
      <c r="O2324">
        <v>2.076822E-2</v>
      </c>
      <c r="P2324">
        <v>-0.98548329999999995</v>
      </c>
      <c r="Q2324">
        <v>0.169186</v>
      </c>
      <c r="R2324">
        <v>-1.411605E-2</v>
      </c>
      <c r="S2324">
        <v>-3.0712890000000002</v>
      </c>
      <c r="T2324">
        <v>-0.16197120000000001</v>
      </c>
      <c r="U2324">
        <v>-3.2470699999999998E-2</v>
      </c>
      <c r="V2324">
        <v>-3.4581029999999999E-2</v>
      </c>
      <c r="W2324">
        <v>0.1798961</v>
      </c>
      <c r="X2324">
        <v>0.9830776</v>
      </c>
      <c r="Y2324">
        <v>-3.1265460000000002E-2</v>
      </c>
      <c r="Z2324">
        <v>-1.9183340000000001E-3</v>
      </c>
      <c r="AA2324">
        <v>0.99950930000000004</v>
      </c>
      <c r="AB2324">
        <v>22</v>
      </c>
      <c r="AC2324">
        <v>-20.931999999999999</v>
      </c>
      <c r="AD2324">
        <v>-1.1103094375103999</v>
      </c>
      <c r="AE2324">
        <v>-0.22519999999997201</v>
      </c>
      <c r="AF2324">
        <v>-0.65804621630556004</v>
      </c>
      <c r="AG2324">
        <v>-1.1103094375103999</v>
      </c>
      <c r="AH2324">
        <v>20.864110473204601</v>
      </c>
      <c r="AI2324">
        <v>93.044681230935296</v>
      </c>
      <c r="AJ2324">
        <v>91.806488547563504</v>
      </c>
      <c r="AK2324">
        <v>20.9039928651897</v>
      </c>
      <c r="AL2324">
        <v>79.636292130779594</v>
      </c>
      <c r="AM2324">
        <v>92.014622706633105</v>
      </c>
      <c r="AN2324">
        <v>1.00000001102641</v>
      </c>
    </row>
    <row r="2325" spans="1:40" x14ac:dyDescent="0.25">
      <c r="A2325" t="str">
        <f>"20190312172128853"</f>
        <v>20190312172128853</v>
      </c>
      <c r="B2325" t="str">
        <f>"1552382488842808"</f>
        <v>1552382488842808</v>
      </c>
      <c r="C2325" t="s">
        <v>40</v>
      </c>
      <c r="D2325">
        <v>3.2555320000000001</v>
      </c>
      <c r="E2325">
        <v>0.50086269999999999</v>
      </c>
      <c r="F2325" t="s">
        <v>46</v>
      </c>
      <c r="G2325">
        <v>-264.39089999999999</v>
      </c>
      <c r="H2325" s="1">
        <v>7.9983660000000005E-7</v>
      </c>
      <c r="I2325">
        <v>281.49059999999997</v>
      </c>
      <c r="J2325">
        <v>-243.1311</v>
      </c>
      <c r="K2325">
        <v>1.110312</v>
      </c>
      <c r="L2325">
        <v>281.7097</v>
      </c>
      <c r="M2325">
        <v>-0.99972559999999999</v>
      </c>
      <c r="N2325">
        <v>0</v>
      </c>
      <c r="O2325">
        <v>2.0753750000000001E-2</v>
      </c>
      <c r="P2325">
        <v>-0.98548950000000002</v>
      </c>
      <c r="Q2325">
        <v>0.1691993</v>
      </c>
      <c r="R2325">
        <v>-1.351341E-2</v>
      </c>
      <c r="S2325">
        <v>-3.0711520000000001</v>
      </c>
      <c r="T2325">
        <v>-0.15950619999999999</v>
      </c>
      <c r="U2325">
        <v>-3.1127930000000002E-2</v>
      </c>
      <c r="V2325">
        <v>-3.3964050000000003E-2</v>
      </c>
      <c r="W2325">
        <v>0.1799074</v>
      </c>
      <c r="X2325">
        <v>0.983097</v>
      </c>
      <c r="Y2325">
        <v>-3.0817290000000001E-2</v>
      </c>
      <c r="Z2325">
        <v>-1.876885E-3</v>
      </c>
      <c r="AA2325">
        <v>0.9995233</v>
      </c>
      <c r="AB2325">
        <v>22</v>
      </c>
      <c r="AC2325">
        <v>-21.259799999999899</v>
      </c>
      <c r="AD2325">
        <v>-1.1103112001633999</v>
      </c>
      <c r="AE2325">
        <v>-0.219100000000025</v>
      </c>
      <c r="AF2325">
        <v>-0.65850351042029498</v>
      </c>
      <c r="AG2325">
        <v>-1.1103112001633999</v>
      </c>
      <c r="AH2325">
        <v>21.192874790583801</v>
      </c>
      <c r="AI2325">
        <v>92.9975845286517</v>
      </c>
      <c r="AJ2325">
        <v>91.779717814791795</v>
      </c>
      <c r="AK2325">
        <v>21.2321539115514</v>
      </c>
      <c r="AL2325">
        <v>79.635633523615297</v>
      </c>
      <c r="AM2325">
        <v>91.978668482765499</v>
      </c>
      <c r="AN2325">
        <v>0.99999997033807997</v>
      </c>
    </row>
    <row r="2326" spans="1:40" x14ac:dyDescent="0.25">
      <c r="A2326" t="str">
        <f>"20190312172128874"</f>
        <v>20190312172128874</v>
      </c>
      <c r="B2326" t="str">
        <f>"1552382488863304"</f>
        <v>1552382488863304</v>
      </c>
      <c r="C2326" t="s">
        <v>40</v>
      </c>
      <c r="D2326">
        <v>3.2410009999999998</v>
      </c>
      <c r="E2326">
        <v>0.50098370000000003</v>
      </c>
      <c r="F2326" t="s">
        <v>46</v>
      </c>
      <c r="G2326">
        <v>-264.6422</v>
      </c>
      <c r="H2326" s="1">
        <v>9.335506E-7</v>
      </c>
      <c r="I2326">
        <v>281.50110000000001</v>
      </c>
      <c r="J2326">
        <v>-243.31909999999999</v>
      </c>
      <c r="K2326">
        <v>1.1103019999999999</v>
      </c>
      <c r="L2326">
        <v>281.71359999999999</v>
      </c>
      <c r="M2326">
        <v>-0.99972589999999995</v>
      </c>
      <c r="N2326">
        <v>0</v>
      </c>
      <c r="O2326">
        <v>2.0730700000000001E-2</v>
      </c>
      <c r="P2326">
        <v>-0.98548259999999999</v>
      </c>
      <c r="Q2326">
        <v>0.16936470000000001</v>
      </c>
      <c r="R2326">
        <v>-1.183002E-2</v>
      </c>
      <c r="S2326">
        <v>-3.0709840000000002</v>
      </c>
      <c r="T2326">
        <v>-0.15851119999999999</v>
      </c>
      <c r="U2326">
        <v>-2.9785160000000001E-2</v>
      </c>
      <c r="V2326">
        <v>-3.2258080000000001E-2</v>
      </c>
      <c r="W2326">
        <v>0.1800697</v>
      </c>
      <c r="X2326">
        <v>0.98312480000000002</v>
      </c>
      <c r="Y2326">
        <v>-3.035931E-2</v>
      </c>
      <c r="Z2326">
        <v>-1.8522969999999999E-3</v>
      </c>
      <c r="AA2326">
        <v>0.99953729999999996</v>
      </c>
      <c r="AB2326">
        <v>22</v>
      </c>
      <c r="AC2326">
        <v>-21.3231</v>
      </c>
      <c r="AD2326">
        <v>-1.1103010664494</v>
      </c>
      <c r="AE2326">
        <v>-0.21249999999997701</v>
      </c>
      <c r="AF2326">
        <v>-0.65275363129669495</v>
      </c>
      <c r="AG2326">
        <v>-1.1103010664494</v>
      </c>
      <c r="AH2326">
        <v>21.256484088748699</v>
      </c>
      <c r="AI2326">
        <v>92.988636882222195</v>
      </c>
      <c r="AJ2326">
        <v>91.758911701554297</v>
      </c>
      <c r="AK2326">
        <v>21.295468334285498</v>
      </c>
      <c r="AL2326">
        <v>79.626180619368895</v>
      </c>
      <c r="AM2326">
        <v>91.879302590248997</v>
      </c>
      <c r="AN2326">
        <v>1.0000000264791999</v>
      </c>
    </row>
    <row r="2327" spans="1:40" x14ac:dyDescent="0.25">
      <c r="A2327" t="str">
        <f>"20190312172128886"</f>
        <v>20190312172128886</v>
      </c>
      <c r="B2327" t="str">
        <f>"1552382488882824"</f>
        <v>1552382488882824</v>
      </c>
      <c r="C2327" t="s">
        <v>40</v>
      </c>
      <c r="D2327">
        <v>3.2326419999999998</v>
      </c>
      <c r="E2327">
        <v>0.50102659999999999</v>
      </c>
      <c r="F2327" t="s">
        <v>46</v>
      </c>
      <c r="G2327">
        <v>-264.99099999999999</v>
      </c>
      <c r="H2327" s="1">
        <v>1.119192E-6</v>
      </c>
      <c r="I2327">
        <v>281.53550000000001</v>
      </c>
      <c r="J2327">
        <v>-243.44319999999999</v>
      </c>
      <c r="K2327">
        <v>1.1102989999999999</v>
      </c>
      <c r="L2327">
        <v>281.71620000000001</v>
      </c>
      <c r="M2327">
        <v>-0.99972640000000002</v>
      </c>
      <c r="N2327">
        <v>0</v>
      </c>
      <c r="O2327">
        <v>2.0715399999999998E-2</v>
      </c>
      <c r="P2327">
        <v>-0.98558159999999895</v>
      </c>
      <c r="Q2327">
        <v>0.16882320000000001</v>
      </c>
      <c r="R2327">
        <v>-1.129873E-2</v>
      </c>
      <c r="S2327">
        <v>-3.0709230000000001</v>
      </c>
      <c r="T2327">
        <v>-0.15733039999999901</v>
      </c>
      <c r="U2327">
        <v>-2.523804E-2</v>
      </c>
      <c r="V2327">
        <v>-3.1714199999999998E-2</v>
      </c>
      <c r="W2327">
        <v>0.179527399999999</v>
      </c>
      <c r="X2327">
        <v>0.98324160000000005</v>
      </c>
      <c r="Y2327">
        <v>-2.8867239999999999E-2</v>
      </c>
      <c r="Z2327">
        <v>-1.79958299999999E-3</v>
      </c>
      <c r="AA2327">
        <v>0.99958159999999896</v>
      </c>
      <c r="AB2327">
        <v>22</v>
      </c>
      <c r="AC2327">
        <v>-21.547799999999899</v>
      </c>
      <c r="AD2327">
        <v>-1.110297880808</v>
      </c>
      <c r="AE2327">
        <v>-0.180700000000001</v>
      </c>
      <c r="AF2327">
        <v>-0.62539850409301601</v>
      </c>
      <c r="AG2327">
        <v>-1.110297880808</v>
      </c>
      <c r="AH2327">
        <v>21.482399192854999</v>
      </c>
      <c r="AI2327">
        <v>92.957395953993299</v>
      </c>
      <c r="AJ2327">
        <v>91.667531484218998</v>
      </c>
      <c r="AK2327">
        <v>21.5201617037192</v>
      </c>
      <c r="AL2327">
        <v>79.657766181299294</v>
      </c>
      <c r="AM2327">
        <v>91.847419857196797</v>
      </c>
      <c r="AN2327">
        <v>0.99999996090147902</v>
      </c>
    </row>
    <row r="2328" spans="1:40" x14ac:dyDescent="0.25">
      <c r="A2328" t="str">
        <f>"20190312172128898"</f>
        <v>20190312172128898</v>
      </c>
      <c r="B2328" t="str">
        <f>"1552382488893560"</f>
        <v>1552382488893560</v>
      </c>
      <c r="C2328" t="s">
        <v>40</v>
      </c>
      <c r="D2328">
        <v>3.2588439999999999</v>
      </c>
      <c r="E2328">
        <v>0.50106660000000003</v>
      </c>
      <c r="F2328" t="s">
        <v>46</v>
      </c>
      <c r="G2328">
        <v>-264.94159999999999</v>
      </c>
      <c r="H2328" s="1">
        <v>1.092887E-6</v>
      </c>
      <c r="I2328">
        <v>281.55</v>
      </c>
      <c r="J2328">
        <v>-243.56209999999999</v>
      </c>
      <c r="K2328">
        <v>1.11029</v>
      </c>
      <c r="L2328">
        <v>281.71859999999998</v>
      </c>
      <c r="M2328">
        <v>-0.99972669999999997</v>
      </c>
      <c r="N2328">
        <v>0</v>
      </c>
      <c r="O2328">
        <v>2.0700860000000001E-2</v>
      </c>
      <c r="P2328">
        <v>-0.98565239999999998</v>
      </c>
      <c r="Q2328">
        <v>0.1684736</v>
      </c>
      <c r="R2328">
        <v>-1.0307459999999999E-2</v>
      </c>
      <c r="S2328">
        <v>-3.07077</v>
      </c>
      <c r="T2328">
        <v>-0.15859179999999901</v>
      </c>
      <c r="U2328">
        <v>-2.3742679999999999E-2</v>
      </c>
      <c r="V2328">
        <v>-3.0710029999999999E-2</v>
      </c>
      <c r="W2328">
        <v>0.17917659999999999</v>
      </c>
      <c r="X2328">
        <v>0.98333749999999998</v>
      </c>
      <c r="Y2328">
        <v>-2.8366019999999999E-2</v>
      </c>
      <c r="Z2328">
        <v>-1.8003989999999901E-3</v>
      </c>
      <c r="AA2328">
        <v>0.99959600000000004</v>
      </c>
      <c r="AB2328">
        <v>22</v>
      </c>
      <c r="AC2328">
        <v>-21.3795</v>
      </c>
      <c r="AD2328">
        <v>-1.110288907113</v>
      </c>
      <c r="AE2328">
        <v>-0.168599999999969</v>
      </c>
      <c r="AF2328">
        <v>-0.60952025899296003</v>
      </c>
      <c r="AG2328">
        <v>-1.110288907113</v>
      </c>
      <c r="AH2328">
        <v>21.313948156227202</v>
      </c>
      <c r="AI2328">
        <v>92.980747347744696</v>
      </c>
      <c r="AJ2328">
        <v>91.638055172020003</v>
      </c>
      <c r="AK2328">
        <v>21.351548946381399</v>
      </c>
      <c r="AL2328">
        <v>79.678197227179496</v>
      </c>
      <c r="AM2328">
        <v>91.788789086580906</v>
      </c>
      <c r="AN2328">
        <v>0.99999999941820505</v>
      </c>
    </row>
    <row r="2329" spans="1:40" x14ac:dyDescent="0.25">
      <c r="A2329" t="str">
        <f>"20190312172128917"</f>
        <v>20190312172128917</v>
      </c>
      <c r="B2329" t="str">
        <f>"1552382488913080"</f>
        <v>1552382488913080</v>
      </c>
      <c r="C2329" t="s">
        <v>40</v>
      </c>
      <c r="D2329">
        <v>3.1929210000000001</v>
      </c>
      <c r="E2329">
        <v>0.50101609999999996</v>
      </c>
      <c r="F2329" t="s">
        <v>46</v>
      </c>
      <c r="G2329">
        <v>-264.93290000000002</v>
      </c>
      <c r="H2329" s="1">
        <v>1.0882349999999999E-6</v>
      </c>
      <c r="I2329">
        <v>281.57139999999998</v>
      </c>
      <c r="J2329">
        <v>-243.74879999999999</v>
      </c>
      <c r="K2329">
        <v>1.1102810000000001</v>
      </c>
      <c r="L2329">
        <v>281.72250000000003</v>
      </c>
      <c r="M2329">
        <v>-0.99972709999999998</v>
      </c>
      <c r="N2329">
        <v>0</v>
      </c>
      <c r="O2329">
        <v>2.06784E-2</v>
      </c>
      <c r="P2329">
        <v>-0.98589680000000002</v>
      </c>
      <c r="Q2329">
        <v>0.1671443</v>
      </c>
      <c r="R2329">
        <v>-8.3809090000000006E-3</v>
      </c>
      <c r="S2329">
        <v>-3.0707239999999998</v>
      </c>
      <c r="T2329">
        <v>-0.1595356</v>
      </c>
      <c r="U2329">
        <v>-2.114868E-2</v>
      </c>
      <c r="V2329">
        <v>-2.8766900000000001E-2</v>
      </c>
      <c r="W2329">
        <v>0.17784829999999999</v>
      </c>
      <c r="X2329">
        <v>0.98363730000000005</v>
      </c>
      <c r="Y2329">
        <v>-2.7499719999999998E-2</v>
      </c>
      <c r="Z2329">
        <v>-1.787475E-3</v>
      </c>
      <c r="AA2329">
        <v>0.99962019999999996</v>
      </c>
      <c r="AB2329">
        <v>22</v>
      </c>
      <c r="AC2329">
        <v>-21.184100000000001</v>
      </c>
      <c r="AD2329">
        <v>-1.110279911765</v>
      </c>
      <c r="AE2329">
        <v>-0.15110000000004201</v>
      </c>
      <c r="AF2329">
        <v>-0.58753303690806702</v>
      </c>
      <c r="AG2329">
        <v>-1.110279911765</v>
      </c>
      <c r="AH2329">
        <v>21.118437606279201</v>
      </c>
      <c r="AI2329">
        <v>93.008333478868096</v>
      </c>
      <c r="AJ2329">
        <v>91.593606634197698</v>
      </c>
      <c r="AK2329">
        <v>21.155763363259599</v>
      </c>
      <c r="AL2329">
        <v>79.755545052174895</v>
      </c>
      <c r="AM2329">
        <v>91.675162476153602</v>
      </c>
      <c r="AN2329">
        <v>0.99999994514989299</v>
      </c>
    </row>
    <row r="2330" spans="1:40" x14ac:dyDescent="0.25">
      <c r="A2330" t="str">
        <f>"20190312172128929"</f>
        <v>20190312172128929</v>
      </c>
      <c r="B2330" t="str">
        <f>"1552382488922840"</f>
        <v>1552382488922840</v>
      </c>
      <c r="C2330" t="s">
        <v>40</v>
      </c>
      <c r="D2330">
        <v>3.2535189999999998</v>
      </c>
      <c r="E2330">
        <v>0.50092669999999995</v>
      </c>
      <c r="F2330" t="s">
        <v>46</v>
      </c>
      <c r="G2330">
        <v>-264.66680000000002</v>
      </c>
      <c r="H2330" s="1">
        <v>9.4664070000000001E-7</v>
      </c>
      <c r="I2330">
        <v>281.60289999999998</v>
      </c>
      <c r="J2330">
        <v>-243.86689999999999</v>
      </c>
      <c r="K2330">
        <v>1.1102780000000001</v>
      </c>
      <c r="L2330">
        <v>281.72489999999999</v>
      </c>
      <c r="M2330">
        <v>-0.99972749999999999</v>
      </c>
      <c r="N2330">
        <v>0</v>
      </c>
      <c r="O2330">
        <v>2.0663859999999999E-2</v>
      </c>
      <c r="P2330">
        <v>-0.98604029999999998</v>
      </c>
      <c r="Q2330">
        <v>0.16633729999999999</v>
      </c>
      <c r="R2330">
        <v>-7.5350159999999899E-3</v>
      </c>
      <c r="S2330">
        <v>-3.0703740000000002</v>
      </c>
      <c r="T2330">
        <v>-0.16296849999999999</v>
      </c>
      <c r="U2330">
        <v>-1.7547610000000002E-2</v>
      </c>
      <c r="V2330">
        <v>-2.7909860000000002E-2</v>
      </c>
      <c r="W2330">
        <v>0.17704210000000001</v>
      </c>
      <c r="X2330">
        <v>0.9838074</v>
      </c>
      <c r="Y2330">
        <v>-2.6312450000000001E-2</v>
      </c>
      <c r="Z2330">
        <v>-1.7938400000000001E-3</v>
      </c>
      <c r="AA2330">
        <v>0.99965210000000004</v>
      </c>
      <c r="AB2330">
        <v>22</v>
      </c>
      <c r="AC2330">
        <v>-20.799900000000001</v>
      </c>
      <c r="AD2330">
        <v>-1.1102770533593</v>
      </c>
      <c r="AE2330">
        <v>-0.122000000000014</v>
      </c>
      <c r="AF2330">
        <v>-0.55023776899770904</v>
      </c>
      <c r="AG2330">
        <v>-1.1102770533593</v>
      </c>
      <c r="AH2330">
        <v>20.733861894578101</v>
      </c>
      <c r="AI2330">
        <v>93.064125947075098</v>
      </c>
      <c r="AJ2330">
        <v>91.520165618363905</v>
      </c>
      <c r="AK2330">
        <v>20.770857127260999</v>
      </c>
      <c r="AL2330">
        <v>79.802481640768207</v>
      </c>
      <c r="AM2330">
        <v>91.625001392459296</v>
      </c>
      <c r="AN2330">
        <v>0.99999993287619204</v>
      </c>
    </row>
    <row r="2331" spans="1:40" x14ac:dyDescent="0.25">
      <c r="A2331" t="str">
        <f>"20190312172128941"</f>
        <v>20190312172128941</v>
      </c>
      <c r="B2331" t="str">
        <f>"1552382488933576"</f>
        <v>1552382488933576</v>
      </c>
      <c r="C2331" t="s">
        <v>40</v>
      </c>
      <c r="D2331">
        <v>3.256275</v>
      </c>
      <c r="E2331">
        <v>0.5008203</v>
      </c>
      <c r="F2331" t="s">
        <v>46</v>
      </c>
      <c r="G2331">
        <v>-264.53160000000003</v>
      </c>
      <c r="H2331" s="1">
        <v>8.7470249999999897E-7</v>
      </c>
      <c r="I2331">
        <v>281.61500000000001</v>
      </c>
      <c r="J2331">
        <v>-243.97919999999999</v>
      </c>
      <c r="K2331">
        <v>1.1102749999999999</v>
      </c>
      <c r="L2331">
        <v>281.72730000000001</v>
      </c>
      <c r="M2331">
        <v>-0.99972780000000006</v>
      </c>
      <c r="N2331">
        <v>0</v>
      </c>
      <c r="O2331">
        <v>2.0650160000000001E-2</v>
      </c>
      <c r="P2331">
        <v>-0.98623620000000001</v>
      </c>
      <c r="Q2331">
        <v>0.16520989999999999</v>
      </c>
      <c r="R2331">
        <v>-6.6240319999999898E-3</v>
      </c>
      <c r="S2331">
        <v>-3.07016</v>
      </c>
      <c r="T2331">
        <v>-0.16495379999999901</v>
      </c>
      <c r="U2331">
        <v>-1.6326899999999998E-2</v>
      </c>
      <c r="V2331">
        <v>-2.6989820000000001E-2</v>
      </c>
      <c r="W2331">
        <v>0.17591570000000001</v>
      </c>
      <c r="X2331">
        <v>0.9840352</v>
      </c>
      <c r="Y2331">
        <v>-2.5900670000000001E-2</v>
      </c>
      <c r="Z2331">
        <v>-1.803998E-3</v>
      </c>
      <c r="AA2331">
        <v>0.99966290000000002</v>
      </c>
      <c r="AB2331">
        <v>22</v>
      </c>
      <c r="AC2331">
        <v>-20.552399999999999</v>
      </c>
      <c r="AD2331">
        <v>-1.1102741252974999</v>
      </c>
      <c r="AE2331">
        <v>-0.11230000000000399</v>
      </c>
      <c r="AF2331">
        <v>-0.53514971926433696</v>
      </c>
      <c r="AG2331">
        <v>-1.1102741252974999</v>
      </c>
      <c r="AH2331">
        <v>20.4859147898087</v>
      </c>
      <c r="AI2331">
        <v>93.101165676637606</v>
      </c>
      <c r="AJ2331">
        <v>91.496386611696707</v>
      </c>
      <c r="AK2331">
        <v>20.522957843123798</v>
      </c>
      <c r="AL2331">
        <v>79.868049716327803</v>
      </c>
      <c r="AM2331">
        <v>91.571097431792595</v>
      </c>
      <c r="AN2331">
        <v>1.0000000293645801</v>
      </c>
    </row>
    <row r="2332" spans="1:40" x14ac:dyDescent="0.25">
      <c r="A2332" t="str">
        <f>"20190312172128954"</f>
        <v>20190312172128954</v>
      </c>
      <c r="B2332" t="str">
        <f>"1552382488943336"</f>
        <v>1552382488943336</v>
      </c>
      <c r="C2332" t="s">
        <v>40</v>
      </c>
      <c r="D2332">
        <v>3.2267890000000001</v>
      </c>
      <c r="E2332">
        <v>0.50068299999999999</v>
      </c>
      <c r="F2332" t="s">
        <v>46</v>
      </c>
      <c r="G2332">
        <v>-264.28160000000003</v>
      </c>
      <c r="H2332" s="1">
        <v>7.4169279999999996E-7</v>
      </c>
      <c r="I2332">
        <v>281.62729999999999</v>
      </c>
      <c r="J2332">
        <v>-244.1086</v>
      </c>
      <c r="K2332">
        <v>1.1102700000000001</v>
      </c>
      <c r="L2332">
        <v>281.72989999999999</v>
      </c>
      <c r="M2332">
        <v>-0.99972810000000001</v>
      </c>
      <c r="N2332">
        <v>0</v>
      </c>
      <c r="O2332">
        <v>2.0634670000000001E-2</v>
      </c>
      <c r="P2332">
        <v>-0.98643440000000004</v>
      </c>
      <c r="Q2332">
        <v>0.1640433</v>
      </c>
      <c r="R2332">
        <v>-6.1068099999999998E-3</v>
      </c>
      <c r="S2332">
        <v>-3.0698699999999999</v>
      </c>
      <c r="T2332">
        <v>-0.16788129999999901</v>
      </c>
      <c r="U2332">
        <v>-1.51062E-2</v>
      </c>
      <c r="V2332">
        <v>-2.6461419999999999E-2</v>
      </c>
      <c r="W2332">
        <v>0.1747505</v>
      </c>
      <c r="X2332">
        <v>0.9842571</v>
      </c>
      <c r="Y2332">
        <v>-2.5486410000000001E-2</v>
      </c>
      <c r="Z2332">
        <v>-1.823975E-3</v>
      </c>
      <c r="AA2332">
        <v>0.99967349999999999</v>
      </c>
      <c r="AB2332">
        <v>22</v>
      </c>
      <c r="AC2332">
        <v>-20.172999999999998</v>
      </c>
      <c r="AD2332">
        <v>-1.1102692583072</v>
      </c>
      <c r="AE2332">
        <v>-0.102599999999995</v>
      </c>
      <c r="AF2332">
        <v>-0.51729898129719498</v>
      </c>
      <c r="AG2332">
        <v>-1.1102692583072</v>
      </c>
      <c r="AH2332">
        <v>20.105686222069199</v>
      </c>
      <c r="AI2332">
        <v>93.159713970085704</v>
      </c>
      <c r="AJ2332">
        <v>91.473837325560595</v>
      </c>
      <c r="AK2332">
        <v>20.1429619103621</v>
      </c>
      <c r="AL2332">
        <v>79.935860831800795</v>
      </c>
      <c r="AM2332">
        <v>91.540006738173005</v>
      </c>
      <c r="AN2332">
        <v>0.99999999144953799</v>
      </c>
    </row>
    <row r="2333" spans="1:40" x14ac:dyDescent="0.25">
      <c r="A2333" t="str">
        <f>"20190312172128968"</f>
        <v>20190312172128968</v>
      </c>
      <c r="B2333" t="str">
        <f>"1552382488962856"</f>
        <v>1552382488962856</v>
      </c>
      <c r="C2333" t="s">
        <v>40</v>
      </c>
      <c r="D2333">
        <v>3.2257639999999999</v>
      </c>
      <c r="E2333">
        <v>0.5003206</v>
      </c>
      <c r="F2333" t="s">
        <v>46</v>
      </c>
      <c r="G2333">
        <v>-264.06</v>
      </c>
      <c r="H2333" s="1">
        <v>6.2375130000000001E-7</v>
      </c>
      <c r="I2333">
        <v>281.63330000000002</v>
      </c>
      <c r="J2333">
        <v>-244.23699999999999</v>
      </c>
      <c r="K2333">
        <v>1.1102669999999999</v>
      </c>
      <c r="L2333">
        <v>281.73250000000002</v>
      </c>
      <c r="M2333">
        <v>-0.99972839999999996</v>
      </c>
      <c r="N2333">
        <v>0</v>
      </c>
      <c r="O2333">
        <v>2.0619169999999999E-2</v>
      </c>
      <c r="P2333">
        <v>-0.9866511</v>
      </c>
      <c r="Q2333">
        <v>0.1627565</v>
      </c>
      <c r="R2333">
        <v>-5.5222789999999997E-3</v>
      </c>
      <c r="S2333">
        <v>-3.0695649999999999</v>
      </c>
      <c r="T2333">
        <v>-0.17081679999999999</v>
      </c>
      <c r="U2333">
        <v>-1.486206E-2</v>
      </c>
      <c r="V2333">
        <v>-2.586664E-2</v>
      </c>
      <c r="W2333">
        <v>0.17346529999999999</v>
      </c>
      <c r="X2333">
        <v>0.98450020000000005</v>
      </c>
      <c r="Y2333">
        <v>-2.538963E-2</v>
      </c>
      <c r="Z2333">
        <v>-1.8524520000000001E-3</v>
      </c>
      <c r="AA2333">
        <v>0.99967589999999995</v>
      </c>
      <c r="AB2333">
        <v>22</v>
      </c>
      <c r="AC2333">
        <v>-19.823</v>
      </c>
      <c r="AD2333">
        <v>-1.1102663762486999</v>
      </c>
      <c r="AE2333">
        <v>-9.9199999999996097E-2</v>
      </c>
      <c r="AF2333">
        <v>-0.50634844795961298</v>
      </c>
      <c r="AG2333">
        <v>-1.1102663762486999</v>
      </c>
      <c r="AH2333">
        <v>19.754770317665901</v>
      </c>
      <c r="AI2333">
        <v>93.215724787171794</v>
      </c>
      <c r="AJ2333">
        <v>91.4682670399568</v>
      </c>
      <c r="AK2333">
        <v>19.7924235625836</v>
      </c>
      <c r="AL2333">
        <v>80.010639269184097</v>
      </c>
      <c r="AM2333">
        <v>91.505036175247895</v>
      </c>
      <c r="AN2333">
        <v>0.99999996858450901</v>
      </c>
    </row>
    <row r="2334" spans="1:40" x14ac:dyDescent="0.25">
      <c r="A2334" t="str">
        <f>"20190312172128987"</f>
        <v>20190312172128987</v>
      </c>
      <c r="B2334" t="str">
        <f>"1552382488973593"</f>
        <v>1552382488973593</v>
      </c>
      <c r="C2334" t="s">
        <v>40</v>
      </c>
      <c r="D2334">
        <v>3.217489</v>
      </c>
      <c r="E2334">
        <v>0.50017739999999999</v>
      </c>
      <c r="F2334" t="s">
        <v>46</v>
      </c>
      <c r="G2334">
        <v>-263.8997</v>
      </c>
      <c r="H2334" s="1">
        <v>5.3842630000000001E-7</v>
      </c>
      <c r="I2334">
        <v>281.62830000000002</v>
      </c>
      <c r="J2334">
        <v>-244.4211</v>
      </c>
      <c r="K2334">
        <v>1.1102559999999999</v>
      </c>
      <c r="L2334">
        <v>281.7364</v>
      </c>
      <c r="M2334">
        <v>-0.99972870000000003</v>
      </c>
      <c r="N2334">
        <v>0</v>
      </c>
      <c r="O2334">
        <v>2.0596659999999999E-2</v>
      </c>
      <c r="P2334">
        <v>-0.98701530000000004</v>
      </c>
      <c r="Q2334">
        <v>0.16056799999999999</v>
      </c>
      <c r="R2334">
        <v>-4.3432200000000001E-3</v>
      </c>
      <c r="S2334">
        <v>-3.0690919999999999</v>
      </c>
      <c r="T2334">
        <v>-0.1732987</v>
      </c>
      <c r="U2334">
        <v>-1.6265870000000002E-2</v>
      </c>
      <c r="V2334">
        <v>-2.4673009999999999E-2</v>
      </c>
      <c r="W2334">
        <v>0.1712784</v>
      </c>
      <c r="X2334">
        <v>0.9849137</v>
      </c>
      <c r="Y2334">
        <v>-2.5822339999999999E-2</v>
      </c>
      <c r="Z2334">
        <v>-1.8905510000000001E-3</v>
      </c>
      <c r="AA2334">
        <v>0.99966480000000002</v>
      </c>
      <c r="AB2334">
        <v>22</v>
      </c>
      <c r="AC2334">
        <v>-19.4786</v>
      </c>
      <c r="AD2334">
        <v>-1.1102554615736999</v>
      </c>
      <c r="AE2334">
        <v>-0.108099999999979</v>
      </c>
      <c r="AF2334">
        <v>-0.50764568411163002</v>
      </c>
      <c r="AG2334">
        <v>-1.1102554615736999</v>
      </c>
      <c r="AH2334">
        <v>19.4091851225492</v>
      </c>
      <c r="AI2334">
        <v>93.272781836470799</v>
      </c>
      <c r="AJ2334">
        <v>91.498224956538706</v>
      </c>
      <c r="AK2334">
        <v>19.447540678757701</v>
      </c>
      <c r="AL2334">
        <v>80.1378439726967</v>
      </c>
      <c r="AM2334">
        <v>91.435012771670102</v>
      </c>
      <c r="AN2334">
        <v>1.00000002208835</v>
      </c>
    </row>
    <row r="2335" spans="1:40" x14ac:dyDescent="0.25">
      <c r="A2335" t="str">
        <f>"20190312172129007"</f>
        <v>20190312172129007</v>
      </c>
      <c r="B2335" t="str">
        <f>"1552382489002874"</f>
        <v>1552382489002874</v>
      </c>
      <c r="C2335" t="s">
        <v>40</v>
      </c>
      <c r="D2335">
        <v>3.2028460000000001</v>
      </c>
      <c r="E2335">
        <v>0.49970290000000001</v>
      </c>
      <c r="F2335" t="s">
        <v>46</v>
      </c>
      <c r="G2335">
        <v>-263.42349999999999</v>
      </c>
      <c r="H2335" s="1">
        <v>2.8501240000000001E-7</v>
      </c>
      <c r="I2335">
        <v>281.649</v>
      </c>
      <c r="J2335">
        <v>-244.62010000000001</v>
      </c>
      <c r="K2335">
        <v>1.1102339999999999</v>
      </c>
      <c r="L2335">
        <v>281.74040000000002</v>
      </c>
      <c r="M2335">
        <v>-0.9997296</v>
      </c>
      <c r="N2335">
        <v>0</v>
      </c>
      <c r="O2335">
        <v>2.0572199999999999E-2</v>
      </c>
      <c r="P2335">
        <v>-0.98734949999999999</v>
      </c>
      <c r="Q2335">
        <v>0.15852579999999999</v>
      </c>
      <c r="R2335">
        <v>-3.3154259999999998E-3</v>
      </c>
      <c r="S2335">
        <v>-3.0685730000000002</v>
      </c>
      <c r="T2335">
        <v>-0.17928829999999901</v>
      </c>
      <c r="U2335">
        <v>-1.409912E-2</v>
      </c>
      <c r="V2335">
        <v>-2.3628059999999999E-2</v>
      </c>
      <c r="W2335">
        <v>0.16923299999999999</v>
      </c>
      <c r="X2335">
        <v>0.98529279999999997</v>
      </c>
      <c r="Y2335">
        <v>-2.5088989999999999E-2</v>
      </c>
      <c r="Z2335">
        <v>-1.933281E-3</v>
      </c>
      <c r="AA2335">
        <v>0.9996834</v>
      </c>
      <c r="AB2335">
        <v>22</v>
      </c>
      <c r="AC2335">
        <v>-18.8033999999999</v>
      </c>
      <c r="AD2335">
        <v>-1.1102337149876</v>
      </c>
      <c r="AE2335">
        <v>-9.1400000000021395E-2</v>
      </c>
      <c r="AF2335">
        <v>-0.47656929953865901</v>
      </c>
      <c r="AG2335">
        <v>-1.1102337149876</v>
      </c>
      <c r="AH2335">
        <v>18.732236413005001</v>
      </c>
      <c r="AI2335">
        <v>93.390779005084696</v>
      </c>
      <c r="AJ2335">
        <v>91.457355119855606</v>
      </c>
      <c r="AK2335">
        <v>18.7711592138544</v>
      </c>
      <c r="AL2335">
        <v>80.256772915585401</v>
      </c>
      <c r="AM2335">
        <v>91.373732453009097</v>
      </c>
      <c r="AN2335">
        <v>0.99999999762010106</v>
      </c>
    </row>
    <row r="2336" spans="1:40" x14ac:dyDescent="0.25">
      <c r="A2336" t="str">
        <f>"20190312172129019"</f>
        <v>20190312172129019</v>
      </c>
      <c r="B2336" t="str">
        <f>"1552382489013609"</f>
        <v>1552382489013609</v>
      </c>
      <c r="C2336" t="s">
        <v>40</v>
      </c>
      <c r="D2336">
        <v>3.243881</v>
      </c>
      <c r="E2336">
        <v>0.49954949999999998</v>
      </c>
      <c r="F2336" t="s">
        <v>46</v>
      </c>
      <c r="G2336">
        <v>-263.2534</v>
      </c>
      <c r="H2336" s="1">
        <v>1.944916E-7</v>
      </c>
      <c r="I2336">
        <v>281.65069999999997</v>
      </c>
      <c r="J2336">
        <v>-244.74520000000001</v>
      </c>
      <c r="K2336">
        <v>1.1102289999999999</v>
      </c>
      <c r="L2336">
        <v>281.74299999999999</v>
      </c>
      <c r="M2336">
        <v>-0.9997298</v>
      </c>
      <c r="N2336">
        <v>0</v>
      </c>
      <c r="O2336">
        <v>2.0557220000000001E-2</v>
      </c>
      <c r="P2336">
        <v>-0.9875005</v>
      </c>
      <c r="Q2336">
        <v>0.15758739999999999</v>
      </c>
      <c r="R2336">
        <v>-3.0184309999999998E-3</v>
      </c>
      <c r="S2336">
        <v>-3.0677490000000001</v>
      </c>
      <c r="T2336">
        <v>-0.1827868</v>
      </c>
      <c r="U2336">
        <v>-1.4770510000000001E-2</v>
      </c>
      <c r="V2336">
        <v>-2.331944E-2</v>
      </c>
      <c r="W2336">
        <v>0.1682902</v>
      </c>
      <c r="X2336">
        <v>0.9854617</v>
      </c>
      <c r="Y2336">
        <v>-2.5290569999999998E-2</v>
      </c>
      <c r="Z2336">
        <v>-1.9765749999999999E-3</v>
      </c>
      <c r="AA2336">
        <v>0.99967819999999996</v>
      </c>
      <c r="AB2336">
        <v>22</v>
      </c>
      <c r="AC2336">
        <v>-18.508199999999899</v>
      </c>
      <c r="AD2336">
        <v>-1.1102288055084</v>
      </c>
      <c r="AE2336">
        <v>-9.2300000000022905E-2</v>
      </c>
      <c r="AF2336">
        <v>-0.471084970266749</v>
      </c>
      <c r="AG2336">
        <v>-1.1102288055084</v>
      </c>
      <c r="AH2336">
        <v>18.436054118409601</v>
      </c>
      <c r="AI2336">
        <v>93.445098062185295</v>
      </c>
      <c r="AJ2336">
        <v>91.463724738486107</v>
      </c>
      <c r="AK2336">
        <v>18.475459953860899</v>
      </c>
      <c r="AL2336">
        <v>80.311578202056296</v>
      </c>
      <c r="AM2336">
        <v>91.355563780891003</v>
      </c>
      <c r="AN2336">
        <v>1.0000000749324101</v>
      </c>
    </row>
    <row r="2337" spans="1:40" x14ac:dyDescent="0.25">
      <c r="A2337" t="str">
        <f>"20190312172129031"</f>
        <v>20190312172129031</v>
      </c>
      <c r="B2337" t="str">
        <f>"1552382489023369"</f>
        <v>1552382489023369</v>
      </c>
      <c r="C2337" t="s">
        <v>40</v>
      </c>
      <c r="D2337">
        <v>3.2018849999999999</v>
      </c>
      <c r="E2337">
        <v>0.49944569999999999</v>
      </c>
      <c r="F2337" t="s">
        <v>46</v>
      </c>
      <c r="G2337">
        <v>-263.16980000000001</v>
      </c>
      <c r="H2337" s="1">
        <v>1.49996399999999E-7</v>
      </c>
      <c r="I2337">
        <v>281.65260000000001</v>
      </c>
      <c r="J2337">
        <v>-244.85380000000001</v>
      </c>
      <c r="K2337">
        <v>1.1102259999999999</v>
      </c>
      <c r="L2337">
        <v>281.74520000000001</v>
      </c>
      <c r="M2337">
        <v>-0.99973029999999996</v>
      </c>
      <c r="N2337">
        <v>0</v>
      </c>
      <c r="O2337">
        <v>2.0543720000000001E-2</v>
      </c>
      <c r="P2337">
        <v>-0.98759529999999995</v>
      </c>
      <c r="Q2337">
        <v>0.15700539999999999</v>
      </c>
      <c r="R2337">
        <v>-2.254112E-3</v>
      </c>
      <c r="S2337">
        <v>-3.0674440000000001</v>
      </c>
      <c r="T2337">
        <v>-0.18483810000000001</v>
      </c>
      <c r="U2337">
        <v>-1.504517E-2</v>
      </c>
      <c r="V2337">
        <v>-2.254403E-2</v>
      </c>
      <c r="W2337">
        <v>0.16770350000000001</v>
      </c>
      <c r="X2337">
        <v>0.98557969999999895</v>
      </c>
      <c r="Y2337">
        <v>-2.5365100000000002E-2</v>
      </c>
      <c r="Z2337">
        <v>-2.0003450000000002E-3</v>
      </c>
      <c r="AA2337">
        <v>0.99967620000000001</v>
      </c>
      <c r="AB2337">
        <v>22</v>
      </c>
      <c r="AC2337">
        <v>-18.315999999999999</v>
      </c>
      <c r="AD2337">
        <v>-1.1102258500036</v>
      </c>
      <c r="AE2337">
        <v>-9.2600000000004401E-2</v>
      </c>
      <c r="AF2337">
        <v>-0.46716489010475898</v>
      </c>
      <c r="AG2337">
        <v>-1.1102258500036</v>
      </c>
      <c r="AH2337">
        <v>18.2432043424431</v>
      </c>
      <c r="AI2337">
        <v>93.481413101674903</v>
      </c>
      <c r="AJ2337">
        <v>91.466887483843195</v>
      </c>
      <c r="AK2337">
        <v>18.282925071024501</v>
      </c>
      <c r="AL2337">
        <v>80.345677755677102</v>
      </c>
      <c r="AM2337">
        <v>91.3103481820376</v>
      </c>
      <c r="AN2337">
        <v>1.0000000211264899</v>
      </c>
    </row>
    <row r="2338" spans="1:40" x14ac:dyDescent="0.25">
      <c r="A2338" t="str">
        <f>"20190312172129043"</f>
        <v>20190312172129043</v>
      </c>
      <c r="B2338" t="str">
        <f>"1552382489033129"</f>
        <v>1552382489033129</v>
      </c>
      <c r="C2338" t="s">
        <v>40</v>
      </c>
      <c r="D2338">
        <v>3.1972139999999998</v>
      </c>
      <c r="E2338">
        <v>0.49959330000000002</v>
      </c>
      <c r="F2338" t="s">
        <v>46</v>
      </c>
      <c r="G2338">
        <v>-263.18610000000001</v>
      </c>
      <c r="H2338" s="1">
        <v>1.5871179999999999E-7</v>
      </c>
      <c r="I2338">
        <v>281.6662</v>
      </c>
      <c r="J2338">
        <v>-244.98099999999999</v>
      </c>
      <c r="K2338">
        <v>1.110225</v>
      </c>
      <c r="L2338">
        <v>281.74779999999998</v>
      </c>
      <c r="M2338">
        <v>-0.99973060000000002</v>
      </c>
      <c r="N2338">
        <v>0</v>
      </c>
      <c r="O2338">
        <v>2.0528080000000001E-2</v>
      </c>
      <c r="P2338">
        <v>-0.98768060000000002</v>
      </c>
      <c r="Q2338">
        <v>0.15647349999999999</v>
      </c>
      <c r="R2338">
        <v>-1.8456130000000001E-3</v>
      </c>
      <c r="S2338">
        <v>-3.0671689999999998</v>
      </c>
      <c r="T2338">
        <v>-0.18575069999999999</v>
      </c>
      <c r="U2338">
        <v>-1.3214109999999999E-2</v>
      </c>
      <c r="V2338">
        <v>-2.2121700000000001E-2</v>
      </c>
      <c r="W2338">
        <v>0.16716619999999999</v>
      </c>
      <c r="X2338">
        <v>0.98568049999999996</v>
      </c>
      <c r="Y2338">
        <v>-2.475343E-2</v>
      </c>
      <c r="Z2338">
        <v>-1.9909340000000002E-3</v>
      </c>
      <c r="AA2338">
        <v>0.99969160000000001</v>
      </c>
      <c r="AB2338">
        <v>22</v>
      </c>
      <c r="AC2338">
        <v>-18.205100000000002</v>
      </c>
      <c r="AD2338">
        <v>-1.1102248412882001</v>
      </c>
      <c r="AE2338">
        <v>-8.1599999999980299E-2</v>
      </c>
      <c r="AF2338">
        <v>-0.453633411351198</v>
      </c>
      <c r="AG2338">
        <v>-1.1102248412882001</v>
      </c>
      <c r="AH2338">
        <v>18.132154509620001</v>
      </c>
      <c r="AI2338">
        <v>93.502730911519905</v>
      </c>
      <c r="AJ2338">
        <v>91.4331368736336</v>
      </c>
      <c r="AK2338">
        <v>18.171775082001201</v>
      </c>
      <c r="AL2338">
        <v>80.376903169974</v>
      </c>
      <c r="AM2338">
        <v>91.285677563484398</v>
      </c>
      <c r="AN2338">
        <v>0.99999997805678897</v>
      </c>
    </row>
    <row r="2339" spans="1:40" x14ac:dyDescent="0.25">
      <c r="A2339" t="str">
        <f>"20190312172129055"</f>
        <v>20190312172129055</v>
      </c>
      <c r="B2339" t="str">
        <f>"1552382489053624"</f>
        <v>1552382489053624</v>
      </c>
      <c r="C2339" t="s">
        <v>40</v>
      </c>
      <c r="D2339">
        <v>3.271045</v>
      </c>
      <c r="E2339">
        <v>0.52559259999999997</v>
      </c>
      <c r="F2339" t="s">
        <v>46</v>
      </c>
      <c r="G2339">
        <v>-263.0788</v>
      </c>
      <c r="H2339" s="1">
        <v>1.016123E-7</v>
      </c>
      <c r="I2339">
        <v>281.685</v>
      </c>
      <c r="J2339">
        <v>-245.0994</v>
      </c>
      <c r="K2339">
        <v>1.1102240000000001</v>
      </c>
      <c r="L2339">
        <v>281.75020000000001</v>
      </c>
      <c r="M2339">
        <v>-0.99973089999999998</v>
      </c>
      <c r="N2339">
        <v>0</v>
      </c>
      <c r="O2339">
        <v>2.0513569999999998E-2</v>
      </c>
      <c r="P2339">
        <v>-0.98770369999999996</v>
      </c>
      <c r="Q2339">
        <v>0.15633320000000001</v>
      </c>
      <c r="R2339">
        <v>-1.246767E-3</v>
      </c>
      <c r="S2339">
        <v>-3.0672000000000001</v>
      </c>
      <c r="T2339">
        <v>-0.18815950000000001</v>
      </c>
      <c r="U2339">
        <v>-1.0650629999999999E-2</v>
      </c>
      <c r="V2339">
        <v>-2.1508869999999999E-2</v>
      </c>
      <c r="W2339">
        <v>0.16702139999999999</v>
      </c>
      <c r="X2339">
        <v>0.9857186</v>
      </c>
      <c r="Y2339">
        <v>-2.390283E-2</v>
      </c>
      <c r="Z2339">
        <v>-1.989729E-3</v>
      </c>
      <c r="AA2339">
        <v>0.9997123</v>
      </c>
      <c r="AB2339">
        <v>22</v>
      </c>
      <c r="AC2339">
        <v>-17.979399999999998</v>
      </c>
      <c r="AD2339">
        <v>-1.1102238983877</v>
      </c>
      <c r="AE2339">
        <v>-6.5200000000004296E-2</v>
      </c>
      <c r="AF2339">
        <v>-0.43238093447190001</v>
      </c>
      <c r="AG2339">
        <v>-1.1102238983877</v>
      </c>
      <c r="AH2339">
        <v>17.906003356343302</v>
      </c>
      <c r="AI2339">
        <v>93.546930536489697</v>
      </c>
      <c r="AJ2339">
        <v>91.383267320819797</v>
      </c>
      <c r="AK2339">
        <v>17.9455985292891</v>
      </c>
      <c r="AL2339">
        <v>80.385317813496798</v>
      </c>
      <c r="AM2339">
        <v>91.250024031429405</v>
      </c>
      <c r="AN2339">
        <v>0.99999996896629795</v>
      </c>
    </row>
    <row r="2340" spans="1:40" x14ac:dyDescent="0.25">
      <c r="A2340" t="str">
        <f>"20190312172129074"</f>
        <v>20190312172129074</v>
      </c>
      <c r="B2340" t="str">
        <f>"1552382489063384"</f>
        <v>1552382489063384</v>
      </c>
      <c r="C2340" t="s">
        <v>40</v>
      </c>
      <c r="D2340">
        <v>3.2711939999999999</v>
      </c>
      <c r="E2340">
        <v>0.52848879999999998</v>
      </c>
      <c r="F2340" t="s">
        <v>46</v>
      </c>
      <c r="G2340">
        <v>-263.4538</v>
      </c>
      <c r="H2340" s="1">
        <v>3.0114019999999999E-7</v>
      </c>
      <c r="I2340">
        <v>282.94049999999999</v>
      </c>
      <c r="J2340">
        <v>-245.27420000000001</v>
      </c>
      <c r="K2340">
        <v>1.1102240000000001</v>
      </c>
      <c r="L2340">
        <v>281.75380000000001</v>
      </c>
      <c r="M2340">
        <v>-0.99973140000000005</v>
      </c>
      <c r="N2340">
        <v>0</v>
      </c>
      <c r="O2340">
        <v>2.0492440000000001E-2</v>
      </c>
      <c r="P2340">
        <v>-0.9876374</v>
      </c>
      <c r="Q2340">
        <v>0.15675539999999999</v>
      </c>
      <c r="R2340">
        <v>4.0752950000000002E-4</v>
      </c>
      <c r="S2340">
        <v>-3.0669400000000002</v>
      </c>
      <c r="T2340">
        <v>-0.1855137</v>
      </c>
      <c r="U2340">
        <v>0.19888310000000001</v>
      </c>
      <c r="V2340">
        <v>-1.9833179999999999E-2</v>
      </c>
      <c r="W2340">
        <v>0.16743649999999999</v>
      </c>
      <c r="X2340">
        <v>0.98568330000000004</v>
      </c>
      <c r="Y2340">
        <v>4.420404E-2</v>
      </c>
      <c r="Z2340" s="1">
        <v>9.7367210000000006E-5</v>
      </c>
      <c r="AA2340">
        <v>0.99902250000000004</v>
      </c>
      <c r="AB2340">
        <v>22</v>
      </c>
      <c r="AC2340">
        <v>-18.179599999999901</v>
      </c>
      <c r="AD2340">
        <v>-1.11022369885979</v>
      </c>
      <c r="AE2340">
        <v>1.1866999999999699</v>
      </c>
      <c r="AF2340">
        <v>0.81087324772879199</v>
      </c>
      <c r="AG2340">
        <v>-1.11022369885979</v>
      </c>
      <c r="AH2340">
        <v>18.132762312134901</v>
      </c>
      <c r="AI2340">
        <v>93.500214117503702</v>
      </c>
      <c r="AJ2340">
        <v>87.439514082165005</v>
      </c>
      <c r="AK2340">
        <v>18.184806327090001</v>
      </c>
      <c r="AL2340">
        <v>80.361194471147996</v>
      </c>
      <c r="AM2340">
        <v>91.1527071510219</v>
      </c>
      <c r="AN2340">
        <v>0.99999995223002502</v>
      </c>
    </row>
    <row r="2341" spans="1:40" x14ac:dyDescent="0.25">
      <c r="A2341" t="str">
        <f>"20190312172129085"</f>
        <v>20190312172129085</v>
      </c>
      <c r="B2341" t="str">
        <f>"1552382489082904"</f>
        <v>1552382489082904</v>
      </c>
      <c r="C2341" t="s">
        <v>40</v>
      </c>
      <c r="D2341">
        <v>3.249409</v>
      </c>
      <c r="E2341">
        <v>0.5306805</v>
      </c>
      <c r="F2341" t="s">
        <v>46</v>
      </c>
      <c r="G2341">
        <v>-263.80650000000003</v>
      </c>
      <c r="H2341" s="1">
        <v>4.8881429999999998E-7</v>
      </c>
      <c r="I2341">
        <v>283.12920000000003</v>
      </c>
      <c r="J2341">
        <v>-245.3903</v>
      </c>
      <c r="K2341">
        <v>1.110223</v>
      </c>
      <c r="L2341">
        <v>281.75619999999998</v>
      </c>
      <c r="M2341">
        <v>-0.99973179999999995</v>
      </c>
      <c r="N2341">
        <v>0</v>
      </c>
      <c r="O2341">
        <v>2.0478280000000001E-2</v>
      </c>
      <c r="P2341">
        <v>-0.98757830000000002</v>
      </c>
      <c r="Q2341">
        <v>0.15712400000000001</v>
      </c>
      <c r="R2341">
        <v>1.1705859999999999E-3</v>
      </c>
      <c r="S2341">
        <v>-3.0666199999999999</v>
      </c>
      <c r="T2341">
        <v>-0.1837136</v>
      </c>
      <c r="U2341">
        <v>0.2276001</v>
      </c>
      <c r="V2341">
        <v>-1.9055059999999999E-2</v>
      </c>
      <c r="W2341">
        <v>0.16780039999999999</v>
      </c>
      <c r="X2341">
        <v>0.98563679999999998</v>
      </c>
      <c r="Y2341">
        <v>5.3517269999999999E-2</v>
      </c>
      <c r="Z2341">
        <v>3.7561320000000002E-4</v>
      </c>
      <c r="AA2341">
        <v>0.99856690000000004</v>
      </c>
      <c r="AB2341">
        <v>22</v>
      </c>
      <c r="AC2341">
        <v>-18.4162</v>
      </c>
      <c r="AD2341">
        <v>-1.1102225111857</v>
      </c>
      <c r="AE2341">
        <v>1.37300000000004</v>
      </c>
      <c r="AF2341">
        <v>0.99197269472244398</v>
      </c>
      <c r="AG2341">
        <v>-1.1102225111857</v>
      </c>
      <c r="AH2341">
        <v>18.374048383327601</v>
      </c>
      <c r="AI2341">
        <v>93.452785858000098</v>
      </c>
      <c r="AJ2341">
        <v>86.909732428471202</v>
      </c>
      <c r="AK2341">
        <v>18.434268573618098</v>
      </c>
      <c r="AL2341">
        <v>80.340045641189704</v>
      </c>
      <c r="AM2341">
        <v>91.107546439210097</v>
      </c>
      <c r="AN2341">
        <v>0.99999998553300096</v>
      </c>
    </row>
    <row r="2342" spans="1:40" x14ac:dyDescent="0.25">
      <c r="A2342" t="str">
        <f>"20190312172129097"</f>
        <v>20190312172129097</v>
      </c>
      <c r="B2342" t="str">
        <f>"1552382489093640"</f>
        <v>1552382489093640</v>
      </c>
      <c r="C2342" t="s">
        <v>40</v>
      </c>
      <c r="D2342">
        <v>3.2322489999999999</v>
      </c>
      <c r="E2342">
        <v>0.53119989999999995</v>
      </c>
      <c r="F2342" t="s">
        <v>46</v>
      </c>
      <c r="G2342">
        <v>-263.65129999999999</v>
      </c>
      <c r="H2342" s="1">
        <v>4.0627390000000001E-7</v>
      </c>
      <c r="I2342">
        <v>283.23250000000002</v>
      </c>
      <c r="J2342">
        <v>-245.50550000000001</v>
      </c>
      <c r="K2342">
        <v>1.110225</v>
      </c>
      <c r="L2342">
        <v>281.75850000000003</v>
      </c>
      <c r="M2342">
        <v>-0.99973210000000001</v>
      </c>
      <c r="N2342">
        <v>0</v>
      </c>
      <c r="O2342">
        <v>2.0464119999999999E-2</v>
      </c>
      <c r="P2342">
        <v>-0.98753239999999998</v>
      </c>
      <c r="Q2342">
        <v>0.15740509999999999</v>
      </c>
      <c r="R2342">
        <v>1.8976290000000001E-3</v>
      </c>
      <c r="S2342">
        <v>-3.0671080000000002</v>
      </c>
      <c r="T2342">
        <v>-0.18647240000000001</v>
      </c>
      <c r="U2342">
        <v>0.24795529999999999</v>
      </c>
      <c r="V2342">
        <v>-1.831348E-2</v>
      </c>
      <c r="W2342">
        <v>0.16807629999999901</v>
      </c>
      <c r="X2342">
        <v>0.98560389999999998</v>
      </c>
      <c r="Y2342">
        <v>6.0092159999999999E-2</v>
      </c>
      <c r="Z2342">
        <v>5.8132469999999995E-4</v>
      </c>
      <c r="AA2342">
        <v>0.99819270000000004</v>
      </c>
      <c r="AB2342">
        <v>22</v>
      </c>
      <c r="AC2342">
        <v>-18.145799999999898</v>
      </c>
      <c r="AD2342">
        <v>-1.1102245937260999</v>
      </c>
      <c r="AE2342">
        <v>1.47399999999998</v>
      </c>
      <c r="AF2342">
        <v>1.0982474861426901</v>
      </c>
      <c r="AG2342">
        <v>-1.1102245937260999</v>
      </c>
      <c r="AH2342">
        <v>18.1048356143157</v>
      </c>
      <c r="AI2342">
        <v>93.502674854369403</v>
      </c>
      <c r="AJ2342">
        <v>86.528665839641704</v>
      </c>
      <c r="AK2342">
        <v>18.172061490395802</v>
      </c>
      <c r="AL2342">
        <v>80.324010491108197</v>
      </c>
      <c r="AM2342">
        <v>91.064488869286905</v>
      </c>
      <c r="AN2342">
        <v>1.0000000369333</v>
      </c>
    </row>
    <row r="2343" spans="1:40" x14ac:dyDescent="0.25">
      <c r="A2343" t="str">
        <f>"20190312172129109"</f>
        <v>20190312172129109</v>
      </c>
      <c r="B2343" t="str">
        <f>"1552382489103400"</f>
        <v>1552382489103400</v>
      </c>
      <c r="C2343" t="s">
        <v>40</v>
      </c>
      <c r="D2343">
        <v>3.2455919999999998</v>
      </c>
      <c r="E2343">
        <v>0.53165759999999995</v>
      </c>
      <c r="F2343" t="s">
        <v>46</v>
      </c>
      <c r="G2343">
        <v>-263.642</v>
      </c>
      <c r="H2343" s="1">
        <v>4.0131959999999997E-7</v>
      </c>
      <c r="I2343">
        <v>283.26650000000001</v>
      </c>
      <c r="J2343">
        <v>-245.61580000000001</v>
      </c>
      <c r="K2343">
        <v>1.110223</v>
      </c>
      <c r="L2343">
        <v>281.76080000000002</v>
      </c>
      <c r="M2343">
        <v>-0.99973239999999997</v>
      </c>
      <c r="N2343">
        <v>0</v>
      </c>
      <c r="O2343">
        <v>2.045079E-2</v>
      </c>
      <c r="P2343">
        <v>-0.98749969999999998</v>
      </c>
      <c r="Q2343">
        <v>0.15759989999999999</v>
      </c>
      <c r="R2343">
        <v>2.563109E-3</v>
      </c>
      <c r="S2343">
        <v>-3.067307</v>
      </c>
      <c r="T2343">
        <v>-0.18776419999999999</v>
      </c>
      <c r="U2343">
        <v>0.25503540000000002</v>
      </c>
      <c r="V2343">
        <v>-1.763472E-2</v>
      </c>
      <c r="W2343">
        <v>0.16826720000000001</v>
      </c>
      <c r="X2343">
        <v>0.98558369999999995</v>
      </c>
      <c r="Y2343">
        <v>6.238353E-2</v>
      </c>
      <c r="Z2343">
        <v>6.5601919999999897E-4</v>
      </c>
      <c r="AA2343">
        <v>0.9980521</v>
      </c>
      <c r="AB2343">
        <v>22</v>
      </c>
      <c r="AC2343">
        <v>-18.0261999999999</v>
      </c>
      <c r="AD2343">
        <v>-1.1102225986804</v>
      </c>
      <c r="AE2343">
        <v>1.50569999999999</v>
      </c>
      <c r="AF2343">
        <v>1.1324475866532799</v>
      </c>
      <c r="AG2343">
        <v>-1.1102225986804</v>
      </c>
      <c r="AH2343">
        <v>17.985473381581599</v>
      </c>
      <c r="AI2343">
        <v>93.525356950478198</v>
      </c>
      <c r="AJ2343">
        <v>86.397152100154003</v>
      </c>
      <c r="AK2343">
        <v>18.055256423399701</v>
      </c>
      <c r="AL2343">
        <v>80.312914647730196</v>
      </c>
      <c r="AM2343">
        <v>91.025064867098806</v>
      </c>
      <c r="AN2343">
        <v>1.0000000318255</v>
      </c>
    </row>
    <row r="2344" spans="1:40" x14ac:dyDescent="0.25">
      <c r="A2344" t="str">
        <f>"20190312172129120"</f>
        <v>20190312172129120</v>
      </c>
      <c r="B2344" t="str">
        <f>"1552382489113161"</f>
        <v>1552382489113161</v>
      </c>
      <c r="C2344" t="s">
        <v>40</v>
      </c>
      <c r="D2344">
        <v>3.2386910000000002</v>
      </c>
      <c r="E2344">
        <v>0.53192099999999998</v>
      </c>
      <c r="F2344" t="s">
        <v>46</v>
      </c>
      <c r="G2344">
        <v>-263.94830000000002</v>
      </c>
      <c r="H2344" s="1">
        <v>5.6430769999999896E-7</v>
      </c>
      <c r="I2344">
        <v>283.3236</v>
      </c>
      <c r="J2344">
        <v>-245.73509999999999</v>
      </c>
      <c r="K2344">
        <v>1.1102240000000001</v>
      </c>
      <c r="L2344">
        <v>281.76319999999998</v>
      </c>
      <c r="M2344">
        <v>-0.99973270000000003</v>
      </c>
      <c r="N2344">
        <v>0</v>
      </c>
      <c r="O2344">
        <v>2.0436449999999998E-2</v>
      </c>
      <c r="P2344">
        <v>-0.9874849</v>
      </c>
      <c r="Q2344">
        <v>0.157682399999999</v>
      </c>
      <c r="R2344">
        <v>3.124791E-3</v>
      </c>
      <c r="S2344">
        <v>-3.0669400000000002</v>
      </c>
      <c r="T2344">
        <v>-0.18573519999999999</v>
      </c>
      <c r="U2344">
        <v>0.26144410000000001</v>
      </c>
      <c r="V2344">
        <v>-1.7057840000000001E-2</v>
      </c>
      <c r="W2344">
        <v>0.1683452</v>
      </c>
      <c r="X2344">
        <v>0.98558049999999997</v>
      </c>
      <c r="Y2344">
        <v>6.4476249999999999E-2</v>
      </c>
      <c r="Z2344">
        <v>7.1303169999999995E-4</v>
      </c>
      <c r="AA2344">
        <v>0.997919</v>
      </c>
      <c r="AB2344">
        <v>22</v>
      </c>
      <c r="AC2344">
        <v>-18.213200000000001</v>
      </c>
      <c r="AD2344">
        <v>-1.1102234356923</v>
      </c>
      <c r="AE2344">
        <v>1.56040000000001</v>
      </c>
      <c r="AF2344">
        <v>1.1834737056431599</v>
      </c>
      <c r="AG2344">
        <v>-1.1102234356923</v>
      </c>
      <c r="AH2344">
        <v>18.1742475346683</v>
      </c>
      <c r="AI2344">
        <v>93.488354955623393</v>
      </c>
      <c r="AJ2344">
        <v>86.274264031479007</v>
      </c>
      <c r="AK2344">
        <v>18.2465470580191</v>
      </c>
      <c r="AL2344">
        <v>80.308380582133196</v>
      </c>
      <c r="AM2344">
        <v>90.991542213698295</v>
      </c>
      <c r="AN2344">
        <v>0.99999999912437698</v>
      </c>
    </row>
    <row r="2345" spans="1:40" x14ac:dyDescent="0.25">
      <c r="A2345" t="str">
        <f>"20190312172129132"</f>
        <v>20190312172129132</v>
      </c>
      <c r="B2345" t="str">
        <f>"1552382489122920"</f>
        <v>1552382489122920</v>
      </c>
      <c r="C2345" t="s">
        <v>40</v>
      </c>
      <c r="D2345">
        <v>3.2293240000000001</v>
      </c>
      <c r="E2345">
        <v>0.5321785</v>
      </c>
      <c r="F2345" t="s">
        <v>41</v>
      </c>
      <c r="G2345">
        <v>-246.65880000000001</v>
      </c>
      <c r="H2345">
        <v>1.054038</v>
      </c>
      <c r="I2345">
        <v>281.84350000000001</v>
      </c>
      <c r="J2345">
        <v>-245.8545</v>
      </c>
      <c r="K2345">
        <v>1.110225</v>
      </c>
      <c r="L2345">
        <v>281.76560000000001</v>
      </c>
      <c r="M2345">
        <v>-0.99973330000000005</v>
      </c>
      <c r="N2345">
        <v>0</v>
      </c>
      <c r="O2345">
        <v>2.0421290000000002E-2</v>
      </c>
      <c r="P2345">
        <v>-0.98745629999999995</v>
      </c>
      <c r="Q2345">
        <v>0.15784119999999999</v>
      </c>
      <c r="R2345">
        <v>4.040638E-3</v>
      </c>
      <c r="S2345">
        <v>-3.0670009999999999</v>
      </c>
      <c r="T2345">
        <v>-0.18662290000000001</v>
      </c>
      <c r="U2345">
        <v>0.2661133</v>
      </c>
      <c r="V2345">
        <v>-1.6126890000000001E-2</v>
      </c>
      <c r="W2345">
        <v>0.16849700000000001</v>
      </c>
      <c r="X2345">
        <v>0.98557030000000001</v>
      </c>
      <c r="Y2345">
        <v>6.5994129999999998E-2</v>
      </c>
      <c r="Z2345">
        <v>7.6334839999999998E-4</v>
      </c>
      <c r="AA2345">
        <v>0.99781969999999998</v>
      </c>
      <c r="AB2345">
        <v>22</v>
      </c>
      <c r="AC2345">
        <v>-0.80430000000001201</v>
      </c>
      <c r="AD2345">
        <v>-5.6186999999999897E-2</v>
      </c>
      <c r="AE2345">
        <v>7.7899999999999595E-2</v>
      </c>
      <c r="AF2345">
        <v>6.1162245806715601E-2</v>
      </c>
      <c r="AG2345">
        <v>-5.6186999999999897E-2</v>
      </c>
      <c r="AH2345">
        <v>0.80184638094659599</v>
      </c>
      <c r="AI2345">
        <v>93.996707490743603</v>
      </c>
      <c r="AJ2345">
        <v>85.638109729192195</v>
      </c>
      <c r="AK2345">
        <v>0.80613610384244405</v>
      </c>
      <c r="AL2345">
        <v>80.299557693870398</v>
      </c>
      <c r="AM2345">
        <v>90.937447364564406</v>
      </c>
      <c r="AN2345">
        <v>1.0000000659160699</v>
      </c>
    </row>
    <row r="2346" spans="1:40" x14ac:dyDescent="0.25">
      <c r="A2346" t="str">
        <f>"20190312172129145"</f>
        <v>20190312172129145</v>
      </c>
      <c r="B2346" t="str">
        <f>"1552382489143417"</f>
        <v>1552382489143417</v>
      </c>
      <c r="C2346" t="s">
        <v>40</v>
      </c>
      <c r="D2346">
        <v>3.2430300000000001</v>
      </c>
      <c r="E2346">
        <v>0.53240919999999903</v>
      </c>
      <c r="F2346" t="s">
        <v>46</v>
      </c>
      <c r="G2346">
        <v>-263.9984</v>
      </c>
      <c r="H2346" s="1">
        <v>5.9093369999999903E-7</v>
      </c>
      <c r="I2346">
        <v>283.37259999999998</v>
      </c>
      <c r="J2346">
        <v>-245.97370000000001</v>
      </c>
      <c r="K2346">
        <v>1.1102240000000001</v>
      </c>
      <c r="L2346">
        <v>281.76799999999997</v>
      </c>
      <c r="M2346">
        <v>-0.99973350000000005</v>
      </c>
      <c r="N2346">
        <v>0</v>
      </c>
      <c r="O2346">
        <v>2.0406489999999999E-2</v>
      </c>
      <c r="P2346">
        <v>-0.98742960000000002</v>
      </c>
      <c r="Q2346">
        <v>0.1579941</v>
      </c>
      <c r="R2346">
        <v>4.5560590000000003E-3</v>
      </c>
      <c r="S2346">
        <v>-3.0670009999999999</v>
      </c>
      <c r="T2346">
        <v>-0.1876698</v>
      </c>
      <c r="U2346">
        <v>0.27163700000000002</v>
      </c>
      <c r="V2346">
        <v>-1.559638E-2</v>
      </c>
      <c r="W2346">
        <v>0.16864179999999901</v>
      </c>
      <c r="X2346">
        <v>0.98555400000000004</v>
      </c>
      <c r="Y2346">
        <v>6.7787890000000003E-2</v>
      </c>
      <c r="Z2346">
        <v>8.2319259999999895E-4</v>
      </c>
      <c r="AA2346">
        <v>0.99769940000000001</v>
      </c>
      <c r="AB2346">
        <v>22</v>
      </c>
      <c r="AC2346">
        <v>-18.024699999999999</v>
      </c>
      <c r="AD2346">
        <v>-1.1102234090662999</v>
      </c>
      <c r="AE2346">
        <v>1.6046</v>
      </c>
      <c r="AF2346">
        <v>1.2317870206299799</v>
      </c>
      <c r="AG2346">
        <v>-1.1102234090662999</v>
      </c>
      <c r="AH2346">
        <v>17.985992024805601</v>
      </c>
      <c r="AI2346">
        <v>93.523987782819006</v>
      </c>
      <c r="AJ2346">
        <v>86.082164092777901</v>
      </c>
      <c r="AK2346">
        <v>18.062275725904499</v>
      </c>
      <c r="AL2346">
        <v>80.291140126486894</v>
      </c>
      <c r="AM2346">
        <v>90.906629332847402</v>
      </c>
      <c r="AN2346">
        <v>0.99999999534617201</v>
      </c>
    </row>
    <row r="2347" spans="1:40" x14ac:dyDescent="0.25">
      <c r="A2347" t="str">
        <f>"20190312172129158"</f>
        <v>20190312172129158</v>
      </c>
      <c r="B2347" t="str">
        <f>"1552382489153177"</f>
        <v>1552382489153177</v>
      </c>
      <c r="C2347" t="s">
        <v>40</v>
      </c>
      <c r="D2347">
        <v>3.245927</v>
      </c>
      <c r="E2347">
        <v>0.53236660000000002</v>
      </c>
      <c r="F2347" t="s">
        <v>41</v>
      </c>
      <c r="G2347">
        <v>-246.86250000000001</v>
      </c>
      <c r="H2347">
        <v>1.0554749999999999</v>
      </c>
      <c r="I2347">
        <v>281.84820000000002</v>
      </c>
      <c r="J2347">
        <v>-246.10319999999999</v>
      </c>
      <c r="K2347">
        <v>1.1102240000000001</v>
      </c>
      <c r="L2347">
        <v>281.77069999999998</v>
      </c>
      <c r="M2347">
        <v>-0.99973400000000001</v>
      </c>
      <c r="N2347">
        <v>0</v>
      </c>
      <c r="O2347">
        <v>2.0390579999999998E-2</v>
      </c>
      <c r="P2347">
        <v>-0.98738239999999999</v>
      </c>
      <c r="Q2347">
        <v>0.15826509999999999</v>
      </c>
      <c r="R2347">
        <v>5.3417890000000004E-3</v>
      </c>
      <c r="S2347">
        <v>-3.0672000000000001</v>
      </c>
      <c r="T2347">
        <v>-0.1892335</v>
      </c>
      <c r="U2347">
        <v>0.27560420000000002</v>
      </c>
      <c r="V2347">
        <v>-1.479397E-2</v>
      </c>
      <c r="W2347">
        <v>0.16890260000000001</v>
      </c>
      <c r="X2347">
        <v>0.98552169999999895</v>
      </c>
      <c r="Y2347">
        <v>6.9074460000000004E-2</v>
      </c>
      <c r="Z2347">
        <v>8.7049149999999999E-4</v>
      </c>
      <c r="AA2347">
        <v>0.99761109999999997</v>
      </c>
      <c r="AB2347">
        <v>22</v>
      </c>
      <c r="AC2347">
        <v>-0.75930000000002396</v>
      </c>
      <c r="AD2347">
        <v>-5.4748999999999902E-2</v>
      </c>
      <c r="AE2347">
        <v>7.7500000000043201E-2</v>
      </c>
      <c r="AF2347">
        <v>6.1683030647361199E-2</v>
      </c>
      <c r="AG2347">
        <v>-5.4748999999999902E-2</v>
      </c>
      <c r="AH2347">
        <v>0.75682824483609101</v>
      </c>
      <c r="AI2347">
        <v>94.123945964790096</v>
      </c>
      <c r="AJ2347">
        <v>85.340576890669993</v>
      </c>
      <c r="AK2347">
        <v>0.76130890015323005</v>
      </c>
      <c r="AL2347">
        <v>80.275979818466496</v>
      </c>
      <c r="AM2347">
        <v>90.860020011287801</v>
      </c>
      <c r="AN2347">
        <v>0.99999998550300495</v>
      </c>
    </row>
    <row r="2348" spans="1:40" x14ac:dyDescent="0.25">
      <c r="A2348" t="str">
        <f>"20190312172129175"</f>
        <v>20190312172129175</v>
      </c>
      <c r="B2348" t="str">
        <f>"1552382489162937"</f>
        <v>1552382489162937</v>
      </c>
      <c r="C2348" t="s">
        <v>40</v>
      </c>
      <c r="D2348">
        <v>3.5793599999999999</v>
      </c>
      <c r="E2348">
        <v>0.5324084</v>
      </c>
      <c r="F2348" t="s">
        <v>46</v>
      </c>
      <c r="G2348">
        <v>-264.18729999999999</v>
      </c>
      <c r="H2348" s="1">
        <v>6.914792E-7</v>
      </c>
      <c r="I2348">
        <v>283.4117</v>
      </c>
      <c r="J2348">
        <v>-246.26920000000001</v>
      </c>
      <c r="K2348">
        <v>1.110228</v>
      </c>
      <c r="L2348">
        <v>281.774</v>
      </c>
      <c r="M2348">
        <v>-0.99973449999999997</v>
      </c>
      <c r="N2348">
        <v>0</v>
      </c>
      <c r="O2348">
        <v>2.0370079999999999E-2</v>
      </c>
      <c r="P2348">
        <v>-0.98730189999999995</v>
      </c>
      <c r="Q2348">
        <v>0.15874669999999999</v>
      </c>
      <c r="R2348">
        <v>5.8737260000000001E-3</v>
      </c>
      <c r="S2348">
        <v>-3.0670320000000002</v>
      </c>
      <c r="T2348">
        <v>-0.1882923</v>
      </c>
      <c r="U2348">
        <v>0.27832030000000002</v>
      </c>
      <c r="V2348">
        <v>-1.4240630000000001E-2</v>
      </c>
      <c r="W2348">
        <v>0.16937160000000001</v>
      </c>
      <c r="X2348">
        <v>0.98544940000000003</v>
      </c>
      <c r="Y2348">
        <v>6.9975220000000005E-2</v>
      </c>
      <c r="Z2348">
        <v>8.9500729999999996E-4</v>
      </c>
      <c r="AA2348">
        <v>0.99754830000000005</v>
      </c>
      <c r="AB2348">
        <v>22</v>
      </c>
      <c r="AC2348">
        <v>-17.9180999999999</v>
      </c>
      <c r="AD2348">
        <v>-1.1102273085208001</v>
      </c>
      <c r="AE2348">
        <v>1.6376999999999899</v>
      </c>
      <c r="AF2348">
        <v>1.2675199135500199</v>
      </c>
      <c r="AG2348">
        <v>-1.1102273085208001</v>
      </c>
      <c r="AH2348">
        <v>17.879668919997599</v>
      </c>
      <c r="AI2348">
        <v>93.544312748447197</v>
      </c>
      <c r="AJ2348">
        <v>85.944989382078504</v>
      </c>
      <c r="AK2348">
        <v>17.958891171131899</v>
      </c>
      <c r="AL2348">
        <v>80.248715694846496</v>
      </c>
      <c r="AM2348">
        <v>90.827917909722999</v>
      </c>
      <c r="AN2348">
        <v>1.0000000271948499</v>
      </c>
    </row>
    <row r="2349" spans="1:40" x14ac:dyDescent="0.25">
      <c r="A2349" t="str">
        <f>"20190312172129197"</f>
        <v>20190312172129197</v>
      </c>
      <c r="B2349" t="str">
        <f>"1552382489193192"</f>
        <v>1552382489193192</v>
      </c>
      <c r="C2349" t="s">
        <v>40</v>
      </c>
      <c r="D2349">
        <v>3.2140010000000001</v>
      </c>
      <c r="E2349">
        <v>0.53229550000000003</v>
      </c>
      <c r="F2349" t="s">
        <v>46</v>
      </c>
      <c r="G2349">
        <v>-264.47149999999999</v>
      </c>
      <c r="H2349" s="1">
        <v>8.4269800000000005E-7</v>
      </c>
      <c r="I2349">
        <v>283.44589999999999</v>
      </c>
      <c r="J2349">
        <v>-246.48429999999999</v>
      </c>
      <c r="K2349">
        <v>1.1102259999999999</v>
      </c>
      <c r="L2349">
        <v>281.77839999999998</v>
      </c>
      <c r="M2349">
        <v>-0.99973529999999999</v>
      </c>
      <c r="N2349">
        <v>0</v>
      </c>
      <c r="O2349">
        <v>2.0342989999999998E-2</v>
      </c>
      <c r="P2349">
        <v>-0.98719710000000005</v>
      </c>
      <c r="Q2349">
        <v>0.1593801</v>
      </c>
      <c r="R2349">
        <v>6.3146060000000004E-3</v>
      </c>
      <c r="S2349">
        <v>-3.0670009999999999</v>
      </c>
      <c r="T2349">
        <v>-0.18706800000000001</v>
      </c>
      <c r="U2349">
        <v>0.28170780000000001</v>
      </c>
      <c r="V2349">
        <v>-1.3770660000000001E-2</v>
      </c>
      <c r="W2349">
        <v>0.16999010000000001</v>
      </c>
      <c r="X2349">
        <v>0.98534949999999999</v>
      </c>
      <c r="Y2349">
        <v>7.1094889999999994E-2</v>
      </c>
      <c r="Z2349">
        <v>9.2485690000000003E-4</v>
      </c>
      <c r="AA2349">
        <v>0.9974691</v>
      </c>
      <c r="AB2349">
        <v>22</v>
      </c>
      <c r="AC2349">
        <v>-17.987200000000001</v>
      </c>
      <c r="AD2349">
        <v>-1.1102251573020001</v>
      </c>
      <c r="AE2349">
        <v>1.66750000000001</v>
      </c>
      <c r="AF2349">
        <v>1.29632375529808</v>
      </c>
      <c r="AG2349">
        <v>-1.1102251573020001</v>
      </c>
      <c r="AH2349">
        <v>17.949600625102399</v>
      </c>
      <c r="AI2349">
        <v>93.530199213080394</v>
      </c>
      <c r="AJ2349">
        <v>85.869259004174495</v>
      </c>
      <c r="AK2349">
        <v>18.030563434877301</v>
      </c>
      <c r="AL2349">
        <v>80.212756066811707</v>
      </c>
      <c r="AM2349">
        <v>90.8006796959138</v>
      </c>
      <c r="AN2349">
        <v>0.99999995116254603</v>
      </c>
    </row>
    <row r="2350" spans="1:40" x14ac:dyDescent="0.25">
      <c r="A2350" t="str">
        <f>"20190312172129210"</f>
        <v>20190312172129210</v>
      </c>
      <c r="B2350" t="str">
        <f>"1552382489202953"</f>
        <v>1552382489202953</v>
      </c>
      <c r="C2350" t="s">
        <v>40</v>
      </c>
      <c r="D2350">
        <v>3.2212510000000001</v>
      </c>
      <c r="E2350">
        <v>0.53217609999999904</v>
      </c>
      <c r="F2350" t="s">
        <v>46</v>
      </c>
      <c r="G2350">
        <v>-264.8596</v>
      </c>
      <c r="H2350" s="1">
        <v>1.0492189999999999E-6</v>
      </c>
      <c r="I2350">
        <v>283.4778</v>
      </c>
      <c r="J2350">
        <v>-246.6147</v>
      </c>
      <c r="K2350">
        <v>1.110225</v>
      </c>
      <c r="L2350">
        <v>281.78100000000001</v>
      </c>
      <c r="M2350">
        <v>-0.9997357</v>
      </c>
      <c r="N2350">
        <v>0</v>
      </c>
      <c r="O2350">
        <v>2.0326819999999999E-2</v>
      </c>
      <c r="P2350">
        <v>-0.98712330000000004</v>
      </c>
      <c r="Q2350">
        <v>0.15983029999999901</v>
      </c>
      <c r="R2350">
        <v>6.480459E-3</v>
      </c>
      <c r="S2350">
        <v>-3.0670009999999999</v>
      </c>
      <c r="T2350">
        <v>-0.18530730000000001</v>
      </c>
      <c r="U2350">
        <v>0.28366089999999999</v>
      </c>
      <c r="V2350">
        <v>-1.3587770000000001E-2</v>
      </c>
      <c r="W2350">
        <v>0.17043169999999999</v>
      </c>
      <c r="X2350">
        <v>0.98527580000000003</v>
      </c>
      <c r="Y2350">
        <v>7.174142E-2</v>
      </c>
      <c r="Z2350">
        <v>9.3658870000000005E-4</v>
      </c>
      <c r="AA2350">
        <v>0.99742280000000005</v>
      </c>
      <c r="AB2350">
        <v>22</v>
      </c>
      <c r="AC2350">
        <v>-18.244900000000001</v>
      </c>
      <c r="AD2350">
        <v>-1.1102239507809999</v>
      </c>
      <c r="AE2350">
        <v>1.6967999999999901</v>
      </c>
      <c r="AF2350">
        <v>1.3207186814538501</v>
      </c>
      <c r="AG2350">
        <v>-1.1102239507809999</v>
      </c>
      <c r="AH2350">
        <v>18.2087759843713</v>
      </c>
      <c r="AI2350">
        <v>93.479994654970895</v>
      </c>
      <c r="AJ2350">
        <v>85.851488108399494</v>
      </c>
      <c r="AK2350">
        <v>18.290336735704098</v>
      </c>
      <c r="AL2350">
        <v>80.187080022670401</v>
      </c>
      <c r="AM2350">
        <v>90.790106206528407</v>
      </c>
      <c r="AN2350">
        <v>0.999999996962051</v>
      </c>
    </row>
    <row r="2351" spans="1:40" x14ac:dyDescent="0.25">
      <c r="A2351" t="str">
        <f>"20190312172129222"</f>
        <v>20190312172129222</v>
      </c>
      <c r="B2351" t="str">
        <f>"1552382489213689"</f>
        <v>1552382489213689</v>
      </c>
      <c r="C2351" t="s">
        <v>40</v>
      </c>
      <c r="D2351">
        <v>3.2204619999999999</v>
      </c>
      <c r="E2351">
        <v>0.5320897</v>
      </c>
      <c r="F2351" t="s">
        <v>46</v>
      </c>
      <c r="G2351">
        <v>-265.12200000000001</v>
      </c>
      <c r="H2351" s="1">
        <v>1.188903E-6</v>
      </c>
      <c r="I2351">
        <v>283.49369999999999</v>
      </c>
      <c r="J2351">
        <v>-246.7336</v>
      </c>
      <c r="K2351">
        <v>1.110225</v>
      </c>
      <c r="L2351">
        <v>281.78339999999997</v>
      </c>
      <c r="M2351">
        <v>-0.99973599999999996</v>
      </c>
      <c r="N2351">
        <v>0</v>
      </c>
      <c r="O2351">
        <v>2.0312190000000001E-2</v>
      </c>
      <c r="P2351">
        <v>-0.9870487</v>
      </c>
      <c r="Q2351">
        <v>0.1602808</v>
      </c>
      <c r="R2351">
        <v>6.7284270000000004E-3</v>
      </c>
      <c r="S2351">
        <v>-3.067062</v>
      </c>
      <c r="T2351">
        <v>-0.18398809999999999</v>
      </c>
      <c r="U2351">
        <v>0.28384399999999999</v>
      </c>
      <c r="V2351">
        <v>-1.332317E-2</v>
      </c>
      <c r="W2351">
        <v>0.17087479999999999</v>
      </c>
      <c r="X2351">
        <v>0.98520269999999999</v>
      </c>
      <c r="Y2351">
        <v>7.1814399999999903E-2</v>
      </c>
      <c r="Z2351">
        <v>9.3296920000000003E-4</v>
      </c>
      <c r="AA2351">
        <v>0.99741760000000002</v>
      </c>
      <c r="AB2351">
        <v>22</v>
      </c>
      <c r="AC2351">
        <v>-18.388400000000001</v>
      </c>
      <c r="AD2351">
        <v>-1.110223811097</v>
      </c>
      <c r="AE2351">
        <v>1.7103000000000099</v>
      </c>
      <c r="AF2351">
        <v>1.33160441817187</v>
      </c>
      <c r="AG2351">
        <v>-1.110223811097</v>
      </c>
      <c r="AH2351">
        <v>18.353019270399901</v>
      </c>
      <c r="AI2351">
        <v>93.452704325606007</v>
      </c>
      <c r="AJ2351">
        <v>85.850172964212902</v>
      </c>
      <c r="AK2351">
        <v>18.434724939008198</v>
      </c>
      <c r="AL2351">
        <v>80.161314658231106</v>
      </c>
      <c r="AM2351">
        <v>90.774779526661206</v>
      </c>
      <c r="AN2351">
        <v>1.00000003211058</v>
      </c>
    </row>
    <row r="2352" spans="1:40" x14ac:dyDescent="0.25">
      <c r="A2352" t="str">
        <f>"20190312172129234"</f>
        <v>20190312172129234</v>
      </c>
      <c r="B2352" t="str">
        <f>"1552382489223449"</f>
        <v>1552382489223449</v>
      </c>
      <c r="C2352" t="s">
        <v>40</v>
      </c>
      <c r="D2352">
        <v>3.2430029999999999</v>
      </c>
      <c r="E2352">
        <v>0.53200040000000004</v>
      </c>
      <c r="F2352" t="s">
        <v>41</v>
      </c>
      <c r="G2352">
        <v>-247.64750000000001</v>
      </c>
      <c r="H2352">
        <v>1.0557920000000001</v>
      </c>
      <c r="I2352">
        <v>281.86840000000001</v>
      </c>
      <c r="J2352">
        <v>-246.84950000000001</v>
      </c>
      <c r="K2352">
        <v>1.1102259999999999</v>
      </c>
      <c r="L2352">
        <v>281.78570000000002</v>
      </c>
      <c r="M2352">
        <v>-0.99973639999999997</v>
      </c>
      <c r="N2352">
        <v>0</v>
      </c>
      <c r="O2352">
        <v>2.0297559999999999E-2</v>
      </c>
      <c r="P2352">
        <v>-0.98703160000000001</v>
      </c>
      <c r="Q2352">
        <v>0.1603773</v>
      </c>
      <c r="R2352">
        <v>6.9204100000000001E-3</v>
      </c>
      <c r="S2352">
        <v>-3.0671390000000001</v>
      </c>
      <c r="T2352">
        <v>-0.18295159999999999</v>
      </c>
      <c r="U2352">
        <v>0.2842712</v>
      </c>
      <c r="V2352">
        <v>-1.311672E-2</v>
      </c>
      <c r="W2352">
        <v>0.17096500000000001</v>
      </c>
      <c r="X2352">
        <v>0.9851898</v>
      </c>
      <c r="Y2352">
        <v>7.1965219999999996E-2</v>
      </c>
      <c r="Z2352">
        <v>9.3304830000000001E-4</v>
      </c>
      <c r="AA2352">
        <v>0.99740669999999998</v>
      </c>
      <c r="AB2352">
        <v>22</v>
      </c>
      <c r="AC2352">
        <v>-0.79800000000000104</v>
      </c>
      <c r="AD2352">
        <v>-5.4433999999999802E-2</v>
      </c>
      <c r="AE2352">
        <v>8.2699999999988394E-2</v>
      </c>
      <c r="AF2352">
        <v>6.6179910809774603E-2</v>
      </c>
      <c r="AG2352">
        <v>-5.4433999999999802E-2</v>
      </c>
      <c r="AH2352">
        <v>0.79585052677102697</v>
      </c>
      <c r="AI2352">
        <v>93.899363679645603</v>
      </c>
      <c r="AJ2352">
        <v>85.246437081951697</v>
      </c>
      <c r="AK2352">
        <v>0.80045043688695094</v>
      </c>
      <c r="AL2352">
        <v>80.156069182747103</v>
      </c>
      <c r="AM2352">
        <v>90.762785299057597</v>
      </c>
      <c r="AN2352">
        <v>1.0000000107962901</v>
      </c>
    </row>
    <row r="2353" spans="1:40" x14ac:dyDescent="0.25">
      <c r="A2353" t="str">
        <f>"20190312172129245"</f>
        <v>20190312172129245</v>
      </c>
      <c r="B2353" t="str">
        <f>"1552382489233209"</f>
        <v>1552382489233209</v>
      </c>
      <c r="C2353" t="s">
        <v>40</v>
      </c>
      <c r="D2353">
        <v>3.1861169999999999</v>
      </c>
      <c r="E2353">
        <v>0.53189299999999995</v>
      </c>
      <c r="F2353" t="s">
        <v>46</v>
      </c>
      <c r="G2353">
        <v>-265.5027</v>
      </c>
      <c r="H2353" s="1">
        <v>1.391456E-6</v>
      </c>
      <c r="I2353">
        <v>283.51830000000001</v>
      </c>
      <c r="J2353">
        <v>-246.96119999999999</v>
      </c>
      <c r="K2353">
        <v>1.1102259999999999</v>
      </c>
      <c r="L2353">
        <v>281.78800000000001</v>
      </c>
      <c r="M2353">
        <v>-0.99973670000000003</v>
      </c>
      <c r="N2353">
        <v>0</v>
      </c>
      <c r="O2353">
        <v>2.0283410000000002E-2</v>
      </c>
      <c r="P2353">
        <v>-0.98699219999999999</v>
      </c>
      <c r="Q2353">
        <v>0.1606021</v>
      </c>
      <c r="R2353">
        <v>7.3239569999999999E-3</v>
      </c>
      <c r="S2353">
        <v>-3.067062</v>
      </c>
      <c r="T2353">
        <v>-0.1825493</v>
      </c>
      <c r="U2353">
        <v>0.28488160000000001</v>
      </c>
      <c r="V2353">
        <v>-1.269813E-2</v>
      </c>
      <c r="W2353">
        <v>0.171184</v>
      </c>
      <c r="X2353">
        <v>0.98515730000000001</v>
      </c>
      <c r="Y2353">
        <v>7.2178409999999998E-2</v>
      </c>
      <c r="Z2353">
        <v>9.3817919999999999E-4</v>
      </c>
      <c r="AA2353">
        <v>0.99739129999999998</v>
      </c>
      <c r="AB2353">
        <v>22</v>
      </c>
      <c r="AC2353">
        <v>-18.541499999999999</v>
      </c>
      <c r="AD2353">
        <v>-1.110224608544</v>
      </c>
      <c r="AE2353">
        <v>1.73029999999999</v>
      </c>
      <c r="AF2353">
        <v>1.3490424550964899</v>
      </c>
      <c r="AG2353">
        <v>-1.110224608544</v>
      </c>
      <c r="AH2353">
        <v>18.5070021575896</v>
      </c>
      <c r="AI2353">
        <v>93.423964387298994</v>
      </c>
      <c r="AJ2353">
        <v>85.830876747241305</v>
      </c>
      <c r="AK2353">
        <v>18.5892883964958</v>
      </c>
      <c r="AL2353">
        <v>80.143334101881095</v>
      </c>
      <c r="AM2353">
        <v>90.738469856120503</v>
      </c>
      <c r="AN2353">
        <v>1.00000005505239</v>
      </c>
    </row>
    <row r="2354" spans="1:40" x14ac:dyDescent="0.25">
      <c r="A2354" t="str">
        <f>"20190312172129264"</f>
        <v>20190312172129264</v>
      </c>
      <c r="B2354" t="str">
        <f>"1552382489253707"</f>
        <v>1552382489253707</v>
      </c>
      <c r="C2354" t="s">
        <v>40</v>
      </c>
      <c r="D2354">
        <v>3.2104819999999998</v>
      </c>
      <c r="E2354">
        <v>0.53171279999999999</v>
      </c>
      <c r="F2354" t="s">
        <v>46</v>
      </c>
      <c r="G2354">
        <v>-265.64109999999999</v>
      </c>
      <c r="H2354" s="1">
        <v>1.4651329999999901E-6</v>
      </c>
      <c r="I2354">
        <v>283.52670000000001</v>
      </c>
      <c r="J2354">
        <v>-247.14879999999999</v>
      </c>
      <c r="K2354">
        <v>1.1102209999999999</v>
      </c>
      <c r="L2354">
        <v>281.79169999999999</v>
      </c>
      <c r="M2354">
        <v>-0.9997374</v>
      </c>
      <c r="N2354">
        <v>0</v>
      </c>
      <c r="O2354">
        <v>2.0259739999999998E-2</v>
      </c>
      <c r="P2354">
        <v>-0.9869137</v>
      </c>
      <c r="Q2354">
        <v>0.1610471</v>
      </c>
      <c r="R2354">
        <v>8.0946249999999994E-3</v>
      </c>
      <c r="S2354">
        <v>-3.067078</v>
      </c>
      <c r="T2354">
        <v>-0.1822888</v>
      </c>
      <c r="U2354">
        <v>0.28549190000000002</v>
      </c>
      <c r="V2354">
        <v>-1.190285E-2</v>
      </c>
      <c r="W2354">
        <v>0.17161940000000001</v>
      </c>
      <c r="X2354">
        <v>0.98509139999999995</v>
      </c>
      <c r="Y2354">
        <v>7.2398190000000001E-2</v>
      </c>
      <c r="Z2354">
        <v>9.4474399999999997E-4</v>
      </c>
      <c r="AA2354">
        <v>0.99737540000000002</v>
      </c>
      <c r="AB2354">
        <v>22</v>
      </c>
      <c r="AC2354">
        <v>-18.4923</v>
      </c>
      <c r="AD2354">
        <v>-1.1102195348670001</v>
      </c>
      <c r="AE2354">
        <v>1.7350000000000101</v>
      </c>
      <c r="AF2354">
        <v>1.3551313315901199</v>
      </c>
      <c r="AG2354">
        <v>-1.1102195348670001</v>
      </c>
      <c r="AH2354">
        <v>18.4577078174032</v>
      </c>
      <c r="AI2354">
        <v>93.432940427998005</v>
      </c>
      <c r="AJ2354">
        <v>85.800981837638304</v>
      </c>
      <c r="AK2354">
        <v>18.540656574514401</v>
      </c>
      <c r="AL2354">
        <v>80.118012060525103</v>
      </c>
      <c r="AM2354">
        <v>90.692270669042998</v>
      </c>
      <c r="AN2354">
        <v>0.99999998132422097</v>
      </c>
    </row>
    <row r="2355" spans="1:40" x14ac:dyDescent="0.25">
      <c r="A2355" t="str">
        <f>"20190312172129276"</f>
        <v>20190312172129276</v>
      </c>
      <c r="B2355" t="str">
        <f>"1552382489273225"</f>
        <v>1552382489273225</v>
      </c>
      <c r="C2355" t="s">
        <v>40</v>
      </c>
      <c r="D2355">
        <v>3.2104650000000001</v>
      </c>
      <c r="E2355">
        <v>0.53159419999999902</v>
      </c>
      <c r="F2355" t="s">
        <v>46</v>
      </c>
      <c r="G2355">
        <v>-265.88780000000003</v>
      </c>
      <c r="H2355" s="1">
        <v>1.5964070000000001E-6</v>
      </c>
      <c r="I2355">
        <v>283.55040000000002</v>
      </c>
      <c r="J2355">
        <v>-247.26480000000001</v>
      </c>
      <c r="K2355">
        <v>1.110222</v>
      </c>
      <c r="L2355">
        <v>281.79410000000001</v>
      </c>
      <c r="M2355">
        <v>-0.9997376</v>
      </c>
      <c r="N2355">
        <v>0</v>
      </c>
      <c r="O2355">
        <v>2.0245579999999999E-2</v>
      </c>
      <c r="P2355">
        <v>-0.98684179999999999</v>
      </c>
      <c r="Q2355">
        <v>0.16146359999999901</v>
      </c>
      <c r="R2355">
        <v>8.5250469999999991E-3</v>
      </c>
      <c r="S2355">
        <v>-3.067078</v>
      </c>
      <c r="T2355">
        <v>-0.18171380000000001</v>
      </c>
      <c r="U2355">
        <v>0.28784179999999998</v>
      </c>
      <c r="V2355">
        <v>-1.1457180000000001E-2</v>
      </c>
      <c r="W2355">
        <v>0.17202999999999999</v>
      </c>
      <c r="X2355">
        <v>0.98502509999999999</v>
      </c>
      <c r="Y2355">
        <v>7.3169029999999996E-2</v>
      </c>
      <c r="Z2355">
        <v>9.653385E-4</v>
      </c>
      <c r="AA2355">
        <v>0.99731910000000001</v>
      </c>
      <c r="AB2355">
        <v>22</v>
      </c>
      <c r="AC2355">
        <v>-18.623000000000001</v>
      </c>
      <c r="AD2355">
        <v>-1.1102204035929999</v>
      </c>
      <c r="AE2355">
        <v>1.75630000000001</v>
      </c>
      <c r="AF2355">
        <v>1.3740445700787001</v>
      </c>
      <c r="AG2355">
        <v>-1.1102204035929999</v>
      </c>
      <c r="AH2355">
        <v>18.589257830028</v>
      </c>
      <c r="AI2355">
        <v>93.408582744706294</v>
      </c>
      <c r="AJ2355">
        <v>85.772609829270493</v>
      </c>
      <c r="AK2355">
        <v>18.673004431434499</v>
      </c>
      <c r="AL2355">
        <v>80.094131610880098</v>
      </c>
      <c r="AM2355">
        <v>90.666397697107996</v>
      </c>
      <c r="AN2355">
        <v>1.00000001775178</v>
      </c>
    </row>
    <row r="2356" spans="1:40" x14ac:dyDescent="0.25">
      <c r="A2356" t="str">
        <f>"20190312172129287"</f>
        <v>20190312172129287</v>
      </c>
      <c r="B2356" t="str">
        <f>"1552382489282985"</f>
        <v>1552382489282985</v>
      </c>
      <c r="C2356" t="s">
        <v>40</v>
      </c>
      <c r="D2356">
        <v>3.1960259999999998</v>
      </c>
      <c r="E2356">
        <v>0.53154699999999999</v>
      </c>
      <c r="F2356" t="s">
        <v>46</v>
      </c>
      <c r="G2356">
        <v>-266.04270000000002</v>
      </c>
      <c r="H2356" s="1">
        <v>1.678833E-6</v>
      </c>
      <c r="I2356">
        <v>283.56169999999997</v>
      </c>
      <c r="J2356">
        <v>-247.3802</v>
      </c>
      <c r="K2356">
        <v>1.110222</v>
      </c>
      <c r="L2356">
        <v>281.79640000000001</v>
      </c>
      <c r="M2356">
        <v>-0.99973800000000002</v>
      </c>
      <c r="N2356">
        <v>0</v>
      </c>
      <c r="O2356">
        <v>2.023113E-2</v>
      </c>
      <c r="P2356">
        <v>-0.98671390000000003</v>
      </c>
      <c r="Q2356">
        <v>0.16221440000000001</v>
      </c>
      <c r="R2356">
        <v>9.0538819999999992E-3</v>
      </c>
      <c r="S2356">
        <v>-3.0671840000000001</v>
      </c>
      <c r="T2356">
        <v>-0.18134349999999999</v>
      </c>
      <c r="U2356">
        <v>0.28872680000000001</v>
      </c>
      <c r="V2356">
        <v>-1.091136E-2</v>
      </c>
      <c r="W2356">
        <v>0.17277490000000001</v>
      </c>
      <c r="X2356">
        <v>0.98490089999999997</v>
      </c>
      <c r="Y2356">
        <v>7.3465310000000006E-2</v>
      </c>
      <c r="Z2356">
        <v>9.7291290000000002E-4</v>
      </c>
      <c r="AA2356">
        <v>0.99729730000000005</v>
      </c>
      <c r="AB2356">
        <v>22</v>
      </c>
      <c r="AC2356">
        <v>-18.662500000000001</v>
      </c>
      <c r="AD2356">
        <v>-1.1102203211669901</v>
      </c>
      <c r="AE2356">
        <v>1.7652999999999599</v>
      </c>
      <c r="AF2356">
        <v>1.38250427488232</v>
      </c>
      <c r="AG2356">
        <v>-1.1102203211669901</v>
      </c>
      <c r="AH2356">
        <v>18.629052682430899</v>
      </c>
      <c r="AI2356">
        <v>93.401244248844705</v>
      </c>
      <c r="AJ2356">
        <v>85.755730485462294</v>
      </c>
      <c r="AK2356">
        <v>18.713244269137</v>
      </c>
      <c r="AL2356">
        <v>80.050803065855206</v>
      </c>
      <c r="AM2356">
        <v>90.634733201516298</v>
      </c>
      <c r="AN2356">
        <v>1.00000000333393</v>
      </c>
    </row>
    <row r="2357" spans="1:40" x14ac:dyDescent="0.25">
      <c r="A2357" t="str">
        <f>"20190312172129309"</f>
        <v>20190312172129309</v>
      </c>
      <c r="B2357" t="str">
        <f>"1552382489303480"</f>
        <v>1552382489303480</v>
      </c>
      <c r="C2357" t="s">
        <v>40</v>
      </c>
      <c r="D2357">
        <v>3.1982370000000002</v>
      </c>
      <c r="E2357">
        <v>0.53144409999999997</v>
      </c>
      <c r="F2357" t="s">
        <v>46</v>
      </c>
      <c r="G2357">
        <v>-266.36860000000001</v>
      </c>
      <c r="H2357" s="1">
        <v>1.8522410000000001E-6</v>
      </c>
      <c r="I2357">
        <v>283.59269999999998</v>
      </c>
      <c r="J2357">
        <v>-247.59360000000001</v>
      </c>
      <c r="K2357">
        <v>1.1102209999999999</v>
      </c>
      <c r="L2357">
        <v>281.80070000000001</v>
      </c>
      <c r="M2357">
        <v>-0.99973849999999997</v>
      </c>
      <c r="N2357">
        <v>0</v>
      </c>
      <c r="O2357">
        <v>2.020477E-2</v>
      </c>
      <c r="P2357">
        <v>-0.98656350000000004</v>
      </c>
      <c r="Q2357">
        <v>0.1630354</v>
      </c>
      <c r="R2357">
        <v>1.0582299999999999E-2</v>
      </c>
      <c r="S2357">
        <v>-3.0672000000000001</v>
      </c>
      <c r="T2357">
        <v>-0.17933399999999999</v>
      </c>
      <c r="U2357">
        <v>0.29016110000000001</v>
      </c>
      <c r="V2357">
        <v>-9.3540819999999997E-3</v>
      </c>
      <c r="W2357">
        <v>0.1735865</v>
      </c>
      <c r="X2357">
        <v>0.98477420000000004</v>
      </c>
      <c r="Y2357">
        <v>7.3954539999999999E-2</v>
      </c>
      <c r="Z2357">
        <v>9.7791989999999993E-4</v>
      </c>
      <c r="AA2357">
        <v>0.99726110000000001</v>
      </c>
      <c r="AB2357">
        <v>22</v>
      </c>
      <c r="AC2357">
        <v>-18.774999999999999</v>
      </c>
      <c r="AD2357">
        <v>-1.110219147759</v>
      </c>
      <c r="AE2357">
        <v>1.7919999999999701</v>
      </c>
      <c r="AF2357">
        <v>1.4073910428897101</v>
      </c>
      <c r="AG2357">
        <v>-1.110219147759</v>
      </c>
      <c r="AH2357">
        <v>18.7424310216173</v>
      </c>
      <c r="AI2357">
        <v>93.380493384227293</v>
      </c>
      <c r="AJ2357">
        <v>85.705652363753401</v>
      </c>
      <c r="AK2357">
        <v>18.827959440782202</v>
      </c>
      <c r="AL2357">
        <v>80.003588349767298</v>
      </c>
      <c r="AM2357">
        <v>90.544219478875405</v>
      </c>
      <c r="AN2357">
        <v>0.99999999840897602</v>
      </c>
    </row>
    <row r="2358" spans="1:40" x14ac:dyDescent="0.25">
      <c r="A2358" t="str">
        <f>"20190312172129321"</f>
        <v>20190312172129321</v>
      </c>
      <c r="B2358" t="str">
        <f>"1552382489313241"</f>
        <v>1552382489313241</v>
      </c>
      <c r="C2358" t="s">
        <v>40</v>
      </c>
      <c r="D2358">
        <v>3.1693750000000001</v>
      </c>
      <c r="E2358">
        <v>0.53136229999999995</v>
      </c>
      <c r="F2358" t="s">
        <v>46</v>
      </c>
      <c r="G2358">
        <v>-266.80680000000001</v>
      </c>
      <c r="H2358" s="1">
        <v>2.0854340000000001E-6</v>
      </c>
      <c r="I2358">
        <v>283.64670000000001</v>
      </c>
      <c r="J2358">
        <v>-247.70590000000001</v>
      </c>
      <c r="K2358">
        <v>1.1102259999999999</v>
      </c>
      <c r="L2358">
        <v>281.80290000000002</v>
      </c>
      <c r="M2358">
        <v>-0.99973889999999999</v>
      </c>
      <c r="N2358">
        <v>0</v>
      </c>
      <c r="O2358">
        <v>2.0190960000000001E-2</v>
      </c>
      <c r="P2358">
        <v>-0.98646829999999996</v>
      </c>
      <c r="Q2358">
        <v>0.16354360000000001</v>
      </c>
      <c r="R2358">
        <v>1.1559379999999999E-2</v>
      </c>
      <c r="S2358">
        <v>-3.0670009999999999</v>
      </c>
      <c r="T2358">
        <v>-0.17722449999999901</v>
      </c>
      <c r="U2358">
        <v>0.29467769999999999</v>
      </c>
      <c r="V2358">
        <v>-8.3620469999999992E-3</v>
      </c>
      <c r="W2358">
        <v>0.17408979999999999</v>
      </c>
      <c r="X2358">
        <v>0.98469419999999996</v>
      </c>
      <c r="Y2358">
        <v>7.5429339999999998E-2</v>
      </c>
      <c r="Z2358">
        <v>1.0097070000000001E-3</v>
      </c>
      <c r="AA2358">
        <v>0.99715069999999995</v>
      </c>
      <c r="AB2358">
        <v>22</v>
      </c>
      <c r="AC2358">
        <v>-19.100899999999999</v>
      </c>
      <c r="AD2358">
        <v>-1.110223914566</v>
      </c>
      <c r="AE2358">
        <v>1.8437999999999799</v>
      </c>
      <c r="AF2358">
        <v>1.4528734015607301</v>
      </c>
      <c r="AG2358">
        <v>-1.110223914566</v>
      </c>
      <c r="AH2358">
        <v>19.0704028849763</v>
      </c>
      <c r="AI2358">
        <v>93.322228803003298</v>
      </c>
      <c r="AJ2358">
        <v>85.643352605062802</v>
      </c>
      <c r="AK2358">
        <v>19.157862731963299</v>
      </c>
      <c r="AL2358">
        <v>79.974304785719994</v>
      </c>
      <c r="AM2358">
        <v>90.486545452147595</v>
      </c>
      <c r="AN2358">
        <v>0.99999992490385203</v>
      </c>
    </row>
    <row r="2359" spans="1:40" x14ac:dyDescent="0.25">
      <c r="A2359" t="str">
        <f>"20190312172129331"</f>
        <v>20190312172129331</v>
      </c>
      <c r="B2359" t="str">
        <f>"1552382489323001"</f>
        <v>1552382489323001</v>
      </c>
      <c r="C2359" t="s">
        <v>40</v>
      </c>
      <c r="D2359">
        <v>3.1515</v>
      </c>
      <c r="E2359">
        <v>0.53129139999999997</v>
      </c>
      <c r="F2359" t="s">
        <v>46</v>
      </c>
      <c r="G2359">
        <v>-267.0333</v>
      </c>
      <c r="H2359" s="1">
        <v>2.2059689999999999E-6</v>
      </c>
      <c r="I2359">
        <v>283.67579999999998</v>
      </c>
      <c r="J2359">
        <v>-247.82499999999999</v>
      </c>
      <c r="K2359">
        <v>1.1102259999999999</v>
      </c>
      <c r="L2359">
        <v>281.80540000000002</v>
      </c>
      <c r="M2359">
        <v>-0.9997393</v>
      </c>
      <c r="N2359">
        <v>0</v>
      </c>
      <c r="O2359">
        <v>2.017596E-2</v>
      </c>
      <c r="P2359">
        <v>-0.98635510000000004</v>
      </c>
      <c r="Q2359">
        <v>0.16412879999999999</v>
      </c>
      <c r="R2359">
        <v>1.2865440000000001E-2</v>
      </c>
      <c r="S2359">
        <v>-3.0668950000000001</v>
      </c>
      <c r="T2359">
        <v>-0.17617240000000001</v>
      </c>
      <c r="U2359">
        <v>0.29718020000000001</v>
      </c>
      <c r="V2359">
        <v>-7.039081E-3</v>
      </c>
      <c r="W2359">
        <v>0.1746711</v>
      </c>
      <c r="X2359">
        <v>0.98460170000000002</v>
      </c>
      <c r="Y2359">
        <v>7.6253420000000002E-2</v>
      </c>
      <c r="Z2359">
        <v>1.0281730000000001E-3</v>
      </c>
      <c r="AA2359">
        <v>0.99708799999999997</v>
      </c>
      <c r="AB2359">
        <v>22</v>
      </c>
      <c r="AC2359">
        <v>-19.208300000000001</v>
      </c>
      <c r="AD2359">
        <v>-1.110223794031</v>
      </c>
      <c r="AE2359">
        <v>1.8703999999999601</v>
      </c>
      <c r="AF2359">
        <v>1.4775614007056801</v>
      </c>
      <c r="AG2359">
        <v>-1.110223794031</v>
      </c>
      <c r="AH2359">
        <v>19.178659681445701</v>
      </c>
      <c r="AI2359">
        <v>93.303302073137701</v>
      </c>
      <c r="AJ2359">
        <v>85.5945236656882</v>
      </c>
      <c r="AK2359">
        <v>19.2675055921206</v>
      </c>
      <c r="AL2359">
        <v>79.940481516994197</v>
      </c>
      <c r="AM2359">
        <v>90.409610060629007</v>
      </c>
      <c r="AN2359">
        <v>1.0000000247397101</v>
      </c>
    </row>
    <row r="2360" spans="1:40" x14ac:dyDescent="0.25">
      <c r="A2360" t="str">
        <f>"20190312172129344"</f>
        <v>20190312172129344</v>
      </c>
      <c r="B2360" t="str">
        <f>"1552382489332761"</f>
        <v>1552382489332761</v>
      </c>
      <c r="C2360" t="s">
        <v>40</v>
      </c>
      <c r="D2360">
        <v>3.2078769999999999</v>
      </c>
      <c r="E2360">
        <v>0.53128710000000001</v>
      </c>
      <c r="F2360" t="s">
        <v>46</v>
      </c>
      <c r="G2360">
        <v>-267.32499999999999</v>
      </c>
      <c r="H2360" s="1">
        <v>2.3612189999999998E-6</v>
      </c>
      <c r="I2360">
        <v>283.71839999999997</v>
      </c>
      <c r="J2360">
        <v>-247.9367</v>
      </c>
      <c r="K2360">
        <v>1.110228</v>
      </c>
      <c r="L2360">
        <v>281.80759999999998</v>
      </c>
      <c r="M2360">
        <v>-0.9997395</v>
      </c>
      <c r="N2360">
        <v>0</v>
      </c>
      <c r="O2360">
        <v>2.0162269999999999E-2</v>
      </c>
      <c r="P2360">
        <v>-0.98626210000000003</v>
      </c>
      <c r="Q2360">
        <v>0.16459270000000001</v>
      </c>
      <c r="R2360">
        <v>1.4009809999999999E-2</v>
      </c>
      <c r="S2360">
        <v>-3.0666199999999999</v>
      </c>
      <c r="T2360">
        <v>-0.17459639999999901</v>
      </c>
      <c r="U2360">
        <v>0.30084229999999901</v>
      </c>
      <c r="V2360">
        <v>-5.8794069999999997E-3</v>
      </c>
      <c r="W2360">
        <v>0.1751308</v>
      </c>
      <c r="X2360">
        <v>0.98452759999999995</v>
      </c>
      <c r="Y2360">
        <v>7.7454759999999997E-2</v>
      </c>
      <c r="Z2360">
        <v>1.0538920000000001E-3</v>
      </c>
      <c r="AA2360">
        <v>0.99699530000000003</v>
      </c>
      <c r="AB2360">
        <v>22</v>
      </c>
      <c r="AC2360">
        <v>-19.388299999999902</v>
      </c>
      <c r="AD2360">
        <v>-1.1102256387809999</v>
      </c>
      <c r="AE2360">
        <v>1.9107999999999901</v>
      </c>
      <c r="AF2360">
        <v>1.51455854204397</v>
      </c>
      <c r="AG2360">
        <v>-1.1102256387809999</v>
      </c>
      <c r="AH2360">
        <v>19.3600155147614</v>
      </c>
      <c r="AI2360">
        <v>93.272131551419406</v>
      </c>
      <c r="AJ2360">
        <v>85.526789277097294</v>
      </c>
      <c r="AK2360">
        <v>19.450878881893399</v>
      </c>
      <c r="AL2360">
        <v>79.913729847765197</v>
      </c>
      <c r="AM2360">
        <v>90.342155164309304</v>
      </c>
      <c r="AN2360">
        <v>0.99999997984853495</v>
      </c>
    </row>
    <row r="2361" spans="1:40" x14ac:dyDescent="0.25">
      <c r="A2361" t="str">
        <f>"20190312172129357"</f>
        <v>20190312172129357</v>
      </c>
      <c r="B2361" t="str">
        <f>"1552382489353257"</f>
        <v>1552382489353257</v>
      </c>
      <c r="C2361" t="s">
        <v>40</v>
      </c>
      <c r="D2361">
        <v>3.2924880000000001</v>
      </c>
      <c r="E2361">
        <v>0.53210179999999996</v>
      </c>
      <c r="F2361" t="s">
        <v>46</v>
      </c>
      <c r="G2361">
        <v>-267.46780000000001</v>
      </c>
      <c r="H2361" s="1">
        <v>2.4372039999999998E-6</v>
      </c>
      <c r="I2361">
        <v>283.74549999999999</v>
      </c>
      <c r="J2361">
        <v>-248.0693</v>
      </c>
      <c r="K2361">
        <v>1.1102299999999901</v>
      </c>
      <c r="L2361">
        <v>281.81029999999998</v>
      </c>
      <c r="M2361">
        <v>-0.99974010000000002</v>
      </c>
      <c r="N2361">
        <v>0</v>
      </c>
      <c r="O2361">
        <v>2.0145949999999999E-2</v>
      </c>
      <c r="P2361">
        <v>-0.98620039999999998</v>
      </c>
      <c r="Q2361">
        <v>0.16479540000000001</v>
      </c>
      <c r="R2361">
        <v>1.5862580000000001E-2</v>
      </c>
      <c r="S2361">
        <v>-3.0665589999999998</v>
      </c>
      <c r="T2361">
        <v>-0.17431549999999901</v>
      </c>
      <c r="U2361">
        <v>0.30426029999999998</v>
      </c>
      <c r="V2361">
        <v>-4.0093960000000001E-3</v>
      </c>
      <c r="W2361">
        <v>0.17533029999999999</v>
      </c>
      <c r="X2361">
        <v>0.98450150000000003</v>
      </c>
      <c r="Y2361">
        <v>7.8571959999999996E-2</v>
      </c>
      <c r="Z2361">
        <v>1.0847400000000001E-3</v>
      </c>
      <c r="AA2361">
        <v>0.99690780000000001</v>
      </c>
      <c r="AB2361">
        <v>22</v>
      </c>
      <c r="AC2361">
        <v>-19.398499999999999</v>
      </c>
      <c r="AD2361">
        <v>-1.1102275627960001</v>
      </c>
      <c r="AE2361">
        <v>1.9352</v>
      </c>
      <c r="AF2361">
        <v>1.53899233049378</v>
      </c>
      <c r="AG2361">
        <v>-1.1102275627960001</v>
      </c>
      <c r="AH2361">
        <v>19.370726235252601</v>
      </c>
      <c r="AI2361">
        <v>93.270020423704196</v>
      </c>
      <c r="AJ2361">
        <v>85.457427272412801</v>
      </c>
      <c r="AK2361">
        <v>19.463456463732602</v>
      </c>
      <c r="AL2361">
        <v>79.902119869819202</v>
      </c>
      <c r="AM2361">
        <v>90.233336565971797</v>
      </c>
      <c r="AN2361">
        <v>0.99999999642831205</v>
      </c>
    </row>
    <row r="2362" spans="1:40" x14ac:dyDescent="0.25">
      <c r="A2362" t="str">
        <f>"20190312172129376"</f>
        <v>20190312172129376</v>
      </c>
      <c r="B2362" t="str">
        <f>"1552382489372777"</f>
        <v>1552382489372777</v>
      </c>
      <c r="C2362" t="s">
        <v>40</v>
      </c>
      <c r="D2362">
        <v>3.2488649999999999</v>
      </c>
      <c r="E2362">
        <v>0.56257690000000005</v>
      </c>
      <c r="F2362" t="s">
        <v>46</v>
      </c>
      <c r="G2362">
        <v>-268.01170000000002</v>
      </c>
      <c r="H2362" s="1">
        <v>2.7266560000000001E-6</v>
      </c>
      <c r="I2362">
        <v>283.86810000000003</v>
      </c>
      <c r="J2362">
        <v>-248.25710000000001</v>
      </c>
      <c r="K2362">
        <v>1.1102289999999999</v>
      </c>
      <c r="L2362">
        <v>281.81400000000002</v>
      </c>
      <c r="M2362">
        <v>-0.99974050000000003</v>
      </c>
      <c r="N2362">
        <v>0</v>
      </c>
      <c r="O2362">
        <v>2.0122609999999999E-2</v>
      </c>
      <c r="P2362">
        <v>-0.98603269999999998</v>
      </c>
      <c r="Q2362">
        <v>0.16536479999999901</v>
      </c>
      <c r="R2362">
        <v>1.9862330000000001E-2</v>
      </c>
      <c r="S2362">
        <v>-3.0653839999999999</v>
      </c>
      <c r="T2362">
        <v>-0.1706551</v>
      </c>
      <c r="U2362">
        <v>0.3163147</v>
      </c>
      <c r="V2362" s="1">
        <v>1.5833420000000001E-5</v>
      </c>
      <c r="W2362">
        <v>0.1758941</v>
      </c>
      <c r="X2362">
        <v>0.98440910000000004</v>
      </c>
      <c r="Y2362">
        <v>8.2510429999999996E-2</v>
      </c>
      <c r="Z2362">
        <v>1.1727529999999999E-3</v>
      </c>
      <c r="AA2362">
        <v>0.99658950000000002</v>
      </c>
      <c r="AB2362">
        <v>22</v>
      </c>
      <c r="AC2362">
        <v>-19.7546</v>
      </c>
      <c r="AD2362">
        <v>-1.110226273344</v>
      </c>
      <c r="AE2362">
        <v>2.0541</v>
      </c>
      <c r="AF2362">
        <v>1.6509883277324899</v>
      </c>
      <c r="AG2362">
        <v>-1.110226273344</v>
      </c>
      <c r="AH2362">
        <v>19.730283514115101</v>
      </c>
      <c r="AI2362">
        <v>93.2094534130255</v>
      </c>
      <c r="AJ2362">
        <v>85.216753853746994</v>
      </c>
      <c r="AK2362">
        <v>19.830341711218601</v>
      </c>
      <c r="AL2362">
        <v>79.869306663120298</v>
      </c>
      <c r="AM2362">
        <v>89.999078443970902</v>
      </c>
      <c r="AN2362">
        <v>1.00000000541415</v>
      </c>
    </row>
    <row r="2363" spans="1:40" x14ac:dyDescent="0.25">
      <c r="A2363" t="str">
        <f>"20190312172129400"</f>
        <v>20190312172129400</v>
      </c>
      <c r="B2363" t="str">
        <f>"1552382489393273"</f>
        <v>1552382489393273</v>
      </c>
      <c r="C2363" t="s">
        <v>40</v>
      </c>
      <c r="D2363">
        <v>3.1886450000000002</v>
      </c>
      <c r="E2363">
        <v>0.56331100000000001</v>
      </c>
      <c r="F2363" t="s">
        <v>46</v>
      </c>
      <c r="G2363">
        <v>-276.01350000000002</v>
      </c>
      <c r="H2363" s="1">
        <v>1.5588739999999999E-6</v>
      </c>
      <c r="I2363">
        <v>287.00580000000002</v>
      </c>
      <c r="J2363">
        <v>-248.49109999999999</v>
      </c>
      <c r="K2363">
        <v>1.1102259999999999</v>
      </c>
      <c r="L2363">
        <v>281.81869999999998</v>
      </c>
      <c r="M2363">
        <v>-0.9997412</v>
      </c>
      <c r="N2363">
        <v>0</v>
      </c>
      <c r="O2363">
        <v>2.0093260000000002E-2</v>
      </c>
      <c r="P2363">
        <v>-0.98586890000000005</v>
      </c>
      <c r="Q2363">
        <v>0.16577910000000001</v>
      </c>
      <c r="R2363">
        <v>2.4085929999999998E-2</v>
      </c>
      <c r="S2363">
        <v>-3.0514830000000002</v>
      </c>
      <c r="T2363">
        <v>-0.122056</v>
      </c>
      <c r="U2363">
        <v>0.57077029999999995</v>
      </c>
      <c r="V2363">
        <v>4.2707400000000003E-3</v>
      </c>
      <c r="W2363">
        <v>0.17630290000000001</v>
      </c>
      <c r="X2363">
        <v>0.9843267</v>
      </c>
      <c r="Y2363">
        <v>0.1639582</v>
      </c>
      <c r="Z2363">
        <v>2.4534959999999999E-3</v>
      </c>
      <c r="AA2363">
        <v>0.98646429999999996</v>
      </c>
      <c r="AB2363">
        <v>22</v>
      </c>
      <c r="AC2363">
        <v>-27.522400000000001</v>
      </c>
      <c r="AD2363">
        <v>-1.1102244411259901</v>
      </c>
      <c r="AE2363">
        <v>5.18710000000004</v>
      </c>
      <c r="AF2363">
        <v>4.6257375068731301</v>
      </c>
      <c r="AG2363">
        <v>-1.1102244411259901</v>
      </c>
      <c r="AH2363">
        <v>27.577738534555198</v>
      </c>
      <c r="AI2363">
        <v>92.273639891271401</v>
      </c>
      <c r="AJ2363">
        <v>80.478160722110303</v>
      </c>
      <c r="AK2363">
        <v>27.985026504766001</v>
      </c>
      <c r="AL2363">
        <v>79.845512268729806</v>
      </c>
      <c r="AM2363">
        <v>89.751409931298994</v>
      </c>
      <c r="AN2363">
        <v>1.00000000205072</v>
      </c>
    </row>
    <row r="2364" spans="1:40" x14ac:dyDescent="0.25">
      <c r="A2364" t="str">
        <f>"20190312172129412"</f>
        <v>20190312172129412</v>
      </c>
      <c r="B2364" t="str">
        <f>"1552382489403033"</f>
        <v>1552382489403033</v>
      </c>
      <c r="C2364" t="s">
        <v>40</v>
      </c>
      <c r="D2364">
        <v>3.1855959999999999</v>
      </c>
      <c r="E2364">
        <v>0.56414219999999904</v>
      </c>
      <c r="F2364" t="s">
        <v>46</v>
      </c>
      <c r="G2364">
        <v>-274.5505</v>
      </c>
      <c r="H2364" s="1">
        <v>7.8665649999999999E-7</v>
      </c>
      <c r="I2364">
        <v>286.86130000000003</v>
      </c>
      <c r="J2364">
        <v>-248.6172</v>
      </c>
      <c r="K2364">
        <v>1.1102259999999999</v>
      </c>
      <c r="L2364">
        <v>281.82130000000001</v>
      </c>
      <c r="M2364">
        <v>-0.99974160000000001</v>
      </c>
      <c r="N2364">
        <v>0</v>
      </c>
      <c r="O2364">
        <v>2.0077770000000002E-2</v>
      </c>
      <c r="P2364">
        <v>-0.98581459999999999</v>
      </c>
      <c r="Q2364">
        <v>0.1657227</v>
      </c>
      <c r="R2364">
        <v>2.6567750000000001E-2</v>
      </c>
      <c r="S2364">
        <v>-3.050446</v>
      </c>
      <c r="T2364">
        <v>-0.12995989999999999</v>
      </c>
      <c r="U2364">
        <v>0.59027099999999999</v>
      </c>
      <c r="V2364">
        <v>6.7684879999999996E-3</v>
      </c>
      <c r="W2364">
        <v>0.1762447</v>
      </c>
      <c r="X2364">
        <v>0.98432310000000001</v>
      </c>
      <c r="Y2364">
        <v>0.17009659999999999</v>
      </c>
      <c r="Z2364">
        <v>2.741734E-3</v>
      </c>
      <c r="AA2364">
        <v>0.98542359999999896</v>
      </c>
      <c r="AB2364">
        <v>22</v>
      </c>
      <c r="AC2364">
        <v>-25.933299999999999</v>
      </c>
      <c r="AD2364">
        <v>-1.1102252133435</v>
      </c>
      <c r="AE2364">
        <v>5.0400000000000196</v>
      </c>
      <c r="AF2364">
        <v>4.5103060406122797</v>
      </c>
      <c r="AG2364">
        <v>-1.1102252133435</v>
      </c>
      <c r="AH2364">
        <v>25.983381293734901</v>
      </c>
      <c r="AI2364">
        <v>92.410656597328497</v>
      </c>
      <c r="AJ2364">
        <v>80.152478880825399</v>
      </c>
      <c r="AK2364">
        <v>26.3952943544856</v>
      </c>
      <c r="AL2364">
        <v>79.848899764722304</v>
      </c>
      <c r="AM2364">
        <v>89.606023993534507</v>
      </c>
      <c r="AN2364">
        <v>0.99999998595075301</v>
      </c>
    </row>
    <row r="2365" spans="1:40" x14ac:dyDescent="0.25">
      <c r="A2365" t="str">
        <f>"20190312172129424"</f>
        <v>20190312172129424</v>
      </c>
      <c r="B2365" t="str">
        <f>"1552382489412793"</f>
        <v>1552382489412793</v>
      </c>
      <c r="C2365" t="s">
        <v>40</v>
      </c>
      <c r="D2365">
        <v>3.2369629999999998</v>
      </c>
      <c r="E2365">
        <v>0.56403139999999996</v>
      </c>
      <c r="F2365" t="s">
        <v>46</v>
      </c>
      <c r="G2365">
        <v>-274.084</v>
      </c>
      <c r="H2365" s="1">
        <v>5.3783209999999898E-7</v>
      </c>
      <c r="I2365">
        <v>286.87349999999998</v>
      </c>
      <c r="J2365">
        <v>-248.7346</v>
      </c>
      <c r="K2365">
        <v>1.110225</v>
      </c>
      <c r="L2365">
        <v>281.8236</v>
      </c>
      <c r="M2365">
        <v>-0.99974180000000001</v>
      </c>
      <c r="N2365">
        <v>0</v>
      </c>
      <c r="O2365">
        <v>2.0063600000000001E-2</v>
      </c>
      <c r="P2365">
        <v>-0.9857728</v>
      </c>
      <c r="Q2365">
        <v>0.16562180000000001</v>
      </c>
      <c r="R2365">
        <v>2.8662360000000001E-2</v>
      </c>
      <c r="S2365">
        <v>-3.049194</v>
      </c>
      <c r="T2365">
        <v>-0.13292970000000001</v>
      </c>
      <c r="U2365">
        <v>0.6049194</v>
      </c>
      <c r="V2365">
        <v>8.8774539999999999E-3</v>
      </c>
      <c r="W2365">
        <v>0.17614189999999999</v>
      </c>
      <c r="X2365">
        <v>0.9843248</v>
      </c>
      <c r="Y2365">
        <v>0.17473269999999999</v>
      </c>
      <c r="Z2365">
        <v>2.904832E-3</v>
      </c>
      <c r="AA2365">
        <v>0.98461160000000003</v>
      </c>
      <c r="AB2365">
        <v>22</v>
      </c>
      <c r="AC2365">
        <v>-25.349399999999999</v>
      </c>
      <c r="AD2365">
        <v>-1.1102244621678901</v>
      </c>
      <c r="AE2365">
        <v>5.0498999999999796</v>
      </c>
      <c r="AF2365">
        <v>4.5318930981666501</v>
      </c>
      <c r="AG2365">
        <v>-1.1102244621678901</v>
      </c>
      <c r="AH2365">
        <v>25.398762255325099</v>
      </c>
      <c r="AI2365">
        <v>92.464038197825403</v>
      </c>
      <c r="AJ2365">
        <v>79.883198988798895</v>
      </c>
      <c r="AK2365">
        <v>25.823783175827199</v>
      </c>
      <c r="AL2365">
        <v>79.854883986617594</v>
      </c>
      <c r="AM2365">
        <v>89.483273349525206</v>
      </c>
      <c r="AN2365">
        <v>1.0000000450100801</v>
      </c>
    </row>
    <row r="2366" spans="1:40" x14ac:dyDescent="0.25">
      <c r="A2366" t="str">
        <f>"20190312172129443"</f>
        <v>20190312172129443</v>
      </c>
      <c r="B2366" t="str">
        <f>"1552382489433292"</f>
        <v>1552382489433292</v>
      </c>
      <c r="C2366" t="s">
        <v>40</v>
      </c>
      <c r="D2366">
        <v>3.195208</v>
      </c>
      <c r="E2366">
        <v>0.56363759999999996</v>
      </c>
      <c r="F2366" t="s">
        <v>46</v>
      </c>
      <c r="G2366">
        <v>-274.15379999999999</v>
      </c>
      <c r="H2366" s="1">
        <v>5.7312869999999999E-7</v>
      </c>
      <c r="I2366">
        <v>286.91640000000001</v>
      </c>
      <c r="J2366">
        <v>-248.92609999999999</v>
      </c>
      <c r="K2366">
        <v>1.110223</v>
      </c>
      <c r="L2366">
        <v>281.82749999999999</v>
      </c>
      <c r="M2366">
        <v>-0.99974229999999997</v>
      </c>
      <c r="N2366">
        <v>0</v>
      </c>
      <c r="O2366">
        <v>2.0041739999999999E-2</v>
      </c>
      <c r="P2366">
        <v>-0.98560769999999998</v>
      </c>
      <c r="Q2366">
        <v>0.16569700000000001</v>
      </c>
      <c r="R2366">
        <v>3.350011E-2</v>
      </c>
      <c r="S2366">
        <v>-3.0478969999999999</v>
      </c>
      <c r="T2366">
        <v>-0.13312179999999901</v>
      </c>
      <c r="U2366">
        <v>0.61065669999999905</v>
      </c>
      <c r="V2366">
        <v>1.3739329999999999E-2</v>
      </c>
      <c r="W2366">
        <v>0.1762137</v>
      </c>
      <c r="X2366">
        <v>0.98425600000000002</v>
      </c>
      <c r="Y2366">
        <v>0.1766142</v>
      </c>
      <c r="Z2366">
        <v>2.9513209999999998E-3</v>
      </c>
      <c r="AA2366">
        <v>0.98427580000000003</v>
      </c>
      <c r="AB2366">
        <v>22</v>
      </c>
      <c r="AC2366">
        <v>-25.227699999999999</v>
      </c>
      <c r="AD2366">
        <v>-1.1102224268712999</v>
      </c>
      <c r="AE2366">
        <v>5.0889000000000202</v>
      </c>
      <c r="AF2366">
        <v>4.5737303594695096</v>
      </c>
      <c r="AG2366">
        <v>-1.1102224268712999</v>
      </c>
      <c r="AH2366">
        <v>25.277587264386</v>
      </c>
      <c r="AI2366">
        <v>92.474750723705995</v>
      </c>
      <c r="AJ2366">
        <v>79.743858880551699</v>
      </c>
      <c r="AK2366">
        <v>25.712020946376601</v>
      </c>
      <c r="AL2366">
        <v>79.850703861049297</v>
      </c>
      <c r="AM2366">
        <v>89.200254306201302</v>
      </c>
      <c r="AN2366">
        <v>0.99999995539626796</v>
      </c>
    </row>
    <row r="2367" spans="1:40" x14ac:dyDescent="0.25">
      <c r="A2367" t="str">
        <f>"20190312172129455"</f>
        <v>20190312172129455</v>
      </c>
      <c r="B2367" t="str">
        <f>"1552382489452808"</f>
        <v>1552382489452808</v>
      </c>
      <c r="C2367" t="s">
        <v>40</v>
      </c>
      <c r="D2367">
        <v>3.2247140000000001</v>
      </c>
      <c r="E2367">
        <v>0.56297209999999998</v>
      </c>
      <c r="F2367" t="s">
        <v>46</v>
      </c>
      <c r="G2367">
        <v>-274.92360000000002</v>
      </c>
      <c r="H2367" s="1">
        <v>9.728381999999999E-7</v>
      </c>
      <c r="I2367">
        <v>287.1431</v>
      </c>
      <c r="J2367">
        <v>-249.0505</v>
      </c>
      <c r="K2367">
        <v>1.1102209999999999</v>
      </c>
      <c r="L2367">
        <v>281.82990000000001</v>
      </c>
      <c r="M2367">
        <v>-0.99974240000000003</v>
      </c>
      <c r="N2367">
        <v>0</v>
      </c>
      <c r="O2367">
        <v>2.002876E-2</v>
      </c>
      <c r="P2367">
        <v>-0.98561869999999996</v>
      </c>
      <c r="Q2367">
        <v>0.16519979999999901</v>
      </c>
      <c r="R2367">
        <v>3.5562950000000003E-2</v>
      </c>
      <c r="S2367">
        <v>-3.044495</v>
      </c>
      <c r="T2367">
        <v>-0.13001499999999999</v>
      </c>
      <c r="U2367">
        <v>0.62249759999999998</v>
      </c>
      <c r="V2367">
        <v>1.581455E-2</v>
      </c>
      <c r="W2367">
        <v>0.1757157</v>
      </c>
      <c r="X2367">
        <v>0.98431389999999996</v>
      </c>
      <c r="Y2367">
        <v>0.1805177</v>
      </c>
      <c r="Z2367">
        <v>2.9675769999999999E-3</v>
      </c>
      <c r="AA2367">
        <v>0.98356719999999997</v>
      </c>
      <c r="AB2367">
        <v>22</v>
      </c>
      <c r="AC2367">
        <v>-25.873100000000001</v>
      </c>
      <c r="AD2367">
        <v>-1.1102200271617999</v>
      </c>
      <c r="AE2367">
        <v>5.3131999999999904</v>
      </c>
      <c r="AF2367">
        <v>4.7854436077036802</v>
      </c>
      <c r="AG2367">
        <v>-1.1102200271617999</v>
      </c>
      <c r="AH2367">
        <v>25.928522288918298</v>
      </c>
      <c r="AI2367">
        <v>92.411147898183302</v>
      </c>
      <c r="AJ2367">
        <v>79.542998237800802</v>
      </c>
      <c r="AK2367">
        <v>26.389795890043398</v>
      </c>
      <c r="AL2367">
        <v>79.879689694488704</v>
      </c>
      <c r="AM2367">
        <v>89.079532437691995</v>
      </c>
      <c r="AN2367">
        <v>0.99999998047570005</v>
      </c>
    </row>
    <row r="2368" spans="1:40" x14ac:dyDescent="0.25">
      <c r="A2368" t="str">
        <f>"20190312172129468"</f>
        <v>20190312172129468</v>
      </c>
      <c r="B2368" t="str">
        <f>"1552382489463545"</f>
        <v>1552382489463545</v>
      </c>
      <c r="C2368" t="s">
        <v>40</v>
      </c>
      <c r="D2368">
        <v>3.2293189999999998</v>
      </c>
      <c r="E2368">
        <v>0.56269559999999996</v>
      </c>
      <c r="F2368" t="s">
        <v>46</v>
      </c>
      <c r="G2368">
        <v>-274.84160000000003</v>
      </c>
      <c r="H2368" s="1">
        <v>9.3042639999999996E-7</v>
      </c>
      <c r="I2368">
        <v>287.1157</v>
      </c>
      <c r="J2368">
        <v>-249.16900000000001</v>
      </c>
      <c r="K2368">
        <v>1.1102179999999999</v>
      </c>
      <c r="L2368">
        <v>281.83229999999998</v>
      </c>
      <c r="M2368">
        <v>-0.99974269999999998</v>
      </c>
      <c r="N2368">
        <v>0</v>
      </c>
      <c r="O2368">
        <v>2.0016740000000002E-2</v>
      </c>
      <c r="P2368">
        <v>-0.98558000000000001</v>
      </c>
      <c r="Q2368">
        <v>0.16498599999999999</v>
      </c>
      <c r="R2368">
        <v>3.757133E-2</v>
      </c>
      <c r="S2368">
        <v>-3.0432130000000002</v>
      </c>
      <c r="T2368">
        <v>-0.13100000000000001</v>
      </c>
      <c r="U2368">
        <v>0.62368769999999996</v>
      </c>
      <c r="V2368">
        <v>1.7835409999999999E-2</v>
      </c>
      <c r="W2368">
        <v>0.17550070000000001</v>
      </c>
      <c r="X2368">
        <v>0.98431769999999996</v>
      </c>
      <c r="Y2368">
        <v>0.18097740000000001</v>
      </c>
      <c r="Z2368">
        <v>3.0014569999999999E-3</v>
      </c>
      <c r="AA2368">
        <v>0.98348270000000004</v>
      </c>
      <c r="AB2368">
        <v>22</v>
      </c>
      <c r="AC2368">
        <v>-25.672599999999999</v>
      </c>
      <c r="AD2368">
        <v>-1.1102170695736</v>
      </c>
      <c r="AE2368">
        <v>5.2834000000000199</v>
      </c>
      <c r="AF2368">
        <v>4.7598903013545897</v>
      </c>
      <c r="AG2368">
        <v>-1.1102170695736</v>
      </c>
      <c r="AH2368">
        <v>25.7270597866905</v>
      </c>
      <c r="AI2368">
        <v>92.429803984649297</v>
      </c>
      <c r="AJ2368">
        <v>79.517954447743406</v>
      </c>
      <c r="AK2368">
        <v>26.1872248031449</v>
      </c>
      <c r="AL2368">
        <v>79.892202590926999</v>
      </c>
      <c r="AM2368">
        <v>88.961938909247706</v>
      </c>
      <c r="AN2368">
        <v>0.99999996604182295</v>
      </c>
    </row>
    <row r="2369" spans="1:40" x14ac:dyDescent="0.25">
      <c r="A2369" t="str">
        <f>"20190312172129487"</f>
        <v>20190312172129487</v>
      </c>
      <c r="B2369" t="str">
        <f>"1552382489483065"</f>
        <v>1552382489483065</v>
      </c>
      <c r="C2369" t="s">
        <v>40</v>
      </c>
      <c r="D2369">
        <v>3.151157</v>
      </c>
      <c r="E2369">
        <v>0.56203340000000002</v>
      </c>
      <c r="F2369" t="s">
        <v>46</v>
      </c>
      <c r="G2369">
        <v>-274.79039999999998</v>
      </c>
      <c r="H2369" s="1">
        <v>9.0294990000000003E-7</v>
      </c>
      <c r="I2369">
        <v>287.12049999999999</v>
      </c>
      <c r="J2369">
        <v>-249.36670000000001</v>
      </c>
      <c r="K2369">
        <v>1.110212</v>
      </c>
      <c r="L2369">
        <v>281.83620000000002</v>
      </c>
      <c r="M2369">
        <v>-0.9997431</v>
      </c>
      <c r="N2369">
        <v>0</v>
      </c>
      <c r="O2369">
        <v>1.999805E-2</v>
      </c>
      <c r="P2369">
        <v>-0.98552729999999999</v>
      </c>
      <c r="Q2369">
        <v>0.16442570000000001</v>
      </c>
      <c r="R2369">
        <v>4.1235460000000002E-2</v>
      </c>
      <c r="S2369">
        <v>-3.0420069999999999</v>
      </c>
      <c r="T2369">
        <v>-0.131815299999999</v>
      </c>
      <c r="U2369">
        <v>0.62786869999999995</v>
      </c>
      <c r="V2369">
        <v>2.151896E-2</v>
      </c>
      <c r="W2369">
        <v>0.17493919999999999</v>
      </c>
      <c r="X2369">
        <v>0.98434410000000006</v>
      </c>
      <c r="Y2369">
        <v>0.182366</v>
      </c>
      <c r="Z2369">
        <v>3.0514380000000001E-3</v>
      </c>
      <c r="AA2369">
        <v>0.98322600000000004</v>
      </c>
      <c r="AB2369">
        <v>22</v>
      </c>
      <c r="AC2369">
        <v>-25.423699999999901</v>
      </c>
      <c r="AD2369">
        <v>-1.1102110970501</v>
      </c>
      <c r="AE2369">
        <v>5.2842999999999698</v>
      </c>
      <c r="AF2369">
        <v>4.7660775866520604</v>
      </c>
      <c r="AG2369">
        <v>-1.1102110970501</v>
      </c>
      <c r="AH2369">
        <v>25.4777247426305</v>
      </c>
      <c r="AI2369">
        <v>92.452636199440505</v>
      </c>
      <c r="AJ2369">
        <v>79.404234767507006</v>
      </c>
      <c r="AK2369">
        <v>25.943448542999199</v>
      </c>
      <c r="AL2369">
        <v>79.924880547305705</v>
      </c>
      <c r="AM2369">
        <v>88.747644009532806</v>
      </c>
      <c r="AN2369">
        <v>1.0000000482704601</v>
      </c>
    </row>
    <row r="2370" spans="1:40" x14ac:dyDescent="0.25">
      <c r="A2370" t="str">
        <f>"20190312172129498"</f>
        <v>20190312172129498</v>
      </c>
      <c r="B2370" t="str">
        <f>"1552382489492825"</f>
        <v>1552382489492825</v>
      </c>
      <c r="C2370" t="s">
        <v>40</v>
      </c>
      <c r="D2370">
        <v>3.2069209999999999</v>
      </c>
      <c r="E2370">
        <v>0.56160790000000005</v>
      </c>
      <c r="F2370" t="s">
        <v>46</v>
      </c>
      <c r="G2370">
        <v>-274.45870000000002</v>
      </c>
      <c r="H2370" s="1">
        <v>7.2869829999999998E-7</v>
      </c>
      <c r="I2370">
        <v>287.06950000000001</v>
      </c>
      <c r="J2370">
        <v>-249.48670000000001</v>
      </c>
      <c r="K2370">
        <v>1.1102069999999999</v>
      </c>
      <c r="L2370">
        <v>281.83859999999999</v>
      </c>
      <c r="M2370">
        <v>-0.99974339999999995</v>
      </c>
      <c r="N2370">
        <v>0</v>
      </c>
      <c r="O2370">
        <v>1.998776E-2</v>
      </c>
      <c r="P2370">
        <v>-0.9855505</v>
      </c>
      <c r="Q2370">
        <v>0.163878</v>
      </c>
      <c r="R2370">
        <v>4.283443E-2</v>
      </c>
      <c r="S2370">
        <v>-3.040009</v>
      </c>
      <c r="T2370">
        <v>-0.13450680000000001</v>
      </c>
      <c r="U2370">
        <v>0.63403319999999996</v>
      </c>
      <c r="V2370">
        <v>2.3127950000000001E-2</v>
      </c>
      <c r="W2370">
        <v>0.174391299999999</v>
      </c>
      <c r="X2370">
        <v>0.98440479999999997</v>
      </c>
      <c r="Y2370">
        <v>0.18440709999999999</v>
      </c>
      <c r="Z2370">
        <v>3.1601609999999999E-3</v>
      </c>
      <c r="AA2370">
        <v>0.98284490000000002</v>
      </c>
      <c r="AB2370">
        <v>22</v>
      </c>
      <c r="AC2370">
        <v>-24.972000000000001</v>
      </c>
      <c r="AD2370">
        <v>-1.11020627130169</v>
      </c>
      <c r="AE2370">
        <v>5.2309000000000196</v>
      </c>
      <c r="AF2370">
        <v>4.7217518329791899</v>
      </c>
      <c r="AG2370">
        <v>-1.11020627130169</v>
      </c>
      <c r="AH2370">
        <v>25.0241888217972</v>
      </c>
      <c r="AI2370">
        <v>92.496288290819393</v>
      </c>
      <c r="AJ2370">
        <v>79.314630446266307</v>
      </c>
      <c r="AK2370">
        <v>25.489949480648999</v>
      </c>
      <c r="AL2370">
        <v>79.956762707154198</v>
      </c>
      <c r="AM2370">
        <v>88.654120554125996</v>
      </c>
      <c r="AN2370">
        <v>1.00000001892496</v>
      </c>
    </row>
    <row r="2371" spans="1:40" x14ac:dyDescent="0.25">
      <c r="A2371" t="str">
        <f>"20190312172129512"</f>
        <v>20190312172129512</v>
      </c>
      <c r="B2371" t="str">
        <f>"1552382489503561"</f>
        <v>1552382489503561</v>
      </c>
      <c r="C2371" t="s">
        <v>40</v>
      </c>
      <c r="D2371">
        <v>3.1985030000000001</v>
      </c>
      <c r="E2371">
        <v>0.56118570000000001</v>
      </c>
      <c r="F2371" t="s">
        <v>46</v>
      </c>
      <c r="G2371">
        <v>-274.30309999999997</v>
      </c>
      <c r="H2371" s="1">
        <v>6.4778359999999902E-7</v>
      </c>
      <c r="I2371">
        <v>287.02640000000002</v>
      </c>
      <c r="J2371">
        <v>-249.61170000000001</v>
      </c>
      <c r="K2371">
        <v>1.1101989999999999</v>
      </c>
      <c r="L2371">
        <v>281.84109999999998</v>
      </c>
      <c r="M2371">
        <v>-0.99974350000000001</v>
      </c>
      <c r="N2371">
        <v>0</v>
      </c>
      <c r="O2371">
        <v>1.9979739999999999E-2</v>
      </c>
      <c r="P2371">
        <v>-0.98556259999999996</v>
      </c>
      <c r="Q2371">
        <v>0.16336400000000001</v>
      </c>
      <c r="R2371">
        <v>4.448233E-2</v>
      </c>
      <c r="S2371">
        <v>-3.0390009999999998</v>
      </c>
      <c r="T2371">
        <v>-0.13595479999999999</v>
      </c>
      <c r="U2371">
        <v>0.63528439999999997</v>
      </c>
      <c r="V2371">
        <v>2.478379E-2</v>
      </c>
      <c r="W2371">
        <v>0.17387710000000001</v>
      </c>
      <c r="X2371">
        <v>0.98445550000000004</v>
      </c>
      <c r="Y2371">
        <v>0.1848639</v>
      </c>
      <c r="Z2371">
        <v>3.2055109999999999E-3</v>
      </c>
      <c r="AA2371">
        <v>0.98275889999999999</v>
      </c>
      <c r="AB2371">
        <v>22</v>
      </c>
      <c r="AC2371">
        <v>-24.691399999999899</v>
      </c>
      <c r="AD2371">
        <v>-1.1101983522163901</v>
      </c>
      <c r="AE2371">
        <v>5.1853000000000398</v>
      </c>
      <c r="AF2371">
        <v>4.6818436741629101</v>
      </c>
      <c r="AG2371">
        <v>-1.1101983522163901</v>
      </c>
      <c r="AH2371">
        <v>24.7421698779156</v>
      </c>
      <c r="AI2371">
        <v>92.5244398012494</v>
      </c>
      <c r="AJ2371">
        <v>79.284881375084396</v>
      </c>
      <c r="AK2371">
        <v>25.2056971900838</v>
      </c>
      <c r="AL2371">
        <v>79.986681678358806</v>
      </c>
      <c r="AM2371">
        <v>88.557876219381697</v>
      </c>
      <c r="AN2371">
        <v>1.0000000568157099</v>
      </c>
    </row>
    <row r="2372" spans="1:40" x14ac:dyDescent="0.25">
      <c r="A2372" t="str">
        <f>"20190312172129524"</f>
        <v>20190312172129524</v>
      </c>
      <c r="B2372" t="str">
        <f>"1552382489513321"</f>
        <v>1552382489513321</v>
      </c>
      <c r="C2372" t="s">
        <v>40</v>
      </c>
      <c r="D2372">
        <v>3.1686740000000002</v>
      </c>
      <c r="E2372">
        <v>0.56072349999999904</v>
      </c>
      <c r="F2372" t="s">
        <v>46</v>
      </c>
      <c r="G2372">
        <v>-274.185</v>
      </c>
      <c r="H2372" s="1">
        <v>5.8638009999999897E-7</v>
      </c>
      <c r="I2372">
        <v>286.99239999999998</v>
      </c>
      <c r="J2372">
        <v>-249.7346</v>
      </c>
      <c r="K2372">
        <v>1.1101989999999999</v>
      </c>
      <c r="L2372">
        <v>281.84359999999998</v>
      </c>
      <c r="M2372">
        <v>-0.99974359999999995</v>
      </c>
      <c r="N2372">
        <v>0</v>
      </c>
      <c r="O2372">
        <v>1.997297E-2</v>
      </c>
      <c r="P2372">
        <v>-0.98562709999999998</v>
      </c>
      <c r="Q2372">
        <v>0.16266</v>
      </c>
      <c r="R2372">
        <v>4.562049E-2</v>
      </c>
      <c r="S2372">
        <v>-3.0379330000000002</v>
      </c>
      <c r="T2372">
        <v>-0.13725109999999999</v>
      </c>
      <c r="U2372">
        <v>0.63684079999999998</v>
      </c>
      <c r="V2372">
        <v>2.5928150000000001E-2</v>
      </c>
      <c r="W2372">
        <v>0.17317370000000001</v>
      </c>
      <c r="X2372">
        <v>0.98454989999999998</v>
      </c>
      <c r="Y2372">
        <v>0.18541840000000001</v>
      </c>
      <c r="Z2372">
        <v>3.24968E-3</v>
      </c>
      <c r="AA2372">
        <v>0.98265429999999998</v>
      </c>
      <c r="AB2372">
        <v>22</v>
      </c>
      <c r="AC2372">
        <v>-24.450399999999998</v>
      </c>
      <c r="AD2372">
        <v>-1.1101984136198999</v>
      </c>
      <c r="AE2372">
        <v>5.1487999999999898</v>
      </c>
      <c r="AF2372">
        <v>4.6502175641034</v>
      </c>
      <c r="AG2372">
        <v>-1.1101984136198999</v>
      </c>
      <c r="AH2372">
        <v>24.499997505163002</v>
      </c>
      <c r="AI2372">
        <v>92.549090300925499</v>
      </c>
      <c r="AJ2372">
        <v>79.252826766313902</v>
      </c>
      <c r="AK2372">
        <v>24.962110120422398</v>
      </c>
      <c r="AL2372">
        <v>80.027603298672403</v>
      </c>
      <c r="AM2372">
        <v>88.491462670788295</v>
      </c>
      <c r="AN2372">
        <v>0.99999995246205997</v>
      </c>
    </row>
    <row r="2373" spans="1:40" x14ac:dyDescent="0.25">
      <c r="A2373" t="str">
        <f>"20190312172129535"</f>
        <v>20190312172129535</v>
      </c>
      <c r="B2373" t="str">
        <f>"1552382489533817"</f>
        <v>1552382489533817</v>
      </c>
      <c r="C2373" t="s">
        <v>40</v>
      </c>
      <c r="D2373">
        <v>3.1840980000000001</v>
      </c>
      <c r="E2373">
        <v>0.56032219999999999</v>
      </c>
      <c r="F2373" t="s">
        <v>46</v>
      </c>
      <c r="G2373">
        <v>-273.93299999999999</v>
      </c>
      <c r="H2373" s="1">
        <v>4.5572109999999997E-7</v>
      </c>
      <c r="I2373">
        <v>286.91370000000001</v>
      </c>
      <c r="J2373">
        <v>-249.8536</v>
      </c>
      <c r="K2373">
        <v>1.110193</v>
      </c>
      <c r="L2373">
        <v>281.846</v>
      </c>
      <c r="M2373">
        <v>-0.99974390000000002</v>
      </c>
      <c r="N2373">
        <v>0</v>
      </c>
      <c r="O2373">
        <v>1.9968E-2</v>
      </c>
      <c r="P2373">
        <v>-0.98566149999999997</v>
      </c>
      <c r="Q2373">
        <v>0.1621541</v>
      </c>
      <c r="R2373">
        <v>4.6668880000000003E-2</v>
      </c>
      <c r="S2373">
        <v>-3.0373079999999999</v>
      </c>
      <c r="T2373">
        <v>-0.1393491</v>
      </c>
      <c r="U2373">
        <v>0.63638309999999998</v>
      </c>
      <c r="V2373">
        <v>2.6981379999999999E-2</v>
      </c>
      <c r="W2373">
        <v>0.1726674</v>
      </c>
      <c r="X2373">
        <v>0.9846106</v>
      </c>
      <c r="Y2373">
        <v>0.18531719999999999</v>
      </c>
      <c r="Z2373">
        <v>3.2979469999999999E-3</v>
      </c>
      <c r="AA2373">
        <v>0.98267320000000002</v>
      </c>
      <c r="AB2373">
        <v>22</v>
      </c>
      <c r="AC2373">
        <v>-24.0794</v>
      </c>
      <c r="AD2373">
        <v>-1.11019254427889</v>
      </c>
      <c r="AE2373">
        <v>5.0677000000000003</v>
      </c>
      <c r="AF2373">
        <v>4.5765289758902599</v>
      </c>
      <c r="AG2373">
        <v>-1.11019254427889</v>
      </c>
      <c r="AH2373">
        <v>24.126684842169301</v>
      </c>
      <c r="AI2373">
        <v>92.588521094457306</v>
      </c>
      <c r="AJ2373">
        <v>79.2593185502121</v>
      </c>
      <c r="AK2373">
        <v>24.581986624882401</v>
      </c>
      <c r="AL2373">
        <v>80.057056609566899</v>
      </c>
      <c r="AM2373">
        <v>88.430311013518306</v>
      </c>
      <c r="AN2373">
        <v>1.00000002976091</v>
      </c>
    </row>
    <row r="2374" spans="1:40" x14ac:dyDescent="0.25">
      <c r="A2374" t="str">
        <f>"20190312172129554"</f>
        <v>20190312172129554</v>
      </c>
      <c r="B2374" t="str">
        <f>"1552382489543580"</f>
        <v>1552382489543580</v>
      </c>
      <c r="C2374" t="s">
        <v>40</v>
      </c>
      <c r="D2374">
        <v>3.2089859999999999</v>
      </c>
      <c r="E2374">
        <v>0.55997019999999997</v>
      </c>
      <c r="F2374" t="s">
        <v>46</v>
      </c>
      <c r="G2374">
        <v>-273.58609999999999</v>
      </c>
      <c r="H2374" s="1">
        <v>2.753356E-7</v>
      </c>
      <c r="I2374">
        <v>286.81740000000002</v>
      </c>
      <c r="J2374">
        <v>-250.0309</v>
      </c>
      <c r="K2374">
        <v>1.110185</v>
      </c>
      <c r="L2374">
        <v>281.84949999999998</v>
      </c>
      <c r="M2374">
        <v>-0.99974390000000002</v>
      </c>
      <c r="N2374">
        <v>0</v>
      </c>
      <c r="O2374">
        <v>1.996351E-2</v>
      </c>
      <c r="P2374">
        <v>-0.98563959999999995</v>
      </c>
      <c r="Q2374">
        <v>0.16185849999999999</v>
      </c>
      <c r="R2374">
        <v>4.813224E-2</v>
      </c>
      <c r="S2374">
        <v>-3.0369109999999999</v>
      </c>
      <c r="T2374">
        <v>-0.14206529999999901</v>
      </c>
      <c r="U2374">
        <v>0.6361694</v>
      </c>
      <c r="V2374">
        <v>2.8450690000000001E-2</v>
      </c>
      <c r="W2374">
        <v>0.17237149999999901</v>
      </c>
      <c r="X2374">
        <v>0.98462099999999997</v>
      </c>
      <c r="Y2374">
        <v>0.18527450000000001</v>
      </c>
      <c r="Z2374">
        <v>3.3618369999999999E-3</v>
      </c>
      <c r="AA2374">
        <v>0.98268100000000003</v>
      </c>
      <c r="AB2374">
        <v>22</v>
      </c>
      <c r="AC2374">
        <v>-23.5551999999999</v>
      </c>
      <c r="AD2374">
        <v>-1.1101847246644001</v>
      </c>
      <c r="AE2374">
        <v>4.9679000000000402</v>
      </c>
      <c r="AF2374">
        <v>4.4870957186457803</v>
      </c>
      <c r="AG2374">
        <v>-1.1101847246644001</v>
      </c>
      <c r="AH2374">
        <v>23.599497255223</v>
      </c>
      <c r="AI2374">
        <v>92.646029093600703</v>
      </c>
      <c r="AJ2374">
        <v>79.234555230791798</v>
      </c>
      <c r="AK2374">
        <v>24.047927328783398</v>
      </c>
      <c r="AL2374">
        <v>80.074267650728999</v>
      </c>
      <c r="AM2374">
        <v>88.344895125371707</v>
      </c>
      <c r="AN2374">
        <v>0.99999994470736098</v>
      </c>
    </row>
    <row r="2375" spans="1:40" x14ac:dyDescent="0.25">
      <c r="A2375" t="str">
        <f>"20190312172129567"</f>
        <v>20190312172129567</v>
      </c>
      <c r="B2375" t="str">
        <f>"1552382489563098"</f>
        <v>1552382489563098</v>
      </c>
      <c r="C2375" t="s">
        <v>40</v>
      </c>
      <c r="D2375">
        <v>3.1692010000000002</v>
      </c>
      <c r="E2375">
        <v>0.55961439999999996</v>
      </c>
      <c r="F2375" t="s">
        <v>46</v>
      </c>
      <c r="G2375">
        <v>-273.5915</v>
      </c>
      <c r="H2375" s="1">
        <v>2.7913580000000001E-7</v>
      </c>
      <c r="I2375">
        <v>286.79680000000002</v>
      </c>
      <c r="J2375">
        <v>-250.16159999999999</v>
      </c>
      <c r="K2375">
        <v>1.1101810000000001</v>
      </c>
      <c r="L2375">
        <v>281.85210000000001</v>
      </c>
      <c r="M2375">
        <v>-0.99974390000000002</v>
      </c>
      <c r="N2375">
        <v>0</v>
      </c>
      <c r="O2375">
        <v>1.996206E-2</v>
      </c>
      <c r="P2375">
        <v>-0.98572280000000001</v>
      </c>
      <c r="Q2375">
        <v>0.1612161</v>
      </c>
      <c r="R2375">
        <v>4.8582670000000001E-2</v>
      </c>
      <c r="S2375">
        <v>-3.0360719999999999</v>
      </c>
      <c r="T2375">
        <v>-0.14306070000000001</v>
      </c>
      <c r="U2375">
        <v>0.63751219999999997</v>
      </c>
      <c r="V2375">
        <v>2.8901690000000001E-2</v>
      </c>
      <c r="W2375">
        <v>0.17172789999999999</v>
      </c>
      <c r="X2375">
        <v>0.98472029999999999</v>
      </c>
      <c r="Y2375">
        <v>0.18574370000000001</v>
      </c>
      <c r="Z2375">
        <v>3.3971280000000001E-3</v>
      </c>
      <c r="AA2375">
        <v>0.98259229999999997</v>
      </c>
      <c r="AB2375">
        <v>22</v>
      </c>
      <c r="AC2375">
        <v>-23.4299</v>
      </c>
      <c r="AD2375">
        <v>-1.1101807208641901</v>
      </c>
      <c r="AE2375">
        <v>4.9447000000000099</v>
      </c>
      <c r="AF2375">
        <v>4.4663788113618699</v>
      </c>
      <c r="AG2375">
        <v>-1.1101807208641901</v>
      </c>
      <c r="AH2375">
        <v>23.473488337511899</v>
      </c>
      <c r="AI2375">
        <v>92.660136070266603</v>
      </c>
      <c r="AJ2375">
        <v>79.226918621785302</v>
      </c>
      <c r="AK2375">
        <v>23.920403333783302</v>
      </c>
      <c r="AL2375">
        <v>80.111701215428596</v>
      </c>
      <c r="AM2375">
        <v>88.318842813423998</v>
      </c>
      <c r="AN2375">
        <v>0.99999992427767503</v>
      </c>
    </row>
    <row r="2376" spans="1:40" x14ac:dyDescent="0.25">
      <c r="A2376" t="str">
        <f>"20190312172129589"</f>
        <v>20190312172129589</v>
      </c>
      <c r="B2376" t="str">
        <f>"1552382489583593"</f>
        <v>1552382489583593</v>
      </c>
      <c r="C2376" t="s">
        <v>40</v>
      </c>
      <c r="D2376">
        <v>3.1814819999999999</v>
      </c>
      <c r="E2376">
        <v>0.55179149999999999</v>
      </c>
      <c r="F2376" t="s">
        <v>46</v>
      </c>
      <c r="G2376">
        <v>-273.46269999999998</v>
      </c>
      <c r="H2376" s="1">
        <v>2.1345520000000001E-7</v>
      </c>
      <c r="I2376">
        <v>286.73129999999998</v>
      </c>
      <c r="J2376">
        <v>-250.3817</v>
      </c>
      <c r="K2376">
        <v>1.110169</v>
      </c>
      <c r="L2376">
        <v>281.85649999999998</v>
      </c>
      <c r="M2376">
        <v>-0.99974379999999996</v>
      </c>
      <c r="N2376">
        <v>0</v>
      </c>
      <c r="O2376">
        <v>1.9966149999999998E-2</v>
      </c>
      <c r="P2376">
        <v>-0.98581280000000004</v>
      </c>
      <c r="Q2376">
        <v>0.16064419999999999</v>
      </c>
      <c r="R2376">
        <v>4.8647870000000003E-2</v>
      </c>
      <c r="S2376">
        <v>-3.0357970000000001</v>
      </c>
      <c r="T2376">
        <v>-0.14464050000000001</v>
      </c>
      <c r="U2376">
        <v>0.63568119999999995</v>
      </c>
      <c r="V2376">
        <v>2.896292E-2</v>
      </c>
      <c r="W2376">
        <v>0.1711492</v>
      </c>
      <c r="X2376">
        <v>0.98481940000000001</v>
      </c>
      <c r="Y2376">
        <v>0.1851865</v>
      </c>
      <c r="Z2376">
        <v>3.4217969999999999E-3</v>
      </c>
      <c r="AA2376">
        <v>0.98269740000000005</v>
      </c>
      <c r="AB2376">
        <v>22</v>
      </c>
      <c r="AC2376">
        <v>-23.0809999999999</v>
      </c>
      <c r="AD2376">
        <v>-1.1101687865448</v>
      </c>
      <c r="AE2376">
        <v>4.8747999999999898</v>
      </c>
      <c r="AF2376">
        <v>4.4032114117130599</v>
      </c>
      <c r="AG2376">
        <v>-1.1101687865448</v>
      </c>
      <c r="AH2376">
        <v>23.122525390248299</v>
      </c>
      <c r="AI2376">
        <v>92.700347008217506</v>
      </c>
      <c r="AJ2376">
        <v>79.218282554782206</v>
      </c>
      <c r="AK2376">
        <v>23.564208577703901</v>
      </c>
      <c r="AL2376">
        <v>80.145358059932903</v>
      </c>
      <c r="AM2376">
        <v>88.315452660654202</v>
      </c>
      <c r="AN2376">
        <v>1.0000000750059601</v>
      </c>
    </row>
    <row r="2377" spans="1:40" x14ac:dyDescent="0.25">
      <c r="A2377" t="str">
        <f>"20190312172129610"</f>
        <v>20190312172129610</v>
      </c>
      <c r="B2377" t="str">
        <f>"1552382489603116"</f>
        <v>1552382489603116</v>
      </c>
      <c r="C2377" t="s">
        <v>40</v>
      </c>
      <c r="D2377">
        <v>3.174865</v>
      </c>
      <c r="E2377">
        <v>0.55104649999999999</v>
      </c>
      <c r="F2377" t="s">
        <v>46</v>
      </c>
      <c r="G2377">
        <v>-276.85149999999999</v>
      </c>
      <c r="H2377" s="1">
        <v>2.0116840000000001E-6</v>
      </c>
      <c r="I2377">
        <v>286.84800000000001</v>
      </c>
      <c r="J2377">
        <v>-250.60560000000001</v>
      </c>
      <c r="K2377">
        <v>1.1101559999999999</v>
      </c>
      <c r="L2377">
        <v>281.86099999999999</v>
      </c>
      <c r="M2377">
        <v>-0.99974359999999995</v>
      </c>
      <c r="N2377">
        <v>0</v>
      </c>
      <c r="O2377">
        <v>1.9986710000000001E-2</v>
      </c>
      <c r="P2377">
        <v>-0.98592930000000001</v>
      </c>
      <c r="Q2377">
        <v>0.160366799999999</v>
      </c>
      <c r="R2377">
        <v>4.7181729999999998E-2</v>
      </c>
      <c r="S2377">
        <v>-3.0356749999999999</v>
      </c>
      <c r="T2377">
        <v>-0.12731889999999901</v>
      </c>
      <c r="U2377">
        <v>0.57244869999999903</v>
      </c>
      <c r="V2377">
        <v>2.7477970000000001E-2</v>
      </c>
      <c r="W2377">
        <v>0.17086209999999999</v>
      </c>
      <c r="X2377">
        <v>0.98491169999999995</v>
      </c>
      <c r="Y2377">
        <v>0.16550570000000001</v>
      </c>
      <c r="Z2377">
        <v>2.6087369999999999E-3</v>
      </c>
      <c r="AA2377">
        <v>0.98620540000000001</v>
      </c>
      <c r="AB2377">
        <v>22</v>
      </c>
      <c r="AC2377">
        <v>-26.245899999999899</v>
      </c>
      <c r="AD2377">
        <v>-1.1101539883160001</v>
      </c>
      <c r="AE2377">
        <v>4.9870000000000196</v>
      </c>
      <c r="AF2377">
        <v>4.4537141704035204</v>
      </c>
      <c r="AG2377">
        <v>-1.1101539883160001</v>
      </c>
      <c r="AH2377">
        <v>26.294930157518898</v>
      </c>
      <c r="AI2377">
        <v>92.383643693106904</v>
      </c>
      <c r="AJ2377">
        <v>80.386740323629994</v>
      </c>
      <c r="AK2377">
        <v>26.692533858332499</v>
      </c>
      <c r="AL2377">
        <v>80.162052622062802</v>
      </c>
      <c r="AM2377">
        <v>88.401924324059195</v>
      </c>
      <c r="AN2377">
        <v>0.99999997642431004</v>
      </c>
    </row>
    <row r="2378" spans="1:40" x14ac:dyDescent="0.25">
      <c r="A2378" t="str">
        <f>"20190312172129622"</f>
        <v>20190312172129622</v>
      </c>
      <c r="B2378" t="str">
        <f>"1552382489612873"</f>
        <v>1552382489612873</v>
      </c>
      <c r="C2378" t="s">
        <v>40</v>
      </c>
      <c r="D2378">
        <v>3.1632310000000001</v>
      </c>
      <c r="E2378">
        <v>0.55069199999999996</v>
      </c>
      <c r="F2378" t="s">
        <v>46</v>
      </c>
      <c r="G2378">
        <v>-276.87880000000001</v>
      </c>
      <c r="H2378" s="1">
        <v>2.0319419999999999E-6</v>
      </c>
      <c r="I2378">
        <v>286.71690000000001</v>
      </c>
      <c r="J2378">
        <v>-250.71950000000001</v>
      </c>
      <c r="K2378">
        <v>1.1101479999999999</v>
      </c>
      <c r="L2378">
        <v>281.86329999999998</v>
      </c>
      <c r="M2378">
        <v>-0.9997433</v>
      </c>
      <c r="N2378">
        <v>0</v>
      </c>
      <c r="O2378">
        <v>2.000482E-2</v>
      </c>
      <c r="P2378">
        <v>-0.98598240000000004</v>
      </c>
      <c r="Q2378">
        <v>0.16039049999999999</v>
      </c>
      <c r="R2378">
        <v>4.5976330000000003E-2</v>
      </c>
      <c r="S2378">
        <v>-3.0368189999999999</v>
      </c>
      <c r="T2378">
        <v>-0.1283184</v>
      </c>
      <c r="U2378">
        <v>0.56127930000000004</v>
      </c>
      <c r="V2378">
        <v>2.6256649999999999E-2</v>
      </c>
      <c r="W2378">
        <v>0.17088049999999999</v>
      </c>
      <c r="X2378">
        <v>0.98494179999999998</v>
      </c>
      <c r="Y2378">
        <v>0.16191510000000001</v>
      </c>
      <c r="Z2378">
        <v>2.553151E-3</v>
      </c>
      <c r="AA2378">
        <v>0.98680140000000005</v>
      </c>
      <c r="AB2378">
        <v>22</v>
      </c>
      <c r="AC2378">
        <v>-26.159300000000002</v>
      </c>
      <c r="AD2378">
        <v>-1.1101459680579999</v>
      </c>
      <c r="AE2378">
        <v>4.8536000000000197</v>
      </c>
      <c r="AF2378">
        <v>4.3217625469955001</v>
      </c>
      <c r="AG2378">
        <v>-1.1101459680579999</v>
      </c>
      <c r="AH2378">
        <v>26.2055404826272</v>
      </c>
      <c r="AI2378">
        <v>92.393480009425701</v>
      </c>
      <c r="AJ2378">
        <v>80.635194611431899</v>
      </c>
      <c r="AK2378">
        <v>26.5827088079756</v>
      </c>
      <c r="AL2378">
        <v>80.1609824128154</v>
      </c>
      <c r="AM2378">
        <v>88.472966612393193</v>
      </c>
      <c r="AN2378">
        <v>0.99999995316835499</v>
      </c>
    </row>
    <row r="2379" spans="1:40" x14ac:dyDescent="0.25">
      <c r="A2379" t="str">
        <f>"20190312172129634"</f>
        <v>20190312172129634</v>
      </c>
      <c r="B2379" t="str">
        <f>"1552382489623609"</f>
        <v>1552382489623609</v>
      </c>
      <c r="C2379" t="s">
        <v>40</v>
      </c>
      <c r="D2379">
        <v>3.18607</v>
      </c>
      <c r="E2379">
        <v>0.55046580000000001</v>
      </c>
      <c r="F2379" t="s">
        <v>46</v>
      </c>
      <c r="G2379">
        <v>-276.87369999999999</v>
      </c>
      <c r="H2379" s="1">
        <v>2.032822E-6</v>
      </c>
      <c r="I2379">
        <v>286.63470000000001</v>
      </c>
      <c r="J2379">
        <v>-250.8408</v>
      </c>
      <c r="K2379">
        <v>1.1101369999999999</v>
      </c>
      <c r="L2379">
        <v>281.8657</v>
      </c>
      <c r="M2379">
        <v>-0.99974269999999998</v>
      </c>
      <c r="N2379">
        <v>0</v>
      </c>
      <c r="O2379">
        <v>2.003566E-2</v>
      </c>
      <c r="P2379">
        <v>-0.98604599999999998</v>
      </c>
      <c r="Q2379">
        <v>0.16036719999999999</v>
      </c>
      <c r="R2379">
        <v>4.4679009999999998E-2</v>
      </c>
      <c r="S2379">
        <v>-3.0377809999999998</v>
      </c>
      <c r="T2379">
        <v>-0.12894239999999901</v>
      </c>
      <c r="U2379">
        <v>0.554199199999999</v>
      </c>
      <c r="V2379">
        <v>2.4931990000000001E-2</v>
      </c>
      <c r="W2379">
        <v>0.17085229999999901</v>
      </c>
      <c r="X2379">
        <v>0.9849812</v>
      </c>
      <c r="Y2379">
        <v>0.15960429999999901</v>
      </c>
      <c r="Z2379">
        <v>2.5153720000000001E-3</v>
      </c>
      <c r="AA2379">
        <v>0.98717779999999999</v>
      </c>
      <c r="AB2379">
        <v>22</v>
      </c>
      <c r="AC2379">
        <v>-26.032899999999898</v>
      </c>
      <c r="AD2379">
        <v>-1.1101349671780001</v>
      </c>
      <c r="AE2379">
        <v>4.7690000000000001</v>
      </c>
      <c r="AF2379">
        <v>4.2389686038458798</v>
      </c>
      <c r="AG2379">
        <v>-1.1101349671780001</v>
      </c>
      <c r="AH2379">
        <v>26.077348005862799</v>
      </c>
      <c r="AI2379">
        <v>92.406114290587794</v>
      </c>
      <c r="AJ2379">
        <v>80.767117868450299</v>
      </c>
      <c r="AK2379">
        <v>26.442944871716101</v>
      </c>
      <c r="AL2379">
        <v>80.162623116526504</v>
      </c>
      <c r="AM2379">
        <v>88.550030358680701</v>
      </c>
      <c r="AN2379">
        <v>1.00000003844704</v>
      </c>
    </row>
    <row r="2380" spans="1:40" x14ac:dyDescent="0.25">
      <c r="A2380" t="str">
        <f>"20190312172129646"</f>
        <v>20190312172129646</v>
      </c>
      <c r="B2380" t="str">
        <f>"1552382489643129"</f>
        <v>1552382489643129</v>
      </c>
      <c r="C2380" t="s">
        <v>40</v>
      </c>
      <c r="D2380">
        <v>3.1847159999999999</v>
      </c>
      <c r="E2380">
        <v>0.55022389999999999</v>
      </c>
      <c r="F2380" t="s">
        <v>46</v>
      </c>
      <c r="G2380">
        <v>-276.62889999999999</v>
      </c>
      <c r="H2380" s="1">
        <v>1.9076589999999999E-6</v>
      </c>
      <c r="I2380">
        <v>286.51760000000002</v>
      </c>
      <c r="J2380">
        <v>-250.95679999999999</v>
      </c>
      <c r="K2380">
        <v>1.110125</v>
      </c>
      <c r="L2380">
        <v>281.86810000000003</v>
      </c>
      <c r="M2380">
        <v>-0.99974200000000002</v>
      </c>
      <c r="N2380">
        <v>0</v>
      </c>
      <c r="O2380">
        <v>2.007488E-2</v>
      </c>
      <c r="P2380">
        <v>-0.98610279999999995</v>
      </c>
      <c r="Q2380">
        <v>0.16050110000000001</v>
      </c>
      <c r="R2380">
        <v>4.2902660000000002E-2</v>
      </c>
      <c r="S2380">
        <v>-3.0389249999999999</v>
      </c>
      <c r="T2380">
        <v>-0.13082069999999901</v>
      </c>
      <c r="U2380">
        <v>0.54818730000000004</v>
      </c>
      <c r="V2380">
        <v>2.312086E-2</v>
      </c>
      <c r="W2380">
        <v>0.17098189999999999</v>
      </c>
      <c r="X2380">
        <v>0.98500290000000001</v>
      </c>
      <c r="Y2380">
        <v>0.1576072</v>
      </c>
      <c r="Z2380">
        <v>2.5071799999999999E-3</v>
      </c>
      <c r="AA2380">
        <v>0.98749869999999995</v>
      </c>
      <c r="AB2380">
        <v>22</v>
      </c>
      <c r="AC2380">
        <v>-25.6721</v>
      </c>
      <c r="AD2380">
        <v>-1.1101230923409999</v>
      </c>
      <c r="AE2380">
        <v>4.6494999999999802</v>
      </c>
      <c r="AF2380">
        <v>4.1256998414528399</v>
      </c>
      <c r="AG2380">
        <v>-1.1101230923409999</v>
      </c>
      <c r="AH2380">
        <v>25.713714249329701</v>
      </c>
      <c r="AI2380">
        <v>92.440881812151503</v>
      </c>
      <c r="AJ2380">
        <v>80.884727840682402</v>
      </c>
      <c r="AK2380">
        <v>26.066240100139002</v>
      </c>
      <c r="AL2380">
        <v>80.155086789824693</v>
      </c>
      <c r="AM2380">
        <v>88.655349665224804</v>
      </c>
      <c r="AN2380">
        <v>1.0000000486515701</v>
      </c>
    </row>
    <row r="2381" spans="1:40" x14ac:dyDescent="0.25">
      <c r="A2381" t="str">
        <f>"20190312172129658"</f>
        <v>20190312172129658</v>
      </c>
      <c r="B2381" t="str">
        <f>"1552382489652890"</f>
        <v>1552382489652890</v>
      </c>
      <c r="C2381" t="s">
        <v>40</v>
      </c>
      <c r="D2381">
        <v>3.2662270000000002</v>
      </c>
      <c r="E2381">
        <v>0.55022389999999999</v>
      </c>
      <c r="F2381" t="s">
        <v>46</v>
      </c>
      <c r="G2381">
        <v>-276.63369999999998</v>
      </c>
      <c r="H2381" s="1">
        <v>1.913822E-6</v>
      </c>
      <c r="I2381">
        <v>286.43490000000003</v>
      </c>
      <c r="J2381">
        <v>-251.08269999999999</v>
      </c>
      <c r="K2381">
        <v>1.1101099999999999</v>
      </c>
      <c r="L2381">
        <v>281.8707</v>
      </c>
      <c r="M2381">
        <v>-0.99974099999999999</v>
      </c>
      <c r="N2381">
        <v>0</v>
      </c>
      <c r="O2381">
        <v>2.012719E-2</v>
      </c>
      <c r="P2381">
        <v>-0.98614769999999896</v>
      </c>
      <c r="Q2381">
        <v>0.16072890000000001</v>
      </c>
      <c r="R2381">
        <v>4.097816E-2</v>
      </c>
      <c r="S2381">
        <v>-3.040146</v>
      </c>
      <c r="T2381">
        <v>-0.1314391</v>
      </c>
      <c r="U2381">
        <v>0.54071040000000004</v>
      </c>
      <c r="V2381">
        <v>2.1150789999999999E-2</v>
      </c>
      <c r="W2381">
        <v>0.1712051</v>
      </c>
      <c r="X2381">
        <v>0.98500840000000001</v>
      </c>
      <c r="Y2381">
        <v>0.15513379999999999</v>
      </c>
      <c r="Z2381">
        <v>2.463294E-3</v>
      </c>
      <c r="AA2381">
        <v>0.98789039999999995</v>
      </c>
      <c r="AB2381">
        <v>23</v>
      </c>
      <c r="AC2381">
        <v>-25.550999999999899</v>
      </c>
      <c r="AD2381">
        <v>-1.1101080861779999</v>
      </c>
      <c r="AE2381">
        <v>4.56420000000002</v>
      </c>
      <c r="AF2381">
        <v>4.0415833974698696</v>
      </c>
      <c r="AG2381">
        <v>-1.1101080861779999</v>
      </c>
      <c r="AH2381">
        <v>25.590881045327301</v>
      </c>
      <c r="AI2381">
        <v>92.4535077236267</v>
      </c>
      <c r="AJ2381">
        <v>81.025368134709097</v>
      </c>
      <c r="AK2381">
        <v>25.931832349407799</v>
      </c>
      <c r="AL2381">
        <v>80.142106947459396</v>
      </c>
      <c r="AM2381">
        <v>88.769893942296505</v>
      </c>
      <c r="AN2381">
        <v>1.0000000451270901</v>
      </c>
    </row>
    <row r="2382" spans="1:40" x14ac:dyDescent="0.25">
      <c r="A2382" t="str">
        <f>"20190312172129677"</f>
        <v>20190312172129677</v>
      </c>
      <c r="B2382" t="str">
        <f>"1552382489673385"</f>
        <v>1552382489673385</v>
      </c>
      <c r="C2382" t="s">
        <v>40</v>
      </c>
      <c r="D2382">
        <v>3.2067600000000001</v>
      </c>
      <c r="E2382">
        <v>0.50475289999999995</v>
      </c>
      <c r="F2382" t="s">
        <v>46</v>
      </c>
      <c r="G2382">
        <v>-276.83609999999999</v>
      </c>
      <c r="H2382" s="1">
        <v>2.0233449999999999E-6</v>
      </c>
      <c r="I2382">
        <v>286.3938</v>
      </c>
      <c r="J2382">
        <v>-251.27279999999999</v>
      </c>
      <c r="K2382">
        <v>1.1100810000000001</v>
      </c>
      <c r="L2382">
        <v>281.87459999999999</v>
      </c>
      <c r="M2382">
        <v>-0.99973880000000004</v>
      </c>
      <c r="N2382">
        <v>0</v>
      </c>
      <c r="O2382">
        <v>2.024107E-2</v>
      </c>
      <c r="P2382">
        <v>-0.98631259999999998</v>
      </c>
      <c r="Q2382">
        <v>0.16086789999999901</v>
      </c>
      <c r="R2382">
        <v>3.6182180000000001E-2</v>
      </c>
      <c r="S2382">
        <v>-3.0413060000000001</v>
      </c>
      <c r="T2382">
        <v>-0.1310962</v>
      </c>
      <c r="U2382">
        <v>0.53414919999999899</v>
      </c>
      <c r="V2382">
        <v>1.6251939999999999E-2</v>
      </c>
      <c r="W2382">
        <v>0.17133809999999999</v>
      </c>
      <c r="X2382">
        <v>0.98507820000000001</v>
      </c>
      <c r="Y2382">
        <v>0.1528919</v>
      </c>
      <c r="Z2382">
        <v>2.4036119999999998E-3</v>
      </c>
      <c r="AA2382">
        <v>0.98824000000000001</v>
      </c>
      <c r="AB2382">
        <v>23</v>
      </c>
      <c r="AC2382">
        <v>-25.563300000000002</v>
      </c>
      <c r="AD2382">
        <v>-1.1100789766550001</v>
      </c>
      <c r="AE2382">
        <v>4.5192000000000103</v>
      </c>
      <c r="AF2382">
        <v>3.9935139818179599</v>
      </c>
      <c r="AG2382">
        <v>-1.1100789766550001</v>
      </c>
      <c r="AH2382">
        <v>25.602724744760199</v>
      </c>
      <c r="AI2382">
        <v>92.453041843596495</v>
      </c>
      <c r="AJ2382">
        <v>81.134440517810503</v>
      </c>
      <c r="AK2382">
        <v>25.936074175043199</v>
      </c>
      <c r="AL2382">
        <v>80.134371523640496</v>
      </c>
      <c r="AM2382">
        <v>89.054813008270997</v>
      </c>
      <c r="AN2382">
        <v>0.99999996509030598</v>
      </c>
    </row>
    <row r="2383" spans="1:40" x14ac:dyDescent="0.25">
      <c r="A2383" t="str">
        <f>"20190312172129689"</f>
        <v>20190312172129689</v>
      </c>
      <c r="B2383" t="str">
        <f>"1552382489683145"</f>
        <v>1552382489683145</v>
      </c>
      <c r="C2383" t="s">
        <v>40</v>
      </c>
      <c r="D2383">
        <v>3.0722749999999999</v>
      </c>
      <c r="E2383">
        <v>0.4943823</v>
      </c>
      <c r="F2383" t="s">
        <v>46</v>
      </c>
      <c r="G2383">
        <v>-279.5428</v>
      </c>
      <c r="H2383" s="1">
        <v>3.5982370000000001E-6</v>
      </c>
      <c r="I2383">
        <v>283.31630000000001</v>
      </c>
      <c r="J2383">
        <v>-251.39189999999999</v>
      </c>
      <c r="K2383">
        <v>1.11006</v>
      </c>
      <c r="L2383">
        <v>281.87709999999998</v>
      </c>
      <c r="M2383">
        <v>-0.99973690000000004</v>
      </c>
      <c r="N2383">
        <v>0</v>
      </c>
      <c r="O2383">
        <v>2.0334089999999999E-2</v>
      </c>
      <c r="P2383">
        <v>-0.98637569999999997</v>
      </c>
      <c r="Q2383">
        <v>0.1611195</v>
      </c>
      <c r="R2383">
        <v>3.3224980000000001E-2</v>
      </c>
      <c r="S2383">
        <v>-3.055466</v>
      </c>
      <c r="T2383">
        <v>-0.1199789</v>
      </c>
      <c r="U2383">
        <v>0.15582279999999901</v>
      </c>
      <c r="V2383">
        <v>1.321084E-2</v>
      </c>
      <c r="W2383">
        <v>0.17158609999999999</v>
      </c>
      <c r="X2383">
        <v>0.98508050000000003</v>
      </c>
      <c r="Y2383">
        <v>3.0604579999999999E-2</v>
      </c>
      <c r="Z2383">
        <v>-1.9727969999999999E-4</v>
      </c>
      <c r="AA2383">
        <v>0.99953159999999996</v>
      </c>
      <c r="AB2383">
        <v>23</v>
      </c>
      <c r="AC2383">
        <v>-28.1509</v>
      </c>
      <c r="AD2383">
        <v>-1.1100564017629999</v>
      </c>
      <c r="AE2383">
        <v>1.43920000000002</v>
      </c>
      <c r="AF2383">
        <v>0.86510556330591404</v>
      </c>
      <c r="AG2383">
        <v>-1.1100564017629999</v>
      </c>
      <c r="AH2383">
        <v>28.130718628739299</v>
      </c>
      <c r="AI2383">
        <v>92.258689466280103</v>
      </c>
      <c r="AJ2383">
        <v>88.238534850326104</v>
      </c>
      <c r="AK2383">
        <v>28.165900720908201</v>
      </c>
      <c r="AL2383">
        <v>80.119948463023505</v>
      </c>
      <c r="AM2383">
        <v>89.231656699819595</v>
      </c>
      <c r="AN2383">
        <v>0.99999995374348105</v>
      </c>
    </row>
    <row r="2384" spans="1:40" x14ac:dyDescent="0.25">
      <c r="A2384" t="str">
        <f>"20190312172129702"</f>
        <v>20190312172129702</v>
      </c>
      <c r="B2384" t="str">
        <f>"1552382489692907"</f>
        <v>1552382489692907</v>
      </c>
      <c r="C2384" t="s">
        <v>40</v>
      </c>
      <c r="D2384">
        <v>3.0236019999999999</v>
      </c>
      <c r="E2384">
        <v>0.48526140000000001</v>
      </c>
      <c r="F2384" t="s">
        <v>47</v>
      </c>
      <c r="G2384">
        <v>-283.1934</v>
      </c>
      <c r="H2384" s="1">
        <v>7.4154689999999998E-6</v>
      </c>
      <c r="I2384">
        <v>282.53840000000002</v>
      </c>
      <c r="J2384">
        <v>-251.52170000000001</v>
      </c>
      <c r="K2384">
        <v>1.1100369999999999</v>
      </c>
      <c r="L2384">
        <v>281.87979999999999</v>
      </c>
      <c r="M2384">
        <v>-0.99973460000000003</v>
      </c>
      <c r="N2384">
        <v>0</v>
      </c>
      <c r="O2384">
        <v>2.0446389999999998E-2</v>
      </c>
      <c r="P2384">
        <v>-0.98647549999999995</v>
      </c>
      <c r="Q2384">
        <v>0.1610722</v>
      </c>
      <c r="R2384">
        <v>3.0361530000000001E-2</v>
      </c>
      <c r="S2384">
        <v>-3.0567319999999998</v>
      </c>
      <c r="T2384">
        <v>-0.10669720000000001</v>
      </c>
      <c r="U2384">
        <v>6.3568120000000006E-2</v>
      </c>
      <c r="V2384">
        <v>1.0244680000000001E-2</v>
      </c>
      <c r="W2384">
        <v>0.1715354</v>
      </c>
      <c r="X2384">
        <v>0.98512469999999996</v>
      </c>
      <c r="Y2384">
        <v>3.5636359999999999E-4</v>
      </c>
      <c r="Z2384">
        <v>-7.0714819999999996E-4</v>
      </c>
      <c r="AA2384">
        <v>0.99999970000000005</v>
      </c>
      <c r="AB2384">
        <v>23</v>
      </c>
      <c r="AC2384">
        <v>-31.671699999999898</v>
      </c>
      <c r="AD2384">
        <v>-1.110029584531</v>
      </c>
      <c r="AE2384">
        <v>0.65860000000003505</v>
      </c>
      <c r="AF2384">
        <v>1.0840578494999101E-2</v>
      </c>
      <c r="AG2384">
        <v>-1.110029584531</v>
      </c>
      <c r="AH2384">
        <v>31.639696857422901</v>
      </c>
      <c r="AI2384">
        <v>92.009309133232605</v>
      </c>
      <c r="AJ2384">
        <v>89.980368984768106</v>
      </c>
      <c r="AK2384">
        <v>31.659164556669701</v>
      </c>
      <c r="AL2384">
        <v>80.1228976452404</v>
      </c>
      <c r="AM2384">
        <v>89.404181249431105</v>
      </c>
      <c r="AN2384">
        <v>1.0000000107357701</v>
      </c>
    </row>
    <row r="2385" spans="1:40" x14ac:dyDescent="0.25">
      <c r="A2385" t="str">
        <f>"20190312172129713"</f>
        <v>20190312172129713</v>
      </c>
      <c r="B2385" t="str">
        <f>"1552382489703640"</f>
        <v>1552382489703640</v>
      </c>
      <c r="C2385" t="s">
        <v>40</v>
      </c>
      <c r="D2385">
        <v>3.049668</v>
      </c>
      <c r="E2385">
        <v>0.47892259999999998</v>
      </c>
      <c r="F2385" t="s">
        <v>47</v>
      </c>
      <c r="G2385">
        <v>-285.75540000000001</v>
      </c>
      <c r="H2385" s="1">
        <v>6.4574950000000001E-6</v>
      </c>
      <c r="I2385">
        <v>281.67619999999999</v>
      </c>
      <c r="J2385">
        <v>-251.6422</v>
      </c>
      <c r="K2385">
        <v>1.1100159999999999</v>
      </c>
      <c r="L2385">
        <v>281.88240000000002</v>
      </c>
      <c r="M2385">
        <v>-0.99973210000000001</v>
      </c>
      <c r="N2385">
        <v>0</v>
      </c>
      <c r="O2385">
        <v>2.0573270000000001E-2</v>
      </c>
      <c r="P2385">
        <v>-0.98657249999999996</v>
      </c>
      <c r="Q2385">
        <v>0.160949799999999</v>
      </c>
      <c r="R2385">
        <v>2.7749880000000001E-2</v>
      </c>
      <c r="S2385">
        <v>-3.0578609999999999</v>
      </c>
      <c r="T2385">
        <v>-9.9151370000000003E-2</v>
      </c>
      <c r="U2385">
        <v>-1.818848E-2</v>
      </c>
      <c r="V2385">
        <v>7.5151649999999999E-3</v>
      </c>
      <c r="W2385">
        <v>0.17141039999999999</v>
      </c>
      <c r="X2385">
        <v>0.98517109999999997</v>
      </c>
      <c r="Y2385">
        <v>-2.649607E-2</v>
      </c>
      <c r="Z2385">
        <v>-1.0963730000000001E-3</v>
      </c>
      <c r="AA2385">
        <v>0.99964830000000005</v>
      </c>
      <c r="AB2385">
        <v>23</v>
      </c>
      <c r="AC2385">
        <v>-34.113199999999999</v>
      </c>
      <c r="AD2385">
        <v>-1.1100095425049901</v>
      </c>
      <c r="AE2385">
        <v>-0.206200000000023</v>
      </c>
      <c r="AF2385">
        <v>-0.90705555301860696</v>
      </c>
      <c r="AG2385">
        <v>-1.1100095425049901</v>
      </c>
      <c r="AH2385">
        <v>34.065669647540801</v>
      </c>
      <c r="AI2385">
        <v>91.865627746297505</v>
      </c>
      <c r="AJ2385">
        <v>91.525235779278105</v>
      </c>
      <c r="AK2385">
        <v>34.095816744816297</v>
      </c>
      <c r="AL2385">
        <v>80.130167676956106</v>
      </c>
      <c r="AM2385">
        <v>89.562939995828202</v>
      </c>
      <c r="AN2385">
        <v>1.0000000496041701</v>
      </c>
    </row>
    <row r="2386" spans="1:40" x14ac:dyDescent="0.25">
      <c r="A2386" t="str">
        <f>"20190312172129726"</f>
        <v>20190312172129726</v>
      </c>
      <c r="B2386" t="str">
        <f>"1552382489723162"</f>
        <v>1552382489723162</v>
      </c>
      <c r="C2386" t="s">
        <v>40</v>
      </c>
      <c r="D2386">
        <v>3.0227200000000001</v>
      </c>
      <c r="E2386">
        <v>0.47124189999999999</v>
      </c>
      <c r="F2386" t="s">
        <v>47</v>
      </c>
      <c r="G2386">
        <v>-288.95679999999999</v>
      </c>
      <c r="H2386" s="1">
        <v>5.1899860000000003E-6</v>
      </c>
      <c r="I2386">
        <v>280.93979999999999</v>
      </c>
      <c r="J2386">
        <v>-251.75819999999999</v>
      </c>
      <c r="K2386">
        <v>1.1099969999999999</v>
      </c>
      <c r="L2386">
        <v>281.88490000000002</v>
      </c>
      <c r="M2386">
        <v>-0.99972950000000005</v>
      </c>
      <c r="N2386">
        <v>0</v>
      </c>
      <c r="O2386">
        <v>2.0706680000000002E-2</v>
      </c>
      <c r="P2386">
        <v>-0.98664399999999997</v>
      </c>
      <c r="Q2386">
        <v>0.16100309999999901</v>
      </c>
      <c r="R2386">
        <v>2.4735429999999999E-2</v>
      </c>
      <c r="S2386">
        <v>-3.0578310000000002</v>
      </c>
      <c r="T2386">
        <v>-9.0962409999999994E-2</v>
      </c>
      <c r="U2386">
        <v>-7.7239989999999994E-2</v>
      </c>
      <c r="V2386">
        <v>4.3760830000000002E-3</v>
      </c>
      <c r="W2386">
        <v>0.17146159999999999</v>
      </c>
      <c r="X2386">
        <v>0.98518110000000003</v>
      </c>
      <c r="Y2386">
        <v>-4.5918050000000002E-2</v>
      </c>
      <c r="Z2386">
        <v>-1.2984870000000001E-3</v>
      </c>
      <c r="AA2386">
        <v>0.99894430000000001</v>
      </c>
      <c r="AB2386">
        <v>23</v>
      </c>
      <c r="AC2386">
        <v>-37.198599999999999</v>
      </c>
      <c r="AD2386">
        <v>-1.1099918100139901</v>
      </c>
      <c r="AE2386">
        <v>-0.94510000000002403</v>
      </c>
      <c r="AF2386">
        <v>-1.71367517212096</v>
      </c>
      <c r="AG2386">
        <v>-1.1099918100139901</v>
      </c>
      <c r="AH2386">
        <v>37.138006070102598</v>
      </c>
      <c r="AI2386">
        <v>91.710145124577096</v>
      </c>
      <c r="AJ2386">
        <v>92.641950051197895</v>
      </c>
      <c r="AK2386">
        <v>37.1940890367921</v>
      </c>
      <c r="AL2386">
        <v>80.127189706007201</v>
      </c>
      <c r="AM2386">
        <v>89.745499139499699</v>
      </c>
      <c r="AN2386">
        <v>1.00000001508709</v>
      </c>
    </row>
    <row r="2387" spans="1:40" x14ac:dyDescent="0.25">
      <c r="A2387" t="str">
        <f>"20190312172129737"</f>
        <v>20190312172129737</v>
      </c>
      <c r="B2387" t="str">
        <f>"1552382489732921"</f>
        <v>1552382489732921</v>
      </c>
      <c r="C2387" t="s">
        <v>40</v>
      </c>
      <c r="D2387">
        <v>3.0033069999999999</v>
      </c>
      <c r="E2387">
        <v>0.46884890000000001</v>
      </c>
      <c r="F2387" t="s">
        <v>47</v>
      </c>
      <c r="G2387">
        <v>-294.08019999999999</v>
      </c>
      <c r="H2387" s="1">
        <v>3.3472389999999999E-6</v>
      </c>
      <c r="I2387">
        <v>279.83819999999997</v>
      </c>
      <c r="J2387">
        <v>-251.88319999999999</v>
      </c>
      <c r="K2387">
        <v>1.109977</v>
      </c>
      <c r="L2387">
        <v>281.88760000000002</v>
      </c>
      <c r="M2387">
        <v>-0.99972609999999995</v>
      </c>
      <c r="N2387">
        <v>0</v>
      </c>
      <c r="O2387">
        <v>2.0864049999999999E-2</v>
      </c>
      <c r="P2387">
        <v>-0.98669819999999997</v>
      </c>
      <c r="Q2387">
        <v>0.1610451</v>
      </c>
      <c r="R2387">
        <v>2.216102E-2</v>
      </c>
      <c r="S2387">
        <v>-3.057404</v>
      </c>
      <c r="T2387">
        <v>-8.0187439999999999E-2</v>
      </c>
      <c r="U2387">
        <v>-0.14785770000000001</v>
      </c>
      <c r="V2387">
        <v>1.6539079999999999E-3</v>
      </c>
      <c r="W2387">
        <v>0.17150199999999999</v>
      </c>
      <c r="X2387">
        <v>0.98518240000000001</v>
      </c>
      <c r="Y2387">
        <v>-6.9103570000000003E-2</v>
      </c>
      <c r="Z2387">
        <v>-1.4523800000000001E-3</v>
      </c>
      <c r="AA2387">
        <v>0.99760839999999995</v>
      </c>
      <c r="AB2387">
        <v>23</v>
      </c>
      <c r="AC2387">
        <v>-42.196999999999903</v>
      </c>
      <c r="AD2387">
        <v>-1.109973652761</v>
      </c>
      <c r="AE2387">
        <v>-2.0494000000000399</v>
      </c>
      <c r="AF2387">
        <v>-2.9273828707601601</v>
      </c>
      <c r="AG2387">
        <v>-1.109973652761</v>
      </c>
      <c r="AH2387">
        <v>42.115979686613997</v>
      </c>
      <c r="AI2387">
        <v>91.506058270082093</v>
      </c>
      <c r="AJ2387">
        <v>93.976100085046994</v>
      </c>
      <c r="AK2387">
        <v>42.232183899783401</v>
      </c>
      <c r="AL2387">
        <v>80.124840165826598</v>
      </c>
      <c r="AM2387">
        <v>89.903812878630305</v>
      </c>
      <c r="AN2387">
        <v>1.0000000163427101</v>
      </c>
    </row>
    <row r="2388" spans="1:40" x14ac:dyDescent="0.25">
      <c r="A2388" t="str">
        <f>"20190312172129755"</f>
        <v>20190312172129755</v>
      </c>
      <c r="B2388" t="str">
        <f>"1552382489743657"</f>
        <v>1552382489743657</v>
      </c>
      <c r="C2388" t="s">
        <v>40</v>
      </c>
      <c r="D2388">
        <v>2.9677920000000002</v>
      </c>
      <c r="E2388">
        <v>0.46713090000000002</v>
      </c>
      <c r="F2388" t="s">
        <v>47</v>
      </c>
      <c r="G2388">
        <v>-295.79309999999998</v>
      </c>
      <c r="H2388" s="1">
        <v>3.7563890000000001E-6</v>
      </c>
      <c r="I2388">
        <v>279.37329999999997</v>
      </c>
      <c r="J2388">
        <v>-252.05940000000001</v>
      </c>
      <c r="K2388">
        <v>1.1099559999999999</v>
      </c>
      <c r="L2388">
        <v>281.89150000000001</v>
      </c>
      <c r="M2388">
        <v>-0.99972090000000002</v>
      </c>
      <c r="N2388">
        <v>0</v>
      </c>
      <c r="O2388">
        <v>2.1113730000000001E-2</v>
      </c>
      <c r="P2388">
        <v>-0.98680540000000005</v>
      </c>
      <c r="Q2388">
        <v>0.1610211</v>
      </c>
      <c r="R2388">
        <v>1.6952970000000001E-2</v>
      </c>
      <c r="S2388">
        <v>-3.0569920000000002</v>
      </c>
      <c r="T2388">
        <v>-7.7275990000000003E-2</v>
      </c>
      <c r="U2388">
        <v>-0.17504879999999901</v>
      </c>
      <c r="V2388">
        <v>-3.7918370000000002E-3</v>
      </c>
      <c r="W2388">
        <v>0.17147709999999999</v>
      </c>
      <c r="X2388">
        <v>0.98518079999999997</v>
      </c>
      <c r="Y2388">
        <v>-7.8204170000000003E-2</v>
      </c>
      <c r="Z2388">
        <v>-1.5207549999999999E-3</v>
      </c>
      <c r="AA2388">
        <v>0.99693620000000005</v>
      </c>
      <c r="AB2388">
        <v>23</v>
      </c>
      <c r="AC2388">
        <v>-43.733699999999899</v>
      </c>
      <c r="AD2388">
        <v>-1.1099522436110001</v>
      </c>
      <c r="AE2388">
        <v>-2.51820000000003</v>
      </c>
      <c r="AF2388">
        <v>-3.4388642125203801</v>
      </c>
      <c r="AG2388">
        <v>-1.1099522436110001</v>
      </c>
      <c r="AH2388">
        <v>43.642759338774297</v>
      </c>
      <c r="AI2388">
        <v>91.452371244967495</v>
      </c>
      <c r="AJ2388">
        <v>94.505355405400195</v>
      </c>
      <c r="AK2388">
        <v>43.792102298901199</v>
      </c>
      <c r="AL2388">
        <v>80.126288033175499</v>
      </c>
      <c r="AM2388">
        <v>90.220523160735297</v>
      </c>
      <c r="AN2388">
        <v>0.99999999127044203</v>
      </c>
    </row>
    <row r="2389" spans="1:40" x14ac:dyDescent="0.25">
      <c r="A2389" t="str">
        <f>"20190312172129769"</f>
        <v>20190312172129769</v>
      </c>
      <c r="B2389" t="str">
        <f>"1552382489763177"</f>
        <v>1552382489763177</v>
      </c>
      <c r="C2389" t="s">
        <v>40</v>
      </c>
      <c r="D2389">
        <v>3.014135</v>
      </c>
      <c r="E2389">
        <v>0.4649104</v>
      </c>
      <c r="F2389" t="s">
        <v>47</v>
      </c>
      <c r="G2389">
        <v>-296.74180000000001</v>
      </c>
      <c r="H2389" s="1">
        <v>4.092531E-6</v>
      </c>
      <c r="I2389">
        <v>278.89839999999998</v>
      </c>
      <c r="J2389">
        <v>-252.19829999999999</v>
      </c>
      <c r="K2389">
        <v>1.1099399999999999</v>
      </c>
      <c r="L2389">
        <v>281.8947</v>
      </c>
      <c r="M2389">
        <v>-0.99971650000000001</v>
      </c>
      <c r="N2389">
        <v>0</v>
      </c>
      <c r="O2389">
        <v>2.1327780000000001E-2</v>
      </c>
      <c r="P2389">
        <v>-0.98686149999999995</v>
      </c>
      <c r="Q2389">
        <v>0.16090560000000001</v>
      </c>
      <c r="R2389">
        <v>1.4626119999999999E-2</v>
      </c>
      <c r="S2389">
        <v>-3.0560149999999999</v>
      </c>
      <c r="T2389">
        <v>-7.5914259999999997E-2</v>
      </c>
      <c r="U2389">
        <v>-0.2047119</v>
      </c>
      <c r="V2389">
        <v>-6.3249569999999896E-3</v>
      </c>
      <c r="W2389">
        <v>0.17136009999999999</v>
      </c>
      <c r="X2389">
        <v>0.98518810000000001</v>
      </c>
      <c r="Y2389">
        <v>-8.8069250000000002E-2</v>
      </c>
      <c r="Z2389">
        <v>-1.621691E-3</v>
      </c>
      <c r="AA2389">
        <v>0.99611309999999997</v>
      </c>
      <c r="AB2389">
        <v>23</v>
      </c>
      <c r="AC2389">
        <v>-44.543500000000002</v>
      </c>
      <c r="AD2389">
        <v>-1.1099359074689901</v>
      </c>
      <c r="AE2389">
        <v>-2.9963000000000202</v>
      </c>
      <c r="AF2389">
        <v>-3.9432482066146499</v>
      </c>
      <c r="AG2389">
        <v>-1.1099359074689901</v>
      </c>
      <c r="AH2389">
        <v>44.441988779330202</v>
      </c>
      <c r="AI2389">
        <v>91.425064921186006</v>
      </c>
      <c r="AJ2389">
        <v>95.070461006646099</v>
      </c>
      <c r="AK2389">
        <v>44.630387975008297</v>
      </c>
      <c r="AL2389">
        <v>80.1330918507755</v>
      </c>
      <c r="AM2389">
        <v>90.367836723664695</v>
      </c>
      <c r="AN2389">
        <v>0.999999940667334</v>
      </c>
    </row>
    <row r="2390" spans="1:40" x14ac:dyDescent="0.25">
      <c r="A2390" t="str">
        <f>"20190312172129783"</f>
        <v>20190312172129783</v>
      </c>
      <c r="B2390" t="str">
        <f>"1552382489772937"</f>
        <v>1552382489772937</v>
      </c>
      <c r="C2390" t="s">
        <v>40</v>
      </c>
      <c r="D2390">
        <v>3.0282710000000002</v>
      </c>
      <c r="E2390">
        <v>0.46414810000000001</v>
      </c>
      <c r="F2390" t="s">
        <v>47</v>
      </c>
      <c r="G2390">
        <v>-297.75630000000001</v>
      </c>
      <c r="H2390" s="1">
        <v>4.4227320000000001E-6</v>
      </c>
      <c r="I2390">
        <v>278.47340000000003</v>
      </c>
      <c r="J2390">
        <v>-252.34389999999999</v>
      </c>
      <c r="K2390">
        <v>1.1099250000000001</v>
      </c>
      <c r="L2390">
        <v>281.89800000000002</v>
      </c>
      <c r="M2390">
        <v>-0.99971129999999997</v>
      </c>
      <c r="N2390">
        <v>0</v>
      </c>
      <c r="O2390">
        <v>2.1563559999999999E-2</v>
      </c>
      <c r="P2390">
        <v>-0.98690469999999997</v>
      </c>
      <c r="Q2390">
        <v>0.16084019999999999</v>
      </c>
      <c r="R2390">
        <v>1.223432E-2</v>
      </c>
      <c r="S2390">
        <v>-3.0554960000000002</v>
      </c>
      <c r="T2390">
        <v>-7.4441430000000003E-2</v>
      </c>
      <c r="U2390">
        <v>-0.22946169999999999</v>
      </c>
      <c r="V2390">
        <v>-8.9444969999999992E-3</v>
      </c>
      <c r="W2390">
        <v>0.17129440000000001</v>
      </c>
      <c r="X2390">
        <v>0.98517929999999998</v>
      </c>
      <c r="Y2390">
        <v>-9.6339140000000004E-2</v>
      </c>
      <c r="Z2390">
        <v>-1.6963830000000001E-3</v>
      </c>
      <c r="AA2390">
        <v>0.99534710000000004</v>
      </c>
      <c r="AB2390">
        <v>23</v>
      </c>
      <c r="AC2390">
        <v>-45.412399999999998</v>
      </c>
      <c r="AD2390">
        <v>-1.1099205772679901</v>
      </c>
      <c r="AE2390">
        <v>-3.4245999999999399</v>
      </c>
      <c r="AF2390">
        <v>-4.4004978272456299</v>
      </c>
      <c r="AG2390">
        <v>-1.1099205772679901</v>
      </c>
      <c r="AH2390">
        <v>45.301080824800501</v>
      </c>
      <c r="AI2390">
        <v>91.396948887941804</v>
      </c>
      <c r="AJ2390">
        <v>95.548242521476894</v>
      </c>
      <c r="AK2390">
        <v>45.5278401498528</v>
      </c>
      <c r="AL2390">
        <v>80.136913411531097</v>
      </c>
      <c r="AM2390">
        <v>90.520177238294295</v>
      </c>
      <c r="AN2390">
        <v>1.00000001432321</v>
      </c>
    </row>
    <row r="2391" spans="1:40" x14ac:dyDescent="0.25">
      <c r="A2391" t="str">
        <f>"20190312172129802"</f>
        <v>20190312172129802</v>
      </c>
      <c r="B2391" t="str">
        <f>"1552382489793433"</f>
        <v>1552382489793433</v>
      </c>
      <c r="C2391" t="s">
        <v>40</v>
      </c>
      <c r="D2391">
        <v>3.0385249999999999</v>
      </c>
      <c r="E2391">
        <v>0.4632038</v>
      </c>
      <c r="F2391" t="s">
        <v>47</v>
      </c>
      <c r="G2391">
        <v>-297.93110000000001</v>
      </c>
      <c r="H2391" s="1">
        <v>4.523592E-6</v>
      </c>
      <c r="I2391">
        <v>278.2758</v>
      </c>
      <c r="J2391">
        <v>-252.53389999999999</v>
      </c>
      <c r="K2391">
        <v>1.10991</v>
      </c>
      <c r="L2391">
        <v>281.90249999999997</v>
      </c>
      <c r="M2391">
        <v>-0.99970440000000005</v>
      </c>
      <c r="N2391">
        <v>0</v>
      </c>
      <c r="O2391">
        <v>2.188671E-2</v>
      </c>
      <c r="P2391">
        <v>-0.98697360000000001</v>
      </c>
      <c r="Q2391">
        <v>0.16070519999999999</v>
      </c>
      <c r="R2391">
        <v>7.56164199999999E-3</v>
      </c>
      <c r="S2391">
        <v>-3.054916</v>
      </c>
      <c r="T2391">
        <v>-7.4378609999999998E-2</v>
      </c>
      <c r="U2391">
        <v>-0.2427368</v>
      </c>
      <c r="V2391">
        <v>-1.393177E-2</v>
      </c>
      <c r="W2391">
        <v>0.17115910000000001</v>
      </c>
      <c r="X2391">
        <v>0.98514489999999999</v>
      </c>
      <c r="Y2391">
        <v>-0.1009721</v>
      </c>
      <c r="Z2391">
        <v>-1.759154E-3</v>
      </c>
      <c r="AA2391">
        <v>0.99488770000000004</v>
      </c>
      <c r="AB2391">
        <v>23</v>
      </c>
      <c r="AC2391">
        <v>-45.397199999999998</v>
      </c>
      <c r="AD2391">
        <v>-1.1099054764080001</v>
      </c>
      <c r="AE2391">
        <v>-3.6266999999999698</v>
      </c>
      <c r="AF2391">
        <v>-4.6167400728083896</v>
      </c>
      <c r="AG2391">
        <v>-1.1099054764080001</v>
      </c>
      <c r="AH2391">
        <v>45.280049081342398</v>
      </c>
      <c r="AI2391">
        <v>91.396914780845407</v>
      </c>
      <c r="AJ2391">
        <v>95.821742077881595</v>
      </c>
      <c r="AK2391">
        <v>45.528332100739298</v>
      </c>
      <c r="AL2391">
        <v>80.1447816184468</v>
      </c>
      <c r="AM2391">
        <v>90.810214228638003</v>
      </c>
      <c r="AN2391">
        <v>1.0000000028620699</v>
      </c>
    </row>
    <row r="2392" spans="1:40" x14ac:dyDescent="0.25">
      <c r="A2392" t="str">
        <f>"20190312172129824"</f>
        <v>20190312172129824</v>
      </c>
      <c r="B2392" t="str">
        <f>"1552382489812953"</f>
        <v>1552382489812953</v>
      </c>
      <c r="C2392" t="s">
        <v>40</v>
      </c>
      <c r="D2392">
        <v>3.0725799999999999</v>
      </c>
      <c r="E2392">
        <v>0.46263789999999999</v>
      </c>
      <c r="F2392" t="s">
        <v>47</v>
      </c>
      <c r="G2392">
        <v>-297.85149999999999</v>
      </c>
      <c r="H2392" s="1">
        <v>4.6155729999999998E-6</v>
      </c>
      <c r="I2392">
        <v>277.97559999999999</v>
      </c>
      <c r="J2392">
        <v>-252.7593</v>
      </c>
      <c r="K2392">
        <v>1.1098980000000001</v>
      </c>
      <c r="L2392">
        <v>281.90780000000001</v>
      </c>
      <c r="M2392">
        <v>-0.99969560000000002</v>
      </c>
      <c r="N2392">
        <v>0</v>
      </c>
      <c r="O2392">
        <v>2.2280899999999999E-2</v>
      </c>
      <c r="P2392">
        <v>-0.98711099999999996</v>
      </c>
      <c r="Q2392">
        <v>0.16001319999999999</v>
      </c>
      <c r="R2392">
        <v>2.7495559999999998E-3</v>
      </c>
      <c r="S2392">
        <v>-3.0538020000000001</v>
      </c>
      <c r="T2392">
        <v>-7.4792860000000003E-2</v>
      </c>
      <c r="U2392">
        <v>-0.26461790000000002</v>
      </c>
      <c r="V2392">
        <v>-1.9132639999999999E-2</v>
      </c>
      <c r="W2392">
        <v>0.17046789999999901</v>
      </c>
      <c r="X2392">
        <v>0.98517750000000004</v>
      </c>
      <c r="Y2392">
        <v>-0.1084671</v>
      </c>
      <c r="Z2392">
        <v>-1.8703140000000001E-3</v>
      </c>
      <c r="AA2392">
        <v>0.99409829999999999</v>
      </c>
      <c r="AB2392">
        <v>23</v>
      </c>
      <c r="AC2392">
        <v>-45.092199999999899</v>
      </c>
      <c r="AD2392">
        <v>-1.109893384427</v>
      </c>
      <c r="AE2392">
        <v>-3.9322000000000199</v>
      </c>
      <c r="AF2392">
        <v>-4.9330088525144804</v>
      </c>
      <c r="AG2392">
        <v>-1.109893384427</v>
      </c>
      <c r="AH2392">
        <v>44.966349806928399</v>
      </c>
      <c r="AI2392">
        <v>91.405501635145598</v>
      </c>
      <c r="AJ2392">
        <v>96.260566858596604</v>
      </c>
      <c r="AK2392">
        <v>45.249740934317302</v>
      </c>
      <c r="AL2392">
        <v>80.184975486774306</v>
      </c>
      <c r="AM2392">
        <v>91.112572849994095</v>
      </c>
      <c r="AN2392">
        <v>1.00000003467501</v>
      </c>
    </row>
    <row r="2393" spans="1:40" x14ac:dyDescent="0.25">
      <c r="A2393" t="str">
        <f>"20190312172129846"</f>
        <v>20190312172129846</v>
      </c>
      <c r="B2393" t="str">
        <f>"1552382489843209"</f>
        <v>1552382489843209</v>
      </c>
      <c r="C2393" t="s">
        <v>40</v>
      </c>
      <c r="D2393">
        <v>3.0541659999999999</v>
      </c>
      <c r="E2393">
        <v>0.46209480000000003</v>
      </c>
      <c r="F2393" t="s">
        <v>47</v>
      </c>
      <c r="G2393">
        <v>-296.05110000000002</v>
      </c>
      <c r="H2393" s="1">
        <v>4.3300820000000002E-6</v>
      </c>
      <c r="I2393">
        <v>277.87979999999999</v>
      </c>
      <c r="J2393">
        <v>-252.97900000000001</v>
      </c>
      <c r="K2393">
        <v>1.109893</v>
      </c>
      <c r="L2393">
        <v>281.91309999999999</v>
      </c>
      <c r="M2393">
        <v>-0.99968710000000005</v>
      </c>
      <c r="N2393">
        <v>0</v>
      </c>
      <c r="O2393">
        <v>2.2666430000000001E-2</v>
      </c>
      <c r="P2393">
        <v>-0.98716300000000001</v>
      </c>
      <c r="Q2393">
        <v>0.1597044</v>
      </c>
      <c r="R2393">
        <v>-1.9739979999999998E-3</v>
      </c>
      <c r="S2393">
        <v>-3.0526430000000002</v>
      </c>
      <c r="T2393">
        <v>-7.8262090000000006E-2</v>
      </c>
      <c r="U2393">
        <v>-0.28402709999999998</v>
      </c>
      <c r="V2393">
        <v>-2.4236779999999999E-2</v>
      </c>
      <c r="W2393">
        <v>0.1701597</v>
      </c>
      <c r="X2393">
        <v>0.98511839999999995</v>
      </c>
      <c r="Y2393">
        <v>-0.11514439999999999</v>
      </c>
      <c r="Z2393">
        <v>-2.0524969999999999E-3</v>
      </c>
      <c r="AA2393">
        <v>0.99334659999999997</v>
      </c>
      <c r="AB2393">
        <v>23</v>
      </c>
      <c r="AC2393">
        <v>-43.072099999999999</v>
      </c>
      <c r="AD2393">
        <v>-1.1098886699179999</v>
      </c>
      <c r="AE2393">
        <v>-4.0332999999999899</v>
      </c>
      <c r="AF2393">
        <v>-5.0053144179701903</v>
      </c>
      <c r="AG2393">
        <v>-1.1098886699179999</v>
      </c>
      <c r="AH2393">
        <v>42.941342078917302</v>
      </c>
      <c r="AI2393">
        <v>91.4706204998337</v>
      </c>
      <c r="AJ2393">
        <v>96.648489724603806</v>
      </c>
      <c r="AK2393">
        <v>43.246316430661999</v>
      </c>
      <c r="AL2393">
        <v>80.202895556089601</v>
      </c>
      <c r="AM2393">
        <v>91.409358628227295</v>
      </c>
      <c r="AN2393">
        <v>1.0000000035137</v>
      </c>
    </row>
    <row r="2394" spans="1:40" x14ac:dyDescent="0.25">
      <c r="A2394" t="str">
        <f>"20190312172129867"</f>
        <v>20190312172129867</v>
      </c>
      <c r="B2394" t="str">
        <f>"1552382489862730"</f>
        <v>1552382489862730</v>
      </c>
      <c r="C2394" t="s">
        <v>40</v>
      </c>
      <c r="D2394">
        <v>3.0964420000000001</v>
      </c>
      <c r="E2394">
        <v>0.46209440000000002</v>
      </c>
      <c r="F2394" t="s">
        <v>47</v>
      </c>
      <c r="G2394">
        <v>-294.30029999999999</v>
      </c>
      <c r="H2394" s="1">
        <v>4.0453050000000004E-6</v>
      </c>
      <c r="I2394">
        <v>277.80689999999998</v>
      </c>
      <c r="J2394">
        <v>-253.19630000000001</v>
      </c>
      <c r="K2394">
        <v>1.1098889999999999</v>
      </c>
      <c r="L2394">
        <v>281.91849999999999</v>
      </c>
      <c r="M2394">
        <v>-0.99967839999999997</v>
      </c>
      <c r="N2394">
        <v>0</v>
      </c>
      <c r="O2394">
        <v>2.3044180000000001E-2</v>
      </c>
      <c r="P2394">
        <v>-0.98720450000000004</v>
      </c>
      <c r="Q2394">
        <v>0.159305</v>
      </c>
      <c r="R2394">
        <v>-7.0042339999999998E-3</v>
      </c>
      <c r="S2394">
        <v>-3.0516359999999998</v>
      </c>
      <c r="T2394">
        <v>-8.1966880000000006E-2</v>
      </c>
      <c r="U2394">
        <v>-0.3032532</v>
      </c>
      <c r="V2394">
        <v>-2.9640940000000001E-2</v>
      </c>
      <c r="W2394">
        <v>0.1697612</v>
      </c>
      <c r="X2394">
        <v>0.98503940000000001</v>
      </c>
      <c r="Y2394">
        <v>-0.1217414</v>
      </c>
      <c r="Z2394">
        <v>-2.248183E-3</v>
      </c>
      <c r="AA2394">
        <v>0.99255930000000003</v>
      </c>
      <c r="AB2394">
        <v>23</v>
      </c>
      <c r="AC2394">
        <v>-41.1039999999999</v>
      </c>
      <c r="AD2394">
        <v>-1.10988495469499</v>
      </c>
      <c r="AE2394">
        <v>-4.1116000000000099</v>
      </c>
      <c r="AF2394">
        <v>-5.05412062580133</v>
      </c>
      <c r="AG2394">
        <v>-1.10988495469499</v>
      </c>
      <c r="AH2394">
        <v>40.9687553044282</v>
      </c>
      <c r="AI2394">
        <v>91.540151138378903</v>
      </c>
      <c r="AJ2394">
        <v>97.032774425074805</v>
      </c>
      <c r="AK2394">
        <v>41.294247675758903</v>
      </c>
      <c r="AL2394">
        <v>80.226065329796697</v>
      </c>
      <c r="AM2394">
        <v>91.723574154646897</v>
      </c>
      <c r="AN2394">
        <v>1.0000000349509399</v>
      </c>
    </row>
    <row r="2395" spans="1:40" x14ac:dyDescent="0.25">
      <c r="A2395" t="str">
        <f>"20190312172129878"</f>
        <v>20190312172129878</v>
      </c>
      <c r="B2395" t="str">
        <f>"1552382489873465"</f>
        <v>1552382489873465</v>
      </c>
      <c r="C2395" t="s">
        <v>40</v>
      </c>
      <c r="D2395">
        <v>3.2333919999999998</v>
      </c>
      <c r="E2395">
        <v>0.46205649999999998</v>
      </c>
      <c r="F2395" t="s">
        <v>47</v>
      </c>
      <c r="G2395">
        <v>-293.2758</v>
      </c>
      <c r="H2395" s="1">
        <v>3.8720499999999996E-6</v>
      </c>
      <c r="I2395">
        <v>277.72449999999998</v>
      </c>
      <c r="J2395">
        <v>-253.3168</v>
      </c>
      <c r="K2395">
        <v>1.109888</v>
      </c>
      <c r="L2395">
        <v>281.92140000000001</v>
      </c>
      <c r="M2395">
        <v>-0.99967379999999995</v>
      </c>
      <c r="N2395">
        <v>0</v>
      </c>
      <c r="O2395">
        <v>2.3251460000000002E-2</v>
      </c>
      <c r="P2395">
        <v>-0.98715989999999998</v>
      </c>
      <c r="Q2395">
        <v>0.1594402</v>
      </c>
      <c r="R2395">
        <v>-9.7131579999999995E-3</v>
      </c>
      <c r="S2395">
        <v>-3.0502470000000002</v>
      </c>
      <c r="T2395">
        <v>-8.4467650000000005E-2</v>
      </c>
      <c r="U2395">
        <v>-0.3191833</v>
      </c>
      <c r="V2395">
        <v>-3.2553619999999998E-2</v>
      </c>
      <c r="W2395">
        <v>0.16989560000000001</v>
      </c>
      <c r="X2395">
        <v>0.98492429999999997</v>
      </c>
      <c r="Y2395">
        <v>-0.1271148</v>
      </c>
      <c r="Z2395">
        <v>-2.3971040000000002E-3</v>
      </c>
      <c r="AA2395">
        <v>0.99188509999999996</v>
      </c>
      <c r="AB2395">
        <v>23</v>
      </c>
      <c r="AC2395">
        <v>-39.959000000000003</v>
      </c>
      <c r="AD2395">
        <v>-1.10988412795</v>
      </c>
      <c r="AE2395">
        <v>-4.1969000000000198</v>
      </c>
      <c r="AF2395">
        <v>-5.1210145358127104</v>
      </c>
      <c r="AG2395">
        <v>-1.10988412795</v>
      </c>
      <c r="AH2395">
        <v>39.820220896429802</v>
      </c>
      <c r="AI2395">
        <v>91.583521724191002</v>
      </c>
      <c r="AJ2395">
        <v>97.328206908215094</v>
      </c>
      <c r="AK2395">
        <v>40.1634986635122</v>
      </c>
      <c r="AL2395">
        <v>80.218251563354102</v>
      </c>
      <c r="AM2395">
        <v>91.893045267717795</v>
      </c>
      <c r="AN2395">
        <v>1.0000000649024701</v>
      </c>
    </row>
    <row r="2396" spans="1:40" x14ac:dyDescent="0.25">
      <c r="A2396" t="str">
        <f>"20190312172129891"</f>
        <v>20190312172129891</v>
      </c>
      <c r="B2396" t="str">
        <f>"1552382489883224"</f>
        <v>1552382489883224</v>
      </c>
      <c r="C2396" t="s">
        <v>40</v>
      </c>
      <c r="D2396">
        <v>3.0729880000000001</v>
      </c>
      <c r="E2396">
        <v>0.46215139999999999</v>
      </c>
      <c r="F2396" t="s">
        <v>47</v>
      </c>
      <c r="G2396">
        <v>-292.99400000000003</v>
      </c>
      <c r="H2396" s="1">
        <v>3.8284639999999997E-6</v>
      </c>
      <c r="I2396">
        <v>277.65309999999999</v>
      </c>
      <c r="J2396">
        <v>-253.43729999999999</v>
      </c>
      <c r="K2396">
        <v>1.1098969999999999</v>
      </c>
      <c r="L2396">
        <v>281.92439999999999</v>
      </c>
      <c r="M2396">
        <v>-0.99966900000000003</v>
      </c>
      <c r="N2396">
        <v>0</v>
      </c>
      <c r="O2396">
        <v>2.3455150000000001E-2</v>
      </c>
      <c r="P2396">
        <v>-0.98717359999999998</v>
      </c>
      <c r="Q2396">
        <v>0.1591524</v>
      </c>
      <c r="R2396">
        <v>-1.260616E-2</v>
      </c>
      <c r="S2396">
        <v>-3.0495909999999999</v>
      </c>
      <c r="T2396">
        <v>-8.5305809999999996E-2</v>
      </c>
      <c r="U2396">
        <v>-0.32806400000000002</v>
      </c>
      <c r="V2396">
        <v>-3.5648350000000002E-2</v>
      </c>
      <c r="W2396">
        <v>0.1696085</v>
      </c>
      <c r="X2396">
        <v>0.98486660000000004</v>
      </c>
      <c r="Y2396">
        <v>-0.13019230000000001</v>
      </c>
      <c r="Z2396">
        <v>-2.4696269999999998E-3</v>
      </c>
      <c r="AA2396">
        <v>0.99148570000000003</v>
      </c>
      <c r="AB2396">
        <v>23</v>
      </c>
      <c r="AC2396">
        <v>-39.556699999999999</v>
      </c>
      <c r="AD2396">
        <v>-1.1098931715360001</v>
      </c>
      <c r="AE2396">
        <v>-4.2712999999999903</v>
      </c>
      <c r="AF2396">
        <v>-5.1939430724023703</v>
      </c>
      <c r="AG2396">
        <v>-1.1098931715360001</v>
      </c>
      <c r="AH2396">
        <v>39.414954283114398</v>
      </c>
      <c r="AI2396">
        <v>91.599158891058494</v>
      </c>
      <c r="AJ2396">
        <v>97.506952721987204</v>
      </c>
      <c r="AK2396">
        <v>39.771189680867899</v>
      </c>
      <c r="AL2396">
        <v>80.234943127898603</v>
      </c>
      <c r="AM2396">
        <v>92.072979936712898</v>
      </c>
      <c r="AN2396">
        <v>1.0000000339627599</v>
      </c>
    </row>
    <row r="2397" spans="1:40" x14ac:dyDescent="0.25">
      <c r="A2397" t="str">
        <f>"20190312172129904"</f>
        <v>20190312172129904</v>
      </c>
      <c r="B2397" t="str">
        <f>"1552382489892985"</f>
        <v>1552382489892985</v>
      </c>
      <c r="C2397" t="s">
        <v>40</v>
      </c>
      <c r="D2397">
        <v>3.0764429999999998</v>
      </c>
      <c r="E2397">
        <v>0.46227230000000002</v>
      </c>
      <c r="F2397" t="s">
        <v>47</v>
      </c>
      <c r="G2397">
        <v>-292.76960000000003</v>
      </c>
      <c r="H2397" s="1">
        <v>3.79756E-6</v>
      </c>
      <c r="I2397">
        <v>277.58190000000002</v>
      </c>
      <c r="J2397">
        <v>-253.57570000000001</v>
      </c>
      <c r="K2397">
        <v>1.1099000000000001</v>
      </c>
      <c r="L2397">
        <v>281.92790000000002</v>
      </c>
      <c r="M2397">
        <v>-0.99966350000000004</v>
      </c>
      <c r="N2397">
        <v>0</v>
      </c>
      <c r="O2397">
        <v>2.3687219999999998E-2</v>
      </c>
      <c r="P2397">
        <v>-0.98718119999999998</v>
      </c>
      <c r="Q2397">
        <v>0.15886810000000001</v>
      </c>
      <c r="R2397">
        <v>-1.531104E-2</v>
      </c>
      <c r="S2397">
        <v>-3.0485530000000001</v>
      </c>
      <c r="T2397">
        <v>-8.6025240000000003E-2</v>
      </c>
      <c r="U2397">
        <v>-0.3365784</v>
      </c>
      <c r="V2397">
        <v>-3.858288E-2</v>
      </c>
      <c r="W2397">
        <v>0.16932420000000001</v>
      </c>
      <c r="X2397">
        <v>0.98480489999999998</v>
      </c>
      <c r="Y2397">
        <v>-0.13319210000000001</v>
      </c>
      <c r="Z2397">
        <v>-2.5396379999999999E-3</v>
      </c>
      <c r="AA2397">
        <v>0.99108700000000005</v>
      </c>
      <c r="AB2397">
        <v>23</v>
      </c>
      <c r="AC2397">
        <v>-39.193899999999999</v>
      </c>
      <c r="AD2397">
        <v>-1.1098962024400001</v>
      </c>
      <c r="AE2397">
        <v>-4.3460000000000001</v>
      </c>
      <c r="AF2397">
        <v>-5.2690528848679499</v>
      </c>
      <c r="AG2397">
        <v>-1.1098962024400001</v>
      </c>
      <c r="AH2397">
        <v>39.049017660135902</v>
      </c>
      <c r="AI2397">
        <v>91.613473981126802</v>
      </c>
      <c r="AJ2397">
        <v>97.684752253613297</v>
      </c>
      <c r="AK2397">
        <v>39.418530770506003</v>
      </c>
      <c r="AL2397">
        <v>80.251471119159703</v>
      </c>
      <c r="AM2397">
        <v>92.243597861776195</v>
      </c>
      <c r="AN2397">
        <v>1.00000000719937</v>
      </c>
    </row>
    <row r="2398" spans="1:40" x14ac:dyDescent="0.25">
      <c r="A2398" t="str">
        <f>"20190312172129915"</f>
        <v>20190312172129915</v>
      </c>
      <c r="B2398" t="str">
        <f>"1552382489913481"</f>
        <v>1552382489913481</v>
      </c>
      <c r="C2398" t="s">
        <v>40</v>
      </c>
      <c r="D2398">
        <v>3.112123</v>
      </c>
      <c r="E2398">
        <v>0.46263609999999999</v>
      </c>
      <c r="F2398" t="s">
        <v>47</v>
      </c>
      <c r="G2398">
        <v>-292.37689999999998</v>
      </c>
      <c r="H2398" s="1">
        <v>3.719365E-6</v>
      </c>
      <c r="I2398">
        <v>277.54840000000002</v>
      </c>
      <c r="J2398">
        <v>-253.696</v>
      </c>
      <c r="K2398">
        <v>1.1099000000000001</v>
      </c>
      <c r="L2398">
        <v>281.93099999999998</v>
      </c>
      <c r="M2398">
        <v>-0.99965870000000001</v>
      </c>
      <c r="N2398">
        <v>0</v>
      </c>
      <c r="O2398">
        <v>2.3886379999999999E-2</v>
      </c>
      <c r="P2398">
        <v>-0.98716619999999999</v>
      </c>
      <c r="Q2398">
        <v>0.15865570000000001</v>
      </c>
      <c r="R2398">
        <v>-1.8208229999999999E-2</v>
      </c>
      <c r="S2398">
        <v>-3.0476529999999999</v>
      </c>
      <c r="T2398">
        <v>-8.7177160000000004E-2</v>
      </c>
      <c r="U2398">
        <v>-0.34399410000000002</v>
      </c>
      <c r="V2398">
        <v>-4.1676480000000002E-2</v>
      </c>
      <c r="W2398">
        <v>0.16911229999999999</v>
      </c>
      <c r="X2398">
        <v>0.98471520000000001</v>
      </c>
      <c r="Y2398">
        <v>-0.13580010000000001</v>
      </c>
      <c r="Z2398">
        <v>-2.616901E-3</v>
      </c>
      <c r="AA2398">
        <v>0.99073279999999997</v>
      </c>
      <c r="AB2398">
        <v>23</v>
      </c>
      <c r="AC2398">
        <v>-38.680899999999902</v>
      </c>
      <c r="AD2398">
        <v>-1.1098962806349999</v>
      </c>
      <c r="AE2398">
        <v>-4.3825999999999601</v>
      </c>
      <c r="AF2398">
        <v>-5.3010386383943997</v>
      </c>
      <c r="AG2398">
        <v>-1.1098962806349999</v>
      </c>
      <c r="AH2398">
        <v>38.533848215424101</v>
      </c>
      <c r="AI2398">
        <v>91.634457744657595</v>
      </c>
      <c r="AJ2398">
        <v>97.832921025996001</v>
      </c>
      <c r="AK2398">
        <v>38.912598714155003</v>
      </c>
      <c r="AL2398">
        <v>80.263789302755796</v>
      </c>
      <c r="AM2398">
        <v>92.423504945572404</v>
      </c>
      <c r="AN2398">
        <v>0.99999996205375896</v>
      </c>
    </row>
    <row r="2399" spans="1:40" x14ac:dyDescent="0.25">
      <c r="A2399" t="str">
        <f>"20190312172129933"</f>
        <v>20190312172129933</v>
      </c>
      <c r="B2399" t="str">
        <f>"1552382489923244"</f>
        <v>1552382489923244</v>
      </c>
      <c r="C2399" t="s">
        <v>40</v>
      </c>
      <c r="D2399">
        <v>3.1116619999999999</v>
      </c>
      <c r="E2399">
        <v>0.46288360000000001</v>
      </c>
      <c r="F2399" t="s">
        <v>47</v>
      </c>
      <c r="G2399">
        <v>-289.03609999999998</v>
      </c>
      <c r="H2399">
        <v>8.0001290000000003E-2</v>
      </c>
      <c r="I2399">
        <v>277.86739999999998</v>
      </c>
      <c r="J2399">
        <v>-253.8785</v>
      </c>
      <c r="K2399">
        <v>1.1099030000000001</v>
      </c>
      <c r="L2399">
        <v>281.9357</v>
      </c>
      <c r="M2399">
        <v>-0.99965170000000003</v>
      </c>
      <c r="N2399">
        <v>0</v>
      </c>
      <c r="O2399">
        <v>2.4184959999999998E-2</v>
      </c>
      <c r="P2399">
        <v>-0.98703929999999995</v>
      </c>
      <c r="Q2399">
        <v>0.15870580000000001</v>
      </c>
      <c r="R2399">
        <v>-2.3791449999999999E-2</v>
      </c>
      <c r="S2399">
        <v>-3.0468289999999998</v>
      </c>
      <c r="T2399">
        <v>-8.8792200000000002E-2</v>
      </c>
      <c r="U2399">
        <v>-0.35034179999999998</v>
      </c>
      <c r="V2399">
        <v>-4.755123E-2</v>
      </c>
      <c r="W2399">
        <v>0.16916199999999901</v>
      </c>
      <c r="X2399">
        <v>0.98444050000000005</v>
      </c>
      <c r="Y2399">
        <v>-0.13815949999999999</v>
      </c>
      <c r="Z2399">
        <v>-2.7087040000000001E-3</v>
      </c>
      <c r="AA2399">
        <v>0.99040629999999996</v>
      </c>
      <c r="AB2399">
        <v>23</v>
      </c>
      <c r="AC2399">
        <v>-35.157599999999903</v>
      </c>
      <c r="AD2399">
        <v>-1.0299017100000001</v>
      </c>
      <c r="AE2399">
        <v>-4.0683000000000202</v>
      </c>
      <c r="AF2399">
        <v>-4.9132819544861501</v>
      </c>
      <c r="AG2399">
        <v>-1.0299017100000001</v>
      </c>
      <c r="AH2399">
        <v>35.019264120631803</v>
      </c>
      <c r="AI2399">
        <v>91.668229093754903</v>
      </c>
      <c r="AJ2399">
        <v>97.986595087115802</v>
      </c>
      <c r="AK2399">
        <v>35.377251117732499</v>
      </c>
      <c r="AL2399">
        <v>80.260900447915006</v>
      </c>
      <c r="AM2399">
        <v>92.765397059973793</v>
      </c>
      <c r="AN2399">
        <v>0.99999999987938104</v>
      </c>
    </row>
    <row r="2400" spans="1:40" x14ac:dyDescent="0.25">
      <c r="A2400" t="str">
        <f>"20190312172129945"</f>
        <v>20190312172129945</v>
      </c>
      <c r="B2400" t="str">
        <f>"1552382489943737"</f>
        <v>1552382489943737</v>
      </c>
      <c r="C2400" t="s">
        <v>40</v>
      </c>
      <c r="D2400">
        <v>3.0904120000000002</v>
      </c>
      <c r="E2400">
        <v>0.46324219999999999</v>
      </c>
      <c r="F2400" t="s">
        <v>47</v>
      </c>
      <c r="G2400">
        <v>-289.02300000000002</v>
      </c>
      <c r="H2400">
        <v>8.0001329999999996E-2</v>
      </c>
      <c r="I2400">
        <v>277.7131</v>
      </c>
      <c r="J2400">
        <v>-253.99959999999999</v>
      </c>
      <c r="K2400">
        <v>1.1099030000000001</v>
      </c>
      <c r="L2400">
        <v>281.93880000000001</v>
      </c>
      <c r="M2400">
        <v>-0.99964679999999995</v>
      </c>
      <c r="N2400">
        <v>0</v>
      </c>
      <c r="O2400">
        <v>2.4381440000000001E-2</v>
      </c>
      <c r="P2400">
        <v>-0.98693030000000004</v>
      </c>
      <c r="Q2400">
        <v>0.15897709999999901</v>
      </c>
      <c r="R2400">
        <v>-2.6359819999999999E-2</v>
      </c>
      <c r="S2400">
        <v>-3.0449220000000001</v>
      </c>
      <c r="T2400">
        <v>-8.9230539999999997E-2</v>
      </c>
      <c r="U2400">
        <v>-0.36584470000000002</v>
      </c>
      <c r="V2400">
        <v>-5.0310729999999998E-2</v>
      </c>
      <c r="W2400">
        <v>0.16943229999999901</v>
      </c>
      <c r="X2400">
        <v>0.98425689999999999</v>
      </c>
      <c r="Y2400">
        <v>-0.1433934</v>
      </c>
      <c r="Z2400">
        <v>-2.8051040000000001E-3</v>
      </c>
      <c r="AA2400">
        <v>0.98966180000000004</v>
      </c>
      <c r="AB2400">
        <v>23</v>
      </c>
      <c r="AC2400">
        <v>-35.023399999999903</v>
      </c>
      <c r="AD2400">
        <v>-1.0299016700000001</v>
      </c>
      <c r="AE2400">
        <v>-4.2257000000000096</v>
      </c>
      <c r="AF2400">
        <v>-5.0740876488848601</v>
      </c>
      <c r="AG2400">
        <v>-1.0299016700000001</v>
      </c>
      <c r="AH2400">
        <v>34.8802241497485</v>
      </c>
      <c r="AI2400">
        <v>91.673663898864206</v>
      </c>
      <c r="AJ2400">
        <v>98.276858794898203</v>
      </c>
      <c r="AK2400">
        <v>35.262403486647599</v>
      </c>
      <c r="AL2400">
        <v>80.245187157109498</v>
      </c>
      <c r="AM2400">
        <v>92.9261525994756</v>
      </c>
      <c r="AN2400">
        <v>1.00000005951701</v>
      </c>
    </row>
    <row r="2401" spans="1:40" x14ac:dyDescent="0.25">
      <c r="A2401" t="str">
        <f>"20190312172129957"</f>
        <v>20190312172129957</v>
      </c>
      <c r="B2401" t="str">
        <f>"1552382489953498"</f>
        <v>1552382489953498</v>
      </c>
      <c r="C2401" t="s">
        <v>40</v>
      </c>
      <c r="D2401">
        <v>3.0669149999999998</v>
      </c>
      <c r="E2401">
        <v>0.46315970000000001</v>
      </c>
      <c r="F2401" t="s">
        <v>47</v>
      </c>
      <c r="G2401">
        <v>-289.22059999999999</v>
      </c>
      <c r="H2401">
        <v>8.0001169999999996E-2</v>
      </c>
      <c r="I2401">
        <v>277.64850000000001</v>
      </c>
      <c r="J2401">
        <v>-254.11940000000001</v>
      </c>
      <c r="K2401">
        <v>1.1099019999999999</v>
      </c>
      <c r="L2401">
        <v>281.94200000000001</v>
      </c>
      <c r="M2401">
        <v>-0.99964200000000003</v>
      </c>
      <c r="N2401">
        <v>0</v>
      </c>
      <c r="O2401">
        <v>2.457471E-2</v>
      </c>
      <c r="P2401">
        <v>-0.98687349999999996</v>
      </c>
      <c r="Q2401">
        <v>0.15894520000000001</v>
      </c>
      <c r="R2401">
        <v>-2.8584640000000001E-2</v>
      </c>
      <c r="S2401">
        <v>-3.0441590000000001</v>
      </c>
      <c r="T2401">
        <v>-8.9014769999999993E-2</v>
      </c>
      <c r="U2401">
        <v>-0.37081910000000001</v>
      </c>
      <c r="V2401">
        <v>-5.2724630000000001E-2</v>
      </c>
      <c r="W2401">
        <v>0.1694003</v>
      </c>
      <c r="X2401">
        <v>0.98413600000000001</v>
      </c>
      <c r="Y2401">
        <v>-0.14520720000000001</v>
      </c>
      <c r="Z2401">
        <v>-2.8307979999999998E-3</v>
      </c>
      <c r="AA2401">
        <v>0.98939719999999998</v>
      </c>
      <c r="AB2401">
        <v>23</v>
      </c>
      <c r="AC2401">
        <v>-35.101199999999899</v>
      </c>
      <c r="AD2401">
        <v>-1.0299008300000001</v>
      </c>
      <c r="AE2401">
        <v>-4.2934999999999901</v>
      </c>
      <c r="AF2401">
        <v>-5.1504846717409798</v>
      </c>
      <c r="AG2401">
        <v>-1.0299008300000001</v>
      </c>
      <c r="AH2401">
        <v>34.955431564890901</v>
      </c>
      <c r="AI2401">
        <v>91.669615711970096</v>
      </c>
      <c r="AJ2401">
        <v>98.381897545190299</v>
      </c>
      <c r="AK2401">
        <v>35.347848363956302</v>
      </c>
      <c r="AL2401">
        <v>80.247047000652501</v>
      </c>
      <c r="AM2401">
        <v>93.066663059628098</v>
      </c>
      <c r="AN2401">
        <v>1.0000000073723601</v>
      </c>
    </row>
    <row r="2402" spans="1:40" x14ac:dyDescent="0.25">
      <c r="A2402" t="str">
        <f>"20190312172129969"</f>
        <v>20190312172129969</v>
      </c>
      <c r="B2402" t="str">
        <f>"1552382489963763"</f>
        <v>1552382489963763</v>
      </c>
      <c r="C2402" t="s">
        <v>40</v>
      </c>
      <c r="D2402">
        <v>3.1182810000000001</v>
      </c>
      <c r="E2402">
        <v>0.46314129999999998</v>
      </c>
      <c r="F2402" t="s">
        <v>47</v>
      </c>
      <c r="G2402">
        <v>-289.20729999999998</v>
      </c>
      <c r="H2402">
        <v>8.0001329999999996E-2</v>
      </c>
      <c r="I2402">
        <v>277.58190000000002</v>
      </c>
      <c r="J2402">
        <v>-254.2424</v>
      </c>
      <c r="K2402">
        <v>1.1099019999999999</v>
      </c>
      <c r="L2402">
        <v>281.9452</v>
      </c>
      <c r="M2402">
        <v>-0.99963729999999995</v>
      </c>
      <c r="N2402">
        <v>0</v>
      </c>
      <c r="O2402">
        <v>2.47718E-2</v>
      </c>
      <c r="P2402">
        <v>-0.98683180000000004</v>
      </c>
      <c r="Q2402">
        <v>0.15884119999999999</v>
      </c>
      <c r="R2402">
        <v>-3.054805E-2</v>
      </c>
      <c r="S2402">
        <v>-3.0433650000000001</v>
      </c>
      <c r="T2402">
        <v>-8.9328770000000002E-2</v>
      </c>
      <c r="U2402">
        <v>-0.3781738</v>
      </c>
      <c r="V2402">
        <v>-5.4881340000000001E-2</v>
      </c>
      <c r="W2402">
        <v>0.169296</v>
      </c>
      <c r="X2402">
        <v>0.98403600000000002</v>
      </c>
      <c r="Y2402">
        <v>-0.14778640000000001</v>
      </c>
      <c r="Z2402">
        <v>-2.8845659999999999E-3</v>
      </c>
      <c r="AA2402">
        <v>0.98901510000000004</v>
      </c>
      <c r="AB2402">
        <v>23</v>
      </c>
      <c r="AC2402">
        <v>-34.964899999999901</v>
      </c>
      <c r="AD2402">
        <v>-1.02990067</v>
      </c>
      <c r="AE2402">
        <v>-4.3632999999999802</v>
      </c>
      <c r="AF2402">
        <v>-5.2236901026750697</v>
      </c>
      <c r="AG2402">
        <v>-1.02990067</v>
      </c>
      <c r="AH2402">
        <v>34.816332449342497</v>
      </c>
      <c r="AI2402">
        <v>91.675626364321801</v>
      </c>
      <c r="AJ2402">
        <v>98.5327616906891</v>
      </c>
      <c r="AK2402">
        <v>35.221082307362302</v>
      </c>
      <c r="AL2402">
        <v>80.253110193903197</v>
      </c>
      <c r="AM2402">
        <v>93.192174836559403</v>
      </c>
      <c r="AN2402">
        <v>0.99999997319609701</v>
      </c>
    </row>
    <row r="2403" spans="1:40" x14ac:dyDescent="0.25">
      <c r="A2403" t="str">
        <f>"20190312172129993"</f>
        <v>20190312172129993</v>
      </c>
      <c r="B2403" t="str">
        <f>"1552382489983284"</f>
        <v>1552382489983284</v>
      </c>
      <c r="C2403" t="s">
        <v>40</v>
      </c>
      <c r="D2403">
        <v>3.0713940000000002</v>
      </c>
      <c r="E2403">
        <v>0.46313399999999999</v>
      </c>
      <c r="F2403" t="s">
        <v>47</v>
      </c>
      <c r="G2403">
        <v>-288.90929999999997</v>
      </c>
      <c r="H2403">
        <v>8.0001320000000001E-2</v>
      </c>
      <c r="I2403">
        <v>277.56799999999998</v>
      </c>
      <c r="J2403">
        <v>-254.4752</v>
      </c>
      <c r="K2403">
        <v>1.1099019999999999</v>
      </c>
      <c r="L2403">
        <v>281.95139999999998</v>
      </c>
      <c r="M2403">
        <v>-0.99962790000000001</v>
      </c>
      <c r="N2403">
        <v>0</v>
      </c>
      <c r="O2403">
        <v>2.5144639999999999E-2</v>
      </c>
      <c r="P2403">
        <v>-0.98686050000000003</v>
      </c>
      <c r="Q2403">
        <v>0.15794849999999999</v>
      </c>
      <c r="R2403">
        <v>-3.4039970000000003E-2</v>
      </c>
      <c r="S2403">
        <v>-3.042694</v>
      </c>
      <c r="T2403">
        <v>-9.0393660000000001E-2</v>
      </c>
      <c r="U2403">
        <v>-0.38418580000000002</v>
      </c>
      <c r="V2403">
        <v>-5.8742349999999999E-2</v>
      </c>
      <c r="W2403">
        <v>0.16840439999999901</v>
      </c>
      <c r="X2403">
        <v>0.98396609999999995</v>
      </c>
      <c r="Y2403">
        <v>-0.1501026</v>
      </c>
      <c r="Z2403">
        <v>-2.9645240000000001E-3</v>
      </c>
      <c r="AA2403">
        <v>0.98866600000000004</v>
      </c>
      <c r="AB2403">
        <v>23</v>
      </c>
      <c r="AC2403">
        <v>-34.434099999999901</v>
      </c>
      <c r="AD2403">
        <v>-1.0299006799999999</v>
      </c>
      <c r="AE2403">
        <v>-4.3833999999999902</v>
      </c>
      <c r="AF2403">
        <v>-5.2432797007838996</v>
      </c>
      <c r="AG2403">
        <v>-1.0299006799999999</v>
      </c>
      <c r="AH2403">
        <v>34.282807111471698</v>
      </c>
      <c r="AI2403">
        <v>91.700956242111104</v>
      </c>
      <c r="AJ2403">
        <v>98.695546722789501</v>
      </c>
      <c r="AK2403">
        <v>34.696736746756002</v>
      </c>
      <c r="AL2403">
        <v>80.304939511773696</v>
      </c>
      <c r="AM2403">
        <v>93.416478251891306</v>
      </c>
      <c r="AN2403">
        <v>0.99999999578604604</v>
      </c>
    </row>
    <row r="2404" spans="1:40" x14ac:dyDescent="0.25">
      <c r="A2404" t="str">
        <f>"20190312172130014"</f>
        <v>20190312172130014</v>
      </c>
      <c r="B2404" t="str">
        <f>"1552382490003779"</f>
        <v>1552382490003779</v>
      </c>
      <c r="C2404" t="s">
        <v>40</v>
      </c>
      <c r="D2404">
        <v>3.058252</v>
      </c>
      <c r="E2404">
        <v>0.46313789999999999</v>
      </c>
      <c r="F2404" t="s">
        <v>47</v>
      </c>
      <c r="G2404">
        <v>-287.88529999999997</v>
      </c>
      <c r="H2404">
        <v>8.0001310000000006E-2</v>
      </c>
      <c r="I2404">
        <v>277.61290000000002</v>
      </c>
      <c r="J2404">
        <v>-254.70400000000001</v>
      </c>
      <c r="K2404">
        <v>1.1099000000000001</v>
      </c>
      <c r="L2404">
        <v>281.95749999999998</v>
      </c>
      <c r="M2404">
        <v>-0.99961849999999997</v>
      </c>
      <c r="N2404">
        <v>0</v>
      </c>
      <c r="O2404">
        <v>2.5511289999999999E-2</v>
      </c>
      <c r="P2404">
        <v>-0.98696099999999998</v>
      </c>
      <c r="Q2404">
        <v>0.15684699999999999</v>
      </c>
      <c r="R2404">
        <v>-3.6151460000000003E-2</v>
      </c>
      <c r="S2404">
        <v>-3.0413359999999998</v>
      </c>
      <c r="T2404">
        <v>-9.3752150000000006E-2</v>
      </c>
      <c r="U2404">
        <v>-0.394928</v>
      </c>
      <c r="V2404">
        <v>-6.1218920000000003E-2</v>
      </c>
      <c r="W2404">
        <v>0.16730490000000001</v>
      </c>
      <c r="X2404">
        <v>0.98400270000000001</v>
      </c>
      <c r="Y2404">
        <v>-0.15394679999999999</v>
      </c>
      <c r="Z2404">
        <v>-3.14555E-3</v>
      </c>
      <c r="AA2404">
        <v>0.98807409999999996</v>
      </c>
      <c r="AB2404">
        <v>23</v>
      </c>
      <c r="AC2404">
        <v>-33.181299999999901</v>
      </c>
      <c r="AD2404">
        <v>-1.02989869</v>
      </c>
      <c r="AE2404">
        <v>-4.3445999999999501</v>
      </c>
      <c r="AF2404">
        <v>-5.1848201953445301</v>
      </c>
      <c r="AG2404">
        <v>-1.02989869</v>
      </c>
      <c r="AH2404">
        <v>33.028373951425699</v>
      </c>
      <c r="AI2404">
        <v>91.764437768185005</v>
      </c>
      <c r="AJ2404">
        <v>98.921527819930304</v>
      </c>
      <c r="AK2404">
        <v>33.4487150372766</v>
      </c>
      <c r="AL2404">
        <v>80.368842939873602</v>
      </c>
      <c r="AM2404">
        <v>93.560021462692006</v>
      </c>
      <c r="AN2404">
        <v>0.99999999966863296</v>
      </c>
    </row>
    <row r="2405" spans="1:40" x14ac:dyDescent="0.25">
      <c r="A2405" t="str">
        <f>"20190312172130034"</f>
        <v>20190312172130034</v>
      </c>
      <c r="B2405" t="str">
        <f>"1552382490023299"</f>
        <v>1552382490023299</v>
      </c>
      <c r="C2405" t="s">
        <v>40</v>
      </c>
      <c r="D2405">
        <v>3.0401349999999998</v>
      </c>
      <c r="E2405">
        <v>0.46315519999999999</v>
      </c>
      <c r="F2405" t="s">
        <v>47</v>
      </c>
      <c r="G2405">
        <v>-286.97800000000001</v>
      </c>
      <c r="H2405">
        <v>8.0001290000000003E-2</v>
      </c>
      <c r="I2405">
        <v>277.69659999999999</v>
      </c>
      <c r="J2405">
        <v>-254.9058</v>
      </c>
      <c r="K2405">
        <v>1.1098950000000001</v>
      </c>
      <c r="L2405">
        <v>281.96300000000002</v>
      </c>
      <c r="M2405">
        <v>-0.99961029999999995</v>
      </c>
      <c r="N2405">
        <v>0</v>
      </c>
      <c r="O2405">
        <v>2.5834559999999999E-2</v>
      </c>
      <c r="P2405">
        <v>-0.98710719999999996</v>
      </c>
      <c r="Q2405">
        <v>0.15558829999999901</v>
      </c>
      <c r="R2405">
        <v>-3.7577199999999998E-2</v>
      </c>
      <c r="S2405">
        <v>-3.0403440000000002</v>
      </c>
      <c r="T2405">
        <v>-9.7020629999999997E-2</v>
      </c>
      <c r="U2405">
        <v>-0.40139770000000002</v>
      </c>
      <c r="V2405">
        <v>-6.2967990000000001E-2</v>
      </c>
      <c r="W2405">
        <v>0.16604859999999999</v>
      </c>
      <c r="X2405">
        <v>0.98410509999999995</v>
      </c>
      <c r="Y2405">
        <v>-0.1563668</v>
      </c>
      <c r="Z2405">
        <v>-3.3044810000000002E-3</v>
      </c>
      <c r="AA2405">
        <v>0.9876935</v>
      </c>
      <c r="AB2405">
        <v>23</v>
      </c>
      <c r="AC2405">
        <v>-32.072200000000002</v>
      </c>
      <c r="AD2405">
        <v>-1.0298937100000001</v>
      </c>
      <c r="AE2405">
        <v>-4.2663999999999698</v>
      </c>
      <c r="AF2405">
        <v>-5.0884375853713797</v>
      </c>
      <c r="AG2405">
        <v>-1.0298937100000001</v>
      </c>
      <c r="AH2405">
        <v>31.918926085215698</v>
      </c>
      <c r="AI2405">
        <v>91.825030978756303</v>
      </c>
      <c r="AJ2405">
        <v>99.0577360704482</v>
      </c>
      <c r="AK2405">
        <v>32.338378446477201</v>
      </c>
      <c r="AL2405">
        <v>80.441844590223695</v>
      </c>
      <c r="AM2405">
        <v>93.661081103730695</v>
      </c>
      <c r="AN2405">
        <v>0.99999997658630402</v>
      </c>
    </row>
    <row r="2406" spans="1:40" x14ac:dyDescent="0.25">
      <c r="A2406" t="str">
        <f>"20190312172130045"</f>
        <v>20190312172130045</v>
      </c>
      <c r="B2406" t="str">
        <f>"1552382490033061"</f>
        <v>1552382490033061</v>
      </c>
      <c r="C2406" t="s">
        <v>40</v>
      </c>
      <c r="D2406">
        <v>3.0815410000000001</v>
      </c>
      <c r="E2406">
        <v>0.46323609999999998</v>
      </c>
      <c r="F2406" t="s">
        <v>47</v>
      </c>
      <c r="G2406">
        <v>-286.14460000000003</v>
      </c>
      <c r="H2406">
        <v>8.0001240000000001E-2</v>
      </c>
      <c r="I2406">
        <v>277.80329999999998</v>
      </c>
      <c r="J2406">
        <v>-255.024</v>
      </c>
      <c r="K2406">
        <v>1.1098939999999999</v>
      </c>
      <c r="L2406">
        <v>281.96629999999999</v>
      </c>
      <c r="M2406">
        <v>-0.99960539999999998</v>
      </c>
      <c r="N2406">
        <v>0</v>
      </c>
      <c r="O2406">
        <v>2.6024749999999999E-2</v>
      </c>
      <c r="P2406">
        <v>-0.98717679999999997</v>
      </c>
      <c r="Q2406">
        <v>0.1550009</v>
      </c>
      <c r="R2406">
        <v>-3.8169340000000003E-2</v>
      </c>
      <c r="S2406">
        <v>-3.0395810000000001</v>
      </c>
      <c r="T2406">
        <v>-0.1002102</v>
      </c>
      <c r="U2406">
        <v>-0.40475460000000002</v>
      </c>
      <c r="V2406">
        <v>-6.3750009999999996E-2</v>
      </c>
      <c r="W2406">
        <v>0.1654622</v>
      </c>
      <c r="X2406">
        <v>0.98415350000000001</v>
      </c>
      <c r="Y2406">
        <v>-0.15765179999999901</v>
      </c>
      <c r="Z2406">
        <v>-3.4409919999999999E-3</v>
      </c>
      <c r="AA2406">
        <v>0.9874887</v>
      </c>
      <c r="AB2406">
        <v>23</v>
      </c>
      <c r="AC2406">
        <v>-31.1206</v>
      </c>
      <c r="AD2406">
        <v>-1.0298927600000001</v>
      </c>
      <c r="AE2406">
        <v>-4.16300000000001</v>
      </c>
      <c r="AF2406">
        <v>-4.96619762664794</v>
      </c>
      <c r="AG2406">
        <v>-1.0298927600000001</v>
      </c>
      <c r="AH2406">
        <v>30.968391224827698</v>
      </c>
      <c r="AI2406">
        <v>91.880729412767593</v>
      </c>
      <c r="AJ2406">
        <v>99.110579350608305</v>
      </c>
      <c r="AK2406">
        <v>31.380966413066499</v>
      </c>
      <c r="AL2406">
        <v>80.475913940434907</v>
      </c>
      <c r="AM2406">
        <v>93.706241525284995</v>
      </c>
      <c r="AN2406">
        <v>0.99999995748304404</v>
      </c>
    </row>
    <row r="2407" spans="1:40" x14ac:dyDescent="0.25">
      <c r="A2407" t="str">
        <f>"20190312172130057"</f>
        <v>20190312172130057</v>
      </c>
      <c r="B2407" t="str">
        <f>"1552382490053555"</f>
        <v>1552382490053555</v>
      </c>
      <c r="C2407" t="s">
        <v>40</v>
      </c>
      <c r="D2407">
        <v>3.0826859999999998</v>
      </c>
      <c r="E2407">
        <v>0.46343780000000001</v>
      </c>
      <c r="F2407" t="s">
        <v>47</v>
      </c>
      <c r="G2407">
        <v>-285.6687</v>
      </c>
      <c r="H2407">
        <v>8.0001180000000005E-2</v>
      </c>
      <c r="I2407">
        <v>277.87450000000001</v>
      </c>
      <c r="J2407">
        <v>-255.14709999999999</v>
      </c>
      <c r="K2407">
        <v>1.1098980000000001</v>
      </c>
      <c r="L2407">
        <v>281.96969999999999</v>
      </c>
      <c r="M2407">
        <v>-0.99960020000000005</v>
      </c>
      <c r="N2407">
        <v>0</v>
      </c>
      <c r="O2407">
        <v>2.6222860000000001E-2</v>
      </c>
      <c r="P2407">
        <v>-0.98725280000000004</v>
      </c>
      <c r="Q2407">
        <v>0.15452289999999999</v>
      </c>
      <c r="R2407">
        <v>-3.8144909999999997E-2</v>
      </c>
      <c r="S2407">
        <v>-3.039307</v>
      </c>
      <c r="T2407">
        <v>-0.1021436</v>
      </c>
      <c r="U2407">
        <v>-0.40582279999999998</v>
      </c>
      <c r="V2407">
        <v>-6.3922729999999997E-2</v>
      </c>
      <c r="W2407">
        <v>0.16498589999999999</v>
      </c>
      <c r="X2407">
        <v>0.98422229999999999</v>
      </c>
      <c r="Y2407">
        <v>-0.158195899999999</v>
      </c>
      <c r="Z2407">
        <v>-3.5233119999999998E-3</v>
      </c>
      <c r="AA2407">
        <v>0.98740150000000004</v>
      </c>
      <c r="AB2407">
        <v>23</v>
      </c>
      <c r="AC2407">
        <v>-30.521599999999999</v>
      </c>
      <c r="AD2407">
        <v>-1.02989682</v>
      </c>
      <c r="AE2407">
        <v>-4.09519999999997</v>
      </c>
      <c r="AF2407">
        <v>-4.8887320853503597</v>
      </c>
      <c r="AG2407">
        <v>-1.02989682</v>
      </c>
      <c r="AH2407">
        <v>30.369741635646299</v>
      </c>
      <c r="AI2407">
        <v>91.917599381006994</v>
      </c>
      <c r="AJ2407">
        <v>99.144669421534701</v>
      </c>
      <c r="AK2407">
        <v>30.777940085036398</v>
      </c>
      <c r="AL2407">
        <v>80.503584620359007</v>
      </c>
      <c r="AM2407">
        <v>93.7159958173592</v>
      </c>
      <c r="AN2407">
        <v>0.99999999921337601</v>
      </c>
    </row>
    <row r="2408" spans="1:40" x14ac:dyDescent="0.25">
      <c r="A2408" t="str">
        <f>"20190312172130069"</f>
        <v>20190312172130069</v>
      </c>
      <c r="B2408" t="str">
        <f>"1552382490063316"</f>
        <v>1552382490063316</v>
      </c>
      <c r="C2408" t="s">
        <v>40</v>
      </c>
      <c r="D2408">
        <v>3.0879910000000002</v>
      </c>
      <c r="E2408">
        <v>0.46354190000000001</v>
      </c>
      <c r="F2408" t="s">
        <v>47</v>
      </c>
      <c r="G2408">
        <v>-285.37450000000001</v>
      </c>
      <c r="H2408">
        <v>8.0001139999999998E-2</v>
      </c>
      <c r="I2408">
        <v>277.95370000000003</v>
      </c>
      <c r="J2408">
        <v>-255.2578</v>
      </c>
      <c r="K2408">
        <v>1.1098980000000001</v>
      </c>
      <c r="L2408">
        <v>281.97280000000001</v>
      </c>
      <c r="M2408">
        <v>-0.99959549999999997</v>
      </c>
      <c r="N2408">
        <v>0</v>
      </c>
      <c r="O2408">
        <v>2.6401009999999999E-2</v>
      </c>
      <c r="P2408">
        <v>-0.98728669999999996</v>
      </c>
      <c r="Q2408">
        <v>0.1543639</v>
      </c>
      <c r="R2408">
        <v>-3.7908200000000003E-2</v>
      </c>
      <c r="S2408">
        <v>-3.0393680000000001</v>
      </c>
      <c r="T2408">
        <v>-0.1035562</v>
      </c>
      <c r="U2408">
        <v>-0.40380860000000002</v>
      </c>
      <c r="V2408">
        <v>-6.3863429999999999E-2</v>
      </c>
      <c r="W2408">
        <v>0.1648269</v>
      </c>
      <c r="X2408">
        <v>0.98425280000000004</v>
      </c>
      <c r="Y2408">
        <v>-0.15772369999999999</v>
      </c>
      <c r="Z2408">
        <v>-3.5701280000000001E-3</v>
      </c>
      <c r="AA2408">
        <v>0.98747680000000004</v>
      </c>
      <c r="AB2408">
        <v>23</v>
      </c>
      <c r="AC2408">
        <v>-30.116700000000002</v>
      </c>
      <c r="AD2408">
        <v>-1.02989686</v>
      </c>
      <c r="AE2408">
        <v>-4.0190999999999697</v>
      </c>
      <c r="AF2408">
        <v>-4.8073312237872496</v>
      </c>
      <c r="AG2408">
        <v>-1.02989686</v>
      </c>
      <c r="AH2408">
        <v>29.965657436510401</v>
      </c>
      <c r="AI2408">
        <v>91.943604448820096</v>
      </c>
      <c r="AJ2408">
        <v>99.114187173782099</v>
      </c>
      <c r="AK2408">
        <v>30.3662929354198</v>
      </c>
      <c r="AL2408">
        <v>80.512821202291306</v>
      </c>
      <c r="AM2408">
        <v>93.712443475433304</v>
      </c>
      <c r="AN2408">
        <v>1.0000000094814001</v>
      </c>
    </row>
    <row r="2409" spans="1:40" x14ac:dyDescent="0.25">
      <c r="A2409" t="str">
        <f>"20190312172130079"</f>
        <v>20190312172130079</v>
      </c>
      <c r="B2409" t="str">
        <f>"1552382490073075"</f>
        <v>1552382490073075</v>
      </c>
      <c r="C2409" t="s">
        <v>40</v>
      </c>
      <c r="D2409">
        <v>3.0939679999999998</v>
      </c>
      <c r="E2409">
        <v>0.4636344</v>
      </c>
      <c r="F2409" t="s">
        <v>47</v>
      </c>
      <c r="G2409">
        <v>-285.32690000000002</v>
      </c>
      <c r="H2409">
        <v>8.0001130000000004E-2</v>
      </c>
      <c r="I2409">
        <v>277.99849999999998</v>
      </c>
      <c r="J2409">
        <v>-255.37540000000001</v>
      </c>
      <c r="K2409">
        <v>1.1098980000000001</v>
      </c>
      <c r="L2409">
        <v>281.97609999999997</v>
      </c>
      <c r="M2409">
        <v>-0.9995906</v>
      </c>
      <c r="N2409">
        <v>0</v>
      </c>
      <c r="O2409">
        <v>2.659013E-2</v>
      </c>
      <c r="P2409">
        <v>-0.98728669999999996</v>
      </c>
      <c r="Q2409">
        <v>0.154335</v>
      </c>
      <c r="R2409">
        <v>-3.8029420000000001E-2</v>
      </c>
      <c r="S2409">
        <v>-3.0394899999999998</v>
      </c>
      <c r="T2409">
        <v>-0.1041055</v>
      </c>
      <c r="U2409">
        <v>-0.40173340000000002</v>
      </c>
      <c r="V2409">
        <v>-6.4170699999999997E-2</v>
      </c>
      <c r="W2409">
        <v>0.16479869999999999</v>
      </c>
      <c r="X2409">
        <v>0.98423760000000005</v>
      </c>
      <c r="Y2409">
        <v>-0.15724179999999999</v>
      </c>
      <c r="Z2409">
        <v>-3.5873070000000001E-3</v>
      </c>
      <c r="AA2409">
        <v>0.98755360000000003</v>
      </c>
      <c r="AB2409">
        <v>23</v>
      </c>
      <c r="AC2409">
        <v>-29.951499999999999</v>
      </c>
      <c r="AD2409">
        <v>-1.02989687</v>
      </c>
      <c r="AE2409">
        <v>-3.97759999999999</v>
      </c>
      <c r="AF2409">
        <v>-4.7671133953729203</v>
      </c>
      <c r="AG2409">
        <v>-1.02989687</v>
      </c>
      <c r="AH2409">
        <v>29.800513421516701</v>
      </c>
      <c r="AI2409">
        <v>91.954507387926398</v>
      </c>
      <c r="AJ2409">
        <v>99.088460837711693</v>
      </c>
      <c r="AK2409">
        <v>30.196964381758299</v>
      </c>
      <c r="AL2409">
        <v>80.514459941254302</v>
      </c>
      <c r="AM2409">
        <v>93.730312514395095</v>
      </c>
      <c r="AN2409">
        <v>1.0000000717569599</v>
      </c>
    </row>
    <row r="2410" spans="1:40" x14ac:dyDescent="0.25">
      <c r="A2410" t="str">
        <f>"20190312172130091"</f>
        <v>20190312172130091</v>
      </c>
      <c r="B2410" t="str">
        <f>"1552382490083811"</f>
        <v>1552382490083811</v>
      </c>
      <c r="C2410" t="s">
        <v>40</v>
      </c>
      <c r="D2410">
        <v>3.0833379999999999</v>
      </c>
      <c r="E2410">
        <v>0.46372760000000002</v>
      </c>
      <c r="F2410" t="s">
        <v>47</v>
      </c>
      <c r="G2410">
        <v>-285.4083</v>
      </c>
      <c r="H2410">
        <v>8.0001139999999998E-2</v>
      </c>
      <c r="I2410">
        <v>278.0129</v>
      </c>
      <c r="J2410">
        <v>-255.49590000000001</v>
      </c>
      <c r="K2410">
        <v>1.109901</v>
      </c>
      <c r="L2410">
        <v>281.9796</v>
      </c>
      <c r="M2410">
        <v>-0.99958519999999895</v>
      </c>
      <c r="N2410">
        <v>0</v>
      </c>
      <c r="O2410">
        <v>2.6785090000000001E-2</v>
      </c>
      <c r="P2410">
        <v>-0.9872012</v>
      </c>
      <c r="Q2410">
        <v>0.154917</v>
      </c>
      <c r="R2410">
        <v>-3.7876269999999997E-2</v>
      </c>
      <c r="S2410">
        <v>-3.0394589999999999</v>
      </c>
      <c r="T2410">
        <v>-0.1042299</v>
      </c>
      <c r="U2410">
        <v>-0.40109250000000002</v>
      </c>
      <c r="V2410">
        <v>-6.4207520000000004E-2</v>
      </c>
      <c r="W2410">
        <v>0.16537950000000001</v>
      </c>
      <c r="X2410">
        <v>0.9841377</v>
      </c>
      <c r="Y2410">
        <v>-0.1572306</v>
      </c>
      <c r="Z2410">
        <v>-3.598146E-3</v>
      </c>
      <c r="AA2410">
        <v>0.98755539999999997</v>
      </c>
      <c r="AB2410">
        <v>23</v>
      </c>
      <c r="AC2410">
        <v>-29.912399999999899</v>
      </c>
      <c r="AD2410">
        <v>-1.02989986</v>
      </c>
      <c r="AE2410">
        <v>-3.9666999999999999</v>
      </c>
      <c r="AF2410">
        <v>-4.7609814172224496</v>
      </c>
      <c r="AG2410">
        <v>-1.02989986</v>
      </c>
      <c r="AH2410">
        <v>29.7607417993285</v>
      </c>
      <c r="AI2410">
        <v>91.957120638289496</v>
      </c>
      <c r="AJ2410">
        <v>99.088892941810997</v>
      </c>
      <c r="AK2410">
        <v>30.1567470099655</v>
      </c>
      <c r="AL2410">
        <v>80.480718888680201</v>
      </c>
      <c r="AM2410">
        <v>93.732824662681693</v>
      </c>
      <c r="AN2410">
        <v>0.999999998603045</v>
      </c>
    </row>
    <row r="2411" spans="1:40" x14ac:dyDescent="0.25">
      <c r="A2411" t="str">
        <f>"20190312172130103"</f>
        <v>20190312172130103</v>
      </c>
      <c r="B2411" t="str">
        <f>"1552382490093571"</f>
        <v>1552382490093571</v>
      </c>
      <c r="C2411" t="s">
        <v>40</v>
      </c>
      <c r="D2411">
        <v>3.101839</v>
      </c>
      <c r="E2411">
        <v>0.4638254</v>
      </c>
      <c r="F2411" t="s">
        <v>47</v>
      </c>
      <c r="G2411">
        <v>-286.09440000000001</v>
      </c>
      <c r="H2411">
        <v>8.0001230000000007E-2</v>
      </c>
      <c r="I2411">
        <v>277.95549999999997</v>
      </c>
      <c r="J2411">
        <v>-255.61779999999999</v>
      </c>
      <c r="K2411">
        <v>1.109904</v>
      </c>
      <c r="L2411">
        <v>281.983</v>
      </c>
      <c r="M2411">
        <v>-0.99957989999999997</v>
      </c>
      <c r="N2411">
        <v>0</v>
      </c>
      <c r="O2411">
        <v>2.6982320000000001E-2</v>
      </c>
      <c r="P2411">
        <v>-0.98712</v>
      </c>
      <c r="Q2411">
        <v>0.15547449999999999</v>
      </c>
      <c r="R2411">
        <v>-3.7706000000000003E-2</v>
      </c>
      <c r="S2411">
        <v>-3.0396420000000002</v>
      </c>
      <c r="T2411">
        <v>-0.1023099</v>
      </c>
      <c r="U2411">
        <v>-0.39974979999999999</v>
      </c>
      <c r="V2411">
        <v>-6.4229110000000006E-2</v>
      </c>
      <c r="W2411">
        <v>0.16593720000000001</v>
      </c>
      <c r="X2411">
        <v>0.98404239999999998</v>
      </c>
      <c r="Y2411">
        <v>-0.15699289999999999</v>
      </c>
      <c r="Z2411">
        <v>-3.5344220000000002E-3</v>
      </c>
      <c r="AA2411">
        <v>0.98759339999999995</v>
      </c>
      <c r="AB2411">
        <v>23</v>
      </c>
      <c r="AC2411">
        <v>-30.476600000000001</v>
      </c>
      <c r="AD2411">
        <v>-1.0299027700000001</v>
      </c>
      <c r="AE2411">
        <v>-4.0275000000000301</v>
      </c>
      <c r="AF2411">
        <v>-4.8429732227941003</v>
      </c>
      <c r="AG2411">
        <v>-1.0299027700000001</v>
      </c>
      <c r="AH2411">
        <v>30.322791443625398</v>
      </c>
      <c r="AI2411">
        <v>91.920955347798099</v>
      </c>
      <c r="AJ2411">
        <v>99.074296633052796</v>
      </c>
      <c r="AK2411">
        <v>30.724367695462199</v>
      </c>
      <c r="AL2411">
        <v>80.448317253421806</v>
      </c>
      <c r="AM2411">
        <v>93.734436892248894</v>
      </c>
      <c r="AN2411">
        <v>0.999999988956495</v>
      </c>
    </row>
    <row r="2412" spans="1:40" x14ac:dyDescent="0.25">
      <c r="A2412" t="str">
        <f>"20190312172130115"</f>
        <v>20190312172130115</v>
      </c>
      <c r="B2412" t="str">
        <f>"1552382490103332"</f>
        <v>1552382490103332</v>
      </c>
      <c r="C2412" t="s">
        <v>40</v>
      </c>
      <c r="D2412">
        <v>3.1096490000000001</v>
      </c>
      <c r="E2412">
        <v>0.46392359999999999</v>
      </c>
      <c r="F2412" t="s">
        <v>47</v>
      </c>
      <c r="G2412">
        <v>-286.76459999999997</v>
      </c>
      <c r="H2412">
        <v>8.0001260000000005E-2</v>
      </c>
      <c r="I2412">
        <v>277.90170000000001</v>
      </c>
      <c r="J2412">
        <v>-255.74420000000001</v>
      </c>
      <c r="K2412">
        <v>1.1099030000000001</v>
      </c>
      <c r="L2412">
        <v>281.98660000000001</v>
      </c>
      <c r="M2412">
        <v>-0.99957439999999997</v>
      </c>
      <c r="N2412">
        <v>0</v>
      </c>
      <c r="O2412">
        <v>2.718599E-2</v>
      </c>
      <c r="P2412">
        <v>-0.98701970000000006</v>
      </c>
      <c r="Q2412">
        <v>0.15611549999999999</v>
      </c>
      <c r="R2412">
        <v>-3.7687850000000002E-2</v>
      </c>
      <c r="S2412">
        <v>-3.0397639999999999</v>
      </c>
      <c r="T2412">
        <v>-0.1005132</v>
      </c>
      <c r="U2412">
        <v>-0.39831539999999999</v>
      </c>
      <c r="V2412">
        <v>-6.4408820000000006E-2</v>
      </c>
      <c r="W2412">
        <v>0.16657710000000001</v>
      </c>
      <c r="X2412">
        <v>0.98392250000000003</v>
      </c>
      <c r="Y2412">
        <v>-0.1567345</v>
      </c>
      <c r="Z2412">
        <v>-3.4748079999999998E-3</v>
      </c>
      <c r="AA2412">
        <v>0.98763469999999998</v>
      </c>
      <c r="AB2412">
        <v>23</v>
      </c>
      <c r="AC2412">
        <v>-31.020399999999899</v>
      </c>
      <c r="AD2412">
        <v>-1.0299017399999999</v>
      </c>
      <c r="AE2412">
        <v>-4.0849000000000002</v>
      </c>
      <c r="AF2412">
        <v>-4.9214251293229196</v>
      </c>
      <c r="AG2412">
        <v>-1.0299017399999999</v>
      </c>
      <c r="AH2412">
        <v>30.864433358043001</v>
      </c>
      <c r="AI2412">
        <v>91.887343692993099</v>
      </c>
      <c r="AJ2412">
        <v>99.059713354483407</v>
      </c>
      <c r="AK2412">
        <v>31.271302649724401</v>
      </c>
      <c r="AL2412">
        <v>80.411135895960896</v>
      </c>
      <c r="AM2412">
        <v>93.745311024710603</v>
      </c>
      <c r="AN2412">
        <v>0.99999995617222504</v>
      </c>
    </row>
    <row r="2413" spans="1:40" x14ac:dyDescent="0.25">
      <c r="A2413" t="str">
        <f>"20190312172130126"</f>
        <v>20190312172130126</v>
      </c>
      <c r="B2413" t="str">
        <f>"1552382490123827"</f>
        <v>1552382490123827</v>
      </c>
      <c r="C2413" t="s">
        <v>40</v>
      </c>
      <c r="D2413">
        <v>3.1170339999999999</v>
      </c>
      <c r="E2413">
        <v>0.4641034</v>
      </c>
      <c r="F2413" t="s">
        <v>47</v>
      </c>
      <c r="G2413">
        <v>-287.61799999999999</v>
      </c>
      <c r="H2413">
        <v>8.0001269999999999E-2</v>
      </c>
      <c r="I2413">
        <v>277.8184</v>
      </c>
      <c r="J2413">
        <v>-255.857</v>
      </c>
      <c r="K2413">
        <v>1.1099030000000001</v>
      </c>
      <c r="L2413">
        <v>281.98989999999998</v>
      </c>
      <c r="M2413">
        <v>-0.9995695</v>
      </c>
      <c r="N2413">
        <v>0</v>
      </c>
      <c r="O2413">
        <v>2.7368549999999998E-2</v>
      </c>
      <c r="P2413">
        <v>-0.98697659999999998</v>
      </c>
      <c r="Q2413">
        <v>0.15632679999999999</v>
      </c>
      <c r="R2413">
        <v>-3.7938670000000001E-2</v>
      </c>
      <c r="S2413">
        <v>-3.0397949999999998</v>
      </c>
      <c r="T2413">
        <v>-9.8221420000000004E-2</v>
      </c>
      <c r="U2413">
        <v>-0.39752199999999999</v>
      </c>
      <c r="V2413">
        <v>-6.4838099999999996E-2</v>
      </c>
      <c r="W2413">
        <v>0.16678870000000001</v>
      </c>
      <c r="X2413">
        <v>0.98385849999999997</v>
      </c>
      <c r="Y2413">
        <v>-0.15666449999999901</v>
      </c>
      <c r="Z2413">
        <v>-3.4003929999999998E-3</v>
      </c>
      <c r="AA2413">
        <v>0.98764600000000002</v>
      </c>
      <c r="AB2413">
        <v>23</v>
      </c>
      <c r="AC2413">
        <v>-31.760999999999999</v>
      </c>
      <c r="AD2413">
        <v>-1.02990173</v>
      </c>
      <c r="AE2413">
        <v>-4.1714999999999796</v>
      </c>
      <c r="AF2413">
        <v>-5.0340348764319698</v>
      </c>
      <c r="AG2413">
        <v>-1.02990173</v>
      </c>
      <c r="AH2413">
        <v>31.602261242247401</v>
      </c>
      <c r="AI2413">
        <v>91.843355685099695</v>
      </c>
      <c r="AJ2413">
        <v>99.050803649124703</v>
      </c>
      <c r="AK2413">
        <v>32.017262848873301</v>
      </c>
      <c r="AL2413">
        <v>80.398840510563602</v>
      </c>
      <c r="AM2413">
        <v>93.770446031321697</v>
      </c>
      <c r="AN2413">
        <v>0.99999999884077495</v>
      </c>
    </row>
    <row r="2414" spans="1:40" x14ac:dyDescent="0.25">
      <c r="A2414" t="str">
        <f>"20190312172130139"</f>
        <v>20190312172130139</v>
      </c>
      <c r="B2414" t="str">
        <f>"1552382490133588"</f>
        <v>1552382490133588</v>
      </c>
      <c r="C2414" t="s">
        <v>40</v>
      </c>
      <c r="D2414">
        <v>3.0995970000000002</v>
      </c>
      <c r="E2414">
        <v>0.4641787</v>
      </c>
      <c r="F2414" t="s">
        <v>47</v>
      </c>
      <c r="G2414">
        <v>-288.10919999999999</v>
      </c>
      <c r="H2414">
        <v>8.0001279999999994E-2</v>
      </c>
      <c r="I2414">
        <v>277.77890000000002</v>
      </c>
      <c r="J2414">
        <v>-255.98990000000001</v>
      </c>
      <c r="K2414">
        <v>1.109904</v>
      </c>
      <c r="L2414">
        <v>281.99380000000002</v>
      </c>
      <c r="M2414">
        <v>-0.99956350000000005</v>
      </c>
      <c r="N2414">
        <v>0</v>
      </c>
      <c r="O2414">
        <v>2.7584020000000001E-2</v>
      </c>
      <c r="P2414">
        <v>-0.98695520000000003</v>
      </c>
      <c r="Q2414">
        <v>0.156333</v>
      </c>
      <c r="R2414">
        <v>-3.8463219999999999E-2</v>
      </c>
      <c r="S2414">
        <v>-3.0397340000000002</v>
      </c>
      <c r="T2414">
        <v>-9.7067000000000001E-2</v>
      </c>
      <c r="U2414">
        <v>-0.39688109999999999</v>
      </c>
      <c r="V2414">
        <v>-6.5574560000000004E-2</v>
      </c>
      <c r="W2414">
        <v>0.16679530000000001</v>
      </c>
      <c r="X2414">
        <v>0.98380860000000003</v>
      </c>
      <c r="Y2414">
        <v>-0.15667729999999999</v>
      </c>
      <c r="Z2414">
        <v>-3.3676180000000002E-3</v>
      </c>
      <c r="AA2414">
        <v>0.98764410000000002</v>
      </c>
      <c r="AB2414">
        <v>23</v>
      </c>
      <c r="AC2414">
        <v>-32.119299999999903</v>
      </c>
      <c r="AD2414">
        <v>-1.0299027199999999</v>
      </c>
      <c r="AE2414">
        <v>-4.2149000000000001</v>
      </c>
      <c r="AF2414">
        <v>-5.0941760489191399</v>
      </c>
      <c r="AG2414">
        <v>-1.0299027199999999</v>
      </c>
      <c r="AH2414">
        <v>31.958504308642201</v>
      </c>
      <c r="AI2414">
        <v>91.822793334893205</v>
      </c>
      <c r="AJ2414">
        <v>99.056737739053801</v>
      </c>
      <c r="AK2414">
        <v>32.378346574146498</v>
      </c>
      <c r="AL2414">
        <v>80.398457270877003</v>
      </c>
      <c r="AM2414">
        <v>93.813339633912193</v>
      </c>
      <c r="AN2414">
        <v>1.00000002822762</v>
      </c>
    </row>
    <row r="2415" spans="1:40" x14ac:dyDescent="0.25">
      <c r="A2415" t="str">
        <f>"20190312172130157"</f>
        <v>20190312172130157</v>
      </c>
      <c r="B2415" t="str">
        <f>"1552382490153107"</f>
        <v>1552382490153107</v>
      </c>
      <c r="C2415" t="s">
        <v>40</v>
      </c>
      <c r="D2415">
        <v>3.1055000000000001</v>
      </c>
      <c r="E2415">
        <v>0.46434229999999999</v>
      </c>
      <c r="F2415" t="s">
        <v>47</v>
      </c>
      <c r="G2415">
        <v>-288.26769999999999</v>
      </c>
      <c r="H2415">
        <v>8.0001279999999994E-2</v>
      </c>
      <c r="I2415">
        <v>277.77229999999997</v>
      </c>
      <c r="J2415">
        <v>-256.17450000000002</v>
      </c>
      <c r="K2415">
        <v>1.109909</v>
      </c>
      <c r="L2415">
        <v>281.99919999999997</v>
      </c>
      <c r="M2415">
        <v>-0.99955510000000003</v>
      </c>
      <c r="N2415">
        <v>0</v>
      </c>
      <c r="O2415">
        <v>2.788305E-2</v>
      </c>
      <c r="P2415">
        <v>-0.98680619999999997</v>
      </c>
      <c r="Q2415">
        <v>0.1568098</v>
      </c>
      <c r="R2415">
        <v>-4.0299759999999997E-2</v>
      </c>
      <c r="S2415">
        <v>-3.03952</v>
      </c>
      <c r="T2415">
        <v>-9.6983429999999995E-2</v>
      </c>
      <c r="U2415">
        <v>-0.39752199999999999</v>
      </c>
      <c r="V2415">
        <v>-6.7700510000000005E-2</v>
      </c>
      <c r="W2415">
        <v>0.167272</v>
      </c>
      <c r="X2415">
        <v>0.9835836</v>
      </c>
      <c r="Y2415">
        <v>-0.1571862</v>
      </c>
      <c r="Z2415">
        <v>-3.3824969999999999E-3</v>
      </c>
      <c r="AA2415">
        <v>0.98756319999999997</v>
      </c>
      <c r="AB2415">
        <v>23</v>
      </c>
      <c r="AC2415">
        <v>-32.093199999999896</v>
      </c>
      <c r="AD2415">
        <v>-1.02990772</v>
      </c>
      <c r="AE2415">
        <v>-4.2268999999999997</v>
      </c>
      <c r="AF2415">
        <v>-5.1149850337464597</v>
      </c>
      <c r="AG2415">
        <v>-1.02990772</v>
      </c>
      <c r="AH2415">
        <v>31.9305323319557</v>
      </c>
      <c r="AI2415">
        <v>91.824173133898995</v>
      </c>
      <c r="AJ2415">
        <v>99.100948911221593</v>
      </c>
      <c r="AK2415">
        <v>32.354021029993099</v>
      </c>
      <c r="AL2415">
        <v>80.370754816833298</v>
      </c>
      <c r="AM2415">
        <v>93.937484483466406</v>
      </c>
      <c r="AN2415">
        <v>0.99999998961361003</v>
      </c>
    </row>
    <row r="2416" spans="1:40" x14ac:dyDescent="0.25">
      <c r="A2416" t="str">
        <f>"20190312172130169"</f>
        <v>20190312172130169</v>
      </c>
      <c r="B2416" t="str">
        <f>"1552382490163844"</f>
        <v>1552382490163844</v>
      </c>
      <c r="C2416" t="s">
        <v>40</v>
      </c>
      <c r="D2416">
        <v>3.1005720000000001</v>
      </c>
      <c r="E2416">
        <v>0.46442250000000002</v>
      </c>
      <c r="F2416" t="s">
        <v>47</v>
      </c>
      <c r="G2416">
        <v>-288.89060000000001</v>
      </c>
      <c r="H2416">
        <v>8.0001299999999997E-2</v>
      </c>
      <c r="I2416">
        <v>277.67590000000001</v>
      </c>
      <c r="J2416">
        <v>-256.30250000000001</v>
      </c>
      <c r="K2416">
        <v>1.10991</v>
      </c>
      <c r="L2416">
        <v>282.00299999999999</v>
      </c>
      <c r="M2416">
        <v>-0.99954940000000003</v>
      </c>
      <c r="N2416">
        <v>0</v>
      </c>
      <c r="O2416">
        <v>2.8090170000000001E-2</v>
      </c>
      <c r="P2416">
        <v>-0.98672910000000003</v>
      </c>
      <c r="Q2416">
        <v>0.1570396</v>
      </c>
      <c r="R2416">
        <v>-4.1284439999999999E-2</v>
      </c>
      <c r="S2416">
        <v>-3.03891</v>
      </c>
      <c r="T2416">
        <v>-9.5665340000000001E-2</v>
      </c>
      <c r="U2416">
        <v>-0.40158080000000002</v>
      </c>
      <c r="V2416">
        <v>-6.8885740000000001E-2</v>
      </c>
      <c r="W2416">
        <v>0.16750190000000001</v>
      </c>
      <c r="X2416">
        <v>0.98346219999999995</v>
      </c>
      <c r="Y2416">
        <v>-0.158714299999999</v>
      </c>
      <c r="Z2416">
        <v>-3.3673660000000001E-3</v>
      </c>
      <c r="AA2416">
        <v>0.98731880000000005</v>
      </c>
      <c r="AB2416">
        <v>23</v>
      </c>
      <c r="AC2416">
        <v>-32.588099999999997</v>
      </c>
      <c r="AD2416">
        <v>-1.0299087</v>
      </c>
      <c r="AE2416">
        <v>-4.3270999999999704</v>
      </c>
      <c r="AF2416">
        <v>-5.2357099797417304</v>
      </c>
      <c r="AG2416">
        <v>-1.0299087</v>
      </c>
      <c r="AH2416">
        <v>32.421861333711902</v>
      </c>
      <c r="AI2416">
        <v>91.796184357219303</v>
      </c>
      <c r="AJ2416">
        <v>99.173331251007895</v>
      </c>
      <c r="AK2416">
        <v>32.858034987880004</v>
      </c>
      <c r="AL2416">
        <v>80.357394262663306</v>
      </c>
      <c r="AM2416">
        <v>94.006688244185597</v>
      </c>
      <c r="AN2416">
        <v>1.0000000152538899</v>
      </c>
    </row>
    <row r="2417" spans="1:40" x14ac:dyDescent="0.25">
      <c r="A2417" t="str">
        <f>"20190312172130182"</f>
        <v>20190312172130182</v>
      </c>
      <c r="B2417" t="str">
        <f>"1552382490173603"</f>
        <v>1552382490173603</v>
      </c>
      <c r="C2417" t="s">
        <v>40</v>
      </c>
      <c r="D2417">
        <v>3.1044679999999998</v>
      </c>
      <c r="E2417">
        <v>0.464507</v>
      </c>
      <c r="F2417" t="s">
        <v>47</v>
      </c>
      <c r="G2417">
        <v>-289.29329999999999</v>
      </c>
      <c r="H2417">
        <v>8.0001160000000002E-2</v>
      </c>
      <c r="I2417">
        <v>277.61770000000001</v>
      </c>
      <c r="J2417">
        <v>-256.42809999999997</v>
      </c>
      <c r="K2417">
        <v>1.10991</v>
      </c>
      <c r="L2417">
        <v>282.00670000000002</v>
      </c>
      <c r="M2417">
        <v>-0.99954350000000003</v>
      </c>
      <c r="N2417">
        <v>0</v>
      </c>
      <c r="O2417">
        <v>2.829359E-2</v>
      </c>
      <c r="P2417">
        <v>-0.98660959999999998</v>
      </c>
      <c r="Q2417">
        <v>0.1574431</v>
      </c>
      <c r="R2417">
        <v>-4.2579140000000001E-2</v>
      </c>
      <c r="S2417">
        <v>-3.0385439999999999</v>
      </c>
      <c r="T2417">
        <v>-9.4857449999999996E-2</v>
      </c>
      <c r="U2417">
        <v>-0.40390009999999998</v>
      </c>
      <c r="V2417">
        <v>-7.0376720000000004E-2</v>
      </c>
      <c r="W2417">
        <v>0.16790479999999899</v>
      </c>
      <c r="X2417">
        <v>0.98328789999999999</v>
      </c>
      <c r="Y2417">
        <v>-0.15967219999999999</v>
      </c>
      <c r="Z2417">
        <v>-3.360385E-3</v>
      </c>
      <c r="AA2417">
        <v>0.98716440000000005</v>
      </c>
      <c r="AB2417">
        <v>23</v>
      </c>
      <c r="AC2417">
        <v>-32.865200000000002</v>
      </c>
      <c r="AD2417">
        <v>-1.02990884</v>
      </c>
      <c r="AE2417">
        <v>-4.3890000000000002</v>
      </c>
      <c r="AF2417">
        <v>-5.3120442030518999</v>
      </c>
      <c r="AG2417">
        <v>-1.02990884</v>
      </c>
      <c r="AH2417">
        <v>32.696307440487502</v>
      </c>
      <c r="AI2417">
        <v>91.780842482956899</v>
      </c>
      <c r="AJ2417">
        <v>99.227998398977107</v>
      </c>
      <c r="AK2417">
        <v>33.1410175775694</v>
      </c>
      <c r="AL2417">
        <v>80.333978008504999</v>
      </c>
      <c r="AM2417">
        <v>94.093841438872204</v>
      </c>
      <c r="AN2417">
        <v>0.99999999943370399</v>
      </c>
    </row>
    <row r="2418" spans="1:40" x14ac:dyDescent="0.25">
      <c r="A2418" t="str">
        <f>"20190312172130195"</f>
        <v>20190312172130195</v>
      </c>
      <c r="B2418" t="str">
        <f>"1552382490183364"</f>
        <v>1552382490183364</v>
      </c>
      <c r="C2418" t="s">
        <v>40</v>
      </c>
      <c r="D2418">
        <v>3.2707359999999999</v>
      </c>
      <c r="E2418">
        <v>0.464586</v>
      </c>
      <c r="F2418" t="s">
        <v>47</v>
      </c>
      <c r="G2418">
        <v>-292.48059999999998</v>
      </c>
      <c r="H2418" s="1">
        <v>3.8411469999999998E-6</v>
      </c>
      <c r="I2418">
        <v>277.17529999999999</v>
      </c>
      <c r="J2418">
        <v>-256.56639999999999</v>
      </c>
      <c r="K2418">
        <v>1.10991</v>
      </c>
      <c r="L2418">
        <v>282.01089999999999</v>
      </c>
      <c r="M2418">
        <v>-0.99953720000000001</v>
      </c>
      <c r="N2418">
        <v>0</v>
      </c>
      <c r="O2418">
        <v>2.8517589999999999E-2</v>
      </c>
      <c r="P2418">
        <v>-0.98652709999999999</v>
      </c>
      <c r="Q2418">
        <v>0.15767529999999999</v>
      </c>
      <c r="R2418">
        <v>-4.3621760000000002E-2</v>
      </c>
      <c r="S2418">
        <v>-3.0380859999999998</v>
      </c>
      <c r="T2418">
        <v>-9.3530059999999998E-2</v>
      </c>
      <c r="U2418">
        <v>-0.40713500000000002</v>
      </c>
      <c r="V2418">
        <v>-7.1636920000000007E-2</v>
      </c>
      <c r="W2418">
        <v>0.16813739999999999</v>
      </c>
      <c r="X2418">
        <v>0.98315719999999995</v>
      </c>
      <c r="Y2418">
        <v>-0.16094720000000001</v>
      </c>
      <c r="Z2418">
        <v>-3.3400510000000001E-3</v>
      </c>
      <c r="AA2418">
        <v>0.98695739999999998</v>
      </c>
      <c r="AB2418">
        <v>23</v>
      </c>
      <c r="AC2418">
        <v>-35.914199999999902</v>
      </c>
      <c r="AD2418">
        <v>-1.1099061588529999</v>
      </c>
      <c r="AE2418">
        <v>-4.8356000000000003</v>
      </c>
      <c r="AF2418">
        <v>-5.8523869784954003</v>
      </c>
      <c r="AG2418">
        <v>-1.1099061588529999</v>
      </c>
      <c r="AH2418">
        <v>35.728168645749797</v>
      </c>
      <c r="AI2418">
        <v>91.755951643592695</v>
      </c>
      <c r="AJ2418">
        <v>99.302615937164404</v>
      </c>
      <c r="AK2418">
        <v>36.221324655603901</v>
      </c>
      <c r="AL2418">
        <v>80.320459373267198</v>
      </c>
      <c r="AM2418">
        <v>94.167443809297296</v>
      </c>
      <c r="AN2418">
        <v>1.0000000567488401</v>
      </c>
    </row>
    <row r="2419" spans="1:40" x14ac:dyDescent="0.25">
      <c r="A2419" t="str">
        <f>"20190312172130215"</f>
        <v>20190312172130215</v>
      </c>
      <c r="B2419" t="str">
        <f>"1552382490203859"</f>
        <v>1552382490203859</v>
      </c>
      <c r="C2419" t="s">
        <v>40</v>
      </c>
      <c r="D2419">
        <v>3.1242640000000002</v>
      </c>
      <c r="E2419">
        <v>0.46473920000000002</v>
      </c>
      <c r="F2419" t="s">
        <v>47</v>
      </c>
      <c r="G2419">
        <v>-293.00659999999999</v>
      </c>
      <c r="H2419" s="1">
        <v>3.9802259999999999E-6</v>
      </c>
      <c r="I2419">
        <v>277.09050000000002</v>
      </c>
      <c r="J2419">
        <v>-256.77420000000001</v>
      </c>
      <c r="K2419">
        <v>1.109907</v>
      </c>
      <c r="L2419">
        <v>282.0172</v>
      </c>
      <c r="M2419">
        <v>-0.99952759999999996</v>
      </c>
      <c r="N2419">
        <v>0</v>
      </c>
      <c r="O2419">
        <v>2.8853690000000001E-2</v>
      </c>
      <c r="P2419">
        <v>-0.98642189999999996</v>
      </c>
      <c r="Q2419">
        <v>0.15746669999999999</v>
      </c>
      <c r="R2419">
        <v>-4.6650879999999999E-2</v>
      </c>
      <c r="S2419">
        <v>-3.0376280000000002</v>
      </c>
      <c r="T2419">
        <v>-9.2521190000000003E-2</v>
      </c>
      <c r="U2419">
        <v>-0.41015629999999997</v>
      </c>
      <c r="V2419">
        <v>-7.4993039999999997E-2</v>
      </c>
      <c r="W2419">
        <v>0.1679292</v>
      </c>
      <c r="X2419">
        <v>0.98294250000000005</v>
      </c>
      <c r="Y2419">
        <v>-0.16226380000000001</v>
      </c>
      <c r="Z2419">
        <v>-3.3344690000000001E-3</v>
      </c>
      <c r="AA2419">
        <v>0.9867418</v>
      </c>
      <c r="AB2419">
        <v>23</v>
      </c>
      <c r="AC2419">
        <v>-36.232399999999899</v>
      </c>
      <c r="AD2419">
        <v>-1.1099030197740001</v>
      </c>
      <c r="AE2419">
        <v>-4.9266999999999799</v>
      </c>
      <c r="AF2419">
        <v>-5.9646500611422697</v>
      </c>
      <c r="AG2419">
        <v>-1.1099030197740001</v>
      </c>
      <c r="AH2419">
        <v>36.041944504197197</v>
      </c>
      <c r="AI2419">
        <v>91.740198252422999</v>
      </c>
      <c r="AJ2419">
        <v>99.396820040005693</v>
      </c>
      <c r="AK2419">
        <v>36.549017752996001</v>
      </c>
      <c r="AL2419">
        <v>80.332560498032194</v>
      </c>
      <c r="AM2419">
        <v>94.362896827915193</v>
      </c>
      <c r="AN2419">
        <v>1.00000006528366</v>
      </c>
    </row>
    <row r="2420" spans="1:40" x14ac:dyDescent="0.25">
      <c r="A2420" t="str">
        <f>"20190312172130236"</f>
        <v>20190312172130236</v>
      </c>
      <c r="B2420" t="str">
        <f>"1552382490233141"</f>
        <v>1552382490233141</v>
      </c>
      <c r="C2420" t="s">
        <v>40</v>
      </c>
      <c r="D2420">
        <v>3.1348349999999998</v>
      </c>
      <c r="E2420">
        <v>0.46492090000000003</v>
      </c>
      <c r="F2420" t="s">
        <v>47</v>
      </c>
      <c r="G2420">
        <v>-292.95179999999999</v>
      </c>
      <c r="H2420" s="1">
        <v>3.982392E-6</v>
      </c>
      <c r="I2420">
        <v>277.03649999999999</v>
      </c>
      <c r="J2420">
        <v>-256.98899999999998</v>
      </c>
      <c r="K2420">
        <v>1.1099049999999999</v>
      </c>
      <c r="L2420">
        <v>282.02370000000002</v>
      </c>
      <c r="M2420">
        <v>-0.99951749999999995</v>
      </c>
      <c r="N2420">
        <v>0</v>
      </c>
      <c r="O2420">
        <v>2.9201169999999999E-2</v>
      </c>
      <c r="P2420">
        <v>-0.98632600000000004</v>
      </c>
      <c r="Q2420">
        <v>0.1567318</v>
      </c>
      <c r="R2420">
        <v>-5.0954680000000002E-2</v>
      </c>
      <c r="S2420">
        <v>-3.0364070000000001</v>
      </c>
      <c r="T2420">
        <v>-9.3154790000000001E-2</v>
      </c>
      <c r="U2420">
        <v>-0.41802980000000001</v>
      </c>
      <c r="V2420">
        <v>-7.9634899999999995E-2</v>
      </c>
      <c r="W2420">
        <v>0.16719629999999999</v>
      </c>
      <c r="X2420">
        <v>0.98270230000000003</v>
      </c>
      <c r="Y2420">
        <v>-0.16516800000000001</v>
      </c>
      <c r="Z2420">
        <v>-3.4129989999999999E-3</v>
      </c>
      <c r="AA2420">
        <v>0.98625949999999996</v>
      </c>
      <c r="AB2420">
        <v>23</v>
      </c>
      <c r="AC2420">
        <v>-35.962799999999902</v>
      </c>
      <c r="AD2420">
        <v>-1.109901017608</v>
      </c>
      <c r="AE2420">
        <v>-4.9872000000000298</v>
      </c>
      <c r="AF2420">
        <v>-6.0296528420498001</v>
      </c>
      <c r="AG2420">
        <v>-1.109901017608</v>
      </c>
      <c r="AH2420">
        <v>35.768395590241603</v>
      </c>
      <c r="AI2420">
        <v>91.752617773026003</v>
      </c>
      <c r="AJ2420">
        <v>99.568666577342896</v>
      </c>
      <c r="AK2420">
        <v>36.290036053502902</v>
      </c>
      <c r="AL2420">
        <v>80.375154795740798</v>
      </c>
      <c r="AM2420">
        <v>94.632934195501704</v>
      </c>
      <c r="AN2420">
        <v>1.0000000652284899</v>
      </c>
    </row>
    <row r="2421" spans="1:40" x14ac:dyDescent="0.25">
      <c r="A2421" t="str">
        <f>"20190312172130247"</f>
        <v>20190312172130247</v>
      </c>
      <c r="B2421" t="str">
        <f>"1552382490242900"</f>
        <v>1552382490242900</v>
      </c>
      <c r="C2421" t="s">
        <v>40</v>
      </c>
      <c r="D2421">
        <v>3.115364</v>
      </c>
      <c r="E2421">
        <v>0.46499479999999999</v>
      </c>
      <c r="F2421" t="s">
        <v>47</v>
      </c>
      <c r="G2421">
        <v>-289.5369</v>
      </c>
      <c r="H2421">
        <v>8.0001210000000003E-2</v>
      </c>
      <c r="I2421">
        <v>277.41910000000001</v>
      </c>
      <c r="J2421">
        <v>-257.10559999999998</v>
      </c>
      <c r="K2421">
        <v>1.1099030000000001</v>
      </c>
      <c r="L2421">
        <v>282.02730000000003</v>
      </c>
      <c r="M2421">
        <v>-0.99951199999999996</v>
      </c>
      <c r="N2421">
        <v>0</v>
      </c>
      <c r="O2421">
        <v>2.93894E-2</v>
      </c>
      <c r="P2421">
        <v>-0.98622730000000003</v>
      </c>
      <c r="Q2421">
        <v>0.15652369999999999</v>
      </c>
      <c r="R2421">
        <v>-5.3442860000000002E-2</v>
      </c>
      <c r="S2421">
        <v>-3.0346679999999999</v>
      </c>
      <c r="T2421">
        <v>-9.6024990000000005E-2</v>
      </c>
      <c r="U2421">
        <v>-0.42932130000000002</v>
      </c>
      <c r="V2421">
        <v>-8.2304310000000006E-2</v>
      </c>
      <c r="W2421">
        <v>0.1669862</v>
      </c>
      <c r="X2421">
        <v>0.982518</v>
      </c>
      <c r="Y2421">
        <v>-0.1690207</v>
      </c>
      <c r="Z2421">
        <v>-3.5857850000000002E-3</v>
      </c>
      <c r="AA2421">
        <v>0.98560599999999998</v>
      </c>
      <c r="AB2421">
        <v>23</v>
      </c>
      <c r="AC2421">
        <v>-32.4313</v>
      </c>
      <c r="AD2421">
        <v>-1.02990179</v>
      </c>
      <c r="AE2421">
        <v>-4.6082000000000098</v>
      </c>
      <c r="AF2421">
        <v>-5.5539089462368798</v>
      </c>
      <c r="AG2421">
        <v>-1.02990179</v>
      </c>
      <c r="AH2421">
        <v>32.249970051907198</v>
      </c>
      <c r="AI2421">
        <v>91.802599931665398</v>
      </c>
      <c r="AJ2421">
        <v>99.771311570257396</v>
      </c>
      <c r="AK2421">
        <v>32.740909740400397</v>
      </c>
      <c r="AL2421">
        <v>80.387363705376401</v>
      </c>
      <c r="AM2421">
        <v>94.788416587983804</v>
      </c>
      <c r="AN2421">
        <v>1.0000000053795</v>
      </c>
    </row>
    <row r="2422" spans="1:40" x14ac:dyDescent="0.25">
      <c r="A2422" t="str">
        <f>"20190312172130259"</f>
        <v>20190312172130259</v>
      </c>
      <c r="B2422" t="str">
        <f>"1552382490253636"</f>
        <v>1552382490253636</v>
      </c>
      <c r="C2422" t="s">
        <v>40</v>
      </c>
      <c r="D2422">
        <v>3.2243400000000002</v>
      </c>
      <c r="E2422">
        <v>0.46507219999999999</v>
      </c>
      <c r="F2422" t="s">
        <v>47</v>
      </c>
      <c r="G2422">
        <v>-289.32479999999998</v>
      </c>
      <c r="H2422">
        <v>8.000119E-2</v>
      </c>
      <c r="I2422">
        <v>277.3974</v>
      </c>
      <c r="J2422">
        <v>-257.22989999999999</v>
      </c>
      <c r="K2422">
        <v>1.109904</v>
      </c>
      <c r="L2422">
        <v>282.03120000000001</v>
      </c>
      <c r="M2422">
        <v>-0.99950609999999995</v>
      </c>
      <c r="N2422">
        <v>0</v>
      </c>
      <c r="O2422">
        <v>2.9589319999999999E-2</v>
      </c>
      <c r="P2422">
        <v>-0.98609179999999996</v>
      </c>
      <c r="Q2422">
        <v>0.15646470000000001</v>
      </c>
      <c r="R2422">
        <v>-5.6053789999999999E-2</v>
      </c>
      <c r="S2422">
        <v>-3.0336609999999999</v>
      </c>
      <c r="T2422">
        <v>-9.6972349999999999E-2</v>
      </c>
      <c r="U2422">
        <v>-0.43594359999999999</v>
      </c>
      <c r="V2422">
        <v>-8.5107450000000001E-2</v>
      </c>
      <c r="W2422">
        <v>0.16692509999999999</v>
      </c>
      <c r="X2422">
        <v>0.98228959999999998</v>
      </c>
      <c r="Y2422">
        <v>-0.1713681</v>
      </c>
      <c r="Z2422">
        <v>-3.6654629999999999E-3</v>
      </c>
      <c r="AA2422">
        <v>0.98520019999999997</v>
      </c>
      <c r="AB2422">
        <v>23</v>
      </c>
      <c r="AC2422">
        <v>-32.094900000000003</v>
      </c>
      <c r="AD2422">
        <v>-1.0299028100000001</v>
      </c>
      <c r="AE2422">
        <v>-4.6337999999999999</v>
      </c>
      <c r="AF2422">
        <v>-5.5758659258347096</v>
      </c>
      <c r="AG2422">
        <v>-1.0299028100000001</v>
      </c>
      <c r="AH2422">
        <v>31.911537623449</v>
      </c>
      <c r="AI2422">
        <v>91.820935385507696</v>
      </c>
      <c r="AJ2422">
        <v>99.911170106015305</v>
      </c>
      <c r="AK2422">
        <v>32.411374764328201</v>
      </c>
      <c r="AL2422">
        <v>80.390914868012203</v>
      </c>
      <c r="AM2422">
        <v>94.951849763956901</v>
      </c>
      <c r="AN2422">
        <v>1.0000000626618299</v>
      </c>
    </row>
    <row r="2423" spans="1:40" x14ac:dyDescent="0.25">
      <c r="A2423" t="str">
        <f>"20190312172130271"</f>
        <v>20190312172130271</v>
      </c>
      <c r="B2423" t="str">
        <f>"1552382490263395"</f>
        <v>1552382490263395</v>
      </c>
      <c r="C2423" t="s">
        <v>40</v>
      </c>
      <c r="D2423">
        <v>3.2196370000000001</v>
      </c>
      <c r="E2423">
        <v>0.46512930000000002</v>
      </c>
      <c r="F2423" t="s">
        <v>47</v>
      </c>
      <c r="G2423">
        <v>-289.27890000000002</v>
      </c>
      <c r="H2423">
        <v>8.0001320000000001E-2</v>
      </c>
      <c r="I2423">
        <v>277.34859999999998</v>
      </c>
      <c r="J2423">
        <v>-257.3492</v>
      </c>
      <c r="K2423">
        <v>1.109904</v>
      </c>
      <c r="L2423">
        <v>282.03489999999999</v>
      </c>
      <c r="M2423">
        <v>-0.99950050000000001</v>
      </c>
      <c r="N2423">
        <v>0</v>
      </c>
      <c r="O2423">
        <v>2.9778809999999999E-2</v>
      </c>
      <c r="P2423">
        <v>-0.98590529999999998</v>
      </c>
      <c r="Q2423">
        <v>0.156754</v>
      </c>
      <c r="R2423">
        <v>-5.8471349999999998E-2</v>
      </c>
      <c r="S2423">
        <v>-3.0325929999999999</v>
      </c>
      <c r="T2423">
        <v>-9.7453360000000003E-2</v>
      </c>
      <c r="U2423">
        <v>-0.4430847</v>
      </c>
      <c r="V2423">
        <v>-8.7705259999999993E-2</v>
      </c>
      <c r="W2423">
        <v>0.1672081</v>
      </c>
      <c r="X2423">
        <v>0.98201289999999997</v>
      </c>
      <c r="Y2423">
        <v>-0.1738731</v>
      </c>
      <c r="Z2423">
        <v>-3.7303950000000001E-3</v>
      </c>
      <c r="AA2423">
        <v>0.984761</v>
      </c>
      <c r="AB2423">
        <v>23</v>
      </c>
      <c r="AC2423">
        <v>-31.9297</v>
      </c>
      <c r="AD2423">
        <v>-1.02990268</v>
      </c>
      <c r="AE2423">
        <v>-4.6863000000000099</v>
      </c>
      <c r="AF2423">
        <v>-5.62936983598851</v>
      </c>
      <c r="AG2423">
        <v>-1.02990268</v>
      </c>
      <c r="AH2423">
        <v>31.7436479068644</v>
      </c>
      <c r="AI2423">
        <v>91.829744493100705</v>
      </c>
      <c r="AJ2423">
        <v>100.05619659676</v>
      </c>
      <c r="AK2423">
        <v>32.255382290643901</v>
      </c>
      <c r="AL2423">
        <v>80.374468890069394</v>
      </c>
      <c r="AM2423">
        <v>95.103643415025502</v>
      </c>
      <c r="AN2423">
        <v>1.0000000485518401</v>
      </c>
    </row>
    <row r="2424" spans="1:40" x14ac:dyDescent="0.25">
      <c r="A2424" t="str">
        <f>"20190312172130282"</f>
        <v>20190312172130282</v>
      </c>
      <c r="B2424" t="str">
        <f>"1552382490273156"</f>
        <v>1552382490273156</v>
      </c>
      <c r="C2424" t="s">
        <v>40</v>
      </c>
      <c r="D2424">
        <v>3.143767</v>
      </c>
      <c r="E2424">
        <v>0.46521390000000001</v>
      </c>
      <c r="F2424" t="s">
        <v>47</v>
      </c>
      <c r="G2424">
        <v>-289.57409999999999</v>
      </c>
      <c r="H2424">
        <v>8.0001260000000005E-2</v>
      </c>
      <c r="I2424">
        <v>277.2482</v>
      </c>
      <c r="J2424">
        <v>-257.47829999999999</v>
      </c>
      <c r="K2424">
        <v>1.109904</v>
      </c>
      <c r="L2424">
        <v>282.03899999999999</v>
      </c>
      <c r="M2424">
        <v>-0.99949460000000001</v>
      </c>
      <c r="N2424">
        <v>0</v>
      </c>
      <c r="O2424">
        <v>2.998224E-2</v>
      </c>
      <c r="P2424">
        <v>-0.98567439999999995</v>
      </c>
      <c r="Q2424">
        <v>0.15729849999999901</v>
      </c>
      <c r="R2424">
        <v>-6.0852870000000003E-2</v>
      </c>
      <c r="S2424">
        <v>-3.0315859999999999</v>
      </c>
      <c r="T2424">
        <v>-9.6889020000000006E-2</v>
      </c>
      <c r="U2424">
        <v>-0.45031739999999998</v>
      </c>
      <c r="V2424">
        <v>-9.0279540000000005E-2</v>
      </c>
      <c r="W2424">
        <v>0.16774449999999999</v>
      </c>
      <c r="X2424">
        <v>0.98168800000000001</v>
      </c>
      <c r="Y2424">
        <v>-0.17641889999999999</v>
      </c>
      <c r="Z2424">
        <v>-3.7563100000000001E-3</v>
      </c>
      <c r="AA2424">
        <v>0.98430799999999996</v>
      </c>
      <c r="AB2424">
        <v>23</v>
      </c>
      <c r="AC2424">
        <v>-32.095799999999997</v>
      </c>
      <c r="AD2424">
        <v>-1.02990274</v>
      </c>
      <c r="AE2424">
        <v>-4.7907999999999902</v>
      </c>
      <c r="AF2424">
        <v>-5.7452169313340899</v>
      </c>
      <c r="AG2424">
        <v>-1.02990274</v>
      </c>
      <c r="AH2424">
        <v>31.9055861280066</v>
      </c>
      <c r="AI2424">
        <v>91.819603782240407</v>
      </c>
      <c r="AJ2424">
        <v>100.20782030839899</v>
      </c>
      <c r="AK2424">
        <v>32.435083527156102</v>
      </c>
      <c r="AL2424">
        <v>80.3432943839762</v>
      </c>
      <c r="AM2424">
        <v>95.254345566807004</v>
      </c>
      <c r="AN2424">
        <v>0.99999997098342996</v>
      </c>
    </row>
    <row r="2425" spans="1:40" x14ac:dyDescent="0.25">
      <c r="A2425" t="str">
        <f>"20190312172130295"</f>
        <v>20190312172130295</v>
      </c>
      <c r="B2425" t="str">
        <f>"1552382490282917"</f>
        <v>1552382490282917</v>
      </c>
      <c r="C2425" t="s">
        <v>40</v>
      </c>
      <c r="D2425">
        <v>3.1225990000000001</v>
      </c>
      <c r="E2425">
        <v>0.46530139999999998</v>
      </c>
      <c r="F2425" t="s">
        <v>47</v>
      </c>
      <c r="G2425">
        <v>-292.90539999999999</v>
      </c>
      <c r="H2425" s="1">
        <v>4.0637230000000002E-6</v>
      </c>
      <c r="I2425">
        <v>276.69060000000002</v>
      </c>
      <c r="J2425">
        <v>-257.61160000000001</v>
      </c>
      <c r="K2425">
        <v>1.10991</v>
      </c>
      <c r="L2425">
        <v>282.04320000000001</v>
      </c>
      <c r="M2425">
        <v>-0.99948840000000005</v>
      </c>
      <c r="N2425">
        <v>0</v>
      </c>
      <c r="O2425">
        <v>3.0188469999999998E-2</v>
      </c>
      <c r="P2425">
        <v>-0.98543630000000004</v>
      </c>
      <c r="Q2425">
        <v>0.1577691</v>
      </c>
      <c r="R2425">
        <v>-6.3436149999999997E-2</v>
      </c>
      <c r="S2425">
        <v>-3.0305179999999998</v>
      </c>
      <c r="T2425">
        <v>-9.4943399999999997E-2</v>
      </c>
      <c r="U2425">
        <v>-0.45751950000000002</v>
      </c>
      <c r="V2425">
        <v>-9.3057929999999997E-2</v>
      </c>
      <c r="W2425">
        <v>0.1682042</v>
      </c>
      <c r="X2425">
        <v>0.9813499</v>
      </c>
      <c r="Y2425">
        <v>-0.1789625</v>
      </c>
      <c r="Z2425">
        <v>-3.727602E-3</v>
      </c>
      <c r="AA2425">
        <v>0.98384879999999997</v>
      </c>
      <c r="AB2425">
        <v>23</v>
      </c>
      <c r="AC2425">
        <v>-35.293799999999898</v>
      </c>
      <c r="AD2425">
        <v>-1.1099059362769901</v>
      </c>
      <c r="AE2425">
        <v>-5.35259999999999</v>
      </c>
      <c r="AF2425">
        <v>-6.40948925201835</v>
      </c>
      <c r="AG2425">
        <v>-1.1099059362769901</v>
      </c>
      <c r="AH2425">
        <v>35.0822017328993</v>
      </c>
      <c r="AI2425">
        <v>91.782592164050001</v>
      </c>
      <c r="AJ2425">
        <v>100.353700705191</v>
      </c>
      <c r="AK2425">
        <v>35.680167069213098</v>
      </c>
      <c r="AL2425">
        <v>80.316576444232794</v>
      </c>
      <c r="AM2425">
        <v>95.4169577547503</v>
      </c>
      <c r="AN2425">
        <v>1.0000000287317601</v>
      </c>
    </row>
    <row r="2426" spans="1:40" x14ac:dyDescent="0.25">
      <c r="A2426" t="str">
        <f>"20190312172130314"</f>
        <v>20190312172130314</v>
      </c>
      <c r="B2426" t="str">
        <f>"1552382490303415"</f>
        <v>1552382490303415</v>
      </c>
      <c r="C2426" t="s">
        <v>40</v>
      </c>
      <c r="D2426">
        <v>3.1351520000000002</v>
      </c>
      <c r="E2426">
        <v>0.46551160000000003</v>
      </c>
      <c r="F2426" t="s">
        <v>47</v>
      </c>
      <c r="G2426">
        <v>-293.59629999999999</v>
      </c>
      <c r="H2426" s="1">
        <v>4.2628960000000002E-6</v>
      </c>
      <c r="I2426">
        <v>276.51679999999999</v>
      </c>
      <c r="J2426">
        <v>-257.79739999999998</v>
      </c>
      <c r="K2426">
        <v>1.10992</v>
      </c>
      <c r="L2426">
        <v>282.04910000000001</v>
      </c>
      <c r="M2426">
        <v>-0.99948009999999998</v>
      </c>
      <c r="N2426">
        <v>0</v>
      </c>
      <c r="O2426">
        <v>3.04683E-2</v>
      </c>
      <c r="P2426">
        <v>-0.9850158</v>
      </c>
      <c r="Q2426">
        <v>0.15869069999999999</v>
      </c>
      <c r="R2426">
        <v>-6.7538589999999996E-2</v>
      </c>
      <c r="S2426">
        <v>-3.029388</v>
      </c>
      <c r="T2426">
        <v>-9.3438030000000005E-2</v>
      </c>
      <c r="U2426">
        <v>-0.4652405</v>
      </c>
      <c r="V2426">
        <v>-9.7423090000000004E-2</v>
      </c>
      <c r="W2426">
        <v>0.16910710000000001</v>
      </c>
      <c r="X2426">
        <v>0.9807709</v>
      </c>
      <c r="Y2426">
        <v>-0.18174380000000001</v>
      </c>
      <c r="Z2426">
        <v>-3.7204059999999999E-3</v>
      </c>
      <c r="AA2426">
        <v>0.98333890000000002</v>
      </c>
      <c r="AB2426">
        <v>23</v>
      </c>
      <c r="AC2426">
        <v>-35.798900000000003</v>
      </c>
      <c r="AD2426">
        <v>-1.109915737104</v>
      </c>
      <c r="AE2426">
        <v>-5.5323000000000198</v>
      </c>
      <c r="AF2426">
        <v>-6.6143137646126204</v>
      </c>
      <c r="AG2426">
        <v>-1.109915737104</v>
      </c>
      <c r="AH2426">
        <v>35.580304627680903</v>
      </c>
      <c r="AI2426">
        <v>91.756666905292803</v>
      </c>
      <c r="AJ2426">
        <v>100.53096889201299</v>
      </c>
      <c r="AK2426">
        <v>36.206893499978499</v>
      </c>
      <c r="AL2426">
        <v>80.264092105438493</v>
      </c>
      <c r="AM2426">
        <v>95.672762814778096</v>
      </c>
      <c r="AN2426">
        <v>1.00000001401118</v>
      </c>
    </row>
    <row r="2427" spans="1:40" x14ac:dyDescent="0.25">
      <c r="A2427" t="str">
        <f>"20190312172130325"</f>
        <v>20190312172130325</v>
      </c>
      <c r="B2427" t="str">
        <f>"1552382490322931"</f>
        <v>1552382490322931</v>
      </c>
      <c r="C2427" t="s">
        <v>40</v>
      </c>
      <c r="D2427">
        <v>3.1673770000000001</v>
      </c>
      <c r="E2427">
        <v>0.46575709999999998</v>
      </c>
      <c r="F2427" t="s">
        <v>47</v>
      </c>
      <c r="G2427">
        <v>-295.03199999999998</v>
      </c>
      <c r="H2427" s="1">
        <v>4.670233E-6</v>
      </c>
      <c r="I2427">
        <v>276.18079999999998</v>
      </c>
      <c r="J2427">
        <v>-257.923</v>
      </c>
      <c r="K2427">
        <v>1.109926</v>
      </c>
      <c r="L2427">
        <v>282.0532</v>
      </c>
      <c r="M2427">
        <v>-0.99947459999999999</v>
      </c>
      <c r="N2427">
        <v>0</v>
      </c>
      <c r="O2427">
        <v>3.0650899999999998E-2</v>
      </c>
      <c r="P2427">
        <v>-0.98488799999999999</v>
      </c>
      <c r="Q2427">
        <v>0.15872020000000001</v>
      </c>
      <c r="R2427">
        <v>-6.9306329999999999E-2</v>
      </c>
      <c r="S2427">
        <v>-3.027466</v>
      </c>
      <c r="T2427">
        <v>-9.0244889999999994E-2</v>
      </c>
      <c r="U2427">
        <v>-0.47714230000000002</v>
      </c>
      <c r="V2427">
        <v>-9.9368559999999995E-2</v>
      </c>
      <c r="W2427">
        <v>0.16912449999999901</v>
      </c>
      <c r="X2427">
        <v>0.98057269999999996</v>
      </c>
      <c r="Y2427">
        <v>-0.18579470000000001</v>
      </c>
      <c r="Z2427">
        <v>-3.6599169999999999E-3</v>
      </c>
      <c r="AA2427">
        <v>0.98258179999999995</v>
      </c>
      <c r="AB2427">
        <v>23</v>
      </c>
      <c r="AC2427">
        <v>-37.108999999999902</v>
      </c>
      <c r="AD2427">
        <v>-1.1099213297670001</v>
      </c>
      <c r="AE2427">
        <v>-5.8724000000000203</v>
      </c>
      <c r="AF2427">
        <v>-7.0010178997650101</v>
      </c>
      <c r="AG2427">
        <v>-1.1099213297670001</v>
      </c>
      <c r="AH2427">
        <v>36.879372040580101</v>
      </c>
      <c r="AI2427">
        <v>91.693624190690898</v>
      </c>
      <c r="AJ2427">
        <v>100.748875852873</v>
      </c>
      <c r="AK2427">
        <v>37.554417304740902</v>
      </c>
      <c r="AL2427">
        <v>80.263080585167103</v>
      </c>
      <c r="AM2427">
        <v>95.786444337895603</v>
      </c>
      <c r="AN2427">
        <v>1.0000000136010001</v>
      </c>
    </row>
    <row r="2428" spans="1:40" x14ac:dyDescent="0.25">
      <c r="A2428" t="str">
        <f>"20190312172130347"</f>
        <v>20190312172130347</v>
      </c>
      <c r="B2428" t="str">
        <f>"1552382490343428"</f>
        <v>1552382490343428</v>
      </c>
      <c r="C2428" t="s">
        <v>40</v>
      </c>
      <c r="D2428">
        <v>3.1424919999999998</v>
      </c>
      <c r="E2428">
        <v>0.47470600000000002</v>
      </c>
      <c r="F2428" t="s">
        <v>47</v>
      </c>
      <c r="G2428">
        <v>-295.21019999999999</v>
      </c>
      <c r="H2428" s="1">
        <v>4.7237180000000003E-6</v>
      </c>
      <c r="I2428">
        <v>276.12810000000002</v>
      </c>
      <c r="J2428">
        <v>-258.14370000000002</v>
      </c>
      <c r="K2428">
        <v>1.1099399999999999</v>
      </c>
      <c r="L2428">
        <v>282.06029999999998</v>
      </c>
      <c r="M2428">
        <v>-0.99946550000000001</v>
      </c>
      <c r="N2428">
        <v>0</v>
      </c>
      <c r="O2428">
        <v>3.0954200000000001E-2</v>
      </c>
      <c r="P2428">
        <v>-0.98460789999999998</v>
      </c>
      <c r="Q2428">
        <v>0.1590656</v>
      </c>
      <c r="R2428">
        <v>-7.2427909999999998E-2</v>
      </c>
      <c r="S2428">
        <v>-3.0267029999999999</v>
      </c>
      <c r="T2428">
        <v>-9.009528E-2</v>
      </c>
      <c r="U2428">
        <v>-0.48095700000000002</v>
      </c>
      <c r="V2428">
        <v>-0.102783399999999</v>
      </c>
      <c r="W2428">
        <v>0.16944679999999901</v>
      </c>
      <c r="X2428">
        <v>0.98016490000000001</v>
      </c>
      <c r="Y2428">
        <v>-0.18733830000000001</v>
      </c>
      <c r="Z2428">
        <v>-3.6862119999999999E-3</v>
      </c>
      <c r="AA2428">
        <v>0.98228850000000001</v>
      </c>
      <c r="AB2428">
        <v>23</v>
      </c>
      <c r="AC2428">
        <v>-37.066499999999898</v>
      </c>
      <c r="AD2428">
        <v>-1.1099352762819901</v>
      </c>
      <c r="AE2428">
        <v>-5.9321999999999599</v>
      </c>
      <c r="AF2428">
        <v>-7.07060262344626</v>
      </c>
      <c r="AG2428">
        <v>-1.1099352762819901</v>
      </c>
      <c r="AH2428">
        <v>36.832897149726598</v>
      </c>
      <c r="AI2428">
        <v>91.695116841654595</v>
      </c>
      <c r="AJ2428">
        <v>100.86655454880101</v>
      </c>
      <c r="AK2428">
        <v>37.521829515877201</v>
      </c>
      <c r="AL2428">
        <v>80.244342984970402</v>
      </c>
      <c r="AM2428">
        <v>95.986350196997805</v>
      </c>
      <c r="AN2428">
        <v>0.99999993826890299</v>
      </c>
    </row>
    <row r="2429" spans="1:40" x14ac:dyDescent="0.25">
      <c r="A2429" t="str">
        <f>"20190312172130359"</f>
        <v>20190312172130359</v>
      </c>
      <c r="B2429" t="str">
        <f>"1552382490353188"</f>
        <v>1552382490353188</v>
      </c>
      <c r="C2429" t="s">
        <v>40</v>
      </c>
      <c r="D2429">
        <v>3.1916829999999998</v>
      </c>
      <c r="E2429">
        <v>0.47508040000000001</v>
      </c>
      <c r="F2429" t="s">
        <v>47</v>
      </c>
      <c r="G2429">
        <v>-289.077</v>
      </c>
      <c r="H2429">
        <v>8.0001299999999997E-2</v>
      </c>
      <c r="I2429">
        <v>277.7826</v>
      </c>
      <c r="J2429">
        <v>-258.2681</v>
      </c>
      <c r="K2429">
        <v>1.10995</v>
      </c>
      <c r="L2429">
        <v>282.0643</v>
      </c>
      <c r="M2429">
        <v>-0.99946049999999997</v>
      </c>
      <c r="N2429">
        <v>0</v>
      </c>
      <c r="O2429">
        <v>3.1116560000000001E-2</v>
      </c>
      <c r="P2429">
        <v>-0.98446610000000001</v>
      </c>
      <c r="Q2429">
        <v>0.15941440000000001</v>
      </c>
      <c r="R2429">
        <v>-7.3576950000000002E-2</v>
      </c>
      <c r="S2429">
        <v>-3.0323790000000002</v>
      </c>
      <c r="T2429">
        <v>-0.1009645</v>
      </c>
      <c r="U2429">
        <v>-0.41934199999999999</v>
      </c>
      <c r="V2429">
        <v>-0.10409110000000001</v>
      </c>
      <c r="W2429">
        <v>0.1697805</v>
      </c>
      <c r="X2429">
        <v>0.97996919999999998</v>
      </c>
      <c r="Y2429">
        <v>-0.1676349</v>
      </c>
      <c r="Z2429">
        <v>-3.8081069999999998E-3</v>
      </c>
      <c r="AA2429">
        <v>0.98584179999999999</v>
      </c>
      <c r="AB2429">
        <v>23</v>
      </c>
      <c r="AC2429">
        <v>-30.808899999999898</v>
      </c>
      <c r="AD2429">
        <v>-1.0299486999999901</v>
      </c>
      <c r="AE2429">
        <v>-4.2816999999999998</v>
      </c>
      <c r="AF2429">
        <v>-5.2326092982407602</v>
      </c>
      <c r="AG2429">
        <v>-1.0299486999999901</v>
      </c>
      <c r="AH2429">
        <v>30.6271606497696</v>
      </c>
      <c r="AI2429">
        <v>91.898562387154996</v>
      </c>
      <c r="AJ2429">
        <v>99.695297428896097</v>
      </c>
      <c r="AK2429">
        <v>31.088003536082301</v>
      </c>
      <c r="AL2429">
        <v>80.224942928048094</v>
      </c>
      <c r="AM2429">
        <v>96.063151733692706</v>
      </c>
      <c r="AN2429">
        <v>1.00000000411405</v>
      </c>
    </row>
    <row r="2430" spans="1:40" x14ac:dyDescent="0.25">
      <c r="A2430" t="str">
        <f>"20190312172130371"</f>
        <v>20190312172130371</v>
      </c>
      <c r="B2430" t="str">
        <f>"1552382490362948"</f>
        <v>1552382490362948</v>
      </c>
      <c r="C2430" t="s">
        <v>40</v>
      </c>
      <c r="D2430">
        <v>3.1523720000000002</v>
      </c>
      <c r="E2430">
        <v>0.4752767</v>
      </c>
      <c r="F2430" t="s">
        <v>47</v>
      </c>
      <c r="G2430">
        <v>-287.12299999999999</v>
      </c>
      <c r="H2430">
        <v>8.0001230000000007E-2</v>
      </c>
      <c r="I2430">
        <v>278.07060000000001</v>
      </c>
      <c r="J2430">
        <v>-258.39589999999998</v>
      </c>
      <c r="K2430">
        <v>1.109958</v>
      </c>
      <c r="L2430">
        <v>282.06849999999997</v>
      </c>
      <c r="M2430">
        <v>-0.99945589999999995</v>
      </c>
      <c r="N2430">
        <v>0</v>
      </c>
      <c r="O2430">
        <v>3.1269180000000001E-2</v>
      </c>
      <c r="P2430">
        <v>-0.98431409999999997</v>
      </c>
      <c r="Q2430">
        <v>0.1602759</v>
      </c>
      <c r="R2430">
        <v>-7.3740470000000002E-2</v>
      </c>
      <c r="S2430">
        <v>-3.0335079999999999</v>
      </c>
      <c r="T2430">
        <v>-0.10827829999999999</v>
      </c>
      <c r="U2430">
        <v>-0.41986079999999998</v>
      </c>
      <c r="V2430">
        <v>-0.1044036</v>
      </c>
      <c r="W2430">
        <v>0.1706239</v>
      </c>
      <c r="X2430">
        <v>0.97978940000000003</v>
      </c>
      <c r="Y2430">
        <v>-0.1678847</v>
      </c>
      <c r="Z2430">
        <v>-4.0921009999999999E-3</v>
      </c>
      <c r="AA2430">
        <v>0.98579810000000001</v>
      </c>
      <c r="AB2430">
        <v>23</v>
      </c>
      <c r="AC2430">
        <v>-28.7271</v>
      </c>
      <c r="AD2430">
        <v>-1.0299567700000001</v>
      </c>
      <c r="AE2430">
        <v>-3.9978999999999498</v>
      </c>
      <c r="AF2430">
        <v>-4.8881031262232302</v>
      </c>
      <c r="AG2430">
        <v>-1.0299567700000001</v>
      </c>
      <c r="AH2430">
        <v>28.5520281440742</v>
      </c>
      <c r="AI2430">
        <v>92.036332937203994</v>
      </c>
      <c r="AJ2430">
        <v>99.714847791193193</v>
      </c>
      <c r="AK2430">
        <v>28.9857322533116</v>
      </c>
      <c r="AL2430">
        <v>80.1759035889649</v>
      </c>
      <c r="AM2430">
        <v>96.082325792578999</v>
      </c>
      <c r="AN2430">
        <v>0.99999994764826305</v>
      </c>
    </row>
    <row r="2431" spans="1:40" x14ac:dyDescent="0.25">
      <c r="A2431" t="str">
        <f>"20190312172130383"</f>
        <v>20190312172130383</v>
      </c>
      <c r="B2431" t="str">
        <f>"1552382490373683"</f>
        <v>1552382490373683</v>
      </c>
      <c r="C2431" t="s">
        <v>40</v>
      </c>
      <c r="D2431">
        <v>3.1356039999999998</v>
      </c>
      <c r="E2431">
        <v>0.47565079999999998</v>
      </c>
      <c r="F2431" t="s">
        <v>47</v>
      </c>
      <c r="G2431">
        <v>-288.79719999999998</v>
      </c>
      <c r="H2431">
        <v>8.0001349999999999E-2</v>
      </c>
      <c r="I2431">
        <v>277.8682</v>
      </c>
      <c r="J2431">
        <v>-258.51870000000002</v>
      </c>
      <c r="K2431">
        <v>1.109969</v>
      </c>
      <c r="L2431">
        <v>282.07249999999999</v>
      </c>
      <c r="M2431">
        <v>-0.99945150000000005</v>
      </c>
      <c r="N2431">
        <v>0</v>
      </c>
      <c r="O2431">
        <v>3.140892E-2</v>
      </c>
      <c r="P2431">
        <v>-0.98421139999999996</v>
      </c>
      <c r="Q2431">
        <v>0.16105349999999999</v>
      </c>
      <c r="R2431">
        <v>-7.3413039999999999E-2</v>
      </c>
      <c r="S2431">
        <v>-3.0331419999999998</v>
      </c>
      <c r="T2431">
        <v>-0.10275860000000001</v>
      </c>
      <c r="U2431">
        <v>-0.41906739999999998</v>
      </c>
      <c r="V2431">
        <v>-0.1042154</v>
      </c>
      <c r="W2431">
        <v>0.1713846</v>
      </c>
      <c r="X2431">
        <v>0.97967669999999996</v>
      </c>
      <c r="Y2431">
        <v>-0.167798</v>
      </c>
      <c r="Z2431">
        <v>-3.8874059999999999E-3</v>
      </c>
      <c r="AA2431">
        <v>0.98581370000000001</v>
      </c>
      <c r="AB2431">
        <v>23</v>
      </c>
      <c r="AC2431">
        <v>-30.278499999999902</v>
      </c>
      <c r="AD2431">
        <v>-1.0299676499999999</v>
      </c>
      <c r="AE2431">
        <v>-4.2042999999999804</v>
      </c>
      <c r="AF2431">
        <v>-5.1474492749472196</v>
      </c>
      <c r="AG2431">
        <v>-1.0299676499999999</v>
      </c>
      <c r="AH2431">
        <v>30.0973322305769</v>
      </c>
      <c r="AI2431">
        <v>91.931937668430905</v>
      </c>
      <c r="AJ2431">
        <v>99.705212318450094</v>
      </c>
      <c r="AK2431">
        <v>30.551701667761801</v>
      </c>
      <c r="AL2431">
        <v>80.131667453802294</v>
      </c>
      <c r="AM2431">
        <v>96.072136866090204</v>
      </c>
      <c r="AN2431">
        <v>0.99999998361860398</v>
      </c>
    </row>
    <row r="2432" spans="1:40" x14ac:dyDescent="0.25">
      <c r="A2432" t="str">
        <f>"20190312172130397"</f>
        <v>20190312172130397</v>
      </c>
      <c r="B2432" t="str">
        <f>"1552382490393203"</f>
        <v>1552382490393203</v>
      </c>
      <c r="C2432" t="s">
        <v>40</v>
      </c>
      <c r="D2432">
        <v>3.1378200000000001</v>
      </c>
      <c r="E2432">
        <v>0.47648040000000003</v>
      </c>
      <c r="F2432" t="s">
        <v>47</v>
      </c>
      <c r="G2432">
        <v>-292.21839999999997</v>
      </c>
      <c r="H2432" s="1">
        <v>3.7080680000000001E-6</v>
      </c>
      <c r="I2432">
        <v>277.45839999999998</v>
      </c>
      <c r="J2432">
        <v>-258.66019999999997</v>
      </c>
      <c r="K2432">
        <v>1.109988</v>
      </c>
      <c r="L2432">
        <v>282.07709999999997</v>
      </c>
      <c r="M2432">
        <v>-0.99944750000000004</v>
      </c>
      <c r="N2432">
        <v>0</v>
      </c>
      <c r="O2432">
        <v>3.1549689999999998E-2</v>
      </c>
      <c r="P2432">
        <v>-0.98416230000000005</v>
      </c>
      <c r="Q2432">
        <v>0.16173209999999999</v>
      </c>
      <c r="R2432">
        <v>-7.2579050000000006E-2</v>
      </c>
      <c r="S2432">
        <v>-3.0335079999999999</v>
      </c>
      <c r="T2432">
        <v>-9.9914429999999999E-2</v>
      </c>
      <c r="U2432">
        <v>-0.4153442</v>
      </c>
      <c r="V2432">
        <v>-0.10352550000000001</v>
      </c>
      <c r="W2432">
        <v>0.17204269999999999</v>
      </c>
      <c r="X2432">
        <v>0.97963449999999996</v>
      </c>
      <c r="Y2432">
        <v>-0.16673969999999999</v>
      </c>
      <c r="Z2432">
        <v>-3.766999E-3</v>
      </c>
      <c r="AA2432">
        <v>0.98599369999999997</v>
      </c>
      <c r="AB2432">
        <v>23</v>
      </c>
      <c r="AC2432">
        <v>-33.558199999999999</v>
      </c>
      <c r="AD2432">
        <v>-1.109984291932</v>
      </c>
      <c r="AE2432">
        <v>-4.6186999999999898</v>
      </c>
      <c r="AF2432">
        <v>-5.6691221800217901</v>
      </c>
      <c r="AG2432">
        <v>-1.109984291932</v>
      </c>
      <c r="AH2432">
        <v>33.359946992546597</v>
      </c>
      <c r="AI2432">
        <v>91.878781530972802</v>
      </c>
      <c r="AJ2432">
        <v>99.644591900080897</v>
      </c>
      <c r="AK2432">
        <v>33.8564185165216</v>
      </c>
      <c r="AL2432">
        <v>80.093392630474497</v>
      </c>
      <c r="AM2432">
        <v>96.032494961771206</v>
      </c>
      <c r="AN2432">
        <v>0.99999998668189405</v>
      </c>
    </row>
    <row r="2433" spans="1:40" x14ac:dyDescent="0.25">
      <c r="A2433" t="str">
        <f>"20190312172130415"</f>
        <v>20190312172130415</v>
      </c>
      <c r="B2433" t="str">
        <f>"1552382490402964"</f>
        <v>1552382490402964</v>
      </c>
      <c r="C2433" t="s">
        <v>40</v>
      </c>
      <c r="D2433">
        <v>3.2713939999999999</v>
      </c>
      <c r="E2433">
        <v>0.47656789999999999</v>
      </c>
      <c r="F2433" t="s">
        <v>47</v>
      </c>
      <c r="G2433">
        <v>-288.86840000000001</v>
      </c>
      <c r="H2433">
        <v>8.0001299999999997E-2</v>
      </c>
      <c r="I2433">
        <v>278.03309999999999</v>
      </c>
      <c r="J2433">
        <v>-258.85599999999999</v>
      </c>
      <c r="K2433">
        <v>1.1100139999999901</v>
      </c>
      <c r="L2433">
        <v>282.08350000000002</v>
      </c>
      <c r="M2433">
        <v>-0.99944250000000001</v>
      </c>
      <c r="N2433">
        <v>0</v>
      </c>
      <c r="O2433">
        <v>3.1712539999999997E-2</v>
      </c>
      <c r="P2433">
        <v>-0.9842862</v>
      </c>
      <c r="Q2433">
        <v>0.16240979999999999</v>
      </c>
      <c r="R2433">
        <v>-6.9310120000000003E-2</v>
      </c>
      <c r="S2433">
        <v>-3.0353089999999998</v>
      </c>
      <c r="T2433">
        <v>-0.1034926</v>
      </c>
      <c r="U2433">
        <v>-0.40634160000000002</v>
      </c>
      <c r="V2433">
        <v>-0.1004341</v>
      </c>
      <c r="W2433">
        <v>0.17269179999999901</v>
      </c>
      <c r="X2433">
        <v>0.97984210000000005</v>
      </c>
      <c r="Y2433">
        <v>-0.16394320000000001</v>
      </c>
      <c r="Z2433">
        <v>-3.8583739999999999E-3</v>
      </c>
      <c r="AA2433">
        <v>0.98646219999999996</v>
      </c>
      <c r="AB2433">
        <v>23</v>
      </c>
      <c r="AC2433">
        <v>-30.0124</v>
      </c>
      <c r="AD2433">
        <v>-1.0300126999999999</v>
      </c>
      <c r="AE2433">
        <v>-4.0504000000000202</v>
      </c>
      <c r="AF2433">
        <v>-4.9944065142954504</v>
      </c>
      <c r="AG2433">
        <v>-1.0300126999999999</v>
      </c>
      <c r="AH2433">
        <v>29.834336279185599</v>
      </c>
      <c r="AI2433">
        <v>91.950201004132296</v>
      </c>
      <c r="AJ2433">
        <v>99.503457613077799</v>
      </c>
      <c r="AK2433">
        <v>30.267022380996199</v>
      </c>
      <c r="AL2433">
        <v>80.055637008373395</v>
      </c>
      <c r="AM2433">
        <v>95.852395466413</v>
      </c>
      <c r="AN2433">
        <v>1.00000000358123</v>
      </c>
    </row>
    <row r="2434" spans="1:40" x14ac:dyDescent="0.25">
      <c r="A2434" t="str">
        <f>"20190312172130450"</f>
        <v>20190312172130450</v>
      </c>
      <c r="B2434" t="str">
        <f>"1552382490442980"</f>
        <v>1552382490442980</v>
      </c>
      <c r="C2434" t="s">
        <v>40</v>
      </c>
      <c r="D2434">
        <v>3.1264180000000001</v>
      </c>
      <c r="E2434">
        <v>0.4769369</v>
      </c>
      <c r="F2434" t="s">
        <v>47</v>
      </c>
      <c r="G2434">
        <v>-292.27589999999998</v>
      </c>
      <c r="H2434" s="1">
        <v>3.6484129999999998E-6</v>
      </c>
      <c r="I2434">
        <v>277.73180000000002</v>
      </c>
      <c r="J2434">
        <v>-259.21960000000001</v>
      </c>
      <c r="K2434">
        <v>1.110063</v>
      </c>
      <c r="L2434">
        <v>282.09530000000001</v>
      </c>
      <c r="M2434">
        <v>-0.99943669999999996</v>
      </c>
      <c r="N2434">
        <v>0</v>
      </c>
      <c r="O2434">
        <v>3.1905070000000001E-2</v>
      </c>
      <c r="P2434">
        <v>-0.98460890000000001</v>
      </c>
      <c r="Q2434">
        <v>0.16223379999999901</v>
      </c>
      <c r="R2434">
        <v>-6.5003140000000001E-2</v>
      </c>
      <c r="S2434">
        <v>-3.0366819999999999</v>
      </c>
      <c r="T2434">
        <v>-0.10086050000000001</v>
      </c>
      <c r="U2434">
        <v>-0.3954163</v>
      </c>
      <c r="V2434">
        <v>-9.6354159999999994E-2</v>
      </c>
      <c r="W2434">
        <v>0.17246029999999901</v>
      </c>
      <c r="X2434">
        <v>0.98029250000000001</v>
      </c>
      <c r="Y2434">
        <v>-0.1605927</v>
      </c>
      <c r="Z2434">
        <v>-3.710456E-3</v>
      </c>
      <c r="AA2434">
        <v>0.98701380000000005</v>
      </c>
      <c r="AB2434">
        <v>23</v>
      </c>
      <c r="AC2434">
        <v>-33.056299999999901</v>
      </c>
      <c r="AD2434">
        <v>-1.1100593515870001</v>
      </c>
      <c r="AE2434">
        <v>-4.3634999999999797</v>
      </c>
      <c r="AF2434">
        <v>-5.4100027808396502</v>
      </c>
      <c r="AG2434">
        <v>-1.1100593515870001</v>
      </c>
      <c r="AH2434">
        <v>32.863819004398898</v>
      </c>
      <c r="AI2434">
        <v>91.908902927767699</v>
      </c>
      <c r="AJ2434">
        <v>99.348122075149504</v>
      </c>
      <c r="AK2434">
        <v>33.324629951533304</v>
      </c>
      <c r="AL2434">
        <v>80.069103311754802</v>
      </c>
      <c r="AM2434">
        <v>95.613641133065002</v>
      </c>
      <c r="AN2434">
        <v>1.00000003239082</v>
      </c>
    </row>
    <row r="2435" spans="1:40" x14ac:dyDescent="0.25">
      <c r="A2435" t="str">
        <f>"20190312172130463"</f>
        <v>20190312172130463</v>
      </c>
      <c r="B2435" t="str">
        <f>"1552382490453715"</f>
        <v>1552382490453715</v>
      </c>
      <c r="C2435" t="s">
        <v>40</v>
      </c>
      <c r="D2435">
        <v>3.1969590000000001</v>
      </c>
      <c r="E2435">
        <v>0.4769369</v>
      </c>
      <c r="F2435" t="s">
        <v>47</v>
      </c>
      <c r="G2435">
        <v>-292.88839999999999</v>
      </c>
      <c r="H2435" s="1">
        <v>3.741567E-6</v>
      </c>
      <c r="I2435">
        <v>277.8929</v>
      </c>
      <c r="J2435">
        <v>-259.3646</v>
      </c>
      <c r="K2435">
        <v>1.110085</v>
      </c>
      <c r="L2435">
        <v>282.10000000000002</v>
      </c>
      <c r="M2435">
        <v>-0.99943570000000004</v>
      </c>
      <c r="N2435">
        <v>0</v>
      </c>
      <c r="O2435">
        <v>3.1946160000000001E-2</v>
      </c>
      <c r="P2435">
        <v>-0.98485900000000004</v>
      </c>
      <c r="Q2435">
        <v>0.1623945</v>
      </c>
      <c r="R2435">
        <v>-6.0672749999999998E-2</v>
      </c>
      <c r="S2435">
        <v>-3.0383610000000001</v>
      </c>
      <c r="T2435">
        <v>-0.1001745</v>
      </c>
      <c r="U2435">
        <v>-0.37924190000000002</v>
      </c>
      <c r="V2435">
        <v>-9.2084630000000001E-2</v>
      </c>
      <c r="W2435">
        <v>0.17260120000000001</v>
      </c>
      <c r="X2435">
        <v>0.98067800000000005</v>
      </c>
      <c r="Y2435">
        <v>-0.15539520000000001</v>
      </c>
      <c r="Z2435">
        <v>-3.600453E-3</v>
      </c>
      <c r="AA2435">
        <v>0.9878458</v>
      </c>
      <c r="AB2435">
        <v>23</v>
      </c>
      <c r="AC2435">
        <v>-33.523799999999902</v>
      </c>
      <c r="AD2435">
        <v>-1.110081258433</v>
      </c>
      <c r="AE2435">
        <v>-4.20710000000002</v>
      </c>
      <c r="AF2435">
        <v>-5.2702776100450999</v>
      </c>
      <c r="AG2435">
        <v>-1.110081258433</v>
      </c>
      <c r="AH2435">
        <v>33.336293358897002</v>
      </c>
      <c r="AI2435">
        <v>91.883835331534698</v>
      </c>
      <c r="AJ2435">
        <v>98.983781678956106</v>
      </c>
      <c r="AK2435">
        <v>33.768573576591997</v>
      </c>
      <c r="AL2435">
        <v>80.060907574053502</v>
      </c>
      <c r="AM2435">
        <v>95.364284517955497</v>
      </c>
      <c r="AN2435">
        <v>1.0000000465038299</v>
      </c>
    </row>
    <row r="2436" spans="1:40" x14ac:dyDescent="0.25">
      <c r="A2436" t="str">
        <f>"20190312172130482"</f>
        <v>20190312172130482</v>
      </c>
      <c r="B2436" t="str">
        <f>"1552382490473238"</f>
        <v>1552382490473238</v>
      </c>
      <c r="C2436" t="s">
        <v>40</v>
      </c>
      <c r="D2436">
        <v>3.2963309999999999</v>
      </c>
      <c r="E2436">
        <v>0.50966709999999904</v>
      </c>
      <c r="F2436" t="s">
        <v>47</v>
      </c>
      <c r="G2436">
        <v>-293.20209999999997</v>
      </c>
      <c r="H2436" s="1">
        <v>3.7705429999999999E-6</v>
      </c>
      <c r="I2436">
        <v>278.03309999999999</v>
      </c>
      <c r="J2436">
        <v>-259.56810000000002</v>
      </c>
      <c r="K2436">
        <v>1.110112</v>
      </c>
      <c r="L2436">
        <v>282.10660000000001</v>
      </c>
      <c r="M2436">
        <v>-0.99943510000000002</v>
      </c>
      <c r="N2436">
        <v>0</v>
      </c>
      <c r="O2436">
        <v>3.1971769999999997E-2</v>
      </c>
      <c r="P2436">
        <v>-0.98509119999999994</v>
      </c>
      <c r="Q2436">
        <v>0.16251479999999999</v>
      </c>
      <c r="R2436">
        <v>-5.6433509999999999E-2</v>
      </c>
      <c r="S2436">
        <v>-3.0400700000000001</v>
      </c>
      <c r="T2436">
        <v>-9.973311E-2</v>
      </c>
      <c r="U2436">
        <v>-0.36538700000000002</v>
      </c>
      <c r="V2436">
        <v>-8.7892869999999998E-2</v>
      </c>
      <c r="W2436">
        <v>0.17269599999999999</v>
      </c>
      <c r="X2436">
        <v>0.98104579999999997</v>
      </c>
      <c r="Y2436">
        <v>-0.15091840000000001</v>
      </c>
      <c r="Z2436">
        <v>-3.5112540000000001E-3</v>
      </c>
      <c r="AA2436">
        <v>0.98853999999999997</v>
      </c>
      <c r="AB2436">
        <v>23</v>
      </c>
      <c r="AC2436">
        <v>-33.633999999999901</v>
      </c>
      <c r="AD2436">
        <v>-1.1101082294569999</v>
      </c>
      <c r="AE2436">
        <v>-4.0735000000000197</v>
      </c>
      <c r="AF2436">
        <v>-5.1412937097715599</v>
      </c>
      <c r="AG2436">
        <v>-1.1101082294569999</v>
      </c>
      <c r="AH2436">
        <v>33.450646334401803</v>
      </c>
      <c r="AI2436">
        <v>91.878701279330897</v>
      </c>
      <c r="AJ2436">
        <v>98.737863513486602</v>
      </c>
      <c r="AK2436">
        <v>33.861644695443701</v>
      </c>
      <c r="AL2436">
        <v>80.055392291332893</v>
      </c>
      <c r="AM2436">
        <v>95.119517779281594</v>
      </c>
      <c r="AN2436">
        <v>0.999999963355237</v>
      </c>
    </row>
    <row r="2437" spans="1:40" x14ac:dyDescent="0.25">
      <c r="A2437" t="str">
        <f>"20190312172130494"</f>
        <v>20190312172130494</v>
      </c>
      <c r="B2437" t="str">
        <f>"1552382490482995"</f>
        <v>1552382490482995</v>
      </c>
      <c r="C2437" t="s">
        <v>40</v>
      </c>
      <c r="D2437">
        <v>3.2093410000000002</v>
      </c>
      <c r="E2437">
        <v>0.5133915</v>
      </c>
      <c r="F2437" t="s">
        <v>47</v>
      </c>
      <c r="G2437">
        <v>-283.4522</v>
      </c>
      <c r="H2437" s="1">
        <v>7.53800899999999E-6</v>
      </c>
      <c r="I2437">
        <v>281.39</v>
      </c>
      <c r="J2437">
        <v>-259.69240000000002</v>
      </c>
      <c r="K2437">
        <v>1.110131</v>
      </c>
      <c r="L2437">
        <v>282.11059999999998</v>
      </c>
      <c r="M2437">
        <v>-0.99943519999999997</v>
      </c>
      <c r="N2437">
        <v>0</v>
      </c>
      <c r="O2437">
        <v>3.197299E-2</v>
      </c>
      <c r="P2437">
        <v>-0.98518790000000001</v>
      </c>
      <c r="Q2437">
        <v>0.16259889999999999</v>
      </c>
      <c r="R2437">
        <v>-5.4464850000000002E-2</v>
      </c>
      <c r="S2437">
        <v>-3.0636290000000002</v>
      </c>
      <c r="T2437">
        <v>-0.1423941</v>
      </c>
      <c r="U2437">
        <v>-9.1918949999999999E-2</v>
      </c>
      <c r="V2437">
        <v>-8.5935800000000007E-2</v>
      </c>
      <c r="W2437">
        <v>0.17276369999999999</v>
      </c>
      <c r="X2437">
        <v>0.9812073</v>
      </c>
      <c r="Y2437">
        <v>-6.1833579999999999E-2</v>
      </c>
      <c r="Z2437">
        <v>-2.9208820000000001E-3</v>
      </c>
      <c r="AA2437">
        <v>0.99808220000000003</v>
      </c>
      <c r="AB2437">
        <v>24</v>
      </c>
      <c r="AC2437">
        <v>-23.759799999999899</v>
      </c>
      <c r="AD2437">
        <v>-1.1101234619910001</v>
      </c>
      <c r="AE2437">
        <v>-0.72059999999999003</v>
      </c>
      <c r="AF2437">
        <v>-1.4767232899668099</v>
      </c>
      <c r="AG2437">
        <v>-1.1101234619910001</v>
      </c>
      <c r="AH2437">
        <v>23.672979123886901</v>
      </c>
      <c r="AI2437">
        <v>92.679667112200406</v>
      </c>
      <c r="AJ2437">
        <v>93.569492459690494</v>
      </c>
      <c r="AK2437">
        <v>23.7449579148075</v>
      </c>
      <c r="AL2437">
        <v>80.051454659520502</v>
      </c>
      <c r="AM2437">
        <v>95.005289866444897</v>
      </c>
      <c r="AN2437">
        <v>1.0000000116663099</v>
      </c>
    </row>
    <row r="2438" spans="1:40" x14ac:dyDescent="0.25">
      <c r="A2438" t="str">
        <f>"20190312172130507"</f>
        <v>20190312172130507</v>
      </c>
      <c r="B2438" t="str">
        <f>"1552382490503492"</f>
        <v>1552382490503492</v>
      </c>
      <c r="C2438" t="s">
        <v>40</v>
      </c>
      <c r="D2438">
        <v>3.1893509999999998</v>
      </c>
      <c r="E2438">
        <v>0.51695069999999999</v>
      </c>
      <c r="F2438" t="s">
        <v>47</v>
      </c>
      <c r="G2438">
        <v>-283.5883</v>
      </c>
      <c r="H2438" s="1">
        <v>7.4193719999999997E-6</v>
      </c>
      <c r="I2438">
        <v>281.67189999999999</v>
      </c>
      <c r="J2438">
        <v>-259.81560000000002</v>
      </c>
      <c r="K2438">
        <v>1.110136</v>
      </c>
      <c r="L2438">
        <v>282.1146</v>
      </c>
      <c r="M2438">
        <v>-0.99943550000000003</v>
      </c>
      <c r="N2438">
        <v>0</v>
      </c>
      <c r="O2438">
        <v>3.1966979999999999E-2</v>
      </c>
      <c r="P2438">
        <v>-0.98520730000000001</v>
      </c>
      <c r="Q2438">
        <v>0.16303380000000001</v>
      </c>
      <c r="R2438">
        <v>-5.2789309999999999E-2</v>
      </c>
      <c r="S2438">
        <v>-3.0654910000000002</v>
      </c>
      <c r="T2438">
        <v>-0.14241229999999999</v>
      </c>
      <c r="U2438">
        <v>-5.6274409999999997E-2</v>
      </c>
      <c r="V2438">
        <v>-8.4260000000000002E-2</v>
      </c>
      <c r="W2438">
        <v>0.17318210000000001</v>
      </c>
      <c r="X2438">
        <v>0.98127880000000001</v>
      </c>
      <c r="Y2438">
        <v>-5.0219600000000003E-2</v>
      </c>
      <c r="Z2438">
        <v>-2.6499399999999999E-3</v>
      </c>
      <c r="AA2438">
        <v>0.99873469999999998</v>
      </c>
      <c r="AB2438">
        <v>24</v>
      </c>
      <c r="AC2438">
        <v>-23.772699999999901</v>
      </c>
      <c r="AD2438">
        <v>-1.1101285806279999</v>
      </c>
      <c r="AE2438">
        <v>-0.44270000000000198</v>
      </c>
      <c r="AF2438">
        <v>-1.19984018421215</v>
      </c>
      <c r="AG2438">
        <v>-1.1101285806279999</v>
      </c>
      <c r="AH2438">
        <v>23.6947440858806</v>
      </c>
      <c r="AI2438">
        <v>92.678990401233506</v>
      </c>
      <c r="AJ2438">
        <v>92.898833199351202</v>
      </c>
      <c r="AK2438">
        <v>23.751061012690599</v>
      </c>
      <c r="AL2438">
        <v>80.027114458147594</v>
      </c>
      <c r="AM2438">
        <v>94.9078093186328</v>
      </c>
      <c r="AN2438">
        <v>0.99999993534492204</v>
      </c>
    </row>
    <row r="2439" spans="1:40" x14ac:dyDescent="0.25">
      <c r="A2439" t="str">
        <f>"20190312172130519"</f>
        <v>20190312172130519</v>
      </c>
      <c r="B2439" t="str">
        <f>"1552382490513252"</f>
        <v>1552382490513252</v>
      </c>
      <c r="C2439" t="s">
        <v>40</v>
      </c>
      <c r="D2439">
        <v>3.2115939999999998</v>
      </c>
      <c r="E2439">
        <v>0.51786779999999999</v>
      </c>
      <c r="F2439" t="s">
        <v>47</v>
      </c>
      <c r="G2439">
        <v>-283.70740000000001</v>
      </c>
      <c r="H2439" s="1">
        <v>7.3115339999999999E-6</v>
      </c>
      <c r="I2439">
        <v>281.9384</v>
      </c>
      <c r="J2439">
        <v>-259.95319999999998</v>
      </c>
      <c r="K2439">
        <v>1.110142</v>
      </c>
      <c r="L2439">
        <v>282.1189</v>
      </c>
      <c r="M2439">
        <v>-0.9994362</v>
      </c>
      <c r="N2439">
        <v>0</v>
      </c>
      <c r="O2439">
        <v>3.1953849999999999E-2</v>
      </c>
      <c r="P2439">
        <v>-0.98523459999999996</v>
      </c>
      <c r="Q2439">
        <v>0.16332079999999999</v>
      </c>
      <c r="R2439">
        <v>-5.1370069999999997E-2</v>
      </c>
      <c r="S2439">
        <v>-3.0674130000000002</v>
      </c>
      <c r="T2439">
        <v>-0.14252670000000001</v>
      </c>
      <c r="U2439">
        <v>-2.261353E-2</v>
      </c>
      <c r="V2439">
        <v>-8.2833980000000001E-2</v>
      </c>
      <c r="W2439">
        <v>0.1734494</v>
      </c>
      <c r="X2439">
        <v>0.98135300000000003</v>
      </c>
      <c r="Y2439">
        <v>-3.9246089999999997E-2</v>
      </c>
      <c r="Z2439">
        <v>-2.3951179999999999E-3</v>
      </c>
      <c r="AA2439">
        <v>0.99922670000000002</v>
      </c>
      <c r="AB2439">
        <v>24</v>
      </c>
      <c r="AC2439">
        <v>-23.754200000000001</v>
      </c>
      <c r="AD2439">
        <v>-1.1101346884659999</v>
      </c>
      <c r="AE2439">
        <v>-0.180499999999995</v>
      </c>
      <c r="AF2439">
        <v>-0.93743894878460798</v>
      </c>
      <c r="AG2439">
        <v>-1.1101346884659999</v>
      </c>
      <c r="AH2439">
        <v>23.684574286874799</v>
      </c>
      <c r="AI2439">
        <v>92.681486200912502</v>
      </c>
      <c r="AJ2439">
        <v>92.266592304984897</v>
      </c>
      <c r="AK2439">
        <v>23.729101330638802</v>
      </c>
      <c r="AL2439">
        <v>80.011563971517802</v>
      </c>
      <c r="AM2439">
        <v>94.824781734993095</v>
      </c>
      <c r="AN2439">
        <v>0.99999993660599795</v>
      </c>
    </row>
    <row r="2440" spans="1:40" x14ac:dyDescent="0.25">
      <c r="A2440" t="str">
        <f>"20190312172130537"</f>
        <v>20190312172130537</v>
      </c>
      <c r="B2440" t="str">
        <f>"1552382490533748"</f>
        <v>1552382490533748</v>
      </c>
      <c r="C2440" t="s">
        <v>40</v>
      </c>
      <c r="D2440">
        <v>3.1971310000000002</v>
      </c>
      <c r="E2440">
        <v>0.51923079999999999</v>
      </c>
      <c r="F2440" t="s">
        <v>47</v>
      </c>
      <c r="G2440">
        <v>-283.79320000000001</v>
      </c>
      <c r="H2440" s="1">
        <v>7.25408E-6</v>
      </c>
      <c r="I2440">
        <v>282.03210000000001</v>
      </c>
      <c r="J2440">
        <v>-260.13639999999998</v>
      </c>
      <c r="K2440">
        <v>1.1101430000000001</v>
      </c>
      <c r="L2440">
        <v>282.12479999999999</v>
      </c>
      <c r="M2440">
        <v>-0.99943749999999998</v>
      </c>
      <c r="N2440">
        <v>0</v>
      </c>
      <c r="O2440">
        <v>3.1919549999999998E-2</v>
      </c>
      <c r="P2440">
        <v>-0.9853189</v>
      </c>
      <c r="Q2440">
        <v>0.16355039999999901</v>
      </c>
      <c r="R2440">
        <v>-4.8971880000000002E-2</v>
      </c>
      <c r="S2440">
        <v>-3.0680239999999999</v>
      </c>
      <c r="T2440">
        <v>-0.14286509999999999</v>
      </c>
      <c r="U2440">
        <v>-1.1169429999999999E-2</v>
      </c>
      <c r="V2440">
        <v>-8.0408199999999999E-2</v>
      </c>
      <c r="W2440">
        <v>0.173656</v>
      </c>
      <c r="X2440">
        <v>0.98151829999999995</v>
      </c>
      <c r="Y2440">
        <v>-3.5486719999999999E-2</v>
      </c>
      <c r="Z2440">
        <v>-2.3112470000000002E-3</v>
      </c>
      <c r="AA2440">
        <v>0.99936749999999996</v>
      </c>
      <c r="AB2440">
        <v>24</v>
      </c>
      <c r="AC2440">
        <v>-23.6568</v>
      </c>
      <c r="AD2440">
        <v>-1.1101357459200001</v>
      </c>
      <c r="AE2440">
        <v>-9.2699999999979299E-2</v>
      </c>
      <c r="AF2440">
        <v>-0.84594428907600905</v>
      </c>
      <c r="AG2440">
        <v>-1.1101357459200001</v>
      </c>
      <c r="AH2440">
        <v>23.5898383366494</v>
      </c>
      <c r="AI2440">
        <v>92.692618370470001</v>
      </c>
      <c r="AJ2440">
        <v>92.053777397035603</v>
      </c>
      <c r="AK2440">
        <v>23.631091719678199</v>
      </c>
      <c r="AL2440">
        <v>79.999545193003996</v>
      </c>
      <c r="AM2440">
        <v>94.683341548203998</v>
      </c>
      <c r="AN2440">
        <v>1.0000000290990601</v>
      </c>
    </row>
    <row r="2441" spans="1:40" x14ac:dyDescent="0.25">
      <c r="A2441" t="str">
        <f>"20190312172130549"</f>
        <v>20190312172130549</v>
      </c>
      <c r="B2441" t="str">
        <f>"1552382490543508"</f>
        <v>1552382490543508</v>
      </c>
      <c r="C2441" t="s">
        <v>40</v>
      </c>
      <c r="D2441">
        <v>3.2006320000000001</v>
      </c>
      <c r="E2441">
        <v>0.51957559999999903</v>
      </c>
      <c r="F2441" t="s">
        <v>47</v>
      </c>
      <c r="G2441">
        <v>-282.85539999999997</v>
      </c>
      <c r="H2441" s="1">
        <v>7.6401210000000007E-6</v>
      </c>
      <c r="I2441">
        <v>282.17649999999998</v>
      </c>
      <c r="J2441">
        <v>-260.26150000000001</v>
      </c>
      <c r="K2441">
        <v>1.1101460000000001</v>
      </c>
      <c r="L2441">
        <v>282.12880000000001</v>
      </c>
      <c r="M2441">
        <v>-0.99943850000000001</v>
      </c>
      <c r="N2441">
        <v>0</v>
      </c>
      <c r="O2441">
        <v>3.1890559999999998E-2</v>
      </c>
      <c r="P2441">
        <v>-0.98535189999999995</v>
      </c>
      <c r="Q2441">
        <v>0.163554799999999</v>
      </c>
      <c r="R2441">
        <v>-4.8283920000000001E-2</v>
      </c>
      <c r="S2441">
        <v>-3.0699459999999998</v>
      </c>
      <c r="T2441">
        <v>-0.150009</v>
      </c>
      <c r="U2441">
        <v>6.9885249999999998E-3</v>
      </c>
      <c r="V2441">
        <v>-7.9695050000000003E-2</v>
      </c>
      <c r="W2441">
        <v>0.1736461</v>
      </c>
      <c r="X2441">
        <v>0.98157819999999996</v>
      </c>
      <c r="Y2441">
        <v>-2.9543610000000001E-2</v>
      </c>
      <c r="Z2441">
        <v>-2.278605E-3</v>
      </c>
      <c r="AA2441">
        <v>0.99956089999999997</v>
      </c>
      <c r="AB2441">
        <v>24</v>
      </c>
      <c r="AC2441">
        <v>-22.593899999999898</v>
      </c>
      <c r="AD2441">
        <v>-1.11013835987899</v>
      </c>
      <c r="AE2441">
        <v>4.7699999999963397E-2</v>
      </c>
      <c r="AF2441">
        <v>-0.67127388592126602</v>
      </c>
      <c r="AG2441">
        <v>-1.11013835987899</v>
      </c>
      <c r="AH2441">
        <v>22.5295376479901</v>
      </c>
      <c r="AI2441">
        <v>92.819706883513405</v>
      </c>
      <c r="AJ2441">
        <v>91.706638893780195</v>
      </c>
      <c r="AK2441">
        <v>22.5668580542395</v>
      </c>
      <c r="AL2441">
        <v>80.000121038336403</v>
      </c>
      <c r="AM2441">
        <v>94.641704724883596</v>
      </c>
      <c r="AN2441">
        <v>1.00000001587747</v>
      </c>
    </row>
    <row r="2442" spans="1:40" x14ac:dyDescent="0.25">
      <c r="A2442" t="str">
        <f>"20190312172130561"</f>
        <v>20190312172130561</v>
      </c>
      <c r="B2442" t="str">
        <f>"1552382490553268"</f>
        <v>1552382490553268</v>
      </c>
      <c r="C2442" t="s">
        <v>40</v>
      </c>
      <c r="D2442">
        <v>3.1828159999999999</v>
      </c>
      <c r="E2442">
        <v>0.51954129999999998</v>
      </c>
      <c r="F2442" t="s">
        <v>47</v>
      </c>
      <c r="G2442">
        <v>-282.54669999999999</v>
      </c>
      <c r="H2442" s="1">
        <v>7.769214E-6</v>
      </c>
      <c r="I2442">
        <v>282.21449999999999</v>
      </c>
      <c r="J2442">
        <v>-260.39150000000001</v>
      </c>
      <c r="K2442">
        <v>1.11015</v>
      </c>
      <c r="L2442">
        <v>282.13290000000001</v>
      </c>
      <c r="M2442">
        <v>-0.99943979999999999</v>
      </c>
      <c r="N2442">
        <v>0</v>
      </c>
      <c r="O2442">
        <v>3.1858299999999999E-2</v>
      </c>
      <c r="P2442">
        <v>-0.9853459</v>
      </c>
      <c r="Q2442">
        <v>0.16378699999999999</v>
      </c>
      <c r="R2442">
        <v>-4.7618880000000002E-2</v>
      </c>
      <c r="S2442">
        <v>-3.0705870000000002</v>
      </c>
      <c r="T2442">
        <v>-0.15296189999999901</v>
      </c>
      <c r="U2442">
        <v>1.1810299999999999E-2</v>
      </c>
      <c r="V2442">
        <v>-7.8999219999999995E-2</v>
      </c>
      <c r="W2442">
        <v>0.17386399999999999</v>
      </c>
      <c r="X2442">
        <v>0.98159589999999997</v>
      </c>
      <c r="Y2442">
        <v>-2.794131E-2</v>
      </c>
      <c r="Z2442">
        <v>-2.2814129999999999E-3</v>
      </c>
      <c r="AA2442">
        <v>0.99960700000000002</v>
      </c>
      <c r="AB2442">
        <v>24</v>
      </c>
      <c r="AC2442">
        <v>-22.155199999999901</v>
      </c>
      <c r="AD2442">
        <v>-1.1101422307860001</v>
      </c>
      <c r="AE2442">
        <v>8.1599999999980299E-2</v>
      </c>
      <c r="AF2442">
        <v>-0.62274200248227696</v>
      </c>
      <c r="AG2442">
        <v>-1.1101422307860001</v>
      </c>
      <c r="AH2442">
        <v>22.091087756483098</v>
      </c>
      <c r="AI2442">
        <v>92.875721149387203</v>
      </c>
      <c r="AJ2442">
        <v>91.614725452295801</v>
      </c>
      <c r="AK2442">
        <v>22.1277287953118</v>
      </c>
      <c r="AL2442">
        <v>79.9874436827739</v>
      </c>
      <c r="AM2442">
        <v>94.601269448033605</v>
      </c>
      <c r="AN2442">
        <v>1.0000000390767001</v>
      </c>
    </row>
    <row r="2443" spans="1:40" x14ac:dyDescent="0.25">
      <c r="A2443" t="str">
        <f>"20190312172130572"</f>
        <v>20190312172130572</v>
      </c>
      <c r="B2443" t="str">
        <f>"1552382490563029"</f>
        <v>1552382490563029</v>
      </c>
      <c r="C2443" t="s">
        <v>40</v>
      </c>
      <c r="D2443">
        <v>3.2934109999999999</v>
      </c>
      <c r="E2443">
        <v>0.519503299999999</v>
      </c>
      <c r="F2443" t="s">
        <v>47</v>
      </c>
      <c r="G2443">
        <v>-282.8193</v>
      </c>
      <c r="H2443" s="1">
        <v>7.6443949999999904E-6</v>
      </c>
      <c r="I2443">
        <v>282.23340000000002</v>
      </c>
      <c r="J2443">
        <v>-260.517</v>
      </c>
      <c r="K2443">
        <v>1.11015</v>
      </c>
      <c r="L2443">
        <v>282.13690000000003</v>
      </c>
      <c r="M2443">
        <v>-0.99944089999999997</v>
      </c>
      <c r="N2443">
        <v>0</v>
      </c>
      <c r="O2443">
        <v>3.1825619999999999E-2</v>
      </c>
      <c r="P2443">
        <v>-0.98534980000000005</v>
      </c>
      <c r="Q2443">
        <v>0.16388559999999999</v>
      </c>
      <c r="R2443">
        <v>-4.7195910000000001E-2</v>
      </c>
      <c r="S2443">
        <v>-3.0705870000000002</v>
      </c>
      <c r="T2443">
        <v>-0.1519896</v>
      </c>
      <c r="U2443">
        <v>1.376343E-2</v>
      </c>
      <c r="V2443">
        <v>-7.8544920000000004E-2</v>
      </c>
      <c r="W2443">
        <v>0.17394989999999999</v>
      </c>
      <c r="X2443">
        <v>0.98161710000000002</v>
      </c>
      <c r="Y2443">
        <v>-2.72746E-2</v>
      </c>
      <c r="Z2443">
        <v>-2.2488159999999998E-3</v>
      </c>
      <c r="AA2443">
        <v>0.9996254</v>
      </c>
      <c r="AB2443">
        <v>24</v>
      </c>
      <c r="AC2443">
        <v>-22.302299999999999</v>
      </c>
      <c r="AD2443">
        <v>-1.1101423556049901</v>
      </c>
      <c r="AE2443">
        <v>9.6499999999991801E-2</v>
      </c>
      <c r="AF2443">
        <v>-0.61185468968625201</v>
      </c>
      <c r="AG2443">
        <v>-1.1101423556049901</v>
      </c>
      <c r="AH2443">
        <v>22.238970970037201</v>
      </c>
      <c r="AI2443">
        <v>92.856684206257398</v>
      </c>
      <c r="AJ2443">
        <v>91.575965455811897</v>
      </c>
      <c r="AK2443">
        <v>22.275067048544599</v>
      </c>
      <c r="AL2443">
        <v>79.982445439103699</v>
      </c>
      <c r="AM2443">
        <v>94.574823237163002</v>
      </c>
      <c r="AN2443">
        <v>1.00000000159011</v>
      </c>
    </row>
    <row r="2444" spans="1:40" x14ac:dyDescent="0.25">
      <c r="A2444" t="str">
        <f>"20190312172130584"</f>
        <v>20190312172130584</v>
      </c>
      <c r="B2444" t="str">
        <f>"1552382490573763"</f>
        <v>1552382490573763</v>
      </c>
      <c r="C2444" t="s">
        <v>40</v>
      </c>
      <c r="D2444">
        <v>3.1933509999999998</v>
      </c>
      <c r="E2444">
        <v>0.51946999999999999</v>
      </c>
      <c r="F2444" t="s">
        <v>47</v>
      </c>
      <c r="G2444">
        <v>-283.01670000000001</v>
      </c>
      <c r="H2444" s="1">
        <v>7.5537350000000001E-6</v>
      </c>
      <c r="I2444">
        <v>282.24849999999998</v>
      </c>
      <c r="J2444">
        <v>-260.63830000000002</v>
      </c>
      <c r="K2444">
        <v>1.1101510000000001</v>
      </c>
      <c r="L2444">
        <v>282.14069999999998</v>
      </c>
      <c r="M2444">
        <v>-0.99944200000000005</v>
      </c>
      <c r="N2444">
        <v>0</v>
      </c>
      <c r="O2444">
        <v>3.1794669999999997E-2</v>
      </c>
      <c r="P2444">
        <v>-0.9853092</v>
      </c>
      <c r="Q2444">
        <v>0.1641311</v>
      </c>
      <c r="R2444">
        <v>-4.7190410000000002E-2</v>
      </c>
      <c r="S2444">
        <v>-3.0705260000000001</v>
      </c>
      <c r="T2444">
        <v>-0.15150060000000001</v>
      </c>
      <c r="U2444">
        <v>1.522827E-2</v>
      </c>
      <c r="V2444">
        <v>-7.8508399999999895E-2</v>
      </c>
      <c r="W2444">
        <v>0.17418330000000001</v>
      </c>
      <c r="X2444">
        <v>0.98157859999999997</v>
      </c>
      <c r="Y2444">
        <v>-2.676779E-2</v>
      </c>
      <c r="Z2444">
        <v>-2.2276079999999998E-3</v>
      </c>
      <c r="AA2444">
        <v>0.99963919999999995</v>
      </c>
      <c r="AB2444">
        <v>24</v>
      </c>
      <c r="AC2444">
        <v>-22.378399999999999</v>
      </c>
      <c r="AD2444">
        <v>-1.1101434462649999</v>
      </c>
      <c r="AE2444">
        <v>0.107799999999997</v>
      </c>
      <c r="AF2444">
        <v>-0.60232338774604</v>
      </c>
      <c r="AG2444">
        <v>-1.1101434462649999</v>
      </c>
      <c r="AH2444">
        <v>22.315596468071199</v>
      </c>
      <c r="AI2444">
        <v>92.846934480998399</v>
      </c>
      <c r="AJ2444">
        <v>91.546103020842907</v>
      </c>
      <c r="AK2444">
        <v>22.3513099763863</v>
      </c>
      <c r="AL2444">
        <v>79.968864961962794</v>
      </c>
      <c r="AM2444">
        <v>94.572883756955903</v>
      </c>
      <c r="AN2444">
        <v>0.99999996942370395</v>
      </c>
    </row>
    <row r="2445" spans="1:40" x14ac:dyDescent="0.25">
      <c r="A2445" t="str">
        <f>"20190312172130597"</f>
        <v>20190312172130597</v>
      </c>
      <c r="B2445" t="str">
        <f>"1552382490593284"</f>
        <v>1552382490593284</v>
      </c>
      <c r="C2445" t="s">
        <v>40</v>
      </c>
      <c r="D2445">
        <v>3.1785559999999999</v>
      </c>
      <c r="E2445">
        <v>0.51933249999999997</v>
      </c>
      <c r="F2445" t="s">
        <v>47</v>
      </c>
      <c r="G2445">
        <v>-283.14490000000001</v>
      </c>
      <c r="H2445" s="1">
        <v>7.4961789999999902E-6</v>
      </c>
      <c r="I2445">
        <v>282.25189999999998</v>
      </c>
      <c r="J2445">
        <v>-260.77069999999998</v>
      </c>
      <c r="K2445">
        <v>1.110155</v>
      </c>
      <c r="L2445">
        <v>282.14490000000001</v>
      </c>
      <c r="M2445">
        <v>-0.99944319999999998</v>
      </c>
      <c r="N2445">
        <v>0</v>
      </c>
      <c r="O2445">
        <v>3.1761709999999999E-2</v>
      </c>
      <c r="P2445">
        <v>-0.98528979999999999</v>
      </c>
      <c r="Q2445">
        <v>0.1643801</v>
      </c>
      <c r="R2445">
        <v>-4.672776E-2</v>
      </c>
      <c r="S2445">
        <v>-3.0706790000000002</v>
      </c>
      <c r="T2445">
        <v>-0.15146180000000001</v>
      </c>
      <c r="U2445">
        <v>1.516724E-2</v>
      </c>
      <c r="V2445">
        <v>-7.8013609999999997E-2</v>
      </c>
      <c r="W2445">
        <v>0.1744204</v>
      </c>
      <c r="X2445">
        <v>0.981576</v>
      </c>
      <c r="Y2445">
        <v>-2.6755020000000001E-2</v>
      </c>
      <c r="Z2445">
        <v>-2.2249879999999998E-3</v>
      </c>
      <c r="AA2445">
        <v>0.99963959999999996</v>
      </c>
      <c r="AB2445">
        <v>24</v>
      </c>
      <c r="AC2445">
        <v>-22.374199999999998</v>
      </c>
      <c r="AD2445">
        <v>-1.110147503821</v>
      </c>
      <c r="AE2445">
        <v>0.10699999999996999</v>
      </c>
      <c r="AF2445">
        <v>-0.60225133572913903</v>
      </c>
      <c r="AG2445">
        <v>-1.110147503821</v>
      </c>
      <c r="AH2445">
        <v>22.311382415019398</v>
      </c>
      <c r="AI2445">
        <v>92.847481556752101</v>
      </c>
      <c r="AJ2445">
        <v>91.546210003300303</v>
      </c>
      <c r="AK2445">
        <v>22.347100917588001</v>
      </c>
      <c r="AL2445">
        <v>79.955069475305507</v>
      </c>
      <c r="AM2445">
        <v>94.544196763507998</v>
      </c>
      <c r="AN2445">
        <v>1.0000000215286899</v>
      </c>
    </row>
    <row r="2446" spans="1:40" x14ac:dyDescent="0.25">
      <c r="A2446" t="str">
        <f>"20190312172130617"</f>
        <v>20190312172130617</v>
      </c>
      <c r="B2446" t="str">
        <f>"1552382490613780"</f>
        <v>1552382490613780</v>
      </c>
      <c r="C2446" t="s">
        <v>40</v>
      </c>
      <c r="D2446">
        <v>3.1893910000000001</v>
      </c>
      <c r="E2446">
        <v>0.5190688</v>
      </c>
      <c r="F2446" t="s">
        <v>47</v>
      </c>
      <c r="G2446">
        <v>-283.22410000000002</v>
      </c>
      <c r="H2446" s="1">
        <v>7.4596639999999998E-6</v>
      </c>
      <c r="I2446">
        <v>282.25869999999998</v>
      </c>
      <c r="J2446">
        <v>-260.98079999999999</v>
      </c>
      <c r="K2446">
        <v>1.1101540000000001</v>
      </c>
      <c r="L2446">
        <v>282.15159999999997</v>
      </c>
      <c r="M2446">
        <v>-0.99944480000000002</v>
      </c>
      <c r="N2446">
        <v>0</v>
      </c>
      <c r="O2446">
        <v>3.1713699999999997E-2</v>
      </c>
      <c r="P2446">
        <v>-0.98525419999999997</v>
      </c>
      <c r="Q2446">
        <v>0.1648608</v>
      </c>
      <c r="R2446">
        <v>-4.5772159999999999E-2</v>
      </c>
      <c r="S2446">
        <v>-3.070862</v>
      </c>
      <c r="T2446">
        <v>-0.15183070000000001</v>
      </c>
      <c r="U2446">
        <v>1.556396E-2</v>
      </c>
      <c r="V2446">
        <v>-7.7010200000000001E-2</v>
      </c>
      <c r="W2446">
        <v>0.17488329999999999</v>
      </c>
      <c r="X2446">
        <v>0.98157289999999997</v>
      </c>
      <c r="Y2446">
        <v>-2.6578089999999999E-2</v>
      </c>
      <c r="Z2446">
        <v>-2.2235229999999998E-3</v>
      </c>
      <c r="AA2446">
        <v>0.99964430000000004</v>
      </c>
      <c r="AB2446">
        <v>24</v>
      </c>
      <c r="AC2446">
        <v>-22.243300000000001</v>
      </c>
      <c r="AD2446">
        <v>-1.110146540336</v>
      </c>
      <c r="AE2446">
        <v>0.107100000000002</v>
      </c>
      <c r="AF2446">
        <v>-0.596921166169886</v>
      </c>
      <c r="AG2446">
        <v>-1.110146540336</v>
      </c>
      <c r="AH2446">
        <v>22.180258760987002</v>
      </c>
      <c r="AI2446">
        <v>92.864290879149706</v>
      </c>
      <c r="AJ2446">
        <v>91.541587523343196</v>
      </c>
      <c r="AK2446">
        <v>22.216044178115599</v>
      </c>
      <c r="AL2446">
        <v>79.928133533586603</v>
      </c>
      <c r="AM2446">
        <v>94.486003588029803</v>
      </c>
      <c r="AN2446">
        <v>1.00000004876866</v>
      </c>
    </row>
    <row r="2447" spans="1:40" x14ac:dyDescent="0.25">
      <c r="A2447" t="str">
        <f>"20190312172130638"</f>
        <v>20190312172130638</v>
      </c>
      <c r="B2447" t="str">
        <f>"1552382490633300"</f>
        <v>1552382490633300</v>
      </c>
      <c r="C2447" t="s">
        <v>40</v>
      </c>
      <c r="D2447">
        <v>3.1600259999999998</v>
      </c>
      <c r="E2447">
        <v>0.51895290000000005</v>
      </c>
      <c r="F2447" t="s">
        <v>47</v>
      </c>
      <c r="G2447">
        <v>-283.50819999999999</v>
      </c>
      <c r="H2447" s="1">
        <v>7.3309590000000001E-6</v>
      </c>
      <c r="I2447">
        <v>282.27179999999998</v>
      </c>
      <c r="J2447">
        <v>-261.20639999999997</v>
      </c>
      <c r="K2447">
        <v>1.1101540000000001</v>
      </c>
      <c r="L2447">
        <v>282.15870000000001</v>
      </c>
      <c r="M2447">
        <v>-0.99944659999999996</v>
      </c>
      <c r="N2447">
        <v>0</v>
      </c>
      <c r="O2447">
        <v>3.1666180000000002E-2</v>
      </c>
      <c r="P2447">
        <v>-0.98524460000000003</v>
      </c>
      <c r="Q2447">
        <v>0.16527939999999999</v>
      </c>
      <c r="R2447">
        <v>-4.4446949999999999E-2</v>
      </c>
      <c r="S2447">
        <v>-3.0709840000000002</v>
      </c>
      <c r="T2447">
        <v>-0.15133750000000001</v>
      </c>
      <c r="U2447">
        <v>1.638794E-2</v>
      </c>
      <c r="V2447">
        <v>-7.5638380000000005E-2</v>
      </c>
      <c r="W2447">
        <v>0.1752861</v>
      </c>
      <c r="X2447">
        <v>0.98160769999999997</v>
      </c>
      <c r="Y2447">
        <v>-2.6263459999999999E-2</v>
      </c>
      <c r="Z2447">
        <v>-2.2061300000000002E-3</v>
      </c>
      <c r="AA2447">
        <v>0.9996526</v>
      </c>
      <c r="AB2447">
        <v>24</v>
      </c>
      <c r="AC2447">
        <v>-22.3018</v>
      </c>
      <c r="AD2447">
        <v>-1.110146669041</v>
      </c>
      <c r="AE2447">
        <v>0.113099999999974</v>
      </c>
      <c r="AF2447">
        <v>-0.591739950121415</v>
      </c>
      <c r="AG2447">
        <v>-1.110146669041</v>
      </c>
      <c r="AH2447">
        <v>22.2390916730158</v>
      </c>
      <c r="AI2447">
        <v>92.856749572547898</v>
      </c>
      <c r="AJ2447">
        <v>91.524172134264902</v>
      </c>
      <c r="AK2447">
        <v>22.274644334672399</v>
      </c>
      <c r="AL2447">
        <v>79.904692511767706</v>
      </c>
      <c r="AM2447">
        <v>94.406254190200102</v>
      </c>
      <c r="AN2447">
        <v>1.00000002904076</v>
      </c>
    </row>
    <row r="2448" spans="1:40" x14ac:dyDescent="0.25">
      <c r="A2448" t="str">
        <f>"20190312172130649"</f>
        <v>20190312172130649</v>
      </c>
      <c r="B2448" t="str">
        <f>"1552382490643060"</f>
        <v>1552382490643060</v>
      </c>
      <c r="C2448" t="s">
        <v>40</v>
      </c>
      <c r="D2448">
        <v>3.1784340000000002</v>
      </c>
      <c r="E2448">
        <v>0.51877470000000003</v>
      </c>
      <c r="F2448" t="s">
        <v>47</v>
      </c>
      <c r="G2448">
        <v>-283.40429999999998</v>
      </c>
      <c r="H2448" s="1">
        <v>7.37021399999999E-6</v>
      </c>
      <c r="I2448">
        <v>282.30489999999998</v>
      </c>
      <c r="J2448">
        <v>-261.33339999999998</v>
      </c>
      <c r="K2448">
        <v>1.1101529999999999</v>
      </c>
      <c r="L2448">
        <v>282.16269999999997</v>
      </c>
      <c r="M2448">
        <v>-0.99944759999999999</v>
      </c>
      <c r="N2448">
        <v>0</v>
      </c>
      <c r="O2448">
        <v>3.1640849999999998E-2</v>
      </c>
      <c r="P2448">
        <v>-0.98523519999999998</v>
      </c>
      <c r="Q2448">
        <v>0.16554669999999999</v>
      </c>
      <c r="R2448">
        <v>-4.3659040000000003E-2</v>
      </c>
      <c r="S2448">
        <v>-3.0716549999999998</v>
      </c>
      <c r="T2448">
        <v>-0.153617899999999</v>
      </c>
      <c r="U2448">
        <v>2.0233149999999998E-2</v>
      </c>
      <c r="V2448">
        <v>-7.4824619999999994E-2</v>
      </c>
      <c r="W2448">
        <v>0.1755457</v>
      </c>
      <c r="X2448">
        <v>0.98162360000000004</v>
      </c>
      <c r="Y2448">
        <v>-2.4987430000000001E-2</v>
      </c>
      <c r="Z2448">
        <v>-2.2056739999999999E-3</v>
      </c>
      <c r="AA2448">
        <v>0.9996853</v>
      </c>
      <c r="AB2448">
        <v>24</v>
      </c>
      <c r="AC2448">
        <v>-22.070899999999899</v>
      </c>
      <c r="AD2448">
        <v>-1.110145629786</v>
      </c>
      <c r="AE2448">
        <v>0.14220000000000199</v>
      </c>
      <c r="AF2448">
        <v>-0.55484563395675701</v>
      </c>
      <c r="AG2448">
        <v>-1.110145629786</v>
      </c>
      <c r="AH2448">
        <v>22.008668055363401</v>
      </c>
      <c r="AI2448">
        <v>92.886710086776901</v>
      </c>
      <c r="AJ2448">
        <v>91.444139223061995</v>
      </c>
      <c r="AK2448">
        <v>22.043632789720199</v>
      </c>
      <c r="AL2448">
        <v>79.8895835021967</v>
      </c>
      <c r="AM2448">
        <v>94.358962607374096</v>
      </c>
      <c r="AN2448">
        <v>0.999999954311796</v>
      </c>
    </row>
    <row r="2449" spans="1:40" x14ac:dyDescent="0.25">
      <c r="A2449" t="str">
        <f>"20190312172130661"</f>
        <v>20190312172130661</v>
      </c>
      <c r="B2449" t="str">
        <f>"1552382490652820"</f>
        <v>1552382490652820</v>
      </c>
      <c r="C2449" t="s">
        <v>40</v>
      </c>
      <c r="D2449">
        <v>3.1702659999999998</v>
      </c>
      <c r="E2449">
        <v>0.51857589999999998</v>
      </c>
      <c r="F2449" t="s">
        <v>47</v>
      </c>
      <c r="G2449">
        <v>-283.58260000000001</v>
      </c>
      <c r="H2449" s="1">
        <v>7.2884100000000002E-6</v>
      </c>
      <c r="I2449">
        <v>282.31810000000002</v>
      </c>
      <c r="J2449">
        <v>-261.45859999999999</v>
      </c>
      <c r="K2449">
        <v>1.110155</v>
      </c>
      <c r="L2449">
        <v>282.16660000000002</v>
      </c>
      <c r="M2449">
        <v>-0.99944820000000001</v>
      </c>
      <c r="N2449">
        <v>0</v>
      </c>
      <c r="O2449">
        <v>3.1616720000000001E-2</v>
      </c>
      <c r="P2449">
        <v>-0.985232</v>
      </c>
      <c r="Q2449">
        <v>0.165800799999999</v>
      </c>
      <c r="R2449">
        <v>-4.275524E-2</v>
      </c>
      <c r="S2449">
        <v>-3.0716549999999998</v>
      </c>
      <c r="T2449">
        <v>-0.15326339999999999</v>
      </c>
      <c r="U2449">
        <v>2.1453860000000002E-2</v>
      </c>
      <c r="V2449">
        <v>-7.3896829999999997E-2</v>
      </c>
      <c r="W2449">
        <v>0.17579220000000001</v>
      </c>
      <c r="X2449">
        <v>0.98164980000000002</v>
      </c>
      <c r="Y2449">
        <v>-2.4566910000000001E-2</v>
      </c>
      <c r="Z2449">
        <v>-2.1888979999999999E-3</v>
      </c>
      <c r="AA2449">
        <v>0.99969580000000002</v>
      </c>
      <c r="AB2449">
        <v>24</v>
      </c>
      <c r="AC2449">
        <v>-22.123999999999999</v>
      </c>
      <c r="AD2449">
        <v>-1.11014771159</v>
      </c>
      <c r="AE2449">
        <v>0.151499999999998</v>
      </c>
      <c r="AF2449">
        <v>-0.54672380695330902</v>
      </c>
      <c r="AG2449">
        <v>-1.11014771159</v>
      </c>
      <c r="AH2449">
        <v>22.062181287384899</v>
      </c>
      <c r="AI2449">
        <v>92.879756207000497</v>
      </c>
      <c r="AJ2449">
        <v>91.419558493834899</v>
      </c>
      <c r="AK2449">
        <v>22.096859008014501</v>
      </c>
      <c r="AL2449">
        <v>79.875237301941297</v>
      </c>
      <c r="AM2449">
        <v>94.305003527686395</v>
      </c>
      <c r="AN2449">
        <v>0.99999998445246396</v>
      </c>
    </row>
    <row r="2450" spans="1:40" x14ac:dyDescent="0.25">
      <c r="A2450" t="str">
        <f>"20190312172130673"</f>
        <v>20190312172130673</v>
      </c>
      <c r="B2450" t="str">
        <f>"1552382490663556"</f>
        <v>1552382490663556</v>
      </c>
      <c r="C2450" t="s">
        <v>40</v>
      </c>
      <c r="D2450">
        <v>3.1688550000000002</v>
      </c>
      <c r="E2450">
        <v>0.51844199999999996</v>
      </c>
      <c r="F2450" t="s">
        <v>47</v>
      </c>
      <c r="G2450">
        <v>-283.80739999999997</v>
      </c>
      <c r="H2450" s="1">
        <v>7.185744E-6</v>
      </c>
      <c r="I2450">
        <v>282.33249999999998</v>
      </c>
      <c r="J2450">
        <v>-261.58150000000001</v>
      </c>
      <c r="K2450">
        <v>1.110152</v>
      </c>
      <c r="L2450">
        <v>282.1705</v>
      </c>
      <c r="M2450">
        <v>-0.99944909999999998</v>
      </c>
      <c r="N2450">
        <v>0</v>
      </c>
      <c r="O2450">
        <v>3.1594089999999998E-2</v>
      </c>
      <c r="P2450">
        <v>-0.98522600000000005</v>
      </c>
      <c r="Q2450">
        <v>0.16609879999999999</v>
      </c>
      <c r="R2450">
        <v>-4.1728609999999999E-2</v>
      </c>
      <c r="S2450">
        <v>-3.0716549999999998</v>
      </c>
      <c r="T2450">
        <v>-0.15258070000000001</v>
      </c>
      <c r="U2450">
        <v>2.2796629999999998E-2</v>
      </c>
      <c r="V2450">
        <v>-7.2847259999999997E-2</v>
      </c>
      <c r="W2450">
        <v>0.176081399999999</v>
      </c>
      <c r="X2450">
        <v>0.98167649999999995</v>
      </c>
      <c r="Y2450">
        <v>-2.4108480000000002E-2</v>
      </c>
      <c r="Z2450">
        <v>-2.16665E-3</v>
      </c>
      <c r="AA2450">
        <v>0.99970700000000001</v>
      </c>
      <c r="AB2450">
        <v>24</v>
      </c>
      <c r="AC2450">
        <v>-22.2258999999999</v>
      </c>
      <c r="AD2450">
        <v>-1.110144814256</v>
      </c>
      <c r="AE2450">
        <v>0.161999999999977</v>
      </c>
      <c r="AF2450">
        <v>-0.53897965196555997</v>
      </c>
      <c r="AG2450">
        <v>-1.110144814256</v>
      </c>
      <c r="AH2450">
        <v>22.1646278040242</v>
      </c>
      <c r="AI2450">
        <v>92.866493119319998</v>
      </c>
      <c r="AJ2450">
        <v>91.392993142616106</v>
      </c>
      <c r="AK2450">
        <v>22.198955972404999</v>
      </c>
      <c r="AL2450">
        <v>79.858405642562204</v>
      </c>
      <c r="AM2450">
        <v>94.243968791733494</v>
      </c>
      <c r="AN2450">
        <v>1.00000006668385</v>
      </c>
    </row>
    <row r="2451" spans="1:40" x14ac:dyDescent="0.25">
      <c r="A2451" t="str">
        <f>"20190312172130685"</f>
        <v>20190312172130685</v>
      </c>
      <c r="B2451" t="str">
        <f>"1552382490673317"</f>
        <v>1552382490673317</v>
      </c>
      <c r="C2451" t="s">
        <v>40</v>
      </c>
      <c r="D2451">
        <v>3.168469</v>
      </c>
      <c r="E2451">
        <v>0.51829590000000003</v>
      </c>
      <c r="F2451" t="s">
        <v>47</v>
      </c>
      <c r="G2451">
        <v>-283.97629999999998</v>
      </c>
      <c r="H2451" s="1">
        <v>7.1063330000000003E-6</v>
      </c>
      <c r="I2451">
        <v>282.35430000000002</v>
      </c>
      <c r="J2451">
        <v>-261.7002</v>
      </c>
      <c r="K2451">
        <v>1.1101490000000001</v>
      </c>
      <c r="L2451">
        <v>282.17430000000002</v>
      </c>
      <c r="M2451">
        <v>-0.99944999999999995</v>
      </c>
      <c r="N2451">
        <v>0</v>
      </c>
      <c r="O2451">
        <v>3.1572410000000002E-2</v>
      </c>
      <c r="P2451">
        <v>-0.9851936</v>
      </c>
      <c r="Q2451">
        <v>0.1665104</v>
      </c>
      <c r="R2451">
        <v>-4.0841740000000001E-2</v>
      </c>
      <c r="S2451">
        <v>-3.0717159999999999</v>
      </c>
      <c r="T2451">
        <v>-0.1522695</v>
      </c>
      <c r="U2451">
        <v>2.5207520000000001E-2</v>
      </c>
      <c r="V2451">
        <v>-7.1937609999999999E-2</v>
      </c>
      <c r="W2451">
        <v>0.17648359999999999</v>
      </c>
      <c r="X2451">
        <v>0.98167130000000002</v>
      </c>
      <c r="Y2451">
        <v>-2.330364E-2</v>
      </c>
      <c r="Z2451">
        <v>-2.1411730000000001E-3</v>
      </c>
      <c r="AA2451">
        <v>0.99972609999999995</v>
      </c>
      <c r="AB2451">
        <v>24</v>
      </c>
      <c r="AC2451">
        <v>-22.2760999999999</v>
      </c>
      <c r="AD2451">
        <v>-1.110141893667</v>
      </c>
      <c r="AE2451">
        <v>0.18000000000000599</v>
      </c>
      <c r="AF2451">
        <v>-0.52213939692869904</v>
      </c>
      <c r="AG2451">
        <v>-1.110141893667</v>
      </c>
      <c r="AH2451">
        <v>22.215506366461401</v>
      </c>
      <c r="AI2451">
        <v>92.859987118944105</v>
      </c>
      <c r="AJ2451">
        <v>91.346396359516604</v>
      </c>
      <c r="AK2451">
        <v>22.2493543207929</v>
      </c>
      <c r="AL2451">
        <v>79.834994084617193</v>
      </c>
      <c r="AM2451">
        <v>94.191186140580697</v>
      </c>
      <c r="AN2451">
        <v>1.00000001102258</v>
      </c>
    </row>
    <row r="2452" spans="1:40" x14ac:dyDescent="0.25">
      <c r="A2452" t="str">
        <f>"20190312172130695"</f>
        <v>20190312172130695</v>
      </c>
      <c r="B2452" t="str">
        <f>"1552382490692836"</f>
        <v>1552382490692836</v>
      </c>
      <c r="C2452" t="s">
        <v>40</v>
      </c>
      <c r="D2452">
        <v>3.1583600000000001</v>
      </c>
      <c r="E2452">
        <v>0.51807139999999996</v>
      </c>
      <c r="F2452" t="s">
        <v>47</v>
      </c>
      <c r="G2452">
        <v>-284.25290000000001</v>
      </c>
      <c r="H2452" s="1">
        <v>6.9800299999999996E-6</v>
      </c>
      <c r="I2452">
        <v>282.37189999999998</v>
      </c>
      <c r="J2452">
        <v>-261.81990000000002</v>
      </c>
      <c r="K2452">
        <v>1.1101430000000001</v>
      </c>
      <c r="L2452">
        <v>282.178</v>
      </c>
      <c r="M2452">
        <v>-0.99945079999999997</v>
      </c>
      <c r="N2452">
        <v>0</v>
      </c>
      <c r="O2452">
        <v>3.1551450000000002E-2</v>
      </c>
      <c r="P2452">
        <v>-0.98517189999999999</v>
      </c>
      <c r="Q2452">
        <v>0.16686909999999999</v>
      </c>
      <c r="R2452">
        <v>-3.9892999999999998E-2</v>
      </c>
      <c r="S2452">
        <v>-3.0717469999999998</v>
      </c>
      <c r="T2452">
        <v>-0.15120449999999999</v>
      </c>
      <c r="U2452">
        <v>2.6916499999999999E-2</v>
      </c>
      <c r="V2452">
        <v>-7.0967359999999993E-2</v>
      </c>
      <c r="W2452">
        <v>0.1768323</v>
      </c>
      <c r="X2452">
        <v>0.98167910000000003</v>
      </c>
      <c r="Y2452">
        <v>-2.2728249999999998E-2</v>
      </c>
      <c r="Z2452">
        <v>-2.1110030000000002E-3</v>
      </c>
      <c r="AA2452">
        <v>0.9997395</v>
      </c>
      <c r="AB2452">
        <v>24</v>
      </c>
      <c r="AC2452">
        <v>-22.433</v>
      </c>
      <c r="AD2452">
        <v>-1.1101360199700001</v>
      </c>
      <c r="AE2452">
        <v>0.193899999999985</v>
      </c>
      <c r="AF2452">
        <v>-0.51277088911969004</v>
      </c>
      <c r="AG2452">
        <v>-1.1101360199700001</v>
      </c>
      <c r="AH2452">
        <v>22.373161876214201</v>
      </c>
      <c r="AI2452">
        <v>92.839890374853795</v>
      </c>
      <c r="AJ2452">
        <v>91.312933120499807</v>
      </c>
      <c r="AK2452">
        <v>22.406555029875701</v>
      </c>
      <c r="AL2452">
        <v>79.814695090079795</v>
      </c>
      <c r="AM2452">
        <v>94.134822669817893</v>
      </c>
      <c r="AN2452">
        <v>0.99999994194273301</v>
      </c>
    </row>
    <row r="2453" spans="1:40" x14ac:dyDescent="0.25">
      <c r="A2453" t="str">
        <f>"20190312172130715"</f>
        <v>20190312172130715</v>
      </c>
      <c r="B2453" t="str">
        <f>"1552382490713332"</f>
        <v>1552382490713332</v>
      </c>
      <c r="C2453" t="s">
        <v>40</v>
      </c>
      <c r="D2453">
        <v>3.161235</v>
      </c>
      <c r="E2453">
        <v>0.51815509999999998</v>
      </c>
      <c r="F2453" t="s">
        <v>47</v>
      </c>
      <c r="G2453">
        <v>-284.2174</v>
      </c>
      <c r="H2453" s="1">
        <v>6.9935809999999999E-6</v>
      </c>
      <c r="I2453">
        <v>282.38249999999999</v>
      </c>
      <c r="J2453">
        <v>-262.03019999999998</v>
      </c>
      <c r="K2453">
        <v>1.110139</v>
      </c>
      <c r="L2453">
        <v>282.18459999999999</v>
      </c>
      <c r="M2453">
        <v>-0.99945200000000001</v>
      </c>
      <c r="N2453">
        <v>0</v>
      </c>
      <c r="O2453">
        <v>3.1515580000000001E-2</v>
      </c>
      <c r="P2453">
        <v>-0.98510799999999998</v>
      </c>
      <c r="Q2453">
        <v>0.16770650000000001</v>
      </c>
      <c r="R2453">
        <v>-3.7906540000000002E-2</v>
      </c>
      <c r="S2453">
        <v>-3.0720830000000001</v>
      </c>
      <c r="T2453">
        <v>-0.1522684</v>
      </c>
      <c r="U2453">
        <v>2.8045649999999998E-2</v>
      </c>
      <c r="V2453">
        <v>-6.8943569999999996E-2</v>
      </c>
      <c r="W2453">
        <v>0.17765259999999999</v>
      </c>
      <c r="X2453">
        <v>0.98167530000000003</v>
      </c>
      <c r="Y2453">
        <v>-2.2325520000000001E-2</v>
      </c>
      <c r="Z2453">
        <v>-2.1138490000000001E-3</v>
      </c>
      <c r="AA2453">
        <v>0.99974850000000004</v>
      </c>
      <c r="AB2453">
        <v>24</v>
      </c>
      <c r="AC2453">
        <v>-22.187200000000001</v>
      </c>
      <c r="AD2453">
        <v>-1.1101320064189999</v>
      </c>
      <c r="AE2453">
        <v>0.19790000000000399</v>
      </c>
      <c r="AF2453">
        <v>-0.50022441650486604</v>
      </c>
      <c r="AG2453">
        <v>-1.1101320064189999</v>
      </c>
      <c r="AH2453">
        <v>22.127024696645499</v>
      </c>
      <c r="AI2453">
        <v>92.871438232899706</v>
      </c>
      <c r="AJ2453">
        <v>91.295061906315993</v>
      </c>
      <c r="AK2453">
        <v>22.160501787290499</v>
      </c>
      <c r="AL2453">
        <v>79.766940144103799</v>
      </c>
      <c r="AM2453">
        <v>94.017316336186596</v>
      </c>
      <c r="AN2453">
        <v>1.0000000283805901</v>
      </c>
    </row>
    <row r="2454" spans="1:40" x14ac:dyDescent="0.25">
      <c r="A2454" t="str">
        <f>"20190312172130727"</f>
        <v>20190312172130727</v>
      </c>
      <c r="B2454" t="str">
        <f>"1552382490723093"</f>
        <v>1552382490723093</v>
      </c>
      <c r="C2454" t="s">
        <v>40</v>
      </c>
      <c r="D2454">
        <v>3.1450450000000001</v>
      </c>
      <c r="E2454">
        <v>0.51843450000000002</v>
      </c>
      <c r="F2454" t="s">
        <v>47</v>
      </c>
      <c r="G2454">
        <v>-284.99900000000002</v>
      </c>
      <c r="H2454" s="1">
        <v>6.6346739999999999E-6</v>
      </c>
      <c r="I2454">
        <v>282.44220000000001</v>
      </c>
      <c r="J2454">
        <v>-262.16340000000002</v>
      </c>
      <c r="K2454">
        <v>1.1101369999999999</v>
      </c>
      <c r="L2454">
        <v>282.18880000000001</v>
      </c>
      <c r="M2454">
        <v>-0.99945289999999998</v>
      </c>
      <c r="N2454">
        <v>0</v>
      </c>
      <c r="O2454">
        <v>3.1493430000000003E-2</v>
      </c>
      <c r="P2454">
        <v>-0.98512529999999998</v>
      </c>
      <c r="Q2454">
        <v>0.1678481</v>
      </c>
      <c r="R2454">
        <v>-3.6815590000000002E-2</v>
      </c>
      <c r="S2454">
        <v>-3.0718990000000002</v>
      </c>
      <c r="T2454">
        <v>-0.14847179999999999</v>
      </c>
      <c r="U2454">
        <v>3.4454350000000002E-2</v>
      </c>
      <c r="V2454">
        <v>-6.7831080000000002E-2</v>
      </c>
      <c r="W2454">
        <v>0.177785</v>
      </c>
      <c r="X2454">
        <v>0.98172879999999996</v>
      </c>
      <c r="Y2454">
        <v>-2.0223000000000001E-2</v>
      </c>
      <c r="Z2454">
        <v>-2.0094449999999999E-3</v>
      </c>
      <c r="AA2454">
        <v>0.9997935</v>
      </c>
      <c r="AB2454">
        <v>24</v>
      </c>
      <c r="AC2454">
        <v>-22.835599999999999</v>
      </c>
      <c r="AD2454">
        <v>-1.110130365326</v>
      </c>
      <c r="AE2454">
        <v>0.25339999999999901</v>
      </c>
      <c r="AF2454">
        <v>-0.46483536259615699</v>
      </c>
      <c r="AG2454">
        <v>-1.110130365326</v>
      </c>
      <c r="AH2454">
        <v>22.778426135975199</v>
      </c>
      <c r="AI2454">
        <v>92.789582063317695</v>
      </c>
      <c r="AJ2454">
        <v>91.169062699628498</v>
      </c>
      <c r="AK2454">
        <v>22.8101985649932</v>
      </c>
      <c r="AL2454">
        <v>79.759231169035601</v>
      </c>
      <c r="AM2454">
        <v>93.952484392202507</v>
      </c>
      <c r="AN2454">
        <v>0.99999999919420302</v>
      </c>
    </row>
    <row r="2455" spans="1:40" x14ac:dyDescent="0.25">
      <c r="A2455" t="str">
        <f>"20190312172130750"</f>
        <v>20190312172130750</v>
      </c>
      <c r="B2455" t="str">
        <f>"1552382490743588"</f>
        <v>1552382490743588</v>
      </c>
      <c r="C2455" t="s">
        <v>40</v>
      </c>
      <c r="D2455">
        <v>3.1231309999999999</v>
      </c>
      <c r="E2455">
        <v>0.5188779</v>
      </c>
      <c r="F2455" t="s">
        <v>47</v>
      </c>
      <c r="G2455">
        <v>-285.3809</v>
      </c>
      <c r="H2455" s="1">
        <v>6.4548849999999996E-6</v>
      </c>
      <c r="I2455">
        <v>282.49259999999998</v>
      </c>
      <c r="J2455">
        <v>-262.40170000000001</v>
      </c>
      <c r="K2455">
        <v>1.110133</v>
      </c>
      <c r="L2455">
        <v>282.19619999999998</v>
      </c>
      <c r="M2455">
        <v>-0.99945430000000002</v>
      </c>
      <c r="N2455">
        <v>0</v>
      </c>
      <c r="O2455">
        <v>3.1455219999999999E-2</v>
      </c>
      <c r="P2455">
        <v>-0.98516610000000004</v>
      </c>
      <c r="Q2455">
        <v>0.16794289999999901</v>
      </c>
      <c r="R2455">
        <v>-3.5259640000000002E-2</v>
      </c>
      <c r="S2455">
        <v>-3.0718380000000001</v>
      </c>
      <c r="T2455">
        <v>-0.146877799999999</v>
      </c>
      <c r="U2455">
        <v>4.0191650000000002E-2</v>
      </c>
      <c r="V2455">
        <v>-6.6238389999999994E-2</v>
      </c>
      <c r="W2455">
        <v>0.177864299999999</v>
      </c>
      <c r="X2455">
        <v>0.98182320000000001</v>
      </c>
      <c r="Y2455">
        <v>-1.8320969999999999E-2</v>
      </c>
      <c r="Z2455">
        <v>-1.9406320000000001E-3</v>
      </c>
      <c r="AA2455">
        <v>0.9998302</v>
      </c>
      <c r="AB2455">
        <v>24</v>
      </c>
      <c r="AC2455">
        <v>-22.979199999999899</v>
      </c>
      <c r="AD2455">
        <v>-1.110126545115</v>
      </c>
      <c r="AE2455">
        <v>0.29640000000000499</v>
      </c>
      <c r="AF2455">
        <v>-0.42560608330041999</v>
      </c>
      <c r="AG2455">
        <v>-1.110126545115</v>
      </c>
      <c r="AH2455">
        <v>22.9236599083027</v>
      </c>
      <c r="AI2455">
        <v>92.7720259105228</v>
      </c>
      <c r="AJ2455">
        <v>91.063644769520707</v>
      </c>
      <c r="AK2455">
        <v>22.954470263454901</v>
      </c>
      <c r="AL2455">
        <v>79.754614188099097</v>
      </c>
      <c r="AM2455">
        <v>93.859593012484396</v>
      </c>
      <c r="AN2455">
        <v>1.00000001479126</v>
      </c>
    </row>
    <row r="2456" spans="1:40" x14ac:dyDescent="0.25">
      <c r="A2456" t="str">
        <f>"20190312172130762"</f>
        <v>20190312172130762</v>
      </c>
      <c r="B2456" t="str">
        <f>"1552382490753348"</f>
        <v>1552382490753348</v>
      </c>
      <c r="C2456" t="s">
        <v>40</v>
      </c>
      <c r="D2456">
        <v>3.1426799999999999</v>
      </c>
      <c r="E2456">
        <v>0.51905389999999996</v>
      </c>
      <c r="F2456" t="s">
        <v>47</v>
      </c>
      <c r="G2456">
        <v>-285.983</v>
      </c>
      <c r="H2456" s="1">
        <v>6.1718059999999997E-6</v>
      </c>
      <c r="I2456">
        <v>282.57040000000001</v>
      </c>
      <c r="J2456">
        <v>-262.52679999999998</v>
      </c>
      <c r="K2456">
        <v>1.1101379999999901</v>
      </c>
      <c r="L2456">
        <v>282.20010000000002</v>
      </c>
      <c r="M2456">
        <v>-0.99945499999999998</v>
      </c>
      <c r="N2456">
        <v>0</v>
      </c>
      <c r="O2456">
        <v>3.143518E-2</v>
      </c>
      <c r="P2456">
        <v>-0.98515810000000004</v>
      </c>
      <c r="Q2456">
        <v>0.16815359999999999</v>
      </c>
      <c r="R2456">
        <v>-3.4468770000000003E-2</v>
      </c>
      <c r="S2456">
        <v>-3.071564</v>
      </c>
      <c r="T2456">
        <v>-0.1445987</v>
      </c>
      <c r="U2456">
        <v>4.873657E-2</v>
      </c>
      <c r="V2456">
        <v>-6.5427390000000002E-2</v>
      </c>
      <c r="W2456">
        <v>0.17806739999999999</v>
      </c>
      <c r="X2456">
        <v>0.98184070000000001</v>
      </c>
      <c r="Y2456">
        <v>-1.552366E-2</v>
      </c>
      <c r="Z2456">
        <v>-1.8439229999999999E-3</v>
      </c>
      <c r="AA2456">
        <v>0.99987780000000004</v>
      </c>
      <c r="AB2456">
        <v>24</v>
      </c>
      <c r="AC2456">
        <v>-23.456199999999999</v>
      </c>
      <c r="AD2456">
        <v>-1.11013182819399</v>
      </c>
      <c r="AE2456">
        <v>0.37029999999998597</v>
      </c>
      <c r="AF2456">
        <v>-0.36644971205712401</v>
      </c>
      <c r="AG2456">
        <v>-1.11013182819399</v>
      </c>
      <c r="AH2456">
        <v>23.4038378151769</v>
      </c>
      <c r="AI2456">
        <v>92.715385900390402</v>
      </c>
      <c r="AJ2456">
        <v>90.897045455029499</v>
      </c>
      <c r="AK2456">
        <v>23.433017358986</v>
      </c>
      <c r="AL2456">
        <v>79.742787981336605</v>
      </c>
      <c r="AM2456">
        <v>93.812409957136595</v>
      </c>
      <c r="AN2456">
        <v>0.99999995124072905</v>
      </c>
    </row>
    <row r="2457" spans="1:40" x14ac:dyDescent="0.25">
      <c r="A2457" t="str">
        <f>"20190312172130773"</f>
        <v>20190312172130773</v>
      </c>
      <c r="B2457" t="str">
        <f>"1552382490763108"</f>
        <v>1552382490763108</v>
      </c>
      <c r="C2457" t="s">
        <v>40</v>
      </c>
      <c r="D2457">
        <v>3.1768369999999999</v>
      </c>
      <c r="E2457">
        <v>0.51918569999999997</v>
      </c>
      <c r="F2457" t="s">
        <v>47</v>
      </c>
      <c r="G2457">
        <v>-286.3186</v>
      </c>
      <c r="H2457" s="1">
        <v>6.015308E-6</v>
      </c>
      <c r="I2457">
        <v>282.60739999999998</v>
      </c>
      <c r="J2457">
        <v>-262.66199999999998</v>
      </c>
      <c r="K2457">
        <v>1.110133</v>
      </c>
      <c r="L2457">
        <v>282.20440000000002</v>
      </c>
      <c r="M2457">
        <v>-0.99945569999999895</v>
      </c>
      <c r="N2457">
        <v>0</v>
      </c>
      <c r="O2457">
        <v>3.1413480000000001E-2</v>
      </c>
      <c r="P2457">
        <v>-0.98514690000000005</v>
      </c>
      <c r="Q2457">
        <v>0.16834189999999999</v>
      </c>
      <c r="R2457">
        <v>-3.3863780000000003E-2</v>
      </c>
      <c r="S2457">
        <v>-3.0715029999999999</v>
      </c>
      <c r="T2457">
        <v>-0.1433171</v>
      </c>
      <c r="U2457">
        <v>5.2581790000000003E-2</v>
      </c>
      <c r="V2457">
        <v>-6.4800679999999999E-2</v>
      </c>
      <c r="W2457">
        <v>0.17824799999999999</v>
      </c>
      <c r="X2457">
        <v>0.98184959999999999</v>
      </c>
      <c r="Y2457">
        <v>-1.4252529999999999E-2</v>
      </c>
      <c r="Z2457">
        <v>-1.79696E-3</v>
      </c>
      <c r="AA2457">
        <v>0.99989680000000003</v>
      </c>
      <c r="AB2457">
        <v>24</v>
      </c>
      <c r="AC2457">
        <v>-23.656599999999901</v>
      </c>
      <c r="AD2457">
        <v>-1.1101269846920001</v>
      </c>
      <c r="AE2457">
        <v>0.402999999999963</v>
      </c>
      <c r="AF2457">
        <v>-0.33962508005736602</v>
      </c>
      <c r="AG2457">
        <v>-1.1101269846920001</v>
      </c>
      <c r="AH2457">
        <v>23.605616680907701</v>
      </c>
      <c r="AI2457">
        <v>92.692248858047407</v>
      </c>
      <c r="AJ2457">
        <v>90.824284383747298</v>
      </c>
      <c r="AK2457">
        <v>23.634146187309</v>
      </c>
      <c r="AL2457">
        <v>79.732273230952501</v>
      </c>
      <c r="AM2457">
        <v>93.775964014144506</v>
      </c>
      <c r="AN2457">
        <v>1.0000000573262999</v>
      </c>
    </row>
    <row r="2458" spans="1:40" x14ac:dyDescent="0.25">
      <c r="A2458" t="str">
        <f>"20190312172130787"</f>
        <v>20190312172130787</v>
      </c>
      <c r="B2458" t="str">
        <f>"1552382490783604"</f>
        <v>1552382490783604</v>
      </c>
      <c r="C2458" t="s">
        <v>40</v>
      </c>
      <c r="D2458">
        <v>3.1442700000000001</v>
      </c>
      <c r="E2458">
        <v>0.5193894</v>
      </c>
      <c r="F2458" t="s">
        <v>47</v>
      </c>
      <c r="G2458">
        <v>-286.70650000000001</v>
      </c>
      <c r="H2458" s="1">
        <v>5.8372200000000003E-6</v>
      </c>
      <c r="I2458">
        <v>282.63679999999999</v>
      </c>
      <c r="J2458">
        <v>-262.79860000000002</v>
      </c>
      <c r="K2458">
        <v>1.1101319999999999</v>
      </c>
      <c r="L2458">
        <v>282.20859999999999</v>
      </c>
      <c r="M2458">
        <v>-0.99945649999999997</v>
      </c>
      <c r="N2458">
        <v>0</v>
      </c>
      <c r="O2458">
        <v>3.139165E-2</v>
      </c>
      <c r="P2458">
        <v>-0.98513240000000002</v>
      </c>
      <c r="Q2458">
        <v>0.16855629999999999</v>
      </c>
      <c r="R2458">
        <v>-3.3212779999999997E-2</v>
      </c>
      <c r="S2458">
        <v>-3.0713810000000001</v>
      </c>
      <c r="T2458">
        <v>-0.1418045</v>
      </c>
      <c r="U2458">
        <v>5.5236819999999999E-2</v>
      </c>
      <c r="V2458">
        <v>-6.4127790000000004E-2</v>
      </c>
      <c r="W2458">
        <v>0.178455</v>
      </c>
      <c r="X2458">
        <v>0.98185610000000001</v>
      </c>
      <c r="Y2458">
        <v>-1.336792E-2</v>
      </c>
      <c r="Z2458">
        <v>-1.7566509999999999E-3</v>
      </c>
      <c r="AA2458">
        <v>0.9999091</v>
      </c>
      <c r="AB2458">
        <v>24</v>
      </c>
      <c r="AC2458">
        <v>-23.907899999999898</v>
      </c>
      <c r="AD2458">
        <v>-1.1101261627800001</v>
      </c>
      <c r="AE2458">
        <v>0.42820000000000302</v>
      </c>
      <c r="AF2458">
        <v>-0.32186375209608897</v>
      </c>
      <c r="AG2458">
        <v>-1.1101261627800001</v>
      </c>
      <c r="AH2458">
        <v>23.8581354480859</v>
      </c>
      <c r="AI2458">
        <v>92.663826151240102</v>
      </c>
      <c r="AJ2458">
        <v>90.772915216107506</v>
      </c>
      <c r="AK2458">
        <v>23.886117378749901</v>
      </c>
      <c r="AL2458">
        <v>79.720218954566505</v>
      </c>
      <c r="AM2458">
        <v>93.736841427614905</v>
      </c>
      <c r="AN2458">
        <v>0.99999998079124597</v>
      </c>
    </row>
    <row r="2459" spans="1:40" x14ac:dyDescent="0.25">
      <c r="A2459" t="str">
        <f>"20190312172130807"</f>
        <v>20190312172130807</v>
      </c>
      <c r="B2459" t="str">
        <f>"1552382490803124"</f>
        <v>1552382490803124</v>
      </c>
      <c r="C2459" t="s">
        <v>40</v>
      </c>
      <c r="D2459">
        <v>3.1508449999999999</v>
      </c>
      <c r="E2459">
        <v>0.51958340000000003</v>
      </c>
      <c r="F2459" t="s">
        <v>47</v>
      </c>
      <c r="G2459">
        <v>-287.2645</v>
      </c>
      <c r="H2459" s="1">
        <v>5.5816540000000003E-6</v>
      </c>
      <c r="I2459">
        <v>282.67610000000002</v>
      </c>
      <c r="J2459">
        <v>-263.00880000000001</v>
      </c>
      <c r="K2459">
        <v>1.1101209999999999</v>
      </c>
      <c r="L2459">
        <v>282.21519999999998</v>
      </c>
      <c r="M2459">
        <v>-0.9994577</v>
      </c>
      <c r="N2459">
        <v>0</v>
      </c>
      <c r="O2459">
        <v>3.1357679999999999E-2</v>
      </c>
      <c r="P2459">
        <v>-0.98510169999999997</v>
      </c>
      <c r="Q2459">
        <v>0.16898750000000001</v>
      </c>
      <c r="R2459">
        <v>-3.1906770000000001E-2</v>
      </c>
      <c r="S2459">
        <v>-3.071075</v>
      </c>
      <c r="T2459">
        <v>-0.139348</v>
      </c>
      <c r="U2459">
        <v>5.8685300000000003E-2</v>
      </c>
      <c r="V2459">
        <v>-6.2788049999999998E-2</v>
      </c>
      <c r="W2459">
        <v>0.17887539999999999</v>
      </c>
      <c r="X2459">
        <v>0.98186620000000002</v>
      </c>
      <c r="Y2459">
        <v>-1.2212590000000001E-2</v>
      </c>
      <c r="Z2459">
        <v>-1.698665E-3</v>
      </c>
      <c r="AA2459">
        <v>0.99992400000000004</v>
      </c>
      <c r="AB2459">
        <v>24</v>
      </c>
      <c r="AC2459">
        <v>-24.255699999999901</v>
      </c>
      <c r="AD2459">
        <v>-1.11011541834599</v>
      </c>
      <c r="AE2459">
        <v>0.460900000000037</v>
      </c>
      <c r="AF2459">
        <v>-0.299340790061495</v>
      </c>
      <c r="AG2459">
        <v>-1.11011541834599</v>
      </c>
      <c r="AH2459">
        <v>24.207536297010499</v>
      </c>
      <c r="AI2459">
        <v>92.625444610240095</v>
      </c>
      <c r="AJ2459">
        <v>90.708460770331399</v>
      </c>
      <c r="AK2459">
        <v>24.234825658991699</v>
      </c>
      <c r="AL2459">
        <v>79.695738016080398</v>
      </c>
      <c r="AM2459">
        <v>93.658949174621597</v>
      </c>
      <c r="AN2459">
        <v>0.99999999132520101</v>
      </c>
    </row>
    <row r="2460" spans="1:40" x14ac:dyDescent="0.25">
      <c r="A2460" t="str">
        <f>"20190312172130829"</f>
        <v>20190312172130829</v>
      </c>
      <c r="B2460" t="str">
        <f>"1552382490823620"</f>
        <v>1552382490823620</v>
      </c>
      <c r="C2460" t="s">
        <v>40</v>
      </c>
      <c r="D2460">
        <v>3.1405430000000001</v>
      </c>
      <c r="E2460">
        <v>0.51974290000000001</v>
      </c>
      <c r="F2460" t="s">
        <v>47</v>
      </c>
      <c r="G2460">
        <v>-287.87099999999998</v>
      </c>
      <c r="H2460" s="1">
        <v>5.3007219999999899E-6</v>
      </c>
      <c r="I2460">
        <v>282.73410000000001</v>
      </c>
      <c r="J2460">
        <v>-263.24610000000001</v>
      </c>
      <c r="K2460">
        <v>1.1101219999999901</v>
      </c>
      <c r="L2460">
        <v>282.2226</v>
      </c>
      <c r="M2460">
        <v>-0.99945890000000004</v>
      </c>
      <c r="N2460">
        <v>0</v>
      </c>
      <c r="O2460">
        <v>3.1318940000000003E-2</v>
      </c>
      <c r="P2460">
        <v>-0.98509060000000004</v>
      </c>
      <c r="Q2460">
        <v>0.16917769999999999</v>
      </c>
      <c r="R2460">
        <v>-3.1235809999999999E-2</v>
      </c>
      <c r="S2460">
        <v>-3.0709529999999998</v>
      </c>
      <c r="T2460">
        <v>-0.1371202</v>
      </c>
      <c r="U2460">
        <v>6.4086909999999997E-2</v>
      </c>
      <c r="V2460">
        <v>-6.2078550000000003E-2</v>
      </c>
      <c r="W2460">
        <v>0.17905550000000001</v>
      </c>
      <c r="X2460">
        <v>0.98187849999999999</v>
      </c>
      <c r="Y2460">
        <v>-1.0418200000000001E-2</v>
      </c>
      <c r="Z2460">
        <v>-1.6297989999999999E-3</v>
      </c>
      <c r="AA2460">
        <v>0.99994439999999996</v>
      </c>
      <c r="AB2460">
        <v>24</v>
      </c>
      <c r="AC2460">
        <v>-24.624899999999901</v>
      </c>
      <c r="AD2460">
        <v>-1.1101166992779901</v>
      </c>
      <c r="AE2460">
        <v>0.51150000000001195</v>
      </c>
      <c r="AF2460">
        <v>-0.25948854169943097</v>
      </c>
      <c r="AG2460">
        <v>-1.1101166992779901</v>
      </c>
      <c r="AH2460">
        <v>24.578909044795999</v>
      </c>
      <c r="AI2460">
        <v>92.585886446320401</v>
      </c>
      <c r="AJ2460">
        <v>90.604870049781297</v>
      </c>
      <c r="AK2460">
        <v>24.6053340400337</v>
      </c>
      <c r="AL2460">
        <v>79.685249844310704</v>
      </c>
      <c r="AM2460">
        <v>93.617668568087595</v>
      </c>
      <c r="AN2460">
        <v>1.0000000036062999</v>
      </c>
    </row>
    <row r="2461" spans="1:40" x14ac:dyDescent="0.25">
      <c r="A2461" t="str">
        <f>"20190312172130850"</f>
        <v>20190312172130850</v>
      </c>
      <c r="B2461" t="str">
        <f>"1552382490843140"</f>
        <v>1552382490843140</v>
      </c>
      <c r="C2461" t="s">
        <v>40</v>
      </c>
      <c r="D2461">
        <v>3.1464270000000001</v>
      </c>
      <c r="E2461">
        <v>0.51979960000000003</v>
      </c>
      <c r="F2461" t="s">
        <v>47</v>
      </c>
      <c r="G2461">
        <v>-288.30849999999998</v>
      </c>
      <c r="H2461" s="1">
        <v>5.0994959999999999E-6</v>
      </c>
      <c r="I2461">
        <v>282.76900000000001</v>
      </c>
      <c r="J2461">
        <v>-263.4846</v>
      </c>
      <c r="K2461">
        <v>1.1101209999999999</v>
      </c>
      <c r="L2461">
        <v>282.23</v>
      </c>
      <c r="M2461">
        <v>-0.99946029999999997</v>
      </c>
      <c r="N2461">
        <v>0</v>
      </c>
      <c r="O2461">
        <v>3.1279469999999997E-2</v>
      </c>
      <c r="P2461">
        <v>-0.98509089999999999</v>
      </c>
      <c r="Q2461">
        <v>0.16932329999999901</v>
      </c>
      <c r="R2461">
        <v>-3.0426519999999999E-2</v>
      </c>
      <c r="S2461">
        <v>-3.070862</v>
      </c>
      <c r="T2461">
        <v>-0.136021</v>
      </c>
      <c r="U2461">
        <v>6.6955570000000006E-2</v>
      </c>
      <c r="V2461">
        <v>-6.1230939999999998E-2</v>
      </c>
      <c r="W2461">
        <v>0.1791925</v>
      </c>
      <c r="X2461">
        <v>0.98190670000000002</v>
      </c>
      <c r="Y2461">
        <v>-9.4460550000000001E-3</v>
      </c>
      <c r="Z2461">
        <v>-1.59351E-3</v>
      </c>
      <c r="AA2461">
        <v>0.99995409999999996</v>
      </c>
      <c r="AB2461">
        <v>24</v>
      </c>
      <c r="AC2461">
        <v>-24.823899999999899</v>
      </c>
      <c r="AD2461">
        <v>-1.110115900504</v>
      </c>
      <c r="AE2461">
        <v>0.53899999999998705</v>
      </c>
      <c r="AF2461">
        <v>-0.237306952838921</v>
      </c>
      <c r="AG2461">
        <v>-1.110115900504</v>
      </c>
      <c r="AH2461">
        <v>24.779081367952202</v>
      </c>
      <c r="AI2461">
        <v>92.565048386702202</v>
      </c>
      <c r="AJ2461">
        <v>90.548699565761297</v>
      </c>
      <c r="AK2461">
        <v>24.805070960229401</v>
      </c>
      <c r="AL2461">
        <v>79.677270970104601</v>
      </c>
      <c r="AM2461">
        <v>93.568299827266301</v>
      </c>
      <c r="AN2461">
        <v>0.99999997378721095</v>
      </c>
    </row>
    <row r="2462" spans="1:40" x14ac:dyDescent="0.25">
      <c r="A2462" t="str">
        <f>"20190312172130872"</f>
        <v>20190312172130872</v>
      </c>
      <c r="B2462" t="str">
        <f>"1552382490863639"</f>
        <v>1552382490863639</v>
      </c>
      <c r="C2462" t="s">
        <v>40</v>
      </c>
      <c r="D2462">
        <v>3.1584729999999999</v>
      </c>
      <c r="E2462">
        <v>0.5197541</v>
      </c>
      <c r="F2462" t="s">
        <v>47</v>
      </c>
      <c r="G2462">
        <v>-288.73480000000001</v>
      </c>
      <c r="H2462" s="1">
        <v>4.9036129999999997E-6</v>
      </c>
      <c r="I2462">
        <v>282.80220000000003</v>
      </c>
      <c r="J2462">
        <v>-263.71769999999998</v>
      </c>
      <c r="K2462">
        <v>1.11012</v>
      </c>
      <c r="L2462">
        <v>282.2373</v>
      </c>
      <c r="M2462">
        <v>-0.99946159999999995</v>
      </c>
      <c r="N2462">
        <v>0</v>
      </c>
      <c r="O2462">
        <v>3.1240830000000001E-2</v>
      </c>
      <c r="P2462">
        <v>-0.98510330000000002</v>
      </c>
      <c r="Q2462">
        <v>0.1693344</v>
      </c>
      <c r="R2462">
        <v>-2.9965470000000001E-2</v>
      </c>
      <c r="S2462">
        <v>-3.07077</v>
      </c>
      <c r="T2462">
        <v>-0.1350054</v>
      </c>
      <c r="U2462">
        <v>6.9580080000000002E-2</v>
      </c>
      <c r="V2462">
        <v>-6.0732719999999997E-2</v>
      </c>
      <c r="W2462">
        <v>0.1791963</v>
      </c>
      <c r="X2462">
        <v>0.98193699999999995</v>
      </c>
      <c r="Y2462">
        <v>-8.5540119999999997E-3</v>
      </c>
      <c r="Z2462">
        <v>-1.5603559999999999E-3</v>
      </c>
      <c r="AA2462">
        <v>0.99996220000000002</v>
      </c>
      <c r="AB2462">
        <v>24</v>
      </c>
      <c r="AC2462">
        <v>-25.017099999999999</v>
      </c>
      <c r="AD2462">
        <v>-1.1101150963869999</v>
      </c>
      <c r="AE2462">
        <v>0.56490000000002205</v>
      </c>
      <c r="AF2462">
        <v>-0.216543842011622</v>
      </c>
      <c r="AG2462">
        <v>-1.1101150963869999</v>
      </c>
      <c r="AH2462">
        <v>24.973387018431001</v>
      </c>
      <c r="AI2462">
        <v>92.545136517822002</v>
      </c>
      <c r="AJ2462">
        <v>90.496798343227695</v>
      </c>
      <c r="AK2462">
        <v>24.9989860981416</v>
      </c>
      <c r="AL2462">
        <v>79.677050194196994</v>
      </c>
      <c r="AM2462">
        <v>93.539230682996106</v>
      </c>
      <c r="AN2462">
        <v>1.00000002459064</v>
      </c>
    </row>
    <row r="2463" spans="1:40" x14ac:dyDescent="0.25">
      <c r="A2463" t="str">
        <f>"20190312172130884"</f>
        <v>20190312172130884</v>
      </c>
      <c r="B2463" t="str">
        <f>"1552382490873397"</f>
        <v>1552382490873397</v>
      </c>
      <c r="C2463" t="s">
        <v>40</v>
      </c>
      <c r="D2463">
        <v>3.1659839999999999</v>
      </c>
      <c r="E2463">
        <v>0.51974960000000003</v>
      </c>
      <c r="F2463" t="s">
        <v>47</v>
      </c>
      <c r="G2463">
        <v>-289.18369999999999</v>
      </c>
      <c r="H2463" s="1">
        <v>4.7006210000000003E-6</v>
      </c>
      <c r="I2463">
        <v>282.82100000000003</v>
      </c>
      <c r="J2463">
        <v>-263.83679999999998</v>
      </c>
      <c r="K2463">
        <v>1.11012</v>
      </c>
      <c r="L2463">
        <v>282.24099999999999</v>
      </c>
      <c r="M2463">
        <v>-0.99946219999999997</v>
      </c>
      <c r="N2463">
        <v>0</v>
      </c>
      <c r="O2463">
        <v>3.1221120000000002E-2</v>
      </c>
      <c r="P2463">
        <v>-0.98513799999999996</v>
      </c>
      <c r="Q2463">
        <v>0.16919389999999901</v>
      </c>
      <c r="R2463">
        <v>-2.9616960000000001E-2</v>
      </c>
      <c r="S2463">
        <v>-3.0705260000000001</v>
      </c>
      <c r="T2463">
        <v>-0.1338502</v>
      </c>
      <c r="U2463">
        <v>7.0373539999999998E-2</v>
      </c>
      <c r="V2463">
        <v>-6.0365820000000001E-2</v>
      </c>
      <c r="W2463">
        <v>0.17905219999999999</v>
      </c>
      <c r="X2463">
        <v>0.98198589999999997</v>
      </c>
      <c r="Y2463">
        <v>-8.275157E-3</v>
      </c>
      <c r="Z2463">
        <v>-1.5402020000000001E-3</v>
      </c>
      <c r="AA2463">
        <v>0.99996459999999998</v>
      </c>
      <c r="AB2463">
        <v>24</v>
      </c>
      <c r="AC2463">
        <v>-25.346900000000002</v>
      </c>
      <c r="AD2463">
        <v>-1.110115299379</v>
      </c>
      <c r="AE2463">
        <v>0.57999999999998397</v>
      </c>
      <c r="AF2463">
        <v>-0.211276122472149</v>
      </c>
      <c r="AG2463">
        <v>-1.110115299379</v>
      </c>
      <c r="AH2463">
        <v>25.3041391843858</v>
      </c>
      <c r="AI2463">
        <v>92.511919076715202</v>
      </c>
      <c r="AJ2463">
        <v>90.478378211297994</v>
      </c>
      <c r="AK2463">
        <v>25.329359515009699</v>
      </c>
      <c r="AL2463">
        <v>79.685442146801904</v>
      </c>
      <c r="AM2463">
        <v>93.517728512346096</v>
      </c>
      <c r="AN2463">
        <v>1.0000000151739601</v>
      </c>
    </row>
    <row r="2464" spans="1:40" x14ac:dyDescent="0.25">
      <c r="A2464" t="str">
        <f>"20190312172130894"</f>
        <v>20190312172130894</v>
      </c>
      <c r="B2464" t="str">
        <f>"1552382490883157"</f>
        <v>1552382490883157</v>
      </c>
      <c r="C2464" t="s">
        <v>40</v>
      </c>
      <c r="D2464">
        <v>3.2864520000000002</v>
      </c>
      <c r="E2464">
        <v>0.51973019999999903</v>
      </c>
      <c r="F2464" t="s">
        <v>47</v>
      </c>
      <c r="G2464">
        <v>-289.3107</v>
      </c>
      <c r="H2464" s="1">
        <v>4.641534E-6</v>
      </c>
      <c r="I2464">
        <v>282.83449999999999</v>
      </c>
      <c r="J2464">
        <v>-263.96010000000001</v>
      </c>
      <c r="K2464">
        <v>1.110117</v>
      </c>
      <c r="L2464">
        <v>282.2448</v>
      </c>
      <c r="M2464">
        <v>-0.99946290000000004</v>
      </c>
      <c r="N2464">
        <v>0</v>
      </c>
      <c r="O2464">
        <v>3.120094E-2</v>
      </c>
      <c r="P2464">
        <v>-0.98516389999999998</v>
      </c>
      <c r="Q2464">
        <v>0.16913719999999999</v>
      </c>
      <c r="R2464">
        <v>-2.9064389999999999E-2</v>
      </c>
      <c r="S2464">
        <v>-3.0704039999999999</v>
      </c>
      <c r="T2464">
        <v>-0.13380400000000001</v>
      </c>
      <c r="U2464">
        <v>7.1533200000000005E-2</v>
      </c>
      <c r="V2464">
        <v>-5.9794760000000002E-2</v>
      </c>
      <c r="W2464">
        <v>0.17899029999999999</v>
      </c>
      <c r="X2464">
        <v>0.98203209999999996</v>
      </c>
      <c r="Y2464">
        <v>-7.8770000000000003E-3</v>
      </c>
      <c r="Z2464">
        <v>-1.530174E-3</v>
      </c>
      <c r="AA2464">
        <v>0.99996779999999996</v>
      </c>
      <c r="AB2464">
        <v>24</v>
      </c>
      <c r="AC2464">
        <v>-25.350599999999901</v>
      </c>
      <c r="AD2464">
        <v>-1.110112358466</v>
      </c>
      <c r="AE2464">
        <v>0.58969999999999301</v>
      </c>
      <c r="AF2464">
        <v>-0.20120377962840499</v>
      </c>
      <c r="AG2464">
        <v>-1.110112358466</v>
      </c>
      <c r="AH2464">
        <v>25.3081518911264</v>
      </c>
      <c r="AI2464">
        <v>92.511522829392703</v>
      </c>
      <c r="AJ2464">
        <v>90.455500843173994</v>
      </c>
      <c r="AK2464">
        <v>25.3332860986032</v>
      </c>
      <c r="AL2464">
        <v>79.689046761166594</v>
      </c>
      <c r="AM2464">
        <v>93.484369696292106</v>
      </c>
      <c r="AN2464">
        <v>0.99999999312397803</v>
      </c>
    </row>
    <row r="2465" spans="1:40" x14ac:dyDescent="0.25">
      <c r="A2465" t="str">
        <f>"20190312172130906"</f>
        <v>20190312172130906</v>
      </c>
      <c r="B2465" t="str">
        <f>"1552382490903652"</f>
        <v>1552382490903652</v>
      </c>
      <c r="C2465" t="s">
        <v>40</v>
      </c>
      <c r="D2465">
        <v>3.1473140000000002</v>
      </c>
      <c r="E2465">
        <v>0.51968789999999998</v>
      </c>
      <c r="F2465" t="s">
        <v>47</v>
      </c>
      <c r="G2465">
        <v>-289.5172</v>
      </c>
      <c r="H2465" s="1">
        <v>4.5458149999999999E-6</v>
      </c>
      <c r="I2465">
        <v>282.85449999999997</v>
      </c>
      <c r="J2465">
        <v>-264.07929999999999</v>
      </c>
      <c r="K2465">
        <v>1.110114</v>
      </c>
      <c r="L2465">
        <v>282.24849999999998</v>
      </c>
      <c r="M2465">
        <v>-0.99946349999999995</v>
      </c>
      <c r="N2465">
        <v>0</v>
      </c>
      <c r="O2465">
        <v>3.1181190000000001E-2</v>
      </c>
      <c r="P2465">
        <v>-0.98511550000000003</v>
      </c>
      <c r="Q2465">
        <v>0.1694532</v>
      </c>
      <c r="R2465">
        <v>-2.886654E-2</v>
      </c>
      <c r="S2465">
        <v>-3.0702509999999998</v>
      </c>
      <c r="T2465">
        <v>-0.1333609</v>
      </c>
      <c r="U2465">
        <v>7.3242189999999999E-2</v>
      </c>
      <c r="V2465">
        <v>-5.9575950000000003E-2</v>
      </c>
      <c r="W2465">
        <v>0.1792995</v>
      </c>
      <c r="X2465">
        <v>0.981989</v>
      </c>
      <c r="Y2465">
        <v>-7.3005789999999997E-3</v>
      </c>
      <c r="Z2465">
        <v>-1.5118060000000001E-3</v>
      </c>
      <c r="AA2465">
        <v>0.99997219999999998</v>
      </c>
      <c r="AB2465">
        <v>24</v>
      </c>
      <c r="AC2465">
        <v>-25.437899999999999</v>
      </c>
      <c r="AD2465">
        <v>-1.1101094541850001</v>
      </c>
      <c r="AE2465">
        <v>0.60599999999999399</v>
      </c>
      <c r="AF2465">
        <v>-0.18716229138377699</v>
      </c>
      <c r="AG2465">
        <v>-1.1101094541850001</v>
      </c>
      <c r="AH2465">
        <v>25.396088196331601</v>
      </c>
      <c r="AI2465">
        <v>92.502842100330696</v>
      </c>
      <c r="AJ2465">
        <v>90.422246731868498</v>
      </c>
      <c r="AK2465">
        <v>25.4210280751869</v>
      </c>
      <c r="AL2465">
        <v>79.671039673804401</v>
      </c>
      <c r="AM2465">
        <v>93.471802407218902</v>
      </c>
      <c r="AN2465">
        <v>1.0000000003198199</v>
      </c>
    </row>
    <row r="2466" spans="1:40" x14ac:dyDescent="0.25">
      <c r="A2466" t="str">
        <f>"20190312172130918"</f>
        <v>20190312172130918</v>
      </c>
      <c r="B2466" t="str">
        <f>"1552382490913412"</f>
        <v>1552382490913412</v>
      </c>
      <c r="C2466" t="s">
        <v>40</v>
      </c>
      <c r="D2466">
        <v>3.2877640000000001</v>
      </c>
      <c r="E2466">
        <v>0.51965439999999996</v>
      </c>
      <c r="F2466" t="s">
        <v>47</v>
      </c>
      <c r="G2466">
        <v>-289.9973</v>
      </c>
      <c r="H2466" s="1">
        <v>2.357948E-6</v>
      </c>
      <c r="I2466">
        <v>282.86989999999997</v>
      </c>
      <c r="J2466">
        <v>-264.21249999999998</v>
      </c>
      <c r="K2466">
        <v>1.1101110000000001</v>
      </c>
      <c r="L2466">
        <v>282.2527</v>
      </c>
      <c r="M2466">
        <v>-0.99946429999999997</v>
      </c>
      <c r="N2466">
        <v>0</v>
      </c>
      <c r="O2466">
        <v>3.1158999999999999E-2</v>
      </c>
      <c r="P2466">
        <v>-0.98509919999999995</v>
      </c>
      <c r="Q2466">
        <v>0.16964009999999999</v>
      </c>
      <c r="R2466">
        <v>-2.831989E-2</v>
      </c>
      <c r="S2466">
        <v>-3.0700989999999999</v>
      </c>
      <c r="T2466">
        <v>-0.13149729999999901</v>
      </c>
      <c r="U2466">
        <v>7.3608399999999893E-2</v>
      </c>
      <c r="V2466">
        <v>-5.9007410000000003E-2</v>
      </c>
      <c r="W2466">
        <v>0.1794782</v>
      </c>
      <c r="X2466">
        <v>0.98199069999999999</v>
      </c>
      <c r="Y2466">
        <v>-7.1591299999999997E-3</v>
      </c>
      <c r="Z2466">
        <v>-1.486794E-3</v>
      </c>
      <c r="AA2466">
        <v>0.99997329999999995</v>
      </c>
      <c r="AB2466">
        <v>24</v>
      </c>
      <c r="AC2466">
        <v>-25.784800000000001</v>
      </c>
      <c r="AD2466">
        <v>-1.1101086420520001</v>
      </c>
      <c r="AE2466">
        <v>0.617199999999968</v>
      </c>
      <c r="AF2466">
        <v>-0.186223590948639</v>
      </c>
      <c r="AG2466">
        <v>-1.1101086420520001</v>
      </c>
      <c r="AH2466">
        <v>25.743820949173902</v>
      </c>
      <c r="AI2466">
        <v>92.469077915510894</v>
      </c>
      <c r="AJ2466">
        <v>90.414454393869093</v>
      </c>
      <c r="AK2466">
        <v>25.7684174424063</v>
      </c>
      <c r="AL2466">
        <v>79.660632260976399</v>
      </c>
      <c r="AM2466">
        <v>93.438744554068293</v>
      </c>
      <c r="AN2466">
        <v>1.0000000167983101</v>
      </c>
    </row>
    <row r="2467" spans="1:40" x14ac:dyDescent="0.25">
      <c r="A2467" t="str">
        <f>"20190312172130930"</f>
        <v>20190312172130930</v>
      </c>
      <c r="B2467" t="str">
        <f>"1552382490923172"</f>
        <v>1552382490923172</v>
      </c>
      <c r="C2467" t="s">
        <v>40</v>
      </c>
      <c r="D2467">
        <v>3.1653769999999999</v>
      </c>
      <c r="E2467">
        <v>0.51960879999999998</v>
      </c>
      <c r="F2467" t="s">
        <v>47</v>
      </c>
      <c r="G2467">
        <v>-290.34269999999998</v>
      </c>
      <c r="H2467" s="1">
        <v>2.4173539999999999E-6</v>
      </c>
      <c r="I2467">
        <v>282.89109999999999</v>
      </c>
      <c r="J2467">
        <v>-264.33120000000002</v>
      </c>
      <c r="K2467">
        <v>1.1101099999999999</v>
      </c>
      <c r="L2467">
        <v>282.25639999999999</v>
      </c>
      <c r="M2467">
        <v>-0.99946500000000005</v>
      </c>
      <c r="N2467">
        <v>0</v>
      </c>
      <c r="O2467">
        <v>3.1139480000000001E-2</v>
      </c>
      <c r="P2467">
        <v>-0.98509279999999999</v>
      </c>
      <c r="Q2467">
        <v>0.1697536</v>
      </c>
      <c r="R2467">
        <v>-2.7858750000000002E-2</v>
      </c>
      <c r="S2467">
        <v>-3.0700069999999999</v>
      </c>
      <c r="T2467">
        <v>-0.1304255</v>
      </c>
      <c r="U2467">
        <v>7.5012209999999996E-2</v>
      </c>
      <c r="V2467">
        <v>-5.852723E-2</v>
      </c>
      <c r="W2467">
        <v>0.1795842</v>
      </c>
      <c r="X2467">
        <v>0.98200010000000004</v>
      </c>
      <c r="Y2467">
        <v>-6.6829130000000004E-3</v>
      </c>
      <c r="Z2467">
        <v>-1.4637809999999999E-3</v>
      </c>
      <c r="AA2467">
        <v>0.99997659999999999</v>
      </c>
      <c r="AB2467">
        <v>24</v>
      </c>
      <c r="AC2467">
        <v>-26.011499999999899</v>
      </c>
      <c r="AD2467">
        <v>-1.1101075826459901</v>
      </c>
      <c r="AE2467">
        <v>0.63470000000000903</v>
      </c>
      <c r="AF2467">
        <v>-0.175313812304767</v>
      </c>
      <c r="AG2467">
        <v>-1.1101075826459901</v>
      </c>
      <c r="AH2467">
        <v>25.9713741851916</v>
      </c>
      <c r="AI2467">
        <v>92.447476962447695</v>
      </c>
      <c r="AJ2467">
        <v>90.386756160886904</v>
      </c>
      <c r="AK2467">
        <v>25.9956794649624</v>
      </c>
      <c r="AL2467">
        <v>79.654459041642298</v>
      </c>
      <c r="AM2467">
        <v>93.410795113380701</v>
      </c>
      <c r="AN2467">
        <v>1.00000005897055</v>
      </c>
    </row>
    <row r="2468" spans="1:40" x14ac:dyDescent="0.25">
      <c r="A2468" t="str">
        <f>"20190312172130941"</f>
        <v>20190312172130941</v>
      </c>
      <c r="B2468" t="str">
        <f>"1552382490932932"</f>
        <v>1552382490932932</v>
      </c>
      <c r="C2468" t="s">
        <v>40</v>
      </c>
      <c r="D2468">
        <v>3.1657139999999999</v>
      </c>
      <c r="E2468">
        <v>0.51956420000000003</v>
      </c>
      <c r="F2468" t="s">
        <v>47</v>
      </c>
      <c r="G2468">
        <v>-290.58690000000001</v>
      </c>
      <c r="H2468" s="1">
        <v>2.4593809999999998E-6</v>
      </c>
      <c r="I2468">
        <v>282.90600000000001</v>
      </c>
      <c r="J2468">
        <v>-264.45890000000003</v>
      </c>
      <c r="K2468">
        <v>1.110107</v>
      </c>
      <c r="L2468">
        <v>282.26029999999997</v>
      </c>
      <c r="M2468">
        <v>-0.99946570000000001</v>
      </c>
      <c r="N2468">
        <v>0</v>
      </c>
      <c r="O2468">
        <v>3.1118420000000001E-2</v>
      </c>
      <c r="P2468">
        <v>-0.98507109999999998</v>
      </c>
      <c r="Q2468">
        <v>0.1699387</v>
      </c>
      <c r="R2468">
        <v>-2.7493119999999999E-2</v>
      </c>
      <c r="S2468">
        <v>-3.0699160000000001</v>
      </c>
      <c r="T2468">
        <v>-0.12979779999999999</v>
      </c>
      <c r="U2468">
        <v>7.5958250000000005E-2</v>
      </c>
      <c r="V2468">
        <v>-5.8140409999999997E-2</v>
      </c>
      <c r="W2468">
        <v>0.17976149999999999</v>
      </c>
      <c r="X2468">
        <v>0.98199060000000005</v>
      </c>
      <c r="Y2468">
        <v>-6.3537799999999998E-3</v>
      </c>
      <c r="Z2468">
        <v>-1.4489360000000001E-3</v>
      </c>
      <c r="AA2468">
        <v>0.99997879999999995</v>
      </c>
      <c r="AB2468">
        <v>24</v>
      </c>
      <c r="AC2468">
        <v>-26.127999999999901</v>
      </c>
      <c r="AD2468">
        <v>-1.110104540619</v>
      </c>
      <c r="AE2468">
        <v>0.64570000000003303</v>
      </c>
      <c r="AF2468">
        <v>-0.16741343438206499</v>
      </c>
      <c r="AG2468">
        <v>-1.110104540619</v>
      </c>
      <c r="AH2468">
        <v>26.088374319512099</v>
      </c>
      <c r="AI2468">
        <v>92.436512538231995</v>
      </c>
      <c r="AJ2468">
        <v>90.367671493909896</v>
      </c>
      <c r="AK2468">
        <v>26.112518721565198</v>
      </c>
      <c r="AL2468">
        <v>79.644132055732001</v>
      </c>
      <c r="AM2468">
        <v>93.388337777302198</v>
      </c>
      <c r="AN2468">
        <v>1.00000002132278</v>
      </c>
    </row>
    <row r="2469" spans="1:40" x14ac:dyDescent="0.25">
      <c r="A2469" t="str">
        <f>"20190312172130953"</f>
        <v>20190312172130953</v>
      </c>
      <c r="B2469" t="str">
        <f>"1552382490943668"</f>
        <v>1552382490943668</v>
      </c>
      <c r="C2469" t="s">
        <v>40</v>
      </c>
      <c r="D2469">
        <v>3.1482030000000001</v>
      </c>
      <c r="E2469">
        <v>0.5195246</v>
      </c>
      <c r="F2469" t="s">
        <v>47</v>
      </c>
      <c r="G2469">
        <v>-290.89690000000002</v>
      </c>
      <c r="H2469" s="1">
        <v>2.5132949999999998E-6</v>
      </c>
      <c r="I2469">
        <v>282.91820000000001</v>
      </c>
      <c r="J2469">
        <v>-264.59010000000001</v>
      </c>
      <c r="K2469">
        <v>1.110106</v>
      </c>
      <c r="L2469">
        <v>282.26440000000002</v>
      </c>
      <c r="M2469">
        <v>-0.99946659999999998</v>
      </c>
      <c r="N2469">
        <v>0</v>
      </c>
      <c r="O2469">
        <v>3.10964E-2</v>
      </c>
      <c r="P2469">
        <v>-0.98507909999999999</v>
      </c>
      <c r="Q2469">
        <v>0.16998160000000001</v>
      </c>
      <c r="R2469">
        <v>-2.6942199999999999E-2</v>
      </c>
      <c r="S2469">
        <v>-3.0698240000000001</v>
      </c>
      <c r="T2469">
        <v>-0.12889900000000001</v>
      </c>
      <c r="U2469">
        <v>7.6385499999999995E-2</v>
      </c>
      <c r="V2469">
        <v>-5.7568269999999998E-2</v>
      </c>
      <c r="W2469">
        <v>0.17979809999999999</v>
      </c>
      <c r="X2469">
        <v>0.98201760000000005</v>
      </c>
      <c r="Y2469">
        <v>-6.192538E-3</v>
      </c>
      <c r="Z2469">
        <v>-1.4346439999999999E-3</v>
      </c>
      <c r="AA2469">
        <v>0.99997979999999997</v>
      </c>
      <c r="AB2469">
        <v>24</v>
      </c>
      <c r="AC2469">
        <v>-26.306799999999999</v>
      </c>
      <c r="AD2469">
        <v>-1.1101034867049999</v>
      </c>
      <c r="AE2469">
        <v>0.65379999999998895</v>
      </c>
      <c r="AF2469">
        <v>-0.16431129549741</v>
      </c>
      <c r="AG2469">
        <v>-1.1101034867049999</v>
      </c>
      <c r="AH2469">
        <v>26.2676623734652</v>
      </c>
      <c r="AI2469">
        <v>92.419902318137801</v>
      </c>
      <c r="AJ2469">
        <v>90.358395841928697</v>
      </c>
      <c r="AK2469">
        <v>26.2916225159153</v>
      </c>
      <c r="AL2469">
        <v>79.642000226762505</v>
      </c>
      <c r="AM2469">
        <v>93.354978809090099</v>
      </c>
      <c r="AN2469">
        <v>1.00000001459208</v>
      </c>
    </row>
    <row r="2470" spans="1:40" x14ac:dyDescent="0.25">
      <c r="A2470" t="str">
        <f>"20190312172130965"</f>
        <v>20190312172130965</v>
      </c>
      <c r="B2470" t="str">
        <f>"1552382490953428"</f>
        <v>1552382490953428</v>
      </c>
      <c r="C2470" t="s">
        <v>40</v>
      </c>
      <c r="D2470">
        <v>3.182153</v>
      </c>
      <c r="E2470">
        <v>0.51949079999999903</v>
      </c>
      <c r="F2470" t="s">
        <v>47</v>
      </c>
      <c r="G2470">
        <v>-291.0874</v>
      </c>
      <c r="H2470" s="1">
        <v>2.545661E-6</v>
      </c>
      <c r="I2470">
        <v>282.93450000000001</v>
      </c>
      <c r="J2470">
        <v>-264.71379999999999</v>
      </c>
      <c r="K2470">
        <v>1.1101030000000001</v>
      </c>
      <c r="L2470">
        <v>282.26819999999998</v>
      </c>
      <c r="M2470">
        <v>-0.9994672</v>
      </c>
      <c r="N2470">
        <v>0</v>
      </c>
      <c r="O2470">
        <v>3.1075869999999998E-2</v>
      </c>
      <c r="P2470">
        <v>-0.98509000000000002</v>
      </c>
      <c r="Q2470">
        <v>0.17001229999999901</v>
      </c>
      <c r="R2470">
        <v>-2.633856E-2</v>
      </c>
      <c r="S2470">
        <v>-3.069763</v>
      </c>
      <c r="T2470">
        <v>-0.12860759999999999</v>
      </c>
      <c r="U2470">
        <v>7.7636720000000006E-2</v>
      </c>
      <c r="V2470">
        <v>-5.6945210000000003E-2</v>
      </c>
      <c r="W2470">
        <v>0.17982300000000001</v>
      </c>
      <c r="X2470">
        <v>0.98204930000000001</v>
      </c>
      <c r="Y2470">
        <v>-5.764712E-3</v>
      </c>
      <c r="Z2470">
        <v>-1.4216070000000001E-3</v>
      </c>
      <c r="AA2470">
        <v>0.99998240000000005</v>
      </c>
      <c r="AB2470">
        <v>24</v>
      </c>
      <c r="AC2470">
        <v>-26.3736</v>
      </c>
      <c r="AD2470">
        <v>-1.1101004543390001</v>
      </c>
      <c r="AE2470">
        <v>0.66630000000003498</v>
      </c>
      <c r="AF2470">
        <v>-0.153373665876297</v>
      </c>
      <c r="AG2470">
        <v>-1.1101004543390001</v>
      </c>
      <c r="AH2470">
        <v>26.334940542703102</v>
      </c>
      <c r="AI2470">
        <v>92.413727181965498</v>
      </c>
      <c r="AJ2470">
        <v>90.333684610985898</v>
      </c>
      <c r="AK2470">
        <v>26.358773489823399</v>
      </c>
      <c r="AL2470">
        <v>79.640549225769902</v>
      </c>
      <c r="AM2470">
        <v>93.318642671595299</v>
      </c>
      <c r="AN2470">
        <v>0.99999994795071501</v>
      </c>
    </row>
    <row r="2471" spans="1:40" x14ac:dyDescent="0.25">
      <c r="A2471" t="str">
        <f>"20190312172130975"</f>
        <v>20190312172130975</v>
      </c>
      <c r="B2471" t="str">
        <f>"1552382490972948"</f>
        <v>1552382490972948</v>
      </c>
      <c r="C2471" t="s">
        <v>40</v>
      </c>
      <c r="D2471">
        <v>3.1597230000000001</v>
      </c>
      <c r="E2471">
        <v>0.51937699999999998</v>
      </c>
      <c r="F2471" t="s">
        <v>47</v>
      </c>
      <c r="G2471">
        <v>-291.27010000000001</v>
      </c>
      <c r="H2471" s="1">
        <v>2.5764579999999999E-6</v>
      </c>
      <c r="I2471">
        <v>282.95310000000001</v>
      </c>
      <c r="J2471">
        <v>-264.83789999999999</v>
      </c>
      <c r="K2471">
        <v>1.1101000000000001</v>
      </c>
      <c r="L2471">
        <v>282.27210000000002</v>
      </c>
      <c r="M2471">
        <v>-0.99946800000000002</v>
      </c>
      <c r="N2471">
        <v>0</v>
      </c>
      <c r="O2471">
        <v>3.1055269999999999E-2</v>
      </c>
      <c r="P2471">
        <v>-0.98511499999999996</v>
      </c>
      <c r="Q2471">
        <v>0.1699725</v>
      </c>
      <c r="R2471">
        <v>-2.5653370000000002E-2</v>
      </c>
      <c r="S2471">
        <v>-3.0696720000000002</v>
      </c>
      <c r="T2471">
        <v>-0.1283175</v>
      </c>
      <c r="U2471">
        <v>7.91626E-2</v>
      </c>
      <c r="V2471">
        <v>-5.6240900000000003E-2</v>
      </c>
      <c r="W2471">
        <v>0.17977839999999901</v>
      </c>
      <c r="X2471">
        <v>0.98209809999999997</v>
      </c>
      <c r="Y2471">
        <v>-5.2472100000000004E-3</v>
      </c>
      <c r="Z2471">
        <v>-1.406764E-3</v>
      </c>
      <c r="AA2471">
        <v>0.99998520000000002</v>
      </c>
      <c r="AB2471">
        <v>24</v>
      </c>
      <c r="AC2471">
        <v>-26.432200000000002</v>
      </c>
      <c r="AD2471">
        <v>-1.110097423542</v>
      </c>
      <c r="AE2471">
        <v>0.68099999999998295</v>
      </c>
      <c r="AF2471">
        <v>-0.139981621962841</v>
      </c>
      <c r="AG2471">
        <v>-1.110097423542</v>
      </c>
      <c r="AH2471">
        <v>26.3940756907886</v>
      </c>
      <c r="AI2471">
        <v>92.408326069610197</v>
      </c>
      <c r="AJ2471">
        <v>90.303866710314793</v>
      </c>
      <c r="AK2471">
        <v>26.417780806027501</v>
      </c>
      <c r="AL2471">
        <v>79.643147445142304</v>
      </c>
      <c r="AM2471">
        <v>93.277524558622702</v>
      </c>
      <c r="AN2471">
        <v>0.99999999498148995</v>
      </c>
    </row>
    <row r="2472" spans="1:40" x14ac:dyDescent="0.25">
      <c r="A2472" t="str">
        <f>"20190312172130989"</f>
        <v>20190312172130989</v>
      </c>
      <c r="B2472" t="str">
        <f>"1552382490983684"</f>
        <v>1552382490983684</v>
      </c>
      <c r="C2472" t="s">
        <v>40</v>
      </c>
      <c r="D2472">
        <v>3.1392859999999998</v>
      </c>
      <c r="E2472">
        <v>0.51935480000000001</v>
      </c>
      <c r="F2472" t="s">
        <v>47</v>
      </c>
      <c r="G2472">
        <v>-291.3621</v>
      </c>
      <c r="H2472" s="1">
        <v>2.5915099999999999E-6</v>
      </c>
      <c r="I2472">
        <v>282.96749999999997</v>
      </c>
      <c r="J2472">
        <v>-264.98289999999997</v>
      </c>
      <c r="K2472">
        <v>1.110098</v>
      </c>
      <c r="L2472">
        <v>282.27659999999997</v>
      </c>
      <c r="M2472">
        <v>-0.99946880000000005</v>
      </c>
      <c r="N2472">
        <v>0</v>
      </c>
      <c r="O2472">
        <v>3.1031280000000001E-2</v>
      </c>
      <c r="P2472">
        <v>-0.9851221</v>
      </c>
      <c r="Q2472">
        <v>0.1700178</v>
      </c>
      <c r="R2472">
        <v>-2.5067880000000001E-2</v>
      </c>
      <c r="S2472">
        <v>-3.0695800000000002</v>
      </c>
      <c r="T2472">
        <v>-0.1284689</v>
      </c>
      <c r="U2472">
        <v>8.0474850000000001E-2</v>
      </c>
      <c r="V2472">
        <v>-5.5632630000000002E-2</v>
      </c>
      <c r="W2472">
        <v>0.1798178</v>
      </c>
      <c r="X2472">
        <v>0.98212549999999998</v>
      </c>
      <c r="Y2472">
        <v>-4.7955669999999997E-3</v>
      </c>
      <c r="Z2472">
        <v>-1.398006E-3</v>
      </c>
      <c r="AA2472">
        <v>0.99998750000000003</v>
      </c>
      <c r="AB2472">
        <v>24</v>
      </c>
      <c r="AC2472">
        <v>-26.379200000000001</v>
      </c>
      <c r="AD2472">
        <v>-1.1100954084899901</v>
      </c>
      <c r="AE2472">
        <v>0.69089999999999896</v>
      </c>
      <c r="AF2472">
        <v>-0.12782748138939401</v>
      </c>
      <c r="AG2472">
        <v>-1.1100954084899901</v>
      </c>
      <c r="AH2472">
        <v>26.3413192345194</v>
      </c>
      <c r="AI2472">
        <v>92.413144916629307</v>
      </c>
      <c r="AJ2472">
        <v>90.278039138211497</v>
      </c>
      <c r="AK2472">
        <v>26.3650099695754</v>
      </c>
      <c r="AL2472">
        <v>79.640852271409997</v>
      </c>
      <c r="AM2472">
        <v>93.242062467207106</v>
      </c>
      <c r="AN2472">
        <v>0.99999996423390203</v>
      </c>
    </row>
    <row r="2473" spans="1:40" x14ac:dyDescent="0.25">
      <c r="A2473" t="str">
        <f>"20190312172131007"</f>
        <v>20190312172131007</v>
      </c>
      <c r="B2473" t="str">
        <f>"1552382491003204"</f>
        <v>1552382491003204</v>
      </c>
      <c r="C2473" t="s">
        <v>40</v>
      </c>
      <c r="D2473">
        <v>3.1122040000000002</v>
      </c>
      <c r="E2473">
        <v>0.5192871</v>
      </c>
      <c r="F2473" t="s">
        <v>47</v>
      </c>
      <c r="G2473">
        <v>-291.49650000000003</v>
      </c>
      <c r="H2473" s="1">
        <v>2.6138959999999898E-6</v>
      </c>
      <c r="I2473">
        <v>282.98399999999998</v>
      </c>
      <c r="J2473">
        <v>-265.16800000000001</v>
      </c>
      <c r="K2473">
        <v>1.1101019999999999</v>
      </c>
      <c r="L2473">
        <v>282.28230000000002</v>
      </c>
      <c r="M2473">
        <v>-0.99946979999999996</v>
      </c>
      <c r="N2473">
        <v>0</v>
      </c>
      <c r="O2473">
        <v>3.1000739999999999E-2</v>
      </c>
      <c r="P2473">
        <v>-0.9851607</v>
      </c>
      <c r="Q2473">
        <v>0.1699745</v>
      </c>
      <c r="R2473">
        <v>-2.381658E-2</v>
      </c>
      <c r="S2473">
        <v>-3.0695800000000002</v>
      </c>
      <c r="T2473">
        <v>-0.1285203</v>
      </c>
      <c r="U2473">
        <v>8.1909179999999998E-2</v>
      </c>
      <c r="V2473">
        <v>-5.43531999999999E-2</v>
      </c>
      <c r="W2473">
        <v>0.17976710000000001</v>
      </c>
      <c r="X2473">
        <v>0.98220649999999998</v>
      </c>
      <c r="Y2473">
        <v>-4.2985089999999998E-3</v>
      </c>
      <c r="Z2473">
        <v>-1.3868769999999999E-3</v>
      </c>
      <c r="AA2473">
        <v>0.99998980000000004</v>
      </c>
      <c r="AB2473">
        <v>24</v>
      </c>
      <c r="AC2473">
        <v>-26.328499999999998</v>
      </c>
      <c r="AD2473">
        <v>-1.1100993861040001</v>
      </c>
      <c r="AE2473">
        <v>0.70170000000001598</v>
      </c>
      <c r="AF2473">
        <v>-0.114676992666132</v>
      </c>
      <c r="AG2473">
        <v>-1.1100993861040001</v>
      </c>
      <c r="AH2473">
        <v>26.290893007513301</v>
      </c>
      <c r="AI2473">
        <v>92.417781982751904</v>
      </c>
      <c r="AJ2473">
        <v>90.249914143882194</v>
      </c>
      <c r="AK2473">
        <v>26.314568713778801</v>
      </c>
      <c r="AL2473">
        <v>79.643806129880403</v>
      </c>
      <c r="AM2473">
        <v>93.167394975544894</v>
      </c>
      <c r="AN2473">
        <v>1.00000004461744</v>
      </c>
    </row>
    <row r="2474" spans="1:40" x14ac:dyDescent="0.25">
      <c r="A2474" t="str">
        <f>"20190312172131030"</f>
        <v>20190312172131030</v>
      </c>
      <c r="B2474" t="str">
        <f>"1552382491023700"</f>
        <v>1552382491023700</v>
      </c>
      <c r="C2474" t="s">
        <v>40</v>
      </c>
      <c r="D2474">
        <v>3.1787429999999999</v>
      </c>
      <c r="E2474">
        <v>0.51918169999999997</v>
      </c>
      <c r="F2474" t="s">
        <v>47</v>
      </c>
      <c r="G2474">
        <v>-291.58069999999998</v>
      </c>
      <c r="H2474" s="1">
        <v>2.6261659999999999E-6</v>
      </c>
      <c r="I2474">
        <v>283.0147</v>
      </c>
      <c r="J2474">
        <v>-265.42160000000001</v>
      </c>
      <c r="K2474">
        <v>1.1101019999999999</v>
      </c>
      <c r="L2474">
        <v>282.2901</v>
      </c>
      <c r="M2474">
        <v>-0.99947109999999995</v>
      </c>
      <c r="N2474">
        <v>0</v>
      </c>
      <c r="O2474">
        <v>3.0958650000000001E-2</v>
      </c>
      <c r="P2474">
        <v>-0.98521709999999996</v>
      </c>
      <c r="Q2474">
        <v>0.16977449999999999</v>
      </c>
      <c r="R2474">
        <v>-2.2887129999999999E-2</v>
      </c>
      <c r="S2474">
        <v>-3.0695190000000001</v>
      </c>
      <c r="T2474">
        <v>-0.1290087</v>
      </c>
      <c r="U2474">
        <v>8.5113530000000007E-2</v>
      </c>
      <c r="V2474">
        <v>-5.3384340000000002E-2</v>
      </c>
      <c r="W2474">
        <v>0.17955889999999999</v>
      </c>
      <c r="X2474">
        <v>0.98229770000000005</v>
      </c>
      <c r="Y2474">
        <v>-3.2134799999999999E-3</v>
      </c>
      <c r="Z2474">
        <v>-1.3675919999999999E-3</v>
      </c>
      <c r="AA2474">
        <v>0.99999389999999999</v>
      </c>
      <c r="AB2474">
        <v>24</v>
      </c>
      <c r="AC2474">
        <v>-26.159099999999899</v>
      </c>
      <c r="AD2474">
        <v>-1.1100993738339999</v>
      </c>
      <c r="AE2474">
        <v>0.72460000000000901</v>
      </c>
      <c r="AF2474">
        <v>-8.5484078677103906E-2</v>
      </c>
      <c r="AG2474">
        <v>-1.1100993738339999</v>
      </c>
      <c r="AH2474">
        <v>26.121987785299201</v>
      </c>
      <c r="AI2474">
        <v>92.433406749843101</v>
      </c>
      <c r="AJ2474">
        <v>90.187499491997897</v>
      </c>
      <c r="AK2474">
        <v>26.1457046950893</v>
      </c>
      <c r="AL2474">
        <v>79.655932262492996</v>
      </c>
      <c r="AM2474">
        <v>93.1107589688188</v>
      </c>
      <c r="AN2474">
        <v>1.0000000288758599</v>
      </c>
    </row>
    <row r="2475" spans="1:40" x14ac:dyDescent="0.25">
      <c r="A2475" t="str">
        <f>"20190312172131044"</f>
        <v>20190312172131044</v>
      </c>
      <c r="B2475" t="str">
        <f>"1552382491033460"</f>
        <v>1552382491033460</v>
      </c>
      <c r="C2475" t="s">
        <v>40</v>
      </c>
      <c r="D2475">
        <v>3.1894610000000001</v>
      </c>
      <c r="E2475">
        <v>0.51911719999999995</v>
      </c>
      <c r="F2475" t="s">
        <v>47</v>
      </c>
      <c r="G2475">
        <v>-291.72449999999998</v>
      </c>
      <c r="H2475" s="1">
        <v>2.649793E-6</v>
      </c>
      <c r="I2475">
        <v>283.03629999999998</v>
      </c>
      <c r="J2475">
        <v>-265.57619999999997</v>
      </c>
      <c r="K2475">
        <v>1.1100989999999999</v>
      </c>
      <c r="L2475">
        <v>282.29489999999998</v>
      </c>
      <c r="M2475">
        <v>-0.99947200000000003</v>
      </c>
      <c r="N2475">
        <v>0</v>
      </c>
      <c r="O2475">
        <v>3.0932640000000001E-2</v>
      </c>
      <c r="P2475">
        <v>-0.9852185</v>
      </c>
      <c r="Q2475">
        <v>0.1698239</v>
      </c>
      <c r="R2475">
        <v>-2.246298E-2</v>
      </c>
      <c r="S2475">
        <v>-3.069366</v>
      </c>
      <c r="T2475">
        <v>-0.12954080000000001</v>
      </c>
      <c r="U2475">
        <v>8.7066649999999995E-2</v>
      </c>
      <c r="V2475">
        <v>-5.2934229999999999E-2</v>
      </c>
      <c r="W2475">
        <v>0.1796034</v>
      </c>
      <c r="X2475">
        <v>0.98231389999999996</v>
      </c>
      <c r="Y2475">
        <v>-2.5506050000000001E-3</v>
      </c>
      <c r="Z2475">
        <v>-1.3582049999999999E-3</v>
      </c>
      <c r="AA2475">
        <v>0.99999579999999999</v>
      </c>
      <c r="AB2475">
        <v>24</v>
      </c>
      <c r="AC2475">
        <v>-26.148299999999999</v>
      </c>
      <c r="AD2475">
        <v>-1.110096350207</v>
      </c>
      <c r="AE2475">
        <v>0.74139999999999795</v>
      </c>
      <c r="AF2475">
        <v>-6.7708828130577506E-2</v>
      </c>
      <c r="AG2475">
        <v>-1.110096350207</v>
      </c>
      <c r="AH2475">
        <v>26.1116965431011</v>
      </c>
      <c r="AI2475">
        <v>92.434362882290003</v>
      </c>
      <c r="AJ2475">
        <v>90.148570254190105</v>
      </c>
      <c r="AK2475">
        <v>26.135370568468101</v>
      </c>
      <c r="AL2475">
        <v>79.653340227353297</v>
      </c>
      <c r="AM2475">
        <v>93.084530700743699</v>
      </c>
      <c r="AN2475">
        <v>1.0000000060652301</v>
      </c>
    </row>
    <row r="2476" spans="1:40" x14ac:dyDescent="0.25">
      <c r="A2476" t="str">
        <f>"20190312172131062"</f>
        <v>20190312172131062</v>
      </c>
      <c r="B2476" t="str">
        <f>"1552382491052981"</f>
        <v>1552382491052981</v>
      </c>
      <c r="C2476" t="s">
        <v>40</v>
      </c>
      <c r="D2476">
        <v>3.1432950000000002</v>
      </c>
      <c r="E2476">
        <v>0.51902799999999905</v>
      </c>
      <c r="F2476" t="s">
        <v>47</v>
      </c>
      <c r="G2476">
        <v>-291.92110000000002</v>
      </c>
      <c r="H2476" s="1">
        <v>2.6835919999999998E-6</v>
      </c>
      <c r="I2476">
        <v>283.04849999999999</v>
      </c>
      <c r="J2476">
        <v>-265.78500000000003</v>
      </c>
      <c r="K2476">
        <v>1.1100909999999999</v>
      </c>
      <c r="L2476">
        <v>282.30130000000003</v>
      </c>
      <c r="M2476">
        <v>-0.99947319999999995</v>
      </c>
      <c r="N2476">
        <v>0</v>
      </c>
      <c r="O2476">
        <v>3.0897500000000001E-2</v>
      </c>
      <c r="P2476">
        <v>-0.98532339999999996</v>
      </c>
      <c r="Q2476">
        <v>0.16932610000000001</v>
      </c>
      <c r="R2476">
        <v>-2.1600350000000001E-2</v>
      </c>
      <c r="S2476">
        <v>-3.0693049999999999</v>
      </c>
      <c r="T2476">
        <v>-0.12933140000000001</v>
      </c>
      <c r="U2476">
        <v>8.7799070000000007E-2</v>
      </c>
      <c r="V2476">
        <v>-5.2040650000000001E-2</v>
      </c>
      <c r="W2476">
        <v>0.1791015</v>
      </c>
      <c r="X2476">
        <v>0.98245329999999997</v>
      </c>
      <c r="Y2476">
        <v>-2.2768240000000002E-3</v>
      </c>
      <c r="Z2476">
        <v>-1.348789E-3</v>
      </c>
      <c r="AA2476">
        <v>0.99999649999999995</v>
      </c>
      <c r="AB2476">
        <v>24</v>
      </c>
      <c r="AC2476">
        <v>-26.136099999999999</v>
      </c>
      <c r="AD2476">
        <v>-1.110088316408</v>
      </c>
      <c r="AE2476">
        <v>0.747199999999963</v>
      </c>
      <c r="AF2476">
        <v>-6.0627489232991598E-2</v>
      </c>
      <c r="AG2476">
        <v>-1.110088316408</v>
      </c>
      <c r="AH2476">
        <v>26.0996630424847</v>
      </c>
      <c r="AI2476">
        <v>92.435467928157195</v>
      </c>
      <c r="AJ2476">
        <v>90.133093404382294</v>
      </c>
      <c r="AK2476">
        <v>26.123330237431801</v>
      </c>
      <c r="AL2476">
        <v>79.682571225470497</v>
      </c>
      <c r="AM2476">
        <v>93.032129434129303</v>
      </c>
      <c r="AN2476">
        <v>1.0000000316177799</v>
      </c>
    </row>
    <row r="2477" spans="1:40" x14ac:dyDescent="0.25">
      <c r="A2477" t="str">
        <f>"20190312172131074"</f>
        <v>20190312172131074</v>
      </c>
      <c r="B2477" t="str">
        <f>"1552382491063880"</f>
        <v>1552382491063880</v>
      </c>
      <c r="C2477" t="s">
        <v>40</v>
      </c>
      <c r="D2477">
        <v>3.1826810000000001</v>
      </c>
      <c r="E2477">
        <v>0.51897689999999996</v>
      </c>
      <c r="F2477" t="s">
        <v>47</v>
      </c>
      <c r="G2477">
        <v>-291.80579999999998</v>
      </c>
      <c r="H2477" s="1">
        <v>2.6619540000000001E-6</v>
      </c>
      <c r="I2477">
        <v>283.06200000000001</v>
      </c>
      <c r="J2477">
        <v>-265.91000000000003</v>
      </c>
      <c r="K2477">
        <v>1.110087</v>
      </c>
      <c r="L2477">
        <v>282.30509999999998</v>
      </c>
      <c r="M2477">
        <v>-0.99947390000000003</v>
      </c>
      <c r="N2477">
        <v>0</v>
      </c>
      <c r="O2477">
        <v>3.0876420000000002E-2</v>
      </c>
      <c r="P2477">
        <v>-0.98530039999999997</v>
      </c>
      <c r="Q2477">
        <v>0.1695267</v>
      </c>
      <c r="R2477">
        <v>-2.107941E-2</v>
      </c>
      <c r="S2477">
        <v>-3.069153</v>
      </c>
      <c r="T2477">
        <v>-0.130935199999999</v>
      </c>
      <c r="U2477">
        <v>8.9721679999999998E-2</v>
      </c>
      <c r="V2477">
        <v>-5.1499080000000003E-2</v>
      </c>
      <c r="W2477">
        <v>0.17929899999999999</v>
      </c>
      <c r="X2477">
        <v>0.98244580000000004</v>
      </c>
      <c r="Y2477">
        <v>-1.6282740000000001E-3</v>
      </c>
      <c r="Z2477">
        <v>-1.350829E-3</v>
      </c>
      <c r="AA2477">
        <v>0.99999769999999999</v>
      </c>
      <c r="AB2477">
        <v>24</v>
      </c>
      <c r="AC2477">
        <v>-25.895799999999898</v>
      </c>
      <c r="AD2477">
        <v>-1.1100843380459999</v>
      </c>
      <c r="AE2477">
        <v>0.75690000000002999</v>
      </c>
      <c r="AF2477">
        <v>-4.2990991646056097E-2</v>
      </c>
      <c r="AG2477">
        <v>-1.1100843380459999</v>
      </c>
      <c r="AH2477">
        <v>25.859344608120299</v>
      </c>
      <c r="AI2477">
        <v>92.458068240543199</v>
      </c>
      <c r="AJ2477">
        <v>90.095253771756305</v>
      </c>
      <c r="AK2477">
        <v>25.883196074373299</v>
      </c>
      <c r="AL2477">
        <v>79.671068981239699</v>
      </c>
      <c r="AM2477">
        <v>93.000655888288506</v>
      </c>
      <c r="AN2477">
        <v>1.0000000182897399</v>
      </c>
    </row>
    <row r="2478" spans="1:40" x14ac:dyDescent="0.25">
      <c r="A2478" t="str">
        <f>"20190312172131086"</f>
        <v>20190312172131086</v>
      </c>
      <c r="B2478" t="str">
        <f>"1552382491083236"</f>
        <v>1552382491083236</v>
      </c>
      <c r="C2478" t="s">
        <v>40</v>
      </c>
      <c r="D2478">
        <v>3.1773410000000002</v>
      </c>
      <c r="E2478">
        <v>0.51886730000000003</v>
      </c>
      <c r="F2478" t="s">
        <v>47</v>
      </c>
      <c r="G2478">
        <v>-292.05939999999998</v>
      </c>
      <c r="H2478" s="1">
        <v>2.7056220000000002E-6</v>
      </c>
      <c r="I2478">
        <v>283.07709999999997</v>
      </c>
      <c r="J2478">
        <v>-266.03280000000001</v>
      </c>
      <c r="K2478">
        <v>1.1100859999999999</v>
      </c>
      <c r="L2478">
        <v>282.30889999999999</v>
      </c>
      <c r="M2478">
        <v>-0.99947450000000004</v>
      </c>
      <c r="N2478">
        <v>0</v>
      </c>
      <c r="O2478">
        <v>3.0855870000000001E-2</v>
      </c>
      <c r="P2478">
        <v>-0.98535919999999999</v>
      </c>
      <c r="Q2478">
        <v>0.1692535</v>
      </c>
      <c r="R2478">
        <v>-2.0499380000000001E-2</v>
      </c>
      <c r="S2478">
        <v>-3.0691220000000001</v>
      </c>
      <c r="T2478">
        <v>-0.13028899999999999</v>
      </c>
      <c r="U2478">
        <v>9.0606690000000004E-2</v>
      </c>
      <c r="V2478">
        <v>-5.0900630000000002E-2</v>
      </c>
      <c r="W2478">
        <v>0.1790236</v>
      </c>
      <c r="X2478">
        <v>0.98252720000000004</v>
      </c>
      <c r="Y2478">
        <v>-1.319902E-3</v>
      </c>
      <c r="Z2478">
        <v>-1.336762E-3</v>
      </c>
      <c r="AA2478">
        <v>0.99999819999999995</v>
      </c>
      <c r="AB2478">
        <v>24</v>
      </c>
      <c r="AC2478">
        <v>-26.026599999999899</v>
      </c>
      <c r="AD2478">
        <v>-1.1100832943779999</v>
      </c>
      <c r="AE2478">
        <v>0.76819999999997801</v>
      </c>
      <c r="AF2478">
        <v>-3.52148088203156E-2</v>
      </c>
      <c r="AG2478">
        <v>-1.1100832943779999</v>
      </c>
      <c r="AH2478">
        <v>25.990670095794901</v>
      </c>
      <c r="AI2478">
        <v>92.445662085451005</v>
      </c>
      <c r="AJ2478">
        <v>90.077630114178703</v>
      </c>
      <c r="AK2478">
        <v>26.014389422618802</v>
      </c>
      <c r="AL2478">
        <v>79.687107675763897</v>
      </c>
      <c r="AM2478">
        <v>92.965603823670406</v>
      </c>
      <c r="AN2478">
        <v>1.00000001111559</v>
      </c>
    </row>
    <row r="2479" spans="1:40" x14ac:dyDescent="0.25">
      <c r="A2479" t="str">
        <f>"20190312172131096"</f>
        <v>20190312172131096</v>
      </c>
      <c r="B2479" t="str">
        <f>"1552382491092997"</f>
        <v>1552382491092997</v>
      </c>
      <c r="C2479" t="s">
        <v>40</v>
      </c>
      <c r="D2479">
        <v>3.1883249999999999</v>
      </c>
      <c r="E2479">
        <v>0.51880680000000001</v>
      </c>
      <c r="F2479" t="s">
        <v>47</v>
      </c>
      <c r="G2479">
        <v>-291.98180000000002</v>
      </c>
      <c r="H2479" s="1">
        <v>2.6914679999999999E-6</v>
      </c>
      <c r="I2479">
        <v>283.08150000000001</v>
      </c>
      <c r="J2479">
        <v>-266.15769999999998</v>
      </c>
      <c r="K2479">
        <v>1.110077</v>
      </c>
      <c r="L2479">
        <v>282.31270000000001</v>
      </c>
      <c r="M2479">
        <v>-0.99947509999999995</v>
      </c>
      <c r="N2479">
        <v>0</v>
      </c>
      <c r="O2479">
        <v>3.0834960000000002E-2</v>
      </c>
      <c r="P2479">
        <v>-0.98539670000000001</v>
      </c>
      <c r="Q2479">
        <v>0.16908889999999999</v>
      </c>
      <c r="R2479">
        <v>-2.006229E-2</v>
      </c>
      <c r="S2479">
        <v>-3.069</v>
      </c>
      <c r="T2479">
        <v>-0.1312904</v>
      </c>
      <c r="U2479">
        <v>9.1369629999999993E-2</v>
      </c>
      <c r="V2479">
        <v>-5.044444E-2</v>
      </c>
      <c r="W2479">
        <v>0.17885709999999999</v>
      </c>
      <c r="X2479">
        <v>0.98258100000000004</v>
      </c>
      <c r="Y2479">
        <v>-1.0492500000000001E-3</v>
      </c>
      <c r="Z2479">
        <v>-1.340396E-3</v>
      </c>
      <c r="AA2479">
        <v>0.99999859999999896</v>
      </c>
      <c r="AB2479">
        <v>24</v>
      </c>
      <c r="AC2479">
        <v>-25.824100000000001</v>
      </c>
      <c r="AD2479">
        <v>-1.110074308532</v>
      </c>
      <c r="AE2479">
        <v>0.76879999999999804</v>
      </c>
      <c r="AF2479">
        <v>-2.7838615980327799E-2</v>
      </c>
      <c r="AG2479">
        <v>-1.110074308532</v>
      </c>
      <c r="AH2479">
        <v>25.787917663678499</v>
      </c>
      <c r="AI2479">
        <v>92.464847896659094</v>
      </c>
      <c r="AJ2479">
        <v>90.061852011642003</v>
      </c>
      <c r="AK2479">
        <v>25.811813911224199</v>
      </c>
      <c r="AL2479">
        <v>79.696803416326503</v>
      </c>
      <c r="AM2479">
        <v>92.938911168776897</v>
      </c>
      <c r="AN2479">
        <v>0.99999996265416102</v>
      </c>
    </row>
    <row r="2480" spans="1:40" x14ac:dyDescent="0.25">
      <c r="A2480" t="str">
        <f>"20190312172131107"</f>
        <v>20190312172131107</v>
      </c>
      <c r="B2480" t="str">
        <f>"1552382491103732"</f>
        <v>1552382491103732</v>
      </c>
      <c r="C2480" t="s">
        <v>40</v>
      </c>
      <c r="D2480">
        <v>3.1545640000000001</v>
      </c>
      <c r="E2480">
        <v>0.51874560000000003</v>
      </c>
      <c r="F2480" t="s">
        <v>47</v>
      </c>
      <c r="G2480">
        <v>-291.96570000000003</v>
      </c>
      <c r="H2480" s="1">
        <v>2.6882930000000002E-6</v>
      </c>
      <c r="I2480">
        <v>283.08519999999999</v>
      </c>
      <c r="J2480">
        <v>-266.2774</v>
      </c>
      <c r="K2480">
        <v>1.1100719999999999</v>
      </c>
      <c r="L2480">
        <v>282.31639999999999</v>
      </c>
      <c r="M2480">
        <v>-0.99947580000000003</v>
      </c>
      <c r="N2480">
        <v>0</v>
      </c>
      <c r="O2480">
        <v>3.0814890000000001E-2</v>
      </c>
      <c r="P2480">
        <v>-0.98544030000000005</v>
      </c>
      <c r="Q2480">
        <v>0.16889279999999901</v>
      </c>
      <c r="R2480">
        <v>-1.95706E-2</v>
      </c>
      <c r="S2480">
        <v>-3.0689700000000002</v>
      </c>
      <c r="T2480">
        <v>-0.13200509999999999</v>
      </c>
      <c r="U2480">
        <v>9.1857910000000001E-2</v>
      </c>
      <c r="V2480">
        <v>-4.9934149999999997E-2</v>
      </c>
      <c r="W2480">
        <v>0.1786595</v>
      </c>
      <c r="X2480">
        <v>0.98264309999999999</v>
      </c>
      <c r="Y2480">
        <v>-8.6977080000000002E-4</v>
      </c>
      <c r="Z2480">
        <v>-1.3429749999999999E-3</v>
      </c>
      <c r="AA2480">
        <v>0.99999870000000002</v>
      </c>
      <c r="AB2480">
        <v>24</v>
      </c>
      <c r="AC2480">
        <v>-25.688300000000002</v>
      </c>
      <c r="AD2480">
        <v>-1.110069311707</v>
      </c>
      <c r="AE2480">
        <v>0.76879999999999804</v>
      </c>
      <c r="AF2480">
        <v>-2.3143108503706399E-2</v>
      </c>
      <c r="AG2480">
        <v>-1.110069311707</v>
      </c>
      <c r="AH2480">
        <v>25.651932615020101</v>
      </c>
      <c r="AI2480">
        <v>92.477887505664498</v>
      </c>
      <c r="AJ2480">
        <v>90.051692092841705</v>
      </c>
      <c r="AK2480">
        <v>25.675950544542602</v>
      </c>
      <c r="AL2480">
        <v>79.708311305339095</v>
      </c>
      <c r="AM2480">
        <v>92.909049284335197</v>
      </c>
      <c r="AN2480">
        <v>1.00000004912704</v>
      </c>
    </row>
    <row r="2481" spans="1:40" x14ac:dyDescent="0.25">
      <c r="A2481" t="str">
        <f>"20190312172131120"</f>
        <v>20190312172131120</v>
      </c>
      <c r="B2481" t="str">
        <f>"1552382491113493"</f>
        <v>1552382491113493</v>
      </c>
      <c r="C2481" t="s">
        <v>40</v>
      </c>
      <c r="D2481">
        <v>3.1930109999999998</v>
      </c>
      <c r="E2481">
        <v>0.51868159999999996</v>
      </c>
      <c r="F2481" t="s">
        <v>47</v>
      </c>
      <c r="G2481">
        <v>-291.9359</v>
      </c>
      <c r="H2481" s="1">
        <v>2.6827120000000001E-6</v>
      </c>
      <c r="I2481">
        <v>283.08850000000001</v>
      </c>
      <c r="J2481">
        <v>-266.41469999999998</v>
      </c>
      <c r="K2481">
        <v>1.1100699999999999</v>
      </c>
      <c r="L2481">
        <v>282.32060000000001</v>
      </c>
      <c r="M2481">
        <v>-0.99947660000000005</v>
      </c>
      <c r="N2481">
        <v>0</v>
      </c>
      <c r="O2481">
        <v>3.0791659999999998E-2</v>
      </c>
      <c r="P2481">
        <v>-0.98550899999999997</v>
      </c>
      <c r="Q2481">
        <v>0.16853660000000001</v>
      </c>
      <c r="R2481">
        <v>-1.9177409999999999E-2</v>
      </c>
      <c r="S2481">
        <v>-3.0689090000000001</v>
      </c>
      <c r="T2481">
        <v>-0.132771</v>
      </c>
      <c r="U2481">
        <v>9.2346189999999995E-2</v>
      </c>
      <c r="V2481">
        <v>-4.9520399999999999E-2</v>
      </c>
      <c r="W2481">
        <v>0.1783016</v>
      </c>
      <c r="X2481">
        <v>0.98272899999999996</v>
      </c>
      <c r="Y2481">
        <v>-6.8682149999999996E-4</v>
      </c>
      <c r="Z2481">
        <v>-1.345824E-3</v>
      </c>
      <c r="AA2481">
        <v>0.99999890000000002</v>
      </c>
      <c r="AB2481">
        <v>25</v>
      </c>
      <c r="AC2481">
        <v>-25.5212</v>
      </c>
      <c r="AD2481">
        <v>-1.110067317288</v>
      </c>
      <c r="AE2481">
        <v>0.76789999999999703</v>
      </c>
      <c r="AF2481">
        <v>-1.83083284850366E-2</v>
      </c>
      <c r="AG2481">
        <v>-1.110067317288</v>
      </c>
      <c r="AH2481">
        <v>25.4845728964196</v>
      </c>
      <c r="AI2481">
        <v>92.494135451925203</v>
      </c>
      <c r="AJ2481">
        <v>90.041161756013295</v>
      </c>
      <c r="AK2481">
        <v>25.508744390046498</v>
      </c>
      <c r="AL2481">
        <v>79.729151678794906</v>
      </c>
      <c r="AM2481">
        <v>92.884734297709798</v>
      </c>
      <c r="AN2481">
        <v>1.00000000900986</v>
      </c>
    </row>
    <row r="2482" spans="1:40" x14ac:dyDescent="0.25">
      <c r="A2482" t="str">
        <f>"20190312172131132"</f>
        <v>20190312172131132</v>
      </c>
      <c r="B2482" t="str">
        <f>"1552382491123252"</f>
        <v>1552382491123252</v>
      </c>
      <c r="C2482" t="s">
        <v>40</v>
      </c>
      <c r="D2482">
        <v>3.1959179999999998</v>
      </c>
      <c r="E2482">
        <v>0.51862379999999997</v>
      </c>
      <c r="F2482" t="s">
        <v>47</v>
      </c>
      <c r="G2482">
        <v>-291.84129999999999</v>
      </c>
      <c r="H2482" s="1">
        <v>2.6659059999999999E-6</v>
      </c>
      <c r="I2482">
        <v>283.08879999999999</v>
      </c>
      <c r="J2482">
        <v>-266.5471</v>
      </c>
      <c r="K2482">
        <v>1.1100749999999999</v>
      </c>
      <c r="L2482">
        <v>282.32470000000001</v>
      </c>
      <c r="M2482">
        <v>-0.99947719999999995</v>
      </c>
      <c r="N2482">
        <v>0</v>
      </c>
      <c r="O2482">
        <v>3.0769609999999999E-2</v>
      </c>
      <c r="P2482">
        <v>-0.9855505</v>
      </c>
      <c r="Q2482">
        <v>0.1683519</v>
      </c>
      <c r="R2482">
        <v>-1.8652729999999999E-2</v>
      </c>
      <c r="S2482">
        <v>-3.0688170000000001</v>
      </c>
      <c r="T2482">
        <v>-0.13397770000000001</v>
      </c>
      <c r="U2482">
        <v>9.27124E-2</v>
      </c>
      <c r="V2482">
        <v>-4.8975680000000001E-2</v>
      </c>
      <c r="W2482">
        <v>0.178115299999999</v>
      </c>
      <c r="X2482">
        <v>0.9827901</v>
      </c>
      <c r="Y2482">
        <v>-5.4426589999999905E-4</v>
      </c>
      <c r="Z2482">
        <v>-1.3540099999999999E-3</v>
      </c>
      <c r="AA2482">
        <v>0.99999890000000002</v>
      </c>
      <c r="AB2482">
        <v>25</v>
      </c>
      <c r="AC2482">
        <v>-25.294199999999901</v>
      </c>
      <c r="AD2482">
        <v>-1.110072334094</v>
      </c>
      <c r="AE2482">
        <v>0.76409999999998401</v>
      </c>
      <c r="AF2482">
        <v>-1.4564833303649201E-2</v>
      </c>
      <c r="AG2482">
        <v>-1.110072334094</v>
      </c>
      <c r="AH2482">
        <v>25.257132943315501</v>
      </c>
      <c r="AI2482">
        <v>92.516577932811401</v>
      </c>
      <c r="AJ2482">
        <v>90.033040305365702</v>
      </c>
      <c r="AK2482">
        <v>25.281519678168099</v>
      </c>
      <c r="AL2482">
        <v>79.739999733792004</v>
      </c>
      <c r="AM2482">
        <v>92.852878114317093</v>
      </c>
      <c r="AN2482">
        <v>1.0000000289917801</v>
      </c>
    </row>
    <row r="2483" spans="1:40" x14ac:dyDescent="0.25">
      <c r="A2483" t="str">
        <f>"20190312172131142"</f>
        <v>20190312172131142</v>
      </c>
      <c r="B2483" t="str">
        <f>"1552382491133012"</f>
        <v>1552382491133012</v>
      </c>
      <c r="C2483" t="s">
        <v>40</v>
      </c>
      <c r="D2483">
        <v>3.171014</v>
      </c>
      <c r="E2483">
        <v>0.51856270000000004</v>
      </c>
      <c r="F2483" t="s">
        <v>47</v>
      </c>
      <c r="G2483">
        <v>-291.85520000000002</v>
      </c>
      <c r="H2483" s="1">
        <v>2.6676309999999999E-6</v>
      </c>
      <c r="I2483">
        <v>283.09739999999999</v>
      </c>
      <c r="J2483">
        <v>-266.6671</v>
      </c>
      <c r="K2483">
        <v>1.110074</v>
      </c>
      <c r="L2483">
        <v>282.32839999999999</v>
      </c>
      <c r="M2483">
        <v>-0.99947799999999998</v>
      </c>
      <c r="N2483">
        <v>0</v>
      </c>
      <c r="O2483">
        <v>3.074936E-2</v>
      </c>
      <c r="P2483">
        <v>-0.98553400000000002</v>
      </c>
      <c r="Q2483">
        <v>0.168517</v>
      </c>
      <c r="R2483">
        <v>-1.8034850000000002E-2</v>
      </c>
      <c r="S2483">
        <v>-3.068756</v>
      </c>
      <c r="T2483">
        <v>-0.13460250000000001</v>
      </c>
      <c r="U2483">
        <v>9.3688960000000002E-2</v>
      </c>
      <c r="V2483">
        <v>-4.8337810000000002E-2</v>
      </c>
      <c r="W2483">
        <v>0.1782791</v>
      </c>
      <c r="X2483">
        <v>0.982792</v>
      </c>
      <c r="Y2483">
        <v>-2.0552250000000001E-4</v>
      </c>
      <c r="Z2483">
        <v>-1.352027E-3</v>
      </c>
      <c r="AA2483">
        <v>0.99999899999999997</v>
      </c>
      <c r="AB2483">
        <v>25</v>
      </c>
      <c r="AC2483">
        <v>-25.188099999999999</v>
      </c>
      <c r="AD2483">
        <v>-1.1100713323689999</v>
      </c>
      <c r="AE2483">
        <v>0.76900000000000501</v>
      </c>
      <c r="AF2483">
        <v>-5.9081986250192299E-3</v>
      </c>
      <c r="AG2483">
        <v>-1.1100713323689999</v>
      </c>
      <c r="AH2483">
        <v>25.151030713148099</v>
      </c>
      <c r="AI2483">
        <v>92.527178714936795</v>
      </c>
      <c r="AJ2483">
        <v>90.0134592829762</v>
      </c>
      <c r="AK2483">
        <v>25.175516662096101</v>
      </c>
      <c r="AL2483">
        <v>79.730462233145701</v>
      </c>
      <c r="AM2483">
        <v>92.815776360541506</v>
      </c>
      <c r="AN2483">
        <v>1.0000000483182001</v>
      </c>
    </row>
    <row r="2484" spans="1:40" x14ac:dyDescent="0.25">
      <c r="A2484" t="str">
        <f>"20190312172131154"</f>
        <v>20190312172131154</v>
      </c>
      <c r="B2484" t="str">
        <f>"1552382491143748"</f>
        <v>1552382491143748</v>
      </c>
      <c r="C2484" t="s">
        <v>40</v>
      </c>
      <c r="D2484">
        <v>3.180504</v>
      </c>
      <c r="E2484">
        <v>0.51858590000000004</v>
      </c>
      <c r="F2484" t="s">
        <v>47</v>
      </c>
      <c r="G2484">
        <v>-292.01979999999998</v>
      </c>
      <c r="H2484" s="1">
        <v>2.6953970000000002E-6</v>
      </c>
      <c r="I2484">
        <v>283.11369999999999</v>
      </c>
      <c r="J2484">
        <v>-266.79820000000001</v>
      </c>
      <c r="K2484">
        <v>1.1100749999999999</v>
      </c>
      <c r="L2484">
        <v>282.33240000000001</v>
      </c>
      <c r="M2484">
        <v>-0.99947859999999999</v>
      </c>
      <c r="N2484">
        <v>0</v>
      </c>
      <c r="O2484">
        <v>3.0727310000000001E-2</v>
      </c>
      <c r="P2484">
        <v>-0.98552910000000005</v>
      </c>
      <c r="Q2484">
        <v>0.16859979999999999</v>
      </c>
      <c r="R2484">
        <v>-1.7518180000000001E-2</v>
      </c>
      <c r="S2484">
        <v>-3.068756</v>
      </c>
      <c r="T2484">
        <v>-0.1343657</v>
      </c>
      <c r="U2484">
        <v>9.5062259999999996E-2</v>
      </c>
      <c r="V2484">
        <v>-4.7799559999999998E-2</v>
      </c>
      <c r="W2484">
        <v>0.17836070000000001</v>
      </c>
      <c r="X2484">
        <v>0.98280350000000005</v>
      </c>
      <c r="Y2484">
        <v>2.6303820000000001E-4</v>
      </c>
      <c r="Z2484">
        <v>-1.338424E-3</v>
      </c>
      <c r="AA2484">
        <v>0.99999899999999997</v>
      </c>
      <c r="AB2484">
        <v>25</v>
      </c>
      <c r="AC2484">
        <v>-25.221599999999899</v>
      </c>
      <c r="AD2484">
        <v>-1.1100723046030001</v>
      </c>
      <c r="AE2484">
        <v>0.781299999999987</v>
      </c>
      <c r="AF2484">
        <v>5.8896005588240296E-3</v>
      </c>
      <c r="AG2484">
        <v>-1.1100723046030001</v>
      </c>
      <c r="AH2484">
        <v>25.184958136956698</v>
      </c>
      <c r="AI2484">
        <v>92.523780888614496</v>
      </c>
      <c r="AJ2484">
        <v>89.986601159030997</v>
      </c>
      <c r="AK2484">
        <v>25.209411170614398</v>
      </c>
      <c r="AL2484">
        <v>79.725710536997795</v>
      </c>
      <c r="AM2484">
        <v>92.784439287687306</v>
      </c>
      <c r="AN2484">
        <v>1.0000000284264601</v>
      </c>
    </row>
    <row r="2485" spans="1:40" x14ac:dyDescent="0.25">
      <c r="A2485" t="str">
        <f>"20190312172131168"</f>
        <v>20190312172131168</v>
      </c>
      <c r="B2485" t="str">
        <f>"1552382491163269"</f>
        <v>1552382491163269</v>
      </c>
      <c r="C2485" t="s">
        <v>40</v>
      </c>
      <c r="D2485">
        <v>3.1686909999999999</v>
      </c>
      <c r="E2485">
        <v>0.5206501</v>
      </c>
      <c r="F2485" t="s">
        <v>47</v>
      </c>
      <c r="G2485">
        <v>-292.08580000000001</v>
      </c>
      <c r="H2485" s="1">
        <v>2.705938E-6</v>
      </c>
      <c r="I2485">
        <v>283.12700000000001</v>
      </c>
      <c r="J2485">
        <v>-266.9314</v>
      </c>
      <c r="K2485">
        <v>1.110077</v>
      </c>
      <c r="L2485">
        <v>282.3365</v>
      </c>
      <c r="M2485">
        <v>-0.99947929999999996</v>
      </c>
      <c r="N2485">
        <v>0</v>
      </c>
      <c r="O2485">
        <v>3.0705090000000001E-2</v>
      </c>
      <c r="P2485">
        <v>-0.98552969999999895</v>
      </c>
      <c r="Q2485">
        <v>0.1686802</v>
      </c>
      <c r="R2485">
        <v>-1.6694560000000001E-2</v>
      </c>
      <c r="S2485">
        <v>-3.0688170000000001</v>
      </c>
      <c r="T2485">
        <v>-0.13471469999999999</v>
      </c>
      <c r="U2485">
        <v>9.6435549999999995E-2</v>
      </c>
      <c r="V2485">
        <v>-4.69539E-2</v>
      </c>
      <c r="W2485">
        <v>0.1784405</v>
      </c>
      <c r="X2485">
        <v>0.98282970000000003</v>
      </c>
      <c r="Y2485">
        <v>7.3140110000000005E-4</v>
      </c>
      <c r="Z2485">
        <v>-1.3306119999999999E-3</v>
      </c>
      <c r="AA2485">
        <v>0.99999890000000002</v>
      </c>
      <c r="AB2485">
        <v>25</v>
      </c>
      <c r="AC2485">
        <v>-25.154399999999999</v>
      </c>
      <c r="AD2485">
        <v>-1.1100742940620001</v>
      </c>
      <c r="AE2485">
        <v>0.79050000000000797</v>
      </c>
      <c r="AF2485">
        <v>1.7686731180615301E-2</v>
      </c>
      <c r="AG2485">
        <v>-1.1100742940620001</v>
      </c>
      <c r="AH2485">
        <v>25.117943002635201</v>
      </c>
      <c r="AI2485">
        <v>92.530509613088</v>
      </c>
      <c r="AJ2485">
        <v>89.959655339514001</v>
      </c>
      <c r="AK2485">
        <v>25.142466832879201</v>
      </c>
      <c r="AL2485">
        <v>79.721062975465202</v>
      </c>
      <c r="AM2485">
        <v>92.735180238548196</v>
      </c>
      <c r="AN2485">
        <v>0.99999994998377295</v>
      </c>
    </row>
    <row r="2486" spans="1:40" x14ac:dyDescent="0.25">
      <c r="A2486" t="str">
        <f>"20190312172131184"</f>
        <v>20190312172131184</v>
      </c>
      <c r="B2486" t="str">
        <f>"1552382491173028"</f>
        <v>1552382491173028</v>
      </c>
      <c r="C2486" t="s">
        <v>40</v>
      </c>
      <c r="D2486">
        <v>3.1783640000000002</v>
      </c>
      <c r="E2486">
        <v>0.52056899999999995</v>
      </c>
      <c r="F2486" t="s">
        <v>47</v>
      </c>
      <c r="G2486">
        <v>-283.03750000000002</v>
      </c>
      <c r="H2486" s="1">
        <v>7.4015369999999997E-6</v>
      </c>
      <c r="I2486">
        <v>282.94049999999999</v>
      </c>
      <c r="J2486">
        <v>-267.12360000000001</v>
      </c>
      <c r="K2486">
        <v>1.110074</v>
      </c>
      <c r="L2486">
        <v>282.34230000000002</v>
      </c>
      <c r="M2486">
        <v>-0.99948029999999999</v>
      </c>
      <c r="N2486">
        <v>0</v>
      </c>
      <c r="O2486">
        <v>3.067303E-2</v>
      </c>
      <c r="P2486">
        <v>-0.98550689999999996</v>
      </c>
      <c r="Q2486">
        <v>0.16894419999999999</v>
      </c>
      <c r="R2486">
        <v>-1.529865E-2</v>
      </c>
      <c r="S2486">
        <v>-3.0823360000000002</v>
      </c>
      <c r="T2486">
        <v>-0.2124424</v>
      </c>
      <c r="U2486">
        <v>0.1156006</v>
      </c>
      <c r="V2486">
        <v>-4.5526959999999998E-2</v>
      </c>
      <c r="W2486">
        <v>0.17870179999999999</v>
      </c>
      <c r="X2486">
        <v>0.98284939999999998</v>
      </c>
      <c r="Y2486">
        <v>6.8636089999999997E-3</v>
      </c>
      <c r="Z2486">
        <v>-1.8742050000000001E-3</v>
      </c>
      <c r="AA2486">
        <v>0.99997469999999999</v>
      </c>
      <c r="AB2486">
        <v>25</v>
      </c>
      <c r="AC2486">
        <v>-15.9139</v>
      </c>
      <c r="AD2486">
        <v>-1.110066598463</v>
      </c>
      <c r="AE2486">
        <v>0.59819999999996298</v>
      </c>
      <c r="AF2486">
        <v>0.10923621817015899</v>
      </c>
      <c r="AG2486">
        <v>-1.110066598463</v>
      </c>
      <c r="AH2486">
        <v>15.8477592856122</v>
      </c>
      <c r="AI2486">
        <v>94.006680854470801</v>
      </c>
      <c r="AJ2486">
        <v>89.605075074642102</v>
      </c>
      <c r="AK2486">
        <v>15.886964932896801</v>
      </c>
      <c r="AL2486">
        <v>79.705847440426794</v>
      </c>
      <c r="AM2486">
        <v>92.652124930300104</v>
      </c>
      <c r="AN2486">
        <v>0.99999999024522002</v>
      </c>
    </row>
    <row r="2487" spans="1:40" x14ac:dyDescent="0.25">
      <c r="A2487" t="str">
        <f>"20190312172131195"</f>
        <v>20190312172131195</v>
      </c>
      <c r="B2487" t="str">
        <f>"1552382491193524"</f>
        <v>1552382491193524</v>
      </c>
      <c r="C2487" t="s">
        <v>40</v>
      </c>
      <c r="D2487">
        <v>3.1843680000000001</v>
      </c>
      <c r="E2487">
        <v>0.52064679999999997</v>
      </c>
      <c r="F2487" t="s">
        <v>47</v>
      </c>
      <c r="G2487">
        <v>-284.46730000000002</v>
      </c>
      <c r="H2487" s="1">
        <v>6.7518320000000003E-6</v>
      </c>
      <c r="I2487">
        <v>283.01620000000003</v>
      </c>
      <c r="J2487">
        <v>-267.24720000000002</v>
      </c>
      <c r="K2487">
        <v>1.1100730000000001</v>
      </c>
      <c r="L2487">
        <v>282.34609999999998</v>
      </c>
      <c r="M2487">
        <v>-0.99948110000000001</v>
      </c>
      <c r="N2487">
        <v>0</v>
      </c>
      <c r="O2487">
        <v>3.0652309999999999E-2</v>
      </c>
      <c r="P2487">
        <v>-0.98549089999999995</v>
      </c>
      <c r="Q2487">
        <v>0.16910929999999999</v>
      </c>
      <c r="R2487">
        <v>-1.4489480000000001E-2</v>
      </c>
      <c r="S2487">
        <v>-3.0798030000000001</v>
      </c>
      <c r="T2487">
        <v>-0.1971195</v>
      </c>
      <c r="U2487">
        <v>0.1196594</v>
      </c>
      <c r="V2487">
        <v>-4.4697019999999997E-2</v>
      </c>
      <c r="W2487">
        <v>0.1788641</v>
      </c>
      <c r="X2487">
        <v>0.98285800000000001</v>
      </c>
      <c r="Y2487">
        <v>8.2205139999999999E-3</v>
      </c>
      <c r="Z2487">
        <v>-1.6959950000000001E-3</v>
      </c>
      <c r="AA2487">
        <v>0.99996479999999999</v>
      </c>
      <c r="AB2487">
        <v>25</v>
      </c>
      <c r="AC2487">
        <v>-17.220099999999999</v>
      </c>
      <c r="AD2487">
        <v>-1.1100662481679999</v>
      </c>
      <c r="AE2487">
        <v>0.67010000000004699</v>
      </c>
      <c r="AF2487">
        <v>0.141336951777115</v>
      </c>
      <c r="AG2487">
        <v>-1.1100662481679999</v>
      </c>
      <c r="AH2487">
        <v>17.1613420806131</v>
      </c>
      <c r="AI2487">
        <v>93.700845792494107</v>
      </c>
      <c r="AJ2487">
        <v>89.528135520818395</v>
      </c>
      <c r="AK2487">
        <v>17.197787218624399</v>
      </c>
      <c r="AL2487">
        <v>79.696396359421698</v>
      </c>
      <c r="AM2487">
        <v>92.603822057545003</v>
      </c>
      <c r="AN2487">
        <v>1.0000000190148399</v>
      </c>
    </row>
    <row r="2488" spans="1:40" x14ac:dyDescent="0.25">
      <c r="A2488" t="str">
        <f>"20190312172131208"</f>
        <v>20190312172131208</v>
      </c>
      <c r="B2488" t="str">
        <f>"1552382491203284"</f>
        <v>1552382491203284</v>
      </c>
      <c r="C2488" t="s">
        <v>40</v>
      </c>
      <c r="D2488">
        <v>3.2151179999999999</v>
      </c>
      <c r="E2488">
        <v>0.52063340000000002</v>
      </c>
      <c r="F2488" t="s">
        <v>47</v>
      </c>
      <c r="G2488">
        <v>-285.01639999999998</v>
      </c>
      <c r="H2488" s="1">
        <v>6.5006250000000001E-6</v>
      </c>
      <c r="I2488">
        <v>283.05360000000002</v>
      </c>
      <c r="J2488">
        <v>-267.37349999999998</v>
      </c>
      <c r="K2488">
        <v>1.1100699999999999</v>
      </c>
      <c r="L2488">
        <v>282.34989999999999</v>
      </c>
      <c r="M2488">
        <v>-0.99948159999999997</v>
      </c>
      <c r="N2488">
        <v>0</v>
      </c>
      <c r="O2488">
        <v>3.0631410000000001E-2</v>
      </c>
      <c r="P2488">
        <v>-0.98547870000000004</v>
      </c>
      <c r="Q2488">
        <v>0.16926649999999999</v>
      </c>
      <c r="R2488">
        <v>-1.343917E-2</v>
      </c>
      <c r="S2488">
        <v>-3.0789789999999999</v>
      </c>
      <c r="T2488">
        <v>-0.1923484</v>
      </c>
      <c r="U2488">
        <v>0.12258910000000001</v>
      </c>
      <c r="V2488">
        <v>-4.3626270000000002E-2</v>
      </c>
      <c r="W2488">
        <v>0.17901700000000001</v>
      </c>
      <c r="X2488">
        <v>0.98287829999999998</v>
      </c>
      <c r="Y2488">
        <v>9.1976939999999993E-3</v>
      </c>
      <c r="Z2488">
        <v>-1.6236460000000001E-3</v>
      </c>
      <c r="AA2488">
        <v>0.99995639999999997</v>
      </c>
      <c r="AB2488">
        <v>25</v>
      </c>
      <c r="AC2488">
        <v>-17.642899999999901</v>
      </c>
      <c r="AD2488">
        <v>-1.110063499375</v>
      </c>
      <c r="AE2488">
        <v>0.70370000000002597</v>
      </c>
      <c r="AF2488">
        <v>0.16227491975938299</v>
      </c>
      <c r="AG2488">
        <v>-1.110063499375</v>
      </c>
      <c r="AH2488">
        <v>17.586666354427699</v>
      </c>
      <c r="AI2488">
        <v>93.611542502371506</v>
      </c>
      <c r="AJ2488">
        <v>89.471337888600203</v>
      </c>
      <c r="AK2488">
        <v>17.622412081896901</v>
      </c>
      <c r="AL2488">
        <v>79.687492392112901</v>
      </c>
      <c r="AM2488">
        <v>92.541475953591998</v>
      </c>
      <c r="AN2488">
        <v>1.0000000451669999</v>
      </c>
    </row>
    <row r="2489" spans="1:40" x14ac:dyDescent="0.25">
      <c r="A2489" t="str">
        <f>"20190312172131221"</f>
        <v>20190312172131221</v>
      </c>
      <c r="B2489" t="str">
        <f>"1552382491213045"</f>
        <v>1552382491213045</v>
      </c>
      <c r="C2489" t="s">
        <v>40</v>
      </c>
      <c r="D2489">
        <v>3.176774</v>
      </c>
      <c r="E2489">
        <v>0.52071369999999995</v>
      </c>
      <c r="F2489" t="s">
        <v>47</v>
      </c>
      <c r="G2489">
        <v>-285.33980000000003</v>
      </c>
      <c r="H2489" s="1">
        <v>6.3510400000000001E-6</v>
      </c>
      <c r="I2489">
        <v>283.08330000000001</v>
      </c>
      <c r="J2489">
        <v>-267.52260000000001</v>
      </c>
      <c r="K2489">
        <v>1.1100699999999999</v>
      </c>
      <c r="L2489">
        <v>282.35449999999997</v>
      </c>
      <c r="M2489">
        <v>-0.99948250000000005</v>
      </c>
      <c r="N2489">
        <v>0</v>
      </c>
      <c r="O2489">
        <v>3.0606410000000001E-2</v>
      </c>
      <c r="P2489">
        <v>-0.98552669999999998</v>
      </c>
      <c r="Q2489">
        <v>0.16906849999999901</v>
      </c>
      <c r="R2489">
        <v>-1.236458E-2</v>
      </c>
      <c r="S2489">
        <v>-3.0785830000000001</v>
      </c>
      <c r="T2489">
        <v>-0.1902131</v>
      </c>
      <c r="U2489">
        <v>0.12567139999999999</v>
      </c>
      <c r="V2489">
        <v>-4.2528799999999999E-2</v>
      </c>
      <c r="W2489">
        <v>0.178813</v>
      </c>
      <c r="X2489">
        <v>0.98296349999999999</v>
      </c>
      <c r="Y2489">
        <v>1.022444E-2</v>
      </c>
      <c r="Z2489">
        <v>-1.5726049999999999E-3</v>
      </c>
      <c r="AA2489">
        <v>0.99994649999999996</v>
      </c>
      <c r="AB2489">
        <v>25</v>
      </c>
      <c r="AC2489">
        <v>-17.8172</v>
      </c>
      <c r="AD2489">
        <v>-1.11006364896</v>
      </c>
      <c r="AE2489">
        <v>0.72880000000003498</v>
      </c>
      <c r="AF2489">
        <v>0.18240444027215699</v>
      </c>
      <c r="AG2489">
        <v>-1.11006364896</v>
      </c>
      <c r="AH2489">
        <v>17.762327073471901</v>
      </c>
      <c r="AI2489">
        <v>93.575883507294805</v>
      </c>
      <c r="AJ2489">
        <v>89.411640310499905</v>
      </c>
      <c r="AK2489">
        <v>17.797914927023498</v>
      </c>
      <c r="AL2489">
        <v>79.699372106944196</v>
      </c>
      <c r="AM2489">
        <v>92.477408357246304</v>
      </c>
      <c r="AN2489">
        <v>1.0000000150653401</v>
      </c>
    </row>
    <row r="2490" spans="1:40" x14ac:dyDescent="0.25">
      <c r="A2490" t="str">
        <f>"20190312172131233"</f>
        <v>20190312172131233</v>
      </c>
      <c r="B2490" t="str">
        <f>"1552382491223780"</f>
        <v>1552382491223780</v>
      </c>
      <c r="C2490" t="s">
        <v>40</v>
      </c>
      <c r="D2490">
        <v>3.2173500000000002</v>
      </c>
      <c r="E2490">
        <v>0.52070709999999998</v>
      </c>
      <c r="F2490" t="s">
        <v>47</v>
      </c>
      <c r="G2490">
        <v>-285.46699999999998</v>
      </c>
      <c r="H2490" s="1">
        <v>6.289059E-6</v>
      </c>
      <c r="I2490">
        <v>283.11040000000003</v>
      </c>
      <c r="J2490">
        <v>-267.66840000000002</v>
      </c>
      <c r="K2490">
        <v>1.110063</v>
      </c>
      <c r="L2490">
        <v>282.35890000000001</v>
      </c>
      <c r="M2490">
        <v>-0.99948320000000002</v>
      </c>
      <c r="N2490">
        <v>0</v>
      </c>
      <c r="O2490">
        <v>3.05822E-2</v>
      </c>
      <c r="P2490">
        <v>-0.98552519999999999</v>
      </c>
      <c r="Q2490">
        <v>0.1691657</v>
      </c>
      <c r="R2490">
        <v>-1.110565E-2</v>
      </c>
      <c r="S2490">
        <v>-3.0783689999999999</v>
      </c>
      <c r="T2490">
        <v>-0.1904323</v>
      </c>
      <c r="U2490">
        <v>0.12966920000000001</v>
      </c>
      <c r="V2490">
        <v>-4.1246629999999999E-2</v>
      </c>
      <c r="W2490">
        <v>0.17890159999999999</v>
      </c>
      <c r="X2490">
        <v>0.98300200000000004</v>
      </c>
      <c r="Y2490">
        <v>1.1545390000000001E-2</v>
      </c>
      <c r="Z2490">
        <v>-1.5321759999999999E-3</v>
      </c>
      <c r="AA2490">
        <v>0.99993220000000005</v>
      </c>
      <c r="AB2490">
        <v>25</v>
      </c>
      <c r="AC2490">
        <v>-17.798599999999901</v>
      </c>
      <c r="AD2490">
        <v>-1.110056710941</v>
      </c>
      <c r="AE2490">
        <v>0.75150000000002104</v>
      </c>
      <c r="AF2490">
        <v>0.206001556804043</v>
      </c>
      <c r="AG2490">
        <v>-1.110056710941</v>
      </c>
      <c r="AH2490">
        <v>17.7443598159728</v>
      </c>
      <c r="AI2490">
        <v>93.579420249987805</v>
      </c>
      <c r="AJ2490">
        <v>89.334859657987593</v>
      </c>
      <c r="AK2490">
        <v>17.780240938233099</v>
      </c>
      <c r="AL2490">
        <v>79.694212340160107</v>
      </c>
      <c r="AM2490">
        <v>92.402713667346902</v>
      </c>
      <c r="AN2490">
        <v>0.99999999948645801</v>
      </c>
    </row>
    <row r="2491" spans="1:40" x14ac:dyDescent="0.25">
      <c r="A2491" t="str">
        <f>"20190312172131253"</f>
        <v>20190312172131253</v>
      </c>
      <c r="B2491" t="str">
        <f>"1552382491243300"</f>
        <v>1552382491243300</v>
      </c>
      <c r="C2491" t="s">
        <v>40</v>
      </c>
      <c r="D2491">
        <v>3.1973250000000002</v>
      </c>
      <c r="E2491">
        <v>0.52085490000000001</v>
      </c>
      <c r="F2491" t="s">
        <v>47</v>
      </c>
      <c r="G2491">
        <v>-285.6524</v>
      </c>
      <c r="H2491" s="1">
        <v>6.201221E-6</v>
      </c>
      <c r="I2491">
        <v>283.13760000000002</v>
      </c>
      <c r="J2491">
        <v>-267.87740000000002</v>
      </c>
      <c r="K2491">
        <v>1.11006</v>
      </c>
      <c r="L2491">
        <v>282.36529999999999</v>
      </c>
      <c r="M2491">
        <v>-0.9994845</v>
      </c>
      <c r="N2491">
        <v>0</v>
      </c>
      <c r="O2491">
        <v>3.0548789999999999E-2</v>
      </c>
      <c r="P2491">
        <v>-0.98555590000000004</v>
      </c>
      <c r="Q2491">
        <v>0.1691395</v>
      </c>
      <c r="R2491">
        <v>-8.4695580000000003E-3</v>
      </c>
      <c r="S2491">
        <v>-3.0781860000000001</v>
      </c>
      <c r="T2491">
        <v>-0.19000040000000001</v>
      </c>
      <c r="U2491">
        <v>0.13327030000000001</v>
      </c>
      <c r="V2491">
        <v>-3.857969E-2</v>
      </c>
      <c r="W2491">
        <v>0.17886179999999999</v>
      </c>
      <c r="X2491">
        <v>0.98311749999999998</v>
      </c>
      <c r="Y2491">
        <v>1.2746469999999999E-2</v>
      </c>
      <c r="Z2491">
        <v>-1.489677E-3</v>
      </c>
      <c r="AA2491">
        <v>0.99991759999999996</v>
      </c>
      <c r="AB2491">
        <v>25</v>
      </c>
      <c r="AC2491">
        <v>-17.774999999999899</v>
      </c>
      <c r="AD2491">
        <v>-1.110053798779</v>
      </c>
      <c r="AE2491">
        <v>0.77230000000002896</v>
      </c>
      <c r="AF2491">
        <v>0.22802068360233599</v>
      </c>
      <c r="AG2491">
        <v>-1.110053798779</v>
      </c>
      <c r="AH2491">
        <v>17.721313596977598</v>
      </c>
      <c r="AI2491">
        <v>93.583998701794499</v>
      </c>
      <c r="AJ2491">
        <v>89.262814135240603</v>
      </c>
      <c r="AK2491">
        <v>17.7575101990892</v>
      </c>
      <c r="AL2491">
        <v>79.696529866099198</v>
      </c>
      <c r="AM2491">
        <v>92.247259149191507</v>
      </c>
      <c r="AN2491">
        <v>0.99999997739299196</v>
      </c>
    </row>
    <row r="2492" spans="1:40" x14ac:dyDescent="0.25">
      <c r="A2492" t="str">
        <f>"20190312172131264"</f>
        <v>20190312172131264</v>
      </c>
      <c r="B2492" t="str">
        <f>"1552382491253060"</f>
        <v>1552382491253060</v>
      </c>
      <c r="C2492" t="s">
        <v>40</v>
      </c>
      <c r="D2492">
        <v>3.1856369999999998</v>
      </c>
      <c r="E2492">
        <v>0.52058839999999995</v>
      </c>
      <c r="F2492" t="s">
        <v>47</v>
      </c>
      <c r="G2492">
        <v>-285.78719999999998</v>
      </c>
      <c r="H2492" s="1">
        <v>6.1299109999999996E-6</v>
      </c>
      <c r="I2492">
        <v>283.19330000000002</v>
      </c>
      <c r="J2492">
        <v>-268.00529999999998</v>
      </c>
      <c r="K2492">
        <v>1.110055</v>
      </c>
      <c r="L2492">
        <v>282.36919999999998</v>
      </c>
      <c r="M2492">
        <v>-0.99948499999999996</v>
      </c>
      <c r="N2492">
        <v>0</v>
      </c>
      <c r="O2492">
        <v>3.0530560000000002E-2</v>
      </c>
      <c r="P2492">
        <v>-0.98550450000000001</v>
      </c>
      <c r="Q2492">
        <v>0.16949310000000001</v>
      </c>
      <c r="R2492">
        <v>-7.28438E-3</v>
      </c>
      <c r="S2492">
        <v>-3.0779420000000002</v>
      </c>
      <c r="T2492">
        <v>-0.19077150000000001</v>
      </c>
      <c r="U2492">
        <v>0.1423035</v>
      </c>
      <c r="V2492">
        <v>-3.7374850000000001E-2</v>
      </c>
      <c r="W2492">
        <v>0.17920469999999999</v>
      </c>
      <c r="X2492">
        <v>0.98310160000000002</v>
      </c>
      <c r="Y2492">
        <v>1.5691380000000001E-2</v>
      </c>
      <c r="Z2492">
        <v>-1.403456E-3</v>
      </c>
      <c r="AA2492">
        <v>0.99987590000000004</v>
      </c>
      <c r="AB2492">
        <v>25</v>
      </c>
      <c r="AC2492">
        <v>-17.7819</v>
      </c>
      <c r="AD2492">
        <v>-1.1100488700890001</v>
      </c>
      <c r="AE2492">
        <v>0.82410000000004402</v>
      </c>
      <c r="AF2492">
        <v>0.27971024141269002</v>
      </c>
      <c r="AG2492">
        <v>-1.1100488700890001</v>
      </c>
      <c r="AH2492">
        <v>17.729826683674599</v>
      </c>
      <c r="AI2492">
        <v>93.582117608665399</v>
      </c>
      <c r="AJ2492">
        <v>89.096162234708302</v>
      </c>
      <c r="AK2492">
        <v>17.766744230338801</v>
      </c>
      <c r="AL2492">
        <v>79.676560524490796</v>
      </c>
      <c r="AM2492">
        <v>92.177181263434903</v>
      </c>
      <c r="AN2492">
        <v>0.99999997991858602</v>
      </c>
    </row>
    <row r="2493" spans="1:40" x14ac:dyDescent="0.25">
      <c r="A2493" t="str">
        <f>"20190312172131275"</f>
        <v>20190312172131275</v>
      </c>
      <c r="B2493" t="str">
        <f>"1552382491263797"</f>
        <v>1552382491263797</v>
      </c>
      <c r="C2493" t="s">
        <v>40</v>
      </c>
      <c r="D2493">
        <v>3.1934490000000002</v>
      </c>
      <c r="E2493">
        <v>0.52022259999999998</v>
      </c>
      <c r="F2493" t="s">
        <v>47</v>
      </c>
      <c r="G2493">
        <v>-285.9982</v>
      </c>
      <c r="H2493" s="1">
        <v>6.0328129999999998E-6</v>
      </c>
      <c r="I2493">
        <v>283.21039999999999</v>
      </c>
      <c r="J2493">
        <v>-268.13060000000002</v>
      </c>
      <c r="K2493">
        <v>1.1100509999999999</v>
      </c>
      <c r="L2493">
        <v>282.37299999999999</v>
      </c>
      <c r="M2493">
        <v>-0.99948590000000004</v>
      </c>
      <c r="N2493">
        <v>0</v>
      </c>
      <c r="O2493">
        <v>3.0515090000000002E-2</v>
      </c>
      <c r="P2493">
        <v>-0.98552329999999999</v>
      </c>
      <c r="Q2493">
        <v>0.16942699999999999</v>
      </c>
      <c r="R2493">
        <v>-6.2044930000000002E-3</v>
      </c>
      <c r="S2493">
        <v>-3.0778810000000001</v>
      </c>
      <c r="T2493">
        <v>-0.18988569999999999</v>
      </c>
      <c r="U2493">
        <v>0.1438904</v>
      </c>
      <c r="V2493">
        <v>-3.6279810000000003E-2</v>
      </c>
      <c r="W2493">
        <v>0.17912729999999999</v>
      </c>
      <c r="X2493">
        <v>0.98315669999999999</v>
      </c>
      <c r="Y2493">
        <v>1.62209E-2</v>
      </c>
      <c r="Z2493">
        <v>-1.379697E-3</v>
      </c>
      <c r="AA2493">
        <v>0.99986750000000002</v>
      </c>
      <c r="AB2493">
        <v>25</v>
      </c>
      <c r="AC2493">
        <v>-17.8675999999999</v>
      </c>
      <c r="AD2493">
        <v>-1.1100449671870001</v>
      </c>
      <c r="AE2493">
        <v>0.83740000000000203</v>
      </c>
      <c r="AF2493">
        <v>0.29063290184899998</v>
      </c>
      <c r="AG2493">
        <v>-1.1100449671870001</v>
      </c>
      <c r="AH2493">
        <v>17.8162191545007</v>
      </c>
      <c r="AI2493">
        <v>93.564749390336999</v>
      </c>
      <c r="AJ2493">
        <v>89.065426751156195</v>
      </c>
      <c r="AK2493">
        <v>17.853132281871702</v>
      </c>
      <c r="AL2493">
        <v>79.6810679016845</v>
      </c>
      <c r="AM2493">
        <v>92.113332742499196</v>
      </c>
      <c r="AN2493">
        <v>0.99999995548690701</v>
      </c>
    </row>
    <row r="2494" spans="1:40" x14ac:dyDescent="0.25">
      <c r="A2494" t="str">
        <f>"20190312172131287"</f>
        <v>20190312172131287</v>
      </c>
      <c r="B2494" t="str">
        <f>"1552382491283317"</f>
        <v>1552382491283317</v>
      </c>
      <c r="C2494" t="s">
        <v>40</v>
      </c>
      <c r="D2494">
        <v>3.196491</v>
      </c>
      <c r="E2494">
        <v>0.51972370000000001</v>
      </c>
      <c r="F2494" t="s">
        <v>47</v>
      </c>
      <c r="G2494">
        <v>-285.94049999999999</v>
      </c>
      <c r="H2494" s="1">
        <v>6.0588450000000001E-6</v>
      </c>
      <c r="I2494">
        <v>283.20830000000001</v>
      </c>
      <c r="J2494">
        <v>-268.25700000000001</v>
      </c>
      <c r="K2494">
        <v>1.1100460000000001</v>
      </c>
      <c r="L2494">
        <v>282.37689999999998</v>
      </c>
      <c r="M2494">
        <v>-0.99948630000000005</v>
      </c>
      <c r="N2494">
        <v>0</v>
      </c>
      <c r="O2494">
        <v>3.050255E-2</v>
      </c>
      <c r="P2494">
        <v>-0.98552759999999995</v>
      </c>
      <c r="Q2494">
        <v>0.1694387</v>
      </c>
      <c r="R2494">
        <v>-5.1245639999999999E-3</v>
      </c>
      <c r="S2494">
        <v>-3.0779719999999999</v>
      </c>
      <c r="T2494">
        <v>-0.19184180000000001</v>
      </c>
      <c r="U2494">
        <v>0.14434810000000001</v>
      </c>
      <c r="V2494">
        <v>-3.5187009999999998E-2</v>
      </c>
      <c r="W2494">
        <v>0.179126799999999</v>
      </c>
      <c r="X2494">
        <v>0.98319659999999998</v>
      </c>
      <c r="Y2494">
        <v>1.638065E-2</v>
      </c>
      <c r="Z2494">
        <v>-1.3880850000000001E-3</v>
      </c>
      <c r="AA2494">
        <v>0.99986489999999995</v>
      </c>
      <c r="AB2494">
        <v>25</v>
      </c>
      <c r="AC2494">
        <v>-17.683499999999899</v>
      </c>
      <c r="AD2494">
        <v>-1.1100399411549999</v>
      </c>
      <c r="AE2494">
        <v>0.83140000000003</v>
      </c>
      <c r="AF2494">
        <v>0.29045319168504002</v>
      </c>
      <c r="AG2494">
        <v>-1.1100399411549999</v>
      </c>
      <c r="AH2494">
        <v>17.6313106668477</v>
      </c>
      <c r="AI2494">
        <v>93.602011065120607</v>
      </c>
      <c r="AJ2494">
        <v>89.056211012391302</v>
      </c>
      <c r="AK2494">
        <v>17.6686068369415</v>
      </c>
      <c r="AL2494">
        <v>79.681097956439899</v>
      </c>
      <c r="AM2494">
        <v>92.049648153750795</v>
      </c>
      <c r="AN2494">
        <v>1.0000000452012601</v>
      </c>
    </row>
    <row r="2495" spans="1:40" x14ac:dyDescent="0.25">
      <c r="A2495" t="str">
        <f>"20190312172131298"</f>
        <v>20190312172131298</v>
      </c>
      <c r="B2495" t="str">
        <f>"1552382491293076"</f>
        <v>1552382491293076</v>
      </c>
      <c r="C2495" t="s">
        <v>40</v>
      </c>
      <c r="D2495">
        <v>3.0236070000000002</v>
      </c>
      <c r="E2495">
        <v>0.51972370000000001</v>
      </c>
      <c r="F2495" t="s">
        <v>47</v>
      </c>
      <c r="G2495">
        <v>-286.18020000000001</v>
      </c>
      <c r="H2495" s="1">
        <v>5.9509780000000001E-6</v>
      </c>
      <c r="I2495">
        <v>283.2158</v>
      </c>
      <c r="J2495">
        <v>-268.38619999999997</v>
      </c>
      <c r="K2495">
        <v>1.1100369999999999</v>
      </c>
      <c r="L2495">
        <v>282.38080000000002</v>
      </c>
      <c r="M2495">
        <v>-0.99948669999999995</v>
      </c>
      <c r="N2495">
        <v>0</v>
      </c>
      <c r="O2495">
        <v>3.0491520000000001E-2</v>
      </c>
      <c r="P2495">
        <v>-0.985487</v>
      </c>
      <c r="Q2495">
        <v>0.16970150000000001</v>
      </c>
      <c r="R2495">
        <v>-4.1418009999999996E-3</v>
      </c>
      <c r="S2495">
        <v>-3.0775760000000001</v>
      </c>
      <c r="T2495">
        <v>-0.1906031</v>
      </c>
      <c r="U2495">
        <v>0.144043</v>
      </c>
      <c r="V2495">
        <v>-3.4191029999999997E-2</v>
      </c>
      <c r="W2495">
        <v>0.17937690000000001</v>
      </c>
      <c r="X2495">
        <v>0.98318609999999995</v>
      </c>
      <c r="Y2495">
        <v>1.6298590000000002E-2</v>
      </c>
      <c r="Z2495">
        <v>-1.3811769999999999E-3</v>
      </c>
      <c r="AA2495">
        <v>0.99986620000000004</v>
      </c>
      <c r="AB2495">
        <v>25</v>
      </c>
      <c r="AC2495">
        <v>-17.794</v>
      </c>
      <c r="AD2495">
        <v>-1.110031049022</v>
      </c>
      <c r="AE2495">
        <v>0.83499999999997898</v>
      </c>
      <c r="AF2495">
        <v>0.290889866632</v>
      </c>
      <c r="AG2495">
        <v>-1.110031049022</v>
      </c>
      <c r="AH2495">
        <v>17.742293702367199</v>
      </c>
      <c r="AI2495">
        <v>93.579514240690202</v>
      </c>
      <c r="AJ2495">
        <v>89.060703829459101</v>
      </c>
      <c r="AK2495">
        <v>17.7793636462434</v>
      </c>
      <c r="AL2495">
        <v>79.666531926176305</v>
      </c>
      <c r="AM2495">
        <v>91.991700839601805</v>
      </c>
      <c r="AN2495">
        <v>1.0000000030096401</v>
      </c>
    </row>
    <row r="2496" spans="1:40" x14ac:dyDescent="0.25">
      <c r="A2496" t="str">
        <f>"20190312172131385"</f>
        <v>20190312172131385</v>
      </c>
      <c r="B2496" t="str">
        <f>"1552382491383845"</f>
        <v>1552382491383845</v>
      </c>
      <c r="C2496" t="s">
        <v>40</v>
      </c>
      <c r="D2496">
        <v>3.2723149999999999</v>
      </c>
      <c r="E2496">
        <v>0.51910089999999998</v>
      </c>
      <c r="F2496" t="s">
        <v>47</v>
      </c>
      <c r="G2496">
        <v>-286.39100000000002</v>
      </c>
      <c r="H2496" s="1">
        <v>5.8520500000000002E-6</v>
      </c>
      <c r="I2496">
        <v>283.2423</v>
      </c>
      <c r="J2496">
        <v>-269.36</v>
      </c>
      <c r="K2496">
        <v>1.10995</v>
      </c>
      <c r="L2496">
        <v>282.41050000000001</v>
      </c>
      <c r="M2496">
        <v>-0.99948879999999996</v>
      </c>
      <c r="N2496">
        <v>0</v>
      </c>
      <c r="O2496">
        <v>3.0489599999999902E-2</v>
      </c>
      <c r="P2496">
        <v>-0.98535530000000005</v>
      </c>
      <c r="Q2496">
        <v>0.17051369999999999</v>
      </c>
      <c r="R2496">
        <v>1.825462E-4</v>
      </c>
      <c r="S2496">
        <v>-3.0774840000000001</v>
      </c>
      <c r="T2496">
        <v>-0.18973370000000001</v>
      </c>
      <c r="U2496">
        <v>0.1472473</v>
      </c>
      <c r="V2496">
        <v>-2.9850249999999998E-2</v>
      </c>
      <c r="W2496">
        <v>0.17999089999999901</v>
      </c>
      <c r="X2496">
        <v>0.98321530000000001</v>
      </c>
      <c r="Y2496">
        <v>1.7338490000000002E-2</v>
      </c>
      <c r="Z2496">
        <v>-1.342759E-3</v>
      </c>
      <c r="AA2496">
        <v>0.99984879999999998</v>
      </c>
      <c r="AB2496">
        <v>25</v>
      </c>
      <c r="AC2496">
        <v>-17.030999999999899</v>
      </c>
      <c r="AD2496">
        <v>-1.1099441479500001</v>
      </c>
      <c r="AE2496">
        <v>0.83179999999998699</v>
      </c>
      <c r="AF2496">
        <v>0.31080388246956198</v>
      </c>
      <c r="AG2496">
        <v>-1.1099441479500001</v>
      </c>
      <c r="AH2496">
        <v>16.976509471497099</v>
      </c>
      <c r="AI2496">
        <v>93.740116336424904</v>
      </c>
      <c r="AJ2496">
        <v>88.951152970499507</v>
      </c>
      <c r="AK2496">
        <v>17.015594285853101</v>
      </c>
      <c r="AL2496">
        <v>79.630770702687201</v>
      </c>
      <c r="AM2496">
        <v>91.738956017754802</v>
      </c>
      <c r="AN2496">
        <v>1.00000004383098</v>
      </c>
    </row>
    <row r="2497" spans="1:40" x14ac:dyDescent="0.25">
      <c r="A2497" t="str">
        <f>"20190312172131408"</f>
        <v>20190312172131408</v>
      </c>
      <c r="B2497" t="str">
        <f>"1552382491403365"</f>
        <v>1552382491403365</v>
      </c>
      <c r="C2497" t="s">
        <v>40</v>
      </c>
      <c r="D2497">
        <v>3.1196890000000002</v>
      </c>
      <c r="E2497">
        <v>0.51370190000000004</v>
      </c>
      <c r="F2497" t="s">
        <v>47</v>
      </c>
      <c r="G2497">
        <v>-286.57139999999998</v>
      </c>
      <c r="H2497" s="1">
        <v>5.7653529999999997E-6</v>
      </c>
      <c r="I2497">
        <v>283.27460000000002</v>
      </c>
      <c r="J2497">
        <v>-269.61</v>
      </c>
      <c r="K2497">
        <v>1.1099220000000001</v>
      </c>
      <c r="L2497">
        <v>282.41820000000001</v>
      </c>
      <c r="M2497">
        <v>-0.99948870000000001</v>
      </c>
      <c r="N2497">
        <v>0</v>
      </c>
      <c r="O2497">
        <v>3.0524180000000001E-2</v>
      </c>
      <c r="P2497">
        <v>-0.98532129999999996</v>
      </c>
      <c r="Q2497">
        <v>0.17071020000000001</v>
      </c>
      <c r="R2497">
        <v>3.9681280000000002E-4</v>
      </c>
      <c r="S2497">
        <v>-3.0788880000000001</v>
      </c>
      <c r="T2497">
        <v>-0.1985538</v>
      </c>
      <c r="U2497">
        <v>0.1545715</v>
      </c>
      <c r="V2497">
        <v>-2.9664920000000001E-2</v>
      </c>
      <c r="W2497">
        <v>0.18010109999999999</v>
      </c>
      <c r="X2497">
        <v>0.98320070000000004</v>
      </c>
      <c r="Y2497">
        <v>1.9652510000000002E-2</v>
      </c>
      <c r="Z2497">
        <v>-1.332048E-3</v>
      </c>
      <c r="AA2497">
        <v>0.99980599999999997</v>
      </c>
      <c r="AB2497">
        <v>25</v>
      </c>
      <c r="AC2497">
        <v>-16.961399999999902</v>
      </c>
      <c r="AD2497">
        <v>-1.109916234647</v>
      </c>
      <c r="AE2497">
        <v>0.85640000000000704</v>
      </c>
      <c r="AF2497">
        <v>0.33680605059311403</v>
      </c>
      <c r="AG2497">
        <v>-1.109916234647</v>
      </c>
      <c r="AH2497">
        <v>16.907422641910401</v>
      </c>
      <c r="AI2497">
        <v>93.7551459393367</v>
      </c>
      <c r="AJ2497">
        <v>88.858784475348898</v>
      </c>
      <c r="AK2497">
        <v>16.947161790572299</v>
      </c>
      <c r="AL2497">
        <v>79.624351510274195</v>
      </c>
      <c r="AM2497">
        <v>91.7281916483754</v>
      </c>
      <c r="AN2497">
        <v>1.00000001509015</v>
      </c>
    </row>
    <row r="2498" spans="1:40" x14ac:dyDescent="0.25">
      <c r="A2498" t="str">
        <f>"20190312172131421"</f>
        <v>20190312172131421</v>
      </c>
      <c r="B2498" t="str">
        <f>"1552382491413124"</f>
        <v>1552382491413124</v>
      </c>
      <c r="C2498" t="s">
        <v>40</v>
      </c>
      <c r="D2498">
        <v>3.1793330000000002</v>
      </c>
      <c r="E2498">
        <v>0.51398949999999999</v>
      </c>
      <c r="F2498" t="s">
        <v>41</v>
      </c>
      <c r="G2498">
        <v>-270.4511</v>
      </c>
      <c r="H2498">
        <v>0.99634829999999996</v>
      </c>
      <c r="I2498">
        <v>282.44850000000002</v>
      </c>
      <c r="J2498">
        <v>-269.75740000000002</v>
      </c>
      <c r="K2498">
        <v>1.10991</v>
      </c>
      <c r="L2498">
        <v>282.42270000000002</v>
      </c>
      <c r="M2498">
        <v>-0.9994883</v>
      </c>
      <c r="N2498">
        <v>0</v>
      </c>
      <c r="O2498">
        <v>3.0551060000000001E-2</v>
      </c>
      <c r="P2498">
        <v>-0.98530759999999995</v>
      </c>
      <c r="Q2498">
        <v>0.1707881</v>
      </c>
      <c r="R2498">
        <v>4.8942120000000004E-4</v>
      </c>
      <c r="S2498">
        <v>-3.1175839999999999</v>
      </c>
      <c r="T2498">
        <v>-0.4209849</v>
      </c>
      <c r="U2498">
        <v>0.11190799999999999</v>
      </c>
      <c r="V2498">
        <v>-2.9595409999999999E-2</v>
      </c>
      <c r="W2498">
        <v>0.18012449999999999</v>
      </c>
      <c r="X2498">
        <v>0.98319849999999998</v>
      </c>
      <c r="Y2498">
        <v>5.5496259999999898E-3</v>
      </c>
      <c r="Z2498">
        <v>-3.7317940000000001E-3</v>
      </c>
      <c r="AA2498">
        <v>0.99997760000000002</v>
      </c>
      <c r="AB2498">
        <v>25</v>
      </c>
      <c r="AC2498">
        <v>-0.693699999999978</v>
      </c>
      <c r="AD2498">
        <v>-0.1135617</v>
      </c>
      <c r="AE2498">
        <v>2.5800000000003799E-2</v>
      </c>
      <c r="AF2498">
        <v>4.4740004024658199E-3</v>
      </c>
      <c r="AG2498">
        <v>-0.1135617</v>
      </c>
      <c r="AH2498">
        <v>0.67607132636184297</v>
      </c>
      <c r="AI2498">
        <v>99.534923900374594</v>
      </c>
      <c r="AJ2498">
        <v>89.620842374615194</v>
      </c>
      <c r="AK2498">
        <v>0.68555722935080599</v>
      </c>
      <c r="AL2498">
        <v>79.622988414449594</v>
      </c>
      <c r="AM2498">
        <v>91.724148501301002</v>
      </c>
      <c r="AN2498">
        <v>1.0000000070977799</v>
      </c>
    </row>
    <row r="2499" spans="1:40" x14ac:dyDescent="0.25">
      <c r="A2499" t="str">
        <f>"20190312172131434"</f>
        <v>20190312172131434</v>
      </c>
      <c r="B2499" t="str">
        <f>"1552382491423861"</f>
        <v>1552382491423861</v>
      </c>
      <c r="C2499" t="s">
        <v>40</v>
      </c>
      <c r="D2499">
        <v>3.191017</v>
      </c>
      <c r="E2499">
        <v>0.51468309999999995</v>
      </c>
      <c r="F2499" t="s">
        <v>41</v>
      </c>
      <c r="G2499">
        <v>-270.67739999999998</v>
      </c>
      <c r="H2499">
        <v>0.99774560000000001</v>
      </c>
      <c r="I2499">
        <v>282.45670000000001</v>
      </c>
      <c r="J2499">
        <v>-269.91149999999999</v>
      </c>
      <c r="K2499">
        <v>1.109893</v>
      </c>
      <c r="L2499">
        <v>282.42750000000001</v>
      </c>
      <c r="M2499">
        <v>-0.99948769999999998</v>
      </c>
      <c r="N2499">
        <v>0</v>
      </c>
      <c r="O2499">
        <v>3.0586479999999999E-2</v>
      </c>
      <c r="P2499">
        <v>-0.98527260000000005</v>
      </c>
      <c r="Q2499">
        <v>0.17098920000000001</v>
      </c>
      <c r="R2499">
        <v>5.5512230000000001E-4</v>
      </c>
      <c r="S2499">
        <v>-3.1104430000000001</v>
      </c>
      <c r="T2499">
        <v>-0.37930059999999999</v>
      </c>
      <c r="U2499">
        <v>0.1143494</v>
      </c>
      <c r="V2499">
        <v>-2.9560409999999999E-2</v>
      </c>
      <c r="W2499">
        <v>0.1802657</v>
      </c>
      <c r="X2499">
        <v>0.98317370000000004</v>
      </c>
      <c r="Y2499">
        <v>6.3331790000000004E-3</v>
      </c>
      <c r="Z2499">
        <v>-3.3294549999999998E-3</v>
      </c>
      <c r="AA2499">
        <v>0.99997440000000004</v>
      </c>
      <c r="AB2499">
        <v>25</v>
      </c>
      <c r="AC2499">
        <v>-0.76589999999998704</v>
      </c>
      <c r="AD2499">
        <v>-0.11214739999999999</v>
      </c>
      <c r="AE2499">
        <v>2.9200000000002901E-2</v>
      </c>
      <c r="AF2499">
        <v>5.6383971148668199E-3</v>
      </c>
      <c r="AG2499">
        <v>-0.11214739999999999</v>
      </c>
      <c r="AH2499">
        <v>0.75036985607839102</v>
      </c>
      <c r="AI2499">
        <v>98.500052856773195</v>
      </c>
      <c r="AJ2499">
        <v>89.569478604059796</v>
      </c>
      <c r="AK2499">
        <v>0.75872508312292597</v>
      </c>
      <c r="AL2499">
        <v>79.614763883550907</v>
      </c>
      <c r="AM2499">
        <v>91.722154137641297</v>
      </c>
      <c r="AN2499">
        <v>1.0000000324037699</v>
      </c>
    </row>
    <row r="2500" spans="1:40" x14ac:dyDescent="0.25">
      <c r="A2500" t="str">
        <f>"20190312172131447"</f>
        <v>20190312172131447</v>
      </c>
      <c r="B2500" t="str">
        <f>"1552382491443380"</f>
        <v>1552382491443380</v>
      </c>
      <c r="C2500" t="s">
        <v>40</v>
      </c>
      <c r="D2500">
        <v>3.1310579999999999</v>
      </c>
      <c r="E2500">
        <v>0.51539060000000003</v>
      </c>
      <c r="F2500" t="s">
        <v>41</v>
      </c>
      <c r="G2500">
        <v>-270.68939999999998</v>
      </c>
      <c r="H2500">
        <v>1.0227349999999999</v>
      </c>
      <c r="I2500">
        <v>282.45760000000001</v>
      </c>
      <c r="J2500">
        <v>-270.04880000000003</v>
      </c>
      <c r="K2500">
        <v>1.10988</v>
      </c>
      <c r="L2500">
        <v>282.43169999999998</v>
      </c>
      <c r="M2500">
        <v>-0.99948720000000002</v>
      </c>
      <c r="N2500">
        <v>0</v>
      </c>
      <c r="O2500">
        <v>3.0621329999999999E-2</v>
      </c>
      <c r="P2500">
        <v>-0.98522790000000005</v>
      </c>
      <c r="Q2500">
        <v>0.17124790000000001</v>
      </c>
      <c r="R2500">
        <v>6.421981E-4</v>
      </c>
      <c r="S2500">
        <v>-3.105194</v>
      </c>
      <c r="T2500">
        <v>-0.34803630000000002</v>
      </c>
      <c r="U2500">
        <v>0.1196899</v>
      </c>
      <c r="V2500">
        <v>-2.950303E-2</v>
      </c>
      <c r="W2500">
        <v>0.1804693</v>
      </c>
      <c r="X2500">
        <v>0.98313799999999996</v>
      </c>
      <c r="Y2500">
        <v>8.0395729999999995E-3</v>
      </c>
      <c r="Z2500">
        <v>-2.9704000000000002E-3</v>
      </c>
      <c r="AA2500">
        <v>0.9999633</v>
      </c>
      <c r="AB2500">
        <v>25</v>
      </c>
      <c r="AC2500">
        <v>-0.64059999999994899</v>
      </c>
      <c r="AD2500">
        <v>-8.7145E-2</v>
      </c>
      <c r="AE2500">
        <v>2.5900000000035499E-2</v>
      </c>
      <c r="AF2500">
        <v>6.15721038856597E-3</v>
      </c>
      <c r="AG2500">
        <v>-8.7145E-2</v>
      </c>
      <c r="AH2500">
        <v>0.629462905844554</v>
      </c>
      <c r="AI2500">
        <v>97.881748638312004</v>
      </c>
      <c r="AJ2500">
        <v>89.439568377038995</v>
      </c>
      <c r="AK2500">
        <v>0.63549642965089803</v>
      </c>
      <c r="AL2500">
        <v>79.602903212128993</v>
      </c>
      <c r="AM2500">
        <v>91.718875631256395</v>
      </c>
      <c r="AN2500">
        <v>0.99999996203283403</v>
      </c>
    </row>
    <row r="2501" spans="1:40" x14ac:dyDescent="0.25">
      <c r="A2501" t="str">
        <f>"20190312172131463"</f>
        <v>20190312172131463</v>
      </c>
      <c r="B2501" t="str">
        <f>"1552382491453141"</f>
        <v>1552382491453141</v>
      </c>
      <c r="C2501" t="s">
        <v>40</v>
      </c>
      <c r="D2501">
        <v>3.0890840000000002</v>
      </c>
      <c r="E2501">
        <v>0.51543729999999999</v>
      </c>
      <c r="F2501" t="s">
        <v>41</v>
      </c>
      <c r="G2501">
        <v>-270.91609999999997</v>
      </c>
      <c r="H2501">
        <v>1.0241720000000001</v>
      </c>
      <c r="I2501">
        <v>282.46690000000001</v>
      </c>
      <c r="J2501">
        <v>-270.23869999999999</v>
      </c>
      <c r="K2501">
        <v>1.109855</v>
      </c>
      <c r="L2501">
        <v>282.43759999999997</v>
      </c>
      <c r="M2501">
        <v>-0.99948630000000005</v>
      </c>
      <c r="N2501">
        <v>0</v>
      </c>
      <c r="O2501">
        <v>3.067539E-2</v>
      </c>
      <c r="P2501">
        <v>-0.98513640000000002</v>
      </c>
      <c r="Q2501">
        <v>0.171770799999999</v>
      </c>
      <c r="R2501">
        <v>9.9554659999999992E-4</v>
      </c>
      <c r="S2501">
        <v>-3.0981139999999998</v>
      </c>
      <c r="T2501">
        <v>-0.30632559999999998</v>
      </c>
      <c r="U2501">
        <v>0.1254883</v>
      </c>
      <c r="V2501">
        <v>-2.9196360000000001E-2</v>
      </c>
      <c r="W2501">
        <v>0.1809134</v>
      </c>
      <c r="X2501">
        <v>0.98306550000000004</v>
      </c>
      <c r="Y2501">
        <v>9.9019959999999997E-3</v>
      </c>
      <c r="Z2501">
        <v>-2.5355820000000002E-3</v>
      </c>
      <c r="AA2501">
        <v>0.99994780000000005</v>
      </c>
      <c r="AB2501">
        <v>25</v>
      </c>
      <c r="AC2501">
        <v>-0.67739999999997702</v>
      </c>
      <c r="AD2501">
        <v>-8.5683000000000106E-2</v>
      </c>
      <c r="AE2501">
        <v>2.9300000000034701E-2</v>
      </c>
      <c r="AF2501">
        <v>8.37210870796193E-3</v>
      </c>
      <c r="AG2501">
        <v>-8.5683000000000106E-2</v>
      </c>
      <c r="AH2501">
        <v>0.66732329726704698</v>
      </c>
      <c r="AI2501">
        <v>97.316063772798003</v>
      </c>
      <c r="AJ2501">
        <v>89.281215968601799</v>
      </c>
      <c r="AK2501">
        <v>0.67285366296735105</v>
      </c>
      <c r="AL2501">
        <v>79.577031994721295</v>
      </c>
      <c r="AM2501">
        <v>91.701144660950604</v>
      </c>
      <c r="AN2501">
        <v>0.99999993151352695</v>
      </c>
    </row>
    <row r="2502" spans="1:40" x14ac:dyDescent="0.25">
      <c r="A2502" t="str">
        <f>"20190312172131474"</f>
        <v>20190312172131474</v>
      </c>
      <c r="B2502" t="str">
        <f>"1552382491463877"</f>
        <v>1552382491463877</v>
      </c>
      <c r="C2502" t="s">
        <v>40</v>
      </c>
      <c r="D2502">
        <v>3.1335519999999999</v>
      </c>
      <c r="E2502">
        <v>0.51547600000000005</v>
      </c>
      <c r="F2502" t="s">
        <v>41</v>
      </c>
      <c r="G2502">
        <v>-271.14269999999999</v>
      </c>
      <c r="H2502">
        <v>1.0239819999999999</v>
      </c>
      <c r="I2502">
        <v>282.47489999999999</v>
      </c>
      <c r="J2502">
        <v>-270.36759999999998</v>
      </c>
      <c r="K2502">
        <v>1.1098399999999999</v>
      </c>
      <c r="L2502">
        <v>282.44150000000002</v>
      </c>
      <c r="M2502">
        <v>-0.99948550000000003</v>
      </c>
      <c r="N2502">
        <v>0</v>
      </c>
      <c r="O2502">
        <v>3.071689E-2</v>
      </c>
      <c r="P2502">
        <v>-0.98508019999999996</v>
      </c>
      <c r="Q2502">
        <v>0.17209140000000001</v>
      </c>
      <c r="R2502">
        <v>1.1790399999999999E-3</v>
      </c>
      <c r="S2502">
        <v>-3.0964659999999999</v>
      </c>
      <c r="T2502">
        <v>-0.29424430000000001</v>
      </c>
      <c r="U2502">
        <v>0.12704469999999901</v>
      </c>
      <c r="V2502">
        <v>-2.9050530000000001E-2</v>
      </c>
      <c r="W2502">
        <v>0.1811779</v>
      </c>
      <c r="X2502">
        <v>0.98302120000000004</v>
      </c>
      <c r="Y2502">
        <v>1.037414E-2</v>
      </c>
      <c r="Z2502">
        <v>-2.418852E-3</v>
      </c>
      <c r="AA2502">
        <v>0.99994329999999998</v>
      </c>
      <c r="AB2502">
        <v>25</v>
      </c>
      <c r="AC2502">
        <v>-0.775100000000009</v>
      </c>
      <c r="AD2502">
        <v>-8.5857999999999907E-2</v>
      </c>
      <c r="AE2502">
        <v>3.3399999999971897E-2</v>
      </c>
      <c r="AF2502">
        <v>9.4587184134489292E-3</v>
      </c>
      <c r="AG2502">
        <v>-8.5857999999999907E-2</v>
      </c>
      <c r="AH2502">
        <v>0.76637419102238602</v>
      </c>
      <c r="AI2502">
        <v>96.391791281178399</v>
      </c>
      <c r="AJ2502">
        <v>89.292881812073105</v>
      </c>
      <c r="AK2502">
        <v>0.77122659717053399</v>
      </c>
      <c r="AL2502">
        <v>79.5616235723828</v>
      </c>
      <c r="AM2502">
        <v>91.692728972952295</v>
      </c>
      <c r="AN2502">
        <v>1.0000000221955601</v>
      </c>
    </row>
    <row r="2503" spans="1:40" x14ac:dyDescent="0.25">
      <c r="A2503" t="str">
        <f>"20190312172131487"</f>
        <v>20190312172131487</v>
      </c>
      <c r="B2503" t="str">
        <f>"1552382491483397"</f>
        <v>1552382491483397</v>
      </c>
      <c r="C2503" t="s">
        <v>40</v>
      </c>
      <c r="D2503">
        <v>3.1303960000000002</v>
      </c>
      <c r="E2503">
        <v>0.51507040000000004</v>
      </c>
      <c r="F2503" t="s">
        <v>41</v>
      </c>
      <c r="G2503">
        <v>-271.15030000000002</v>
      </c>
      <c r="H2503">
        <v>1.0381899999999999</v>
      </c>
      <c r="I2503">
        <v>282.47410000000002</v>
      </c>
      <c r="J2503">
        <v>-270.49700000000001</v>
      </c>
      <c r="K2503">
        <v>1.109828</v>
      </c>
      <c r="L2503">
        <v>282.44560000000001</v>
      </c>
      <c r="M2503">
        <v>-0.9994847</v>
      </c>
      <c r="N2503">
        <v>0</v>
      </c>
      <c r="O2503">
        <v>3.0761380000000001E-2</v>
      </c>
      <c r="P2503">
        <v>-0.9850255</v>
      </c>
      <c r="Q2503">
        <v>0.17240259999999999</v>
      </c>
      <c r="R2503">
        <v>1.4889149999999999E-3</v>
      </c>
      <c r="S2503">
        <v>-3.094849</v>
      </c>
      <c r="T2503">
        <v>-0.28346100000000002</v>
      </c>
      <c r="U2503">
        <v>0.1278687</v>
      </c>
      <c r="V2503">
        <v>-2.878058E-2</v>
      </c>
      <c r="W2503">
        <v>0.18143210000000001</v>
      </c>
      <c r="X2503">
        <v>0.98298220000000003</v>
      </c>
      <c r="Y2503">
        <v>1.0609560000000001E-2</v>
      </c>
      <c r="Z2503">
        <v>-2.3250850000000002E-3</v>
      </c>
      <c r="AA2503">
        <v>0.99994099999999997</v>
      </c>
      <c r="AB2503">
        <v>25</v>
      </c>
      <c r="AC2503">
        <v>-0.65330000000000099</v>
      </c>
      <c r="AD2503">
        <v>-7.1637999999999993E-2</v>
      </c>
      <c r="AE2503">
        <v>2.8500000000008099E-2</v>
      </c>
      <c r="AF2503">
        <v>8.2897673349540506E-3</v>
      </c>
      <c r="AG2503">
        <v>-7.1637999999999993E-2</v>
      </c>
      <c r="AH2503">
        <v>0.64611320677187001</v>
      </c>
      <c r="AI2503">
        <v>96.326329111333905</v>
      </c>
      <c r="AJ2503">
        <v>89.264923519858897</v>
      </c>
      <c r="AK2503">
        <v>0.65012537194874698</v>
      </c>
      <c r="AL2503">
        <v>79.546812955217902</v>
      </c>
      <c r="AM2503">
        <v>91.677074930196994</v>
      </c>
      <c r="AN2503">
        <v>0.99999996710619199</v>
      </c>
    </row>
    <row r="2504" spans="1:40" x14ac:dyDescent="0.25">
      <c r="A2504" t="str">
        <f>"20190312172131498"</f>
        <v>20190312172131498</v>
      </c>
      <c r="B2504" t="str">
        <f>"1552382491493156"</f>
        <v>1552382491493156</v>
      </c>
      <c r="C2504" t="s">
        <v>40</v>
      </c>
      <c r="D2504">
        <v>3.1168390000000001</v>
      </c>
      <c r="E2504">
        <v>0.51485029999999998</v>
      </c>
      <c r="F2504" t="s">
        <v>41</v>
      </c>
      <c r="G2504">
        <v>-271.37430000000001</v>
      </c>
      <c r="H2504">
        <v>1.0326420000000001</v>
      </c>
      <c r="I2504">
        <v>282.48110000000003</v>
      </c>
      <c r="J2504">
        <v>-270.62990000000002</v>
      </c>
      <c r="K2504">
        <v>1.10982</v>
      </c>
      <c r="L2504">
        <v>282.44970000000001</v>
      </c>
      <c r="M2504">
        <v>-0.99948389999999998</v>
      </c>
      <c r="N2504">
        <v>0</v>
      </c>
      <c r="O2504">
        <v>3.0809139999999999E-2</v>
      </c>
      <c r="P2504">
        <v>-0.98494110000000001</v>
      </c>
      <c r="Q2504">
        <v>0.17288190000000001</v>
      </c>
      <c r="R2504">
        <v>1.8377809999999999E-3</v>
      </c>
      <c r="S2504">
        <v>-3.093048</v>
      </c>
      <c r="T2504">
        <v>-0.27211960000000002</v>
      </c>
      <c r="U2504">
        <v>0.12530519999999901</v>
      </c>
      <c r="V2504">
        <v>-2.8474599999999999E-2</v>
      </c>
      <c r="W2504">
        <v>0.18185219999999999</v>
      </c>
      <c r="X2504">
        <v>0.9829135</v>
      </c>
      <c r="Y2504">
        <v>9.7554330000000009E-3</v>
      </c>
      <c r="Z2504">
        <v>-2.2754339999999998E-3</v>
      </c>
      <c r="AA2504">
        <v>0.9999498</v>
      </c>
      <c r="AB2504">
        <v>25</v>
      </c>
      <c r="AC2504">
        <v>-0.74439999999998396</v>
      </c>
      <c r="AD2504">
        <v>-7.7177999999999899E-2</v>
      </c>
      <c r="AE2504">
        <v>3.14000000000191E-2</v>
      </c>
      <c r="AF2504">
        <v>8.3601156150646897E-3</v>
      </c>
      <c r="AG2504">
        <v>-7.7177999999999899E-2</v>
      </c>
      <c r="AH2504">
        <v>0.737104859097369</v>
      </c>
      <c r="AI2504">
        <v>95.976949478906107</v>
      </c>
      <c r="AJ2504">
        <v>89.350189057038506</v>
      </c>
      <c r="AK2504">
        <v>0.74118142753447902</v>
      </c>
      <c r="AL2504">
        <v>79.522336023213299</v>
      </c>
      <c r="AM2504">
        <v>91.659371079004501</v>
      </c>
      <c r="AN2504">
        <v>0.99999998698612402</v>
      </c>
    </row>
    <row r="2505" spans="1:40" x14ac:dyDescent="0.25">
      <c r="A2505" t="str">
        <f>"20190312172131509"</f>
        <v>20190312172131509</v>
      </c>
      <c r="B2505" t="str">
        <f>"1552382491503893"</f>
        <v>1552382491503893</v>
      </c>
      <c r="C2505" t="s">
        <v>40</v>
      </c>
      <c r="D2505">
        <v>3.101353</v>
      </c>
      <c r="E2505">
        <v>0.51465810000000001</v>
      </c>
      <c r="F2505" t="s">
        <v>41</v>
      </c>
      <c r="G2505">
        <v>-271.38319999999999</v>
      </c>
      <c r="H2505">
        <v>1.0443629999999999</v>
      </c>
      <c r="I2505">
        <v>282.48020000000002</v>
      </c>
      <c r="J2505">
        <v>-270.75580000000002</v>
      </c>
      <c r="K2505">
        <v>1.109812</v>
      </c>
      <c r="L2505">
        <v>282.45359999999999</v>
      </c>
      <c r="M2505">
        <v>-0.9994828</v>
      </c>
      <c r="N2505">
        <v>0</v>
      </c>
      <c r="O2505">
        <v>3.0859089999999999E-2</v>
      </c>
      <c r="P2505">
        <v>-0.98487440000000004</v>
      </c>
      <c r="Q2505">
        <v>0.173258</v>
      </c>
      <c r="R2505">
        <v>2.0533539999999999E-3</v>
      </c>
      <c r="S2505">
        <v>-3.0928040000000001</v>
      </c>
      <c r="T2505">
        <v>-0.26875929999999998</v>
      </c>
      <c r="U2505">
        <v>0.1248779</v>
      </c>
      <c r="V2505">
        <v>-2.8304639999999999E-2</v>
      </c>
      <c r="W2505">
        <v>0.18217059999999999</v>
      </c>
      <c r="X2505">
        <v>0.9828595</v>
      </c>
      <c r="Y2505">
        <v>9.5696670000000005E-3</v>
      </c>
      <c r="Z2505">
        <v>-2.2600049999999998E-3</v>
      </c>
      <c r="AA2505">
        <v>0.9999517</v>
      </c>
      <c r="AB2505">
        <v>25</v>
      </c>
      <c r="AC2505">
        <v>-0.62739999999996598</v>
      </c>
      <c r="AD2505">
        <v>-6.5448999999999993E-2</v>
      </c>
      <c r="AE2505">
        <v>2.6600000000030301E-2</v>
      </c>
      <c r="AF2505">
        <v>7.1478997631303099E-3</v>
      </c>
      <c r="AG2505">
        <v>-6.5448999999999993E-2</v>
      </c>
      <c r="AH2505">
        <v>0.62117443833457398</v>
      </c>
      <c r="AI2505">
        <v>96.014286517945393</v>
      </c>
      <c r="AJ2505">
        <v>89.340722366100593</v>
      </c>
      <c r="AK2505">
        <v>0.62465378163611396</v>
      </c>
      <c r="AL2505">
        <v>79.503783693489893</v>
      </c>
      <c r="AM2505">
        <v>91.649562640636702</v>
      </c>
      <c r="AN2505">
        <v>1.00000003844506</v>
      </c>
    </row>
    <row r="2506" spans="1:40" x14ac:dyDescent="0.25">
      <c r="A2506" t="str">
        <f>"20190312172131522"</f>
        <v>20190312172131522</v>
      </c>
      <c r="B2506" t="str">
        <f>"1552382491513653"</f>
        <v>1552382491513653</v>
      </c>
      <c r="C2506" t="s">
        <v>40</v>
      </c>
      <c r="D2506">
        <v>3.129921</v>
      </c>
      <c r="E2506">
        <v>0.51436990000000005</v>
      </c>
      <c r="F2506" t="s">
        <v>41</v>
      </c>
      <c r="G2506">
        <v>-271.60430000000002</v>
      </c>
      <c r="H2506">
        <v>1.0367789999999999</v>
      </c>
      <c r="I2506">
        <v>282.48779999999999</v>
      </c>
      <c r="J2506">
        <v>-270.89999999999998</v>
      </c>
      <c r="K2506">
        <v>1.109799</v>
      </c>
      <c r="L2506">
        <v>282.4581</v>
      </c>
      <c r="M2506">
        <v>-0.99948159999999997</v>
      </c>
      <c r="N2506">
        <v>0</v>
      </c>
      <c r="O2506">
        <v>3.091785E-2</v>
      </c>
      <c r="P2506">
        <v>-0.98478569999999999</v>
      </c>
      <c r="Q2506">
        <v>0.173757299999999</v>
      </c>
      <c r="R2506">
        <v>2.369E-3</v>
      </c>
      <c r="S2506">
        <v>-3.092651</v>
      </c>
      <c r="T2506">
        <v>-0.26629509999999901</v>
      </c>
      <c r="U2506">
        <v>0.12417599999999999</v>
      </c>
      <c r="V2506">
        <v>-2.804224E-2</v>
      </c>
      <c r="W2506">
        <v>0.18260290000000001</v>
      </c>
      <c r="X2506">
        <v>0.98278679999999996</v>
      </c>
      <c r="Y2506">
        <v>9.2861200000000001E-3</v>
      </c>
      <c r="Z2506">
        <v>-2.2567070000000002E-3</v>
      </c>
      <c r="AA2506">
        <v>0.99995429999999996</v>
      </c>
      <c r="AB2506">
        <v>25</v>
      </c>
      <c r="AC2506">
        <v>-0.704300000000046</v>
      </c>
      <c r="AD2506">
        <v>-7.3019999999999793E-2</v>
      </c>
      <c r="AE2506">
        <v>2.9699999999991102E-2</v>
      </c>
      <c r="AF2506">
        <v>7.8255134242310297E-3</v>
      </c>
      <c r="AG2506">
        <v>-7.3019999999999793E-2</v>
      </c>
      <c r="AH2506">
        <v>0.69739853088782799</v>
      </c>
      <c r="AI2506">
        <v>95.976910491329903</v>
      </c>
      <c r="AJ2506">
        <v>89.357110668999496</v>
      </c>
      <c r="AK2506">
        <v>0.70125449727246303</v>
      </c>
      <c r="AL2506">
        <v>79.478592207885598</v>
      </c>
      <c r="AM2506">
        <v>91.634399422609107</v>
      </c>
      <c r="AN2506">
        <v>1.0000000402834299</v>
      </c>
    </row>
    <row r="2507" spans="1:40" x14ac:dyDescent="0.25">
      <c r="A2507" t="str">
        <f>"20190312172131533"</f>
        <v>20190312172131533</v>
      </c>
      <c r="B2507" t="str">
        <f>"1552382491523413"</f>
        <v>1552382491523413</v>
      </c>
      <c r="C2507" t="s">
        <v>40</v>
      </c>
      <c r="D2507">
        <v>3.1226389999999999</v>
      </c>
      <c r="E2507">
        <v>0.51411560000000001</v>
      </c>
      <c r="F2507" t="s">
        <v>41</v>
      </c>
      <c r="G2507">
        <v>-271.82990000000001</v>
      </c>
      <c r="H2507">
        <v>1.030702</v>
      </c>
      <c r="I2507">
        <v>282.495</v>
      </c>
      <c r="J2507">
        <v>-271.03719999999998</v>
      </c>
      <c r="K2507">
        <v>1.1097889999999999</v>
      </c>
      <c r="L2507">
        <v>282.4624</v>
      </c>
      <c r="M2507">
        <v>-0.99948040000000005</v>
      </c>
      <c r="N2507">
        <v>0</v>
      </c>
      <c r="O2507">
        <v>3.097828E-2</v>
      </c>
      <c r="P2507">
        <v>-0.98469600000000002</v>
      </c>
      <c r="Q2507">
        <v>0.1742629</v>
      </c>
      <c r="R2507">
        <v>2.600462E-3</v>
      </c>
      <c r="S2507">
        <v>-3.0924990000000001</v>
      </c>
      <c r="T2507">
        <v>-0.2630402</v>
      </c>
      <c r="U2507">
        <v>0.1224976</v>
      </c>
      <c r="V2507">
        <v>-2.7865600000000001E-2</v>
      </c>
      <c r="W2507">
        <v>0.18304119999999999</v>
      </c>
      <c r="X2507">
        <v>0.98271019999999998</v>
      </c>
      <c r="Y2507">
        <v>8.6862429999999997E-3</v>
      </c>
      <c r="Z2507">
        <v>-2.2599410000000001E-3</v>
      </c>
      <c r="AA2507">
        <v>0.99995970000000001</v>
      </c>
      <c r="AB2507">
        <v>26</v>
      </c>
      <c r="AC2507">
        <v>-0.79270000000002405</v>
      </c>
      <c r="AD2507">
        <v>-7.9086999999999893E-2</v>
      </c>
      <c r="AE2507">
        <v>3.26000000000021E-2</v>
      </c>
      <c r="AF2507">
        <v>7.9479176036569895E-3</v>
      </c>
      <c r="AG2507">
        <v>-7.9086999999999893E-2</v>
      </c>
      <c r="AH2507">
        <v>0.78552364391832996</v>
      </c>
      <c r="AI2507">
        <v>95.748908247106996</v>
      </c>
      <c r="AJ2507">
        <v>89.420301859305198</v>
      </c>
      <c r="AK2507">
        <v>0.78953487454194504</v>
      </c>
      <c r="AL2507">
        <v>79.453048052084995</v>
      </c>
      <c r="AM2507">
        <v>91.624236287317999</v>
      </c>
      <c r="AN2507">
        <v>0.999999954872418</v>
      </c>
    </row>
    <row r="2508" spans="1:40" x14ac:dyDescent="0.25">
      <c r="A2508" t="str">
        <f>"20190312172131545"</f>
        <v>20190312172131545</v>
      </c>
      <c r="B2508" t="str">
        <f>"1552382491533173"</f>
        <v>1552382491533173</v>
      </c>
      <c r="C2508" t="s">
        <v>40</v>
      </c>
      <c r="D2508">
        <v>3.0952489999999999</v>
      </c>
      <c r="E2508">
        <v>0.51388859999999903</v>
      </c>
      <c r="F2508" t="s">
        <v>41</v>
      </c>
      <c r="G2508">
        <v>-271.83819999999997</v>
      </c>
      <c r="H2508">
        <v>1.0426070000000001</v>
      </c>
      <c r="I2508">
        <v>282.49380000000002</v>
      </c>
      <c r="J2508">
        <v>-271.16629999999998</v>
      </c>
      <c r="K2508">
        <v>1.1097760000000001</v>
      </c>
      <c r="L2508">
        <v>282.4665</v>
      </c>
      <c r="M2508">
        <v>-0.99947889999999995</v>
      </c>
      <c r="N2508">
        <v>0</v>
      </c>
      <c r="O2508">
        <v>3.1038329999999999E-2</v>
      </c>
      <c r="P2508">
        <v>-0.98465559999999996</v>
      </c>
      <c r="Q2508">
        <v>0.17448649999999999</v>
      </c>
      <c r="R2508">
        <v>2.7744499999999999E-3</v>
      </c>
      <c r="S2508">
        <v>-3.0922550000000002</v>
      </c>
      <c r="T2508">
        <v>-0.2594013</v>
      </c>
      <c r="U2508">
        <v>0.1213684</v>
      </c>
      <c r="V2508">
        <v>-2.774809E-2</v>
      </c>
      <c r="W2508">
        <v>0.1832001</v>
      </c>
      <c r="X2508">
        <v>0.982684</v>
      </c>
      <c r="Y2508">
        <v>8.2642229999999994E-3</v>
      </c>
      <c r="Z2508">
        <v>-2.251669E-3</v>
      </c>
      <c r="AA2508">
        <v>0.9999633</v>
      </c>
      <c r="AB2508">
        <v>26</v>
      </c>
      <c r="AC2508">
        <v>-0.67189999999999295</v>
      </c>
      <c r="AD2508">
        <v>-6.7169000000000006E-2</v>
      </c>
      <c r="AE2508">
        <v>2.73000000000252E-2</v>
      </c>
      <c r="AF2508">
        <v>6.3678389377983301E-3</v>
      </c>
      <c r="AG2508">
        <v>-6.7169000000000006E-2</v>
      </c>
      <c r="AH2508">
        <v>0.66578094736241</v>
      </c>
      <c r="AI2508">
        <v>95.760675629575104</v>
      </c>
      <c r="AJ2508">
        <v>89.452013199790898</v>
      </c>
      <c r="AK2508">
        <v>0.66919092477747</v>
      </c>
      <c r="AL2508">
        <v>79.443788047539201</v>
      </c>
      <c r="AM2508">
        <v>91.617433583586106</v>
      </c>
      <c r="AN2508">
        <v>1.00000003849732</v>
      </c>
    </row>
    <row r="2509" spans="1:40" x14ac:dyDescent="0.25">
      <c r="A2509" t="str">
        <f>"20190312172131556"</f>
        <v>20190312172131556</v>
      </c>
      <c r="B2509" t="str">
        <f>"1552382491553668"</f>
        <v>1552382491553668</v>
      </c>
      <c r="C2509" t="s">
        <v>40</v>
      </c>
      <c r="D2509">
        <v>3.1324269999999999</v>
      </c>
      <c r="E2509">
        <v>0.51354560000000005</v>
      </c>
      <c r="F2509" t="s">
        <v>41</v>
      </c>
      <c r="G2509">
        <v>-272.06139999999999</v>
      </c>
      <c r="H2509">
        <v>1.0353669999999999</v>
      </c>
      <c r="I2509">
        <v>282.50170000000003</v>
      </c>
      <c r="J2509">
        <v>-271.303</v>
      </c>
      <c r="K2509">
        <v>1.1097549999999901</v>
      </c>
      <c r="L2509">
        <v>282.4708</v>
      </c>
      <c r="M2509">
        <v>-0.99947750000000002</v>
      </c>
      <c r="N2509">
        <v>0</v>
      </c>
      <c r="O2509">
        <v>3.110491E-2</v>
      </c>
      <c r="P2509">
        <v>-0.98463199999999995</v>
      </c>
      <c r="Q2509">
        <v>0.17461179999999901</v>
      </c>
      <c r="R2509">
        <v>3.2429989999999999E-3</v>
      </c>
      <c r="S2509">
        <v>-3.0920100000000001</v>
      </c>
      <c r="T2509">
        <v>-0.25728400000000001</v>
      </c>
      <c r="U2509">
        <v>0.1204529</v>
      </c>
      <c r="V2509">
        <v>-2.7342479999999999E-2</v>
      </c>
      <c r="W2509">
        <v>0.1832559</v>
      </c>
      <c r="X2509">
        <v>0.98268489999999997</v>
      </c>
      <c r="Y2509">
        <v>7.9052740000000003E-3</v>
      </c>
      <c r="Z2509">
        <v>-2.2539700000000001E-3</v>
      </c>
      <c r="AA2509">
        <v>0.99996620000000003</v>
      </c>
      <c r="AB2509">
        <v>26</v>
      </c>
      <c r="AC2509">
        <v>-0.75839999999999397</v>
      </c>
      <c r="AD2509">
        <v>-7.4387999999999899E-2</v>
      </c>
      <c r="AE2509">
        <v>3.0900000000031E-2</v>
      </c>
      <c r="AF2509">
        <v>7.2247799719403604E-3</v>
      </c>
      <c r="AG2509">
        <v>-7.4387999999999899E-2</v>
      </c>
      <c r="AH2509">
        <v>0.75177353807676806</v>
      </c>
      <c r="AI2509">
        <v>95.650763429102497</v>
      </c>
      <c r="AJ2509">
        <v>89.449386502480095</v>
      </c>
      <c r="AK2509">
        <v>0.75547946665816501</v>
      </c>
      <c r="AL2509">
        <v>79.440535200833494</v>
      </c>
      <c r="AM2509">
        <v>91.593801440464404</v>
      </c>
      <c r="AN2509">
        <v>0.99999997439268395</v>
      </c>
    </row>
    <row r="2510" spans="1:40" x14ac:dyDescent="0.25">
      <c r="A2510" t="str">
        <f>"20190312172131569"</f>
        <v>20190312172131569</v>
      </c>
      <c r="B2510" t="str">
        <f>"1552382491563429"</f>
        <v>1552382491563429</v>
      </c>
      <c r="C2510" t="s">
        <v>40</v>
      </c>
      <c r="D2510">
        <v>3.1601759999999999</v>
      </c>
      <c r="E2510">
        <v>0.51340680000000005</v>
      </c>
      <c r="F2510" t="s">
        <v>41</v>
      </c>
      <c r="G2510">
        <v>-272.07740000000001</v>
      </c>
      <c r="H2510">
        <v>1.0462359999999999</v>
      </c>
      <c r="I2510">
        <v>282.50099999999998</v>
      </c>
      <c r="J2510">
        <v>-271.43770000000001</v>
      </c>
      <c r="K2510">
        <v>1.1097399999999999</v>
      </c>
      <c r="L2510">
        <v>282.47500000000002</v>
      </c>
      <c r="M2510">
        <v>-0.99947600000000003</v>
      </c>
      <c r="N2510">
        <v>0</v>
      </c>
      <c r="O2510">
        <v>3.1176260000000001E-2</v>
      </c>
      <c r="P2510">
        <v>-0.98462810000000001</v>
      </c>
      <c r="Q2510">
        <v>0.1746328</v>
      </c>
      <c r="R2510">
        <v>3.3509270000000001E-3</v>
      </c>
      <c r="S2510">
        <v>-3.0914609999999998</v>
      </c>
      <c r="T2510">
        <v>-0.25388450000000001</v>
      </c>
      <c r="U2510">
        <v>0.1195374</v>
      </c>
      <c r="V2510">
        <v>-2.7301949999999998E-2</v>
      </c>
      <c r="W2510">
        <v>0.1832095</v>
      </c>
      <c r="X2510">
        <v>0.98269470000000003</v>
      </c>
      <c r="Y2510">
        <v>7.5445180000000001E-3</v>
      </c>
      <c r="Z2510">
        <v>-2.245323E-3</v>
      </c>
      <c r="AA2510">
        <v>0.999969</v>
      </c>
      <c r="AB2510">
        <v>26</v>
      </c>
      <c r="AC2510">
        <v>-0.63970000000000404</v>
      </c>
      <c r="AD2510">
        <v>-6.35039999999997E-2</v>
      </c>
      <c r="AE2510">
        <v>2.5999999999953598E-2</v>
      </c>
      <c r="AF2510">
        <v>5.9842746233872996E-3</v>
      </c>
      <c r="AG2510">
        <v>-6.35039999999997E-2</v>
      </c>
      <c r="AH2510">
        <v>0.63396234103426397</v>
      </c>
      <c r="AI2510">
        <v>95.719982989606905</v>
      </c>
      <c r="AJ2510">
        <v>89.4591737175231</v>
      </c>
      <c r="AK2510">
        <v>0.63716310267341503</v>
      </c>
      <c r="AL2510">
        <v>79.443239734361001</v>
      </c>
      <c r="AM2510">
        <v>91.591424287716194</v>
      </c>
      <c r="AN2510">
        <v>0.99999999538607098</v>
      </c>
    </row>
    <row r="2511" spans="1:40" x14ac:dyDescent="0.25">
      <c r="A2511" t="str">
        <f>"20190312172131581"</f>
        <v>20190312172131581</v>
      </c>
      <c r="B2511" t="str">
        <f>"1552382491573697"</f>
        <v>1552382491573697</v>
      </c>
      <c r="C2511" t="s">
        <v>40</v>
      </c>
      <c r="D2511">
        <v>3.2391230000000002</v>
      </c>
      <c r="E2511">
        <v>0.51332749999999905</v>
      </c>
      <c r="F2511" t="s">
        <v>41</v>
      </c>
      <c r="G2511">
        <v>-272.29469999999998</v>
      </c>
      <c r="H2511">
        <v>1.0396989999999999</v>
      </c>
      <c r="I2511">
        <v>282.50799999999998</v>
      </c>
      <c r="J2511">
        <v>-271.58269999999999</v>
      </c>
      <c r="K2511">
        <v>1.109723</v>
      </c>
      <c r="L2511">
        <v>282.4796</v>
      </c>
      <c r="M2511">
        <v>-0.99947410000000003</v>
      </c>
      <c r="N2511">
        <v>0</v>
      </c>
      <c r="O2511">
        <v>3.1256819999999998E-2</v>
      </c>
      <c r="P2511">
        <v>-0.98458409999999996</v>
      </c>
      <c r="Q2511">
        <v>0.17487559999999999</v>
      </c>
      <c r="R2511">
        <v>3.5557150000000001E-3</v>
      </c>
      <c r="S2511">
        <v>-3.0912480000000002</v>
      </c>
      <c r="T2511">
        <v>-0.25269399999999997</v>
      </c>
      <c r="U2511">
        <v>0.1186523</v>
      </c>
      <c r="V2511">
        <v>-2.7172669999999999E-2</v>
      </c>
      <c r="W2511">
        <v>0.18338109999999999</v>
      </c>
      <c r="X2511">
        <v>0.98266629999999999</v>
      </c>
      <c r="Y2511">
        <v>7.1814950000000004E-3</v>
      </c>
      <c r="Z2511">
        <v>-2.256372E-3</v>
      </c>
      <c r="AA2511">
        <v>0.99997170000000002</v>
      </c>
      <c r="AB2511">
        <v>26</v>
      </c>
      <c r="AC2511">
        <v>-0.71199999999998898</v>
      </c>
      <c r="AD2511">
        <v>-7.0024000000000003E-2</v>
      </c>
      <c r="AE2511">
        <v>2.8399999999976399E-2</v>
      </c>
      <c r="AF2511">
        <v>6.0718015214226801E-3</v>
      </c>
      <c r="AG2511">
        <v>-7.0024000000000003E-2</v>
      </c>
      <c r="AH2511">
        <v>0.70572460665294301</v>
      </c>
      <c r="AI2511">
        <v>95.666294310066206</v>
      </c>
      <c r="AJ2511">
        <v>89.507059815624999</v>
      </c>
      <c r="AK2511">
        <v>0.70921607975649203</v>
      </c>
      <c r="AL2511">
        <v>79.433238591468296</v>
      </c>
      <c r="AM2511">
        <v>91.583938187127799</v>
      </c>
      <c r="AN2511">
        <v>1.00000001949391</v>
      </c>
    </row>
    <row r="2512" spans="1:40" x14ac:dyDescent="0.25">
      <c r="A2512" t="str">
        <f>"20190312172131598"</f>
        <v>20190312172131598</v>
      </c>
      <c r="B2512" t="str">
        <f>"1552382491593217"</f>
        <v>1552382491593217</v>
      </c>
      <c r="C2512" t="s">
        <v>40</v>
      </c>
      <c r="D2512">
        <v>3.1407829999999999</v>
      </c>
      <c r="E2512">
        <v>0.51315509999999998</v>
      </c>
      <c r="F2512" t="s">
        <v>41</v>
      </c>
      <c r="G2512">
        <v>-272.52109999999999</v>
      </c>
      <c r="H2512">
        <v>1.033765</v>
      </c>
      <c r="I2512">
        <v>282.51589999999999</v>
      </c>
      <c r="J2512">
        <v>-271.77710000000002</v>
      </c>
      <c r="K2512">
        <v>1.1097049999999999</v>
      </c>
      <c r="L2512">
        <v>282.48579999999998</v>
      </c>
      <c r="M2512">
        <v>-0.99947109999999995</v>
      </c>
      <c r="N2512">
        <v>0</v>
      </c>
      <c r="O2512">
        <v>3.1379770000000001E-2</v>
      </c>
      <c r="P2512">
        <v>-0.9845121</v>
      </c>
      <c r="Q2512">
        <v>0.17527400000000001</v>
      </c>
      <c r="R2512">
        <v>3.8999590000000002E-3</v>
      </c>
      <c r="S2512">
        <v>-3.0910030000000002</v>
      </c>
      <c r="T2512">
        <v>-0.25030790000000003</v>
      </c>
      <c r="U2512">
        <v>0.11895749999999999</v>
      </c>
      <c r="V2512">
        <v>-2.69415E-2</v>
      </c>
      <c r="W2512">
        <v>0.18368709999999999</v>
      </c>
      <c r="X2512">
        <v>0.98261549999999998</v>
      </c>
      <c r="Y2512">
        <v>7.1590940000000004E-3</v>
      </c>
      <c r="Z2512">
        <v>-2.2461400000000002E-3</v>
      </c>
      <c r="AA2512">
        <v>0.99997190000000002</v>
      </c>
      <c r="AB2512">
        <v>26</v>
      </c>
      <c r="AC2512">
        <v>-0.74399999999997102</v>
      </c>
      <c r="AD2512">
        <v>-7.5939999999999896E-2</v>
      </c>
      <c r="AE2512">
        <v>3.0100000000004401E-2</v>
      </c>
      <c r="AF2512">
        <v>6.6684167978493403E-3</v>
      </c>
      <c r="AG2512">
        <v>-7.5939999999999896E-2</v>
      </c>
      <c r="AH2512">
        <v>0.73691333254366398</v>
      </c>
      <c r="AI2512">
        <v>95.883406267781297</v>
      </c>
      <c r="AJ2512">
        <v>89.481537796464707</v>
      </c>
      <c r="AK2512">
        <v>0.74084587537705704</v>
      </c>
      <c r="AL2512">
        <v>79.415402994931995</v>
      </c>
      <c r="AM2512">
        <v>91.570550847758696</v>
      </c>
      <c r="AN2512">
        <v>1.00000000798445</v>
      </c>
    </row>
    <row r="2513" spans="1:40" x14ac:dyDescent="0.25">
      <c r="A2513" t="str">
        <f>"20190312172131609"</f>
        <v>20190312172131609</v>
      </c>
      <c r="B2513" t="str">
        <f>"1552382491602977"</f>
        <v>1552382491602977</v>
      </c>
      <c r="C2513" t="s">
        <v>40</v>
      </c>
      <c r="D2513">
        <v>3.146461</v>
      </c>
      <c r="E2513">
        <v>0.51305059999999902</v>
      </c>
      <c r="F2513" t="s">
        <v>47</v>
      </c>
      <c r="G2513">
        <v>-285.68200000000002</v>
      </c>
      <c r="H2513" s="1">
        <v>6.2121199999999999E-6</v>
      </c>
      <c r="I2513">
        <v>283.02120000000002</v>
      </c>
      <c r="J2513">
        <v>-271.90499999999997</v>
      </c>
      <c r="K2513">
        <v>1.1096870000000001</v>
      </c>
      <c r="L2513">
        <v>282.49</v>
      </c>
      <c r="M2513">
        <v>-0.99946880000000005</v>
      </c>
      <c r="N2513">
        <v>0</v>
      </c>
      <c r="O2513">
        <v>3.1471569999999997E-2</v>
      </c>
      <c r="P2513">
        <v>-0.98447419999999997</v>
      </c>
      <c r="Q2513">
        <v>0.17548169999999999</v>
      </c>
      <c r="R2513">
        <v>4.1392679999999998E-3</v>
      </c>
      <c r="S2513">
        <v>-3.0906370000000001</v>
      </c>
      <c r="T2513">
        <v>-0.24665190000000001</v>
      </c>
      <c r="U2513">
        <v>0.118988</v>
      </c>
      <c r="V2513">
        <v>-2.6787060000000001E-2</v>
      </c>
      <c r="W2513">
        <v>0.1838352</v>
      </c>
      <c r="X2513">
        <v>0.98259200000000002</v>
      </c>
      <c r="Y2513">
        <v>7.0799549999999998E-3</v>
      </c>
      <c r="Z2513">
        <v>-2.2241549999999998E-3</v>
      </c>
      <c r="AA2513">
        <v>0.99997250000000004</v>
      </c>
      <c r="AB2513">
        <v>26</v>
      </c>
      <c r="AC2513">
        <v>-13.776999999999999</v>
      </c>
      <c r="AD2513">
        <v>-1.1096807878799999</v>
      </c>
      <c r="AE2513">
        <v>0.531200000000012</v>
      </c>
      <c r="AF2513">
        <v>9.6710999361778793E-2</v>
      </c>
      <c r="AG2513">
        <v>-1.1096807878799999</v>
      </c>
      <c r="AH2513">
        <v>13.6981565322729</v>
      </c>
      <c r="AI2513">
        <v>94.631273876460597</v>
      </c>
      <c r="AJ2513">
        <v>89.595490092519995</v>
      </c>
      <c r="AK2513">
        <v>13.743370651009901</v>
      </c>
      <c r="AL2513">
        <v>79.406770217653502</v>
      </c>
      <c r="AM2513">
        <v>91.561589588850495</v>
      </c>
      <c r="AN2513">
        <v>0.99999998290324099</v>
      </c>
    </row>
    <row r="2514" spans="1:40" x14ac:dyDescent="0.25">
      <c r="A2514" t="str">
        <f>"20190312172131621"</f>
        <v>20190312172131621</v>
      </c>
      <c r="B2514" t="str">
        <f>"1552382491613714"</f>
        <v>1552382491613714</v>
      </c>
      <c r="C2514" t="s">
        <v>40</v>
      </c>
      <c r="D2514">
        <v>3.1457250000000001</v>
      </c>
      <c r="E2514">
        <v>0.5130036</v>
      </c>
      <c r="F2514" t="s">
        <v>41</v>
      </c>
      <c r="G2514">
        <v>-272.75850000000003</v>
      </c>
      <c r="H2514">
        <v>1.042017</v>
      </c>
      <c r="I2514">
        <v>282.52289999999999</v>
      </c>
      <c r="J2514">
        <v>-272.04349999999999</v>
      </c>
      <c r="K2514">
        <v>1.1096629999999901</v>
      </c>
      <c r="L2514">
        <v>282.49439999999998</v>
      </c>
      <c r="M2514">
        <v>-0.99946590000000002</v>
      </c>
      <c r="N2514">
        <v>0</v>
      </c>
      <c r="O2514">
        <v>3.1574829999999998E-2</v>
      </c>
      <c r="P2514">
        <v>-0.98446120000000004</v>
      </c>
      <c r="Q2514">
        <v>0.17554879999999901</v>
      </c>
      <c r="R2514">
        <v>4.334498E-3</v>
      </c>
      <c r="S2514">
        <v>-3.0904850000000001</v>
      </c>
      <c r="T2514">
        <v>-0.24507000000000001</v>
      </c>
      <c r="U2514">
        <v>0.1188965</v>
      </c>
      <c r="V2514">
        <v>-2.6687720000000002E-2</v>
      </c>
      <c r="W2514">
        <v>0.183839</v>
      </c>
      <c r="X2514">
        <v>0.98259399999999997</v>
      </c>
      <c r="Y2514">
        <v>6.9487230000000004E-3</v>
      </c>
      <c r="Z2514">
        <v>-2.2234049999999999E-3</v>
      </c>
      <c r="AA2514">
        <v>0.99997340000000001</v>
      </c>
      <c r="AB2514">
        <v>26</v>
      </c>
      <c r="AC2514">
        <v>-0.71500000000003106</v>
      </c>
      <c r="AD2514">
        <v>-6.7645999999999804E-2</v>
      </c>
      <c r="AE2514">
        <v>2.8500000000008099E-2</v>
      </c>
      <c r="AF2514">
        <v>5.8566445705140503E-3</v>
      </c>
      <c r="AG2514">
        <v>-6.7645999999999804E-2</v>
      </c>
      <c r="AH2514">
        <v>0.70920534786418499</v>
      </c>
      <c r="AI2514">
        <v>95.448364362406195</v>
      </c>
      <c r="AJ2514">
        <v>89.526860042103294</v>
      </c>
      <c r="AK2514">
        <v>0.71244824867549805</v>
      </c>
      <c r="AL2514">
        <v>79.406548800858602</v>
      </c>
      <c r="AM2514">
        <v>91.555798109282307</v>
      </c>
      <c r="AN2514">
        <v>0.99999999057789901</v>
      </c>
    </row>
    <row r="2515" spans="1:40" x14ac:dyDescent="0.25">
      <c r="A2515" t="str">
        <f>"20190312172131634"</f>
        <v>20190312172131634</v>
      </c>
      <c r="B2515" t="str">
        <f>"1552382491623472"</f>
        <v>1552382491623472</v>
      </c>
      <c r="C2515" t="s">
        <v>40</v>
      </c>
      <c r="D2515">
        <v>3.1468180000000001</v>
      </c>
      <c r="E2515">
        <v>0.5129167</v>
      </c>
      <c r="F2515" t="s">
        <v>41</v>
      </c>
      <c r="G2515">
        <v>-272.98500000000001</v>
      </c>
      <c r="H2515">
        <v>1.0353239999999999</v>
      </c>
      <c r="I2515">
        <v>282.5308</v>
      </c>
      <c r="J2515">
        <v>-272.19299999999998</v>
      </c>
      <c r="K2515">
        <v>1.10964</v>
      </c>
      <c r="L2515">
        <v>282.49930000000001</v>
      </c>
      <c r="M2515">
        <v>-0.99946250000000003</v>
      </c>
      <c r="N2515">
        <v>0</v>
      </c>
      <c r="O2515">
        <v>3.1703170000000003E-2</v>
      </c>
      <c r="P2515">
        <v>-0.98444120000000002</v>
      </c>
      <c r="Q2515">
        <v>0.17565129999999901</v>
      </c>
      <c r="R2515">
        <v>4.71697E-3</v>
      </c>
      <c r="S2515">
        <v>-3.0903019999999999</v>
      </c>
      <c r="T2515">
        <v>-0.2440408</v>
      </c>
      <c r="U2515">
        <v>0.119232199999999</v>
      </c>
      <c r="V2515">
        <v>-2.6424679999999999E-2</v>
      </c>
      <c r="W2515">
        <v>0.18387510000000001</v>
      </c>
      <c r="X2515">
        <v>0.98259439999999998</v>
      </c>
      <c r="Y2515">
        <v>6.9308939999999999E-3</v>
      </c>
      <c r="Z2515">
        <v>-2.2250320000000001E-3</v>
      </c>
      <c r="AA2515">
        <v>0.99997349999999996</v>
      </c>
      <c r="AB2515">
        <v>26</v>
      </c>
      <c r="AC2515">
        <v>-0.79200000000003001</v>
      </c>
      <c r="AD2515">
        <v>-7.4315999999999993E-2</v>
      </c>
      <c r="AE2515">
        <v>3.1499999999993998E-2</v>
      </c>
      <c r="AF2515">
        <v>6.3188324860219899E-3</v>
      </c>
      <c r="AG2515">
        <v>-7.4315999999999993E-2</v>
      </c>
      <c r="AH2515">
        <v>0.78569367384136601</v>
      </c>
      <c r="AI2515">
        <v>95.403156925949204</v>
      </c>
      <c r="AJ2515">
        <v>89.539216567891799</v>
      </c>
      <c r="AK2515">
        <v>0.789225788107769</v>
      </c>
      <c r="AL2515">
        <v>79.404445033659201</v>
      </c>
      <c r="AM2515">
        <v>91.540470621854297</v>
      </c>
      <c r="AN2515">
        <v>1.00000003551223</v>
      </c>
    </row>
    <row r="2516" spans="1:40" x14ac:dyDescent="0.25">
      <c r="A2516" t="str">
        <f>"20190312172131646"</f>
        <v>20190312172131646</v>
      </c>
      <c r="B2516" t="str">
        <f>"1552382491642994"</f>
        <v>1552382491642994</v>
      </c>
      <c r="C2516" t="s">
        <v>40</v>
      </c>
      <c r="D2516">
        <v>3.1458409999999999</v>
      </c>
      <c r="E2516">
        <v>0.51278210000000002</v>
      </c>
      <c r="F2516" t="s">
        <v>41</v>
      </c>
      <c r="G2516">
        <v>-272.99799999999999</v>
      </c>
      <c r="H2516">
        <v>1.0463</v>
      </c>
      <c r="I2516">
        <v>282.53050000000002</v>
      </c>
      <c r="J2516">
        <v>-272.33710000000002</v>
      </c>
      <c r="K2516">
        <v>1.1096159999999999</v>
      </c>
      <c r="L2516">
        <v>282.50389999999999</v>
      </c>
      <c r="M2516">
        <v>-0.99945870000000003</v>
      </c>
      <c r="N2516">
        <v>0</v>
      </c>
      <c r="O2516">
        <v>3.1836969999999999E-2</v>
      </c>
      <c r="P2516">
        <v>-0.98441420000000002</v>
      </c>
      <c r="Q2516">
        <v>0.1757957</v>
      </c>
      <c r="R2516">
        <v>4.9401410000000003E-3</v>
      </c>
      <c r="S2516">
        <v>-3.0902400000000001</v>
      </c>
      <c r="T2516">
        <v>-0.24324689999999999</v>
      </c>
      <c r="U2516">
        <v>0.11959839999999999</v>
      </c>
      <c r="V2516">
        <v>-2.6325399999999999E-2</v>
      </c>
      <c r="W2516">
        <v>0.1839585</v>
      </c>
      <c r="X2516">
        <v>0.98258140000000005</v>
      </c>
      <c r="Y2516">
        <v>6.916096E-3</v>
      </c>
      <c r="Z2516">
        <v>-2.2289380000000002E-3</v>
      </c>
      <c r="AA2516">
        <v>0.99997360000000002</v>
      </c>
      <c r="AB2516">
        <v>26</v>
      </c>
      <c r="AC2516">
        <v>-0.66089999999996896</v>
      </c>
      <c r="AD2516">
        <v>-6.33159999999999E-2</v>
      </c>
      <c r="AE2516">
        <v>2.6600000000030301E-2</v>
      </c>
      <c r="AF2516">
        <v>5.4943916256053101E-3</v>
      </c>
      <c r="AG2516">
        <v>-6.33159999999999E-2</v>
      </c>
      <c r="AH2516">
        <v>0.65540615162790805</v>
      </c>
      <c r="AI2516">
        <v>95.517785505001399</v>
      </c>
      <c r="AJ2516">
        <v>89.519690079111797</v>
      </c>
      <c r="AK2516">
        <v>0.65848031693213105</v>
      </c>
      <c r="AL2516">
        <v>79.399583065619098</v>
      </c>
      <c r="AM2516">
        <v>91.534705997278294</v>
      </c>
      <c r="AN2516">
        <v>0.99999998201668405</v>
      </c>
    </row>
    <row r="2517" spans="1:40" x14ac:dyDescent="0.25">
      <c r="A2517" t="str">
        <f>"20190312172131661"</f>
        <v>20190312172131661</v>
      </c>
      <c r="B2517" t="str">
        <f>"1552382491653729"</f>
        <v>1552382491653729</v>
      </c>
      <c r="C2517" t="s">
        <v>40</v>
      </c>
      <c r="D2517">
        <v>3.1556739999999999</v>
      </c>
      <c r="E2517">
        <v>0.51271359999999999</v>
      </c>
      <c r="F2517" t="s">
        <v>41</v>
      </c>
      <c r="G2517">
        <v>-273.22149999999999</v>
      </c>
      <c r="H2517">
        <v>1.040432</v>
      </c>
      <c r="I2517">
        <v>282.53820000000002</v>
      </c>
      <c r="J2517">
        <v>-272.49880000000002</v>
      </c>
      <c r="K2517">
        <v>1.1095950000000001</v>
      </c>
      <c r="L2517">
        <v>282.50920000000002</v>
      </c>
      <c r="M2517">
        <v>-0.99945419999999996</v>
      </c>
      <c r="N2517">
        <v>0</v>
      </c>
      <c r="O2517">
        <v>3.19978E-2</v>
      </c>
      <c r="P2517">
        <v>-0.98435490000000003</v>
      </c>
      <c r="Q2517">
        <v>0.1761231</v>
      </c>
      <c r="R2517">
        <v>5.1452549999999996E-3</v>
      </c>
      <c r="S2517">
        <v>-3.0900880000000002</v>
      </c>
      <c r="T2517">
        <v>-0.2418198</v>
      </c>
      <c r="U2517">
        <v>0.1195068</v>
      </c>
      <c r="V2517">
        <v>-2.6268340000000001E-2</v>
      </c>
      <c r="W2517">
        <v>0.18421999999999999</v>
      </c>
      <c r="X2517">
        <v>0.98253389999999996</v>
      </c>
      <c r="Y2517">
        <v>6.7276940000000002E-3</v>
      </c>
      <c r="Z2517">
        <v>-2.235922E-3</v>
      </c>
      <c r="AA2517">
        <v>0.99997480000000005</v>
      </c>
      <c r="AB2517">
        <v>26</v>
      </c>
      <c r="AC2517">
        <v>-0.72269999999997403</v>
      </c>
      <c r="AD2517">
        <v>-6.9163000000000002E-2</v>
      </c>
      <c r="AE2517">
        <v>2.89999999999963E-2</v>
      </c>
      <c r="AF2517">
        <v>5.8064654343034997E-3</v>
      </c>
      <c r="AG2517">
        <v>-6.9163000000000002E-2</v>
      </c>
      <c r="AH2517">
        <v>0.71670438298066097</v>
      </c>
      <c r="AI2517">
        <v>95.511876949182806</v>
      </c>
      <c r="AJ2517">
        <v>89.535821612493194</v>
      </c>
      <c r="AK2517">
        <v>0.72005722563802499</v>
      </c>
      <c r="AL2517">
        <v>79.384339352131903</v>
      </c>
      <c r="AM2517">
        <v>91.531455123908501</v>
      </c>
      <c r="AN2517">
        <v>0.99999994936778103</v>
      </c>
    </row>
    <row r="2518" spans="1:40" x14ac:dyDescent="0.25">
      <c r="A2518" t="str">
        <f>"20190312172131675"</f>
        <v>20190312172131675</v>
      </c>
      <c r="B2518" t="str">
        <f>"1552382491663489"</f>
        <v>1552382491663489</v>
      </c>
      <c r="C2518" t="s">
        <v>40</v>
      </c>
      <c r="D2518">
        <v>3.1520739999999998</v>
      </c>
      <c r="E2518">
        <v>0.51261389999999996</v>
      </c>
      <c r="F2518" t="s">
        <v>41</v>
      </c>
      <c r="G2518">
        <v>-273.45100000000002</v>
      </c>
      <c r="H2518">
        <v>1.0355719999999999</v>
      </c>
      <c r="I2518">
        <v>282.54640000000001</v>
      </c>
      <c r="J2518">
        <v>-272.67880000000002</v>
      </c>
      <c r="K2518">
        <v>1.1095680000000001</v>
      </c>
      <c r="L2518">
        <v>282.51519999999999</v>
      </c>
      <c r="M2518">
        <v>-0.99944829999999996</v>
      </c>
      <c r="N2518">
        <v>0</v>
      </c>
      <c r="O2518">
        <v>3.2201090000000002E-2</v>
      </c>
      <c r="P2518">
        <v>-0.984371</v>
      </c>
      <c r="Q2518">
        <v>0.17601559999999999</v>
      </c>
      <c r="R2518">
        <v>5.7031570000000004E-3</v>
      </c>
      <c r="S2518">
        <v>-3.0900569999999998</v>
      </c>
      <c r="T2518">
        <v>-0.2404048</v>
      </c>
      <c r="U2518">
        <v>0.11959839999999999</v>
      </c>
      <c r="V2518">
        <v>-2.5902350000000001E-2</v>
      </c>
      <c r="W2518">
        <v>0.18404709999999999</v>
      </c>
      <c r="X2518">
        <v>0.98257609999999995</v>
      </c>
      <c r="Y2518">
        <v>6.5545229999999996E-3</v>
      </c>
      <c r="Z2518">
        <v>-2.2453960000000002E-3</v>
      </c>
      <c r="AA2518">
        <v>0.99997599999999998</v>
      </c>
      <c r="AB2518">
        <v>26</v>
      </c>
      <c r="AC2518">
        <v>-0.77219999999994104</v>
      </c>
      <c r="AD2518">
        <v>-7.3996000000000103E-2</v>
      </c>
      <c r="AE2518">
        <v>3.1200000000012499E-2</v>
      </c>
      <c r="AF2518">
        <v>6.2599267647196503E-3</v>
      </c>
      <c r="AG2518">
        <v>-7.3996000000000103E-2</v>
      </c>
      <c r="AH2518">
        <v>0.76578394084469004</v>
      </c>
      <c r="AI2518">
        <v>95.519045573288807</v>
      </c>
      <c r="AJ2518">
        <v>89.531644141653302</v>
      </c>
      <c r="AK2518">
        <v>0.76937613607046795</v>
      </c>
      <c r="AL2518">
        <v>79.394418987497801</v>
      </c>
      <c r="AM2518">
        <v>91.510062877664396</v>
      </c>
      <c r="AN2518">
        <v>1.0000000295225699</v>
      </c>
    </row>
    <row r="2519" spans="1:40" x14ac:dyDescent="0.25">
      <c r="A2519" t="str">
        <f>"20190312172131688"</f>
        <v>20190312172131688</v>
      </c>
      <c r="B2519" t="str">
        <f>"1552382491683516"</f>
        <v>1552382491683516</v>
      </c>
      <c r="C2519" t="s">
        <v>40</v>
      </c>
      <c r="D2519">
        <v>3.1486499999999999</v>
      </c>
      <c r="E2519">
        <v>0.51252989999999998</v>
      </c>
      <c r="F2519" t="s">
        <v>47</v>
      </c>
      <c r="G2519">
        <v>-286.93669999999997</v>
      </c>
      <c r="H2519" s="1">
        <v>5.6453040000000001E-6</v>
      </c>
      <c r="I2519">
        <v>283.07159999999999</v>
      </c>
      <c r="J2519">
        <v>-272.81400000000002</v>
      </c>
      <c r="K2519">
        <v>1.109542</v>
      </c>
      <c r="L2519">
        <v>282.5197</v>
      </c>
      <c r="M2519">
        <v>-0.99944319999999998</v>
      </c>
      <c r="N2519">
        <v>0</v>
      </c>
      <c r="O2519">
        <v>3.2365570000000003E-2</v>
      </c>
      <c r="P2519">
        <v>-0.98439790000000005</v>
      </c>
      <c r="Q2519">
        <v>0.17585870000000001</v>
      </c>
      <c r="R2519">
        <v>5.8719189999999997E-3</v>
      </c>
      <c r="S2519">
        <v>-3.0899049999999999</v>
      </c>
      <c r="T2519">
        <v>-0.24045929999999999</v>
      </c>
      <c r="U2519">
        <v>0.120575</v>
      </c>
      <c r="V2519">
        <v>-2.589023E-2</v>
      </c>
      <c r="W2519">
        <v>0.1838437</v>
      </c>
      <c r="X2519">
        <v>0.98261449999999995</v>
      </c>
      <c r="Y2519">
        <v>6.7075109999999898E-3</v>
      </c>
      <c r="Z2519">
        <v>-2.2528209999999999E-3</v>
      </c>
      <c r="AA2519">
        <v>0.99997499999999995</v>
      </c>
      <c r="AB2519">
        <v>26</v>
      </c>
      <c r="AC2519">
        <v>-14.122699999999901</v>
      </c>
      <c r="AD2519">
        <v>-1.109536354696</v>
      </c>
      <c r="AE2519">
        <v>0.55189999999998895</v>
      </c>
      <c r="AF2519">
        <v>9.3927707323436402E-2</v>
      </c>
      <c r="AG2519">
        <v>-1.109536354696</v>
      </c>
      <c r="AH2519">
        <v>14.0465960263895</v>
      </c>
      <c r="AI2519">
        <v>94.516298086573102</v>
      </c>
      <c r="AJ2519">
        <v>89.616876502404693</v>
      </c>
      <c r="AK2519">
        <v>14.0906619172123</v>
      </c>
      <c r="AL2519">
        <v>79.406275294027793</v>
      </c>
      <c r="AM2519">
        <v>91.509297671745401</v>
      </c>
      <c r="AN2519">
        <v>1.0000000328246901</v>
      </c>
    </row>
    <row r="2520" spans="1:40" x14ac:dyDescent="0.25">
      <c r="A2520" t="str">
        <f>"20190312172131699"</f>
        <v>20190312172131699</v>
      </c>
      <c r="B2520" t="str">
        <f>"1552382491693276"</f>
        <v>1552382491693276</v>
      </c>
      <c r="C2520" t="s">
        <v>40</v>
      </c>
      <c r="D2520">
        <v>3.1624780000000001</v>
      </c>
      <c r="E2520">
        <v>0.51247600000000004</v>
      </c>
      <c r="F2520" t="s">
        <v>41</v>
      </c>
      <c r="G2520">
        <v>-273.68979999999999</v>
      </c>
      <c r="H2520">
        <v>1.0414779999999999</v>
      </c>
      <c r="I2520">
        <v>282.5539</v>
      </c>
      <c r="J2520">
        <v>-272.94880000000001</v>
      </c>
      <c r="K2520">
        <v>1.1095219999999999</v>
      </c>
      <c r="L2520">
        <v>282.52420000000001</v>
      </c>
      <c r="M2520">
        <v>-0.99943820000000005</v>
      </c>
      <c r="N2520">
        <v>0</v>
      </c>
      <c r="O2520">
        <v>3.2535519999999998E-2</v>
      </c>
      <c r="P2520">
        <v>-0.98439469999999996</v>
      </c>
      <c r="Q2520">
        <v>0.175873799999999</v>
      </c>
      <c r="R2520">
        <v>6.0078869999999999E-3</v>
      </c>
      <c r="S2520">
        <v>-3.0897220000000001</v>
      </c>
      <c r="T2520">
        <v>-0.24019579999999999</v>
      </c>
      <c r="U2520">
        <v>0.1203613</v>
      </c>
      <c r="V2520">
        <v>-2.591475E-2</v>
      </c>
      <c r="W2520">
        <v>0.1838127</v>
      </c>
      <c r="X2520">
        <v>0.98261960000000004</v>
      </c>
      <c r="Y2520">
        <v>6.4718190000000002E-3</v>
      </c>
      <c r="Z2520">
        <v>-2.2728179999999998E-3</v>
      </c>
      <c r="AA2520">
        <v>0.99997650000000005</v>
      </c>
      <c r="AB2520">
        <v>26</v>
      </c>
      <c r="AC2520">
        <v>-0.740999999999985</v>
      </c>
      <c r="AD2520">
        <v>-6.8043999999999702E-2</v>
      </c>
      <c r="AE2520">
        <v>2.9699999999991102E-2</v>
      </c>
      <c r="AF2520">
        <v>5.5281348056256396E-3</v>
      </c>
      <c r="AG2520">
        <v>-6.8043999999999702E-2</v>
      </c>
      <c r="AH2520">
        <v>0.735383025784765</v>
      </c>
      <c r="AI2520">
        <v>95.286300275955696</v>
      </c>
      <c r="AJ2520">
        <v>89.569295434256404</v>
      </c>
      <c r="AK2520">
        <v>0.738545016111262</v>
      </c>
      <c r="AL2520">
        <v>79.408081697424294</v>
      </c>
      <c r="AM2520">
        <v>91.510718590986897</v>
      </c>
      <c r="AN2520">
        <v>0.99999998062650597</v>
      </c>
    </row>
    <row r="2521" spans="1:40" x14ac:dyDescent="0.25">
      <c r="A2521" t="str">
        <f>"20190312172131709"</f>
        <v>20190312172131709</v>
      </c>
      <c r="B2521" t="str">
        <f>"1552382491703036"</f>
        <v>1552382491703036</v>
      </c>
      <c r="C2521" t="s">
        <v>40</v>
      </c>
      <c r="D2521">
        <v>3.1348009999999999</v>
      </c>
      <c r="E2521">
        <v>0.5124552</v>
      </c>
      <c r="F2521" t="s">
        <v>47</v>
      </c>
      <c r="G2521">
        <v>-287.24299999999999</v>
      </c>
      <c r="H2521" s="1">
        <v>5.5072600000000004E-6</v>
      </c>
      <c r="I2521">
        <v>283.0822</v>
      </c>
      <c r="J2521">
        <v>-273.07580000000002</v>
      </c>
      <c r="K2521">
        <v>1.1095010000000001</v>
      </c>
      <c r="L2521">
        <v>282.52850000000001</v>
      </c>
      <c r="M2521">
        <v>-0.99943269999999995</v>
      </c>
      <c r="N2521">
        <v>0</v>
      </c>
      <c r="O2521">
        <v>3.2712119999999997E-2</v>
      </c>
      <c r="P2521">
        <v>-0.98440070000000002</v>
      </c>
      <c r="Q2521">
        <v>0.1758316</v>
      </c>
      <c r="R2521">
        <v>6.223686E-3</v>
      </c>
      <c r="S2521">
        <v>-3.089661</v>
      </c>
      <c r="T2521">
        <v>-0.23981849999999999</v>
      </c>
      <c r="U2521">
        <v>0.1206055</v>
      </c>
      <c r="V2521">
        <v>-2.5866900000000002E-2</v>
      </c>
      <c r="W2521">
        <v>0.18372930000000001</v>
      </c>
      <c r="X2521">
        <v>0.98263650000000002</v>
      </c>
      <c r="Y2521">
        <v>6.3753739999999996E-3</v>
      </c>
      <c r="Z2521">
        <v>-2.2867069999999998E-3</v>
      </c>
      <c r="AA2521">
        <v>0.99997709999999995</v>
      </c>
      <c r="AB2521">
        <v>26</v>
      </c>
      <c r="AC2521">
        <v>-14.1671999999999</v>
      </c>
      <c r="AD2521">
        <v>-1.10949549273999</v>
      </c>
      <c r="AE2521">
        <v>0.55369999999999198</v>
      </c>
      <c r="AF2521">
        <v>8.9402146941487598E-2</v>
      </c>
      <c r="AG2521">
        <v>-1.10949549273999</v>
      </c>
      <c r="AH2521">
        <v>14.0914377487978</v>
      </c>
      <c r="AI2521">
        <v>94.501830398707398</v>
      </c>
      <c r="AJ2521">
        <v>89.636495788152601</v>
      </c>
      <c r="AK2521">
        <v>14.1353312950398</v>
      </c>
      <c r="AL2521">
        <v>79.412943396712706</v>
      </c>
      <c r="AM2521">
        <v>91.507904508294104</v>
      </c>
      <c r="AN2521">
        <v>1.0000000216631699</v>
      </c>
    </row>
    <row r="2522" spans="1:40" x14ac:dyDescent="0.25">
      <c r="A2522" t="str">
        <f>"20190312172131721"</f>
        <v>20190312172131721</v>
      </c>
      <c r="B2522" t="str">
        <f>"1552382491713772"</f>
        <v>1552382491713772</v>
      </c>
      <c r="C2522" t="s">
        <v>40</v>
      </c>
      <c r="D2522">
        <v>3.1811090000000002</v>
      </c>
      <c r="E2522">
        <v>0.5124552</v>
      </c>
      <c r="F2522" t="s">
        <v>41</v>
      </c>
      <c r="G2522">
        <v>-273.9264</v>
      </c>
      <c r="H2522">
        <v>1.0435989999999999</v>
      </c>
      <c r="I2522">
        <v>282.56209999999999</v>
      </c>
      <c r="J2522">
        <v>-273.2158</v>
      </c>
      <c r="K2522">
        <v>1.1094869999999999</v>
      </c>
      <c r="L2522">
        <v>282.5333</v>
      </c>
      <c r="M2522">
        <v>-0.9994265</v>
      </c>
      <c r="N2522">
        <v>0</v>
      </c>
      <c r="O2522">
        <v>3.2911509999999998E-2</v>
      </c>
      <c r="P2522">
        <v>-0.98440000000000005</v>
      </c>
      <c r="Q2522">
        <v>0.17582990000000001</v>
      </c>
      <c r="R2522">
        <v>6.3807719999999998E-3</v>
      </c>
      <c r="S2522">
        <v>-3.089569</v>
      </c>
      <c r="T2522">
        <v>-0.2395214</v>
      </c>
      <c r="U2522">
        <v>0.1211243</v>
      </c>
      <c r="V2522">
        <v>-2.5899459999999999E-2</v>
      </c>
      <c r="W2522">
        <v>0.1836834</v>
      </c>
      <c r="X2522">
        <v>0.98264419999999997</v>
      </c>
      <c r="Y2522">
        <v>6.3451999999999996E-3</v>
      </c>
      <c r="Z2522">
        <v>-2.3005249999999999E-3</v>
      </c>
      <c r="AA2522">
        <v>0.99997720000000001</v>
      </c>
      <c r="AB2522">
        <v>26</v>
      </c>
      <c r="AC2522">
        <v>-0.71059999999999901</v>
      </c>
      <c r="AD2522">
        <v>-6.5888000000000099E-2</v>
      </c>
      <c r="AE2522">
        <v>2.8799999999989698E-2</v>
      </c>
      <c r="AF2522">
        <v>5.3508084702799004E-3</v>
      </c>
      <c r="AG2522">
        <v>-6.5888000000000099E-2</v>
      </c>
      <c r="AH2522">
        <v>0.70511079342467098</v>
      </c>
      <c r="AI2522">
        <v>95.338261930212497</v>
      </c>
      <c r="AJ2522">
        <v>89.565213211294207</v>
      </c>
      <c r="AK2522">
        <v>0.70820271864717899</v>
      </c>
      <c r="AL2522">
        <v>79.415618558644894</v>
      </c>
      <c r="AM2522">
        <v>91.509789882094694</v>
      </c>
      <c r="AN2522">
        <v>0.999999998628745</v>
      </c>
    </row>
    <row r="2523" spans="1:40" x14ac:dyDescent="0.25">
      <c r="A2523" t="str">
        <f>"20190312172131734"</f>
        <v>20190312172131734</v>
      </c>
      <c r="B2523" t="str">
        <f>"1552382491723532"</f>
        <v>1552382491723532</v>
      </c>
      <c r="C2523" t="s">
        <v>40</v>
      </c>
      <c r="D2523">
        <v>3.183945</v>
      </c>
      <c r="E2523">
        <v>0.50855470000000003</v>
      </c>
      <c r="F2523" t="s">
        <v>41</v>
      </c>
      <c r="G2523">
        <v>-274.15570000000002</v>
      </c>
      <c r="H2523">
        <v>1.036637</v>
      </c>
      <c r="I2523">
        <v>282.57049999999998</v>
      </c>
      <c r="J2523">
        <v>-273.36709999999999</v>
      </c>
      <c r="K2523">
        <v>1.1094649999999999</v>
      </c>
      <c r="L2523">
        <v>282.5385</v>
      </c>
      <c r="M2523">
        <v>-0.99941919999999995</v>
      </c>
      <c r="N2523">
        <v>0</v>
      </c>
      <c r="O2523">
        <v>3.3144939999999998E-2</v>
      </c>
      <c r="P2523">
        <v>-0.98439969999999999</v>
      </c>
      <c r="Q2523">
        <v>0.1758305</v>
      </c>
      <c r="R2523">
        <v>6.4211069999999997E-3</v>
      </c>
      <c r="S2523">
        <v>-3.0895389999999998</v>
      </c>
      <c r="T2523">
        <v>-0.2395197</v>
      </c>
      <c r="U2523">
        <v>0.12167360000000001</v>
      </c>
      <c r="V2523">
        <v>-2.6081940000000001E-2</v>
      </c>
      <c r="W2523">
        <v>0.18363979999999999</v>
      </c>
      <c r="X2523">
        <v>0.98264750000000001</v>
      </c>
      <c r="Y2523">
        <v>6.2904229999999998E-3</v>
      </c>
      <c r="Z2523">
        <v>-2.3206899999999998E-3</v>
      </c>
      <c r="AA2523">
        <v>0.99997749999999996</v>
      </c>
      <c r="AB2523">
        <v>26</v>
      </c>
      <c r="AC2523">
        <v>-0.78860000000003005</v>
      </c>
      <c r="AD2523">
        <v>-7.2827999999999796E-2</v>
      </c>
      <c r="AE2523">
        <v>3.1999999999982202E-2</v>
      </c>
      <c r="AF2523">
        <v>5.7941623606225104E-3</v>
      </c>
      <c r="AG2523">
        <v>-7.2827999999999796E-2</v>
      </c>
      <c r="AH2523">
        <v>0.78256406394938105</v>
      </c>
      <c r="AI2523">
        <v>95.316675864262194</v>
      </c>
      <c r="AJ2523">
        <v>89.5757855514521</v>
      </c>
      <c r="AK2523">
        <v>0.78596692302312099</v>
      </c>
      <c r="AL2523">
        <v>79.418159646877697</v>
      </c>
      <c r="AM2523">
        <v>91.520417339585293</v>
      </c>
      <c r="AN2523">
        <v>0.99999997649722605</v>
      </c>
    </row>
    <row r="2524" spans="1:40" x14ac:dyDescent="0.25">
      <c r="A2524" t="str">
        <f>"20190312172131745"</f>
        <v>20190312172131745</v>
      </c>
      <c r="B2524" t="str">
        <f>"1552382491743052"</f>
        <v>1552382491743052</v>
      </c>
      <c r="C2524" t="s">
        <v>40</v>
      </c>
      <c r="D2524">
        <v>3.1840820000000001</v>
      </c>
      <c r="E2524">
        <v>0.50854679999999997</v>
      </c>
      <c r="F2524" t="s">
        <v>47</v>
      </c>
      <c r="G2524">
        <v>-299.40570000000002</v>
      </c>
      <c r="H2524" s="1">
        <v>3.9886850000000003E-6</v>
      </c>
      <c r="I2524">
        <v>283.3064</v>
      </c>
      <c r="J2524">
        <v>-273.49720000000002</v>
      </c>
      <c r="K2524">
        <v>1.1094459999999999</v>
      </c>
      <c r="L2524">
        <v>282.54300000000001</v>
      </c>
      <c r="M2524">
        <v>-0.99941250000000004</v>
      </c>
      <c r="N2524">
        <v>0</v>
      </c>
      <c r="O2524">
        <v>3.3354040000000001E-2</v>
      </c>
      <c r="P2524">
        <v>-0.98438780000000004</v>
      </c>
      <c r="Q2524">
        <v>0.17589160000000001</v>
      </c>
      <c r="R2524">
        <v>6.5471710000000001E-3</v>
      </c>
      <c r="S2524">
        <v>-3.0703130000000001</v>
      </c>
      <c r="T2524">
        <v>-0.13082079999999999</v>
      </c>
      <c r="U2524">
        <v>9.0545650000000005E-2</v>
      </c>
      <c r="V2524">
        <v>-2.615586E-2</v>
      </c>
      <c r="W2524">
        <v>0.1836651</v>
      </c>
      <c r="X2524">
        <v>0.98264090000000004</v>
      </c>
      <c r="Y2524">
        <v>-3.8454029999999998E-3</v>
      </c>
      <c r="Z2524">
        <v>-1.5017470000000001E-3</v>
      </c>
      <c r="AA2524">
        <v>0.99999150000000003</v>
      </c>
      <c r="AB2524">
        <v>26</v>
      </c>
      <c r="AC2524">
        <v>-25.9085</v>
      </c>
      <c r="AD2524">
        <v>-1.1094420113150001</v>
      </c>
      <c r="AE2524">
        <v>0.76339999999998998</v>
      </c>
      <c r="AF2524">
        <v>-0.101019710858731</v>
      </c>
      <c r="AG2524">
        <v>-1.1094420113150001</v>
      </c>
      <c r="AH2524">
        <v>25.8721466513657</v>
      </c>
      <c r="AI2524">
        <v>92.455418260363203</v>
      </c>
      <c r="AJ2524">
        <v>90.2237144734857</v>
      </c>
      <c r="AK2524">
        <v>25.896120151641</v>
      </c>
      <c r="AL2524">
        <v>79.416685962687595</v>
      </c>
      <c r="AM2524">
        <v>91.524734627700994</v>
      </c>
      <c r="AN2524">
        <v>1.0000000681615699</v>
      </c>
    </row>
    <row r="2525" spans="1:40" x14ac:dyDescent="0.25">
      <c r="A2525" t="str">
        <f>"20190312172131757"</f>
        <v>20190312172131757</v>
      </c>
      <c r="B2525" t="str">
        <f>"1552382491753788"</f>
        <v>1552382491753788</v>
      </c>
      <c r="C2525" t="s">
        <v>40</v>
      </c>
      <c r="D2525">
        <v>3.1788189999999998</v>
      </c>
      <c r="E2525">
        <v>0.50824929999999902</v>
      </c>
      <c r="F2525" t="s">
        <v>47</v>
      </c>
      <c r="G2525">
        <v>-299.6352</v>
      </c>
      <c r="H2525" s="1">
        <v>4.0285529999999996E-6</v>
      </c>
      <c r="I2525">
        <v>283.3159</v>
      </c>
      <c r="J2525">
        <v>-273.642</v>
      </c>
      <c r="K2525">
        <v>1.1094299999999999</v>
      </c>
      <c r="L2525">
        <v>282.54809999999998</v>
      </c>
      <c r="M2525">
        <v>-0.99940469999999904</v>
      </c>
      <c r="N2525">
        <v>0</v>
      </c>
      <c r="O2525">
        <v>3.359529E-2</v>
      </c>
      <c r="P2525">
        <v>-0.98439989999999999</v>
      </c>
      <c r="Q2525">
        <v>0.1758179</v>
      </c>
      <c r="R2525">
        <v>6.7223530000000004E-3</v>
      </c>
      <c r="S2525">
        <v>-3.0702509999999998</v>
      </c>
      <c r="T2525">
        <v>-0.13031869999999901</v>
      </c>
      <c r="U2525">
        <v>9.0789789999999995E-2</v>
      </c>
      <c r="V2525">
        <v>-2.6212160000000002E-2</v>
      </c>
      <c r="W2525">
        <v>0.18355399999999999</v>
      </c>
      <c r="X2525">
        <v>0.98266010000000004</v>
      </c>
      <c r="Y2525">
        <v>-4.0066379999999999E-3</v>
      </c>
      <c r="Z2525">
        <v>-1.509661E-3</v>
      </c>
      <c r="AA2525">
        <v>0.99999079999999996</v>
      </c>
      <c r="AB2525">
        <v>26</v>
      </c>
      <c r="AC2525">
        <v>-25.993200000000002</v>
      </c>
      <c r="AD2525">
        <v>-1.1094259714469901</v>
      </c>
      <c r="AE2525">
        <v>0.76780000000002202</v>
      </c>
      <c r="AF2525">
        <v>-0.105717008619879</v>
      </c>
      <c r="AG2525">
        <v>-1.1094259714469901</v>
      </c>
      <c r="AH2525">
        <v>25.957076866948501</v>
      </c>
      <c r="AI2525">
        <v>92.447357063245505</v>
      </c>
      <c r="AJ2525">
        <v>90.233350810545105</v>
      </c>
      <c r="AK2525">
        <v>25.980990003244798</v>
      </c>
      <c r="AL2525">
        <v>79.423160994036493</v>
      </c>
      <c r="AM2525">
        <v>91.527985194811606</v>
      </c>
      <c r="AN2525">
        <v>1.00000001018993</v>
      </c>
    </row>
    <row r="2526" spans="1:40" x14ac:dyDescent="0.25">
      <c r="A2526" t="str">
        <f>"20190312172131771"</f>
        <v>20190312172131771</v>
      </c>
      <c r="B2526" t="str">
        <f>"1552382491763548"</f>
        <v>1552382491763548</v>
      </c>
      <c r="C2526" t="s">
        <v>40</v>
      </c>
      <c r="D2526">
        <v>3.1823809999999999</v>
      </c>
      <c r="E2526">
        <v>0.50810500000000003</v>
      </c>
      <c r="F2526" t="s">
        <v>47</v>
      </c>
      <c r="G2526">
        <v>-299.91309999999999</v>
      </c>
      <c r="H2526" s="1">
        <v>4.078468E-6</v>
      </c>
      <c r="I2526">
        <v>283.30900000000003</v>
      </c>
      <c r="J2526">
        <v>-273.79430000000002</v>
      </c>
      <c r="K2526">
        <v>1.1094109999999999</v>
      </c>
      <c r="L2526">
        <v>282.55349999999999</v>
      </c>
      <c r="M2526">
        <v>-0.99939610000000001</v>
      </c>
      <c r="N2526">
        <v>0</v>
      </c>
      <c r="O2526">
        <v>3.3861860000000001E-2</v>
      </c>
      <c r="P2526">
        <v>-0.9843866</v>
      </c>
      <c r="Q2526">
        <v>0.17589279999999999</v>
      </c>
      <c r="R2526">
        <v>6.7054369999999999E-3</v>
      </c>
      <c r="S2526">
        <v>-3.0701290000000001</v>
      </c>
      <c r="T2526">
        <v>-0.12965119999999999</v>
      </c>
      <c r="U2526">
        <v>8.8928220000000002E-2</v>
      </c>
      <c r="V2526">
        <v>-2.6484669999999998E-2</v>
      </c>
      <c r="W2526">
        <v>0.1835939</v>
      </c>
      <c r="X2526">
        <v>0.98264530000000005</v>
      </c>
      <c r="Y2526">
        <v>-4.87733E-3</v>
      </c>
      <c r="Z2526">
        <v>-1.5316259999999999E-3</v>
      </c>
      <c r="AA2526">
        <v>0.99998690000000001</v>
      </c>
      <c r="AB2526">
        <v>26</v>
      </c>
      <c r="AC2526">
        <v>-26.118799999999901</v>
      </c>
      <c r="AD2526">
        <v>-1.1094069215319999</v>
      </c>
      <c r="AE2526">
        <v>0.75550000000004003</v>
      </c>
      <c r="AF2526">
        <v>-0.129158501670433</v>
      </c>
      <c r="AG2526">
        <v>-1.1094069215319999</v>
      </c>
      <c r="AH2526">
        <v>26.0823864782624</v>
      </c>
      <c r="AI2526">
        <v>92.435561809834894</v>
      </c>
      <c r="AJ2526">
        <v>90.283723138298797</v>
      </c>
      <c r="AK2526">
        <v>26.106289472798299</v>
      </c>
      <c r="AL2526">
        <v>79.420834959101697</v>
      </c>
      <c r="AM2526">
        <v>91.543886210588099</v>
      </c>
      <c r="AN2526">
        <v>0.99999997173715405</v>
      </c>
    </row>
    <row r="2527" spans="1:40" x14ac:dyDescent="0.25">
      <c r="A2527" t="str">
        <f>"20190312172131784"</f>
        <v>20190312172131784</v>
      </c>
      <c r="B2527" t="str">
        <f>"1552382491773307"</f>
        <v>1552382491773307</v>
      </c>
      <c r="C2527" t="s">
        <v>40</v>
      </c>
      <c r="D2527">
        <v>3.1759029999999999</v>
      </c>
      <c r="E2527">
        <v>0.50807369999999996</v>
      </c>
      <c r="F2527" t="s">
        <v>47</v>
      </c>
      <c r="G2527">
        <v>-300.35629999999998</v>
      </c>
      <c r="H2527" s="1">
        <v>4.0153039999999996E-6</v>
      </c>
      <c r="I2527">
        <v>283.3134</v>
      </c>
      <c r="J2527">
        <v>-273.9461</v>
      </c>
      <c r="K2527">
        <v>1.1093949999999999</v>
      </c>
      <c r="L2527">
        <v>282.55889999999999</v>
      </c>
      <c r="M2527">
        <v>-0.99938709999999997</v>
      </c>
      <c r="N2527">
        <v>0</v>
      </c>
      <c r="O2527">
        <v>3.4134190000000002E-2</v>
      </c>
      <c r="P2527">
        <v>-0.98440680000000003</v>
      </c>
      <c r="Q2527">
        <v>0.1757648</v>
      </c>
      <c r="R2527">
        <v>7.0629400000000002E-3</v>
      </c>
      <c r="S2527">
        <v>-3.0699160000000001</v>
      </c>
      <c r="T2527">
        <v>-0.12822039999999901</v>
      </c>
      <c r="U2527">
        <v>8.7829589999999999E-2</v>
      </c>
      <c r="V2527">
        <v>-2.6390360000000002E-2</v>
      </c>
      <c r="W2527">
        <v>0.1834326</v>
      </c>
      <c r="X2527">
        <v>0.98267800000000005</v>
      </c>
      <c r="Y2527">
        <v>-5.5053369999999999E-3</v>
      </c>
      <c r="Z2527">
        <v>-1.5393200000000001E-3</v>
      </c>
      <c r="AA2527">
        <v>0.99998370000000003</v>
      </c>
      <c r="AB2527">
        <v>26</v>
      </c>
      <c r="AC2527">
        <v>-26.4101999999999</v>
      </c>
      <c r="AD2527">
        <v>-1.1093909846959999</v>
      </c>
      <c r="AE2527">
        <v>0.75450000000000705</v>
      </c>
      <c r="AF2527">
        <v>-0.14719814050153099</v>
      </c>
      <c r="AG2527">
        <v>-1.1093909846959999</v>
      </c>
      <c r="AH2527">
        <v>26.374064243706801</v>
      </c>
      <c r="AI2527">
        <v>92.408615654981801</v>
      </c>
      <c r="AJ2527">
        <v>90.319774174994095</v>
      </c>
      <c r="AK2527">
        <v>26.397796884980099</v>
      </c>
      <c r="AL2527">
        <v>79.430236848850697</v>
      </c>
      <c r="AM2527">
        <v>91.538340022177906</v>
      </c>
      <c r="AN2527">
        <v>1.00000001076384</v>
      </c>
    </row>
    <row r="2528" spans="1:40" x14ac:dyDescent="0.25">
      <c r="A2528" t="str">
        <f>"20190312172131800"</f>
        <v>20190312172131800</v>
      </c>
      <c r="B2528" t="str">
        <f>"1552382491793804"</f>
        <v>1552382491793804</v>
      </c>
      <c r="C2528" t="s">
        <v>40</v>
      </c>
      <c r="D2528">
        <v>3.1782379999999999</v>
      </c>
      <c r="E2528">
        <v>0.50809090000000001</v>
      </c>
      <c r="F2528" t="s">
        <v>47</v>
      </c>
      <c r="G2528">
        <v>-300.27120000000002</v>
      </c>
      <c r="H2528" s="1">
        <v>4.0298269999999996E-6</v>
      </c>
      <c r="I2528">
        <v>283.31990000000002</v>
      </c>
      <c r="J2528">
        <v>-274.14030000000002</v>
      </c>
      <c r="K2528">
        <v>1.1093740000000001</v>
      </c>
      <c r="L2528">
        <v>282.5659</v>
      </c>
      <c r="M2528">
        <v>-0.99937500000000001</v>
      </c>
      <c r="N2528">
        <v>0</v>
      </c>
      <c r="O2528">
        <v>3.4495789999999998E-2</v>
      </c>
      <c r="P2528">
        <v>-0.9844368</v>
      </c>
      <c r="Q2528">
        <v>0.17560039999999999</v>
      </c>
      <c r="R2528">
        <v>7.0001119999999898E-3</v>
      </c>
      <c r="S2528">
        <v>-3.0699459999999998</v>
      </c>
      <c r="T2528">
        <v>-0.1293733</v>
      </c>
      <c r="U2528">
        <v>8.8745119999999997E-2</v>
      </c>
      <c r="V2528">
        <v>-2.6802800000000002E-2</v>
      </c>
      <c r="W2528">
        <v>0.18323010000000001</v>
      </c>
      <c r="X2528">
        <v>0.98270460000000004</v>
      </c>
      <c r="Y2528">
        <v>-5.5684569999999997E-3</v>
      </c>
      <c r="Z2528">
        <v>-1.569672E-3</v>
      </c>
      <c r="AA2528">
        <v>0.99998330000000002</v>
      </c>
      <c r="AB2528">
        <v>26</v>
      </c>
      <c r="AC2528">
        <v>-26.1309</v>
      </c>
      <c r="AD2528">
        <v>-1.109369970173</v>
      </c>
      <c r="AE2528">
        <v>0.75400000000001899</v>
      </c>
      <c r="AF2528">
        <v>-0.147615862393188</v>
      </c>
      <c r="AG2528">
        <v>-1.109369970173</v>
      </c>
      <c r="AH2528">
        <v>26.0943651001873</v>
      </c>
      <c r="AI2528">
        <v>92.434355029824701</v>
      </c>
      <c r="AJ2528">
        <v>90.324118852967203</v>
      </c>
      <c r="AK2528">
        <v>26.118353358422599</v>
      </c>
      <c r="AL2528">
        <v>79.442039115738694</v>
      </c>
      <c r="AM2528">
        <v>91.562327773700403</v>
      </c>
      <c r="AN2528">
        <v>0.99999999524750505</v>
      </c>
    </row>
    <row r="2529" spans="1:40" x14ac:dyDescent="0.25">
      <c r="A2529" t="str">
        <f>"20190312172131813"</f>
        <v>20190312172131813</v>
      </c>
      <c r="B2529" t="str">
        <f>"1552382491803564"</f>
        <v>1552382491803564</v>
      </c>
      <c r="C2529" t="s">
        <v>40</v>
      </c>
      <c r="D2529">
        <v>3.2073209999999999</v>
      </c>
      <c r="E2529">
        <v>0.50801039999999997</v>
      </c>
      <c r="F2529" t="s">
        <v>47</v>
      </c>
      <c r="G2529">
        <v>-300.28399999999999</v>
      </c>
      <c r="H2529" s="1">
        <v>4.0275040000000001E-6</v>
      </c>
      <c r="I2529">
        <v>283.32060000000001</v>
      </c>
      <c r="J2529">
        <v>-274.29649999999998</v>
      </c>
      <c r="K2529">
        <v>1.1093580000000001</v>
      </c>
      <c r="L2529">
        <v>282.57159999999999</v>
      </c>
      <c r="M2529">
        <v>-0.99936480000000005</v>
      </c>
      <c r="N2529">
        <v>0</v>
      </c>
      <c r="O2529">
        <v>3.4798229999999999E-2</v>
      </c>
      <c r="P2529">
        <v>-0.98445890000000003</v>
      </c>
      <c r="Q2529">
        <v>0.1754732</v>
      </c>
      <c r="R2529">
        <v>7.0914960000000001E-3</v>
      </c>
      <c r="S2529">
        <v>-3.0700069999999999</v>
      </c>
      <c r="T2529">
        <v>-0.13027139999999901</v>
      </c>
      <c r="U2529">
        <v>8.8623049999999995E-2</v>
      </c>
      <c r="V2529">
        <v>-2.700555E-2</v>
      </c>
      <c r="W2529">
        <v>0.1830754</v>
      </c>
      <c r="X2529">
        <v>0.98272789999999999</v>
      </c>
      <c r="Y2529">
        <v>-5.9103089999999999E-3</v>
      </c>
      <c r="Z2529">
        <v>-1.6005920000000001E-3</v>
      </c>
      <c r="AA2529">
        <v>0.99998120000000001</v>
      </c>
      <c r="AB2529">
        <v>27</v>
      </c>
      <c r="AC2529">
        <v>-25.987500000000001</v>
      </c>
      <c r="AD2529">
        <v>-1.109353972496</v>
      </c>
      <c r="AE2529">
        <v>0.74900000000002298</v>
      </c>
      <c r="AF2529">
        <v>-0.155516212909731</v>
      </c>
      <c r="AG2529">
        <v>-1.109353972496</v>
      </c>
      <c r="AH2529">
        <v>25.95057504979</v>
      </c>
      <c r="AI2529">
        <v>92.447787195744894</v>
      </c>
      <c r="AJ2529">
        <v>90.343357168876594</v>
      </c>
      <c r="AK2529">
        <v>25.9747415183204</v>
      </c>
      <c r="AL2529">
        <v>79.451055482315198</v>
      </c>
      <c r="AM2529">
        <v>91.574102787746099</v>
      </c>
      <c r="AN2529">
        <v>1.0000000136271801</v>
      </c>
    </row>
    <row r="2530" spans="1:40" x14ac:dyDescent="0.25">
      <c r="A2530" t="str">
        <f>"20190312172131826"</f>
        <v>20190312172131826</v>
      </c>
      <c r="B2530" t="str">
        <f>"1552382491823084"</f>
        <v>1552382491823084</v>
      </c>
      <c r="C2530" t="s">
        <v>40</v>
      </c>
      <c r="D2530">
        <v>3.1513529999999998</v>
      </c>
      <c r="E2530">
        <v>0.50802179999999997</v>
      </c>
      <c r="F2530" t="s">
        <v>47</v>
      </c>
      <c r="G2530">
        <v>-300.50330000000002</v>
      </c>
      <c r="H2530" s="1">
        <v>3.9882560000000001E-6</v>
      </c>
      <c r="I2530">
        <v>283.3245</v>
      </c>
      <c r="J2530">
        <v>-274.44220000000001</v>
      </c>
      <c r="K2530">
        <v>1.1093390000000001</v>
      </c>
      <c r="L2530">
        <v>282.57690000000002</v>
      </c>
      <c r="M2530">
        <v>-0.99935499999999999</v>
      </c>
      <c r="N2530">
        <v>0</v>
      </c>
      <c r="O2530">
        <v>3.5083419999999997E-2</v>
      </c>
      <c r="P2530">
        <v>-0.98446239999999996</v>
      </c>
      <c r="Q2530">
        <v>0.1754463</v>
      </c>
      <c r="R2530">
        <v>7.2594879999999997E-3</v>
      </c>
      <c r="S2530">
        <v>-3.069855</v>
      </c>
      <c r="T2530">
        <v>-0.12994919999999999</v>
      </c>
      <c r="U2530">
        <v>8.8195800000000005E-2</v>
      </c>
      <c r="V2530">
        <v>-2.7114530000000001E-2</v>
      </c>
      <c r="W2530">
        <v>0.18302479999999999</v>
      </c>
      <c r="X2530">
        <v>0.98273429999999995</v>
      </c>
      <c r="Y2530">
        <v>-6.3328419999999896E-3</v>
      </c>
      <c r="Z2530">
        <v>-1.6177139999999999E-3</v>
      </c>
      <c r="AA2530">
        <v>0.9999787</v>
      </c>
      <c r="AB2530">
        <v>27</v>
      </c>
      <c r="AC2530">
        <v>-26.0611</v>
      </c>
      <c r="AD2530">
        <v>-1.109335011744</v>
      </c>
      <c r="AE2530">
        <v>0.74759999999997695</v>
      </c>
      <c r="AF2530">
        <v>-0.16689747261609</v>
      </c>
      <c r="AG2530">
        <v>-1.109335011744</v>
      </c>
      <c r="AH2530">
        <v>26.024169605598701</v>
      </c>
      <c r="AI2530">
        <v>92.440825381379597</v>
      </c>
      <c r="AJ2530">
        <v>90.367442644365099</v>
      </c>
      <c r="AK2530">
        <v>26.048337424788102</v>
      </c>
      <c r="AL2530">
        <v>79.454004221706398</v>
      </c>
      <c r="AM2530">
        <v>91.580441524636498</v>
      </c>
      <c r="AN2530">
        <v>0.99999998977432503</v>
      </c>
    </row>
    <row r="2531" spans="1:40" x14ac:dyDescent="0.25">
      <c r="A2531" t="str">
        <f>"20190312172131846"</f>
        <v>20190312172131846</v>
      </c>
      <c r="B2531" t="str">
        <f>"1552382491833819"</f>
        <v>1552382491833819</v>
      </c>
      <c r="C2531" t="s">
        <v>40</v>
      </c>
      <c r="D2531">
        <v>3.1489950000000002</v>
      </c>
      <c r="E2531">
        <v>0.50821059999999996</v>
      </c>
      <c r="F2531" t="s">
        <v>47</v>
      </c>
      <c r="G2531">
        <v>-300.55810000000002</v>
      </c>
      <c r="H2531" s="1">
        <v>3.9778070000000003E-6</v>
      </c>
      <c r="I2531">
        <v>283.3329</v>
      </c>
      <c r="J2531">
        <v>-274.68150000000003</v>
      </c>
      <c r="K2531">
        <v>1.1093189999999999</v>
      </c>
      <c r="L2531">
        <v>282.58580000000001</v>
      </c>
      <c r="M2531">
        <v>-0.99933839999999996</v>
      </c>
      <c r="N2531">
        <v>0</v>
      </c>
      <c r="O2531">
        <v>3.5561679999999998E-2</v>
      </c>
      <c r="P2531">
        <v>-0.98453650000000004</v>
      </c>
      <c r="Q2531">
        <v>0.17501129999999901</v>
      </c>
      <c r="R2531">
        <v>7.6983969999999896E-3</v>
      </c>
      <c r="S2531">
        <v>-3.0699459999999998</v>
      </c>
      <c r="T2531">
        <v>-0.13040360000000001</v>
      </c>
      <c r="U2531">
        <v>8.8867189999999999E-2</v>
      </c>
      <c r="V2531">
        <v>-2.7144120000000001E-2</v>
      </c>
      <c r="W2531">
        <v>0.182555</v>
      </c>
      <c r="X2531">
        <v>0.9828209</v>
      </c>
      <c r="Y2531">
        <v>-6.5928089999999998E-3</v>
      </c>
      <c r="Z2531">
        <v>-1.6491159999999999E-3</v>
      </c>
      <c r="AA2531">
        <v>0.99997689999999995</v>
      </c>
      <c r="AB2531">
        <v>27</v>
      </c>
      <c r="AC2531">
        <v>-25.8766</v>
      </c>
      <c r="AD2531">
        <v>-1.1093150221929999</v>
      </c>
      <c r="AE2531">
        <v>0.747099999999989</v>
      </c>
      <c r="AF2531">
        <v>-0.17329647926508099</v>
      </c>
      <c r="AG2531">
        <v>-1.1093150221929999</v>
      </c>
      <c r="AH2531">
        <v>25.839352876707899</v>
      </c>
      <c r="AI2531">
        <v>92.458213146265194</v>
      </c>
      <c r="AJ2531">
        <v>90.384259158799694</v>
      </c>
      <c r="AK2531">
        <v>25.863734621574299</v>
      </c>
      <c r="AL2531">
        <v>79.481383447547898</v>
      </c>
      <c r="AM2531">
        <v>91.582026039642301</v>
      </c>
      <c r="AN2531">
        <v>1.0000000263761899</v>
      </c>
    </row>
    <row r="2532" spans="1:40" x14ac:dyDescent="0.25">
      <c r="A2532" t="str">
        <f>"20190312172131867"</f>
        <v>20190312172131867</v>
      </c>
      <c r="B2532" t="str">
        <f>"1552382491863100"</f>
        <v>1552382491863100</v>
      </c>
      <c r="C2532" t="s">
        <v>40</v>
      </c>
      <c r="D2532">
        <v>3.1619570000000001</v>
      </c>
      <c r="E2532">
        <v>0.50824809999999998</v>
      </c>
      <c r="F2532" t="s">
        <v>47</v>
      </c>
      <c r="G2532">
        <v>-300.274</v>
      </c>
      <c r="H2532" s="1">
        <v>4.0267239999999997E-6</v>
      </c>
      <c r="I2532">
        <v>283.34980000000002</v>
      </c>
      <c r="J2532">
        <v>-274.93400000000003</v>
      </c>
      <c r="K2532">
        <v>1.1093059999999999</v>
      </c>
      <c r="L2532">
        <v>282.59539999999998</v>
      </c>
      <c r="M2532">
        <v>-0.99932030000000005</v>
      </c>
      <c r="N2532">
        <v>0</v>
      </c>
      <c r="O2532">
        <v>3.6075889999999999E-2</v>
      </c>
      <c r="P2532">
        <v>-0.98456299999999997</v>
      </c>
      <c r="Q2532">
        <v>0.1748458</v>
      </c>
      <c r="R2532">
        <v>8.0613290000000008E-3</v>
      </c>
      <c r="S2532">
        <v>-3.0700379999999998</v>
      </c>
      <c r="T2532">
        <v>-0.13307179999999999</v>
      </c>
      <c r="U2532">
        <v>9.1644290000000003E-2</v>
      </c>
      <c r="V2532">
        <v>-2.728525E-2</v>
      </c>
      <c r="W2532">
        <v>0.1823581</v>
      </c>
      <c r="X2532">
        <v>0.98285350000000005</v>
      </c>
      <c r="Y2532">
        <v>-6.2027499999999999E-3</v>
      </c>
      <c r="Z2532">
        <v>-1.696557E-3</v>
      </c>
      <c r="AA2532">
        <v>0.99997930000000002</v>
      </c>
      <c r="AB2532">
        <v>27</v>
      </c>
      <c r="AC2532">
        <v>-25.3399999999999</v>
      </c>
      <c r="AD2532">
        <v>-1.1093019732760001</v>
      </c>
      <c r="AE2532">
        <v>0.75440000000003204</v>
      </c>
      <c r="AF2532">
        <v>-0.159974120801951</v>
      </c>
      <c r="AG2532">
        <v>-1.1093019732760001</v>
      </c>
      <c r="AH2532">
        <v>25.302274133443401</v>
      </c>
      <c r="AI2532">
        <v>92.510303134379697</v>
      </c>
      <c r="AJ2532">
        <v>90.362248854600793</v>
      </c>
      <c r="AK2532">
        <v>25.327084690330199</v>
      </c>
      <c r="AL2532">
        <v>79.492857120437904</v>
      </c>
      <c r="AM2532">
        <v>91.590194510887201</v>
      </c>
      <c r="AN2532">
        <v>0.99999998198271101</v>
      </c>
    </row>
    <row r="2533" spans="1:40" x14ac:dyDescent="0.25">
      <c r="A2533" t="str">
        <f>"20190312172131888"</f>
        <v>20190312172131888</v>
      </c>
      <c r="B2533" t="str">
        <f>"1552382491883596"</f>
        <v>1552382491883596</v>
      </c>
      <c r="C2533" t="s">
        <v>40</v>
      </c>
      <c r="D2533">
        <v>3.1624430000000001</v>
      </c>
      <c r="E2533">
        <v>0.50827179999999905</v>
      </c>
      <c r="F2533" t="s">
        <v>47</v>
      </c>
      <c r="G2533">
        <v>-300.35000000000002</v>
      </c>
      <c r="H2533" s="1">
        <v>4.0117619999999997E-6</v>
      </c>
      <c r="I2533">
        <v>283.36669999999998</v>
      </c>
      <c r="J2533">
        <v>-275.19959999999998</v>
      </c>
      <c r="K2533">
        <v>1.1092979999999999</v>
      </c>
      <c r="L2533">
        <v>282.60550000000001</v>
      </c>
      <c r="M2533">
        <v>-0.99930039999999998</v>
      </c>
      <c r="N2533">
        <v>0</v>
      </c>
      <c r="O2533">
        <v>3.6624169999999998E-2</v>
      </c>
      <c r="P2533">
        <v>-0.9845988</v>
      </c>
      <c r="Q2533">
        <v>0.1746122</v>
      </c>
      <c r="R2533">
        <v>8.7095339999999997E-3</v>
      </c>
      <c r="S2533">
        <v>-3.0700069999999999</v>
      </c>
      <c r="T2533">
        <v>-0.1339928</v>
      </c>
      <c r="U2533">
        <v>9.3170169999999997E-2</v>
      </c>
      <c r="V2533">
        <v>-2.7175520000000002E-2</v>
      </c>
      <c r="W2533">
        <v>0.18209649999999999</v>
      </c>
      <c r="X2533">
        <v>0.98290500000000003</v>
      </c>
      <c r="Y2533">
        <v>-6.2534110000000004E-3</v>
      </c>
      <c r="Z2533">
        <v>-1.7332889999999901E-3</v>
      </c>
      <c r="AA2533">
        <v>0.99997899999999995</v>
      </c>
      <c r="AB2533">
        <v>27</v>
      </c>
      <c r="AC2533">
        <v>-25.150400000000001</v>
      </c>
      <c r="AD2533">
        <v>-1.109293988238</v>
      </c>
      <c r="AE2533">
        <v>0.76119999999997301</v>
      </c>
      <c r="AF2533">
        <v>-0.160138419803147</v>
      </c>
      <c r="AG2533">
        <v>-1.109293988238</v>
      </c>
      <c r="AH2533">
        <v>25.112596269786099</v>
      </c>
      <c r="AI2533">
        <v>92.529220112963202</v>
      </c>
      <c r="AJ2533">
        <v>90.365359723470704</v>
      </c>
      <c r="AK2533">
        <v>25.137594731300599</v>
      </c>
      <c r="AL2533">
        <v>79.508100504128393</v>
      </c>
      <c r="AM2533">
        <v>91.583719727300604</v>
      </c>
      <c r="AN2533">
        <v>0.99999994161225803</v>
      </c>
    </row>
    <row r="2534" spans="1:40" x14ac:dyDescent="0.25">
      <c r="A2534" t="str">
        <f>"20190312172131899"</f>
        <v>20190312172131899</v>
      </c>
      <c r="B2534" t="str">
        <f>"1552382491893356"</f>
        <v>1552382491893356</v>
      </c>
      <c r="C2534" t="s">
        <v>40</v>
      </c>
      <c r="D2534">
        <v>3.144584</v>
      </c>
      <c r="E2534">
        <v>0.50836380000000003</v>
      </c>
      <c r="F2534" t="s">
        <v>47</v>
      </c>
      <c r="G2534">
        <v>-300.46600000000001</v>
      </c>
      <c r="H2534" s="1">
        <v>3.9891499999999997E-6</v>
      </c>
      <c r="I2534">
        <v>283.38990000000001</v>
      </c>
      <c r="J2534">
        <v>-275.33510000000001</v>
      </c>
      <c r="K2534">
        <v>1.1092919999999999</v>
      </c>
      <c r="L2534">
        <v>282.61079999999998</v>
      </c>
      <c r="M2534">
        <v>-0.99929009999999996</v>
      </c>
      <c r="N2534">
        <v>0</v>
      </c>
      <c r="O2534">
        <v>3.6905159999999999E-2</v>
      </c>
      <c r="P2534">
        <v>-0.98463650000000003</v>
      </c>
      <c r="Q2534">
        <v>0.1743866</v>
      </c>
      <c r="R2534">
        <v>8.9810010000000006E-3</v>
      </c>
      <c r="S2534">
        <v>-3.0699770000000002</v>
      </c>
      <c r="T2534">
        <v>-0.13478409999999999</v>
      </c>
      <c r="U2534">
        <v>9.5306399999999999E-2</v>
      </c>
      <c r="V2534">
        <v>-2.7180490000000002E-2</v>
      </c>
      <c r="W2534">
        <v>0.18185779999999999</v>
      </c>
      <c r="X2534">
        <v>0.98294910000000002</v>
      </c>
      <c r="Y2534">
        <v>-5.8387630000000003E-3</v>
      </c>
      <c r="Z2534">
        <v>-1.746732E-3</v>
      </c>
      <c r="AA2534">
        <v>0.99998140000000002</v>
      </c>
      <c r="AB2534">
        <v>27</v>
      </c>
      <c r="AC2534">
        <v>-25.1309</v>
      </c>
      <c r="AD2534">
        <v>-1.1092880108499901</v>
      </c>
      <c r="AE2534">
        <v>0.77910000000002799</v>
      </c>
      <c r="AF2534">
        <v>-0.14862793056556201</v>
      </c>
      <c r="AG2534">
        <v>-1.1092880108499901</v>
      </c>
      <c r="AH2534">
        <v>25.093687824009901</v>
      </c>
      <c r="AI2534">
        <v>92.531116872938398</v>
      </c>
      <c r="AJ2534">
        <v>90.339354407396399</v>
      </c>
      <c r="AK2534">
        <v>25.118634094266</v>
      </c>
      <c r="AL2534">
        <v>79.522009713640799</v>
      </c>
      <c r="AM2534">
        <v>91.583938188277102</v>
      </c>
      <c r="AN2534">
        <v>0.99999998582414495</v>
      </c>
    </row>
    <row r="2535" spans="1:40" x14ac:dyDescent="0.25">
      <c r="A2535" t="str">
        <f>"20190312172131911"</f>
        <v>20190312172131911</v>
      </c>
      <c r="B2535" t="str">
        <f>"1552382491903115"</f>
        <v>1552382491903115</v>
      </c>
      <c r="C2535" t="s">
        <v>40</v>
      </c>
      <c r="D2535">
        <v>3.1547049999999999</v>
      </c>
      <c r="E2535">
        <v>0.50841729999999996</v>
      </c>
      <c r="F2535" t="s">
        <v>47</v>
      </c>
      <c r="G2535">
        <v>-300.3997</v>
      </c>
      <c r="H2535" s="1">
        <v>3.9999030000000003E-6</v>
      </c>
      <c r="I2535">
        <v>283.40159999999997</v>
      </c>
      <c r="J2535">
        <v>-275.47930000000002</v>
      </c>
      <c r="K2535">
        <v>1.1092850000000001</v>
      </c>
      <c r="L2535">
        <v>282.6164</v>
      </c>
      <c r="M2535">
        <v>-0.99927909999999998</v>
      </c>
      <c r="N2535">
        <v>0</v>
      </c>
      <c r="O2535">
        <v>3.7207129999999998E-2</v>
      </c>
      <c r="P2535">
        <v>-0.98465860000000005</v>
      </c>
      <c r="Q2535">
        <v>0.1742467</v>
      </c>
      <c r="R2535">
        <v>9.2544180000000004E-3</v>
      </c>
      <c r="S2535">
        <v>-3.0699770000000002</v>
      </c>
      <c r="T2535">
        <v>-0.13586879999999901</v>
      </c>
      <c r="U2535">
        <v>9.6862790000000004E-2</v>
      </c>
      <c r="V2535">
        <v>-2.7204229999999999E-2</v>
      </c>
      <c r="W2535">
        <v>0.18170639999999999</v>
      </c>
      <c r="X2535">
        <v>0.98297639999999997</v>
      </c>
      <c r="Y2535">
        <v>-5.6337050000000001E-3</v>
      </c>
      <c r="Z2535">
        <v>-1.7695670000000001E-3</v>
      </c>
      <c r="AA2535">
        <v>0.9999825</v>
      </c>
      <c r="AB2535">
        <v>27</v>
      </c>
      <c r="AC2535">
        <v>-24.920399999999901</v>
      </c>
      <c r="AD2535">
        <v>-1.1092810000969999</v>
      </c>
      <c r="AE2535">
        <v>0.78519999999997403</v>
      </c>
      <c r="AF2535">
        <v>-0.14230498639527001</v>
      </c>
      <c r="AG2535">
        <v>-1.1092810000969999</v>
      </c>
      <c r="AH2535">
        <v>24.883104784264201</v>
      </c>
      <c r="AI2535">
        <v>92.552496146757903</v>
      </c>
      <c r="AJ2535">
        <v>90.327667560242702</v>
      </c>
      <c r="AK2535">
        <v>24.908224720983299</v>
      </c>
      <c r="AL2535">
        <v>79.530830834118902</v>
      </c>
      <c r="AM2535">
        <v>91.585276920530802</v>
      </c>
      <c r="AN2535">
        <v>0.99999994444390405</v>
      </c>
    </row>
    <row r="2536" spans="1:40" x14ac:dyDescent="0.25">
      <c r="A2536" t="str">
        <f>"20190312172131923"</f>
        <v>20190312172131923</v>
      </c>
      <c r="B2536" t="str">
        <f>"1552382491913852"</f>
        <v>1552382491913852</v>
      </c>
      <c r="C2536" t="s">
        <v>40</v>
      </c>
      <c r="D2536">
        <v>3.158172</v>
      </c>
      <c r="E2536">
        <v>0.50846959999999997</v>
      </c>
      <c r="F2536" t="s">
        <v>47</v>
      </c>
      <c r="G2536">
        <v>-300.39389999999997</v>
      </c>
      <c r="H2536" s="1">
        <v>3.9997409999999997E-6</v>
      </c>
      <c r="I2536">
        <v>283.4151</v>
      </c>
      <c r="J2536">
        <v>-275.62240000000003</v>
      </c>
      <c r="K2536">
        <v>1.109278</v>
      </c>
      <c r="L2536">
        <v>282.62200000000001</v>
      </c>
      <c r="M2536">
        <v>-0.99926789999999999</v>
      </c>
      <c r="N2536">
        <v>0</v>
      </c>
      <c r="O2536">
        <v>3.7508069999999998E-2</v>
      </c>
      <c r="P2536">
        <v>-0.98472789999999999</v>
      </c>
      <c r="Q2536">
        <v>0.17385120000000001</v>
      </c>
      <c r="R2536">
        <v>9.3190479999999999E-3</v>
      </c>
      <c r="S2536">
        <v>-3.0700069999999999</v>
      </c>
      <c r="T2536">
        <v>-0.136687</v>
      </c>
      <c r="U2536">
        <v>9.8419190000000004E-2</v>
      </c>
      <c r="V2536">
        <v>-2.7437400000000001E-2</v>
      </c>
      <c r="W2536">
        <v>0.18130080000000001</v>
      </c>
      <c r="X2536">
        <v>0.9830449</v>
      </c>
      <c r="Y2536">
        <v>-5.4281319999999996E-3</v>
      </c>
      <c r="Z2536">
        <v>-1.7889819999999999E-3</v>
      </c>
      <c r="AA2536">
        <v>0.99998370000000003</v>
      </c>
      <c r="AB2536">
        <v>27</v>
      </c>
      <c r="AC2536">
        <v>-24.7714999999999</v>
      </c>
      <c r="AD2536">
        <v>-1.109274000259</v>
      </c>
      <c r="AE2536">
        <v>0.79309999999998104</v>
      </c>
      <c r="AF2536">
        <v>-0.136342541285908</v>
      </c>
      <c r="AG2536">
        <v>-1.109274000259</v>
      </c>
      <c r="AH2536">
        <v>24.734268294501501</v>
      </c>
      <c r="AI2536">
        <v>92.5678218853201</v>
      </c>
      <c r="AJ2536">
        <v>90.315827942439</v>
      </c>
      <c r="AK2536">
        <v>24.759505369869501</v>
      </c>
      <c r="AL2536">
        <v>79.554463457074405</v>
      </c>
      <c r="AM2536">
        <v>91.598746101632003</v>
      </c>
      <c r="AN2536">
        <v>1.0000000332076999</v>
      </c>
    </row>
    <row r="2537" spans="1:40" x14ac:dyDescent="0.25">
      <c r="A2537" t="str">
        <f>"20190312172131934"</f>
        <v>20190312172131934</v>
      </c>
      <c r="B2537" t="str">
        <f>"1552382491923612"</f>
        <v>1552382491923612</v>
      </c>
      <c r="C2537" t="s">
        <v>40</v>
      </c>
      <c r="D2537">
        <v>3.1647970000000001</v>
      </c>
      <c r="E2537">
        <v>0.50852359999999996</v>
      </c>
      <c r="F2537" t="s">
        <v>47</v>
      </c>
      <c r="G2537">
        <v>-300.23719999999997</v>
      </c>
      <c r="H2537" s="1">
        <v>4.0273850000000004E-6</v>
      </c>
      <c r="I2537">
        <v>283.41680000000002</v>
      </c>
      <c r="J2537">
        <v>-275.75779999999997</v>
      </c>
      <c r="K2537">
        <v>1.10927</v>
      </c>
      <c r="L2537">
        <v>282.62740000000002</v>
      </c>
      <c r="M2537">
        <v>-0.99925710000000001</v>
      </c>
      <c r="N2537">
        <v>0</v>
      </c>
      <c r="O2537">
        <v>3.7795910000000002E-2</v>
      </c>
      <c r="P2537">
        <v>-0.98471739999999996</v>
      </c>
      <c r="Q2537">
        <v>0.17390249999999999</v>
      </c>
      <c r="R2537">
        <v>9.4795460000000002E-3</v>
      </c>
      <c r="S2537">
        <v>-3.0700379999999998</v>
      </c>
      <c r="T2537">
        <v>-0.1383519</v>
      </c>
      <c r="U2537">
        <v>9.9121089999999995E-2</v>
      </c>
      <c r="V2537">
        <v>-2.7558119999999998E-2</v>
      </c>
      <c r="W2537">
        <v>0.18134249999999999</v>
      </c>
      <c r="X2537">
        <v>0.98303379999999996</v>
      </c>
      <c r="Y2537">
        <v>-5.4867049999999997E-3</v>
      </c>
      <c r="Z2537">
        <v>-1.824993E-3</v>
      </c>
      <c r="AA2537">
        <v>0.99998330000000002</v>
      </c>
      <c r="AB2537">
        <v>27</v>
      </c>
      <c r="AC2537">
        <v>-24.479399999999998</v>
      </c>
      <c r="AD2537">
        <v>-1.109265972615</v>
      </c>
      <c r="AE2537">
        <v>0.78939999999999999</v>
      </c>
      <c r="AF2537">
        <v>-0.13613227178134499</v>
      </c>
      <c r="AG2537">
        <v>-1.109265972615</v>
      </c>
      <c r="AH2537">
        <v>24.441609073066001</v>
      </c>
      <c r="AI2537">
        <v>92.598507000763504</v>
      </c>
      <c r="AJ2537">
        <v>90.319116632335493</v>
      </c>
      <c r="AK2537">
        <v>24.467146484091799</v>
      </c>
      <c r="AL2537">
        <v>79.552033622763901</v>
      </c>
      <c r="AM2537">
        <v>91.605794766260502</v>
      </c>
      <c r="AN2537">
        <v>1.00000000211331</v>
      </c>
    </row>
    <row r="2538" spans="1:40" x14ac:dyDescent="0.25">
      <c r="A2538" t="str">
        <f>"20190312172131946"</f>
        <v>20190312172131946</v>
      </c>
      <c r="B2538" t="str">
        <f>"1552382491943133"</f>
        <v>1552382491943133</v>
      </c>
      <c r="C2538" t="s">
        <v>40</v>
      </c>
      <c r="D2538">
        <v>3.1440090000000001</v>
      </c>
      <c r="E2538">
        <v>0.50853769999999998</v>
      </c>
      <c r="F2538" t="s">
        <v>47</v>
      </c>
      <c r="G2538">
        <v>-300.3075</v>
      </c>
      <c r="H2538" s="1">
        <v>4.0139629999999996E-6</v>
      </c>
      <c r="I2538">
        <v>283.42779999999999</v>
      </c>
      <c r="J2538">
        <v>-275.89</v>
      </c>
      <c r="K2538">
        <v>1.109264</v>
      </c>
      <c r="L2538">
        <v>282.6327</v>
      </c>
      <c r="M2538">
        <v>-0.99924650000000004</v>
      </c>
      <c r="N2538">
        <v>0</v>
      </c>
      <c r="O2538">
        <v>3.8079090000000003E-2</v>
      </c>
      <c r="P2538">
        <v>-0.98476520000000001</v>
      </c>
      <c r="Q2538">
        <v>0.17362049999999901</v>
      </c>
      <c r="R2538">
        <v>9.6899340000000007E-3</v>
      </c>
      <c r="S2538">
        <v>-3.0701290000000001</v>
      </c>
      <c r="T2538">
        <v>-0.1387227</v>
      </c>
      <c r="U2538">
        <v>0.1000977</v>
      </c>
      <c r="V2538">
        <v>-2.762759E-2</v>
      </c>
      <c r="W2538">
        <v>0.18105360000000001</v>
      </c>
      <c r="X2538">
        <v>0.98308510000000005</v>
      </c>
      <c r="Y2538">
        <v>-5.4528290000000002E-3</v>
      </c>
      <c r="Z2538">
        <v>-1.8418239999999999E-3</v>
      </c>
      <c r="AA2538">
        <v>0.99998339999999997</v>
      </c>
      <c r="AB2538">
        <v>27</v>
      </c>
      <c r="AC2538">
        <v>-24.4175</v>
      </c>
      <c r="AD2538">
        <v>-1.109259986037</v>
      </c>
      <c r="AE2538">
        <v>0.79509999999999004</v>
      </c>
      <c r="AF2538">
        <v>-0.13502074589619301</v>
      </c>
      <c r="AG2538">
        <v>-1.109259986037</v>
      </c>
      <c r="AH2538">
        <v>24.3798058542035</v>
      </c>
      <c r="AI2538">
        <v>92.605071611313207</v>
      </c>
      <c r="AJ2538">
        <v>90.317313429011094</v>
      </c>
      <c r="AK2538">
        <v>24.405401488340601</v>
      </c>
      <c r="AL2538">
        <v>79.568864986325494</v>
      </c>
      <c r="AM2538">
        <v>91.609756651605295</v>
      </c>
      <c r="AN2538">
        <v>1.00000000182208</v>
      </c>
    </row>
    <row r="2539" spans="1:40" x14ac:dyDescent="0.25">
      <c r="A2539" t="str">
        <f>"20190312172131957"</f>
        <v>20190312172131957</v>
      </c>
      <c r="B2539" t="str">
        <f>"1552382491953868"</f>
        <v>1552382491953868</v>
      </c>
      <c r="C2539" t="s">
        <v>40</v>
      </c>
      <c r="D2539">
        <v>3.159081</v>
      </c>
      <c r="E2539">
        <v>0.50851279999999999</v>
      </c>
      <c r="F2539" t="s">
        <v>47</v>
      </c>
      <c r="G2539">
        <v>-300.4742</v>
      </c>
      <c r="H2539" s="1">
        <v>3.9832259999999997E-6</v>
      </c>
      <c r="I2539">
        <v>283.44110000000001</v>
      </c>
      <c r="J2539">
        <v>-276.04169999999999</v>
      </c>
      <c r="K2539">
        <v>1.1092519999999999</v>
      </c>
      <c r="L2539">
        <v>282.63869999999997</v>
      </c>
      <c r="M2539">
        <v>-0.99923399999999996</v>
      </c>
      <c r="N2539">
        <v>0</v>
      </c>
      <c r="O2539">
        <v>3.8406990000000002E-2</v>
      </c>
      <c r="P2539">
        <v>-0.98478719999999997</v>
      </c>
      <c r="Q2539">
        <v>0.17349800000000001</v>
      </c>
      <c r="R2539">
        <v>9.6270090000000006E-3</v>
      </c>
      <c r="S2539">
        <v>-3.069855</v>
      </c>
      <c r="T2539">
        <v>-0.13851449999999901</v>
      </c>
      <c r="U2539">
        <v>0.1009521</v>
      </c>
      <c r="V2539">
        <v>-2.8011250000000001E-2</v>
      </c>
      <c r="W2539">
        <v>0.18092279999999999</v>
      </c>
      <c r="X2539">
        <v>0.98309829999999998</v>
      </c>
      <c r="Y2539">
        <v>-5.4997550000000003E-3</v>
      </c>
      <c r="Z2539">
        <v>-1.855045E-3</v>
      </c>
      <c r="AA2539">
        <v>0.99998310000000001</v>
      </c>
      <c r="AB2539">
        <v>27</v>
      </c>
      <c r="AC2539">
        <v>-24.432500000000001</v>
      </c>
      <c r="AD2539">
        <v>-1.109248016774</v>
      </c>
      <c r="AE2539">
        <v>0.80240000000003397</v>
      </c>
      <c r="AF2539">
        <v>-0.13631659403264801</v>
      </c>
      <c r="AG2539">
        <v>-1.109248016774</v>
      </c>
      <c r="AH2539">
        <v>24.395061733470101</v>
      </c>
      <c r="AI2539">
        <v>92.603415954839093</v>
      </c>
      <c r="AJ2539">
        <v>90.320158412029798</v>
      </c>
      <c r="AK2539">
        <v>24.420648033095699</v>
      </c>
      <c r="AL2539">
        <v>79.576484873696401</v>
      </c>
      <c r="AM2539">
        <v>91.632077179049901</v>
      </c>
      <c r="AN2539">
        <v>0.99999997857464595</v>
      </c>
    </row>
    <row r="2540" spans="1:40" x14ac:dyDescent="0.25">
      <c r="A2540" t="str">
        <f>"20190312172131969"</f>
        <v>20190312172131969</v>
      </c>
      <c r="B2540" t="str">
        <f>"1552382491963628"</f>
        <v>1552382491963628</v>
      </c>
      <c r="C2540" t="s">
        <v>40</v>
      </c>
      <c r="D2540">
        <v>3.1358600000000001</v>
      </c>
      <c r="E2540">
        <v>0.50853660000000001</v>
      </c>
      <c r="F2540" t="s">
        <v>47</v>
      </c>
      <c r="G2540">
        <v>-300.58109999999999</v>
      </c>
      <c r="H2540" s="1">
        <v>3.9641459999999999E-6</v>
      </c>
      <c r="I2540">
        <v>283.44260000000003</v>
      </c>
      <c r="J2540">
        <v>-276.18110000000001</v>
      </c>
      <c r="K2540">
        <v>1.109243</v>
      </c>
      <c r="L2540">
        <v>282.64440000000002</v>
      </c>
      <c r="M2540">
        <v>-0.9992221</v>
      </c>
      <c r="N2540">
        <v>0</v>
      </c>
      <c r="O2540">
        <v>3.8714390000000001E-2</v>
      </c>
      <c r="P2540">
        <v>-0.98478220000000005</v>
      </c>
      <c r="Q2540">
        <v>0.17350860000000001</v>
      </c>
      <c r="R2540">
        <v>9.9305999999999995E-3</v>
      </c>
      <c r="S2540">
        <v>-3.0697939999999999</v>
      </c>
      <c r="T2540">
        <v>-0.13876369999999999</v>
      </c>
      <c r="U2540">
        <v>0.1005554</v>
      </c>
      <c r="V2540">
        <v>-2.8007480000000001E-2</v>
      </c>
      <c r="W2540">
        <v>0.180927</v>
      </c>
      <c r="X2540">
        <v>0.98309769999999996</v>
      </c>
      <c r="Y2540">
        <v>-5.9349019999999997E-3</v>
      </c>
      <c r="Z2540">
        <v>-1.8821199999999999E-3</v>
      </c>
      <c r="AA2540">
        <v>0.9999806</v>
      </c>
      <c r="AB2540">
        <v>27</v>
      </c>
      <c r="AC2540">
        <v>-24.399999999999899</v>
      </c>
      <c r="AD2540">
        <v>-1.1092390358540001</v>
      </c>
      <c r="AE2540">
        <v>0.79820000000000801</v>
      </c>
      <c r="AF2540">
        <v>-0.14675321624917201</v>
      </c>
      <c r="AG2540">
        <v>-1.1092390358540001</v>
      </c>
      <c r="AH2540">
        <v>24.362314416583398</v>
      </c>
      <c r="AI2540">
        <v>92.606882922437194</v>
      </c>
      <c r="AJ2540">
        <v>90.345132981950201</v>
      </c>
      <c r="AK2540">
        <v>24.387995232851999</v>
      </c>
      <c r="AL2540">
        <v>79.576240872554706</v>
      </c>
      <c r="AM2540">
        <v>91.631858633959396</v>
      </c>
      <c r="AN2540">
        <v>1.0000000430051099</v>
      </c>
    </row>
    <row r="2541" spans="1:40" x14ac:dyDescent="0.25">
      <c r="A2541" t="str">
        <f>"20190312172131981"</f>
        <v>20190312172131981</v>
      </c>
      <c r="B2541" t="str">
        <f>"1552382491973389"</f>
        <v>1552382491973389</v>
      </c>
      <c r="C2541" t="s">
        <v>40</v>
      </c>
      <c r="D2541">
        <v>3.1632539999999998</v>
      </c>
      <c r="E2541">
        <v>0.50848839999999995</v>
      </c>
      <c r="F2541" t="s">
        <v>47</v>
      </c>
      <c r="G2541">
        <v>-300.70589999999999</v>
      </c>
      <c r="H2541" s="1">
        <v>3.9404859999999998E-6</v>
      </c>
      <c r="I2541">
        <v>283.45999999999998</v>
      </c>
      <c r="J2541">
        <v>-276.32080000000002</v>
      </c>
      <c r="K2541">
        <v>1.1092340000000001</v>
      </c>
      <c r="L2541">
        <v>282.65010000000001</v>
      </c>
      <c r="M2541">
        <v>-0.99921009999999999</v>
      </c>
      <c r="N2541">
        <v>0</v>
      </c>
      <c r="O2541">
        <v>3.9024650000000001E-2</v>
      </c>
      <c r="P2541">
        <v>-0.98476470000000005</v>
      </c>
      <c r="Q2541">
        <v>0.17360919999999999</v>
      </c>
      <c r="R2541">
        <v>9.9180620000000001E-3</v>
      </c>
      <c r="S2541">
        <v>-3.0698240000000001</v>
      </c>
      <c r="T2541">
        <v>-0.13884589999999999</v>
      </c>
      <c r="U2541">
        <v>0.1020813</v>
      </c>
      <c r="V2541">
        <v>-2.8322E-2</v>
      </c>
      <c r="W2541">
        <v>0.18102219999999999</v>
      </c>
      <c r="X2541">
        <v>0.98307109999999998</v>
      </c>
      <c r="Y2541">
        <v>-5.7490409999999999E-3</v>
      </c>
      <c r="Z2541">
        <v>-1.893006E-3</v>
      </c>
      <c r="AA2541">
        <v>0.99998169999999997</v>
      </c>
      <c r="AB2541">
        <v>27</v>
      </c>
      <c r="AC2541">
        <v>-24.385099999999898</v>
      </c>
      <c r="AD2541">
        <v>-1.1092300595139899</v>
      </c>
      <c r="AE2541">
        <v>0.80989999999996998</v>
      </c>
      <c r="AF2541">
        <v>-0.14207009504426099</v>
      </c>
      <c r="AG2541">
        <v>-1.1092300595139899</v>
      </c>
      <c r="AH2541">
        <v>24.347806507016699</v>
      </c>
      <c r="AI2541">
        <v>92.608415953669294</v>
      </c>
      <c r="AJ2541">
        <v>90.334318594905</v>
      </c>
      <c r="AK2541">
        <v>24.3734744535932</v>
      </c>
      <c r="AL2541">
        <v>79.5706940722648</v>
      </c>
      <c r="AM2541">
        <v>91.650218723080002</v>
      </c>
      <c r="AN2541">
        <v>0.99999998011602398</v>
      </c>
    </row>
    <row r="2542" spans="1:40" x14ac:dyDescent="0.25">
      <c r="A2542" t="str">
        <f>"20190312172131993"</f>
        <v>20190312172131993</v>
      </c>
      <c r="B2542" t="str">
        <f>"1552382491983148"</f>
        <v>1552382491983148</v>
      </c>
      <c r="C2542" t="s">
        <v>40</v>
      </c>
      <c r="D2542">
        <v>3.1541000000000001</v>
      </c>
      <c r="E2542">
        <v>0.50844739999999999</v>
      </c>
      <c r="F2542" t="s">
        <v>47</v>
      </c>
      <c r="G2542">
        <v>-300.94349999999997</v>
      </c>
      <c r="H2542" s="1">
        <v>3.897948E-6</v>
      </c>
      <c r="I2542">
        <v>283.46420000000001</v>
      </c>
      <c r="J2542">
        <v>-276.48129999999998</v>
      </c>
      <c r="K2542">
        <v>1.109221</v>
      </c>
      <c r="L2542">
        <v>282.65679999999998</v>
      </c>
      <c r="M2542">
        <v>-0.99919570000000002</v>
      </c>
      <c r="N2542">
        <v>0</v>
      </c>
      <c r="O2542">
        <v>3.9391969999999998E-2</v>
      </c>
      <c r="P2542">
        <v>-0.98479249999999996</v>
      </c>
      <c r="Q2542">
        <v>0.1734446</v>
      </c>
      <c r="R2542">
        <v>1.003832E-2</v>
      </c>
      <c r="S2542">
        <v>-3.0697329999999998</v>
      </c>
      <c r="T2542">
        <v>-0.1382881</v>
      </c>
      <c r="U2542">
        <v>0.10150149999999999</v>
      </c>
      <c r="V2542">
        <v>-2.856009E-2</v>
      </c>
      <c r="W2542">
        <v>0.18085290000000001</v>
      </c>
      <c r="X2542">
        <v>0.98309539999999995</v>
      </c>
      <c r="Y2542">
        <v>-6.3037550000000003E-3</v>
      </c>
      <c r="Z2542">
        <v>-1.9144769999999999E-3</v>
      </c>
      <c r="AA2542">
        <v>0.99997829999999999</v>
      </c>
      <c r="AB2542">
        <v>27</v>
      </c>
      <c r="AC2542">
        <v>-24.462199999999999</v>
      </c>
      <c r="AD2542">
        <v>-1.1092171020520001</v>
      </c>
      <c r="AE2542">
        <v>0.80740000000002898</v>
      </c>
      <c r="AF2542">
        <v>-0.15654652697392599</v>
      </c>
      <c r="AG2542">
        <v>-1.1092171020520001</v>
      </c>
      <c r="AH2542">
        <v>24.424853159604599</v>
      </c>
      <c r="AI2542">
        <v>92.600159719722001</v>
      </c>
      <c r="AJ2542">
        <v>90.367221551664102</v>
      </c>
      <c r="AK2542">
        <v>24.450528036482901</v>
      </c>
      <c r="AL2542">
        <v>79.580557332405704</v>
      </c>
      <c r="AM2542">
        <v>91.664042474242905</v>
      </c>
      <c r="AN2542">
        <v>1.0000000078401801</v>
      </c>
    </row>
    <row r="2543" spans="1:40" x14ac:dyDescent="0.25">
      <c r="A2543" t="str">
        <f>"20190312172132012"</f>
        <v>20190312172132012</v>
      </c>
      <c r="B2543" t="str">
        <f>"1552382492003644"</f>
        <v>1552382492003644</v>
      </c>
      <c r="C2543" t="s">
        <v>40</v>
      </c>
      <c r="D2543">
        <v>3.2811020000000002</v>
      </c>
      <c r="E2543">
        <v>0.50837809999999894</v>
      </c>
      <c r="F2543" t="s">
        <v>47</v>
      </c>
      <c r="G2543">
        <v>-301.06909999999999</v>
      </c>
      <c r="H2543" s="1">
        <v>3.875063E-6</v>
      </c>
      <c r="I2543">
        <v>283.47129999999999</v>
      </c>
      <c r="J2543">
        <v>-276.70080000000002</v>
      </c>
      <c r="K2543">
        <v>1.109202</v>
      </c>
      <c r="L2543">
        <v>282.666</v>
      </c>
      <c r="M2543">
        <v>-0.99917540000000005</v>
      </c>
      <c r="N2543">
        <v>0</v>
      </c>
      <c r="O2543">
        <v>3.9906079999999997E-2</v>
      </c>
      <c r="P2543">
        <v>-0.98484229999999995</v>
      </c>
      <c r="Q2543">
        <v>0.17316670000000001</v>
      </c>
      <c r="R2543">
        <v>9.9619619999999996E-3</v>
      </c>
      <c r="S2543">
        <v>-3.0696409999999998</v>
      </c>
      <c r="T2543">
        <v>-0.1384792</v>
      </c>
      <c r="U2543">
        <v>0.1016846</v>
      </c>
      <c r="V2543">
        <v>-2.9138219999999999E-2</v>
      </c>
      <c r="W2543">
        <v>0.18057010000000001</v>
      </c>
      <c r="X2543">
        <v>0.98313039999999996</v>
      </c>
      <c r="Y2543">
        <v>-6.7565940000000003E-3</v>
      </c>
      <c r="Z2543">
        <v>-1.950535E-3</v>
      </c>
      <c r="AA2543">
        <v>0.99997530000000001</v>
      </c>
      <c r="AB2543">
        <v>27</v>
      </c>
      <c r="AC2543">
        <v>-24.368299999999898</v>
      </c>
      <c r="AD2543">
        <v>-1.109198124937</v>
      </c>
      <c r="AE2543">
        <v>0.80529999999998803</v>
      </c>
      <c r="AF2543">
        <v>-0.16746548810185</v>
      </c>
      <c r="AG2543">
        <v>-1.109198124937</v>
      </c>
      <c r="AH2543">
        <v>24.330669642387999</v>
      </c>
      <c r="AI2543">
        <v>92.610158191358494</v>
      </c>
      <c r="AJ2543">
        <v>90.394354709834403</v>
      </c>
      <c r="AK2543">
        <v>24.356515563953199</v>
      </c>
      <c r="AL2543">
        <v>79.597031626014896</v>
      </c>
      <c r="AM2543">
        <v>91.697647071416995</v>
      </c>
      <c r="AN2543">
        <v>0.99999999014146901</v>
      </c>
    </row>
    <row r="2544" spans="1:40" x14ac:dyDescent="0.25">
      <c r="A2544" t="str">
        <f>"20190312172132024"</f>
        <v>20190312172132024</v>
      </c>
      <c r="B2544" t="str">
        <f>"1552382492013405"</f>
        <v>1552382492013405</v>
      </c>
      <c r="C2544" t="s">
        <v>40</v>
      </c>
      <c r="D2544">
        <v>3.141397</v>
      </c>
      <c r="E2544">
        <v>0.50835819999999998</v>
      </c>
      <c r="F2544" t="s">
        <v>47</v>
      </c>
      <c r="G2544">
        <v>-301.27409999999998</v>
      </c>
      <c r="H2544" s="1">
        <v>3.8382510000000003E-6</v>
      </c>
      <c r="I2544">
        <v>283.47629999999998</v>
      </c>
      <c r="J2544">
        <v>-276.84280000000001</v>
      </c>
      <c r="K2544">
        <v>1.1091899999999999</v>
      </c>
      <c r="L2544">
        <v>282.67189999999999</v>
      </c>
      <c r="M2544">
        <v>-0.99916179999999999</v>
      </c>
      <c r="N2544">
        <v>0</v>
      </c>
      <c r="O2544">
        <v>4.0247060000000001E-2</v>
      </c>
      <c r="P2544">
        <v>-0.98483739999999997</v>
      </c>
      <c r="Q2544">
        <v>0.17318539999999999</v>
      </c>
      <c r="R2544">
        <v>1.0100069999999999E-2</v>
      </c>
      <c r="S2544">
        <v>-3.0695190000000001</v>
      </c>
      <c r="T2544">
        <v>-0.138552799999999</v>
      </c>
      <c r="U2544">
        <v>0.10122680000000001</v>
      </c>
      <c r="V2544">
        <v>-2.9330809999999999E-2</v>
      </c>
      <c r="W2544">
        <v>0.18058560000000001</v>
      </c>
      <c r="X2544">
        <v>0.98312180000000005</v>
      </c>
      <c r="Y2544">
        <v>-7.2445999999999899E-3</v>
      </c>
      <c r="Z2544">
        <v>-1.9780240000000001E-3</v>
      </c>
      <c r="AA2544">
        <v>0.99997179999999997</v>
      </c>
      <c r="AB2544">
        <v>27</v>
      </c>
      <c r="AC2544">
        <v>-24.431299999999901</v>
      </c>
      <c r="AD2544">
        <v>-1.109186161749</v>
      </c>
      <c r="AE2544">
        <v>0.80439999999998602</v>
      </c>
      <c r="AF2544">
        <v>-0.17919830165815101</v>
      </c>
      <c r="AG2544">
        <v>-1.109186161749</v>
      </c>
      <c r="AH2544">
        <v>24.393654044805899</v>
      </c>
      <c r="AI2544">
        <v>92.603391441046099</v>
      </c>
      <c r="AJ2544">
        <v>90.4208931419424</v>
      </c>
      <c r="AK2544">
        <v>24.4195160400531</v>
      </c>
      <c r="AL2544">
        <v>79.596128428054399</v>
      </c>
      <c r="AM2544">
        <v>91.708876032667504</v>
      </c>
      <c r="AN2544">
        <v>0.99999996448892703</v>
      </c>
    </row>
    <row r="2545" spans="1:40" x14ac:dyDescent="0.25">
      <c r="A2545" t="str">
        <f>"20190312172132036"</f>
        <v>20190312172132036</v>
      </c>
      <c r="B2545" t="str">
        <f>"1552382492032924"</f>
        <v>1552382492032924</v>
      </c>
      <c r="C2545" t="s">
        <v>40</v>
      </c>
      <c r="D2545">
        <v>3.14222</v>
      </c>
      <c r="E2545">
        <v>0.50832409999999995</v>
      </c>
      <c r="F2545" t="s">
        <v>47</v>
      </c>
      <c r="G2545">
        <v>-301.45859999999999</v>
      </c>
      <c r="H2545" s="1">
        <v>3.804462E-6</v>
      </c>
      <c r="I2545">
        <v>283.48860000000002</v>
      </c>
      <c r="J2545">
        <v>-277.00200000000001</v>
      </c>
      <c r="K2545">
        <v>1.109173</v>
      </c>
      <c r="L2545">
        <v>282.67869999999999</v>
      </c>
      <c r="M2545">
        <v>-0.99914590000000003</v>
      </c>
      <c r="N2545">
        <v>0</v>
      </c>
      <c r="O2545">
        <v>4.0640379999999997E-2</v>
      </c>
      <c r="P2545">
        <v>-0.98476819999999998</v>
      </c>
      <c r="Q2545">
        <v>0.17356369999999999</v>
      </c>
      <c r="R2545">
        <v>1.0357659999999999E-2</v>
      </c>
      <c r="S2545">
        <v>-3.0693969999999999</v>
      </c>
      <c r="T2545">
        <v>-0.13830719999999999</v>
      </c>
      <c r="U2545">
        <v>0.1018372</v>
      </c>
      <c r="V2545">
        <v>-2.9451560000000002E-2</v>
      </c>
      <c r="W2545">
        <v>0.18096119999999999</v>
      </c>
      <c r="X2545">
        <v>0.98304919999999996</v>
      </c>
      <c r="Y2545">
        <v>-7.4378789999999997E-3</v>
      </c>
      <c r="Z2545">
        <v>-1.996636E-3</v>
      </c>
      <c r="AA2545">
        <v>0.99997029999999998</v>
      </c>
      <c r="AB2545">
        <v>27</v>
      </c>
      <c r="AC2545">
        <v>-24.456599999999899</v>
      </c>
      <c r="AD2545">
        <v>-1.1091691955380001</v>
      </c>
      <c r="AE2545">
        <v>0.80990000000002704</v>
      </c>
      <c r="AF2545">
        <v>-0.18434365709546</v>
      </c>
      <c r="AG2545">
        <v>-1.1091691955380001</v>
      </c>
      <c r="AH2545">
        <v>24.419137755322598</v>
      </c>
      <c r="AI2545">
        <v>92.600634632058203</v>
      </c>
      <c r="AJ2545">
        <v>90.432526037596404</v>
      </c>
      <c r="AK2545">
        <v>24.445010280252799</v>
      </c>
      <c r="AL2545">
        <v>79.574248436998303</v>
      </c>
      <c r="AM2545">
        <v>91.716033637168906</v>
      </c>
      <c r="AN2545">
        <v>1.0000000399562501</v>
      </c>
    </row>
    <row r="2546" spans="1:40" x14ac:dyDescent="0.25">
      <c r="A2546" t="str">
        <f>"20190312172132056"</f>
        <v>20190312172132056</v>
      </c>
      <c r="B2546" t="str">
        <f>"1552382492053420"</f>
        <v>1552382492053420</v>
      </c>
      <c r="C2546" t="s">
        <v>40</v>
      </c>
      <c r="D2546">
        <v>3.1648420000000002</v>
      </c>
      <c r="E2546">
        <v>0.50827990000000001</v>
      </c>
      <c r="F2546" t="s">
        <v>47</v>
      </c>
      <c r="G2546">
        <v>-301.88850000000002</v>
      </c>
      <c r="H2546" s="1">
        <v>3.7265440000000002E-6</v>
      </c>
      <c r="I2546">
        <v>283.50760000000002</v>
      </c>
      <c r="J2546">
        <v>-277.23930000000001</v>
      </c>
      <c r="K2546">
        <v>1.109148</v>
      </c>
      <c r="L2546">
        <v>282.68900000000002</v>
      </c>
      <c r="M2546">
        <v>-0.99912109999999998</v>
      </c>
      <c r="N2546">
        <v>0</v>
      </c>
      <c r="O2546">
        <v>4.1247329999999999E-2</v>
      </c>
      <c r="P2546">
        <v>-0.9847648</v>
      </c>
      <c r="Q2546">
        <v>0.17354929999999999</v>
      </c>
      <c r="R2546">
        <v>1.092654E-2</v>
      </c>
      <c r="S2546">
        <v>-3.069458</v>
      </c>
      <c r="T2546">
        <v>-0.13680349999999999</v>
      </c>
      <c r="U2546">
        <v>0.1022339</v>
      </c>
      <c r="V2546">
        <v>-2.9470880000000001E-2</v>
      </c>
      <c r="W2546">
        <v>0.18094440000000001</v>
      </c>
      <c r="X2546">
        <v>0.98305169999999997</v>
      </c>
      <c r="Y2546">
        <v>-7.9168659999999998E-3</v>
      </c>
      <c r="Z2546">
        <v>-2.0125759999999999E-3</v>
      </c>
      <c r="AA2546">
        <v>0.99996660000000004</v>
      </c>
      <c r="AB2546">
        <v>27</v>
      </c>
      <c r="AC2546">
        <v>-24.6492</v>
      </c>
      <c r="AD2546">
        <v>-1.109144273456</v>
      </c>
      <c r="AE2546">
        <v>0.81860000000000299</v>
      </c>
      <c r="AF2546">
        <v>-0.19843734798023399</v>
      </c>
      <c r="AG2546">
        <v>-1.109144273456</v>
      </c>
      <c r="AH2546">
        <v>24.6122089906893</v>
      </c>
      <c r="AI2546">
        <v>92.580193329750401</v>
      </c>
      <c r="AJ2546">
        <v>90.461940502407202</v>
      </c>
      <c r="AK2546">
        <v>24.637987129669899</v>
      </c>
      <c r="AL2546">
        <v>79.575227024036394</v>
      </c>
      <c r="AM2546">
        <v>91.717154304192306</v>
      </c>
      <c r="AN2546">
        <v>1.00000002676611</v>
      </c>
    </row>
    <row r="2547" spans="1:40" x14ac:dyDescent="0.25">
      <c r="A2547" t="str">
        <f>"20190312172132078"</f>
        <v>20190312172132078</v>
      </c>
      <c r="B2547" t="str">
        <f>"1552382492072940"</f>
        <v>1552382492072940</v>
      </c>
      <c r="C2547" t="s">
        <v>40</v>
      </c>
      <c r="D2547">
        <v>3.145413</v>
      </c>
      <c r="E2547">
        <v>0.50827409999999995</v>
      </c>
      <c r="F2547" t="s">
        <v>47</v>
      </c>
      <c r="G2547">
        <v>-302.21010000000001</v>
      </c>
      <c r="H2547" s="1">
        <v>3.6674529999999998E-6</v>
      </c>
      <c r="I2547">
        <v>283.53089999999997</v>
      </c>
      <c r="J2547">
        <v>-277.52140000000003</v>
      </c>
      <c r="K2547">
        <v>1.1091139999999999</v>
      </c>
      <c r="L2547">
        <v>282.70150000000001</v>
      </c>
      <c r="M2547">
        <v>-0.99908969999999997</v>
      </c>
      <c r="N2547">
        <v>0</v>
      </c>
      <c r="O2547">
        <v>4.2001780000000002E-2</v>
      </c>
      <c r="P2547">
        <v>-0.98478969999999999</v>
      </c>
      <c r="Q2547">
        <v>0.17338290000000001</v>
      </c>
      <c r="R2547">
        <v>1.1310189999999999E-2</v>
      </c>
      <c r="S2547">
        <v>-3.0693049999999999</v>
      </c>
      <c r="T2547">
        <v>-0.13633110000000001</v>
      </c>
      <c r="U2547">
        <v>0.1034851</v>
      </c>
      <c r="V2547">
        <v>-2.982009E-2</v>
      </c>
      <c r="W2547">
        <v>0.1807774</v>
      </c>
      <c r="X2547">
        <v>0.9830719</v>
      </c>
      <c r="Y2547">
        <v>-8.2623739999999994E-3</v>
      </c>
      <c r="Z2547">
        <v>-2.046834E-3</v>
      </c>
      <c r="AA2547">
        <v>0.99996379999999996</v>
      </c>
      <c r="AB2547">
        <v>27</v>
      </c>
      <c r="AC2547">
        <v>-24.688699999999901</v>
      </c>
      <c r="AD2547">
        <v>-1.109110332547</v>
      </c>
      <c r="AE2547">
        <v>0.82939999999996405</v>
      </c>
      <c r="AF2547">
        <v>-0.20791102039664799</v>
      </c>
      <c r="AG2547">
        <v>-1.109110332547</v>
      </c>
      <c r="AH2547">
        <v>24.652053727527999</v>
      </c>
      <c r="AI2547">
        <v>92.575942025161197</v>
      </c>
      <c r="AJ2547">
        <v>90.483210919695694</v>
      </c>
      <c r="AK2547">
        <v>24.677866717102798</v>
      </c>
      <c r="AL2547">
        <v>79.584955929532498</v>
      </c>
      <c r="AM2547">
        <v>91.737453342925505</v>
      </c>
      <c r="AN2547">
        <v>1.00000003334398</v>
      </c>
    </row>
    <row r="2548" spans="1:40" x14ac:dyDescent="0.25">
      <c r="A2548" t="str">
        <f>"20190312172132089"</f>
        <v>20190312172132089</v>
      </c>
      <c r="B2548" t="str">
        <f>"1552382492083676"</f>
        <v>1552382492083676</v>
      </c>
      <c r="C2548" t="s">
        <v>40</v>
      </c>
      <c r="D2548">
        <v>3.1356600000000001</v>
      </c>
      <c r="E2548">
        <v>0.50829440000000004</v>
      </c>
      <c r="F2548" t="s">
        <v>47</v>
      </c>
      <c r="G2548">
        <v>-302.3734</v>
      </c>
      <c r="H2548" s="1">
        <v>3.636881E-6</v>
      </c>
      <c r="I2548">
        <v>283.54930000000002</v>
      </c>
      <c r="J2548">
        <v>-277.65589999999997</v>
      </c>
      <c r="K2548">
        <v>1.1090990000000001</v>
      </c>
      <c r="L2548">
        <v>282.70749999999998</v>
      </c>
      <c r="M2548">
        <v>-0.99907380000000001</v>
      </c>
      <c r="N2548">
        <v>0</v>
      </c>
      <c r="O2548">
        <v>4.2377390000000001E-2</v>
      </c>
      <c r="P2548">
        <v>-0.98485199999999995</v>
      </c>
      <c r="Q2548">
        <v>0.17300889999999999</v>
      </c>
      <c r="R2548">
        <v>1.160979E-2</v>
      </c>
      <c r="S2548">
        <v>-3.0693049999999999</v>
      </c>
      <c r="T2548">
        <v>-0.13697889999999999</v>
      </c>
      <c r="U2548">
        <v>0.1047058</v>
      </c>
      <c r="V2548">
        <v>-2.9888270000000002E-2</v>
      </c>
      <c r="W2548">
        <v>0.1804046</v>
      </c>
      <c r="X2548">
        <v>0.98313830000000002</v>
      </c>
      <c r="Y2548">
        <v>-8.2402559999999996E-3</v>
      </c>
      <c r="Z2548">
        <v>-2.072773E-3</v>
      </c>
      <c r="AA2548">
        <v>0.99996390000000002</v>
      </c>
      <c r="AB2548">
        <v>28</v>
      </c>
      <c r="AC2548">
        <v>-24.717500000000001</v>
      </c>
      <c r="AD2548">
        <v>-1.1090953631189999</v>
      </c>
      <c r="AE2548">
        <v>0.84180000000003397</v>
      </c>
      <c r="AF2548">
        <v>-0.206034214661165</v>
      </c>
      <c r="AG2548">
        <v>-1.1090953631189999</v>
      </c>
      <c r="AH2548">
        <v>24.681333024517301</v>
      </c>
      <c r="AI2548">
        <v>92.5728574874001</v>
      </c>
      <c r="AJ2548">
        <v>90.478281166005303</v>
      </c>
      <c r="AK2548">
        <v>24.7070990302227</v>
      </c>
      <c r="AL2548">
        <v>79.606672746889998</v>
      </c>
      <c r="AM2548">
        <v>91.741305833694994</v>
      </c>
      <c r="AN2548">
        <v>1.0000000226558201</v>
      </c>
    </row>
    <row r="2549" spans="1:40" x14ac:dyDescent="0.25">
      <c r="A2549" t="str">
        <f>"20190312172132101"</f>
        <v>20190312172132101</v>
      </c>
      <c r="B2549" t="str">
        <f>"1552382492093436"</f>
        <v>1552382492093436</v>
      </c>
      <c r="C2549" t="s">
        <v>40</v>
      </c>
      <c r="D2549">
        <v>3.130566</v>
      </c>
      <c r="E2549">
        <v>0.50828220000000002</v>
      </c>
      <c r="F2549" t="s">
        <v>47</v>
      </c>
      <c r="G2549">
        <v>-302.21170000000001</v>
      </c>
      <c r="H2549" s="1">
        <v>3.665012E-6</v>
      </c>
      <c r="I2549">
        <v>283.5557</v>
      </c>
      <c r="J2549">
        <v>-277.80180000000001</v>
      </c>
      <c r="K2549">
        <v>1.109081</v>
      </c>
      <c r="L2549">
        <v>282.714</v>
      </c>
      <c r="M2549">
        <v>-0.99905630000000001</v>
      </c>
      <c r="N2549">
        <v>0</v>
      </c>
      <c r="O2549">
        <v>4.2788229999999997E-2</v>
      </c>
      <c r="P2549">
        <v>-0.9848924</v>
      </c>
      <c r="Q2549">
        <v>0.17276349999999999</v>
      </c>
      <c r="R2549">
        <v>1.184E-2</v>
      </c>
      <c r="S2549">
        <v>-3.0692439999999999</v>
      </c>
      <c r="T2549">
        <v>-0.1386269</v>
      </c>
      <c r="U2549">
        <v>0.1060181</v>
      </c>
      <c r="V2549">
        <v>-3.0058410000000001E-2</v>
      </c>
      <c r="W2549">
        <v>0.18015970000000001</v>
      </c>
      <c r="X2549">
        <v>0.983178</v>
      </c>
      <c r="Y2549">
        <v>-8.222142E-3</v>
      </c>
      <c r="Z2549">
        <v>-2.1158209999999999E-3</v>
      </c>
      <c r="AA2549">
        <v>0.99996390000000002</v>
      </c>
      <c r="AB2549">
        <v>28</v>
      </c>
      <c r="AC2549">
        <v>-24.4099</v>
      </c>
      <c r="AD2549">
        <v>-1.1090773349880001</v>
      </c>
      <c r="AE2549">
        <v>0.841700000000003</v>
      </c>
      <c r="AF2549">
        <v>-0.20313753753517799</v>
      </c>
      <c r="AG2549">
        <v>-1.1090773349880001</v>
      </c>
      <c r="AH2549">
        <v>24.3733029149091</v>
      </c>
      <c r="AI2549">
        <v>92.605286767970696</v>
      </c>
      <c r="AJ2549">
        <v>90.477516491014697</v>
      </c>
      <c r="AK2549">
        <v>24.399369097910199</v>
      </c>
      <c r="AL2549">
        <v>79.620938013256804</v>
      </c>
      <c r="AM2549">
        <v>91.751141453377002</v>
      </c>
      <c r="AN2549">
        <v>1.0000000025999001</v>
      </c>
    </row>
    <row r="2550" spans="1:40" x14ac:dyDescent="0.25">
      <c r="A2550" t="str">
        <f>"20190312172132111"</f>
        <v>20190312172132111</v>
      </c>
      <c r="B2550" t="str">
        <f>"1552382492103196"</f>
        <v>1552382492103196</v>
      </c>
      <c r="C2550" t="s">
        <v>40</v>
      </c>
      <c r="D2550">
        <v>3.122916</v>
      </c>
      <c r="E2550">
        <v>0.50825719999999996</v>
      </c>
      <c r="F2550" t="s">
        <v>47</v>
      </c>
      <c r="G2550">
        <v>-302.25020000000001</v>
      </c>
      <c r="H2550" s="1">
        <v>3.6572490000000002E-6</v>
      </c>
      <c r="I2550">
        <v>283.56630000000001</v>
      </c>
      <c r="J2550">
        <v>-277.94069999999999</v>
      </c>
      <c r="K2550">
        <v>1.1090660000000001</v>
      </c>
      <c r="L2550">
        <v>282.72039999999998</v>
      </c>
      <c r="M2550">
        <v>-0.99903889999999995</v>
      </c>
      <c r="N2550">
        <v>0</v>
      </c>
      <c r="O2550">
        <v>4.3191899999999998E-2</v>
      </c>
      <c r="P2550">
        <v>-0.98489300000000002</v>
      </c>
      <c r="Q2550">
        <v>0.1727389</v>
      </c>
      <c r="R2550">
        <v>1.2139179999999999E-2</v>
      </c>
      <c r="S2550">
        <v>-3.069153</v>
      </c>
      <c r="T2550">
        <v>-0.13922889999999999</v>
      </c>
      <c r="U2550">
        <v>0.1069946</v>
      </c>
      <c r="V2550">
        <v>-3.015137E-2</v>
      </c>
      <c r="W2550">
        <v>0.180136299999999</v>
      </c>
      <c r="X2550">
        <v>0.98317949999999998</v>
      </c>
      <c r="Y2550">
        <v>-8.3064160000000005E-3</v>
      </c>
      <c r="Z2550">
        <v>-2.1452369999999999E-3</v>
      </c>
      <c r="AA2550">
        <v>0.99996320000000005</v>
      </c>
      <c r="AB2550">
        <v>28</v>
      </c>
      <c r="AC2550">
        <v>-24.3095</v>
      </c>
      <c r="AD2550">
        <v>-1.10906234275099</v>
      </c>
      <c r="AE2550">
        <v>0.84590000000002796</v>
      </c>
      <c r="AF2550">
        <v>-0.204467130135224</v>
      </c>
      <c r="AG2550">
        <v>-1.10906234275099</v>
      </c>
      <c r="AH2550">
        <v>24.272889027840499</v>
      </c>
      <c r="AI2550">
        <v>92.616012301856898</v>
      </c>
      <c r="AJ2550">
        <v>90.482630086146699</v>
      </c>
      <c r="AK2550">
        <v>24.299073394787602</v>
      </c>
      <c r="AL2550">
        <v>79.622301641235197</v>
      </c>
      <c r="AM2550">
        <v>91.7565510469515</v>
      </c>
      <c r="AN2550">
        <v>1.0000000604554</v>
      </c>
    </row>
    <row r="2551" spans="1:40" x14ac:dyDescent="0.25">
      <c r="A2551" t="str">
        <f>"20190312172132123"</f>
        <v>20190312172132123</v>
      </c>
      <c r="B2551" t="str">
        <f>"1552382492112956"</f>
        <v>1552382492112956</v>
      </c>
      <c r="C2551" t="s">
        <v>40</v>
      </c>
      <c r="D2551">
        <v>3.149632</v>
      </c>
      <c r="E2551">
        <v>0.50823549999999995</v>
      </c>
      <c r="F2551" t="s">
        <v>47</v>
      </c>
      <c r="G2551">
        <v>-302.39690000000002</v>
      </c>
      <c r="H2551" s="1">
        <v>3.629995E-6</v>
      </c>
      <c r="I2551">
        <v>283.58049999999997</v>
      </c>
      <c r="J2551">
        <v>-278.07499999999999</v>
      </c>
      <c r="K2551">
        <v>1.109056</v>
      </c>
      <c r="L2551">
        <v>282.72649999999999</v>
      </c>
      <c r="M2551">
        <v>-0.99902190000000002</v>
      </c>
      <c r="N2551">
        <v>0</v>
      </c>
      <c r="O2551">
        <v>4.3584900000000003E-2</v>
      </c>
      <c r="P2551">
        <v>-0.98488739999999997</v>
      </c>
      <c r="Q2551">
        <v>0.17275289999999999</v>
      </c>
      <c r="R2551">
        <v>1.239722E-2</v>
      </c>
      <c r="S2551">
        <v>-3.069061</v>
      </c>
      <c r="T2551">
        <v>-0.13917889999999999</v>
      </c>
      <c r="U2551">
        <v>0.1079407</v>
      </c>
      <c r="V2551">
        <v>-3.027552E-2</v>
      </c>
      <c r="W2551">
        <v>0.18015129999999999</v>
      </c>
      <c r="X2551">
        <v>0.98317290000000002</v>
      </c>
      <c r="Y2551">
        <v>-8.3904189999999997E-3</v>
      </c>
      <c r="Z2551">
        <v>-2.164207E-3</v>
      </c>
      <c r="AA2551">
        <v>0.99996240000000003</v>
      </c>
      <c r="AB2551">
        <v>28</v>
      </c>
      <c r="AC2551">
        <v>-24.321899999999999</v>
      </c>
      <c r="AD2551">
        <v>-1.1090523700049999</v>
      </c>
      <c r="AE2551">
        <v>0.85399999999998499</v>
      </c>
      <c r="AF2551">
        <v>-0.206479831921206</v>
      </c>
      <c r="AG2551">
        <v>-1.1090523700049999</v>
      </c>
      <c r="AH2551">
        <v>24.285574920441601</v>
      </c>
      <c r="AI2551">
        <v>92.614622477587005</v>
      </c>
      <c r="AJ2551">
        <v>90.487126119680696</v>
      </c>
      <c r="AK2551">
        <v>24.311762179998102</v>
      </c>
      <c r="AL2551">
        <v>79.621427534871401</v>
      </c>
      <c r="AM2551">
        <v>91.763791020502694</v>
      </c>
      <c r="AN2551">
        <v>1.00000002464868</v>
      </c>
    </row>
    <row r="2552" spans="1:40" x14ac:dyDescent="0.25">
      <c r="A2552" t="str">
        <f>"20190312172132134"</f>
        <v>20190312172132134</v>
      </c>
      <c r="B2552" t="str">
        <f>"1552382492123693"</f>
        <v>1552382492123693</v>
      </c>
      <c r="C2552" t="s">
        <v>40</v>
      </c>
      <c r="D2552">
        <v>3.279801</v>
      </c>
      <c r="E2552">
        <v>0.50820719999999997</v>
      </c>
      <c r="F2552" t="s">
        <v>47</v>
      </c>
      <c r="G2552">
        <v>-302.5779</v>
      </c>
      <c r="H2552" s="1">
        <v>3.5969889999999999E-6</v>
      </c>
      <c r="I2552">
        <v>283.5908</v>
      </c>
      <c r="J2552">
        <v>-278.2122</v>
      </c>
      <c r="K2552">
        <v>1.1090420000000001</v>
      </c>
      <c r="L2552">
        <v>282.73289999999997</v>
      </c>
      <c r="M2552">
        <v>-0.99900389999999994</v>
      </c>
      <c r="N2552">
        <v>0</v>
      </c>
      <c r="O2552">
        <v>4.3994640000000002E-2</v>
      </c>
      <c r="P2552">
        <v>-0.98489269999999995</v>
      </c>
      <c r="Q2552">
        <v>0.17269499999999999</v>
      </c>
      <c r="R2552">
        <v>1.276717E-2</v>
      </c>
      <c r="S2552">
        <v>-3.069</v>
      </c>
      <c r="T2552">
        <v>-0.13890930000000001</v>
      </c>
      <c r="U2552">
        <v>0.1082458</v>
      </c>
      <c r="V2552">
        <v>-3.0305840000000001E-2</v>
      </c>
      <c r="W2552">
        <v>0.18009449999999999</v>
      </c>
      <c r="X2552">
        <v>0.98318229999999995</v>
      </c>
      <c r="Y2552">
        <v>-8.7000089999999999E-3</v>
      </c>
      <c r="Z2552">
        <v>-2.1855680000000001E-3</v>
      </c>
      <c r="AA2552">
        <v>0.99995979999999995</v>
      </c>
      <c r="AB2552">
        <v>28</v>
      </c>
      <c r="AC2552">
        <v>-24.3657</v>
      </c>
      <c r="AD2552">
        <v>-1.1090384030110001</v>
      </c>
      <c r="AE2552">
        <v>0.85790000000002897</v>
      </c>
      <c r="AF2552">
        <v>-0.21447694701331901</v>
      </c>
      <c r="AG2552">
        <v>-1.1090384030110001</v>
      </c>
      <c r="AH2552">
        <v>24.329509041862998</v>
      </c>
      <c r="AI2552">
        <v>92.6098676444727</v>
      </c>
      <c r="AJ2552">
        <v>90.505078237754901</v>
      </c>
      <c r="AK2552">
        <v>24.3557175373309</v>
      </c>
      <c r="AL2552">
        <v>79.624735307111607</v>
      </c>
      <c r="AM2552">
        <v>91.765539416000394</v>
      </c>
      <c r="AN2552">
        <v>0.99999995395082097</v>
      </c>
    </row>
    <row r="2553" spans="1:40" x14ac:dyDescent="0.25">
      <c r="A2553" t="str">
        <f>"20190312172132145"</f>
        <v>20190312172132145</v>
      </c>
      <c r="B2553" t="str">
        <f>"1552382492133452"</f>
        <v>1552382492133452</v>
      </c>
      <c r="C2553" t="s">
        <v>40</v>
      </c>
      <c r="D2553">
        <v>3.1286459999999998</v>
      </c>
      <c r="E2553">
        <v>0.50817800000000002</v>
      </c>
      <c r="F2553" t="s">
        <v>47</v>
      </c>
      <c r="G2553">
        <v>-302.69619999999998</v>
      </c>
      <c r="H2553" s="1">
        <v>3.5748390000000001E-6</v>
      </c>
      <c r="I2553">
        <v>283.60410000000002</v>
      </c>
      <c r="J2553">
        <v>-278.34949999999998</v>
      </c>
      <c r="K2553">
        <v>1.1090310000000001</v>
      </c>
      <c r="L2553">
        <v>282.73939999999999</v>
      </c>
      <c r="M2553">
        <v>-0.99898549999999997</v>
      </c>
      <c r="N2553">
        <v>0</v>
      </c>
      <c r="O2553">
        <v>4.4407759999999998E-2</v>
      </c>
      <c r="P2553">
        <v>-0.98492040000000003</v>
      </c>
      <c r="Q2553">
        <v>0.1725082</v>
      </c>
      <c r="R2553">
        <v>1.31524E-2</v>
      </c>
      <c r="S2553">
        <v>-3.0689700000000002</v>
      </c>
      <c r="T2553">
        <v>-0.13901379999999999</v>
      </c>
      <c r="U2553">
        <v>0.109191899999999</v>
      </c>
      <c r="V2553">
        <v>-3.0325169999999999E-2</v>
      </c>
      <c r="W2553">
        <v>0.17990970000000001</v>
      </c>
      <c r="X2553">
        <v>0.98321559999999997</v>
      </c>
      <c r="Y2553">
        <v>-8.8047070000000002E-3</v>
      </c>
      <c r="Z2553">
        <v>-2.2082629999999998E-3</v>
      </c>
      <c r="AA2553">
        <v>0.99995880000000004</v>
      </c>
      <c r="AB2553">
        <v>28</v>
      </c>
      <c r="AC2553">
        <v>-24.346699999999998</v>
      </c>
      <c r="AD2553">
        <v>-1.1090274251609999</v>
      </c>
      <c r="AE2553">
        <v>0.864700000000027</v>
      </c>
      <c r="AF2553">
        <v>-0.216916206481929</v>
      </c>
      <c r="AG2553">
        <v>-1.1090274251609999</v>
      </c>
      <c r="AH2553">
        <v>24.310701267279299</v>
      </c>
      <c r="AI2553">
        <v>92.611855655521495</v>
      </c>
      <c r="AJ2553">
        <v>90.511217393295397</v>
      </c>
      <c r="AK2553">
        <v>24.336951135614498</v>
      </c>
      <c r="AL2553">
        <v>79.635500036837797</v>
      </c>
      <c r="AM2553">
        <v>91.766605021819402</v>
      </c>
      <c r="AN2553">
        <v>1.0000000160864799</v>
      </c>
    </row>
    <row r="2554" spans="1:40" x14ac:dyDescent="0.25">
      <c r="A2554" t="str">
        <f>"20190312172132155"</f>
        <v>20190312172132155</v>
      </c>
      <c r="B2554" t="str">
        <f>"1552382492152972"</f>
        <v>1552382492152972</v>
      </c>
      <c r="C2554" t="s">
        <v>40</v>
      </c>
      <c r="D2554">
        <v>3.1613449999999998</v>
      </c>
      <c r="E2554">
        <v>0.50813560000000002</v>
      </c>
      <c r="F2554" t="s">
        <v>47</v>
      </c>
      <c r="G2554">
        <v>-302.7192</v>
      </c>
      <c r="H2554" s="1">
        <v>3.5699450000000001E-6</v>
      </c>
      <c r="I2554">
        <v>283.61320000000001</v>
      </c>
      <c r="J2554">
        <v>-278.48570000000001</v>
      </c>
      <c r="K2554">
        <v>1.1090230000000001</v>
      </c>
      <c r="L2554">
        <v>282.74579999999997</v>
      </c>
      <c r="M2554">
        <v>-0.9989671</v>
      </c>
      <c r="N2554">
        <v>0</v>
      </c>
      <c r="O2554">
        <v>4.4821050000000001E-2</v>
      </c>
      <c r="P2554">
        <v>-0.9849755</v>
      </c>
      <c r="Q2554">
        <v>0.17216609999999999</v>
      </c>
      <c r="R2554">
        <v>1.350319E-2</v>
      </c>
      <c r="S2554">
        <v>-3.0689389999999999</v>
      </c>
      <c r="T2554">
        <v>-0.13966239999999999</v>
      </c>
      <c r="U2554">
        <v>0.1100464</v>
      </c>
      <c r="V2554">
        <v>-3.0381470000000001E-2</v>
      </c>
      <c r="W2554">
        <v>0.1795696</v>
      </c>
      <c r="X2554">
        <v>0.98327600000000004</v>
      </c>
      <c r="Y2554">
        <v>-8.9389120000000002E-3</v>
      </c>
      <c r="Z2554">
        <v>-2.240386E-3</v>
      </c>
      <c r="AA2554">
        <v>0.9999576</v>
      </c>
      <c r="AB2554">
        <v>28</v>
      </c>
      <c r="AC2554">
        <v>-24.2334999999999</v>
      </c>
      <c r="AD2554">
        <v>-1.10901943005499</v>
      </c>
      <c r="AE2554">
        <v>0.86740000000003104</v>
      </c>
      <c r="AF2554">
        <v>-0.21921446137877401</v>
      </c>
      <c r="AG2554">
        <v>-1.10901943005499</v>
      </c>
      <c r="AH2554">
        <v>24.197410979257398</v>
      </c>
      <c r="AI2554">
        <v>92.624044983749997</v>
      </c>
      <c r="AJ2554">
        <v>90.519052218382498</v>
      </c>
      <c r="AK2554">
        <v>24.223803936941898</v>
      </c>
      <c r="AL2554">
        <v>79.655308594591006</v>
      </c>
      <c r="AM2554">
        <v>91.769774066987395</v>
      </c>
      <c r="AN2554">
        <v>0.99999998356976005</v>
      </c>
    </row>
    <row r="2555" spans="1:40" x14ac:dyDescent="0.25">
      <c r="A2555" t="str">
        <f>"20190312172132167"</f>
        <v>20190312172132167</v>
      </c>
      <c r="B2555" t="str">
        <f>"1552382492163708"</f>
        <v>1552382492163708</v>
      </c>
      <c r="C2555" t="s">
        <v>40</v>
      </c>
      <c r="D2555">
        <v>3.282305</v>
      </c>
      <c r="E2555">
        <v>0.50810310000000003</v>
      </c>
      <c r="F2555" t="s">
        <v>47</v>
      </c>
      <c r="G2555">
        <v>-302.68369999999999</v>
      </c>
      <c r="H2555" s="1">
        <v>3.5757229999999999E-6</v>
      </c>
      <c r="I2555">
        <v>283.61939999999998</v>
      </c>
      <c r="J2555">
        <v>-278.62299999999999</v>
      </c>
      <c r="K2555">
        <v>1.1090139999999999</v>
      </c>
      <c r="L2555">
        <v>282.75240000000002</v>
      </c>
      <c r="M2555">
        <v>-0.99894819999999995</v>
      </c>
      <c r="N2555">
        <v>0</v>
      </c>
      <c r="O2555">
        <v>4.5240700000000002E-2</v>
      </c>
      <c r="P2555">
        <v>-0.9849677</v>
      </c>
      <c r="Q2555">
        <v>0.17218020000000001</v>
      </c>
      <c r="R2555">
        <v>1.387827E-2</v>
      </c>
      <c r="S2555">
        <v>-3.0688170000000001</v>
      </c>
      <c r="T2555">
        <v>-0.1406471</v>
      </c>
      <c r="U2555">
        <v>0.1107788</v>
      </c>
      <c r="V2555">
        <v>-3.0417010000000001E-2</v>
      </c>
      <c r="W2555">
        <v>0.17958560000000001</v>
      </c>
      <c r="X2555">
        <v>0.98327200000000003</v>
      </c>
      <c r="Y2555">
        <v>-9.1178040000000002E-3</v>
      </c>
      <c r="Z2555">
        <v>-2.2795340000000002E-3</v>
      </c>
      <c r="AA2555">
        <v>0.99995579999999995</v>
      </c>
      <c r="AB2555">
        <v>28</v>
      </c>
      <c r="AC2555">
        <v>-24.060700000000001</v>
      </c>
      <c r="AD2555">
        <v>-1.109010424277</v>
      </c>
      <c r="AE2555">
        <v>0.86699999999996102</v>
      </c>
      <c r="AF2555">
        <v>-0.22197006253733401</v>
      </c>
      <c r="AG2555">
        <v>-1.109010424277</v>
      </c>
      <c r="AH2555">
        <v>24.024314788222998</v>
      </c>
      <c r="AI2555">
        <v>92.642898848779694</v>
      </c>
      <c r="AJ2555">
        <v>90.529363105557593</v>
      </c>
      <c r="AK2555">
        <v>24.050922557636898</v>
      </c>
      <c r="AL2555">
        <v>79.654376928046602</v>
      </c>
      <c r="AM2555">
        <v>91.771850218976994</v>
      </c>
      <c r="AN2555">
        <v>1.00000000410435</v>
      </c>
    </row>
    <row r="2556" spans="1:40" x14ac:dyDescent="0.25">
      <c r="A2556" t="str">
        <f>"20190312172132178"</f>
        <v>20190312172132178</v>
      </c>
      <c r="B2556" t="str">
        <f>"1552382492173469"</f>
        <v>1552382492173469</v>
      </c>
      <c r="C2556" t="s">
        <v>40</v>
      </c>
      <c r="D2556">
        <v>3.145057</v>
      </c>
      <c r="E2556">
        <v>0.50807500000000005</v>
      </c>
      <c r="F2556" t="s">
        <v>47</v>
      </c>
      <c r="G2556">
        <v>-302.84710000000001</v>
      </c>
      <c r="H2556" s="1">
        <v>3.5453979999999999E-6</v>
      </c>
      <c r="I2556">
        <v>283.63459999999998</v>
      </c>
      <c r="J2556">
        <v>-278.7636</v>
      </c>
      <c r="K2556">
        <v>1.1090040000000001</v>
      </c>
      <c r="L2556">
        <v>282.75920000000002</v>
      </c>
      <c r="M2556">
        <v>-0.9989285</v>
      </c>
      <c r="N2556">
        <v>0</v>
      </c>
      <c r="O2556">
        <v>4.5671789999999997E-2</v>
      </c>
      <c r="P2556">
        <v>-0.98500989999999999</v>
      </c>
      <c r="Q2556">
        <v>0.1719291</v>
      </c>
      <c r="R2556">
        <v>1.4003679999999999E-2</v>
      </c>
      <c r="S2556">
        <v>-3.068756</v>
      </c>
      <c r="T2556">
        <v>-0.1404918</v>
      </c>
      <c r="U2556">
        <v>0.1117554</v>
      </c>
      <c r="V2556">
        <v>-3.0716630000000002E-2</v>
      </c>
      <c r="W2556">
        <v>0.17933650000000001</v>
      </c>
      <c r="X2556">
        <v>0.98330810000000002</v>
      </c>
      <c r="Y2556">
        <v>-9.2303739999999995E-3</v>
      </c>
      <c r="Z2556">
        <v>-2.2993190000000002E-3</v>
      </c>
      <c r="AA2556">
        <v>0.99995480000000003</v>
      </c>
      <c r="AB2556">
        <v>28</v>
      </c>
      <c r="AC2556">
        <v>-24.083500000000001</v>
      </c>
      <c r="AD2556">
        <v>-1.109000454602</v>
      </c>
      <c r="AE2556">
        <v>0.87539999999995599</v>
      </c>
      <c r="AF2556">
        <v>-0.22500437546187299</v>
      </c>
      <c r="AG2556">
        <v>-1.109000454602</v>
      </c>
      <c r="AH2556">
        <v>24.047426010701699</v>
      </c>
      <c r="AI2556">
        <v>92.640335860431406</v>
      </c>
      <c r="AJ2556">
        <v>90.536083358116102</v>
      </c>
      <c r="AK2556">
        <v>24.074035945754002</v>
      </c>
      <c r="AL2556">
        <v>79.668884334484702</v>
      </c>
      <c r="AM2556">
        <v>91.789226731514006</v>
      </c>
      <c r="AN2556">
        <v>0.99999995555820698</v>
      </c>
    </row>
    <row r="2557" spans="1:40" x14ac:dyDescent="0.25">
      <c r="A2557" t="str">
        <f>"20190312172132190"</f>
        <v>20190312172132190</v>
      </c>
      <c r="B2557" t="str">
        <f>"1552382492183228"</f>
        <v>1552382492183228</v>
      </c>
      <c r="C2557" t="s">
        <v>40</v>
      </c>
      <c r="D2557">
        <v>3.1470090000000002</v>
      </c>
      <c r="E2557">
        <v>0.50803670000000001</v>
      </c>
      <c r="F2557" t="s">
        <v>47</v>
      </c>
      <c r="G2557">
        <v>-302.86450000000002</v>
      </c>
      <c r="H2557" s="1">
        <v>3.541897E-6</v>
      </c>
      <c r="I2557">
        <v>283.63929999999999</v>
      </c>
      <c r="J2557">
        <v>-278.91039999999998</v>
      </c>
      <c r="K2557">
        <v>1.1089990000000001</v>
      </c>
      <c r="L2557">
        <v>282.76639999999998</v>
      </c>
      <c r="M2557">
        <v>-0.99890769999999995</v>
      </c>
      <c r="N2557">
        <v>0</v>
      </c>
      <c r="O2557">
        <v>4.6124510000000001E-2</v>
      </c>
      <c r="P2557">
        <v>-0.98503560000000001</v>
      </c>
      <c r="Q2557">
        <v>0.17175470000000001</v>
      </c>
      <c r="R2557">
        <v>1.4325910000000001E-2</v>
      </c>
      <c r="S2557">
        <v>-3.068695</v>
      </c>
      <c r="T2557">
        <v>-0.14120579999999999</v>
      </c>
      <c r="U2557">
        <v>0.11206049999999999</v>
      </c>
      <c r="V2557">
        <v>-3.0840449999999998E-2</v>
      </c>
      <c r="W2557">
        <v>0.17916480000000001</v>
      </c>
      <c r="X2557">
        <v>0.98333559999999998</v>
      </c>
      <c r="Y2557">
        <v>-9.5820929999999999E-3</v>
      </c>
      <c r="Z2557">
        <v>-2.339907E-3</v>
      </c>
      <c r="AA2557">
        <v>0.99995140000000005</v>
      </c>
      <c r="AB2557">
        <v>28</v>
      </c>
      <c r="AC2557">
        <v>-23.9541</v>
      </c>
      <c r="AD2557">
        <v>-1.1089954581029999</v>
      </c>
      <c r="AE2557">
        <v>0.872900000000015</v>
      </c>
      <c r="AF2557">
        <v>-0.23243357488828201</v>
      </c>
      <c r="AG2557">
        <v>-1.1089954581029999</v>
      </c>
      <c r="AH2557">
        <v>23.917670649271301</v>
      </c>
      <c r="AI2557">
        <v>92.654618389072397</v>
      </c>
      <c r="AJ2557">
        <v>90.556786814221795</v>
      </c>
      <c r="AK2557">
        <v>23.944495517338499</v>
      </c>
      <c r="AL2557">
        <v>79.678884762877999</v>
      </c>
      <c r="AM2557">
        <v>91.796384255476397</v>
      </c>
      <c r="AN2557">
        <v>1.0000000305712999</v>
      </c>
    </row>
    <row r="2558" spans="1:40" x14ac:dyDescent="0.25">
      <c r="A2558" t="str">
        <f>"20190312172132201"</f>
        <v>20190312172132201</v>
      </c>
      <c r="B2558" t="str">
        <f>"1552382492192988"</f>
        <v>1552382492192988</v>
      </c>
      <c r="C2558" t="s">
        <v>40</v>
      </c>
      <c r="D2558">
        <v>3.112911</v>
      </c>
      <c r="E2558">
        <v>0.50799810000000001</v>
      </c>
      <c r="F2558" t="s">
        <v>47</v>
      </c>
      <c r="G2558">
        <v>-302.9169</v>
      </c>
      <c r="H2558" s="1">
        <v>3.5317579999999999E-6</v>
      </c>
      <c r="I2558">
        <v>283.649</v>
      </c>
      <c r="J2558">
        <v>-279.05680000000001</v>
      </c>
      <c r="K2558">
        <v>1.1089929999999999</v>
      </c>
      <c r="L2558">
        <v>282.77359999999999</v>
      </c>
      <c r="M2558">
        <v>-0.99888690000000002</v>
      </c>
      <c r="N2558">
        <v>0</v>
      </c>
      <c r="O2558">
        <v>4.6576270000000003E-2</v>
      </c>
      <c r="P2558">
        <v>-0.98503200000000002</v>
      </c>
      <c r="Q2558">
        <v>0.1717611</v>
      </c>
      <c r="R2558">
        <v>1.45051E-2</v>
      </c>
      <c r="S2558">
        <v>-3.0686650000000002</v>
      </c>
      <c r="T2558">
        <v>-0.14175879999999999</v>
      </c>
      <c r="U2558">
        <v>0.11282349999999999</v>
      </c>
      <c r="V2558">
        <v>-3.1104860000000002E-2</v>
      </c>
      <c r="W2558">
        <v>0.17917379999999999</v>
      </c>
      <c r="X2558">
        <v>0.98332560000000002</v>
      </c>
      <c r="Y2558">
        <v>-9.7845310000000008E-3</v>
      </c>
      <c r="Z2558">
        <v>-2.3745680000000001E-3</v>
      </c>
      <c r="AA2558">
        <v>0.99994930000000004</v>
      </c>
      <c r="AB2558">
        <v>28</v>
      </c>
      <c r="AC2558">
        <v>-23.8600999999999</v>
      </c>
      <c r="AD2558">
        <v>-1.1089894682420001</v>
      </c>
      <c r="AE2558">
        <v>0.87540000000001295</v>
      </c>
      <c r="AF2558">
        <v>-0.23638548208556301</v>
      </c>
      <c r="AG2558">
        <v>-1.1089894682420001</v>
      </c>
      <c r="AH2558">
        <v>23.823581610642801</v>
      </c>
      <c r="AI2558">
        <v>92.665067761958397</v>
      </c>
      <c r="AJ2558">
        <v>90.568489080772096</v>
      </c>
      <c r="AK2558">
        <v>23.8505508635706</v>
      </c>
      <c r="AL2558">
        <v>79.678360292687003</v>
      </c>
      <c r="AM2558">
        <v>91.811793712741903</v>
      </c>
      <c r="AN2558">
        <v>0.99999999926870897</v>
      </c>
    </row>
    <row r="2559" spans="1:40" x14ac:dyDescent="0.25">
      <c r="A2559" t="str">
        <f>"20190312172132213"</f>
        <v>20190312172132213</v>
      </c>
      <c r="B2559" t="str">
        <f>"1552382492203724"</f>
        <v>1552382492203724</v>
      </c>
      <c r="C2559" t="s">
        <v>40</v>
      </c>
      <c r="D2559">
        <v>3.141464</v>
      </c>
      <c r="E2559">
        <v>0.50796160000000001</v>
      </c>
      <c r="F2559" t="s">
        <v>47</v>
      </c>
      <c r="G2559">
        <v>-303.07319999999999</v>
      </c>
      <c r="H2559" s="1">
        <v>3.5029220000000001E-6</v>
      </c>
      <c r="I2559">
        <v>283.66180000000003</v>
      </c>
      <c r="J2559">
        <v>-279.2072</v>
      </c>
      <c r="K2559">
        <v>1.1089899999999999</v>
      </c>
      <c r="L2559">
        <v>282.78100000000001</v>
      </c>
      <c r="M2559">
        <v>-0.99886490000000006</v>
      </c>
      <c r="N2559">
        <v>0</v>
      </c>
      <c r="O2559">
        <v>4.7041069999999997E-2</v>
      </c>
      <c r="P2559">
        <v>-0.98506190000000005</v>
      </c>
      <c r="Q2559">
        <v>0.171565299999999</v>
      </c>
      <c r="R2559">
        <v>1.4782119999999999E-2</v>
      </c>
      <c r="S2559">
        <v>-3.0686339999999999</v>
      </c>
      <c r="T2559">
        <v>-0.14169870000000001</v>
      </c>
      <c r="U2559">
        <v>0.113494899999999</v>
      </c>
      <c r="V2559">
        <v>-3.1286969999999997E-2</v>
      </c>
      <c r="W2559">
        <v>0.17898039999999901</v>
      </c>
      <c r="X2559">
        <v>0.98335499999999998</v>
      </c>
      <c r="Y2559">
        <v>-1.0030290000000001E-2</v>
      </c>
      <c r="Z2559">
        <v>-2.400662E-3</v>
      </c>
      <c r="AA2559">
        <v>0.99994680000000002</v>
      </c>
      <c r="AB2559">
        <v>28</v>
      </c>
      <c r="AC2559">
        <v>-23.8659999999999</v>
      </c>
      <c r="AD2559">
        <v>-1.1089864970779999</v>
      </c>
      <c r="AE2559">
        <v>0.88080000000002101</v>
      </c>
      <c r="AF2559">
        <v>-0.24236617399333699</v>
      </c>
      <c r="AG2559">
        <v>-1.1089864970779999</v>
      </c>
      <c r="AH2559">
        <v>23.8296297499367</v>
      </c>
      <c r="AI2559">
        <v>92.664378554051297</v>
      </c>
      <c r="AJ2559">
        <v>90.582723282332907</v>
      </c>
      <c r="AK2559">
        <v>23.8566520373682</v>
      </c>
      <c r="AL2559">
        <v>79.689622923480101</v>
      </c>
      <c r="AM2559">
        <v>91.822339662766595</v>
      </c>
      <c r="AN2559">
        <v>0.99999995705046896</v>
      </c>
    </row>
    <row r="2560" spans="1:40" x14ac:dyDescent="0.25">
      <c r="A2560" t="str">
        <f>"20190312172132224"</f>
        <v>20190312172132224</v>
      </c>
      <c r="B2560" t="str">
        <f>"1552382492213486"</f>
        <v>1552382492213486</v>
      </c>
      <c r="C2560" t="s">
        <v>40</v>
      </c>
      <c r="D2560">
        <v>3.1152760000000002</v>
      </c>
      <c r="E2560">
        <v>0.5079747</v>
      </c>
      <c r="F2560" t="s">
        <v>47</v>
      </c>
      <c r="G2560">
        <v>-303.12700000000001</v>
      </c>
      <c r="H2560" s="1">
        <v>3.492514E-6</v>
      </c>
      <c r="I2560">
        <v>283.67169999999999</v>
      </c>
      <c r="J2560">
        <v>-279.33960000000002</v>
      </c>
      <c r="K2560">
        <v>1.1089869999999999</v>
      </c>
      <c r="L2560">
        <v>282.7876</v>
      </c>
      <c r="M2560">
        <v>-0.99884550000000005</v>
      </c>
      <c r="N2560">
        <v>0</v>
      </c>
      <c r="O2560">
        <v>4.7449669999999999E-2</v>
      </c>
      <c r="P2560">
        <v>-0.9850352</v>
      </c>
      <c r="Q2560">
        <v>0.17169670000000001</v>
      </c>
      <c r="R2560">
        <v>1.503121E-2</v>
      </c>
      <c r="S2560">
        <v>-3.0685120000000001</v>
      </c>
      <c r="T2560">
        <v>-0.14226459999999999</v>
      </c>
      <c r="U2560">
        <v>0.11425780000000001</v>
      </c>
      <c r="V2560">
        <v>-3.1438580000000001E-2</v>
      </c>
      <c r="W2560">
        <v>0.17911369999999999</v>
      </c>
      <c r="X2560">
        <v>0.98332600000000003</v>
      </c>
      <c r="Y2560">
        <v>-1.018849E-2</v>
      </c>
      <c r="Z2560">
        <v>-2.4328869999999999E-3</v>
      </c>
      <c r="AA2560">
        <v>0.99994519999999998</v>
      </c>
      <c r="AB2560">
        <v>28</v>
      </c>
      <c r="AC2560">
        <v>-23.787399999999899</v>
      </c>
      <c r="AD2560">
        <v>-1.1089835074859999</v>
      </c>
      <c r="AE2560">
        <v>0.88409999999998901</v>
      </c>
      <c r="AF2560">
        <v>-0.245099889914946</v>
      </c>
      <c r="AG2560">
        <v>-1.1089835074859999</v>
      </c>
      <c r="AH2560">
        <v>23.751005320554501</v>
      </c>
      <c r="AI2560">
        <v>92.673174575247998</v>
      </c>
      <c r="AJ2560">
        <v>90.591246163763103</v>
      </c>
      <c r="AK2560">
        <v>23.778144841701199</v>
      </c>
      <c r="AL2560">
        <v>79.681861045402599</v>
      </c>
      <c r="AM2560">
        <v>91.831218302938794</v>
      </c>
      <c r="AN2560">
        <v>1.00000006205805</v>
      </c>
    </row>
    <row r="2561" spans="1:40" x14ac:dyDescent="0.25">
      <c r="A2561" t="str">
        <f>"20190312172132236"</f>
        <v>20190312172132236</v>
      </c>
      <c r="B2561" t="str">
        <f>"1552382492233004"</f>
        <v>1552382492233004</v>
      </c>
      <c r="C2561" t="s">
        <v>40</v>
      </c>
      <c r="D2561">
        <v>3.1385049999999999</v>
      </c>
      <c r="E2561">
        <v>0.50793949999999999</v>
      </c>
      <c r="F2561" t="s">
        <v>47</v>
      </c>
      <c r="G2561">
        <v>-303.24740000000003</v>
      </c>
      <c r="H2561" s="1">
        <v>3.4700089999999998E-6</v>
      </c>
      <c r="I2561">
        <v>283.68470000000002</v>
      </c>
      <c r="J2561">
        <v>-279.50529999999998</v>
      </c>
      <c r="K2561">
        <v>1.1089850000000001</v>
      </c>
      <c r="L2561">
        <v>282.79599999999999</v>
      </c>
      <c r="M2561">
        <v>-0.99882119999999996</v>
      </c>
      <c r="N2561">
        <v>0</v>
      </c>
      <c r="O2561">
        <v>4.7960309999999999E-2</v>
      </c>
      <c r="P2561">
        <v>-0.98502339999999999</v>
      </c>
      <c r="Q2561">
        <v>0.1717487</v>
      </c>
      <c r="R2561">
        <v>1.520694E-2</v>
      </c>
      <c r="S2561">
        <v>-3.0686339999999999</v>
      </c>
      <c r="T2561">
        <v>-0.14234089999999999</v>
      </c>
      <c r="U2561">
        <v>0.1151428</v>
      </c>
      <c r="V2561">
        <v>-3.1765069999999999E-2</v>
      </c>
      <c r="W2561">
        <v>0.17916899999999999</v>
      </c>
      <c r="X2561">
        <v>0.98330530000000005</v>
      </c>
      <c r="Y2561">
        <v>-1.0412340000000001E-2</v>
      </c>
      <c r="Z2561">
        <v>-2.4629000000000001E-3</v>
      </c>
      <c r="AA2561">
        <v>0.99994280000000002</v>
      </c>
      <c r="AB2561">
        <v>28</v>
      </c>
      <c r="AC2561">
        <v>-23.742100000000001</v>
      </c>
      <c r="AD2561">
        <v>-1.108981529991</v>
      </c>
      <c r="AE2561">
        <v>0.88870000000002802</v>
      </c>
      <c r="AF2561">
        <v>-0.250487364099993</v>
      </c>
      <c r="AG2561">
        <v>-1.108981529991</v>
      </c>
      <c r="AH2561">
        <v>23.705752282351298</v>
      </c>
      <c r="AI2561">
        <v>92.678258436759705</v>
      </c>
      <c r="AJ2561">
        <v>90.605394611136205</v>
      </c>
      <c r="AK2561">
        <v>23.732999709805799</v>
      </c>
      <c r="AL2561">
        <v>79.678639130161898</v>
      </c>
      <c r="AM2561">
        <v>91.850261297786403</v>
      </c>
      <c r="AN2561">
        <v>0.99999993162059497</v>
      </c>
    </row>
    <row r="2562" spans="1:40" x14ac:dyDescent="0.25">
      <c r="A2562" t="str">
        <f>"20190312172132251"</f>
        <v>20190312172132251</v>
      </c>
      <c r="B2562" t="str">
        <f>"1552382492243740"</f>
        <v>1552382492243740</v>
      </c>
      <c r="C2562" t="s">
        <v>40</v>
      </c>
      <c r="D2562">
        <v>3.131151</v>
      </c>
      <c r="E2562">
        <v>0.50793120000000003</v>
      </c>
      <c r="F2562" t="s">
        <v>47</v>
      </c>
      <c r="G2562">
        <v>-303.40480000000002</v>
      </c>
      <c r="H2562" s="1">
        <v>3.441072E-6</v>
      </c>
      <c r="I2562">
        <v>283.69630000000001</v>
      </c>
      <c r="J2562">
        <v>-279.67520000000002</v>
      </c>
      <c r="K2562">
        <v>1.1089830000000001</v>
      </c>
      <c r="L2562">
        <v>282.80470000000003</v>
      </c>
      <c r="M2562">
        <v>-0.99879589999999996</v>
      </c>
      <c r="N2562">
        <v>0</v>
      </c>
      <c r="O2562">
        <v>4.8483039999999998E-2</v>
      </c>
      <c r="P2562">
        <v>-0.9849966</v>
      </c>
      <c r="Q2562">
        <v>0.17188320000000001</v>
      </c>
      <c r="R2562">
        <v>1.542025E-2</v>
      </c>
      <c r="S2562">
        <v>-3.068695</v>
      </c>
      <c r="T2562">
        <v>-0.14239289999999999</v>
      </c>
      <c r="U2562">
        <v>0.1156006</v>
      </c>
      <c r="V2562">
        <v>-3.2064330000000002E-2</v>
      </c>
      <c r="W2562">
        <v>0.17930650000000001</v>
      </c>
      <c r="X2562">
        <v>0.98327059999999999</v>
      </c>
      <c r="Y2562">
        <v>-1.0786459999999999E-2</v>
      </c>
      <c r="Z2562">
        <v>-2.4966139999999999E-3</v>
      </c>
      <c r="AA2562">
        <v>0.99993869999999896</v>
      </c>
      <c r="AB2562">
        <v>28</v>
      </c>
      <c r="AC2562">
        <v>-23.729600000000001</v>
      </c>
      <c r="AD2562">
        <v>-1.108979558928</v>
      </c>
      <c r="AE2562">
        <v>0.89159999999998196</v>
      </c>
      <c r="AF2562">
        <v>-0.259398274586289</v>
      </c>
      <c r="AG2562">
        <v>-1.108979558928</v>
      </c>
      <c r="AH2562">
        <v>23.693246535044199</v>
      </c>
      <c r="AI2562">
        <v>92.679654272067395</v>
      </c>
      <c r="AJ2562">
        <v>90.627260284879995</v>
      </c>
      <c r="AK2562">
        <v>23.720604007852799</v>
      </c>
      <c r="AL2562">
        <v>79.670632071598902</v>
      </c>
      <c r="AM2562">
        <v>91.867746260310696</v>
      </c>
      <c r="AN2562">
        <v>1.00000000751247</v>
      </c>
    </row>
    <row r="2563" spans="1:40" x14ac:dyDescent="0.25">
      <c r="A2563" t="str">
        <f>"20190312172132265"</f>
        <v>20190312172132265</v>
      </c>
      <c r="B2563" t="str">
        <f>"1552382492253500"</f>
        <v>1552382492253500</v>
      </c>
      <c r="C2563" t="s">
        <v>40</v>
      </c>
      <c r="D2563">
        <v>3.142366</v>
      </c>
      <c r="E2563">
        <v>0.50794289999999997</v>
      </c>
      <c r="F2563" t="s">
        <v>47</v>
      </c>
      <c r="G2563">
        <v>-303.57069999999999</v>
      </c>
      <c r="H2563" s="1">
        <v>3.410453E-6</v>
      </c>
      <c r="I2563">
        <v>283.71010000000001</v>
      </c>
      <c r="J2563">
        <v>-279.84379999999999</v>
      </c>
      <c r="K2563">
        <v>1.1089800000000001</v>
      </c>
      <c r="L2563">
        <v>282.8134</v>
      </c>
      <c r="M2563">
        <v>-0.99877070000000001</v>
      </c>
      <c r="N2563">
        <v>0</v>
      </c>
      <c r="O2563">
        <v>4.900082E-2</v>
      </c>
      <c r="P2563">
        <v>-0.98498540000000001</v>
      </c>
      <c r="Q2563">
        <v>0.17192650000000001</v>
      </c>
      <c r="R2563">
        <v>1.5664750000000002E-2</v>
      </c>
      <c r="S2563">
        <v>-3.0687259999999998</v>
      </c>
      <c r="T2563">
        <v>-0.14241860000000001</v>
      </c>
      <c r="U2563">
        <v>0.116272</v>
      </c>
      <c r="V2563">
        <v>-3.2328959999999997E-2</v>
      </c>
      <c r="W2563">
        <v>0.1793534</v>
      </c>
      <c r="X2563">
        <v>0.98325340000000006</v>
      </c>
      <c r="Y2563">
        <v>-1.1085859999999999E-2</v>
      </c>
      <c r="Z2563">
        <v>-2.5279450000000002E-3</v>
      </c>
      <c r="AA2563">
        <v>0.99993529999999997</v>
      </c>
      <c r="AB2563">
        <v>28</v>
      </c>
      <c r="AC2563">
        <v>-23.726900000000001</v>
      </c>
      <c r="AD2563">
        <v>-1.1089765895469901</v>
      </c>
      <c r="AE2563">
        <v>0.89670000000000905</v>
      </c>
      <c r="AF2563">
        <v>-0.26646606867662198</v>
      </c>
      <c r="AG2563">
        <v>-1.1089765895469901</v>
      </c>
      <c r="AH2563">
        <v>23.690656749537599</v>
      </c>
      <c r="AI2563">
        <v>92.679930716214699</v>
      </c>
      <c r="AJ2563">
        <v>90.644420182029805</v>
      </c>
      <c r="AK2563">
        <v>23.718095422405401</v>
      </c>
      <c r="AL2563">
        <v>79.667900814941106</v>
      </c>
      <c r="AM2563">
        <v>91.8831828146117</v>
      </c>
      <c r="AN2563">
        <v>1.0000000261788999</v>
      </c>
    </row>
    <row r="2564" spans="1:40" x14ac:dyDescent="0.25">
      <c r="A2564" t="str">
        <f>"20190312172132281"</f>
        <v>20190312172132281</v>
      </c>
      <c r="B2564" t="str">
        <f>"1552382492273020"</f>
        <v>1552382492273020</v>
      </c>
      <c r="C2564" t="s">
        <v>40</v>
      </c>
      <c r="D2564">
        <v>3.1359750000000002</v>
      </c>
      <c r="E2564">
        <v>0.50788699999999998</v>
      </c>
      <c r="F2564" t="s">
        <v>47</v>
      </c>
      <c r="G2564">
        <v>-303.74810000000002</v>
      </c>
      <c r="H2564" s="1">
        <v>3.3775779999999999E-6</v>
      </c>
      <c r="I2564">
        <v>283.726</v>
      </c>
      <c r="J2564">
        <v>-280.05509999999998</v>
      </c>
      <c r="K2564">
        <v>1.108973</v>
      </c>
      <c r="L2564">
        <v>282.82429999999999</v>
      </c>
      <c r="M2564">
        <v>-0.99873880000000004</v>
      </c>
      <c r="N2564">
        <v>0</v>
      </c>
      <c r="O2564">
        <v>4.9647289999999997E-2</v>
      </c>
      <c r="P2564">
        <v>-0.98496930000000005</v>
      </c>
      <c r="Q2564">
        <v>0.1720035</v>
      </c>
      <c r="R2564">
        <v>1.5825929999999998E-2</v>
      </c>
      <c r="S2564">
        <v>-3.068695</v>
      </c>
      <c r="T2564">
        <v>-0.14236379999999901</v>
      </c>
      <c r="U2564">
        <v>0.117157</v>
      </c>
      <c r="V2564">
        <v>-3.2802940000000003E-2</v>
      </c>
      <c r="W2564">
        <v>0.17943499999999901</v>
      </c>
      <c r="X2564">
        <v>0.98322279999999995</v>
      </c>
      <c r="Y2564">
        <v>-1.1443729999999999E-2</v>
      </c>
      <c r="Z2564">
        <v>-2.5651979999999999E-3</v>
      </c>
      <c r="AA2564">
        <v>0.99993120000000002</v>
      </c>
      <c r="AB2564">
        <v>28</v>
      </c>
      <c r="AC2564">
        <v>-23.693000000000001</v>
      </c>
      <c r="AD2564">
        <v>-1.108969622422</v>
      </c>
      <c r="AE2564">
        <v>0.90170000000000505</v>
      </c>
      <c r="AF2564">
        <v>-0.27513628882150498</v>
      </c>
      <c r="AG2564">
        <v>-1.108969622422</v>
      </c>
      <c r="AH2564">
        <v>23.656796745526499</v>
      </c>
      <c r="AI2564">
        <v>92.683732337581702</v>
      </c>
      <c r="AJ2564">
        <v>90.666338625258604</v>
      </c>
      <c r="AK2564">
        <v>23.684373452976001</v>
      </c>
      <c r="AL2564">
        <v>79.663148247114293</v>
      </c>
      <c r="AM2564">
        <v>91.910831560293005</v>
      </c>
      <c r="AN2564">
        <v>1.0000000132687401</v>
      </c>
    </row>
    <row r="2565" spans="1:40" x14ac:dyDescent="0.25">
      <c r="A2565" t="str">
        <f>"20190312172132302"</f>
        <v>20190312172132302</v>
      </c>
      <c r="B2565" t="str">
        <f>"1552382492293519"</f>
        <v>1552382492293519</v>
      </c>
      <c r="C2565" t="s">
        <v>40</v>
      </c>
      <c r="D2565">
        <v>3.1230699999999998</v>
      </c>
      <c r="E2565">
        <v>0.50784949999999995</v>
      </c>
      <c r="F2565" t="s">
        <v>47</v>
      </c>
      <c r="G2565">
        <v>-304.005</v>
      </c>
      <c r="H2565" s="1">
        <v>3.3308229999999999E-6</v>
      </c>
      <c r="I2565">
        <v>283.73970000000003</v>
      </c>
      <c r="J2565">
        <v>-280.32749999999999</v>
      </c>
      <c r="K2565">
        <v>1.1089690000000001</v>
      </c>
      <c r="L2565">
        <v>282.83870000000002</v>
      </c>
      <c r="M2565">
        <v>-0.99869699999999995</v>
      </c>
      <c r="N2565">
        <v>0</v>
      </c>
      <c r="O2565">
        <v>5.0478240000000001E-2</v>
      </c>
      <c r="P2565">
        <v>-0.98495270000000001</v>
      </c>
      <c r="Q2565">
        <v>0.17208229999999999</v>
      </c>
      <c r="R2565">
        <v>1.6010429999999999E-2</v>
      </c>
      <c r="S2565">
        <v>-3.0687259999999998</v>
      </c>
      <c r="T2565">
        <v>-0.14209369999999999</v>
      </c>
      <c r="U2565">
        <v>0.1172791</v>
      </c>
      <c r="V2565">
        <v>-3.3435329999999999E-2</v>
      </c>
      <c r="W2565">
        <v>0.17952000000000001</v>
      </c>
      <c r="X2565">
        <v>0.983186</v>
      </c>
      <c r="Y2565">
        <v>-1.223486E-2</v>
      </c>
      <c r="Z2565">
        <v>-2.6169959999999999E-3</v>
      </c>
      <c r="AA2565">
        <v>0.99992170000000002</v>
      </c>
      <c r="AB2565">
        <v>28</v>
      </c>
      <c r="AC2565">
        <v>-23.677499999999998</v>
      </c>
      <c r="AD2565">
        <v>-1.108965669177</v>
      </c>
      <c r="AE2565">
        <v>0.90100000000001002</v>
      </c>
      <c r="AF2565">
        <v>-0.29473523134797802</v>
      </c>
      <c r="AG2565">
        <v>-1.108965669177</v>
      </c>
      <c r="AH2565">
        <v>23.641010694835</v>
      </c>
      <c r="AI2565">
        <v>92.685485159082006</v>
      </c>
      <c r="AJ2565">
        <v>90.714276145610796</v>
      </c>
      <c r="AK2565">
        <v>23.668841551400799</v>
      </c>
      <c r="AL2565">
        <v>79.658197906541602</v>
      </c>
      <c r="AM2565">
        <v>91.9477141800715</v>
      </c>
      <c r="AN2565">
        <v>1.0000000311441</v>
      </c>
    </row>
    <row r="2566" spans="1:40" x14ac:dyDescent="0.25">
      <c r="A2566" t="str">
        <f>"20190312172132314"</f>
        <v>20190312172132314</v>
      </c>
      <c r="B2566" t="str">
        <f>"1552382492303276"</f>
        <v>1552382492303276</v>
      </c>
      <c r="C2566" t="s">
        <v>40</v>
      </c>
      <c r="D2566">
        <v>3.1297929999999998</v>
      </c>
      <c r="E2566">
        <v>0.50751480000000004</v>
      </c>
      <c r="F2566" t="s">
        <v>47</v>
      </c>
      <c r="G2566">
        <v>-304.3005</v>
      </c>
      <c r="H2566" s="1">
        <v>3.2768359999999998E-6</v>
      </c>
      <c r="I2566">
        <v>283.75749999999999</v>
      </c>
      <c r="J2566">
        <v>-280.47750000000002</v>
      </c>
      <c r="K2566">
        <v>1.1089639999999901</v>
      </c>
      <c r="L2566">
        <v>282.84679999999997</v>
      </c>
      <c r="M2566">
        <v>-0.9986739</v>
      </c>
      <c r="N2566">
        <v>0</v>
      </c>
      <c r="O2566">
        <v>5.0935170000000002E-2</v>
      </c>
      <c r="P2566">
        <v>-0.98494429999999999</v>
      </c>
      <c r="Q2566">
        <v>0.1721261</v>
      </c>
      <c r="R2566">
        <v>1.604541E-2</v>
      </c>
      <c r="S2566">
        <v>-3.068756</v>
      </c>
      <c r="T2566">
        <v>-0.141957</v>
      </c>
      <c r="U2566">
        <v>0.1176147</v>
      </c>
      <c r="V2566">
        <v>-3.3849459999999998E-2</v>
      </c>
      <c r="W2566">
        <v>0.1795678</v>
      </c>
      <c r="X2566">
        <v>0.98316309999999996</v>
      </c>
      <c r="Y2566">
        <v>-1.258279E-2</v>
      </c>
      <c r="Z2566">
        <v>-2.6435780000000002E-3</v>
      </c>
      <c r="AA2566">
        <v>0.99991730000000001</v>
      </c>
      <c r="AB2566">
        <v>28</v>
      </c>
      <c r="AC2566">
        <v>-23.822999999999901</v>
      </c>
      <c r="AD2566">
        <v>-1.10896072316399</v>
      </c>
      <c r="AE2566">
        <v>0.91070000000001905</v>
      </c>
      <c r="AF2566">
        <v>-0.30328851461177903</v>
      </c>
      <c r="AG2566">
        <v>-1.10896072316399</v>
      </c>
      <c r="AH2566">
        <v>23.786994171039201</v>
      </c>
      <c r="AI2566">
        <v>92.669006541118307</v>
      </c>
      <c r="AJ2566">
        <v>90.7304920570284</v>
      </c>
      <c r="AK2566">
        <v>23.8147615881762</v>
      </c>
      <c r="AL2566">
        <v>79.655413926805096</v>
      </c>
      <c r="AM2566">
        <v>91.971865532407605</v>
      </c>
      <c r="AN2566">
        <v>1.00000003097037</v>
      </c>
    </row>
    <row r="2567" spans="1:40" x14ac:dyDescent="0.25">
      <c r="A2567" t="str">
        <f>"20190312172132325"</f>
        <v>20190312172132325</v>
      </c>
      <c r="B2567" t="str">
        <f>"1552382492323772"</f>
        <v>1552382492323772</v>
      </c>
      <c r="C2567" t="s">
        <v>40</v>
      </c>
      <c r="D2567">
        <v>3.1032299999999999</v>
      </c>
      <c r="E2567">
        <v>0.5069785</v>
      </c>
      <c r="F2567" t="s">
        <v>47</v>
      </c>
      <c r="G2567">
        <v>-304.45080000000002</v>
      </c>
      <c r="H2567" s="1">
        <v>3.2511149999999999E-6</v>
      </c>
      <c r="I2567">
        <v>283.74680000000001</v>
      </c>
      <c r="J2567">
        <v>-280.62560000000002</v>
      </c>
      <c r="K2567">
        <v>1.1089549999999999</v>
      </c>
      <c r="L2567">
        <v>282.85480000000001</v>
      </c>
      <c r="M2567">
        <v>-0.9986507</v>
      </c>
      <c r="N2567">
        <v>0</v>
      </c>
      <c r="O2567">
        <v>5.1386130000000002E-2</v>
      </c>
      <c r="P2567">
        <v>-0.98501439999999996</v>
      </c>
      <c r="Q2567">
        <v>0.17171129999999901</v>
      </c>
      <c r="R2567">
        <v>1.619458E-2</v>
      </c>
      <c r="S2567">
        <v>-3.0687869999999999</v>
      </c>
      <c r="T2567">
        <v>-0.1419561</v>
      </c>
      <c r="U2567">
        <v>0.1152039</v>
      </c>
      <c r="V2567">
        <v>-3.4148820000000003E-2</v>
      </c>
      <c r="W2567">
        <v>0.17915729999999999</v>
      </c>
      <c r="X2567">
        <v>0.98322759999999998</v>
      </c>
      <c r="Y2567">
        <v>-1.3817309999999999E-2</v>
      </c>
      <c r="Z2567">
        <v>-2.6929250000000001E-3</v>
      </c>
      <c r="AA2567">
        <v>0.99990089999999998</v>
      </c>
      <c r="AB2567">
        <v>28</v>
      </c>
      <c r="AC2567">
        <v>-23.825199999999899</v>
      </c>
      <c r="AD2567">
        <v>-1.10895174888499</v>
      </c>
      <c r="AE2567">
        <v>0.89199999999999502</v>
      </c>
      <c r="AF2567">
        <v>-0.332777835766976</v>
      </c>
      <c r="AG2567">
        <v>-1.10895174888499</v>
      </c>
      <c r="AH2567">
        <v>23.7880955235233</v>
      </c>
      <c r="AI2567">
        <v>92.668817441659996</v>
      </c>
      <c r="AJ2567">
        <v>90.801473234686597</v>
      </c>
      <c r="AK2567">
        <v>23.816255031083401</v>
      </c>
      <c r="AL2567">
        <v>79.679321195375707</v>
      </c>
      <c r="AM2567">
        <v>91.989160098793604</v>
      </c>
      <c r="AN2567">
        <v>0.99999999672622097</v>
      </c>
    </row>
    <row r="2568" spans="1:40" x14ac:dyDescent="0.25">
      <c r="A2568" t="str">
        <f>"20190312172132337"</f>
        <v>20190312172132337</v>
      </c>
      <c r="B2568" t="str">
        <f>"1552382492333531"</f>
        <v>1552382492333531</v>
      </c>
      <c r="C2568" t="s">
        <v>40</v>
      </c>
      <c r="D2568">
        <v>3.090722</v>
      </c>
      <c r="E2568">
        <v>0.50671999999999995</v>
      </c>
      <c r="F2568" t="s">
        <v>47</v>
      </c>
      <c r="G2568">
        <v>-304.53230000000002</v>
      </c>
      <c r="H2568" s="1">
        <v>3.2388830000000002E-6</v>
      </c>
      <c r="I2568">
        <v>283.72140000000002</v>
      </c>
      <c r="J2568">
        <v>-280.7869</v>
      </c>
      <c r="K2568">
        <v>1.108951</v>
      </c>
      <c r="L2568">
        <v>282.86349999999999</v>
      </c>
      <c r="M2568">
        <v>-0.99862530000000005</v>
      </c>
      <c r="N2568">
        <v>0</v>
      </c>
      <c r="O2568">
        <v>5.1876680000000001E-2</v>
      </c>
      <c r="P2568">
        <v>-0.98504080000000005</v>
      </c>
      <c r="Q2568">
        <v>0.17152039999999999</v>
      </c>
      <c r="R2568">
        <v>1.6596699999999999E-2</v>
      </c>
      <c r="S2568">
        <v>-3.0686339999999999</v>
      </c>
      <c r="T2568">
        <v>-0.14234379999999999</v>
      </c>
      <c r="U2568">
        <v>0.1112366</v>
      </c>
      <c r="V2568">
        <v>-3.423205E-2</v>
      </c>
      <c r="W2568">
        <v>0.17897009999999999</v>
      </c>
      <c r="X2568">
        <v>0.98325879999999999</v>
      </c>
      <c r="Y2568">
        <v>-1.5594739999999999E-2</v>
      </c>
      <c r="Z2568">
        <v>-2.7643799999999999E-3</v>
      </c>
      <c r="AA2568">
        <v>0.99987459999999995</v>
      </c>
      <c r="AB2568">
        <v>29</v>
      </c>
      <c r="AC2568">
        <v>-23.7454</v>
      </c>
      <c r="AD2568">
        <v>-1.108947761117</v>
      </c>
      <c r="AE2568">
        <v>0.85790000000002897</v>
      </c>
      <c r="AF2568">
        <v>-0.37430712229697399</v>
      </c>
      <c r="AG2568">
        <v>-1.108947761117</v>
      </c>
      <c r="AH2568">
        <v>23.706294316120101</v>
      </c>
      <c r="AI2568">
        <v>92.677931838817798</v>
      </c>
      <c r="AJ2568">
        <v>90.9045882971932</v>
      </c>
      <c r="AK2568">
        <v>23.735169288656799</v>
      </c>
      <c r="AL2568">
        <v>79.690223190924996</v>
      </c>
      <c r="AM2568">
        <v>91.993941095138894</v>
      </c>
      <c r="AN2568">
        <v>0.999999998859326</v>
      </c>
    </row>
    <row r="2569" spans="1:40" x14ac:dyDescent="0.25">
      <c r="A2569" t="str">
        <f>"20190312172132350"</f>
        <v>20190312172132350</v>
      </c>
      <c r="B2569" t="str">
        <f>"1552382492343293"</f>
        <v>1552382492343293</v>
      </c>
      <c r="C2569" t="s">
        <v>40</v>
      </c>
      <c r="D2569">
        <v>3.0908440000000001</v>
      </c>
      <c r="E2569">
        <v>0.50646000000000002</v>
      </c>
      <c r="F2569" t="s">
        <v>47</v>
      </c>
      <c r="G2569">
        <v>-304.69</v>
      </c>
      <c r="H2569" s="1">
        <v>3.2106530000000002E-6</v>
      </c>
      <c r="I2569">
        <v>283.72430000000003</v>
      </c>
      <c r="J2569">
        <v>-280.92939999999999</v>
      </c>
      <c r="K2569">
        <v>1.1089500000000001</v>
      </c>
      <c r="L2569">
        <v>282.87139999999999</v>
      </c>
      <c r="M2569">
        <v>-0.99860260000000001</v>
      </c>
      <c r="N2569">
        <v>0</v>
      </c>
      <c r="O2569">
        <v>5.2309990000000001E-2</v>
      </c>
      <c r="P2569">
        <v>-0.98506090000000002</v>
      </c>
      <c r="Q2569">
        <v>0.1713925</v>
      </c>
      <c r="R2569">
        <v>1.672653E-2</v>
      </c>
      <c r="S2569">
        <v>-3.068451</v>
      </c>
      <c r="T2569">
        <v>-0.14235590000000001</v>
      </c>
      <c r="U2569">
        <v>0.1105042</v>
      </c>
      <c r="V2569">
        <v>-3.4530079999999998E-2</v>
      </c>
      <c r="W2569">
        <v>0.178846799999999</v>
      </c>
      <c r="X2569">
        <v>0.9832708</v>
      </c>
      <c r="Y2569">
        <v>-1.6263590000000001E-2</v>
      </c>
      <c r="Z2569">
        <v>-2.8003540000000001E-3</v>
      </c>
      <c r="AA2569">
        <v>0.99986379999999997</v>
      </c>
      <c r="AB2569">
        <v>29</v>
      </c>
      <c r="AC2569">
        <v>-23.7606</v>
      </c>
      <c r="AD2569">
        <v>-1.108946789347</v>
      </c>
      <c r="AE2569">
        <v>0.85290000000003297</v>
      </c>
      <c r="AF2569">
        <v>-0.390370417396247</v>
      </c>
      <c r="AG2569">
        <v>-1.108946789347</v>
      </c>
      <c r="AH2569">
        <v>23.721080042007902</v>
      </c>
      <c r="AI2569">
        <v>92.676233981651507</v>
      </c>
      <c r="AJ2569">
        <v>90.94281367152</v>
      </c>
      <c r="AK2569">
        <v>23.750195586641599</v>
      </c>
      <c r="AL2569">
        <v>79.697403469306195</v>
      </c>
      <c r="AM2569">
        <v>92.011261960582999</v>
      </c>
      <c r="AN2569">
        <v>0.99999998521384303</v>
      </c>
    </row>
    <row r="2570" spans="1:40" x14ac:dyDescent="0.25">
      <c r="A2570" t="str">
        <f>"20190312172132360"</f>
        <v>20190312172132360</v>
      </c>
      <c r="B2570" t="str">
        <f>"1552382492353052"</f>
        <v>1552382492353052</v>
      </c>
      <c r="C2570" t="s">
        <v>40</v>
      </c>
      <c r="D2570">
        <v>3.1073300000000001</v>
      </c>
      <c r="E2570">
        <v>0.50621130000000003</v>
      </c>
      <c r="F2570" t="s">
        <v>47</v>
      </c>
      <c r="G2570">
        <v>-304.83710000000002</v>
      </c>
      <c r="H2570" s="1">
        <v>3.1850200000000001E-6</v>
      </c>
      <c r="I2570">
        <v>283.71910000000003</v>
      </c>
      <c r="J2570">
        <v>-281.08280000000002</v>
      </c>
      <c r="K2570">
        <v>1.108951</v>
      </c>
      <c r="L2570">
        <v>282.87979999999999</v>
      </c>
      <c r="M2570">
        <v>-0.99857810000000002</v>
      </c>
      <c r="N2570">
        <v>0</v>
      </c>
      <c r="O2570">
        <v>5.2776160000000003E-2</v>
      </c>
      <c r="P2570">
        <v>-0.98507339999999999</v>
      </c>
      <c r="Q2570">
        <v>0.17133209999999999</v>
      </c>
      <c r="R2570">
        <v>1.662077E-2</v>
      </c>
      <c r="S2570">
        <v>-3.0684200000000001</v>
      </c>
      <c r="T2570">
        <v>-0.14232729999999999</v>
      </c>
      <c r="U2570">
        <v>0.10879519999999999</v>
      </c>
      <c r="V2570">
        <v>-3.509495E-2</v>
      </c>
      <c r="W2570">
        <v>0.17879039999999999</v>
      </c>
      <c r="X2570">
        <v>0.98326100000000005</v>
      </c>
      <c r="Y2570">
        <v>-1.7284589999999999E-2</v>
      </c>
      <c r="Z2570">
        <v>-2.845088E-3</v>
      </c>
      <c r="AA2570">
        <v>0.99984660000000003</v>
      </c>
      <c r="AB2570">
        <v>29</v>
      </c>
      <c r="AC2570">
        <v>-23.754300000000001</v>
      </c>
      <c r="AD2570">
        <v>-1.1089478149800001</v>
      </c>
      <c r="AE2570">
        <v>0.83930000000003602</v>
      </c>
      <c r="AF2570">
        <v>-0.41466327671651199</v>
      </c>
      <c r="AG2570">
        <v>-1.1089478149800001</v>
      </c>
      <c r="AH2570">
        <v>23.713871974690701</v>
      </c>
      <c r="AI2570">
        <v>92.677002050815602</v>
      </c>
      <c r="AJ2570">
        <v>91.001777974163602</v>
      </c>
      <c r="AK2570">
        <v>23.7434082414768</v>
      </c>
      <c r="AL2570">
        <v>79.700687297714396</v>
      </c>
      <c r="AM2570">
        <v>92.044156422100102</v>
      </c>
      <c r="AN2570">
        <v>0.99999992838432805</v>
      </c>
    </row>
    <row r="2571" spans="1:40" x14ac:dyDescent="0.25">
      <c r="A2571" t="str">
        <f>"20190312172132380"</f>
        <v>20190312172132380</v>
      </c>
      <c r="B2571" t="str">
        <f>"1552382492373551"</f>
        <v>1552382492373551</v>
      </c>
      <c r="C2571" t="s">
        <v>40</v>
      </c>
      <c r="D2571">
        <v>3.0994670000000002</v>
      </c>
      <c r="E2571">
        <v>0.50573170000000001</v>
      </c>
      <c r="F2571" t="s">
        <v>47</v>
      </c>
      <c r="G2571">
        <v>-305.01400000000001</v>
      </c>
      <c r="H2571" s="1">
        <v>3.1544089999999999E-6</v>
      </c>
      <c r="I2571">
        <v>283.71030000000002</v>
      </c>
      <c r="J2571">
        <v>-281.32580000000002</v>
      </c>
      <c r="K2571">
        <v>1.1089450000000001</v>
      </c>
      <c r="L2571">
        <v>282.89339999999999</v>
      </c>
      <c r="M2571">
        <v>-0.99853890000000001</v>
      </c>
      <c r="N2571">
        <v>0</v>
      </c>
      <c r="O2571">
        <v>5.3514060000000002E-2</v>
      </c>
      <c r="P2571">
        <v>-0.98517699999999997</v>
      </c>
      <c r="Q2571">
        <v>0.17071359999999999</v>
      </c>
      <c r="R2571">
        <v>1.683138E-2</v>
      </c>
      <c r="S2571">
        <v>-3.0683590000000001</v>
      </c>
      <c r="T2571">
        <v>-0.1421847</v>
      </c>
      <c r="U2571">
        <v>0.1064758</v>
      </c>
      <c r="V2571">
        <v>-3.5617509999999998E-2</v>
      </c>
      <c r="W2571">
        <v>0.17818000000000001</v>
      </c>
      <c r="X2571">
        <v>0.98335309999999998</v>
      </c>
      <c r="Y2571">
        <v>-1.8775320000000002E-2</v>
      </c>
      <c r="Z2571">
        <v>-2.910972E-3</v>
      </c>
      <c r="AA2571">
        <v>0.99981949999999997</v>
      </c>
      <c r="AB2571">
        <v>29</v>
      </c>
      <c r="AC2571">
        <v>-23.688199999999899</v>
      </c>
      <c r="AD2571">
        <v>-1.1089418455910001</v>
      </c>
      <c r="AE2571">
        <v>0.81690000000003204</v>
      </c>
      <c r="AF2571">
        <v>-0.450970897936675</v>
      </c>
      <c r="AG2571">
        <v>-1.1089418455910001</v>
      </c>
      <c r="AH2571">
        <v>23.6462114974731</v>
      </c>
      <c r="AI2571">
        <v>92.684558651941202</v>
      </c>
      <c r="AJ2571">
        <v>91.092589275255193</v>
      </c>
      <c r="AK2571">
        <v>23.676495622260401</v>
      </c>
      <c r="AL2571">
        <v>79.736232334328406</v>
      </c>
      <c r="AM2571">
        <v>92.074373156343995</v>
      </c>
      <c r="AN2571">
        <v>1.0000000193491001</v>
      </c>
    </row>
    <row r="2572" spans="1:40" x14ac:dyDescent="0.25">
      <c r="A2572" t="str">
        <f>"20190312172132391"</f>
        <v>20190312172132391</v>
      </c>
      <c r="B2572" t="str">
        <f>"1552382492383308"</f>
        <v>1552382492383308</v>
      </c>
      <c r="C2572" t="s">
        <v>40</v>
      </c>
      <c r="D2572">
        <v>3.0910359999999999</v>
      </c>
      <c r="E2572">
        <v>0.50549189999999999</v>
      </c>
      <c r="F2572" t="s">
        <v>47</v>
      </c>
      <c r="G2572">
        <v>-305.07</v>
      </c>
      <c r="H2572" s="1">
        <v>3.1456629999999998E-6</v>
      </c>
      <c r="I2572">
        <v>283.69670000000002</v>
      </c>
      <c r="J2572">
        <v>-281.47340000000003</v>
      </c>
      <c r="K2572">
        <v>1.1089469999999999</v>
      </c>
      <c r="L2572">
        <v>282.90179999999998</v>
      </c>
      <c r="M2572">
        <v>-0.99851469999999998</v>
      </c>
      <c r="N2572">
        <v>0</v>
      </c>
      <c r="O2572">
        <v>5.3962749999999997E-2</v>
      </c>
      <c r="P2572">
        <v>-0.98522370000000004</v>
      </c>
      <c r="Q2572">
        <v>0.17043639999999999</v>
      </c>
      <c r="R2572">
        <v>1.690448E-2</v>
      </c>
      <c r="S2572">
        <v>-3.0682070000000001</v>
      </c>
      <c r="T2572">
        <v>-0.14329649999999999</v>
      </c>
      <c r="U2572">
        <v>0.1037903</v>
      </c>
      <c r="V2572">
        <v>-3.5989750000000001E-2</v>
      </c>
      <c r="W2572">
        <v>0.17790739999999999</v>
      </c>
      <c r="X2572">
        <v>0.98338890000000001</v>
      </c>
      <c r="Y2572">
        <v>-2.0093799999999998E-2</v>
      </c>
      <c r="Z2572">
        <v>-2.9855820000000001E-3</v>
      </c>
      <c r="AA2572">
        <v>0.99979359999999995</v>
      </c>
      <c r="AB2572">
        <v>29</v>
      </c>
      <c r="AC2572">
        <v>-23.596599999999899</v>
      </c>
      <c r="AD2572">
        <v>-1.1089438543369901</v>
      </c>
      <c r="AE2572">
        <v>0.79490000000004002</v>
      </c>
      <c r="AF2572">
        <v>-0.47857582893621198</v>
      </c>
      <c r="AG2572">
        <v>-1.1089438543369901</v>
      </c>
      <c r="AH2572">
        <v>23.5531519094814</v>
      </c>
      <c r="AI2572">
        <v>92.695088643761494</v>
      </c>
      <c r="AJ2572">
        <v>91.164031150363499</v>
      </c>
      <c r="AK2572">
        <v>23.5840996471611</v>
      </c>
      <c r="AL2572">
        <v>79.752104738250395</v>
      </c>
      <c r="AM2572">
        <v>92.095957037281195</v>
      </c>
      <c r="AN2572">
        <v>1.00000001686151</v>
      </c>
    </row>
    <row r="2573" spans="1:40" x14ac:dyDescent="0.25">
      <c r="A2573" t="str">
        <f>"20190312172132402"</f>
        <v>20190312172132402</v>
      </c>
      <c r="B2573" t="str">
        <f>"1552382492393068"</f>
        <v>1552382492393068</v>
      </c>
      <c r="C2573" t="s">
        <v>40</v>
      </c>
      <c r="D2573">
        <v>3.0903390000000002</v>
      </c>
      <c r="E2573">
        <v>0.50525029999999904</v>
      </c>
      <c r="F2573" t="s">
        <v>47</v>
      </c>
      <c r="G2573">
        <v>-305.14069999999998</v>
      </c>
      <c r="H2573" s="1">
        <v>3.1339070000000002E-6</v>
      </c>
      <c r="I2573">
        <v>283.68779999999998</v>
      </c>
      <c r="J2573">
        <v>-281.61540000000002</v>
      </c>
      <c r="K2573">
        <v>1.1089450000000001</v>
      </c>
      <c r="L2573">
        <v>282.90989999999999</v>
      </c>
      <c r="M2573">
        <v>-0.99849120000000002</v>
      </c>
      <c r="N2573">
        <v>0</v>
      </c>
      <c r="O2573">
        <v>5.4394280000000003E-2</v>
      </c>
      <c r="P2573">
        <v>-0.98524860000000003</v>
      </c>
      <c r="Q2573">
        <v>0.17028589999999999</v>
      </c>
      <c r="R2573">
        <v>1.697506E-2</v>
      </c>
      <c r="S2573">
        <v>-3.068146</v>
      </c>
      <c r="T2573">
        <v>-0.14375979999999999</v>
      </c>
      <c r="U2573">
        <v>0.10189819999999999</v>
      </c>
      <c r="V2573">
        <v>-3.634569E-2</v>
      </c>
      <c r="W2573">
        <v>0.177761</v>
      </c>
      <c r="X2573">
        <v>0.98340229999999995</v>
      </c>
      <c r="Y2573">
        <v>-2.1138939999999998E-2</v>
      </c>
      <c r="Z2573">
        <v>-3.0399630000000001E-3</v>
      </c>
      <c r="AA2573">
        <v>0.99977199999999999</v>
      </c>
      <c r="AB2573">
        <v>29</v>
      </c>
      <c r="AC2573">
        <v>-23.525299999999898</v>
      </c>
      <c r="AD2573">
        <v>-1.1089418660929999</v>
      </c>
      <c r="AE2573">
        <v>0.77789999999998805</v>
      </c>
      <c r="AF2573">
        <v>-0.50181585524760197</v>
      </c>
      <c r="AG2573">
        <v>-1.1089418660929999</v>
      </c>
      <c r="AH2573">
        <v>23.480666721569399</v>
      </c>
      <c r="AI2573">
        <v>92.703332065981897</v>
      </c>
      <c r="AJ2573">
        <v>91.224307417008006</v>
      </c>
      <c r="AK2573">
        <v>23.512194302199202</v>
      </c>
      <c r="AL2573">
        <v>79.760628875119906</v>
      </c>
      <c r="AM2573">
        <v>92.116638553511507</v>
      </c>
      <c r="AN2573">
        <v>1.00000003297393</v>
      </c>
    </row>
    <row r="2574" spans="1:40" x14ac:dyDescent="0.25">
      <c r="A2574" t="str">
        <f>"20190312172132413"</f>
        <v>20190312172132413</v>
      </c>
      <c r="B2574" t="str">
        <f>"1552382492403804"</f>
        <v>1552382492403804</v>
      </c>
      <c r="C2574" t="s">
        <v>40</v>
      </c>
      <c r="D2574">
        <v>3.075164</v>
      </c>
      <c r="E2574">
        <v>0.50499529999999904</v>
      </c>
      <c r="F2574" t="s">
        <v>47</v>
      </c>
      <c r="G2574">
        <v>-305.26389999999998</v>
      </c>
      <c r="H2574" s="1">
        <v>3.1124239999999999E-6</v>
      </c>
      <c r="I2574">
        <v>283.68360000000001</v>
      </c>
      <c r="J2574">
        <v>-281.75900000000001</v>
      </c>
      <c r="K2574">
        <v>1.1089450000000001</v>
      </c>
      <c r="L2574">
        <v>282.91820000000001</v>
      </c>
      <c r="M2574">
        <v>-0.99846729999999995</v>
      </c>
      <c r="N2574">
        <v>0</v>
      </c>
      <c r="O2574">
        <v>5.4830579999999997E-2</v>
      </c>
      <c r="P2574">
        <v>-0.98526729999999996</v>
      </c>
      <c r="Q2574">
        <v>0.17017349999999901</v>
      </c>
      <c r="R2574">
        <v>1.7009860000000002E-2</v>
      </c>
      <c r="S2574">
        <v>-3.0680540000000001</v>
      </c>
      <c r="T2574">
        <v>-0.14386979999999999</v>
      </c>
      <c r="U2574">
        <v>0.1003723</v>
      </c>
      <c r="V2574">
        <v>-3.6741709999999997E-2</v>
      </c>
      <c r="W2574">
        <v>0.17765310000000001</v>
      </c>
      <c r="X2574">
        <v>0.98340709999999998</v>
      </c>
      <c r="Y2574">
        <v>-2.2069869999999998E-2</v>
      </c>
      <c r="Z2574">
        <v>-3.084631E-3</v>
      </c>
      <c r="AA2574">
        <v>0.99975170000000002</v>
      </c>
      <c r="AB2574">
        <v>29</v>
      </c>
      <c r="AC2574">
        <v>-23.5048999999999</v>
      </c>
      <c r="AD2574">
        <v>-1.108941887576</v>
      </c>
      <c r="AE2574">
        <v>0.76539999999999897</v>
      </c>
      <c r="AF2574">
        <v>-0.52341147500587104</v>
      </c>
      <c r="AG2574">
        <v>-1.108941887576</v>
      </c>
      <c r="AH2574">
        <v>23.4593451794867</v>
      </c>
      <c r="AI2574">
        <v>92.7057300098909</v>
      </c>
      <c r="AJ2574">
        <v>91.278138562936803</v>
      </c>
      <c r="AK2574">
        <v>23.491372627679599</v>
      </c>
      <c r="AL2574">
        <v>79.766911264649593</v>
      </c>
      <c r="AM2574">
        <v>92.139669538503696</v>
      </c>
      <c r="AN2574">
        <v>1.00000005076187</v>
      </c>
    </row>
    <row r="2575" spans="1:40" x14ac:dyDescent="0.25">
      <c r="A2575" t="str">
        <f>"20190312172132426"</f>
        <v>20190312172132426</v>
      </c>
      <c r="B2575" t="str">
        <f>"1552382492423325"</f>
        <v>1552382492423325</v>
      </c>
      <c r="C2575" t="s">
        <v>40</v>
      </c>
      <c r="D2575">
        <v>3.0649799999999998</v>
      </c>
      <c r="E2575">
        <v>0.50452839999999999</v>
      </c>
      <c r="F2575" t="s">
        <v>47</v>
      </c>
      <c r="G2575">
        <v>-305.4067</v>
      </c>
      <c r="H2575" s="1">
        <v>3.0876939999999999E-6</v>
      </c>
      <c r="I2575">
        <v>283.67649999999998</v>
      </c>
      <c r="J2575">
        <v>-281.91149999999999</v>
      </c>
      <c r="K2575">
        <v>1.1089359999999999</v>
      </c>
      <c r="L2575">
        <v>282.92700000000002</v>
      </c>
      <c r="M2575">
        <v>-0.99844169999999999</v>
      </c>
      <c r="N2575">
        <v>0</v>
      </c>
      <c r="O2575">
        <v>5.5293399999999999E-2</v>
      </c>
      <c r="P2575">
        <v>-0.98527229999999999</v>
      </c>
      <c r="Q2575">
        <v>0.1701307</v>
      </c>
      <c r="R2575">
        <v>1.7150749999999999E-2</v>
      </c>
      <c r="S2575">
        <v>-3.0679319999999999</v>
      </c>
      <c r="T2575">
        <v>-0.14386840000000001</v>
      </c>
      <c r="U2575">
        <v>9.8388669999999998E-2</v>
      </c>
      <c r="V2575">
        <v>-3.7057079999999999E-2</v>
      </c>
      <c r="W2575">
        <v>0.1776151</v>
      </c>
      <c r="X2575">
        <v>0.98340209999999995</v>
      </c>
      <c r="Y2575">
        <v>-2.317599E-2</v>
      </c>
      <c r="Z2575">
        <v>-3.132335E-3</v>
      </c>
      <c r="AA2575">
        <v>0.99972649999999996</v>
      </c>
      <c r="AB2575">
        <v>29</v>
      </c>
      <c r="AC2575">
        <v>-23.495200000000001</v>
      </c>
      <c r="AD2575">
        <v>-1.1089329123059899</v>
      </c>
      <c r="AE2575">
        <v>0.74949999999995498</v>
      </c>
      <c r="AF2575">
        <v>-0.54959001951761599</v>
      </c>
      <c r="AG2575">
        <v>-1.1089329123059899</v>
      </c>
      <c r="AH2575">
        <v>23.448514779910202</v>
      </c>
      <c r="AI2575">
        <v>92.706886370204103</v>
      </c>
      <c r="AJ2575">
        <v>91.342661768103</v>
      </c>
      <c r="AK2575">
        <v>23.481154715584498</v>
      </c>
      <c r="AL2575">
        <v>79.769123377370803</v>
      </c>
      <c r="AM2575">
        <v>92.158028919551995</v>
      </c>
      <c r="AN2575">
        <v>1.0000000206052699</v>
      </c>
    </row>
    <row r="2576" spans="1:40" x14ac:dyDescent="0.25">
      <c r="A2576" t="str">
        <f>"20190312172132436"</f>
        <v>20190312172132436</v>
      </c>
      <c r="B2576" t="str">
        <f>"1552382492433085"</f>
        <v>1552382492433085</v>
      </c>
      <c r="C2576" t="s">
        <v>40</v>
      </c>
      <c r="D2576">
        <v>3.085448</v>
      </c>
      <c r="E2576">
        <v>0.50431479999999995</v>
      </c>
      <c r="F2576" t="s">
        <v>47</v>
      </c>
      <c r="G2576">
        <v>-305.66969999999998</v>
      </c>
      <c r="H2576" s="1">
        <v>3.0422770000000001E-6</v>
      </c>
      <c r="I2576">
        <v>283.66239999999999</v>
      </c>
      <c r="J2576">
        <v>-282.06459999999998</v>
      </c>
      <c r="K2576">
        <v>1.108932</v>
      </c>
      <c r="L2576">
        <v>282.9359</v>
      </c>
      <c r="M2576">
        <v>-0.99841590000000002</v>
      </c>
      <c r="N2576">
        <v>0</v>
      </c>
      <c r="O2576">
        <v>5.5758189999999999E-2</v>
      </c>
      <c r="P2576">
        <v>-0.98522909999999997</v>
      </c>
      <c r="Q2576">
        <v>0.17036490000000001</v>
      </c>
      <c r="R2576">
        <v>1.731104E-2</v>
      </c>
      <c r="S2576">
        <v>-3.0679319999999999</v>
      </c>
      <c r="T2576">
        <v>-0.14319770000000001</v>
      </c>
      <c r="U2576">
        <v>9.4970700000000005E-2</v>
      </c>
      <c r="V2576">
        <v>-3.7351809999999999E-2</v>
      </c>
      <c r="W2576">
        <v>0.1778535</v>
      </c>
      <c r="X2576">
        <v>0.98334779999999999</v>
      </c>
      <c r="Y2576">
        <v>-2.4752619999999999E-2</v>
      </c>
      <c r="Z2576">
        <v>-3.1762330000000001E-3</v>
      </c>
      <c r="AA2576">
        <v>0.99968860000000004</v>
      </c>
      <c r="AB2576">
        <v>29</v>
      </c>
      <c r="AC2576">
        <v>-23.6051</v>
      </c>
      <c r="AD2576">
        <v>-1.1089289577229999</v>
      </c>
      <c r="AE2576">
        <v>0.72649999999998705</v>
      </c>
      <c r="AF2576">
        <v>-0.58954537884936498</v>
      </c>
      <c r="AG2576">
        <v>-1.1089289577229999</v>
      </c>
      <c r="AH2576">
        <v>23.556944792628101</v>
      </c>
      <c r="AI2576">
        <v>92.694332197014504</v>
      </c>
      <c r="AJ2576">
        <v>91.433607496184607</v>
      </c>
      <c r="AK2576">
        <v>23.590399215569199</v>
      </c>
      <c r="AL2576">
        <v>79.755242445890005</v>
      </c>
      <c r="AM2576">
        <v>92.175296174482895</v>
      </c>
      <c r="AN2576">
        <v>0.999999960468682</v>
      </c>
    </row>
    <row r="2577" spans="1:40" x14ac:dyDescent="0.25">
      <c r="A2577" t="str">
        <f>"20190312172132450"</f>
        <v>20190312172132450</v>
      </c>
      <c r="B2577" t="str">
        <f>"1552382492443820"</f>
        <v>1552382492443820</v>
      </c>
      <c r="C2577" t="s">
        <v>40</v>
      </c>
      <c r="D2577">
        <v>3.074535</v>
      </c>
      <c r="E2577">
        <v>0.50410569999999999</v>
      </c>
      <c r="F2577" t="s">
        <v>47</v>
      </c>
      <c r="G2577">
        <v>-305.98809999999997</v>
      </c>
      <c r="H2577" s="1">
        <v>2.9854280000000002E-6</v>
      </c>
      <c r="I2577">
        <v>283.66669999999999</v>
      </c>
      <c r="J2577">
        <v>-282.22629999999998</v>
      </c>
      <c r="K2577">
        <v>1.108932</v>
      </c>
      <c r="L2577">
        <v>282.94540000000001</v>
      </c>
      <c r="M2577">
        <v>-0.99838819999999995</v>
      </c>
      <c r="N2577">
        <v>0</v>
      </c>
      <c r="O2577">
        <v>5.6249090000000002E-2</v>
      </c>
      <c r="P2577">
        <v>-0.98526139999999995</v>
      </c>
      <c r="Q2577">
        <v>0.17018449999999999</v>
      </c>
      <c r="R2577">
        <v>1.7242779999999999E-2</v>
      </c>
      <c r="S2577">
        <v>-3.0679020000000001</v>
      </c>
      <c r="T2577">
        <v>-0.14220669999999999</v>
      </c>
      <c r="U2577">
        <v>9.3719479999999994E-2</v>
      </c>
      <c r="V2577">
        <v>-3.7905380000000002E-2</v>
      </c>
      <c r="W2577">
        <v>0.17767849999999999</v>
      </c>
      <c r="X2577">
        <v>0.98335830000000002</v>
      </c>
      <c r="Y2577">
        <v>-2.5650889999999999E-2</v>
      </c>
      <c r="Z2577">
        <v>-3.1978369999999998E-3</v>
      </c>
      <c r="AA2577">
        <v>0.9996659</v>
      </c>
      <c r="AB2577">
        <v>29</v>
      </c>
      <c r="AC2577">
        <v>-23.761799999999901</v>
      </c>
      <c r="AD2577">
        <v>-1.1089290145720001</v>
      </c>
      <c r="AE2577">
        <v>0.72129999999998495</v>
      </c>
      <c r="AF2577">
        <v>-0.61512132741471603</v>
      </c>
      <c r="AG2577">
        <v>-1.1089290145720001</v>
      </c>
      <c r="AH2577">
        <v>23.7131523797777</v>
      </c>
      <c r="AI2577">
        <v>92.676547445533004</v>
      </c>
      <c r="AJ2577">
        <v>91.485924499426403</v>
      </c>
      <c r="AK2577">
        <v>23.747035469577199</v>
      </c>
      <c r="AL2577">
        <v>79.765431968943005</v>
      </c>
      <c r="AM2577">
        <v>92.207479796081202</v>
      </c>
      <c r="AN2577">
        <v>1.00000000668704</v>
      </c>
    </row>
    <row r="2578" spans="1:40" x14ac:dyDescent="0.25">
      <c r="A2578" t="str">
        <f>"20190312172132462"</f>
        <v>20190312172132462</v>
      </c>
      <c r="B2578" t="str">
        <f>"1552382492453582"</f>
        <v>1552382492453582</v>
      </c>
      <c r="C2578" t="s">
        <v>40</v>
      </c>
      <c r="D2578">
        <v>3.0693299999999999</v>
      </c>
      <c r="E2578">
        <v>0.50390709999999905</v>
      </c>
      <c r="F2578" t="s">
        <v>47</v>
      </c>
      <c r="G2578">
        <v>-306.10789999999997</v>
      </c>
      <c r="H2578" s="1">
        <v>2.964825E-6</v>
      </c>
      <c r="I2578">
        <v>283.6592</v>
      </c>
      <c r="J2578">
        <v>-282.38929999999999</v>
      </c>
      <c r="K2578">
        <v>1.108935</v>
      </c>
      <c r="L2578">
        <v>282.95510000000002</v>
      </c>
      <c r="M2578">
        <v>-0.99836029999999998</v>
      </c>
      <c r="N2578">
        <v>0</v>
      </c>
      <c r="O2578">
        <v>5.6744280000000001E-2</v>
      </c>
      <c r="P2578">
        <v>-0.98526619999999998</v>
      </c>
      <c r="Q2578">
        <v>0.17013310000000001</v>
      </c>
      <c r="R2578">
        <v>1.7480450000000002E-2</v>
      </c>
      <c r="S2578">
        <v>-3.0679020000000001</v>
      </c>
      <c r="T2578">
        <v>-0.14245579999999999</v>
      </c>
      <c r="U2578">
        <v>9.1705320000000007E-2</v>
      </c>
      <c r="V2578">
        <v>-3.8156099999999998E-2</v>
      </c>
      <c r="W2578">
        <v>0.1776315</v>
      </c>
      <c r="X2578">
        <v>0.98335709999999998</v>
      </c>
      <c r="Y2578">
        <v>-2.6800330000000001E-2</v>
      </c>
      <c r="Z2578">
        <v>-3.2530829999999999E-3</v>
      </c>
      <c r="AA2578">
        <v>0.99963550000000001</v>
      </c>
      <c r="AB2578">
        <v>29</v>
      </c>
      <c r="AC2578">
        <v>-23.718599999999899</v>
      </c>
      <c r="AD2578">
        <v>-1.1089320351750001</v>
      </c>
      <c r="AE2578">
        <v>0.70409999999998196</v>
      </c>
      <c r="AF2578">
        <v>-0.64156648214424306</v>
      </c>
      <c r="AG2578">
        <v>-1.1089320351750001</v>
      </c>
      <c r="AH2578">
        <v>23.668643992264901</v>
      </c>
      <c r="AI2578">
        <v>92.681497834387201</v>
      </c>
      <c r="AJ2578">
        <v>91.552689408013094</v>
      </c>
      <c r="AK2578">
        <v>23.7032918861964</v>
      </c>
      <c r="AL2578">
        <v>79.768168453748103</v>
      </c>
      <c r="AM2578">
        <v>92.222068992675602</v>
      </c>
      <c r="AN2578">
        <v>1.0000000119399299</v>
      </c>
    </row>
    <row r="2579" spans="1:40" x14ac:dyDescent="0.25">
      <c r="A2579" t="str">
        <f>"20190312172132476"</f>
        <v>20190312172132476</v>
      </c>
      <c r="B2579" t="str">
        <f>"1552382492463341"</f>
        <v>1552382492463341</v>
      </c>
      <c r="C2579" t="s">
        <v>40</v>
      </c>
      <c r="D2579">
        <v>3.090608</v>
      </c>
      <c r="E2579">
        <v>0.50370809999999999</v>
      </c>
      <c r="F2579" t="s">
        <v>47</v>
      </c>
      <c r="G2579">
        <v>-306.29820000000001</v>
      </c>
      <c r="H2579" s="1">
        <v>2.930749E-6</v>
      </c>
      <c r="I2579">
        <v>283.66289999999998</v>
      </c>
      <c r="J2579">
        <v>-282.56060000000002</v>
      </c>
      <c r="K2579">
        <v>1.1089310000000001</v>
      </c>
      <c r="L2579">
        <v>282.96530000000001</v>
      </c>
      <c r="M2579">
        <v>-0.99833059999999996</v>
      </c>
      <c r="N2579">
        <v>0</v>
      </c>
      <c r="O2579">
        <v>5.7263910000000001E-2</v>
      </c>
      <c r="P2579">
        <v>-0.98523269999999996</v>
      </c>
      <c r="Q2579">
        <v>0.1703375</v>
      </c>
      <c r="R2579">
        <v>1.7382789999999999E-2</v>
      </c>
      <c r="S2579">
        <v>-3.0678100000000001</v>
      </c>
      <c r="T2579">
        <v>-0.14228969999999999</v>
      </c>
      <c r="U2579">
        <v>9.0820310000000001E-2</v>
      </c>
      <c r="V2579">
        <v>-3.8762770000000002E-2</v>
      </c>
      <c r="W2579">
        <v>0.17784129999999901</v>
      </c>
      <c r="X2579">
        <v>0.98329540000000004</v>
      </c>
      <c r="Y2579">
        <v>-2.760663E-2</v>
      </c>
      <c r="Z2579">
        <v>-3.292138E-3</v>
      </c>
      <c r="AA2579">
        <v>0.99961350000000004</v>
      </c>
      <c r="AB2579">
        <v>29</v>
      </c>
      <c r="AC2579">
        <v>-23.737599999999901</v>
      </c>
      <c r="AD2579">
        <v>-1.108928069251</v>
      </c>
      <c r="AE2579">
        <v>0.69759999999996503</v>
      </c>
      <c r="AF2579">
        <v>-0.66144891253791005</v>
      </c>
      <c r="AG2579">
        <v>-1.108928069251</v>
      </c>
      <c r="AH2579">
        <v>23.686944988095401</v>
      </c>
      <c r="AI2579">
        <v>92.679359303091005</v>
      </c>
      <c r="AJ2579">
        <v>91.599547128664895</v>
      </c>
      <c r="AK2579">
        <v>23.722112026455999</v>
      </c>
      <c r="AL2579">
        <v>79.755952794273199</v>
      </c>
      <c r="AM2579">
        <v>92.257504426660503</v>
      </c>
      <c r="AN2579">
        <v>0.99999996199246</v>
      </c>
    </row>
    <row r="2580" spans="1:40" x14ac:dyDescent="0.25">
      <c r="A2580" t="str">
        <f>"20190312172132492"</f>
        <v>20190312172132492</v>
      </c>
      <c r="B2580" t="str">
        <f>"1552382492483835"</f>
        <v>1552382492483835</v>
      </c>
      <c r="C2580" t="s">
        <v>40</v>
      </c>
      <c r="D2580">
        <v>3.0931850000000001</v>
      </c>
      <c r="E2580">
        <v>0.50331899999999996</v>
      </c>
      <c r="F2580" t="s">
        <v>47</v>
      </c>
      <c r="G2580">
        <v>-306.62369999999999</v>
      </c>
      <c r="H2580" s="1">
        <v>2.8730950000000001E-6</v>
      </c>
      <c r="I2580">
        <v>283.66210000000001</v>
      </c>
      <c r="J2580">
        <v>-282.77730000000003</v>
      </c>
      <c r="K2580">
        <v>1.10893</v>
      </c>
      <c r="L2580">
        <v>282.97840000000002</v>
      </c>
      <c r="M2580">
        <v>-0.99829239999999997</v>
      </c>
      <c r="N2580">
        <v>0</v>
      </c>
      <c r="O2580">
        <v>5.7920979999999997E-2</v>
      </c>
      <c r="P2580">
        <v>-0.98521309999999995</v>
      </c>
      <c r="Q2580">
        <v>0.17047089999999901</v>
      </c>
      <c r="R2580">
        <v>1.7166379999999998E-2</v>
      </c>
      <c r="S2580">
        <v>-3.067841</v>
      </c>
      <c r="T2580">
        <v>-0.14137920000000001</v>
      </c>
      <c r="U2580">
        <v>8.8836670000000006E-2</v>
      </c>
      <c r="V2580">
        <v>-3.962446E-2</v>
      </c>
      <c r="W2580">
        <v>0.17798159999999999</v>
      </c>
      <c r="X2580">
        <v>0.98323570000000005</v>
      </c>
      <c r="Y2580">
        <v>-2.890972E-2</v>
      </c>
      <c r="Z2580">
        <v>-3.3313190000000001E-3</v>
      </c>
      <c r="AA2580">
        <v>0.99957640000000003</v>
      </c>
      <c r="AB2580">
        <v>29</v>
      </c>
      <c r="AC2580">
        <v>-23.8463999999999</v>
      </c>
      <c r="AD2580">
        <v>-1.1089271269050001</v>
      </c>
      <c r="AE2580">
        <v>0.68369999999998698</v>
      </c>
      <c r="AF2580">
        <v>-0.69718796645009495</v>
      </c>
      <c r="AG2580">
        <v>-1.1089271269050001</v>
      </c>
      <c r="AH2580">
        <v>23.794551419815399</v>
      </c>
      <c r="AI2580">
        <v>92.667152924206505</v>
      </c>
      <c r="AJ2580">
        <v>91.678304493981997</v>
      </c>
      <c r="AK2580">
        <v>23.830578417310502</v>
      </c>
      <c r="AL2580">
        <v>79.747784212798905</v>
      </c>
      <c r="AM2580">
        <v>92.307774678075504</v>
      </c>
      <c r="AN2580">
        <v>0.99999999476167001</v>
      </c>
    </row>
    <row r="2581" spans="1:40" x14ac:dyDescent="0.25">
      <c r="A2581" t="str">
        <f>"20190312172132503"</f>
        <v>20190312172132503</v>
      </c>
      <c r="B2581" t="str">
        <f>"1552382492493596"</f>
        <v>1552382492493596</v>
      </c>
      <c r="C2581" t="s">
        <v>40</v>
      </c>
      <c r="D2581">
        <v>3.093064</v>
      </c>
      <c r="E2581">
        <v>0.50312699999999999</v>
      </c>
      <c r="F2581" t="s">
        <v>47</v>
      </c>
      <c r="G2581">
        <v>-307.0018</v>
      </c>
      <c r="H2581" s="1">
        <v>2.8067359999999999E-6</v>
      </c>
      <c r="I2581">
        <v>283.65379999999999</v>
      </c>
      <c r="J2581">
        <v>-282.9221</v>
      </c>
      <c r="K2581">
        <v>1.1089279999999999</v>
      </c>
      <c r="L2581">
        <v>282.98719999999997</v>
      </c>
      <c r="M2581">
        <v>-0.99826689999999996</v>
      </c>
      <c r="N2581">
        <v>0</v>
      </c>
      <c r="O2581">
        <v>5.8359790000000002E-2</v>
      </c>
      <c r="P2581">
        <v>-0.98522779999999999</v>
      </c>
      <c r="Q2581">
        <v>0.1703934</v>
      </c>
      <c r="R2581">
        <v>1.7094769999999999E-2</v>
      </c>
      <c r="S2581">
        <v>-3.067841</v>
      </c>
      <c r="T2581">
        <v>-0.14043649999999999</v>
      </c>
      <c r="U2581">
        <v>8.5540770000000002E-2</v>
      </c>
      <c r="V2581">
        <v>-4.0129459999999999E-2</v>
      </c>
      <c r="W2581">
        <v>0.17790889999999901</v>
      </c>
      <c r="X2581">
        <v>0.9832284</v>
      </c>
      <c r="Y2581">
        <v>-3.0421259999999999E-2</v>
      </c>
      <c r="Z2581">
        <v>-3.3638129999999998E-3</v>
      </c>
      <c r="AA2581">
        <v>0.99953150000000002</v>
      </c>
      <c r="AB2581">
        <v>29</v>
      </c>
      <c r="AC2581">
        <v>-24.079699999999999</v>
      </c>
      <c r="AD2581">
        <v>-1.1089251932640001</v>
      </c>
      <c r="AE2581">
        <v>0.66660000000001596</v>
      </c>
      <c r="AF2581">
        <v>-0.73829813548323497</v>
      </c>
      <c r="AG2581">
        <v>-1.1089251932640001</v>
      </c>
      <c r="AH2581">
        <v>24.0266433216979</v>
      </c>
      <c r="AI2581">
        <v>92.641307955282699</v>
      </c>
      <c r="AJ2581">
        <v>91.760048630089301</v>
      </c>
      <c r="AK2581">
        <v>24.063548959561299</v>
      </c>
      <c r="AL2581">
        <v>79.752017417374404</v>
      </c>
      <c r="AM2581">
        <v>92.337171388996396</v>
      </c>
      <c r="AN2581">
        <v>1.0000000184128299</v>
      </c>
    </row>
    <row r="2582" spans="1:40" x14ac:dyDescent="0.25">
      <c r="A2582" t="str">
        <f>"20190312172132515"</f>
        <v>20190312172132515</v>
      </c>
      <c r="B2582" t="str">
        <f>"1552382492503357"</f>
        <v>1552382492503357</v>
      </c>
      <c r="C2582" t="s">
        <v>40</v>
      </c>
      <c r="D2582">
        <v>3.1069330000000002</v>
      </c>
      <c r="E2582">
        <v>0.50294119999999998</v>
      </c>
      <c r="F2582" t="s">
        <v>47</v>
      </c>
      <c r="G2582">
        <v>-307.13459999999998</v>
      </c>
      <c r="H2582" s="1">
        <v>2.7835979999999999E-6</v>
      </c>
      <c r="I2582">
        <v>283.64909999999998</v>
      </c>
      <c r="J2582">
        <v>-283.08030000000002</v>
      </c>
      <c r="K2582">
        <v>1.1089249999999999</v>
      </c>
      <c r="L2582">
        <v>282.99689999999998</v>
      </c>
      <c r="M2582">
        <v>-0.99823870000000003</v>
      </c>
      <c r="N2582">
        <v>0</v>
      </c>
      <c r="O2582">
        <v>5.8839540000000003E-2</v>
      </c>
      <c r="P2582">
        <v>-0.98520079999999999</v>
      </c>
      <c r="Q2582">
        <v>0.1705333</v>
      </c>
      <c r="R2582">
        <v>1.7263279999999999E-2</v>
      </c>
      <c r="S2582">
        <v>-3.067841</v>
      </c>
      <c r="T2582">
        <v>-0.14050599999999999</v>
      </c>
      <c r="U2582">
        <v>8.3862300000000001E-2</v>
      </c>
      <c r="V2582">
        <v>-4.0430790000000001E-2</v>
      </c>
      <c r="W2582">
        <v>0.17805379999999901</v>
      </c>
      <c r="X2582">
        <v>0.9831898</v>
      </c>
      <c r="Y2582">
        <v>-3.1446389999999998E-2</v>
      </c>
      <c r="Z2582">
        <v>-3.4108889999999998E-3</v>
      </c>
      <c r="AA2582">
        <v>0.99949960000000004</v>
      </c>
      <c r="AB2582">
        <v>29</v>
      </c>
      <c r="AC2582">
        <v>-24.054299999999898</v>
      </c>
      <c r="AD2582">
        <v>-1.1089222164019901</v>
      </c>
      <c r="AE2582">
        <v>0.65219999999999301</v>
      </c>
      <c r="AF2582">
        <v>-0.76269485397935599</v>
      </c>
      <c r="AG2582">
        <v>-1.1089222164019901</v>
      </c>
      <c r="AH2582">
        <v>24.000029280703099</v>
      </c>
      <c r="AI2582">
        <v>92.644139089211706</v>
      </c>
      <c r="AJ2582">
        <v>91.820185050161797</v>
      </c>
      <c r="AK2582">
        <v>24.0377373601785</v>
      </c>
      <c r="AL2582">
        <v>79.743580298218305</v>
      </c>
      <c r="AM2582">
        <v>92.354793746551195</v>
      </c>
      <c r="AN2582">
        <v>0.99999999364925196</v>
      </c>
    </row>
    <row r="2583" spans="1:40" x14ac:dyDescent="0.25">
      <c r="A2583" t="str">
        <f>"20190312172132526"</f>
        <v>20190312172132526</v>
      </c>
      <c r="B2583" t="str">
        <f>"1552382492523852"</f>
        <v>1552382492523852</v>
      </c>
      <c r="C2583" t="s">
        <v>40</v>
      </c>
      <c r="D2583">
        <v>3.0602109999999998</v>
      </c>
      <c r="E2583">
        <v>0.50256619999999996</v>
      </c>
      <c r="F2583" t="s">
        <v>47</v>
      </c>
      <c r="G2583">
        <v>-307.40800000000002</v>
      </c>
      <c r="H2583" s="1">
        <v>2.7347269999999999E-6</v>
      </c>
      <c r="I2583">
        <v>283.65350000000001</v>
      </c>
      <c r="J2583">
        <v>-283.22160000000002</v>
      </c>
      <c r="K2583">
        <v>1.108922</v>
      </c>
      <c r="L2583">
        <v>283.00569999999999</v>
      </c>
      <c r="M2583">
        <v>-0.99821349999999998</v>
      </c>
      <c r="N2583">
        <v>0</v>
      </c>
      <c r="O2583">
        <v>5.9267670000000001E-2</v>
      </c>
      <c r="P2583">
        <v>-0.98519040000000002</v>
      </c>
      <c r="Q2583">
        <v>0.17058409999999999</v>
      </c>
      <c r="R2583">
        <v>1.736302E-2</v>
      </c>
      <c r="S2583">
        <v>-3.0678100000000001</v>
      </c>
      <c r="T2583">
        <v>-0.13983950000000001</v>
      </c>
      <c r="U2583">
        <v>8.2794190000000004E-2</v>
      </c>
      <c r="V2583">
        <v>-4.0751990000000002E-2</v>
      </c>
      <c r="W2583">
        <v>0.17810870000000001</v>
      </c>
      <c r="X2583">
        <v>0.9831666</v>
      </c>
      <c r="Y2583">
        <v>-3.222216E-2</v>
      </c>
      <c r="Z2583">
        <v>-3.4319189999999999E-3</v>
      </c>
      <c r="AA2583">
        <v>0.9994748</v>
      </c>
      <c r="AB2583">
        <v>29</v>
      </c>
      <c r="AC2583">
        <v>-24.1863999999999</v>
      </c>
      <c r="AD2583">
        <v>-1.108919265273</v>
      </c>
      <c r="AE2583">
        <v>0.64780000000001703</v>
      </c>
      <c r="AF2583">
        <v>-0.78520194857800296</v>
      </c>
      <c r="AG2583">
        <v>-1.108919265273</v>
      </c>
      <c r="AH2583">
        <v>24.1315845223731</v>
      </c>
      <c r="AI2583">
        <v>92.629673590653198</v>
      </c>
      <c r="AJ2583">
        <v>91.863652615087204</v>
      </c>
      <c r="AK2583">
        <v>24.169807934639898</v>
      </c>
      <c r="AL2583">
        <v>79.740383714839993</v>
      </c>
      <c r="AM2583">
        <v>92.373535898197204</v>
      </c>
      <c r="AN2583">
        <v>0.99999999853010502</v>
      </c>
    </row>
    <row r="2584" spans="1:40" x14ac:dyDescent="0.25">
      <c r="A2584" t="str">
        <f>"20190312172132537"</f>
        <v>20190312172132537</v>
      </c>
      <c r="B2584" t="str">
        <f>"1552382492533612"</f>
        <v>1552382492533612</v>
      </c>
      <c r="C2584" t="s">
        <v>40</v>
      </c>
      <c r="D2584">
        <v>3.086735</v>
      </c>
      <c r="E2584">
        <v>0.50239140000000004</v>
      </c>
      <c r="F2584" t="s">
        <v>47</v>
      </c>
      <c r="G2584">
        <v>-307.67259999999999</v>
      </c>
      <c r="H2584" s="1">
        <v>2.688455E-6</v>
      </c>
      <c r="I2584">
        <v>283.64589999999998</v>
      </c>
      <c r="J2584">
        <v>-283.3682</v>
      </c>
      <c r="K2584">
        <v>1.1089209999999901</v>
      </c>
      <c r="L2584">
        <v>283.01479999999998</v>
      </c>
      <c r="M2584">
        <v>-0.99818689999999999</v>
      </c>
      <c r="N2584">
        <v>0</v>
      </c>
      <c r="O2584">
        <v>5.9712019999999998E-2</v>
      </c>
      <c r="P2584">
        <v>-0.98517299999999997</v>
      </c>
      <c r="Q2584">
        <v>0.1706724</v>
      </c>
      <c r="R2584">
        <v>1.7477739999999999E-2</v>
      </c>
      <c r="S2584">
        <v>-3.06778</v>
      </c>
      <c r="T2584">
        <v>-0.13913249999999999</v>
      </c>
      <c r="U2584">
        <v>8.0322270000000001E-2</v>
      </c>
      <c r="V2584">
        <v>-4.1073819999999997E-2</v>
      </c>
      <c r="W2584">
        <v>0.17820159999999999</v>
      </c>
      <c r="X2584">
        <v>0.98313640000000002</v>
      </c>
      <c r="Y2584">
        <v>-3.3470779999999999E-2</v>
      </c>
      <c r="Z2584">
        <v>-3.4630730000000001E-3</v>
      </c>
      <c r="AA2584">
        <v>0.99943369999999998</v>
      </c>
      <c r="AB2584">
        <v>29</v>
      </c>
      <c r="AC2584">
        <v>-24.304399999999902</v>
      </c>
      <c r="AD2584">
        <v>-1.1089183115450001</v>
      </c>
      <c r="AE2584">
        <v>0.63110000000000299</v>
      </c>
      <c r="AF2584">
        <v>-0.81962752091567204</v>
      </c>
      <c r="AG2584">
        <v>-1.1089183115450001</v>
      </c>
      <c r="AH2584">
        <v>24.248270269071899</v>
      </c>
      <c r="AI2584">
        <v>92.616925282671701</v>
      </c>
      <c r="AJ2584">
        <v>91.935945303737199</v>
      </c>
      <c r="AK2584">
        <v>24.2874473779497</v>
      </c>
      <c r="AL2584">
        <v>79.734974675257703</v>
      </c>
      <c r="AM2584">
        <v>92.392332091053404</v>
      </c>
      <c r="AN2584">
        <v>1.00000002496845</v>
      </c>
    </row>
    <row r="2585" spans="1:40" x14ac:dyDescent="0.25">
      <c r="A2585" t="str">
        <f>"20190312172132549"</f>
        <v>20190312172132549</v>
      </c>
      <c r="B2585" t="str">
        <f>"1552382492543372"</f>
        <v>1552382492543372</v>
      </c>
      <c r="C2585" t="s">
        <v>40</v>
      </c>
      <c r="D2585">
        <v>3.1063640000000001</v>
      </c>
      <c r="E2585">
        <v>0.50221779999999905</v>
      </c>
      <c r="F2585" t="s">
        <v>47</v>
      </c>
      <c r="G2585">
        <v>-307.90030000000002</v>
      </c>
      <c r="H2585" s="1">
        <v>2.6478350000000002E-6</v>
      </c>
      <c r="I2585">
        <v>283.64839999999998</v>
      </c>
      <c r="J2585">
        <v>-283.5204</v>
      </c>
      <c r="K2585">
        <v>1.1089180000000001</v>
      </c>
      <c r="L2585">
        <v>283.02440000000001</v>
      </c>
      <c r="M2585">
        <v>-0.99815920000000002</v>
      </c>
      <c r="N2585">
        <v>0</v>
      </c>
      <c r="O2585">
        <v>6.0173110000000002E-2</v>
      </c>
      <c r="P2585">
        <v>-0.98513139999999999</v>
      </c>
      <c r="Q2585">
        <v>0.1709011</v>
      </c>
      <c r="R2585">
        <v>1.758206E-2</v>
      </c>
      <c r="S2585">
        <v>-3.0677490000000001</v>
      </c>
      <c r="T2585">
        <v>-0.13867070000000001</v>
      </c>
      <c r="U2585">
        <v>7.9223630000000003E-2</v>
      </c>
      <c r="V2585">
        <v>-4.1420819999999997E-2</v>
      </c>
      <c r="W2585">
        <v>0.1784348</v>
      </c>
      <c r="X2585">
        <v>0.9830795</v>
      </c>
      <c r="Y2585">
        <v>-3.4289189999999997E-2</v>
      </c>
      <c r="Z2585">
        <v>-3.4909250000000002E-3</v>
      </c>
      <c r="AA2585">
        <v>0.99940589999999996</v>
      </c>
      <c r="AB2585">
        <v>29</v>
      </c>
      <c r="AC2585">
        <v>-24.379899999999999</v>
      </c>
      <c r="AD2585">
        <v>-1.1089153521649999</v>
      </c>
      <c r="AE2585">
        <v>0.62399999999996603</v>
      </c>
      <c r="AF2585">
        <v>-0.84244552746156098</v>
      </c>
      <c r="AG2585">
        <v>-1.1089153521649999</v>
      </c>
      <c r="AH2585">
        <v>24.322981011392798</v>
      </c>
      <c r="AI2585">
        <v>92.608816986464007</v>
      </c>
      <c r="AJ2585">
        <v>91.983691285776899</v>
      </c>
      <c r="AK2585">
        <v>24.362816196112998</v>
      </c>
      <c r="AL2585">
        <v>79.721395228674893</v>
      </c>
      <c r="AM2585">
        <v>92.412658689724694</v>
      </c>
      <c r="AN2585">
        <v>0.99999998275038104</v>
      </c>
    </row>
    <row r="2586" spans="1:40" x14ac:dyDescent="0.25">
      <c r="A2586" t="str">
        <f>"20190312172132560"</f>
        <v>20190312172132560</v>
      </c>
      <c r="B2586" t="str">
        <f>"1552382492553132"</f>
        <v>1552382492553132</v>
      </c>
      <c r="C2586" t="s">
        <v>40</v>
      </c>
      <c r="D2586">
        <v>3.1056539999999999</v>
      </c>
      <c r="E2586">
        <v>0.50204129999999902</v>
      </c>
      <c r="F2586" t="s">
        <v>47</v>
      </c>
      <c r="G2586">
        <v>-308.21839999999997</v>
      </c>
      <c r="H2586" s="1">
        <v>2.590838E-6</v>
      </c>
      <c r="I2586">
        <v>283.6551</v>
      </c>
      <c r="J2586">
        <v>-283.67149999999998</v>
      </c>
      <c r="K2586">
        <v>1.1089209999999901</v>
      </c>
      <c r="L2586">
        <v>283.03390000000002</v>
      </c>
      <c r="M2586">
        <v>-0.99813160000000001</v>
      </c>
      <c r="N2586">
        <v>0</v>
      </c>
      <c r="O2586">
        <v>6.0630690000000001E-2</v>
      </c>
      <c r="P2586">
        <v>-0.98513379999999995</v>
      </c>
      <c r="Q2586">
        <v>0.17087579999999999</v>
      </c>
      <c r="R2586">
        <v>1.7704370000000001E-2</v>
      </c>
      <c r="S2586">
        <v>-3.0678100000000001</v>
      </c>
      <c r="T2586">
        <v>-0.1377418</v>
      </c>
      <c r="U2586">
        <v>7.8338619999999998E-2</v>
      </c>
      <c r="V2586">
        <v>-4.1749120000000001E-2</v>
      </c>
      <c r="W2586">
        <v>0.1784142</v>
      </c>
      <c r="X2586">
        <v>0.98306939999999998</v>
      </c>
      <c r="Y2586">
        <v>-3.5036049999999999E-2</v>
      </c>
      <c r="Z2586">
        <v>-3.5047670000000002E-3</v>
      </c>
      <c r="AA2586">
        <v>0.99937989999999999</v>
      </c>
      <c r="AB2586">
        <v>29</v>
      </c>
      <c r="AC2586">
        <v>-24.546899999999901</v>
      </c>
      <c r="AD2586">
        <v>-1.1089184091619999</v>
      </c>
      <c r="AE2586">
        <v>0.62119999999998698</v>
      </c>
      <c r="AF2586">
        <v>-0.86651370851515497</v>
      </c>
      <c r="AG2586">
        <v>-1.1089184091619999</v>
      </c>
      <c r="AH2586">
        <v>24.489455823871399</v>
      </c>
      <c r="AI2586">
        <v>92.591046495687905</v>
      </c>
      <c r="AJ2586">
        <v>92.026458867227404</v>
      </c>
      <c r="AK2586">
        <v>24.529859204540301</v>
      </c>
      <c r="AL2586">
        <v>79.722595266135997</v>
      </c>
      <c r="AM2586">
        <v>92.431783427685701</v>
      </c>
      <c r="AN2586">
        <v>1.0000000304993799</v>
      </c>
    </row>
    <row r="2587" spans="1:40" x14ac:dyDescent="0.25">
      <c r="A2587" t="str">
        <f>"20190312172132571"</f>
        <v>20190312172132571</v>
      </c>
      <c r="B2587" t="str">
        <f>"1552382492563870"</f>
        <v>1552382492563870</v>
      </c>
      <c r="C2587" t="s">
        <v>40</v>
      </c>
      <c r="D2587">
        <v>3.0599050000000001</v>
      </c>
      <c r="E2587">
        <v>0.50186709999999901</v>
      </c>
      <c r="F2587" t="s">
        <v>47</v>
      </c>
      <c r="G2587">
        <v>-308.39150000000001</v>
      </c>
      <c r="H2587" s="1">
        <v>2.559982E-6</v>
      </c>
      <c r="I2587">
        <v>283.65660000000003</v>
      </c>
      <c r="J2587">
        <v>-283.82819999999998</v>
      </c>
      <c r="K2587">
        <v>1.1089199999999999</v>
      </c>
      <c r="L2587">
        <v>283.04390000000001</v>
      </c>
      <c r="M2587">
        <v>-0.9981025</v>
      </c>
      <c r="N2587">
        <v>0</v>
      </c>
      <c r="O2587">
        <v>6.1105430000000002E-2</v>
      </c>
      <c r="P2587">
        <v>-0.98514060000000003</v>
      </c>
      <c r="Q2587">
        <v>0.17084679999999999</v>
      </c>
      <c r="R2587">
        <v>1.7599960000000001E-2</v>
      </c>
      <c r="S2587">
        <v>-3.06778</v>
      </c>
      <c r="T2587">
        <v>-0.13761779999999901</v>
      </c>
      <c r="U2587">
        <v>7.7270510000000001E-2</v>
      </c>
      <c r="V2587">
        <v>-4.2321659999999997E-2</v>
      </c>
      <c r="W2587">
        <v>0.1783902</v>
      </c>
      <c r="X2587">
        <v>0.98304919999999996</v>
      </c>
      <c r="Y2587">
        <v>-3.5857729999999997E-2</v>
      </c>
      <c r="Z2587">
        <v>-3.5413340000000001E-3</v>
      </c>
      <c r="AA2587">
        <v>0.99935059999999998</v>
      </c>
      <c r="AB2587">
        <v>29</v>
      </c>
      <c r="AC2587">
        <v>-24.563300000000002</v>
      </c>
      <c r="AD2587">
        <v>-1.108917440018</v>
      </c>
      <c r="AE2587">
        <v>0.61270000000001801</v>
      </c>
      <c r="AF2587">
        <v>-0.88763123593376303</v>
      </c>
      <c r="AG2587">
        <v>-1.108917440018</v>
      </c>
      <c r="AH2587">
        <v>24.504924339711899</v>
      </c>
      <c r="AI2587">
        <v>92.589333271868995</v>
      </c>
      <c r="AJ2587">
        <v>92.074493168107395</v>
      </c>
      <c r="AK2587">
        <v>24.546056791158598</v>
      </c>
      <c r="AL2587">
        <v>79.723992031086794</v>
      </c>
      <c r="AM2587">
        <v>92.465142202586406</v>
      </c>
      <c r="AN2587">
        <v>0.99999995799091701</v>
      </c>
    </row>
    <row r="2588" spans="1:40" x14ac:dyDescent="0.25">
      <c r="A2588" t="str">
        <f>"20190312172132583"</f>
        <v>20190312172132583</v>
      </c>
      <c r="B2588" t="str">
        <f>"1552382492573628"</f>
        <v>1552382492573628</v>
      </c>
      <c r="C2588" t="s">
        <v>40</v>
      </c>
      <c r="D2588">
        <v>3.0974080000000002</v>
      </c>
      <c r="E2588">
        <v>0.50169459999999999</v>
      </c>
      <c r="F2588" t="s">
        <v>47</v>
      </c>
      <c r="G2588">
        <v>-308.56760000000003</v>
      </c>
      <c r="H2588" s="1">
        <v>2.5287839999999998E-6</v>
      </c>
      <c r="I2588">
        <v>283.65620000000001</v>
      </c>
      <c r="J2588">
        <v>-283.97410000000002</v>
      </c>
      <c r="K2588">
        <v>1.108919</v>
      </c>
      <c r="L2588">
        <v>283.0532</v>
      </c>
      <c r="M2588">
        <v>-0.9980753</v>
      </c>
      <c r="N2588">
        <v>0</v>
      </c>
      <c r="O2588">
        <v>6.1547280000000003E-2</v>
      </c>
      <c r="P2588">
        <v>-0.98514769999999896</v>
      </c>
      <c r="Q2588">
        <v>0.1707969</v>
      </c>
      <c r="R2588">
        <v>1.7673299999999999E-2</v>
      </c>
      <c r="S2588">
        <v>-3.0677490000000001</v>
      </c>
      <c r="T2588">
        <v>-0.137508399999999</v>
      </c>
      <c r="U2588">
        <v>7.5927729999999999E-2</v>
      </c>
      <c r="V2588">
        <v>-4.2684350000000003E-2</v>
      </c>
      <c r="W2588">
        <v>0.1783457</v>
      </c>
      <c r="X2588">
        <v>0.98304159999999996</v>
      </c>
      <c r="Y2588">
        <v>-3.6735860000000002E-2</v>
      </c>
      <c r="Z2588">
        <v>-3.5780109999999999E-3</v>
      </c>
      <c r="AA2588">
        <v>0.99931859999999995</v>
      </c>
      <c r="AB2588">
        <v>29</v>
      </c>
      <c r="AC2588">
        <v>-24.593499999999999</v>
      </c>
      <c r="AD2588">
        <v>-1.108916471216</v>
      </c>
      <c r="AE2588">
        <v>0.60300000000000797</v>
      </c>
      <c r="AF2588">
        <v>-0.910000895328966</v>
      </c>
      <c r="AG2588">
        <v>-1.108916471216</v>
      </c>
      <c r="AH2588">
        <v>24.534136088954</v>
      </c>
      <c r="AI2588">
        <v>92.586170067520698</v>
      </c>
      <c r="AJ2588">
        <v>92.124196257373299</v>
      </c>
      <c r="AK2588">
        <v>24.576037740061999</v>
      </c>
      <c r="AL2588">
        <v>79.726583318098605</v>
      </c>
      <c r="AM2588">
        <v>92.486260885487795</v>
      </c>
      <c r="AN2588">
        <v>0.99999996488698495</v>
      </c>
    </row>
    <row r="2589" spans="1:40" x14ac:dyDescent="0.25">
      <c r="A2589" t="str">
        <f>"20190312172132595"</f>
        <v>20190312172132595</v>
      </c>
      <c r="B2589" t="str">
        <f>"1552382492583388"</f>
        <v>1552382492583388</v>
      </c>
      <c r="C2589" t="s">
        <v>40</v>
      </c>
      <c r="D2589">
        <v>3.0677059999999998</v>
      </c>
      <c r="E2589">
        <v>0.50151619999999997</v>
      </c>
      <c r="F2589" t="s">
        <v>47</v>
      </c>
      <c r="G2589">
        <v>-308.7054</v>
      </c>
      <c r="H2589" s="1">
        <v>2.5041470000000001E-6</v>
      </c>
      <c r="I2589">
        <v>283.65839999999997</v>
      </c>
      <c r="J2589">
        <v>-284.13229999999999</v>
      </c>
      <c r="K2589">
        <v>1.1089169999999999</v>
      </c>
      <c r="L2589">
        <v>283.0634</v>
      </c>
      <c r="M2589">
        <v>-0.99804570000000004</v>
      </c>
      <c r="N2589">
        <v>0</v>
      </c>
      <c r="O2589">
        <v>6.2026079999999997E-2</v>
      </c>
      <c r="P2589">
        <v>-0.98515180000000002</v>
      </c>
      <c r="Q2589">
        <v>0.17077970000000001</v>
      </c>
      <c r="R2589">
        <v>1.7626800000000001E-2</v>
      </c>
      <c r="S2589">
        <v>-3.0677189999999999</v>
      </c>
      <c r="T2589">
        <v>-0.13755200000000001</v>
      </c>
      <c r="U2589">
        <v>7.5073239999999999E-2</v>
      </c>
      <c r="V2589">
        <v>-4.3201940000000001E-2</v>
      </c>
      <c r="W2589">
        <v>0.17833350000000001</v>
      </c>
      <c r="X2589">
        <v>0.98302129999999999</v>
      </c>
      <c r="Y2589">
        <v>-3.749189E-2</v>
      </c>
      <c r="Z2589">
        <v>-3.6175529999999999E-3</v>
      </c>
      <c r="AA2589">
        <v>0.99929040000000002</v>
      </c>
      <c r="AB2589">
        <v>29</v>
      </c>
      <c r="AC2589">
        <v>-24.5731</v>
      </c>
      <c r="AD2589">
        <v>-1.1089144958529999</v>
      </c>
      <c r="AE2589">
        <v>0.59499999999997</v>
      </c>
      <c r="AF2589">
        <v>-0.92847295310516298</v>
      </c>
      <c r="AG2589">
        <v>-1.1089144958529999</v>
      </c>
      <c r="AH2589">
        <v>24.512798938501799</v>
      </c>
      <c r="AI2589">
        <v>92.5883374973277</v>
      </c>
      <c r="AJ2589">
        <v>92.169159191075096</v>
      </c>
      <c r="AK2589">
        <v>24.555428425974899</v>
      </c>
      <c r="AL2589">
        <v>79.727294708372</v>
      </c>
      <c r="AM2589">
        <v>92.516422636207693</v>
      </c>
      <c r="AN2589">
        <v>1.0000000605478501</v>
      </c>
    </row>
    <row r="2590" spans="1:40" x14ac:dyDescent="0.25">
      <c r="A2590" t="str">
        <f>"20190312172132606"</f>
        <v>20190312172132606</v>
      </c>
      <c r="B2590" t="str">
        <f>"1552382492603885"</f>
        <v>1552382492603885</v>
      </c>
      <c r="C2590" t="s">
        <v>40</v>
      </c>
      <c r="D2590">
        <v>3.0792980000000001</v>
      </c>
      <c r="E2590">
        <v>0.50117639999999997</v>
      </c>
      <c r="F2590" t="s">
        <v>47</v>
      </c>
      <c r="G2590">
        <v>-308.89030000000002</v>
      </c>
      <c r="H2590" s="1">
        <v>2.471364E-6</v>
      </c>
      <c r="I2590">
        <v>283.65820000000002</v>
      </c>
      <c r="J2590">
        <v>-284.28289999999998</v>
      </c>
      <c r="K2590">
        <v>1.108914</v>
      </c>
      <c r="L2590">
        <v>283.07319999999999</v>
      </c>
      <c r="M2590">
        <v>-0.9980173</v>
      </c>
      <c r="N2590">
        <v>0</v>
      </c>
      <c r="O2590">
        <v>6.2481689999999999E-2</v>
      </c>
      <c r="P2590">
        <v>-0.98515240000000004</v>
      </c>
      <c r="Q2590">
        <v>0.17075319999999999</v>
      </c>
      <c r="R2590">
        <v>1.7838940000000001E-2</v>
      </c>
      <c r="S2590">
        <v>-3.067688</v>
      </c>
      <c r="T2590">
        <v>-0.13740179999999999</v>
      </c>
      <c r="U2590">
        <v>7.369995E-2</v>
      </c>
      <c r="V2590">
        <v>-4.34393E-2</v>
      </c>
      <c r="W2590">
        <v>0.17831140000000001</v>
      </c>
      <c r="X2590">
        <v>0.98301479999999997</v>
      </c>
      <c r="Y2590">
        <v>-3.8393759999999999E-2</v>
      </c>
      <c r="Z2590">
        <v>-3.6542139999999998E-3</v>
      </c>
      <c r="AA2590">
        <v>0.99925600000000003</v>
      </c>
      <c r="AB2590">
        <v>29</v>
      </c>
      <c r="AC2590">
        <v>-24.607399999999998</v>
      </c>
      <c r="AD2590">
        <v>-1.1089115286360001</v>
      </c>
      <c r="AE2590">
        <v>0.58500000000003605</v>
      </c>
      <c r="AF2590">
        <v>-0.951767504486841</v>
      </c>
      <c r="AG2590">
        <v>-1.1089115286360001</v>
      </c>
      <c r="AH2590">
        <v>24.546050517884801</v>
      </c>
      <c r="AI2590">
        <v>92.584740349519606</v>
      </c>
      <c r="AJ2590">
        <v>92.2205183775378</v>
      </c>
      <c r="AK2590">
        <v>24.589512849739201</v>
      </c>
      <c r="AL2590">
        <v>79.728581072739701</v>
      </c>
      <c r="AM2590">
        <v>92.530247149522793</v>
      </c>
      <c r="AN2590">
        <v>1.0000000125867401</v>
      </c>
    </row>
    <row r="2591" spans="1:40" x14ac:dyDescent="0.25">
      <c r="A2591" t="str">
        <f>"20190312172132619"</f>
        <v>20190312172132619</v>
      </c>
      <c r="B2591" t="str">
        <f>"1552382492613644"</f>
        <v>1552382492613644</v>
      </c>
      <c r="C2591" t="s">
        <v>40</v>
      </c>
      <c r="D2591">
        <v>3.0840190000000001</v>
      </c>
      <c r="E2591">
        <v>0.50100929999999999</v>
      </c>
      <c r="F2591" t="s">
        <v>47</v>
      </c>
      <c r="G2591">
        <v>-309.0797</v>
      </c>
      <c r="H2591" s="1">
        <v>2.4382179999999999E-6</v>
      </c>
      <c r="I2591">
        <v>283.65320000000003</v>
      </c>
      <c r="J2591">
        <v>-284.44830000000002</v>
      </c>
      <c r="K2591">
        <v>1.10891299999999</v>
      </c>
      <c r="L2591">
        <v>283.084</v>
      </c>
      <c r="M2591">
        <v>-0.99798569999999998</v>
      </c>
      <c r="N2591">
        <v>0</v>
      </c>
      <c r="O2591">
        <v>6.2981579999999995E-2</v>
      </c>
      <c r="P2591">
        <v>-0.98514630000000003</v>
      </c>
      <c r="Q2591">
        <v>0.1707785</v>
      </c>
      <c r="R2591">
        <v>1.7934060000000002E-2</v>
      </c>
      <c r="S2591">
        <v>-3.0676570000000001</v>
      </c>
      <c r="T2591">
        <v>-0.13718549999999999</v>
      </c>
      <c r="U2591">
        <v>7.1746829999999998E-2</v>
      </c>
      <c r="V2591">
        <v>-4.3836060000000003E-2</v>
      </c>
      <c r="W2591">
        <v>0.17834239999999901</v>
      </c>
      <c r="X2591">
        <v>0.98299159999999997</v>
      </c>
      <c r="Y2591">
        <v>-3.9528559999999997E-2</v>
      </c>
      <c r="Z2591">
        <v>-3.6962010000000001E-3</v>
      </c>
      <c r="AA2591">
        <v>0.99921159999999998</v>
      </c>
      <c r="AB2591">
        <v>30</v>
      </c>
      <c r="AC2591">
        <v>-24.6313999999999</v>
      </c>
      <c r="AD2591">
        <v>-1.1089105617820001</v>
      </c>
      <c r="AE2591">
        <v>0.56920000000002302</v>
      </c>
      <c r="AF2591">
        <v>-0.98131159911156496</v>
      </c>
      <c r="AG2591">
        <v>-1.1089105617820001</v>
      </c>
      <c r="AH2591">
        <v>24.568576877455101</v>
      </c>
      <c r="AI2591">
        <v>92.582253161071094</v>
      </c>
      <c r="AJ2591">
        <v>92.287277057380905</v>
      </c>
      <c r="AK2591">
        <v>24.6131595873428</v>
      </c>
      <c r="AL2591">
        <v>79.726776345510302</v>
      </c>
      <c r="AM2591">
        <v>92.553387313814696</v>
      </c>
      <c r="AN2591">
        <v>1.00000004873232</v>
      </c>
    </row>
    <row r="2592" spans="1:40" x14ac:dyDescent="0.25">
      <c r="A2592" t="str">
        <f>"20190312172132637"</f>
        <v>20190312172132637</v>
      </c>
      <c r="B2592" t="str">
        <f>"1552382492633165"</f>
        <v>1552382492633165</v>
      </c>
      <c r="C2592" t="s">
        <v>40</v>
      </c>
      <c r="D2592">
        <v>3.0689169999999999</v>
      </c>
      <c r="E2592">
        <v>0.50068849999999998</v>
      </c>
      <c r="F2592" t="s">
        <v>47</v>
      </c>
      <c r="G2592">
        <v>-309.28210000000001</v>
      </c>
      <c r="H2592" s="1">
        <v>2.4018710000000001E-6</v>
      </c>
      <c r="I2592">
        <v>283.65820000000002</v>
      </c>
      <c r="J2592">
        <v>-284.67239999999998</v>
      </c>
      <c r="K2592">
        <v>1.108914</v>
      </c>
      <c r="L2592">
        <v>283.09890000000001</v>
      </c>
      <c r="M2592">
        <v>-0.99794280000000002</v>
      </c>
      <c r="N2592">
        <v>0</v>
      </c>
      <c r="O2592">
        <v>6.3656400000000002E-2</v>
      </c>
      <c r="P2592">
        <v>-0.98509089999999999</v>
      </c>
      <c r="Q2592">
        <v>0.17108039999999999</v>
      </c>
      <c r="R2592">
        <v>1.810111E-2</v>
      </c>
      <c r="S2592">
        <v>-3.067688</v>
      </c>
      <c r="T2592">
        <v>-0.1369821</v>
      </c>
      <c r="U2592">
        <v>7.0922849999999996E-2</v>
      </c>
      <c r="V2592">
        <v>-4.4330399999999999E-2</v>
      </c>
      <c r="W2592">
        <v>0.17865110000000001</v>
      </c>
      <c r="X2592">
        <v>0.98291329999999999</v>
      </c>
      <c r="Y2592">
        <v>-4.0471380000000001E-2</v>
      </c>
      <c r="Z2592">
        <v>-3.7418030000000001E-3</v>
      </c>
      <c r="AA2592">
        <v>0.99917370000000005</v>
      </c>
      <c r="AB2592">
        <v>30</v>
      </c>
      <c r="AC2592">
        <v>-24.6097</v>
      </c>
      <c r="AD2592">
        <v>-1.1089115981290001</v>
      </c>
      <c r="AE2592">
        <v>0.55930000000000701</v>
      </c>
      <c r="AF2592">
        <v>-1.00640241708983</v>
      </c>
      <c r="AG2592">
        <v>-1.1089115981290001</v>
      </c>
      <c r="AH2592">
        <v>24.5455780349102</v>
      </c>
      <c r="AI2592">
        <v>92.584561316147997</v>
      </c>
      <c r="AJ2592">
        <v>92.347890565638806</v>
      </c>
      <c r="AK2592">
        <v>24.5912165584677</v>
      </c>
      <c r="AL2592">
        <v>79.708799715454404</v>
      </c>
      <c r="AM2592">
        <v>92.582348568664202</v>
      </c>
      <c r="AN2592">
        <v>0.99999997760612902</v>
      </c>
    </row>
    <row r="2593" spans="1:40" x14ac:dyDescent="0.25">
      <c r="A2593" t="str">
        <f>"20190312172132650"</f>
        <v>20190312172132650</v>
      </c>
      <c r="B2593" t="str">
        <f>"1552382492643900"</f>
        <v>1552382492643900</v>
      </c>
      <c r="C2593" t="s">
        <v>40</v>
      </c>
      <c r="D2593">
        <v>3.0762870000000002</v>
      </c>
      <c r="E2593">
        <v>0.50053270000000005</v>
      </c>
      <c r="F2593" t="s">
        <v>47</v>
      </c>
      <c r="G2593">
        <v>-309.7355</v>
      </c>
      <c r="H2593" s="1">
        <v>2.3209289999999998E-6</v>
      </c>
      <c r="I2593">
        <v>283.66410000000002</v>
      </c>
      <c r="J2593">
        <v>-284.86200000000002</v>
      </c>
      <c r="K2593">
        <v>1.1089119999999999</v>
      </c>
      <c r="L2593">
        <v>283.11149999999998</v>
      </c>
      <c r="M2593">
        <v>-0.99790659999999998</v>
      </c>
      <c r="N2593">
        <v>0</v>
      </c>
      <c r="O2593">
        <v>6.4222860000000007E-2</v>
      </c>
      <c r="P2593">
        <v>-0.98501240000000001</v>
      </c>
      <c r="Q2593">
        <v>0.17148169999999999</v>
      </c>
      <c r="R2593">
        <v>1.8574460000000001E-2</v>
      </c>
      <c r="S2593">
        <v>-3.0677189999999999</v>
      </c>
      <c r="T2593">
        <v>-0.1357303</v>
      </c>
      <c r="U2593">
        <v>6.9183350000000005E-2</v>
      </c>
      <c r="V2593">
        <v>-4.441142E-2</v>
      </c>
      <c r="W2593">
        <v>0.17905739999999901</v>
      </c>
      <c r="X2593">
        <v>0.98283569999999998</v>
      </c>
      <c r="Y2593">
        <v>-4.1605250000000003E-2</v>
      </c>
      <c r="Z2593">
        <v>-3.757711E-3</v>
      </c>
      <c r="AA2593">
        <v>0.99912710000000005</v>
      </c>
      <c r="AB2593">
        <v>30</v>
      </c>
      <c r="AC2593">
        <v>-24.8734999999999</v>
      </c>
      <c r="AD2593">
        <v>-1.108909679071</v>
      </c>
      <c r="AE2593">
        <v>0.55260000000003995</v>
      </c>
      <c r="AF2593">
        <v>-1.0439604714700901</v>
      </c>
      <c r="AG2593">
        <v>-1.108909679071</v>
      </c>
      <c r="AH2593">
        <v>24.808354709137401</v>
      </c>
      <c r="AI2593">
        <v>92.557102736267893</v>
      </c>
      <c r="AJ2593">
        <v>92.409642252393496</v>
      </c>
      <c r="AK2593">
        <v>24.855059797085801</v>
      </c>
      <c r="AL2593">
        <v>79.685138843211703</v>
      </c>
      <c r="AM2593">
        <v>92.587265749607297</v>
      </c>
      <c r="AN2593">
        <v>0.99999996995783202</v>
      </c>
    </row>
    <row r="2594" spans="1:40" x14ac:dyDescent="0.25">
      <c r="A2594" t="str">
        <f>"20190312172132664"</f>
        <v>20190312172132664</v>
      </c>
      <c r="B2594" t="str">
        <f>"1552382492653660"</f>
        <v>1552382492653660</v>
      </c>
      <c r="C2594" t="s">
        <v>40</v>
      </c>
      <c r="D2594">
        <v>3.073823</v>
      </c>
      <c r="E2594">
        <v>0.50037920000000002</v>
      </c>
      <c r="F2594" t="s">
        <v>47</v>
      </c>
      <c r="G2594">
        <v>-310.18349999999998</v>
      </c>
      <c r="H2594" s="1">
        <v>2.3796430000000002E-6</v>
      </c>
      <c r="I2594">
        <v>283.68639999999999</v>
      </c>
      <c r="J2594">
        <v>-285.04039999999998</v>
      </c>
      <c r="K2594">
        <v>1.10891299999999</v>
      </c>
      <c r="L2594">
        <v>283.12349999999998</v>
      </c>
      <c r="M2594">
        <v>-0.99787239999999999</v>
      </c>
      <c r="N2594">
        <v>0</v>
      </c>
      <c r="O2594">
        <v>6.4751929999999999E-2</v>
      </c>
      <c r="P2594">
        <v>-0.98496680000000003</v>
      </c>
      <c r="Q2594">
        <v>0.17171600000000001</v>
      </c>
      <c r="R2594">
        <v>1.8823659999999999E-2</v>
      </c>
      <c r="S2594">
        <v>-3.0677490000000001</v>
      </c>
      <c r="T2594">
        <v>-0.13434660000000001</v>
      </c>
      <c r="U2594">
        <v>6.9641110000000006E-2</v>
      </c>
      <c r="V2594">
        <v>-4.4681720000000001E-2</v>
      </c>
      <c r="W2594">
        <v>0.1792966</v>
      </c>
      <c r="X2594">
        <v>0.98277990000000004</v>
      </c>
      <c r="Y2594">
        <v>-4.1987410000000003E-2</v>
      </c>
      <c r="Z2594">
        <v>-3.7508680000000001E-3</v>
      </c>
      <c r="AA2594">
        <v>0.99911110000000003</v>
      </c>
      <c r="AB2594">
        <v>30</v>
      </c>
      <c r="AC2594">
        <v>-25.1431</v>
      </c>
      <c r="AD2594">
        <v>-1.1089106203569901</v>
      </c>
      <c r="AE2594">
        <v>0.56290000000001295</v>
      </c>
      <c r="AF2594">
        <v>-1.0643234860201201</v>
      </c>
      <c r="AG2594">
        <v>-1.1089106203569901</v>
      </c>
      <c r="AH2594">
        <v>25.078024995169901</v>
      </c>
      <c r="AI2594">
        <v>92.529605315817804</v>
      </c>
      <c r="AJ2594">
        <v>92.430202150543494</v>
      </c>
      <c r="AK2594">
        <v>25.125083182055299</v>
      </c>
      <c r="AL2594">
        <v>79.671208871767902</v>
      </c>
      <c r="AM2594">
        <v>92.603138549526406</v>
      </c>
      <c r="AN2594">
        <v>1.00000002935886</v>
      </c>
    </row>
    <row r="2595" spans="1:40" x14ac:dyDescent="0.25">
      <c r="A2595" t="str">
        <f>"20190312172132678"</f>
        <v>20190312172132678</v>
      </c>
      <c r="B2595" t="str">
        <f>"1552382492673180"</f>
        <v>1552382492673180</v>
      </c>
      <c r="C2595" t="s">
        <v>40</v>
      </c>
      <c r="D2595">
        <v>3.0937920000000001</v>
      </c>
      <c r="E2595">
        <v>0.50008279999999905</v>
      </c>
      <c r="F2595" t="s">
        <v>47</v>
      </c>
      <c r="G2595">
        <v>-310.52190000000002</v>
      </c>
      <c r="H2595" s="1">
        <v>2.528762E-6</v>
      </c>
      <c r="I2595">
        <v>283.69740000000002</v>
      </c>
      <c r="J2595">
        <v>-285.2296</v>
      </c>
      <c r="K2595">
        <v>1.1089180000000001</v>
      </c>
      <c r="L2595">
        <v>283.13630000000001</v>
      </c>
      <c r="M2595">
        <v>-0.99783619999999995</v>
      </c>
      <c r="N2595">
        <v>0</v>
      </c>
      <c r="O2595">
        <v>6.5306130000000004E-2</v>
      </c>
      <c r="P2595">
        <v>-0.98494610000000005</v>
      </c>
      <c r="Q2595">
        <v>0.17178289999999999</v>
      </c>
      <c r="R2595">
        <v>1.928918E-2</v>
      </c>
      <c r="S2595">
        <v>-3.0677189999999999</v>
      </c>
      <c r="T2595">
        <v>-0.133501799999999</v>
      </c>
      <c r="U2595">
        <v>6.9091799999999995E-2</v>
      </c>
      <c r="V2595">
        <v>-4.4764079999999998E-2</v>
      </c>
      <c r="W2595">
        <v>0.17936839999999901</v>
      </c>
      <c r="X2595">
        <v>0.98276300000000005</v>
      </c>
      <c r="Y2595">
        <v>-4.2720950000000001E-2</v>
      </c>
      <c r="Z2595">
        <v>-3.7673609999999999E-3</v>
      </c>
      <c r="AA2595">
        <v>0.99907990000000002</v>
      </c>
      <c r="AB2595">
        <v>30</v>
      </c>
      <c r="AC2595">
        <v>-25.292300000000001</v>
      </c>
      <c r="AD2595">
        <v>-1.1089154712380001</v>
      </c>
      <c r="AE2595">
        <v>0.56110000000001004</v>
      </c>
      <c r="AF2595">
        <v>-1.08979414384263</v>
      </c>
      <c r="AG2595">
        <v>-1.1089154712380001</v>
      </c>
      <c r="AH2595">
        <v>25.226480215851499</v>
      </c>
      <c r="AI2595">
        <v>92.514667429859799</v>
      </c>
      <c r="AJ2595">
        <v>92.473662758567798</v>
      </c>
      <c r="AK2595">
        <v>25.274347644974998</v>
      </c>
      <c r="AL2595">
        <v>79.667026728652701</v>
      </c>
      <c r="AM2595">
        <v>92.607974975722399</v>
      </c>
      <c r="AN2595">
        <v>0.99999997997290302</v>
      </c>
    </row>
    <row r="2596" spans="1:40" x14ac:dyDescent="0.25">
      <c r="A2596" t="str">
        <f>"20190312172132692"</f>
        <v>20190312172132692</v>
      </c>
      <c r="B2596" t="str">
        <f>"1552382492683001"</f>
        <v>1552382492683001</v>
      </c>
      <c r="C2596" t="s">
        <v>40</v>
      </c>
      <c r="D2596">
        <v>3.0884209999999999</v>
      </c>
      <c r="E2596">
        <v>0.4999304</v>
      </c>
      <c r="F2596" t="s">
        <v>47</v>
      </c>
      <c r="G2596">
        <v>-310.81060000000002</v>
      </c>
      <c r="H2596" s="1">
        <v>2.656173E-6</v>
      </c>
      <c r="I2596">
        <v>283.70460000000003</v>
      </c>
      <c r="J2596">
        <v>-285.42399999999998</v>
      </c>
      <c r="K2596">
        <v>1.1089260000000001</v>
      </c>
      <c r="L2596">
        <v>283.14960000000002</v>
      </c>
      <c r="M2596">
        <v>-0.99779949999999995</v>
      </c>
      <c r="N2596">
        <v>0</v>
      </c>
      <c r="O2596">
        <v>6.5864019999999995E-2</v>
      </c>
      <c r="P2596">
        <v>-0.98493920000000001</v>
      </c>
      <c r="Q2596">
        <v>0.17179430000000001</v>
      </c>
      <c r="R2596">
        <v>1.9551499999999999E-2</v>
      </c>
      <c r="S2596">
        <v>-3.0677490000000001</v>
      </c>
      <c r="T2596">
        <v>-0.13298450000000001</v>
      </c>
      <c r="U2596">
        <v>6.8145750000000005E-2</v>
      </c>
      <c r="V2596">
        <v>-4.5054950000000003E-2</v>
      </c>
      <c r="W2596">
        <v>0.17938479999999901</v>
      </c>
      <c r="X2596">
        <v>0.98274669999999997</v>
      </c>
      <c r="Y2596">
        <v>-4.358716E-2</v>
      </c>
      <c r="Z2596">
        <v>-3.7956470000000001E-3</v>
      </c>
      <c r="AA2596">
        <v>0.9990424</v>
      </c>
      <c r="AB2596">
        <v>30</v>
      </c>
      <c r="AC2596">
        <v>-25.386599999999898</v>
      </c>
      <c r="AD2596">
        <v>-1.1089233438269901</v>
      </c>
      <c r="AE2596">
        <v>0.55500000000000604</v>
      </c>
      <c r="AF2596">
        <v>-1.1161885420630999</v>
      </c>
      <c r="AG2596">
        <v>-1.1089233438269901</v>
      </c>
      <c r="AH2596">
        <v>25.319739407050001</v>
      </c>
      <c r="AI2596">
        <v>92.505338566947003</v>
      </c>
      <c r="AJ2596">
        <v>92.524177348656906</v>
      </c>
      <c r="AK2596">
        <v>25.3685788227255</v>
      </c>
      <c r="AL2596">
        <v>79.666071436524106</v>
      </c>
      <c r="AM2596">
        <v>92.624941040547697</v>
      </c>
      <c r="AN2596">
        <v>0.99999996567571503</v>
      </c>
    </row>
    <row r="2597" spans="1:40" x14ac:dyDescent="0.25">
      <c r="A2597" t="str">
        <f>"20190312172132705"</f>
        <v>20190312172132705</v>
      </c>
      <c r="B2597" t="str">
        <f>"1552382492693738"</f>
        <v>1552382492693738</v>
      </c>
      <c r="C2597" t="s">
        <v>40</v>
      </c>
      <c r="D2597">
        <v>3.1373869999999999</v>
      </c>
      <c r="E2597">
        <v>0.49975160000000002</v>
      </c>
      <c r="F2597" t="s">
        <v>47</v>
      </c>
      <c r="G2597">
        <v>-311.04199999999997</v>
      </c>
      <c r="H2597" s="1">
        <v>2.757635E-6</v>
      </c>
      <c r="I2597">
        <v>283.7174</v>
      </c>
      <c r="J2597">
        <v>-285.5917</v>
      </c>
      <c r="K2597">
        <v>1.108935</v>
      </c>
      <c r="L2597">
        <v>283.16109999999998</v>
      </c>
      <c r="M2597">
        <v>-0.99776810000000005</v>
      </c>
      <c r="N2597">
        <v>0</v>
      </c>
      <c r="O2597">
        <v>6.6335580000000005E-2</v>
      </c>
      <c r="P2597">
        <v>-0.98494959999999998</v>
      </c>
      <c r="Q2597">
        <v>0.1717069</v>
      </c>
      <c r="R2597">
        <v>1.9775250000000001E-2</v>
      </c>
      <c r="S2597">
        <v>-3.0676570000000001</v>
      </c>
      <c r="T2597">
        <v>-0.13278989999999999</v>
      </c>
      <c r="U2597">
        <v>6.7993159999999997E-2</v>
      </c>
      <c r="V2597">
        <v>-4.5301670000000002E-2</v>
      </c>
      <c r="W2597">
        <v>0.1793013</v>
      </c>
      <c r="X2597">
        <v>0.98275069999999998</v>
      </c>
      <c r="Y2597">
        <v>-4.4107689999999998E-2</v>
      </c>
      <c r="Z2597">
        <v>-3.8218319999999998E-3</v>
      </c>
      <c r="AA2597">
        <v>0.9990194</v>
      </c>
      <c r="AB2597">
        <v>30</v>
      </c>
      <c r="AC2597">
        <v>-25.450299999999999</v>
      </c>
      <c r="AD2597">
        <v>-1.1089322423649901</v>
      </c>
      <c r="AE2597">
        <v>0.556300000000021</v>
      </c>
      <c r="AF2597">
        <v>-1.13108870028597</v>
      </c>
      <c r="AG2597">
        <v>-1.1089322423649901</v>
      </c>
      <c r="AH2597">
        <v>25.382974605631201</v>
      </c>
      <c r="AI2597">
        <v>92.499072421476797</v>
      </c>
      <c r="AJ2597">
        <v>92.5514647456978</v>
      </c>
      <c r="AK2597">
        <v>25.432351291144698</v>
      </c>
      <c r="AL2597">
        <v>79.670935548439502</v>
      </c>
      <c r="AM2597">
        <v>92.639284167549107</v>
      </c>
      <c r="AN2597">
        <v>1.00000006791848</v>
      </c>
    </row>
    <row r="2598" spans="1:40" x14ac:dyDescent="0.25">
      <c r="A2598" t="str">
        <f>"20190312172132717"</f>
        <v>20190312172132717</v>
      </c>
      <c r="B2598" t="str">
        <f>"1552382492713257"</f>
        <v>1552382492713257</v>
      </c>
      <c r="C2598" t="s">
        <v>40</v>
      </c>
      <c r="D2598">
        <v>3.1054940000000002</v>
      </c>
      <c r="E2598">
        <v>0.49945410000000001</v>
      </c>
      <c r="F2598" t="s">
        <v>47</v>
      </c>
      <c r="G2598">
        <v>-311.24029999999999</v>
      </c>
      <c r="H2598" s="1">
        <v>2.8452669999999998E-6</v>
      </c>
      <c r="I2598">
        <v>283.72120000000001</v>
      </c>
      <c r="J2598">
        <v>-285.75319999999999</v>
      </c>
      <c r="K2598">
        <v>1.1089450000000001</v>
      </c>
      <c r="L2598">
        <v>283.17230000000001</v>
      </c>
      <c r="M2598">
        <v>-0.99773849999999997</v>
      </c>
      <c r="N2598">
        <v>0</v>
      </c>
      <c r="O2598">
        <v>6.6778879999999999E-2</v>
      </c>
      <c r="P2598">
        <v>-0.98494760000000003</v>
      </c>
      <c r="Q2598">
        <v>0.17170189999999999</v>
      </c>
      <c r="R2598">
        <v>1.99177E-2</v>
      </c>
      <c r="S2598">
        <v>-3.0676570000000001</v>
      </c>
      <c r="T2598">
        <v>-0.13263179999999999</v>
      </c>
      <c r="U2598">
        <v>6.6986080000000003E-2</v>
      </c>
      <c r="V2598">
        <v>-4.5601589999999997E-2</v>
      </c>
      <c r="W2598">
        <v>0.17929990000000001</v>
      </c>
      <c r="X2598">
        <v>0.98273699999999997</v>
      </c>
      <c r="Y2598">
        <v>-4.4878460000000002E-2</v>
      </c>
      <c r="Z2598">
        <v>-3.8530779999999998E-3</v>
      </c>
      <c r="AA2598">
        <v>0.99898509999999996</v>
      </c>
      <c r="AB2598">
        <v>30</v>
      </c>
      <c r="AC2598">
        <v>-25.487100000000002</v>
      </c>
      <c r="AD2598">
        <v>-1.1089421547329901</v>
      </c>
      <c r="AE2598">
        <v>0.54890000000000305</v>
      </c>
      <c r="AF2598">
        <v>-1.1521948507556099</v>
      </c>
      <c r="AG2598">
        <v>-1.1089421547329901</v>
      </c>
      <c r="AH2598">
        <v>25.418762019827401</v>
      </c>
      <c r="AI2598">
        <v>92.495494861471698</v>
      </c>
      <c r="AJ2598">
        <v>92.595356296160901</v>
      </c>
      <c r="AK2598">
        <v>25.469015848620302</v>
      </c>
      <c r="AL2598">
        <v>79.671016219665304</v>
      </c>
      <c r="AM2598">
        <v>92.656769596043205</v>
      </c>
      <c r="AN2598">
        <v>0.99999998515976796</v>
      </c>
    </row>
    <row r="2599" spans="1:40" x14ac:dyDescent="0.25">
      <c r="A2599" t="str">
        <f>"20190312172132729"</f>
        <v>20190312172132729</v>
      </c>
      <c r="B2599" t="str">
        <f>"1552382492723017"</f>
        <v>1552382492723017</v>
      </c>
      <c r="C2599" t="s">
        <v>40</v>
      </c>
      <c r="D2599">
        <v>3.10501</v>
      </c>
      <c r="E2599">
        <v>0.49931530000000002</v>
      </c>
      <c r="F2599" t="s">
        <v>47</v>
      </c>
      <c r="G2599">
        <v>-311.47519999999997</v>
      </c>
      <c r="H2599" s="1">
        <v>2.9495540000000001E-6</v>
      </c>
      <c r="I2599">
        <v>283.71960000000001</v>
      </c>
      <c r="J2599">
        <v>-285.91379999999998</v>
      </c>
      <c r="K2599">
        <v>1.1089610000000001</v>
      </c>
      <c r="L2599">
        <v>283.18349999999998</v>
      </c>
      <c r="M2599">
        <v>-0.99770999999999999</v>
      </c>
      <c r="N2599">
        <v>0</v>
      </c>
      <c r="O2599">
        <v>6.7201640000000007E-2</v>
      </c>
      <c r="P2599">
        <v>-0.98495379999999999</v>
      </c>
      <c r="Q2599">
        <v>0.17165830000000001</v>
      </c>
      <c r="R2599">
        <v>1.9987580000000001E-2</v>
      </c>
      <c r="S2599">
        <v>-3.0676570000000001</v>
      </c>
      <c r="T2599">
        <v>-0.13225490000000001</v>
      </c>
      <c r="U2599">
        <v>6.5277099999999894E-2</v>
      </c>
      <c r="V2599">
        <v>-4.5956200000000003E-2</v>
      </c>
      <c r="W2599">
        <v>0.17925959999999999</v>
      </c>
      <c r="X2599">
        <v>0.98272780000000004</v>
      </c>
      <c r="Y2599">
        <v>-4.5857309999999998E-2</v>
      </c>
      <c r="Z2599">
        <v>-3.881443E-3</v>
      </c>
      <c r="AA2599">
        <v>0.99894050000000001</v>
      </c>
      <c r="AB2599">
        <v>30</v>
      </c>
      <c r="AC2599">
        <v>-25.5613999999999</v>
      </c>
      <c r="AD2599">
        <v>-1.1089580504459999</v>
      </c>
      <c r="AE2599">
        <v>0.53610000000003299</v>
      </c>
      <c r="AF2599">
        <v>-1.1807090576355499</v>
      </c>
      <c r="AG2599">
        <v>-1.1089580504459999</v>
      </c>
      <c r="AH2599">
        <v>25.4916819177595</v>
      </c>
      <c r="AI2599">
        <v>92.488288635098996</v>
      </c>
      <c r="AJ2599">
        <v>92.651897661334402</v>
      </c>
      <c r="AK2599">
        <v>25.543095130243302</v>
      </c>
      <c r="AL2599">
        <v>79.673362927284899</v>
      </c>
      <c r="AM2599">
        <v>92.677424419405995</v>
      </c>
      <c r="AN2599">
        <v>0.99999995270171804</v>
      </c>
    </row>
    <row r="2600" spans="1:40" x14ac:dyDescent="0.25">
      <c r="A2600" t="str">
        <f>"20190312172132740"</f>
        <v>20190312172132740</v>
      </c>
      <c r="B2600" t="str">
        <f>"1552382492733754"</f>
        <v>1552382492733754</v>
      </c>
      <c r="C2600" t="s">
        <v>40</v>
      </c>
      <c r="D2600">
        <v>3.0849989999999998</v>
      </c>
      <c r="E2600">
        <v>0.4991795</v>
      </c>
      <c r="F2600" t="s">
        <v>47</v>
      </c>
      <c r="G2600">
        <v>-311.61090000000002</v>
      </c>
      <c r="H2600" s="1">
        <v>3.0096829999999999E-6</v>
      </c>
      <c r="I2600">
        <v>283.72059999999999</v>
      </c>
      <c r="J2600">
        <v>-286.07229999999998</v>
      </c>
      <c r="K2600">
        <v>1.1089770000000001</v>
      </c>
      <c r="L2600">
        <v>283.19450000000001</v>
      </c>
      <c r="M2600">
        <v>-0.99768239999999997</v>
      </c>
      <c r="N2600">
        <v>0</v>
      </c>
      <c r="O2600">
        <v>6.7610320000000002E-2</v>
      </c>
      <c r="P2600">
        <v>-0.98491850000000003</v>
      </c>
      <c r="Q2600">
        <v>0.17181379999999999</v>
      </c>
      <c r="R2600">
        <v>2.0380209999999999E-2</v>
      </c>
      <c r="S2600">
        <v>-3.067596</v>
      </c>
      <c r="T2600">
        <v>-0.13238220000000001</v>
      </c>
      <c r="U2600">
        <v>6.4117430000000003E-2</v>
      </c>
      <c r="V2600">
        <v>-4.5972190000000003E-2</v>
      </c>
      <c r="W2600">
        <v>0.17941770000000001</v>
      </c>
      <c r="X2600">
        <v>0.98269830000000002</v>
      </c>
      <c r="Y2600">
        <v>-4.664223E-2</v>
      </c>
      <c r="Z2600">
        <v>-3.9197939999999999E-3</v>
      </c>
      <c r="AA2600">
        <v>0.99890400000000001</v>
      </c>
      <c r="AB2600">
        <v>30</v>
      </c>
      <c r="AC2600">
        <v>-25.538599999999999</v>
      </c>
      <c r="AD2600">
        <v>-1.1089739903169999</v>
      </c>
      <c r="AE2600">
        <v>0.52609999999998502</v>
      </c>
      <c r="AF2600">
        <v>-1.1995665279969701</v>
      </c>
      <c r="AG2600">
        <v>-1.1089739903169999</v>
      </c>
      <c r="AH2600">
        <v>25.467728621829799</v>
      </c>
      <c r="AI2600">
        <v>92.490570872333805</v>
      </c>
      <c r="AJ2600">
        <v>92.696720266219202</v>
      </c>
      <c r="AK2600">
        <v>25.520070225637301</v>
      </c>
      <c r="AL2600">
        <v>79.6641562105536</v>
      </c>
      <c r="AM2600">
        <v>92.678434931623002</v>
      </c>
      <c r="AN2600">
        <v>1.00000005107478</v>
      </c>
    </row>
    <row r="2601" spans="1:40" x14ac:dyDescent="0.25">
      <c r="A2601" t="str">
        <f>"20190312172132753"</f>
        <v>20190312172132753</v>
      </c>
      <c r="B2601" t="str">
        <f>"1552382492743513"</f>
        <v>1552382492743513</v>
      </c>
      <c r="C2601" t="s">
        <v>40</v>
      </c>
      <c r="D2601">
        <v>3.1081949999999998</v>
      </c>
      <c r="E2601">
        <v>0.49904900000000002</v>
      </c>
      <c r="F2601" t="s">
        <v>47</v>
      </c>
      <c r="G2601">
        <v>-311.86090000000002</v>
      </c>
      <c r="H2601" s="1">
        <v>3.119479E-6</v>
      </c>
      <c r="I2601">
        <v>283.73270000000002</v>
      </c>
      <c r="J2601">
        <v>-286.23950000000002</v>
      </c>
      <c r="K2601">
        <v>1.1089990000000001</v>
      </c>
      <c r="L2601">
        <v>283.20620000000002</v>
      </c>
      <c r="M2601">
        <v>-0.99765550000000003</v>
      </c>
      <c r="N2601">
        <v>0</v>
      </c>
      <c r="O2601">
        <v>6.8007919999999999E-2</v>
      </c>
      <c r="P2601">
        <v>-0.98489009999999999</v>
      </c>
      <c r="Q2601">
        <v>0.1719453</v>
      </c>
      <c r="R2601">
        <v>2.0654740000000001E-2</v>
      </c>
      <c r="S2601">
        <v>-3.0676269999999999</v>
      </c>
      <c r="T2601">
        <v>-0.13191549999999999</v>
      </c>
      <c r="U2601">
        <v>6.4025879999999993E-2</v>
      </c>
      <c r="V2601">
        <v>-4.6098979999999998E-2</v>
      </c>
      <c r="W2601">
        <v>0.17955090000000001</v>
      </c>
      <c r="X2601">
        <v>0.98266799999999999</v>
      </c>
      <c r="Y2601">
        <v>-4.7070290000000001E-2</v>
      </c>
      <c r="Z2601">
        <v>-3.9322020000000001E-3</v>
      </c>
      <c r="AA2601">
        <v>0.99888379999999999</v>
      </c>
      <c r="AB2601">
        <v>30</v>
      </c>
      <c r="AC2601">
        <v>-25.621399999999898</v>
      </c>
      <c r="AD2601">
        <v>-1.1089958805210001</v>
      </c>
      <c r="AE2601">
        <v>0.52649999999999797</v>
      </c>
      <c r="AF2601">
        <v>-1.2149528045340301</v>
      </c>
      <c r="AG2601">
        <v>-1.1089958805210001</v>
      </c>
      <c r="AH2601">
        <v>25.550036761979101</v>
      </c>
      <c r="AI2601">
        <v>92.482553879801003</v>
      </c>
      <c r="AJ2601">
        <v>92.722472436311094</v>
      </c>
      <c r="AK2601">
        <v>25.602936564361901</v>
      </c>
      <c r="AL2601">
        <v>79.656398107683003</v>
      </c>
      <c r="AM2601">
        <v>92.6858938717359</v>
      </c>
      <c r="AN2601">
        <v>1.00000001993592</v>
      </c>
    </row>
    <row r="2602" spans="1:40" x14ac:dyDescent="0.25">
      <c r="A2602" t="str">
        <f>"20190312172132764"</f>
        <v>20190312172132764</v>
      </c>
      <c r="B2602" t="str">
        <f>"1552382492753274"</f>
        <v>1552382492753274</v>
      </c>
      <c r="C2602" t="s">
        <v>40</v>
      </c>
      <c r="D2602">
        <v>3.1037539999999999</v>
      </c>
      <c r="E2602">
        <v>0.49892219999999998</v>
      </c>
      <c r="F2602" t="s">
        <v>47</v>
      </c>
      <c r="G2602">
        <v>-312.1259</v>
      </c>
      <c r="H2602" s="1">
        <v>3.236016E-6</v>
      </c>
      <c r="I2602">
        <v>283.74400000000003</v>
      </c>
      <c r="J2602">
        <v>-286.38720000000001</v>
      </c>
      <c r="K2602">
        <v>1.1090139999999999</v>
      </c>
      <c r="L2602">
        <v>283.21660000000003</v>
      </c>
      <c r="M2602">
        <v>-0.99763230000000003</v>
      </c>
      <c r="N2602">
        <v>0</v>
      </c>
      <c r="O2602">
        <v>6.8345669999999997E-2</v>
      </c>
      <c r="P2602">
        <v>-0.98484839999999996</v>
      </c>
      <c r="Q2602">
        <v>0.17214860000000001</v>
      </c>
      <c r="R2602">
        <v>2.094772E-2</v>
      </c>
      <c r="S2602">
        <v>-3.067688</v>
      </c>
      <c r="T2602">
        <v>-0.13142219999999999</v>
      </c>
      <c r="U2602">
        <v>6.3720700000000005E-2</v>
      </c>
      <c r="V2602">
        <v>-4.614737E-2</v>
      </c>
      <c r="W2602">
        <v>0.17975539999999901</v>
      </c>
      <c r="X2602">
        <v>0.98262830000000001</v>
      </c>
      <c r="Y2602">
        <v>-4.7508290000000002E-2</v>
      </c>
      <c r="Z2602">
        <v>-3.941249E-3</v>
      </c>
      <c r="AA2602">
        <v>0.99886299999999995</v>
      </c>
      <c r="AB2602">
        <v>30</v>
      </c>
      <c r="AC2602">
        <v>-25.738699999999898</v>
      </c>
      <c r="AD2602">
        <v>-1.1090107639839999</v>
      </c>
      <c r="AE2602">
        <v>0.52739999999999998</v>
      </c>
      <c r="AF2602">
        <v>-1.2307296799516001</v>
      </c>
      <c r="AG2602">
        <v>-1.1090107639839999</v>
      </c>
      <c r="AH2602">
        <v>25.6669272291428</v>
      </c>
      <c r="AI2602">
        <v>92.471248370243899</v>
      </c>
      <c r="AJ2602">
        <v>92.745231126133405</v>
      </c>
      <c r="AK2602">
        <v>25.7203373579325</v>
      </c>
      <c r="AL2602">
        <v>79.644486912397198</v>
      </c>
      <c r="AM2602">
        <v>92.688817583052895</v>
      </c>
      <c r="AN2602">
        <v>0.99999997977398303</v>
      </c>
    </row>
    <row r="2603" spans="1:40" x14ac:dyDescent="0.25">
      <c r="A2603" t="str">
        <f>"20190312172132776"</f>
        <v>20190312172132776</v>
      </c>
      <c r="B2603" t="str">
        <f>"1552382492773770"</f>
        <v>1552382492773770</v>
      </c>
      <c r="C2603" t="s">
        <v>40</v>
      </c>
      <c r="D2603">
        <v>3.0792380000000001</v>
      </c>
      <c r="E2603">
        <v>0.48379620000000001</v>
      </c>
      <c r="F2603" t="s">
        <v>47</v>
      </c>
      <c r="G2603">
        <v>-312.42079999999999</v>
      </c>
      <c r="H2603" s="1">
        <v>3.3658699999999998E-6</v>
      </c>
      <c r="I2603">
        <v>283.75459999999998</v>
      </c>
      <c r="J2603">
        <v>-286.55329999999998</v>
      </c>
      <c r="K2603">
        <v>1.1090420000000001</v>
      </c>
      <c r="L2603">
        <v>283.22840000000002</v>
      </c>
      <c r="M2603">
        <v>-0.99760780000000004</v>
      </c>
      <c r="N2603">
        <v>0</v>
      </c>
      <c r="O2603">
        <v>6.8702449999999998E-2</v>
      </c>
      <c r="P2603">
        <v>-0.98484910000000003</v>
      </c>
      <c r="Q2603">
        <v>0.1721095</v>
      </c>
      <c r="R2603">
        <v>2.1231070000000001E-2</v>
      </c>
      <c r="S2603">
        <v>-3.0676269999999999</v>
      </c>
      <c r="T2603">
        <v>-0.13067809999999999</v>
      </c>
      <c r="U2603">
        <v>6.3385010000000006E-2</v>
      </c>
      <c r="V2603">
        <v>-4.6229220000000001E-2</v>
      </c>
      <c r="W2603">
        <v>0.1797174</v>
      </c>
      <c r="X2603">
        <v>0.98263140000000004</v>
      </c>
      <c r="Y2603">
        <v>-4.7974820000000001E-2</v>
      </c>
      <c r="Z2603">
        <v>-3.944131E-3</v>
      </c>
      <c r="AA2603">
        <v>0.99884070000000003</v>
      </c>
      <c r="AB2603">
        <v>30</v>
      </c>
      <c r="AC2603">
        <v>-25.8675</v>
      </c>
      <c r="AD2603">
        <v>-1.10903863412999</v>
      </c>
      <c r="AE2603">
        <v>0.52619999999996003</v>
      </c>
      <c r="AF2603">
        <v>-1.2499594434044401</v>
      </c>
      <c r="AG2603">
        <v>-1.10903863412999</v>
      </c>
      <c r="AH2603">
        <v>25.7951327572266</v>
      </c>
      <c r="AI2603">
        <v>92.458982840995404</v>
      </c>
      <c r="AJ2603">
        <v>92.774221992997496</v>
      </c>
      <c r="AK2603">
        <v>25.849201907701001</v>
      </c>
      <c r="AL2603">
        <v>79.646700161067599</v>
      </c>
      <c r="AM2603">
        <v>92.693571143503803</v>
      </c>
      <c r="AN2603">
        <v>0.99999997645526395</v>
      </c>
    </row>
    <row r="2604" spans="1:40" x14ac:dyDescent="0.25">
      <c r="A2604" t="str">
        <f>"20190312172132793"</f>
        <v>20190312172132793</v>
      </c>
      <c r="B2604" t="str">
        <f>"1552382492783529"</f>
        <v>1552382492783529</v>
      </c>
      <c r="C2604" t="s">
        <v>40</v>
      </c>
      <c r="D2604">
        <v>3.1034290000000002</v>
      </c>
      <c r="E2604">
        <v>0.48401899999999998</v>
      </c>
      <c r="F2604" t="s">
        <v>47</v>
      </c>
      <c r="G2604">
        <v>-317.56639999999999</v>
      </c>
      <c r="H2604" s="1">
        <v>5.7439229999999998E-6</v>
      </c>
      <c r="I2604">
        <v>282.654</v>
      </c>
      <c r="J2604">
        <v>-286.77769999999998</v>
      </c>
      <c r="K2604">
        <v>1.1090880000000001</v>
      </c>
      <c r="L2604">
        <v>283.24430000000001</v>
      </c>
      <c r="M2604">
        <v>-0.99757810000000002</v>
      </c>
      <c r="N2604">
        <v>0</v>
      </c>
      <c r="O2604">
        <v>6.9130849999999994E-2</v>
      </c>
      <c r="P2604">
        <v>-0.98486600000000002</v>
      </c>
      <c r="Q2604">
        <v>0.17196989999999901</v>
      </c>
      <c r="R2604">
        <v>2.1578610000000002E-2</v>
      </c>
      <c r="S2604">
        <v>-3.0664669999999998</v>
      </c>
      <c r="T2604">
        <v>-0.10965759999999999</v>
      </c>
      <c r="U2604">
        <v>-5.6793209999999997E-2</v>
      </c>
      <c r="V2604">
        <v>-4.632787E-2</v>
      </c>
      <c r="W2604">
        <v>0.1795786</v>
      </c>
      <c r="X2604">
        <v>0.98265219999999998</v>
      </c>
      <c r="Y2604">
        <v>-8.7494219999999998E-2</v>
      </c>
      <c r="Z2604">
        <v>-4.0338969999999998E-3</v>
      </c>
      <c r="AA2604">
        <v>0.99615690000000001</v>
      </c>
      <c r="AB2604">
        <v>30</v>
      </c>
      <c r="AC2604">
        <v>-30.788699999999999</v>
      </c>
      <c r="AD2604">
        <v>-1.109082256077</v>
      </c>
      <c r="AE2604">
        <v>-0.59030000000001304</v>
      </c>
      <c r="AF2604">
        <v>-2.7138790603585798</v>
      </c>
      <c r="AG2604">
        <v>-1.109082256077</v>
      </c>
      <c r="AH2604">
        <v>30.6344905904166</v>
      </c>
      <c r="AI2604">
        <v>92.065332807848407</v>
      </c>
      <c r="AJ2604">
        <v>95.0625600614826</v>
      </c>
      <c r="AK2604">
        <v>30.774457212748999</v>
      </c>
      <c r="AL2604">
        <v>79.654785060893403</v>
      </c>
      <c r="AM2604">
        <v>92.699253495843806</v>
      </c>
      <c r="AN2604">
        <v>1.0000000456407601</v>
      </c>
    </row>
    <row r="2605" spans="1:40" x14ac:dyDescent="0.25">
      <c r="A2605" t="str">
        <f>"20190312172132806"</f>
        <v>20190312172132806</v>
      </c>
      <c r="B2605" t="str">
        <f>"1552382492803050"</f>
        <v>1552382492803050</v>
      </c>
      <c r="C2605" t="s">
        <v>40</v>
      </c>
      <c r="D2605">
        <v>3.0964800000000001</v>
      </c>
      <c r="E2605">
        <v>0.48393419999999998</v>
      </c>
      <c r="F2605" t="s">
        <v>47</v>
      </c>
      <c r="G2605">
        <v>-316.81439999999998</v>
      </c>
      <c r="H2605" s="1">
        <v>5.4052289999999997E-6</v>
      </c>
      <c r="I2605">
        <v>282.71350000000001</v>
      </c>
      <c r="J2605">
        <v>-286.95670000000001</v>
      </c>
      <c r="K2605">
        <v>1.1091329999999999</v>
      </c>
      <c r="L2605">
        <v>283.25700000000001</v>
      </c>
      <c r="M2605">
        <v>-0.99755740000000004</v>
      </c>
      <c r="N2605">
        <v>0</v>
      </c>
      <c r="O2605">
        <v>6.9428729999999994E-2</v>
      </c>
      <c r="P2605">
        <v>-0.98491759999999995</v>
      </c>
      <c r="Q2605">
        <v>0.17166319999999999</v>
      </c>
      <c r="R2605">
        <v>2.1661199999999999E-2</v>
      </c>
      <c r="S2605">
        <v>-3.0670470000000001</v>
      </c>
      <c r="T2605">
        <v>-0.11324869999999999</v>
      </c>
      <c r="U2605">
        <v>-5.4199219999999999E-2</v>
      </c>
      <c r="V2605">
        <v>-4.6562920000000001E-2</v>
      </c>
      <c r="W2605">
        <v>0.17927219999999999</v>
      </c>
      <c r="X2605">
        <v>0.98269700000000004</v>
      </c>
      <c r="Y2605">
        <v>-8.6939509999999998E-2</v>
      </c>
      <c r="Z2605">
        <v>-4.1658779999999996E-3</v>
      </c>
      <c r="AA2605">
        <v>0.99620489999999995</v>
      </c>
      <c r="AB2605">
        <v>30</v>
      </c>
      <c r="AC2605">
        <v>-29.857699999999902</v>
      </c>
      <c r="AD2605">
        <v>-1.109127594771</v>
      </c>
      <c r="AE2605">
        <v>-0.54349999999999399</v>
      </c>
      <c r="AF2605">
        <v>-2.6116290232947899</v>
      </c>
      <c r="AG2605">
        <v>-1.109127594771</v>
      </c>
      <c r="AH2605">
        <v>29.706931663321701</v>
      </c>
      <c r="AI2605">
        <v>92.129974485017698</v>
      </c>
      <c r="AJ2605">
        <v>95.024133891729903</v>
      </c>
      <c r="AK2605">
        <v>29.8421272537006</v>
      </c>
      <c r="AL2605">
        <v>79.672629716684099</v>
      </c>
      <c r="AM2605">
        <v>92.7128045789336</v>
      </c>
      <c r="AN2605">
        <v>1.0000000105103799</v>
      </c>
    </row>
    <row r="2606" spans="1:40" x14ac:dyDescent="0.25">
      <c r="A2606" t="str">
        <f>"20190312172132820"</f>
        <v>20190312172132820</v>
      </c>
      <c r="B2606" t="str">
        <f>"1552382492813786"</f>
        <v>1552382492813786</v>
      </c>
      <c r="C2606" t="s">
        <v>40</v>
      </c>
      <c r="D2606">
        <v>3.1123210000000001</v>
      </c>
      <c r="E2606">
        <v>0.48511070000000001</v>
      </c>
      <c r="F2606" t="s">
        <v>47</v>
      </c>
      <c r="G2606">
        <v>-317.33089999999999</v>
      </c>
      <c r="H2606" s="1">
        <v>5.6339119999999999E-6</v>
      </c>
      <c r="I2606">
        <v>282.71800000000002</v>
      </c>
      <c r="J2606">
        <v>-287.14069999999998</v>
      </c>
      <c r="K2606">
        <v>1.109183</v>
      </c>
      <c r="L2606">
        <v>283.27</v>
      </c>
      <c r="M2606">
        <v>-0.99753840000000005</v>
      </c>
      <c r="N2606">
        <v>0</v>
      </c>
      <c r="O2606">
        <v>6.9699559999999994E-2</v>
      </c>
      <c r="P2606">
        <v>-0.98494499999999996</v>
      </c>
      <c r="Q2606">
        <v>0.17153019999999999</v>
      </c>
      <c r="R2606">
        <v>2.146737E-2</v>
      </c>
      <c r="S2606">
        <v>-3.0666500000000001</v>
      </c>
      <c r="T2606">
        <v>-0.1119801</v>
      </c>
      <c r="U2606">
        <v>-5.4412839999999997E-2</v>
      </c>
      <c r="V2606">
        <v>-4.7047659999999998E-2</v>
      </c>
      <c r="W2606">
        <v>0.17913899999999999</v>
      </c>
      <c r="X2606">
        <v>0.98269819999999997</v>
      </c>
      <c r="Y2606">
        <v>-8.7283540000000007E-2</v>
      </c>
      <c r="Z2606">
        <v>-4.1359229999999997E-3</v>
      </c>
      <c r="AA2606">
        <v>0.99617489999999997</v>
      </c>
      <c r="AB2606">
        <v>30</v>
      </c>
      <c r="AC2606">
        <v>-30.190200000000001</v>
      </c>
      <c r="AD2606">
        <v>-1.109177366088</v>
      </c>
      <c r="AE2606">
        <v>-0.55199999999996396</v>
      </c>
      <c r="AF2606">
        <v>-2.6513856749432998</v>
      </c>
      <c r="AG2606">
        <v>-1.109177366088</v>
      </c>
      <c r="AH2606">
        <v>30.0377671682499</v>
      </c>
      <c r="AI2606">
        <v>92.106565311888403</v>
      </c>
      <c r="AJ2606">
        <v>95.044333289364602</v>
      </c>
      <c r="AK2606">
        <v>30.174949492596099</v>
      </c>
      <c r="AL2606">
        <v>79.680387066980302</v>
      </c>
      <c r="AM2606">
        <v>92.740999849705901</v>
      </c>
      <c r="AN2606">
        <v>1.0000000079578499</v>
      </c>
    </row>
    <row r="2607" spans="1:40" x14ac:dyDescent="0.25">
      <c r="A2607" t="str">
        <f>"20190312172132837"</f>
        <v>20190312172132837</v>
      </c>
      <c r="B2607" t="str">
        <f>"1552382492833306"</f>
        <v>1552382492833306</v>
      </c>
      <c r="C2607" t="s">
        <v>40</v>
      </c>
      <c r="D2607">
        <v>3.0969820000000001</v>
      </c>
      <c r="E2607">
        <v>0.49669839999999998</v>
      </c>
      <c r="F2607" t="s">
        <v>47</v>
      </c>
      <c r="G2607">
        <v>-317.1078</v>
      </c>
      <c r="H2607" s="1">
        <v>5.5256939999999997E-6</v>
      </c>
      <c r="I2607">
        <v>282.82420000000002</v>
      </c>
      <c r="J2607">
        <v>-287.38029999999998</v>
      </c>
      <c r="K2607">
        <v>1.109262</v>
      </c>
      <c r="L2607">
        <v>283.28710000000001</v>
      </c>
      <c r="M2607">
        <v>-0.99752039999999997</v>
      </c>
      <c r="N2607">
        <v>0</v>
      </c>
      <c r="O2607">
        <v>6.9958060000000002E-2</v>
      </c>
      <c r="P2607">
        <v>-0.98494150000000003</v>
      </c>
      <c r="Q2607">
        <v>0.17153460000000001</v>
      </c>
      <c r="R2607">
        <v>2.1594680000000002E-2</v>
      </c>
      <c r="S2607">
        <v>-3.0666500000000001</v>
      </c>
      <c r="T2607">
        <v>-0.11350639999999899</v>
      </c>
      <c r="U2607">
        <v>-4.5623780000000003E-2</v>
      </c>
      <c r="V2607">
        <v>-4.7208819999999999E-2</v>
      </c>
      <c r="W2607">
        <v>0.17914179999999999</v>
      </c>
      <c r="X2607">
        <v>0.98268999999999995</v>
      </c>
      <c r="Y2607">
        <v>-8.4685860000000002E-2</v>
      </c>
      <c r="Z2607">
        <v>-4.1537859999999996E-3</v>
      </c>
      <c r="AA2607">
        <v>0.99639900000000003</v>
      </c>
      <c r="AB2607">
        <v>30</v>
      </c>
      <c r="AC2607">
        <v>-29.727499999999999</v>
      </c>
      <c r="AD2607">
        <v>-1.1092564743060001</v>
      </c>
      <c r="AE2607">
        <v>-0.46289999999998999</v>
      </c>
      <c r="AF2607">
        <v>-2.5379724183627599</v>
      </c>
      <c r="AG2607">
        <v>-1.1092564743060001</v>
      </c>
      <c r="AH2607">
        <v>29.5810996699221</v>
      </c>
      <c r="AI2607">
        <v>92.139664788032505</v>
      </c>
      <c r="AJ2607">
        <v>94.903802438522305</v>
      </c>
      <c r="AK2607">
        <v>29.710489925345001</v>
      </c>
      <c r="AL2607">
        <v>79.680224404597197</v>
      </c>
      <c r="AM2607">
        <v>92.750397564829797</v>
      </c>
      <c r="AN2607">
        <v>1.00000004664651</v>
      </c>
    </row>
    <row r="2608" spans="1:40" x14ac:dyDescent="0.25">
      <c r="A2608" t="str">
        <f>"20190312172132854"</f>
        <v>20190312172132854</v>
      </c>
      <c r="B2608" t="str">
        <f>"1552382492843065"</f>
        <v>1552382492843065</v>
      </c>
      <c r="C2608" t="s">
        <v>40</v>
      </c>
      <c r="D2608">
        <v>3.0683159999999998</v>
      </c>
      <c r="E2608">
        <v>0.49673509999999998</v>
      </c>
      <c r="F2608" t="s">
        <v>47</v>
      </c>
      <c r="G2608">
        <v>-319.24639999999999</v>
      </c>
      <c r="H2608" s="1">
        <v>6.3906549999999999E-6</v>
      </c>
      <c r="I2608">
        <v>283.77820000000003</v>
      </c>
      <c r="J2608">
        <v>-287.59640000000002</v>
      </c>
      <c r="K2608">
        <v>1.1093309999999901</v>
      </c>
      <c r="L2608">
        <v>283.30239999999998</v>
      </c>
      <c r="M2608">
        <v>-0.99750859999999997</v>
      </c>
      <c r="N2608">
        <v>0</v>
      </c>
      <c r="O2608">
        <v>7.0123740000000004E-2</v>
      </c>
      <c r="P2608">
        <v>-0.98492080000000004</v>
      </c>
      <c r="Q2608">
        <v>0.17167189999999999</v>
      </c>
      <c r="R2608">
        <v>2.144134E-2</v>
      </c>
      <c r="S2608">
        <v>-3.0634160000000001</v>
      </c>
      <c r="T2608">
        <v>-0.1066372</v>
      </c>
      <c r="U2608">
        <v>4.721069E-2</v>
      </c>
      <c r="V2608">
        <v>-4.755438E-2</v>
      </c>
      <c r="W2608">
        <v>0.17927689999999999</v>
      </c>
      <c r="X2608">
        <v>0.98264870000000004</v>
      </c>
      <c r="Y2608">
        <v>-5.467064E-2</v>
      </c>
      <c r="Z2608">
        <v>-3.3895520000000001E-3</v>
      </c>
      <c r="AA2608">
        <v>0.99849869999999996</v>
      </c>
      <c r="AB2608">
        <v>30</v>
      </c>
      <c r="AC2608">
        <v>-31.649999999999899</v>
      </c>
      <c r="AD2608">
        <v>-1.10932460934499</v>
      </c>
      <c r="AE2608">
        <v>0.47580000000004902</v>
      </c>
      <c r="AF2608">
        <v>-1.74271306150162</v>
      </c>
      <c r="AG2608">
        <v>-1.10932460934499</v>
      </c>
      <c r="AH2608">
        <v>31.566678024995401</v>
      </c>
      <c r="AI2608">
        <v>92.009617619632095</v>
      </c>
      <c r="AJ2608">
        <v>93.159941174142801</v>
      </c>
      <c r="AK2608">
        <v>31.634203189543999</v>
      </c>
      <c r="AL2608">
        <v>79.672356370529698</v>
      </c>
      <c r="AM2608">
        <v>92.770614983491299</v>
      </c>
      <c r="AN2608">
        <v>1.00000004677124</v>
      </c>
    </row>
    <row r="2609" spans="1:40" x14ac:dyDescent="0.25">
      <c r="A2609" t="str">
        <f>"20190312172132868"</f>
        <v>20190312172132868</v>
      </c>
      <c r="B2609" t="str">
        <f>"1552382492863562"</f>
        <v>1552382492863562</v>
      </c>
      <c r="C2609" t="s">
        <v>40</v>
      </c>
      <c r="D2609">
        <v>3.089906</v>
      </c>
      <c r="E2609">
        <v>0.49645210000000001</v>
      </c>
      <c r="F2609" t="s">
        <v>47</v>
      </c>
      <c r="G2609">
        <v>-318.4196</v>
      </c>
      <c r="H2609" s="1">
        <v>6.0245020000000001E-6</v>
      </c>
      <c r="I2609">
        <v>283.7724</v>
      </c>
      <c r="J2609">
        <v>-287.78919999999999</v>
      </c>
      <c r="K2609">
        <v>1.1093959999999901</v>
      </c>
      <c r="L2609">
        <v>283.31610000000001</v>
      </c>
      <c r="M2609">
        <v>-0.99750159999999999</v>
      </c>
      <c r="N2609">
        <v>0</v>
      </c>
      <c r="O2609">
        <v>7.0221710000000007E-2</v>
      </c>
      <c r="P2609">
        <v>-0.98488010000000004</v>
      </c>
      <c r="Q2609">
        <v>0.1718605</v>
      </c>
      <c r="R2609">
        <v>2.1799140000000002E-2</v>
      </c>
      <c r="S2609">
        <v>-3.0641780000000001</v>
      </c>
      <c r="T2609">
        <v>-0.1102798</v>
      </c>
      <c r="U2609">
        <v>4.6722409999999999E-2</v>
      </c>
      <c r="V2609">
        <v>-4.7317989999999997E-2</v>
      </c>
      <c r="W2609">
        <v>0.17946409999999999</v>
      </c>
      <c r="X2609">
        <v>0.98262590000000005</v>
      </c>
      <c r="Y2609">
        <v>-5.4926179999999998E-2</v>
      </c>
      <c r="Z2609">
        <v>-3.5125099999999999E-3</v>
      </c>
      <c r="AA2609">
        <v>0.99848429999999999</v>
      </c>
      <c r="AB2609">
        <v>30</v>
      </c>
      <c r="AC2609">
        <v>-30.630400000000002</v>
      </c>
      <c r="AD2609">
        <v>-1.1093899754979999</v>
      </c>
      <c r="AE2609">
        <v>0.45629999999999798</v>
      </c>
      <c r="AF2609">
        <v>-1.6935883777169201</v>
      </c>
      <c r="AG2609">
        <v>-1.1093899754979999</v>
      </c>
      <c r="AH2609">
        <v>30.5467627404479</v>
      </c>
      <c r="AI2609">
        <v>92.076753596380698</v>
      </c>
      <c r="AJ2609">
        <v>93.173371440383207</v>
      </c>
      <c r="AK2609">
        <v>30.613782870336198</v>
      </c>
      <c r="AL2609">
        <v>79.661453366485304</v>
      </c>
      <c r="AM2609">
        <v>92.756927590505796</v>
      </c>
      <c r="AN2609">
        <v>1.0000000073586299</v>
      </c>
    </row>
    <row r="2610" spans="1:40" x14ac:dyDescent="0.25">
      <c r="A2610" t="str">
        <f>"20190312172132884"</f>
        <v>20190312172132884</v>
      </c>
      <c r="B2610" t="str">
        <f>"1552382492873322"</f>
        <v>1552382492873322</v>
      </c>
      <c r="C2610" t="s">
        <v>40</v>
      </c>
      <c r="D2610">
        <v>3.0781740000000002</v>
      </c>
      <c r="E2610">
        <v>0.49647790000000003</v>
      </c>
      <c r="F2610" t="s">
        <v>47</v>
      </c>
      <c r="G2610">
        <v>-318.15620000000001</v>
      </c>
      <c r="H2610" s="1">
        <v>5.9082189999999999E-6</v>
      </c>
      <c r="I2610">
        <v>283.76639999999998</v>
      </c>
      <c r="J2610">
        <v>-288.00400000000002</v>
      </c>
      <c r="K2610">
        <v>1.1094660000000001</v>
      </c>
      <c r="L2610">
        <v>283.3313</v>
      </c>
      <c r="M2610">
        <v>-0.99749790000000005</v>
      </c>
      <c r="N2610">
        <v>0</v>
      </c>
      <c r="O2610">
        <v>7.0276039999999998E-2</v>
      </c>
      <c r="P2610">
        <v>-0.98478129999999997</v>
      </c>
      <c r="Q2610">
        <v>0.1724656</v>
      </c>
      <c r="R2610">
        <v>2.14863E-2</v>
      </c>
      <c r="S2610">
        <v>-3.0645449999999999</v>
      </c>
      <c r="T2610">
        <v>-0.1119565</v>
      </c>
      <c r="U2610">
        <v>4.5440670000000002E-2</v>
      </c>
      <c r="V2610">
        <v>-4.7706239999999997E-2</v>
      </c>
      <c r="W2610">
        <v>0.1800659</v>
      </c>
      <c r="X2610">
        <v>0.98249699999999995</v>
      </c>
      <c r="Y2610">
        <v>-5.5397080000000001E-2</v>
      </c>
      <c r="Z2610">
        <v>-3.5760520000000001E-3</v>
      </c>
      <c r="AA2610">
        <v>0.99845799999999996</v>
      </c>
      <c r="AB2610">
        <v>30</v>
      </c>
      <c r="AC2610">
        <v>-30.152200000000001</v>
      </c>
      <c r="AD2610">
        <v>-1.109460091781</v>
      </c>
      <c r="AE2610">
        <v>0.43509999999997701</v>
      </c>
      <c r="AF2610">
        <v>-1.6827379908917199</v>
      </c>
      <c r="AG2610">
        <v>-1.109460091781</v>
      </c>
      <c r="AH2610">
        <v>30.067524936479099</v>
      </c>
      <c r="AI2610">
        <v>92.109896730892402</v>
      </c>
      <c r="AJ2610">
        <v>93.203233860410904</v>
      </c>
      <c r="AK2610">
        <v>30.135005635424001</v>
      </c>
      <c r="AL2610">
        <v>79.626401519396595</v>
      </c>
      <c r="AM2610">
        <v>92.779877284880797</v>
      </c>
      <c r="AN2610">
        <v>0.99999998434337301</v>
      </c>
    </row>
    <row r="2611" spans="1:40" x14ac:dyDescent="0.25">
      <c r="A2611" t="str">
        <f>"20190312172132896"</f>
        <v>20190312172132896</v>
      </c>
      <c r="B2611" t="str">
        <f>"1552382492893818"</f>
        <v>1552382492893818</v>
      </c>
      <c r="C2611" t="s">
        <v>40</v>
      </c>
      <c r="D2611">
        <v>3.0796760000000001</v>
      </c>
      <c r="E2611">
        <v>0.49650759999999999</v>
      </c>
      <c r="F2611" t="s">
        <v>47</v>
      </c>
      <c r="G2611">
        <v>-319.13569999999999</v>
      </c>
      <c r="H2611" s="1">
        <v>6.3409809999999996E-6</v>
      </c>
      <c r="I2611">
        <v>283.78480000000002</v>
      </c>
      <c r="J2611">
        <v>-288.18490000000003</v>
      </c>
      <c r="K2611">
        <v>1.109529</v>
      </c>
      <c r="L2611">
        <v>283.34410000000003</v>
      </c>
      <c r="M2611">
        <v>-0.99749849999999995</v>
      </c>
      <c r="N2611">
        <v>0</v>
      </c>
      <c r="O2611">
        <v>7.0267389999999999E-2</v>
      </c>
      <c r="P2611">
        <v>-0.98473200000000005</v>
      </c>
      <c r="Q2611">
        <v>0.17276900000000001</v>
      </c>
      <c r="R2611">
        <v>2.1310559999999999E-2</v>
      </c>
      <c r="S2611">
        <v>-3.064514</v>
      </c>
      <c r="T2611">
        <v>-0.1092119</v>
      </c>
      <c r="U2611">
        <v>4.4647220000000001E-2</v>
      </c>
      <c r="V2611">
        <v>-4.7894220000000001E-2</v>
      </c>
      <c r="W2611">
        <v>0.18036749999999999</v>
      </c>
      <c r="X2611">
        <v>0.98243250000000004</v>
      </c>
      <c r="Y2611">
        <v>-5.5650640000000001E-2</v>
      </c>
      <c r="Z2611">
        <v>-3.4926990000000002E-3</v>
      </c>
      <c r="AA2611">
        <v>0.9984442</v>
      </c>
      <c r="AB2611">
        <v>31</v>
      </c>
      <c r="AC2611">
        <v>-30.950799999999902</v>
      </c>
      <c r="AD2611">
        <v>-1.1095226590189999</v>
      </c>
      <c r="AE2611">
        <v>0.44069999999999199</v>
      </c>
      <c r="AF2611">
        <v>-1.7330590821882501</v>
      </c>
      <c r="AG2611">
        <v>-1.1095226590189999</v>
      </c>
      <c r="AH2611">
        <v>30.865602199663901</v>
      </c>
      <c r="AI2611">
        <v>92.055484322980007</v>
      </c>
      <c r="AJ2611">
        <v>93.213701047338105</v>
      </c>
      <c r="AK2611">
        <v>30.934122477631799</v>
      </c>
      <c r="AL2611">
        <v>79.608833152465905</v>
      </c>
      <c r="AM2611">
        <v>92.790996669305201</v>
      </c>
      <c r="AN2611">
        <v>0.999999954210953</v>
      </c>
    </row>
    <row r="2612" spans="1:40" x14ac:dyDescent="0.25">
      <c r="A2612" t="str">
        <f>"20190312172132908"</f>
        <v>20190312172132908</v>
      </c>
      <c r="B2612" t="str">
        <f>"1552382492903578"</f>
        <v>1552382492903578</v>
      </c>
      <c r="C2612" t="s">
        <v>40</v>
      </c>
      <c r="D2612">
        <v>3.0737519999999998</v>
      </c>
      <c r="E2612">
        <v>0.4966238</v>
      </c>
      <c r="F2612" t="s">
        <v>47</v>
      </c>
      <c r="G2612">
        <v>-319.59359999999998</v>
      </c>
      <c r="H2612" s="1">
        <v>6.5426829999999901E-6</v>
      </c>
      <c r="I2612">
        <v>283.80040000000002</v>
      </c>
      <c r="J2612">
        <v>-288.34519999999998</v>
      </c>
      <c r="K2612">
        <v>1.10958</v>
      </c>
      <c r="L2612">
        <v>283.3553</v>
      </c>
      <c r="M2612">
        <v>-0.997502</v>
      </c>
      <c r="N2612">
        <v>0</v>
      </c>
      <c r="O2612">
        <v>7.0215719999999995E-2</v>
      </c>
      <c r="P2612">
        <v>-0.98472409999999999</v>
      </c>
      <c r="Q2612">
        <v>0.1728575</v>
      </c>
      <c r="R2612">
        <v>2.095035E-2</v>
      </c>
      <c r="S2612">
        <v>-3.064575</v>
      </c>
      <c r="T2612">
        <v>-0.10825709999999999</v>
      </c>
      <c r="U2612">
        <v>4.4525149999999999E-2</v>
      </c>
      <c r="V2612">
        <v>-4.8224160000000002E-2</v>
      </c>
      <c r="W2612">
        <v>0.1804547</v>
      </c>
      <c r="X2612">
        <v>0.98240039999999995</v>
      </c>
      <c r="Y2612">
        <v>-5.5640389999999998E-2</v>
      </c>
      <c r="Z2612">
        <v>-3.4601110000000001E-3</v>
      </c>
      <c r="AA2612">
        <v>0.99844489999999997</v>
      </c>
      <c r="AB2612">
        <v>31</v>
      </c>
      <c r="AC2612">
        <v>-31.2484</v>
      </c>
      <c r="AD2612">
        <v>-1.109573457317</v>
      </c>
      <c r="AE2612">
        <v>0.44510000000002398</v>
      </c>
      <c r="AF2612">
        <v>-1.747989374286</v>
      </c>
      <c r="AG2612">
        <v>-1.109573457317</v>
      </c>
      <c r="AH2612">
        <v>31.163239421958199</v>
      </c>
      <c r="AI2612">
        <v>92.035968819451398</v>
      </c>
      <c r="AJ2612">
        <v>93.210435719476493</v>
      </c>
      <c r="AK2612">
        <v>31.2319405637896</v>
      </c>
      <c r="AL2612">
        <v>79.603754167947102</v>
      </c>
      <c r="AM2612">
        <v>92.8102846149621</v>
      </c>
      <c r="AN2612">
        <v>1.0000000071399699</v>
      </c>
    </row>
    <row r="2613" spans="1:40" x14ac:dyDescent="0.25">
      <c r="A2613" t="str">
        <f>"20190312172132921"</f>
        <v>20190312172132921</v>
      </c>
      <c r="B2613" t="str">
        <f>"1552382492913338"</f>
        <v>1552382492913338</v>
      </c>
      <c r="C2613" t="s">
        <v>40</v>
      </c>
      <c r="D2613">
        <v>3.0894970000000002</v>
      </c>
      <c r="E2613">
        <v>0.496722</v>
      </c>
      <c r="F2613" t="s">
        <v>47</v>
      </c>
      <c r="G2613">
        <v>-319.51179999999999</v>
      </c>
      <c r="H2613" s="1">
        <v>6.5059169999999997E-6</v>
      </c>
      <c r="I2613">
        <v>283.80599999999998</v>
      </c>
      <c r="J2613">
        <v>-288.51519999999999</v>
      </c>
      <c r="K2613">
        <v>1.109634</v>
      </c>
      <c r="L2613">
        <v>283.3673</v>
      </c>
      <c r="M2613">
        <v>-0.99750749999999999</v>
      </c>
      <c r="N2613">
        <v>0</v>
      </c>
      <c r="O2613">
        <v>7.0137779999999997E-2</v>
      </c>
      <c r="P2613">
        <v>-0.98474680000000003</v>
      </c>
      <c r="Q2613">
        <v>0.17278370000000001</v>
      </c>
      <c r="R2613">
        <v>2.0495429999999999E-2</v>
      </c>
      <c r="S2613">
        <v>-3.0647579999999999</v>
      </c>
      <c r="T2613">
        <v>-0.1091095</v>
      </c>
      <c r="U2613">
        <v>4.431152E-2</v>
      </c>
      <c r="V2613">
        <v>-4.8625839999999997E-2</v>
      </c>
      <c r="W2613">
        <v>0.18037919999999999</v>
      </c>
      <c r="X2613">
        <v>0.98239449999999995</v>
      </c>
      <c r="Y2613">
        <v>-5.5631670000000001E-2</v>
      </c>
      <c r="Z2613">
        <v>-3.4842139999999998E-3</v>
      </c>
      <c r="AA2613">
        <v>0.99844529999999998</v>
      </c>
      <c r="AB2613">
        <v>31</v>
      </c>
      <c r="AC2613">
        <v>-30.996600000000001</v>
      </c>
      <c r="AD2613">
        <v>-1.109627494083</v>
      </c>
      <c r="AE2613">
        <v>0.43869999999998199</v>
      </c>
      <c r="AF2613">
        <v>-1.7342557712536899</v>
      </c>
      <c r="AG2613">
        <v>-1.109627494083</v>
      </c>
      <c r="AH2613">
        <v>30.911425145273</v>
      </c>
      <c r="AI2613">
        <v>92.052638761863705</v>
      </c>
      <c r="AJ2613">
        <v>93.211158200223295</v>
      </c>
      <c r="AK2613">
        <v>30.979914796002401</v>
      </c>
      <c r="AL2613">
        <v>79.608152523904806</v>
      </c>
      <c r="AM2613">
        <v>92.833671693823604</v>
      </c>
      <c r="AN2613">
        <v>1.00000004086929</v>
      </c>
    </row>
    <row r="2614" spans="1:40" x14ac:dyDescent="0.25">
      <c r="A2614" t="str">
        <f>"20190312172132938"</f>
        <v>20190312172132938</v>
      </c>
      <c r="B2614" t="str">
        <f>"1552382492933834"</f>
        <v>1552382492933834</v>
      </c>
      <c r="C2614" t="s">
        <v>40</v>
      </c>
      <c r="D2614">
        <v>3.093413</v>
      </c>
      <c r="E2614">
        <v>0.4967512</v>
      </c>
      <c r="F2614" t="s">
        <v>47</v>
      </c>
      <c r="G2614">
        <v>-319.37900000000002</v>
      </c>
      <c r="H2614" s="1">
        <v>6.4465909999999998E-6</v>
      </c>
      <c r="I2614">
        <v>283.81110000000001</v>
      </c>
      <c r="J2614">
        <v>-288.75630000000001</v>
      </c>
      <c r="K2614">
        <v>1.1097140000000001</v>
      </c>
      <c r="L2614">
        <v>283.38409999999999</v>
      </c>
      <c r="M2614">
        <v>-0.99752209999999997</v>
      </c>
      <c r="N2614">
        <v>0</v>
      </c>
      <c r="O2614">
        <v>6.9928699999999996E-2</v>
      </c>
      <c r="P2614">
        <v>-0.98480109999999998</v>
      </c>
      <c r="Q2614">
        <v>0.1726424</v>
      </c>
      <c r="R2614">
        <v>1.9015919999999999E-2</v>
      </c>
      <c r="S2614">
        <v>-3.0648499999999999</v>
      </c>
      <c r="T2614">
        <v>-0.1101886</v>
      </c>
      <c r="U2614">
        <v>4.4067380000000003E-2</v>
      </c>
      <c r="V2614">
        <v>-4.9936439999999999E-2</v>
      </c>
      <c r="W2614">
        <v>0.1802348</v>
      </c>
      <c r="X2614">
        <v>0.98235519999999998</v>
      </c>
      <c r="Y2614">
        <v>-5.550099E-2</v>
      </c>
      <c r="Z2614">
        <v>-3.5087019999999998E-3</v>
      </c>
      <c r="AA2614">
        <v>0.99845249999999997</v>
      </c>
      <c r="AB2614">
        <v>31</v>
      </c>
      <c r="AC2614">
        <v>-30.622699999999998</v>
      </c>
      <c r="AD2614">
        <v>-1.109707553409</v>
      </c>
      <c r="AE2614">
        <v>0.42700000000001997</v>
      </c>
      <c r="AF2614">
        <v>-1.7132654006869099</v>
      </c>
      <c r="AG2614">
        <v>-1.109707553409</v>
      </c>
      <c r="AH2614">
        <v>30.5374973801664</v>
      </c>
      <c r="AI2614">
        <v>92.0779009872019</v>
      </c>
      <c r="AJ2614">
        <v>93.211136666773101</v>
      </c>
      <c r="AK2614">
        <v>30.605644502786699</v>
      </c>
      <c r="AL2614">
        <v>79.616563307419696</v>
      </c>
      <c r="AM2614">
        <v>92.910033597602606</v>
      </c>
      <c r="AN2614">
        <v>0.99999998506897603</v>
      </c>
    </row>
    <row r="2615" spans="1:40" x14ac:dyDescent="0.25">
      <c r="A2615" t="str">
        <f>"20190312172132950"</f>
        <v>20190312172132950</v>
      </c>
      <c r="B2615" t="str">
        <f>"1552382492943594"</f>
        <v>1552382492943594</v>
      </c>
      <c r="C2615" t="s">
        <v>40</v>
      </c>
      <c r="D2615">
        <v>3.0789390000000001</v>
      </c>
      <c r="E2615">
        <v>0.49679479999999998</v>
      </c>
      <c r="F2615" t="s">
        <v>47</v>
      </c>
      <c r="G2615">
        <v>-319.46780000000001</v>
      </c>
      <c r="H2615" s="1">
        <v>6.4879329999999996E-6</v>
      </c>
      <c r="I2615">
        <v>283.78829999999999</v>
      </c>
      <c r="J2615">
        <v>-288.91969999999998</v>
      </c>
      <c r="K2615">
        <v>1.1097729999999999</v>
      </c>
      <c r="L2615">
        <v>283.3954</v>
      </c>
      <c r="M2615">
        <v>-0.99753610000000004</v>
      </c>
      <c r="N2615">
        <v>0</v>
      </c>
      <c r="O2615">
        <v>6.9729079999999999E-2</v>
      </c>
      <c r="P2615">
        <v>-0.98477020000000004</v>
      </c>
      <c r="Q2615">
        <v>0.17288100000000001</v>
      </c>
      <c r="R2615">
        <v>1.8446980000000002E-2</v>
      </c>
      <c r="S2615">
        <v>-3.0649410000000001</v>
      </c>
      <c r="T2615">
        <v>-0.1107465</v>
      </c>
      <c r="U2615">
        <v>4.0344240000000003E-2</v>
      </c>
      <c r="V2615">
        <v>-5.0330979999999997E-2</v>
      </c>
      <c r="W2615">
        <v>0.1804702</v>
      </c>
      <c r="X2615">
        <v>0.9822919</v>
      </c>
      <c r="Y2615">
        <v>-5.651287E-2</v>
      </c>
      <c r="Z2615">
        <v>-3.5374849999999999E-3</v>
      </c>
      <c r="AA2615">
        <v>0.99839560000000005</v>
      </c>
      <c r="AB2615">
        <v>31</v>
      </c>
      <c r="AC2615">
        <v>-30.548100000000002</v>
      </c>
      <c r="AD2615">
        <v>-1.1097665120669999</v>
      </c>
      <c r="AE2615">
        <v>0.39289999999999697</v>
      </c>
      <c r="AF2615">
        <v>-1.73592014280355</v>
      </c>
      <c r="AG2615">
        <v>-1.1097665120669999</v>
      </c>
      <c r="AH2615">
        <v>30.460943331755999</v>
      </c>
      <c r="AI2615">
        <v>92.083125331093001</v>
      </c>
      <c r="AJ2615">
        <v>93.261666381046297</v>
      </c>
      <c r="AK2615">
        <v>30.5305432168173</v>
      </c>
      <c r="AL2615">
        <v>79.602851591305594</v>
      </c>
      <c r="AM2615">
        <v>92.933174004946196</v>
      </c>
      <c r="AN2615">
        <v>1.0000000387207</v>
      </c>
    </row>
    <row r="2616" spans="1:40" x14ac:dyDescent="0.25">
      <c r="A2616" t="str">
        <f>"20190312172132962"</f>
        <v>20190312172132962</v>
      </c>
      <c r="B2616" t="str">
        <f>"1552382492953354"</f>
        <v>1552382492953354</v>
      </c>
      <c r="C2616" t="s">
        <v>40</v>
      </c>
      <c r="D2616">
        <v>3.0862829999999999</v>
      </c>
      <c r="E2616">
        <v>0.49685580000000001</v>
      </c>
      <c r="F2616" t="s">
        <v>47</v>
      </c>
      <c r="G2616">
        <v>-319.8449</v>
      </c>
      <c r="H2616" s="1">
        <v>6.6551269999999997E-6</v>
      </c>
      <c r="I2616">
        <v>283.78919999999999</v>
      </c>
      <c r="J2616">
        <v>-289.07530000000003</v>
      </c>
      <c r="K2616">
        <v>1.109836</v>
      </c>
      <c r="L2616">
        <v>283.40609999999998</v>
      </c>
      <c r="M2616">
        <v>-0.99755050000000001</v>
      </c>
      <c r="N2616">
        <v>0</v>
      </c>
      <c r="O2616">
        <v>6.9520349999999995E-2</v>
      </c>
      <c r="P2616">
        <v>-0.98476430000000004</v>
      </c>
      <c r="Q2616">
        <v>0.1729772</v>
      </c>
      <c r="R2616">
        <v>1.784022E-2</v>
      </c>
      <c r="S2616">
        <v>-3.064972</v>
      </c>
      <c r="T2616">
        <v>-0.10998769999999999</v>
      </c>
      <c r="U2616">
        <v>3.9031980000000001E-2</v>
      </c>
      <c r="V2616">
        <v>-5.0755380000000003E-2</v>
      </c>
      <c r="W2616">
        <v>0.180564</v>
      </c>
      <c r="X2616">
        <v>0.98225280000000004</v>
      </c>
      <c r="Y2616">
        <v>-5.6732610000000003E-2</v>
      </c>
      <c r="Z2616">
        <v>-3.5097180000000002E-3</v>
      </c>
      <c r="AA2616">
        <v>0.99838320000000003</v>
      </c>
      <c r="AB2616">
        <v>31</v>
      </c>
      <c r="AC2616">
        <v>-30.769599999999901</v>
      </c>
      <c r="AD2616">
        <v>-1.1098293448729999</v>
      </c>
      <c r="AE2616">
        <v>0.38310000000001299</v>
      </c>
      <c r="AF2616">
        <v>-1.75472191200136</v>
      </c>
      <c r="AG2616">
        <v>-1.1098293448729999</v>
      </c>
      <c r="AH2616">
        <v>30.681873421888799</v>
      </c>
      <c r="AI2616">
        <v>92.068231689909098</v>
      </c>
      <c r="AJ2616">
        <v>93.273227807523696</v>
      </c>
      <c r="AK2616">
        <v>30.752042645001801</v>
      </c>
      <c r="AL2616">
        <v>79.597387231632794</v>
      </c>
      <c r="AM2616">
        <v>92.957980858636205</v>
      </c>
      <c r="AN2616">
        <v>1.0000000149013899</v>
      </c>
    </row>
    <row r="2617" spans="1:40" x14ac:dyDescent="0.25">
      <c r="A2617" t="str">
        <f>"20190312172132972"</f>
        <v>20190312172132972</v>
      </c>
      <c r="B2617" t="str">
        <f>"1552382492963114"</f>
        <v>1552382492963114</v>
      </c>
      <c r="C2617" t="s">
        <v>40</v>
      </c>
      <c r="D2617">
        <v>3.0885790000000002</v>
      </c>
      <c r="E2617">
        <v>0.49692120000000001</v>
      </c>
      <c r="F2617" t="s">
        <v>46</v>
      </c>
      <c r="G2617">
        <v>-320.08139999999997</v>
      </c>
      <c r="H2617" s="1">
        <v>-1.4572100000000001E-6</v>
      </c>
      <c r="I2617">
        <v>283.7867</v>
      </c>
      <c r="J2617">
        <v>-289.23880000000003</v>
      </c>
      <c r="K2617">
        <v>1.1099030000000001</v>
      </c>
      <c r="L2617">
        <v>283.41719999999998</v>
      </c>
      <c r="M2617">
        <v>-0.99757010000000002</v>
      </c>
      <c r="N2617">
        <v>0</v>
      </c>
      <c r="O2617">
        <v>6.9238170000000002E-2</v>
      </c>
      <c r="P2617">
        <v>-0.98470809999999998</v>
      </c>
      <c r="Q2617">
        <v>0.173347</v>
      </c>
      <c r="R2617">
        <v>1.7349299999999901E-2</v>
      </c>
      <c r="S2617">
        <v>-3.064972</v>
      </c>
      <c r="T2617">
        <v>-0.10970829999999999</v>
      </c>
      <c r="U2617">
        <v>3.7628170000000002E-2</v>
      </c>
      <c r="V2617">
        <v>-5.0992170000000003E-2</v>
      </c>
      <c r="W2617">
        <v>0.1809298</v>
      </c>
      <c r="X2617">
        <v>0.98217319999999997</v>
      </c>
      <c r="Y2617">
        <v>-5.6907869999999999E-2</v>
      </c>
      <c r="Z2617">
        <v>-3.4938859999999999E-3</v>
      </c>
      <c r="AA2617">
        <v>0.99837330000000002</v>
      </c>
      <c r="AB2617">
        <v>31</v>
      </c>
      <c r="AC2617">
        <v>-30.842599999999901</v>
      </c>
      <c r="AD2617">
        <v>-1.1099044572100001</v>
      </c>
      <c r="AE2617">
        <v>0.36950000000001598</v>
      </c>
      <c r="AF2617">
        <v>-1.7646511212812901</v>
      </c>
      <c r="AG2617">
        <v>-1.1099044572100001</v>
      </c>
      <c r="AH2617">
        <v>30.754341361273799</v>
      </c>
      <c r="AI2617">
        <v>92.063479817034604</v>
      </c>
      <c r="AJ2617">
        <v>93.283969550840098</v>
      </c>
      <c r="AK2617">
        <v>30.824915150730401</v>
      </c>
      <c r="AL2617">
        <v>79.576077239583796</v>
      </c>
      <c r="AM2617">
        <v>92.971996515287699</v>
      </c>
      <c r="AN2617">
        <v>0.99999999436379405</v>
      </c>
    </row>
    <row r="2618" spans="1:40" x14ac:dyDescent="0.25">
      <c r="A2618" t="str">
        <f>"20190312172132986"</f>
        <v>20190312172132986</v>
      </c>
      <c r="B2618" t="str">
        <f>"1552382492983610"</f>
        <v>1552382492983610</v>
      </c>
      <c r="C2618" t="s">
        <v>40</v>
      </c>
      <c r="D2618">
        <v>3.0788329999999999</v>
      </c>
      <c r="E2618">
        <v>0.49700620000000001</v>
      </c>
      <c r="F2618" t="s">
        <v>46</v>
      </c>
      <c r="G2618">
        <v>-320.63479999999998</v>
      </c>
      <c r="H2618" s="1">
        <v>-1.1627929999999999E-6</v>
      </c>
      <c r="I2618">
        <v>283.78859999999997</v>
      </c>
      <c r="J2618">
        <v>-289.40789999999998</v>
      </c>
      <c r="K2618">
        <v>1.109974</v>
      </c>
      <c r="L2618">
        <v>283.42869999999999</v>
      </c>
      <c r="M2618">
        <v>-0.9975927</v>
      </c>
      <c r="N2618">
        <v>0</v>
      </c>
      <c r="O2618">
        <v>6.8911159999999999E-2</v>
      </c>
      <c r="P2618">
        <v>-0.98466129999999996</v>
      </c>
      <c r="Q2618">
        <v>0.17367489999999999</v>
      </c>
      <c r="R2618">
        <v>1.671164E-2</v>
      </c>
      <c r="S2618">
        <v>-3.0650629999999999</v>
      </c>
      <c r="T2618">
        <v>-0.1083553</v>
      </c>
      <c r="U2618">
        <v>3.6254880000000003E-2</v>
      </c>
      <c r="V2618">
        <v>-5.1333289999999997E-2</v>
      </c>
      <c r="W2618">
        <v>0.1812539</v>
      </c>
      <c r="X2618">
        <v>0.98209570000000002</v>
      </c>
      <c r="Y2618">
        <v>-5.7030339999999999E-2</v>
      </c>
      <c r="Z2618">
        <v>-3.44137E-3</v>
      </c>
      <c r="AA2618">
        <v>0.99836650000000005</v>
      </c>
      <c r="AB2618">
        <v>31</v>
      </c>
      <c r="AC2618">
        <v>-31.226900000000001</v>
      </c>
      <c r="AD2618">
        <v>-1.1099751627929999</v>
      </c>
      <c r="AE2618">
        <v>0.35989999999998101</v>
      </c>
      <c r="AF2618">
        <v>-1.79063998894745</v>
      </c>
      <c r="AG2618">
        <v>-1.1099751627929999</v>
      </c>
      <c r="AH2618">
        <v>31.138127622729701</v>
      </c>
      <c r="AI2618">
        <v>92.038183291698999</v>
      </c>
      <c r="AJ2618">
        <v>93.291246174947403</v>
      </c>
      <c r="AK2618">
        <v>31.209316369979</v>
      </c>
      <c r="AL2618">
        <v>79.557195797009399</v>
      </c>
      <c r="AM2618">
        <v>92.992077810057594</v>
      </c>
      <c r="AN2618">
        <v>1.00000002344296</v>
      </c>
    </row>
    <row r="2619" spans="1:40" x14ac:dyDescent="0.25">
      <c r="A2619" t="str">
        <f>"20190312172132998"</f>
        <v>20190312172132998</v>
      </c>
      <c r="B2619" t="str">
        <f>"1552382492993370"</f>
        <v>1552382492993370</v>
      </c>
      <c r="C2619" t="s">
        <v>40</v>
      </c>
      <c r="D2619">
        <v>3.0974550000000001</v>
      </c>
      <c r="E2619">
        <v>0.49702679999999999</v>
      </c>
      <c r="F2619" t="s">
        <v>46</v>
      </c>
      <c r="G2619">
        <v>-320.98759999999999</v>
      </c>
      <c r="H2619" s="1">
        <v>-9.7493720000000003E-7</v>
      </c>
      <c r="I2619">
        <v>283.78649999999999</v>
      </c>
      <c r="J2619">
        <v>-289.58539999999999</v>
      </c>
      <c r="K2619">
        <v>1.1100479999999999</v>
      </c>
      <c r="L2619">
        <v>283.44060000000002</v>
      </c>
      <c r="M2619">
        <v>-0.99761909999999998</v>
      </c>
      <c r="N2619">
        <v>0</v>
      </c>
      <c r="O2619">
        <v>6.8527900000000003E-2</v>
      </c>
      <c r="P2619">
        <v>-0.98459240000000003</v>
      </c>
      <c r="Q2619">
        <v>0.17411750000000001</v>
      </c>
      <c r="R2619">
        <v>1.615716E-2</v>
      </c>
      <c r="S2619">
        <v>-3.0651549999999999</v>
      </c>
      <c r="T2619">
        <v>-0.1077352</v>
      </c>
      <c r="U2619">
        <v>3.4729000000000003E-2</v>
      </c>
      <c r="V2619">
        <v>-5.1536499999999999E-2</v>
      </c>
      <c r="W2619">
        <v>0.18169189999999999</v>
      </c>
      <c r="X2619">
        <v>0.98200410000000005</v>
      </c>
      <c r="Y2619">
        <v>-5.7145130000000002E-2</v>
      </c>
      <c r="Z2619">
        <v>-3.4101800000000001E-3</v>
      </c>
      <c r="AA2619">
        <v>0.99836000000000003</v>
      </c>
      <c r="AB2619">
        <v>31</v>
      </c>
      <c r="AC2619">
        <v>-31.402200000000001</v>
      </c>
      <c r="AD2619">
        <v>-1.1100489749372</v>
      </c>
      <c r="AE2619">
        <v>0.34589999999997101</v>
      </c>
      <c r="AF2619">
        <v>-1.80464985414089</v>
      </c>
      <c r="AG2619">
        <v>-1.1100489749372</v>
      </c>
      <c r="AH2619">
        <v>31.312956489105101</v>
      </c>
      <c r="AI2619">
        <v>92.026933057022006</v>
      </c>
      <c r="AJ2619">
        <v>93.298461042445496</v>
      </c>
      <c r="AK2619">
        <v>31.384553747208098</v>
      </c>
      <c r="AL2619">
        <v>79.531676326113697</v>
      </c>
      <c r="AM2619">
        <v>93.004180404472706</v>
      </c>
      <c r="AN2619">
        <v>1.0000000048873301</v>
      </c>
    </row>
    <row r="2620" spans="1:40" x14ac:dyDescent="0.25">
      <c r="A2620" t="str">
        <f>"20190312172133015"</f>
        <v>20190312172133015</v>
      </c>
      <c r="B2620" t="str">
        <f>"1552382493013866"</f>
        <v>1552382493013866</v>
      </c>
      <c r="C2620" t="s">
        <v>40</v>
      </c>
      <c r="D2620">
        <v>3.0437379999999998</v>
      </c>
      <c r="E2620">
        <v>0.49712149999999999</v>
      </c>
      <c r="F2620" t="s">
        <v>46</v>
      </c>
      <c r="G2620">
        <v>-321.41239999999999</v>
      </c>
      <c r="H2620" s="1">
        <v>-7.4876539999999999E-7</v>
      </c>
      <c r="I2620">
        <v>283.78250000000003</v>
      </c>
      <c r="J2620">
        <v>-289.82159999999999</v>
      </c>
      <c r="K2620">
        <v>1.11015</v>
      </c>
      <c r="L2620">
        <v>283.4563</v>
      </c>
      <c r="M2620">
        <v>-0.99766080000000001</v>
      </c>
      <c r="N2620">
        <v>0</v>
      </c>
      <c r="O2620">
        <v>6.791788E-2</v>
      </c>
      <c r="P2620">
        <v>-0.98463719999999999</v>
      </c>
      <c r="Q2620">
        <v>0.1739946</v>
      </c>
      <c r="R2620">
        <v>1.469412E-2</v>
      </c>
      <c r="S2620">
        <v>-3.0653079999999999</v>
      </c>
      <c r="T2620">
        <v>-0.10691059999999999</v>
      </c>
      <c r="U2620">
        <v>3.2928470000000001E-2</v>
      </c>
      <c r="V2620">
        <v>-5.2441479999999999E-2</v>
      </c>
      <c r="W2620">
        <v>0.1815629</v>
      </c>
      <c r="X2620">
        <v>0.98197999999999996</v>
      </c>
      <c r="Y2620">
        <v>-5.7123180000000003E-2</v>
      </c>
      <c r="Z2620">
        <v>-3.3623400000000001E-3</v>
      </c>
      <c r="AA2620">
        <v>0.99836150000000001</v>
      </c>
      <c r="AB2620">
        <v>31</v>
      </c>
      <c r="AC2620">
        <v>-31.590800000000002</v>
      </c>
      <c r="AD2620">
        <v>-1.1101507487654001</v>
      </c>
      <c r="AE2620">
        <v>0.32620000000002802</v>
      </c>
      <c r="AF2620">
        <v>-1.8179530918192399</v>
      </c>
      <c r="AG2620">
        <v>-1.1101507487654001</v>
      </c>
      <c r="AH2620">
        <v>31.501107697815399</v>
      </c>
      <c r="AI2620">
        <v>92.015012050057706</v>
      </c>
      <c r="AJ2620">
        <v>93.302919814643204</v>
      </c>
      <c r="AK2620">
        <v>31.573045059328699</v>
      </c>
      <c r="AL2620">
        <v>79.5391919982671</v>
      </c>
      <c r="AM2620">
        <v>93.056909449181603</v>
      </c>
      <c r="AN2620">
        <v>0.99999995794049901</v>
      </c>
    </row>
    <row r="2621" spans="1:40" x14ac:dyDescent="0.25">
      <c r="A2621" t="str">
        <f>"20190312172133028"</f>
        <v>20190312172133028</v>
      </c>
      <c r="B2621" t="str">
        <f>"1552382493023625"</f>
        <v>1552382493023625</v>
      </c>
      <c r="C2621" t="s">
        <v>40</v>
      </c>
      <c r="D2621">
        <v>3.080686</v>
      </c>
      <c r="E2621">
        <v>0.49712149999999999</v>
      </c>
      <c r="F2621" t="s">
        <v>46</v>
      </c>
      <c r="G2621">
        <v>-320.78190000000001</v>
      </c>
      <c r="H2621" s="1">
        <v>-1.083137E-6</v>
      </c>
      <c r="I2621">
        <v>283.75650000000002</v>
      </c>
      <c r="J2621">
        <v>-289.9991</v>
      </c>
      <c r="K2621">
        <v>1.1102240000000001</v>
      </c>
      <c r="L2621">
        <v>283.46800000000002</v>
      </c>
      <c r="M2621">
        <v>-0.99769620000000003</v>
      </c>
      <c r="N2621">
        <v>0</v>
      </c>
      <c r="O2621">
        <v>6.7394289999999996E-2</v>
      </c>
      <c r="P2621">
        <v>-0.98465009999999997</v>
      </c>
      <c r="Q2621">
        <v>0.17401920000000001</v>
      </c>
      <c r="R2621">
        <v>1.3480600000000001E-2</v>
      </c>
      <c r="S2621">
        <v>-3.0657960000000002</v>
      </c>
      <c r="T2621">
        <v>-0.1099311</v>
      </c>
      <c r="U2621">
        <v>2.972412E-2</v>
      </c>
      <c r="V2621">
        <v>-5.3171740000000002E-2</v>
      </c>
      <c r="W2621">
        <v>0.18158260000000001</v>
      </c>
      <c r="X2621">
        <v>0.98193710000000001</v>
      </c>
      <c r="Y2621">
        <v>-5.7639969999999999E-2</v>
      </c>
      <c r="Z2621">
        <v>-3.4472940000000001E-3</v>
      </c>
      <c r="AA2621">
        <v>0.99833150000000004</v>
      </c>
      <c r="AB2621">
        <v>31</v>
      </c>
      <c r="AC2621">
        <v>-30.782800000000002</v>
      </c>
      <c r="AD2621">
        <v>-1.110225083137</v>
      </c>
      <c r="AE2621">
        <v>0.28849999999999898</v>
      </c>
      <c r="AF2621">
        <v>-1.7844824456210999</v>
      </c>
      <c r="AG2621">
        <v>-1.110225083137</v>
      </c>
      <c r="AH2621">
        <v>30.692331816205598</v>
      </c>
      <c r="AI2621">
        <v>92.068151296603503</v>
      </c>
      <c r="AJ2621">
        <v>93.327487125279504</v>
      </c>
      <c r="AK2621">
        <v>30.764203380715401</v>
      </c>
      <c r="AL2621">
        <v>79.538044334969101</v>
      </c>
      <c r="AM2621">
        <v>93.099530355332803</v>
      </c>
      <c r="AN2621">
        <v>0.99999997145689801</v>
      </c>
    </row>
    <row r="2622" spans="1:40" x14ac:dyDescent="0.25">
      <c r="A2622" t="str">
        <f>"20190312172133040"</f>
        <v>20190312172133040</v>
      </c>
      <c r="B2622" t="str">
        <f>"1552382493033386"</f>
        <v>1552382493033386</v>
      </c>
      <c r="C2622" t="s">
        <v>40</v>
      </c>
      <c r="D2622">
        <v>3.0834299999999999</v>
      </c>
      <c r="E2622">
        <v>0.49745299999999998</v>
      </c>
      <c r="F2622" t="s">
        <v>46</v>
      </c>
      <c r="G2622">
        <v>-320.97789999999998</v>
      </c>
      <c r="H2622" s="1">
        <v>-9.7790610000000009E-7</v>
      </c>
      <c r="I2622">
        <v>283.7353</v>
      </c>
      <c r="J2622">
        <v>-290.16399999999999</v>
      </c>
      <c r="K2622">
        <v>1.110295</v>
      </c>
      <c r="L2622">
        <v>283.4787</v>
      </c>
      <c r="M2622">
        <v>-0.99773100000000003</v>
      </c>
      <c r="N2622">
        <v>0</v>
      </c>
      <c r="O2622">
        <v>6.6877629999999993E-2</v>
      </c>
      <c r="P2622">
        <v>-0.98471489999999995</v>
      </c>
      <c r="Q2622">
        <v>0.17373250000000001</v>
      </c>
      <c r="R2622">
        <v>1.241422E-2</v>
      </c>
      <c r="S2622">
        <v>-3.0658259999999999</v>
      </c>
      <c r="T2622">
        <v>-0.1098737</v>
      </c>
      <c r="U2622">
        <v>2.6458740000000001E-2</v>
      </c>
      <c r="V2622">
        <v>-5.3762280000000003E-2</v>
      </c>
      <c r="W2622">
        <v>0.18129139999999999</v>
      </c>
      <c r="X2622">
        <v>0.98195880000000002</v>
      </c>
      <c r="Y2622">
        <v>-5.8186349999999998E-2</v>
      </c>
      <c r="Z2622">
        <v>-3.436808E-3</v>
      </c>
      <c r="AA2622">
        <v>0.99829979999999996</v>
      </c>
      <c r="AB2622">
        <v>31</v>
      </c>
      <c r="AC2622">
        <v>-30.813899999999901</v>
      </c>
      <c r="AD2622">
        <v>-1.1102959779060999</v>
      </c>
      <c r="AE2622">
        <v>0.256599999999991</v>
      </c>
      <c r="AF2622">
        <v>-1.80245716746146</v>
      </c>
      <c r="AG2622">
        <v>-1.1102959779060999</v>
      </c>
      <c r="AH2622">
        <v>30.722185852391899</v>
      </c>
      <c r="AI2622">
        <v>92.066211635459297</v>
      </c>
      <c r="AJ2622">
        <v>93.357669283362696</v>
      </c>
      <c r="AK2622">
        <v>30.7950371415265</v>
      </c>
      <c r="AL2622">
        <v>79.555010969958801</v>
      </c>
      <c r="AM2622">
        <v>93.133817235279395</v>
      </c>
      <c r="AN2622">
        <v>1.0000000196810901</v>
      </c>
    </row>
    <row r="2623" spans="1:40" x14ac:dyDescent="0.25">
      <c r="A2623" t="str">
        <f>"20190312172133052"</f>
        <v>20190312172133052</v>
      </c>
      <c r="B2623" t="str">
        <f>"1552382493043146"</f>
        <v>1552382493043146</v>
      </c>
      <c r="C2623" t="s">
        <v>40</v>
      </c>
      <c r="D2623">
        <v>3.0688759999999999</v>
      </c>
      <c r="E2623">
        <v>0.49761759999999999</v>
      </c>
      <c r="F2623" t="s">
        <v>47</v>
      </c>
      <c r="G2623">
        <v>-313.66149999999999</v>
      </c>
      <c r="H2623" s="1">
        <v>3.9222039999999996E-6</v>
      </c>
      <c r="I2623">
        <v>283.68439999999998</v>
      </c>
      <c r="J2623">
        <v>-290.33530000000002</v>
      </c>
      <c r="K2623">
        <v>1.1103719999999999</v>
      </c>
      <c r="L2623">
        <v>283.4896</v>
      </c>
      <c r="M2623">
        <v>-0.9977722</v>
      </c>
      <c r="N2623">
        <v>0</v>
      </c>
      <c r="O2623">
        <v>6.6257969999999999E-2</v>
      </c>
      <c r="P2623">
        <v>-0.98473889999999997</v>
      </c>
      <c r="Q2623">
        <v>0.17367160000000001</v>
      </c>
      <c r="R2623">
        <v>1.1310270000000001E-2</v>
      </c>
      <c r="S2623">
        <v>-3.0718380000000001</v>
      </c>
      <c r="T2623">
        <v>-0.14514859999999999</v>
      </c>
      <c r="U2623">
        <v>2.6885989999999999E-2</v>
      </c>
      <c r="V2623">
        <v>-5.4288780000000002E-2</v>
      </c>
      <c r="W2623">
        <v>0.18122530000000001</v>
      </c>
      <c r="X2623">
        <v>0.98194199999999998</v>
      </c>
      <c r="Y2623">
        <v>-5.7386760000000002E-2</v>
      </c>
      <c r="Z2623">
        <v>-4.4821430000000001E-3</v>
      </c>
      <c r="AA2623">
        <v>0.99834199999999995</v>
      </c>
      <c r="AB2623">
        <v>31</v>
      </c>
      <c r="AC2623">
        <v>-23.326199999999901</v>
      </c>
      <c r="AD2623">
        <v>-1.1103680777960001</v>
      </c>
      <c r="AE2623">
        <v>0.19479999999998601</v>
      </c>
      <c r="AF2623">
        <v>-1.3481668877642199</v>
      </c>
      <c r="AG2623">
        <v>-1.1103680777960001</v>
      </c>
      <c r="AH2623">
        <v>23.2352000262064</v>
      </c>
      <c r="AI2623">
        <v>92.731393001175903</v>
      </c>
      <c r="AJ2623">
        <v>93.320727311436102</v>
      </c>
      <c r="AK2623">
        <v>23.300750878099901</v>
      </c>
      <c r="AL2623">
        <v>79.558861657705705</v>
      </c>
      <c r="AM2623">
        <v>93.164499016759393</v>
      </c>
      <c r="AN2623">
        <v>0.999999986178989</v>
      </c>
    </row>
    <row r="2624" spans="1:40" x14ac:dyDescent="0.25">
      <c r="A2624" t="str">
        <f>"20190312172133066"</f>
        <v>20190312172133066</v>
      </c>
      <c r="B2624" t="str">
        <f>"1552382493063642"</f>
        <v>1552382493063642</v>
      </c>
      <c r="C2624" t="s">
        <v>40</v>
      </c>
      <c r="D2624">
        <v>3.0726330000000002</v>
      </c>
      <c r="E2624">
        <v>0.49757679999999999</v>
      </c>
      <c r="F2624" t="s">
        <v>47</v>
      </c>
      <c r="G2624">
        <v>-313.89179999999999</v>
      </c>
      <c r="H2624" s="1">
        <v>4.0245290000000003E-6</v>
      </c>
      <c r="I2624">
        <v>283.68220000000002</v>
      </c>
      <c r="J2624">
        <v>-290.52080000000001</v>
      </c>
      <c r="K2624">
        <v>1.1104560000000001</v>
      </c>
      <c r="L2624">
        <v>283.50130000000001</v>
      </c>
      <c r="M2624">
        <v>-0.99781900000000001</v>
      </c>
      <c r="N2624">
        <v>0</v>
      </c>
      <c r="O2624">
        <v>6.5548339999999997E-2</v>
      </c>
      <c r="P2624">
        <v>-0.98471869999999995</v>
      </c>
      <c r="Q2624">
        <v>0.1738519</v>
      </c>
      <c r="R2624">
        <v>1.022734E-2</v>
      </c>
      <c r="S2624">
        <v>-3.0717159999999999</v>
      </c>
      <c r="T2624">
        <v>-0.14478920000000001</v>
      </c>
      <c r="U2624">
        <v>2.5115970000000001E-2</v>
      </c>
      <c r="V2624">
        <v>-5.4706039999999997E-2</v>
      </c>
      <c r="W2624">
        <v>0.1813997</v>
      </c>
      <c r="X2624">
        <v>0.98188660000000005</v>
      </c>
      <c r="Y2624">
        <v>-5.7253230000000002E-2</v>
      </c>
      <c r="Z2624">
        <v>-4.4347409999999999E-3</v>
      </c>
      <c r="AA2624">
        <v>0.99834979999999995</v>
      </c>
      <c r="AB2624">
        <v>31</v>
      </c>
      <c r="AC2624">
        <v>-23.370999999999899</v>
      </c>
      <c r="AD2624">
        <v>-1.1104519754709901</v>
      </c>
      <c r="AE2624">
        <v>0.180900000000008</v>
      </c>
      <c r="AF2624">
        <v>-1.3484217860591701</v>
      </c>
      <c r="AG2624">
        <v>-1.1104519754709901</v>
      </c>
      <c r="AH2624">
        <v>23.280039589240399</v>
      </c>
      <c r="AI2624">
        <v>92.726361551131404</v>
      </c>
      <c r="AJ2624">
        <v>93.314970795117702</v>
      </c>
      <c r="AK2624">
        <v>23.345483250075301</v>
      </c>
      <c r="AL2624">
        <v>79.548700466856303</v>
      </c>
      <c r="AM2624">
        <v>93.188950691851602</v>
      </c>
      <c r="AN2624">
        <v>0.999999948616064</v>
      </c>
    </row>
    <row r="2625" spans="1:40" x14ac:dyDescent="0.25">
      <c r="A2625" t="str">
        <f>"20190312172133085"</f>
        <v>20190312172133085</v>
      </c>
      <c r="B2625" t="str">
        <f>"1552382493073403"</f>
        <v>1552382493073403</v>
      </c>
      <c r="C2625" t="s">
        <v>40</v>
      </c>
      <c r="D2625">
        <v>3.0651350000000002</v>
      </c>
      <c r="E2625">
        <v>0.49751659999999998</v>
      </c>
      <c r="F2625" t="s">
        <v>47</v>
      </c>
      <c r="G2625">
        <v>-314.351</v>
      </c>
      <c r="H2625" s="1">
        <v>4.2294560000000004E-6</v>
      </c>
      <c r="I2625">
        <v>283.66730000000001</v>
      </c>
      <c r="J2625">
        <v>-290.78140000000002</v>
      </c>
      <c r="K2625">
        <v>1.110571</v>
      </c>
      <c r="L2625">
        <v>283.51740000000001</v>
      </c>
      <c r="M2625">
        <v>-0.99789019999999995</v>
      </c>
      <c r="N2625">
        <v>0</v>
      </c>
      <c r="O2625">
        <v>6.4454259999999999E-2</v>
      </c>
      <c r="P2625">
        <v>-0.98462090000000002</v>
      </c>
      <c r="Q2625">
        <v>0.17448050000000001</v>
      </c>
      <c r="R2625">
        <v>8.8313139999999998E-3</v>
      </c>
      <c r="S2625">
        <v>-3.071625</v>
      </c>
      <c r="T2625">
        <v>-0.14313329999999999</v>
      </c>
      <c r="U2625">
        <v>2.139282E-2</v>
      </c>
      <c r="V2625">
        <v>-5.5067150000000002E-2</v>
      </c>
      <c r="W2625">
        <v>0.1820205</v>
      </c>
      <c r="X2625">
        <v>0.98175159999999995</v>
      </c>
      <c r="Y2625">
        <v>-5.737254E-2</v>
      </c>
      <c r="Z2625">
        <v>-4.3361679999999996E-3</v>
      </c>
      <c r="AA2625">
        <v>0.99834339999999999</v>
      </c>
      <c r="AB2625">
        <v>31</v>
      </c>
      <c r="AC2625">
        <v>-23.569599999999902</v>
      </c>
      <c r="AD2625">
        <v>-1.1105667705440001</v>
      </c>
      <c r="AE2625">
        <v>0.149900000000002</v>
      </c>
      <c r="AF2625">
        <v>-1.36658510117737</v>
      </c>
      <c r="AG2625">
        <v>-1.1105667705440001</v>
      </c>
      <c r="AH2625">
        <v>23.4781266803666</v>
      </c>
      <c r="AI2625">
        <v>92.703627799293997</v>
      </c>
      <c r="AJ2625">
        <v>93.331241546696205</v>
      </c>
      <c r="AK2625">
        <v>23.544072413453399</v>
      </c>
      <c r="AL2625">
        <v>79.512529918249598</v>
      </c>
      <c r="AM2625">
        <v>93.210397289474997</v>
      </c>
      <c r="AN2625">
        <v>1.0000000287659601</v>
      </c>
    </row>
    <row r="2626" spans="1:40" x14ac:dyDescent="0.25">
      <c r="A2626" t="str">
        <f>"20190312172133105"</f>
        <v>20190312172133105</v>
      </c>
      <c r="B2626" t="str">
        <f>"1552382493093898"</f>
        <v>1552382493093898</v>
      </c>
      <c r="C2626" t="s">
        <v>40</v>
      </c>
      <c r="D2626">
        <v>3.0338579999999999</v>
      </c>
      <c r="E2626">
        <v>0.49746629999999997</v>
      </c>
      <c r="F2626" t="s">
        <v>47</v>
      </c>
      <c r="G2626">
        <v>-314.8732</v>
      </c>
      <c r="H2626" s="1">
        <v>4.4630409999999999E-6</v>
      </c>
      <c r="I2626">
        <v>283.64400000000001</v>
      </c>
      <c r="J2626">
        <v>-291.06760000000003</v>
      </c>
      <c r="K2626">
        <v>1.1106940000000001</v>
      </c>
      <c r="L2626">
        <v>283.53469999999999</v>
      </c>
      <c r="M2626">
        <v>-0.99797559999999996</v>
      </c>
      <c r="N2626">
        <v>0</v>
      </c>
      <c r="O2626">
        <v>6.311609E-2</v>
      </c>
      <c r="P2626">
        <v>-0.98467179999999999</v>
      </c>
      <c r="Q2626">
        <v>0.1742841</v>
      </c>
      <c r="R2626">
        <v>6.8334340000000002E-3</v>
      </c>
      <c r="S2626">
        <v>-3.071777</v>
      </c>
      <c r="T2626">
        <v>-0.141600799999999</v>
      </c>
      <c r="U2626">
        <v>1.61438E-2</v>
      </c>
      <c r="V2626">
        <v>-5.5801450000000002E-2</v>
      </c>
      <c r="W2626">
        <v>0.1818157</v>
      </c>
      <c r="X2626">
        <v>0.98174799999999995</v>
      </c>
      <c r="Y2626">
        <v>-5.7743910000000002E-2</v>
      </c>
      <c r="Z2626">
        <v>-4.2366440000000003E-3</v>
      </c>
      <c r="AA2626">
        <v>0.99832240000000005</v>
      </c>
      <c r="AB2626">
        <v>31</v>
      </c>
      <c r="AC2626">
        <v>-23.805599999999899</v>
      </c>
      <c r="AD2626">
        <v>-1.110689536959</v>
      </c>
      <c r="AE2626">
        <v>0.10930000000001799</v>
      </c>
      <c r="AF2626">
        <v>-1.39045346828925</v>
      </c>
      <c r="AG2626">
        <v>-1.110689536959</v>
      </c>
      <c r="AH2626">
        <v>23.713412813924499</v>
      </c>
      <c r="AI2626">
        <v>92.677070136948501</v>
      </c>
      <c r="AJ2626">
        <v>93.355738010381202</v>
      </c>
      <c r="AK2626">
        <v>23.780095445110899</v>
      </c>
      <c r="AL2626">
        <v>79.524462308227299</v>
      </c>
      <c r="AM2626">
        <v>93.253127307872006</v>
      </c>
      <c r="AN2626">
        <v>0.99999994304629403</v>
      </c>
    </row>
    <row r="2627" spans="1:40" x14ac:dyDescent="0.25">
      <c r="A2627" t="str">
        <f>"20190312172133117"</f>
        <v>20190312172133117</v>
      </c>
      <c r="B2627" t="str">
        <f>"1552382493113418"</f>
        <v>1552382493113418</v>
      </c>
      <c r="C2627" t="s">
        <v>40</v>
      </c>
      <c r="D2627">
        <v>3.0632269999999999</v>
      </c>
      <c r="E2627">
        <v>0.49742069999999999</v>
      </c>
      <c r="F2627" t="s">
        <v>47</v>
      </c>
      <c r="G2627">
        <v>-314.79759999999999</v>
      </c>
      <c r="H2627" s="1">
        <v>4.4329369999999999E-6</v>
      </c>
      <c r="I2627">
        <v>283.60520000000002</v>
      </c>
      <c r="J2627">
        <v>-291.2441</v>
      </c>
      <c r="K2627">
        <v>1.11077</v>
      </c>
      <c r="L2627">
        <v>283.54500000000002</v>
      </c>
      <c r="M2627">
        <v>-0.99803129999999995</v>
      </c>
      <c r="N2627">
        <v>0</v>
      </c>
      <c r="O2627">
        <v>6.2230630000000002E-2</v>
      </c>
      <c r="P2627">
        <v>-0.98477239999999999</v>
      </c>
      <c r="Q2627">
        <v>0.17375779999999999</v>
      </c>
      <c r="R2627">
        <v>5.6219939999999999E-3</v>
      </c>
      <c r="S2627">
        <v>-3.0720830000000001</v>
      </c>
      <c r="T2627">
        <v>-0.14378949999999999</v>
      </c>
      <c r="U2627">
        <v>9.1247559999999995E-3</v>
      </c>
      <c r="V2627">
        <v>-5.6176879999999998E-2</v>
      </c>
      <c r="W2627">
        <v>0.1812848</v>
      </c>
      <c r="X2627">
        <v>0.98182480000000005</v>
      </c>
      <c r="Y2627">
        <v>-5.9135010000000002E-2</v>
      </c>
      <c r="Z2627">
        <v>-4.2928799999999998E-3</v>
      </c>
      <c r="AA2627">
        <v>0.99824080000000004</v>
      </c>
      <c r="AB2627">
        <v>31</v>
      </c>
      <c r="AC2627">
        <v>-23.5534999999999</v>
      </c>
      <c r="AD2627">
        <v>-1.1107655670629999</v>
      </c>
      <c r="AE2627">
        <v>6.0200000000008899E-2</v>
      </c>
      <c r="AF2627">
        <v>-1.4025911089312399</v>
      </c>
      <c r="AG2627">
        <v>-1.1107655670629999</v>
      </c>
      <c r="AH2627">
        <v>23.459418826630099</v>
      </c>
      <c r="AI2627">
        <v>92.706013044840404</v>
      </c>
      <c r="AJ2627">
        <v>93.421525556968703</v>
      </c>
      <c r="AK2627">
        <v>23.527545423334601</v>
      </c>
      <c r="AL2627">
        <v>79.555395066363801</v>
      </c>
      <c r="AM2627">
        <v>93.274711124775905</v>
      </c>
      <c r="AN2627">
        <v>0.99999997922630701</v>
      </c>
    </row>
    <row r="2628" spans="1:40" x14ac:dyDescent="0.25">
      <c r="A2628" t="str">
        <f>"20190312172133130"</f>
        <v>20190312172133130</v>
      </c>
      <c r="B2628" t="str">
        <f>"1552382493123180"</f>
        <v>1552382493123180</v>
      </c>
      <c r="C2628" t="s">
        <v>40</v>
      </c>
      <c r="D2628">
        <v>3.0494889999999999</v>
      </c>
      <c r="E2628">
        <v>0.49739939999999999</v>
      </c>
      <c r="F2628" t="s">
        <v>47</v>
      </c>
      <c r="G2628">
        <v>-314.63600000000002</v>
      </c>
      <c r="H2628" s="1">
        <v>4.3630210000000004E-6</v>
      </c>
      <c r="I2628">
        <v>283.58519999999999</v>
      </c>
      <c r="J2628">
        <v>-291.40469999999999</v>
      </c>
      <c r="K2628">
        <v>1.110838</v>
      </c>
      <c r="L2628">
        <v>283.55430000000001</v>
      </c>
      <c r="M2628">
        <v>-0.99808470000000005</v>
      </c>
      <c r="N2628">
        <v>0</v>
      </c>
      <c r="O2628">
        <v>6.136689E-2</v>
      </c>
      <c r="P2628">
        <v>-0.98481779999999997</v>
      </c>
      <c r="Q2628">
        <v>0.17353550000000001</v>
      </c>
      <c r="R2628">
        <v>4.4455939999999998E-3</v>
      </c>
      <c r="S2628">
        <v>-3.0720830000000001</v>
      </c>
      <c r="T2628">
        <v>-0.145877799999999</v>
      </c>
      <c r="U2628">
        <v>5.2795409999999996E-3</v>
      </c>
      <c r="V2628">
        <v>-5.6532270000000003E-2</v>
      </c>
      <c r="W2628">
        <v>0.18105830000000001</v>
      </c>
      <c r="X2628">
        <v>0.9818462</v>
      </c>
      <c r="Y2628">
        <v>-5.9517220000000003E-2</v>
      </c>
      <c r="Z2628">
        <v>-4.3233309999999997E-3</v>
      </c>
      <c r="AA2628">
        <v>0.99821789999999999</v>
      </c>
      <c r="AB2628">
        <v>31</v>
      </c>
      <c r="AC2628">
        <v>-23.231299999999901</v>
      </c>
      <c r="AD2628">
        <v>-1.1108336369789999</v>
      </c>
      <c r="AE2628">
        <v>3.0899999999974101E-2</v>
      </c>
      <c r="AF2628">
        <v>-1.39165252298318</v>
      </c>
      <c r="AG2628">
        <v>-1.1108336369789999</v>
      </c>
      <c r="AH2628">
        <v>23.1365099608695</v>
      </c>
      <c r="AI2628">
        <v>92.7438313668885</v>
      </c>
      <c r="AJ2628">
        <v>93.442172723826303</v>
      </c>
      <c r="AK2628">
        <v>23.204929245381901</v>
      </c>
      <c r="AL2628">
        <v>79.568590972242106</v>
      </c>
      <c r="AM2628">
        <v>93.295310644190394</v>
      </c>
      <c r="AN2628">
        <v>0.99999998300234105</v>
      </c>
    </row>
    <row r="2629" spans="1:40" x14ac:dyDescent="0.25">
      <c r="A2629" t="str">
        <f>"20190312172133140"</f>
        <v>20190312172133140</v>
      </c>
      <c r="B2629" t="str">
        <f>"1552382493133914"</f>
        <v>1552382493133914</v>
      </c>
      <c r="C2629" t="s">
        <v>40</v>
      </c>
      <c r="D2629">
        <v>3.0595509999999999</v>
      </c>
      <c r="E2629">
        <v>0.49738890000000002</v>
      </c>
      <c r="F2629" t="s">
        <v>47</v>
      </c>
      <c r="G2629">
        <v>-314.64890000000003</v>
      </c>
      <c r="H2629" s="1">
        <v>4.3701300000000003E-6</v>
      </c>
      <c r="I2629">
        <v>283.5693</v>
      </c>
      <c r="J2629">
        <v>-291.56549999999999</v>
      </c>
      <c r="K2629">
        <v>1.1109070000000001</v>
      </c>
      <c r="L2629">
        <v>283.56349999999998</v>
      </c>
      <c r="M2629">
        <v>-0.99813859999999999</v>
      </c>
      <c r="N2629">
        <v>0</v>
      </c>
      <c r="O2629">
        <v>6.0482630000000003E-2</v>
      </c>
      <c r="P2629">
        <v>-0.98485670000000003</v>
      </c>
      <c r="Q2629">
        <v>0.17334459999999999</v>
      </c>
      <c r="R2629">
        <v>2.9775140000000001E-3</v>
      </c>
      <c r="S2629">
        <v>-3.0721129999999999</v>
      </c>
      <c r="T2629">
        <v>-0.146815</v>
      </c>
      <c r="U2629">
        <v>1.9836430000000002E-3</v>
      </c>
      <c r="V2629">
        <v>-5.7159380000000003E-2</v>
      </c>
      <c r="W2629">
        <v>0.1808623</v>
      </c>
      <c r="X2629">
        <v>0.981846</v>
      </c>
      <c r="Y2629">
        <v>-5.9702860000000003E-2</v>
      </c>
      <c r="Z2629">
        <v>-4.3133149999999999E-3</v>
      </c>
      <c r="AA2629">
        <v>0.99820690000000001</v>
      </c>
      <c r="AB2629">
        <v>31</v>
      </c>
      <c r="AC2629">
        <v>-23.083400000000001</v>
      </c>
      <c r="AD2629">
        <v>-1.11090262986999</v>
      </c>
      <c r="AE2629">
        <v>5.8000000000220098E-3</v>
      </c>
      <c r="AF2629">
        <v>-1.3871852514982299</v>
      </c>
      <c r="AG2629">
        <v>-1.11090262986999</v>
      </c>
      <c r="AH2629">
        <v>22.988245809567101</v>
      </c>
      <c r="AI2629">
        <v>92.761639778236997</v>
      </c>
      <c r="AJ2629">
        <v>93.453225661860301</v>
      </c>
      <c r="AK2629">
        <v>23.056839180080701</v>
      </c>
      <c r="AL2629">
        <v>79.580009291280106</v>
      </c>
      <c r="AM2629">
        <v>93.331784157770102</v>
      </c>
      <c r="AN2629">
        <v>0.999999966999636</v>
      </c>
    </row>
    <row r="2630" spans="1:40" x14ac:dyDescent="0.25">
      <c r="A2630" t="str">
        <f>"20190312172133152"</f>
        <v>20190312172133152</v>
      </c>
      <c r="B2630" t="str">
        <f>"1552382493143674"</f>
        <v>1552382493143674</v>
      </c>
      <c r="C2630" t="s">
        <v>40</v>
      </c>
      <c r="D2630">
        <v>3.079672</v>
      </c>
      <c r="E2630">
        <v>0.49744060000000001</v>
      </c>
      <c r="F2630" t="s">
        <v>47</v>
      </c>
      <c r="G2630">
        <v>-314.63959999999997</v>
      </c>
      <c r="H2630" s="1">
        <v>4.3680000000000004E-6</v>
      </c>
      <c r="I2630">
        <v>283.54649999999998</v>
      </c>
      <c r="J2630">
        <v>-291.73439999999999</v>
      </c>
      <c r="K2630">
        <v>1.1109830000000001</v>
      </c>
      <c r="L2630">
        <v>283.57279999999997</v>
      </c>
      <c r="M2630">
        <v>-0.99819919999999995</v>
      </c>
      <c r="N2630">
        <v>0</v>
      </c>
      <c r="O2630">
        <v>5.9475229999999997E-2</v>
      </c>
      <c r="P2630">
        <v>-0.98481870000000005</v>
      </c>
      <c r="Q2630">
        <v>0.1735795</v>
      </c>
      <c r="R2630">
        <v>1.648107E-3</v>
      </c>
      <c r="S2630">
        <v>-3.072174</v>
      </c>
      <c r="T2630">
        <v>-0.1479095</v>
      </c>
      <c r="U2630">
        <v>-2.2583009999999999E-3</v>
      </c>
      <c r="V2630">
        <v>-5.7526300000000002E-2</v>
      </c>
      <c r="W2630">
        <v>0.18109120000000001</v>
      </c>
      <c r="X2630">
        <v>0.98178240000000006</v>
      </c>
      <c r="Y2630">
        <v>-6.0072399999999998E-2</v>
      </c>
      <c r="Z2630">
        <v>-4.3058590000000004E-3</v>
      </c>
      <c r="AA2630">
        <v>0.99818470000000004</v>
      </c>
      <c r="AB2630">
        <v>31</v>
      </c>
      <c r="AC2630">
        <v>-22.905199999999901</v>
      </c>
      <c r="AD2630">
        <v>-1.1109786319999999</v>
      </c>
      <c r="AE2630">
        <v>-2.6299999999992E-2</v>
      </c>
      <c r="AF2630">
        <v>-1.3853279854224401</v>
      </c>
      <c r="AG2630">
        <v>-1.1109786319999999</v>
      </c>
      <c r="AH2630">
        <v>22.809425287879801</v>
      </c>
      <c r="AI2630">
        <v>92.783380937564004</v>
      </c>
      <c r="AJ2630">
        <v>93.475583693062603</v>
      </c>
      <c r="AK2630">
        <v>22.8784459505301</v>
      </c>
      <c r="AL2630">
        <v>79.566674324285898</v>
      </c>
      <c r="AM2630">
        <v>93.3533397673271</v>
      </c>
      <c r="AN2630">
        <v>0.99999998942944501</v>
      </c>
    </row>
    <row r="2631" spans="1:40" x14ac:dyDescent="0.25">
      <c r="A2631" t="str">
        <f>"20190312172133164"</f>
        <v>20190312172133164</v>
      </c>
      <c r="B2631" t="str">
        <f>"1552382493153434"</f>
        <v>1552382493153434</v>
      </c>
      <c r="C2631" t="s">
        <v>40</v>
      </c>
      <c r="D2631">
        <v>3.0636990000000002</v>
      </c>
      <c r="E2631">
        <v>0.49748290000000001</v>
      </c>
      <c r="F2631" t="s">
        <v>47</v>
      </c>
      <c r="G2631">
        <v>-314.82530000000003</v>
      </c>
      <c r="H2631" s="1">
        <v>4.451887E-6</v>
      </c>
      <c r="I2631">
        <v>283.529</v>
      </c>
      <c r="J2631">
        <v>-291.88760000000002</v>
      </c>
      <c r="K2631">
        <v>1.1110549999999999</v>
      </c>
      <c r="L2631">
        <v>283.58109999999999</v>
      </c>
      <c r="M2631">
        <v>-0.99825439999999999</v>
      </c>
      <c r="N2631">
        <v>0</v>
      </c>
      <c r="O2631">
        <v>5.8538189999999997E-2</v>
      </c>
      <c r="P2631">
        <v>-0.98475959999999996</v>
      </c>
      <c r="Q2631">
        <v>0.17392050000000001</v>
      </c>
      <c r="R2631">
        <v>5.3666900000000003E-4</v>
      </c>
      <c r="S2631">
        <v>-3.072327</v>
      </c>
      <c r="T2631">
        <v>-0.14781939999999999</v>
      </c>
      <c r="U2631">
        <v>-5.8288569999999998E-3</v>
      </c>
      <c r="V2631">
        <v>-5.7740819999999998E-2</v>
      </c>
      <c r="W2631">
        <v>0.18142739999999999</v>
      </c>
      <c r="X2631">
        <v>0.98170780000000002</v>
      </c>
      <c r="Y2631">
        <v>-6.0296429999999998E-2</v>
      </c>
      <c r="Z2631">
        <v>-4.2634320000000002E-3</v>
      </c>
      <c r="AA2631">
        <v>0.99817140000000004</v>
      </c>
      <c r="AB2631">
        <v>31</v>
      </c>
      <c r="AC2631">
        <v>-22.9377</v>
      </c>
      <c r="AD2631">
        <v>-1.111050548113</v>
      </c>
      <c r="AE2631">
        <v>-5.2099999999995802E-2</v>
      </c>
      <c r="AF2631">
        <v>-1.39151855310568</v>
      </c>
      <c r="AG2631">
        <v>-1.111050548113</v>
      </c>
      <c r="AH2631">
        <v>22.841722062254199</v>
      </c>
      <c r="AI2631">
        <v>92.779600084229202</v>
      </c>
      <c r="AJ2631">
        <v>93.486152605185595</v>
      </c>
      <c r="AK2631">
        <v>22.9110240708129</v>
      </c>
      <c r="AL2631">
        <v>79.547087710312098</v>
      </c>
      <c r="AM2631">
        <v>93.366071113915297</v>
      </c>
      <c r="AN2631">
        <v>1.0000000541729299</v>
      </c>
    </row>
    <row r="2632" spans="1:40" x14ac:dyDescent="0.25">
      <c r="A2632" t="str">
        <f>"20190312172133175"</f>
        <v>20190312172133175</v>
      </c>
      <c r="B2632" t="str">
        <f>"1552382493172954"</f>
        <v>1552382493172954</v>
      </c>
      <c r="C2632" t="s">
        <v>40</v>
      </c>
      <c r="D2632">
        <v>3.0856949999999999</v>
      </c>
      <c r="E2632">
        <v>0.49754749999999998</v>
      </c>
      <c r="F2632" t="s">
        <v>47</v>
      </c>
      <c r="G2632">
        <v>-315.06180000000001</v>
      </c>
      <c r="H2632" s="1">
        <v>4.5580729999999999E-6</v>
      </c>
      <c r="I2632">
        <v>283.51389999999998</v>
      </c>
      <c r="J2632">
        <v>-292.05939999999998</v>
      </c>
      <c r="K2632">
        <v>1.111132</v>
      </c>
      <c r="L2632">
        <v>283.59019999999998</v>
      </c>
      <c r="M2632">
        <v>-0.99831840000000005</v>
      </c>
      <c r="N2632">
        <v>0</v>
      </c>
      <c r="O2632">
        <v>5.7435729999999997E-2</v>
      </c>
      <c r="P2632">
        <v>-0.98471059999999999</v>
      </c>
      <c r="Q2632">
        <v>0.1741963</v>
      </c>
      <c r="R2632">
        <v>-7.8911240000000004E-4</v>
      </c>
      <c r="S2632">
        <v>-3.072479</v>
      </c>
      <c r="T2632">
        <v>-0.14730509999999999</v>
      </c>
      <c r="U2632">
        <v>-8.9111329999999999E-3</v>
      </c>
      <c r="V2632">
        <v>-5.8011729999999997E-2</v>
      </c>
      <c r="W2632">
        <v>0.18169750000000001</v>
      </c>
      <c r="X2632">
        <v>0.98164180000000001</v>
      </c>
      <c r="Y2632">
        <v>-6.01977E-2</v>
      </c>
      <c r="Z2632">
        <v>-4.1932929999999998E-3</v>
      </c>
      <c r="AA2632">
        <v>0.9981776</v>
      </c>
      <c r="AB2632">
        <v>32</v>
      </c>
      <c r="AC2632">
        <v>-23.002400000000002</v>
      </c>
      <c r="AD2632">
        <v>-1.1111274419270001</v>
      </c>
      <c r="AE2632">
        <v>-7.6300000000003296E-2</v>
      </c>
      <c r="AF2632">
        <v>-1.3941213570381701</v>
      </c>
      <c r="AG2632">
        <v>-1.1111274419270001</v>
      </c>
      <c r="AH2632">
        <v>22.9065942498159</v>
      </c>
      <c r="AI2632">
        <v>92.771941880754298</v>
      </c>
      <c r="AJ2632">
        <v>93.482790315662697</v>
      </c>
      <c r="AK2632">
        <v>22.975862087766199</v>
      </c>
      <c r="AL2632">
        <v>79.531349806083398</v>
      </c>
      <c r="AM2632">
        <v>93.382054418498797</v>
      </c>
      <c r="AN2632">
        <v>0.99999998291554104</v>
      </c>
    </row>
    <row r="2633" spans="1:40" x14ac:dyDescent="0.25">
      <c r="A2633" t="str">
        <f>"20190312172133188"</f>
        <v>20190312172133188</v>
      </c>
      <c r="B2633" t="str">
        <f>"1552382493183221"</f>
        <v>1552382493183221</v>
      </c>
      <c r="C2633" t="s">
        <v>40</v>
      </c>
      <c r="D2633">
        <v>3.0778020000000001</v>
      </c>
      <c r="E2633">
        <v>0.49810589999999999</v>
      </c>
      <c r="F2633" t="s">
        <v>47</v>
      </c>
      <c r="G2633">
        <v>-315.39789999999999</v>
      </c>
      <c r="H2633" s="1">
        <v>4.708925E-6</v>
      </c>
      <c r="I2633">
        <v>283.49310000000003</v>
      </c>
      <c r="J2633">
        <v>-292.22969999999998</v>
      </c>
      <c r="K2633">
        <v>1.1112089999999999</v>
      </c>
      <c r="L2633">
        <v>283.59899999999999</v>
      </c>
      <c r="M2633">
        <v>-0.99838329999999997</v>
      </c>
      <c r="N2633">
        <v>0</v>
      </c>
      <c r="O2633">
        <v>5.6294339999999998E-2</v>
      </c>
      <c r="P2633">
        <v>-0.98466089999999995</v>
      </c>
      <c r="Q2633">
        <v>0.17446989999999901</v>
      </c>
      <c r="R2633">
        <v>-1.9292409999999999E-3</v>
      </c>
      <c r="S2633">
        <v>-3.0724490000000002</v>
      </c>
      <c r="T2633">
        <v>-0.14627670000000001</v>
      </c>
      <c r="U2633">
        <v>-1.2786870000000001E-2</v>
      </c>
      <c r="V2633">
        <v>-5.8057930000000001E-2</v>
      </c>
      <c r="W2633">
        <v>0.18196709999999999</v>
      </c>
      <c r="X2633">
        <v>0.98158909999999999</v>
      </c>
      <c r="Y2633">
        <v>-6.0318709999999998E-2</v>
      </c>
      <c r="Z2633">
        <v>-4.112737E-3</v>
      </c>
      <c r="AA2633">
        <v>0.99817069999999997</v>
      </c>
      <c r="AB2633">
        <v>32</v>
      </c>
      <c r="AC2633">
        <v>-23.168199999999999</v>
      </c>
      <c r="AD2633">
        <v>-1.111204291075</v>
      </c>
      <c r="AE2633">
        <v>-0.105899999999962</v>
      </c>
      <c r="AF2633">
        <v>-1.40677476650952</v>
      </c>
      <c r="AG2633">
        <v>-1.111204291075</v>
      </c>
      <c r="AH2633">
        <v>23.0724215469677</v>
      </c>
      <c r="AI2633">
        <v>92.7522215119794</v>
      </c>
      <c r="AJ2633">
        <v>93.4891264681998</v>
      </c>
      <c r="AK2633">
        <v>23.141962454838801</v>
      </c>
      <c r="AL2633">
        <v>79.515640694449402</v>
      </c>
      <c r="AM2633">
        <v>93.384922894475693</v>
      </c>
      <c r="AN2633">
        <v>0.99999995497855099</v>
      </c>
    </row>
    <row r="2634" spans="1:40" x14ac:dyDescent="0.25">
      <c r="A2634" t="str">
        <f>"20190312172133201"</f>
        <v>20190312172133201</v>
      </c>
      <c r="B2634" t="str">
        <f>"1552382493192980"</f>
        <v>1552382493192980</v>
      </c>
      <c r="C2634" t="s">
        <v>40</v>
      </c>
      <c r="D2634">
        <v>3.0983749999999999</v>
      </c>
      <c r="E2634">
        <v>0.49810589999999999</v>
      </c>
      <c r="F2634" t="s">
        <v>47</v>
      </c>
      <c r="G2634">
        <v>-314.9948</v>
      </c>
      <c r="H2634" s="1">
        <v>4.5288090000000002E-6</v>
      </c>
      <c r="I2634">
        <v>283.50880000000001</v>
      </c>
      <c r="J2634">
        <v>-292.41899999999998</v>
      </c>
      <c r="K2634">
        <v>1.1112899999999999</v>
      </c>
      <c r="L2634">
        <v>283.60849999999999</v>
      </c>
      <c r="M2634">
        <v>-0.99845589999999995</v>
      </c>
      <c r="N2634">
        <v>0</v>
      </c>
      <c r="O2634">
        <v>5.4990879999999999E-2</v>
      </c>
      <c r="P2634">
        <v>-0.98458449999999997</v>
      </c>
      <c r="Q2634">
        <v>0.17487730000000001</v>
      </c>
      <c r="R2634">
        <v>-3.3954599999999999E-3</v>
      </c>
      <c r="S2634">
        <v>-3.0733030000000001</v>
      </c>
      <c r="T2634">
        <v>-0.15001339999999999</v>
      </c>
      <c r="U2634">
        <v>-1.217651E-2</v>
      </c>
      <c r="V2634">
        <v>-5.8273030000000003E-2</v>
      </c>
      <c r="W2634">
        <v>0.1823689</v>
      </c>
      <c r="X2634">
        <v>0.98150179999999998</v>
      </c>
      <c r="Y2634">
        <v>-5.8812709999999997E-2</v>
      </c>
      <c r="Z2634">
        <v>-4.1162519999999999E-3</v>
      </c>
      <c r="AA2634">
        <v>0.99826060000000005</v>
      </c>
      <c r="AB2634">
        <v>32</v>
      </c>
      <c r="AC2634">
        <v>-22.575799999999902</v>
      </c>
      <c r="AD2634">
        <v>-1.1112854711910001</v>
      </c>
      <c r="AE2634">
        <v>-9.9699999999984301E-2</v>
      </c>
      <c r="AF2634">
        <v>-1.33780907922436</v>
      </c>
      <c r="AG2634">
        <v>-1.1112854711910001</v>
      </c>
      <c r="AH2634">
        <v>22.4816812058416</v>
      </c>
      <c r="AI2634">
        <v>92.824878783563804</v>
      </c>
      <c r="AJ2634">
        <v>93.405462899567794</v>
      </c>
      <c r="AK2634">
        <v>22.548850932409501</v>
      </c>
      <c r="AL2634">
        <v>79.492227672428001</v>
      </c>
      <c r="AM2634">
        <v>93.397735920147696</v>
      </c>
      <c r="AN2634">
        <v>0.99999997255791495</v>
      </c>
    </row>
    <row r="2635" spans="1:40" x14ac:dyDescent="0.25">
      <c r="A2635" t="str">
        <f>"20190312172133212"</f>
        <v>20190312172133212</v>
      </c>
      <c r="B2635" t="str">
        <f>"1552382493203717"</f>
        <v>1552382493203717</v>
      </c>
      <c r="C2635" t="s">
        <v>40</v>
      </c>
      <c r="D2635">
        <v>3.1416719999999998</v>
      </c>
      <c r="E2635">
        <v>0.52048809999999901</v>
      </c>
      <c r="F2635" t="s">
        <v>47</v>
      </c>
      <c r="G2635">
        <v>-315.37979999999999</v>
      </c>
      <c r="H2635" s="1">
        <v>4.701646E-6</v>
      </c>
      <c r="I2635">
        <v>283.48450000000003</v>
      </c>
      <c r="J2635">
        <v>-292.58569999999997</v>
      </c>
      <c r="K2635">
        <v>1.1113630000000001</v>
      </c>
      <c r="L2635">
        <v>283.61660000000001</v>
      </c>
      <c r="M2635">
        <v>-0.99852180000000001</v>
      </c>
      <c r="N2635">
        <v>0</v>
      </c>
      <c r="O2635">
        <v>5.378028E-2</v>
      </c>
      <c r="P2635">
        <v>-0.98460040000000004</v>
      </c>
      <c r="Q2635">
        <v>0.17475879999999999</v>
      </c>
      <c r="R2635">
        <v>-4.6583570000000001E-3</v>
      </c>
      <c r="S2635">
        <v>-3.073334</v>
      </c>
      <c r="T2635">
        <v>-0.14874699999999999</v>
      </c>
      <c r="U2635">
        <v>-1.6601560000000001E-2</v>
      </c>
      <c r="V2635">
        <v>-5.837407E-2</v>
      </c>
      <c r="W2635">
        <v>0.18224699999999999</v>
      </c>
      <c r="X2635">
        <v>0.98151840000000001</v>
      </c>
      <c r="Y2635">
        <v>-5.9043039999999998E-2</v>
      </c>
      <c r="Z2635">
        <v>-4.028589E-3</v>
      </c>
      <c r="AA2635">
        <v>0.99824729999999995</v>
      </c>
      <c r="AB2635">
        <v>32</v>
      </c>
      <c r="AC2635">
        <v>-22.7941</v>
      </c>
      <c r="AD2635">
        <v>-1.11135829835399</v>
      </c>
      <c r="AE2635">
        <v>-0.13209999999997901</v>
      </c>
      <c r="AF2635">
        <v>-1.3545998043503</v>
      </c>
      <c r="AG2635">
        <v>-1.11135829835399</v>
      </c>
      <c r="AH2635">
        <v>22.700045159395302</v>
      </c>
      <c r="AI2635">
        <v>92.797903451538701</v>
      </c>
      <c r="AJ2635">
        <v>93.415011810559406</v>
      </c>
      <c r="AK2635">
        <v>22.7675670227597</v>
      </c>
      <c r="AL2635">
        <v>79.499330674887005</v>
      </c>
      <c r="AM2635">
        <v>93.403556010705998</v>
      </c>
      <c r="AN2635">
        <v>0.99999993529796005</v>
      </c>
    </row>
    <row r="2636" spans="1:40" x14ac:dyDescent="0.25">
      <c r="A2636" t="str">
        <f>"20190312172133228"</f>
        <v>20190312172133228</v>
      </c>
      <c r="B2636" t="str">
        <f>"1552382493223237"</f>
        <v>1552382493223237</v>
      </c>
      <c r="C2636" t="s">
        <v>40</v>
      </c>
      <c r="D2636">
        <v>3.2565590000000002</v>
      </c>
      <c r="E2636">
        <v>0.52380099999999996</v>
      </c>
      <c r="F2636" t="s">
        <v>41</v>
      </c>
      <c r="G2636">
        <v>-293.39729999999997</v>
      </c>
      <c r="H2636">
        <v>1.015579</v>
      </c>
      <c r="I2636">
        <v>283.65870000000001</v>
      </c>
      <c r="J2636">
        <v>-292.80119999999999</v>
      </c>
      <c r="K2636">
        <v>1.1114470000000001</v>
      </c>
      <c r="L2636">
        <v>283.62670000000003</v>
      </c>
      <c r="M2636">
        <v>-0.99860709999999997</v>
      </c>
      <c r="N2636">
        <v>0</v>
      </c>
      <c r="O2636">
        <v>5.2173209999999998E-2</v>
      </c>
      <c r="P2636">
        <v>-0.98463199999999995</v>
      </c>
      <c r="Q2636">
        <v>0.1745129</v>
      </c>
      <c r="R2636">
        <v>-6.7619230000000004E-3</v>
      </c>
      <c r="S2636">
        <v>-3.1129150000000001</v>
      </c>
      <c r="T2636">
        <v>-0.36758790000000002</v>
      </c>
      <c r="U2636">
        <v>0.16076660000000001</v>
      </c>
      <c r="V2636">
        <v>-5.8932859999999997E-2</v>
      </c>
      <c r="W2636">
        <v>0.1819952</v>
      </c>
      <c r="X2636">
        <v>0.98153179999999995</v>
      </c>
      <c r="Y2636">
        <v>-2.3663859999999999E-4</v>
      </c>
      <c r="Z2636">
        <v>-6.1454369999999897E-3</v>
      </c>
      <c r="AA2636">
        <v>0.99998109999999996</v>
      </c>
      <c r="AB2636">
        <v>32</v>
      </c>
      <c r="AC2636">
        <v>-0.59609999999997798</v>
      </c>
      <c r="AD2636">
        <v>-9.5867999999999801E-2</v>
      </c>
      <c r="AE2636">
        <v>3.1999999999982202E-2</v>
      </c>
      <c r="AF2636">
        <v>8.3350661403412598E-4</v>
      </c>
      <c r="AG2636">
        <v>-9.5867999999999801E-2</v>
      </c>
      <c r="AH2636">
        <v>0.581948946125178</v>
      </c>
      <c r="AI2636">
        <v>99.3546554534405</v>
      </c>
      <c r="AJ2636">
        <v>89.917937168126599</v>
      </c>
      <c r="AK2636">
        <v>0.58979313666189903</v>
      </c>
      <c r="AL2636">
        <v>79.514003868834294</v>
      </c>
      <c r="AM2636">
        <v>93.436012306951099</v>
      </c>
      <c r="AN2636">
        <v>1.00000000461102</v>
      </c>
    </row>
    <row r="2637" spans="1:40" x14ac:dyDescent="0.25">
      <c r="A2637" t="str">
        <f>"20190312172133241"</f>
        <v>20190312172133241</v>
      </c>
      <c r="B2637" t="str">
        <f>"1552382493233972"</f>
        <v>1552382493233972</v>
      </c>
      <c r="C2637" t="s">
        <v>40</v>
      </c>
      <c r="D2637">
        <v>3.114268</v>
      </c>
      <c r="E2637">
        <v>0.52498549999999999</v>
      </c>
      <c r="F2637" t="s">
        <v>41</v>
      </c>
      <c r="G2637">
        <v>-293.67340000000002</v>
      </c>
      <c r="H2637">
        <v>1.0014479999999999</v>
      </c>
      <c r="I2637">
        <v>283.67779999999999</v>
      </c>
      <c r="J2637">
        <v>-292.98599999999999</v>
      </c>
      <c r="K2637">
        <v>1.111515</v>
      </c>
      <c r="L2637">
        <v>283.6352</v>
      </c>
      <c r="M2637">
        <v>-0.99867989999999995</v>
      </c>
      <c r="N2637">
        <v>0</v>
      </c>
      <c r="O2637">
        <v>5.0757749999999997E-2</v>
      </c>
      <c r="P2637">
        <v>-0.98456999999999995</v>
      </c>
      <c r="Q2637">
        <v>0.17478949999999999</v>
      </c>
      <c r="R2637">
        <v>-8.4170210000000002E-3</v>
      </c>
      <c r="S2637">
        <v>-3.117737</v>
      </c>
      <c r="T2637">
        <v>-0.3932814</v>
      </c>
      <c r="U2637">
        <v>0.1820679</v>
      </c>
      <c r="V2637">
        <v>-5.922235E-2</v>
      </c>
      <c r="W2637">
        <v>0.18226709999999999</v>
      </c>
      <c r="X2637">
        <v>0.98146389999999994</v>
      </c>
      <c r="Y2637">
        <v>7.8880570000000004E-3</v>
      </c>
      <c r="Z2637">
        <v>-5.8727680000000004E-3</v>
      </c>
      <c r="AA2637">
        <v>0.9999517</v>
      </c>
      <c r="AB2637">
        <v>32</v>
      </c>
      <c r="AC2637">
        <v>-0.68740000000002499</v>
      </c>
      <c r="AD2637">
        <v>-0.110067</v>
      </c>
      <c r="AE2637">
        <v>4.2599999999992998E-2</v>
      </c>
      <c r="AF2637">
        <v>7.4625269256973397E-3</v>
      </c>
      <c r="AG2637">
        <v>-0.110067</v>
      </c>
      <c r="AH2637">
        <v>0.67152510171586199</v>
      </c>
      <c r="AI2637">
        <v>99.3077899914216</v>
      </c>
      <c r="AJ2637">
        <v>89.363309433009107</v>
      </c>
      <c r="AK2637">
        <v>0.68052655791792305</v>
      </c>
      <c r="AL2637">
        <v>79.498159937218205</v>
      </c>
      <c r="AM2637">
        <v>93.453088249526004</v>
      </c>
      <c r="AN2637">
        <v>0.99999998474257101</v>
      </c>
    </row>
    <row r="2638" spans="1:40" x14ac:dyDescent="0.25">
      <c r="A2638" t="str">
        <f>"20190312172133253"</f>
        <v>20190312172133253</v>
      </c>
      <c r="B2638" t="str">
        <f>"1552382493243733"</f>
        <v>1552382493243733</v>
      </c>
      <c r="C2638" t="s">
        <v>40</v>
      </c>
      <c r="D2638">
        <v>3.1339540000000001</v>
      </c>
      <c r="E2638">
        <v>0.52556059999999905</v>
      </c>
      <c r="F2638" t="s">
        <v>41</v>
      </c>
      <c r="G2638">
        <v>-293.95139999999998</v>
      </c>
      <c r="H2638">
        <v>0.98946750000000006</v>
      </c>
      <c r="I2638">
        <v>283.69310000000002</v>
      </c>
      <c r="J2638">
        <v>-293.16109999999998</v>
      </c>
      <c r="K2638">
        <v>1.111577</v>
      </c>
      <c r="L2638">
        <v>283.64280000000002</v>
      </c>
      <c r="M2638">
        <v>-0.99874969999999996</v>
      </c>
      <c r="N2638">
        <v>0</v>
      </c>
      <c r="O2638">
        <v>4.936376E-2</v>
      </c>
      <c r="P2638">
        <v>-0.98454260000000005</v>
      </c>
      <c r="Q2638">
        <v>0.17487239999999901</v>
      </c>
      <c r="R2638">
        <v>-9.7833920000000001E-3</v>
      </c>
      <c r="S2638">
        <v>-3.1186219999999998</v>
      </c>
      <c r="T2638">
        <v>-0.39439370000000001</v>
      </c>
      <c r="U2638">
        <v>0.1867065</v>
      </c>
      <c r="V2638">
        <v>-5.9242499999999997E-2</v>
      </c>
      <c r="W2638">
        <v>0.1823478</v>
      </c>
      <c r="X2638">
        <v>0.98144770000000003</v>
      </c>
      <c r="Y2638">
        <v>1.0717620000000001E-2</v>
      </c>
      <c r="Z2638">
        <v>-5.5340819999999897E-3</v>
      </c>
      <c r="AA2638">
        <v>0.99992720000000002</v>
      </c>
      <c r="AB2638">
        <v>32</v>
      </c>
      <c r="AC2638">
        <v>-0.790300000000002</v>
      </c>
      <c r="AD2638">
        <v>-0.1221095</v>
      </c>
      <c r="AE2638">
        <v>5.0299999999992899E-2</v>
      </c>
      <c r="AF2638">
        <v>1.0964573843238901E-2</v>
      </c>
      <c r="AG2638">
        <v>-0.1221095</v>
      </c>
      <c r="AH2638">
        <v>0.77342960626511903</v>
      </c>
      <c r="AI2638">
        <v>98.970947384139805</v>
      </c>
      <c r="AJ2638">
        <v>89.187797157474193</v>
      </c>
      <c r="AK2638">
        <v>0.78308639862867702</v>
      </c>
      <c r="AL2638">
        <v>79.493457425408096</v>
      </c>
      <c r="AM2638">
        <v>93.454317173621803</v>
      </c>
      <c r="AN2638">
        <v>0.99999999090319003</v>
      </c>
    </row>
    <row r="2639" spans="1:40" x14ac:dyDescent="0.25">
      <c r="A2639" t="str">
        <f>"20190312172133267"</f>
        <v>20190312172133267</v>
      </c>
      <c r="B2639" t="str">
        <f>"1552382493263253"</f>
        <v>1552382493263253</v>
      </c>
      <c r="C2639" t="s">
        <v>40</v>
      </c>
      <c r="D2639">
        <v>3.2972130000000002</v>
      </c>
      <c r="E2639">
        <v>0.52608459999999901</v>
      </c>
      <c r="F2639" t="s">
        <v>41</v>
      </c>
      <c r="G2639">
        <v>-293.96129999999999</v>
      </c>
      <c r="H2639">
        <v>1.0097989999999999</v>
      </c>
      <c r="I2639">
        <v>283.6909</v>
      </c>
      <c r="J2639">
        <v>-293.34199999999998</v>
      </c>
      <c r="K2639">
        <v>1.1116459999999999</v>
      </c>
      <c r="L2639">
        <v>283.65039999999999</v>
      </c>
      <c r="M2639">
        <v>-0.99882110000000002</v>
      </c>
      <c r="N2639">
        <v>0</v>
      </c>
      <c r="O2639">
        <v>4.7896870000000001E-2</v>
      </c>
      <c r="P2639">
        <v>-0.98450590000000004</v>
      </c>
      <c r="Q2639">
        <v>0.17498549999999999</v>
      </c>
      <c r="R2639">
        <v>-1.134202E-2</v>
      </c>
      <c r="S2639">
        <v>-3.119507</v>
      </c>
      <c r="T2639">
        <v>-0.39692090000000002</v>
      </c>
      <c r="U2639">
        <v>0.18731690000000001</v>
      </c>
      <c r="V2639">
        <v>-5.9381200000000002E-2</v>
      </c>
      <c r="W2639">
        <v>0.18245800000000001</v>
      </c>
      <c r="X2639">
        <v>0.98141880000000004</v>
      </c>
      <c r="Y2639">
        <v>1.2343160000000001E-2</v>
      </c>
      <c r="Z2639">
        <v>-5.2793149999999997E-3</v>
      </c>
      <c r="AA2639">
        <v>0.99990990000000002</v>
      </c>
      <c r="AB2639">
        <v>32</v>
      </c>
      <c r="AC2639">
        <v>-0.61930000000000895</v>
      </c>
      <c r="AD2639">
        <v>-0.10184699999999999</v>
      </c>
      <c r="AE2639">
        <v>4.0500000000008599E-2</v>
      </c>
      <c r="AF2639">
        <v>1.0507099887220799E-2</v>
      </c>
      <c r="AG2639">
        <v>-0.10184699999999999</v>
      </c>
      <c r="AH2639">
        <v>0.60425626716810898</v>
      </c>
      <c r="AI2639">
        <v>99.565825047682793</v>
      </c>
      <c r="AJ2639">
        <v>89.0038137004573</v>
      </c>
      <c r="AK2639">
        <v>0.61286935554731203</v>
      </c>
      <c r="AL2639">
        <v>79.487035315240306</v>
      </c>
      <c r="AM2639">
        <v>93.462486563879807</v>
      </c>
      <c r="AN2639">
        <v>0.99999995483543902</v>
      </c>
    </row>
    <row r="2640" spans="1:40" x14ac:dyDescent="0.25">
      <c r="A2640" t="str">
        <f>"20190312172133285"</f>
        <v>20190312172133285</v>
      </c>
      <c r="B2640" t="str">
        <f>"1552382493273012"</f>
        <v>1552382493273012</v>
      </c>
      <c r="C2640" t="s">
        <v>40</v>
      </c>
      <c r="D2640">
        <v>3.118474</v>
      </c>
      <c r="E2640">
        <v>0.52624190000000004</v>
      </c>
      <c r="F2640" t="s">
        <v>41</v>
      </c>
      <c r="G2640">
        <v>-294.238</v>
      </c>
      <c r="H2640">
        <v>0.99365809999999999</v>
      </c>
      <c r="I2640">
        <v>283.70440000000002</v>
      </c>
      <c r="J2640">
        <v>-293.60469999999998</v>
      </c>
      <c r="K2640">
        <v>1.111726</v>
      </c>
      <c r="L2640">
        <v>283.661</v>
      </c>
      <c r="M2640">
        <v>-0.99892340000000002</v>
      </c>
      <c r="N2640">
        <v>0</v>
      </c>
      <c r="O2640">
        <v>4.5712099999999999E-2</v>
      </c>
      <c r="P2640">
        <v>-0.9844311</v>
      </c>
      <c r="Q2640">
        <v>0.17526340000000001</v>
      </c>
      <c r="R2640">
        <v>-1.334492E-2</v>
      </c>
      <c r="S2640">
        <v>-3.122528</v>
      </c>
      <c r="T2640">
        <v>-0.41172439999999999</v>
      </c>
      <c r="U2640">
        <v>0.18649289999999999</v>
      </c>
      <c r="V2640">
        <v>-5.926766E-2</v>
      </c>
      <c r="W2640">
        <v>0.1827346</v>
      </c>
      <c r="X2640">
        <v>0.98137430000000003</v>
      </c>
      <c r="Y2640">
        <v>1.4195640000000001E-2</v>
      </c>
      <c r="Z2640">
        <v>-5.0617120000000003E-3</v>
      </c>
      <c r="AA2640">
        <v>0.99988650000000001</v>
      </c>
      <c r="AB2640">
        <v>32</v>
      </c>
      <c r="AC2640">
        <v>-0.63330000000001896</v>
      </c>
      <c r="AD2640">
        <v>-0.118067899999999</v>
      </c>
      <c r="AE2640">
        <v>4.3400000000019603E-2</v>
      </c>
      <c r="AF2640">
        <v>1.39226037317241E-2</v>
      </c>
      <c r="AG2640">
        <v>-0.118067899999999</v>
      </c>
      <c r="AH2640">
        <v>0.613401454743849</v>
      </c>
      <c r="AI2640">
        <v>100.892343895599</v>
      </c>
      <c r="AJ2640">
        <v>88.699759374919793</v>
      </c>
      <c r="AK2640">
        <v>0.62481614302685096</v>
      </c>
      <c r="AL2640">
        <v>79.470917355421903</v>
      </c>
      <c r="AM2640">
        <v>93.456038492649398</v>
      </c>
      <c r="AN2640">
        <v>1.0000000531297599</v>
      </c>
    </row>
    <row r="2641" spans="1:40" x14ac:dyDescent="0.25">
      <c r="A2641" t="str">
        <f>"20190312172133298"</f>
        <v>20190312172133298</v>
      </c>
      <c r="B2641" t="str">
        <f>"1552382493293510"</f>
        <v>1552382493293510</v>
      </c>
      <c r="C2641" t="s">
        <v>40</v>
      </c>
      <c r="D2641">
        <v>3.1051289999999998</v>
      </c>
      <c r="E2641">
        <v>0.52656169999999902</v>
      </c>
      <c r="F2641" t="s">
        <v>41</v>
      </c>
      <c r="G2641">
        <v>-294.52159999999998</v>
      </c>
      <c r="H2641">
        <v>0.9901816</v>
      </c>
      <c r="I2641">
        <v>283.71420000000001</v>
      </c>
      <c r="J2641">
        <v>-293.79480000000001</v>
      </c>
      <c r="K2641">
        <v>1.1117840000000001</v>
      </c>
      <c r="L2641">
        <v>283.66820000000001</v>
      </c>
      <c r="M2641">
        <v>-0.998996</v>
      </c>
      <c r="N2641">
        <v>0</v>
      </c>
      <c r="O2641">
        <v>4.4094769999999998E-2</v>
      </c>
      <c r="P2641">
        <v>-0.9844174</v>
      </c>
      <c r="Q2641">
        <v>0.17524310000000001</v>
      </c>
      <c r="R2641">
        <v>-1.4569520000000001E-2</v>
      </c>
      <c r="S2641">
        <v>-3.123596</v>
      </c>
      <c r="T2641">
        <v>-0.4139951</v>
      </c>
      <c r="U2641">
        <v>0.1812744</v>
      </c>
      <c r="V2641">
        <v>-5.8924379999999998E-2</v>
      </c>
      <c r="W2641">
        <v>0.18271580000000001</v>
      </c>
      <c r="X2641">
        <v>0.9813984</v>
      </c>
      <c r="Y2641">
        <v>1.411888E-2</v>
      </c>
      <c r="Z2641">
        <v>-4.880077E-3</v>
      </c>
      <c r="AA2641">
        <v>0.99988840000000001</v>
      </c>
      <c r="AB2641">
        <v>32</v>
      </c>
      <c r="AC2641">
        <v>-0.72679999999996803</v>
      </c>
      <c r="AD2641">
        <v>-0.1216024</v>
      </c>
      <c r="AE2641">
        <v>4.59999999999922E-2</v>
      </c>
      <c r="AF2641">
        <v>1.3528963114397099E-2</v>
      </c>
      <c r="AG2641">
        <v>-0.1216024</v>
      </c>
      <c r="AH2641">
        <v>0.70837091866169299</v>
      </c>
      <c r="AI2641">
        <v>99.738988279382596</v>
      </c>
      <c r="AJ2641">
        <v>88.905858160522499</v>
      </c>
      <c r="AK2641">
        <v>0.71885988546748203</v>
      </c>
      <c r="AL2641">
        <v>79.472012213006593</v>
      </c>
      <c r="AM2641">
        <v>93.435984940821498</v>
      </c>
      <c r="AN2641">
        <v>0.99999998282529201</v>
      </c>
    </row>
    <row r="2642" spans="1:40" x14ac:dyDescent="0.25">
      <c r="A2642" t="str">
        <f>"20190312172133318"</f>
        <v>20190312172133318</v>
      </c>
      <c r="B2642" t="str">
        <f>"1552382493313029"</f>
        <v>1552382493313029</v>
      </c>
      <c r="C2642" t="s">
        <v>40</v>
      </c>
      <c r="D2642">
        <v>3.1097410000000001</v>
      </c>
      <c r="E2642">
        <v>0.52691299999999996</v>
      </c>
      <c r="F2642" t="s">
        <v>41</v>
      </c>
      <c r="G2642">
        <v>-294.53289999999998</v>
      </c>
      <c r="H2642">
        <v>1.013153</v>
      </c>
      <c r="I2642">
        <v>283.71069999999997</v>
      </c>
      <c r="J2642">
        <v>-294.08229999999998</v>
      </c>
      <c r="K2642">
        <v>1.1118600000000001</v>
      </c>
      <c r="L2642">
        <v>283.67860000000002</v>
      </c>
      <c r="M2642">
        <v>-0.99910310000000002</v>
      </c>
      <c r="N2642">
        <v>0</v>
      </c>
      <c r="O2642">
        <v>4.159525E-2</v>
      </c>
      <c r="P2642">
        <v>-0.98442660000000004</v>
      </c>
      <c r="Q2642">
        <v>0.17501420000000001</v>
      </c>
      <c r="R2642">
        <v>-1.6572819999999999E-2</v>
      </c>
      <c r="S2642">
        <v>-3.1244809999999998</v>
      </c>
      <c r="T2642">
        <v>-0.41746179999999999</v>
      </c>
      <c r="U2642">
        <v>0.17987059999999999</v>
      </c>
      <c r="V2642">
        <v>-5.849915E-2</v>
      </c>
      <c r="W2642">
        <v>0.18249029999999999</v>
      </c>
      <c r="X2642">
        <v>0.98146580000000005</v>
      </c>
      <c r="Y2642">
        <v>1.6120800000000001E-2</v>
      </c>
      <c r="Z2642">
        <v>-4.4544550000000004E-3</v>
      </c>
      <c r="AA2642">
        <v>0.99986010000000003</v>
      </c>
      <c r="AB2642">
        <v>32</v>
      </c>
      <c r="AC2642">
        <v>-0.45060000000000799</v>
      </c>
      <c r="AD2642">
        <v>-9.87070000000001E-2</v>
      </c>
      <c r="AE2642">
        <v>3.20999999999571E-2</v>
      </c>
      <c r="AF2642">
        <v>1.27214412773962E-2</v>
      </c>
      <c r="AG2642">
        <v>-9.87070000000001E-2</v>
      </c>
      <c r="AH2642">
        <v>0.43096923040580098</v>
      </c>
      <c r="AI2642">
        <v>102.894807481016</v>
      </c>
      <c r="AJ2642">
        <v>88.309221969447705</v>
      </c>
      <c r="AK2642">
        <v>0.442311411195487</v>
      </c>
      <c r="AL2642">
        <v>79.485153416117001</v>
      </c>
      <c r="AM2642">
        <v>93.411014086517994</v>
      </c>
      <c r="AN2642">
        <v>0.99999998835722603</v>
      </c>
    </row>
    <row r="2643" spans="1:40" x14ac:dyDescent="0.25">
      <c r="A2643" t="str">
        <f>"20190312172133330"</f>
        <v>20190312172133330</v>
      </c>
      <c r="B2643" t="str">
        <f>"1552382493323764"</f>
        <v>1552382493323764</v>
      </c>
      <c r="C2643" t="s">
        <v>40</v>
      </c>
      <c r="D2643">
        <v>3.1365539999999998</v>
      </c>
      <c r="E2643">
        <v>0.5271574</v>
      </c>
      <c r="F2643" t="s">
        <v>41</v>
      </c>
      <c r="G2643">
        <v>-294.81849999999997</v>
      </c>
      <c r="H2643">
        <v>1.012532</v>
      </c>
      <c r="I2643">
        <v>283.72039999999998</v>
      </c>
      <c r="J2643">
        <v>-294.26080000000002</v>
      </c>
      <c r="K2643">
        <v>1.111899</v>
      </c>
      <c r="L2643">
        <v>283.68459999999999</v>
      </c>
      <c r="M2643">
        <v>-0.99916760000000004</v>
      </c>
      <c r="N2643">
        <v>0</v>
      </c>
      <c r="O2643">
        <v>4.0013630000000001E-2</v>
      </c>
      <c r="P2643">
        <v>-0.98443020000000003</v>
      </c>
      <c r="Q2643">
        <v>0.17485290000000001</v>
      </c>
      <c r="R2643">
        <v>-1.799591E-2</v>
      </c>
      <c r="S2643">
        <v>-3.1254879999999998</v>
      </c>
      <c r="T2643">
        <v>-0.42215540000000001</v>
      </c>
      <c r="U2643">
        <v>0.17630000000000001</v>
      </c>
      <c r="V2643">
        <v>-5.8383440000000002E-2</v>
      </c>
      <c r="W2643">
        <v>0.18233050000000001</v>
      </c>
      <c r="X2643">
        <v>0.9815024</v>
      </c>
      <c r="Y2643">
        <v>1.6533470000000001E-2</v>
      </c>
      <c r="Z2643">
        <v>-4.2628659999999997E-3</v>
      </c>
      <c r="AA2643">
        <v>0.99985420000000003</v>
      </c>
      <c r="AB2643">
        <v>32</v>
      </c>
      <c r="AC2643">
        <v>-0.55769999999995401</v>
      </c>
      <c r="AD2643">
        <v>-9.93669999999999E-2</v>
      </c>
      <c r="AE2643">
        <v>3.5799999999994697E-2</v>
      </c>
      <c r="AF2643">
        <v>1.3042674636261201E-2</v>
      </c>
      <c r="AG2643">
        <v>-9.93669999999999E-2</v>
      </c>
      <c r="AH2643">
        <v>0.54156415407138103</v>
      </c>
      <c r="AI2643">
        <v>100.39412234830699</v>
      </c>
      <c r="AJ2643">
        <v>88.620392843724105</v>
      </c>
      <c r="AK2643">
        <v>0.55075915337442904</v>
      </c>
      <c r="AL2643">
        <v>79.494465631484701</v>
      </c>
      <c r="AM2643">
        <v>93.404156414477299</v>
      </c>
      <c r="AN2643">
        <v>0.99999999925112104</v>
      </c>
    </row>
    <row r="2644" spans="1:40" x14ac:dyDescent="0.25">
      <c r="A2644" t="str">
        <f>"20190312172133342"</f>
        <v>20190312172133342</v>
      </c>
      <c r="B2644" t="str">
        <f>"1552382493333525"</f>
        <v>1552382493333525</v>
      </c>
      <c r="C2644" t="s">
        <v>40</v>
      </c>
      <c r="D2644">
        <v>3.1011129999999998</v>
      </c>
      <c r="E2644">
        <v>0.52727939999999995</v>
      </c>
      <c r="F2644" t="s">
        <v>41</v>
      </c>
      <c r="G2644">
        <v>-295.09789999999998</v>
      </c>
      <c r="H2644">
        <v>0.99807290000000004</v>
      </c>
      <c r="I2644">
        <v>283.7312</v>
      </c>
      <c r="J2644">
        <v>-294.43040000000002</v>
      </c>
      <c r="K2644">
        <v>1.1119380000000001</v>
      </c>
      <c r="L2644">
        <v>283.69009999999997</v>
      </c>
      <c r="M2644">
        <v>-0.99922690000000003</v>
      </c>
      <c r="N2644">
        <v>0</v>
      </c>
      <c r="O2644">
        <v>3.850133E-2</v>
      </c>
      <c r="P2644">
        <v>-0.98444399999999999</v>
      </c>
      <c r="Q2644">
        <v>0.17465510000000001</v>
      </c>
      <c r="R2644">
        <v>-1.9119830000000001E-2</v>
      </c>
      <c r="S2644">
        <v>-3.12616</v>
      </c>
      <c r="T2644">
        <v>-0.4251588</v>
      </c>
      <c r="U2644">
        <v>0.1740112</v>
      </c>
      <c r="V2644">
        <v>-5.803548E-2</v>
      </c>
      <c r="W2644">
        <v>0.18213679999999999</v>
      </c>
      <c r="X2644">
        <v>0.98155899999999996</v>
      </c>
      <c r="Y2644">
        <v>1.728712E-2</v>
      </c>
      <c r="Z2644">
        <v>-4.0367850000000002E-3</v>
      </c>
      <c r="AA2644">
        <v>0.99984240000000002</v>
      </c>
      <c r="AB2644">
        <v>32</v>
      </c>
      <c r="AC2644">
        <v>-0.66749999999996101</v>
      </c>
      <c r="AD2644">
        <v>-0.113865099999999</v>
      </c>
      <c r="AE2644">
        <v>4.1100000000028503E-2</v>
      </c>
      <c r="AF2644">
        <v>1.4936089488274899E-2</v>
      </c>
      <c r="AG2644">
        <v>-0.113865099999999</v>
      </c>
      <c r="AH2644">
        <v>0.64975176041955696</v>
      </c>
      <c r="AI2644">
        <v>99.937237088127702</v>
      </c>
      <c r="AJ2644">
        <v>88.683152160657201</v>
      </c>
      <c r="AK2644">
        <v>0.65982247456079002</v>
      </c>
      <c r="AL2644">
        <v>79.505752840210505</v>
      </c>
      <c r="AM2644">
        <v>93.383720564070899</v>
      </c>
      <c r="AN2644">
        <v>1.00000000066703</v>
      </c>
    </row>
    <row r="2645" spans="1:40" x14ac:dyDescent="0.25">
      <c r="A2645" t="str">
        <f>"20190312172133353"</f>
        <v>20190312172133353</v>
      </c>
      <c r="B2645" t="str">
        <f>"1552382493343285"</f>
        <v>1552382493343285</v>
      </c>
      <c r="C2645" t="s">
        <v>40</v>
      </c>
      <c r="D2645">
        <v>3.1175639999999998</v>
      </c>
      <c r="E2645">
        <v>0.52732250000000003</v>
      </c>
      <c r="F2645" t="s">
        <v>41</v>
      </c>
      <c r="G2645">
        <v>-295.3775</v>
      </c>
      <c r="H2645">
        <v>0.98272230000000005</v>
      </c>
      <c r="I2645">
        <v>283.74220000000003</v>
      </c>
      <c r="J2645">
        <v>-294.59089999999998</v>
      </c>
      <c r="K2645">
        <v>1.1119699999999999</v>
      </c>
      <c r="L2645">
        <v>283.69499999999999</v>
      </c>
      <c r="M2645">
        <v>-0.99928159999999999</v>
      </c>
      <c r="N2645">
        <v>0</v>
      </c>
      <c r="O2645">
        <v>3.7053120000000002E-2</v>
      </c>
      <c r="P2645">
        <v>-0.9844136</v>
      </c>
      <c r="Q2645">
        <v>0.17471519999999999</v>
      </c>
      <c r="R2645">
        <v>-2.0114389999999999E-2</v>
      </c>
      <c r="S2645">
        <v>-3.126465</v>
      </c>
      <c r="T2645">
        <v>-0.42688799999999999</v>
      </c>
      <c r="U2645">
        <v>0.1712341</v>
      </c>
      <c r="V2645">
        <v>-5.7618669999999997E-2</v>
      </c>
      <c r="W2645">
        <v>0.18220249999999999</v>
      </c>
      <c r="X2645">
        <v>0.98157139999999998</v>
      </c>
      <c r="Y2645">
        <v>1.782854E-2</v>
      </c>
      <c r="Z2645">
        <v>-3.8195379999999999E-3</v>
      </c>
      <c r="AA2645">
        <v>0.99983379999999999</v>
      </c>
      <c r="AB2645">
        <v>32</v>
      </c>
      <c r="AC2645">
        <v>-0.78660000000002095</v>
      </c>
      <c r="AD2645">
        <v>-0.12924769999999999</v>
      </c>
      <c r="AE2645">
        <v>4.7200000000032098E-2</v>
      </c>
      <c r="AF2645">
        <v>1.7548594255551601E-2</v>
      </c>
      <c r="AG2645">
        <v>-0.12924769999999999</v>
      </c>
      <c r="AH2645">
        <v>0.76717070871071003</v>
      </c>
      <c r="AI2645">
        <v>99.560546838833005</v>
      </c>
      <c r="AJ2645">
        <v>88.689620099838294</v>
      </c>
      <c r="AK2645">
        <v>0.77817981046756102</v>
      </c>
      <c r="AL2645">
        <v>79.501924840820706</v>
      </c>
      <c r="AM2645">
        <v>93.359432249266405</v>
      </c>
      <c r="AN2645">
        <v>1.00000003771838</v>
      </c>
    </row>
    <row r="2646" spans="1:40" x14ac:dyDescent="0.25">
      <c r="A2646" t="str">
        <f>"20190312172133365"</f>
        <v>20190312172133365</v>
      </c>
      <c r="B2646" t="str">
        <f>"1552382493353045"</f>
        <v>1552382493353045</v>
      </c>
      <c r="C2646" t="s">
        <v>40</v>
      </c>
      <c r="D2646">
        <v>3.1347849999999999</v>
      </c>
      <c r="E2646">
        <v>0.52737599999999996</v>
      </c>
      <c r="F2646" t="s">
        <v>41</v>
      </c>
      <c r="G2646">
        <v>-295.38749999999999</v>
      </c>
      <c r="H2646">
        <v>1.003147</v>
      </c>
      <c r="I2646">
        <v>283.738</v>
      </c>
      <c r="J2646">
        <v>-294.75810000000001</v>
      </c>
      <c r="K2646">
        <v>1.1120030000000001</v>
      </c>
      <c r="L2646">
        <v>283.69990000000001</v>
      </c>
      <c r="M2646">
        <v>-0.99933669999999997</v>
      </c>
      <c r="N2646">
        <v>0</v>
      </c>
      <c r="O2646">
        <v>3.5536900000000003E-2</v>
      </c>
      <c r="P2646">
        <v>-0.98444140000000002</v>
      </c>
      <c r="Q2646">
        <v>0.174424</v>
      </c>
      <c r="R2646">
        <v>-2.1249199999999999E-2</v>
      </c>
      <c r="S2646">
        <v>-3.1268009999999999</v>
      </c>
      <c r="T2646">
        <v>-0.42750549999999998</v>
      </c>
      <c r="U2646">
        <v>0.1678162</v>
      </c>
      <c r="V2646">
        <v>-5.7275840000000001E-2</v>
      </c>
      <c r="W2646">
        <v>0.18191879999999999</v>
      </c>
      <c r="X2646">
        <v>0.98164399999999996</v>
      </c>
      <c r="Y2646">
        <v>1.8232669999999999E-2</v>
      </c>
      <c r="Z2646">
        <v>-3.591262E-3</v>
      </c>
      <c r="AA2646">
        <v>0.99982729999999997</v>
      </c>
      <c r="AB2646">
        <v>32</v>
      </c>
      <c r="AC2646">
        <v>-0.62939999999997498</v>
      </c>
      <c r="AD2646">
        <v>-0.10885599999999999</v>
      </c>
      <c r="AE2646">
        <v>3.8099999999985798E-2</v>
      </c>
      <c r="AF2646">
        <v>1.52536918032208E-2</v>
      </c>
      <c r="AG2646">
        <v>-0.10885599999999999</v>
      </c>
      <c r="AH2646">
        <v>0.61211348710172198</v>
      </c>
      <c r="AI2646">
        <v>100.080783168978</v>
      </c>
      <c r="AJ2646">
        <v>88.572501115910498</v>
      </c>
      <c r="AK2646">
        <v>0.62190451432792904</v>
      </c>
      <c r="AL2646">
        <v>79.518455078398603</v>
      </c>
      <c r="AM2646">
        <v>93.339242642740402</v>
      </c>
      <c r="AN2646">
        <v>0.99999995718857104</v>
      </c>
    </row>
    <row r="2647" spans="1:40" x14ac:dyDescent="0.25">
      <c r="A2647" t="str">
        <f>"20190312172133376"</f>
        <v>20190312172133376</v>
      </c>
      <c r="B2647" t="str">
        <f>"1552382493373541"</f>
        <v>1552382493373541</v>
      </c>
      <c r="C2647" t="s">
        <v>40</v>
      </c>
      <c r="D2647">
        <v>3.1028289999999998</v>
      </c>
      <c r="E2647">
        <v>0.52768780000000004</v>
      </c>
      <c r="F2647" t="s">
        <v>41</v>
      </c>
      <c r="G2647">
        <v>-295.66739999999999</v>
      </c>
      <c r="H2647">
        <v>0.98709440000000004</v>
      </c>
      <c r="I2647">
        <v>283.74759999999998</v>
      </c>
      <c r="J2647">
        <v>-294.9162</v>
      </c>
      <c r="K2647">
        <v>1.1120319999999999</v>
      </c>
      <c r="L2647">
        <v>283.70429999999999</v>
      </c>
      <c r="M2647">
        <v>-0.99938689999999997</v>
      </c>
      <c r="N2647">
        <v>0</v>
      </c>
      <c r="O2647">
        <v>3.4094109999999997E-2</v>
      </c>
      <c r="P2647">
        <v>-0.98442200000000002</v>
      </c>
      <c r="Q2647">
        <v>0.17440549999999999</v>
      </c>
      <c r="R2647">
        <v>-2.227266E-2</v>
      </c>
      <c r="S2647">
        <v>-3.127014</v>
      </c>
      <c r="T2647">
        <v>-0.42936809999999997</v>
      </c>
      <c r="U2647">
        <v>0.164550799999999</v>
      </c>
      <c r="V2647">
        <v>-5.689118E-2</v>
      </c>
      <c r="W2647">
        <v>0.1819085</v>
      </c>
      <c r="X2647">
        <v>0.9816684</v>
      </c>
      <c r="Y2647">
        <v>1.8615679999999999E-2</v>
      </c>
      <c r="Z2647">
        <v>-3.3836130000000002E-3</v>
      </c>
      <c r="AA2647">
        <v>0.99982099999999996</v>
      </c>
      <c r="AB2647">
        <v>32</v>
      </c>
      <c r="AC2647">
        <v>-0.75119999999998199</v>
      </c>
      <c r="AD2647">
        <v>-0.124937599999999</v>
      </c>
      <c r="AE2647">
        <v>4.3299999999987897E-2</v>
      </c>
      <c r="AF2647">
        <v>1.7188629233556199E-2</v>
      </c>
      <c r="AG2647">
        <v>-0.124937599999999</v>
      </c>
      <c r="AH2647">
        <v>0.73205685917764096</v>
      </c>
      <c r="AI2647">
        <v>99.682539494642398</v>
      </c>
      <c r="AJ2647">
        <v>88.654947390827104</v>
      </c>
      <c r="AK2647">
        <v>0.74284056024002898</v>
      </c>
      <c r="AL2647">
        <v>79.519056521010398</v>
      </c>
      <c r="AM2647">
        <v>93.316784534295195</v>
      </c>
      <c r="AN2647">
        <v>1.0000000781462901</v>
      </c>
    </row>
    <row r="2648" spans="1:40" x14ac:dyDescent="0.25">
      <c r="A2648" t="str">
        <f>"20190312172133387"</f>
        <v>20190312172133387</v>
      </c>
      <c r="B2648" t="str">
        <f>"1552382493383806"</f>
        <v>1552382493383806</v>
      </c>
      <c r="C2648" t="s">
        <v>40</v>
      </c>
      <c r="D2648">
        <v>3.1180439999999998</v>
      </c>
      <c r="E2648">
        <v>0.52783080000000004</v>
      </c>
      <c r="F2648" t="s">
        <v>41</v>
      </c>
      <c r="G2648">
        <v>-295.67689999999999</v>
      </c>
      <c r="H2648">
        <v>1.0063610000000001</v>
      </c>
      <c r="I2648">
        <v>283.7439</v>
      </c>
      <c r="J2648">
        <v>-295.07889999999998</v>
      </c>
      <c r="K2648">
        <v>1.1120589999999999</v>
      </c>
      <c r="L2648">
        <v>283.70850000000002</v>
      </c>
      <c r="M2648">
        <v>-0.99943649999999995</v>
      </c>
      <c r="N2648">
        <v>0</v>
      </c>
      <c r="O2648">
        <v>3.2602249999999999E-2</v>
      </c>
      <c r="P2648">
        <v>-0.9843729</v>
      </c>
      <c r="Q2648">
        <v>0.17452770000000001</v>
      </c>
      <c r="R2648">
        <v>-2.3454929999999999E-2</v>
      </c>
      <c r="S2648">
        <v>-3.1281129999999999</v>
      </c>
      <c r="T2648">
        <v>-0.4344074</v>
      </c>
      <c r="U2648">
        <v>0.16345209999999999</v>
      </c>
      <c r="V2648">
        <v>-5.6615480000000003E-2</v>
      </c>
      <c r="W2648">
        <v>0.1820388</v>
      </c>
      <c r="X2648">
        <v>0.98166010000000004</v>
      </c>
      <c r="Y2648">
        <v>1.9718030000000001E-2</v>
      </c>
      <c r="Z2648">
        <v>-3.139794E-3</v>
      </c>
      <c r="AA2648">
        <v>0.99980060000000004</v>
      </c>
      <c r="AB2648">
        <v>32</v>
      </c>
      <c r="AC2648">
        <v>-0.59800000000001297</v>
      </c>
      <c r="AD2648">
        <v>-0.105697999999999</v>
      </c>
      <c r="AE2648">
        <v>3.5399999999981398E-2</v>
      </c>
      <c r="AF2648">
        <v>1.54048247122911E-2</v>
      </c>
      <c r="AG2648">
        <v>-0.105697999999999</v>
      </c>
      <c r="AH2648">
        <v>0.580755944439312</v>
      </c>
      <c r="AI2648">
        <v>100.311421055474</v>
      </c>
      <c r="AJ2648">
        <v>88.480558779843193</v>
      </c>
      <c r="AK2648">
        <v>0.59049711500566504</v>
      </c>
      <c r="AL2648">
        <v>79.511463228082604</v>
      </c>
      <c r="AM2648">
        <v>93.300774556848594</v>
      </c>
      <c r="AN2648">
        <v>0.99999999460653999</v>
      </c>
    </row>
    <row r="2649" spans="1:40" x14ac:dyDescent="0.25">
      <c r="A2649" t="str">
        <f>"20190312172133407"</f>
        <v>20190312172133407</v>
      </c>
      <c r="B2649" t="str">
        <f>"1552382493403326"</f>
        <v>1552382493403326</v>
      </c>
      <c r="C2649" t="s">
        <v>40</v>
      </c>
      <c r="D2649">
        <v>3.0695410000000001</v>
      </c>
      <c r="E2649">
        <v>0.52804849999999903</v>
      </c>
      <c r="F2649" t="s">
        <v>41</v>
      </c>
      <c r="G2649">
        <v>-295.95710000000003</v>
      </c>
      <c r="H2649">
        <v>0.98980330000000005</v>
      </c>
      <c r="I2649">
        <v>283.75369999999998</v>
      </c>
      <c r="J2649">
        <v>-295.34989999999999</v>
      </c>
      <c r="K2649">
        <v>1.112098</v>
      </c>
      <c r="L2649">
        <v>283.71499999999997</v>
      </c>
      <c r="M2649">
        <v>-0.99951460000000003</v>
      </c>
      <c r="N2649">
        <v>0</v>
      </c>
      <c r="O2649">
        <v>3.0106399999999998E-2</v>
      </c>
      <c r="P2649">
        <v>-0.98423799999999995</v>
      </c>
      <c r="Q2649">
        <v>0.17502599999999999</v>
      </c>
      <c r="R2649">
        <v>-2.5326990000000001E-2</v>
      </c>
      <c r="S2649">
        <v>-3.1287229999999999</v>
      </c>
      <c r="T2649">
        <v>-0.43586819999999998</v>
      </c>
      <c r="U2649">
        <v>0.16009519999999999</v>
      </c>
      <c r="V2649">
        <v>-5.6047409999999999E-2</v>
      </c>
      <c r="W2649">
        <v>0.18255170000000001</v>
      </c>
      <c r="X2649">
        <v>0.98159739999999995</v>
      </c>
      <c r="Y2649">
        <v>2.109813E-2</v>
      </c>
      <c r="Z2649">
        <v>-2.7085880000000001E-3</v>
      </c>
      <c r="AA2649">
        <v>0.99977369999999999</v>
      </c>
      <c r="AB2649">
        <v>32</v>
      </c>
      <c r="AC2649">
        <v>-0.60720000000003405</v>
      </c>
      <c r="AD2649">
        <v>-0.12229469999999899</v>
      </c>
      <c r="AE2649">
        <v>3.8700000000005702E-2</v>
      </c>
      <c r="AF2649">
        <v>1.9609040449645801E-2</v>
      </c>
      <c r="AG2649">
        <v>-0.12229469999999899</v>
      </c>
      <c r="AH2649">
        <v>0.58447651085432495</v>
      </c>
      <c r="AI2649">
        <v>101.811499030831</v>
      </c>
      <c r="AJ2649">
        <v>88.078461693321302</v>
      </c>
      <c r="AK2649">
        <v>0.59745568861288101</v>
      </c>
      <c r="AL2649">
        <v>79.481574894930205</v>
      </c>
      <c r="AM2649">
        <v>93.267935561722297</v>
      </c>
      <c r="AN2649">
        <v>0.99999994551367699</v>
      </c>
    </row>
    <row r="2650" spans="1:40" x14ac:dyDescent="0.25">
      <c r="A2650" t="str">
        <f>"20190312172133418"</f>
        <v>20190312172133418</v>
      </c>
      <c r="B2650" t="str">
        <f>"1552382493413086"</f>
        <v>1552382493413086</v>
      </c>
      <c r="C2650" t="s">
        <v>40</v>
      </c>
      <c r="D2650">
        <v>3.1231840000000002</v>
      </c>
      <c r="E2650">
        <v>0.52819930000000004</v>
      </c>
      <c r="F2650" t="s">
        <v>41</v>
      </c>
      <c r="G2650">
        <v>-296.24459999999999</v>
      </c>
      <c r="H2650">
        <v>0.98676779999999997</v>
      </c>
      <c r="I2650">
        <v>283.7593</v>
      </c>
      <c r="J2650">
        <v>-295.52749999999997</v>
      </c>
      <c r="K2650">
        <v>1.11212</v>
      </c>
      <c r="L2650">
        <v>283.71899999999999</v>
      </c>
      <c r="M2650">
        <v>-0.99956270000000003</v>
      </c>
      <c r="N2650">
        <v>0</v>
      </c>
      <c r="O2650">
        <v>2.846595E-2</v>
      </c>
      <c r="P2650">
        <v>-0.98416219999999999</v>
      </c>
      <c r="Q2650">
        <v>0.1752716</v>
      </c>
      <c r="R2650">
        <v>-2.65431E-2</v>
      </c>
      <c r="S2650">
        <v>-3.1300050000000001</v>
      </c>
      <c r="T2650">
        <v>-0.4384825</v>
      </c>
      <c r="U2650">
        <v>0.1550598</v>
      </c>
      <c r="V2650">
        <v>-5.5658550000000001E-2</v>
      </c>
      <c r="W2650">
        <v>0.1828082</v>
      </c>
      <c r="X2650">
        <v>0.98157190000000005</v>
      </c>
      <c r="Y2650">
        <v>2.1098760000000001E-2</v>
      </c>
      <c r="Z2650">
        <v>-2.4952569999999999E-3</v>
      </c>
      <c r="AA2650">
        <v>0.9997743</v>
      </c>
      <c r="AB2650">
        <v>32</v>
      </c>
      <c r="AC2650">
        <v>-0.71710000000001595</v>
      </c>
      <c r="AD2650">
        <v>-0.1253522</v>
      </c>
      <c r="AE2650">
        <v>4.0300000000002001E-2</v>
      </c>
      <c r="AF2650">
        <v>1.9282722258642099E-2</v>
      </c>
      <c r="AG2650">
        <v>-0.1253522</v>
      </c>
      <c r="AH2650">
        <v>0.69673383764355401</v>
      </c>
      <c r="AI2650">
        <v>100.19538119040701</v>
      </c>
      <c r="AJ2650">
        <v>88.414693542027194</v>
      </c>
      <c r="AK2650">
        <v>0.70818291277046397</v>
      </c>
      <c r="AL2650">
        <v>79.466628140446403</v>
      </c>
      <c r="AM2650">
        <v>93.245395206232701</v>
      </c>
      <c r="AN2650">
        <v>1.00000005352247</v>
      </c>
    </row>
    <row r="2651" spans="1:40" x14ac:dyDescent="0.25">
      <c r="A2651" t="str">
        <f>"20190312172133429"</f>
        <v>20190312172133429</v>
      </c>
      <c r="B2651" t="str">
        <f>"1552382493423822"</f>
        <v>1552382493423822</v>
      </c>
      <c r="C2651" t="s">
        <v>40</v>
      </c>
      <c r="D2651">
        <v>3.2553290000000001</v>
      </c>
      <c r="E2651">
        <v>0.52819709999999997</v>
      </c>
      <c r="F2651" t="s">
        <v>41</v>
      </c>
      <c r="G2651">
        <v>-296.25580000000002</v>
      </c>
      <c r="H2651">
        <v>1.0095529999999999</v>
      </c>
      <c r="I2651">
        <v>283.75420000000003</v>
      </c>
      <c r="J2651">
        <v>-295.68259999999998</v>
      </c>
      <c r="K2651">
        <v>1.1121350000000001</v>
      </c>
      <c r="L2651">
        <v>283.72210000000001</v>
      </c>
      <c r="M2651">
        <v>-0.99960249999999995</v>
      </c>
      <c r="N2651">
        <v>0</v>
      </c>
      <c r="O2651">
        <v>2.7028920000000001E-2</v>
      </c>
      <c r="P2651">
        <v>-0.98411110000000002</v>
      </c>
      <c r="Q2651">
        <v>0.17539360000000001</v>
      </c>
      <c r="R2651">
        <v>-2.7614010000000001E-2</v>
      </c>
      <c r="S2651">
        <v>-3.1309200000000001</v>
      </c>
      <c r="T2651">
        <v>-0.44089630000000002</v>
      </c>
      <c r="U2651">
        <v>0.15167240000000001</v>
      </c>
      <c r="V2651">
        <v>-5.5322049999999998E-2</v>
      </c>
      <c r="W2651">
        <v>0.18293899999999999</v>
      </c>
      <c r="X2651">
        <v>0.98156650000000001</v>
      </c>
      <c r="Y2651">
        <v>2.1425920000000001E-2</v>
      </c>
      <c r="Z2651">
        <v>-2.284173E-3</v>
      </c>
      <c r="AA2651">
        <v>0.99976779999999998</v>
      </c>
      <c r="AB2651">
        <v>32</v>
      </c>
      <c r="AC2651">
        <v>-0.57320000000004201</v>
      </c>
      <c r="AD2651">
        <v>-0.10258199999999899</v>
      </c>
      <c r="AE2651">
        <v>3.2100000000013999E-2</v>
      </c>
      <c r="AF2651">
        <v>1.6081353160037198E-2</v>
      </c>
      <c r="AG2651">
        <v>-0.10258199999999899</v>
      </c>
      <c r="AH2651">
        <v>0.55610303456709398</v>
      </c>
      <c r="AI2651">
        <v>100.44735051837</v>
      </c>
      <c r="AJ2651">
        <v>88.343585812601006</v>
      </c>
      <c r="AK2651">
        <v>0.56571393981250695</v>
      </c>
      <c r="AL2651">
        <v>79.459004738644396</v>
      </c>
      <c r="AM2651">
        <v>93.225833494435307</v>
      </c>
      <c r="AN2651">
        <v>1.00000000042972</v>
      </c>
    </row>
    <row r="2652" spans="1:40" x14ac:dyDescent="0.25">
      <c r="A2652" t="str">
        <f>"20190312172133442"</f>
        <v>20190312172133442</v>
      </c>
      <c r="B2652" t="str">
        <f>"1552382493433582"</f>
        <v>1552382493433582</v>
      </c>
      <c r="C2652" t="s">
        <v>40</v>
      </c>
      <c r="D2652">
        <v>3.1050680000000002</v>
      </c>
      <c r="E2652">
        <v>0.52829250000000005</v>
      </c>
      <c r="F2652" t="s">
        <v>41</v>
      </c>
      <c r="G2652">
        <v>-296.53640000000001</v>
      </c>
      <c r="H2652">
        <v>0.99133899999999997</v>
      </c>
      <c r="I2652">
        <v>283.76249999999999</v>
      </c>
      <c r="J2652">
        <v>-295.86799999999999</v>
      </c>
      <c r="K2652">
        <v>1.112152</v>
      </c>
      <c r="L2652">
        <v>283.72559999999999</v>
      </c>
      <c r="M2652">
        <v>-0.99964739999999996</v>
      </c>
      <c r="N2652">
        <v>0</v>
      </c>
      <c r="O2652">
        <v>2.5312009999999999E-2</v>
      </c>
      <c r="P2652">
        <v>-0.98406519999999997</v>
      </c>
      <c r="Q2652">
        <v>0.17550370000000001</v>
      </c>
      <c r="R2652">
        <v>-2.8541440000000001E-2</v>
      </c>
      <c r="S2652">
        <v>-3.1315919999999999</v>
      </c>
      <c r="T2652">
        <v>-0.44339410000000001</v>
      </c>
      <c r="U2652">
        <v>0.14761350000000001</v>
      </c>
      <c r="V2652">
        <v>-5.456768E-2</v>
      </c>
      <c r="W2652">
        <v>0.18306230000000001</v>
      </c>
      <c r="X2652">
        <v>0.98158570000000001</v>
      </c>
      <c r="Y2652">
        <v>2.1819499999999999E-2</v>
      </c>
      <c r="Z2652">
        <v>-2.0272509999999999E-3</v>
      </c>
      <c r="AA2652">
        <v>0.99975990000000003</v>
      </c>
      <c r="AB2652">
        <v>32</v>
      </c>
      <c r="AC2652">
        <v>-0.66840000000001898</v>
      </c>
      <c r="AD2652">
        <v>-0.120813</v>
      </c>
      <c r="AE2652">
        <v>3.6900000000002799E-2</v>
      </c>
      <c r="AF2652">
        <v>1.93391852250543E-2</v>
      </c>
      <c r="AG2652">
        <v>-0.120813</v>
      </c>
      <c r="AH2652">
        <v>0.64801334603168204</v>
      </c>
      <c r="AI2652">
        <v>100.556156100664</v>
      </c>
      <c r="AJ2652">
        <v>88.290583193431303</v>
      </c>
      <c r="AK2652">
        <v>0.65946272198612199</v>
      </c>
      <c r="AL2652">
        <v>79.451818407975694</v>
      </c>
      <c r="AM2652">
        <v>93.1818750133273</v>
      </c>
      <c r="AN2652">
        <v>0.99999996191317997</v>
      </c>
    </row>
    <row r="2653" spans="1:40" x14ac:dyDescent="0.25">
      <c r="A2653" t="str">
        <f>"20190312172133454"</f>
        <v>20190312172133454</v>
      </c>
      <c r="B2653" t="str">
        <f>"1552382493443343"</f>
        <v>1552382493443343</v>
      </c>
      <c r="C2653" t="s">
        <v>40</v>
      </c>
      <c r="D2653">
        <v>3.1185839999999998</v>
      </c>
      <c r="E2653">
        <v>0.52828819999999999</v>
      </c>
      <c r="F2653" t="s">
        <v>41</v>
      </c>
      <c r="G2653">
        <v>-296.81959999999998</v>
      </c>
      <c r="H2653">
        <v>0.97714259999999997</v>
      </c>
      <c r="I2653">
        <v>283.76979999999998</v>
      </c>
      <c r="J2653">
        <v>-296.0403</v>
      </c>
      <c r="K2653">
        <v>1.1121650000000001</v>
      </c>
      <c r="L2653">
        <v>283.7285</v>
      </c>
      <c r="M2653">
        <v>-0.99968659999999998</v>
      </c>
      <c r="N2653">
        <v>0</v>
      </c>
      <c r="O2653">
        <v>2.3713479999999999E-2</v>
      </c>
      <c r="P2653">
        <v>-0.9839968</v>
      </c>
      <c r="Q2653">
        <v>0.17569119999999999</v>
      </c>
      <c r="R2653">
        <v>-2.9713920000000001E-2</v>
      </c>
      <c r="S2653">
        <v>-3.13205</v>
      </c>
      <c r="T2653">
        <v>-0.44441589999999997</v>
      </c>
      <c r="U2653">
        <v>0.14505000000000001</v>
      </c>
      <c r="V2653">
        <v>-5.4173869999999999E-2</v>
      </c>
      <c r="W2653">
        <v>0.1832606</v>
      </c>
      <c r="X2653">
        <v>0.98157050000000001</v>
      </c>
      <c r="Y2653">
        <v>2.2571480000000001E-2</v>
      </c>
      <c r="Z2653">
        <v>-1.75311E-3</v>
      </c>
      <c r="AA2653">
        <v>0.99974370000000001</v>
      </c>
      <c r="AB2653">
        <v>33</v>
      </c>
      <c r="AC2653">
        <v>-0.77929999999997701</v>
      </c>
      <c r="AD2653">
        <v>-0.13502239999999999</v>
      </c>
      <c r="AE2653">
        <v>4.1299999999978299E-2</v>
      </c>
      <c r="AF2653">
        <v>2.21449587876426E-2</v>
      </c>
      <c r="AG2653">
        <v>-0.13502239999999999</v>
      </c>
      <c r="AH2653">
        <v>0.75738758448992505</v>
      </c>
      <c r="AI2653">
        <v>100.103918690502</v>
      </c>
      <c r="AJ2653">
        <v>88.325228298385895</v>
      </c>
      <c r="AK2653">
        <v>0.76964758223550001</v>
      </c>
      <c r="AL2653">
        <v>79.440261022688304</v>
      </c>
      <c r="AM2653">
        <v>93.159007204255005</v>
      </c>
      <c r="AN2653">
        <v>0.99999995108669204</v>
      </c>
    </row>
    <row r="2654" spans="1:40" x14ac:dyDescent="0.25">
      <c r="A2654" t="str">
        <f>"20190312172133466"</f>
        <v>20190312172133466</v>
      </c>
      <c r="B2654" t="str">
        <f>"1552382493453103"</f>
        <v>1552382493453103</v>
      </c>
      <c r="C2654" t="s">
        <v>40</v>
      </c>
      <c r="D2654">
        <v>3.1475200000000001</v>
      </c>
      <c r="E2654">
        <v>0.52835769999999904</v>
      </c>
      <c r="F2654" t="s">
        <v>41</v>
      </c>
      <c r="G2654">
        <v>-296.83080000000001</v>
      </c>
      <c r="H2654">
        <v>0.99999139999999997</v>
      </c>
      <c r="I2654">
        <v>283.76400000000001</v>
      </c>
      <c r="J2654">
        <v>-296.20800000000003</v>
      </c>
      <c r="K2654">
        <v>1.1121749999999999</v>
      </c>
      <c r="L2654">
        <v>283.7312</v>
      </c>
      <c r="M2654">
        <v>-0.99972209999999995</v>
      </c>
      <c r="N2654">
        <v>0</v>
      </c>
      <c r="O2654">
        <v>2.2158959999999998E-2</v>
      </c>
      <c r="P2654">
        <v>-0.98399720000000002</v>
      </c>
      <c r="Q2654">
        <v>0.1755303</v>
      </c>
      <c r="R2654">
        <v>-3.063985E-2</v>
      </c>
      <c r="S2654">
        <v>-3.1324459999999998</v>
      </c>
      <c r="T2654">
        <v>-0.44457160000000001</v>
      </c>
      <c r="U2654">
        <v>0.1404724</v>
      </c>
      <c r="V2654">
        <v>-5.3574869999999997E-2</v>
      </c>
      <c r="W2654">
        <v>0.18311150000000001</v>
      </c>
      <c r="X2654">
        <v>0.98163120000000004</v>
      </c>
      <c r="Y2654">
        <v>2.264598E-2</v>
      </c>
      <c r="Z2654">
        <v>-1.52899E-3</v>
      </c>
      <c r="AA2654">
        <v>0.99974240000000003</v>
      </c>
      <c r="AB2654">
        <v>33</v>
      </c>
      <c r="AC2654">
        <v>-0.62280000000003999</v>
      </c>
      <c r="AD2654">
        <v>-0.112183599999999</v>
      </c>
      <c r="AE2654">
        <v>3.2800000000008801E-2</v>
      </c>
      <c r="AF2654">
        <v>1.83956830590007E-2</v>
      </c>
      <c r="AG2654">
        <v>-0.112183599999999</v>
      </c>
      <c r="AH2654">
        <v>0.60383601615166005</v>
      </c>
      <c r="AI2654">
        <v>100.519922400936</v>
      </c>
      <c r="AJ2654">
        <v>88.255040965404106</v>
      </c>
      <c r="AK2654">
        <v>0.61444405413843395</v>
      </c>
      <c r="AL2654">
        <v>79.448950864611504</v>
      </c>
      <c r="AM2654">
        <v>93.123954865512601</v>
      </c>
      <c r="AN2654">
        <v>0.99999995047060197</v>
      </c>
    </row>
    <row r="2655" spans="1:40" x14ac:dyDescent="0.25">
      <c r="A2655" t="str">
        <f>"20190312172133486"</f>
        <v>20190312172133486</v>
      </c>
      <c r="B2655" t="str">
        <f>"1552382493473598"</f>
        <v>1552382493473598</v>
      </c>
      <c r="C2655" t="s">
        <v>40</v>
      </c>
      <c r="D2655">
        <v>3.1370740000000001</v>
      </c>
      <c r="E2655">
        <v>0.52844349999999995</v>
      </c>
      <c r="F2655" t="s">
        <v>41</v>
      </c>
      <c r="G2655">
        <v>-297.11340000000001</v>
      </c>
      <c r="H2655">
        <v>0.98329100000000003</v>
      </c>
      <c r="I2655">
        <v>283.7713</v>
      </c>
      <c r="J2655">
        <v>-296.49790000000002</v>
      </c>
      <c r="K2655">
        <v>1.112187</v>
      </c>
      <c r="L2655">
        <v>283.73509999999999</v>
      </c>
      <c r="M2655">
        <v>-0.9997779</v>
      </c>
      <c r="N2655">
        <v>0</v>
      </c>
      <c r="O2655">
        <v>1.947043E-2</v>
      </c>
      <c r="P2655">
        <v>-0.98395350000000004</v>
      </c>
      <c r="Q2655">
        <v>0.1755128</v>
      </c>
      <c r="R2655">
        <v>-3.2108850000000001E-2</v>
      </c>
      <c r="S2655">
        <v>-3.1326900000000002</v>
      </c>
      <c r="T2655">
        <v>-0.4462488</v>
      </c>
      <c r="U2655">
        <v>0.13787839999999901</v>
      </c>
      <c r="V2655">
        <v>-5.24074E-2</v>
      </c>
      <c r="W2655">
        <v>0.18311569999999999</v>
      </c>
      <c r="X2655">
        <v>0.9816935</v>
      </c>
      <c r="Y2655">
        <v>2.4459370000000001E-2</v>
      </c>
      <c r="Z2655">
        <v>-1.0254330000000001E-3</v>
      </c>
      <c r="AA2655">
        <v>0.99970029999999999</v>
      </c>
      <c r="AB2655">
        <v>33</v>
      </c>
      <c r="AC2655">
        <v>-0.61549999999999705</v>
      </c>
      <c r="AD2655">
        <v>-0.12889600000000001</v>
      </c>
      <c r="AE2655">
        <v>3.6200000000007997E-2</v>
      </c>
      <c r="AF2655">
        <v>2.31949798933072E-2</v>
      </c>
      <c r="AG2655">
        <v>-0.12889600000000001</v>
      </c>
      <c r="AH2655">
        <v>0.59029001814272197</v>
      </c>
      <c r="AI2655">
        <v>102.308576897085</v>
      </c>
      <c r="AJ2655">
        <v>87.749765282161505</v>
      </c>
      <c r="AK2655">
        <v>0.60464410311123196</v>
      </c>
      <c r="AL2655">
        <v>79.448706735378494</v>
      </c>
      <c r="AM2655">
        <v>93.055816496295193</v>
      </c>
      <c r="AN2655">
        <v>1.00000001155175</v>
      </c>
    </row>
    <row r="2656" spans="1:40" x14ac:dyDescent="0.25">
      <c r="A2656" t="str">
        <f>"20190312172133498"</f>
        <v>20190312172133498</v>
      </c>
      <c r="B2656" t="str">
        <f>"1552382493493118"</f>
        <v>1552382493493118</v>
      </c>
      <c r="C2656" t="s">
        <v>40</v>
      </c>
      <c r="D2656">
        <v>3.244345</v>
      </c>
      <c r="E2656">
        <v>0.52817080000000005</v>
      </c>
      <c r="F2656" t="s">
        <v>41</v>
      </c>
      <c r="G2656">
        <v>-297.40440000000001</v>
      </c>
      <c r="H2656">
        <v>0.98248599999999997</v>
      </c>
      <c r="I2656">
        <v>283.77359999999999</v>
      </c>
      <c r="J2656">
        <v>-296.69650000000001</v>
      </c>
      <c r="K2656">
        <v>1.112193</v>
      </c>
      <c r="L2656">
        <v>283.73739999999998</v>
      </c>
      <c r="M2656">
        <v>-0.99981189999999998</v>
      </c>
      <c r="N2656">
        <v>0</v>
      </c>
      <c r="O2656">
        <v>1.7629160000000001E-2</v>
      </c>
      <c r="P2656">
        <v>-0.98388500000000001</v>
      </c>
      <c r="Q2656">
        <v>0.17565799999999901</v>
      </c>
      <c r="R2656">
        <v>-3.3383549999999998E-2</v>
      </c>
      <c r="S2656">
        <v>-3.1332399999999998</v>
      </c>
      <c r="T2656">
        <v>-0.44839960000000001</v>
      </c>
      <c r="U2656">
        <v>0.13278199999999901</v>
      </c>
      <c r="V2656">
        <v>-5.1876409999999998E-2</v>
      </c>
      <c r="W2656">
        <v>0.18327370000000001</v>
      </c>
      <c r="X2656">
        <v>0.98169220000000001</v>
      </c>
      <c r="Y2656">
        <v>2.46486E-2</v>
      </c>
      <c r="Z2656">
        <v>-7.5475100000000001E-4</v>
      </c>
      <c r="AA2656">
        <v>0.99969589999999997</v>
      </c>
      <c r="AB2656">
        <v>33</v>
      </c>
      <c r="AC2656">
        <v>-0.70789999999999498</v>
      </c>
      <c r="AD2656">
        <v>-0.12970699999999899</v>
      </c>
      <c r="AE2656">
        <v>3.6200000000007997E-2</v>
      </c>
      <c r="AF2656">
        <v>2.29459414233875E-2</v>
      </c>
      <c r="AG2656">
        <v>-0.12970699999999899</v>
      </c>
      <c r="AH2656">
        <v>0.685475122392599</v>
      </c>
      <c r="AI2656">
        <v>100.709080630573</v>
      </c>
      <c r="AJ2656">
        <v>88.082767957190299</v>
      </c>
      <c r="AK2656">
        <v>0.69801616420821799</v>
      </c>
      <c r="AL2656">
        <v>79.439497967283003</v>
      </c>
      <c r="AM2656">
        <v>93.024916858869204</v>
      </c>
      <c r="AN2656">
        <v>0.99999999328350897</v>
      </c>
    </row>
    <row r="2657" spans="1:40" x14ac:dyDescent="0.25">
      <c r="A2657" t="str">
        <f>"20190312172133514"</f>
        <v>20190312172133514</v>
      </c>
      <c r="B2657" t="str">
        <f>"1552382493503855"</f>
        <v>1552382493503855</v>
      </c>
      <c r="C2657" t="s">
        <v>40</v>
      </c>
      <c r="D2657">
        <v>3.1140829999999999</v>
      </c>
      <c r="E2657">
        <v>0.51105659999999997</v>
      </c>
      <c r="F2657" t="s">
        <v>41</v>
      </c>
      <c r="G2657">
        <v>-297.41739999999999</v>
      </c>
      <c r="H2657">
        <v>1.0090920000000001</v>
      </c>
      <c r="I2657">
        <v>283.76650000000001</v>
      </c>
      <c r="J2657">
        <v>-296.90219999999999</v>
      </c>
      <c r="K2657">
        <v>1.1122019999999999</v>
      </c>
      <c r="L2657">
        <v>283.73919999999998</v>
      </c>
      <c r="M2657">
        <v>-0.9998437</v>
      </c>
      <c r="N2657">
        <v>0</v>
      </c>
      <c r="O2657">
        <v>1.5723819999999999E-2</v>
      </c>
      <c r="P2657">
        <v>-0.98388710000000001</v>
      </c>
      <c r="Q2657">
        <v>0.1754</v>
      </c>
      <c r="R2657">
        <v>-3.4656640000000002E-2</v>
      </c>
      <c r="S2657">
        <v>-3.1333920000000002</v>
      </c>
      <c r="T2657">
        <v>-0.44820900000000002</v>
      </c>
      <c r="U2657">
        <v>0.1260376</v>
      </c>
      <c r="V2657">
        <v>-5.1278659999999997E-2</v>
      </c>
      <c r="W2657">
        <v>0.18302950000000001</v>
      </c>
      <c r="X2657">
        <v>0.98176920000000001</v>
      </c>
      <c r="Y2657">
        <v>2.438688E-2</v>
      </c>
      <c r="Z2657">
        <v>-5.0206670000000004E-4</v>
      </c>
      <c r="AA2657">
        <v>0.99970250000000005</v>
      </c>
      <c r="AB2657">
        <v>33</v>
      </c>
      <c r="AC2657">
        <v>-0.515199999999993</v>
      </c>
      <c r="AD2657">
        <v>-0.10310999999999999</v>
      </c>
      <c r="AE2657">
        <v>2.73000000000252E-2</v>
      </c>
      <c r="AF2657">
        <v>1.8458187169830501E-2</v>
      </c>
      <c r="AG2657">
        <v>-0.10310999999999999</v>
      </c>
      <c r="AH2657">
        <v>0.49576367832806301</v>
      </c>
      <c r="AI2657">
        <v>101.741094800441</v>
      </c>
      <c r="AJ2657">
        <v>87.867758368170598</v>
      </c>
      <c r="AK2657">
        <v>0.50670899096322297</v>
      </c>
      <c r="AL2657">
        <v>79.453730738434302</v>
      </c>
      <c r="AM2657">
        <v>92.989891546533798</v>
      </c>
      <c r="AN2657">
        <v>1.00000003045514</v>
      </c>
    </row>
    <row r="2658" spans="1:40" x14ac:dyDescent="0.25">
      <c r="A2658" t="str">
        <f>"20190312172133530"</f>
        <v>20190312172133530</v>
      </c>
      <c r="B2658" t="str">
        <f>"1552382493523378"</f>
        <v>1552382493523378</v>
      </c>
      <c r="C2658" t="s">
        <v>40</v>
      </c>
      <c r="D2658">
        <v>3.1269149999999999</v>
      </c>
      <c r="E2658">
        <v>0.50972529999999905</v>
      </c>
      <c r="F2658" t="s">
        <v>47</v>
      </c>
      <c r="G2658">
        <v>-312.51100000000002</v>
      </c>
      <c r="H2658" s="1">
        <v>3.413923E-6</v>
      </c>
      <c r="I2658">
        <v>283.66239999999999</v>
      </c>
      <c r="J2658">
        <v>-297.15120000000002</v>
      </c>
      <c r="K2658">
        <v>1.112217</v>
      </c>
      <c r="L2658">
        <v>283.74099999999999</v>
      </c>
      <c r="M2658">
        <v>-0.99987709999999996</v>
      </c>
      <c r="N2658">
        <v>0</v>
      </c>
      <c r="O2658">
        <v>1.341849E-2</v>
      </c>
      <c r="P2658">
        <v>-0.98393079999999999</v>
      </c>
      <c r="Q2658">
        <v>0.1749066</v>
      </c>
      <c r="R2658">
        <v>-3.5881209999999997E-2</v>
      </c>
      <c r="S2658">
        <v>-3.0878299999999999</v>
      </c>
      <c r="T2658">
        <v>-0.22002150000000001</v>
      </c>
      <c r="U2658">
        <v>-1.5197749999999999E-2</v>
      </c>
      <c r="V2658">
        <v>-5.0239649999999997E-2</v>
      </c>
      <c r="W2658">
        <v>0.18255460000000001</v>
      </c>
      <c r="X2658">
        <v>0.98191130000000004</v>
      </c>
      <c r="Y2658">
        <v>-1.825978E-2</v>
      </c>
      <c r="Z2658">
        <v>-1.6046459999999999E-3</v>
      </c>
      <c r="AA2658">
        <v>0.99983200000000005</v>
      </c>
      <c r="AB2658">
        <v>33</v>
      </c>
      <c r="AC2658">
        <v>-15.3597999999999</v>
      </c>
      <c r="AD2658">
        <v>-1.1122135860769999</v>
      </c>
      <c r="AE2658">
        <v>-7.8599999999994397E-2</v>
      </c>
      <c r="AF2658">
        <v>-0.283220048884952</v>
      </c>
      <c r="AG2658">
        <v>-1.1122135860769999</v>
      </c>
      <c r="AH2658">
        <v>15.2772610386439</v>
      </c>
      <c r="AI2658">
        <v>94.163182607662407</v>
      </c>
      <c r="AJ2658">
        <v>91.062065693850201</v>
      </c>
      <c r="AK2658">
        <v>15.3203112729478</v>
      </c>
      <c r="AL2658">
        <v>79.481406506122596</v>
      </c>
      <c r="AM2658">
        <v>92.928993667848701</v>
      </c>
      <c r="AN2658">
        <v>1.0000000027404801</v>
      </c>
    </row>
    <row r="2659" spans="1:40" x14ac:dyDescent="0.25">
      <c r="A2659" t="str">
        <f>"20190312172133542"</f>
        <v>20190312172133542</v>
      </c>
      <c r="B2659" t="str">
        <f>"1552382493533134"</f>
        <v>1552382493533134</v>
      </c>
      <c r="C2659" t="s">
        <v>40</v>
      </c>
      <c r="D2659">
        <v>3.1233979999999999</v>
      </c>
      <c r="E2659">
        <v>0.50911569999999995</v>
      </c>
      <c r="F2659" t="s">
        <v>47</v>
      </c>
      <c r="G2659">
        <v>-312.92779999999999</v>
      </c>
      <c r="H2659" s="1">
        <v>3.6054240000000001E-6</v>
      </c>
      <c r="I2659">
        <v>283.58609999999999</v>
      </c>
      <c r="J2659">
        <v>-297.3245</v>
      </c>
      <c r="K2659">
        <v>1.112222</v>
      </c>
      <c r="L2659">
        <v>283.74189999999999</v>
      </c>
      <c r="M2659">
        <v>-0.99989740000000005</v>
      </c>
      <c r="N2659">
        <v>0</v>
      </c>
      <c r="O2659">
        <v>1.1814989999999999E-2</v>
      </c>
      <c r="P2659">
        <v>-0.98394789999999999</v>
      </c>
      <c r="Q2659">
        <v>0.17451829999999999</v>
      </c>
      <c r="R2659">
        <v>-3.7284049999999999E-2</v>
      </c>
      <c r="S2659">
        <v>-3.0865779999999998</v>
      </c>
      <c r="T2659">
        <v>-0.21759680000000001</v>
      </c>
      <c r="U2659">
        <v>-3.0303960000000001E-2</v>
      </c>
      <c r="V2659">
        <v>-5.0066260000000001E-2</v>
      </c>
      <c r="W2659">
        <v>0.18217530000000001</v>
      </c>
      <c r="X2659">
        <v>0.98199060000000005</v>
      </c>
      <c r="Y2659">
        <v>-2.1548830000000001E-2</v>
      </c>
      <c r="Z2659">
        <v>-1.590515E-3</v>
      </c>
      <c r="AA2659">
        <v>0.9997665</v>
      </c>
      <c r="AB2659">
        <v>33</v>
      </c>
      <c r="AC2659">
        <v>-15.6032999999999</v>
      </c>
      <c r="AD2659">
        <v>-1.112218394576</v>
      </c>
      <c r="AE2659">
        <v>-0.15579999999999899</v>
      </c>
      <c r="AF2659">
        <v>-0.33842862800357598</v>
      </c>
      <c r="AG2659">
        <v>-1.112218394576</v>
      </c>
      <c r="AH2659">
        <v>15.5215134007006</v>
      </c>
      <c r="AI2659">
        <v>94.097642960639703</v>
      </c>
      <c r="AJ2659">
        <v>91.2490702178997</v>
      </c>
      <c r="AK2659">
        <v>15.5649909072127</v>
      </c>
      <c r="AL2659">
        <v>79.5035094591248</v>
      </c>
      <c r="AM2659">
        <v>92.918667159674101</v>
      </c>
      <c r="AN2659">
        <v>1.0000000044044099</v>
      </c>
    </row>
    <row r="2660" spans="1:40" x14ac:dyDescent="0.25">
      <c r="A2660" t="str">
        <f>"20190312172133554"</f>
        <v>20190312172133554</v>
      </c>
      <c r="B2660" t="str">
        <f>"1552382493543870"</f>
        <v>1552382493543870</v>
      </c>
      <c r="C2660" t="s">
        <v>40</v>
      </c>
      <c r="D2660">
        <v>3.1089440000000002</v>
      </c>
      <c r="E2660">
        <v>0.50841199999999998</v>
      </c>
      <c r="F2660" t="s">
        <v>47</v>
      </c>
      <c r="G2660">
        <v>-313.34879999999998</v>
      </c>
      <c r="H2660" s="1">
        <v>3.7965489999999999E-6</v>
      </c>
      <c r="I2660">
        <v>283.53530000000001</v>
      </c>
      <c r="J2660">
        <v>-297.50740000000002</v>
      </c>
      <c r="K2660">
        <v>1.1122270000000001</v>
      </c>
      <c r="L2660">
        <v>283.74259999999998</v>
      </c>
      <c r="M2660">
        <v>-0.99991580000000002</v>
      </c>
      <c r="N2660">
        <v>0</v>
      </c>
      <c r="O2660">
        <v>1.012417E-2</v>
      </c>
      <c r="P2660">
        <v>-0.98393569999999997</v>
      </c>
      <c r="Q2660">
        <v>0.1743111</v>
      </c>
      <c r="R2660">
        <v>-3.8552749999999997E-2</v>
      </c>
      <c r="S2660">
        <v>-3.0854189999999999</v>
      </c>
      <c r="T2660">
        <v>-0.21415390000000001</v>
      </c>
      <c r="U2660">
        <v>-3.9794919999999998E-2</v>
      </c>
      <c r="V2660">
        <v>-4.9674280000000001E-2</v>
      </c>
      <c r="W2660">
        <v>0.1819788</v>
      </c>
      <c r="X2660">
        <v>0.982047</v>
      </c>
      <c r="Y2660">
        <v>-2.294013E-2</v>
      </c>
      <c r="Z2660">
        <v>-1.4969829999999999E-3</v>
      </c>
      <c r="AA2660">
        <v>0.9997357</v>
      </c>
      <c r="AB2660">
        <v>33</v>
      </c>
      <c r="AC2660">
        <v>-15.841399999999901</v>
      </c>
      <c r="AD2660">
        <v>-1.112223203451</v>
      </c>
      <c r="AE2660">
        <v>-0.207299999999975</v>
      </c>
      <c r="AF2660">
        <v>-0.36587245183060402</v>
      </c>
      <c r="AG2660">
        <v>-1.112223203451</v>
      </c>
      <c r="AH2660">
        <v>15.7608107283554</v>
      </c>
      <c r="AI2660">
        <v>94.035525124062204</v>
      </c>
      <c r="AJ2660">
        <v>91.329828986281498</v>
      </c>
      <c r="AK2660">
        <v>15.804241769865</v>
      </c>
      <c r="AL2660">
        <v>79.514960106868003</v>
      </c>
      <c r="AM2660">
        <v>92.895689278122305</v>
      </c>
      <c r="AN2660">
        <v>1.0000000639759701</v>
      </c>
    </row>
    <row r="2661" spans="1:40" x14ac:dyDescent="0.25">
      <c r="A2661" t="str">
        <f>"20190312172133566"</f>
        <v>20190312172133566</v>
      </c>
      <c r="B2661" t="str">
        <f>"1552382493563392"</f>
        <v>1552382493563392</v>
      </c>
      <c r="C2661" t="s">
        <v>40</v>
      </c>
      <c r="D2661">
        <v>3.1191</v>
      </c>
      <c r="E2661">
        <v>0.50825419999999999</v>
      </c>
      <c r="F2661" t="s">
        <v>47</v>
      </c>
      <c r="G2661">
        <v>-313.62819999999999</v>
      </c>
      <c r="H2661" s="1">
        <v>3.9250469999999999E-6</v>
      </c>
      <c r="I2661">
        <v>283.483</v>
      </c>
      <c r="J2661">
        <v>-297.67450000000002</v>
      </c>
      <c r="K2661">
        <v>1.1122339999999999</v>
      </c>
      <c r="L2661">
        <v>283.74299999999999</v>
      </c>
      <c r="M2661">
        <v>-0.99993019999999999</v>
      </c>
      <c r="N2661">
        <v>0</v>
      </c>
      <c r="O2661">
        <v>8.5795730000000001E-3</v>
      </c>
      <c r="P2661">
        <v>-0.98396890000000004</v>
      </c>
      <c r="Q2661">
        <v>0.17391229999999999</v>
      </c>
      <c r="R2661">
        <v>-3.9494229999999998E-2</v>
      </c>
      <c r="S2661">
        <v>-3.0847470000000001</v>
      </c>
      <c r="T2661">
        <v>-0.21282490000000001</v>
      </c>
      <c r="U2661">
        <v>-4.9682619999999997E-2</v>
      </c>
      <c r="V2661">
        <v>-4.9097189999999999E-2</v>
      </c>
      <c r="W2661">
        <v>0.18159149999999999</v>
      </c>
      <c r="X2661">
        <v>0.98214760000000001</v>
      </c>
      <c r="Y2661">
        <v>-2.4603090000000001E-2</v>
      </c>
      <c r="Z2661">
        <v>-1.4388649999999999E-3</v>
      </c>
      <c r="AA2661">
        <v>0.99969629999999998</v>
      </c>
      <c r="AB2661">
        <v>33</v>
      </c>
      <c r="AC2661">
        <v>-15.9536999999999</v>
      </c>
      <c r="AD2661">
        <v>-1.1122300749530001</v>
      </c>
      <c r="AE2661">
        <v>-0.25999999999999002</v>
      </c>
      <c r="AF2661">
        <v>-0.39495179066951602</v>
      </c>
      <c r="AG2661">
        <v>-1.1122300749530001</v>
      </c>
      <c r="AH2661">
        <v>15.873750719529401</v>
      </c>
      <c r="AI2661">
        <v>94.006771356061705</v>
      </c>
      <c r="AJ2661">
        <v>91.425271399639698</v>
      </c>
      <c r="AK2661">
        <v>15.917569053167201</v>
      </c>
      <c r="AL2661">
        <v>79.537525634486499</v>
      </c>
      <c r="AM2661">
        <v>92.861812251772093</v>
      </c>
      <c r="AN2661">
        <v>0.99999995756195204</v>
      </c>
    </row>
    <row r="2662" spans="1:40" x14ac:dyDescent="0.25">
      <c r="A2662" t="str">
        <f>"20190312172133578"</f>
        <v>20190312172133578</v>
      </c>
      <c r="B2662" t="str">
        <f>"1552382493573150"</f>
        <v>1552382493573150</v>
      </c>
      <c r="C2662" t="s">
        <v>40</v>
      </c>
      <c r="D2662">
        <v>3.101337</v>
      </c>
      <c r="E2662">
        <v>0.50848260000000001</v>
      </c>
      <c r="F2662" t="s">
        <v>47</v>
      </c>
      <c r="G2662">
        <v>-313.62790000000001</v>
      </c>
      <c r="H2662" s="1">
        <v>3.9266620000000003E-6</v>
      </c>
      <c r="I2662">
        <v>283.46280000000002</v>
      </c>
      <c r="J2662">
        <v>-297.84960000000001</v>
      </c>
      <c r="K2662">
        <v>1.1122399999999999</v>
      </c>
      <c r="L2662">
        <v>283.74310000000003</v>
      </c>
      <c r="M2662">
        <v>-0.99994269999999996</v>
      </c>
      <c r="N2662">
        <v>0</v>
      </c>
      <c r="O2662">
        <v>6.9611259999999998E-3</v>
      </c>
      <c r="P2662">
        <v>-0.9839194</v>
      </c>
      <c r="Q2662">
        <v>0.17387079999999999</v>
      </c>
      <c r="R2662">
        <v>-4.0887300000000001E-2</v>
      </c>
      <c r="S2662">
        <v>-3.0847470000000001</v>
      </c>
      <c r="T2662">
        <v>-0.2150601</v>
      </c>
      <c r="U2662">
        <v>-5.41687E-2</v>
      </c>
      <c r="V2662">
        <v>-4.890079E-2</v>
      </c>
      <c r="W2662">
        <v>0.18155869999999999</v>
      </c>
      <c r="X2662">
        <v>0.98216349999999997</v>
      </c>
      <c r="Y2662">
        <v>-2.444112E-2</v>
      </c>
      <c r="Z2662">
        <v>-1.3355909999999999E-3</v>
      </c>
      <c r="AA2662">
        <v>0.99970040000000004</v>
      </c>
      <c r="AB2662">
        <v>33</v>
      </c>
      <c r="AC2662">
        <v>-15.7783</v>
      </c>
      <c r="AD2662">
        <v>-1.1122360733379999</v>
      </c>
      <c r="AE2662">
        <v>-0.28030000000001098</v>
      </c>
      <c r="AF2662">
        <v>-0.38820318175103102</v>
      </c>
      <c r="AG2662">
        <v>-1.1122360733379999</v>
      </c>
      <c r="AH2662">
        <v>15.6979869129127</v>
      </c>
      <c r="AI2662">
        <v>94.051521854670199</v>
      </c>
      <c r="AJ2662">
        <v>91.416606574975503</v>
      </c>
      <c r="AK2662">
        <v>15.7421270453244</v>
      </c>
      <c r="AL2662">
        <v>79.539437097289095</v>
      </c>
      <c r="AM2662">
        <v>92.850337196451306</v>
      </c>
      <c r="AN2662">
        <v>0.99999999477028201</v>
      </c>
    </row>
    <row r="2663" spans="1:40" x14ac:dyDescent="0.25">
      <c r="A2663" t="str">
        <f>"20190312172133590"</f>
        <v>20190312172133590</v>
      </c>
      <c r="B2663" t="str">
        <f>"1552382493583886"</f>
        <v>1552382493583886</v>
      </c>
      <c r="C2663" t="s">
        <v>40</v>
      </c>
      <c r="D2663">
        <v>3.088498</v>
      </c>
      <c r="E2663">
        <v>0.50867379999999995</v>
      </c>
      <c r="F2663" t="s">
        <v>47</v>
      </c>
      <c r="G2663">
        <v>-313.63760000000002</v>
      </c>
      <c r="H2663" s="1">
        <v>3.9319060000000002E-6</v>
      </c>
      <c r="I2663">
        <v>283.45209999999997</v>
      </c>
      <c r="J2663">
        <v>-298.03160000000003</v>
      </c>
      <c r="K2663">
        <v>1.11225</v>
      </c>
      <c r="L2663">
        <v>283.74279999999999</v>
      </c>
      <c r="M2663">
        <v>-0.99995299999999998</v>
      </c>
      <c r="N2663">
        <v>0</v>
      </c>
      <c r="O2663">
        <v>5.2802760000000004E-3</v>
      </c>
      <c r="P2663">
        <v>-0.98391430000000002</v>
      </c>
      <c r="Q2663">
        <v>0.17361190000000001</v>
      </c>
      <c r="R2663">
        <v>-4.2092440000000002E-2</v>
      </c>
      <c r="S2663">
        <v>-3.085083</v>
      </c>
      <c r="T2663">
        <v>-0.21733820000000001</v>
      </c>
      <c r="U2663">
        <v>-5.6854250000000002E-2</v>
      </c>
      <c r="V2663">
        <v>-4.845439E-2</v>
      </c>
      <c r="W2663">
        <v>0.1813101</v>
      </c>
      <c r="X2663">
        <v>0.98223159999999998</v>
      </c>
      <c r="Y2663">
        <v>-2.3633290000000001E-2</v>
      </c>
      <c r="Z2663">
        <v>-1.2028679999999999E-3</v>
      </c>
      <c r="AA2663">
        <v>0.99972000000000005</v>
      </c>
      <c r="AB2663">
        <v>33</v>
      </c>
      <c r="AC2663">
        <v>-15.6059999999999</v>
      </c>
      <c r="AD2663">
        <v>-1.1122460680940001</v>
      </c>
      <c r="AE2663">
        <v>-0.290700000000015</v>
      </c>
      <c r="AF2663">
        <v>-0.371217722762608</v>
      </c>
      <c r="AG2663">
        <v>-1.1122460680940001</v>
      </c>
      <c r="AH2663">
        <v>15.5254138512755</v>
      </c>
      <c r="AI2663">
        <v>94.096522127220993</v>
      </c>
      <c r="AJ2663">
        <v>91.3696998456535</v>
      </c>
      <c r="AK2663">
        <v>15.569629705521599</v>
      </c>
      <c r="AL2663">
        <v>79.553921784392401</v>
      </c>
      <c r="AM2663">
        <v>92.824164183543502</v>
      </c>
      <c r="AN2663">
        <v>1.0000000481554101</v>
      </c>
    </row>
    <row r="2664" spans="1:40" x14ac:dyDescent="0.25">
      <c r="A2664" t="str">
        <f>"20190312172133602"</f>
        <v>20190312172133602</v>
      </c>
      <c r="B2664" t="str">
        <f>"1552382493593647"</f>
        <v>1552382493593647</v>
      </c>
      <c r="C2664" t="s">
        <v>40</v>
      </c>
      <c r="D2664">
        <v>3.1025879999999999</v>
      </c>
      <c r="E2664">
        <v>0.50881579999999904</v>
      </c>
      <c r="F2664" t="s">
        <v>47</v>
      </c>
      <c r="G2664">
        <v>-313.666</v>
      </c>
      <c r="H2664" s="1">
        <v>3.9452360000000001E-6</v>
      </c>
      <c r="I2664">
        <v>283.44369999999998</v>
      </c>
      <c r="J2664">
        <v>-298.20890000000003</v>
      </c>
      <c r="K2664">
        <v>1.1122559999999999</v>
      </c>
      <c r="L2664">
        <v>283.74239999999998</v>
      </c>
      <c r="M2664">
        <v>-0.99996019999999997</v>
      </c>
      <c r="N2664">
        <v>0</v>
      </c>
      <c r="O2664">
        <v>3.642111E-3</v>
      </c>
      <c r="P2664">
        <v>-0.98383779999999998</v>
      </c>
      <c r="Q2664">
        <v>0.1737715</v>
      </c>
      <c r="R2664">
        <v>-4.3203369999999998E-2</v>
      </c>
      <c r="S2664">
        <v>-3.0852659999999998</v>
      </c>
      <c r="T2664">
        <v>-0.2194875</v>
      </c>
      <c r="U2664">
        <v>-5.9020999999999997E-2</v>
      </c>
      <c r="V2664">
        <v>-4.795779E-2</v>
      </c>
      <c r="W2664">
        <v>0.1814799</v>
      </c>
      <c r="X2664">
        <v>0.9822246</v>
      </c>
      <c r="Y2664">
        <v>-2.270134E-2</v>
      </c>
      <c r="Z2664">
        <v>-1.0651619999999999E-3</v>
      </c>
      <c r="AA2664">
        <v>0.99974169999999996</v>
      </c>
      <c r="AB2664">
        <v>33</v>
      </c>
      <c r="AC2664">
        <v>-15.457099999999899</v>
      </c>
      <c r="AD2664">
        <v>-1.112252054764</v>
      </c>
      <c r="AE2664">
        <v>-0.29869999999999602</v>
      </c>
      <c r="AF2664">
        <v>-0.35316838570340803</v>
      </c>
      <c r="AG2664">
        <v>-1.112252054764</v>
      </c>
      <c r="AH2664">
        <v>15.3763227952064</v>
      </c>
      <c r="AI2664">
        <v>94.1362185522825</v>
      </c>
      <c r="AJ2664">
        <v>91.315756768331099</v>
      </c>
      <c r="AK2664">
        <v>15.420542637805299</v>
      </c>
      <c r="AL2664">
        <v>79.544028694058795</v>
      </c>
      <c r="AM2664">
        <v>92.795285884033206</v>
      </c>
      <c r="AN2664">
        <v>1.0000000342854201</v>
      </c>
    </row>
    <row r="2665" spans="1:40" x14ac:dyDescent="0.25">
      <c r="A2665" t="str">
        <f>"20190312172133619"</f>
        <v>20190312172133619</v>
      </c>
      <c r="B2665" t="str">
        <f>"1552382493613166"</f>
        <v>1552382493613166</v>
      </c>
      <c r="C2665" t="s">
        <v>40</v>
      </c>
      <c r="D2665">
        <v>3.2451509999999999</v>
      </c>
      <c r="E2665">
        <v>0.50890829999999998</v>
      </c>
      <c r="F2665" t="s">
        <v>47</v>
      </c>
      <c r="G2665">
        <v>-313.84050000000002</v>
      </c>
      <c r="H2665" s="1">
        <v>4.0236879999999998E-6</v>
      </c>
      <c r="I2665">
        <v>283.43110000000001</v>
      </c>
      <c r="J2665">
        <v>-298.4667</v>
      </c>
      <c r="K2665">
        <v>1.112266</v>
      </c>
      <c r="L2665">
        <v>283.74119999999999</v>
      </c>
      <c r="M2665">
        <v>-0.99996600000000002</v>
      </c>
      <c r="N2665">
        <v>0</v>
      </c>
      <c r="O2665">
        <v>1.260667E-3</v>
      </c>
      <c r="P2665">
        <v>-0.98376529999999995</v>
      </c>
      <c r="Q2665">
        <v>0.17383789999999999</v>
      </c>
      <c r="R2665">
        <v>-4.4572500000000001E-2</v>
      </c>
      <c r="S2665">
        <v>-3.085388</v>
      </c>
      <c r="T2665">
        <v>-0.2195387</v>
      </c>
      <c r="U2665">
        <v>-6.1431880000000001E-2</v>
      </c>
      <c r="V2665">
        <v>-4.6988929999999998E-2</v>
      </c>
      <c r="W2665">
        <v>0.18156240000000001</v>
      </c>
      <c r="X2665">
        <v>0.98225609999999997</v>
      </c>
      <c r="Y2665">
        <v>-2.1110549999999999E-2</v>
      </c>
      <c r="Z2665">
        <v>-8.3961409999999995E-4</v>
      </c>
      <c r="AA2665">
        <v>0.99977680000000002</v>
      </c>
      <c r="AB2665">
        <v>33</v>
      </c>
      <c r="AC2665">
        <v>-15.373799999999999</v>
      </c>
      <c r="AD2665">
        <v>-1.1122619763120001</v>
      </c>
      <c r="AE2665">
        <v>-0.31009999999997701</v>
      </c>
      <c r="AF2665">
        <v>-0.32776673496035302</v>
      </c>
      <c r="AG2665">
        <v>-1.1122619763120001</v>
      </c>
      <c r="AH2665">
        <v>15.2933805188535</v>
      </c>
      <c r="AI2665">
        <v>94.158750716634401</v>
      </c>
      <c r="AJ2665">
        <v>91.227771453689499</v>
      </c>
      <c r="AK2665">
        <v>15.337276336786299</v>
      </c>
      <c r="AL2665">
        <v>79.539221102543095</v>
      </c>
      <c r="AM2665">
        <v>92.7388137174039</v>
      </c>
      <c r="AN2665">
        <v>0.99999995531175601</v>
      </c>
    </row>
    <row r="2666" spans="1:40" x14ac:dyDescent="0.25">
      <c r="A2666" t="str">
        <f>"20190312172133630"</f>
        <v>20190312172133630</v>
      </c>
      <c r="B2666" t="str">
        <f>"1552382493623902"</f>
        <v>1552382493623902</v>
      </c>
      <c r="C2666" t="s">
        <v>40</v>
      </c>
      <c r="D2666">
        <v>3.1116100000000002</v>
      </c>
      <c r="E2666">
        <v>0.50896640000000004</v>
      </c>
      <c r="F2666" t="s">
        <v>47</v>
      </c>
      <c r="G2666">
        <v>-314.23059999999998</v>
      </c>
      <c r="H2666" s="1">
        <v>4.198724E-6</v>
      </c>
      <c r="I2666">
        <v>283.40780000000001</v>
      </c>
      <c r="J2666">
        <v>-298.63139999999999</v>
      </c>
      <c r="K2666">
        <v>1.112271</v>
      </c>
      <c r="L2666">
        <v>283.74</v>
      </c>
      <c r="M2666">
        <v>-0.99996660000000004</v>
      </c>
      <c r="N2666">
        <v>0</v>
      </c>
      <c r="O2666">
        <v>-2.5861230000000002E-4</v>
      </c>
      <c r="P2666">
        <v>-0.98367870000000002</v>
      </c>
      <c r="Q2666">
        <v>0.17408280000000001</v>
      </c>
      <c r="R2666">
        <v>-4.551608E-2</v>
      </c>
      <c r="S2666">
        <v>-3.084991</v>
      </c>
      <c r="T2666">
        <v>-0.21767030000000001</v>
      </c>
      <c r="U2666">
        <v>-6.5246579999999998E-2</v>
      </c>
      <c r="V2666">
        <v>-4.6441990000000002E-2</v>
      </c>
      <c r="W2666">
        <v>0.18181659999999999</v>
      </c>
      <c r="X2666">
        <v>0.98223510000000003</v>
      </c>
      <c r="Y2666">
        <v>-2.083525E-2</v>
      </c>
      <c r="Z2666">
        <v>-7.158275E-4</v>
      </c>
      <c r="AA2666">
        <v>0.99978270000000002</v>
      </c>
      <c r="AB2666">
        <v>33</v>
      </c>
      <c r="AC2666">
        <v>-15.5991999999999</v>
      </c>
      <c r="AD2666">
        <v>-1.112266801276</v>
      </c>
      <c r="AE2666">
        <v>-0.3322</v>
      </c>
      <c r="AF2666">
        <v>-0.32650647323275001</v>
      </c>
      <c r="AG2666">
        <v>-1.112266801276</v>
      </c>
      <c r="AH2666">
        <v>15.5204139682155</v>
      </c>
      <c r="AI2666">
        <v>94.098177021975999</v>
      </c>
      <c r="AJ2666">
        <v>91.205166557938</v>
      </c>
      <c r="AK2666">
        <v>15.5636433285739</v>
      </c>
      <c r="AL2666">
        <v>79.524410080120504</v>
      </c>
      <c r="AM2666">
        <v>92.707040060988604</v>
      </c>
      <c r="AN2666">
        <v>0.99999996307136396</v>
      </c>
    </row>
    <row r="2667" spans="1:40" x14ac:dyDescent="0.25">
      <c r="A2667" t="str">
        <f>"20190312172133643"</f>
        <v>20190312172133643</v>
      </c>
      <c r="B2667" t="str">
        <f>"1552382493633664"</f>
        <v>1552382493633664</v>
      </c>
      <c r="C2667" t="s">
        <v>40</v>
      </c>
      <c r="D2667">
        <v>3.121667</v>
      </c>
      <c r="E2667">
        <v>0.50899499999999998</v>
      </c>
      <c r="F2667" t="s">
        <v>47</v>
      </c>
      <c r="G2667">
        <v>-314.5172</v>
      </c>
      <c r="H2667" s="1">
        <v>4.3273610000000003E-6</v>
      </c>
      <c r="I2667">
        <v>283.39060000000001</v>
      </c>
      <c r="J2667">
        <v>-298.80579999999998</v>
      </c>
      <c r="K2667">
        <v>1.112277</v>
      </c>
      <c r="L2667">
        <v>283.73860000000002</v>
      </c>
      <c r="M2667">
        <v>-0.99996499999999999</v>
      </c>
      <c r="N2667">
        <v>0</v>
      </c>
      <c r="O2667">
        <v>-1.867599E-3</v>
      </c>
      <c r="P2667">
        <v>-0.98361790000000004</v>
      </c>
      <c r="Q2667">
        <v>0.17406450000000001</v>
      </c>
      <c r="R2667">
        <v>-4.6880900000000003E-2</v>
      </c>
      <c r="S2667">
        <v>-3.0848390000000001</v>
      </c>
      <c r="T2667">
        <v>-0.21598880000000001</v>
      </c>
      <c r="U2667">
        <v>-6.7840579999999998E-2</v>
      </c>
      <c r="V2667">
        <v>-4.622569E-2</v>
      </c>
      <c r="W2667">
        <v>0.1818063</v>
      </c>
      <c r="X2667">
        <v>0.98224719999999999</v>
      </c>
      <c r="Y2667">
        <v>-2.0074499999999999E-2</v>
      </c>
      <c r="Z2667">
        <v>-5.7123639999999995E-4</v>
      </c>
      <c r="AA2667">
        <v>0.99979830000000003</v>
      </c>
      <c r="AB2667">
        <v>33</v>
      </c>
      <c r="AC2667">
        <v>-15.711399999999999</v>
      </c>
      <c r="AD2667">
        <v>-1.112272672639</v>
      </c>
      <c r="AE2667">
        <v>-0.34800000000001302</v>
      </c>
      <c r="AF2667">
        <v>-0.31706752601939298</v>
      </c>
      <c r="AG2667">
        <v>-1.112272672639</v>
      </c>
      <c r="AH2667">
        <v>15.6337081216492</v>
      </c>
      <c r="AI2667">
        <v>94.068663229717401</v>
      </c>
      <c r="AJ2667">
        <v>91.161857492171805</v>
      </c>
      <c r="AK2667">
        <v>15.6764317351646</v>
      </c>
      <c r="AL2667">
        <v>79.525010127947098</v>
      </c>
      <c r="AM2667">
        <v>92.694417710359104</v>
      </c>
      <c r="AN2667">
        <v>0.99999995352175097</v>
      </c>
    </row>
    <row r="2668" spans="1:40" x14ac:dyDescent="0.25">
      <c r="A2668" t="str">
        <f>"20190312172133654"</f>
        <v>20190312172133654</v>
      </c>
      <c r="B2668" t="str">
        <f>"1552382493643423"</f>
        <v>1552382493643423</v>
      </c>
      <c r="C2668" t="s">
        <v>40</v>
      </c>
      <c r="D2668">
        <v>3.1128230000000001</v>
      </c>
      <c r="E2668">
        <v>0.50916149999999905</v>
      </c>
      <c r="F2668" t="s">
        <v>47</v>
      </c>
      <c r="G2668">
        <v>-314.7704</v>
      </c>
      <c r="H2668" s="1">
        <v>4.4416650000000003E-6</v>
      </c>
      <c r="I2668">
        <v>283.36689999999999</v>
      </c>
      <c r="J2668">
        <v>-298.97829999999999</v>
      </c>
      <c r="K2668">
        <v>1.1122829999999999</v>
      </c>
      <c r="L2668">
        <v>283.73680000000002</v>
      </c>
      <c r="M2668">
        <v>-0.99996050000000003</v>
      </c>
      <c r="N2668">
        <v>0</v>
      </c>
      <c r="O2668">
        <v>-3.4549910000000001E-3</v>
      </c>
      <c r="P2668">
        <v>-0.98353889999999999</v>
      </c>
      <c r="Q2668">
        <v>0.17414089999999999</v>
      </c>
      <c r="R2668">
        <v>-4.8229660000000001E-2</v>
      </c>
      <c r="S2668">
        <v>-3.0845639999999999</v>
      </c>
      <c r="T2668">
        <v>-0.2149066</v>
      </c>
      <c r="U2668">
        <v>-7.1807860000000001E-2</v>
      </c>
      <c r="V2668">
        <v>-4.6016069999999999E-2</v>
      </c>
      <c r="W2668">
        <v>0.18188969999999999</v>
      </c>
      <c r="X2668">
        <v>0.98224160000000005</v>
      </c>
      <c r="Y2668">
        <v>-1.9779580000000001E-2</v>
      </c>
      <c r="Z2668">
        <v>-4.477145E-4</v>
      </c>
      <c r="AA2668">
        <v>0.99980429999999998</v>
      </c>
      <c r="AB2668">
        <v>33</v>
      </c>
      <c r="AC2668">
        <v>-15.7921</v>
      </c>
      <c r="AD2668">
        <v>-1.1122785583349999</v>
      </c>
      <c r="AE2668">
        <v>-0.36990000000002898</v>
      </c>
      <c r="AF2668">
        <v>-0.313778675057307</v>
      </c>
      <c r="AG2668">
        <v>-1.1122785583349999</v>
      </c>
      <c r="AH2668">
        <v>15.715366523389299</v>
      </c>
      <c r="AI2668">
        <v>94.047639435151694</v>
      </c>
      <c r="AJ2668">
        <v>91.143836212213301</v>
      </c>
      <c r="AK2668">
        <v>15.7578033244713</v>
      </c>
      <c r="AL2668">
        <v>79.520150611278197</v>
      </c>
      <c r="AM2668">
        <v>92.682232466670996</v>
      </c>
      <c r="AN2668">
        <v>0.999999951217446</v>
      </c>
    </row>
    <row r="2669" spans="1:40" x14ac:dyDescent="0.25">
      <c r="A2669" t="str">
        <f>"20190312172133665"</f>
        <v>20190312172133665</v>
      </c>
      <c r="B2669" t="str">
        <f>"1552382493663919"</f>
        <v>1552382493663919</v>
      </c>
      <c r="C2669" t="s">
        <v>40</v>
      </c>
      <c r="D2669">
        <v>3.1082589999999999</v>
      </c>
      <c r="E2669">
        <v>0.50940379999999996</v>
      </c>
      <c r="F2669" t="s">
        <v>47</v>
      </c>
      <c r="G2669">
        <v>-314.89789999999999</v>
      </c>
      <c r="H2669" s="1">
        <v>4.4996559999999999E-6</v>
      </c>
      <c r="I2669">
        <v>283.35050000000001</v>
      </c>
      <c r="J2669">
        <v>-299.14</v>
      </c>
      <c r="K2669">
        <v>1.112285</v>
      </c>
      <c r="L2669">
        <v>283.73500000000001</v>
      </c>
      <c r="M2669">
        <v>-0.99995440000000002</v>
      </c>
      <c r="N2669">
        <v>0</v>
      </c>
      <c r="O2669">
        <v>-4.9389890000000004E-3</v>
      </c>
      <c r="P2669">
        <v>-0.98339790000000005</v>
      </c>
      <c r="Q2669">
        <v>0.17460239999999999</v>
      </c>
      <c r="R2669">
        <v>-4.9429430000000003E-2</v>
      </c>
      <c r="S2669">
        <v>-3.084686</v>
      </c>
      <c r="T2669">
        <v>-0.2155231</v>
      </c>
      <c r="U2669">
        <v>-7.4859620000000002E-2</v>
      </c>
      <c r="V2669">
        <v>-4.5760519999999999E-2</v>
      </c>
      <c r="W2669">
        <v>0.18235860000000001</v>
      </c>
      <c r="X2669">
        <v>0.9821666</v>
      </c>
      <c r="Y2669">
        <v>-1.9288050000000001E-2</v>
      </c>
      <c r="Z2669">
        <v>-3.2828129999999998E-4</v>
      </c>
      <c r="AA2669">
        <v>0.99981390000000003</v>
      </c>
      <c r="AB2669">
        <v>33</v>
      </c>
      <c r="AC2669">
        <v>-15.757899999999999</v>
      </c>
      <c r="AD2669">
        <v>-1.1122805003439999</v>
      </c>
      <c r="AE2669">
        <v>-0.38450000000000201</v>
      </c>
      <c r="AF2669">
        <v>-0.30514518791161899</v>
      </c>
      <c r="AG2669">
        <v>-1.1122805003439999</v>
      </c>
      <c r="AH2669">
        <v>15.681522956143199</v>
      </c>
      <c r="AI2669">
        <v>94.056393330413698</v>
      </c>
      <c r="AJ2669">
        <v>91.114772158937896</v>
      </c>
      <c r="AK2669">
        <v>15.723881318593</v>
      </c>
      <c r="AL2669">
        <v>79.4928277203188</v>
      </c>
      <c r="AM2669">
        <v>92.6675616659019</v>
      </c>
      <c r="AN2669">
        <v>0.99999995717009404</v>
      </c>
    </row>
    <row r="2670" spans="1:40" x14ac:dyDescent="0.25">
      <c r="A2670" t="str">
        <f>"20190312172133678"</f>
        <v>20190312172133678</v>
      </c>
      <c r="B2670" t="str">
        <f>"1552382493673678"</f>
        <v>1552382493673678</v>
      </c>
      <c r="C2670" t="s">
        <v>40</v>
      </c>
      <c r="D2670">
        <v>3.121658</v>
      </c>
      <c r="E2670">
        <v>0.50939799999999902</v>
      </c>
      <c r="F2670" t="s">
        <v>47</v>
      </c>
      <c r="G2670">
        <v>-315.26710000000003</v>
      </c>
      <c r="H2670" s="1">
        <v>4.6647959999999997E-6</v>
      </c>
      <c r="I2670">
        <v>283.33449999999999</v>
      </c>
      <c r="J2670">
        <v>-299.33019999999999</v>
      </c>
      <c r="K2670">
        <v>1.1122860000000001</v>
      </c>
      <c r="L2670">
        <v>283.73250000000002</v>
      </c>
      <c r="M2670">
        <v>-0.99994419999999995</v>
      </c>
      <c r="N2670">
        <v>0</v>
      </c>
      <c r="O2670">
        <v>-6.6795049999999996E-3</v>
      </c>
      <c r="P2670">
        <v>-0.98326460000000004</v>
      </c>
      <c r="Q2670">
        <v>0.174858399999999</v>
      </c>
      <c r="R2670">
        <v>-5.1143189999999998E-2</v>
      </c>
      <c r="S2670">
        <v>-3.0845639999999999</v>
      </c>
      <c r="T2670">
        <v>-0.2127414</v>
      </c>
      <c r="U2670">
        <v>-7.6599120000000007E-2</v>
      </c>
      <c r="V2670">
        <v>-4.5765279999999998E-2</v>
      </c>
      <c r="W2670">
        <v>0.18262110000000001</v>
      </c>
      <c r="X2670">
        <v>0.98211769999999998</v>
      </c>
      <c r="Y2670">
        <v>-1.8120009999999999E-2</v>
      </c>
      <c r="Z2670">
        <v>-1.6395879999999999E-4</v>
      </c>
      <c r="AA2670">
        <v>0.99983580000000005</v>
      </c>
      <c r="AB2670">
        <v>33</v>
      </c>
      <c r="AC2670">
        <v>-15.9369</v>
      </c>
      <c r="AD2670">
        <v>-1.112281335204</v>
      </c>
      <c r="AE2670">
        <v>-0.398000000000024</v>
      </c>
      <c r="AF2670">
        <v>-0.29012462474253897</v>
      </c>
      <c r="AG2670">
        <v>-1.112281335204</v>
      </c>
      <c r="AH2670">
        <v>15.861986787641699</v>
      </c>
      <c r="AI2670">
        <v>94.010485796982607</v>
      </c>
      <c r="AJ2670">
        <v>91.047855065244804</v>
      </c>
      <c r="AK2670">
        <v>15.9035834615298</v>
      </c>
      <c r="AL2670">
        <v>79.477531713468807</v>
      </c>
      <c r="AM2670">
        <v>92.667971384999305</v>
      </c>
      <c r="AN2670">
        <v>1.00000005183598</v>
      </c>
    </row>
    <row r="2671" spans="1:40" x14ac:dyDescent="0.25">
      <c r="A2671" t="str">
        <f>"20190312172133699"</f>
        <v>20190312172133699</v>
      </c>
      <c r="B2671" t="str">
        <f>"1552382493693199"</f>
        <v>1552382493693199</v>
      </c>
      <c r="C2671" t="s">
        <v>40</v>
      </c>
      <c r="D2671">
        <v>3.134309</v>
      </c>
      <c r="E2671">
        <v>0.50951840000000004</v>
      </c>
      <c r="F2671" t="s">
        <v>47</v>
      </c>
      <c r="G2671">
        <v>-315.52069999999998</v>
      </c>
      <c r="H2671" s="1">
        <v>4.7802060000000002E-6</v>
      </c>
      <c r="I2671">
        <v>283.3005</v>
      </c>
      <c r="J2671">
        <v>-299.6268</v>
      </c>
      <c r="K2671">
        <v>1.112279</v>
      </c>
      <c r="L2671">
        <v>283.72809999999998</v>
      </c>
      <c r="M2671">
        <v>-0.99992250000000005</v>
      </c>
      <c r="N2671">
        <v>0</v>
      </c>
      <c r="O2671">
        <v>-9.3740750000000008E-3</v>
      </c>
      <c r="P2671">
        <v>-0.98304219999999998</v>
      </c>
      <c r="Q2671">
        <v>0.17536289999999999</v>
      </c>
      <c r="R2671">
        <v>-5.362948E-2</v>
      </c>
      <c r="S2671">
        <v>-3.0844420000000001</v>
      </c>
      <c r="T2671">
        <v>-0.21190010000000001</v>
      </c>
      <c r="U2671">
        <v>-8.2305909999999996E-2</v>
      </c>
      <c r="V2671">
        <v>-4.5603940000000003E-2</v>
      </c>
      <c r="W2671">
        <v>0.18313679999999999</v>
      </c>
      <c r="X2671">
        <v>0.98202909999999999</v>
      </c>
      <c r="Y2671">
        <v>-1.7283860000000002E-2</v>
      </c>
      <c r="Z2671" s="1">
        <v>5.0224250000000003E-5</v>
      </c>
      <c r="AA2671">
        <v>0.99985060000000003</v>
      </c>
      <c r="AB2671">
        <v>33</v>
      </c>
      <c r="AC2671">
        <v>-15.893899999999901</v>
      </c>
      <c r="AD2671">
        <v>-1.1122742197939901</v>
      </c>
      <c r="AE2671">
        <v>-0.42759999999998399</v>
      </c>
      <c r="AF2671">
        <v>-0.27722888987041</v>
      </c>
      <c r="AG2671">
        <v>-1.1122742197939901</v>
      </c>
      <c r="AH2671">
        <v>15.8197907914846</v>
      </c>
      <c r="AI2671">
        <v>94.021177234602902</v>
      </c>
      <c r="AJ2671">
        <v>91.003958894079702</v>
      </c>
      <c r="AK2671">
        <v>15.861266988602701</v>
      </c>
      <c r="AL2671">
        <v>79.447476662659099</v>
      </c>
      <c r="AM2671">
        <v>92.658818807154603</v>
      </c>
      <c r="AN2671">
        <v>0.99999998005228596</v>
      </c>
    </row>
    <row r="2672" spans="1:40" x14ac:dyDescent="0.25">
      <c r="A2672" t="str">
        <f>"20190312172133720"</f>
        <v>20190312172133720</v>
      </c>
      <c r="B2672" t="str">
        <f>"1552382493713695"</f>
        <v>1552382493713695</v>
      </c>
      <c r="C2672" t="s">
        <v>40</v>
      </c>
      <c r="D2672">
        <v>3.1083349999999998</v>
      </c>
      <c r="E2672">
        <v>0.50984169999999995</v>
      </c>
      <c r="F2672" t="s">
        <v>47</v>
      </c>
      <c r="G2672">
        <v>-315.9074</v>
      </c>
      <c r="H2672" s="1">
        <v>4.9554860000000003E-6</v>
      </c>
      <c r="I2672">
        <v>283.25749999999999</v>
      </c>
      <c r="J2672">
        <v>-299.95429999999999</v>
      </c>
      <c r="K2672">
        <v>1.1122639999999999</v>
      </c>
      <c r="L2672">
        <v>283.72219999999999</v>
      </c>
      <c r="M2672">
        <v>-0.99989059999999996</v>
      </c>
      <c r="N2672">
        <v>0</v>
      </c>
      <c r="O2672">
        <v>-1.231527E-2</v>
      </c>
      <c r="P2672">
        <v>-0.98290029999999995</v>
      </c>
      <c r="Q2672">
        <v>0.17526369999999999</v>
      </c>
      <c r="R2672">
        <v>-5.6485399999999998E-2</v>
      </c>
      <c r="S2672">
        <v>-3.084473</v>
      </c>
      <c r="T2672">
        <v>-0.21072779999999999</v>
      </c>
      <c r="U2672">
        <v>-8.9141849999999995E-2</v>
      </c>
      <c r="V2672">
        <v>-4.5561610000000002E-2</v>
      </c>
      <c r="W2672">
        <v>0.18305009999999999</v>
      </c>
      <c r="X2672">
        <v>0.98204729999999996</v>
      </c>
      <c r="Y2672">
        <v>-1.65655E-2</v>
      </c>
      <c r="Z2672">
        <v>2.7509419999999999E-4</v>
      </c>
      <c r="AA2672">
        <v>0.99986269999999999</v>
      </c>
      <c r="AB2672">
        <v>33</v>
      </c>
      <c r="AC2672">
        <v>-15.953099999999999</v>
      </c>
      <c r="AD2672">
        <v>-1.1122590445139999</v>
      </c>
      <c r="AE2672">
        <v>-0.46469999999999301</v>
      </c>
      <c r="AF2672">
        <v>-0.26689516309274097</v>
      </c>
      <c r="AG2672">
        <v>-1.1122590445139999</v>
      </c>
      <c r="AH2672">
        <v>15.880484304643099</v>
      </c>
      <c r="AI2672">
        <v>94.005853552838801</v>
      </c>
      <c r="AJ2672">
        <v>90.962850161792801</v>
      </c>
      <c r="AK2672">
        <v>15.921624758805301</v>
      </c>
      <c r="AL2672">
        <v>79.452530364676093</v>
      </c>
      <c r="AM2672">
        <v>92.656305244532106</v>
      </c>
      <c r="AN2672">
        <v>1.00000004942654</v>
      </c>
    </row>
    <row r="2673" spans="1:40" x14ac:dyDescent="0.25">
      <c r="A2673" t="str">
        <f>"20190312172133733"</f>
        <v>20190312172133733</v>
      </c>
      <c r="B2673" t="str">
        <f>"1552382493723455"</f>
        <v>1552382493723455</v>
      </c>
      <c r="C2673" t="s">
        <v>40</v>
      </c>
      <c r="D2673">
        <v>3.1122779999999999</v>
      </c>
      <c r="E2673">
        <v>0.50991549999999997</v>
      </c>
      <c r="F2673" t="s">
        <v>47</v>
      </c>
      <c r="G2673">
        <v>-316.04790000000003</v>
      </c>
      <c r="H2673" s="1">
        <v>5.0206790000000001E-6</v>
      </c>
      <c r="I2673">
        <v>283.22449999999998</v>
      </c>
      <c r="J2673">
        <v>-300.14859999999999</v>
      </c>
      <c r="K2673">
        <v>1.1122459999999901</v>
      </c>
      <c r="L2673">
        <v>283.7183</v>
      </c>
      <c r="M2673">
        <v>-0.99986770000000003</v>
      </c>
      <c r="N2673">
        <v>0</v>
      </c>
      <c r="O2673">
        <v>-1.403862E-2</v>
      </c>
      <c r="P2673">
        <v>-0.9828308</v>
      </c>
      <c r="Q2673">
        <v>0.17512759999999999</v>
      </c>
      <c r="R2673">
        <v>-5.8089099999999998E-2</v>
      </c>
      <c r="S2673">
        <v>-3.084686</v>
      </c>
      <c r="T2673">
        <v>-0.21318809999999999</v>
      </c>
      <c r="U2673">
        <v>-9.5397949999999995E-2</v>
      </c>
      <c r="V2673">
        <v>-4.5464839999999999E-2</v>
      </c>
      <c r="W2673">
        <v>0.1829221</v>
      </c>
      <c r="X2673">
        <v>0.98207560000000005</v>
      </c>
      <c r="Y2673">
        <v>-1.6869350000000002E-2</v>
      </c>
      <c r="Z2673">
        <v>3.8670099999999998E-4</v>
      </c>
      <c r="AA2673">
        <v>0.99985760000000001</v>
      </c>
      <c r="AB2673">
        <v>33</v>
      </c>
      <c r="AC2673">
        <v>-15.8993</v>
      </c>
      <c r="AD2673">
        <v>-1.11224097932099</v>
      </c>
      <c r="AE2673">
        <v>-0.493800000000021</v>
      </c>
      <c r="AF2673">
        <v>-0.269223328102069</v>
      </c>
      <c r="AG2673">
        <v>-1.11224097932099</v>
      </c>
      <c r="AH2673">
        <v>15.8272854449718</v>
      </c>
      <c r="AI2673">
        <v>94.019195167251794</v>
      </c>
      <c r="AJ2673">
        <v>90.974511581291793</v>
      </c>
      <c r="AK2673">
        <v>15.8686018840064</v>
      </c>
      <c r="AL2673">
        <v>79.459989814767994</v>
      </c>
      <c r="AM2673">
        <v>92.650595199805807</v>
      </c>
      <c r="AN2673">
        <v>1.0000000152299899</v>
      </c>
    </row>
    <row r="2674" spans="1:40" x14ac:dyDescent="0.25">
      <c r="A2674" t="str">
        <f>"20190312172133744"</f>
        <v>20190312172133744</v>
      </c>
      <c r="B2674" t="str">
        <f>"1552382493733215"</f>
        <v>1552382493733215</v>
      </c>
      <c r="C2674" t="s">
        <v>40</v>
      </c>
      <c r="D2674">
        <v>3.2455129999999999</v>
      </c>
      <c r="E2674">
        <v>0.50999289999999997</v>
      </c>
      <c r="F2674" t="s">
        <v>47</v>
      </c>
      <c r="G2674">
        <v>-316.21010000000001</v>
      </c>
      <c r="H2674" s="1">
        <v>5.0947389999999997E-6</v>
      </c>
      <c r="I2674">
        <v>283.19959999999998</v>
      </c>
      <c r="J2674">
        <v>-300.31349999999998</v>
      </c>
      <c r="K2674">
        <v>1.112236</v>
      </c>
      <c r="L2674">
        <v>283.71469999999999</v>
      </c>
      <c r="M2674">
        <v>-0.99984620000000002</v>
      </c>
      <c r="N2674">
        <v>0</v>
      </c>
      <c r="O2674">
        <v>-1.549473E-2</v>
      </c>
      <c r="P2674">
        <v>-0.98279519999999998</v>
      </c>
      <c r="Q2674">
        <v>0.17486090000000001</v>
      </c>
      <c r="R2674">
        <v>-5.9475880000000002E-2</v>
      </c>
      <c r="S2674">
        <v>-3.0845950000000002</v>
      </c>
      <c r="T2674">
        <v>-0.21360580000000001</v>
      </c>
      <c r="U2674">
        <v>-9.9609379999999997E-2</v>
      </c>
      <c r="V2674">
        <v>-4.541369E-2</v>
      </c>
      <c r="W2674">
        <v>0.18266189999999999</v>
      </c>
      <c r="X2674">
        <v>0.98212639999999995</v>
      </c>
      <c r="Y2674">
        <v>-1.6781569999999999E-2</v>
      </c>
      <c r="Z2674">
        <v>4.9116350000000003E-4</v>
      </c>
      <c r="AA2674">
        <v>0.99985900000000005</v>
      </c>
      <c r="AB2674">
        <v>33</v>
      </c>
      <c r="AC2674">
        <v>-15.896599999999999</v>
      </c>
      <c r="AD2674">
        <v>-1.112230905261</v>
      </c>
      <c r="AE2674">
        <v>-0.51510000000001799</v>
      </c>
      <c r="AF2674">
        <v>-0.26740864177058499</v>
      </c>
      <c r="AG2674">
        <v>-1.112230905261</v>
      </c>
      <c r="AH2674">
        <v>15.8252844441958</v>
      </c>
      <c r="AI2674">
        <v>94.019673053454497</v>
      </c>
      <c r="AJ2674">
        <v>90.968066555594802</v>
      </c>
      <c r="AK2674">
        <v>15.8665746999161</v>
      </c>
      <c r="AL2674">
        <v>79.475153705805397</v>
      </c>
      <c r="AM2674">
        <v>92.647480654223301</v>
      </c>
      <c r="AN2674">
        <v>1.00000001926399</v>
      </c>
    </row>
    <row r="2675" spans="1:40" x14ac:dyDescent="0.25">
      <c r="A2675" t="str">
        <f>"20190312172133755"</f>
        <v>20190312172133755</v>
      </c>
      <c r="B2675" t="str">
        <f>"1552382493743950"</f>
        <v>1552382493743950</v>
      </c>
      <c r="C2675" t="s">
        <v>40</v>
      </c>
      <c r="D2675">
        <v>3.1219220000000001</v>
      </c>
      <c r="E2675">
        <v>0.51010319999999998</v>
      </c>
      <c r="F2675" t="s">
        <v>47</v>
      </c>
      <c r="G2675">
        <v>-316.32049999999998</v>
      </c>
      <c r="H2675" s="1">
        <v>5.1454839999999997E-6</v>
      </c>
      <c r="I2675">
        <v>283.17950000000002</v>
      </c>
      <c r="J2675">
        <v>-300.488</v>
      </c>
      <c r="K2675">
        <v>1.112228</v>
      </c>
      <c r="L2675">
        <v>283.71069999999997</v>
      </c>
      <c r="M2675">
        <v>-0.99982119999999997</v>
      </c>
      <c r="N2675">
        <v>0</v>
      </c>
      <c r="O2675">
        <v>-1.702617E-2</v>
      </c>
      <c r="P2675">
        <v>-0.9827245</v>
      </c>
      <c r="Q2675">
        <v>0.1747571</v>
      </c>
      <c r="R2675">
        <v>-6.093403E-2</v>
      </c>
      <c r="S2675">
        <v>-3.0844420000000001</v>
      </c>
      <c r="T2675">
        <v>-0.21431929999999999</v>
      </c>
      <c r="U2675">
        <v>-0.1031189</v>
      </c>
      <c r="V2675">
        <v>-4.5360659999999997E-2</v>
      </c>
      <c r="W2675">
        <v>0.1825649</v>
      </c>
      <c r="X2675">
        <v>0.98214690000000004</v>
      </c>
      <c r="Y2675">
        <v>-1.639272E-2</v>
      </c>
      <c r="Z2675">
        <v>6.125347E-4</v>
      </c>
      <c r="AA2675">
        <v>0.99986549999999996</v>
      </c>
      <c r="AB2675">
        <v>33</v>
      </c>
      <c r="AC2675">
        <v>-15.8324999999999</v>
      </c>
      <c r="AD2675">
        <v>-1.112222854516</v>
      </c>
      <c r="AE2675">
        <v>-0.53119999999995504</v>
      </c>
      <c r="AF2675">
        <v>-0.26026408389856998</v>
      </c>
      <c r="AG2675">
        <v>-1.112222854516</v>
      </c>
      <c r="AH2675">
        <v>15.7615540830789</v>
      </c>
      <c r="AI2675">
        <v>94.035869366610498</v>
      </c>
      <c r="AJ2675">
        <v>90.946015753033095</v>
      </c>
      <c r="AK2675">
        <v>15.802891007195401</v>
      </c>
      <c r="AL2675">
        <v>79.480806591091095</v>
      </c>
      <c r="AM2675">
        <v>92.644338439498995</v>
      </c>
      <c r="AN2675">
        <v>1.00000003268362</v>
      </c>
    </row>
    <row r="2676" spans="1:40" x14ac:dyDescent="0.25">
      <c r="A2676" t="str">
        <f>"20190312172133767"</f>
        <v>20190312172133767</v>
      </c>
      <c r="B2676" t="str">
        <f>"1552382493763471"</f>
        <v>1552382493763471</v>
      </c>
      <c r="C2676" t="s">
        <v>40</v>
      </c>
      <c r="D2676">
        <v>3.117988</v>
      </c>
      <c r="E2676">
        <v>0.51027219999999995</v>
      </c>
      <c r="F2676" t="s">
        <v>47</v>
      </c>
      <c r="G2676">
        <v>-316.47570000000002</v>
      </c>
      <c r="H2676" s="1">
        <v>5.2161749999999899E-6</v>
      </c>
      <c r="I2676">
        <v>283.15800000000002</v>
      </c>
      <c r="J2676">
        <v>-300.65219999999999</v>
      </c>
      <c r="K2676">
        <v>1.1122160000000001</v>
      </c>
      <c r="L2676">
        <v>283.70659999999998</v>
      </c>
      <c r="M2676">
        <v>-0.99979589999999996</v>
      </c>
      <c r="N2676">
        <v>0</v>
      </c>
      <c r="O2676">
        <v>-1.8453069999999999E-2</v>
      </c>
      <c r="P2676">
        <v>-0.98269399999999996</v>
      </c>
      <c r="Q2676">
        <v>0.17449379999999901</v>
      </c>
      <c r="R2676">
        <v>-6.2168029999999999E-2</v>
      </c>
      <c r="S2676">
        <v>-3.0842900000000002</v>
      </c>
      <c r="T2676">
        <v>-0.2145669</v>
      </c>
      <c r="U2676">
        <v>-0.106628399999999</v>
      </c>
      <c r="V2676">
        <v>-4.5185349999999999E-2</v>
      </c>
      <c r="W2676">
        <v>0.18230930000000001</v>
      </c>
      <c r="X2676">
        <v>0.98220240000000003</v>
      </c>
      <c r="Y2676">
        <v>-1.6107920000000001E-2</v>
      </c>
      <c r="Z2676">
        <v>7.2224020000000004E-4</v>
      </c>
      <c r="AA2676">
        <v>0.99987000000000004</v>
      </c>
      <c r="AB2676">
        <v>33</v>
      </c>
      <c r="AC2676">
        <v>-15.823499999999999</v>
      </c>
      <c r="AD2676">
        <v>-1.1122107838249999</v>
      </c>
      <c r="AE2676">
        <v>-0.54859999999996401</v>
      </c>
      <c r="AF2676">
        <v>-0.25524503414618899</v>
      </c>
      <c r="AG2676">
        <v>-1.1122107838249999</v>
      </c>
      <c r="AH2676">
        <v>15.75319431354</v>
      </c>
      <c r="AI2676">
        <v>94.037980718034504</v>
      </c>
      <c r="AJ2676">
        <v>90.928267837409805</v>
      </c>
      <c r="AK2676">
        <v>15.7944703594411</v>
      </c>
      <c r="AL2676">
        <v>79.495700757027194</v>
      </c>
      <c r="AM2676">
        <v>92.633984381882499</v>
      </c>
      <c r="AN2676">
        <v>0.99999997564343601</v>
      </c>
    </row>
    <row r="2677" spans="1:40" x14ac:dyDescent="0.25">
      <c r="A2677" t="str">
        <f>"20190312172133781"</f>
        <v>20190312172133781</v>
      </c>
      <c r="B2677" t="str">
        <f>"1552382493773231"</f>
        <v>1552382493773231</v>
      </c>
      <c r="C2677" t="s">
        <v>40</v>
      </c>
      <c r="D2677">
        <v>3.1094240000000002</v>
      </c>
      <c r="E2677">
        <v>0.51040529999999995</v>
      </c>
      <c r="F2677" t="s">
        <v>47</v>
      </c>
      <c r="G2677">
        <v>-316.52980000000002</v>
      </c>
      <c r="H2677" s="1">
        <v>5.2413939999999997E-6</v>
      </c>
      <c r="I2677">
        <v>283.14420000000001</v>
      </c>
      <c r="J2677">
        <v>-300.85320000000002</v>
      </c>
      <c r="K2677">
        <v>1.1121989999999999</v>
      </c>
      <c r="L2677">
        <v>283.70150000000001</v>
      </c>
      <c r="M2677">
        <v>-0.99976220000000005</v>
      </c>
      <c r="N2677">
        <v>0</v>
      </c>
      <c r="O2677">
        <v>-2.0189510000000001E-2</v>
      </c>
      <c r="P2677">
        <v>-0.9826125</v>
      </c>
      <c r="Q2677">
        <v>0.17438589999999901</v>
      </c>
      <c r="R2677">
        <v>-6.3735799999999995E-2</v>
      </c>
      <c r="S2677">
        <v>-3.08432</v>
      </c>
      <c r="T2677">
        <v>-0.21605369999999999</v>
      </c>
      <c r="U2677">
        <v>-0.1092529</v>
      </c>
      <c r="V2677">
        <v>-4.5039589999999997E-2</v>
      </c>
      <c r="W2677">
        <v>0.18221039999999999</v>
      </c>
      <c r="X2677">
        <v>0.98222739999999997</v>
      </c>
      <c r="Y2677">
        <v>-1.522723E-2</v>
      </c>
      <c r="Z2677">
        <v>8.7942640000000002E-4</v>
      </c>
      <c r="AA2677">
        <v>0.99988370000000004</v>
      </c>
      <c r="AB2677">
        <v>34</v>
      </c>
      <c r="AC2677">
        <v>-15.676600000000001</v>
      </c>
      <c r="AD2677">
        <v>-1.112193758606</v>
      </c>
      <c r="AE2677">
        <v>-0.55729999999999702</v>
      </c>
      <c r="AF2677">
        <v>-0.23946896601805501</v>
      </c>
      <c r="AG2677">
        <v>-1.112193758606</v>
      </c>
      <c r="AH2677">
        <v>15.6062040901676</v>
      </c>
      <c r="AI2677">
        <v>94.075878476875502</v>
      </c>
      <c r="AJ2677">
        <v>90.879104508804502</v>
      </c>
      <c r="AK2677">
        <v>15.647617276963601</v>
      </c>
      <c r="AL2677">
        <v>79.501463353650493</v>
      </c>
      <c r="AM2677">
        <v>92.625432787985005</v>
      </c>
      <c r="AN2677">
        <v>0.99999992992314102</v>
      </c>
    </row>
    <row r="2678" spans="1:40" x14ac:dyDescent="0.25">
      <c r="A2678" t="str">
        <f>"20190312172133798"</f>
        <v>20190312172133798</v>
      </c>
      <c r="B2678" t="str">
        <f>"1552382493793727"</f>
        <v>1552382493793727</v>
      </c>
      <c r="C2678" t="s">
        <v>40</v>
      </c>
      <c r="D2678">
        <v>3.1158079999999999</v>
      </c>
      <c r="E2678">
        <v>0.51597870000000001</v>
      </c>
      <c r="F2678" t="s">
        <v>41</v>
      </c>
      <c r="G2678">
        <v>-301.88040000000001</v>
      </c>
      <c r="H2678">
        <v>1.0401670000000001</v>
      </c>
      <c r="I2678">
        <v>283.66390000000001</v>
      </c>
      <c r="J2678">
        <v>-301.12700000000001</v>
      </c>
      <c r="K2678">
        <v>1.1121730000000001</v>
      </c>
      <c r="L2678">
        <v>283.69380000000001</v>
      </c>
      <c r="M2678">
        <v>-0.99971239999999995</v>
      </c>
      <c r="N2678">
        <v>0</v>
      </c>
      <c r="O2678">
        <v>-2.251972E-2</v>
      </c>
      <c r="P2678">
        <v>-0.98260729999999996</v>
      </c>
      <c r="Q2678">
        <v>0.173756299999999</v>
      </c>
      <c r="R2678">
        <v>-6.5509940000000003E-2</v>
      </c>
      <c r="S2678">
        <v>-3.0841669999999999</v>
      </c>
      <c r="T2678">
        <v>-0.2164789</v>
      </c>
      <c r="U2678">
        <v>-0.1131287</v>
      </c>
      <c r="V2678">
        <v>-4.4507529999999997E-2</v>
      </c>
      <c r="W2678">
        <v>0.1815957</v>
      </c>
      <c r="X2678">
        <v>0.9823655</v>
      </c>
      <c r="Y2678">
        <v>-1.4161679999999999E-2</v>
      </c>
      <c r="Z2678">
        <v>1.081757E-3</v>
      </c>
      <c r="AA2678">
        <v>0.99989910000000004</v>
      </c>
      <c r="AB2678">
        <v>34</v>
      </c>
      <c r="AC2678">
        <v>-0.75339999999999896</v>
      </c>
      <c r="AD2678">
        <v>-7.2005999999999695E-2</v>
      </c>
      <c r="AE2678">
        <v>-2.98999999999978E-2</v>
      </c>
      <c r="AF2678">
        <v>-1.2808665919517299E-2</v>
      </c>
      <c r="AG2678">
        <v>-7.2005999999999695E-2</v>
      </c>
      <c r="AH2678">
        <v>0.74706889564186496</v>
      </c>
      <c r="AI2678">
        <v>95.504625147231707</v>
      </c>
      <c r="AJ2678">
        <v>90.982252915270607</v>
      </c>
      <c r="AK2678">
        <v>0.75064030053960795</v>
      </c>
      <c r="AL2678">
        <v>79.537280812203406</v>
      </c>
      <c r="AM2678">
        <v>92.594096526377399</v>
      </c>
      <c r="AN2678">
        <v>0.99999994703771899</v>
      </c>
    </row>
    <row r="2679" spans="1:40" x14ac:dyDescent="0.25">
      <c r="A2679" t="str">
        <f>"20190312172133813"</f>
        <v>20190312172133813</v>
      </c>
      <c r="B2679" t="str">
        <f>"1552382493803487"</f>
        <v>1552382493803487</v>
      </c>
      <c r="C2679" t="s">
        <v>40</v>
      </c>
      <c r="D2679">
        <v>3.1425700000000001</v>
      </c>
      <c r="E2679">
        <v>0.51607440000000004</v>
      </c>
      <c r="F2679" t="s">
        <v>47</v>
      </c>
      <c r="G2679">
        <v>-315.76010000000002</v>
      </c>
      <c r="H2679" s="1">
        <v>4.8828150000000003E-6</v>
      </c>
      <c r="I2679">
        <v>283.34120000000001</v>
      </c>
      <c r="J2679">
        <v>-301.33699999999999</v>
      </c>
      <c r="K2679">
        <v>1.112152</v>
      </c>
      <c r="L2679">
        <v>283.6875</v>
      </c>
      <c r="M2679">
        <v>-0.99967099999999998</v>
      </c>
      <c r="N2679">
        <v>0</v>
      </c>
      <c r="O2679">
        <v>-2.427909E-2</v>
      </c>
      <c r="P2679">
        <v>-0.98250059999999995</v>
      </c>
      <c r="Q2679">
        <v>0.1738122</v>
      </c>
      <c r="R2679">
        <v>-6.6949190000000006E-2</v>
      </c>
      <c r="S2679">
        <v>-3.089661</v>
      </c>
      <c r="T2679">
        <v>-0.23482629999999999</v>
      </c>
      <c r="U2679">
        <v>-7.4432369999999998E-2</v>
      </c>
      <c r="V2679">
        <v>-4.4209529999999997E-2</v>
      </c>
      <c r="W2679">
        <v>0.18166089999999999</v>
      </c>
      <c r="X2679">
        <v>0.98236699999999999</v>
      </c>
      <c r="Y2679">
        <v>1.2584510000000001E-4</v>
      </c>
      <c r="Z2679">
        <v>1.84695E-3</v>
      </c>
      <c r="AA2679">
        <v>0.99999830000000001</v>
      </c>
      <c r="AB2679">
        <v>34</v>
      </c>
      <c r="AC2679">
        <v>-14.4231</v>
      </c>
      <c r="AD2679">
        <v>-1.1121471171849999</v>
      </c>
      <c r="AE2679">
        <v>-0.34629999999998501</v>
      </c>
      <c r="AF2679">
        <v>3.9702199372226299E-3</v>
      </c>
      <c r="AG2679">
        <v>-1.1121471171849999</v>
      </c>
      <c r="AH2679">
        <v>14.3420310766511</v>
      </c>
      <c r="AI2679">
        <v>94.434104888635503</v>
      </c>
      <c r="AJ2679">
        <v>89.984139147438995</v>
      </c>
      <c r="AK2679">
        <v>14.3850874997872</v>
      </c>
      <c r="AL2679">
        <v>79.533482966880896</v>
      </c>
      <c r="AM2679">
        <v>92.576747322367197</v>
      </c>
      <c r="AN2679">
        <v>1.0000000439103101</v>
      </c>
    </row>
    <row r="2680" spans="1:40" x14ac:dyDescent="0.25">
      <c r="A2680" t="str">
        <f>"20190312172133825"</f>
        <v>20190312172133825</v>
      </c>
      <c r="B2680" t="str">
        <f>"1552382493813249"</f>
        <v>1552382493813249</v>
      </c>
      <c r="C2680" t="s">
        <v>40</v>
      </c>
      <c r="D2680">
        <v>3.1442019999999999</v>
      </c>
      <c r="E2680">
        <v>0.5164147</v>
      </c>
      <c r="F2680" t="s">
        <v>41</v>
      </c>
      <c r="G2680">
        <v>-302.18779999999998</v>
      </c>
      <c r="H2680">
        <v>1.0469079999999999</v>
      </c>
      <c r="I2680">
        <v>283.666</v>
      </c>
      <c r="J2680">
        <v>-301.52659999999997</v>
      </c>
      <c r="K2680">
        <v>1.1121369999999999</v>
      </c>
      <c r="L2680">
        <v>283.68150000000003</v>
      </c>
      <c r="M2680">
        <v>-0.99963179999999996</v>
      </c>
      <c r="N2680">
        <v>0</v>
      </c>
      <c r="O2680">
        <v>-2.5850580000000001E-2</v>
      </c>
      <c r="P2680">
        <v>-0.98243769999999997</v>
      </c>
      <c r="Q2680">
        <v>0.17370749999999999</v>
      </c>
      <c r="R2680">
        <v>-6.8131890000000001E-2</v>
      </c>
      <c r="S2680">
        <v>-3.0900880000000002</v>
      </c>
      <c r="T2680">
        <v>-0.23703830000000001</v>
      </c>
      <c r="U2680">
        <v>-7.8216549999999996E-2</v>
      </c>
      <c r="V2680">
        <v>-4.3838839999999997E-2</v>
      </c>
      <c r="W2680">
        <v>0.1815657</v>
      </c>
      <c r="X2680">
        <v>0.98240119999999997</v>
      </c>
      <c r="Y2680">
        <v>4.7040720000000001E-4</v>
      </c>
      <c r="Z2680">
        <v>1.9975069999999999E-3</v>
      </c>
      <c r="AA2680">
        <v>0.9999979</v>
      </c>
      <c r="AB2680">
        <v>34</v>
      </c>
      <c r="AC2680">
        <v>-0.661200000000007</v>
      </c>
      <c r="AD2680">
        <v>-6.5229000000000203E-2</v>
      </c>
      <c r="AE2680">
        <v>-1.55000000000313E-2</v>
      </c>
      <c r="AF2680">
        <v>1.5827694084095401E-3</v>
      </c>
      <c r="AG2680">
        <v>-6.5229000000000203E-2</v>
      </c>
      <c r="AH2680">
        <v>0.65500847973372101</v>
      </c>
      <c r="AI2680">
        <v>95.687031666644501</v>
      </c>
      <c r="AJ2680">
        <v>89.861550142716695</v>
      </c>
      <c r="AK2680">
        <v>0.65825028380022799</v>
      </c>
      <c r="AL2680">
        <v>79.5390296476657</v>
      </c>
      <c r="AM2680">
        <v>92.555081620178996</v>
      </c>
      <c r="AN2680">
        <v>1.0000000325352301</v>
      </c>
    </row>
    <row r="2681" spans="1:40" x14ac:dyDescent="0.25">
      <c r="A2681" t="str">
        <f>"20190312172133837"</f>
        <v>20190312172133837</v>
      </c>
      <c r="B2681" t="str">
        <f>"1552382493833743"</f>
        <v>1552382493833743</v>
      </c>
      <c r="C2681" t="s">
        <v>40</v>
      </c>
      <c r="D2681">
        <v>3.1524390000000002</v>
      </c>
      <c r="E2681">
        <v>0.51647650000000001</v>
      </c>
      <c r="F2681" t="s">
        <v>41</v>
      </c>
      <c r="G2681">
        <v>-302.47390000000001</v>
      </c>
      <c r="H2681">
        <v>1.0383720000000001</v>
      </c>
      <c r="I2681">
        <v>283.6574</v>
      </c>
      <c r="J2681">
        <v>-301.70850000000002</v>
      </c>
      <c r="K2681">
        <v>1.1121160000000001</v>
      </c>
      <c r="L2681">
        <v>283.6755</v>
      </c>
      <c r="M2681">
        <v>-0.99959189999999998</v>
      </c>
      <c r="N2681">
        <v>0</v>
      </c>
      <c r="O2681">
        <v>-2.734025E-2</v>
      </c>
      <c r="P2681">
        <v>-0.98239580000000004</v>
      </c>
      <c r="Q2681">
        <v>0.1735341</v>
      </c>
      <c r="R2681">
        <v>-6.9170449999999994E-2</v>
      </c>
      <c r="S2681">
        <v>-3.0907290000000001</v>
      </c>
      <c r="T2681">
        <v>-0.24094090000000001</v>
      </c>
      <c r="U2681">
        <v>-7.9345700000000005E-2</v>
      </c>
      <c r="V2681">
        <v>-4.3402179999999999E-2</v>
      </c>
      <c r="W2681">
        <v>0.1814016</v>
      </c>
      <c r="X2681">
        <v>0.98245079999999996</v>
      </c>
      <c r="Y2681">
        <v>1.5903740000000001E-3</v>
      </c>
      <c r="Z2681">
        <v>2.189332E-3</v>
      </c>
      <c r="AA2681">
        <v>0.99999640000000001</v>
      </c>
      <c r="AB2681">
        <v>34</v>
      </c>
      <c r="AC2681">
        <v>-0.76539999999999897</v>
      </c>
      <c r="AD2681">
        <v>-7.3744000000000004E-2</v>
      </c>
      <c r="AE2681">
        <v>-1.8100000000003998E-2</v>
      </c>
      <c r="AF2681">
        <v>2.8076628247186899E-3</v>
      </c>
      <c r="AG2681">
        <v>-7.3744000000000004E-2</v>
      </c>
      <c r="AH2681">
        <v>0.75857105146987802</v>
      </c>
      <c r="AI2681">
        <v>95.552487037548005</v>
      </c>
      <c r="AJ2681">
        <v>89.787934834504</v>
      </c>
      <c r="AK2681">
        <v>0.76215228178799899</v>
      </c>
      <c r="AL2681">
        <v>79.548589593384193</v>
      </c>
      <c r="AM2681">
        <v>92.529537220909802</v>
      </c>
      <c r="AN2681">
        <v>0.99999993206597304</v>
      </c>
    </row>
    <row r="2682" spans="1:40" x14ac:dyDescent="0.25">
      <c r="A2682" t="str">
        <f>"20190312172133854"</f>
        <v>20190312172133854</v>
      </c>
      <c r="B2682" t="str">
        <f>"1552382493843503"</f>
        <v>1552382493843503</v>
      </c>
      <c r="C2682" t="s">
        <v>40</v>
      </c>
      <c r="D2682">
        <v>3.1246809999999998</v>
      </c>
      <c r="E2682">
        <v>0.51658570000000004</v>
      </c>
      <c r="F2682" t="s">
        <v>47</v>
      </c>
      <c r="G2682">
        <v>-316.19600000000003</v>
      </c>
      <c r="H2682" s="1">
        <v>5.0805330000000002E-6</v>
      </c>
      <c r="I2682">
        <v>283.29090000000002</v>
      </c>
      <c r="J2682">
        <v>-301.95929999999998</v>
      </c>
      <c r="K2682">
        <v>1.1120829999999999</v>
      </c>
      <c r="L2682">
        <v>283.66680000000002</v>
      </c>
      <c r="M2682">
        <v>-0.99953479999999995</v>
      </c>
      <c r="N2682">
        <v>0</v>
      </c>
      <c r="O2682">
        <v>-2.935231E-2</v>
      </c>
      <c r="P2682">
        <v>-0.98232799999999998</v>
      </c>
      <c r="Q2682">
        <v>0.1735565</v>
      </c>
      <c r="R2682">
        <v>-7.0070149999999998E-2</v>
      </c>
      <c r="S2682">
        <v>-3.089874</v>
      </c>
      <c r="T2682">
        <v>-0.23718919999999999</v>
      </c>
      <c r="U2682">
        <v>-8.203125E-2</v>
      </c>
      <c r="V2682">
        <v>-4.2308900000000003E-2</v>
      </c>
      <c r="W2682">
        <v>0.18144099999999999</v>
      </c>
      <c r="X2682">
        <v>0.98249129999999996</v>
      </c>
      <c r="Y2682">
        <v>2.7210979999999999E-3</v>
      </c>
      <c r="Z2682">
        <v>2.3533629999999998E-3</v>
      </c>
      <c r="AA2682">
        <v>0.99999349999999998</v>
      </c>
      <c r="AB2682">
        <v>34</v>
      </c>
      <c r="AC2682">
        <v>-14.2366999999999</v>
      </c>
      <c r="AD2682">
        <v>-1.1120779194670001</v>
      </c>
      <c r="AE2682">
        <v>-0.37590000000000101</v>
      </c>
      <c r="AF2682">
        <v>4.1900858089762502E-2</v>
      </c>
      <c r="AG2682">
        <v>-1.1120779194670001</v>
      </c>
      <c r="AH2682">
        <v>14.155287966067499</v>
      </c>
      <c r="AI2682">
        <v>94.492065954997699</v>
      </c>
      <c r="AJ2682">
        <v>89.830400107686899</v>
      </c>
      <c r="AK2682">
        <v>14.1989665251796</v>
      </c>
      <c r="AL2682">
        <v>79.546294944236095</v>
      </c>
      <c r="AM2682">
        <v>92.465797540980304</v>
      </c>
      <c r="AN2682">
        <v>1.0000000170379399</v>
      </c>
    </row>
    <row r="2683" spans="1:40" x14ac:dyDescent="0.25">
      <c r="A2683" t="str">
        <f>"20190312172133865"</f>
        <v>20190312172133865</v>
      </c>
      <c r="B2683" t="str">
        <f>"1552382493863999"</f>
        <v>1552382493863999</v>
      </c>
      <c r="C2683" t="s">
        <v>40</v>
      </c>
      <c r="D2683">
        <v>3.0977830000000002</v>
      </c>
      <c r="E2683">
        <v>0.51696129999999996</v>
      </c>
      <c r="F2683" t="s">
        <v>47</v>
      </c>
      <c r="G2683">
        <v>-316.48480000000001</v>
      </c>
      <c r="H2683" s="1">
        <v>5.2103900000000003E-6</v>
      </c>
      <c r="I2683">
        <v>283.2704</v>
      </c>
      <c r="J2683">
        <v>-302.13690000000003</v>
      </c>
      <c r="K2683">
        <v>1.1120559999999999</v>
      </c>
      <c r="L2683">
        <v>283.66039999999998</v>
      </c>
      <c r="M2683">
        <v>-0.99949290000000002</v>
      </c>
      <c r="N2683">
        <v>0</v>
      </c>
      <c r="O2683">
        <v>-3.0749100000000001E-2</v>
      </c>
      <c r="P2683">
        <v>-0.98230430000000002</v>
      </c>
      <c r="Q2683">
        <v>0.17335980000000001</v>
      </c>
      <c r="R2683">
        <v>-7.0886489999999996E-2</v>
      </c>
      <c r="S2683">
        <v>-3.0897519999999998</v>
      </c>
      <c r="T2683">
        <v>-0.2365525</v>
      </c>
      <c r="U2683">
        <v>-8.4320069999999997E-2</v>
      </c>
      <c r="V2683">
        <v>-4.1737379999999998E-2</v>
      </c>
      <c r="W2683">
        <v>0.18125530000000001</v>
      </c>
      <c r="X2683">
        <v>0.98255000000000003</v>
      </c>
      <c r="Y2683">
        <v>3.3717899999999999E-3</v>
      </c>
      <c r="Z2683">
        <v>2.4787030000000001E-3</v>
      </c>
      <c r="AA2683">
        <v>0.99999119999999997</v>
      </c>
      <c r="AB2683">
        <v>34</v>
      </c>
      <c r="AC2683">
        <v>-14.3478999999999</v>
      </c>
      <c r="AD2683">
        <v>-1.11205078961</v>
      </c>
      <c r="AE2683">
        <v>-0.38999999999998602</v>
      </c>
      <c r="AF2683">
        <v>5.1077930049831598E-2</v>
      </c>
      <c r="AG2683">
        <v>-1.11205078961</v>
      </c>
      <c r="AH2683">
        <v>14.2674631497538</v>
      </c>
      <c r="AI2683">
        <v>94.456773519525697</v>
      </c>
      <c r="AJ2683">
        <v>89.794880331234296</v>
      </c>
      <c r="AK2683">
        <v>14.3108270425993</v>
      </c>
      <c r="AL2683">
        <v>79.557113958816103</v>
      </c>
      <c r="AM2683">
        <v>92.432384018267697</v>
      </c>
      <c r="AN2683">
        <v>0.99999999758367697</v>
      </c>
    </row>
    <row r="2684" spans="1:40" x14ac:dyDescent="0.25">
      <c r="A2684" t="str">
        <f>"20190312172133878"</f>
        <v>20190312172133878</v>
      </c>
      <c r="B2684" t="str">
        <f>"1552382493873760"</f>
        <v>1552382493873760</v>
      </c>
      <c r="C2684" t="s">
        <v>40</v>
      </c>
      <c r="D2684">
        <v>3.1283660000000002</v>
      </c>
      <c r="E2684">
        <v>0.51705029999999996</v>
      </c>
      <c r="F2684" t="s">
        <v>41</v>
      </c>
      <c r="G2684">
        <v>-303.07889999999998</v>
      </c>
      <c r="H2684">
        <v>1.0400229999999999</v>
      </c>
      <c r="I2684">
        <v>283.63499999999999</v>
      </c>
      <c r="J2684">
        <v>-302.32709999999997</v>
      </c>
      <c r="K2684">
        <v>1.1120219999999901</v>
      </c>
      <c r="L2684">
        <v>283.6533</v>
      </c>
      <c r="M2684">
        <v>-0.99944659999999996</v>
      </c>
      <c r="N2684">
        <v>0</v>
      </c>
      <c r="O2684">
        <v>-3.2220760000000001E-2</v>
      </c>
      <c r="P2684">
        <v>-0.98218819999999996</v>
      </c>
      <c r="Q2684">
        <v>0.17366699999999999</v>
      </c>
      <c r="R2684">
        <v>-7.1739490000000003E-2</v>
      </c>
      <c r="S2684">
        <v>-3.0897519999999998</v>
      </c>
      <c r="T2684">
        <v>-0.23662449999999999</v>
      </c>
      <c r="U2684">
        <v>-8.4136959999999997E-2</v>
      </c>
      <c r="V2684">
        <v>-4.1131470000000003E-2</v>
      </c>
      <c r="W2684">
        <v>0.1815737</v>
      </c>
      <c r="X2684">
        <v>0.98251679999999997</v>
      </c>
      <c r="Y2684">
        <v>4.8946179999999999E-3</v>
      </c>
      <c r="Z2684">
        <v>2.650131E-3</v>
      </c>
      <c r="AA2684">
        <v>0.99998450000000005</v>
      </c>
      <c r="AB2684">
        <v>34</v>
      </c>
      <c r="AC2684">
        <v>-0.75180000000000202</v>
      </c>
      <c r="AD2684">
        <v>-7.1998999999999896E-2</v>
      </c>
      <c r="AE2684">
        <v>-1.8300000000010599E-2</v>
      </c>
      <c r="AF2684">
        <v>5.8799998162690197E-3</v>
      </c>
      <c r="AG2684">
        <v>-7.1998999999999896E-2</v>
      </c>
      <c r="AH2684">
        <v>0.74516888723300501</v>
      </c>
      <c r="AI2684">
        <v>95.5186761867473</v>
      </c>
      <c r="AJ2684">
        <v>89.547898219207198</v>
      </c>
      <c r="AK2684">
        <v>0.74866220747337997</v>
      </c>
      <c r="AL2684">
        <v>79.538563552607997</v>
      </c>
      <c r="AM2684">
        <v>92.3971950065702</v>
      </c>
      <c r="AN2684">
        <v>1.00000003431914</v>
      </c>
    </row>
    <row r="2685" spans="1:40" x14ac:dyDescent="0.25">
      <c r="A2685" t="str">
        <f>"20190312172133891"</f>
        <v>20190312172133891</v>
      </c>
      <c r="B2685" t="str">
        <f>"1552382493883518"</f>
        <v>1552382493883518</v>
      </c>
      <c r="C2685" t="s">
        <v>40</v>
      </c>
      <c r="D2685">
        <v>3.1199560000000002</v>
      </c>
      <c r="E2685">
        <v>0.5171905</v>
      </c>
      <c r="F2685" t="s">
        <v>47</v>
      </c>
      <c r="G2685">
        <v>-316.95069999999998</v>
      </c>
      <c r="H2685" s="1">
        <v>5.4191429999999996E-6</v>
      </c>
      <c r="I2685">
        <v>283.24610000000001</v>
      </c>
      <c r="J2685">
        <v>-302.51850000000002</v>
      </c>
      <c r="K2685">
        <v>1.1119840000000001</v>
      </c>
      <c r="L2685">
        <v>283.64580000000001</v>
      </c>
      <c r="M2685">
        <v>-0.99939940000000005</v>
      </c>
      <c r="N2685">
        <v>0</v>
      </c>
      <c r="O2685">
        <v>-3.3650800000000002E-2</v>
      </c>
      <c r="P2685">
        <v>-0.98207429999999996</v>
      </c>
      <c r="Q2685">
        <v>0.17385829999999999</v>
      </c>
      <c r="R2685">
        <v>-7.282516E-2</v>
      </c>
      <c r="S2685">
        <v>-3.0896910000000002</v>
      </c>
      <c r="T2685">
        <v>-0.23494719999999999</v>
      </c>
      <c r="U2685">
        <v>-8.6029049999999996E-2</v>
      </c>
      <c r="V2685">
        <v>-4.0795419999999999E-2</v>
      </c>
      <c r="W2685">
        <v>0.18177489999999999</v>
      </c>
      <c r="X2685">
        <v>0.98249359999999997</v>
      </c>
      <c r="Y2685">
        <v>5.708075E-3</v>
      </c>
      <c r="Z2685">
        <v>2.7708020000000002E-3</v>
      </c>
      <c r="AA2685">
        <v>0.99997990000000003</v>
      </c>
      <c r="AB2685">
        <v>34</v>
      </c>
      <c r="AC2685">
        <v>-14.4321999999999</v>
      </c>
      <c r="AD2685">
        <v>-1.111978580857</v>
      </c>
      <c r="AE2685">
        <v>-0.399699999999995</v>
      </c>
      <c r="AF2685">
        <v>8.5689781972714499E-2</v>
      </c>
      <c r="AG2685">
        <v>-1.111978580857</v>
      </c>
      <c r="AH2685">
        <v>14.3523396376292</v>
      </c>
      <c r="AI2685">
        <v>94.430185510522605</v>
      </c>
      <c r="AJ2685">
        <v>89.657923053469005</v>
      </c>
      <c r="AK2685">
        <v>14.3956066970753</v>
      </c>
      <c r="AL2685">
        <v>79.526840482638505</v>
      </c>
      <c r="AM2685">
        <v>92.377688228889994</v>
      </c>
      <c r="AN2685">
        <v>1.00000002730197</v>
      </c>
    </row>
    <row r="2686" spans="1:40" x14ac:dyDescent="0.25">
      <c r="A2686" t="str">
        <f>"20190312172133904"</f>
        <v>20190312172133904</v>
      </c>
      <c r="B2686" t="str">
        <f>"1552382493893279"</f>
        <v>1552382493893279</v>
      </c>
      <c r="C2686" t="s">
        <v>40</v>
      </c>
      <c r="D2686">
        <v>3.0946699999999998</v>
      </c>
      <c r="E2686">
        <v>0.51732239999999996</v>
      </c>
      <c r="F2686" t="s">
        <v>41</v>
      </c>
      <c r="G2686">
        <v>-303.38729999999998</v>
      </c>
      <c r="H2686">
        <v>1.046387</v>
      </c>
      <c r="I2686">
        <v>283.62119999999999</v>
      </c>
      <c r="J2686">
        <v>-302.71589999999998</v>
      </c>
      <c r="K2686">
        <v>1.1119380000000001</v>
      </c>
      <c r="L2686">
        <v>283.6379</v>
      </c>
      <c r="M2686">
        <v>-0.99934970000000001</v>
      </c>
      <c r="N2686">
        <v>0</v>
      </c>
      <c r="O2686">
        <v>-3.5094439999999998E-2</v>
      </c>
      <c r="P2686">
        <v>-0.98190670000000002</v>
      </c>
      <c r="Q2686">
        <v>0.1744097</v>
      </c>
      <c r="R2686">
        <v>-7.3762369999999994E-2</v>
      </c>
      <c r="S2686">
        <v>-3.0895389999999998</v>
      </c>
      <c r="T2686">
        <v>-0.2335748</v>
      </c>
      <c r="U2686">
        <v>-8.8562009999999997E-2</v>
      </c>
      <c r="V2686">
        <v>-4.029829E-2</v>
      </c>
      <c r="W2686">
        <v>0.182337</v>
      </c>
      <c r="X2686">
        <v>0.98241000000000001</v>
      </c>
      <c r="Y2686">
        <v>6.3274739999999996E-3</v>
      </c>
      <c r="Z2686">
        <v>2.8870269999999999E-3</v>
      </c>
      <c r="AA2686">
        <v>0.99997579999999997</v>
      </c>
      <c r="AB2686">
        <v>34</v>
      </c>
      <c r="AC2686">
        <v>-0.67140000000000499</v>
      </c>
      <c r="AD2686">
        <v>-6.5550999999999596E-2</v>
      </c>
      <c r="AE2686">
        <v>-1.6700000000014301E-2</v>
      </c>
      <c r="AF2686">
        <v>6.8086410238649003E-3</v>
      </c>
      <c r="AG2686">
        <v>-6.5550999999999596E-2</v>
      </c>
      <c r="AH2686">
        <v>0.66523521123558405</v>
      </c>
      <c r="AI2686">
        <v>95.627355785108406</v>
      </c>
      <c r="AJ2686">
        <v>89.413601734505605</v>
      </c>
      <c r="AK2686">
        <v>0.66849171831911502</v>
      </c>
      <c r="AL2686">
        <v>79.4940876209793</v>
      </c>
      <c r="AM2686">
        <v>92.348946190296402</v>
      </c>
      <c r="AN2686">
        <v>1.00000007092295</v>
      </c>
    </row>
    <row r="2687" spans="1:40" x14ac:dyDescent="0.25">
      <c r="A2687" t="str">
        <f>"20190312172133922"</f>
        <v>20190312172133922</v>
      </c>
      <c r="B2687" t="str">
        <f>"1552382493913774"</f>
        <v>1552382493913774</v>
      </c>
      <c r="C2687" t="s">
        <v>40</v>
      </c>
      <c r="D2687">
        <v>3.0838429999999999</v>
      </c>
      <c r="E2687">
        <v>0.51740129999999995</v>
      </c>
      <c r="F2687" t="s">
        <v>41</v>
      </c>
      <c r="G2687">
        <v>-303.68470000000002</v>
      </c>
      <c r="H2687">
        <v>1.0395840000000001</v>
      </c>
      <c r="I2687">
        <v>283.60989999999998</v>
      </c>
      <c r="J2687">
        <v>-302.98540000000003</v>
      </c>
      <c r="K2687">
        <v>1.1118619999999999</v>
      </c>
      <c r="L2687">
        <v>283.6268</v>
      </c>
      <c r="M2687">
        <v>-0.99928150000000004</v>
      </c>
      <c r="N2687">
        <v>0</v>
      </c>
      <c r="O2687">
        <v>-3.6981729999999997E-2</v>
      </c>
      <c r="P2687">
        <v>-0.98160729999999996</v>
      </c>
      <c r="Q2687">
        <v>0.17547660000000001</v>
      </c>
      <c r="R2687">
        <v>-7.5198459999999995E-2</v>
      </c>
      <c r="S2687">
        <v>-3.0895389999999998</v>
      </c>
      <c r="T2687">
        <v>-0.23096729999999999</v>
      </c>
      <c r="U2687">
        <v>-9.002686E-2</v>
      </c>
      <c r="V2687">
        <v>-3.9856830000000003E-2</v>
      </c>
      <c r="W2687">
        <v>0.18341759999999999</v>
      </c>
      <c r="X2687">
        <v>0.98222679999999996</v>
      </c>
      <c r="Y2687">
        <v>7.7357329999999998E-3</v>
      </c>
      <c r="Z2687">
        <v>3.0481800000000002E-3</v>
      </c>
      <c r="AA2687">
        <v>0.9999654</v>
      </c>
      <c r="AB2687">
        <v>34</v>
      </c>
      <c r="AC2687">
        <v>-0.69929999999999304</v>
      </c>
      <c r="AD2687">
        <v>-7.2277999999999995E-2</v>
      </c>
      <c r="AE2687">
        <v>-1.6900000000020999E-2</v>
      </c>
      <c r="AF2687">
        <v>8.8789782957339903E-3</v>
      </c>
      <c r="AG2687">
        <v>-7.2277999999999995E-2</v>
      </c>
      <c r="AH2687">
        <v>0.69205781640947595</v>
      </c>
      <c r="AI2687">
        <v>95.9618257889842</v>
      </c>
      <c r="AJ2687">
        <v>89.2649457018085</v>
      </c>
      <c r="AK2687">
        <v>0.69587855750341099</v>
      </c>
      <c r="AL2687">
        <v>79.431111375227005</v>
      </c>
      <c r="AM2687">
        <v>92.323675133903194</v>
      </c>
      <c r="AN2687">
        <v>1.00000003476282</v>
      </c>
    </row>
    <row r="2688" spans="1:40" x14ac:dyDescent="0.25">
      <c r="A2688" t="str">
        <f>"20190312172133943"</f>
        <v>20190312172133943</v>
      </c>
      <c r="B2688" t="str">
        <f>"1552382493933294"</f>
        <v>1552382493933294</v>
      </c>
      <c r="C2688" t="s">
        <v>40</v>
      </c>
      <c r="D2688">
        <v>3.1200450000000002</v>
      </c>
      <c r="E2688">
        <v>0.51770109999999903</v>
      </c>
      <c r="F2688" t="s">
        <v>41</v>
      </c>
      <c r="G2688">
        <v>-303.98809999999997</v>
      </c>
      <c r="H2688">
        <v>1.038645</v>
      </c>
      <c r="I2688">
        <v>283.59660000000002</v>
      </c>
      <c r="J2688">
        <v>-303.31040000000002</v>
      </c>
      <c r="K2688">
        <v>1.1117509999999999</v>
      </c>
      <c r="L2688">
        <v>283.61270000000002</v>
      </c>
      <c r="M2688">
        <v>-0.99920030000000004</v>
      </c>
      <c r="N2688">
        <v>0</v>
      </c>
      <c r="O2688">
        <v>-3.9111659999999999E-2</v>
      </c>
      <c r="P2688">
        <v>-0.9813463</v>
      </c>
      <c r="Q2688">
        <v>0.1760862</v>
      </c>
      <c r="R2688">
        <v>-7.7157879999999998E-2</v>
      </c>
      <c r="S2688">
        <v>-3.0894170000000001</v>
      </c>
      <c r="T2688">
        <v>-0.22578819999999999</v>
      </c>
      <c r="U2688">
        <v>-9.356689E-2</v>
      </c>
      <c r="V2688">
        <v>-3.9681149999999998E-2</v>
      </c>
      <c r="W2688">
        <v>0.18404380000000001</v>
      </c>
      <c r="X2688">
        <v>0.98211680000000001</v>
      </c>
      <c r="Y2688">
        <v>8.7184830000000008E-3</v>
      </c>
      <c r="Z2688">
        <v>3.1712200000000002E-3</v>
      </c>
      <c r="AA2688">
        <v>0.99995699999999998</v>
      </c>
      <c r="AB2688">
        <v>34</v>
      </c>
      <c r="AC2688">
        <v>-0.677699999999958</v>
      </c>
      <c r="AD2688">
        <v>-7.3105999999999893E-2</v>
      </c>
      <c r="AE2688">
        <v>-1.60999999999944E-2</v>
      </c>
      <c r="AF2688">
        <v>1.02994227921303E-2</v>
      </c>
      <c r="AG2688">
        <v>-7.3105999999999893E-2</v>
      </c>
      <c r="AH2688">
        <v>0.67001870805923402</v>
      </c>
      <c r="AI2688">
        <v>96.226202109557306</v>
      </c>
      <c r="AJ2688">
        <v>89.119327599521199</v>
      </c>
      <c r="AK2688">
        <v>0.67407390877797402</v>
      </c>
      <c r="AL2688">
        <v>79.394611691670605</v>
      </c>
      <c r="AM2688">
        <v>92.313702877248801</v>
      </c>
      <c r="AN2688">
        <v>1.00000006141299</v>
      </c>
    </row>
    <row r="2689" spans="1:40" x14ac:dyDescent="0.25">
      <c r="A2689" t="str">
        <f>"20190312172133954"</f>
        <v>20190312172133954</v>
      </c>
      <c r="B2689" t="str">
        <f>"1552382493944031"</f>
        <v>1552382493944031</v>
      </c>
      <c r="C2689" t="s">
        <v>40</v>
      </c>
      <c r="D2689">
        <v>3.2397840000000002</v>
      </c>
      <c r="E2689">
        <v>0.51785599999999998</v>
      </c>
      <c r="F2689" t="s">
        <v>41</v>
      </c>
      <c r="G2689">
        <v>-304.29469999999998</v>
      </c>
      <c r="H2689">
        <v>1.041077</v>
      </c>
      <c r="I2689">
        <v>283.58210000000003</v>
      </c>
      <c r="J2689">
        <v>-303.49119999999999</v>
      </c>
      <c r="K2689">
        <v>1.1116740000000001</v>
      </c>
      <c r="L2689">
        <v>283.6046</v>
      </c>
      <c r="M2689">
        <v>-0.99915589999999999</v>
      </c>
      <c r="N2689">
        <v>0</v>
      </c>
      <c r="O2689">
        <v>-4.0230519999999999E-2</v>
      </c>
      <c r="P2689">
        <v>-0.98126360000000001</v>
      </c>
      <c r="Q2689">
        <v>0.17609369999999999</v>
      </c>
      <c r="R2689">
        <v>-7.8185859999999996E-2</v>
      </c>
      <c r="S2689">
        <v>-3.0892330000000001</v>
      </c>
      <c r="T2689">
        <v>-0.2219168</v>
      </c>
      <c r="U2689">
        <v>-9.6405030000000003E-2</v>
      </c>
      <c r="V2689">
        <v>-3.9579860000000001E-2</v>
      </c>
      <c r="W2689">
        <v>0.18406159999999999</v>
      </c>
      <c r="X2689">
        <v>0.98211749999999998</v>
      </c>
      <c r="Y2689">
        <v>8.9195330000000003E-3</v>
      </c>
      <c r="Z2689">
        <v>3.2045060000000002E-3</v>
      </c>
      <c r="AA2689">
        <v>0.99995509999999999</v>
      </c>
      <c r="AB2689">
        <v>34</v>
      </c>
      <c r="AC2689">
        <v>-0.803499999999985</v>
      </c>
      <c r="AD2689">
        <v>-7.0596999999999993E-2</v>
      </c>
      <c r="AE2689">
        <v>-2.2499999999979502E-2</v>
      </c>
      <c r="AF2689">
        <v>9.7691984327107802E-3</v>
      </c>
      <c r="AG2689">
        <v>-7.0596999999999993E-2</v>
      </c>
      <c r="AH2689">
        <v>0.79760224937964896</v>
      </c>
      <c r="AI2689">
        <v>95.057778497233301</v>
      </c>
      <c r="AJ2689">
        <v>89.298264451722105</v>
      </c>
      <c r="AK2689">
        <v>0.80078007084498104</v>
      </c>
      <c r="AL2689">
        <v>79.393573558647901</v>
      </c>
      <c r="AM2689">
        <v>92.307801676099601</v>
      </c>
      <c r="AN2689">
        <v>1.00000001085921</v>
      </c>
    </row>
    <row r="2690" spans="1:40" x14ac:dyDescent="0.25">
      <c r="A2690" t="str">
        <f>"20190312172133967"</f>
        <v>20190312172133967</v>
      </c>
      <c r="B2690" t="str">
        <f>"1552382493963551"</f>
        <v>1552382493963551</v>
      </c>
      <c r="C2690" t="s">
        <v>40</v>
      </c>
      <c r="D2690">
        <v>3.1025879999999999</v>
      </c>
      <c r="E2690">
        <v>0.51651819999999904</v>
      </c>
      <c r="F2690" t="s">
        <v>47</v>
      </c>
      <c r="G2690">
        <v>-318.9545</v>
      </c>
      <c r="H2690" s="1">
        <v>6.3193529999999998E-6</v>
      </c>
      <c r="I2690">
        <v>283.11320000000001</v>
      </c>
      <c r="J2690">
        <v>-303.6737</v>
      </c>
      <c r="K2690">
        <v>1.1115999999999999</v>
      </c>
      <c r="L2690">
        <v>283.59629999999999</v>
      </c>
      <c r="M2690">
        <v>-0.999112</v>
      </c>
      <c r="N2690">
        <v>0</v>
      </c>
      <c r="O2690">
        <v>-4.1307610000000002E-2</v>
      </c>
      <c r="P2690">
        <v>-0.98116239999999999</v>
      </c>
      <c r="Q2690">
        <v>0.17626339999999999</v>
      </c>
      <c r="R2690">
        <v>-7.9068340000000001E-2</v>
      </c>
      <c r="S2690">
        <v>-3.0893250000000001</v>
      </c>
      <c r="T2690">
        <v>-0.2220936</v>
      </c>
      <c r="U2690">
        <v>-9.817505E-2</v>
      </c>
      <c r="V2690">
        <v>-3.9374319999999997E-2</v>
      </c>
      <c r="W2690">
        <v>0.18424160000000001</v>
      </c>
      <c r="X2690">
        <v>0.98209199999999996</v>
      </c>
      <c r="Y2690">
        <v>9.4218289999999996E-3</v>
      </c>
      <c r="Z2690">
        <v>3.30219E-3</v>
      </c>
      <c r="AA2690">
        <v>0.99995020000000001</v>
      </c>
      <c r="AB2690">
        <v>34</v>
      </c>
      <c r="AC2690">
        <v>-15.280799999999999</v>
      </c>
      <c r="AD2690">
        <v>-1.1115936806469999</v>
      </c>
      <c r="AE2690">
        <v>-0.48309999999997899</v>
      </c>
      <c r="AF2690">
        <v>0.147766274144217</v>
      </c>
      <c r="AG2690">
        <v>-1.1115936806469999</v>
      </c>
      <c r="AH2690">
        <v>15.2073198716531</v>
      </c>
      <c r="AI2690">
        <v>94.180458300271297</v>
      </c>
      <c r="AJ2690">
        <v>89.443286687230696</v>
      </c>
      <c r="AK2690">
        <v>15.2486082335866</v>
      </c>
      <c r="AL2690">
        <v>79.383080758125004</v>
      </c>
      <c r="AM2690">
        <v>92.295889562622406</v>
      </c>
      <c r="AN2690">
        <v>1.00000000035501</v>
      </c>
    </row>
    <row r="2691" spans="1:40" x14ac:dyDescent="0.25">
      <c r="A2691" t="str">
        <f>"20190312172133978"</f>
        <v>20190312172133978</v>
      </c>
      <c r="B2691" t="str">
        <f>"1552382493973311"</f>
        <v>1552382493973311</v>
      </c>
      <c r="C2691" t="s">
        <v>40</v>
      </c>
      <c r="D2691">
        <v>3.0513599999999999</v>
      </c>
      <c r="E2691">
        <v>0.51549730000000005</v>
      </c>
      <c r="F2691" t="s">
        <v>41</v>
      </c>
      <c r="G2691">
        <v>-304.60419999999999</v>
      </c>
      <c r="H2691">
        <v>1.045323</v>
      </c>
      <c r="I2691">
        <v>283.56299999999999</v>
      </c>
      <c r="J2691">
        <v>-303.85230000000001</v>
      </c>
      <c r="K2691">
        <v>1.1115269999999999</v>
      </c>
      <c r="L2691">
        <v>283.5881</v>
      </c>
      <c r="M2691">
        <v>-0.9990694</v>
      </c>
      <c r="N2691">
        <v>0</v>
      </c>
      <c r="O2691">
        <v>-4.2326530000000001E-2</v>
      </c>
      <c r="P2691">
        <v>-0.98110220000000004</v>
      </c>
      <c r="Q2691">
        <v>0.17625199999999999</v>
      </c>
      <c r="R2691">
        <v>-7.9837279999999997E-2</v>
      </c>
      <c r="S2691">
        <v>-3.0881959999999999</v>
      </c>
      <c r="T2691">
        <v>-0.22018299999999999</v>
      </c>
      <c r="U2691">
        <v>-0.11138919999999999</v>
      </c>
      <c r="V2691">
        <v>-3.9109739999999997E-2</v>
      </c>
      <c r="W2691">
        <v>0.18424160000000001</v>
      </c>
      <c r="X2691">
        <v>0.98210260000000005</v>
      </c>
      <c r="Y2691">
        <v>6.1640530000000001E-3</v>
      </c>
      <c r="Z2691">
        <v>3.2312539999999998E-3</v>
      </c>
      <c r="AA2691">
        <v>0.99997579999999997</v>
      </c>
      <c r="AB2691">
        <v>34</v>
      </c>
      <c r="AC2691">
        <v>-0.75189999999997703</v>
      </c>
      <c r="AD2691">
        <v>-6.6204000000000096E-2</v>
      </c>
      <c r="AE2691">
        <v>-2.5100000000009001E-2</v>
      </c>
      <c r="AF2691">
        <v>6.6970462922131798E-3</v>
      </c>
      <c r="AG2691">
        <v>-6.6204000000000096E-2</v>
      </c>
      <c r="AH2691">
        <v>0.74650761149669698</v>
      </c>
      <c r="AI2691">
        <v>95.067812293792599</v>
      </c>
      <c r="AJ2691">
        <v>89.486003640997495</v>
      </c>
      <c r="AK2691">
        <v>0.74946743362706703</v>
      </c>
      <c r="AL2691">
        <v>79.383081054284901</v>
      </c>
      <c r="AM2691">
        <v>92.280453840082103</v>
      </c>
      <c r="AN2691">
        <v>1.00000002793009</v>
      </c>
    </row>
    <row r="2692" spans="1:40" x14ac:dyDescent="0.25">
      <c r="A2692" t="str">
        <f>"20190312172133993"</f>
        <v>20190312172133993</v>
      </c>
      <c r="B2692" t="str">
        <f>"1552382493984047"</f>
        <v>1552382493984047</v>
      </c>
      <c r="C2692" t="s">
        <v>40</v>
      </c>
      <c r="D2692">
        <v>3.089099</v>
      </c>
      <c r="E2692">
        <v>0.51467949999999996</v>
      </c>
      <c r="F2692" t="s">
        <v>47</v>
      </c>
      <c r="G2692">
        <v>-319.5351</v>
      </c>
      <c r="H2692" s="1">
        <v>6.5894830000000003E-6</v>
      </c>
      <c r="I2692">
        <v>282.96809999999999</v>
      </c>
      <c r="J2692">
        <v>-304.07220000000001</v>
      </c>
      <c r="K2692">
        <v>1.111426</v>
      </c>
      <c r="L2692">
        <v>283.57769999999999</v>
      </c>
      <c r="M2692">
        <v>-0.99902089999999999</v>
      </c>
      <c r="N2692">
        <v>0</v>
      </c>
      <c r="O2692">
        <v>-4.3456080000000001E-2</v>
      </c>
      <c r="P2692">
        <v>-0.98106680000000002</v>
      </c>
      <c r="Q2692">
        <v>0.17598249999999999</v>
      </c>
      <c r="R2692">
        <v>-8.0860959999999996E-2</v>
      </c>
      <c r="S2692">
        <v>-3.0871279999999999</v>
      </c>
      <c r="T2692">
        <v>-0.21880060000000001</v>
      </c>
      <c r="U2692">
        <v>-0.1220398</v>
      </c>
      <c r="V2692">
        <v>-3.8974880000000003E-2</v>
      </c>
      <c r="W2692">
        <v>0.1839866</v>
      </c>
      <c r="X2692">
        <v>0.98215569999999996</v>
      </c>
      <c r="Y2692">
        <v>3.8416420000000001E-3</v>
      </c>
      <c r="Z2692">
        <v>3.2095359999999998E-3</v>
      </c>
      <c r="AA2692">
        <v>0.99998750000000003</v>
      </c>
      <c r="AB2692">
        <v>34</v>
      </c>
      <c r="AC2692">
        <v>-15.4628999999999</v>
      </c>
      <c r="AD2692">
        <v>-1.1114194105169899</v>
      </c>
      <c r="AE2692">
        <v>-0.60960000000000003</v>
      </c>
      <c r="AF2692">
        <v>6.2632970399152499E-2</v>
      </c>
      <c r="AG2692">
        <v>-1.1114194105169899</v>
      </c>
      <c r="AH2692">
        <v>15.395370861243601</v>
      </c>
      <c r="AI2692">
        <v>94.129087699538104</v>
      </c>
      <c r="AJ2692">
        <v>89.766904928995899</v>
      </c>
      <c r="AK2692">
        <v>15.4355634801676</v>
      </c>
      <c r="AL2692">
        <v>79.397944910021195</v>
      </c>
      <c r="AM2692">
        <v>92.272475795126297</v>
      </c>
      <c r="AN2692">
        <v>0.99999996464653096</v>
      </c>
    </row>
    <row r="2693" spans="1:40" x14ac:dyDescent="0.25">
      <c r="A2693" t="str">
        <f>"20190312172134011"</f>
        <v>20190312172134011</v>
      </c>
      <c r="B2693" t="str">
        <f>"1552382494003570"</f>
        <v>1552382494003570</v>
      </c>
      <c r="C2693" t="s">
        <v>40</v>
      </c>
      <c r="D2693">
        <v>3.0746349999999998</v>
      </c>
      <c r="E2693">
        <v>0.51329020000000003</v>
      </c>
      <c r="F2693" t="s">
        <v>47</v>
      </c>
      <c r="G2693">
        <v>-319.8091</v>
      </c>
      <c r="H2693" s="1">
        <v>6.71658199999999E-6</v>
      </c>
      <c r="I2693">
        <v>282.9042</v>
      </c>
      <c r="J2693">
        <v>-304.34519999999998</v>
      </c>
      <c r="K2693">
        <v>1.1112799999999901</v>
      </c>
      <c r="L2693">
        <v>283.56470000000002</v>
      </c>
      <c r="M2693">
        <v>-0.99896459999999998</v>
      </c>
      <c r="N2693">
        <v>0</v>
      </c>
      <c r="O2693">
        <v>-4.4725590000000003E-2</v>
      </c>
      <c r="P2693">
        <v>-0.98112659999999996</v>
      </c>
      <c r="Q2693">
        <v>0.17518719999999999</v>
      </c>
      <c r="R2693">
        <v>-8.185452E-2</v>
      </c>
      <c r="S2693">
        <v>-3.0861209999999999</v>
      </c>
      <c r="T2693">
        <v>-0.21795819999999999</v>
      </c>
      <c r="U2693">
        <v>-0.13208010000000001</v>
      </c>
      <c r="V2693">
        <v>-3.864712E-2</v>
      </c>
      <c r="W2693">
        <v>0.18321180000000001</v>
      </c>
      <c r="X2693">
        <v>0.98231349999999995</v>
      </c>
      <c r="Y2693">
        <v>1.854369E-3</v>
      </c>
      <c r="Z2693">
        <v>3.2173290000000001E-3</v>
      </c>
      <c r="AA2693">
        <v>0.99999309999999997</v>
      </c>
      <c r="AB2693">
        <v>34</v>
      </c>
      <c r="AC2693">
        <v>-15.463900000000001</v>
      </c>
      <c r="AD2693">
        <v>-1.1112732834179999</v>
      </c>
      <c r="AE2693">
        <v>-0.66050000000001297</v>
      </c>
      <c r="AF2693">
        <v>3.1653866711456702E-2</v>
      </c>
      <c r="AG2693">
        <v>-1.1112732834179999</v>
      </c>
      <c r="AH2693">
        <v>15.3985899319391</v>
      </c>
      <c r="AI2693">
        <v>94.127711954670303</v>
      </c>
      <c r="AJ2693">
        <v>89.8822210071651</v>
      </c>
      <c r="AK2693">
        <v>15.438669054349599</v>
      </c>
      <c r="AL2693">
        <v>79.443105605308105</v>
      </c>
      <c r="AM2693">
        <v>92.253023536599201</v>
      </c>
      <c r="AN2693">
        <v>0.99999998791289202</v>
      </c>
    </row>
    <row r="2694" spans="1:40" x14ac:dyDescent="0.25">
      <c r="A2694" t="str">
        <f>"20190312172134023"</f>
        <v>20190312172134023</v>
      </c>
      <c r="B2694" t="str">
        <f>"1552382494013327"</f>
        <v>1552382494013327</v>
      </c>
      <c r="C2694" t="s">
        <v>40</v>
      </c>
      <c r="D2694">
        <v>3.0712899999999999</v>
      </c>
      <c r="E2694">
        <v>0.51278619999999997</v>
      </c>
      <c r="F2694" t="s">
        <v>46</v>
      </c>
      <c r="G2694">
        <v>-320.07350000000002</v>
      </c>
      <c r="H2694" s="1">
        <v>-1.419066E-6</v>
      </c>
      <c r="I2694">
        <v>282.81760000000003</v>
      </c>
      <c r="J2694">
        <v>-304.5301</v>
      </c>
      <c r="K2694">
        <v>1.1111709999999999</v>
      </c>
      <c r="L2694">
        <v>283.5557</v>
      </c>
      <c r="M2694">
        <v>-0.99892950000000003</v>
      </c>
      <c r="N2694">
        <v>0</v>
      </c>
      <c r="O2694">
        <v>-4.5505299999999999E-2</v>
      </c>
      <c r="P2694">
        <v>-0.98118830000000001</v>
      </c>
      <c r="Q2694">
        <v>0.1746125</v>
      </c>
      <c r="R2694">
        <v>-8.2341869999999998E-2</v>
      </c>
      <c r="S2694">
        <v>-3.0844119999999999</v>
      </c>
      <c r="T2694">
        <v>-0.21792980000000001</v>
      </c>
      <c r="U2694">
        <v>-0.146514899999999</v>
      </c>
      <c r="V2694">
        <v>-3.8314859999999999E-2</v>
      </c>
      <c r="W2694">
        <v>0.1826525</v>
      </c>
      <c r="X2694">
        <v>0.98243069999999999</v>
      </c>
      <c r="Y2694">
        <v>-2.0514280000000001E-3</v>
      </c>
      <c r="Z2694">
        <v>3.1354540000000002E-3</v>
      </c>
      <c r="AA2694">
        <v>0.99999300000000002</v>
      </c>
      <c r="AB2694">
        <v>34</v>
      </c>
      <c r="AC2694">
        <v>-15.5434</v>
      </c>
      <c r="AD2694">
        <v>-1.111172419066</v>
      </c>
      <c r="AE2694">
        <v>-0.738099999999974</v>
      </c>
      <c r="AF2694">
        <v>-2.9851604896455199E-2</v>
      </c>
      <c r="AG2694">
        <v>-1.111172419066</v>
      </c>
      <c r="AH2694">
        <v>15.481942247791499</v>
      </c>
      <c r="AI2694">
        <v>94.105194878376395</v>
      </c>
      <c r="AJ2694">
        <v>90.110475082860404</v>
      </c>
      <c r="AK2694">
        <v>15.521795354505899</v>
      </c>
      <c r="AL2694">
        <v>79.475701533960603</v>
      </c>
      <c r="AM2694">
        <v>92.233407175470603</v>
      </c>
      <c r="AN2694">
        <v>1.0000000222777701</v>
      </c>
    </row>
    <row r="2695" spans="1:40" x14ac:dyDescent="0.25">
      <c r="A2695" t="str">
        <f>"20190312172134033"</f>
        <v>20190312172134033</v>
      </c>
      <c r="B2695" t="str">
        <f>"1552382494023087"</f>
        <v>1552382494023087</v>
      </c>
      <c r="C2695" t="s">
        <v>40</v>
      </c>
      <c r="D2695">
        <v>3.0603440000000002</v>
      </c>
      <c r="E2695">
        <v>0.51226870000000002</v>
      </c>
      <c r="F2695" t="s">
        <v>41</v>
      </c>
      <c r="G2695">
        <v>-305.52100000000002</v>
      </c>
      <c r="H2695">
        <v>1.0407329999999999</v>
      </c>
      <c r="I2695">
        <v>283.50709999999998</v>
      </c>
      <c r="J2695">
        <v>-304.70490000000001</v>
      </c>
      <c r="K2695">
        <v>1.1110629999999999</v>
      </c>
      <c r="L2695">
        <v>283.5471</v>
      </c>
      <c r="M2695">
        <v>-0.9988996</v>
      </c>
      <c r="N2695">
        <v>0</v>
      </c>
      <c r="O2695">
        <v>-4.6154870000000001E-2</v>
      </c>
      <c r="P2695">
        <v>-0.98120419999999997</v>
      </c>
      <c r="Q2695">
        <v>0.17413989999999999</v>
      </c>
      <c r="R2695">
        <v>-8.3150249999999995E-2</v>
      </c>
      <c r="S2695">
        <v>-3.0837400000000001</v>
      </c>
      <c r="T2695">
        <v>-0.21928690000000001</v>
      </c>
      <c r="U2695">
        <v>-0.15161129999999901</v>
      </c>
      <c r="V2695">
        <v>-3.8433439999999999E-2</v>
      </c>
      <c r="W2695">
        <v>0.18219260000000001</v>
      </c>
      <c r="X2695">
        <v>0.98251149999999998</v>
      </c>
      <c r="Y2695">
        <v>-3.060751E-3</v>
      </c>
      <c r="Z2695">
        <v>3.1656840000000002E-3</v>
      </c>
      <c r="AA2695">
        <v>0.9999903</v>
      </c>
      <c r="AB2695">
        <v>34</v>
      </c>
      <c r="AC2695">
        <v>-0.81609999999994898</v>
      </c>
      <c r="AD2695">
        <v>-7.0329999999999906E-2</v>
      </c>
      <c r="AE2695">
        <v>-4.0000000000020401E-2</v>
      </c>
      <c r="AF2695">
        <v>-2.2722391887235798E-3</v>
      </c>
      <c r="AG2695">
        <v>-7.0329999999999906E-2</v>
      </c>
      <c r="AH2695">
        <v>0.81106737873426904</v>
      </c>
      <c r="AI2695">
        <v>94.955867026441098</v>
      </c>
      <c r="AJ2695">
        <v>90.160516103062804</v>
      </c>
      <c r="AK2695">
        <v>0.81411409815689195</v>
      </c>
      <c r="AL2695">
        <v>79.502501963808697</v>
      </c>
      <c r="AM2695">
        <v>92.240128225069299</v>
      </c>
      <c r="AN2695">
        <v>1.0000000602186101</v>
      </c>
    </row>
    <row r="2696" spans="1:40" x14ac:dyDescent="0.25">
      <c r="A2696" t="str">
        <f>"20190312172134044"</f>
        <v>20190312172134044</v>
      </c>
      <c r="B2696" t="str">
        <f>"1552382494033823"</f>
        <v>1552382494033823</v>
      </c>
      <c r="C2696" t="s">
        <v>40</v>
      </c>
      <c r="D2696">
        <v>3.0789819999999999</v>
      </c>
      <c r="E2696">
        <v>0.51188299999999998</v>
      </c>
      <c r="F2696" t="s">
        <v>46</v>
      </c>
      <c r="G2696">
        <v>-320.29270000000002</v>
      </c>
      <c r="H2696" s="1">
        <v>-1.2993790000000001E-6</v>
      </c>
      <c r="I2696">
        <v>282.74799999999999</v>
      </c>
      <c r="J2696">
        <v>-304.8639</v>
      </c>
      <c r="K2696">
        <v>1.1109690000000001</v>
      </c>
      <c r="L2696">
        <v>283.53930000000003</v>
      </c>
      <c r="M2696">
        <v>-0.99887440000000005</v>
      </c>
      <c r="N2696">
        <v>0</v>
      </c>
      <c r="O2696">
        <v>-4.6699820000000003E-2</v>
      </c>
      <c r="P2696">
        <v>-0.98126820000000003</v>
      </c>
      <c r="Q2696">
        <v>0.17358599999999999</v>
      </c>
      <c r="R2696">
        <v>-8.3553370000000002E-2</v>
      </c>
      <c r="S2696">
        <v>-3.0830690000000001</v>
      </c>
      <c r="T2696">
        <v>-0.21975520000000001</v>
      </c>
      <c r="U2696">
        <v>-0.15805050000000001</v>
      </c>
      <c r="V2696">
        <v>-3.8251809999999997E-2</v>
      </c>
      <c r="W2696">
        <v>0.18165149999999999</v>
      </c>
      <c r="X2696">
        <v>0.98261869999999996</v>
      </c>
      <c r="Y2696">
        <v>-4.6071360000000004E-3</v>
      </c>
      <c r="Z2696">
        <v>3.1566200000000002E-3</v>
      </c>
      <c r="AA2696">
        <v>0.9999844</v>
      </c>
      <c r="AB2696">
        <v>34</v>
      </c>
      <c r="AC2696">
        <v>-15.428800000000001</v>
      </c>
      <c r="AD2696">
        <v>-1.110970299379</v>
      </c>
      <c r="AE2696">
        <v>-0.79130000000003498</v>
      </c>
      <c r="AF2696">
        <v>-6.9529982819950806E-2</v>
      </c>
      <c r="AG2696">
        <v>-1.110970299379</v>
      </c>
      <c r="AH2696">
        <v>15.369440381127101</v>
      </c>
      <c r="AI2696">
        <v>94.134356327708105</v>
      </c>
      <c r="AJ2696">
        <v>90.259199247971196</v>
      </c>
      <c r="AK2696">
        <v>15.4096978248645</v>
      </c>
      <c r="AL2696">
        <v>79.534030078525802</v>
      </c>
      <c r="AM2696">
        <v>92.229309472885504</v>
      </c>
      <c r="AN2696">
        <v>0.999999989005107</v>
      </c>
    </row>
    <row r="2697" spans="1:40" x14ac:dyDescent="0.25">
      <c r="A2697" t="str">
        <f>"20190312172134056"</f>
        <v>20190312172134056</v>
      </c>
      <c r="B2697" t="str">
        <f>"1552382494053343"</f>
        <v>1552382494053343</v>
      </c>
      <c r="C2697" t="s">
        <v>40</v>
      </c>
      <c r="D2697">
        <v>3.0768080000000002</v>
      </c>
      <c r="E2697">
        <v>0.51107020000000003</v>
      </c>
      <c r="F2697" t="s">
        <v>41</v>
      </c>
      <c r="G2697">
        <v>-305.83</v>
      </c>
      <c r="H2697">
        <v>1.0416669999999999</v>
      </c>
      <c r="I2697">
        <v>283.48860000000002</v>
      </c>
      <c r="J2697">
        <v>-305.04239999999999</v>
      </c>
      <c r="K2697">
        <v>1.1108610000000001</v>
      </c>
      <c r="L2697">
        <v>283.53050000000002</v>
      </c>
      <c r="M2697">
        <v>-0.99884850000000003</v>
      </c>
      <c r="N2697">
        <v>0</v>
      </c>
      <c r="O2697">
        <v>-4.7249390000000002E-2</v>
      </c>
      <c r="P2697">
        <v>-0.98125580000000001</v>
      </c>
      <c r="Q2697">
        <v>0.17366909999999999</v>
      </c>
      <c r="R2697">
        <v>-8.3524710000000002E-2</v>
      </c>
      <c r="S2697">
        <v>-3.082611</v>
      </c>
      <c r="T2697">
        <v>-0.22126760000000001</v>
      </c>
      <c r="U2697">
        <v>-0.162139899999999</v>
      </c>
      <c r="V2697">
        <v>-3.763449E-2</v>
      </c>
      <c r="W2697">
        <v>0.18174999999999999</v>
      </c>
      <c r="X2697">
        <v>0.98262439999999995</v>
      </c>
      <c r="Y2697">
        <v>-5.3884279999999998E-3</v>
      </c>
      <c r="Z2697">
        <v>3.1899530000000001E-3</v>
      </c>
      <c r="AA2697">
        <v>0.99998039999999999</v>
      </c>
      <c r="AB2697">
        <v>34</v>
      </c>
      <c r="AC2697">
        <v>-0.78759999999999697</v>
      </c>
      <c r="AD2697">
        <v>-6.91940000000002E-2</v>
      </c>
      <c r="AE2697">
        <v>-4.1899999999998203E-2</v>
      </c>
      <c r="AF2697">
        <v>-4.6028666489367097E-3</v>
      </c>
      <c r="AG2697">
        <v>-6.91940000000002E-2</v>
      </c>
      <c r="AH2697">
        <v>0.78267617188677296</v>
      </c>
      <c r="AI2697">
        <v>95.052122229963899</v>
      </c>
      <c r="AJ2697">
        <v>90.336948794201405</v>
      </c>
      <c r="AK2697">
        <v>0.78574231530236505</v>
      </c>
      <c r="AL2697">
        <v>79.528291707721493</v>
      </c>
      <c r="AM2697">
        <v>92.1933548760978</v>
      </c>
      <c r="AN2697">
        <v>1.00000006440645</v>
      </c>
    </row>
    <row r="2698" spans="1:40" x14ac:dyDescent="0.25">
      <c r="A2698" t="str">
        <f>"20190312172134067"</f>
        <v>20190312172134067</v>
      </c>
      <c r="B2698" t="str">
        <f>"1552382494063102"</f>
        <v>1552382494063102</v>
      </c>
      <c r="C2698" t="s">
        <v>40</v>
      </c>
      <c r="D2698">
        <v>3.0796839999999999</v>
      </c>
      <c r="E2698">
        <v>0.51078840000000003</v>
      </c>
      <c r="F2698" t="s">
        <v>46</v>
      </c>
      <c r="G2698">
        <v>-320.65289999999999</v>
      </c>
      <c r="H2698" s="1">
        <v>-1.1045869999999901E-6</v>
      </c>
      <c r="I2698">
        <v>282.67720000000003</v>
      </c>
      <c r="J2698">
        <v>-305.20749999999998</v>
      </c>
      <c r="K2698">
        <v>1.110762</v>
      </c>
      <c r="L2698">
        <v>283.52229999999997</v>
      </c>
      <c r="M2698">
        <v>-0.99882760000000004</v>
      </c>
      <c r="N2698">
        <v>0</v>
      </c>
      <c r="O2698">
        <v>-4.7688380000000002E-2</v>
      </c>
      <c r="P2698">
        <v>-0.9812651</v>
      </c>
      <c r="Q2698">
        <v>0.17353850000000001</v>
      </c>
      <c r="R2698">
        <v>-8.3686449999999996E-2</v>
      </c>
      <c r="S2698">
        <v>-3.0817869999999998</v>
      </c>
      <c r="T2698">
        <v>-0.2193032</v>
      </c>
      <c r="U2698">
        <v>-0.168457</v>
      </c>
      <c r="V2698">
        <v>-3.7319499999999999E-2</v>
      </c>
      <c r="W2698">
        <v>0.18163280000000001</v>
      </c>
      <c r="X2698">
        <v>0.98265800000000003</v>
      </c>
      <c r="Y2698">
        <v>-7.0020500000000001E-3</v>
      </c>
      <c r="Z2698">
        <v>3.1361660000000001E-3</v>
      </c>
      <c r="AA2698">
        <v>0.99997060000000004</v>
      </c>
      <c r="AB2698">
        <v>34</v>
      </c>
      <c r="AC2698">
        <v>-15.445399999999999</v>
      </c>
      <c r="AD2698">
        <v>-1.1107631045869999</v>
      </c>
      <c r="AE2698">
        <v>-0.84509999999994501</v>
      </c>
      <c r="AF2698">
        <v>-0.106995114576976</v>
      </c>
      <c r="AG2698">
        <v>-1.1107631045869999</v>
      </c>
      <c r="AH2698">
        <v>15.388778161160401</v>
      </c>
      <c r="AI2698">
        <v>94.128354247605003</v>
      </c>
      <c r="AJ2698">
        <v>90.398359742977803</v>
      </c>
      <c r="AK2698">
        <v>15.4291845514422</v>
      </c>
      <c r="AL2698">
        <v>79.535119561001096</v>
      </c>
      <c r="AM2698">
        <v>92.174940525004999</v>
      </c>
      <c r="AN2698">
        <v>0.99999998204004403</v>
      </c>
    </row>
    <row r="2699" spans="1:40" x14ac:dyDescent="0.25">
      <c r="A2699" t="str">
        <f>"20190312172134077"</f>
        <v>20190312172134077</v>
      </c>
      <c r="B2699" t="str">
        <f>"1552382494073839"</f>
        <v>1552382494073839</v>
      </c>
      <c r="C2699" t="s">
        <v>40</v>
      </c>
      <c r="D2699">
        <v>3.04556</v>
      </c>
      <c r="E2699">
        <v>0.51049899999999904</v>
      </c>
      <c r="F2699" t="s">
        <v>41</v>
      </c>
      <c r="G2699">
        <v>-306.15039999999999</v>
      </c>
      <c r="H2699">
        <v>1.043582</v>
      </c>
      <c r="I2699">
        <v>283.4701</v>
      </c>
      <c r="J2699">
        <v>-305.37830000000002</v>
      </c>
      <c r="K2699">
        <v>1.11066</v>
      </c>
      <c r="L2699">
        <v>283.5138</v>
      </c>
      <c r="M2699">
        <v>-0.99880749999999996</v>
      </c>
      <c r="N2699">
        <v>0</v>
      </c>
      <c r="O2699">
        <v>-4.8104580000000001E-2</v>
      </c>
      <c r="P2699">
        <v>-0.98122969999999998</v>
      </c>
      <c r="Q2699">
        <v>0.1737515</v>
      </c>
      <c r="R2699">
        <v>-8.3659689999999995E-2</v>
      </c>
      <c r="S2699">
        <v>-3.0815730000000001</v>
      </c>
      <c r="T2699">
        <v>-0.2197026</v>
      </c>
      <c r="U2699">
        <v>-0.17120360000000001</v>
      </c>
      <c r="V2699">
        <v>-3.6839530000000002E-2</v>
      </c>
      <c r="W2699">
        <v>0.1818593</v>
      </c>
      <c r="X2699">
        <v>0.98263420000000001</v>
      </c>
      <c r="Y2699">
        <v>-7.4779299999999998E-3</v>
      </c>
      <c r="Z2699">
        <v>3.1546249999999999E-3</v>
      </c>
      <c r="AA2699">
        <v>0.99996700000000005</v>
      </c>
      <c r="AB2699">
        <v>35</v>
      </c>
      <c r="AC2699">
        <v>-0.77209999999996604</v>
      </c>
      <c r="AD2699">
        <v>-6.7077999999999902E-2</v>
      </c>
      <c r="AE2699">
        <v>-4.3700000000001099E-2</v>
      </c>
      <c r="AF2699">
        <v>-6.4579806441569503E-3</v>
      </c>
      <c r="AG2699">
        <v>-6.7077999999999902E-2</v>
      </c>
      <c r="AH2699">
        <v>0.76753372893641103</v>
      </c>
      <c r="AI2699">
        <v>94.994453095953304</v>
      </c>
      <c r="AJ2699">
        <v>90.482071718612502</v>
      </c>
      <c r="AK2699">
        <v>0.77048633255433696</v>
      </c>
      <c r="AL2699">
        <v>79.521922075850298</v>
      </c>
      <c r="AM2699">
        <v>92.147046687697696</v>
      </c>
      <c r="AN2699">
        <v>0.99999996348837406</v>
      </c>
    </row>
    <row r="2700" spans="1:40" x14ac:dyDescent="0.25">
      <c r="A2700" t="str">
        <f>"20190312172134101"</f>
        <v>20190312172134101</v>
      </c>
      <c r="B2700" t="str">
        <f>"1552382494093359"</f>
        <v>1552382494093359</v>
      </c>
      <c r="C2700" t="s">
        <v>40</v>
      </c>
      <c r="D2700">
        <v>3.0867019999999998</v>
      </c>
      <c r="E2700">
        <v>0.51007309999999995</v>
      </c>
      <c r="F2700" t="s">
        <v>46</v>
      </c>
      <c r="G2700">
        <v>-321.0677</v>
      </c>
      <c r="H2700" s="1">
        <v>-8.8182410000000004E-7</v>
      </c>
      <c r="I2700">
        <v>282.63130000000001</v>
      </c>
      <c r="J2700">
        <v>-305.72669999999999</v>
      </c>
      <c r="K2700">
        <v>1.110449</v>
      </c>
      <c r="L2700">
        <v>283.49630000000002</v>
      </c>
      <c r="M2700">
        <v>-0.99877669999999996</v>
      </c>
      <c r="N2700">
        <v>0</v>
      </c>
      <c r="O2700">
        <v>-4.8739890000000001E-2</v>
      </c>
      <c r="P2700">
        <v>-0.98129500000000003</v>
      </c>
      <c r="Q2700">
        <v>0.17357259999999999</v>
      </c>
      <c r="R2700">
        <v>-8.3263019999999993E-2</v>
      </c>
      <c r="S2700">
        <v>-3.0812379999999999</v>
      </c>
      <c r="T2700">
        <v>-0.21812219999999999</v>
      </c>
      <c r="U2700">
        <v>-0.173309299999999</v>
      </c>
      <c r="V2700">
        <v>-3.5722539999999997E-2</v>
      </c>
      <c r="W2700">
        <v>0.1817087</v>
      </c>
      <c r="X2700">
        <v>0.98270329999999995</v>
      </c>
      <c r="Y2700">
        <v>-7.5291439999999998E-3</v>
      </c>
      <c r="Z2700">
        <v>3.175261E-3</v>
      </c>
      <c r="AA2700">
        <v>0.99996660000000004</v>
      </c>
      <c r="AB2700">
        <v>35</v>
      </c>
      <c r="AC2700">
        <v>-15.340999999999999</v>
      </c>
      <c r="AD2700">
        <v>-1.1104498818241</v>
      </c>
      <c r="AE2700">
        <v>-0.86500000000000898</v>
      </c>
      <c r="AF2700">
        <v>-0.115623343900422</v>
      </c>
      <c r="AG2700">
        <v>-1.1104498818241</v>
      </c>
      <c r="AH2700">
        <v>15.2850949214553</v>
      </c>
      <c r="AI2700">
        <v>94.155073971174801</v>
      </c>
      <c r="AJ2700">
        <v>90.433402821465904</v>
      </c>
      <c r="AK2700">
        <v>15.3258146424781</v>
      </c>
      <c r="AL2700">
        <v>79.530697026492405</v>
      </c>
      <c r="AM2700">
        <v>92.081859247469495</v>
      </c>
      <c r="AN2700">
        <v>0.99999996367531496</v>
      </c>
    </row>
    <row r="2701" spans="1:40" x14ac:dyDescent="0.25">
      <c r="A2701" t="str">
        <f>"20190312172134113"</f>
        <v>20190312172134113</v>
      </c>
      <c r="B2701" t="str">
        <f>"1552382494103119"</f>
        <v>1552382494103119</v>
      </c>
      <c r="C2701" t="s">
        <v>40</v>
      </c>
      <c r="D2701">
        <v>3.0594830000000002</v>
      </c>
      <c r="E2701">
        <v>0.50985029999999998</v>
      </c>
      <c r="F2701" t="s">
        <v>41</v>
      </c>
      <c r="G2701">
        <v>-306.75490000000002</v>
      </c>
      <c r="H2701">
        <v>1.0377050000000001</v>
      </c>
      <c r="I2701">
        <v>283.43790000000001</v>
      </c>
      <c r="J2701">
        <v>-305.93529999999998</v>
      </c>
      <c r="K2701">
        <v>1.110331</v>
      </c>
      <c r="L2701">
        <v>283.48590000000002</v>
      </c>
      <c r="M2701">
        <v>-0.99876450000000006</v>
      </c>
      <c r="N2701">
        <v>0</v>
      </c>
      <c r="O2701">
        <v>-4.8989699999999997E-2</v>
      </c>
      <c r="P2701">
        <v>-0.98136559999999995</v>
      </c>
      <c r="Q2701">
        <v>0.173310299999999</v>
      </c>
      <c r="R2701">
        <v>-8.2978380000000004E-2</v>
      </c>
      <c r="S2701">
        <v>-3.0808409999999999</v>
      </c>
      <c r="T2701">
        <v>-0.21804399999999999</v>
      </c>
      <c r="U2701">
        <v>-0.17572019999999999</v>
      </c>
      <c r="V2701">
        <v>-3.5135609999999998E-2</v>
      </c>
      <c r="W2701">
        <v>0.1814626</v>
      </c>
      <c r="X2701">
        <v>0.98277000000000003</v>
      </c>
      <c r="Y2701">
        <v>-8.0655029999999999E-3</v>
      </c>
      <c r="Z2701">
        <v>3.1731210000000001E-3</v>
      </c>
      <c r="AA2701">
        <v>0.99996240000000003</v>
      </c>
      <c r="AB2701">
        <v>35</v>
      </c>
      <c r="AC2701">
        <v>-0.81960000000003597</v>
      </c>
      <c r="AD2701">
        <v>-7.2625999999999996E-2</v>
      </c>
      <c r="AE2701">
        <v>-4.8000000000001798E-2</v>
      </c>
      <c r="AF2701">
        <v>-7.72853147703121E-3</v>
      </c>
      <c r="AG2701">
        <v>-7.2625999999999996E-2</v>
      </c>
      <c r="AH2701">
        <v>0.81459308918720696</v>
      </c>
      <c r="AI2701">
        <v>95.094573452804994</v>
      </c>
      <c r="AJ2701">
        <v>90.543582993219999</v>
      </c>
      <c r="AK2701">
        <v>0.81786072593464698</v>
      </c>
      <c r="AL2701">
        <v>79.545036597208096</v>
      </c>
      <c r="AM2701">
        <v>92.047544299844802</v>
      </c>
      <c r="AN2701">
        <v>1.00000002959441</v>
      </c>
    </row>
    <row r="2702" spans="1:40" x14ac:dyDescent="0.25">
      <c r="A2702" t="str">
        <f>"20190312172134134"</f>
        <v>20190312172134134</v>
      </c>
      <c r="B2702" t="str">
        <f>"1552382494123615"</f>
        <v>1552382494123615</v>
      </c>
      <c r="C2702" t="s">
        <v>40</v>
      </c>
      <c r="D2702">
        <v>3.0762019999999999</v>
      </c>
      <c r="E2702">
        <v>0.50949619999999995</v>
      </c>
      <c r="F2702" t="s">
        <v>46</v>
      </c>
      <c r="G2702">
        <v>-321.62220000000002</v>
      </c>
      <c r="H2702" s="1">
        <v>-5.8481130000000001E-7</v>
      </c>
      <c r="I2702">
        <v>282.58640000000003</v>
      </c>
      <c r="J2702">
        <v>-306.2423</v>
      </c>
      <c r="K2702">
        <v>1.110171</v>
      </c>
      <c r="L2702">
        <v>283.47050000000002</v>
      </c>
      <c r="M2702">
        <v>-0.99875119999999895</v>
      </c>
      <c r="N2702">
        <v>0</v>
      </c>
      <c r="O2702">
        <v>-4.9260030000000003E-2</v>
      </c>
      <c r="P2702">
        <v>-0.98144799999999999</v>
      </c>
      <c r="Q2702">
        <v>0.17321300000000001</v>
      </c>
      <c r="R2702">
        <v>-8.2205710000000001E-2</v>
      </c>
      <c r="S2702">
        <v>-3.080505</v>
      </c>
      <c r="T2702">
        <v>-0.2180405</v>
      </c>
      <c r="U2702">
        <v>-0.17663570000000001</v>
      </c>
      <c r="V2702">
        <v>-3.4022160000000003E-2</v>
      </c>
      <c r="W2702">
        <v>0.1813871</v>
      </c>
      <c r="X2702">
        <v>0.98282309999999995</v>
      </c>
      <c r="Y2702">
        <v>-8.0978660000000004E-3</v>
      </c>
      <c r="Z2702">
        <v>3.1913029999999999E-3</v>
      </c>
      <c r="AA2702">
        <v>0.99996209999999996</v>
      </c>
      <c r="AB2702">
        <v>35</v>
      </c>
      <c r="AC2702">
        <v>-15.379899999999999</v>
      </c>
      <c r="AD2702">
        <v>-1.1101715848113001</v>
      </c>
      <c r="AE2702">
        <v>-0.88409999999998901</v>
      </c>
      <c r="AF2702">
        <v>-0.124738158845969</v>
      </c>
      <c r="AG2702">
        <v>-1.1101715848113001</v>
      </c>
      <c r="AH2702">
        <v>15.325191842637</v>
      </c>
      <c r="AI2702">
        <v>94.143186902306795</v>
      </c>
      <c r="AJ2702">
        <v>90.466344062541097</v>
      </c>
      <c r="AK2702">
        <v>15.3658564866922</v>
      </c>
      <c r="AL2702">
        <v>79.549435291114406</v>
      </c>
      <c r="AM2702">
        <v>91.982603072704705</v>
      </c>
      <c r="AN2702">
        <v>1.0000000166555401</v>
      </c>
    </row>
    <row r="2703" spans="1:40" x14ac:dyDescent="0.25">
      <c r="A2703" t="str">
        <f>"20190312172134148"</f>
        <v>20190312172134148</v>
      </c>
      <c r="B2703" t="str">
        <f>"1552382494143135"</f>
        <v>1552382494143135</v>
      </c>
      <c r="C2703" t="s">
        <v>40</v>
      </c>
      <c r="D2703">
        <v>3.0854360000000001</v>
      </c>
      <c r="E2703">
        <v>0.50917509999999999</v>
      </c>
      <c r="F2703" t="s">
        <v>46</v>
      </c>
      <c r="G2703">
        <v>-321.94970000000001</v>
      </c>
      <c r="H2703" s="1">
        <v>-4.097152E-7</v>
      </c>
      <c r="I2703">
        <v>282.56810000000002</v>
      </c>
      <c r="J2703">
        <v>-306.4554</v>
      </c>
      <c r="K2703">
        <v>1.1100650000000001</v>
      </c>
      <c r="L2703">
        <v>283.4599</v>
      </c>
      <c r="M2703">
        <v>-0.99874589999999996</v>
      </c>
      <c r="N2703">
        <v>0</v>
      </c>
      <c r="O2703">
        <v>-4.9364560000000002E-2</v>
      </c>
      <c r="P2703">
        <v>-0.98147390000000001</v>
      </c>
      <c r="Q2703">
        <v>0.1732166</v>
      </c>
      <c r="R2703">
        <v>-8.1887100000000004E-2</v>
      </c>
      <c r="S2703">
        <v>-3.0803219999999998</v>
      </c>
      <c r="T2703">
        <v>-0.21771119999999999</v>
      </c>
      <c r="U2703">
        <v>-0.1769714</v>
      </c>
      <c r="V2703">
        <v>-3.355433E-2</v>
      </c>
      <c r="W2703">
        <v>0.18140439999999999</v>
      </c>
      <c r="X2703">
        <v>0.98283589999999998</v>
      </c>
      <c r="Y2703">
        <v>-8.1051630000000003E-3</v>
      </c>
      <c r="Z2703">
        <v>3.1937749999999998E-3</v>
      </c>
      <c r="AA2703">
        <v>0.99996200000000002</v>
      </c>
      <c r="AB2703">
        <v>35</v>
      </c>
      <c r="AC2703">
        <v>-15.494300000000001</v>
      </c>
      <c r="AD2703">
        <v>-1.1100654097151901</v>
      </c>
      <c r="AE2703">
        <v>-0.89179999999998905</v>
      </c>
      <c r="AF2703">
        <v>-0.12517629883446099</v>
      </c>
      <c r="AG2703">
        <v>-1.1100654097151901</v>
      </c>
      <c r="AH2703">
        <v>15.440442478146</v>
      </c>
      <c r="AI2703">
        <v>94.111976927663306</v>
      </c>
      <c r="AJ2703">
        <v>90.464489052601493</v>
      </c>
      <c r="AK2703">
        <v>15.4808003100799</v>
      </c>
      <c r="AL2703">
        <v>79.548426414194495</v>
      </c>
      <c r="AM2703">
        <v>91.9553366705793</v>
      </c>
      <c r="AN2703">
        <v>0.99999992786495595</v>
      </c>
    </row>
    <row r="2704" spans="1:40" x14ac:dyDescent="0.25">
      <c r="A2704" t="str">
        <f>"20190312172134160"</f>
        <v>20190312172134160</v>
      </c>
      <c r="B2704" t="str">
        <f>"1552382494153871"</f>
        <v>1552382494153871</v>
      </c>
      <c r="C2704" t="s">
        <v>40</v>
      </c>
      <c r="D2704">
        <v>3.0790130000000002</v>
      </c>
      <c r="E2704">
        <v>0.50903310000000002</v>
      </c>
      <c r="F2704" t="s">
        <v>46</v>
      </c>
      <c r="G2704">
        <v>-322.2253</v>
      </c>
      <c r="H2704" s="1">
        <v>-2.6215889999999999E-7</v>
      </c>
      <c r="I2704">
        <v>282.54750000000001</v>
      </c>
      <c r="J2704">
        <v>-306.65089999999998</v>
      </c>
      <c r="K2704">
        <v>1.1099760000000001</v>
      </c>
      <c r="L2704">
        <v>283.45010000000002</v>
      </c>
      <c r="M2704">
        <v>-0.99874320000000005</v>
      </c>
      <c r="N2704">
        <v>0</v>
      </c>
      <c r="O2704">
        <v>-4.941918E-2</v>
      </c>
      <c r="P2704">
        <v>-0.9814908</v>
      </c>
      <c r="Q2704">
        <v>0.17336589999999999</v>
      </c>
      <c r="R2704">
        <v>-8.1365660000000006E-2</v>
      </c>
      <c r="S2704">
        <v>-3.079987</v>
      </c>
      <c r="T2704">
        <v>-0.2168041</v>
      </c>
      <c r="U2704">
        <v>-0.17819209999999999</v>
      </c>
      <c r="V2704">
        <v>-3.2937979999999999E-2</v>
      </c>
      <c r="W2704">
        <v>0.1815657</v>
      </c>
      <c r="X2704">
        <v>0.98282709999999995</v>
      </c>
      <c r="Y2704">
        <v>-8.4501730000000001E-3</v>
      </c>
      <c r="Z2704">
        <v>3.172514E-3</v>
      </c>
      <c r="AA2704">
        <v>0.9999593</v>
      </c>
      <c r="AB2704">
        <v>35</v>
      </c>
      <c r="AC2704">
        <v>-15.574400000000001</v>
      </c>
      <c r="AD2704">
        <v>-1.1099762621589</v>
      </c>
      <c r="AE2704">
        <v>-0.90260000000000595</v>
      </c>
      <c r="AF2704">
        <v>-0.131132300762212</v>
      </c>
      <c r="AG2704">
        <v>-1.1099762621589</v>
      </c>
      <c r="AH2704">
        <v>15.5214019128875</v>
      </c>
      <c r="AI2704">
        <v>94.090262991562497</v>
      </c>
      <c r="AJ2704">
        <v>90.484050904814097</v>
      </c>
      <c r="AK2704">
        <v>15.5615924739162</v>
      </c>
      <c r="AL2704">
        <v>79.539029951101597</v>
      </c>
      <c r="AM2704">
        <v>91.919463935604597</v>
      </c>
      <c r="AN2704">
        <v>1.0000000612186799</v>
      </c>
    </row>
    <row r="2705" spans="1:40" x14ac:dyDescent="0.25">
      <c r="A2705" t="str">
        <f>"20190312172134171"</f>
        <v>20190312172134171</v>
      </c>
      <c r="B2705" t="str">
        <f>"1552382494163631"</f>
        <v>1552382494163631</v>
      </c>
      <c r="C2705" t="s">
        <v>40</v>
      </c>
      <c r="D2705">
        <v>3.0977199999999998</v>
      </c>
      <c r="E2705">
        <v>0.50891819999999999</v>
      </c>
      <c r="F2705" t="s">
        <v>41</v>
      </c>
      <c r="G2705">
        <v>-307.68799999999999</v>
      </c>
      <c r="H2705">
        <v>1.037226</v>
      </c>
      <c r="I2705">
        <v>283.39049999999997</v>
      </c>
      <c r="J2705">
        <v>-306.8322</v>
      </c>
      <c r="K2705">
        <v>1.1098920000000001</v>
      </c>
      <c r="L2705">
        <v>283.44110000000001</v>
      </c>
      <c r="M2705">
        <v>-0.99874470000000004</v>
      </c>
      <c r="N2705">
        <v>0</v>
      </c>
      <c r="O2705">
        <v>-4.9388199999999903E-2</v>
      </c>
      <c r="P2705">
        <v>-0.98155210000000004</v>
      </c>
      <c r="Q2705">
        <v>0.1733169</v>
      </c>
      <c r="R2705">
        <v>-8.0727170000000001E-2</v>
      </c>
      <c r="S2705">
        <v>-3.079987</v>
      </c>
      <c r="T2705">
        <v>-0.21618809999999999</v>
      </c>
      <c r="U2705">
        <v>-0.177764899999999</v>
      </c>
      <c r="V2705">
        <v>-3.2290529999999998E-2</v>
      </c>
      <c r="W2705">
        <v>0.1815282</v>
      </c>
      <c r="X2705">
        <v>0.98285540000000005</v>
      </c>
      <c r="Y2705">
        <v>-8.3425530000000008E-3</v>
      </c>
      <c r="Z2705">
        <v>3.1651409999999998E-3</v>
      </c>
      <c r="AA2705">
        <v>0.99996019999999997</v>
      </c>
      <c r="AB2705">
        <v>35</v>
      </c>
      <c r="AC2705">
        <v>-0.85579999999998702</v>
      </c>
      <c r="AD2705">
        <v>-7.2666000000000106E-2</v>
      </c>
      <c r="AE2705">
        <v>-5.0600000000031203E-2</v>
      </c>
      <c r="AF2705">
        <v>-8.2113537647174502E-3</v>
      </c>
      <c r="AG2705">
        <v>-7.2666000000000106E-2</v>
      </c>
      <c r="AH2705">
        <v>0.851139594604574</v>
      </c>
      <c r="AI2705">
        <v>94.879565193476196</v>
      </c>
      <c r="AJ2705">
        <v>90.552742842961194</v>
      </c>
      <c r="AK2705">
        <v>0.85427535571985702</v>
      </c>
      <c r="AL2705">
        <v>79.541213690479907</v>
      </c>
      <c r="AM2705">
        <v>91.881706978856599</v>
      </c>
      <c r="AN2705">
        <v>0.99999995151603904</v>
      </c>
    </row>
    <row r="2706" spans="1:40" x14ac:dyDescent="0.25">
      <c r="A2706" t="str">
        <f>"20190312172134183"</f>
        <v>20190312172134183</v>
      </c>
      <c r="B2706" t="str">
        <f>"1552382494173391"</f>
        <v>1552382494173391</v>
      </c>
      <c r="C2706" t="s">
        <v>40</v>
      </c>
      <c r="D2706">
        <v>3.0884369999999999</v>
      </c>
      <c r="E2706">
        <v>0.50876639999999995</v>
      </c>
      <c r="F2706" t="s">
        <v>46</v>
      </c>
      <c r="G2706">
        <v>-322.6087</v>
      </c>
      <c r="H2706" s="1">
        <v>-5.7477099999999998E-8</v>
      </c>
      <c r="I2706">
        <v>282.5324</v>
      </c>
      <c r="J2706">
        <v>-307.00729999999999</v>
      </c>
      <c r="K2706">
        <v>1.10981</v>
      </c>
      <c r="L2706">
        <v>283.43239999999997</v>
      </c>
      <c r="M2706">
        <v>-0.99874700000000005</v>
      </c>
      <c r="N2706">
        <v>0</v>
      </c>
      <c r="O2706">
        <v>-4.9338449999999999E-2</v>
      </c>
      <c r="P2706">
        <v>-0.98155789999999998</v>
      </c>
      <c r="Q2706">
        <v>0.17348139999999901</v>
      </c>
      <c r="R2706">
        <v>-8.0301839999999999E-2</v>
      </c>
      <c r="S2706">
        <v>-3.0800779999999999</v>
      </c>
      <c r="T2706">
        <v>-0.21668609999999999</v>
      </c>
      <c r="U2706">
        <v>-0.17739869999999999</v>
      </c>
      <c r="V2706">
        <v>-3.1878480000000001E-2</v>
      </c>
      <c r="W2706">
        <v>0.18170310000000001</v>
      </c>
      <c r="X2706">
        <v>0.98283659999999995</v>
      </c>
      <c r="Y2706">
        <v>-8.2726620000000001E-3</v>
      </c>
      <c r="Z2706">
        <v>3.1713000000000002E-3</v>
      </c>
      <c r="AA2706">
        <v>0.99996079999999998</v>
      </c>
      <c r="AB2706">
        <v>35</v>
      </c>
      <c r="AC2706">
        <v>-15.6014</v>
      </c>
      <c r="AD2706">
        <v>-1.1098100574770999</v>
      </c>
      <c r="AE2706">
        <v>-0.89999999999997704</v>
      </c>
      <c r="AF2706">
        <v>-0.128479953612917</v>
      </c>
      <c r="AG2706">
        <v>-1.1098100574770999</v>
      </c>
      <c r="AH2706">
        <v>15.548386710829799</v>
      </c>
      <c r="AI2706">
        <v>94.082585181248504</v>
      </c>
      <c r="AJ2706">
        <v>90.473437642808804</v>
      </c>
      <c r="AK2706">
        <v>15.5884737794201</v>
      </c>
      <c r="AL2706">
        <v>79.531023891532797</v>
      </c>
      <c r="AM2706">
        <v>91.857747510607595</v>
      </c>
      <c r="AN2706">
        <v>1.0000000181681401</v>
      </c>
    </row>
    <row r="2707" spans="1:40" x14ac:dyDescent="0.25">
      <c r="A2707" t="str">
        <f>"20190312172134193"</f>
        <v>20190312172134193</v>
      </c>
      <c r="B2707" t="str">
        <f>"1552382494183151"</f>
        <v>1552382494183151</v>
      </c>
      <c r="C2707" t="s">
        <v>40</v>
      </c>
      <c r="D2707">
        <v>3.1055579999999998</v>
      </c>
      <c r="E2707">
        <v>0.50870070000000001</v>
      </c>
      <c r="F2707" t="s">
        <v>41</v>
      </c>
      <c r="G2707">
        <v>-308.00259999999997</v>
      </c>
      <c r="H2707">
        <v>1.040035</v>
      </c>
      <c r="I2707">
        <v>283.37540000000001</v>
      </c>
      <c r="J2707">
        <v>-307.18239999999997</v>
      </c>
      <c r="K2707">
        <v>1.1097300000000001</v>
      </c>
      <c r="L2707">
        <v>283.42380000000003</v>
      </c>
      <c r="M2707">
        <v>-0.99875190000000003</v>
      </c>
      <c r="N2707">
        <v>0</v>
      </c>
      <c r="O2707">
        <v>-4.9236630000000003E-2</v>
      </c>
      <c r="P2707">
        <v>-0.98157159999999999</v>
      </c>
      <c r="Q2707">
        <v>0.17371889999999901</v>
      </c>
      <c r="R2707">
        <v>-7.961915E-2</v>
      </c>
      <c r="S2707">
        <v>-3.0800480000000001</v>
      </c>
      <c r="T2707">
        <v>-0.21602759999999999</v>
      </c>
      <c r="U2707">
        <v>-0.17739869999999999</v>
      </c>
      <c r="V2707">
        <v>-3.1261190000000001E-2</v>
      </c>
      <c r="W2707">
        <v>0.18195069999999999</v>
      </c>
      <c r="X2707">
        <v>0.98281059999999998</v>
      </c>
      <c r="Y2707">
        <v>-8.3740569999999903E-3</v>
      </c>
      <c r="Z2707">
        <v>3.1510539999999999E-3</v>
      </c>
      <c r="AA2707">
        <v>0.99995990000000001</v>
      </c>
      <c r="AB2707">
        <v>35</v>
      </c>
      <c r="AC2707">
        <v>-0.82019999999999904</v>
      </c>
      <c r="AD2707">
        <v>-6.9694999999999799E-2</v>
      </c>
      <c r="AE2707">
        <v>-4.8400000000015098E-2</v>
      </c>
      <c r="AF2707">
        <v>-7.8991506439715694E-3</v>
      </c>
      <c r="AG2707">
        <v>-6.9694999999999799E-2</v>
      </c>
      <c r="AH2707">
        <v>0.81571886875509303</v>
      </c>
      <c r="AI2707">
        <v>94.883262042002798</v>
      </c>
      <c r="AJ2707">
        <v>90.554815960326493</v>
      </c>
      <c r="AK2707">
        <v>0.81872893099546895</v>
      </c>
      <c r="AL2707">
        <v>79.516596747229499</v>
      </c>
      <c r="AM2707">
        <v>91.821847015642007</v>
      </c>
      <c r="AN2707">
        <v>0.999999997351533</v>
      </c>
    </row>
    <row r="2708" spans="1:40" x14ac:dyDescent="0.25">
      <c r="A2708" t="str">
        <f>"20190312172134211"</f>
        <v>20190312172134211</v>
      </c>
      <c r="B2708" t="str">
        <f>"1552382494203650"</f>
        <v>1552382494203650</v>
      </c>
      <c r="C2708" t="s">
        <v>40</v>
      </c>
      <c r="D2708">
        <v>3.1096659999999998</v>
      </c>
      <c r="E2708">
        <v>0.50850740000000005</v>
      </c>
      <c r="F2708" t="s">
        <v>46</v>
      </c>
      <c r="G2708">
        <v>-323.03530000000001</v>
      </c>
      <c r="H2708" s="1">
        <v>1.70219899999999E-7</v>
      </c>
      <c r="I2708">
        <v>282.51740000000001</v>
      </c>
      <c r="J2708">
        <v>-307.45609999999999</v>
      </c>
      <c r="K2708">
        <v>1.109602</v>
      </c>
      <c r="L2708">
        <v>283.41050000000001</v>
      </c>
      <c r="M2708">
        <v>-0.99876359999999997</v>
      </c>
      <c r="N2708">
        <v>0</v>
      </c>
      <c r="O2708">
        <v>-4.9002160000000003E-2</v>
      </c>
      <c r="P2708">
        <v>-0.98173460000000001</v>
      </c>
      <c r="Q2708">
        <v>0.1732793</v>
      </c>
      <c r="R2708">
        <v>-7.856349E-2</v>
      </c>
      <c r="S2708">
        <v>-3.0802</v>
      </c>
      <c r="T2708">
        <v>-0.21561859999999999</v>
      </c>
      <c r="U2708">
        <v>-0.17611689999999999</v>
      </c>
      <c r="V2708">
        <v>-3.0373649999999999E-2</v>
      </c>
      <c r="W2708">
        <v>0.1815282</v>
      </c>
      <c r="X2708">
        <v>0.98291649999999997</v>
      </c>
      <c r="Y2708">
        <v>-8.1907290000000008E-3</v>
      </c>
      <c r="Z2708">
        <v>3.1350420000000002E-3</v>
      </c>
      <c r="AA2708">
        <v>0.99996160000000001</v>
      </c>
      <c r="AB2708">
        <v>35</v>
      </c>
      <c r="AC2708">
        <v>-15.5792</v>
      </c>
      <c r="AD2708">
        <v>-1.1096018297801</v>
      </c>
      <c r="AE2708">
        <v>-0.893100000000004</v>
      </c>
      <c r="AF2708">
        <v>-0.127938947213735</v>
      </c>
      <c r="AG2708">
        <v>-1.1096018297801</v>
      </c>
      <c r="AH2708">
        <v>15.525747966843999</v>
      </c>
      <c r="AI2708">
        <v>94.087754257044097</v>
      </c>
      <c r="AJ2708">
        <v>90.472131572073394</v>
      </c>
      <c r="AK2708">
        <v>15.565874036649101</v>
      </c>
      <c r="AL2708">
        <v>79.541213632043196</v>
      </c>
      <c r="AM2708">
        <v>91.769965541546298</v>
      </c>
      <c r="AN2708">
        <v>0.99999994599090403</v>
      </c>
    </row>
    <row r="2709" spans="1:40" x14ac:dyDescent="0.25">
      <c r="A2709" t="str">
        <f>"20190312172134224"</f>
        <v>20190312172134224</v>
      </c>
      <c r="B2709" t="str">
        <f>"1552382494213407"</f>
        <v>1552382494213407</v>
      </c>
      <c r="C2709" t="s">
        <v>40</v>
      </c>
      <c r="D2709">
        <v>3.2343350000000002</v>
      </c>
      <c r="E2709">
        <v>0.50842710000000002</v>
      </c>
      <c r="F2709" t="s">
        <v>46</v>
      </c>
      <c r="G2709">
        <v>-323.22039999999998</v>
      </c>
      <c r="H2709" s="1">
        <v>2.6867329999999999E-7</v>
      </c>
      <c r="I2709">
        <v>282.5179</v>
      </c>
      <c r="J2709">
        <v>-307.6506</v>
      </c>
      <c r="K2709">
        <v>1.1095109999999999</v>
      </c>
      <c r="L2709">
        <v>283.40100000000001</v>
      </c>
      <c r="M2709">
        <v>-0.99877419999999995</v>
      </c>
      <c r="N2709">
        <v>0</v>
      </c>
      <c r="O2709">
        <v>-4.8782279999999997E-2</v>
      </c>
      <c r="P2709">
        <v>-0.98182239999999998</v>
      </c>
      <c r="Q2709">
        <v>0.17295289999999999</v>
      </c>
      <c r="R2709">
        <v>-7.8181570000000006E-2</v>
      </c>
      <c r="S2709">
        <v>-3.0801699999999999</v>
      </c>
      <c r="T2709">
        <v>-0.21680340000000001</v>
      </c>
      <c r="U2709">
        <v>-0.17440799999999901</v>
      </c>
      <c r="V2709">
        <v>-3.0164980000000001E-2</v>
      </c>
      <c r="W2709">
        <v>0.1812136</v>
      </c>
      <c r="X2709">
        <v>0.98298099999999999</v>
      </c>
      <c r="Y2709">
        <v>-7.8597860000000005E-3</v>
      </c>
      <c r="Z2709">
        <v>3.148521E-3</v>
      </c>
      <c r="AA2709">
        <v>0.99996419999999997</v>
      </c>
      <c r="AB2709">
        <v>35</v>
      </c>
      <c r="AC2709">
        <v>-15.569799999999899</v>
      </c>
      <c r="AD2709">
        <v>-1.1095107313267001</v>
      </c>
      <c r="AE2709">
        <v>-0.88310000000001299</v>
      </c>
      <c r="AF2709">
        <v>-0.121874563321258</v>
      </c>
      <c r="AG2709">
        <v>-1.1095107313267001</v>
      </c>
      <c r="AH2709">
        <v>15.515805620779</v>
      </c>
      <c r="AI2709">
        <v>94.090042721455802</v>
      </c>
      <c r="AJ2709">
        <v>90.450041375349102</v>
      </c>
      <c r="AK2709">
        <v>15.555902144649499</v>
      </c>
      <c r="AL2709">
        <v>79.559543140125697</v>
      </c>
      <c r="AM2709">
        <v>91.757698087557799</v>
      </c>
      <c r="AN2709">
        <v>0.99999997060217904</v>
      </c>
    </row>
    <row r="2710" spans="1:40" x14ac:dyDescent="0.25">
      <c r="A2710" t="str">
        <f>"20190312172134235"</f>
        <v>20190312172134235</v>
      </c>
      <c r="B2710" t="str">
        <f>"1552382494233903"</f>
        <v>1552382494233903</v>
      </c>
      <c r="C2710" t="s">
        <v>40</v>
      </c>
      <c r="D2710">
        <v>3.1063399999999999</v>
      </c>
      <c r="E2710">
        <v>0.50827540000000004</v>
      </c>
      <c r="F2710" t="s">
        <v>41</v>
      </c>
      <c r="G2710">
        <v>-308.62990000000002</v>
      </c>
      <c r="H2710">
        <v>1.040333</v>
      </c>
      <c r="I2710">
        <v>283.34620000000001</v>
      </c>
      <c r="J2710">
        <v>-307.83929999999998</v>
      </c>
      <c r="K2710">
        <v>1.109421</v>
      </c>
      <c r="L2710">
        <v>283.392</v>
      </c>
      <c r="M2710">
        <v>-0.99878699999999998</v>
      </c>
      <c r="N2710">
        <v>0</v>
      </c>
      <c r="O2710">
        <v>-4.8517970000000001E-2</v>
      </c>
      <c r="P2710">
        <v>-0.98190350000000004</v>
      </c>
      <c r="Q2710">
        <v>0.17280760000000001</v>
      </c>
      <c r="R2710">
        <v>-7.7482060000000005E-2</v>
      </c>
      <c r="S2710">
        <v>-3.0800480000000001</v>
      </c>
      <c r="T2710">
        <v>-0.21768280000000001</v>
      </c>
      <c r="U2710">
        <v>-0.1736145</v>
      </c>
      <c r="V2710">
        <v>-2.968341E-2</v>
      </c>
      <c r="W2710">
        <v>0.1810794</v>
      </c>
      <c r="X2710">
        <v>0.98302040000000002</v>
      </c>
      <c r="Y2710">
        <v>-7.8700049999999994E-3</v>
      </c>
      <c r="Z2710">
        <v>3.1424410000000002E-3</v>
      </c>
      <c r="AA2710">
        <v>0.99996410000000002</v>
      </c>
      <c r="AB2710">
        <v>35</v>
      </c>
      <c r="AC2710">
        <v>-0.79060000000004005</v>
      </c>
      <c r="AD2710">
        <v>-6.9087999999999997E-2</v>
      </c>
      <c r="AE2710">
        <v>-4.5799999999985602E-2</v>
      </c>
      <c r="AF2710">
        <v>-7.3306054451073802E-3</v>
      </c>
      <c r="AG2710">
        <v>-6.9087999999999997E-2</v>
      </c>
      <c r="AH2710">
        <v>0.78590956686471203</v>
      </c>
      <c r="AI2710">
        <v>95.023644361079107</v>
      </c>
      <c r="AJ2710">
        <v>90.534413361060103</v>
      </c>
      <c r="AK2710">
        <v>0.78897448425767902</v>
      </c>
      <c r="AL2710">
        <v>79.567361684404005</v>
      </c>
      <c r="AM2710">
        <v>91.729585147864896</v>
      </c>
      <c r="AN2710">
        <v>0.99999998037487303</v>
      </c>
    </row>
    <row r="2711" spans="1:40" x14ac:dyDescent="0.25">
      <c r="A2711" t="str">
        <f>"20190312172134248"</f>
        <v>20190312172134248</v>
      </c>
      <c r="B2711" t="str">
        <f>"1552382494243664"</f>
        <v>1552382494243664</v>
      </c>
      <c r="C2711" t="s">
        <v>40</v>
      </c>
      <c r="D2711">
        <v>3.1105139999999998</v>
      </c>
      <c r="E2711">
        <v>0.50821000000000005</v>
      </c>
      <c r="F2711" t="s">
        <v>46</v>
      </c>
      <c r="G2711">
        <v>-323.51850000000002</v>
      </c>
      <c r="H2711" s="1">
        <v>4.2748099999999999E-7</v>
      </c>
      <c r="I2711">
        <v>282.51330000000002</v>
      </c>
      <c r="J2711">
        <v>-308.01440000000002</v>
      </c>
      <c r="K2711">
        <v>1.109337</v>
      </c>
      <c r="L2711">
        <v>283.38369999999998</v>
      </c>
      <c r="M2711">
        <v>-0.99880119999999895</v>
      </c>
      <c r="N2711">
        <v>0</v>
      </c>
      <c r="O2711">
        <v>-4.8224900000000001E-2</v>
      </c>
      <c r="P2711">
        <v>-0.98196300000000003</v>
      </c>
      <c r="Q2711">
        <v>0.17272489999999999</v>
      </c>
      <c r="R2711">
        <v>-7.6909759999999994E-2</v>
      </c>
      <c r="S2711">
        <v>-3.079987</v>
      </c>
      <c r="T2711">
        <v>-0.21793319999999999</v>
      </c>
      <c r="U2711">
        <v>-0.17260739999999999</v>
      </c>
      <c r="V2711">
        <v>-2.9361780000000001E-2</v>
      </c>
      <c r="W2711">
        <v>0.18100720000000001</v>
      </c>
      <c r="X2711">
        <v>0.98304340000000001</v>
      </c>
      <c r="Y2711">
        <v>-7.8381860000000005E-3</v>
      </c>
      <c r="Z2711">
        <v>3.1266039999999998E-3</v>
      </c>
      <c r="AA2711">
        <v>0.99996439999999998</v>
      </c>
      <c r="AB2711">
        <v>35</v>
      </c>
      <c r="AC2711">
        <v>-15.5040999999999</v>
      </c>
      <c r="AD2711">
        <v>-1.1093365725190001</v>
      </c>
      <c r="AE2711">
        <v>-0.87039999999996098</v>
      </c>
      <c r="AF2711">
        <v>-0.121059358179259</v>
      </c>
      <c r="AG2711">
        <v>-1.1093365725190001</v>
      </c>
      <c r="AH2711">
        <v>15.4491914486007</v>
      </c>
      <c r="AI2711">
        <v>94.106976068216696</v>
      </c>
      <c r="AJ2711">
        <v>90.448958662745298</v>
      </c>
      <c r="AK2711">
        <v>15.4894415462549</v>
      </c>
      <c r="AL2711">
        <v>79.571568401764395</v>
      </c>
      <c r="AM2711">
        <v>91.710815689444303</v>
      </c>
      <c r="AN2711">
        <v>1.0000000234300801</v>
      </c>
    </row>
    <row r="2712" spans="1:40" x14ac:dyDescent="0.25">
      <c r="A2712" t="str">
        <f>"20190312172134259"</f>
        <v>20190312172134259</v>
      </c>
      <c r="B2712" t="str">
        <f>"1552382494253423"</f>
        <v>1552382494253423</v>
      </c>
      <c r="C2712" t="s">
        <v>40</v>
      </c>
      <c r="D2712">
        <v>3.1177239999999999</v>
      </c>
      <c r="E2712">
        <v>0.50817879999999904</v>
      </c>
      <c r="F2712" t="s">
        <v>46</v>
      </c>
      <c r="G2712">
        <v>-323.67919999999998</v>
      </c>
      <c r="H2712" s="1">
        <v>5.1305059999999996E-7</v>
      </c>
      <c r="I2712">
        <v>282.5129</v>
      </c>
      <c r="J2712">
        <v>-308.19839999999999</v>
      </c>
      <c r="K2712">
        <v>1.1092500000000001</v>
      </c>
      <c r="L2712">
        <v>283.37509999999997</v>
      </c>
      <c r="M2712">
        <v>-0.99881719999999896</v>
      </c>
      <c r="N2712">
        <v>0</v>
      </c>
      <c r="O2712">
        <v>-4.789177E-2</v>
      </c>
      <c r="P2712">
        <v>-0.98210569999999997</v>
      </c>
      <c r="Q2712">
        <v>0.1722494</v>
      </c>
      <c r="R2712">
        <v>-7.6150350000000006E-2</v>
      </c>
      <c r="S2712">
        <v>-3.0800779999999999</v>
      </c>
      <c r="T2712">
        <v>-0.21812219999999999</v>
      </c>
      <c r="U2712">
        <v>-0.17120360000000001</v>
      </c>
      <c r="V2712">
        <v>-2.8887090000000001E-2</v>
      </c>
      <c r="W2712">
        <v>0.18054339999999999</v>
      </c>
      <c r="X2712">
        <v>0.98314270000000004</v>
      </c>
      <c r="Y2712">
        <v>-7.7153550000000001E-3</v>
      </c>
      <c r="Z2712">
        <v>3.110097E-3</v>
      </c>
      <c r="AA2712">
        <v>0.9999654</v>
      </c>
      <c r="AB2712">
        <v>35</v>
      </c>
      <c r="AC2712">
        <v>-15.480799999999901</v>
      </c>
      <c r="AD2712">
        <v>-1.1092494869493901</v>
      </c>
      <c r="AE2712">
        <v>-0.86219999999997299</v>
      </c>
      <c r="AF2712">
        <v>-0.11917154698684999</v>
      </c>
      <c r="AG2712">
        <v>-1.1092494869493901</v>
      </c>
      <c r="AH2712">
        <v>15.4253768801332</v>
      </c>
      <c r="AI2712">
        <v>94.112976625139098</v>
      </c>
      <c r="AJ2712">
        <v>90.442640130746796</v>
      </c>
      <c r="AK2712">
        <v>15.465668048165799</v>
      </c>
      <c r="AL2712">
        <v>79.5985868366635</v>
      </c>
      <c r="AM2712">
        <v>91.6830031764583</v>
      </c>
      <c r="AN2712">
        <v>0.99999997590775802</v>
      </c>
    </row>
    <row r="2713" spans="1:40" x14ac:dyDescent="0.25">
      <c r="A2713" t="str">
        <f>"20190312172134270"</f>
        <v>20190312172134270</v>
      </c>
      <c r="B2713" t="str">
        <f>"1552382494263185"</f>
        <v>1552382494263185</v>
      </c>
      <c r="C2713" t="s">
        <v>40</v>
      </c>
      <c r="D2713">
        <v>3.1181540000000001</v>
      </c>
      <c r="E2713">
        <v>0.50808629999999999</v>
      </c>
      <c r="F2713" t="s">
        <v>46</v>
      </c>
      <c r="G2713">
        <v>-323.73129999999998</v>
      </c>
      <c r="H2713" s="1">
        <v>5.403323E-7</v>
      </c>
      <c r="I2713">
        <v>282.52280000000002</v>
      </c>
      <c r="J2713">
        <v>-308.37740000000002</v>
      </c>
      <c r="K2713">
        <v>1.109164</v>
      </c>
      <c r="L2713">
        <v>283.36680000000001</v>
      </c>
      <c r="M2713">
        <v>-0.99883599999999995</v>
      </c>
      <c r="N2713">
        <v>0</v>
      </c>
      <c r="O2713">
        <v>-4.7497869999999998E-2</v>
      </c>
      <c r="P2713">
        <v>-0.98220410000000002</v>
      </c>
      <c r="Q2713">
        <v>0.17204079999999999</v>
      </c>
      <c r="R2713">
        <v>-7.5344990000000001E-2</v>
      </c>
      <c r="S2713">
        <v>-3.080139</v>
      </c>
      <c r="T2713">
        <v>-0.2199622</v>
      </c>
      <c r="U2713">
        <v>-0.1690063</v>
      </c>
      <c r="V2713">
        <v>-2.8429659999999999E-2</v>
      </c>
      <c r="W2713">
        <v>0.18034549999999999</v>
      </c>
      <c r="X2713">
        <v>0.98319239999999997</v>
      </c>
      <c r="Y2713">
        <v>-7.3989299999999997E-3</v>
      </c>
      <c r="Z2713">
        <v>3.1195250000000002E-3</v>
      </c>
      <c r="AA2713">
        <v>0.99996779999999996</v>
      </c>
      <c r="AB2713">
        <v>35</v>
      </c>
      <c r="AC2713">
        <v>-15.3538999999999</v>
      </c>
      <c r="AD2713">
        <v>-1.1091634596677</v>
      </c>
      <c r="AE2713">
        <v>-0.84399999999999398</v>
      </c>
      <c r="AF2713">
        <v>-0.113155319936087</v>
      </c>
      <c r="AG2713">
        <v>-1.1091634596677</v>
      </c>
      <c r="AH2713">
        <v>15.2970703072071</v>
      </c>
      <c r="AI2713">
        <v>94.147044720863605</v>
      </c>
      <c r="AJ2713">
        <v>90.423819978801205</v>
      </c>
      <c r="AK2713">
        <v>15.337646745519001</v>
      </c>
      <c r="AL2713">
        <v>79.6101153679692</v>
      </c>
      <c r="AM2713">
        <v>91.656283933701005</v>
      </c>
      <c r="AN2713">
        <v>1.00000002017786</v>
      </c>
    </row>
    <row r="2714" spans="1:40" x14ac:dyDescent="0.25">
      <c r="A2714" t="str">
        <f>"20190312172134281"</f>
        <v>20190312172134281</v>
      </c>
      <c r="B2714" t="str">
        <f>"1552382494273920"</f>
        <v>1552382494273920</v>
      </c>
      <c r="C2714" t="s">
        <v>40</v>
      </c>
      <c r="D2714">
        <v>3.124085</v>
      </c>
      <c r="E2714">
        <v>0.50804759999999904</v>
      </c>
      <c r="F2714" t="s">
        <v>46</v>
      </c>
      <c r="G2714">
        <v>-323.86869999999999</v>
      </c>
      <c r="H2714" s="1">
        <v>6.1336059999999898E-7</v>
      </c>
      <c r="I2714">
        <v>282.52440000000001</v>
      </c>
      <c r="J2714">
        <v>-308.55349999999999</v>
      </c>
      <c r="K2714">
        <v>1.1090789999999999</v>
      </c>
      <c r="L2714">
        <v>283.3587</v>
      </c>
      <c r="M2714">
        <v>-0.99885520000000005</v>
      </c>
      <c r="N2714">
        <v>0</v>
      </c>
      <c r="O2714">
        <v>-4.7092920000000003E-2</v>
      </c>
      <c r="P2714">
        <v>-0.9823096</v>
      </c>
      <c r="Q2714">
        <v>0.1717774</v>
      </c>
      <c r="R2714">
        <v>-7.4570890000000001E-2</v>
      </c>
      <c r="S2714">
        <v>-3.0801090000000002</v>
      </c>
      <c r="T2714">
        <v>-0.2205338</v>
      </c>
      <c r="U2714">
        <v>-0.1674805</v>
      </c>
      <c r="V2714">
        <v>-2.801466E-2</v>
      </c>
      <c r="W2714">
        <v>0.18009269999999999</v>
      </c>
      <c r="X2714">
        <v>0.98325059999999997</v>
      </c>
      <c r="Y2714">
        <v>-7.3107019999999997E-3</v>
      </c>
      <c r="Z2714">
        <v>3.1019519999999998E-3</v>
      </c>
      <c r="AA2714">
        <v>0.99996850000000004</v>
      </c>
      <c r="AB2714">
        <v>35</v>
      </c>
      <c r="AC2714">
        <v>-15.315200000000001</v>
      </c>
      <c r="AD2714">
        <v>-1.1090783866394001</v>
      </c>
      <c r="AE2714">
        <v>-0.83429999999998405</v>
      </c>
      <c r="AF2714">
        <v>-0.111528213970621</v>
      </c>
      <c r="AG2714">
        <v>-1.1090783866394001</v>
      </c>
      <c r="AH2714">
        <v>15.257720023305801</v>
      </c>
      <c r="AI2714">
        <v>94.157387549026694</v>
      </c>
      <c r="AJ2714">
        <v>90.418803211889198</v>
      </c>
      <c r="AK2714">
        <v>15.2983827158235</v>
      </c>
      <c r="AL2714">
        <v>79.624840344039299</v>
      </c>
      <c r="AM2714">
        <v>91.632023061819098</v>
      </c>
      <c r="AN2714">
        <v>0.99999997208428204</v>
      </c>
    </row>
    <row r="2715" spans="1:40" x14ac:dyDescent="0.25">
      <c r="A2715" t="str">
        <f>"20190312172134294"</f>
        <v>20190312172134294</v>
      </c>
      <c r="B2715" t="str">
        <f>"1552382494283678"</f>
        <v>1552382494283678</v>
      </c>
      <c r="C2715" t="s">
        <v>40</v>
      </c>
      <c r="D2715">
        <v>3.2278739999999999</v>
      </c>
      <c r="E2715">
        <v>0.50795109999999999</v>
      </c>
      <c r="F2715" t="s">
        <v>41</v>
      </c>
      <c r="G2715">
        <v>-309.57010000000002</v>
      </c>
      <c r="H2715">
        <v>1.035927</v>
      </c>
      <c r="I2715">
        <v>283.30439999999999</v>
      </c>
      <c r="J2715">
        <v>-308.75110000000001</v>
      </c>
      <c r="K2715">
        <v>1.108981</v>
      </c>
      <c r="L2715">
        <v>283.34980000000002</v>
      </c>
      <c r="M2715">
        <v>-0.99887979999999998</v>
      </c>
      <c r="N2715">
        <v>0</v>
      </c>
      <c r="O2715">
        <v>-4.6564880000000003E-2</v>
      </c>
      <c r="P2715">
        <v>-0.98246480000000003</v>
      </c>
      <c r="Q2715">
        <v>0.17118920000000001</v>
      </c>
      <c r="R2715">
        <v>-7.3872129999999994E-2</v>
      </c>
      <c r="S2715">
        <v>-3.080292</v>
      </c>
      <c r="T2715">
        <v>-0.22160579999999999</v>
      </c>
      <c r="U2715">
        <v>-0.1650085</v>
      </c>
      <c r="V2715">
        <v>-2.7789769999999998E-2</v>
      </c>
      <c r="W2715">
        <v>0.17951710000000001</v>
      </c>
      <c r="X2715">
        <v>0.98336230000000002</v>
      </c>
      <c r="Y2715">
        <v>-7.0362869999999996E-3</v>
      </c>
      <c r="Z2715">
        <v>3.0888830000000002E-3</v>
      </c>
      <c r="AA2715">
        <v>0.99997049999999998</v>
      </c>
      <c r="AB2715">
        <v>35</v>
      </c>
      <c r="AC2715">
        <v>-0.81900000000001605</v>
      </c>
      <c r="AD2715">
        <v>-7.3053999999999897E-2</v>
      </c>
      <c r="AE2715">
        <v>-4.5400000000029202E-2</v>
      </c>
      <c r="AF2715">
        <v>-7.1559996980915799E-3</v>
      </c>
      <c r="AG2715">
        <v>-7.3053999999999897E-2</v>
      </c>
      <c r="AH2715">
        <v>0.813770757589102</v>
      </c>
      <c r="AI2715">
        <v>95.129620532583303</v>
      </c>
      <c r="AJ2715">
        <v>90.503824952163299</v>
      </c>
      <c r="AK2715">
        <v>0.81707462398168995</v>
      </c>
      <c r="AL2715">
        <v>79.658366867153205</v>
      </c>
      <c r="AM2715">
        <v>91.618745065880603</v>
      </c>
      <c r="AN2715">
        <v>1.00000003678517</v>
      </c>
    </row>
    <row r="2716" spans="1:40" x14ac:dyDescent="0.25">
      <c r="A2716" t="str">
        <f>"20190312172134308"</f>
        <v>20190312172134308</v>
      </c>
      <c r="B2716" t="str">
        <f>"1552382494303199"</f>
        <v>1552382494303199</v>
      </c>
      <c r="C2716" t="s">
        <v>40</v>
      </c>
      <c r="D2716">
        <v>3.1280920000000001</v>
      </c>
      <c r="E2716">
        <v>0.50779659999999904</v>
      </c>
      <c r="F2716" t="s">
        <v>46</v>
      </c>
      <c r="G2716">
        <v>-324.0367</v>
      </c>
      <c r="H2716" s="1">
        <v>7.021544E-7</v>
      </c>
      <c r="I2716">
        <v>282.53859999999997</v>
      </c>
      <c r="J2716">
        <v>-308.95710000000003</v>
      </c>
      <c r="K2716">
        <v>1.1088849999999999</v>
      </c>
      <c r="L2716">
        <v>283.34059999999999</v>
      </c>
      <c r="M2716">
        <v>-0.9989074</v>
      </c>
      <c r="N2716">
        <v>0</v>
      </c>
      <c r="O2716">
        <v>-4.5968309999999998E-2</v>
      </c>
      <c r="P2716">
        <v>-0.98262890000000003</v>
      </c>
      <c r="Q2716">
        <v>0.17064209999999999</v>
      </c>
      <c r="R2716">
        <v>-7.2952310000000006E-2</v>
      </c>
      <c r="S2716">
        <v>-3.0802</v>
      </c>
      <c r="T2716">
        <v>-0.22347020000000001</v>
      </c>
      <c r="U2716">
        <v>-0.16345209999999999</v>
      </c>
      <c r="V2716">
        <v>-2.7410790000000001E-2</v>
      </c>
      <c r="W2716">
        <v>0.1789828</v>
      </c>
      <c r="X2716">
        <v>0.98347030000000002</v>
      </c>
      <c r="Y2716">
        <v>-7.1311619999999999E-3</v>
      </c>
      <c r="Z2716">
        <v>3.0683780000000001E-3</v>
      </c>
      <c r="AA2716">
        <v>0.99996980000000002</v>
      </c>
      <c r="AB2716">
        <v>35</v>
      </c>
      <c r="AC2716">
        <v>-15.0795999999999</v>
      </c>
      <c r="AD2716">
        <v>-1.1088842978455999</v>
      </c>
      <c r="AE2716">
        <v>-0.80200000000002003</v>
      </c>
      <c r="AF2716">
        <v>-0.107364901923548</v>
      </c>
      <c r="AG2716">
        <v>-1.1088842978455999</v>
      </c>
      <c r="AH2716">
        <v>15.0195377179791</v>
      </c>
      <c r="AI2716">
        <v>94.222347956454399</v>
      </c>
      <c r="AJ2716">
        <v>90.409563269358401</v>
      </c>
      <c r="AK2716">
        <v>15.0607989452742</v>
      </c>
      <c r="AL2716">
        <v>79.689483735123801</v>
      </c>
      <c r="AM2716">
        <v>91.596505861182294</v>
      </c>
      <c r="AN2716">
        <v>1.0000000125431701</v>
      </c>
    </row>
    <row r="2717" spans="1:40" x14ac:dyDescent="0.25">
      <c r="A2717" t="str">
        <f>"20190312172134324"</f>
        <v>20190312172134324</v>
      </c>
      <c r="B2717" t="str">
        <f>"1552382494313936"</f>
        <v>1552382494313936</v>
      </c>
      <c r="C2717" t="s">
        <v>40</v>
      </c>
      <c r="D2717">
        <v>3.2214420000000001</v>
      </c>
      <c r="E2717">
        <v>0.50769659999999905</v>
      </c>
      <c r="F2717" t="s">
        <v>41</v>
      </c>
      <c r="G2717">
        <v>-309.89240000000001</v>
      </c>
      <c r="H2717">
        <v>1.0404799999999901</v>
      </c>
      <c r="I2717">
        <v>283.2919</v>
      </c>
      <c r="J2717">
        <v>-309.21749999999997</v>
      </c>
      <c r="K2717">
        <v>1.108765</v>
      </c>
      <c r="L2717">
        <v>283.32929999999999</v>
      </c>
      <c r="M2717">
        <v>-0.99894490000000002</v>
      </c>
      <c r="N2717">
        <v>0</v>
      </c>
      <c r="O2717">
        <v>-4.514547E-2</v>
      </c>
      <c r="P2717">
        <v>-0.98288609999999998</v>
      </c>
      <c r="Q2717">
        <v>0.1698025</v>
      </c>
      <c r="R2717">
        <v>-7.1432079999999995E-2</v>
      </c>
      <c r="S2717">
        <v>-3.0802309999999999</v>
      </c>
      <c r="T2717">
        <v>-0.2254158</v>
      </c>
      <c r="U2717">
        <v>-0.161499</v>
      </c>
      <c r="V2717">
        <v>-2.6641990000000001E-2</v>
      </c>
      <c r="W2717">
        <v>0.1781585</v>
      </c>
      <c r="X2717">
        <v>0.98364110000000005</v>
      </c>
      <c r="Y2717">
        <v>-7.3211300000000003E-3</v>
      </c>
      <c r="Z2717">
        <v>3.0281010000000001E-3</v>
      </c>
      <c r="AA2717">
        <v>0.99996859999999999</v>
      </c>
      <c r="AB2717">
        <v>35</v>
      </c>
      <c r="AC2717">
        <v>-0.67490000000003603</v>
      </c>
      <c r="AD2717">
        <v>-6.8285000000000096E-2</v>
      </c>
      <c r="AE2717">
        <v>-3.7399999999991003E-2</v>
      </c>
      <c r="AF2717">
        <v>-6.8224783968221297E-3</v>
      </c>
      <c r="AG2717">
        <v>-6.8285000000000096E-2</v>
      </c>
      <c r="AH2717">
        <v>0.66907203273706195</v>
      </c>
      <c r="AI2717">
        <v>95.827087325219097</v>
      </c>
      <c r="AJ2717">
        <v>90.584220609231807</v>
      </c>
      <c r="AK2717">
        <v>0.67258216778872404</v>
      </c>
      <c r="AL2717">
        <v>79.737484336346796</v>
      </c>
      <c r="AM2717">
        <v>91.551480997284699</v>
      </c>
      <c r="AN2717">
        <v>1.0000000301812999</v>
      </c>
    </row>
    <row r="2718" spans="1:40" x14ac:dyDescent="0.25">
      <c r="A2718" t="str">
        <f>"20190312172134339"</f>
        <v>20190312172134339</v>
      </c>
      <c r="B2718" t="str">
        <f>"1552382494333455"</f>
        <v>1552382494333455</v>
      </c>
      <c r="C2718" t="s">
        <v>40</v>
      </c>
      <c r="D2718">
        <v>3.1498750000000002</v>
      </c>
      <c r="E2718">
        <v>0.50751740000000001</v>
      </c>
      <c r="F2718" t="s">
        <v>41</v>
      </c>
      <c r="G2718">
        <v>-310.20269999999999</v>
      </c>
      <c r="H2718">
        <v>1.0358689999999999</v>
      </c>
      <c r="I2718">
        <v>283.2792</v>
      </c>
      <c r="J2718">
        <v>-309.44920000000002</v>
      </c>
      <c r="K2718">
        <v>1.1086640000000001</v>
      </c>
      <c r="L2718">
        <v>283.31950000000001</v>
      </c>
      <c r="M2718">
        <v>-0.9989808</v>
      </c>
      <c r="N2718">
        <v>0</v>
      </c>
      <c r="O2718">
        <v>-4.434316E-2</v>
      </c>
      <c r="P2718">
        <v>-0.98310580000000003</v>
      </c>
      <c r="Q2718">
        <v>0.16897779999999901</v>
      </c>
      <c r="R2718">
        <v>-7.0353369999999998E-2</v>
      </c>
      <c r="S2718">
        <v>-3.0802</v>
      </c>
      <c r="T2718">
        <v>-0.22791210000000001</v>
      </c>
      <c r="U2718">
        <v>-0.15701289999999901</v>
      </c>
      <c r="V2718">
        <v>-2.6303969999999999E-2</v>
      </c>
      <c r="W2718">
        <v>0.17734810000000001</v>
      </c>
      <c r="X2718">
        <v>0.98379660000000002</v>
      </c>
      <c r="Y2718">
        <v>-6.6740910000000001E-3</v>
      </c>
      <c r="Z2718">
        <v>3.0264379999999998E-3</v>
      </c>
      <c r="AA2718">
        <v>0.99997320000000001</v>
      </c>
      <c r="AB2718">
        <v>35</v>
      </c>
      <c r="AC2718">
        <v>-0.75349999999997397</v>
      </c>
      <c r="AD2718">
        <v>-7.2794999999999693E-2</v>
      </c>
      <c r="AE2718">
        <v>-4.0300000000002001E-2</v>
      </c>
      <c r="AF2718">
        <v>-6.7834666551055403E-3</v>
      </c>
      <c r="AG2718">
        <v>-7.2794999999999693E-2</v>
      </c>
      <c r="AH2718">
        <v>0.74758828079380002</v>
      </c>
      <c r="AI2718">
        <v>95.561307999701398</v>
      </c>
      <c r="AJ2718">
        <v>90.519876185304597</v>
      </c>
      <c r="AK2718">
        <v>0.751154687814095</v>
      </c>
      <c r="AL2718">
        <v>79.784667911753203</v>
      </c>
      <c r="AM2718">
        <v>91.531564031583898</v>
      </c>
      <c r="AN2718">
        <v>0.99999999879146495</v>
      </c>
    </row>
    <row r="2719" spans="1:40" x14ac:dyDescent="0.25">
      <c r="A2719" t="str">
        <f>"20190312172134355"</f>
        <v>20190312172134355</v>
      </c>
      <c r="B2719" t="str">
        <f>"1552382494353951"</f>
        <v>1552382494353951</v>
      </c>
      <c r="C2719" t="s">
        <v>40</v>
      </c>
      <c r="D2719">
        <v>3.2220240000000002</v>
      </c>
      <c r="E2719">
        <v>0.50734939999999995</v>
      </c>
      <c r="F2719" t="s">
        <v>46</v>
      </c>
      <c r="G2719">
        <v>-324.27019999999999</v>
      </c>
      <c r="H2719" s="1">
        <v>8.2480630000000001E-7</v>
      </c>
      <c r="I2719">
        <v>282.57600000000002</v>
      </c>
      <c r="J2719">
        <v>-309.72789999999998</v>
      </c>
      <c r="K2719">
        <v>1.108544</v>
      </c>
      <c r="L2719">
        <v>283.30799999999999</v>
      </c>
      <c r="M2719">
        <v>-0.99902709999999995</v>
      </c>
      <c r="N2719">
        <v>0</v>
      </c>
      <c r="O2719">
        <v>-4.3287359999999997E-2</v>
      </c>
      <c r="P2719">
        <v>-0.9831915</v>
      </c>
      <c r="Q2719">
        <v>0.1692148</v>
      </c>
      <c r="R2719">
        <v>-6.8566020000000005E-2</v>
      </c>
      <c r="S2719">
        <v>-3.0801090000000002</v>
      </c>
      <c r="T2719">
        <v>-0.2304031</v>
      </c>
      <c r="U2719">
        <v>-0.1545105</v>
      </c>
      <c r="V2719">
        <v>-2.550531E-2</v>
      </c>
      <c r="W2719">
        <v>0.1775987</v>
      </c>
      <c r="X2719">
        <v>0.98377250000000005</v>
      </c>
      <c r="Y2719">
        <v>-6.9207269999999998E-3</v>
      </c>
      <c r="Z2719">
        <v>2.9716640000000002E-3</v>
      </c>
      <c r="AA2719">
        <v>0.99997159999999996</v>
      </c>
      <c r="AB2719">
        <v>35</v>
      </c>
      <c r="AC2719">
        <v>-14.542299999999999</v>
      </c>
      <c r="AD2719">
        <v>-1.1085431751936901</v>
      </c>
      <c r="AE2719">
        <v>-0.73200000000002696</v>
      </c>
      <c r="AF2719">
        <v>-0.101207066643716</v>
      </c>
      <c r="AG2719">
        <v>-1.1085431751936901</v>
      </c>
      <c r="AH2719">
        <v>14.476447722361501</v>
      </c>
      <c r="AI2719">
        <v>94.378808374934707</v>
      </c>
      <c r="AJ2719">
        <v>90.400557057649195</v>
      </c>
      <c r="AK2719">
        <v>14.519182122277799</v>
      </c>
      <c r="AL2719">
        <v>79.770078775270505</v>
      </c>
      <c r="AM2719">
        <v>91.485119101402006</v>
      </c>
      <c r="AN2719">
        <v>1.00000007541806</v>
      </c>
    </row>
    <row r="2720" spans="1:40" x14ac:dyDescent="0.25">
      <c r="A2720" t="str">
        <f>"20190312172134369"</f>
        <v>20190312172134369</v>
      </c>
      <c r="B2720" t="str">
        <f>"1552382494363711"</f>
        <v>1552382494363711</v>
      </c>
      <c r="C2720" t="s">
        <v>40</v>
      </c>
      <c r="D2720">
        <v>3.1544880000000002</v>
      </c>
      <c r="E2720">
        <v>0.50727800000000001</v>
      </c>
      <c r="F2720" t="s">
        <v>46</v>
      </c>
      <c r="G2720">
        <v>-324.60410000000002</v>
      </c>
      <c r="H2720" s="1">
        <v>1.0020830000000001E-6</v>
      </c>
      <c r="I2720">
        <v>282.5847</v>
      </c>
      <c r="J2720">
        <v>-309.9384</v>
      </c>
      <c r="K2720">
        <v>1.1084639999999999</v>
      </c>
      <c r="L2720">
        <v>283.2996</v>
      </c>
      <c r="M2720">
        <v>-0.99906349999999999</v>
      </c>
      <c r="N2720">
        <v>0</v>
      </c>
      <c r="O2720">
        <v>-4.2433270000000002E-2</v>
      </c>
      <c r="P2720">
        <v>-0.98318450000000002</v>
      </c>
      <c r="Q2720">
        <v>0.16983039999999999</v>
      </c>
      <c r="R2720">
        <v>-6.7127629999999994E-2</v>
      </c>
      <c r="S2720">
        <v>-3.0803530000000001</v>
      </c>
      <c r="T2720">
        <v>-0.2295411</v>
      </c>
      <c r="U2720">
        <v>-0.14978029999999901</v>
      </c>
      <c r="V2720">
        <v>-2.4872910000000002E-2</v>
      </c>
      <c r="W2720">
        <v>0.1782241</v>
      </c>
      <c r="X2720">
        <v>0.98367550000000004</v>
      </c>
      <c r="Y2720">
        <v>-6.2385720000000004E-3</v>
      </c>
      <c r="Z2720">
        <v>2.9224049999999999E-3</v>
      </c>
      <c r="AA2720">
        <v>0.99997630000000004</v>
      </c>
      <c r="AB2720">
        <v>35</v>
      </c>
      <c r="AC2720">
        <v>-14.665699999999999</v>
      </c>
      <c r="AD2720">
        <v>-1.108462997917</v>
      </c>
      <c r="AE2720">
        <v>-0.71489999999999998</v>
      </c>
      <c r="AF2720">
        <v>-9.1399282992689498E-2</v>
      </c>
      <c r="AG2720">
        <v>-1.108462997917</v>
      </c>
      <c r="AH2720">
        <v>14.599621673507899</v>
      </c>
      <c r="AI2720">
        <v>94.3417152608084</v>
      </c>
      <c r="AJ2720">
        <v>90.358689072256496</v>
      </c>
      <c r="AK2720">
        <v>14.641926002280099</v>
      </c>
      <c r="AL2720">
        <v>79.733664188799693</v>
      </c>
      <c r="AM2720">
        <v>91.448454455581796</v>
      </c>
      <c r="AN2720">
        <v>0.99999999038646403</v>
      </c>
    </row>
    <row r="2721" spans="1:40" x14ac:dyDescent="0.25">
      <c r="A2721" t="str">
        <f>"20190312172134382"</f>
        <v>20190312172134382</v>
      </c>
      <c r="B2721" t="str">
        <f>"1552382494373471"</f>
        <v>1552382494373471</v>
      </c>
      <c r="C2721" t="s">
        <v>40</v>
      </c>
      <c r="D2721">
        <v>3.1314479999999998</v>
      </c>
      <c r="E2721">
        <v>0.50720290000000001</v>
      </c>
      <c r="F2721" t="s">
        <v>41</v>
      </c>
      <c r="G2721">
        <v>-310.85039999999998</v>
      </c>
      <c r="H2721">
        <v>1.041056</v>
      </c>
      <c r="I2721">
        <v>283.25639999999999</v>
      </c>
      <c r="J2721">
        <v>-310.13350000000003</v>
      </c>
      <c r="K2721">
        <v>1.1083879999999999</v>
      </c>
      <c r="L2721">
        <v>283.29199999999997</v>
      </c>
      <c r="M2721">
        <v>-0.99909789999999998</v>
      </c>
      <c r="N2721">
        <v>0</v>
      </c>
      <c r="O2721">
        <v>-4.1615609999999997E-2</v>
      </c>
      <c r="P2721">
        <v>-0.98316250000000005</v>
      </c>
      <c r="Q2721">
        <v>0.1705023</v>
      </c>
      <c r="R2721">
        <v>-6.5734600000000004E-2</v>
      </c>
      <c r="S2721">
        <v>-3.0806269999999998</v>
      </c>
      <c r="T2721">
        <v>-0.2277448</v>
      </c>
      <c r="U2721">
        <v>-0.14648439999999999</v>
      </c>
      <c r="V2721">
        <v>-2.425447E-2</v>
      </c>
      <c r="W2721">
        <v>0.17890349999999999</v>
      </c>
      <c r="X2721">
        <v>0.98356759999999999</v>
      </c>
      <c r="Y2721">
        <v>-5.9821659999999997E-3</v>
      </c>
      <c r="Z2721">
        <v>2.8486269999999998E-3</v>
      </c>
      <c r="AA2721">
        <v>0.99997809999999998</v>
      </c>
      <c r="AB2721">
        <v>35</v>
      </c>
      <c r="AC2721">
        <v>-0.71689999999995202</v>
      </c>
      <c r="AD2721">
        <v>-6.7331999999999906E-2</v>
      </c>
      <c r="AE2721">
        <v>-3.5600000000044901E-2</v>
      </c>
      <c r="AF2721">
        <v>-5.6838447086616402E-3</v>
      </c>
      <c r="AG2721">
        <v>-6.7331999999999906E-2</v>
      </c>
      <c r="AH2721">
        <v>0.711499654460651</v>
      </c>
      <c r="AI2721">
        <v>95.405852971175605</v>
      </c>
      <c r="AJ2721">
        <v>90.457699991707202</v>
      </c>
      <c r="AK2721">
        <v>0.71470110018965205</v>
      </c>
      <c r="AL2721">
        <v>79.694101518182094</v>
      </c>
      <c r="AM2721">
        <v>91.412609748509396</v>
      </c>
      <c r="AN2721">
        <v>0.99999998269849499</v>
      </c>
    </row>
    <row r="2722" spans="1:40" x14ac:dyDescent="0.25">
      <c r="A2722" t="str">
        <f>"20190312172134392"</f>
        <v>20190312172134392</v>
      </c>
      <c r="B2722" t="str">
        <f>"1552382494383231"</f>
        <v>1552382494383231</v>
      </c>
      <c r="C2722" t="s">
        <v>40</v>
      </c>
      <c r="D2722">
        <v>3.2204649999999999</v>
      </c>
      <c r="E2722">
        <v>0.50712159999999995</v>
      </c>
      <c r="F2722" t="s">
        <v>41</v>
      </c>
      <c r="G2722">
        <v>-311.15449999999998</v>
      </c>
      <c r="H2722">
        <v>1.033561</v>
      </c>
      <c r="I2722">
        <v>283.24459999999999</v>
      </c>
      <c r="J2722">
        <v>-310.32650000000001</v>
      </c>
      <c r="K2722">
        <v>1.1083270000000001</v>
      </c>
      <c r="L2722">
        <v>283.28460000000001</v>
      </c>
      <c r="M2722">
        <v>-0.99913320000000005</v>
      </c>
      <c r="N2722">
        <v>0</v>
      </c>
      <c r="O2722">
        <v>-4.0759980000000001E-2</v>
      </c>
      <c r="P2722">
        <v>-0.98316749999999997</v>
      </c>
      <c r="Q2722">
        <v>0.17104469999999999</v>
      </c>
      <c r="R2722">
        <v>-6.4232929999999994E-2</v>
      </c>
      <c r="S2722">
        <v>-3.0809329999999999</v>
      </c>
      <c r="T2722">
        <v>-0.22575790000000001</v>
      </c>
      <c r="U2722">
        <v>-0.14331050000000001</v>
      </c>
      <c r="V2722">
        <v>-2.3565920000000001E-2</v>
      </c>
      <c r="W2722">
        <v>0.179452799999999</v>
      </c>
      <c r="X2722">
        <v>0.98348429999999998</v>
      </c>
      <c r="Y2722">
        <v>-5.8024770000000003E-3</v>
      </c>
      <c r="Z2722">
        <v>2.7677069999999999E-3</v>
      </c>
      <c r="AA2722">
        <v>0.99997930000000002</v>
      </c>
      <c r="AB2722">
        <v>36</v>
      </c>
      <c r="AC2722">
        <v>-0.82799999999997398</v>
      </c>
      <c r="AD2722">
        <v>-7.4766000000000096E-2</v>
      </c>
      <c r="AE2722">
        <v>-4.0000000000020401E-2</v>
      </c>
      <c r="AF2722">
        <v>-6.1661278374099803E-3</v>
      </c>
      <c r="AG2722">
        <v>-7.4766000000000096E-2</v>
      </c>
      <c r="AH2722">
        <v>0.82225362298589499</v>
      </c>
      <c r="AI2722">
        <v>95.195366625853794</v>
      </c>
      <c r="AJ2722">
        <v>90.429656335693593</v>
      </c>
      <c r="AK2722">
        <v>0.82566881762722399</v>
      </c>
      <c r="AL2722">
        <v>79.662111564402906</v>
      </c>
      <c r="AM2722">
        <v>91.3726395318605</v>
      </c>
      <c r="AN2722">
        <v>1.0000000141798799</v>
      </c>
    </row>
    <row r="2723" spans="1:40" x14ac:dyDescent="0.25">
      <c r="A2723" t="str">
        <f>"20190312172134403"</f>
        <v>20190312172134403</v>
      </c>
      <c r="B2723" t="str">
        <f>"1552382494393967"</f>
        <v>1552382494393967</v>
      </c>
      <c r="C2723" t="s">
        <v>40</v>
      </c>
      <c r="D2723">
        <v>3.1718299999999999</v>
      </c>
      <c r="E2723">
        <v>0.50703980000000004</v>
      </c>
      <c r="F2723" t="s">
        <v>46</v>
      </c>
      <c r="G2723">
        <v>-325.56040000000002</v>
      </c>
      <c r="H2723" s="1">
        <v>1.510709E-6</v>
      </c>
      <c r="I2723">
        <v>282.5915</v>
      </c>
      <c r="J2723">
        <v>-310.49489999999997</v>
      </c>
      <c r="K2723">
        <v>1.108271</v>
      </c>
      <c r="L2723">
        <v>283.27839999999998</v>
      </c>
      <c r="M2723">
        <v>-0.99916380000000005</v>
      </c>
      <c r="N2723">
        <v>0</v>
      </c>
      <c r="O2723">
        <v>-3.999958E-2</v>
      </c>
      <c r="P2723">
        <v>-0.98325589999999996</v>
      </c>
      <c r="Q2723">
        <v>0.17100860000000001</v>
      </c>
      <c r="R2723">
        <v>-6.2962329999999997E-2</v>
      </c>
      <c r="S2723">
        <v>-3.081207</v>
      </c>
      <c r="T2723">
        <v>-0.22416900000000001</v>
      </c>
      <c r="U2723">
        <v>-0.14019779999999901</v>
      </c>
      <c r="V2723">
        <v>-2.3018759999999999E-2</v>
      </c>
      <c r="W2723">
        <v>0.17942379999999999</v>
      </c>
      <c r="X2723">
        <v>0.9835026</v>
      </c>
      <c r="Y2723">
        <v>-5.5486340000000002E-3</v>
      </c>
      <c r="Z2723">
        <v>2.7021689999999999E-3</v>
      </c>
      <c r="AA2723">
        <v>0.99998089999999995</v>
      </c>
      <c r="AB2723">
        <v>36</v>
      </c>
      <c r="AC2723">
        <v>-15.0655</v>
      </c>
      <c r="AD2723">
        <v>-1.1082694892910001</v>
      </c>
      <c r="AE2723">
        <v>-0.68689999999997997</v>
      </c>
      <c r="AF2723">
        <v>-8.3265282879803906E-2</v>
      </c>
      <c r="AG2723">
        <v>-1.1082694892910001</v>
      </c>
      <c r="AH2723">
        <v>14.9999141005739</v>
      </c>
      <c r="AI2723">
        <v>94.225558928049395</v>
      </c>
      <c r="AJ2723">
        <v>90.318048507189999</v>
      </c>
      <c r="AK2723">
        <v>15.0410311279787</v>
      </c>
      <c r="AL2723">
        <v>79.663801073743002</v>
      </c>
      <c r="AM2723">
        <v>91.340756043514901</v>
      </c>
      <c r="AN2723">
        <v>1.0000000637625599</v>
      </c>
    </row>
    <row r="2724" spans="1:40" x14ac:dyDescent="0.25">
      <c r="A2724" t="str">
        <f>"20190312172134415"</f>
        <v>20190312172134415</v>
      </c>
      <c r="B2724" t="str">
        <f>"1552382494403727"</f>
        <v>1552382494403727</v>
      </c>
      <c r="C2724" t="s">
        <v>40</v>
      </c>
      <c r="D2724">
        <v>3.1624089999999998</v>
      </c>
      <c r="E2724">
        <v>0.50695440000000003</v>
      </c>
      <c r="F2724" t="s">
        <v>41</v>
      </c>
      <c r="G2724">
        <v>-311.47629999999998</v>
      </c>
      <c r="H2724">
        <v>1.036818</v>
      </c>
      <c r="I2724">
        <v>283.23469999999998</v>
      </c>
      <c r="J2724">
        <v>-310.67009999999999</v>
      </c>
      <c r="K2724">
        <v>1.1082160000000001</v>
      </c>
      <c r="L2724">
        <v>283.27199999999999</v>
      </c>
      <c r="M2724">
        <v>-0.99919579999999997</v>
      </c>
      <c r="N2724">
        <v>0</v>
      </c>
      <c r="O2724">
        <v>-3.918746E-2</v>
      </c>
      <c r="P2724">
        <v>-0.98340159999999999</v>
      </c>
      <c r="Q2724">
        <v>0.17069619999999999</v>
      </c>
      <c r="R2724">
        <v>-6.1514810000000003E-2</v>
      </c>
      <c r="S2724">
        <v>-3.081299</v>
      </c>
      <c r="T2724">
        <v>-0.2243434</v>
      </c>
      <c r="U2724">
        <v>-0.1373596</v>
      </c>
      <c r="V2724">
        <v>-2.2346109999999999E-2</v>
      </c>
      <c r="W2724">
        <v>0.17911750000000001</v>
      </c>
      <c r="X2724">
        <v>0.9835739</v>
      </c>
      <c r="Y2724">
        <v>-5.4391329999999996E-3</v>
      </c>
      <c r="Z2724">
        <v>2.6492709999999999E-3</v>
      </c>
      <c r="AA2724">
        <v>0.99998169999999997</v>
      </c>
      <c r="AB2724">
        <v>36</v>
      </c>
      <c r="AC2724">
        <v>-0.80619999999998904</v>
      </c>
      <c r="AD2724">
        <v>-7.1398000000000003E-2</v>
      </c>
      <c r="AE2724">
        <v>-3.7300000000016098E-2</v>
      </c>
      <c r="AF2724">
        <v>-5.6331905690668099E-3</v>
      </c>
      <c r="AG2724">
        <v>-7.1398000000000003E-2</v>
      </c>
      <c r="AH2724">
        <v>0.80077531159891902</v>
      </c>
      <c r="AI2724">
        <v>95.094955827152504</v>
      </c>
      <c r="AJ2724">
        <v>90.403050289161499</v>
      </c>
      <c r="AK2724">
        <v>0.80397170777728999</v>
      </c>
      <c r="AL2724">
        <v>79.681639325732803</v>
      </c>
      <c r="AM2724">
        <v>91.301496075226297</v>
      </c>
      <c r="AN2724">
        <v>1.00000002209979</v>
      </c>
    </row>
    <row r="2725" spans="1:40" x14ac:dyDescent="0.25">
      <c r="A2725" t="str">
        <f>"20190312172134428"</f>
        <v>20190312172134428</v>
      </c>
      <c r="B2725" t="str">
        <f>"1552382494423247"</f>
        <v>1552382494423247</v>
      </c>
      <c r="C2725" t="s">
        <v>40</v>
      </c>
      <c r="D2725">
        <v>3.171573</v>
      </c>
      <c r="E2725">
        <v>0.50679770000000002</v>
      </c>
      <c r="F2725" t="s">
        <v>46</v>
      </c>
      <c r="G2725">
        <v>-325.82369999999997</v>
      </c>
      <c r="H2725" s="1">
        <v>1.6499179999999999E-6</v>
      </c>
      <c r="I2725">
        <v>282.6121</v>
      </c>
      <c r="J2725">
        <v>-310.86509999999998</v>
      </c>
      <c r="K2725">
        <v>1.108166</v>
      </c>
      <c r="L2725">
        <v>283.26510000000002</v>
      </c>
      <c r="M2725">
        <v>-0.9992316</v>
      </c>
      <c r="N2725">
        <v>0</v>
      </c>
      <c r="O2725">
        <v>-3.8267000000000002E-2</v>
      </c>
      <c r="P2725">
        <v>-0.98355990000000004</v>
      </c>
      <c r="Q2725">
        <v>0.17026479999999999</v>
      </c>
      <c r="R2725">
        <v>-6.0165169999999997E-2</v>
      </c>
      <c r="S2725">
        <v>-3.0813899999999999</v>
      </c>
      <c r="T2725">
        <v>-0.22534850000000001</v>
      </c>
      <c r="U2725">
        <v>-0.13418579999999999</v>
      </c>
      <c r="V2725">
        <v>-2.1877879999999999E-2</v>
      </c>
      <c r="W2725">
        <v>0.1786943</v>
      </c>
      <c r="X2725">
        <v>0.98366140000000002</v>
      </c>
      <c r="Y2725">
        <v>-5.3296410000000004E-3</v>
      </c>
      <c r="Z2725">
        <v>2.5979710000000001E-3</v>
      </c>
      <c r="AA2725">
        <v>0.99998240000000005</v>
      </c>
      <c r="AB2725">
        <v>36</v>
      </c>
      <c r="AC2725">
        <v>-14.958599999999899</v>
      </c>
      <c r="AD2725">
        <v>-1.108164350082</v>
      </c>
      <c r="AE2725">
        <v>-0.65300000000002001</v>
      </c>
      <c r="AF2725">
        <v>-7.9644097530639696E-2</v>
      </c>
      <c r="AG2725">
        <v>-1.108164350082</v>
      </c>
      <c r="AH2725">
        <v>14.8910630013998</v>
      </c>
      <c r="AI2725">
        <v>94.2559363061997</v>
      </c>
      <c r="AJ2725">
        <v>90.306440657713907</v>
      </c>
      <c r="AK2725">
        <v>14.9324522005169</v>
      </c>
      <c r="AL2725">
        <v>79.706284520878498</v>
      </c>
      <c r="AM2725">
        <v>91.274120908873698</v>
      </c>
      <c r="AN2725">
        <v>1.00000002216787</v>
      </c>
    </row>
    <row r="2726" spans="1:40" x14ac:dyDescent="0.25">
      <c r="A2726" t="str">
        <f>"20190312172134438"</f>
        <v>20190312172134438</v>
      </c>
      <c r="B2726" t="str">
        <f>"1552382494433007"</f>
        <v>1552382494433007</v>
      </c>
      <c r="C2726" t="s">
        <v>40</v>
      </c>
      <c r="D2726">
        <v>3.167062</v>
      </c>
      <c r="E2726">
        <v>0.50671379999999999</v>
      </c>
      <c r="F2726" t="s">
        <v>41</v>
      </c>
      <c r="G2726">
        <v>-311.79820000000001</v>
      </c>
      <c r="H2726">
        <v>1.0395620000000001</v>
      </c>
      <c r="I2726">
        <v>283.22559999999999</v>
      </c>
      <c r="J2726">
        <v>-311.05650000000003</v>
      </c>
      <c r="K2726">
        <v>1.108117</v>
      </c>
      <c r="L2726">
        <v>283.25839999999999</v>
      </c>
      <c r="M2726">
        <v>-0.99926599999999999</v>
      </c>
      <c r="N2726">
        <v>0</v>
      </c>
      <c r="O2726">
        <v>-3.735314E-2</v>
      </c>
      <c r="P2726">
        <v>-0.98370360000000001</v>
      </c>
      <c r="Q2726">
        <v>0.1698711</v>
      </c>
      <c r="R2726">
        <v>-5.8914790000000002E-2</v>
      </c>
      <c r="S2726">
        <v>-3.0813290000000002</v>
      </c>
      <c r="T2726">
        <v>-0.22670499999999999</v>
      </c>
      <c r="U2726">
        <v>-0.13159179999999901</v>
      </c>
      <c r="V2726">
        <v>-2.1505110000000001E-2</v>
      </c>
      <c r="W2726">
        <v>0.1783072</v>
      </c>
      <c r="X2726">
        <v>0.9837399</v>
      </c>
      <c r="Y2726">
        <v>-5.4031729999999998E-3</v>
      </c>
      <c r="Z2726">
        <v>2.543923E-3</v>
      </c>
      <c r="AA2726">
        <v>0.99998220000000004</v>
      </c>
      <c r="AB2726">
        <v>36</v>
      </c>
      <c r="AC2726">
        <v>-0.74169999999998004</v>
      </c>
      <c r="AD2726">
        <v>-6.8554999999999894E-2</v>
      </c>
      <c r="AE2726">
        <v>-3.2800000000008801E-2</v>
      </c>
      <c r="AF2726">
        <v>-5.0284089814262899E-3</v>
      </c>
      <c r="AG2726">
        <v>-6.8554999999999894E-2</v>
      </c>
      <c r="AH2726">
        <v>0.73613092288885695</v>
      </c>
      <c r="AI2726">
        <v>95.3204183656933</v>
      </c>
      <c r="AJ2726">
        <v>90.3913734940148</v>
      </c>
      <c r="AK2726">
        <v>0.73933335414756196</v>
      </c>
      <c r="AL2726">
        <v>79.728826117059597</v>
      </c>
      <c r="AM2726">
        <v>91.252318648304595</v>
      </c>
      <c r="AN2726">
        <v>1.00000005908997</v>
      </c>
    </row>
    <row r="2727" spans="1:40" x14ac:dyDescent="0.25">
      <c r="A2727" t="str">
        <f>"20190312172134451"</f>
        <v>20190312172134451</v>
      </c>
      <c r="B2727" t="str">
        <f>"1552382494443744"</f>
        <v>1552382494443744</v>
      </c>
      <c r="C2727" t="s">
        <v>40</v>
      </c>
      <c r="D2727">
        <v>3.166525</v>
      </c>
      <c r="E2727">
        <v>0.50661319999999999</v>
      </c>
      <c r="F2727" t="s">
        <v>46</v>
      </c>
      <c r="G2727">
        <v>-326.03609999999998</v>
      </c>
      <c r="H2727" s="1">
        <v>1.7619809999999999E-6</v>
      </c>
      <c r="I2727">
        <v>282.6343</v>
      </c>
      <c r="J2727">
        <v>-311.25689999999997</v>
      </c>
      <c r="K2727">
        <v>1.1080760000000001</v>
      </c>
      <c r="L2727">
        <v>283.2518</v>
      </c>
      <c r="M2727">
        <v>-0.99930200000000002</v>
      </c>
      <c r="N2727">
        <v>0</v>
      </c>
      <c r="O2727">
        <v>-3.6377689999999997E-2</v>
      </c>
      <c r="P2727">
        <v>-0.98384340000000003</v>
      </c>
      <c r="Q2727">
        <v>0.16944719999999999</v>
      </c>
      <c r="R2727">
        <v>-5.779335E-2</v>
      </c>
      <c r="S2727">
        <v>-3.0813899999999999</v>
      </c>
      <c r="T2727">
        <v>-0.22794449999999999</v>
      </c>
      <c r="U2727">
        <v>-0.12838749999999999</v>
      </c>
      <c r="V2727">
        <v>-2.1326620000000001E-2</v>
      </c>
      <c r="W2727">
        <v>0.17789099999999999</v>
      </c>
      <c r="X2727">
        <v>0.98381909999999895</v>
      </c>
      <c r="Y2727">
        <v>-5.338888E-3</v>
      </c>
      <c r="Z2727">
        <v>2.4882189999999998E-3</v>
      </c>
      <c r="AA2727">
        <v>0.9999827</v>
      </c>
      <c r="AB2727">
        <v>36</v>
      </c>
      <c r="AC2727">
        <v>-14.779199999999999</v>
      </c>
      <c r="AD2727">
        <v>-1.1080742380190001</v>
      </c>
      <c r="AE2727">
        <v>-0.61750000000000604</v>
      </c>
      <c r="AF2727">
        <v>-7.8995413649648294E-2</v>
      </c>
      <c r="AG2727">
        <v>-1.1080742380190001</v>
      </c>
      <c r="AH2727">
        <v>14.7093398171861</v>
      </c>
      <c r="AI2727">
        <v>94.307969007115005</v>
      </c>
      <c r="AJ2727">
        <v>90.307699757219297</v>
      </c>
      <c r="AK2727">
        <v>14.7512286488209</v>
      </c>
      <c r="AL2727">
        <v>79.753059726283496</v>
      </c>
      <c r="AM2727">
        <v>91.241827865928002</v>
      </c>
      <c r="AN2727">
        <v>1.0000000270632099</v>
      </c>
    </row>
    <row r="2728" spans="1:40" x14ac:dyDescent="0.25">
      <c r="A2728" t="str">
        <f>"20190312172134463"</f>
        <v>20190312172134463</v>
      </c>
      <c r="B2728" t="str">
        <f>"1552382494453503"</f>
        <v>1552382494453503</v>
      </c>
      <c r="C2728" t="s">
        <v>40</v>
      </c>
      <c r="D2728">
        <v>3.221587</v>
      </c>
      <c r="E2728">
        <v>0.50654949999999999</v>
      </c>
      <c r="F2728" t="s">
        <v>46</v>
      </c>
      <c r="G2728">
        <v>-326.14449999999999</v>
      </c>
      <c r="H2728" s="1">
        <v>1.819181E-6</v>
      </c>
      <c r="I2728">
        <v>282.64440000000002</v>
      </c>
      <c r="J2728">
        <v>-311.43950000000001</v>
      </c>
      <c r="K2728">
        <v>1.108044</v>
      </c>
      <c r="L2728">
        <v>283.24579999999997</v>
      </c>
      <c r="M2728">
        <v>-0.99933399999999994</v>
      </c>
      <c r="N2728">
        <v>0</v>
      </c>
      <c r="O2728">
        <v>-3.5485250000000003E-2</v>
      </c>
      <c r="P2728">
        <v>-0.98399349999999997</v>
      </c>
      <c r="Q2728">
        <v>0.16895869999999999</v>
      </c>
      <c r="R2728">
        <v>-5.6654490000000002E-2</v>
      </c>
      <c r="S2728">
        <v>-3.0813600000000001</v>
      </c>
      <c r="T2728">
        <v>-0.22934460000000001</v>
      </c>
      <c r="U2728">
        <v>-0.12570190000000001</v>
      </c>
      <c r="V2728">
        <v>-2.1050760000000002E-2</v>
      </c>
      <c r="W2728">
        <v>0.17740909999999999</v>
      </c>
      <c r="X2728">
        <v>0.98391209999999996</v>
      </c>
      <c r="Y2728">
        <v>-5.360811E-3</v>
      </c>
      <c r="Z2728">
        <v>2.4364759999999999E-3</v>
      </c>
      <c r="AA2728">
        <v>0.9999827</v>
      </c>
      <c r="AB2728">
        <v>36</v>
      </c>
      <c r="AC2728">
        <v>-14.704999999999901</v>
      </c>
      <c r="AD2728">
        <v>-1.108042180819</v>
      </c>
      <c r="AE2728">
        <v>-0.60139999999995497</v>
      </c>
      <c r="AF2728">
        <v>-7.8745374884102201E-2</v>
      </c>
      <c r="AG2728">
        <v>-1.108042180819</v>
      </c>
      <c r="AH2728">
        <v>14.6341283503874</v>
      </c>
      <c r="AI2728">
        <v>94.329900598137996</v>
      </c>
      <c r="AJ2728">
        <v>90.308302208666703</v>
      </c>
      <c r="AK2728">
        <v>14.676228087766701</v>
      </c>
      <c r="AL2728">
        <v>79.781117309254697</v>
      </c>
      <c r="AM2728">
        <v>91.225653920296097</v>
      </c>
      <c r="AN2728">
        <v>1.0000000718928901</v>
      </c>
    </row>
    <row r="2729" spans="1:40" x14ac:dyDescent="0.25">
      <c r="A2729" t="str">
        <f>"20190312172134479"</f>
        <v>20190312172134479</v>
      </c>
      <c r="B2729" t="str">
        <f>"1552382494473023"</f>
        <v>1552382494473023</v>
      </c>
      <c r="C2729" t="s">
        <v>40</v>
      </c>
      <c r="D2729">
        <v>3.1992970000000001</v>
      </c>
      <c r="E2729">
        <v>0.51767319999999994</v>
      </c>
      <c r="F2729" t="s">
        <v>41</v>
      </c>
      <c r="G2729">
        <v>-312.43419999999998</v>
      </c>
      <c r="H2729">
        <v>1.0334840000000001</v>
      </c>
      <c r="I2729">
        <v>283.20650000000001</v>
      </c>
      <c r="J2729">
        <v>-311.69909999999999</v>
      </c>
      <c r="K2729">
        <v>1.1080030000000001</v>
      </c>
      <c r="L2729">
        <v>283.23770000000002</v>
      </c>
      <c r="M2729">
        <v>-0.99937869999999995</v>
      </c>
      <c r="N2729">
        <v>0</v>
      </c>
      <c r="O2729">
        <v>-3.4205470000000002E-2</v>
      </c>
      <c r="P2729">
        <v>-0.98418369999999999</v>
      </c>
      <c r="Q2729">
        <v>0.16833770000000001</v>
      </c>
      <c r="R2729">
        <v>-5.5183040000000003E-2</v>
      </c>
      <c r="S2729">
        <v>-3.0814210000000002</v>
      </c>
      <c r="T2729">
        <v>-0.23101479999999999</v>
      </c>
      <c r="U2729">
        <v>-0.1226196</v>
      </c>
      <c r="V2729">
        <v>-2.0821320000000001E-2</v>
      </c>
      <c r="W2729">
        <v>0.1767966</v>
      </c>
      <c r="X2729">
        <v>0.98402710000000004</v>
      </c>
      <c r="Y2729">
        <v>-5.6388019999999896E-3</v>
      </c>
      <c r="Z2729">
        <v>2.348082E-3</v>
      </c>
      <c r="AA2729">
        <v>0.99998129999999996</v>
      </c>
      <c r="AB2729">
        <v>36</v>
      </c>
      <c r="AC2729">
        <v>-0.73509999999998799</v>
      </c>
      <c r="AD2729">
        <v>-7.4519000000000002E-2</v>
      </c>
      <c r="AE2729">
        <v>-3.1200000000012499E-2</v>
      </c>
      <c r="AF2729">
        <v>-5.9751002264355297E-3</v>
      </c>
      <c r="AG2729">
        <v>-7.4519000000000002E-2</v>
      </c>
      <c r="AH2729">
        <v>0.72826654945448499</v>
      </c>
      <c r="AI2729">
        <v>95.842192929545803</v>
      </c>
      <c r="AJ2729">
        <v>90.470075611777901</v>
      </c>
      <c r="AK2729">
        <v>0.73209353926807597</v>
      </c>
      <c r="AL2729">
        <v>79.816773369372598</v>
      </c>
      <c r="AM2729">
        <v>91.212157439543304</v>
      </c>
      <c r="AN2729">
        <v>0.99999994933625402</v>
      </c>
    </row>
    <row r="2730" spans="1:40" x14ac:dyDescent="0.25">
      <c r="A2730" t="str">
        <f>"20190312172134493"</f>
        <v>20190312172134493</v>
      </c>
      <c r="B2730" t="str">
        <f>"1552382494483759"</f>
        <v>1552382494483759</v>
      </c>
      <c r="C2730" t="s">
        <v>40</v>
      </c>
      <c r="D2730">
        <v>3.1912799999999999</v>
      </c>
      <c r="E2730">
        <v>0.51924510000000001</v>
      </c>
      <c r="F2730" t="s">
        <v>41</v>
      </c>
      <c r="G2730">
        <v>-312.43369999999999</v>
      </c>
      <c r="H2730">
        <v>1.0346690000000001</v>
      </c>
      <c r="I2730">
        <v>283.23090000000002</v>
      </c>
      <c r="J2730">
        <v>-311.91210000000001</v>
      </c>
      <c r="K2730">
        <v>1.1079779999999999</v>
      </c>
      <c r="L2730">
        <v>283.23129999999998</v>
      </c>
      <c r="M2730">
        <v>-0.99941429999999998</v>
      </c>
      <c r="N2730">
        <v>0</v>
      </c>
      <c r="O2730">
        <v>-3.3148690000000001E-2</v>
      </c>
      <c r="P2730">
        <v>-0.98423269999999996</v>
      </c>
      <c r="Q2730">
        <v>0.16835530000000001</v>
      </c>
      <c r="R2730">
        <v>-5.4249230000000002E-2</v>
      </c>
      <c r="S2730">
        <v>-3.0995180000000002</v>
      </c>
      <c r="T2730">
        <v>-0.30950090000000002</v>
      </c>
      <c r="U2730">
        <v>-2.9327389999999998E-2</v>
      </c>
      <c r="V2730">
        <v>-2.091788E-2</v>
      </c>
      <c r="W2730">
        <v>0.17682200000000001</v>
      </c>
      <c r="X2730">
        <v>0.98402049999999996</v>
      </c>
      <c r="Y2730">
        <v>2.3410920000000002E-2</v>
      </c>
      <c r="Z2730">
        <v>4.4672180000000002E-3</v>
      </c>
      <c r="AA2730">
        <v>0.99971589999999999</v>
      </c>
      <c r="AB2730">
        <v>36</v>
      </c>
      <c r="AC2730">
        <v>-0.52159999999997797</v>
      </c>
      <c r="AD2730">
        <v>-7.3308999999999999E-2</v>
      </c>
      <c r="AE2730">
        <v>-3.9999999995643499E-4</v>
      </c>
      <c r="AF2730">
        <v>1.6564007506771099E-2</v>
      </c>
      <c r="AG2730">
        <v>-7.3308999999999999E-2</v>
      </c>
      <c r="AH2730">
        <v>0.51122815246098696</v>
      </c>
      <c r="AI2730">
        <v>98.156236316213295</v>
      </c>
      <c r="AJ2730">
        <v>88.144241808666493</v>
      </c>
      <c r="AK2730">
        <v>0.516723136403198</v>
      </c>
      <c r="AL2730">
        <v>79.815294880284696</v>
      </c>
      <c r="AM2730">
        <v>91.217785361851497</v>
      </c>
      <c r="AN2730">
        <v>0.99999996090397103</v>
      </c>
    </row>
    <row r="2731" spans="1:40" x14ac:dyDescent="0.25">
      <c r="A2731" t="str">
        <f>"20190312172134506"</f>
        <v>20190312172134506</v>
      </c>
      <c r="B2731" t="str">
        <f>"1552382494503279"</f>
        <v>1552382494503279</v>
      </c>
      <c r="C2731" t="s">
        <v>40</v>
      </c>
      <c r="D2731">
        <v>3.1907589999999999</v>
      </c>
      <c r="E2731">
        <v>0.5202753</v>
      </c>
      <c r="F2731" t="s">
        <v>41</v>
      </c>
      <c r="G2731">
        <v>-312.74619999999999</v>
      </c>
      <c r="H2731">
        <v>1.016248</v>
      </c>
      <c r="I2731">
        <v>283.22789999999998</v>
      </c>
      <c r="J2731">
        <v>-312.12610000000001</v>
      </c>
      <c r="K2731">
        <v>1.1079559999999999</v>
      </c>
      <c r="L2731">
        <v>283.22500000000002</v>
      </c>
      <c r="M2731">
        <v>-0.99944880000000003</v>
      </c>
      <c r="N2731">
        <v>0</v>
      </c>
      <c r="O2731">
        <v>-3.2085959999999997E-2</v>
      </c>
      <c r="P2731">
        <v>-0.98425019999999996</v>
      </c>
      <c r="Q2731">
        <v>0.16856499999999999</v>
      </c>
      <c r="R2731">
        <v>-5.3271810000000003E-2</v>
      </c>
      <c r="S2731">
        <v>-3.1057429999999999</v>
      </c>
      <c r="T2731">
        <v>-0.34164949999999999</v>
      </c>
      <c r="U2731">
        <v>-1.3549800000000001E-2</v>
      </c>
      <c r="V2731">
        <v>-2.097711E-2</v>
      </c>
      <c r="W2731">
        <v>0.17703829999999901</v>
      </c>
      <c r="X2731">
        <v>0.98398039999999998</v>
      </c>
      <c r="Y2731">
        <v>2.7367699999999998E-2</v>
      </c>
      <c r="Z2731">
        <v>5.019389E-3</v>
      </c>
      <c r="AA2731">
        <v>0.99961279999999997</v>
      </c>
      <c r="AB2731">
        <v>36</v>
      </c>
      <c r="AC2731">
        <v>-0.620099999999979</v>
      </c>
      <c r="AD2731">
        <v>-9.1707999999999901E-2</v>
      </c>
      <c r="AE2731">
        <v>2.8999999999541602E-3</v>
      </c>
      <c r="AF2731">
        <v>2.23078238287596E-2</v>
      </c>
      <c r="AG2731">
        <v>-9.1707999999999901E-2</v>
      </c>
      <c r="AH2731">
        <v>0.60642414798495303</v>
      </c>
      <c r="AI2731">
        <v>98.593809696189993</v>
      </c>
      <c r="AJ2731">
        <v>87.893276348075901</v>
      </c>
      <c r="AK2731">
        <v>0.61372489238033301</v>
      </c>
      <c r="AL2731">
        <v>79.802703687014898</v>
      </c>
      <c r="AM2731">
        <v>91.221282291470402</v>
      </c>
      <c r="AN2731">
        <v>1.0000000131975</v>
      </c>
    </row>
    <row r="2732" spans="1:40" x14ac:dyDescent="0.25">
      <c r="A2732" t="str">
        <f>"20190312172134524"</f>
        <v>20190312172134524</v>
      </c>
      <c r="B2732" t="str">
        <f>"1552382494513039"</f>
        <v>1552382494513039</v>
      </c>
      <c r="C2732" t="s">
        <v>40</v>
      </c>
      <c r="D2732">
        <v>3.195519</v>
      </c>
      <c r="E2732">
        <v>0.52074790000000004</v>
      </c>
      <c r="F2732" t="s">
        <v>41</v>
      </c>
      <c r="G2732">
        <v>-313.05889999999999</v>
      </c>
      <c r="H2732">
        <v>0.99717250000000002</v>
      </c>
      <c r="I2732">
        <v>283.22469999999998</v>
      </c>
      <c r="J2732">
        <v>-312.41579999999999</v>
      </c>
      <c r="K2732">
        <v>1.1079319999999999</v>
      </c>
      <c r="L2732">
        <v>283.21690000000001</v>
      </c>
      <c r="M2732">
        <v>-0.99949390000000005</v>
      </c>
      <c r="N2732">
        <v>0</v>
      </c>
      <c r="O2732">
        <v>-3.064592E-2</v>
      </c>
      <c r="P2732">
        <v>-0.98424429999999996</v>
      </c>
      <c r="Q2732">
        <v>0.16903099999999999</v>
      </c>
      <c r="R2732">
        <v>-5.188048E-2</v>
      </c>
      <c r="S2732">
        <v>-3.1111759999999999</v>
      </c>
      <c r="T2732">
        <v>-0.36955110000000002</v>
      </c>
      <c r="U2732">
        <v>-2.166748E-3</v>
      </c>
      <c r="V2732">
        <v>-2.0993120000000001E-2</v>
      </c>
      <c r="W2732">
        <v>0.17751329999999901</v>
      </c>
      <c r="X2732">
        <v>0.98389450000000001</v>
      </c>
      <c r="Y2732">
        <v>2.9527950000000001E-2</v>
      </c>
      <c r="Z2732">
        <v>5.3746719999999996E-3</v>
      </c>
      <c r="AA2732">
        <v>0.99954949999999998</v>
      </c>
      <c r="AB2732">
        <v>36</v>
      </c>
      <c r="AC2732">
        <v>-0.643100000000004</v>
      </c>
      <c r="AD2732">
        <v>-0.110759499999999</v>
      </c>
      <c r="AE2732">
        <v>7.79999999997471E-3</v>
      </c>
      <c r="AF2732">
        <v>2.6713186161340201E-2</v>
      </c>
      <c r="AG2732">
        <v>-0.110759499999999</v>
      </c>
      <c r="AH2732">
        <v>0.62405080421683901</v>
      </c>
      <c r="AI2732">
        <v>100.055302090905</v>
      </c>
      <c r="AJ2732">
        <v>87.548887049316093</v>
      </c>
      <c r="AK2732">
        <v>0.63436635109282402</v>
      </c>
      <c r="AL2732">
        <v>79.775050418788595</v>
      </c>
      <c r="AM2732">
        <v>91.222320781572094</v>
      </c>
      <c r="AN2732">
        <v>1.00000003494723</v>
      </c>
    </row>
    <row r="2733" spans="1:40" x14ac:dyDescent="0.25">
      <c r="A2733" t="str">
        <f>"20190312172134538"</f>
        <v>20190312172134538</v>
      </c>
      <c r="B2733" t="str">
        <f>"1552382494533535"</f>
        <v>1552382494533535</v>
      </c>
      <c r="C2733" t="s">
        <v>40</v>
      </c>
      <c r="D2733">
        <v>3.2765529999999998</v>
      </c>
      <c r="E2733">
        <v>0.52159889999999998</v>
      </c>
      <c r="F2733" t="s">
        <v>41</v>
      </c>
      <c r="G2733">
        <v>-313.3784</v>
      </c>
      <c r="H2733">
        <v>0.99124559999999995</v>
      </c>
      <c r="I2733">
        <v>283.21870000000001</v>
      </c>
      <c r="J2733">
        <v>-312.64350000000002</v>
      </c>
      <c r="K2733">
        <v>1.107915</v>
      </c>
      <c r="L2733">
        <v>283.21080000000001</v>
      </c>
      <c r="M2733">
        <v>-0.99952810000000003</v>
      </c>
      <c r="N2733">
        <v>0</v>
      </c>
      <c r="O2733">
        <v>-2.9514909999999998E-2</v>
      </c>
      <c r="P2733">
        <v>-0.98422319999999996</v>
      </c>
      <c r="Q2733">
        <v>0.169522799999999</v>
      </c>
      <c r="R2733">
        <v>-5.0664969999999997E-2</v>
      </c>
      <c r="S2733">
        <v>-3.1131289999999998</v>
      </c>
      <c r="T2733">
        <v>-0.3773746</v>
      </c>
      <c r="U2733">
        <v>5.5541990000000001E-3</v>
      </c>
      <c r="V2733">
        <v>-2.0883769999999999E-2</v>
      </c>
      <c r="W2733">
        <v>0.17801110000000001</v>
      </c>
      <c r="X2733">
        <v>0.98380679999999998</v>
      </c>
      <c r="Y2733">
        <v>3.085736E-2</v>
      </c>
      <c r="Z2733">
        <v>5.427968E-3</v>
      </c>
      <c r="AA2733">
        <v>0.99950899999999998</v>
      </c>
      <c r="AB2733">
        <v>36</v>
      </c>
      <c r="AC2733">
        <v>-0.73489999999998101</v>
      </c>
      <c r="AD2733">
        <v>-0.11666939999999899</v>
      </c>
      <c r="AE2733">
        <v>7.9000000000064505E-3</v>
      </c>
      <c r="AF2733">
        <v>2.8860553952899898E-2</v>
      </c>
      <c r="AG2733">
        <v>-0.11666939999999899</v>
      </c>
      <c r="AH2733">
        <v>0.71629570350468297</v>
      </c>
      <c r="AI2733">
        <v>99.2436610443105</v>
      </c>
      <c r="AJ2733">
        <v>87.692721052612896</v>
      </c>
      <c r="AK2733">
        <v>0.72630862264611495</v>
      </c>
      <c r="AL2733">
        <v>79.746066111472203</v>
      </c>
      <c r="AM2733">
        <v>91.216064175322003</v>
      </c>
      <c r="AN2733">
        <v>0.99999995164943001</v>
      </c>
    </row>
    <row r="2734" spans="1:40" x14ac:dyDescent="0.25">
      <c r="A2734" t="str">
        <f>"20190312172134550"</f>
        <v>20190312172134550</v>
      </c>
      <c r="B2734" t="str">
        <f>"1552382494543295"</f>
        <v>1552382494543295</v>
      </c>
      <c r="C2734" t="s">
        <v>40</v>
      </c>
      <c r="D2734">
        <v>3.2008000000000001</v>
      </c>
      <c r="E2734">
        <v>0.52205199999999996</v>
      </c>
      <c r="F2734" t="s">
        <v>41</v>
      </c>
      <c r="G2734">
        <v>-313.38979999999998</v>
      </c>
      <c r="H2734">
        <v>1.0150129999999999</v>
      </c>
      <c r="I2734">
        <v>283.21460000000002</v>
      </c>
      <c r="J2734">
        <v>-312.8356</v>
      </c>
      <c r="K2734">
        <v>1.1079019999999999</v>
      </c>
      <c r="L2734">
        <v>283.20600000000002</v>
      </c>
      <c r="M2734">
        <v>-0.99955559999999999</v>
      </c>
      <c r="N2734">
        <v>0</v>
      </c>
      <c r="O2734">
        <v>-2.8562250000000001E-2</v>
      </c>
      <c r="P2734">
        <v>-0.98416519999999996</v>
      </c>
      <c r="Q2734">
        <v>0.17021979999999901</v>
      </c>
      <c r="R2734">
        <v>-4.9439660000000003E-2</v>
      </c>
      <c r="S2734">
        <v>-3.115723</v>
      </c>
      <c r="T2734">
        <v>-0.38789119999999999</v>
      </c>
      <c r="U2734">
        <v>1.5686039999999998E-2</v>
      </c>
      <c r="V2734">
        <v>-2.0590259999999999E-2</v>
      </c>
      <c r="W2734">
        <v>0.17871210000000001</v>
      </c>
      <c r="X2734">
        <v>0.9836859</v>
      </c>
      <c r="Y2734">
        <v>3.3119160000000002E-2</v>
      </c>
      <c r="Z2734">
        <v>5.5956280000000001E-3</v>
      </c>
      <c r="AA2734">
        <v>0.99943570000000004</v>
      </c>
      <c r="AB2734">
        <v>36</v>
      </c>
      <c r="AC2734">
        <v>-0.55419999999998004</v>
      </c>
      <c r="AD2734">
        <v>-9.2888999999999999E-2</v>
      </c>
      <c r="AE2734">
        <v>8.6000000000581098E-3</v>
      </c>
      <c r="AF2734">
        <v>2.3758970161949701E-2</v>
      </c>
      <c r="AG2734">
        <v>-9.2888999999999999E-2</v>
      </c>
      <c r="AH2734">
        <v>0.53860104793444696</v>
      </c>
      <c r="AI2734">
        <v>99.775847431330703</v>
      </c>
      <c r="AJ2734">
        <v>87.474184700025702</v>
      </c>
      <c r="AK2734">
        <v>0.54706850011697905</v>
      </c>
      <c r="AL2734">
        <v>79.705247341168601</v>
      </c>
      <c r="AM2734">
        <v>91.199125398503298</v>
      </c>
      <c r="AN2734">
        <v>0.99999996167604299</v>
      </c>
    </row>
    <row r="2735" spans="1:40" x14ac:dyDescent="0.25">
      <c r="A2735" t="str">
        <f>"20190312172134561"</f>
        <v>20190312172134561</v>
      </c>
      <c r="B2735" t="str">
        <f>"1552382494554031"</f>
        <v>1552382494554031</v>
      </c>
      <c r="C2735" t="s">
        <v>40</v>
      </c>
      <c r="D2735">
        <v>3.217536</v>
      </c>
      <c r="E2735">
        <v>0.52228359999999996</v>
      </c>
      <c r="F2735" t="s">
        <v>41</v>
      </c>
      <c r="G2735">
        <v>-313.70490000000001</v>
      </c>
      <c r="H2735">
        <v>0.99877859999999996</v>
      </c>
      <c r="I2735">
        <v>283.21260000000001</v>
      </c>
      <c r="J2735">
        <v>-313.02260000000001</v>
      </c>
      <c r="K2735">
        <v>1.1078889999999999</v>
      </c>
      <c r="L2735">
        <v>283.2013</v>
      </c>
      <c r="M2735">
        <v>-0.99958159999999896</v>
      </c>
      <c r="N2735">
        <v>0</v>
      </c>
      <c r="O2735">
        <v>-2.7634990000000002E-2</v>
      </c>
      <c r="P2735">
        <v>-0.98418240000000001</v>
      </c>
      <c r="Q2735">
        <v>0.17057429999999901</v>
      </c>
      <c r="R2735">
        <v>-4.7850160000000003E-2</v>
      </c>
      <c r="S2735">
        <v>-3.1170650000000002</v>
      </c>
      <c r="T2735">
        <v>-0.39131120000000003</v>
      </c>
      <c r="U2735">
        <v>2.285767E-2</v>
      </c>
      <c r="V2735">
        <v>-1.9907399999999999E-2</v>
      </c>
      <c r="W2735">
        <v>0.1790687</v>
      </c>
      <c r="X2735">
        <v>0.98363509999999998</v>
      </c>
      <c r="Y2735">
        <v>3.4477840000000003E-2</v>
      </c>
      <c r="Z2735">
        <v>5.6111829999999996E-3</v>
      </c>
      <c r="AA2735">
        <v>0.99938970000000005</v>
      </c>
      <c r="AB2735">
        <v>36</v>
      </c>
      <c r="AC2735">
        <v>-0.68229999999999702</v>
      </c>
      <c r="AD2735">
        <v>-0.109110399999999</v>
      </c>
      <c r="AE2735">
        <v>1.1300000000005601E-2</v>
      </c>
      <c r="AF2735">
        <v>2.9400083345639101E-2</v>
      </c>
      <c r="AG2735">
        <v>-0.109110399999999</v>
      </c>
      <c r="AH2735">
        <v>0.66473257096055505</v>
      </c>
      <c r="AI2735">
        <v>99.312566177563099</v>
      </c>
      <c r="AJ2735">
        <v>87.467547593411496</v>
      </c>
      <c r="AK2735">
        <v>0.67426911184238603</v>
      </c>
      <c r="AL2735">
        <v>79.684480628825597</v>
      </c>
      <c r="AM2735">
        <v>91.159428234778801</v>
      </c>
      <c r="AN2735">
        <v>0.99999995692322896</v>
      </c>
    </row>
    <row r="2736" spans="1:40" x14ac:dyDescent="0.25">
      <c r="A2736" t="str">
        <f>"20190312172134572"</f>
        <v>20190312172134572</v>
      </c>
      <c r="B2736" t="str">
        <f>"1552382494563792"</f>
        <v>1552382494563792</v>
      </c>
      <c r="C2736" t="s">
        <v>40</v>
      </c>
      <c r="D2736">
        <v>3.181648</v>
      </c>
      <c r="E2736">
        <v>0.52257390000000004</v>
      </c>
      <c r="F2736" t="s">
        <v>41</v>
      </c>
      <c r="G2736">
        <v>-314.02010000000001</v>
      </c>
      <c r="H2736">
        <v>0.98163860000000003</v>
      </c>
      <c r="I2736">
        <v>283.21100000000001</v>
      </c>
      <c r="J2736">
        <v>-313.20800000000003</v>
      </c>
      <c r="K2736">
        <v>1.1078760000000001</v>
      </c>
      <c r="L2736">
        <v>283.197</v>
      </c>
      <c r="M2736">
        <v>-0.99960649999999995</v>
      </c>
      <c r="N2736">
        <v>0</v>
      </c>
      <c r="O2736">
        <v>-2.671728E-2</v>
      </c>
      <c r="P2736">
        <v>-0.98424149999999999</v>
      </c>
      <c r="Q2736">
        <v>0.17068920000000001</v>
      </c>
      <c r="R2736">
        <v>-4.6195050000000001E-2</v>
      </c>
      <c r="S2736">
        <v>-3.118042</v>
      </c>
      <c r="T2736">
        <v>-0.39473190000000002</v>
      </c>
      <c r="U2736">
        <v>2.9266360000000002E-2</v>
      </c>
      <c r="V2736">
        <v>-1.915043E-2</v>
      </c>
      <c r="W2736">
        <v>0.1791864</v>
      </c>
      <c r="X2736">
        <v>0.98362870000000002</v>
      </c>
      <c r="Y2736">
        <v>3.5602090000000003E-2</v>
      </c>
      <c r="Z2736">
        <v>5.6132469999999896E-3</v>
      </c>
      <c r="AA2736">
        <v>0.99935030000000002</v>
      </c>
      <c r="AB2736">
        <v>36</v>
      </c>
      <c r="AC2736">
        <v>-0.81210000000004301</v>
      </c>
      <c r="AD2736">
        <v>-0.1262374</v>
      </c>
      <c r="AE2736">
        <v>1.4000000000009999E-2</v>
      </c>
      <c r="AF2736">
        <v>3.4851030192692999E-2</v>
      </c>
      <c r="AG2736">
        <v>-0.1262374</v>
      </c>
      <c r="AH2736">
        <v>0.79229716558055596</v>
      </c>
      <c r="AI2736">
        <v>99.044291056237199</v>
      </c>
      <c r="AJ2736">
        <v>87.481335726722307</v>
      </c>
      <c r="AK2736">
        <v>0.80304749177818502</v>
      </c>
      <c r="AL2736">
        <v>79.677626103270896</v>
      </c>
      <c r="AM2736">
        <v>91.115360105739299</v>
      </c>
      <c r="AN2736">
        <v>0.99999996218891596</v>
      </c>
    </row>
    <row r="2737" spans="1:40" x14ac:dyDescent="0.25">
      <c r="A2737" t="str">
        <f>"20190312172134585"</f>
        <v>20190312172134585</v>
      </c>
      <c r="B2737" t="str">
        <f>"1552382494573551"</f>
        <v>1552382494573551</v>
      </c>
      <c r="C2737" t="s">
        <v>40</v>
      </c>
      <c r="D2737">
        <v>3.2015060000000002</v>
      </c>
      <c r="E2737">
        <v>0.5227271</v>
      </c>
      <c r="F2737" t="s">
        <v>41</v>
      </c>
      <c r="G2737">
        <v>-314.03039999999999</v>
      </c>
      <c r="H2737">
        <v>1.0028980000000001</v>
      </c>
      <c r="I2737">
        <v>283.20690000000002</v>
      </c>
      <c r="J2737">
        <v>-313.40519999999998</v>
      </c>
      <c r="K2737">
        <v>1.1078629999999901</v>
      </c>
      <c r="L2737">
        <v>283.1925</v>
      </c>
      <c r="M2737">
        <v>-0.99963199999999997</v>
      </c>
      <c r="N2737">
        <v>0</v>
      </c>
      <c r="O2737">
        <v>-2.5741750000000001E-2</v>
      </c>
      <c r="P2737">
        <v>-0.98439279999999996</v>
      </c>
      <c r="Q2737">
        <v>0.17027249999999999</v>
      </c>
      <c r="R2737">
        <v>-4.4477410000000002E-2</v>
      </c>
      <c r="S2737">
        <v>-3.118805</v>
      </c>
      <c r="T2737">
        <v>-0.39820929999999999</v>
      </c>
      <c r="U2737">
        <v>3.649902E-2</v>
      </c>
      <c r="V2737">
        <v>-1.838731E-2</v>
      </c>
      <c r="W2737">
        <v>0.17877309999999999</v>
      </c>
      <c r="X2737">
        <v>0.98371850000000005</v>
      </c>
      <c r="Y2737">
        <v>3.6930419999999999E-2</v>
      </c>
      <c r="Z2737">
        <v>5.6213110000000004E-3</v>
      </c>
      <c r="AA2737">
        <v>0.99930200000000002</v>
      </c>
      <c r="AB2737">
        <v>36</v>
      </c>
      <c r="AC2737">
        <v>-0.62520000000000597</v>
      </c>
      <c r="AD2737">
        <v>-0.104964999999999</v>
      </c>
      <c r="AE2737">
        <v>1.44000000000232E-2</v>
      </c>
      <c r="AF2737">
        <v>2.9654136997455501E-2</v>
      </c>
      <c r="AG2737">
        <v>-0.104964999999999</v>
      </c>
      <c r="AH2737">
        <v>0.60750729863131403</v>
      </c>
      <c r="AI2737">
        <v>99.791340118748494</v>
      </c>
      <c r="AJ2737">
        <v>87.2054502345689</v>
      </c>
      <c r="AK2737">
        <v>0.61722130306429002</v>
      </c>
      <c r="AL2737">
        <v>79.701695500406601</v>
      </c>
      <c r="AM2737">
        <v>91.070827268027401</v>
      </c>
      <c r="AN2737">
        <v>1.0000000008474399</v>
      </c>
    </row>
    <row r="2738" spans="1:40" x14ac:dyDescent="0.25">
      <c r="A2738" t="str">
        <f>"20190312172134602"</f>
        <v>20190312172134602</v>
      </c>
      <c r="B2738" t="str">
        <f>"1552382494593071"</f>
        <v>1552382494593071</v>
      </c>
      <c r="C2738" t="s">
        <v>40</v>
      </c>
      <c r="D2738">
        <v>3.2080660000000001</v>
      </c>
      <c r="E2738">
        <v>0.52298480000000003</v>
      </c>
      <c r="F2738" t="s">
        <v>41</v>
      </c>
      <c r="G2738">
        <v>-314.34629999999999</v>
      </c>
      <c r="H2738">
        <v>0.98614679999999999</v>
      </c>
      <c r="I2738">
        <v>283.20580000000001</v>
      </c>
      <c r="J2738">
        <v>-313.68349999999998</v>
      </c>
      <c r="K2738">
        <v>1.107842</v>
      </c>
      <c r="L2738">
        <v>283.18639999999999</v>
      </c>
      <c r="M2738">
        <v>-0.99966639999999996</v>
      </c>
      <c r="N2738">
        <v>0</v>
      </c>
      <c r="O2738">
        <v>-2.4367710000000001E-2</v>
      </c>
      <c r="P2738">
        <v>-0.98479890000000003</v>
      </c>
      <c r="Q2738">
        <v>0.16855039999999999</v>
      </c>
      <c r="R2738">
        <v>-4.1975459999999999E-2</v>
      </c>
      <c r="S2738">
        <v>-3.1193240000000002</v>
      </c>
      <c r="T2738">
        <v>-0.40348820000000002</v>
      </c>
      <c r="U2738">
        <v>4.3212889999999997E-2</v>
      </c>
      <c r="V2738">
        <v>-1.7231299999999901E-2</v>
      </c>
      <c r="W2738">
        <v>0.1770571</v>
      </c>
      <c r="X2738">
        <v>0.98404970000000003</v>
      </c>
      <c r="Y2738">
        <v>3.7697109999999999E-2</v>
      </c>
      <c r="Z2738">
        <v>5.566634E-3</v>
      </c>
      <c r="AA2738">
        <v>0.99927370000000004</v>
      </c>
      <c r="AB2738">
        <v>36</v>
      </c>
      <c r="AC2738">
        <v>-0.66280000000000405</v>
      </c>
      <c r="AD2738">
        <v>-0.121695199999999</v>
      </c>
      <c r="AE2738">
        <v>1.9400000000018701E-2</v>
      </c>
      <c r="AF2738">
        <v>3.4387477838849302E-2</v>
      </c>
      <c r="AG2738">
        <v>-0.121695199999999</v>
      </c>
      <c r="AH2738">
        <v>0.64055466092758295</v>
      </c>
      <c r="AI2738">
        <v>100.741980583505</v>
      </c>
      <c r="AJ2738">
        <v>86.927088351927196</v>
      </c>
      <c r="AK2738">
        <v>0.652918443583277</v>
      </c>
      <c r="AL2738">
        <v>79.801608824425898</v>
      </c>
      <c r="AM2738">
        <v>91.003180913575306</v>
      </c>
      <c r="AN2738">
        <v>0.99999997321509404</v>
      </c>
    </row>
    <row r="2739" spans="1:40" x14ac:dyDescent="0.25">
      <c r="A2739" t="str">
        <f>"20190312172134615"</f>
        <v>20190312172134615</v>
      </c>
      <c r="B2739" t="str">
        <f>"1552382494603807"</f>
        <v>1552382494603807</v>
      </c>
      <c r="C2739" t="s">
        <v>40</v>
      </c>
      <c r="D2739">
        <v>3.1802049999999999</v>
      </c>
      <c r="E2739">
        <v>0.52314519999999998</v>
      </c>
      <c r="F2739" t="s">
        <v>41</v>
      </c>
      <c r="G2739">
        <v>-314.66669999999999</v>
      </c>
      <c r="H2739">
        <v>0.97747660000000003</v>
      </c>
      <c r="I2739">
        <v>283.20350000000002</v>
      </c>
      <c r="J2739">
        <v>-313.89429999999999</v>
      </c>
      <c r="K2739">
        <v>1.107829</v>
      </c>
      <c r="L2739">
        <v>283.18220000000002</v>
      </c>
      <c r="M2739">
        <v>-0.99969110000000005</v>
      </c>
      <c r="N2739">
        <v>0</v>
      </c>
      <c r="O2739">
        <v>-2.3328660000000001E-2</v>
      </c>
      <c r="P2739">
        <v>-0.98491260000000003</v>
      </c>
      <c r="Q2739">
        <v>0.16819709999999999</v>
      </c>
      <c r="R2739">
        <v>-4.0705699999999997E-2</v>
      </c>
      <c r="S2739">
        <v>-3.119354</v>
      </c>
      <c r="T2739">
        <v>-0.41356609999999999</v>
      </c>
      <c r="U2739">
        <v>5.3985600000000002E-2</v>
      </c>
      <c r="V2739">
        <v>-1.6981340000000001E-2</v>
      </c>
      <c r="W2739">
        <v>0.1767098</v>
      </c>
      <c r="X2739">
        <v>0.98411649999999995</v>
      </c>
      <c r="Y2739">
        <v>4.0070729999999999E-2</v>
      </c>
      <c r="Z2739">
        <v>5.7238209999999996E-3</v>
      </c>
      <c r="AA2739">
        <v>0.99918039999999997</v>
      </c>
      <c r="AB2739">
        <v>36</v>
      </c>
      <c r="AC2739">
        <v>-0.77240000000000397</v>
      </c>
      <c r="AD2739">
        <v>-0.13035240000000001</v>
      </c>
      <c r="AE2739">
        <v>2.1299999999996499E-2</v>
      </c>
      <c r="AF2739">
        <v>3.8226037575188603E-2</v>
      </c>
      <c r="AG2739">
        <v>-0.13035240000000001</v>
      </c>
      <c r="AH2739">
        <v>0.75033878073592097</v>
      </c>
      <c r="AI2739">
        <v>99.842819047101599</v>
      </c>
      <c r="AJ2739">
        <v>87.083585685136796</v>
      </c>
      <c r="AK2739">
        <v>0.76253607390780398</v>
      </c>
      <c r="AL2739">
        <v>79.821826745411897</v>
      </c>
      <c r="AM2739">
        <v>90.988564426801702</v>
      </c>
      <c r="AN2739">
        <v>1.0000000024482401</v>
      </c>
    </row>
    <row r="2740" spans="1:40" x14ac:dyDescent="0.25">
      <c r="A2740" t="str">
        <f>"20190312172134627"</f>
        <v>20190312172134627</v>
      </c>
      <c r="B2740" t="str">
        <f>"1552382494623327"</f>
        <v>1552382494623327</v>
      </c>
      <c r="C2740" t="s">
        <v>40</v>
      </c>
      <c r="D2740">
        <v>3.1770320000000001</v>
      </c>
      <c r="E2740">
        <v>0.52335690000000001</v>
      </c>
      <c r="F2740" t="s">
        <v>41</v>
      </c>
      <c r="G2740">
        <v>-314.67899999999997</v>
      </c>
      <c r="H2740">
        <v>1.0030049999999999</v>
      </c>
      <c r="I2740">
        <v>283.19720000000001</v>
      </c>
      <c r="J2740">
        <v>-314.08229999999998</v>
      </c>
      <c r="K2740">
        <v>1.1078209999999999</v>
      </c>
      <c r="L2740">
        <v>283.17860000000002</v>
      </c>
      <c r="M2740">
        <v>-0.99971239999999995</v>
      </c>
      <c r="N2740">
        <v>0</v>
      </c>
      <c r="O2740">
        <v>-2.2402269999999998E-2</v>
      </c>
      <c r="P2740">
        <v>-0.98509469999999999</v>
      </c>
      <c r="Q2740">
        <v>0.1674071</v>
      </c>
      <c r="R2740">
        <v>-3.9541140000000002E-2</v>
      </c>
      <c r="S2740">
        <v>-3.1195369999999998</v>
      </c>
      <c r="T2740">
        <v>-0.41665590000000002</v>
      </c>
      <c r="U2740">
        <v>5.9661869999999999E-2</v>
      </c>
      <c r="V2740">
        <v>-1.6726100000000001E-2</v>
      </c>
      <c r="W2740">
        <v>0.17592550000000001</v>
      </c>
      <c r="X2740">
        <v>0.98426139999999995</v>
      </c>
      <c r="Y2740">
        <v>4.095348E-2</v>
      </c>
      <c r="Z2740">
        <v>5.7013150000000002E-3</v>
      </c>
      <c r="AA2740">
        <v>0.99914480000000006</v>
      </c>
      <c r="AB2740">
        <v>36</v>
      </c>
      <c r="AC2740">
        <v>-0.59670000000005496</v>
      </c>
      <c r="AD2740">
        <v>-0.10481600000000001</v>
      </c>
      <c r="AE2740">
        <v>1.8599999999992099E-2</v>
      </c>
      <c r="AF2740">
        <v>3.10074123248196E-2</v>
      </c>
      <c r="AG2740">
        <v>-0.10481600000000001</v>
      </c>
      <c r="AH2740">
        <v>0.57830649658918898</v>
      </c>
      <c r="AI2740">
        <v>100.258711795972</v>
      </c>
      <c r="AJ2740">
        <v>86.930876063591498</v>
      </c>
      <c r="AK2740">
        <v>0.58854588391419704</v>
      </c>
      <c r="AL2740">
        <v>79.867479264558</v>
      </c>
      <c r="AM2740">
        <v>90.973565258258304</v>
      </c>
      <c r="AN2740">
        <v>1.0000000237507001</v>
      </c>
    </row>
    <row r="2741" spans="1:40" x14ac:dyDescent="0.25">
      <c r="A2741" t="str">
        <f>"20190312172134638"</f>
        <v>20190312172134638</v>
      </c>
      <c r="B2741" t="str">
        <f>"1552382494633087"</f>
        <v>1552382494633087</v>
      </c>
      <c r="C2741" t="s">
        <v>40</v>
      </c>
      <c r="D2741">
        <v>3.1929959999999999</v>
      </c>
      <c r="E2741">
        <v>0.52346130000000002</v>
      </c>
      <c r="F2741" t="s">
        <v>41</v>
      </c>
      <c r="G2741">
        <v>-314.995</v>
      </c>
      <c r="H2741">
        <v>0.9840219</v>
      </c>
      <c r="I2741">
        <v>283.19779999999997</v>
      </c>
      <c r="J2741">
        <v>-314.28070000000002</v>
      </c>
      <c r="K2741">
        <v>1.10781</v>
      </c>
      <c r="L2741">
        <v>283.1748</v>
      </c>
      <c r="M2741">
        <v>-0.99973369999999995</v>
      </c>
      <c r="N2741">
        <v>0</v>
      </c>
      <c r="O2741">
        <v>-2.142558E-2</v>
      </c>
      <c r="P2741">
        <v>-0.98525879999999999</v>
      </c>
      <c r="Q2741">
        <v>0.16665779999999999</v>
      </c>
      <c r="R2741">
        <v>-3.8607080000000002E-2</v>
      </c>
      <c r="S2741">
        <v>-3.1199650000000001</v>
      </c>
      <c r="T2741">
        <v>-0.42327759999999998</v>
      </c>
      <c r="U2741">
        <v>6.5032960000000001E-2</v>
      </c>
      <c r="V2741">
        <v>-1.675229E-2</v>
      </c>
      <c r="W2741">
        <v>0.1751828</v>
      </c>
      <c r="X2741">
        <v>0.98439339999999997</v>
      </c>
      <c r="Y2741">
        <v>4.1678649999999998E-2</v>
      </c>
      <c r="Z2741">
        <v>5.7073169999999999E-3</v>
      </c>
      <c r="AA2741">
        <v>0.99911479999999997</v>
      </c>
      <c r="AB2741">
        <v>36</v>
      </c>
      <c r="AC2741">
        <v>-0.71429999999997995</v>
      </c>
      <c r="AD2741">
        <v>-0.123788099999999</v>
      </c>
      <c r="AE2741">
        <v>2.2999999999967699E-2</v>
      </c>
      <c r="AF2741">
        <v>3.7183989516913298E-2</v>
      </c>
      <c r="AG2741">
        <v>-0.123788099999999</v>
      </c>
      <c r="AH2741">
        <v>0.69285631558979899</v>
      </c>
      <c r="AI2741">
        <v>100.115525357577</v>
      </c>
      <c r="AJ2741">
        <v>86.928015633010702</v>
      </c>
      <c r="AK2741">
        <v>0.70480920597752905</v>
      </c>
      <c r="AL2741">
        <v>79.910703984600005</v>
      </c>
      <c r="AM2741">
        <v>90.974958661349206</v>
      </c>
      <c r="AN2741">
        <v>1.00000000929982</v>
      </c>
    </row>
    <row r="2742" spans="1:40" x14ac:dyDescent="0.25">
      <c r="A2742" t="str">
        <f>"20190312172134650"</f>
        <v>20190312172134650</v>
      </c>
      <c r="B2742" t="str">
        <f>"1552382494643823"</f>
        <v>1552382494643823</v>
      </c>
      <c r="C2742" t="s">
        <v>40</v>
      </c>
      <c r="D2742">
        <v>3.2209629999999998</v>
      </c>
      <c r="E2742">
        <v>0.52353229999999995</v>
      </c>
      <c r="F2742" t="s">
        <v>41</v>
      </c>
      <c r="G2742">
        <v>-315.00670000000002</v>
      </c>
      <c r="H2742">
        <v>1.0083839999999999</v>
      </c>
      <c r="I2742">
        <v>283.19099999999997</v>
      </c>
      <c r="J2742">
        <v>-314.45949999999999</v>
      </c>
      <c r="K2742">
        <v>1.1078030000000001</v>
      </c>
      <c r="L2742">
        <v>283.17180000000002</v>
      </c>
      <c r="M2742">
        <v>-0.99975210000000003</v>
      </c>
      <c r="N2742">
        <v>0</v>
      </c>
      <c r="O2742">
        <v>-2.0545330000000001E-2</v>
      </c>
      <c r="P2742">
        <v>-0.9854176</v>
      </c>
      <c r="Q2742">
        <v>0.1658712</v>
      </c>
      <c r="R2742">
        <v>-3.7935780000000002E-2</v>
      </c>
      <c r="S2742">
        <v>-3.1198730000000001</v>
      </c>
      <c r="T2742">
        <v>-0.42730099999999999</v>
      </c>
      <c r="U2742">
        <v>6.8542480000000003E-2</v>
      </c>
      <c r="V2742">
        <v>-1.6946180000000002E-2</v>
      </c>
      <c r="W2742">
        <v>0.17440349999999999</v>
      </c>
      <c r="X2742">
        <v>0.98452839999999997</v>
      </c>
      <c r="Y2742">
        <v>4.1917940000000001E-2</v>
      </c>
      <c r="Z2742">
        <v>5.6575000000000002E-3</v>
      </c>
      <c r="AA2742">
        <v>0.99910500000000002</v>
      </c>
      <c r="AB2742">
        <v>36</v>
      </c>
      <c r="AC2742">
        <v>-0.54720000000003199</v>
      </c>
      <c r="AD2742">
        <v>-9.9419000000000105E-2</v>
      </c>
      <c r="AE2742">
        <v>1.9199999999955201E-2</v>
      </c>
      <c r="AF2742">
        <v>2.9467245386320999E-2</v>
      </c>
      <c r="AG2742">
        <v>-9.9419000000000105E-2</v>
      </c>
      <c r="AH2742">
        <v>0.529241191902458</v>
      </c>
      <c r="AI2742">
        <v>100.623057428422</v>
      </c>
      <c r="AJ2742">
        <v>86.813159310699504</v>
      </c>
      <c r="AK2742">
        <v>0.53930389885294905</v>
      </c>
      <c r="AL2742">
        <v>79.956052243398005</v>
      </c>
      <c r="AM2742">
        <v>90.986105350317004</v>
      </c>
      <c r="AN2742">
        <v>0.99999996211770004</v>
      </c>
    </row>
    <row r="2743" spans="1:40" x14ac:dyDescent="0.25">
      <c r="A2743" t="str">
        <f>"20190312172134661"</f>
        <v>20190312172134661</v>
      </c>
      <c r="B2743" t="str">
        <f>"1552382494653583"</f>
        <v>1552382494653583</v>
      </c>
      <c r="C2743" t="s">
        <v>40</v>
      </c>
      <c r="D2743">
        <v>3.1679909999999998</v>
      </c>
      <c r="E2743">
        <v>0.52360770000000001</v>
      </c>
      <c r="F2743" t="s">
        <v>41</v>
      </c>
      <c r="G2743">
        <v>-315.3227</v>
      </c>
      <c r="H2743">
        <v>0.98844520000000002</v>
      </c>
      <c r="I2743">
        <v>283.19139999999999</v>
      </c>
      <c r="J2743">
        <v>-314.64319999999998</v>
      </c>
      <c r="K2743">
        <v>1.107793</v>
      </c>
      <c r="L2743">
        <v>283.16860000000003</v>
      </c>
      <c r="M2743">
        <v>-0.99977020000000005</v>
      </c>
      <c r="N2743">
        <v>0</v>
      </c>
      <c r="O2743">
        <v>-1.9641720000000001E-2</v>
      </c>
      <c r="P2743">
        <v>-0.98558369999999995</v>
      </c>
      <c r="Q2743">
        <v>0.16503300000000001</v>
      </c>
      <c r="R2743">
        <v>-3.7274370000000001E-2</v>
      </c>
      <c r="S2743">
        <v>-3.1197810000000001</v>
      </c>
      <c r="T2743">
        <v>-0.43151719999999999</v>
      </c>
      <c r="U2743">
        <v>7.0617680000000002E-2</v>
      </c>
      <c r="V2743">
        <v>-1.717455E-2</v>
      </c>
      <c r="W2743">
        <v>0.173572799999999</v>
      </c>
      <c r="X2743">
        <v>0.98467130000000003</v>
      </c>
      <c r="Y2743">
        <v>4.1679149999999998E-2</v>
      </c>
      <c r="Z2743">
        <v>5.572118E-3</v>
      </c>
      <c r="AA2743">
        <v>0.99911550000000005</v>
      </c>
      <c r="AB2743">
        <v>36</v>
      </c>
      <c r="AC2743">
        <v>-0.67950000000001798</v>
      </c>
      <c r="AD2743">
        <v>-0.1193478</v>
      </c>
      <c r="AE2743">
        <v>2.2799999999961001E-2</v>
      </c>
      <c r="AF2743">
        <v>3.5062202662009503E-2</v>
      </c>
      <c r="AG2743">
        <v>-0.1193478</v>
      </c>
      <c r="AH2743">
        <v>0.65862555313174798</v>
      </c>
      <c r="AI2743">
        <v>100.25675078945299</v>
      </c>
      <c r="AJ2743">
        <v>86.952712081118094</v>
      </c>
      <c r="AK2743">
        <v>0.67026925534329396</v>
      </c>
      <c r="AL2743">
        <v>80.004385675457101</v>
      </c>
      <c r="AM2743">
        <v>90.999246612578304</v>
      </c>
      <c r="AN2743">
        <v>1.0000000255556101</v>
      </c>
    </row>
    <row r="2744" spans="1:40" x14ac:dyDescent="0.25">
      <c r="A2744" t="str">
        <f>"20190312172134673"</f>
        <v>20190312172134673</v>
      </c>
      <c r="B2744" t="str">
        <f>"1552382494663344"</f>
        <v>1552382494663344</v>
      </c>
      <c r="C2744" t="s">
        <v>40</v>
      </c>
      <c r="D2744">
        <v>3.1881330000000001</v>
      </c>
      <c r="E2744">
        <v>0.52361689999999905</v>
      </c>
      <c r="F2744" t="s">
        <v>41</v>
      </c>
      <c r="G2744">
        <v>-315.63940000000002</v>
      </c>
      <c r="H2744">
        <v>0.96883640000000004</v>
      </c>
      <c r="I2744">
        <v>283.19240000000002</v>
      </c>
      <c r="J2744">
        <v>-314.8331</v>
      </c>
      <c r="K2744">
        <v>1.1077870000000001</v>
      </c>
      <c r="L2744">
        <v>283.16570000000002</v>
      </c>
      <c r="M2744">
        <v>-0.99978809999999996</v>
      </c>
      <c r="N2744">
        <v>0</v>
      </c>
      <c r="O2744">
        <v>-1.870819E-2</v>
      </c>
      <c r="P2744">
        <v>-0.98569580000000001</v>
      </c>
      <c r="Q2744">
        <v>0.16447909999999999</v>
      </c>
      <c r="R2744">
        <v>-3.6752350000000003E-2</v>
      </c>
      <c r="S2744">
        <v>-3.1195369999999998</v>
      </c>
      <c r="T2744">
        <v>-0.4352046</v>
      </c>
      <c r="U2744">
        <v>7.3242189999999999E-2</v>
      </c>
      <c r="V2744">
        <v>-1.7571610000000001E-2</v>
      </c>
      <c r="W2744">
        <v>0.17302670000000001</v>
      </c>
      <c r="X2744">
        <v>0.98476039999999998</v>
      </c>
      <c r="Y2744">
        <v>4.1588020000000003E-2</v>
      </c>
      <c r="Z2744">
        <v>5.4837489999999996E-3</v>
      </c>
      <c r="AA2744">
        <v>0.9991198</v>
      </c>
      <c r="AB2744">
        <v>36</v>
      </c>
      <c r="AC2744">
        <v>-0.806300000000021</v>
      </c>
      <c r="AD2744">
        <v>-0.13895060000000001</v>
      </c>
      <c r="AE2744">
        <v>2.6700000000005199E-2</v>
      </c>
      <c r="AF2744">
        <v>4.0576572699353698E-2</v>
      </c>
      <c r="AG2744">
        <v>-0.13895060000000001</v>
      </c>
      <c r="AH2744">
        <v>0.78244765383765003</v>
      </c>
      <c r="AI2744">
        <v>100.05662744102101</v>
      </c>
      <c r="AJ2744">
        <v>87.031385274348594</v>
      </c>
      <c r="AK2744">
        <v>0.79572486356053296</v>
      </c>
      <c r="AL2744">
        <v>80.036155580339198</v>
      </c>
      <c r="AM2744">
        <v>91.022250958271002</v>
      </c>
      <c r="AN2744">
        <v>1.0000000228995201</v>
      </c>
    </row>
    <row r="2745" spans="1:40" x14ac:dyDescent="0.25">
      <c r="A2745" t="str">
        <f>"20190312172134684"</f>
        <v>20190312172134684</v>
      </c>
      <c r="B2745" t="str">
        <f>"1552382494673103"</f>
        <v>1552382494673103</v>
      </c>
      <c r="C2745" t="s">
        <v>40</v>
      </c>
      <c r="D2745">
        <v>3.197397</v>
      </c>
      <c r="E2745">
        <v>0.52368459999999994</v>
      </c>
      <c r="F2745" t="s">
        <v>41</v>
      </c>
      <c r="G2745">
        <v>-315.65109999999999</v>
      </c>
      <c r="H2745">
        <v>0.99302769999999996</v>
      </c>
      <c r="I2745">
        <v>283.1857</v>
      </c>
      <c r="J2745">
        <v>-315.02140000000003</v>
      </c>
      <c r="K2745">
        <v>1.1077790000000001</v>
      </c>
      <c r="L2745">
        <v>283.16289999999998</v>
      </c>
      <c r="M2745">
        <v>-0.99980500000000005</v>
      </c>
      <c r="N2745">
        <v>0</v>
      </c>
      <c r="O2745">
        <v>-1.7783480000000001E-2</v>
      </c>
      <c r="P2745">
        <v>-0.9857726</v>
      </c>
      <c r="Q2745">
        <v>0.16412539999999901</v>
      </c>
      <c r="R2745">
        <v>-3.6272980000000003E-2</v>
      </c>
      <c r="S2745">
        <v>-3.1193849999999999</v>
      </c>
      <c r="T2745">
        <v>-0.43777250000000001</v>
      </c>
      <c r="U2745">
        <v>7.5012209999999996E-2</v>
      </c>
      <c r="V2745">
        <v>-1.8002839999999999E-2</v>
      </c>
      <c r="W2745">
        <v>0.17268049999999999</v>
      </c>
      <c r="X2745">
        <v>0.9848133</v>
      </c>
      <c r="Y2745">
        <v>4.1237269999999999E-2</v>
      </c>
      <c r="Z2745">
        <v>5.3624140000000002E-3</v>
      </c>
      <c r="AA2745">
        <v>0.999135</v>
      </c>
      <c r="AB2745">
        <v>36</v>
      </c>
      <c r="AC2745">
        <v>-0.62969999999995696</v>
      </c>
      <c r="AD2745">
        <v>-0.1147513</v>
      </c>
      <c r="AE2745">
        <v>2.28000000000179E-2</v>
      </c>
      <c r="AF2745">
        <v>3.2903812212390401E-2</v>
      </c>
      <c r="AG2745">
        <v>-0.1147513</v>
      </c>
      <c r="AH2745">
        <v>0.608997582975913</v>
      </c>
      <c r="AI2745">
        <v>100.655744820083</v>
      </c>
      <c r="AJ2745">
        <v>86.907346817175394</v>
      </c>
      <c r="AK2745">
        <v>0.62058728457832801</v>
      </c>
      <c r="AL2745">
        <v>80.056293753185301</v>
      </c>
      <c r="AM2745">
        <v>91.047276549961396</v>
      </c>
      <c r="AN2745">
        <v>0.99999994659260105</v>
      </c>
    </row>
    <row r="2746" spans="1:40" x14ac:dyDescent="0.25">
      <c r="A2746" t="str">
        <f>"20190312172134696"</f>
        <v>20190312172134696</v>
      </c>
      <c r="B2746" t="str">
        <f>"1552382494683839"</f>
        <v>1552382494683839</v>
      </c>
      <c r="C2746" t="s">
        <v>40</v>
      </c>
      <c r="D2746">
        <v>3.164774</v>
      </c>
      <c r="E2746">
        <v>0.52367200000000003</v>
      </c>
      <c r="F2746" t="s">
        <v>41</v>
      </c>
      <c r="G2746">
        <v>-315.96870000000001</v>
      </c>
      <c r="H2746">
        <v>0.97429600000000005</v>
      </c>
      <c r="I2746">
        <v>283.18639999999999</v>
      </c>
      <c r="J2746">
        <v>-315.2097</v>
      </c>
      <c r="K2746">
        <v>1.107774</v>
      </c>
      <c r="L2746">
        <v>283.16030000000001</v>
      </c>
      <c r="M2746">
        <v>-0.99982090000000001</v>
      </c>
      <c r="N2746">
        <v>0</v>
      </c>
      <c r="O2746">
        <v>-1.6857939999999998E-2</v>
      </c>
      <c r="P2746">
        <v>-0.98583710000000002</v>
      </c>
      <c r="Q2746">
        <v>0.1638231</v>
      </c>
      <c r="R2746">
        <v>-3.5875999999999998E-2</v>
      </c>
      <c r="S2746">
        <v>-3.1192929999999999</v>
      </c>
      <c r="T2746">
        <v>-0.43950679999999998</v>
      </c>
      <c r="U2746">
        <v>7.6995850000000005E-2</v>
      </c>
      <c r="V2746">
        <v>-1.8517080000000002E-2</v>
      </c>
      <c r="W2746">
        <v>0.17238609999999999</v>
      </c>
      <c r="X2746">
        <v>0.98485540000000005</v>
      </c>
      <c r="Y2746">
        <v>4.0955400000000003E-2</v>
      </c>
      <c r="Z2746">
        <v>5.2340590000000001E-3</v>
      </c>
      <c r="AA2746">
        <v>0.99914729999999996</v>
      </c>
      <c r="AB2746">
        <v>36</v>
      </c>
      <c r="AC2746">
        <v>-0.759000000000014</v>
      </c>
      <c r="AD2746">
        <v>-0.13347800000000001</v>
      </c>
      <c r="AE2746">
        <v>2.6099999999985302E-2</v>
      </c>
      <c r="AF2746">
        <v>3.7726554723985103E-2</v>
      </c>
      <c r="AG2746">
        <v>-0.13347800000000001</v>
      </c>
      <c r="AH2746">
        <v>0.73572532569292004</v>
      </c>
      <c r="AI2746">
        <v>100.269759977536</v>
      </c>
      <c r="AJ2746">
        <v>87.064555621556906</v>
      </c>
      <c r="AK2746">
        <v>0.748686465939711</v>
      </c>
      <c r="AL2746">
        <v>80.073419017652597</v>
      </c>
      <c r="AM2746">
        <v>91.077138370784098</v>
      </c>
      <c r="AN2746">
        <v>1.0000000043170401</v>
      </c>
    </row>
    <row r="2747" spans="1:40" x14ac:dyDescent="0.25">
      <c r="A2747" t="str">
        <f>"20190312172134709"</f>
        <v>20190312172134709</v>
      </c>
      <c r="B2747" t="str">
        <f>"1552382494703360"</f>
        <v>1552382494703360</v>
      </c>
      <c r="C2747" t="s">
        <v>40</v>
      </c>
      <c r="D2747">
        <v>3.1829450000000001</v>
      </c>
      <c r="E2747">
        <v>0.52373530000000001</v>
      </c>
      <c r="F2747" t="s">
        <v>41</v>
      </c>
      <c r="G2747">
        <v>-315.98050000000001</v>
      </c>
      <c r="H2747">
        <v>0.99872780000000005</v>
      </c>
      <c r="I2747">
        <v>283.17989999999998</v>
      </c>
      <c r="J2747">
        <v>-315.40809999999999</v>
      </c>
      <c r="K2747">
        <v>1.1077699999999999</v>
      </c>
      <c r="L2747">
        <v>283.15780000000001</v>
      </c>
      <c r="M2747">
        <v>-0.99983679999999997</v>
      </c>
      <c r="N2747">
        <v>0</v>
      </c>
      <c r="O2747">
        <v>-1.588353E-2</v>
      </c>
      <c r="P2747">
        <v>-0.98592170000000001</v>
      </c>
      <c r="Q2747">
        <v>0.1635037</v>
      </c>
      <c r="R2747">
        <v>-3.4997750000000001E-2</v>
      </c>
      <c r="S2747">
        <v>-3.1192630000000001</v>
      </c>
      <c r="T2747">
        <v>-0.44128820000000002</v>
      </c>
      <c r="U2747">
        <v>7.8674320000000006E-2</v>
      </c>
      <c r="V2747">
        <v>-1.8598409999999999E-2</v>
      </c>
      <c r="W2747">
        <v>0.17207320000000001</v>
      </c>
      <c r="X2747">
        <v>0.98490860000000002</v>
      </c>
      <c r="Y2747">
        <v>4.0528540000000002E-2</v>
      </c>
      <c r="Z2747">
        <v>5.0878920000000001E-3</v>
      </c>
      <c r="AA2747">
        <v>0.99916539999999998</v>
      </c>
      <c r="AB2747">
        <v>36</v>
      </c>
      <c r="AC2747">
        <v>-0.57240000000001601</v>
      </c>
      <c r="AD2747">
        <v>-0.10904220000000001</v>
      </c>
      <c r="AE2747">
        <v>2.2099999999966199E-2</v>
      </c>
      <c r="AF2747">
        <v>3.0098620594261799E-2</v>
      </c>
      <c r="AG2747">
        <v>-0.10904220000000001</v>
      </c>
      <c r="AH2747">
        <v>0.55197524301309098</v>
      </c>
      <c r="AI2747">
        <v>101.158682179481</v>
      </c>
      <c r="AJ2747">
        <v>86.878813392074207</v>
      </c>
      <c r="AK2747">
        <v>0.56344724441768101</v>
      </c>
      <c r="AL2747">
        <v>80.0916189738371</v>
      </c>
      <c r="AM2747">
        <v>91.081809790754704</v>
      </c>
      <c r="AN2747">
        <v>1.00000001868336</v>
      </c>
    </row>
    <row r="2748" spans="1:40" x14ac:dyDescent="0.25">
      <c r="A2748" t="str">
        <f>"20190312172134725"</f>
        <v>20190312172134725</v>
      </c>
      <c r="B2748" t="str">
        <f>"1552382494713120"</f>
        <v>1552382494713120</v>
      </c>
      <c r="C2748" t="s">
        <v>40</v>
      </c>
      <c r="D2748">
        <v>3.1709209999999999</v>
      </c>
      <c r="E2748">
        <v>0.52378429999999998</v>
      </c>
      <c r="F2748" t="s">
        <v>41</v>
      </c>
      <c r="G2748">
        <v>-316.29919999999998</v>
      </c>
      <c r="H2748">
        <v>0.98106879999999996</v>
      </c>
      <c r="I2748">
        <v>283.18150000000003</v>
      </c>
      <c r="J2748">
        <v>-315.68610000000001</v>
      </c>
      <c r="K2748">
        <v>1.1077589999999999</v>
      </c>
      <c r="L2748">
        <v>283.15449999999998</v>
      </c>
      <c r="M2748">
        <v>-0.99985749999999995</v>
      </c>
      <c r="N2748">
        <v>0</v>
      </c>
      <c r="O2748">
        <v>-1.4518710000000001E-2</v>
      </c>
      <c r="P2748">
        <v>-0.98589309999999997</v>
      </c>
      <c r="Q2748">
        <v>0.1638124</v>
      </c>
      <c r="R2748">
        <v>-3.4358279999999998E-2</v>
      </c>
      <c r="S2748">
        <v>-3.1192929999999999</v>
      </c>
      <c r="T2748">
        <v>-0.44358890000000001</v>
      </c>
      <c r="U2748">
        <v>8.1939699999999893E-2</v>
      </c>
      <c r="V2748">
        <v>-1.9302719999999999E-2</v>
      </c>
      <c r="W2748">
        <v>0.1723922</v>
      </c>
      <c r="X2748">
        <v>0.98483929999999997</v>
      </c>
      <c r="Y2748">
        <v>4.0220690000000003E-2</v>
      </c>
      <c r="Z2748">
        <v>4.8991720000000002E-3</v>
      </c>
      <c r="AA2748">
        <v>0.99917880000000003</v>
      </c>
      <c r="AB2748">
        <v>36</v>
      </c>
      <c r="AC2748">
        <v>-0.613099999999974</v>
      </c>
      <c r="AD2748">
        <v>-0.126690199999999</v>
      </c>
      <c r="AE2748">
        <v>2.70000000000436E-2</v>
      </c>
      <c r="AF2748">
        <v>3.4431539408823902E-2</v>
      </c>
      <c r="AG2748">
        <v>-0.126690199999999</v>
      </c>
      <c r="AH2748">
        <v>0.58760158925563299</v>
      </c>
      <c r="AI2748">
        <v>102.146826515171</v>
      </c>
      <c r="AJ2748">
        <v>86.6464885967724</v>
      </c>
      <c r="AK2748">
        <v>0.60208933338653903</v>
      </c>
      <c r="AL2748">
        <v>80.073064721897396</v>
      </c>
      <c r="AM2748">
        <v>91.122845931555901</v>
      </c>
      <c r="AN2748">
        <v>1.0000000562223601</v>
      </c>
    </row>
    <row r="2749" spans="1:40" x14ac:dyDescent="0.25">
      <c r="A2749" t="str">
        <f>"20190312172134748"</f>
        <v>20190312172134748</v>
      </c>
      <c r="B2749" t="str">
        <f>"1552382494743375"</f>
        <v>1552382494743375</v>
      </c>
      <c r="C2749" t="s">
        <v>40</v>
      </c>
      <c r="D2749">
        <v>3.1824249999999998</v>
      </c>
      <c r="E2749">
        <v>0.50958499999999995</v>
      </c>
      <c r="F2749" t="s">
        <v>41</v>
      </c>
      <c r="G2749">
        <v>-316.62380000000002</v>
      </c>
      <c r="H2749">
        <v>0.97451529999999997</v>
      </c>
      <c r="I2749">
        <v>283.18009999999998</v>
      </c>
      <c r="J2749">
        <v>-316.05369999999999</v>
      </c>
      <c r="K2749">
        <v>1.1077539999999999</v>
      </c>
      <c r="L2749">
        <v>283.1508</v>
      </c>
      <c r="M2749">
        <v>-0.99988200000000005</v>
      </c>
      <c r="N2749">
        <v>0</v>
      </c>
      <c r="O2749">
        <v>-1.271532E-2</v>
      </c>
      <c r="P2749">
        <v>-0.98581609999999997</v>
      </c>
      <c r="Q2749">
        <v>0.164467899999999</v>
      </c>
      <c r="R2749">
        <v>-3.342411E-2</v>
      </c>
      <c r="S2749">
        <v>-3.1195369999999998</v>
      </c>
      <c r="T2749">
        <v>-0.44331749999999998</v>
      </c>
      <c r="U2749">
        <v>8.4442139999999999E-2</v>
      </c>
      <c r="V2749">
        <v>-2.0141849999999999E-2</v>
      </c>
      <c r="W2749">
        <v>0.17306050000000001</v>
      </c>
      <c r="X2749">
        <v>0.98470519999999995</v>
      </c>
      <c r="Y2749">
        <v>3.9246120000000002E-2</v>
      </c>
      <c r="Z2749">
        <v>4.5719180000000003E-3</v>
      </c>
      <c r="AA2749">
        <v>0.99921910000000003</v>
      </c>
      <c r="AB2749">
        <v>37</v>
      </c>
      <c r="AC2749">
        <v>-0.57010000000002403</v>
      </c>
      <c r="AD2749">
        <v>-0.13323869999999999</v>
      </c>
      <c r="AE2749">
        <v>2.9299999999977899E-2</v>
      </c>
      <c r="AF2749">
        <v>3.4658797612155699E-2</v>
      </c>
      <c r="AG2749">
        <v>-0.13323869999999999</v>
      </c>
      <c r="AH2749">
        <v>0.54025013688142598</v>
      </c>
      <c r="AI2749">
        <v>103.82672236683599</v>
      </c>
      <c r="AJ2749">
        <v>86.329320223649503</v>
      </c>
      <c r="AK2749">
        <v>0.55751591352176599</v>
      </c>
      <c r="AL2749">
        <v>80.0341888969716</v>
      </c>
      <c r="AM2749">
        <v>91.171804605538398</v>
      </c>
      <c r="AN2749">
        <v>0.99999998084435604</v>
      </c>
    </row>
    <row r="2750" spans="1:40" x14ac:dyDescent="0.25">
      <c r="A2750" t="str">
        <f>"20190312172134762"</f>
        <v>20190312172134762</v>
      </c>
      <c r="B2750" t="str">
        <f>"1552382494753135"</f>
        <v>1552382494753135</v>
      </c>
      <c r="C2750" t="s">
        <v>40</v>
      </c>
      <c r="D2750">
        <v>3.1872820000000002</v>
      </c>
      <c r="E2750">
        <v>0.50768840000000004</v>
      </c>
      <c r="F2750" t="s">
        <v>41</v>
      </c>
      <c r="G2750">
        <v>-316.98219999999998</v>
      </c>
      <c r="H2750">
        <v>1.034877</v>
      </c>
      <c r="I2750">
        <v>283.14359999999999</v>
      </c>
      <c r="J2750">
        <v>-316.29759999999999</v>
      </c>
      <c r="K2750">
        <v>1.1077570000000001</v>
      </c>
      <c r="L2750">
        <v>283.14859999999999</v>
      </c>
      <c r="M2750">
        <v>-0.99989640000000002</v>
      </c>
      <c r="N2750">
        <v>0</v>
      </c>
      <c r="O2750">
        <v>-1.151978E-2</v>
      </c>
      <c r="P2750">
        <v>-0.98572029999999999</v>
      </c>
      <c r="Q2750">
        <v>0.16514479999999901</v>
      </c>
      <c r="R2750">
        <v>-3.2906409999999997E-2</v>
      </c>
      <c r="S2750">
        <v>-3.082703</v>
      </c>
      <c r="T2750">
        <v>-0.24204210000000001</v>
      </c>
      <c r="U2750">
        <v>-2.4597170000000002E-2</v>
      </c>
      <c r="V2750">
        <v>-2.0799939999999999E-2</v>
      </c>
      <c r="W2750">
        <v>0.17374609999999999</v>
      </c>
      <c r="X2750">
        <v>0.98457079999999997</v>
      </c>
      <c r="Y2750">
        <v>3.495326E-3</v>
      </c>
      <c r="Z2750">
        <v>1.0401E-3</v>
      </c>
      <c r="AA2750">
        <v>0.99999329999999997</v>
      </c>
      <c r="AB2750">
        <v>37</v>
      </c>
      <c r="AC2750">
        <v>-0.684599999999989</v>
      </c>
      <c r="AD2750">
        <v>-7.2879999999999806E-2</v>
      </c>
      <c r="AE2750">
        <v>-4.9999999999954499E-3</v>
      </c>
      <c r="AF2750">
        <v>2.8547162813746E-3</v>
      </c>
      <c r="AG2750">
        <v>-7.2879999999999806E-2</v>
      </c>
      <c r="AH2750">
        <v>0.67694084418740197</v>
      </c>
      <c r="AI2750">
        <v>96.144787471231197</v>
      </c>
      <c r="AJ2750">
        <v>89.758380327537694</v>
      </c>
      <c r="AK2750">
        <v>0.68085868602390598</v>
      </c>
      <c r="AL2750">
        <v>79.994302887254406</v>
      </c>
      <c r="AM2750">
        <v>91.210244636257499</v>
      </c>
      <c r="AN2750">
        <v>1.0000000024909199</v>
      </c>
    </row>
    <row r="2751" spans="1:40" x14ac:dyDescent="0.25">
      <c r="A2751" t="str">
        <f>"20190312172134773"</f>
        <v>20190312172134773</v>
      </c>
      <c r="B2751" t="str">
        <f>"1552382494763872"</f>
        <v>1552382494763872</v>
      </c>
      <c r="C2751" t="s">
        <v>40</v>
      </c>
      <c r="D2751">
        <v>3.1645840000000001</v>
      </c>
      <c r="E2751">
        <v>0.50700259999999997</v>
      </c>
      <c r="F2751" t="s">
        <v>41</v>
      </c>
      <c r="G2751">
        <v>-317.31360000000001</v>
      </c>
      <c r="H2751">
        <v>1.036799</v>
      </c>
      <c r="I2751">
        <v>283.13650000000001</v>
      </c>
      <c r="J2751">
        <v>-316.48660000000001</v>
      </c>
      <c r="K2751">
        <v>1.107756</v>
      </c>
      <c r="L2751">
        <v>283.1472</v>
      </c>
      <c r="M2751">
        <v>-0.99990650000000003</v>
      </c>
      <c r="N2751">
        <v>0</v>
      </c>
      <c r="O2751">
        <v>-1.0592580000000001E-2</v>
      </c>
      <c r="P2751">
        <v>-0.98562530000000004</v>
      </c>
      <c r="Q2751">
        <v>0.1657901</v>
      </c>
      <c r="R2751">
        <v>-3.2507479999999998E-2</v>
      </c>
      <c r="S2751">
        <v>-3.0782470000000002</v>
      </c>
      <c r="T2751">
        <v>-0.2150656</v>
      </c>
      <c r="U2751">
        <v>-3.7597659999999998E-2</v>
      </c>
      <c r="V2751">
        <v>-2.1312000000000001E-2</v>
      </c>
      <c r="W2751">
        <v>0.17439789999999999</v>
      </c>
      <c r="X2751">
        <v>0.9844446</v>
      </c>
      <c r="Y2751">
        <v>-1.6420199999999999E-3</v>
      </c>
      <c r="Z2751">
        <v>6.8185160000000002E-4</v>
      </c>
      <c r="AA2751">
        <v>0.99999839999999995</v>
      </c>
      <c r="AB2751">
        <v>37</v>
      </c>
      <c r="AC2751">
        <v>-0.82699999999999796</v>
      </c>
      <c r="AD2751">
        <v>-7.0956999999999895E-2</v>
      </c>
      <c r="AE2751">
        <v>-1.06999999999857E-2</v>
      </c>
      <c r="AF2751">
        <v>-1.9248406272883399E-3</v>
      </c>
      <c r="AG2751">
        <v>-7.0956999999999895E-2</v>
      </c>
      <c r="AH2751">
        <v>0.82102380602343195</v>
      </c>
      <c r="AI2751">
        <v>94.939501648560906</v>
      </c>
      <c r="AJ2751">
        <v>90.134326241594096</v>
      </c>
      <c r="AK2751">
        <v>0.82408657974610999</v>
      </c>
      <c r="AL2751">
        <v>79.956378474564801</v>
      </c>
      <c r="AM2751">
        <v>91.240188574141897</v>
      </c>
      <c r="AN2751">
        <v>0.99999999966878494</v>
      </c>
    </row>
    <row r="2752" spans="1:40" x14ac:dyDescent="0.25">
      <c r="A2752" t="str">
        <f>"20190312172134787"</f>
        <v>20190312172134787</v>
      </c>
      <c r="B2752" t="str">
        <f>"1552382494783392"</f>
        <v>1552382494783392</v>
      </c>
      <c r="C2752" t="s">
        <v>40</v>
      </c>
      <c r="D2752">
        <v>3.1711459999999998</v>
      </c>
      <c r="E2752">
        <v>0.50617029999999996</v>
      </c>
      <c r="F2752" t="s">
        <v>46</v>
      </c>
      <c r="G2752">
        <v>-333.09769999999997</v>
      </c>
      <c r="H2752" s="1">
        <v>1.856949E-7</v>
      </c>
      <c r="I2752">
        <v>282.9228</v>
      </c>
      <c r="J2752">
        <v>-316.6884</v>
      </c>
      <c r="K2752">
        <v>1.107753</v>
      </c>
      <c r="L2752">
        <v>283.14580000000001</v>
      </c>
      <c r="M2752">
        <v>-0.99991660000000004</v>
      </c>
      <c r="N2752">
        <v>0</v>
      </c>
      <c r="O2752">
        <v>-9.6035029999999993E-3</v>
      </c>
      <c r="P2752">
        <v>-0.98555859999999995</v>
      </c>
      <c r="Q2752">
        <v>0.166260299999999</v>
      </c>
      <c r="R2752">
        <v>-3.2130480000000003E-2</v>
      </c>
      <c r="S2752">
        <v>-3.0769039999999999</v>
      </c>
      <c r="T2752">
        <v>-0.2051916</v>
      </c>
      <c r="U2752">
        <v>-4.1564940000000002E-2</v>
      </c>
      <c r="V2752">
        <v>-2.190721E-2</v>
      </c>
      <c r="W2752">
        <v>0.17487529999999901</v>
      </c>
      <c r="X2752">
        <v>0.98434679999999997</v>
      </c>
      <c r="Y2752">
        <v>-3.9164769999999998E-3</v>
      </c>
      <c r="Z2752">
        <v>5.0926230000000001E-4</v>
      </c>
      <c r="AA2752">
        <v>0.9999922</v>
      </c>
      <c r="AB2752">
        <v>37</v>
      </c>
      <c r="AC2752">
        <v>-16.409299999999899</v>
      </c>
      <c r="AD2752">
        <v>-1.1077528143051001</v>
      </c>
      <c r="AE2752">
        <v>-0.22300000000001299</v>
      </c>
      <c r="AF2752">
        <v>-6.5100452120394295E-2</v>
      </c>
      <c r="AG2752">
        <v>-1.1077528143051001</v>
      </c>
      <c r="AH2752">
        <v>16.336249794060802</v>
      </c>
      <c r="AI2752">
        <v>93.879228542885301</v>
      </c>
      <c r="AJ2752">
        <v>90.2283242147669</v>
      </c>
      <c r="AK2752">
        <v>16.373894213058101</v>
      </c>
      <c r="AL2752">
        <v>79.928598165752504</v>
      </c>
      <c r="AM2752">
        <v>91.274940395942707</v>
      </c>
      <c r="AN2752">
        <v>0.99999995953515597</v>
      </c>
    </row>
    <row r="2753" spans="1:40" x14ac:dyDescent="0.25">
      <c r="A2753" t="str">
        <f>"20190312172134800"</f>
        <v>20190312172134800</v>
      </c>
      <c r="B2753" t="str">
        <f>"1552382494793152"</f>
        <v>1552382494793152</v>
      </c>
      <c r="C2753" t="s">
        <v>40</v>
      </c>
      <c r="D2753">
        <v>3.1865459999999999</v>
      </c>
      <c r="E2753">
        <v>0.50575639999999999</v>
      </c>
      <c r="F2753" t="s">
        <v>46</v>
      </c>
      <c r="G2753">
        <v>-334.40289999999999</v>
      </c>
      <c r="H2753" s="1">
        <v>8.8237330000000004E-7</v>
      </c>
      <c r="I2753">
        <v>282.87400000000002</v>
      </c>
      <c r="J2753">
        <v>-316.91570000000002</v>
      </c>
      <c r="K2753">
        <v>1.1077490000000001</v>
      </c>
      <c r="L2753">
        <v>283.14449999999999</v>
      </c>
      <c r="M2753">
        <v>-0.99992650000000005</v>
      </c>
      <c r="N2753">
        <v>0</v>
      </c>
      <c r="O2753">
        <v>-8.4889049999999997E-3</v>
      </c>
      <c r="P2753">
        <v>-0.98546400000000001</v>
      </c>
      <c r="Q2753">
        <v>0.16691489999999901</v>
      </c>
      <c r="R2753">
        <v>-3.163171E-2</v>
      </c>
      <c r="S2753">
        <v>-3.0748899999999999</v>
      </c>
      <c r="T2753">
        <v>-0.1922836</v>
      </c>
      <c r="U2753">
        <v>-4.7180180000000002E-2</v>
      </c>
      <c r="V2753">
        <v>-2.25039E-2</v>
      </c>
      <c r="W2753">
        <v>0.17553779999999999</v>
      </c>
      <c r="X2753">
        <v>0.98421539999999996</v>
      </c>
      <c r="Y2753">
        <v>-6.8563019999999999E-3</v>
      </c>
      <c r="Z2753">
        <v>3.1614590000000003E-4</v>
      </c>
      <c r="AA2753">
        <v>0.99997650000000005</v>
      </c>
      <c r="AB2753">
        <v>37</v>
      </c>
      <c r="AC2753">
        <v>-17.487199999999898</v>
      </c>
      <c r="AD2753">
        <v>-1.1077481176266999</v>
      </c>
      <c r="AE2753">
        <v>-0.27049999999996999</v>
      </c>
      <c r="AF2753">
        <v>-0.121549879234786</v>
      </c>
      <c r="AG2753">
        <v>-1.1077481176266999</v>
      </c>
      <c r="AH2753">
        <v>17.418984987119799</v>
      </c>
      <c r="AI2753">
        <v>93.638696424420104</v>
      </c>
      <c r="AJ2753">
        <v>90.399804124768394</v>
      </c>
      <c r="AK2753">
        <v>17.4545959061433</v>
      </c>
      <c r="AL2753">
        <v>79.890043225761602</v>
      </c>
      <c r="AM2753">
        <v>91.309828994252996</v>
      </c>
      <c r="AN2753">
        <v>0.99999994917060298</v>
      </c>
    </row>
    <row r="2754" spans="1:40" x14ac:dyDescent="0.25">
      <c r="A2754" t="str">
        <f>"20190312172134813"</f>
        <v>20190312172134813</v>
      </c>
      <c r="B2754" t="str">
        <f>"1552382494803887"</f>
        <v>1552382494803887</v>
      </c>
      <c r="C2754" t="s">
        <v>40</v>
      </c>
      <c r="D2754">
        <v>3.2496350000000001</v>
      </c>
      <c r="E2754">
        <v>0.50558809999999998</v>
      </c>
      <c r="F2754" t="s">
        <v>46</v>
      </c>
      <c r="G2754">
        <v>-335.35430000000002</v>
      </c>
      <c r="H2754" s="1">
        <v>1.3895659999999999E-6</v>
      </c>
      <c r="I2754">
        <v>282.85329999999999</v>
      </c>
      <c r="J2754">
        <v>-317.14890000000003</v>
      </c>
      <c r="K2754">
        <v>1.1077539999999999</v>
      </c>
      <c r="L2754">
        <v>283.14350000000002</v>
      </c>
      <c r="M2754">
        <v>-0.99993549999999998</v>
      </c>
      <c r="N2754">
        <v>0</v>
      </c>
      <c r="O2754">
        <v>-7.3459369999999899E-3</v>
      </c>
      <c r="P2754">
        <v>-0.98518720000000004</v>
      </c>
      <c r="Q2754">
        <v>0.16853599999999999</v>
      </c>
      <c r="R2754">
        <v>-3.1649539999999997E-2</v>
      </c>
      <c r="S2754">
        <v>-3.0740050000000001</v>
      </c>
      <c r="T2754">
        <v>-0.1846795</v>
      </c>
      <c r="U2754">
        <v>-4.8553470000000001E-2</v>
      </c>
      <c r="V2754">
        <v>-2.3641519999999999E-2</v>
      </c>
      <c r="W2754">
        <v>0.17716779999999999</v>
      </c>
      <c r="X2754">
        <v>0.98389669999999896</v>
      </c>
      <c r="Y2754">
        <v>-8.4451819999999903E-3</v>
      </c>
      <c r="Z2754">
        <v>1.8747030000000001E-4</v>
      </c>
      <c r="AA2754">
        <v>0.99996430000000003</v>
      </c>
      <c r="AB2754">
        <v>37</v>
      </c>
      <c r="AC2754">
        <v>-18.205400000000001</v>
      </c>
      <c r="AD2754">
        <v>-1.1077526104340001</v>
      </c>
      <c r="AE2754">
        <v>-0.29020000000002699</v>
      </c>
      <c r="AF2754">
        <v>-0.155874464888831</v>
      </c>
      <c r="AG2754">
        <v>-1.1077526104340001</v>
      </c>
      <c r="AH2754">
        <v>18.139896254751999</v>
      </c>
      <c r="AI2754">
        <v>93.494424287950594</v>
      </c>
      <c r="AJ2754">
        <v>90.492325261491004</v>
      </c>
      <c r="AK2754">
        <v>18.174356902732299</v>
      </c>
      <c r="AL2754">
        <v>79.795164919770798</v>
      </c>
      <c r="AM2754">
        <v>91.376464333130002</v>
      </c>
      <c r="AN2754">
        <v>1.0000000335478101</v>
      </c>
    </row>
    <row r="2755" spans="1:40" x14ac:dyDescent="0.25">
      <c r="A2755" t="str">
        <f>"20190312172134829"</f>
        <v>20190312172134829</v>
      </c>
      <c r="B2755" t="str">
        <f>"1552382494823408"</f>
        <v>1552382494823408</v>
      </c>
      <c r="C2755" t="s">
        <v>40</v>
      </c>
      <c r="D2755">
        <v>3.1633420000000001</v>
      </c>
      <c r="E2755">
        <v>0.50519910000000001</v>
      </c>
      <c r="F2755" t="s">
        <v>46</v>
      </c>
      <c r="G2755">
        <v>-336.58960000000002</v>
      </c>
      <c r="H2755" s="1">
        <v>2.0479849999999999E-6</v>
      </c>
      <c r="I2755">
        <v>282.82920000000001</v>
      </c>
      <c r="J2755">
        <v>-317.3895</v>
      </c>
      <c r="K2755">
        <v>1.1077570000000001</v>
      </c>
      <c r="L2755">
        <v>283.14269999999999</v>
      </c>
      <c r="M2755">
        <v>-0.99994360000000004</v>
      </c>
      <c r="N2755">
        <v>0</v>
      </c>
      <c r="O2755">
        <v>-6.167563E-3</v>
      </c>
      <c r="P2755">
        <v>-0.98508390000000001</v>
      </c>
      <c r="Q2755">
        <v>0.1693105</v>
      </c>
      <c r="R2755">
        <v>-3.0729409999999999E-2</v>
      </c>
      <c r="S2755">
        <v>-3.0733950000000001</v>
      </c>
      <c r="T2755">
        <v>-0.17512559999999999</v>
      </c>
      <c r="U2755">
        <v>-4.9682619999999997E-2</v>
      </c>
      <c r="V2755">
        <v>-2.387831E-2</v>
      </c>
      <c r="W2755">
        <v>0.17794869999999999</v>
      </c>
      <c r="X2755">
        <v>0.98375000000000001</v>
      </c>
      <c r="Y2755">
        <v>-9.9897819999999991E-3</v>
      </c>
      <c r="Z2755" s="1">
        <v>6.6768809999999997E-5</v>
      </c>
      <c r="AA2755">
        <v>0.99995009999999995</v>
      </c>
      <c r="AB2755">
        <v>37</v>
      </c>
      <c r="AC2755">
        <v>-19.200099999999999</v>
      </c>
      <c r="AD2755">
        <v>-1.1077549520149901</v>
      </c>
      <c r="AE2755">
        <v>-0.31349999999997602</v>
      </c>
      <c r="AF2755">
        <v>-0.19442476615778301</v>
      </c>
      <c r="AG2755">
        <v>-1.1077549520149901</v>
      </c>
      <c r="AH2755">
        <v>19.1379799382856</v>
      </c>
      <c r="AI2755">
        <v>93.312558538135306</v>
      </c>
      <c r="AJ2755">
        <v>90.582053871902204</v>
      </c>
      <c r="AK2755">
        <v>19.170998882208298</v>
      </c>
      <c r="AL2755">
        <v>79.749699753291907</v>
      </c>
      <c r="AM2755">
        <v>91.390452650902304</v>
      </c>
      <c r="AN2755">
        <v>0.99999998801007295</v>
      </c>
    </row>
    <row r="2756" spans="1:40" x14ac:dyDescent="0.25">
      <c r="A2756" t="str">
        <f>"20190312172134841"</f>
        <v>20190312172134841</v>
      </c>
      <c r="B2756" t="str">
        <f>"1552382494833168"</f>
        <v>1552382494833168</v>
      </c>
      <c r="C2756" t="s">
        <v>40</v>
      </c>
      <c r="D2756">
        <v>3.153905</v>
      </c>
      <c r="E2756">
        <v>0.50510159999999904</v>
      </c>
      <c r="F2756" t="s">
        <v>46</v>
      </c>
      <c r="G2756">
        <v>-337.81720000000001</v>
      </c>
      <c r="H2756" s="1">
        <v>2.7020600000000001E-6</v>
      </c>
      <c r="I2756">
        <v>282.81049999999999</v>
      </c>
      <c r="J2756">
        <v>-317.60270000000003</v>
      </c>
      <c r="K2756">
        <v>1.1077549999999901</v>
      </c>
      <c r="L2756">
        <v>283.1422</v>
      </c>
      <c r="M2756">
        <v>-0.99994930000000004</v>
      </c>
      <c r="N2756">
        <v>0</v>
      </c>
      <c r="O2756">
        <v>-5.122822E-3</v>
      </c>
      <c r="P2756">
        <v>-0.98502140000000005</v>
      </c>
      <c r="Q2756">
        <v>0.16982259999999999</v>
      </c>
      <c r="R2756">
        <v>-2.9890659999999999E-2</v>
      </c>
      <c r="S2756">
        <v>-3.07254</v>
      </c>
      <c r="T2756">
        <v>-0.16661779999999901</v>
      </c>
      <c r="U2756">
        <v>-4.995728E-2</v>
      </c>
      <c r="V2756">
        <v>-2.406552E-2</v>
      </c>
      <c r="W2756">
        <v>0.17846719999999999</v>
      </c>
      <c r="X2756">
        <v>0.98365150000000001</v>
      </c>
      <c r="Y2756">
        <v>-1.112576E-2</v>
      </c>
      <c r="Z2756" s="1">
        <v>-2.3837669999999998E-5</v>
      </c>
      <c r="AA2756">
        <v>0.99993810000000005</v>
      </c>
      <c r="AB2756">
        <v>37</v>
      </c>
      <c r="AC2756">
        <v>-20.214499999999902</v>
      </c>
      <c r="AD2756">
        <v>-1.1077522979400001</v>
      </c>
      <c r="AE2756">
        <v>-0.33170000000001199</v>
      </c>
      <c r="AF2756">
        <v>-0.227453604781506</v>
      </c>
      <c r="AG2756">
        <v>-1.1077522979400001</v>
      </c>
      <c r="AH2756">
        <v>20.155423037491602</v>
      </c>
      <c r="AI2756">
        <v>93.145640327609001</v>
      </c>
      <c r="AJ2756">
        <v>90.646554447873001</v>
      </c>
      <c r="AK2756">
        <v>20.1871228290752</v>
      </c>
      <c r="AL2756">
        <v>79.719508555265094</v>
      </c>
      <c r="AM2756">
        <v>91.401489976547097</v>
      </c>
      <c r="AN2756">
        <v>0.99999998209048002</v>
      </c>
    </row>
    <row r="2757" spans="1:40" x14ac:dyDescent="0.25">
      <c r="A2757" t="str">
        <f>"20190312172134854"</f>
        <v>20190312172134854</v>
      </c>
      <c r="B2757" t="str">
        <f>"1552382494843904"</f>
        <v>1552382494843904</v>
      </c>
      <c r="C2757" t="s">
        <v>40</v>
      </c>
      <c r="D2757">
        <v>3.2473359999999998</v>
      </c>
      <c r="E2757">
        <v>0.50503520000000002</v>
      </c>
      <c r="F2757" t="s">
        <v>46</v>
      </c>
      <c r="G2757">
        <v>-338.4914</v>
      </c>
      <c r="H2757" s="1">
        <v>3.0607179999999998E-6</v>
      </c>
      <c r="I2757">
        <v>282.81290000000001</v>
      </c>
      <c r="J2757">
        <v>-317.82049999999998</v>
      </c>
      <c r="K2757">
        <v>1.1077520000000001</v>
      </c>
      <c r="L2757">
        <v>283.14190000000002</v>
      </c>
      <c r="M2757">
        <v>-0.99995420000000002</v>
      </c>
      <c r="N2757">
        <v>0</v>
      </c>
      <c r="O2757">
        <v>-4.0557889999999997E-3</v>
      </c>
      <c r="P2757">
        <v>-0.98507460000000002</v>
      </c>
      <c r="Q2757">
        <v>0.16962479999999999</v>
      </c>
      <c r="R2757">
        <v>-2.925517E-2</v>
      </c>
      <c r="S2757">
        <v>-3.0722659999999999</v>
      </c>
      <c r="T2757">
        <v>-0.16292609999999999</v>
      </c>
      <c r="U2757">
        <v>-4.8431399999999999E-2</v>
      </c>
      <c r="V2757">
        <v>-2.4480539999999999E-2</v>
      </c>
      <c r="W2757">
        <v>0.17827760000000001</v>
      </c>
      <c r="X2757">
        <v>0.98367570000000004</v>
      </c>
      <c r="Y2757">
        <v>-1.1695809999999999E-2</v>
      </c>
      <c r="Z2757" s="1">
        <v>-9.4959510000000005E-5</v>
      </c>
      <c r="AA2757">
        <v>0.99993160000000003</v>
      </c>
      <c r="AB2757">
        <v>37</v>
      </c>
      <c r="AC2757">
        <v>-20.6709</v>
      </c>
      <c r="AD2757">
        <v>-1.1077489392819999</v>
      </c>
      <c r="AE2757">
        <v>-0.32900000000000701</v>
      </c>
      <c r="AF2757">
        <v>-0.24445546959713901</v>
      </c>
      <c r="AG2757">
        <v>-1.1077489392819999</v>
      </c>
      <c r="AH2757">
        <v>20.6128819715682</v>
      </c>
      <c r="AI2757">
        <v>93.075935417399194</v>
      </c>
      <c r="AJ2757">
        <v>90.679459093966003</v>
      </c>
      <c r="AK2757">
        <v>20.644073468259499</v>
      </c>
      <c r="AL2757">
        <v>79.730549501472495</v>
      </c>
      <c r="AM2757">
        <v>91.425614310853106</v>
      </c>
      <c r="AN2757">
        <v>1.0000000411354699</v>
      </c>
    </row>
    <row r="2758" spans="1:40" x14ac:dyDescent="0.25">
      <c r="A2758" t="str">
        <f>"20190312172134870"</f>
        <v>20190312172134870</v>
      </c>
      <c r="B2758" t="str">
        <f>"1552382494863423"</f>
        <v>1552382494863423</v>
      </c>
      <c r="C2758" t="s">
        <v>40</v>
      </c>
      <c r="D2758">
        <v>3.1536780000000002</v>
      </c>
      <c r="E2758">
        <v>0.50483750000000005</v>
      </c>
      <c r="F2758" t="s">
        <v>46</v>
      </c>
      <c r="G2758">
        <v>-338.8372</v>
      </c>
      <c r="H2758" s="1">
        <v>3.2443469999999998E-6</v>
      </c>
      <c r="I2758">
        <v>282.8227</v>
      </c>
      <c r="J2758">
        <v>-318.07679999999999</v>
      </c>
      <c r="K2758">
        <v>1.107745</v>
      </c>
      <c r="L2758">
        <v>283.14190000000002</v>
      </c>
      <c r="M2758">
        <v>-0.99995849999999997</v>
      </c>
      <c r="N2758">
        <v>0</v>
      </c>
      <c r="O2758">
        <v>-2.800646E-3</v>
      </c>
      <c r="P2758">
        <v>-0.98514520000000005</v>
      </c>
      <c r="Q2758">
        <v>0.16934540000000001</v>
      </c>
      <c r="R2758">
        <v>-2.848231E-2</v>
      </c>
      <c r="S2758">
        <v>-3.0719910000000001</v>
      </c>
      <c r="T2758">
        <v>-0.16191849999999999</v>
      </c>
      <c r="U2758">
        <v>-4.6661380000000002E-2</v>
      </c>
      <c r="V2758">
        <v>-2.494333E-2</v>
      </c>
      <c r="W2758">
        <v>0.17800739999999901</v>
      </c>
      <c r="X2758">
        <v>0.98371299999999995</v>
      </c>
      <c r="Y2758">
        <v>-1.2373769999999999E-2</v>
      </c>
      <c r="Z2758">
        <v>-1.7834329999999999E-4</v>
      </c>
      <c r="AA2758">
        <v>0.99992340000000002</v>
      </c>
      <c r="AB2758">
        <v>37</v>
      </c>
      <c r="AC2758">
        <v>-20.760400000000001</v>
      </c>
      <c r="AD2758">
        <v>-1.107741755653</v>
      </c>
      <c r="AE2758">
        <v>-0.31920000000002302</v>
      </c>
      <c r="AF2758">
        <v>-0.26031306477517202</v>
      </c>
      <c r="AG2758">
        <v>-1.107741755653</v>
      </c>
      <c r="AH2758">
        <v>20.702284638125601</v>
      </c>
      <c r="AI2758">
        <v>93.062630844105001</v>
      </c>
      <c r="AJ2758">
        <v>90.720406189189902</v>
      </c>
      <c r="AK2758">
        <v>20.733534284508298</v>
      </c>
      <c r="AL2758">
        <v>79.746282413291397</v>
      </c>
      <c r="AM2758">
        <v>91.452498205882804</v>
      </c>
      <c r="AN2758">
        <v>1.0000000352676199</v>
      </c>
    </row>
    <row r="2759" spans="1:40" x14ac:dyDescent="0.25">
      <c r="A2759" t="str">
        <f>"20190312172134883"</f>
        <v>20190312172134883</v>
      </c>
      <c r="B2759" t="str">
        <f>"1552382494873185"</f>
        <v>1552382494873185</v>
      </c>
      <c r="C2759" t="s">
        <v>40</v>
      </c>
      <c r="D2759">
        <v>3.1431089999999999</v>
      </c>
      <c r="E2759">
        <v>0.50471409999999906</v>
      </c>
      <c r="F2759" t="s">
        <v>46</v>
      </c>
      <c r="G2759">
        <v>-339.10379999999998</v>
      </c>
      <c r="H2759" s="1">
        <v>3.385815E-6</v>
      </c>
      <c r="I2759">
        <v>282.83109999999999</v>
      </c>
      <c r="J2759">
        <v>-318.29939999999999</v>
      </c>
      <c r="K2759">
        <v>1.1077399999999999</v>
      </c>
      <c r="L2759">
        <v>283.1422</v>
      </c>
      <c r="M2759">
        <v>-0.99996079999999998</v>
      </c>
      <c r="N2759">
        <v>0</v>
      </c>
      <c r="O2759">
        <v>-1.711083E-3</v>
      </c>
      <c r="P2759">
        <v>-0.9852592</v>
      </c>
      <c r="Q2759">
        <v>0.168813299999999</v>
      </c>
      <c r="R2759">
        <v>-2.7694759999999999E-2</v>
      </c>
      <c r="S2759">
        <v>-3.0717469999999998</v>
      </c>
      <c r="T2759">
        <v>-0.16182579999999999</v>
      </c>
      <c r="U2759">
        <v>-4.5410159999999998E-2</v>
      </c>
      <c r="V2759">
        <v>-2.522955E-2</v>
      </c>
      <c r="W2759">
        <v>0.17748320000000001</v>
      </c>
      <c r="X2759">
        <v>0.98380040000000002</v>
      </c>
      <c r="Y2759">
        <v>-1.305484E-2</v>
      </c>
      <c r="Z2759">
        <v>-2.535417E-4</v>
      </c>
      <c r="AA2759">
        <v>0.99991479999999999</v>
      </c>
      <c r="AB2759">
        <v>37</v>
      </c>
      <c r="AC2759">
        <v>-20.804399999999902</v>
      </c>
      <c r="AD2759">
        <v>-1.107736614185</v>
      </c>
      <c r="AE2759">
        <v>-0.31110000000000998</v>
      </c>
      <c r="AF2759">
        <v>-0.274721467600191</v>
      </c>
      <c r="AG2759">
        <v>-1.107736614185</v>
      </c>
      <c r="AH2759">
        <v>20.746098543915899</v>
      </c>
      <c r="AI2759">
        <v>93.056134661994406</v>
      </c>
      <c r="AJ2759">
        <v>90.758670872958106</v>
      </c>
      <c r="AK2759">
        <v>20.777467533004</v>
      </c>
      <c r="AL2759">
        <v>79.776802712027106</v>
      </c>
      <c r="AM2759">
        <v>91.469027623516794</v>
      </c>
      <c r="AN2759">
        <v>1.0000000217578</v>
      </c>
    </row>
    <row r="2760" spans="1:40" x14ac:dyDescent="0.25">
      <c r="A2760" t="str">
        <f>"20190312172134895"</f>
        <v>20190312172134895</v>
      </c>
      <c r="B2760" t="str">
        <f>"1552382494883920"</f>
        <v>1552382494883920</v>
      </c>
      <c r="C2760" t="s">
        <v>40</v>
      </c>
      <c r="D2760">
        <v>3.166728</v>
      </c>
      <c r="E2760">
        <v>0.50473000000000001</v>
      </c>
      <c r="F2760" t="s">
        <v>46</v>
      </c>
      <c r="G2760">
        <v>-339.15249999999997</v>
      </c>
      <c r="H2760" s="1">
        <v>3.4112710000000001E-6</v>
      </c>
      <c r="I2760">
        <v>282.84219999999999</v>
      </c>
      <c r="J2760">
        <v>-318.48309999999998</v>
      </c>
      <c r="K2760">
        <v>1.107731</v>
      </c>
      <c r="L2760">
        <v>283.14260000000002</v>
      </c>
      <c r="M2760">
        <v>-0.99996200000000002</v>
      </c>
      <c r="N2760">
        <v>0</v>
      </c>
      <c r="O2760">
        <v>-8.1225289999999897E-4</v>
      </c>
      <c r="P2760">
        <v>-0.9853539</v>
      </c>
      <c r="Q2760">
        <v>0.16837829999999901</v>
      </c>
      <c r="R2760">
        <v>-2.69556E-2</v>
      </c>
      <c r="S2760">
        <v>-3.0715940000000002</v>
      </c>
      <c r="T2760">
        <v>-0.16316600000000001</v>
      </c>
      <c r="U2760">
        <v>-4.4189449999999998E-2</v>
      </c>
      <c r="V2760">
        <v>-2.5377420000000001E-2</v>
      </c>
      <c r="W2760">
        <v>0.17705479999999901</v>
      </c>
      <c r="X2760">
        <v>0.98387380000000002</v>
      </c>
      <c r="Y2760">
        <v>-1.355483E-2</v>
      </c>
      <c r="Z2760">
        <v>-3.1663399999999999E-4</v>
      </c>
      <c r="AA2760">
        <v>0.99990809999999997</v>
      </c>
      <c r="AB2760">
        <v>37</v>
      </c>
      <c r="AC2760">
        <v>-20.6694</v>
      </c>
      <c r="AD2760">
        <v>-1.1077275887289999</v>
      </c>
      <c r="AE2760">
        <v>-0.30040000000002398</v>
      </c>
      <c r="AF2760">
        <v>-0.28279841463650401</v>
      </c>
      <c r="AG2760">
        <v>-1.1077275887289999</v>
      </c>
      <c r="AH2760">
        <v>20.6104529589735</v>
      </c>
      <c r="AI2760">
        <v>93.076164953641793</v>
      </c>
      <c r="AJ2760">
        <v>90.786112702520697</v>
      </c>
      <c r="AK2760">
        <v>20.642136675456101</v>
      </c>
      <c r="AL2760">
        <v>79.801743356880493</v>
      </c>
      <c r="AM2760">
        <v>91.477523578379603</v>
      </c>
      <c r="AN2760">
        <v>1.0000000349876601</v>
      </c>
    </row>
    <row r="2761" spans="1:40" x14ac:dyDescent="0.25">
      <c r="A2761" t="str">
        <f>"20190312172134906"</f>
        <v>20190312172134906</v>
      </c>
      <c r="B2761" t="str">
        <f>"1552382494903946"</f>
        <v>1552382494903946</v>
      </c>
      <c r="C2761" t="s">
        <v>40</v>
      </c>
      <c r="D2761">
        <v>3.117693</v>
      </c>
      <c r="E2761">
        <v>0.50468469999999999</v>
      </c>
      <c r="F2761" t="s">
        <v>46</v>
      </c>
      <c r="G2761">
        <v>-338.96170000000001</v>
      </c>
      <c r="H2761" s="1">
        <v>3.3087230000000002E-6</v>
      </c>
      <c r="I2761">
        <v>282.86529999999999</v>
      </c>
      <c r="J2761">
        <v>-318.68450000000001</v>
      </c>
      <c r="K2761">
        <v>1.107721</v>
      </c>
      <c r="L2761">
        <v>283.14319999999998</v>
      </c>
      <c r="M2761">
        <v>-0.99996220000000002</v>
      </c>
      <c r="N2761">
        <v>0</v>
      </c>
      <c r="O2761">
        <v>1.7324150000000001E-4</v>
      </c>
      <c r="P2761">
        <v>-0.98539319999999997</v>
      </c>
      <c r="Q2761">
        <v>0.16825809999999999</v>
      </c>
      <c r="R2761">
        <v>-2.626703E-2</v>
      </c>
      <c r="S2761">
        <v>-3.0718079999999999</v>
      </c>
      <c r="T2761">
        <v>-0.1661598</v>
      </c>
      <c r="U2761">
        <v>-4.1595460000000001E-2</v>
      </c>
      <c r="V2761">
        <v>-2.5658509999999999E-2</v>
      </c>
      <c r="W2761">
        <v>0.17694119999999999</v>
      </c>
      <c r="X2761">
        <v>0.98388690000000001</v>
      </c>
      <c r="Y2761">
        <v>-1.369276E-2</v>
      </c>
      <c r="Z2761">
        <v>-3.7941E-4</v>
      </c>
      <c r="AA2761">
        <v>0.99990619999999997</v>
      </c>
      <c r="AB2761">
        <v>37</v>
      </c>
      <c r="AC2761">
        <v>-20.277200000000001</v>
      </c>
      <c r="AD2761">
        <v>-1.1077176912769999</v>
      </c>
      <c r="AE2761">
        <v>-0.27789999999998799</v>
      </c>
      <c r="AF2761">
        <v>-0.28057581645594998</v>
      </c>
      <c r="AG2761">
        <v>-1.1077176912769999</v>
      </c>
      <c r="AH2761">
        <v>20.216829831697801</v>
      </c>
      <c r="AI2761">
        <v>93.135904951300603</v>
      </c>
      <c r="AJ2761">
        <v>90.795118634299897</v>
      </c>
      <c r="AK2761">
        <v>20.249097997594198</v>
      </c>
      <c r="AL2761">
        <v>79.808356105291395</v>
      </c>
      <c r="AM2761">
        <v>91.493861937324695</v>
      </c>
      <c r="AN2761">
        <v>0.99999998969223503</v>
      </c>
    </row>
    <row r="2762" spans="1:40" x14ac:dyDescent="0.25">
      <c r="A2762" t="str">
        <f>"20190312172134922"</f>
        <v>20190312172134922</v>
      </c>
      <c r="B2762" t="str">
        <f>"1552382494913707"</f>
        <v>1552382494913707</v>
      </c>
      <c r="C2762" t="s">
        <v>40</v>
      </c>
      <c r="D2762">
        <v>3.149162</v>
      </c>
      <c r="E2762">
        <v>0.50462379999999996</v>
      </c>
      <c r="F2762" t="s">
        <v>46</v>
      </c>
      <c r="G2762">
        <v>-339.1891</v>
      </c>
      <c r="H2762" s="1">
        <v>3.4292710000000002E-6</v>
      </c>
      <c r="I2762">
        <v>282.87630000000001</v>
      </c>
      <c r="J2762">
        <v>-318.93549999999999</v>
      </c>
      <c r="K2762">
        <v>1.107715</v>
      </c>
      <c r="L2762">
        <v>283.14420000000001</v>
      </c>
      <c r="M2762">
        <v>-0.99996119999999999</v>
      </c>
      <c r="N2762">
        <v>0</v>
      </c>
      <c r="O2762">
        <v>1.400908E-3</v>
      </c>
      <c r="P2762">
        <v>-0.98549810000000004</v>
      </c>
      <c r="Q2762">
        <v>0.16776379999999999</v>
      </c>
      <c r="R2762">
        <v>-2.5469080000000002E-2</v>
      </c>
      <c r="S2762">
        <v>-3.071777</v>
      </c>
      <c r="T2762">
        <v>-0.16594579999999901</v>
      </c>
      <c r="U2762">
        <v>-3.9978029999999998E-2</v>
      </c>
      <c r="V2762">
        <v>-2.6071319999999999E-2</v>
      </c>
      <c r="W2762">
        <v>0.17645640000000001</v>
      </c>
      <c r="X2762">
        <v>0.98396309999999998</v>
      </c>
      <c r="Y2762">
        <v>-1.4391330000000001E-2</v>
      </c>
      <c r="Z2762">
        <v>-4.640553E-4</v>
      </c>
      <c r="AA2762">
        <v>0.99989629999999996</v>
      </c>
      <c r="AB2762">
        <v>37</v>
      </c>
      <c r="AC2762">
        <v>-20.253599999999999</v>
      </c>
      <c r="AD2762">
        <v>-1.107711570729</v>
      </c>
      <c r="AE2762">
        <v>-0.26789999999999697</v>
      </c>
      <c r="AF2762">
        <v>-0.29539081494186098</v>
      </c>
      <c r="AG2762">
        <v>-1.107711570729</v>
      </c>
      <c r="AH2762">
        <v>20.192814143785601</v>
      </c>
      <c r="AI2762">
        <v>93.139576274631693</v>
      </c>
      <c r="AJ2762">
        <v>90.838092193767693</v>
      </c>
      <c r="AK2762">
        <v>20.225331238398699</v>
      </c>
      <c r="AL2762">
        <v>79.836577043870406</v>
      </c>
      <c r="AM2762">
        <v>91.517767465659105</v>
      </c>
      <c r="AN2762">
        <v>0.99999997849455502</v>
      </c>
    </row>
    <row r="2763" spans="1:40" x14ac:dyDescent="0.25">
      <c r="A2763" t="str">
        <f>"20190312172134937"</f>
        <v>20190312172134937</v>
      </c>
      <c r="B2763" t="str">
        <f>"1552382494933225"</f>
        <v>1552382494933225</v>
      </c>
      <c r="C2763" t="s">
        <v>40</v>
      </c>
      <c r="D2763">
        <v>3.1470050000000001</v>
      </c>
      <c r="E2763">
        <v>0.50448190000000004</v>
      </c>
      <c r="F2763" t="s">
        <v>46</v>
      </c>
      <c r="G2763">
        <v>-339.28840000000002</v>
      </c>
      <c r="H2763" s="1">
        <v>3.4813480000000001E-6</v>
      </c>
      <c r="I2763">
        <v>282.89299999999997</v>
      </c>
      <c r="J2763">
        <v>-319.1859</v>
      </c>
      <c r="K2763">
        <v>1.10771</v>
      </c>
      <c r="L2763">
        <v>283.14550000000003</v>
      </c>
      <c r="M2763">
        <v>-0.99995869999999998</v>
      </c>
      <c r="N2763">
        <v>0</v>
      </c>
      <c r="O2763">
        <v>2.6252960000000001E-3</v>
      </c>
      <c r="P2763">
        <v>-0.98559019999999997</v>
      </c>
      <c r="Q2763">
        <v>0.16726579999999999</v>
      </c>
      <c r="R2763">
        <v>-2.5185119999999998E-2</v>
      </c>
      <c r="S2763">
        <v>-3.0716860000000001</v>
      </c>
      <c r="T2763">
        <v>-0.1671771</v>
      </c>
      <c r="U2763">
        <v>-3.7902829999999998E-2</v>
      </c>
      <c r="V2763">
        <v>-2.6994250000000001E-2</v>
      </c>
      <c r="W2763">
        <v>0.17597009999999999</v>
      </c>
      <c r="X2763">
        <v>0.98402529999999999</v>
      </c>
      <c r="Y2763">
        <v>-1.493765E-2</v>
      </c>
      <c r="Z2763">
        <v>-5.4895319999999999E-4</v>
      </c>
      <c r="AA2763">
        <v>0.99988829999999995</v>
      </c>
      <c r="AB2763">
        <v>37</v>
      </c>
      <c r="AC2763">
        <v>-20.102499999999999</v>
      </c>
      <c r="AD2763">
        <v>-1.1077065186520001</v>
      </c>
      <c r="AE2763">
        <v>-0.25250000000005401</v>
      </c>
      <c r="AF2763">
        <v>-0.30435217192655001</v>
      </c>
      <c r="AG2763">
        <v>-1.1077065186520001</v>
      </c>
      <c r="AH2763">
        <v>20.040926496288701</v>
      </c>
      <c r="AI2763">
        <v>93.163281930215604</v>
      </c>
      <c r="AJ2763">
        <v>90.870057306918298</v>
      </c>
      <c r="AK2763">
        <v>20.073823223433699</v>
      </c>
      <c r="AL2763">
        <v>79.864882910514694</v>
      </c>
      <c r="AM2763">
        <v>91.571370977134407</v>
      </c>
      <c r="AN2763">
        <v>0.99999997833358101</v>
      </c>
    </row>
    <row r="2764" spans="1:40" x14ac:dyDescent="0.25">
      <c r="A2764" t="str">
        <f>"20190312172134960"</f>
        <v>20190312172134960</v>
      </c>
      <c r="B2764" t="str">
        <f>"1552382494953726"</f>
        <v>1552382494953726</v>
      </c>
      <c r="C2764" t="s">
        <v>40</v>
      </c>
      <c r="D2764">
        <v>3.1480450000000002</v>
      </c>
      <c r="E2764">
        <v>0.50431170000000003</v>
      </c>
      <c r="F2764" t="s">
        <v>46</v>
      </c>
      <c r="G2764">
        <v>-339.40769999999998</v>
      </c>
      <c r="H2764" s="1">
        <v>3.5446980000000001E-6</v>
      </c>
      <c r="I2764">
        <v>282.89659999999998</v>
      </c>
      <c r="J2764">
        <v>-319.56670000000003</v>
      </c>
      <c r="K2764">
        <v>1.1077030000000001</v>
      </c>
      <c r="L2764">
        <v>283.1481</v>
      </c>
      <c r="M2764">
        <v>-0.9999519</v>
      </c>
      <c r="N2764">
        <v>0</v>
      </c>
      <c r="O2764">
        <v>4.487029E-3</v>
      </c>
      <c r="P2764">
        <v>-0.98558400000000002</v>
      </c>
      <c r="Q2764">
        <v>0.16741400000000001</v>
      </c>
      <c r="R2764">
        <v>-2.4427310000000001E-2</v>
      </c>
      <c r="S2764">
        <v>-3.0714419999999998</v>
      </c>
      <c r="T2764">
        <v>-0.1682467</v>
      </c>
      <c r="U2764">
        <v>-3.7811280000000003E-2</v>
      </c>
      <c r="V2764">
        <v>-2.8067910000000001E-2</v>
      </c>
      <c r="W2764">
        <v>0.17613299999999901</v>
      </c>
      <c r="X2764">
        <v>0.98396620000000001</v>
      </c>
      <c r="Y2764">
        <v>-1.6764540000000001E-2</v>
      </c>
      <c r="Z2764">
        <v>-7.0440729999999999E-4</v>
      </c>
      <c r="AA2764">
        <v>0.99985919999999895</v>
      </c>
      <c r="AB2764">
        <v>37</v>
      </c>
      <c r="AC2764">
        <v>-19.840999999999902</v>
      </c>
      <c r="AD2764">
        <v>-1.1076994553020001</v>
      </c>
      <c r="AE2764">
        <v>-0.25150000000002098</v>
      </c>
      <c r="AF2764">
        <v>-0.33947008701436099</v>
      </c>
      <c r="AG2764">
        <v>-1.1076994553020001</v>
      </c>
      <c r="AH2764">
        <v>19.778036326954801</v>
      </c>
      <c r="AI2764">
        <v>93.205118584572702</v>
      </c>
      <c r="AJ2764">
        <v>90.983327831217196</v>
      </c>
      <c r="AK2764">
        <v>19.811939808448798</v>
      </c>
      <c r="AL2764">
        <v>79.855402192349402</v>
      </c>
      <c r="AM2764">
        <v>91.633934997018102</v>
      </c>
      <c r="AN2764">
        <v>1.0000000620016001</v>
      </c>
    </row>
    <row r="2765" spans="1:40" x14ac:dyDescent="0.25">
      <c r="A2765" t="str">
        <f>"20190312172134973"</f>
        <v>20190312172134973</v>
      </c>
      <c r="B2765" t="str">
        <f>"1552382494963482"</f>
        <v>1552382494963482</v>
      </c>
      <c r="C2765" t="s">
        <v>40</v>
      </c>
      <c r="D2765">
        <v>3.1410040000000001</v>
      </c>
      <c r="E2765">
        <v>0.50425949999999997</v>
      </c>
      <c r="F2765" t="s">
        <v>46</v>
      </c>
      <c r="G2765">
        <v>-339.86950000000002</v>
      </c>
      <c r="H2765" s="1">
        <v>3.7900079999999999E-6</v>
      </c>
      <c r="I2765">
        <v>282.90649999999999</v>
      </c>
      <c r="J2765">
        <v>-319.779</v>
      </c>
      <c r="K2765">
        <v>1.1076999999999999</v>
      </c>
      <c r="L2765">
        <v>283.14999999999998</v>
      </c>
      <c r="M2765">
        <v>-0.99994669999999997</v>
      </c>
      <c r="N2765">
        <v>0</v>
      </c>
      <c r="O2765">
        <v>5.5242579999999998E-3</v>
      </c>
      <c r="P2765">
        <v>-0.9855623</v>
      </c>
      <c r="Q2765">
        <v>0.16761899999999999</v>
      </c>
      <c r="R2765">
        <v>-2.389836E-2</v>
      </c>
      <c r="S2765">
        <v>-3.0714109999999999</v>
      </c>
      <c r="T2765">
        <v>-0.16757330000000001</v>
      </c>
      <c r="U2765">
        <v>-3.6560059999999998E-2</v>
      </c>
      <c r="V2765">
        <v>-2.8558989999999999E-2</v>
      </c>
      <c r="W2765">
        <v>0.17634559999999999</v>
      </c>
      <c r="X2765">
        <v>0.98391390000000001</v>
      </c>
      <c r="Y2765">
        <v>-1.7392310000000001E-2</v>
      </c>
      <c r="Z2765">
        <v>-7.7526149999999905E-4</v>
      </c>
      <c r="AA2765">
        <v>0.99984839999999997</v>
      </c>
      <c r="AB2765">
        <v>37</v>
      </c>
      <c r="AC2765">
        <v>-20.090499999999999</v>
      </c>
      <c r="AD2765">
        <v>-1.10769620999199</v>
      </c>
      <c r="AE2765">
        <v>-0.24349999999998301</v>
      </c>
      <c r="AF2765">
        <v>-0.353411432657321</v>
      </c>
      <c r="AG2765">
        <v>-1.10769620999199</v>
      </c>
      <c r="AH2765">
        <v>20.0279740378786</v>
      </c>
      <c r="AI2765">
        <v>93.165166629968894</v>
      </c>
      <c r="AJ2765">
        <v>91.010930121287402</v>
      </c>
      <c r="AK2765">
        <v>20.061695705904398</v>
      </c>
      <c r="AL2765">
        <v>79.843026514954303</v>
      </c>
      <c r="AM2765">
        <v>91.662594963191097</v>
      </c>
      <c r="AN2765">
        <v>0.99999997458119405</v>
      </c>
    </row>
    <row r="2766" spans="1:40" x14ac:dyDescent="0.25">
      <c r="A2766" t="str">
        <f>"20190312172134985"</f>
        <v>20190312172134985</v>
      </c>
      <c r="B2766" t="str">
        <f>"1552382494973242"</f>
        <v>1552382494973242</v>
      </c>
      <c r="C2766" t="s">
        <v>40</v>
      </c>
      <c r="D2766">
        <v>3.2208600000000001</v>
      </c>
      <c r="E2766">
        <v>0.50418320000000005</v>
      </c>
      <c r="F2766" t="s">
        <v>46</v>
      </c>
      <c r="G2766">
        <v>-340.22019999999998</v>
      </c>
      <c r="H2766" s="1">
        <v>-1.419594E-6</v>
      </c>
      <c r="I2766">
        <v>282.91399999999999</v>
      </c>
      <c r="J2766">
        <v>-319.99250000000001</v>
      </c>
      <c r="K2766">
        <v>1.1076979999999901</v>
      </c>
      <c r="L2766">
        <v>283.15199999999999</v>
      </c>
      <c r="M2766">
        <v>-0.9999403</v>
      </c>
      <c r="N2766">
        <v>0</v>
      </c>
      <c r="O2766">
        <v>6.5675069999999898E-3</v>
      </c>
      <c r="P2766">
        <v>-0.98553880000000005</v>
      </c>
      <c r="Q2766">
        <v>0.16780989999999901</v>
      </c>
      <c r="R2766">
        <v>-2.3525299999999999E-2</v>
      </c>
      <c r="S2766">
        <v>-3.0714109999999999</v>
      </c>
      <c r="T2766">
        <v>-0.16643859999999999</v>
      </c>
      <c r="U2766">
        <v>-3.5461430000000002E-2</v>
      </c>
      <c r="V2766">
        <v>-2.921147E-2</v>
      </c>
      <c r="W2766">
        <v>0.17654510000000001</v>
      </c>
      <c r="X2766">
        <v>0.98385900000000004</v>
      </c>
      <c r="Y2766">
        <v>-1.8075790000000001E-2</v>
      </c>
      <c r="Z2766">
        <v>-8.4501809999999896E-4</v>
      </c>
      <c r="AA2766">
        <v>0.99983630000000001</v>
      </c>
      <c r="AB2766">
        <v>37</v>
      </c>
      <c r="AC2766">
        <v>-20.227699999999899</v>
      </c>
      <c r="AD2766">
        <v>-1.10769941959399</v>
      </c>
      <c r="AE2766">
        <v>-0.23799999999999899</v>
      </c>
      <c r="AF2766">
        <v>-0.369736872149241</v>
      </c>
      <c r="AG2766">
        <v>-1.10769941959399</v>
      </c>
      <c r="AH2766">
        <v>20.165236995599201</v>
      </c>
      <c r="AI2766">
        <v>93.143635173782499</v>
      </c>
      <c r="AJ2766">
        <v>91.050421020592097</v>
      </c>
      <c r="AK2766">
        <v>20.199021918089901</v>
      </c>
      <c r="AL2766">
        <v>79.831414142498801</v>
      </c>
      <c r="AM2766">
        <v>91.700652630100194</v>
      </c>
      <c r="AN2766">
        <v>1.0000000070972801</v>
      </c>
    </row>
    <row r="2767" spans="1:40" x14ac:dyDescent="0.25">
      <c r="A2767" t="str">
        <f>"20190312172135004"</f>
        <v>20190312172135004</v>
      </c>
      <c r="B2767" t="str">
        <f>"1552382494993267"</f>
        <v>1552382494993267</v>
      </c>
      <c r="C2767" t="s">
        <v>40</v>
      </c>
      <c r="D2767">
        <v>3.1512820000000001</v>
      </c>
      <c r="E2767">
        <v>0.5040732</v>
      </c>
      <c r="F2767" t="s">
        <v>46</v>
      </c>
      <c r="G2767">
        <v>-340.52510000000001</v>
      </c>
      <c r="H2767" s="1">
        <v>-1.257361E-6</v>
      </c>
      <c r="I2767">
        <v>282.91719999999998</v>
      </c>
      <c r="J2767">
        <v>-320.29379999999998</v>
      </c>
      <c r="K2767">
        <v>1.107699</v>
      </c>
      <c r="L2767">
        <v>283.15519999999998</v>
      </c>
      <c r="M2767">
        <v>-0.99992939999999997</v>
      </c>
      <c r="N2767">
        <v>0</v>
      </c>
      <c r="O2767">
        <v>8.0397860000000002E-3</v>
      </c>
      <c r="P2767">
        <v>-0.98545340000000003</v>
      </c>
      <c r="Q2767">
        <v>0.168347</v>
      </c>
      <c r="R2767">
        <v>-2.3260909999999999E-2</v>
      </c>
      <c r="S2767">
        <v>-3.0714419999999998</v>
      </c>
      <c r="T2767">
        <v>-0.16569890000000001</v>
      </c>
      <c r="U2767">
        <v>-3.5125730000000001E-2</v>
      </c>
      <c r="V2767">
        <v>-3.0392969999999998E-2</v>
      </c>
      <c r="W2767">
        <v>0.17709510000000001</v>
      </c>
      <c r="X2767">
        <v>0.98372440000000005</v>
      </c>
      <c r="Y2767">
        <v>-1.9434739999999999E-2</v>
      </c>
      <c r="Z2767">
        <v>-9.57258E-4</v>
      </c>
      <c r="AA2767">
        <v>0.99981070000000005</v>
      </c>
      <c r="AB2767">
        <v>37</v>
      </c>
      <c r="AC2767">
        <v>-20.231300000000001</v>
      </c>
      <c r="AD2767">
        <v>-1.107700257361</v>
      </c>
      <c r="AE2767">
        <v>-0.23799999999999899</v>
      </c>
      <c r="AF2767">
        <v>-0.399456547032641</v>
      </c>
      <c r="AG2767">
        <v>-1.107700257361</v>
      </c>
      <c r="AH2767">
        <v>20.168281229091399</v>
      </c>
      <c r="AI2767">
        <v>93.143076037769504</v>
      </c>
      <c r="AJ2767">
        <v>91.1346619935413</v>
      </c>
      <c r="AK2767">
        <v>20.202626886839401</v>
      </c>
      <c r="AL2767">
        <v>79.799397428830204</v>
      </c>
      <c r="AM2767">
        <v>91.7696370478902</v>
      </c>
      <c r="AN2767">
        <v>1.0000000511123901</v>
      </c>
    </row>
    <row r="2768" spans="1:40" x14ac:dyDescent="0.25">
      <c r="A2768" t="str">
        <f>"20190312172135016"</f>
        <v>20190312172135016</v>
      </c>
      <c r="B2768" t="str">
        <f>"1552382495013763"</f>
        <v>1552382495013763</v>
      </c>
      <c r="C2768" t="s">
        <v>40</v>
      </c>
      <c r="D2768">
        <v>3.1066289999999999</v>
      </c>
      <c r="E2768">
        <v>0.50398679999999996</v>
      </c>
      <c r="F2768" t="s">
        <v>46</v>
      </c>
      <c r="G2768">
        <v>-341.03100000000001</v>
      </c>
      <c r="H2768" s="1">
        <v>-9.8811769999999995E-7</v>
      </c>
      <c r="I2768">
        <v>282.91719999999998</v>
      </c>
      <c r="J2768">
        <v>-320.52249999999998</v>
      </c>
      <c r="K2768">
        <v>1.1076969999999999</v>
      </c>
      <c r="L2768">
        <v>283.15789999999998</v>
      </c>
      <c r="M2768">
        <v>-0.99991980000000003</v>
      </c>
      <c r="N2768">
        <v>0</v>
      </c>
      <c r="O2768">
        <v>9.1570030000000004E-3</v>
      </c>
      <c r="P2768">
        <v>-0.98538749999999997</v>
      </c>
      <c r="Q2768">
        <v>0.16879759999999999</v>
      </c>
      <c r="R2768">
        <v>-2.277771E-2</v>
      </c>
      <c r="S2768">
        <v>-3.0714419999999998</v>
      </c>
      <c r="T2768">
        <v>-0.16406389999999901</v>
      </c>
      <c r="U2768">
        <v>-3.5247800000000003E-2</v>
      </c>
      <c r="V2768">
        <v>-3.1006260000000001E-2</v>
      </c>
      <c r="W2768">
        <v>0.17755360000000001</v>
      </c>
      <c r="X2768">
        <v>0.98362260000000001</v>
      </c>
      <c r="Y2768">
        <v>-2.0589090000000001E-2</v>
      </c>
      <c r="Z2768">
        <v>-1.038268E-3</v>
      </c>
      <c r="AA2768">
        <v>0.99978750000000005</v>
      </c>
      <c r="AB2768">
        <v>37</v>
      </c>
      <c r="AC2768">
        <v>-20.508500000000002</v>
      </c>
      <c r="AD2768">
        <v>-1.10769798811769</v>
      </c>
      <c r="AE2768">
        <v>-0.24070000000000299</v>
      </c>
      <c r="AF2768">
        <v>-0.427247272112454</v>
      </c>
      <c r="AG2768">
        <v>-1.10769798811769</v>
      </c>
      <c r="AH2768">
        <v>20.445798447163899</v>
      </c>
      <c r="AI2768">
        <v>93.100422911125307</v>
      </c>
      <c r="AJ2768">
        <v>91.197111639904506</v>
      </c>
      <c r="AK2768">
        <v>20.4802394811793</v>
      </c>
      <c r="AL2768">
        <v>79.772704222514307</v>
      </c>
      <c r="AM2768">
        <v>91.805509308281998</v>
      </c>
      <c r="AN2768">
        <v>1.00000004413145</v>
      </c>
    </row>
    <row r="2769" spans="1:40" x14ac:dyDescent="0.25">
      <c r="A2769" t="str">
        <f>"20190312172135027"</f>
        <v>20190312172135027</v>
      </c>
      <c r="B2769" t="str">
        <f>"1552382495023523"</f>
        <v>1552382495023523</v>
      </c>
      <c r="C2769" t="s">
        <v>40</v>
      </c>
      <c r="D2769">
        <v>3.1387450000000001</v>
      </c>
      <c r="E2769">
        <v>0.50392009999999998</v>
      </c>
      <c r="F2769" t="s">
        <v>46</v>
      </c>
      <c r="G2769">
        <v>-341.34320000000002</v>
      </c>
      <c r="H2769" s="1">
        <v>-8.2202659999999996E-7</v>
      </c>
      <c r="I2769">
        <v>282.92349999999999</v>
      </c>
      <c r="J2769">
        <v>-320.69940000000003</v>
      </c>
      <c r="K2769">
        <v>1.1076900000000001</v>
      </c>
      <c r="L2769">
        <v>283.16019999999997</v>
      </c>
      <c r="M2769">
        <v>-0.99991140000000001</v>
      </c>
      <c r="N2769">
        <v>0</v>
      </c>
      <c r="O2769">
        <v>1.002108E-2</v>
      </c>
      <c r="P2769">
        <v>-0.98533110000000002</v>
      </c>
      <c r="Q2769">
        <v>0.16915549999999999</v>
      </c>
      <c r="R2769">
        <v>-2.2565189999999999E-2</v>
      </c>
      <c r="S2769">
        <v>-3.0716860000000001</v>
      </c>
      <c r="T2769">
        <v>-0.16341910000000001</v>
      </c>
      <c r="U2769">
        <v>-3.4576419999999997E-2</v>
      </c>
      <c r="V2769">
        <v>-3.1642009999999998E-2</v>
      </c>
      <c r="W2769">
        <v>0.1779191</v>
      </c>
      <c r="X2769">
        <v>0.98353619999999997</v>
      </c>
      <c r="Y2769">
        <v>-2.123185E-2</v>
      </c>
      <c r="Z2769">
        <v>-1.0971360000000001E-3</v>
      </c>
      <c r="AA2769">
        <v>0.99977400000000005</v>
      </c>
      <c r="AB2769">
        <v>37</v>
      </c>
      <c r="AC2769">
        <v>-20.643799999999999</v>
      </c>
      <c r="AD2769">
        <v>-1.1076908220266</v>
      </c>
      <c r="AE2769">
        <v>-0.23669999999998401</v>
      </c>
      <c r="AF2769">
        <v>-0.44229597631957801</v>
      </c>
      <c r="AG2769">
        <v>-1.1076908220266</v>
      </c>
      <c r="AH2769">
        <v>20.5811437383128</v>
      </c>
      <c r="AI2769">
        <v>93.080014806865407</v>
      </c>
      <c r="AJ2769">
        <v>91.231116837508296</v>
      </c>
      <c r="AK2769">
        <v>20.615675644153999</v>
      </c>
      <c r="AL2769">
        <v>79.751422711403606</v>
      </c>
      <c r="AM2769">
        <v>91.842665818762995</v>
      </c>
      <c r="AN2769">
        <v>0.99999993982604296</v>
      </c>
    </row>
    <row r="2770" spans="1:40" x14ac:dyDescent="0.25">
      <c r="A2770" t="str">
        <f>"20190312172135039"</f>
        <v>20190312172135039</v>
      </c>
      <c r="B2770" t="str">
        <f>"1552382495033283"</f>
        <v>1552382495033283</v>
      </c>
      <c r="C2770" t="s">
        <v>40</v>
      </c>
      <c r="D2770">
        <v>3.129807</v>
      </c>
      <c r="E2770">
        <v>0.50385379999999902</v>
      </c>
      <c r="F2770" t="s">
        <v>46</v>
      </c>
      <c r="G2770">
        <v>-341.68310000000002</v>
      </c>
      <c r="H2770" s="1">
        <v>-6.4112759999999995E-7</v>
      </c>
      <c r="I2770">
        <v>282.92399999999998</v>
      </c>
      <c r="J2770">
        <v>-320.8852</v>
      </c>
      <c r="K2770">
        <v>1.107691</v>
      </c>
      <c r="L2770">
        <v>283.1628</v>
      </c>
      <c r="M2770">
        <v>-0.99990190000000001</v>
      </c>
      <c r="N2770">
        <v>0</v>
      </c>
      <c r="O2770">
        <v>1.092831E-2</v>
      </c>
      <c r="P2770">
        <v>-0.9853151</v>
      </c>
      <c r="Q2770">
        <v>0.169297</v>
      </c>
      <c r="R2770">
        <v>-2.2194309999999998E-2</v>
      </c>
      <c r="S2770">
        <v>-3.0717159999999999</v>
      </c>
      <c r="T2770">
        <v>-0.1621503</v>
      </c>
      <c r="U2770">
        <v>-3.4576419999999997E-2</v>
      </c>
      <c r="V2770">
        <v>-3.2162650000000001E-2</v>
      </c>
      <c r="W2770">
        <v>0.17806739999999999</v>
      </c>
      <c r="X2770">
        <v>0.98349260000000005</v>
      </c>
      <c r="Y2770">
        <v>-2.2137E-2</v>
      </c>
      <c r="Z2770">
        <v>-1.160349E-3</v>
      </c>
      <c r="AA2770">
        <v>0.99975429999999998</v>
      </c>
      <c r="AB2770">
        <v>37</v>
      </c>
      <c r="AC2770">
        <v>-20.797899999999998</v>
      </c>
      <c r="AD2770">
        <v>-1.1076916411276001</v>
      </c>
      <c r="AE2770">
        <v>-0.23879999999996901</v>
      </c>
      <c r="AF2770">
        <v>-0.46476218861125401</v>
      </c>
      <c r="AG2770">
        <v>-1.1076916411276001</v>
      </c>
      <c r="AH2770">
        <v>20.735238244946299</v>
      </c>
      <c r="AI2770">
        <v>93.057109580173503</v>
      </c>
      <c r="AJ2770">
        <v>91.2840196732527</v>
      </c>
      <c r="AK2770">
        <v>20.7700045676083</v>
      </c>
      <c r="AL2770">
        <v>79.742789156941896</v>
      </c>
      <c r="AM2770">
        <v>91.873046732506694</v>
      </c>
      <c r="AN2770">
        <v>1.0000000646262599</v>
      </c>
    </row>
    <row r="2771" spans="1:40" x14ac:dyDescent="0.25">
      <c r="A2771" t="str">
        <f>"20190312172135049"</f>
        <v>20190312172135049</v>
      </c>
      <c r="B2771" t="str">
        <f>"1552382495044020"</f>
        <v>1552382495044020</v>
      </c>
      <c r="C2771" t="s">
        <v>40</v>
      </c>
      <c r="D2771">
        <v>3.111729</v>
      </c>
      <c r="E2771">
        <v>0.50385170000000001</v>
      </c>
      <c r="F2771" t="s">
        <v>46</v>
      </c>
      <c r="G2771">
        <v>-341.8818</v>
      </c>
      <c r="H2771" s="1">
        <v>-5.3541019999999898E-7</v>
      </c>
      <c r="I2771">
        <v>282.92869999999999</v>
      </c>
      <c r="J2771">
        <v>-321.07600000000002</v>
      </c>
      <c r="K2771">
        <v>1.1076889999999999</v>
      </c>
      <c r="L2771">
        <v>283.16559999999998</v>
      </c>
      <c r="M2771">
        <v>-0.99989130000000004</v>
      </c>
      <c r="N2771">
        <v>0</v>
      </c>
      <c r="O2771">
        <v>1.185933E-2</v>
      </c>
      <c r="P2771">
        <v>-0.98527260000000005</v>
      </c>
      <c r="Q2771">
        <v>0.16958380000000001</v>
      </c>
      <c r="R2771">
        <v>-2.189835E-2</v>
      </c>
      <c r="S2771">
        <v>-3.0717469999999998</v>
      </c>
      <c r="T2771">
        <v>-0.162052799999999</v>
      </c>
      <c r="U2771">
        <v>-3.4240720000000002E-2</v>
      </c>
      <c r="V2771">
        <v>-3.2780839999999999E-2</v>
      </c>
      <c r="W2771">
        <v>0.17836160000000001</v>
      </c>
      <c r="X2771">
        <v>0.98341880000000004</v>
      </c>
      <c r="Y2771">
        <v>-2.2956150000000002E-2</v>
      </c>
      <c r="Z2771">
        <v>-1.230316E-3</v>
      </c>
      <c r="AA2771">
        <v>0.9997357</v>
      </c>
      <c r="AB2771">
        <v>37</v>
      </c>
      <c r="AC2771">
        <v>-20.805800000000001</v>
      </c>
      <c r="AD2771">
        <v>-1.1076895354102001</v>
      </c>
      <c r="AE2771">
        <v>-0.23689999999999101</v>
      </c>
      <c r="AF2771">
        <v>-0.48226887064818402</v>
      </c>
      <c r="AG2771">
        <v>-1.1076895354102001</v>
      </c>
      <c r="AH2771">
        <v>20.742740718374201</v>
      </c>
      <c r="AI2771">
        <v>93.055941965238304</v>
      </c>
      <c r="AJ2771">
        <v>91.331887330087199</v>
      </c>
      <c r="AK2771">
        <v>20.777893345576501</v>
      </c>
      <c r="AL2771">
        <v>79.725657731469298</v>
      </c>
      <c r="AM2771">
        <v>91.909164848391896</v>
      </c>
      <c r="AN2771">
        <v>0.99999999000955198</v>
      </c>
    </row>
    <row r="2772" spans="1:40" x14ac:dyDescent="0.25">
      <c r="A2772" t="str">
        <f>"20190312172135061"</f>
        <v>20190312172135061</v>
      </c>
      <c r="B2772" t="str">
        <f>"1552382495053779"</f>
        <v>1552382495053779</v>
      </c>
      <c r="C2772" t="s">
        <v>40</v>
      </c>
      <c r="D2772">
        <v>3.123472</v>
      </c>
      <c r="E2772">
        <v>0.50377939999999999</v>
      </c>
      <c r="F2772" t="s">
        <v>46</v>
      </c>
      <c r="G2772">
        <v>-342.07220000000001</v>
      </c>
      <c r="H2772" s="1">
        <v>-4.340689E-7</v>
      </c>
      <c r="I2772">
        <v>282.93680000000001</v>
      </c>
      <c r="J2772">
        <v>-321.2629</v>
      </c>
      <c r="K2772">
        <v>1.1076859999999999</v>
      </c>
      <c r="L2772">
        <v>283.16849999999999</v>
      </c>
      <c r="M2772">
        <v>-0.99987999999999999</v>
      </c>
      <c r="N2772">
        <v>0</v>
      </c>
      <c r="O2772">
        <v>1.2771569999999999E-2</v>
      </c>
      <c r="P2772">
        <v>-0.98522659999999995</v>
      </c>
      <c r="Q2772">
        <v>0.1698779</v>
      </c>
      <c r="R2772">
        <v>-2.167736E-2</v>
      </c>
      <c r="S2772">
        <v>-3.0719910000000001</v>
      </c>
      <c r="T2772">
        <v>-0.16206789999999999</v>
      </c>
      <c r="U2772">
        <v>-3.3477779999999999E-2</v>
      </c>
      <c r="V2772">
        <v>-3.345563E-2</v>
      </c>
      <c r="W2772">
        <v>0.178663299999999</v>
      </c>
      <c r="X2772">
        <v>0.98334129999999997</v>
      </c>
      <c r="Y2772">
        <v>-2.3616910000000001E-2</v>
      </c>
      <c r="Z2772">
        <v>-1.295844E-3</v>
      </c>
      <c r="AA2772">
        <v>0.99972019999999995</v>
      </c>
      <c r="AB2772">
        <v>37</v>
      </c>
      <c r="AC2772">
        <v>-20.8093</v>
      </c>
      <c r="AD2772">
        <v>-1.1076864340689001</v>
      </c>
      <c r="AE2772">
        <v>-0.231699999999989</v>
      </c>
      <c r="AF2772">
        <v>-0.49605336996919802</v>
      </c>
      <c r="AG2772">
        <v>-1.1076864340689001</v>
      </c>
      <c r="AH2772">
        <v>20.745867857448701</v>
      </c>
      <c r="AI2772">
        <v>93.055426157082294</v>
      </c>
      <c r="AJ2772">
        <v>91.369735409834007</v>
      </c>
      <c r="AK2772">
        <v>20.781339498232601</v>
      </c>
      <c r="AL2772">
        <v>79.708089334274703</v>
      </c>
      <c r="AM2772">
        <v>91.948588254294805</v>
      </c>
      <c r="AN2772">
        <v>0.99999998311563798</v>
      </c>
    </row>
    <row r="2773" spans="1:40" x14ac:dyDescent="0.25">
      <c r="A2773" t="str">
        <f>"20190312172135077"</f>
        <v>20190312172135077</v>
      </c>
      <c r="B2773" t="str">
        <f>"1552382495073299"</f>
        <v>1552382495073299</v>
      </c>
      <c r="C2773" t="s">
        <v>40</v>
      </c>
      <c r="D2773">
        <v>3.0997319999999999</v>
      </c>
      <c r="E2773">
        <v>0.50370999999999999</v>
      </c>
      <c r="F2773" t="s">
        <v>46</v>
      </c>
      <c r="G2773">
        <v>-342.3623</v>
      </c>
      <c r="H2773" s="1">
        <v>-2.7971159999999999E-7</v>
      </c>
      <c r="I2773">
        <v>282.93729999999999</v>
      </c>
      <c r="J2773">
        <v>-321.53390000000002</v>
      </c>
      <c r="K2773">
        <v>1.1076809999999999</v>
      </c>
      <c r="L2773">
        <v>283.173</v>
      </c>
      <c r="M2773">
        <v>-0.99986220000000003</v>
      </c>
      <c r="N2773">
        <v>0</v>
      </c>
      <c r="O2773">
        <v>1.409377E-2</v>
      </c>
      <c r="P2773">
        <v>-0.98521449999999999</v>
      </c>
      <c r="Q2773">
        <v>0.17002790000000001</v>
      </c>
      <c r="R2773">
        <v>-2.1057389999999999E-2</v>
      </c>
      <c r="S2773">
        <v>-3.0720519999999998</v>
      </c>
      <c r="T2773">
        <v>-0.16127839999999999</v>
      </c>
      <c r="U2773">
        <v>-3.3660889999999999E-2</v>
      </c>
      <c r="V2773">
        <v>-3.4134980000000002E-2</v>
      </c>
      <c r="W2773">
        <v>0.178822799999999</v>
      </c>
      <c r="X2773">
        <v>0.98328890000000002</v>
      </c>
      <c r="Y2773">
        <v>-2.4995030000000001E-2</v>
      </c>
      <c r="Z2773">
        <v>-1.3950259999999999E-3</v>
      </c>
      <c r="AA2773">
        <v>0.99968659999999998</v>
      </c>
      <c r="AB2773">
        <v>38</v>
      </c>
      <c r="AC2773">
        <v>-20.828399999999899</v>
      </c>
      <c r="AD2773">
        <v>-1.1076812797116</v>
      </c>
      <c r="AE2773">
        <v>-0.23570000000000799</v>
      </c>
      <c r="AF2773">
        <v>-0.527746154563283</v>
      </c>
      <c r="AG2773">
        <v>-1.1076812797116</v>
      </c>
      <c r="AH2773">
        <v>20.764290004713899</v>
      </c>
      <c r="AI2773">
        <v>93.052593289889799</v>
      </c>
      <c r="AJ2773">
        <v>91.455918738615907</v>
      </c>
      <c r="AK2773">
        <v>20.8005099269451</v>
      </c>
      <c r="AL2773">
        <v>79.698800479945604</v>
      </c>
      <c r="AM2773">
        <v>91.988230711431598</v>
      </c>
      <c r="AN2773">
        <v>0.99999992576132202</v>
      </c>
    </row>
    <row r="2774" spans="1:40" x14ac:dyDescent="0.25">
      <c r="A2774" t="str">
        <f>"20190312172135092"</f>
        <v>20190312172135092</v>
      </c>
      <c r="B2774" t="str">
        <f>"1552382495083059"</f>
        <v>1552382495083059</v>
      </c>
      <c r="C2774" t="s">
        <v>40</v>
      </c>
      <c r="D2774">
        <v>3.1096170000000001</v>
      </c>
      <c r="E2774">
        <v>0.50364390000000003</v>
      </c>
      <c r="F2774" t="s">
        <v>46</v>
      </c>
      <c r="G2774">
        <v>-342.6044</v>
      </c>
      <c r="H2774" s="1">
        <v>-1.508605E-7</v>
      </c>
      <c r="I2774">
        <v>282.9511</v>
      </c>
      <c r="J2774">
        <v>-321.79739999999998</v>
      </c>
      <c r="K2774">
        <v>1.1076779999999999</v>
      </c>
      <c r="L2774">
        <v>283.17779999999999</v>
      </c>
      <c r="M2774">
        <v>-0.99984320000000004</v>
      </c>
      <c r="N2774">
        <v>0</v>
      </c>
      <c r="O2774">
        <v>1.5378889999999999E-2</v>
      </c>
      <c r="P2774">
        <v>-0.98512719999999998</v>
      </c>
      <c r="Q2774">
        <v>0.17050360000000001</v>
      </c>
      <c r="R2774">
        <v>-2.1291239999999999E-2</v>
      </c>
      <c r="S2774">
        <v>-3.0722049999999999</v>
      </c>
      <c r="T2774">
        <v>-0.16150690000000001</v>
      </c>
      <c r="U2774">
        <v>-3.2348630000000003E-2</v>
      </c>
      <c r="V2774">
        <v>-3.5629290000000001E-2</v>
      </c>
      <c r="W2774">
        <v>0.1793112</v>
      </c>
      <c r="X2774">
        <v>0.98314699999999999</v>
      </c>
      <c r="Y2774">
        <v>-2.584933E-2</v>
      </c>
      <c r="Z2774">
        <v>-1.4868839999999999E-3</v>
      </c>
      <c r="AA2774">
        <v>0.99966469999999996</v>
      </c>
      <c r="AB2774">
        <v>38</v>
      </c>
      <c r="AC2774">
        <v>-20.806999999999999</v>
      </c>
      <c r="AD2774">
        <v>-1.1076781508605</v>
      </c>
      <c r="AE2774">
        <v>-0.22669999999999299</v>
      </c>
      <c r="AF2774">
        <v>-0.54512933978866096</v>
      </c>
      <c r="AG2774">
        <v>-1.1076781508605</v>
      </c>
      <c r="AH2774">
        <v>20.7422748354834</v>
      </c>
      <c r="AI2774">
        <v>93.055750307675396</v>
      </c>
      <c r="AJ2774">
        <v>91.505448303918399</v>
      </c>
      <c r="AK2774">
        <v>20.778981741984399</v>
      </c>
      <c r="AL2774">
        <v>79.670358143218195</v>
      </c>
      <c r="AM2774">
        <v>92.075493247233794</v>
      </c>
      <c r="AN2774">
        <v>0.99999998818017199</v>
      </c>
    </row>
    <row r="2775" spans="1:40" x14ac:dyDescent="0.25">
      <c r="A2775" t="str">
        <f>"20190312172135106"</f>
        <v>20190312172135106</v>
      </c>
      <c r="B2775" t="str">
        <f>"1552382495103555"</f>
        <v>1552382495103555</v>
      </c>
      <c r="C2775" t="s">
        <v>40</v>
      </c>
      <c r="D2775">
        <v>3.1102120000000002</v>
      </c>
      <c r="E2775">
        <v>0.50357459999999998</v>
      </c>
      <c r="F2775" t="s">
        <v>46</v>
      </c>
      <c r="G2775">
        <v>-343.05799999999999</v>
      </c>
      <c r="H2775" s="1">
        <v>9.0500919999999999E-8</v>
      </c>
      <c r="I2775">
        <v>282.94569999999999</v>
      </c>
      <c r="J2775">
        <v>-322.0172</v>
      </c>
      <c r="K2775">
        <v>1.107675</v>
      </c>
      <c r="L2775">
        <v>283.18200000000002</v>
      </c>
      <c r="M2775">
        <v>-0.99982610000000005</v>
      </c>
      <c r="N2775">
        <v>0</v>
      </c>
      <c r="O2775">
        <v>1.6450090000000001E-2</v>
      </c>
      <c r="P2775">
        <v>-0.98508609999999996</v>
      </c>
      <c r="Q2775">
        <v>0.17078380000000001</v>
      </c>
      <c r="R2775">
        <v>-2.0935550000000001E-2</v>
      </c>
      <c r="S2775">
        <v>-3.072235</v>
      </c>
      <c r="T2775">
        <v>-0.16006409999999999</v>
      </c>
      <c r="U2775">
        <v>-3.3538819999999997E-2</v>
      </c>
      <c r="V2775">
        <v>-3.6325379999999997E-2</v>
      </c>
      <c r="W2775">
        <v>0.17960009999999901</v>
      </c>
      <c r="X2775">
        <v>0.98306879999999996</v>
      </c>
      <c r="Y2775">
        <v>-2.7305030000000001E-2</v>
      </c>
      <c r="Z2775">
        <v>-1.5672660000000001E-3</v>
      </c>
      <c r="AA2775">
        <v>0.99962589999999996</v>
      </c>
      <c r="AB2775">
        <v>38</v>
      </c>
      <c r="AC2775">
        <v>-21.040800000000001</v>
      </c>
      <c r="AD2775">
        <v>-1.1076749094990801</v>
      </c>
      <c r="AE2775">
        <v>-0.23630000000002799</v>
      </c>
      <c r="AF2775">
        <v>-0.580795016192453</v>
      </c>
      <c r="AG2775">
        <v>-1.1076749094990801</v>
      </c>
      <c r="AH2775">
        <v>20.975939890839101</v>
      </c>
      <c r="AI2775">
        <v>93.021650395121895</v>
      </c>
      <c r="AJ2775">
        <v>91.586036344323006</v>
      </c>
      <c r="AK2775">
        <v>21.013193970933202</v>
      </c>
      <c r="AL2775">
        <v>79.653532337493502</v>
      </c>
      <c r="AM2775">
        <v>92.116173852423501</v>
      </c>
      <c r="AN2775">
        <v>0.99999999734279699</v>
      </c>
    </row>
    <row r="2776" spans="1:40" x14ac:dyDescent="0.25">
      <c r="A2776" t="str">
        <f>"20190312172135118"</f>
        <v>20190312172135118</v>
      </c>
      <c r="B2776" t="str">
        <f>"1552382495113316"</f>
        <v>1552382495113316</v>
      </c>
      <c r="C2776" t="s">
        <v>40</v>
      </c>
      <c r="D2776">
        <v>3.0957590000000001</v>
      </c>
      <c r="E2776">
        <v>0.50354049999999995</v>
      </c>
      <c r="F2776" t="s">
        <v>46</v>
      </c>
      <c r="G2776">
        <v>-343.33089999999999</v>
      </c>
      <c r="H2776" s="1">
        <v>2.357324E-7</v>
      </c>
      <c r="I2776">
        <v>282.95209999999997</v>
      </c>
      <c r="J2776">
        <v>-322.21980000000002</v>
      </c>
      <c r="K2776">
        <v>1.1076729999999999</v>
      </c>
      <c r="L2776">
        <v>283.18610000000001</v>
      </c>
      <c r="M2776">
        <v>-0.99980930000000001</v>
      </c>
      <c r="N2776">
        <v>0</v>
      </c>
      <c r="O2776">
        <v>1.7437970000000001E-2</v>
      </c>
      <c r="P2776">
        <v>-0.98502350000000005</v>
      </c>
      <c r="Q2776">
        <v>0.1711743</v>
      </c>
      <c r="R2776">
        <v>-2.0693320000000001E-2</v>
      </c>
      <c r="S2776">
        <v>-3.0723880000000001</v>
      </c>
      <c r="T2776">
        <v>-0.15967210000000001</v>
      </c>
      <c r="U2776">
        <v>-3.3142089999999999E-2</v>
      </c>
      <c r="V2776">
        <v>-3.7051550000000003E-2</v>
      </c>
      <c r="W2776">
        <v>0.17999879999999999</v>
      </c>
      <c r="X2776">
        <v>0.98296870000000003</v>
      </c>
      <c r="Y2776">
        <v>-2.8160910000000001E-2</v>
      </c>
      <c r="Z2776">
        <v>-1.6368839999999999E-3</v>
      </c>
      <c r="AA2776">
        <v>0.99960210000000005</v>
      </c>
      <c r="AB2776">
        <v>38</v>
      </c>
      <c r="AC2776">
        <v>-21.111099999999901</v>
      </c>
      <c r="AD2776">
        <v>-1.1076727642676001</v>
      </c>
      <c r="AE2776">
        <v>-0.23400000000003701</v>
      </c>
      <c r="AF2776">
        <v>-0.60046052523679105</v>
      </c>
      <c r="AG2776">
        <v>-1.1076727642676001</v>
      </c>
      <c r="AH2776">
        <v>21.0458775852081</v>
      </c>
      <c r="AI2776">
        <v>93.011550696479901</v>
      </c>
      <c r="AJ2776">
        <v>91.634264151781693</v>
      </c>
      <c r="AK2776">
        <v>21.0835588819021</v>
      </c>
      <c r="AL2776">
        <v>79.630309307590196</v>
      </c>
      <c r="AM2776">
        <v>92.158657636203003</v>
      </c>
      <c r="AN2776">
        <v>0.99999992526926296</v>
      </c>
    </row>
    <row r="2777" spans="1:40" x14ac:dyDescent="0.25">
      <c r="A2777" t="str">
        <f>"20190312172135138"</f>
        <v>20190312172135138</v>
      </c>
      <c r="B2777" t="str">
        <f>"1552382495133812"</f>
        <v>1552382495133812</v>
      </c>
      <c r="C2777" t="s">
        <v>40</v>
      </c>
      <c r="D2777">
        <v>3.0500120000000002</v>
      </c>
      <c r="E2777">
        <v>0.50353139999999996</v>
      </c>
      <c r="F2777" t="s">
        <v>46</v>
      </c>
      <c r="G2777">
        <v>-343.68189999999998</v>
      </c>
      <c r="H2777" s="1">
        <v>4.2251160000000002E-7</v>
      </c>
      <c r="I2777">
        <v>282.95780000000002</v>
      </c>
      <c r="J2777">
        <v>-322.56549999999999</v>
      </c>
      <c r="K2777">
        <v>1.1076729999999999</v>
      </c>
      <c r="L2777">
        <v>283.19349999999997</v>
      </c>
      <c r="M2777">
        <v>-0.99977859999999996</v>
      </c>
      <c r="N2777">
        <v>0</v>
      </c>
      <c r="O2777">
        <v>1.912268E-2</v>
      </c>
      <c r="P2777">
        <v>-0.98490630000000001</v>
      </c>
      <c r="Q2777">
        <v>0.17189370000000001</v>
      </c>
      <c r="R2777">
        <v>-2.0312E-2</v>
      </c>
      <c r="S2777">
        <v>-3.072479</v>
      </c>
      <c r="T2777">
        <v>-0.15857289999999999</v>
      </c>
      <c r="U2777">
        <v>-3.2684329999999998E-2</v>
      </c>
      <c r="V2777">
        <v>-3.832166E-2</v>
      </c>
      <c r="W2777">
        <v>0.18073239999999999</v>
      </c>
      <c r="X2777">
        <v>0.98278549999999998</v>
      </c>
      <c r="Y2777">
        <v>-2.9692590000000001E-2</v>
      </c>
      <c r="Z2777">
        <v>-1.7519650000000001E-3</v>
      </c>
      <c r="AA2777">
        <v>0.99955760000000005</v>
      </c>
      <c r="AB2777">
        <v>38</v>
      </c>
      <c r="AC2777">
        <v>-21.116399999999999</v>
      </c>
      <c r="AD2777">
        <v>-1.1076725774884</v>
      </c>
      <c r="AE2777">
        <v>-0.235699999999951</v>
      </c>
      <c r="AF2777">
        <v>-0.63772009698712695</v>
      </c>
      <c r="AG2777">
        <v>-1.1076725774884</v>
      </c>
      <c r="AH2777">
        <v>21.0501170839254</v>
      </c>
      <c r="AI2777">
        <v>93.010788956748002</v>
      </c>
      <c r="AJ2777">
        <v>91.735263400041404</v>
      </c>
      <c r="AK2777">
        <v>21.0888846245597</v>
      </c>
      <c r="AL2777">
        <v>79.587577537959802</v>
      </c>
      <c r="AM2777">
        <v>92.232997532749394</v>
      </c>
      <c r="AN2777">
        <v>1.0000000445225801</v>
      </c>
    </row>
    <row r="2778" spans="1:40" x14ac:dyDescent="0.25">
      <c r="A2778" t="str">
        <f>"20190312172135153"</f>
        <v>20190312172135153</v>
      </c>
      <c r="B2778" t="str">
        <f>"1552382495143572"</f>
        <v>1552382495143572</v>
      </c>
      <c r="C2778" t="s">
        <v>40</v>
      </c>
      <c r="D2778">
        <v>3.0697260000000002</v>
      </c>
      <c r="E2778">
        <v>0.50351610000000002</v>
      </c>
      <c r="F2778" t="s">
        <v>46</v>
      </c>
      <c r="G2778">
        <v>-344.23500000000001</v>
      </c>
      <c r="H2778" s="1">
        <v>7.1689459999999997E-7</v>
      </c>
      <c r="I2778">
        <v>282.96730000000002</v>
      </c>
      <c r="J2778">
        <v>-322.8098</v>
      </c>
      <c r="K2778">
        <v>1.1076699999999999</v>
      </c>
      <c r="L2778">
        <v>283.19920000000002</v>
      </c>
      <c r="M2778">
        <v>-0.99975480000000005</v>
      </c>
      <c r="N2778">
        <v>0</v>
      </c>
      <c r="O2778">
        <v>2.031297E-2</v>
      </c>
      <c r="P2778">
        <v>-0.98484050000000001</v>
      </c>
      <c r="Q2778">
        <v>0.17235400000000001</v>
      </c>
      <c r="R2778">
        <v>-1.9577890000000001E-2</v>
      </c>
      <c r="S2778">
        <v>-3.0727229999999999</v>
      </c>
      <c r="T2778">
        <v>-0.15706679999999901</v>
      </c>
      <c r="U2778">
        <v>-3.207397E-2</v>
      </c>
      <c r="V2778">
        <v>-3.875456E-2</v>
      </c>
      <c r="W2778">
        <v>0.1812</v>
      </c>
      <c r="X2778">
        <v>0.98268239999999996</v>
      </c>
      <c r="Y2778">
        <v>-3.0681650000000001E-2</v>
      </c>
      <c r="Z2778">
        <v>-1.821273E-3</v>
      </c>
      <c r="AA2778">
        <v>0.99952759999999996</v>
      </c>
      <c r="AB2778">
        <v>38</v>
      </c>
      <c r="AC2778">
        <v>-21.4252</v>
      </c>
      <c r="AD2778">
        <v>-1.1076692831054</v>
      </c>
      <c r="AE2778">
        <v>-0.231899999999996</v>
      </c>
      <c r="AF2778">
        <v>-0.66530048399891295</v>
      </c>
      <c r="AG2778">
        <v>-1.1076692831054</v>
      </c>
      <c r="AH2778">
        <v>21.358986105669899</v>
      </c>
      <c r="AI2778">
        <v>92.967242404935604</v>
      </c>
      <c r="AJ2778">
        <v>91.784101024073493</v>
      </c>
      <c r="AK2778">
        <v>21.398033634821299</v>
      </c>
      <c r="AL2778">
        <v>79.560336081586797</v>
      </c>
      <c r="AM2778">
        <v>92.258433261233506</v>
      </c>
      <c r="AN2778">
        <v>1.0000000275952701</v>
      </c>
    </row>
    <row r="2779" spans="1:40" x14ac:dyDescent="0.25">
      <c r="A2779" t="str">
        <f>"20190312172135171"</f>
        <v>20190312172135171</v>
      </c>
      <c r="B2779" t="str">
        <f>"1552382495163091"</f>
        <v>1552382495163091</v>
      </c>
      <c r="C2779" t="s">
        <v>40</v>
      </c>
      <c r="D2779">
        <v>3.0460219999999998</v>
      </c>
      <c r="E2779">
        <v>0.50348539999999997</v>
      </c>
      <c r="F2779" t="s">
        <v>46</v>
      </c>
      <c r="G2779">
        <v>-344.64580000000001</v>
      </c>
      <c r="H2779" s="1">
        <v>9.3549529999999998E-7</v>
      </c>
      <c r="I2779">
        <v>282.98509999999999</v>
      </c>
      <c r="J2779">
        <v>-323.12939999999998</v>
      </c>
      <c r="K2779">
        <v>1.107666</v>
      </c>
      <c r="L2779">
        <v>283.20699999999999</v>
      </c>
      <c r="M2779">
        <v>-0.99972190000000005</v>
      </c>
      <c r="N2779">
        <v>0</v>
      </c>
      <c r="O2779">
        <v>2.1869650000000001E-2</v>
      </c>
      <c r="P2779">
        <v>-0.98480679999999998</v>
      </c>
      <c r="Q2779">
        <v>0.17259150000000001</v>
      </c>
      <c r="R2779">
        <v>-1.9179660000000001E-2</v>
      </c>
      <c r="S2779">
        <v>-3.072845</v>
      </c>
      <c r="T2779">
        <v>-0.15587500000000001</v>
      </c>
      <c r="U2779">
        <v>-3.0120850000000001E-2</v>
      </c>
      <c r="V2779">
        <v>-3.9885209999999997E-2</v>
      </c>
      <c r="W2779">
        <v>0.1814508</v>
      </c>
      <c r="X2779">
        <v>0.98259090000000004</v>
      </c>
      <c r="Y2779">
        <v>-3.160015E-2</v>
      </c>
      <c r="Z2779">
        <v>-1.9095900000000001E-3</v>
      </c>
      <c r="AA2779">
        <v>0.99949880000000002</v>
      </c>
      <c r="AB2779">
        <v>38</v>
      </c>
      <c r="AC2779">
        <v>-21.516400000000001</v>
      </c>
      <c r="AD2779">
        <v>-1.1076650645046999</v>
      </c>
      <c r="AE2779">
        <v>-0.22190000000000501</v>
      </c>
      <c r="AF2779">
        <v>-0.69059137020427097</v>
      </c>
      <c r="AG2779">
        <v>-1.1076650645046999</v>
      </c>
      <c r="AH2779">
        <v>21.449561014095998</v>
      </c>
      <c r="AI2779">
        <v>92.954625908428596</v>
      </c>
      <c r="AJ2779">
        <v>91.844061399636402</v>
      </c>
      <c r="AK2779">
        <v>21.489241634668101</v>
      </c>
      <c r="AL2779">
        <v>79.545724314075301</v>
      </c>
      <c r="AM2779">
        <v>92.3244671807755</v>
      </c>
      <c r="AN2779">
        <v>1.0000000497800901</v>
      </c>
    </row>
    <row r="2780" spans="1:40" x14ac:dyDescent="0.25">
      <c r="A2780" t="str">
        <f>"20190312172135184"</f>
        <v>20190312172135184</v>
      </c>
      <c r="B2780" t="str">
        <f>"1552382495173828"</f>
        <v>1552382495173828</v>
      </c>
      <c r="C2780" t="s">
        <v>40</v>
      </c>
      <c r="D2780">
        <v>3.0152040000000002</v>
      </c>
      <c r="E2780">
        <v>0.50345299999999904</v>
      </c>
      <c r="F2780" t="s">
        <v>46</v>
      </c>
      <c r="G2780">
        <v>-345.01139999999998</v>
      </c>
      <c r="H2780" s="1">
        <v>1.130025E-6</v>
      </c>
      <c r="I2780">
        <v>282.99579999999997</v>
      </c>
      <c r="J2780">
        <v>-323.34179999999998</v>
      </c>
      <c r="K2780">
        <v>1.1076649999999999</v>
      </c>
      <c r="L2780">
        <v>283.2124</v>
      </c>
      <c r="M2780">
        <v>-0.9996988</v>
      </c>
      <c r="N2780">
        <v>0</v>
      </c>
      <c r="O2780">
        <v>2.2903300000000001E-2</v>
      </c>
      <c r="P2780">
        <v>-0.9847707</v>
      </c>
      <c r="Q2780">
        <v>0.172846</v>
      </c>
      <c r="R2780">
        <v>-1.8745629999999999E-2</v>
      </c>
      <c r="S2780">
        <v>-3.0729679999999999</v>
      </c>
      <c r="T2780">
        <v>-0.15555359999999999</v>
      </c>
      <c r="U2780">
        <v>-2.966309E-2</v>
      </c>
      <c r="V2780">
        <v>-4.0465139999999997E-2</v>
      </c>
      <c r="W2780">
        <v>0.18171290000000001</v>
      </c>
      <c r="X2780">
        <v>0.98251869999999997</v>
      </c>
      <c r="Y2780">
        <v>-3.2482150000000001E-2</v>
      </c>
      <c r="Z2780">
        <v>-1.9801760000000002E-3</v>
      </c>
      <c r="AA2780">
        <v>0.99947039999999998</v>
      </c>
      <c r="AB2780">
        <v>38</v>
      </c>
      <c r="AC2780">
        <v>-21.669599999999999</v>
      </c>
      <c r="AD2780">
        <v>-1.1076638699750001</v>
      </c>
      <c r="AE2780">
        <v>-0.21660000000002799</v>
      </c>
      <c r="AF2780">
        <v>-0.71101024606992003</v>
      </c>
      <c r="AG2780">
        <v>-1.1076638699750001</v>
      </c>
      <c r="AH2780">
        <v>21.602515792475899</v>
      </c>
      <c r="AI2780">
        <v>92.933671139173995</v>
      </c>
      <c r="AJ2780">
        <v>91.885113103368496</v>
      </c>
      <c r="AK2780">
        <v>21.6425770966176</v>
      </c>
      <c r="AL2780">
        <v>79.530452702345997</v>
      </c>
      <c r="AM2780">
        <v>92.358400091637293</v>
      </c>
      <c r="AN2780">
        <v>1.00000000071565</v>
      </c>
    </row>
    <row r="2781" spans="1:40" x14ac:dyDescent="0.25">
      <c r="A2781" t="str">
        <f>"20190312172135195"</f>
        <v>20190312172135195</v>
      </c>
      <c r="B2781" t="str">
        <f>"1552382495183587"</f>
        <v>1552382495183587</v>
      </c>
      <c r="C2781" t="s">
        <v>40</v>
      </c>
      <c r="D2781">
        <v>3.0219649999999998</v>
      </c>
      <c r="E2781">
        <v>0.50343789999999999</v>
      </c>
      <c r="F2781" t="s">
        <v>46</v>
      </c>
      <c r="G2781">
        <v>-345.30189999999999</v>
      </c>
      <c r="H2781" s="1">
        <v>1.284639E-6</v>
      </c>
      <c r="I2781">
        <v>283.0111</v>
      </c>
      <c r="J2781">
        <v>-323.53019999999998</v>
      </c>
      <c r="K2781">
        <v>1.107667</v>
      </c>
      <c r="L2781">
        <v>283.2174</v>
      </c>
      <c r="M2781">
        <v>-0.99967729999999999</v>
      </c>
      <c r="N2781">
        <v>0</v>
      </c>
      <c r="O2781">
        <v>2.3819650000000001E-2</v>
      </c>
      <c r="P2781">
        <v>-0.98470270000000004</v>
      </c>
      <c r="Q2781">
        <v>0.17327029999999999</v>
      </c>
      <c r="R2781">
        <v>-1.8387190000000001E-2</v>
      </c>
      <c r="S2781">
        <v>-3.073029</v>
      </c>
      <c r="T2781">
        <v>-0.15500249999999999</v>
      </c>
      <c r="U2781">
        <v>-2.816772E-2</v>
      </c>
      <c r="V2781">
        <v>-4.1004329999999999E-2</v>
      </c>
      <c r="W2781">
        <v>0.18214379999999999</v>
      </c>
      <c r="X2781">
        <v>0.98241659999999997</v>
      </c>
      <c r="Y2781">
        <v>-3.2910590000000003E-2</v>
      </c>
      <c r="Z2781">
        <v>-2.0301160000000002E-3</v>
      </c>
      <c r="AA2781">
        <v>0.99945620000000002</v>
      </c>
      <c r="AB2781">
        <v>38</v>
      </c>
      <c r="AC2781">
        <v>-21.771699999999999</v>
      </c>
      <c r="AD2781">
        <v>-1.1076657153609999</v>
      </c>
      <c r="AE2781">
        <v>-0.20629999999999801</v>
      </c>
      <c r="AF2781">
        <v>-0.72298473038631705</v>
      </c>
      <c r="AG2781">
        <v>-1.1076657153609999</v>
      </c>
      <c r="AH2781">
        <v>21.704433203752998</v>
      </c>
      <c r="AI2781">
        <v>92.919885973975397</v>
      </c>
      <c r="AJ2781">
        <v>91.907843542355806</v>
      </c>
      <c r="AK2781">
        <v>21.744701675431902</v>
      </c>
      <c r="AL2781">
        <v>79.505345443341298</v>
      </c>
      <c r="AM2781">
        <v>92.390037188581303</v>
      </c>
      <c r="AN2781">
        <v>1.0000000474563699</v>
      </c>
    </row>
    <row r="2782" spans="1:40" x14ac:dyDescent="0.25">
      <c r="A2782" t="str">
        <f>"20190312172135206"</f>
        <v>20190312172135206</v>
      </c>
      <c r="B2782" t="str">
        <f>"1552382495203107"</f>
        <v>1552382495203107</v>
      </c>
      <c r="C2782" t="s">
        <v>40</v>
      </c>
      <c r="D2782">
        <v>3.042389</v>
      </c>
      <c r="E2782">
        <v>0.50340039999999997</v>
      </c>
      <c r="F2782" t="s">
        <v>46</v>
      </c>
      <c r="G2782">
        <v>-345.63630000000001</v>
      </c>
      <c r="H2782" s="1">
        <v>1.4625749999999999E-6</v>
      </c>
      <c r="I2782">
        <v>283.02050000000003</v>
      </c>
      <c r="J2782">
        <v>-323.71589999999998</v>
      </c>
      <c r="K2782">
        <v>1.1076649999999999</v>
      </c>
      <c r="L2782">
        <v>283.22250000000003</v>
      </c>
      <c r="M2782">
        <v>-0.99965539999999997</v>
      </c>
      <c r="N2782">
        <v>0</v>
      </c>
      <c r="O2782">
        <v>2.4721030000000001E-2</v>
      </c>
      <c r="P2782">
        <v>-0.98462459999999996</v>
      </c>
      <c r="Q2782">
        <v>0.1737658</v>
      </c>
      <c r="R2782">
        <v>-1.7888000000000001E-2</v>
      </c>
      <c r="S2782">
        <v>-3.0731809999999999</v>
      </c>
      <c r="T2782">
        <v>-0.15398680000000001</v>
      </c>
      <c r="U2782">
        <v>-2.7374269999999999E-2</v>
      </c>
      <c r="V2782">
        <v>-4.1387819999999999E-2</v>
      </c>
      <c r="W2782">
        <v>0.18264549999999999</v>
      </c>
      <c r="X2782">
        <v>0.98230729999999999</v>
      </c>
      <c r="Y2782">
        <v>-3.3552319999999997E-2</v>
      </c>
      <c r="Z2782">
        <v>-2.0779290000000001E-3</v>
      </c>
      <c r="AA2782">
        <v>0.99943479999999996</v>
      </c>
      <c r="AB2782">
        <v>38</v>
      </c>
      <c r="AC2782">
        <v>-21.920400000000001</v>
      </c>
      <c r="AD2782">
        <v>-1.1076635374249999</v>
      </c>
      <c r="AE2782">
        <v>-0.20199999999999799</v>
      </c>
      <c r="AF2782">
        <v>-0.74195989066376</v>
      </c>
      <c r="AG2782">
        <v>-1.1076635374249999</v>
      </c>
      <c r="AH2782">
        <v>21.852912034957999</v>
      </c>
      <c r="AI2782">
        <v>92.900012766225998</v>
      </c>
      <c r="AJ2782">
        <v>91.944585066752495</v>
      </c>
      <c r="AK2782">
        <v>21.893542139158502</v>
      </c>
      <c r="AL2782">
        <v>79.476109026942893</v>
      </c>
      <c r="AM2782">
        <v>92.412631654807299</v>
      </c>
      <c r="AN2782">
        <v>0.99999998097394505</v>
      </c>
    </row>
    <row r="2783" spans="1:40" x14ac:dyDescent="0.25">
      <c r="A2783" t="str">
        <f>"20190312172135217"</f>
        <v>20190312172135217</v>
      </c>
      <c r="B2783" t="str">
        <f>"1552382495213844"</f>
        <v>1552382495213844</v>
      </c>
      <c r="C2783" t="s">
        <v>40</v>
      </c>
      <c r="D2783">
        <v>3.0351840000000001</v>
      </c>
      <c r="E2783">
        <v>0.50337359999999998</v>
      </c>
      <c r="F2783" t="s">
        <v>46</v>
      </c>
      <c r="G2783">
        <v>-345.9744</v>
      </c>
      <c r="H2783" s="1">
        <v>1.6425050000000001E-6</v>
      </c>
      <c r="I2783">
        <v>283.03250000000003</v>
      </c>
      <c r="J2783">
        <v>-323.90809999999999</v>
      </c>
      <c r="K2783">
        <v>1.107667</v>
      </c>
      <c r="L2783">
        <v>283.22800000000001</v>
      </c>
      <c r="M2783">
        <v>-0.99963190000000002</v>
      </c>
      <c r="N2783">
        <v>0</v>
      </c>
      <c r="O2783">
        <v>2.5653289999999999E-2</v>
      </c>
      <c r="P2783">
        <v>-0.98457930000000005</v>
      </c>
      <c r="Q2783">
        <v>0.1740756</v>
      </c>
      <c r="R2783">
        <v>-1.7366929999999999E-2</v>
      </c>
      <c r="S2783">
        <v>-3.0733640000000002</v>
      </c>
      <c r="T2783">
        <v>-0.1529412</v>
      </c>
      <c r="U2783">
        <v>-2.624512E-2</v>
      </c>
      <c r="V2783">
        <v>-4.1780640000000001E-2</v>
      </c>
      <c r="W2783">
        <v>0.1829615</v>
      </c>
      <c r="X2783">
        <v>0.98223190000000005</v>
      </c>
      <c r="Y2783">
        <v>-3.4115819999999998E-2</v>
      </c>
      <c r="Z2783">
        <v>-2.124084E-3</v>
      </c>
      <c r="AA2783">
        <v>0.99941559999999896</v>
      </c>
      <c r="AB2783">
        <v>38</v>
      </c>
      <c r="AC2783">
        <v>-22.066299999999998</v>
      </c>
      <c r="AD2783">
        <v>-1.1076653574949999</v>
      </c>
      <c r="AE2783">
        <v>-0.19549999999998099</v>
      </c>
      <c r="AF2783">
        <v>-0.75961702200877901</v>
      </c>
      <c r="AG2783">
        <v>-1.1076653574949999</v>
      </c>
      <c r="AH2783">
        <v>21.9985953114012</v>
      </c>
      <c r="AI2783">
        <v>92.880788102299405</v>
      </c>
      <c r="AJ2783">
        <v>91.977651898680804</v>
      </c>
      <c r="AK2783">
        <v>22.039558440202999</v>
      </c>
      <c r="AL2783">
        <v>79.457693648554894</v>
      </c>
      <c r="AM2783">
        <v>92.435689709164393</v>
      </c>
      <c r="AN2783">
        <v>1.0000000188693301</v>
      </c>
    </row>
    <row r="2784" spans="1:40" x14ac:dyDescent="0.25">
      <c r="A2784" t="str">
        <f>"20190312172135230"</f>
        <v>20190312172135230</v>
      </c>
      <c r="B2784" t="str">
        <f>"1552382495223603"</f>
        <v>1552382495223603</v>
      </c>
      <c r="C2784" t="s">
        <v>40</v>
      </c>
      <c r="D2784">
        <v>3.0197940000000001</v>
      </c>
      <c r="E2784">
        <v>0.50334350000000005</v>
      </c>
      <c r="F2784" t="s">
        <v>46</v>
      </c>
      <c r="G2784">
        <v>-346.24700000000001</v>
      </c>
      <c r="H2784" s="1">
        <v>1.7875620000000001E-6</v>
      </c>
      <c r="I2784">
        <v>283.04590000000002</v>
      </c>
      <c r="J2784">
        <v>-324.12270000000001</v>
      </c>
      <c r="K2784">
        <v>1.107672</v>
      </c>
      <c r="L2784">
        <v>283.23430000000002</v>
      </c>
      <c r="M2784">
        <v>-0.99960479999999996</v>
      </c>
      <c r="N2784">
        <v>0</v>
      </c>
      <c r="O2784">
        <v>2.66874E-2</v>
      </c>
      <c r="P2784">
        <v>-0.98445139999999998</v>
      </c>
      <c r="Q2784">
        <v>0.1748827</v>
      </c>
      <c r="R2784">
        <v>-1.6487169999999999E-2</v>
      </c>
      <c r="S2784">
        <v>-3.0734859999999999</v>
      </c>
      <c r="T2784">
        <v>-0.152397799999999</v>
      </c>
      <c r="U2784">
        <v>-2.505493E-2</v>
      </c>
      <c r="V2784">
        <v>-4.1912360000000003E-2</v>
      </c>
      <c r="W2784">
        <v>0.18377289999999999</v>
      </c>
      <c r="X2784">
        <v>0.98207480000000003</v>
      </c>
      <c r="Y2784">
        <v>-3.4760850000000003E-2</v>
      </c>
      <c r="Z2784">
        <v>-2.1836799999999999E-3</v>
      </c>
      <c r="AA2784">
        <v>0.99939330000000004</v>
      </c>
      <c r="AB2784">
        <v>38</v>
      </c>
      <c r="AC2784">
        <v>-22.124299999999899</v>
      </c>
      <c r="AD2784">
        <v>-1.107670212438</v>
      </c>
      <c r="AE2784">
        <v>-0.18840000000000101</v>
      </c>
      <c r="AF2784">
        <v>-0.77684887805335701</v>
      </c>
      <c r="AG2784">
        <v>-1.107670212438</v>
      </c>
      <c r="AH2784">
        <v>22.056109790583299</v>
      </c>
      <c r="AI2784">
        <v>92.873232143582001</v>
      </c>
      <c r="AJ2784">
        <v>92.017208401967693</v>
      </c>
      <c r="AK2784">
        <v>22.097565625496401</v>
      </c>
      <c r="AL2784">
        <v>79.410401997147304</v>
      </c>
      <c r="AM2784">
        <v>92.443749694196498</v>
      </c>
      <c r="AN2784">
        <v>1.0000000187450999</v>
      </c>
    </row>
    <row r="2785" spans="1:40" x14ac:dyDescent="0.25">
      <c r="A2785" t="str">
        <f>"20190312172135241"</f>
        <v>20190312172135241</v>
      </c>
      <c r="B2785" t="str">
        <f>"1552382495233363"</f>
        <v>1552382495233363</v>
      </c>
      <c r="C2785" t="s">
        <v>40</v>
      </c>
      <c r="D2785">
        <v>3.0376240000000001</v>
      </c>
      <c r="E2785">
        <v>0.50330790000000003</v>
      </c>
      <c r="F2785" t="s">
        <v>46</v>
      </c>
      <c r="G2785">
        <v>-346.80169999999998</v>
      </c>
      <c r="H2785" s="1">
        <v>2.082716E-6</v>
      </c>
      <c r="I2785">
        <v>283.06700000000001</v>
      </c>
      <c r="J2785">
        <v>-324.31560000000002</v>
      </c>
      <c r="K2785">
        <v>1.1076760000000001</v>
      </c>
      <c r="L2785">
        <v>283.24009999999998</v>
      </c>
      <c r="M2785">
        <v>-0.99957949999999995</v>
      </c>
      <c r="N2785">
        <v>0</v>
      </c>
      <c r="O2785">
        <v>2.7614699999999999E-2</v>
      </c>
      <c r="P2785">
        <v>-0.98439540000000003</v>
      </c>
      <c r="Q2785">
        <v>0.17526220000000001</v>
      </c>
      <c r="R2785">
        <v>-1.577872E-2</v>
      </c>
      <c r="S2785">
        <v>-3.073639</v>
      </c>
      <c r="T2785">
        <v>-0.15012010000000001</v>
      </c>
      <c r="U2785">
        <v>-2.267456E-2</v>
      </c>
      <c r="V2785">
        <v>-4.2113919999999999E-2</v>
      </c>
      <c r="W2785">
        <v>0.18415719999999999</v>
      </c>
      <c r="X2785">
        <v>0.98199420000000004</v>
      </c>
      <c r="Y2785">
        <v>-3.4914590000000002E-2</v>
      </c>
      <c r="Z2785">
        <v>-2.1999860000000001E-3</v>
      </c>
      <c r="AA2785">
        <v>0.9993879</v>
      </c>
      <c r="AB2785">
        <v>38</v>
      </c>
      <c r="AC2785">
        <v>-22.486099999999901</v>
      </c>
      <c r="AD2785">
        <v>-1.107673917284</v>
      </c>
      <c r="AE2785">
        <v>-0.173099999999976</v>
      </c>
      <c r="AF2785">
        <v>-0.79208324004158903</v>
      </c>
      <c r="AG2785">
        <v>-1.107673917284</v>
      </c>
      <c r="AH2785">
        <v>22.4183469605798</v>
      </c>
      <c r="AI2785">
        <v>92.826880644347696</v>
      </c>
      <c r="AJ2785">
        <v>92.023528154759205</v>
      </c>
      <c r="AK2785">
        <v>22.4596664670499</v>
      </c>
      <c r="AL2785">
        <v>79.388001054928495</v>
      </c>
      <c r="AM2785">
        <v>92.4556888324868</v>
      </c>
      <c r="AN2785">
        <v>1.0000000327016201</v>
      </c>
    </row>
    <row r="2786" spans="1:40" x14ac:dyDescent="0.25">
      <c r="A2786" t="str">
        <f>"20190312172135252"</f>
        <v>20190312172135252</v>
      </c>
      <c r="B2786" t="str">
        <f>"1552382495243124"</f>
        <v>1552382495243124</v>
      </c>
      <c r="C2786" t="s">
        <v>40</v>
      </c>
      <c r="D2786">
        <v>3.0048689999999998</v>
      </c>
      <c r="E2786">
        <v>0.50328869999999903</v>
      </c>
      <c r="F2786" t="s">
        <v>46</v>
      </c>
      <c r="G2786">
        <v>-347.13830000000002</v>
      </c>
      <c r="H2786" s="1">
        <v>2.2618859999999999E-6</v>
      </c>
      <c r="I2786">
        <v>283.0849</v>
      </c>
      <c r="J2786">
        <v>-324.5138</v>
      </c>
      <c r="K2786">
        <v>1.1076809999999999</v>
      </c>
      <c r="L2786">
        <v>283.24630000000002</v>
      </c>
      <c r="M2786">
        <v>-0.99955300000000002</v>
      </c>
      <c r="N2786">
        <v>0</v>
      </c>
      <c r="O2786">
        <v>2.8557530000000001E-2</v>
      </c>
      <c r="P2786">
        <v>-0.98432799999999998</v>
      </c>
      <c r="Q2786">
        <v>0.17571139999999999</v>
      </c>
      <c r="R2786">
        <v>-1.4977590000000001E-2</v>
      </c>
      <c r="S2786">
        <v>-3.0738219999999998</v>
      </c>
      <c r="T2786">
        <v>-0.14918380000000001</v>
      </c>
      <c r="U2786">
        <v>-2.0904539999999999E-2</v>
      </c>
      <c r="V2786">
        <v>-4.2239029999999997E-2</v>
      </c>
      <c r="W2786">
        <v>0.18461140000000001</v>
      </c>
      <c r="X2786">
        <v>0.98190350000000004</v>
      </c>
      <c r="Y2786">
        <v>-3.5280760000000001E-2</v>
      </c>
      <c r="Z2786">
        <v>-2.2407550000000001E-3</v>
      </c>
      <c r="AA2786">
        <v>0.99937489999999995</v>
      </c>
      <c r="AB2786">
        <v>38</v>
      </c>
      <c r="AC2786">
        <v>-22.624500000000001</v>
      </c>
      <c r="AD2786">
        <v>-1.1076787381140001</v>
      </c>
      <c r="AE2786">
        <v>-0.161400000000014</v>
      </c>
      <c r="AF2786">
        <v>-0.80552853043154404</v>
      </c>
      <c r="AG2786">
        <v>-1.1076787381140001</v>
      </c>
      <c r="AH2786">
        <v>22.5565969088568</v>
      </c>
      <c r="AI2786">
        <v>92.809556908809896</v>
      </c>
      <c r="AJ2786">
        <v>92.045245581464499</v>
      </c>
      <c r="AK2786">
        <v>22.598139138187001</v>
      </c>
      <c r="AL2786">
        <v>79.361522914795501</v>
      </c>
      <c r="AM2786">
        <v>92.463202332467006</v>
      </c>
      <c r="AN2786">
        <v>0.99999999398877504</v>
      </c>
    </row>
    <row r="2787" spans="1:40" x14ac:dyDescent="0.25">
      <c r="A2787" t="str">
        <f>"20190312172135264"</f>
        <v>20190312172135264</v>
      </c>
      <c r="B2787" t="str">
        <f>"1552382495253859"</f>
        <v>1552382495253859</v>
      </c>
      <c r="C2787" t="s">
        <v>40</v>
      </c>
      <c r="D2787">
        <v>3.0261330000000002</v>
      </c>
      <c r="E2787">
        <v>0.50326479999999996</v>
      </c>
      <c r="F2787" t="s">
        <v>46</v>
      </c>
      <c r="G2787">
        <v>-347.52179999999998</v>
      </c>
      <c r="H2787" s="1">
        <v>2.465925E-6</v>
      </c>
      <c r="I2787">
        <v>283.10750000000002</v>
      </c>
      <c r="J2787">
        <v>-324.70510000000002</v>
      </c>
      <c r="K2787">
        <v>1.1076889999999999</v>
      </c>
      <c r="L2787">
        <v>283.2525</v>
      </c>
      <c r="M2787">
        <v>-0.99952669999999999</v>
      </c>
      <c r="N2787">
        <v>0</v>
      </c>
      <c r="O2787">
        <v>2.9462329999999998E-2</v>
      </c>
      <c r="P2787">
        <v>-0.98433419999999905</v>
      </c>
      <c r="Q2787">
        <v>0.1757232</v>
      </c>
      <c r="R2787">
        <v>-1.4416119999999999E-2</v>
      </c>
      <c r="S2787">
        <v>-3.073944</v>
      </c>
      <c r="T2787">
        <v>-0.14798939999999999</v>
      </c>
      <c r="U2787">
        <v>-1.8554689999999999E-2</v>
      </c>
      <c r="V2787">
        <v>-4.257085E-2</v>
      </c>
      <c r="W2787">
        <v>0.18462780000000001</v>
      </c>
      <c r="X2787">
        <v>0.98188609999999998</v>
      </c>
      <c r="Y2787">
        <v>-3.54212E-2</v>
      </c>
      <c r="Z2787">
        <v>-2.269652E-3</v>
      </c>
      <c r="AA2787">
        <v>0.99936990000000003</v>
      </c>
      <c r="AB2787">
        <v>38</v>
      </c>
      <c r="AC2787">
        <v>-22.816699999999901</v>
      </c>
      <c r="AD2787">
        <v>-1.107686534075</v>
      </c>
      <c r="AE2787">
        <v>-0.14499999999998101</v>
      </c>
      <c r="AF2787">
        <v>-0.81527514295974401</v>
      </c>
      <c r="AG2787">
        <v>-1.107686534075</v>
      </c>
      <c r="AH2787">
        <v>22.748908966322698</v>
      </c>
      <c r="AI2787">
        <v>92.785850380946599</v>
      </c>
      <c r="AJ2787">
        <v>92.052487088973507</v>
      </c>
      <c r="AK2787">
        <v>22.790447608033901</v>
      </c>
      <c r="AL2787">
        <v>79.360566975315095</v>
      </c>
      <c r="AM2787">
        <v>92.482572500306006</v>
      </c>
      <c r="AN2787">
        <v>1.0000000075878801</v>
      </c>
    </row>
    <row r="2788" spans="1:40" x14ac:dyDescent="0.25">
      <c r="A2788" t="str">
        <f>"20190312172135276"</f>
        <v>20190312172135276</v>
      </c>
      <c r="B2788" t="str">
        <f>"1552382495273379"</f>
        <v>1552382495273379</v>
      </c>
      <c r="C2788" t="s">
        <v>40</v>
      </c>
      <c r="D2788">
        <v>3.0276239999999999</v>
      </c>
      <c r="E2788">
        <v>0.50323739999999995</v>
      </c>
      <c r="F2788" t="s">
        <v>46</v>
      </c>
      <c r="G2788">
        <v>-347.66969999999998</v>
      </c>
      <c r="H2788" s="1">
        <v>2.5446550000000002E-6</v>
      </c>
      <c r="I2788">
        <v>283.12799999999999</v>
      </c>
      <c r="J2788">
        <v>-324.91640000000001</v>
      </c>
      <c r="K2788">
        <v>1.1076969999999999</v>
      </c>
      <c r="L2788">
        <v>283.2595</v>
      </c>
      <c r="M2788">
        <v>-0.99949699999999997</v>
      </c>
      <c r="N2788">
        <v>0</v>
      </c>
      <c r="O2788">
        <v>3.04514E-2</v>
      </c>
      <c r="P2788">
        <v>-0.98431000000000002</v>
      </c>
      <c r="Q2788">
        <v>0.17592439999999901</v>
      </c>
      <c r="R2788">
        <v>-1.3588060000000001E-2</v>
      </c>
      <c r="S2788">
        <v>-3.0739749999999999</v>
      </c>
      <c r="T2788">
        <v>-0.1482716</v>
      </c>
      <c r="U2788">
        <v>-1.6662599999999899E-2</v>
      </c>
      <c r="V2788">
        <v>-4.2719460000000001E-2</v>
      </c>
      <c r="W2788">
        <v>0.18483350000000001</v>
      </c>
      <c r="X2788">
        <v>0.98184099999999996</v>
      </c>
      <c r="Y2788">
        <v>-3.5793079999999998E-2</v>
      </c>
      <c r="Z2788">
        <v>-2.3305840000000001E-3</v>
      </c>
      <c r="AA2788">
        <v>0.99935649999999998</v>
      </c>
      <c r="AB2788">
        <v>38</v>
      </c>
      <c r="AC2788">
        <v>-22.7532999999999</v>
      </c>
      <c r="AD2788">
        <v>-1.1076944553450001</v>
      </c>
      <c r="AE2788">
        <v>-0.13150000000001599</v>
      </c>
      <c r="AF2788">
        <v>-0.82238702927087803</v>
      </c>
      <c r="AG2788">
        <v>-1.1076944553450001</v>
      </c>
      <c r="AH2788">
        <v>22.684980821236199</v>
      </c>
      <c r="AI2788">
        <v>92.793667043895695</v>
      </c>
      <c r="AJ2788">
        <v>92.0762054182036</v>
      </c>
      <c r="AK2788">
        <v>22.726892930890699</v>
      </c>
      <c r="AL2788">
        <v>79.348575426899501</v>
      </c>
      <c r="AM2788">
        <v>92.491342267418503</v>
      </c>
      <c r="AN2788">
        <v>1.0000000621329601</v>
      </c>
    </row>
    <row r="2789" spans="1:40" x14ac:dyDescent="0.25">
      <c r="A2789" t="str">
        <f>"20190312172135288"</f>
        <v>20190312172135288</v>
      </c>
      <c r="B2789" t="str">
        <f>"1552382495283140"</f>
        <v>1552382495283140</v>
      </c>
      <c r="C2789" t="s">
        <v>40</v>
      </c>
      <c r="D2789">
        <v>3.007228</v>
      </c>
      <c r="E2789">
        <v>0.50322730000000004</v>
      </c>
      <c r="F2789" t="s">
        <v>46</v>
      </c>
      <c r="G2789">
        <v>-347.91969999999998</v>
      </c>
      <c r="H2789" s="1">
        <v>2.677694E-6</v>
      </c>
      <c r="I2789">
        <v>283.1533</v>
      </c>
      <c r="J2789">
        <v>-325.11529999999999</v>
      </c>
      <c r="K2789">
        <v>1.10771</v>
      </c>
      <c r="L2789">
        <v>283.26620000000003</v>
      </c>
      <c r="M2789">
        <v>-0.99946860000000004</v>
      </c>
      <c r="N2789">
        <v>0</v>
      </c>
      <c r="O2789">
        <v>3.1367550000000001E-2</v>
      </c>
      <c r="P2789">
        <v>-0.98436330000000005</v>
      </c>
      <c r="Q2789">
        <v>0.17567459999999999</v>
      </c>
      <c r="R2789">
        <v>-1.295525E-2</v>
      </c>
      <c r="S2789">
        <v>-3.074036</v>
      </c>
      <c r="T2789">
        <v>-0.14802580000000001</v>
      </c>
      <c r="U2789">
        <v>-1.4190670000000001E-2</v>
      </c>
      <c r="V2789">
        <v>-4.2995829999999999E-2</v>
      </c>
      <c r="W2789">
        <v>0.18458840000000001</v>
      </c>
      <c r="X2789">
        <v>0.98187500000000005</v>
      </c>
      <c r="Y2789">
        <v>-3.5904480000000003E-2</v>
      </c>
      <c r="Z2789">
        <v>-2.373436E-3</v>
      </c>
      <c r="AA2789">
        <v>0.99935240000000003</v>
      </c>
      <c r="AB2789">
        <v>38</v>
      </c>
      <c r="AC2789">
        <v>-22.804399999999902</v>
      </c>
      <c r="AD2789">
        <v>-1.1077073223060001</v>
      </c>
      <c r="AE2789">
        <v>-0.112900000000024</v>
      </c>
      <c r="AF2789">
        <v>-0.82624127233302003</v>
      </c>
      <c r="AG2789">
        <v>-1.1077073223060001</v>
      </c>
      <c r="AH2789">
        <v>22.735992565450299</v>
      </c>
      <c r="AI2789">
        <v>92.7874323440045</v>
      </c>
      <c r="AJ2789">
        <v>92.081251315265405</v>
      </c>
      <c r="AK2789">
        <v>22.777950919435401</v>
      </c>
      <c r="AL2789">
        <v>79.362864011834802</v>
      </c>
      <c r="AM2789">
        <v>92.507352578462005</v>
      </c>
      <c r="AN2789">
        <v>1.00000001721847</v>
      </c>
    </row>
    <row r="2790" spans="1:40" x14ac:dyDescent="0.25">
      <c r="A2790" t="str">
        <f>"20190312172135299"</f>
        <v>20190312172135299</v>
      </c>
      <c r="B2790" t="str">
        <f>"1552382495293876"</f>
        <v>1552382495293876</v>
      </c>
      <c r="C2790" t="s">
        <v>40</v>
      </c>
      <c r="D2790">
        <v>2.9999660000000001</v>
      </c>
      <c r="E2790">
        <v>0.50317420000000002</v>
      </c>
      <c r="F2790" t="s">
        <v>46</v>
      </c>
      <c r="G2790">
        <v>-347.98469999999998</v>
      </c>
      <c r="H2790" s="1">
        <v>2.7122879999999999E-6</v>
      </c>
      <c r="I2790">
        <v>283.17840000000001</v>
      </c>
      <c r="J2790">
        <v>-325.3125</v>
      </c>
      <c r="K2790">
        <v>1.107723</v>
      </c>
      <c r="L2790">
        <v>283.27300000000002</v>
      </c>
      <c r="M2790">
        <v>-0.99943979999999999</v>
      </c>
      <c r="N2790">
        <v>0</v>
      </c>
      <c r="O2790">
        <v>3.2269020000000002E-2</v>
      </c>
      <c r="P2790">
        <v>-0.98440910000000004</v>
      </c>
      <c r="Q2790">
        <v>0.17545250000000001</v>
      </c>
      <c r="R2790">
        <v>-1.2466410000000001E-2</v>
      </c>
      <c r="S2790">
        <v>-3.074036</v>
      </c>
      <c r="T2790">
        <v>-0.14889459999999999</v>
      </c>
      <c r="U2790">
        <v>-1.1810299999999999E-2</v>
      </c>
      <c r="V2790">
        <v>-4.3403539999999997E-2</v>
      </c>
      <c r="W2790">
        <v>0.18437190000000001</v>
      </c>
      <c r="X2790">
        <v>0.98189769999999998</v>
      </c>
      <c r="Y2790">
        <v>-3.6029930000000002E-2</v>
      </c>
      <c r="Z2790">
        <v>-2.4340120000000002E-3</v>
      </c>
      <c r="AA2790">
        <v>0.99934769999999995</v>
      </c>
      <c r="AB2790">
        <v>38</v>
      </c>
      <c r="AC2790">
        <v>-22.672199999999901</v>
      </c>
      <c r="AD2790">
        <v>-1.107720287712</v>
      </c>
      <c r="AE2790">
        <v>-9.4599999999957093E-2</v>
      </c>
      <c r="AF2790">
        <v>-0.82422175556180099</v>
      </c>
      <c r="AG2790">
        <v>-1.107720287712</v>
      </c>
      <c r="AH2790">
        <v>22.603383181881</v>
      </c>
      <c r="AI2790">
        <v>92.803779776238201</v>
      </c>
      <c r="AJ2790">
        <v>92.088338433111304</v>
      </c>
      <c r="AK2790">
        <v>22.645514279986902</v>
      </c>
      <c r="AL2790">
        <v>79.375484764063401</v>
      </c>
      <c r="AM2790">
        <v>92.531039453302199</v>
      </c>
      <c r="AN2790">
        <v>0.99999997902971505</v>
      </c>
    </row>
    <row r="2791" spans="1:40" x14ac:dyDescent="0.25">
      <c r="A2791" t="str">
        <f>"20190312172135311"</f>
        <v>20190312172135311</v>
      </c>
      <c r="B2791" t="str">
        <f>"1552382495303636"</f>
        <v>1552382495303636</v>
      </c>
      <c r="C2791" t="s">
        <v>40</v>
      </c>
      <c r="D2791">
        <v>2.9956070000000001</v>
      </c>
      <c r="E2791">
        <v>0.50319619999999998</v>
      </c>
      <c r="F2791" t="s">
        <v>46</v>
      </c>
      <c r="G2791">
        <v>-348.06130000000002</v>
      </c>
      <c r="H2791" s="1">
        <v>2.7530390000000002E-6</v>
      </c>
      <c r="I2791">
        <v>283.19709999999998</v>
      </c>
      <c r="J2791">
        <v>-325.50529999999998</v>
      </c>
      <c r="K2791">
        <v>1.1077440000000001</v>
      </c>
      <c r="L2791">
        <v>283.27999999999997</v>
      </c>
      <c r="M2791">
        <v>-0.99941190000000002</v>
      </c>
      <c r="N2791">
        <v>0</v>
      </c>
      <c r="O2791">
        <v>3.3120520000000001E-2</v>
      </c>
      <c r="P2791">
        <v>-0.98438479999999995</v>
      </c>
      <c r="Q2791">
        <v>0.1756229</v>
      </c>
      <c r="R2791">
        <v>-1.19758E-2</v>
      </c>
      <c r="S2791">
        <v>-3.074036</v>
      </c>
      <c r="T2791">
        <v>-0.1496857</v>
      </c>
      <c r="U2791">
        <v>-1.025391E-2</v>
      </c>
      <c r="V2791">
        <v>-4.3758400000000003E-2</v>
      </c>
      <c r="W2791">
        <v>0.18454580000000001</v>
      </c>
      <c r="X2791">
        <v>0.98184930000000004</v>
      </c>
      <c r="Y2791">
        <v>-3.637311E-2</v>
      </c>
      <c r="Z2791">
        <v>-2.4967029999999999E-3</v>
      </c>
      <c r="AA2791">
        <v>0.99933519999999998</v>
      </c>
      <c r="AB2791">
        <v>38</v>
      </c>
      <c r="AC2791">
        <v>-22.556000000000001</v>
      </c>
      <c r="AD2791">
        <v>-1.107741246961</v>
      </c>
      <c r="AE2791">
        <v>-8.2899999999995005E-2</v>
      </c>
      <c r="AF2791">
        <v>-0.82795354886336303</v>
      </c>
      <c r="AG2791">
        <v>-1.107741246961</v>
      </c>
      <c r="AH2791">
        <v>22.486644261104299</v>
      </c>
      <c r="AI2791">
        <v>92.818328790316798</v>
      </c>
      <c r="AJ2791">
        <v>92.108666084510602</v>
      </c>
      <c r="AK2791">
        <v>22.529131538404801</v>
      </c>
      <c r="AL2791">
        <v>79.365347280967399</v>
      </c>
      <c r="AM2791">
        <v>92.551831182092698</v>
      </c>
      <c r="AN2791">
        <v>0.99999999888934499</v>
      </c>
    </row>
    <row r="2792" spans="1:40" x14ac:dyDescent="0.25">
      <c r="A2792" t="str">
        <f>"20190312172135323"</f>
        <v>20190312172135323</v>
      </c>
      <c r="B2792" t="str">
        <f>"1552382495313396"</f>
        <v>1552382495313396</v>
      </c>
      <c r="C2792" t="s">
        <v>40</v>
      </c>
      <c r="D2792">
        <v>3.0193409999999998</v>
      </c>
      <c r="E2792">
        <v>0.50319619999999998</v>
      </c>
      <c r="F2792" t="s">
        <v>46</v>
      </c>
      <c r="G2792">
        <v>-348.3537</v>
      </c>
      <c r="H2792" s="1">
        <v>2.9086540000000002E-6</v>
      </c>
      <c r="I2792">
        <v>283.2183</v>
      </c>
      <c r="J2792">
        <v>-325.71010000000001</v>
      </c>
      <c r="K2792">
        <v>1.107769</v>
      </c>
      <c r="L2792">
        <v>283.28739999999999</v>
      </c>
      <c r="M2792">
        <v>-0.99938210000000005</v>
      </c>
      <c r="N2792">
        <v>0</v>
      </c>
      <c r="O2792">
        <v>3.4013109999999999E-2</v>
      </c>
      <c r="P2792">
        <v>-0.9843845</v>
      </c>
      <c r="Q2792">
        <v>0.1756569</v>
      </c>
      <c r="R2792">
        <v>-1.1501890000000001E-2</v>
      </c>
      <c r="S2792">
        <v>-3.074036</v>
      </c>
      <c r="T2792">
        <v>-0.1490361</v>
      </c>
      <c r="U2792">
        <v>-8.3007810000000001E-3</v>
      </c>
      <c r="V2792">
        <v>-4.4173820000000003E-2</v>
      </c>
      <c r="W2792">
        <v>0.18458279999999999</v>
      </c>
      <c r="X2792">
        <v>0.98182369999999997</v>
      </c>
      <c r="Y2792">
        <v>-3.6630080000000002E-2</v>
      </c>
      <c r="Z2792">
        <v>-2.5353369999999999E-3</v>
      </c>
      <c r="AA2792">
        <v>0.99932569999999998</v>
      </c>
      <c r="AB2792">
        <v>38</v>
      </c>
      <c r="AC2792">
        <v>-22.6435999999999</v>
      </c>
      <c r="AD2792">
        <v>-1.1077660913459999</v>
      </c>
      <c r="AE2792">
        <v>-6.9099999999991696E-2</v>
      </c>
      <c r="AF2792">
        <v>-0.83726566744139297</v>
      </c>
      <c r="AG2792">
        <v>-1.1077660913459999</v>
      </c>
      <c r="AH2792">
        <v>22.574119548236499</v>
      </c>
      <c r="AI2792">
        <v>92.807460152053494</v>
      </c>
      <c r="AJ2792">
        <v>92.124105429716593</v>
      </c>
      <c r="AK2792">
        <v>22.6167865287951</v>
      </c>
      <c r="AL2792">
        <v>79.363189831724696</v>
      </c>
      <c r="AM2792">
        <v>92.576091565873398</v>
      </c>
      <c r="AN2792">
        <v>0.99999995715545997</v>
      </c>
    </row>
    <row r="2793" spans="1:40" x14ac:dyDescent="0.25">
      <c r="A2793" t="str">
        <f>"20190312172135335"</f>
        <v>20190312172135335</v>
      </c>
      <c r="B2793" t="str">
        <f>"1552382495323156"</f>
        <v>1552382495323156</v>
      </c>
      <c r="C2793" t="s">
        <v>40</v>
      </c>
      <c r="D2793">
        <v>3.0613739999999998</v>
      </c>
      <c r="E2793">
        <v>0.50317559999999995</v>
      </c>
      <c r="F2793" t="s">
        <v>46</v>
      </c>
      <c r="G2793">
        <v>-348.5822</v>
      </c>
      <c r="H2793" s="1">
        <v>3.0302440000000002E-6</v>
      </c>
      <c r="I2793">
        <v>283.23950000000002</v>
      </c>
      <c r="J2793">
        <v>-325.93130000000002</v>
      </c>
      <c r="K2793">
        <v>1.1078030000000001</v>
      </c>
      <c r="L2793">
        <v>283.29570000000001</v>
      </c>
      <c r="M2793">
        <v>-0.99934979999999995</v>
      </c>
      <c r="N2793">
        <v>0</v>
      </c>
      <c r="O2793">
        <v>3.4943920000000003E-2</v>
      </c>
      <c r="P2793">
        <v>-0.98439880000000002</v>
      </c>
      <c r="Q2793">
        <v>0.1756202</v>
      </c>
      <c r="R2793">
        <v>-1.0800229999999999E-2</v>
      </c>
      <c r="S2793">
        <v>-3.0740970000000001</v>
      </c>
      <c r="T2793">
        <v>-0.14888760000000001</v>
      </c>
      <c r="U2793">
        <v>-6.4392090000000004E-3</v>
      </c>
      <c r="V2793">
        <v>-4.4403980000000003E-2</v>
      </c>
      <c r="W2793">
        <v>0.18454899999999999</v>
      </c>
      <c r="X2793">
        <v>0.98181969999999996</v>
      </c>
      <c r="Y2793">
        <v>-3.6954340000000002E-2</v>
      </c>
      <c r="Z2793">
        <v>-2.5856479999999999E-3</v>
      </c>
      <c r="AA2793">
        <v>0.99931360000000002</v>
      </c>
      <c r="AB2793">
        <v>38</v>
      </c>
      <c r="AC2793">
        <v>-22.650899999999901</v>
      </c>
      <c r="AD2793">
        <v>-1.1077999697559999</v>
      </c>
      <c r="AE2793">
        <v>-5.61999999999898E-2</v>
      </c>
      <c r="AF2793">
        <v>-0.84568531587825202</v>
      </c>
      <c r="AG2793">
        <v>-1.1077999697559999</v>
      </c>
      <c r="AH2793">
        <v>22.581089042387301</v>
      </c>
      <c r="AI2793">
        <v>92.806643037599201</v>
      </c>
      <c r="AJ2793">
        <v>92.144784279929894</v>
      </c>
      <c r="AK2793">
        <v>22.6240576989785</v>
      </c>
      <c r="AL2793">
        <v>79.365160581574997</v>
      </c>
      <c r="AM2793">
        <v>92.589506155067596</v>
      </c>
      <c r="AN2793">
        <v>0.99999998507446497</v>
      </c>
    </row>
    <row r="2794" spans="1:40" x14ac:dyDescent="0.25">
      <c r="A2794" t="str">
        <f>"20190312172135351"</f>
        <v>20190312172135351</v>
      </c>
      <c r="B2794" t="str">
        <f>"1552382495343651"</f>
        <v>1552382495343651</v>
      </c>
      <c r="C2794" t="s">
        <v>40</v>
      </c>
      <c r="D2794">
        <v>2.7610169999999998</v>
      </c>
      <c r="E2794">
        <v>0.50315880000000002</v>
      </c>
      <c r="F2794" t="s">
        <v>46</v>
      </c>
      <c r="G2794">
        <v>-349.29419999999999</v>
      </c>
      <c r="H2794" s="1">
        <v>3.4091269999999998E-6</v>
      </c>
      <c r="I2794">
        <v>283.26319999999998</v>
      </c>
      <c r="J2794">
        <v>-326.18689999999998</v>
      </c>
      <c r="K2794">
        <v>1.10785</v>
      </c>
      <c r="L2794">
        <v>283.30549999999999</v>
      </c>
      <c r="M2794">
        <v>-0.99931309999999995</v>
      </c>
      <c r="N2794">
        <v>0</v>
      </c>
      <c r="O2794">
        <v>3.5977420000000003E-2</v>
      </c>
      <c r="P2794">
        <v>-0.9842959</v>
      </c>
      <c r="Q2794">
        <v>0.17621819999999999</v>
      </c>
      <c r="R2794">
        <v>-1.0436050000000001E-2</v>
      </c>
      <c r="S2794">
        <v>-3.0734859999999999</v>
      </c>
      <c r="T2794">
        <v>-0.14573559999999999</v>
      </c>
      <c r="U2794">
        <v>-4.272461E-3</v>
      </c>
      <c r="V2794">
        <v>-4.5071079999999999E-2</v>
      </c>
      <c r="W2794">
        <v>0.18514890000000001</v>
      </c>
      <c r="X2794">
        <v>0.98167629999999995</v>
      </c>
      <c r="Y2794">
        <v>-3.7285699999999998E-2</v>
      </c>
      <c r="Z2794">
        <v>-2.5882779999999998E-3</v>
      </c>
      <c r="AA2794">
        <v>0.99930129999999995</v>
      </c>
      <c r="AB2794">
        <v>38</v>
      </c>
      <c r="AC2794">
        <v>-23.107299999999999</v>
      </c>
      <c r="AD2794">
        <v>-1.107846590873</v>
      </c>
      <c r="AE2794">
        <v>-4.2300000000011502E-2</v>
      </c>
      <c r="AF2794">
        <v>-0.87164293073305898</v>
      </c>
      <c r="AG2794">
        <v>-1.107846590873</v>
      </c>
      <c r="AH2794">
        <v>23.037862975606899</v>
      </c>
      <c r="AI2794">
        <v>92.751157736993605</v>
      </c>
      <c r="AJ2794">
        <v>92.166765693115593</v>
      </c>
      <c r="AK2794">
        <v>23.080949199511799</v>
      </c>
      <c r="AL2794">
        <v>79.330185614181303</v>
      </c>
      <c r="AM2794">
        <v>92.628738665206001</v>
      </c>
      <c r="AN2794">
        <v>0.99999993770263096</v>
      </c>
    </row>
    <row r="2795" spans="1:40" x14ac:dyDescent="0.25">
      <c r="A2795" t="str">
        <f>"20190312172135394"</f>
        <v>20190312172135394</v>
      </c>
      <c r="B2795" t="str">
        <f>"1552382495383668"</f>
        <v>1552382495383668</v>
      </c>
      <c r="C2795" t="s">
        <v>40</v>
      </c>
      <c r="D2795">
        <v>2.9791699999999999</v>
      </c>
      <c r="E2795">
        <v>0.50328830000000002</v>
      </c>
      <c r="F2795" t="s">
        <v>46</v>
      </c>
      <c r="G2795">
        <v>-350.2115</v>
      </c>
      <c r="H2795" s="1">
        <v>-1.424237E-6</v>
      </c>
      <c r="I2795">
        <v>283.2783</v>
      </c>
      <c r="J2795">
        <v>-326.93419999999998</v>
      </c>
      <c r="K2795">
        <v>1.108017</v>
      </c>
      <c r="L2795">
        <v>283.33519999999999</v>
      </c>
      <c r="M2795">
        <v>-0.99921070000000001</v>
      </c>
      <c r="N2795">
        <v>0</v>
      </c>
      <c r="O2795">
        <v>3.8712679999999999E-2</v>
      </c>
      <c r="P2795">
        <v>-0.98426360000000002</v>
      </c>
      <c r="Q2795">
        <v>0.17646429999999999</v>
      </c>
      <c r="R2795">
        <v>-9.2593380000000006E-3</v>
      </c>
      <c r="S2795">
        <v>-3.0732119999999998</v>
      </c>
      <c r="T2795">
        <v>-0.14171529999999999</v>
      </c>
      <c r="U2795">
        <v>-3.479004E-3</v>
      </c>
      <c r="V2795">
        <v>-4.6660350000000003E-2</v>
      </c>
      <c r="W2795">
        <v>0.18539630000000001</v>
      </c>
      <c r="X2795">
        <v>0.98155539999999997</v>
      </c>
      <c r="Y2795">
        <v>-3.9761999999999999E-2</v>
      </c>
      <c r="Z2795">
        <v>-2.7002469999999998E-3</v>
      </c>
      <c r="AA2795">
        <v>0.99920549999999997</v>
      </c>
      <c r="AB2795">
        <v>38</v>
      </c>
      <c r="AC2795">
        <v>-23.2773</v>
      </c>
      <c r="AD2795">
        <v>-1.1080184242369999</v>
      </c>
      <c r="AE2795">
        <v>-5.6899999999984602E-2</v>
      </c>
      <c r="AF2795">
        <v>-0.95585394706613402</v>
      </c>
      <c r="AG2795">
        <v>-1.1080184242369999</v>
      </c>
      <c r="AH2795">
        <v>23.205068123649799</v>
      </c>
      <c r="AI2795">
        <v>92.731426128387696</v>
      </c>
      <c r="AJ2795">
        <v>92.358771509511001</v>
      </c>
      <c r="AK2795">
        <v>23.2511622982551</v>
      </c>
      <c r="AL2795">
        <v>79.315761467837802</v>
      </c>
      <c r="AM2795">
        <v>92.721629420512897</v>
      </c>
      <c r="AN2795">
        <v>0.99999998979248605</v>
      </c>
    </row>
    <row r="2796" spans="1:40" x14ac:dyDescent="0.25">
      <c r="A2796" t="str">
        <f>"20190312172135406"</f>
        <v>20190312172135406</v>
      </c>
      <c r="B2796" t="str">
        <f>"1552382495403188"</f>
        <v>1552382495403188</v>
      </c>
      <c r="C2796" t="s">
        <v>40</v>
      </c>
      <c r="D2796">
        <v>2.9890400000000001</v>
      </c>
      <c r="E2796">
        <v>0.52982559999999901</v>
      </c>
      <c r="F2796" t="s">
        <v>46</v>
      </c>
      <c r="G2796">
        <v>-350.8109</v>
      </c>
      <c r="H2796" s="1">
        <v>-1.1052959999999999E-6</v>
      </c>
      <c r="I2796">
        <v>283.34089999999998</v>
      </c>
      <c r="J2796">
        <v>-327.13479999999998</v>
      </c>
      <c r="K2796">
        <v>1.1080749999999999</v>
      </c>
      <c r="L2796">
        <v>283.34350000000001</v>
      </c>
      <c r="M2796">
        <v>-0.99918560000000001</v>
      </c>
      <c r="N2796">
        <v>0</v>
      </c>
      <c r="O2796">
        <v>3.9354819999999999E-2</v>
      </c>
      <c r="P2796">
        <v>-0.98427339999999997</v>
      </c>
      <c r="Q2796">
        <v>0.17641670000000001</v>
      </c>
      <c r="R2796">
        <v>-9.1247529999999993E-3</v>
      </c>
      <c r="S2796">
        <v>-3.073547</v>
      </c>
      <c r="T2796">
        <v>-0.1426308</v>
      </c>
      <c r="U2796">
        <v>7.3242190000000001E-4</v>
      </c>
      <c r="V2796">
        <v>-4.7184049999999998E-2</v>
      </c>
      <c r="W2796">
        <v>0.18534800000000001</v>
      </c>
      <c r="X2796">
        <v>0.98153950000000001</v>
      </c>
      <c r="Y2796">
        <v>-3.903392E-2</v>
      </c>
      <c r="Z2796">
        <v>-2.7302469999999999E-3</v>
      </c>
      <c r="AA2796">
        <v>0.99923410000000001</v>
      </c>
      <c r="AB2796">
        <v>38</v>
      </c>
      <c r="AC2796">
        <v>-23.676100000000002</v>
      </c>
      <c r="AD2796">
        <v>-1.108076105296</v>
      </c>
      <c r="AE2796">
        <v>-2.6000000000294598E-3</v>
      </c>
      <c r="AF2796">
        <v>-0.93236137971031496</v>
      </c>
      <c r="AG2796">
        <v>-1.108076105296</v>
      </c>
      <c r="AH2796">
        <v>23.605948395840599</v>
      </c>
      <c r="AI2796">
        <v>92.685431663532896</v>
      </c>
      <c r="AJ2796">
        <v>92.261829029472494</v>
      </c>
      <c r="AK2796">
        <v>23.6503262147606</v>
      </c>
      <c r="AL2796">
        <v>79.318577804536204</v>
      </c>
      <c r="AM2796">
        <v>92.752173878773107</v>
      </c>
      <c r="AN2796">
        <v>1.0000000028693199</v>
      </c>
    </row>
    <row r="2797" spans="1:40" x14ac:dyDescent="0.25">
      <c r="A2797" t="str">
        <f>"20190312172135417"</f>
        <v>20190312172135417</v>
      </c>
      <c r="B2797" t="str">
        <f>"1552382495413925"</f>
        <v>1552382495413925</v>
      </c>
      <c r="C2797" t="s">
        <v>40</v>
      </c>
      <c r="D2797">
        <v>2.9380649999999999</v>
      </c>
      <c r="E2797">
        <v>0.53142709999999904</v>
      </c>
      <c r="F2797" t="s">
        <v>48</v>
      </c>
      <c r="G2797">
        <v>-476.33609999999999</v>
      </c>
      <c r="H2797">
        <v>1.1869050000000001</v>
      </c>
      <c r="I2797">
        <v>293.73520000000002</v>
      </c>
      <c r="J2797">
        <v>-327.3381</v>
      </c>
      <c r="K2797">
        <v>1.1081369999999999</v>
      </c>
      <c r="L2797">
        <v>283.3519</v>
      </c>
      <c r="M2797">
        <v>-0.99916110000000002</v>
      </c>
      <c r="N2797">
        <v>0</v>
      </c>
      <c r="O2797">
        <v>3.9969980000000002E-2</v>
      </c>
      <c r="P2797">
        <v>-0.98418309999999998</v>
      </c>
      <c r="Q2797">
        <v>0.17693200000000001</v>
      </c>
      <c r="R2797">
        <v>-8.89268E-3</v>
      </c>
      <c r="S2797">
        <v>-3.0496219999999998</v>
      </c>
      <c r="T2797">
        <v>1.6112329999999999E-3</v>
      </c>
      <c r="U2797">
        <v>0.21240229999999999</v>
      </c>
      <c r="V2797">
        <v>-4.7579530000000002E-2</v>
      </c>
      <c r="W2797">
        <v>0.18586059999999999</v>
      </c>
      <c r="X2797">
        <v>0.9814235</v>
      </c>
      <c r="Y2797">
        <v>2.954994E-2</v>
      </c>
      <c r="Z2797" s="1">
        <v>1.3284689999999999E-5</v>
      </c>
      <c r="AA2797">
        <v>0.99956330000000004</v>
      </c>
      <c r="AB2797">
        <v>38</v>
      </c>
      <c r="AC2797">
        <v>-148.99799999999999</v>
      </c>
      <c r="AD2797">
        <v>7.8767999999999699E-2</v>
      </c>
      <c r="AE2797">
        <v>10.3833</v>
      </c>
      <c r="AF2797">
        <v>4.4193168051163099</v>
      </c>
      <c r="AG2797">
        <v>7.8767999999999699E-2</v>
      </c>
      <c r="AH2797">
        <v>149.29391867412201</v>
      </c>
      <c r="AI2797">
        <v>89.969783782222393</v>
      </c>
      <c r="AJ2797">
        <v>88.304456840469996</v>
      </c>
      <c r="AK2797">
        <v>149.359334219516</v>
      </c>
      <c r="AL2797">
        <v>79.2886889483636</v>
      </c>
      <c r="AM2797">
        <v>92.775533217164494</v>
      </c>
      <c r="AN2797">
        <v>1.00000003032981</v>
      </c>
    </row>
    <row r="2798" spans="1:40" x14ac:dyDescent="0.25">
      <c r="A2798" t="str">
        <f>"20190312172135429"</f>
        <v>20190312172135429</v>
      </c>
      <c r="B2798" t="str">
        <f>"1552382495423684"</f>
        <v>1552382495423684</v>
      </c>
      <c r="C2798" t="s">
        <v>40</v>
      </c>
      <c r="D2798">
        <v>3.1152449999999998</v>
      </c>
      <c r="E2798">
        <v>0.53142709999999904</v>
      </c>
      <c r="F2798" t="s">
        <v>49</v>
      </c>
      <c r="G2798">
        <v>-510.95389999999998</v>
      </c>
      <c r="H2798">
        <v>0.73735569999999995</v>
      </c>
      <c r="I2798">
        <v>296.9434</v>
      </c>
      <c r="J2798">
        <v>-327.53149999999999</v>
      </c>
      <c r="K2798">
        <v>1.1082080000000001</v>
      </c>
      <c r="L2798">
        <v>283.36009999999999</v>
      </c>
      <c r="M2798">
        <v>-0.99914020000000003</v>
      </c>
      <c r="N2798">
        <v>0</v>
      </c>
      <c r="O2798">
        <v>4.04874E-2</v>
      </c>
      <c r="P2798">
        <v>-0.98411490000000001</v>
      </c>
      <c r="Q2798">
        <v>0.17732699999999901</v>
      </c>
      <c r="R2798">
        <v>-8.5481380000000003E-3</v>
      </c>
      <c r="S2798">
        <v>-3.0512999999999999</v>
      </c>
      <c r="T2798">
        <v>-6.1601399999999997E-3</v>
      </c>
      <c r="U2798">
        <v>0.22586059999999999</v>
      </c>
      <c r="V2798">
        <v>-4.777108E-2</v>
      </c>
      <c r="W2798">
        <v>0.18625130000000001</v>
      </c>
      <c r="X2798">
        <v>0.98134010000000005</v>
      </c>
      <c r="Y2798">
        <v>3.3380079999999999E-2</v>
      </c>
      <c r="Z2798" s="1">
        <v>-4.7933789999999998E-5</v>
      </c>
      <c r="AA2798">
        <v>0.99944279999999996</v>
      </c>
      <c r="AB2798">
        <v>38</v>
      </c>
      <c r="AC2798">
        <v>-183.42240000000001</v>
      </c>
      <c r="AD2798">
        <v>-0.37085230000000002</v>
      </c>
      <c r="AE2798">
        <v>13.583299999999999</v>
      </c>
      <c r="AF2798">
        <v>6.1455447100964404</v>
      </c>
      <c r="AG2798">
        <v>-0.37085230000000002</v>
      </c>
      <c r="AH2798">
        <v>183.821217708094</v>
      </c>
      <c r="AI2798">
        <v>90.115527349511595</v>
      </c>
      <c r="AJ2798">
        <v>88.085190165431897</v>
      </c>
      <c r="AK2798">
        <v>183.92429238928401</v>
      </c>
      <c r="AL2798">
        <v>79.265905422938602</v>
      </c>
      <c r="AM2798">
        <v>92.786926088840502</v>
      </c>
      <c r="AN2798">
        <v>1.0000000073520301</v>
      </c>
    </row>
    <row r="2799" spans="1:40" x14ac:dyDescent="0.25">
      <c r="A2799" t="str">
        <f>"20190312172135441"</f>
        <v>20190312172135441</v>
      </c>
      <c r="B2799" t="str">
        <f>"1552382495434419"</f>
        <v>1552382495434419</v>
      </c>
      <c r="C2799" t="s">
        <v>40</v>
      </c>
      <c r="D2799">
        <v>3.3262930000000002</v>
      </c>
      <c r="E2799">
        <v>0.53793709999999995</v>
      </c>
      <c r="F2799" t="s">
        <v>49</v>
      </c>
      <c r="G2799">
        <v>-510.95389999999998</v>
      </c>
      <c r="H2799">
        <v>0.80740269999999903</v>
      </c>
      <c r="I2799">
        <v>296.98660000000001</v>
      </c>
      <c r="J2799">
        <v>-327.74560000000002</v>
      </c>
      <c r="K2799">
        <v>1.108285</v>
      </c>
      <c r="L2799">
        <v>283.3691</v>
      </c>
      <c r="M2799">
        <v>-0.99911819999999896</v>
      </c>
      <c r="N2799">
        <v>0</v>
      </c>
      <c r="O2799">
        <v>4.1029400000000001E-2</v>
      </c>
      <c r="P2799">
        <v>-0.98402480000000003</v>
      </c>
      <c r="Q2799">
        <v>0.17783840000000001</v>
      </c>
      <c r="R2799">
        <v>-8.3206990000000008E-3</v>
      </c>
      <c r="S2799">
        <v>-3.0513309999999998</v>
      </c>
      <c r="T2799">
        <v>-5.0026180000000003E-3</v>
      </c>
      <c r="U2799">
        <v>0.22668460000000001</v>
      </c>
      <c r="V2799">
        <v>-4.8107030000000002E-2</v>
      </c>
      <c r="W2799">
        <v>0.1867578</v>
      </c>
      <c r="X2799">
        <v>0.98122739999999997</v>
      </c>
      <c r="Y2799">
        <v>3.3105599999999999E-2</v>
      </c>
      <c r="Z2799" s="1">
        <v>-4.0036819999999997E-5</v>
      </c>
      <c r="AA2799">
        <v>0.99945189999999995</v>
      </c>
      <c r="AB2799">
        <v>39</v>
      </c>
      <c r="AC2799">
        <v>-183.20829999999901</v>
      </c>
      <c r="AD2799">
        <v>-0.30088229999999999</v>
      </c>
      <c r="AE2799">
        <v>13.6175</v>
      </c>
      <c r="AF2799">
        <v>6.0887908956242001</v>
      </c>
      <c r="AG2799">
        <v>-0.30088229999999999</v>
      </c>
      <c r="AH2799">
        <v>183.612262828442</v>
      </c>
      <c r="AI2799">
        <v>90.093837957095502</v>
      </c>
      <c r="AJ2799">
        <v>88.100702954373105</v>
      </c>
      <c r="AK2799">
        <v>183.71343708534201</v>
      </c>
      <c r="AL2799">
        <v>79.236366600463697</v>
      </c>
      <c r="AM2799">
        <v>92.806815742150306</v>
      </c>
      <c r="AN2799">
        <v>0.99999998635350995</v>
      </c>
    </row>
    <row r="2800" spans="1:40" x14ac:dyDescent="0.25">
      <c r="A2800" t="str">
        <f>"20190312172135452"</f>
        <v>20190312172135452</v>
      </c>
      <c r="B2800" t="str">
        <f>"1552382495443205"</f>
        <v>1552382495443205</v>
      </c>
      <c r="C2800" t="s">
        <v>40</v>
      </c>
      <c r="D2800">
        <v>2.9926699999999999</v>
      </c>
      <c r="E2800">
        <v>0.53757659999999996</v>
      </c>
      <c r="F2800" t="s">
        <v>46</v>
      </c>
      <c r="G2800">
        <v>-351.01440000000002</v>
      </c>
      <c r="H2800" s="1">
        <v>-9.9696239999999992E-7</v>
      </c>
      <c r="I2800">
        <v>285.48110000000003</v>
      </c>
      <c r="J2800">
        <v>-327.95179999999999</v>
      </c>
      <c r="K2800">
        <v>1.108374</v>
      </c>
      <c r="L2800">
        <v>283.37799999999999</v>
      </c>
      <c r="M2800">
        <v>-0.9991004</v>
      </c>
      <c r="N2800">
        <v>0</v>
      </c>
      <c r="O2800">
        <v>4.1458769999999999E-2</v>
      </c>
      <c r="P2800">
        <v>-0.9839987</v>
      </c>
      <c r="Q2800">
        <v>0.17801120000000001</v>
      </c>
      <c r="R2800">
        <v>-7.69915599999999E-3</v>
      </c>
      <c r="S2800">
        <v>-3.0775760000000001</v>
      </c>
      <c r="T2800">
        <v>-0.14658360000000001</v>
      </c>
      <c r="U2800">
        <v>0.2793274</v>
      </c>
      <c r="V2800">
        <v>-4.7947330000000003E-2</v>
      </c>
      <c r="W2800">
        <v>0.18692449999999999</v>
      </c>
      <c r="X2800">
        <v>0.98120350000000001</v>
      </c>
      <c r="Y2800">
        <v>4.9013689999999999E-2</v>
      </c>
      <c r="Z2800">
        <v>-8.0403449999999997E-4</v>
      </c>
      <c r="AA2800">
        <v>0.99879779999999996</v>
      </c>
      <c r="AB2800">
        <v>39</v>
      </c>
      <c r="AC2800">
        <v>-23.0626</v>
      </c>
      <c r="AD2800">
        <v>-1.1083749969623999</v>
      </c>
      <c r="AE2800">
        <v>2.1031000000000399</v>
      </c>
      <c r="AF2800">
        <v>1.1424895228246501</v>
      </c>
      <c r="AG2800">
        <v>-1.1083749969623999</v>
      </c>
      <c r="AH2800">
        <v>23.077103203612399</v>
      </c>
      <c r="AI2800">
        <v>92.746399361655605</v>
      </c>
      <c r="AJ2800">
        <v>87.165743671210194</v>
      </c>
      <c r="AK2800">
        <v>23.1319361427839</v>
      </c>
      <c r="AL2800">
        <v>79.226644460695695</v>
      </c>
      <c r="AM2800">
        <v>92.797580868267303</v>
      </c>
      <c r="AN2800">
        <v>1.0000000117833101</v>
      </c>
    </row>
    <row r="2801" spans="1:40" x14ac:dyDescent="0.25">
      <c r="A2801" t="str">
        <f>"20190312172135465"</f>
        <v>20190312172135465</v>
      </c>
      <c r="B2801" t="str">
        <f>"1552382495463700"</f>
        <v>1552382495463700</v>
      </c>
      <c r="C2801" t="s">
        <v>40</v>
      </c>
      <c r="D2801">
        <v>2.9608970000000001</v>
      </c>
      <c r="E2801">
        <v>0.53727150000000001</v>
      </c>
      <c r="F2801" t="s">
        <v>46</v>
      </c>
      <c r="G2801">
        <v>-353.71640000000002</v>
      </c>
      <c r="H2801" s="1">
        <v>4.40895E-7</v>
      </c>
      <c r="I2801">
        <v>285.7072</v>
      </c>
      <c r="J2801">
        <v>-328.166</v>
      </c>
      <c r="K2801">
        <v>1.1084719999999999</v>
      </c>
      <c r="L2801">
        <v>283.38709999999998</v>
      </c>
      <c r="M2801">
        <v>-0.99908390000000002</v>
      </c>
      <c r="N2801">
        <v>0</v>
      </c>
      <c r="O2801">
        <v>4.1853429999999997E-2</v>
      </c>
      <c r="P2801">
        <v>-0.98395460000000001</v>
      </c>
      <c r="Q2801">
        <v>0.1782753</v>
      </c>
      <c r="R2801">
        <v>-7.1951530000000001E-3</v>
      </c>
      <c r="S2801">
        <v>-3.0748899999999999</v>
      </c>
      <c r="T2801">
        <v>-0.13227920000000001</v>
      </c>
      <c r="U2801">
        <v>0.27798460000000003</v>
      </c>
      <c r="V2801">
        <v>-4.7873369999999998E-2</v>
      </c>
      <c r="W2801">
        <v>0.18718080000000001</v>
      </c>
      <c r="X2801">
        <v>0.98115830000000004</v>
      </c>
      <c r="Y2801">
        <v>4.8267650000000002E-2</v>
      </c>
      <c r="Z2801">
        <v>-7.5921259999999998E-4</v>
      </c>
      <c r="AA2801">
        <v>0.99883409999999995</v>
      </c>
      <c r="AB2801">
        <v>39</v>
      </c>
      <c r="AC2801">
        <v>-25.5504</v>
      </c>
      <c r="AD2801">
        <v>-1.1084715591049901</v>
      </c>
      <c r="AE2801">
        <v>2.32010000000002</v>
      </c>
      <c r="AF2801">
        <v>1.24632582243357</v>
      </c>
      <c r="AG2801">
        <v>-1.1084715591049901</v>
      </c>
      <c r="AH2801">
        <v>25.577371282654699</v>
      </c>
      <c r="AI2801">
        <v>92.478593283513803</v>
      </c>
      <c r="AJ2801">
        <v>87.210316438165194</v>
      </c>
      <c r="AK2801">
        <v>25.631698324219201</v>
      </c>
      <c r="AL2801">
        <v>79.211696237793106</v>
      </c>
      <c r="AM2801">
        <v>92.793400843524097</v>
      </c>
      <c r="AN2801">
        <v>1.0000000605513399</v>
      </c>
    </row>
    <row r="2802" spans="1:40" x14ac:dyDescent="0.25">
      <c r="A2802" t="str">
        <f>"20190312172135484"</f>
        <v>20190312172135484</v>
      </c>
      <c r="B2802" t="str">
        <f>"1552382495473459"</f>
        <v>1552382495473459</v>
      </c>
      <c r="C2802" t="s">
        <v>40</v>
      </c>
      <c r="D2802">
        <v>2.9876209999999999</v>
      </c>
      <c r="E2802">
        <v>0.53720999999999997</v>
      </c>
      <c r="F2802" t="s">
        <v>46</v>
      </c>
      <c r="G2802">
        <v>-357.49540000000002</v>
      </c>
      <c r="H2802" s="1">
        <v>2.451892E-6</v>
      </c>
      <c r="I2802">
        <v>286.0292</v>
      </c>
      <c r="J2802">
        <v>-328.48250000000002</v>
      </c>
      <c r="K2802">
        <v>1.1086240000000001</v>
      </c>
      <c r="L2802">
        <v>283.4008</v>
      </c>
      <c r="M2802">
        <v>-0.99906430000000002</v>
      </c>
      <c r="N2802">
        <v>0</v>
      </c>
      <c r="O2802">
        <v>4.2314650000000002E-2</v>
      </c>
      <c r="P2802">
        <v>-0.98394159999999997</v>
      </c>
      <c r="Q2802">
        <v>0.17835379999999901</v>
      </c>
      <c r="R2802">
        <v>-6.9781879999999998E-3</v>
      </c>
      <c r="S2802">
        <v>-3.0719599999999998</v>
      </c>
      <c r="T2802">
        <v>-0.11610090000000001</v>
      </c>
      <c r="U2802">
        <v>0.27673340000000002</v>
      </c>
      <c r="V2802">
        <v>-4.8179640000000003E-2</v>
      </c>
      <c r="W2802">
        <v>0.18724859999999999</v>
      </c>
      <c r="X2802">
        <v>0.98113030000000001</v>
      </c>
      <c r="Y2802">
        <v>4.7490619999999997E-2</v>
      </c>
      <c r="Z2802">
        <v>-6.990869E-4</v>
      </c>
      <c r="AA2802">
        <v>0.99887139999999996</v>
      </c>
      <c r="AB2802">
        <v>39</v>
      </c>
      <c r="AC2802">
        <v>-29.012899999999998</v>
      </c>
      <c r="AD2802">
        <v>-1.108621548108</v>
      </c>
      <c r="AE2802">
        <v>2.6283999999999899</v>
      </c>
      <c r="AF2802">
        <v>1.39630367293756</v>
      </c>
      <c r="AG2802">
        <v>-1.108621548108</v>
      </c>
      <c r="AH2802">
        <v>29.056056770059399</v>
      </c>
      <c r="AI2802">
        <v>92.182520134653402</v>
      </c>
      <c r="AJ2802">
        <v>87.2487385596487</v>
      </c>
      <c r="AK2802">
        <v>29.110704916042501</v>
      </c>
      <c r="AL2802">
        <v>79.207740901029993</v>
      </c>
      <c r="AM2802">
        <v>92.811323155198593</v>
      </c>
      <c r="AN2802">
        <v>0.999999990745289</v>
      </c>
    </row>
    <row r="2803" spans="1:40" x14ac:dyDescent="0.25">
      <c r="A2803" t="str">
        <f>"20190312172135494"</f>
        <v>20190312172135494</v>
      </c>
      <c r="B2803" t="str">
        <f>"1552382495483220"</f>
        <v>1552382495483220</v>
      </c>
      <c r="C2803" t="s">
        <v>40</v>
      </c>
      <c r="D2803">
        <v>2.9838740000000001</v>
      </c>
      <c r="E2803">
        <v>0.53723609999999999</v>
      </c>
      <c r="F2803" t="s">
        <v>46</v>
      </c>
      <c r="G2803">
        <v>-358.27030000000002</v>
      </c>
      <c r="H2803" s="1">
        <v>2.8642649999999999E-6</v>
      </c>
      <c r="I2803">
        <v>286.08440000000002</v>
      </c>
      <c r="J2803">
        <v>-328.66370000000001</v>
      </c>
      <c r="K2803">
        <v>1.1087149999999999</v>
      </c>
      <c r="L2803">
        <v>283.40859999999998</v>
      </c>
      <c r="M2803">
        <v>-0.9990561</v>
      </c>
      <c r="N2803">
        <v>0</v>
      </c>
      <c r="O2803">
        <v>4.2509209999999999E-2</v>
      </c>
      <c r="P2803">
        <v>-0.98397509999999999</v>
      </c>
      <c r="Q2803">
        <v>0.17817949999999999</v>
      </c>
      <c r="R2803">
        <v>-6.727144E-3</v>
      </c>
      <c r="S2803">
        <v>-3.0716549999999998</v>
      </c>
      <c r="T2803">
        <v>-0.1143185</v>
      </c>
      <c r="U2803">
        <v>0.27673340000000002</v>
      </c>
      <c r="V2803">
        <v>-4.8163079999999997E-2</v>
      </c>
      <c r="W2803">
        <v>0.18706829999999999</v>
      </c>
      <c r="X2803">
        <v>0.98116550000000002</v>
      </c>
      <c r="Y2803">
        <v>4.7305340000000001E-2</v>
      </c>
      <c r="Z2803">
        <v>-6.9908179999999902E-4</v>
      </c>
      <c r="AA2803">
        <v>0.9988802</v>
      </c>
      <c r="AB2803">
        <v>39</v>
      </c>
      <c r="AC2803">
        <v>-29.6066</v>
      </c>
      <c r="AD2803">
        <v>-1.1087121357349901</v>
      </c>
      <c r="AE2803">
        <v>2.6758000000000299</v>
      </c>
      <c r="AF2803">
        <v>1.41281241643082</v>
      </c>
      <c r="AG2803">
        <v>-1.1087121357349901</v>
      </c>
      <c r="AH2803">
        <v>29.652339961842099</v>
      </c>
      <c r="AI2803">
        <v>92.1388890749121</v>
      </c>
      <c r="AJ2803">
        <v>87.272153976512698</v>
      </c>
      <c r="AK2803">
        <v>29.706675120864801</v>
      </c>
      <c r="AL2803">
        <v>79.218257089906004</v>
      </c>
      <c r="AM2803">
        <v>92.810257752488198</v>
      </c>
      <c r="AN2803">
        <v>0.99999998476511298</v>
      </c>
    </row>
    <row r="2804" spans="1:40" x14ac:dyDescent="0.25">
      <c r="A2804" t="str">
        <f>"20190312172135509"</f>
        <v>20190312172135509</v>
      </c>
      <c r="B2804" t="str">
        <f>"1552382495503716"</f>
        <v>1552382495503716</v>
      </c>
      <c r="C2804" t="s">
        <v>40</v>
      </c>
      <c r="D2804">
        <v>2.996353</v>
      </c>
      <c r="E2804">
        <v>0.53705219999999998</v>
      </c>
      <c r="F2804" t="s">
        <v>46</v>
      </c>
      <c r="G2804">
        <v>-358.5324</v>
      </c>
      <c r="H2804" s="1">
        <v>3.0037519999999999E-6</v>
      </c>
      <c r="I2804">
        <v>286.10919999999999</v>
      </c>
      <c r="J2804">
        <v>-328.91649999999998</v>
      </c>
      <c r="K2804">
        <v>1.108838</v>
      </c>
      <c r="L2804">
        <v>283.41950000000003</v>
      </c>
      <c r="M2804">
        <v>-0.99904749999999998</v>
      </c>
      <c r="N2804">
        <v>0</v>
      </c>
      <c r="O2804">
        <v>4.270587E-2</v>
      </c>
      <c r="P2804">
        <v>-0.98399970000000003</v>
      </c>
      <c r="Q2804">
        <v>0.17805019999999999</v>
      </c>
      <c r="R2804">
        <v>-6.5256189999999999E-3</v>
      </c>
      <c r="S2804">
        <v>-3.0714419999999998</v>
      </c>
      <c r="T2804">
        <v>-0.11401029999999999</v>
      </c>
      <c r="U2804">
        <v>0.27771000000000001</v>
      </c>
      <c r="V2804">
        <v>-4.8212560000000002E-2</v>
      </c>
      <c r="W2804">
        <v>0.18693009999999999</v>
      </c>
      <c r="X2804">
        <v>0.98118939999999999</v>
      </c>
      <c r="Y2804">
        <v>4.743E-2</v>
      </c>
      <c r="Z2804">
        <v>-7.0219710000000003E-4</v>
      </c>
      <c r="AA2804">
        <v>0.99887429999999999</v>
      </c>
      <c r="AB2804">
        <v>39</v>
      </c>
      <c r="AC2804">
        <v>-29.6159</v>
      </c>
      <c r="AD2804">
        <v>-1.108834996248</v>
      </c>
      <c r="AE2804">
        <v>2.6896999999999598</v>
      </c>
      <c r="AF2804">
        <v>1.4204475132166601</v>
      </c>
      <c r="AG2804">
        <v>-1.108834996248</v>
      </c>
      <c r="AH2804">
        <v>29.662508937262299</v>
      </c>
      <c r="AI2804">
        <v>92.138368669249502</v>
      </c>
      <c r="AJ2804">
        <v>87.258373423066701</v>
      </c>
      <c r="AK2804">
        <v>29.717194057310898</v>
      </c>
      <c r="AL2804">
        <v>79.226317456694801</v>
      </c>
      <c r="AM2804">
        <v>92.813071802713495</v>
      </c>
      <c r="AN2804">
        <v>0.99999997595006096</v>
      </c>
    </row>
    <row r="2805" spans="1:40" x14ac:dyDescent="0.25">
      <c r="A2805" t="str">
        <f>"20190312172135521"</f>
        <v>20190312172135521</v>
      </c>
      <c r="B2805" t="str">
        <f>"1552382495513476"</f>
        <v>1552382495513476</v>
      </c>
      <c r="C2805" t="s">
        <v>40</v>
      </c>
      <c r="D2805">
        <v>3.005633</v>
      </c>
      <c r="E2805">
        <v>0.53700669999999995</v>
      </c>
      <c r="F2805" t="s">
        <v>46</v>
      </c>
      <c r="G2805">
        <v>-358.32470000000001</v>
      </c>
      <c r="H2805" s="1">
        <v>2.8932029999999898E-6</v>
      </c>
      <c r="I2805">
        <v>286.0711</v>
      </c>
      <c r="J2805">
        <v>-329.12830000000002</v>
      </c>
      <c r="K2805">
        <v>1.1089420000000001</v>
      </c>
      <c r="L2805">
        <v>283.42860000000002</v>
      </c>
      <c r="M2805">
        <v>-0.99904269999999995</v>
      </c>
      <c r="N2805">
        <v>0</v>
      </c>
      <c r="O2805">
        <v>4.2820249999999997E-2</v>
      </c>
      <c r="P2805">
        <v>-0.98399380000000003</v>
      </c>
      <c r="Q2805">
        <v>0.1780901</v>
      </c>
      <c r="R2805">
        <v>-6.3599499999999996E-3</v>
      </c>
      <c r="S2805">
        <v>-3.0715330000000001</v>
      </c>
      <c r="T2805">
        <v>-0.1158119</v>
      </c>
      <c r="U2805">
        <v>0.276947</v>
      </c>
      <c r="V2805">
        <v>-4.8207109999999997E-2</v>
      </c>
      <c r="W2805">
        <v>0.1869625</v>
      </c>
      <c r="X2805">
        <v>0.98118349999999999</v>
      </c>
      <c r="Y2805">
        <v>4.7067110000000002E-2</v>
      </c>
      <c r="Z2805">
        <v>-7.2439550000000003E-4</v>
      </c>
      <c r="AA2805">
        <v>0.99889150000000004</v>
      </c>
      <c r="AB2805">
        <v>39</v>
      </c>
      <c r="AC2805">
        <v>-29.196399999999901</v>
      </c>
      <c r="AD2805">
        <v>-1.108939106797</v>
      </c>
      <c r="AE2805">
        <v>2.6424999999999801</v>
      </c>
      <c r="AF2805">
        <v>1.3878429735284099</v>
      </c>
      <c r="AG2805">
        <v>-1.108939106797</v>
      </c>
      <c r="AH2805">
        <v>29.240934460716801</v>
      </c>
      <c r="AI2805">
        <v>92.169416117153204</v>
      </c>
      <c r="AJ2805">
        <v>87.282647834686301</v>
      </c>
      <c r="AK2805">
        <v>29.294847707364699</v>
      </c>
      <c r="AL2805">
        <v>79.224427816235803</v>
      </c>
      <c r="AM2805">
        <v>92.812771207064301</v>
      </c>
      <c r="AN2805">
        <v>0.99999998126652501</v>
      </c>
    </row>
    <row r="2806" spans="1:40" x14ac:dyDescent="0.25">
      <c r="A2806" t="str">
        <f>"20190312172135534"</f>
        <v>20190312172135534</v>
      </c>
      <c r="B2806" t="str">
        <f>"1552382495523236"</f>
        <v>1552382495523236</v>
      </c>
      <c r="C2806" t="s">
        <v>40</v>
      </c>
      <c r="D2806">
        <v>2.9528569999999998</v>
      </c>
      <c r="E2806">
        <v>0.53637179999999995</v>
      </c>
      <c r="F2806" t="s">
        <v>46</v>
      </c>
      <c r="G2806">
        <v>-358.23390000000001</v>
      </c>
      <c r="H2806" s="1">
        <v>2.8448790000000001E-6</v>
      </c>
      <c r="I2806">
        <v>286.05650000000003</v>
      </c>
      <c r="J2806">
        <v>-329.35599999999999</v>
      </c>
      <c r="K2806">
        <v>1.1090580000000001</v>
      </c>
      <c r="L2806">
        <v>283.4384</v>
      </c>
      <c r="M2806">
        <v>-0.99904210000000004</v>
      </c>
      <c r="N2806">
        <v>0</v>
      </c>
      <c r="O2806">
        <v>4.2833330000000003E-2</v>
      </c>
      <c r="P2806">
        <v>-0.98402719999999999</v>
      </c>
      <c r="Q2806">
        <v>0.17790420000000001</v>
      </c>
      <c r="R2806">
        <v>-6.3899469999999896E-3</v>
      </c>
      <c r="S2806">
        <v>-3.071777</v>
      </c>
      <c r="T2806">
        <v>-0.11703620000000001</v>
      </c>
      <c r="U2806">
        <v>0.27734379999999997</v>
      </c>
      <c r="V2806">
        <v>-4.8304840000000002E-2</v>
      </c>
      <c r="W2806">
        <v>0.1867685</v>
      </c>
      <c r="X2806">
        <v>0.98121570000000002</v>
      </c>
      <c r="Y2806">
        <v>4.7174769999999998E-2</v>
      </c>
      <c r="Z2806">
        <v>-7.3043499999999998E-4</v>
      </c>
      <c r="AA2806">
        <v>0.99888639999999995</v>
      </c>
      <c r="AB2806">
        <v>39</v>
      </c>
      <c r="AC2806">
        <v>-28.8779</v>
      </c>
      <c r="AD2806">
        <v>-1.1090551551209999</v>
      </c>
      <c r="AE2806">
        <v>2.6181000000000201</v>
      </c>
      <c r="AF2806">
        <v>1.3766967862745101</v>
      </c>
      <c r="AG2806">
        <v>-1.1090551551209999</v>
      </c>
      <c r="AH2806">
        <v>28.921231698817099</v>
      </c>
      <c r="AI2806">
        <v>92.193588942939598</v>
      </c>
      <c r="AJ2806">
        <v>87.2746866505409</v>
      </c>
      <c r="AK2806">
        <v>28.975212516133499</v>
      </c>
      <c r="AL2806">
        <v>79.235743140350294</v>
      </c>
      <c r="AM2806">
        <v>92.8183719940656</v>
      </c>
      <c r="AN2806">
        <v>1.00000004004308</v>
      </c>
    </row>
    <row r="2807" spans="1:40" x14ac:dyDescent="0.25">
      <c r="A2807" t="str">
        <f>"20190312172135548"</f>
        <v>20190312172135548</v>
      </c>
      <c r="B2807" t="str">
        <f>"1552382495543732"</f>
        <v>1552382495543732</v>
      </c>
      <c r="C2807" t="s">
        <v>40</v>
      </c>
      <c r="D2807">
        <v>2.9644620000000002</v>
      </c>
      <c r="E2807">
        <v>0.53529189999999904</v>
      </c>
      <c r="F2807" t="s">
        <v>46</v>
      </c>
      <c r="G2807">
        <v>-358.73779999999999</v>
      </c>
      <c r="H2807" s="1">
        <v>3.1130169999999999E-6</v>
      </c>
      <c r="I2807">
        <v>286.04219999999998</v>
      </c>
      <c r="J2807">
        <v>-329.59530000000001</v>
      </c>
      <c r="K2807">
        <v>1.1091850000000001</v>
      </c>
      <c r="L2807">
        <v>283.44869999999997</v>
      </c>
      <c r="M2807">
        <v>-0.99904479999999996</v>
      </c>
      <c r="N2807">
        <v>0</v>
      </c>
      <c r="O2807">
        <v>4.276957E-2</v>
      </c>
      <c r="P2807">
        <v>-0.9840409</v>
      </c>
      <c r="Q2807">
        <v>0.1778159</v>
      </c>
      <c r="R2807">
        <v>-6.7297989999999999E-3</v>
      </c>
      <c r="S2807">
        <v>-3.0713810000000001</v>
      </c>
      <c r="T2807">
        <v>-0.11593349999999999</v>
      </c>
      <c r="U2807">
        <v>0.27218629999999999</v>
      </c>
      <c r="V2807">
        <v>-4.8638870000000001E-2</v>
      </c>
      <c r="W2807">
        <v>0.18667159999999999</v>
      </c>
      <c r="X2807">
        <v>0.98121760000000002</v>
      </c>
      <c r="Y2807">
        <v>4.558711E-2</v>
      </c>
      <c r="Z2807">
        <v>-7.512164E-4</v>
      </c>
      <c r="AA2807">
        <v>0.99896010000000002</v>
      </c>
      <c r="AB2807">
        <v>39</v>
      </c>
      <c r="AC2807">
        <v>-29.142499999999899</v>
      </c>
      <c r="AD2807">
        <v>-1.1091818869829999</v>
      </c>
      <c r="AE2807">
        <v>2.5935000000000001</v>
      </c>
      <c r="AF2807">
        <v>1.3427346349101099</v>
      </c>
      <c r="AG2807">
        <v>-1.1091818869829999</v>
      </c>
      <c r="AH2807">
        <v>29.184813477854998</v>
      </c>
      <c r="AI2807">
        <v>92.174206518033301</v>
      </c>
      <c r="AJ2807">
        <v>87.365793884616195</v>
      </c>
      <c r="AK2807">
        <v>29.236733033897298</v>
      </c>
      <c r="AL2807">
        <v>79.241394078926703</v>
      </c>
      <c r="AM2807">
        <v>92.837823920108406</v>
      </c>
      <c r="AN2807">
        <v>1.0000000022355899</v>
      </c>
    </row>
    <row r="2808" spans="1:40" x14ac:dyDescent="0.25">
      <c r="A2808" t="str">
        <f>"20190312172135563"</f>
        <v>20190312172135563</v>
      </c>
      <c r="B2808" t="str">
        <f>"1552382495553491"</f>
        <v>1552382495553491</v>
      </c>
      <c r="C2808" t="s">
        <v>40</v>
      </c>
      <c r="D2808">
        <v>2.989862</v>
      </c>
      <c r="E2808">
        <v>0.53479489999999996</v>
      </c>
      <c r="F2808" t="s">
        <v>46</v>
      </c>
      <c r="G2808">
        <v>-359.81659999999999</v>
      </c>
      <c r="H2808" s="1">
        <v>3.687106E-6</v>
      </c>
      <c r="I2808">
        <v>286.03339999999997</v>
      </c>
      <c r="J2808">
        <v>-329.84989999999999</v>
      </c>
      <c r="K2808">
        <v>1.109321</v>
      </c>
      <c r="L2808">
        <v>283.45949999999999</v>
      </c>
      <c r="M2808">
        <v>-0.99905109999999997</v>
      </c>
      <c r="N2808">
        <v>0</v>
      </c>
      <c r="O2808">
        <v>4.2619579999999997E-2</v>
      </c>
      <c r="P2808">
        <v>-0.98400080000000001</v>
      </c>
      <c r="Q2808">
        <v>0.17801040000000001</v>
      </c>
      <c r="R2808">
        <v>-7.4070150000000003E-3</v>
      </c>
      <c r="S2808">
        <v>-3.0708310000000001</v>
      </c>
      <c r="T2808">
        <v>-0.11270579999999999</v>
      </c>
      <c r="U2808">
        <v>0.26263429999999999</v>
      </c>
      <c r="V2808">
        <v>-4.9228519999999998E-2</v>
      </c>
      <c r="W2808">
        <v>0.1868562</v>
      </c>
      <c r="X2808">
        <v>0.9811531</v>
      </c>
      <c r="Y2808">
        <v>4.2670640000000003E-2</v>
      </c>
      <c r="Z2808">
        <v>-7.7849089999999896E-4</v>
      </c>
      <c r="AA2808">
        <v>0.99908889999999995</v>
      </c>
      <c r="AB2808">
        <v>39</v>
      </c>
      <c r="AC2808">
        <v>-29.966699999999999</v>
      </c>
      <c r="AD2808">
        <v>-1.1093173128939999</v>
      </c>
      <c r="AE2808">
        <v>2.5738999999999801</v>
      </c>
      <c r="AF2808">
        <v>1.2925832092545799</v>
      </c>
      <c r="AG2808">
        <v>-1.1093173128939999</v>
      </c>
      <c r="AH2808">
        <v>30.008351201380801</v>
      </c>
      <c r="AI2808">
        <v>92.115126887518997</v>
      </c>
      <c r="AJ2808">
        <v>87.533559570799397</v>
      </c>
      <c r="AK2808">
        <v>30.056654805199901</v>
      </c>
      <c r="AL2808">
        <v>79.2306283228599</v>
      </c>
      <c r="AM2808">
        <v>92.872358152801198</v>
      </c>
      <c r="AN2808">
        <v>1.0000000461497101</v>
      </c>
    </row>
    <row r="2809" spans="1:40" x14ac:dyDescent="0.25">
      <c r="A2809" t="str">
        <f>"20190312172135583"</f>
        <v>20190312172135583</v>
      </c>
      <c r="B2809" t="str">
        <f>"1552382495573987"</f>
        <v>1552382495573987</v>
      </c>
      <c r="C2809" t="s">
        <v>40</v>
      </c>
      <c r="D2809">
        <v>2.9824060000000001</v>
      </c>
      <c r="E2809">
        <v>0.53438260000000004</v>
      </c>
      <c r="F2809" t="s">
        <v>46</v>
      </c>
      <c r="G2809">
        <v>-360.57170000000002</v>
      </c>
      <c r="H2809" s="1">
        <v>-1.232566E-6</v>
      </c>
      <c r="I2809">
        <v>286.02719999999999</v>
      </c>
      <c r="J2809">
        <v>-330.21600000000001</v>
      </c>
      <c r="K2809">
        <v>1.109531</v>
      </c>
      <c r="L2809">
        <v>283.47480000000002</v>
      </c>
      <c r="M2809">
        <v>-0.99906830000000002</v>
      </c>
      <c r="N2809">
        <v>0</v>
      </c>
      <c r="O2809">
        <v>4.221221E-2</v>
      </c>
      <c r="P2809">
        <v>-0.98380420000000002</v>
      </c>
      <c r="Q2809">
        <v>0.179043799999999</v>
      </c>
      <c r="R2809">
        <v>-8.5343659999999998E-3</v>
      </c>
      <c r="S2809">
        <v>-3.0707399999999998</v>
      </c>
      <c r="T2809">
        <v>-0.1108801</v>
      </c>
      <c r="U2809">
        <v>0.25665280000000001</v>
      </c>
      <c r="V2809">
        <v>-5.0037819999999997E-2</v>
      </c>
      <c r="W2809">
        <v>0.18787300000000001</v>
      </c>
      <c r="X2809">
        <v>0.98091790000000001</v>
      </c>
      <c r="Y2809">
        <v>4.1148909999999997E-2</v>
      </c>
      <c r="Z2809">
        <v>-7.787499E-4</v>
      </c>
      <c r="AA2809">
        <v>0.9991527</v>
      </c>
      <c r="AB2809">
        <v>39</v>
      </c>
      <c r="AC2809">
        <v>-30.355699999999999</v>
      </c>
      <c r="AD2809">
        <v>-1.109532232566</v>
      </c>
      <c r="AE2809">
        <v>2.5523999999999698</v>
      </c>
      <c r="AF2809">
        <v>1.26701109820865</v>
      </c>
      <c r="AG2809">
        <v>-1.109532232566</v>
      </c>
      <c r="AH2809">
        <v>30.3960641909689</v>
      </c>
      <c r="AI2809">
        <v>92.088698677389502</v>
      </c>
      <c r="AJ2809">
        <v>87.613099266169996</v>
      </c>
      <c r="AK2809">
        <v>30.4426854465828</v>
      </c>
      <c r="AL2809">
        <v>79.171318995777199</v>
      </c>
      <c r="AM2809">
        <v>92.920196514572794</v>
      </c>
      <c r="AN2809">
        <v>0.99999998704988102</v>
      </c>
    </row>
    <row r="2810" spans="1:40" x14ac:dyDescent="0.25">
      <c r="A2810" t="str">
        <f>"20190312172135595"</f>
        <v>20190312172135595</v>
      </c>
      <c r="B2810" t="str">
        <f>"1552382495583748"</f>
        <v>1552382495583748</v>
      </c>
      <c r="C2810" t="s">
        <v>40</v>
      </c>
      <c r="D2810">
        <v>2.9881829999999998</v>
      </c>
      <c r="E2810">
        <v>0.52769009999999905</v>
      </c>
      <c r="F2810" t="s">
        <v>46</v>
      </c>
      <c r="G2810">
        <v>-361.9572</v>
      </c>
      <c r="H2810" s="1">
        <v>-4.9524479999999897E-7</v>
      </c>
      <c r="I2810">
        <v>286.05680000000001</v>
      </c>
      <c r="J2810">
        <v>-330.4196</v>
      </c>
      <c r="K2810">
        <v>1.1096459999999999</v>
      </c>
      <c r="L2810">
        <v>283.48320000000001</v>
      </c>
      <c r="M2810">
        <v>-0.99908129999999995</v>
      </c>
      <c r="N2810">
        <v>0</v>
      </c>
      <c r="O2810">
        <v>4.1904400000000001E-2</v>
      </c>
      <c r="P2810">
        <v>-0.98375800000000002</v>
      </c>
      <c r="Q2810">
        <v>0.17925439999999901</v>
      </c>
      <c r="R2810">
        <v>-9.3836690000000007E-3</v>
      </c>
      <c r="S2810">
        <v>-3.071075</v>
      </c>
      <c r="T2810">
        <v>-0.10735119999999999</v>
      </c>
      <c r="U2810">
        <v>0.24981690000000001</v>
      </c>
      <c r="V2810">
        <v>-5.0633589999999999E-2</v>
      </c>
      <c r="W2810">
        <v>0.18807489999999999</v>
      </c>
      <c r="X2810">
        <v>0.98084870000000002</v>
      </c>
      <c r="Y2810">
        <v>3.9239530000000002E-2</v>
      </c>
      <c r="Z2810">
        <v>-7.7656820000000001E-4</v>
      </c>
      <c r="AA2810">
        <v>0.99922960000000005</v>
      </c>
      <c r="AB2810">
        <v>39</v>
      </c>
      <c r="AC2810">
        <v>-31.537600000000001</v>
      </c>
      <c r="AD2810">
        <v>-1.1096464952448</v>
      </c>
      <c r="AE2810">
        <v>2.5735999999999901</v>
      </c>
      <c r="AF2810">
        <v>1.2481867762730099</v>
      </c>
      <c r="AG2810">
        <v>-1.1096464952448</v>
      </c>
      <c r="AH2810">
        <v>31.578910132052201</v>
      </c>
      <c r="AI2810">
        <v>92.010910693084796</v>
      </c>
      <c r="AJ2810">
        <v>87.736507504639505</v>
      </c>
      <c r="AK2810">
        <v>31.623043033539599</v>
      </c>
      <c r="AL2810">
        <v>79.159541718470905</v>
      </c>
      <c r="AM2810">
        <v>92.955112370154396</v>
      </c>
      <c r="AN2810">
        <v>1.0000000503689901</v>
      </c>
    </row>
    <row r="2811" spans="1:40" x14ac:dyDescent="0.25">
      <c r="A2811" t="str">
        <f>"20190312172135607"</f>
        <v>20190312172135607</v>
      </c>
      <c r="B2811" t="str">
        <f>"1552382495603268"</f>
        <v>1552382495603268</v>
      </c>
      <c r="C2811" t="s">
        <v>40</v>
      </c>
      <c r="D2811">
        <v>2.9548770000000002</v>
      </c>
      <c r="E2811">
        <v>0.52782989999999996</v>
      </c>
      <c r="F2811" t="s">
        <v>46</v>
      </c>
      <c r="G2811">
        <v>-361.68239999999997</v>
      </c>
      <c r="H2811" s="1">
        <v>-6.4149410000000001E-7</v>
      </c>
      <c r="I2811">
        <v>285.45800000000003</v>
      </c>
      <c r="J2811">
        <v>-330.61759999999998</v>
      </c>
      <c r="K2811">
        <v>1.109753</v>
      </c>
      <c r="L2811">
        <v>283.49130000000002</v>
      </c>
      <c r="M2811">
        <v>-0.99909590000000004</v>
      </c>
      <c r="N2811">
        <v>0</v>
      </c>
      <c r="O2811">
        <v>4.1550480000000001E-2</v>
      </c>
      <c r="P2811">
        <v>-0.98364980000000002</v>
      </c>
      <c r="Q2811">
        <v>0.17978959999999999</v>
      </c>
      <c r="R2811">
        <v>-1.042821E-2</v>
      </c>
      <c r="S2811">
        <v>-3.071259</v>
      </c>
      <c r="T2811">
        <v>-0.1090117</v>
      </c>
      <c r="U2811">
        <v>0.19400020000000001</v>
      </c>
      <c r="V2811">
        <v>-5.1374759999999998E-2</v>
      </c>
      <c r="W2811">
        <v>0.18860080000000001</v>
      </c>
      <c r="X2811">
        <v>0.9807091</v>
      </c>
      <c r="Y2811">
        <v>2.1529309999999999E-2</v>
      </c>
      <c r="Z2811">
        <v>-1.0905450000000001E-3</v>
      </c>
      <c r="AA2811">
        <v>0.99976759999999998</v>
      </c>
      <c r="AB2811">
        <v>39</v>
      </c>
      <c r="AC2811">
        <v>-31.064799999999899</v>
      </c>
      <c r="AD2811">
        <v>-1.1097536414941001</v>
      </c>
      <c r="AE2811">
        <v>1.9666999999999399</v>
      </c>
      <c r="AF2811">
        <v>0.67333596503030702</v>
      </c>
      <c r="AG2811">
        <v>-1.1097536414941001</v>
      </c>
      <c r="AH2811">
        <v>31.080185144941002</v>
      </c>
      <c r="AI2811">
        <v>92.044463415031601</v>
      </c>
      <c r="AJ2811">
        <v>88.758911030213199</v>
      </c>
      <c r="AK2811">
        <v>31.107279583892002</v>
      </c>
      <c r="AL2811">
        <v>79.128860074611396</v>
      </c>
      <c r="AM2811">
        <v>92.998716699265898</v>
      </c>
      <c r="AN2811">
        <v>0.99999998327425299</v>
      </c>
    </row>
    <row r="2812" spans="1:40" x14ac:dyDescent="0.25">
      <c r="A2812" t="str">
        <f>"20190312172135617"</f>
        <v>20190312172135617</v>
      </c>
      <c r="B2812" t="str">
        <f>"1552382495614004"</f>
        <v>1552382495614004</v>
      </c>
      <c r="C2812" t="s">
        <v>40</v>
      </c>
      <c r="D2812">
        <v>2.9847709999999998</v>
      </c>
      <c r="E2812">
        <v>0.52771109999999999</v>
      </c>
      <c r="F2812" t="s">
        <v>46</v>
      </c>
      <c r="G2812">
        <v>-362.17750000000001</v>
      </c>
      <c r="H2812" s="1">
        <v>-3.7802559999999998E-7</v>
      </c>
      <c r="I2812">
        <v>285.46440000000001</v>
      </c>
      <c r="J2812">
        <v>-330.81099999999998</v>
      </c>
      <c r="K2812">
        <v>1.109855</v>
      </c>
      <c r="L2812">
        <v>283.4991</v>
      </c>
      <c r="M2812">
        <v>-0.99911150000000004</v>
      </c>
      <c r="N2812">
        <v>0</v>
      </c>
      <c r="O2812">
        <v>4.1171600000000003E-2</v>
      </c>
      <c r="P2812">
        <v>-0.9836876</v>
      </c>
      <c r="Q2812">
        <v>0.17952409999999999</v>
      </c>
      <c r="R2812">
        <v>-1.1391180000000001E-2</v>
      </c>
      <c r="S2812">
        <v>-3.0716860000000001</v>
      </c>
      <c r="T2812">
        <v>-0.10801090000000001</v>
      </c>
      <c r="U2812">
        <v>0.1920471</v>
      </c>
      <c r="V2812">
        <v>-5.2013509999999999E-2</v>
      </c>
      <c r="W2812">
        <v>0.18832779999999999</v>
      </c>
      <c r="X2812">
        <v>0.98072789999999999</v>
      </c>
      <c r="Y2812">
        <v>2.1266179999999999E-2</v>
      </c>
      <c r="Z2812">
        <v>-1.0717470000000001E-3</v>
      </c>
      <c r="AA2812">
        <v>0.99977329999999998</v>
      </c>
      <c r="AB2812">
        <v>39</v>
      </c>
      <c r="AC2812">
        <v>-31.366499999999998</v>
      </c>
      <c r="AD2812">
        <v>-1.1098553780256</v>
      </c>
      <c r="AE2812">
        <v>1.96530000000001</v>
      </c>
      <c r="AF2812">
        <v>0.67133488257295704</v>
      </c>
      <c r="AG2812">
        <v>-1.1098553780256</v>
      </c>
      <c r="AH2812">
        <v>31.381683808796101</v>
      </c>
      <c r="AI2812">
        <v>92.025035029324798</v>
      </c>
      <c r="AJ2812">
        <v>88.774482925301598</v>
      </c>
      <c r="AK2812">
        <v>31.4084789214624</v>
      </c>
      <c r="AL2812">
        <v>79.144787306959898</v>
      </c>
      <c r="AM2812">
        <v>93.035872780797007</v>
      </c>
      <c r="AN2812">
        <v>0.99999998965688497</v>
      </c>
    </row>
    <row r="2813" spans="1:40" x14ac:dyDescent="0.25">
      <c r="A2813" t="str">
        <f>"20190312172135629"</f>
        <v>20190312172135629</v>
      </c>
      <c r="B2813" t="str">
        <f>"1552382495623765"</f>
        <v>1552382495623765</v>
      </c>
      <c r="C2813" t="s">
        <v>40</v>
      </c>
      <c r="D2813">
        <v>2.9696389999999999</v>
      </c>
      <c r="E2813">
        <v>0.52775729999999998</v>
      </c>
      <c r="F2813" t="s">
        <v>46</v>
      </c>
      <c r="G2813">
        <v>-362.30509999999998</v>
      </c>
      <c r="H2813" s="1">
        <v>-3.1013139999999998E-7</v>
      </c>
      <c r="I2813">
        <v>285.43279999999999</v>
      </c>
      <c r="J2813">
        <v>-331.0061</v>
      </c>
      <c r="K2813">
        <v>1.1099600000000001</v>
      </c>
      <c r="L2813">
        <v>283.5068</v>
      </c>
      <c r="M2813">
        <v>-0.99913030000000003</v>
      </c>
      <c r="N2813">
        <v>0</v>
      </c>
      <c r="O2813">
        <v>4.071429E-2</v>
      </c>
      <c r="P2813">
        <v>-0.98362229999999995</v>
      </c>
      <c r="Q2813">
        <v>0.1797964</v>
      </c>
      <c r="R2813">
        <v>-1.267337E-2</v>
      </c>
      <c r="S2813">
        <v>-3.0716549999999998</v>
      </c>
      <c r="T2813">
        <v>-0.10824540000000001</v>
      </c>
      <c r="U2813">
        <v>0.18859860000000001</v>
      </c>
      <c r="V2813">
        <v>-5.2890890000000003E-2</v>
      </c>
      <c r="W2813">
        <v>0.18859000000000001</v>
      </c>
      <c r="X2813">
        <v>0.98063060000000002</v>
      </c>
      <c r="Y2813">
        <v>2.0606449999999998E-2</v>
      </c>
      <c r="Z2813">
        <v>-1.069663E-3</v>
      </c>
      <c r="AA2813">
        <v>0.99978710000000004</v>
      </c>
      <c r="AB2813">
        <v>39</v>
      </c>
      <c r="AC2813">
        <v>-31.2989999999999</v>
      </c>
      <c r="AD2813">
        <v>-1.1099603101314</v>
      </c>
      <c r="AE2813">
        <v>1.92599999999998</v>
      </c>
      <c r="AF2813">
        <v>0.64922131664540095</v>
      </c>
      <c r="AG2813">
        <v>-1.1099603101314</v>
      </c>
      <c r="AH2813">
        <v>31.312233837598502</v>
      </c>
      <c r="AI2813">
        <v>92.029742619375995</v>
      </c>
      <c r="AJ2813">
        <v>88.812211460803198</v>
      </c>
      <c r="AK2813">
        <v>31.338626136263599</v>
      </c>
      <c r="AL2813">
        <v>79.129490404344693</v>
      </c>
      <c r="AM2813">
        <v>93.0872903005925</v>
      </c>
      <c r="AN2813">
        <v>1.00000000400067</v>
      </c>
    </row>
    <row r="2814" spans="1:40" x14ac:dyDescent="0.25">
      <c r="A2814" t="str">
        <f>"20190312172135640"</f>
        <v>20190312172135640</v>
      </c>
      <c r="B2814" t="str">
        <f>"1552382495633524"</f>
        <v>1552382495633524</v>
      </c>
      <c r="C2814" t="s">
        <v>40</v>
      </c>
      <c r="D2814">
        <v>2.9530099999999999</v>
      </c>
      <c r="E2814">
        <v>0.52761689999999895</v>
      </c>
      <c r="F2814" t="s">
        <v>46</v>
      </c>
      <c r="G2814">
        <v>-362.85169999999999</v>
      </c>
      <c r="H2814" s="1">
        <v>-1.9268000000000001E-8</v>
      </c>
      <c r="I2814">
        <v>285.4255</v>
      </c>
      <c r="J2814">
        <v>-331.20249999999999</v>
      </c>
      <c r="K2814">
        <v>1.110066</v>
      </c>
      <c r="L2814">
        <v>283.5145</v>
      </c>
      <c r="M2814">
        <v>-0.99914970000000003</v>
      </c>
      <c r="N2814">
        <v>0</v>
      </c>
      <c r="O2814">
        <v>4.0234600000000002E-2</v>
      </c>
      <c r="P2814">
        <v>-0.98355250000000005</v>
      </c>
      <c r="Q2814">
        <v>0.1800891</v>
      </c>
      <c r="R2814">
        <v>-1.387967E-2</v>
      </c>
      <c r="S2814">
        <v>-3.07193</v>
      </c>
      <c r="T2814">
        <v>-0.1070704</v>
      </c>
      <c r="U2814">
        <v>0.18508910000000001</v>
      </c>
      <c r="V2814">
        <v>-5.367019E-2</v>
      </c>
      <c r="W2814">
        <v>0.18887329999999999</v>
      </c>
      <c r="X2814">
        <v>0.98053369999999995</v>
      </c>
      <c r="Y2814">
        <v>1.9942830000000002E-2</v>
      </c>
      <c r="Z2814">
        <v>-1.052882E-3</v>
      </c>
      <c r="AA2814">
        <v>0.99980060000000004</v>
      </c>
      <c r="AB2814">
        <v>39</v>
      </c>
      <c r="AC2814">
        <v>-31.6492</v>
      </c>
      <c r="AD2814">
        <v>-1.1100660192680001</v>
      </c>
      <c r="AE2814">
        <v>1.911</v>
      </c>
      <c r="AF2814">
        <v>0.63522933638330903</v>
      </c>
      <c r="AG2814">
        <v>-1.1100660192680001</v>
      </c>
      <c r="AH2814">
        <v>31.661653399243399</v>
      </c>
      <c r="AI2814">
        <v>92.0075791600934</v>
      </c>
      <c r="AJ2814">
        <v>88.850626109821704</v>
      </c>
      <c r="AK2814">
        <v>31.6874747944793</v>
      </c>
      <c r="AL2814">
        <v>79.112961141545995</v>
      </c>
      <c r="AM2814">
        <v>93.1329977849486</v>
      </c>
      <c r="AN2814">
        <v>0.99999997479160696</v>
      </c>
    </row>
    <row r="2815" spans="1:40" x14ac:dyDescent="0.25">
      <c r="A2815" t="str">
        <f>"20190312172135652"</f>
        <v>20190312172135652</v>
      </c>
      <c r="B2815" t="str">
        <f>"1552382495643284"</f>
        <v>1552382495643284</v>
      </c>
      <c r="C2815" t="s">
        <v>40</v>
      </c>
      <c r="D2815">
        <v>2.9912559999999999</v>
      </c>
      <c r="E2815">
        <v>0.52756819999999904</v>
      </c>
      <c r="F2815" t="s">
        <v>46</v>
      </c>
      <c r="G2815">
        <v>-363.16969999999998</v>
      </c>
      <c r="H2815" s="1">
        <v>1.4997869999999999E-7</v>
      </c>
      <c r="I2815">
        <v>285.39240000000001</v>
      </c>
      <c r="J2815">
        <v>-331.4085</v>
      </c>
      <c r="K2815">
        <v>1.110177</v>
      </c>
      <c r="L2815">
        <v>283.5224</v>
      </c>
      <c r="M2815">
        <v>-0.99917330000000004</v>
      </c>
      <c r="N2815">
        <v>0</v>
      </c>
      <c r="O2815">
        <v>3.964181E-2</v>
      </c>
      <c r="P2815">
        <v>-0.98347220000000002</v>
      </c>
      <c r="Q2815">
        <v>0.18043670000000001</v>
      </c>
      <c r="R2815">
        <v>-1.5014960000000001E-2</v>
      </c>
      <c r="S2815">
        <v>-3.072235</v>
      </c>
      <c r="T2815">
        <v>-0.10668370000000001</v>
      </c>
      <c r="U2815">
        <v>0.180481</v>
      </c>
      <c r="V2815">
        <v>-5.4269280000000003E-2</v>
      </c>
      <c r="W2815">
        <v>0.1892104</v>
      </c>
      <c r="X2815">
        <v>0.98043570000000002</v>
      </c>
      <c r="Y2815">
        <v>1.9035779999999999E-2</v>
      </c>
      <c r="Z2815">
        <v>-1.0442279999999999E-3</v>
      </c>
      <c r="AA2815">
        <v>0.99981830000000005</v>
      </c>
      <c r="AB2815">
        <v>39</v>
      </c>
      <c r="AC2815">
        <v>-31.761199999999899</v>
      </c>
      <c r="AD2815">
        <v>-1.1101768500213001</v>
      </c>
      <c r="AE2815">
        <v>1.87</v>
      </c>
      <c r="AF2815">
        <v>0.60866628782286003</v>
      </c>
      <c r="AG2815">
        <v>-1.1101768500213001</v>
      </c>
      <c r="AH2815">
        <v>31.771681732153102</v>
      </c>
      <c r="AI2815">
        <v>92.000867455848905</v>
      </c>
      <c r="AJ2815">
        <v>88.902489824574104</v>
      </c>
      <c r="AK2815">
        <v>31.7968980779177</v>
      </c>
      <c r="AL2815">
        <v>79.093291763889894</v>
      </c>
      <c r="AM2815">
        <v>93.168214835163496</v>
      </c>
      <c r="AN2815">
        <v>0.99999994602718201</v>
      </c>
    </row>
    <row r="2816" spans="1:40" x14ac:dyDescent="0.25">
      <c r="A2816" t="str">
        <f>"20190312172135673"</f>
        <v>20190312172135673</v>
      </c>
      <c r="B2816" t="str">
        <f>"1552382495663779"</f>
        <v>1552382495663779</v>
      </c>
      <c r="C2816" t="s">
        <v>40</v>
      </c>
      <c r="D2816">
        <v>2.964359</v>
      </c>
      <c r="E2816">
        <v>0.52767379999999997</v>
      </c>
      <c r="F2816" t="s">
        <v>46</v>
      </c>
      <c r="G2816">
        <v>-363.8503</v>
      </c>
      <c r="H2816" s="1">
        <v>5.121593E-7</v>
      </c>
      <c r="I2816">
        <v>285.3827</v>
      </c>
      <c r="J2816">
        <v>-331.77809999999999</v>
      </c>
      <c r="K2816">
        <v>1.110371</v>
      </c>
      <c r="L2816">
        <v>283.53609999999998</v>
      </c>
      <c r="M2816">
        <v>-0.99921850000000001</v>
      </c>
      <c r="N2816">
        <v>0</v>
      </c>
      <c r="O2816">
        <v>3.8484999999999998E-2</v>
      </c>
      <c r="P2816">
        <v>-0.98332900000000001</v>
      </c>
      <c r="Q2816">
        <v>0.18108440000000001</v>
      </c>
      <c r="R2816">
        <v>-1.6527429999999999E-2</v>
      </c>
      <c r="S2816">
        <v>-3.0723880000000001</v>
      </c>
      <c r="T2816">
        <v>-0.10513889999999999</v>
      </c>
      <c r="U2816">
        <v>0.176178</v>
      </c>
      <c r="V2816">
        <v>-5.4726709999999998E-2</v>
      </c>
      <c r="W2816">
        <v>0.1898416</v>
      </c>
      <c r="X2816">
        <v>0.9802883</v>
      </c>
      <c r="Y2816">
        <v>1.879393E-2</v>
      </c>
      <c r="Z2816">
        <v>-9.9374979999999999E-4</v>
      </c>
      <c r="AA2816">
        <v>0.99982289999999996</v>
      </c>
      <c r="AB2816">
        <v>39</v>
      </c>
      <c r="AC2816">
        <v>-32.072200000000002</v>
      </c>
      <c r="AD2816">
        <v>-1.1103704878406999</v>
      </c>
      <c r="AE2816">
        <v>1.84660000000002</v>
      </c>
      <c r="AF2816">
        <v>0.61015417497491897</v>
      </c>
      <c r="AG2816">
        <v>-1.1103704878406999</v>
      </c>
      <c r="AH2816">
        <v>32.081181754268897</v>
      </c>
      <c r="AI2816">
        <v>91.981930333501793</v>
      </c>
      <c r="AJ2816">
        <v>88.910419041022706</v>
      </c>
      <c r="AK2816">
        <v>32.106189955956197</v>
      </c>
      <c r="AL2816">
        <v>79.056459680267096</v>
      </c>
      <c r="AM2816">
        <v>93.195343688910697</v>
      </c>
      <c r="AN2816">
        <v>0.99999999849743704</v>
      </c>
    </row>
    <row r="2817" spans="1:40" x14ac:dyDescent="0.25">
      <c r="A2817" t="str">
        <f>"20190312172135685"</f>
        <v>20190312172135685</v>
      </c>
      <c r="B2817" t="str">
        <f>"1552382495673539"</f>
        <v>1552382495673539</v>
      </c>
      <c r="C2817" t="s">
        <v>40</v>
      </c>
      <c r="D2817">
        <v>2.978799</v>
      </c>
      <c r="E2817">
        <v>0.52775879999999997</v>
      </c>
      <c r="F2817" t="s">
        <v>46</v>
      </c>
      <c r="G2817">
        <v>-364.46</v>
      </c>
      <c r="H2817" s="1">
        <v>8.3660669999999896E-7</v>
      </c>
      <c r="I2817">
        <v>285.36250000000001</v>
      </c>
      <c r="J2817">
        <v>-331.98329999999999</v>
      </c>
      <c r="K2817">
        <v>1.1104719999999999</v>
      </c>
      <c r="L2817">
        <v>283.54349999999999</v>
      </c>
      <c r="M2817">
        <v>-0.9992453</v>
      </c>
      <c r="N2817">
        <v>0</v>
      </c>
      <c r="O2817">
        <v>3.7780099999999997E-2</v>
      </c>
      <c r="P2817">
        <v>-0.98326959999999997</v>
      </c>
      <c r="Q2817">
        <v>0.1813024</v>
      </c>
      <c r="R2817">
        <v>-1.76280999999999E-2</v>
      </c>
      <c r="S2817">
        <v>-3.0729679999999999</v>
      </c>
      <c r="T2817">
        <v>-0.10440430000000001</v>
      </c>
      <c r="U2817">
        <v>0.1717224</v>
      </c>
      <c r="V2817">
        <v>-5.5179249999999999E-2</v>
      </c>
      <c r="W2817">
        <v>0.19005079999999999</v>
      </c>
      <c r="X2817">
        <v>0.98022240000000005</v>
      </c>
      <c r="Y2817">
        <v>1.804329E-2</v>
      </c>
      <c r="Z2817">
        <v>-9.7551370000000003E-4</v>
      </c>
      <c r="AA2817">
        <v>0.99983670000000002</v>
      </c>
      <c r="AB2817">
        <v>39</v>
      </c>
      <c r="AC2817">
        <v>-32.476699999999902</v>
      </c>
      <c r="AD2817">
        <v>-1.1104711633933</v>
      </c>
      <c r="AE2817">
        <v>1.8190000000000099</v>
      </c>
      <c r="AF2817">
        <v>0.58999066470462402</v>
      </c>
      <c r="AG2817">
        <v>-1.1104711633933</v>
      </c>
      <c r="AH2817">
        <v>32.484376667618299</v>
      </c>
      <c r="AI2817">
        <v>91.957558417317401</v>
      </c>
      <c r="AJ2817">
        <v>88.959491845497098</v>
      </c>
      <c r="AK2817">
        <v>32.508705951988702</v>
      </c>
      <c r="AL2817">
        <v>79.044251210893293</v>
      </c>
      <c r="AM2817">
        <v>93.221926974586097</v>
      </c>
      <c r="AN2817">
        <v>1.0000000048364801</v>
      </c>
    </row>
    <row r="2818" spans="1:40" x14ac:dyDescent="0.25">
      <c r="A2818" t="str">
        <f>"20190312172135695"</f>
        <v>20190312172135695</v>
      </c>
      <c r="B2818" t="str">
        <f>"1552382495683301"</f>
        <v>1552382495683301</v>
      </c>
      <c r="C2818" t="s">
        <v>40</v>
      </c>
      <c r="D2818">
        <v>2.984016</v>
      </c>
      <c r="E2818">
        <v>0.52787010000000001</v>
      </c>
      <c r="F2818" t="s">
        <v>46</v>
      </c>
      <c r="G2818">
        <v>-364.6046</v>
      </c>
      <c r="H2818" s="1">
        <v>9.1352070000000004E-7</v>
      </c>
      <c r="I2818">
        <v>285.33539999999999</v>
      </c>
      <c r="J2818">
        <v>-332.17619999999999</v>
      </c>
      <c r="K2818">
        <v>1.110565</v>
      </c>
      <c r="L2818">
        <v>283.55040000000002</v>
      </c>
      <c r="M2818">
        <v>-0.99927149999999998</v>
      </c>
      <c r="N2818">
        <v>0</v>
      </c>
      <c r="O2818">
        <v>3.7077859999999997E-2</v>
      </c>
      <c r="P2818">
        <v>-0.98326780000000003</v>
      </c>
      <c r="Q2818">
        <v>0.18121139999999999</v>
      </c>
      <c r="R2818">
        <v>-1.86337E-2</v>
      </c>
      <c r="S2818">
        <v>-3.0733640000000002</v>
      </c>
      <c r="T2818">
        <v>-0.10462150000000001</v>
      </c>
      <c r="U2818">
        <v>0.16882320000000001</v>
      </c>
      <c r="V2818">
        <v>-5.5536960000000003E-2</v>
      </c>
      <c r="W2818">
        <v>0.18995210000000001</v>
      </c>
      <c r="X2818">
        <v>0.98022129999999996</v>
      </c>
      <c r="Y2818">
        <v>1.779824E-2</v>
      </c>
      <c r="Z2818">
        <v>-9.5775760000000004E-4</v>
      </c>
      <c r="AA2818">
        <v>0.99984119999999999</v>
      </c>
      <c r="AB2818">
        <v>39</v>
      </c>
      <c r="AC2818">
        <v>-32.428400000000003</v>
      </c>
      <c r="AD2818">
        <v>-1.1105640864793</v>
      </c>
      <c r="AE2818">
        <v>1.78499999999996</v>
      </c>
      <c r="AF2818">
        <v>0.58066873097662097</v>
      </c>
      <c r="AG2818">
        <v>-1.1105640864793</v>
      </c>
      <c r="AH2818">
        <v>32.434361253318301</v>
      </c>
      <c r="AI2818">
        <v>91.960747809160196</v>
      </c>
      <c r="AJ2818">
        <v>88.974349655774304</v>
      </c>
      <c r="AK2818">
        <v>32.458563102455201</v>
      </c>
      <c r="AL2818">
        <v>79.050010905780894</v>
      </c>
      <c r="AM2818">
        <v>93.242772929619306</v>
      </c>
      <c r="AN2818">
        <v>0.99999997559706999</v>
      </c>
    </row>
    <row r="2819" spans="1:40" x14ac:dyDescent="0.25">
      <c r="A2819" t="str">
        <f>"20190312172135707"</f>
        <v>20190312172135707</v>
      </c>
      <c r="B2819" t="str">
        <f>"1552382495703796"</f>
        <v>1552382495703796</v>
      </c>
      <c r="C2819" t="s">
        <v>40</v>
      </c>
      <c r="D2819">
        <v>3.0282930000000001</v>
      </c>
      <c r="E2819">
        <v>0.52807009999999999</v>
      </c>
      <c r="F2819" t="s">
        <v>46</v>
      </c>
      <c r="G2819">
        <v>-364.46929999999998</v>
      </c>
      <c r="H2819" s="1">
        <v>8.4154720000000002E-7</v>
      </c>
      <c r="I2819">
        <v>285.29969999999997</v>
      </c>
      <c r="J2819">
        <v>-332.37389999999999</v>
      </c>
      <c r="K2819">
        <v>1.110654</v>
      </c>
      <c r="L2819">
        <v>283.55709999999999</v>
      </c>
      <c r="M2819">
        <v>-0.99929959999999995</v>
      </c>
      <c r="N2819">
        <v>0</v>
      </c>
      <c r="O2819">
        <v>3.6312410000000003E-2</v>
      </c>
      <c r="P2819">
        <v>-0.98330859999999998</v>
      </c>
      <c r="Q2819">
        <v>0.18085909999999999</v>
      </c>
      <c r="R2819">
        <v>-1.986222E-2</v>
      </c>
      <c r="S2819">
        <v>-3.0737299999999999</v>
      </c>
      <c r="T2819">
        <v>-0.10570599999999999</v>
      </c>
      <c r="U2819">
        <v>0.16650390000000001</v>
      </c>
      <c r="V2819">
        <v>-5.6056000000000002E-2</v>
      </c>
      <c r="W2819">
        <v>0.18959200000000001</v>
      </c>
      <c r="X2819">
        <v>0.98026150000000001</v>
      </c>
      <c r="Y2819">
        <v>1.780516E-2</v>
      </c>
      <c r="Z2819">
        <v>-9.4119820000000004E-4</v>
      </c>
      <c r="AA2819">
        <v>0.99984099999999998</v>
      </c>
      <c r="AB2819">
        <v>39</v>
      </c>
      <c r="AC2819">
        <v>-32.095399999999898</v>
      </c>
      <c r="AD2819">
        <v>-1.1106531584528001</v>
      </c>
      <c r="AE2819">
        <v>1.7425999999999799</v>
      </c>
      <c r="AF2819">
        <v>0.57525485569646695</v>
      </c>
      <c r="AG2819">
        <v>-1.1106531584528001</v>
      </c>
      <c r="AH2819">
        <v>32.099186100783797</v>
      </c>
      <c r="AI2819">
        <v>91.981363554445096</v>
      </c>
      <c r="AJ2819">
        <v>88.973302705592801</v>
      </c>
      <c r="AK2819">
        <v>32.123546144847303</v>
      </c>
      <c r="AL2819">
        <v>79.071025305885897</v>
      </c>
      <c r="AM2819">
        <v>93.272879875841497</v>
      </c>
      <c r="AN2819">
        <v>1.00000000499112</v>
      </c>
    </row>
    <row r="2820" spans="1:40" x14ac:dyDescent="0.25">
      <c r="A2820" t="str">
        <f>"20190312172135719"</f>
        <v>20190312172135719</v>
      </c>
      <c r="B2820" t="str">
        <f>"1552382495713556"</f>
        <v>1552382495713556</v>
      </c>
      <c r="C2820" t="s">
        <v>40</v>
      </c>
      <c r="D2820">
        <v>3.000543</v>
      </c>
      <c r="E2820">
        <v>0.52817999999999998</v>
      </c>
      <c r="F2820" t="s">
        <v>46</v>
      </c>
      <c r="G2820">
        <v>-365.10939999999999</v>
      </c>
      <c r="H2820" s="1">
        <v>1.182188E-6</v>
      </c>
      <c r="I2820">
        <v>285.31110000000001</v>
      </c>
      <c r="J2820">
        <v>-332.584</v>
      </c>
      <c r="K2820">
        <v>1.110749</v>
      </c>
      <c r="L2820">
        <v>283.56420000000003</v>
      </c>
      <c r="M2820">
        <v>-0.99932960000000004</v>
      </c>
      <c r="N2820">
        <v>0</v>
      </c>
      <c r="O2820">
        <v>3.5473449999999997E-2</v>
      </c>
      <c r="P2820">
        <v>-0.98340530000000004</v>
      </c>
      <c r="Q2820">
        <v>0.1802009</v>
      </c>
      <c r="R2820">
        <v>-2.102354E-2</v>
      </c>
      <c r="S2820">
        <v>-3.0733950000000001</v>
      </c>
      <c r="T2820">
        <v>-0.1042744</v>
      </c>
      <c r="U2820">
        <v>0.16467290000000001</v>
      </c>
      <c r="V2820">
        <v>-5.6438240000000001E-2</v>
      </c>
      <c r="W2820">
        <v>0.18892719999999999</v>
      </c>
      <c r="X2820">
        <v>0.98036789999999996</v>
      </c>
      <c r="Y2820">
        <v>1.805559E-2</v>
      </c>
      <c r="Z2820">
        <v>-8.95925E-4</v>
      </c>
      <c r="AA2820">
        <v>0.99983659999999996</v>
      </c>
      <c r="AB2820">
        <v>39</v>
      </c>
      <c r="AC2820">
        <v>-32.525399999999898</v>
      </c>
      <c r="AD2820">
        <v>-1.110747817812</v>
      </c>
      <c r="AE2820">
        <v>1.7468999999999799</v>
      </c>
      <c r="AF2820">
        <v>0.59127740990121902</v>
      </c>
      <c r="AG2820">
        <v>-1.110747817812</v>
      </c>
      <c r="AH2820">
        <v>32.529071180187998</v>
      </c>
      <c r="AI2820">
        <v>91.955356971879397</v>
      </c>
      <c r="AJ2820">
        <v>88.958655486861204</v>
      </c>
      <c r="AK2820">
        <v>32.553399846037102</v>
      </c>
      <c r="AL2820">
        <v>79.109816453915002</v>
      </c>
      <c r="AM2820">
        <v>93.294791452585599</v>
      </c>
      <c r="AN2820">
        <v>0.99999999059227296</v>
      </c>
    </row>
    <row r="2821" spans="1:40" x14ac:dyDescent="0.25">
      <c r="A2821" t="str">
        <f>"20190312172135731"</f>
        <v>20190312172135731</v>
      </c>
      <c r="B2821" t="str">
        <f>"1552382495723316"</f>
        <v>1552382495723316</v>
      </c>
      <c r="C2821" t="s">
        <v>40</v>
      </c>
      <c r="D2821">
        <v>3.0198879999999999</v>
      </c>
      <c r="E2821">
        <v>0.52823350000000002</v>
      </c>
      <c r="F2821" t="s">
        <v>46</v>
      </c>
      <c r="G2821">
        <v>-365.47480000000002</v>
      </c>
      <c r="H2821" s="1">
        <v>1.3766450000000001E-6</v>
      </c>
      <c r="I2821">
        <v>285.29790000000003</v>
      </c>
      <c r="J2821">
        <v>-332.79020000000003</v>
      </c>
      <c r="K2821">
        <v>1.11084</v>
      </c>
      <c r="L2821">
        <v>283.57089999999999</v>
      </c>
      <c r="M2821">
        <v>-0.99936080000000005</v>
      </c>
      <c r="N2821">
        <v>0</v>
      </c>
      <c r="O2821">
        <v>3.4584770000000001E-2</v>
      </c>
      <c r="P2821">
        <v>-0.98344140000000002</v>
      </c>
      <c r="Q2821">
        <v>0.17984629999999999</v>
      </c>
      <c r="R2821">
        <v>-2.232816E-2</v>
      </c>
      <c r="S2821">
        <v>-3.0731199999999999</v>
      </c>
      <c r="T2821">
        <v>-0.1037815</v>
      </c>
      <c r="U2821">
        <v>0.161987299999999</v>
      </c>
      <c r="V2821">
        <v>-5.6911150000000001E-2</v>
      </c>
      <c r="W2821">
        <v>0.18856519999999999</v>
      </c>
      <c r="X2821">
        <v>0.98041029999999996</v>
      </c>
      <c r="Y2821">
        <v>1.8077590000000001E-2</v>
      </c>
      <c r="Z2821">
        <v>-8.6146979999999996E-4</v>
      </c>
      <c r="AA2821">
        <v>0.99983619999999995</v>
      </c>
      <c r="AB2821">
        <v>39</v>
      </c>
      <c r="AC2821">
        <v>-32.684599999999897</v>
      </c>
      <c r="AD2821">
        <v>-1.1108386233550001</v>
      </c>
      <c r="AE2821">
        <v>1.7270000000000301</v>
      </c>
      <c r="AF2821">
        <v>0.59484592387431801</v>
      </c>
      <c r="AG2821">
        <v>-1.1108386233550001</v>
      </c>
      <c r="AH2821">
        <v>32.687124332968096</v>
      </c>
      <c r="AI2821">
        <v>91.946067661638693</v>
      </c>
      <c r="AJ2821">
        <v>88.957436606243505</v>
      </c>
      <c r="AK2821">
        <v>32.711403230054202</v>
      </c>
      <c r="AL2821">
        <v>79.130937640427504</v>
      </c>
      <c r="AM2821">
        <v>93.322194379577994</v>
      </c>
      <c r="AN2821">
        <v>1.0000000349957201</v>
      </c>
    </row>
    <row r="2822" spans="1:40" x14ac:dyDescent="0.25">
      <c r="A2822" t="str">
        <f>"20190312172135743"</f>
        <v>20190312172135743</v>
      </c>
      <c r="B2822" t="str">
        <f>"1552382495733076"</f>
        <v>1552382495733076</v>
      </c>
      <c r="C2822" t="s">
        <v>40</v>
      </c>
      <c r="D2822">
        <v>3.0086270000000002</v>
      </c>
      <c r="E2822">
        <v>0.52830010000000005</v>
      </c>
      <c r="F2822" t="s">
        <v>46</v>
      </c>
      <c r="G2822">
        <v>-366.06139999999999</v>
      </c>
      <c r="H2822" s="1">
        <v>1.688775E-6</v>
      </c>
      <c r="I2822">
        <v>285.28969999999998</v>
      </c>
      <c r="J2822">
        <v>-333.0102</v>
      </c>
      <c r="K2822">
        <v>1.11093</v>
      </c>
      <c r="L2822">
        <v>283.5779</v>
      </c>
      <c r="M2822">
        <v>-0.99939389999999995</v>
      </c>
      <c r="N2822">
        <v>0</v>
      </c>
      <c r="O2822">
        <v>3.361273E-2</v>
      </c>
      <c r="P2822">
        <v>-0.98348219999999997</v>
      </c>
      <c r="Q2822">
        <v>0.17947460000000001</v>
      </c>
      <c r="R2822">
        <v>-2.349876E-2</v>
      </c>
      <c r="S2822">
        <v>-3.0728759999999999</v>
      </c>
      <c r="T2822">
        <v>-0.1025953</v>
      </c>
      <c r="U2822">
        <v>0.15875239999999999</v>
      </c>
      <c r="V2822">
        <v>-5.7169690000000002E-2</v>
      </c>
      <c r="W2822">
        <v>0.1881863</v>
      </c>
      <c r="X2822">
        <v>0.98046800000000001</v>
      </c>
      <c r="Y2822">
        <v>1.8003870000000002E-2</v>
      </c>
      <c r="Z2822">
        <v>-8.2055899999999903E-4</v>
      </c>
      <c r="AA2822">
        <v>0.99983759999999999</v>
      </c>
      <c r="AB2822">
        <v>39</v>
      </c>
      <c r="AC2822">
        <v>-33.051199999999902</v>
      </c>
      <c r="AD2822">
        <v>-1.1109283112249999</v>
      </c>
      <c r="AE2822">
        <v>1.71179999999998</v>
      </c>
      <c r="AF2822">
        <v>0.599170889443146</v>
      </c>
      <c r="AG2822">
        <v>-1.1109283112249999</v>
      </c>
      <c r="AH2822">
        <v>33.0528201078194</v>
      </c>
      <c r="AI2822">
        <v>91.924710419235694</v>
      </c>
      <c r="AJ2822">
        <v>88.961474289315802</v>
      </c>
      <c r="AK2822">
        <v>33.076911653709601</v>
      </c>
      <c r="AL2822">
        <v>79.153042132098093</v>
      </c>
      <c r="AM2822">
        <v>93.337056692938702</v>
      </c>
      <c r="AN2822">
        <v>0.99999997799319196</v>
      </c>
    </row>
    <row r="2823" spans="1:40" x14ac:dyDescent="0.25">
      <c r="A2823" t="str">
        <f>"20190312172135756"</f>
        <v>20190312172135756</v>
      </c>
      <c r="B2823" t="str">
        <f>"1552382495753306"</f>
        <v>1552382495753306</v>
      </c>
      <c r="C2823" t="s">
        <v>40</v>
      </c>
      <c r="D2823">
        <v>3.0403920000000002</v>
      </c>
      <c r="E2823">
        <v>0.53019759999999905</v>
      </c>
      <c r="F2823" t="s">
        <v>46</v>
      </c>
      <c r="G2823">
        <v>-366.56400000000002</v>
      </c>
      <c r="H2823" s="1">
        <v>1.9562189999999999E-6</v>
      </c>
      <c r="I2823">
        <v>285.2801</v>
      </c>
      <c r="J2823">
        <v>-333.24020000000002</v>
      </c>
      <c r="K2823">
        <v>1.1110230000000001</v>
      </c>
      <c r="L2823">
        <v>283.58479999999997</v>
      </c>
      <c r="M2823">
        <v>-0.99942909999999996</v>
      </c>
      <c r="N2823">
        <v>0</v>
      </c>
      <c r="O2823">
        <v>3.254568E-2</v>
      </c>
      <c r="P2823">
        <v>-0.98357039999999996</v>
      </c>
      <c r="Q2823">
        <v>0.17881559999999999</v>
      </c>
      <c r="R2823">
        <v>-2.4790050000000001E-2</v>
      </c>
      <c r="S2823">
        <v>-3.0726619999999998</v>
      </c>
      <c r="T2823">
        <v>-0.1017325</v>
      </c>
      <c r="U2823">
        <v>0.15588379999999999</v>
      </c>
      <c r="V2823">
        <v>-5.7456720000000003E-2</v>
      </c>
      <c r="W2823">
        <v>0.1875203</v>
      </c>
      <c r="X2823">
        <v>0.98057879999999997</v>
      </c>
      <c r="Y2823">
        <v>1.814313E-2</v>
      </c>
      <c r="Z2823">
        <v>-7.7617039999999902E-4</v>
      </c>
      <c r="AA2823">
        <v>0.99983509999999998</v>
      </c>
      <c r="AB2823">
        <v>39</v>
      </c>
      <c r="AC2823">
        <v>-33.323799999999999</v>
      </c>
      <c r="AD2823">
        <v>-1.111021043781</v>
      </c>
      <c r="AE2823">
        <v>1.69530000000003</v>
      </c>
      <c r="AF2823">
        <v>0.60913615431833301</v>
      </c>
      <c r="AG2823">
        <v>-1.111021043781</v>
      </c>
      <c r="AH2823">
        <v>33.324375548774498</v>
      </c>
      <c r="AI2823">
        <v>91.909191871742195</v>
      </c>
      <c r="AJ2823">
        <v>88.952807248669998</v>
      </c>
      <c r="AK2823">
        <v>33.348454541852199</v>
      </c>
      <c r="AL2823">
        <v>79.191892583635294</v>
      </c>
      <c r="AM2823">
        <v>93.353394703412704</v>
      </c>
      <c r="AN2823">
        <v>0.99999996029734295</v>
      </c>
    </row>
    <row r="2824" spans="1:40" x14ac:dyDescent="0.25">
      <c r="A2824" t="str">
        <f>"20190312172135769"</f>
        <v>20190312172135769</v>
      </c>
      <c r="B2824" t="str">
        <f>"1552382495764043"</f>
        <v>1552382495764043</v>
      </c>
      <c r="C2824" t="s">
        <v>40</v>
      </c>
      <c r="D2824">
        <v>3.0383810000000002</v>
      </c>
      <c r="E2824">
        <v>0.53074880000000002</v>
      </c>
      <c r="F2824" t="s">
        <v>46</v>
      </c>
      <c r="G2824">
        <v>-381.41669999999999</v>
      </c>
      <c r="H2824" s="1">
        <v>-7.8290350000000005E-7</v>
      </c>
      <c r="I2824">
        <v>286.21019999999999</v>
      </c>
      <c r="J2824">
        <v>-333.46420000000001</v>
      </c>
      <c r="K2824">
        <v>1.11111</v>
      </c>
      <c r="L2824">
        <v>283.59129999999999</v>
      </c>
      <c r="M2824">
        <v>-0.99946369999999896</v>
      </c>
      <c r="N2824">
        <v>0</v>
      </c>
      <c r="O2824">
        <v>3.1462810000000001E-2</v>
      </c>
      <c r="P2824">
        <v>-0.9836686</v>
      </c>
      <c r="Q2824">
        <v>0.1781239</v>
      </c>
      <c r="R2824">
        <v>-2.584668E-2</v>
      </c>
      <c r="S2824">
        <v>-3.0671689999999998</v>
      </c>
      <c r="T2824">
        <v>-7.0733669999999998E-2</v>
      </c>
      <c r="U2824">
        <v>0.16714479999999901</v>
      </c>
      <c r="V2824">
        <v>-5.7490670000000001E-2</v>
      </c>
      <c r="W2824">
        <v>0.18682380000000001</v>
      </c>
      <c r="X2824">
        <v>0.98070979999999996</v>
      </c>
      <c r="Y2824">
        <v>2.297188E-2</v>
      </c>
      <c r="Z2824">
        <v>-4.6007989999999999E-4</v>
      </c>
      <c r="AA2824">
        <v>0.99973599999999996</v>
      </c>
      <c r="AB2824">
        <v>39</v>
      </c>
      <c r="AC2824">
        <v>-47.952499999999901</v>
      </c>
      <c r="AD2824">
        <v>-1.1111107829035001</v>
      </c>
      <c r="AE2824">
        <v>2.6188999999999898</v>
      </c>
      <c r="AF2824">
        <v>1.10822753769375</v>
      </c>
      <c r="AG2824">
        <v>-1.1111107829035001</v>
      </c>
      <c r="AH2824">
        <v>47.9854725101791</v>
      </c>
      <c r="AI2824">
        <v>91.326101815558204</v>
      </c>
      <c r="AJ2824">
        <v>88.6769855208601</v>
      </c>
      <c r="AK2824">
        <v>48.011126913168098</v>
      </c>
      <c r="AL2824">
        <v>79.232517594899605</v>
      </c>
      <c r="AM2824">
        <v>93.354924454135798</v>
      </c>
      <c r="AN2824">
        <v>1.00000001059976</v>
      </c>
    </row>
    <row r="2825" spans="1:40" x14ac:dyDescent="0.25">
      <c r="A2825" t="str">
        <f>"20190312172135786"</f>
        <v>20190312172135786</v>
      </c>
      <c r="B2825" t="str">
        <f>"1552382495783562"</f>
        <v>1552382495783562</v>
      </c>
      <c r="C2825" t="s">
        <v>40</v>
      </c>
      <c r="D2825">
        <v>3.0552380000000001</v>
      </c>
      <c r="E2825">
        <v>0.53130449999999996</v>
      </c>
      <c r="F2825" t="s">
        <v>46</v>
      </c>
      <c r="G2825">
        <v>-378.29739999999998</v>
      </c>
      <c r="H2825" s="1">
        <v>2.8786689999999998E-6</v>
      </c>
      <c r="I2825">
        <v>286.04939999999999</v>
      </c>
      <c r="J2825">
        <v>-333.75970000000001</v>
      </c>
      <c r="K2825">
        <v>1.111216</v>
      </c>
      <c r="L2825">
        <v>283.59949999999998</v>
      </c>
      <c r="M2825">
        <v>-0.99950899999999998</v>
      </c>
      <c r="N2825">
        <v>0</v>
      </c>
      <c r="O2825">
        <v>2.9989020000000002E-2</v>
      </c>
      <c r="P2825">
        <v>-0.9839696</v>
      </c>
      <c r="Q2825">
        <v>0.17613989999999999</v>
      </c>
      <c r="R2825">
        <v>-2.790979E-2</v>
      </c>
      <c r="S2825">
        <v>-3.067993</v>
      </c>
      <c r="T2825">
        <v>-7.603443E-2</v>
      </c>
      <c r="U2825">
        <v>0.1682129</v>
      </c>
      <c r="V2825">
        <v>-5.8155930000000002E-2</v>
      </c>
      <c r="W2825">
        <v>0.18483350000000001</v>
      </c>
      <c r="X2825">
        <v>0.98104760000000002</v>
      </c>
      <c r="Y2825">
        <v>2.4777790000000001E-2</v>
      </c>
      <c r="Z2825">
        <v>-4.3558639999999999E-4</v>
      </c>
      <c r="AA2825">
        <v>0.9996929</v>
      </c>
      <c r="AB2825">
        <v>39</v>
      </c>
      <c r="AC2825">
        <v>-44.537699999999901</v>
      </c>
      <c r="AD2825">
        <v>-1.1112131213309999</v>
      </c>
      <c r="AE2825">
        <v>2.4499000000000102</v>
      </c>
      <c r="AF2825">
        <v>1.11241060724577</v>
      </c>
      <c r="AG2825">
        <v>-1.1112131213309999</v>
      </c>
      <c r="AH2825">
        <v>44.563482604699203</v>
      </c>
      <c r="AI2825">
        <v>91.427958782173505</v>
      </c>
      <c r="AJ2825">
        <v>88.570057912618694</v>
      </c>
      <c r="AK2825">
        <v>44.591212517932902</v>
      </c>
      <c r="AL2825">
        <v>79.348574371492603</v>
      </c>
      <c r="AM2825">
        <v>93.3924903432479</v>
      </c>
      <c r="AN2825">
        <v>0.99999996419108605</v>
      </c>
    </row>
    <row r="2826" spans="1:40" x14ac:dyDescent="0.25">
      <c r="A2826" t="str">
        <f>"20190312172135808"</f>
        <v>20190312172135808</v>
      </c>
      <c r="B2826" t="str">
        <f>"1552382495804059"</f>
        <v>1552382495804059</v>
      </c>
      <c r="C2826" t="s">
        <v>40</v>
      </c>
      <c r="D2826">
        <v>3.0510060000000001</v>
      </c>
      <c r="E2826">
        <v>0.53166959999999996</v>
      </c>
      <c r="F2826" t="s">
        <v>46</v>
      </c>
      <c r="G2826">
        <v>-375.26369999999997</v>
      </c>
      <c r="H2826" s="1">
        <v>1.264281E-6</v>
      </c>
      <c r="I2826">
        <v>285.8646</v>
      </c>
      <c r="J2826">
        <v>-334.1474</v>
      </c>
      <c r="K2826">
        <v>1.1113379999999999</v>
      </c>
      <c r="L2826">
        <v>283.6096</v>
      </c>
      <c r="M2826">
        <v>-0.99956719999999999</v>
      </c>
      <c r="N2826">
        <v>0</v>
      </c>
      <c r="O2826">
        <v>2.7976620000000001E-2</v>
      </c>
      <c r="P2826">
        <v>-0.98436869999999999</v>
      </c>
      <c r="Q2826">
        <v>0.1734465</v>
      </c>
      <c r="R2826">
        <v>-3.0572820000000001E-2</v>
      </c>
      <c r="S2826">
        <v>-3.0683289999999999</v>
      </c>
      <c r="T2826">
        <v>-8.2150580000000001E-2</v>
      </c>
      <c r="U2826">
        <v>0.16744999999999999</v>
      </c>
      <c r="V2826">
        <v>-5.8898100000000002E-2</v>
      </c>
      <c r="W2826">
        <v>0.1821335</v>
      </c>
      <c r="X2826">
        <v>0.98150820000000005</v>
      </c>
      <c r="Y2826">
        <v>2.6535550000000001E-2</v>
      </c>
      <c r="Z2826">
        <v>-3.9326269999999998E-4</v>
      </c>
      <c r="AA2826">
        <v>0.99964779999999998</v>
      </c>
      <c r="AB2826">
        <v>40</v>
      </c>
      <c r="AC2826">
        <v>-41.116299999999903</v>
      </c>
      <c r="AD2826">
        <v>-1.111336735719</v>
      </c>
      <c r="AE2826">
        <v>2.2549999999999901</v>
      </c>
      <c r="AF2826">
        <v>1.10297120507396</v>
      </c>
      <c r="AG2826">
        <v>-1.111336735719</v>
      </c>
      <c r="AH2826">
        <v>41.133333960632797</v>
      </c>
      <c r="AI2826">
        <v>91.547079922087505</v>
      </c>
      <c r="AJ2826">
        <v>88.464008405367693</v>
      </c>
      <c r="AK2826">
        <v>41.1631240011776</v>
      </c>
      <c r="AL2826">
        <v>79.505944831990007</v>
      </c>
      <c r="AM2826">
        <v>93.434072888000102</v>
      </c>
      <c r="AN2826">
        <v>0.99999997233654903</v>
      </c>
    </row>
    <row r="2827" spans="1:40" x14ac:dyDescent="0.25">
      <c r="A2827" t="str">
        <f>"20190312172135821"</f>
        <v>20190312172135821</v>
      </c>
      <c r="B2827" t="str">
        <f>"1552382495813819"</f>
        <v>1552382495813819</v>
      </c>
      <c r="C2827" t="s">
        <v>40</v>
      </c>
      <c r="D2827">
        <v>3.0554100000000002</v>
      </c>
      <c r="E2827">
        <v>0.53187510000000005</v>
      </c>
      <c r="F2827" t="s">
        <v>46</v>
      </c>
      <c r="G2827">
        <v>-372.49689999999998</v>
      </c>
      <c r="H2827" s="1">
        <v>-2.0806E-7</v>
      </c>
      <c r="I2827">
        <v>285.65429999999998</v>
      </c>
      <c r="J2827">
        <v>-334.37049999999999</v>
      </c>
      <c r="K2827">
        <v>1.111402</v>
      </c>
      <c r="L2827">
        <v>283.61500000000001</v>
      </c>
      <c r="M2827">
        <v>-0.99959960000000003</v>
      </c>
      <c r="N2827">
        <v>0</v>
      </c>
      <c r="O2827">
        <v>2.67925E-2</v>
      </c>
      <c r="P2827">
        <v>-0.98446880000000003</v>
      </c>
      <c r="Q2827">
        <v>0.17262249999999901</v>
      </c>
      <c r="R2827">
        <v>-3.1982770000000001E-2</v>
      </c>
      <c r="S2827">
        <v>-3.0684200000000001</v>
      </c>
      <c r="T2827">
        <v>-8.8920470000000001E-2</v>
      </c>
      <c r="U2827">
        <v>0.16360469999999999</v>
      </c>
      <c r="V2827">
        <v>-5.9172660000000002E-2</v>
      </c>
      <c r="W2827">
        <v>0.18130640000000001</v>
      </c>
      <c r="X2827">
        <v>0.98164479999999998</v>
      </c>
      <c r="Y2827">
        <v>2.6468660000000001E-2</v>
      </c>
      <c r="Z2827">
        <v>-3.9236840000000001E-4</v>
      </c>
      <c r="AA2827">
        <v>0.99964960000000003</v>
      </c>
      <c r="AB2827">
        <v>40</v>
      </c>
      <c r="AC2827">
        <v>-38.126399999999897</v>
      </c>
      <c r="AD2827">
        <v>-1.1114022080599999</v>
      </c>
      <c r="AE2827">
        <v>2.0392999999999599</v>
      </c>
      <c r="AF2827">
        <v>1.0161629781411801</v>
      </c>
      <c r="AG2827">
        <v>-1.1114022080599999</v>
      </c>
      <c r="AH2827">
        <v>38.135039541852301</v>
      </c>
      <c r="AI2827">
        <v>91.668755591974701</v>
      </c>
      <c r="AJ2827">
        <v>88.473632734973904</v>
      </c>
      <c r="AK2827">
        <v>38.164761795730698</v>
      </c>
      <c r="AL2827">
        <v>79.554136461184299</v>
      </c>
      <c r="AM2827">
        <v>93.449563691747898</v>
      </c>
      <c r="AN2827">
        <v>0.999999963869737</v>
      </c>
    </row>
    <row r="2828" spans="1:40" x14ac:dyDescent="0.25">
      <c r="A2828" t="str">
        <f>"20190312172135833"</f>
        <v>20190312172135833</v>
      </c>
      <c r="B2828" t="str">
        <f>"1552382495823579"</f>
        <v>1552382495823579</v>
      </c>
      <c r="C2828" t="s">
        <v>40</v>
      </c>
      <c r="D2828">
        <v>3.0302250000000002</v>
      </c>
      <c r="E2828">
        <v>0.53209819999999997</v>
      </c>
      <c r="F2828" t="s">
        <v>46</v>
      </c>
      <c r="G2828">
        <v>-371.98559999999998</v>
      </c>
      <c r="H2828" s="1">
        <v>-4.8014640000000004E-7</v>
      </c>
      <c r="I2828">
        <v>285.59399999999999</v>
      </c>
      <c r="J2828">
        <v>-334.59809999999999</v>
      </c>
      <c r="K2828">
        <v>1.1114599999999999</v>
      </c>
      <c r="L2828">
        <v>283.62009999999998</v>
      </c>
      <c r="M2828">
        <v>-0.99963190000000002</v>
      </c>
      <c r="N2828">
        <v>0</v>
      </c>
      <c r="O2828">
        <v>2.555576E-2</v>
      </c>
      <c r="P2828">
        <v>-0.98451920000000004</v>
      </c>
      <c r="Q2828">
        <v>0.17202679999999901</v>
      </c>
      <c r="R2828">
        <v>-3.3595640000000003E-2</v>
      </c>
      <c r="S2828">
        <v>-3.0685120000000001</v>
      </c>
      <c r="T2828">
        <v>-9.0664270000000005E-2</v>
      </c>
      <c r="U2828">
        <v>0.161438</v>
      </c>
      <c r="V2828">
        <v>-5.9593119999999999E-2</v>
      </c>
      <c r="W2828">
        <v>0.18070710000000001</v>
      </c>
      <c r="X2828">
        <v>0.98172990000000004</v>
      </c>
      <c r="Y2828">
        <v>2.6999189999999999E-2</v>
      </c>
      <c r="Z2828">
        <v>-3.557387E-4</v>
      </c>
      <c r="AA2828">
        <v>0.99963539999999995</v>
      </c>
      <c r="AB2828">
        <v>40</v>
      </c>
      <c r="AC2828">
        <v>-37.387499999999903</v>
      </c>
      <c r="AD2828">
        <v>-1.1114604801463901</v>
      </c>
      <c r="AE2828">
        <v>1.97390000000001</v>
      </c>
      <c r="AF2828">
        <v>1.01685349314933</v>
      </c>
      <c r="AG2828">
        <v>-1.1114604801463901</v>
      </c>
      <c r="AH2828">
        <v>37.392780318508301</v>
      </c>
      <c r="AI2828">
        <v>91.701925789667897</v>
      </c>
      <c r="AJ2828">
        <v>88.442291322730895</v>
      </c>
      <c r="AK2828">
        <v>37.423112582649701</v>
      </c>
      <c r="AL2828">
        <v>79.589050880417602</v>
      </c>
      <c r="AM2828">
        <v>93.473714848508905</v>
      </c>
      <c r="AN2828">
        <v>0.99999999624787705</v>
      </c>
    </row>
    <row r="2829" spans="1:40" x14ac:dyDescent="0.25">
      <c r="A2829" t="str">
        <f>"20190312172135846"</f>
        <v>20190312172135846</v>
      </c>
      <c r="B2829" t="str">
        <f>"1552382495844075"</f>
        <v>1552382495844075</v>
      </c>
      <c r="C2829" t="s">
        <v>40</v>
      </c>
      <c r="D2829">
        <v>3.02989</v>
      </c>
      <c r="E2829">
        <v>0.53242119999999904</v>
      </c>
      <c r="F2829" t="s">
        <v>46</v>
      </c>
      <c r="G2829">
        <v>-371.74</v>
      </c>
      <c r="H2829" s="1">
        <v>-6.1084060000000004E-7</v>
      </c>
      <c r="I2829">
        <v>285.54020000000003</v>
      </c>
      <c r="J2829">
        <v>-334.8107</v>
      </c>
      <c r="K2829">
        <v>1.1115159999999999</v>
      </c>
      <c r="L2829">
        <v>283.62479999999999</v>
      </c>
      <c r="M2829">
        <v>-0.99966100000000002</v>
      </c>
      <c r="N2829">
        <v>0</v>
      </c>
      <c r="O2829">
        <v>2.4391159999999999E-2</v>
      </c>
      <c r="P2829">
        <v>-0.98443559999999997</v>
      </c>
      <c r="Q2829">
        <v>0.17226669999999999</v>
      </c>
      <c r="R2829">
        <v>-3.4801890000000002E-2</v>
      </c>
      <c r="S2829">
        <v>-3.0686339999999999</v>
      </c>
      <c r="T2829">
        <v>-9.1827870000000006E-2</v>
      </c>
      <c r="U2829">
        <v>0.15863039999999901</v>
      </c>
      <c r="V2829">
        <v>-5.9675209999999999E-2</v>
      </c>
      <c r="W2829">
        <v>0.18094440000000001</v>
      </c>
      <c r="X2829">
        <v>0.98168120000000003</v>
      </c>
      <c r="Y2829">
        <v>2.7248919999999999E-2</v>
      </c>
      <c r="Z2829">
        <v>-3.217642E-4</v>
      </c>
      <c r="AA2829">
        <v>0.99962859999999998</v>
      </c>
      <c r="AB2829">
        <v>40</v>
      </c>
      <c r="AC2829">
        <v>-36.929299999999998</v>
      </c>
      <c r="AD2829">
        <v>-1.1115166108406001</v>
      </c>
      <c r="AE2829">
        <v>1.91540000000003</v>
      </c>
      <c r="AF2829">
        <v>1.01312892486825</v>
      </c>
      <c r="AG2829">
        <v>-1.1115166108406001</v>
      </c>
      <c r="AH2829">
        <v>36.931665705046697</v>
      </c>
      <c r="AI2829">
        <v>91.723238401397495</v>
      </c>
      <c r="AJ2829">
        <v>88.428626065409006</v>
      </c>
      <c r="AK2829">
        <v>36.962275784154599</v>
      </c>
      <c r="AL2829">
        <v>79.575226662895602</v>
      </c>
      <c r="AM2829">
        <v>93.478660317044898</v>
      </c>
      <c r="AN2829">
        <v>0.99999999250667204</v>
      </c>
    </row>
    <row r="2830" spans="1:40" x14ac:dyDescent="0.25">
      <c r="A2830" t="str">
        <f>"20190312172135858"</f>
        <v>20190312172135858</v>
      </c>
      <c r="B2830" t="str">
        <f>"1552382495853835"</f>
        <v>1552382495853835</v>
      </c>
      <c r="C2830" t="s">
        <v>40</v>
      </c>
      <c r="D2830">
        <v>3.028394</v>
      </c>
      <c r="E2830">
        <v>0.53252759999999999</v>
      </c>
      <c r="F2830" t="s">
        <v>46</v>
      </c>
      <c r="G2830">
        <v>-372.8365</v>
      </c>
      <c r="H2830" s="1">
        <v>-2.7346519999999999E-8</v>
      </c>
      <c r="I2830">
        <v>285.57990000000001</v>
      </c>
      <c r="J2830">
        <v>-335.05</v>
      </c>
      <c r="K2830">
        <v>1.1115710000000001</v>
      </c>
      <c r="L2830">
        <v>283.62979999999999</v>
      </c>
      <c r="M2830">
        <v>-0.99969220000000003</v>
      </c>
      <c r="N2830">
        <v>0</v>
      </c>
      <c r="O2830">
        <v>2.3069650000000001E-2</v>
      </c>
      <c r="P2830">
        <v>-0.9842438</v>
      </c>
      <c r="Q2830">
        <v>0.17309920000000001</v>
      </c>
      <c r="R2830">
        <v>-3.6068009999999998E-2</v>
      </c>
      <c r="S2830">
        <v>-3.0686650000000002</v>
      </c>
      <c r="T2830">
        <v>-8.9698910000000007E-2</v>
      </c>
      <c r="U2830">
        <v>0.1577759</v>
      </c>
      <c r="V2830">
        <v>-5.9664040000000002E-2</v>
      </c>
      <c r="W2830">
        <v>0.18177489999999999</v>
      </c>
      <c r="X2830">
        <v>0.98152850000000003</v>
      </c>
      <c r="Y2830">
        <v>2.829127E-2</v>
      </c>
      <c r="Z2830">
        <v>-2.6050999999999998E-4</v>
      </c>
      <c r="AA2830">
        <v>0.99959969999999998</v>
      </c>
      <c r="AB2830">
        <v>40</v>
      </c>
      <c r="AC2830">
        <v>-37.786499999999897</v>
      </c>
      <c r="AD2830">
        <v>-1.11157102734651</v>
      </c>
      <c r="AE2830">
        <v>1.9501000000000199</v>
      </c>
      <c r="AF2830">
        <v>1.0768938852779799</v>
      </c>
      <c r="AG2830">
        <v>-1.11157102734651</v>
      </c>
      <c r="AH2830">
        <v>37.788818280628099</v>
      </c>
      <c r="AI2830">
        <v>91.684205771374394</v>
      </c>
      <c r="AJ2830">
        <v>88.367644647575105</v>
      </c>
      <c r="AK2830">
        <v>37.820498114584801</v>
      </c>
      <c r="AL2830">
        <v>79.5268407667388</v>
      </c>
      <c r="AM2830">
        <v>93.478550538658695</v>
      </c>
      <c r="AN2830">
        <v>1.0000000541256799</v>
      </c>
    </row>
    <row r="2831" spans="1:40" x14ac:dyDescent="0.25">
      <c r="A2831" t="str">
        <f>"20190312172135870"</f>
        <v>20190312172135870</v>
      </c>
      <c r="B2831" t="str">
        <f>"1552382495863595"</f>
        <v>1552382495863595</v>
      </c>
      <c r="C2831" t="s">
        <v>40</v>
      </c>
      <c r="D2831">
        <v>3.0510320000000002</v>
      </c>
      <c r="E2831">
        <v>0.53252759999999999</v>
      </c>
      <c r="F2831" t="s">
        <v>46</v>
      </c>
      <c r="G2831">
        <v>-374.69159999999999</v>
      </c>
      <c r="H2831" s="1">
        <v>9.5982189999999993E-7</v>
      </c>
      <c r="I2831">
        <v>285.62369999999999</v>
      </c>
      <c r="J2831">
        <v>-335.25979999999998</v>
      </c>
      <c r="K2831">
        <v>1.111605</v>
      </c>
      <c r="L2831">
        <v>283.63369999999998</v>
      </c>
      <c r="M2831">
        <v>-0.99971849999999995</v>
      </c>
      <c r="N2831">
        <v>0</v>
      </c>
      <c r="O2831">
        <v>2.1897920000000001E-2</v>
      </c>
      <c r="P2831">
        <v>-0.98405889999999996</v>
      </c>
      <c r="Q2831">
        <v>0.17385510000000001</v>
      </c>
      <c r="R2831">
        <v>-3.7456160000000002E-2</v>
      </c>
      <c r="S2831">
        <v>-3.0687869999999999</v>
      </c>
      <c r="T2831">
        <v>-8.6050269999999998E-2</v>
      </c>
      <c r="U2831">
        <v>0.15435789999999999</v>
      </c>
      <c r="V2831">
        <v>-5.991577E-2</v>
      </c>
      <c r="W2831">
        <v>0.18252779999999999</v>
      </c>
      <c r="X2831">
        <v>0.98137339999999995</v>
      </c>
      <c r="Y2831">
        <v>2.835006E-2</v>
      </c>
      <c r="Z2831">
        <v>-2.162787E-4</v>
      </c>
      <c r="AA2831">
        <v>0.99959799999999999</v>
      </c>
      <c r="AB2831">
        <v>40</v>
      </c>
      <c r="AC2831">
        <v>-39.431800000000003</v>
      </c>
      <c r="AD2831">
        <v>-1.1116040401781</v>
      </c>
      <c r="AE2831">
        <v>1.99</v>
      </c>
      <c r="AF2831">
        <v>1.1251205002761699</v>
      </c>
      <c r="AG2831">
        <v>-1.1116040401781</v>
      </c>
      <c r="AH2831">
        <v>39.434663221589602</v>
      </c>
      <c r="AI2831">
        <v>91.613998117679799</v>
      </c>
      <c r="AJ2831">
        <v>88.365722760833606</v>
      </c>
      <c r="AK2831">
        <v>39.466368253013499</v>
      </c>
      <c r="AL2831">
        <v>79.482968496951699</v>
      </c>
      <c r="AM2831">
        <v>93.493741419823806</v>
      </c>
      <c r="AN2831">
        <v>1.0000000237475399</v>
      </c>
    </row>
    <row r="2832" spans="1:40" x14ac:dyDescent="0.25">
      <c r="A2832" t="str">
        <f>"20190312172135886"</f>
        <v>20190312172135886</v>
      </c>
      <c r="B2832" t="str">
        <f>"1552382495883115"</f>
        <v>1552382495883115</v>
      </c>
      <c r="C2832" t="s">
        <v>40</v>
      </c>
      <c r="D2832">
        <v>3.0658089999999998</v>
      </c>
      <c r="E2832">
        <v>0.53066389999999997</v>
      </c>
      <c r="F2832" t="s">
        <v>46</v>
      </c>
      <c r="G2832">
        <v>-375.99799999999999</v>
      </c>
      <c r="H2832" s="1">
        <v>1.6550179999999999E-6</v>
      </c>
      <c r="I2832">
        <v>285.62430000000001</v>
      </c>
      <c r="J2832">
        <v>-335.5172</v>
      </c>
      <c r="K2832">
        <v>1.1116569999999999</v>
      </c>
      <c r="L2832">
        <v>283.63830000000002</v>
      </c>
      <c r="M2832">
        <v>-0.99974890000000005</v>
      </c>
      <c r="N2832">
        <v>0</v>
      </c>
      <c r="O2832">
        <v>2.0455729999999998E-2</v>
      </c>
      <c r="P2832">
        <v>-0.98373290000000002</v>
      </c>
      <c r="Q2832">
        <v>0.17527429999999999</v>
      </c>
      <c r="R2832">
        <v>-3.9348569999999999E-2</v>
      </c>
      <c r="S2832">
        <v>-3.069061</v>
      </c>
      <c r="T2832">
        <v>-8.374405E-2</v>
      </c>
      <c r="U2832">
        <v>0.1499634</v>
      </c>
      <c r="V2832">
        <v>-6.0409619999999997E-2</v>
      </c>
      <c r="W2832">
        <v>0.1839421</v>
      </c>
      <c r="X2832">
        <v>0.98107900000000003</v>
      </c>
      <c r="Y2832">
        <v>2.8359369999999998E-2</v>
      </c>
      <c r="Z2832">
        <v>-1.7104220000000001E-4</v>
      </c>
      <c r="AA2832">
        <v>0.99959779999999998</v>
      </c>
      <c r="AB2832">
        <v>40</v>
      </c>
      <c r="AC2832">
        <v>-40.480800000000002</v>
      </c>
      <c r="AD2832">
        <v>-1.1116553449819999</v>
      </c>
      <c r="AE2832">
        <v>1.98599999999998</v>
      </c>
      <c r="AF2832">
        <v>1.15661530644364</v>
      </c>
      <c r="AG2832">
        <v>-1.1116553449819999</v>
      </c>
      <c r="AH2832">
        <v>40.482500376551002</v>
      </c>
      <c r="AI2832">
        <v>91.572313869249498</v>
      </c>
      <c r="AJ2832">
        <v>88.363461934908202</v>
      </c>
      <c r="AK2832">
        <v>40.5142736984211</v>
      </c>
      <c r="AL2832">
        <v>79.400539343301702</v>
      </c>
      <c r="AM2832">
        <v>93.523520389541602</v>
      </c>
      <c r="AN2832">
        <v>1.0000000112909699</v>
      </c>
    </row>
    <row r="2833" spans="1:40" x14ac:dyDescent="0.25">
      <c r="A2833" t="str">
        <f>"20190312172135896"</f>
        <v>20190312172135896</v>
      </c>
      <c r="B2833" t="str">
        <f>"1552382495893851"</f>
        <v>1552382495893851</v>
      </c>
      <c r="C2833" t="s">
        <v>40</v>
      </c>
      <c r="D2833">
        <v>3.0254089999999998</v>
      </c>
      <c r="E2833">
        <v>0.48757159999999999</v>
      </c>
      <c r="F2833" t="s">
        <v>46</v>
      </c>
      <c r="G2833">
        <v>-377.72739999999999</v>
      </c>
      <c r="H2833" s="1">
        <v>2.5753309999999999E-6</v>
      </c>
      <c r="I2833">
        <v>285.4153</v>
      </c>
      <c r="J2833">
        <v>-335.72219999999999</v>
      </c>
      <c r="K2833">
        <v>1.111686</v>
      </c>
      <c r="L2833">
        <v>283.64170000000001</v>
      </c>
      <c r="M2833">
        <v>-0.99977179999999999</v>
      </c>
      <c r="N2833">
        <v>0</v>
      </c>
      <c r="O2833">
        <v>1.9303440000000002E-2</v>
      </c>
      <c r="P2833">
        <v>-0.98364099999999999</v>
      </c>
      <c r="Q2833">
        <v>0.17547860000000001</v>
      </c>
      <c r="R2833">
        <v>-4.071541E-2</v>
      </c>
      <c r="S2833">
        <v>-3.069153</v>
      </c>
      <c r="T2833">
        <v>-8.0829739999999997E-2</v>
      </c>
      <c r="U2833">
        <v>0.1292114</v>
      </c>
      <c r="V2833">
        <v>-6.0656620000000001E-2</v>
      </c>
      <c r="W2833">
        <v>0.184145</v>
      </c>
      <c r="X2833">
        <v>0.9810257</v>
      </c>
      <c r="Y2833">
        <v>2.276657E-2</v>
      </c>
      <c r="Z2833">
        <v>-2.0840410000000001E-4</v>
      </c>
      <c r="AA2833">
        <v>0.99974079999999999</v>
      </c>
      <c r="AB2833">
        <v>40</v>
      </c>
      <c r="AC2833">
        <v>-42.005200000000002</v>
      </c>
      <c r="AD2833">
        <v>-1.1116834246689999</v>
      </c>
      <c r="AE2833">
        <v>1.7735999999999801</v>
      </c>
      <c r="AF2833">
        <v>0.96171829133124798</v>
      </c>
      <c r="AG2833">
        <v>-1.1116834246689999</v>
      </c>
      <c r="AH2833">
        <v>42.002243887986701</v>
      </c>
      <c r="AI2833">
        <v>91.515710054494207</v>
      </c>
      <c r="AJ2833">
        <v>88.688337391425605</v>
      </c>
      <c r="AK2833">
        <v>42.027957763071001</v>
      </c>
      <c r="AL2833">
        <v>79.388712039294504</v>
      </c>
      <c r="AM2833">
        <v>93.538082403707904</v>
      </c>
      <c r="AN2833">
        <v>1.00000001531765</v>
      </c>
    </row>
    <row r="2834" spans="1:40" x14ac:dyDescent="0.25">
      <c r="A2834" t="str">
        <f>"20190312172135909"</f>
        <v>20190312172135909</v>
      </c>
      <c r="B2834" t="str">
        <f>"1552382495903611"</f>
        <v>1552382495903611</v>
      </c>
      <c r="C2834" t="s">
        <v>40</v>
      </c>
      <c r="D2834">
        <v>3.027809</v>
      </c>
      <c r="E2834">
        <v>0.4855834</v>
      </c>
      <c r="F2834" t="s">
        <v>46</v>
      </c>
      <c r="G2834">
        <v>-394.66849999999999</v>
      </c>
      <c r="H2834">
        <v>8.0000089999999996E-2</v>
      </c>
      <c r="I2834">
        <v>279.4228</v>
      </c>
      <c r="J2834">
        <v>-335.9273</v>
      </c>
      <c r="K2834">
        <v>1.11171</v>
      </c>
      <c r="L2834">
        <v>283.64479999999998</v>
      </c>
      <c r="M2834">
        <v>-0.9997935</v>
      </c>
      <c r="N2834">
        <v>0</v>
      </c>
      <c r="O2834">
        <v>1.8147460000000001E-2</v>
      </c>
      <c r="P2834">
        <v>-0.98357950000000005</v>
      </c>
      <c r="Q2834">
        <v>0.1754723</v>
      </c>
      <c r="R2834">
        <v>-4.2199430000000003E-2</v>
      </c>
      <c r="S2834">
        <v>-3.0504150000000001</v>
      </c>
      <c r="T2834">
        <v>-5.3388709999999999E-2</v>
      </c>
      <c r="U2834">
        <v>-0.21832280000000001</v>
      </c>
      <c r="V2834">
        <v>-6.1015029999999998E-2</v>
      </c>
      <c r="W2834">
        <v>0.184138</v>
      </c>
      <c r="X2834">
        <v>0.98100480000000001</v>
      </c>
      <c r="Y2834">
        <v>-8.9462630000000001E-2</v>
      </c>
      <c r="Z2834">
        <v>-1.099074E-3</v>
      </c>
      <c r="AA2834">
        <v>0.99598960000000003</v>
      </c>
      <c r="AB2834">
        <v>40</v>
      </c>
      <c r="AC2834">
        <v>-58.7411999999999</v>
      </c>
      <c r="AD2834">
        <v>-1.03170991</v>
      </c>
      <c r="AE2834">
        <v>-4.22199999999998</v>
      </c>
      <c r="AF2834">
        <v>-5.28573065009736</v>
      </c>
      <c r="AG2834">
        <v>-1.03170991</v>
      </c>
      <c r="AH2834">
        <v>58.6369085292012</v>
      </c>
      <c r="AI2834">
        <v>91.003939052285304</v>
      </c>
      <c r="AJ2834">
        <v>95.150914990697203</v>
      </c>
      <c r="AK2834">
        <v>58.883702462614202</v>
      </c>
      <c r="AL2834">
        <v>79.389120215837195</v>
      </c>
      <c r="AM2834">
        <v>93.559010402853502</v>
      </c>
      <c r="AN2834">
        <v>1.00000002727647</v>
      </c>
    </row>
    <row r="2835" spans="1:40" x14ac:dyDescent="0.25">
      <c r="A2835" t="str">
        <f>"20190312172135921"</f>
        <v>20190312172135921</v>
      </c>
      <c r="B2835" t="str">
        <f>"1552382495913371"</f>
        <v>1552382495913371</v>
      </c>
      <c r="C2835" t="s">
        <v>40</v>
      </c>
      <c r="D2835">
        <v>3.015825</v>
      </c>
      <c r="E2835">
        <v>0.4843615</v>
      </c>
      <c r="F2835" t="s">
        <v>47</v>
      </c>
      <c r="G2835">
        <v>-404.17869999999999</v>
      </c>
      <c r="H2835">
        <v>8.0001210000000003E-2</v>
      </c>
      <c r="I2835">
        <v>278.30259999999998</v>
      </c>
      <c r="J2835">
        <v>-336.14159999999998</v>
      </c>
      <c r="K2835">
        <v>1.1117379999999999</v>
      </c>
      <c r="L2835">
        <v>283.64789999999999</v>
      </c>
      <c r="M2835">
        <v>-0.99981469999999995</v>
      </c>
      <c r="N2835">
        <v>0</v>
      </c>
      <c r="O2835">
        <v>1.6939559999999999E-2</v>
      </c>
      <c r="P2835">
        <v>-0.98342229999999997</v>
      </c>
      <c r="Q2835">
        <v>0.1759529</v>
      </c>
      <c r="R2835">
        <v>-4.3836849999999997E-2</v>
      </c>
      <c r="S2835">
        <v>-3.0480960000000001</v>
      </c>
      <c r="T2835">
        <v>-4.6075940000000003E-2</v>
      </c>
      <c r="U2835">
        <v>-0.2385864</v>
      </c>
      <c r="V2835">
        <v>-6.1476719999999999E-2</v>
      </c>
      <c r="W2835">
        <v>0.184617</v>
      </c>
      <c r="X2835">
        <v>0.98088589999999998</v>
      </c>
      <c r="Y2835">
        <v>-9.489997E-2</v>
      </c>
      <c r="Z2835">
        <v>-9.7183420000000005E-4</v>
      </c>
      <c r="AA2835">
        <v>0.99548630000000005</v>
      </c>
      <c r="AB2835">
        <v>40</v>
      </c>
      <c r="AC2835">
        <v>-68.037099999999995</v>
      </c>
      <c r="AD2835">
        <v>-1.0317367899999901</v>
      </c>
      <c r="AE2835">
        <v>-5.3452999999999999</v>
      </c>
      <c r="AF2835">
        <v>-6.4956151455166697</v>
      </c>
      <c r="AG2835">
        <v>-1.0317367899999901</v>
      </c>
      <c r="AH2835">
        <v>67.921262947623305</v>
      </c>
      <c r="AI2835">
        <v>90.866314747451398</v>
      </c>
      <c r="AJ2835">
        <v>95.462838619786893</v>
      </c>
      <c r="AK2835">
        <v>68.238958501157498</v>
      </c>
      <c r="AL2835">
        <v>79.361196364092194</v>
      </c>
      <c r="AM2835">
        <v>93.586304337663194</v>
      </c>
      <c r="AN2835">
        <v>0.99999998630488396</v>
      </c>
    </row>
    <row r="2836" spans="1:40" x14ac:dyDescent="0.25">
      <c r="A2836" t="str">
        <f>"20190312172135931"</f>
        <v>20190312172135931</v>
      </c>
      <c r="B2836" t="str">
        <f>"1552382495924107"</f>
        <v>1552382495924107</v>
      </c>
      <c r="C2836" t="s">
        <v>40</v>
      </c>
      <c r="D2836">
        <v>3.0124810000000002</v>
      </c>
      <c r="E2836">
        <v>0.4836202</v>
      </c>
      <c r="F2836" t="s">
        <v>47</v>
      </c>
      <c r="G2836">
        <v>-421.923</v>
      </c>
      <c r="H2836" s="1">
        <v>5.0711480000000001E-6</v>
      </c>
      <c r="I2836">
        <v>276.5111</v>
      </c>
      <c r="J2836">
        <v>-336.3546</v>
      </c>
      <c r="K2836">
        <v>1.1117600000000001</v>
      </c>
      <c r="L2836">
        <v>283.65069999999997</v>
      </c>
      <c r="M2836">
        <v>-0.99983420000000001</v>
      </c>
      <c r="N2836">
        <v>0</v>
      </c>
      <c r="O2836">
        <v>1.5741539999999998E-2</v>
      </c>
      <c r="P2836">
        <v>-0.98319699999999999</v>
      </c>
      <c r="Q2836">
        <v>0.17694989999999999</v>
      </c>
      <c r="R2836">
        <v>-4.4859759999999999E-2</v>
      </c>
      <c r="S2836">
        <v>-3.0463260000000001</v>
      </c>
      <c r="T2836">
        <v>-3.948057E-2</v>
      </c>
      <c r="U2836">
        <v>-0.25344850000000002</v>
      </c>
      <c r="V2836">
        <v>-6.1333550000000001E-2</v>
      </c>
      <c r="W2836">
        <v>0.18561510000000001</v>
      </c>
      <c r="X2836">
        <v>0.98070650000000004</v>
      </c>
      <c r="Y2836">
        <v>-9.8579819999999999E-2</v>
      </c>
      <c r="Z2836">
        <v>-8.4135850000000001E-4</v>
      </c>
      <c r="AA2836">
        <v>0.99512880000000004</v>
      </c>
      <c r="AB2836">
        <v>40</v>
      </c>
      <c r="AC2836">
        <v>-85.568399999999997</v>
      </c>
      <c r="AD2836">
        <v>-1.1117549288519999</v>
      </c>
      <c r="AE2836">
        <v>-7.1395999999999704</v>
      </c>
      <c r="AF2836">
        <v>-8.4843277911458905</v>
      </c>
      <c r="AG2836">
        <v>-1.1117549288519999</v>
      </c>
      <c r="AH2836">
        <v>85.431082002274707</v>
      </c>
      <c r="AI2836">
        <v>90.741925525880603</v>
      </c>
      <c r="AJ2836">
        <v>95.671558740448305</v>
      </c>
      <c r="AK2836">
        <v>85.858544066207102</v>
      </c>
      <c r="AL2836">
        <v>79.303003875588701</v>
      </c>
      <c r="AM2836">
        <v>93.578626913608304</v>
      </c>
      <c r="AN2836">
        <v>1.00000000442293</v>
      </c>
    </row>
    <row r="2837" spans="1:40" x14ac:dyDescent="0.25">
      <c r="A2837" t="str">
        <f>"20190312172135944"</f>
        <v>20190312172135944</v>
      </c>
      <c r="B2837" t="str">
        <f>"1552382495933867"</f>
        <v>1552382495933867</v>
      </c>
      <c r="C2837" t="s">
        <v>40</v>
      </c>
      <c r="D2837">
        <v>3.022043</v>
      </c>
      <c r="E2837">
        <v>0.48344090000000001</v>
      </c>
      <c r="F2837" t="s">
        <v>47</v>
      </c>
      <c r="G2837">
        <v>-428.10770000000002</v>
      </c>
      <c r="H2837" s="1">
        <v>3.9929039999999996E-6</v>
      </c>
      <c r="I2837">
        <v>275.72910000000002</v>
      </c>
      <c r="J2837">
        <v>-336.56509999999997</v>
      </c>
      <c r="K2837">
        <v>1.111783</v>
      </c>
      <c r="L2837">
        <v>283.65320000000003</v>
      </c>
      <c r="M2837">
        <v>-0.99985210000000002</v>
      </c>
      <c r="N2837">
        <v>0</v>
      </c>
      <c r="O2837">
        <v>1.4559519999999999E-2</v>
      </c>
      <c r="P2837">
        <v>-0.98299219999999998</v>
      </c>
      <c r="Q2837">
        <v>0.177956</v>
      </c>
      <c r="R2837">
        <v>-4.5370470000000003E-2</v>
      </c>
      <c r="S2837">
        <v>-3.0458980000000002</v>
      </c>
      <c r="T2837">
        <v>-3.6906599999999998E-2</v>
      </c>
      <c r="U2837">
        <v>-0.26296999999999998</v>
      </c>
      <c r="V2837">
        <v>-6.0693669999999998E-2</v>
      </c>
      <c r="W2837">
        <v>0.18662570000000001</v>
      </c>
      <c r="X2837">
        <v>0.9805545</v>
      </c>
      <c r="Y2837">
        <v>-0.10050439999999999</v>
      </c>
      <c r="Z2837">
        <v>-7.8385589999999995E-4</v>
      </c>
      <c r="AA2837">
        <v>0.9949363</v>
      </c>
      <c r="AB2837">
        <v>40</v>
      </c>
      <c r="AC2837">
        <v>-91.542599999999993</v>
      </c>
      <c r="AD2837">
        <v>-1.1117790070960001</v>
      </c>
      <c r="AE2837">
        <v>-7.9241000000000099</v>
      </c>
      <c r="AF2837">
        <v>-9.2547772519593003</v>
      </c>
      <c r="AG2837">
        <v>-1.1117790070960001</v>
      </c>
      <c r="AH2837">
        <v>91.404138370441999</v>
      </c>
      <c r="AI2837">
        <v>90.693328778093502</v>
      </c>
      <c r="AJ2837">
        <v>95.781562106411002</v>
      </c>
      <c r="AK2837">
        <v>91.878199077838403</v>
      </c>
      <c r="AL2837">
        <v>79.244070978240501</v>
      </c>
      <c r="AM2837">
        <v>93.541934936164495</v>
      </c>
      <c r="AN2837">
        <v>1.0000000004744001</v>
      </c>
    </row>
    <row r="2838" spans="1:40" x14ac:dyDescent="0.25">
      <c r="A2838" t="str">
        <f>"20190312172135958"</f>
        <v>20190312172135958</v>
      </c>
      <c r="B2838" t="str">
        <f>"1552382495953388"</f>
        <v>1552382495953388</v>
      </c>
      <c r="C2838" t="s">
        <v>40</v>
      </c>
      <c r="D2838">
        <v>3.0146890000000002</v>
      </c>
      <c r="E2838">
        <v>0.48306909999999997</v>
      </c>
      <c r="F2838" t="s">
        <v>47</v>
      </c>
      <c r="G2838">
        <v>-429.95830000000001</v>
      </c>
      <c r="H2838">
        <v>3.8828010000000003E-2</v>
      </c>
      <c r="I2838">
        <v>275.4769</v>
      </c>
      <c r="J2838">
        <v>-336.81670000000003</v>
      </c>
      <c r="K2838">
        <v>1.111804</v>
      </c>
      <c r="L2838">
        <v>283.65589999999997</v>
      </c>
      <c r="M2838">
        <v>-0.99987159999999997</v>
      </c>
      <c r="N2838">
        <v>0</v>
      </c>
      <c r="O2838">
        <v>1.3151879999999999E-2</v>
      </c>
      <c r="P2838">
        <v>-0.98277829999999999</v>
      </c>
      <c r="Q2838">
        <v>0.1789385</v>
      </c>
      <c r="R2838">
        <v>-4.6134799999999997E-2</v>
      </c>
      <c r="S2838">
        <v>-3.0459589999999999</v>
      </c>
      <c r="T2838">
        <v>-3.499377E-2</v>
      </c>
      <c r="U2838">
        <v>-0.26666260000000003</v>
      </c>
      <c r="V2838">
        <v>-6.0086010000000002E-2</v>
      </c>
      <c r="W2838">
        <v>0.18761359999999999</v>
      </c>
      <c r="X2838">
        <v>0.98040340000000004</v>
      </c>
      <c r="Y2838">
        <v>-0.1003001</v>
      </c>
      <c r="Z2838">
        <v>-7.2586250000000003E-4</v>
      </c>
      <c r="AA2838">
        <v>0.99495699999999998</v>
      </c>
      <c r="AB2838">
        <v>40</v>
      </c>
      <c r="AC2838">
        <v>-93.141599999999897</v>
      </c>
      <c r="AD2838">
        <v>-1.07297599</v>
      </c>
      <c r="AE2838">
        <v>-8.1789999999999701</v>
      </c>
      <c r="AF2838">
        <v>-9.40209285235834</v>
      </c>
      <c r="AG2838">
        <v>-1.07297599</v>
      </c>
      <c r="AH2838">
        <v>93.013720715627201</v>
      </c>
      <c r="AI2838">
        <v>90.657565553257797</v>
      </c>
      <c r="AJ2838">
        <v>95.772015511615393</v>
      </c>
      <c r="AK2838">
        <v>93.4938654075453</v>
      </c>
      <c r="AL2838">
        <v>79.186450830770397</v>
      </c>
      <c r="AM2838">
        <v>93.507101388651904</v>
      </c>
      <c r="AN2838">
        <v>1.0000000091171199</v>
      </c>
    </row>
    <row r="2839" spans="1:40" x14ac:dyDescent="0.25">
      <c r="A2839" t="str">
        <f>"20190312172135977"</f>
        <v>20190312172135977</v>
      </c>
      <c r="B2839" t="str">
        <f>"1552382495973883"</f>
        <v>1552382495973883</v>
      </c>
      <c r="C2839" t="s">
        <v>40</v>
      </c>
      <c r="D2839">
        <v>3.0302609999999999</v>
      </c>
      <c r="E2839">
        <v>0.48294710000000002</v>
      </c>
      <c r="F2839" t="s">
        <v>47</v>
      </c>
      <c r="G2839">
        <v>-431.59440000000001</v>
      </c>
      <c r="H2839">
        <v>8.0001409999999995E-2</v>
      </c>
      <c r="I2839">
        <v>275.18049999999999</v>
      </c>
      <c r="J2839">
        <v>-337.12970000000001</v>
      </c>
      <c r="K2839">
        <v>1.111823</v>
      </c>
      <c r="L2839">
        <v>283.65870000000001</v>
      </c>
      <c r="M2839">
        <v>-0.99989269999999997</v>
      </c>
      <c r="N2839">
        <v>0</v>
      </c>
      <c r="O2839">
        <v>1.1413299999999999E-2</v>
      </c>
      <c r="P2839">
        <v>-0.98268820000000001</v>
      </c>
      <c r="Q2839">
        <v>0.17934919999999999</v>
      </c>
      <c r="R2839">
        <v>-4.6451899999999997E-2</v>
      </c>
      <c r="S2839">
        <v>-3.0458370000000001</v>
      </c>
      <c r="T2839">
        <v>-3.315866E-2</v>
      </c>
      <c r="U2839">
        <v>-0.27236939999999998</v>
      </c>
      <c r="V2839">
        <v>-5.8704810000000003E-2</v>
      </c>
      <c r="W2839">
        <v>0.18803739999999999</v>
      </c>
      <c r="X2839">
        <v>0.98040590000000005</v>
      </c>
      <c r="Y2839">
        <v>-0.1004241</v>
      </c>
      <c r="Z2839">
        <v>-6.69551E-4</v>
      </c>
      <c r="AA2839">
        <v>0.99494450000000001</v>
      </c>
      <c r="AB2839">
        <v>40</v>
      </c>
      <c r="AC2839">
        <v>-94.464699999999993</v>
      </c>
      <c r="AD2839">
        <v>-1.0318215900000001</v>
      </c>
      <c r="AE2839">
        <v>-8.47820000000001</v>
      </c>
      <c r="AF2839">
        <v>-9.55471631035293</v>
      </c>
      <c r="AG2839">
        <v>-1.0318215900000001</v>
      </c>
      <c r="AH2839">
        <v>94.350611465603194</v>
      </c>
      <c r="AI2839">
        <v>90.623375644015297</v>
      </c>
      <c r="AJ2839">
        <v>95.782526974852104</v>
      </c>
      <c r="AK2839">
        <v>94.838785016986193</v>
      </c>
      <c r="AL2839">
        <v>79.161729047790203</v>
      </c>
      <c r="AM2839">
        <v>93.426669115977603</v>
      </c>
      <c r="AN2839">
        <v>1.0000000236353499</v>
      </c>
    </row>
    <row r="2840" spans="1:40" x14ac:dyDescent="0.25">
      <c r="A2840" t="str">
        <f>"20190312172135997"</f>
        <v>20190312172135997</v>
      </c>
      <c r="B2840" t="str">
        <f>"1552382495993403"</f>
        <v>1552382495993403</v>
      </c>
      <c r="C2840" t="s">
        <v>40</v>
      </c>
      <c r="D2840">
        <v>3.027174</v>
      </c>
      <c r="E2840">
        <v>0.48299560000000002</v>
      </c>
      <c r="F2840" t="s">
        <v>47</v>
      </c>
      <c r="G2840">
        <v>-430.1497</v>
      </c>
      <c r="H2840">
        <v>8.0001660000000002E-2</v>
      </c>
      <c r="I2840">
        <v>275.25319999999999</v>
      </c>
      <c r="J2840">
        <v>-337.51130000000001</v>
      </c>
      <c r="K2840">
        <v>1.1118300000000001</v>
      </c>
      <c r="L2840">
        <v>283.66140000000001</v>
      </c>
      <c r="M2840">
        <v>-0.99991430000000003</v>
      </c>
      <c r="N2840">
        <v>0</v>
      </c>
      <c r="O2840">
        <v>9.320254E-3</v>
      </c>
      <c r="P2840">
        <v>-0.98281870000000005</v>
      </c>
      <c r="Q2840">
        <v>0.17831</v>
      </c>
      <c r="R2840">
        <v>-4.7674420000000002E-2</v>
      </c>
      <c r="S2840">
        <v>-3.0459589999999999</v>
      </c>
      <c r="T2840">
        <v>-3.3787249999999998E-2</v>
      </c>
      <c r="U2840">
        <v>-0.27523799999999998</v>
      </c>
      <c r="V2840">
        <v>-5.7871539999999999E-2</v>
      </c>
      <c r="W2840">
        <v>0.1870126</v>
      </c>
      <c r="X2840">
        <v>0.98065139999999995</v>
      </c>
      <c r="Y2840">
        <v>-9.9267309999999997E-2</v>
      </c>
      <c r="Z2840">
        <v>-6.5260989999999896E-4</v>
      </c>
      <c r="AA2840">
        <v>0.99506059999999996</v>
      </c>
      <c r="AB2840">
        <v>40</v>
      </c>
      <c r="AC2840">
        <v>-92.638400000000004</v>
      </c>
      <c r="AD2840">
        <v>-1.0318283399999999</v>
      </c>
      <c r="AE2840">
        <v>-8.4082000000000203</v>
      </c>
      <c r="AF2840">
        <v>-9.2701440137717999</v>
      </c>
      <c r="AG2840">
        <v>-1.0318283399999999</v>
      </c>
      <c r="AH2840">
        <v>92.544618780699906</v>
      </c>
      <c r="AI2840">
        <v>90.635613507559199</v>
      </c>
      <c r="AJ2840">
        <v>95.720205895407503</v>
      </c>
      <c r="AK2840">
        <v>93.013475932385006</v>
      </c>
      <c r="AL2840">
        <v>79.221505941856506</v>
      </c>
      <c r="AM2840">
        <v>93.377299872431806</v>
      </c>
      <c r="AN2840">
        <v>0.99999999801134498</v>
      </c>
    </row>
    <row r="2841" spans="1:40" x14ac:dyDescent="0.25">
      <c r="A2841" t="str">
        <f>"20190312172136009"</f>
        <v>20190312172136009</v>
      </c>
      <c r="B2841" t="str">
        <f>"1552382496003163"</f>
        <v>1552382496003163</v>
      </c>
      <c r="C2841" t="s">
        <v>40</v>
      </c>
      <c r="D2841">
        <v>3.014494</v>
      </c>
      <c r="E2841">
        <v>0.48299950000000003</v>
      </c>
      <c r="F2841" t="s">
        <v>47</v>
      </c>
      <c r="G2841">
        <v>-421.47770000000003</v>
      </c>
      <c r="H2841" s="1">
        <v>5.3610050000000004E-6</v>
      </c>
      <c r="I2841">
        <v>275.97039999999998</v>
      </c>
      <c r="J2841">
        <v>-337.72489999999999</v>
      </c>
      <c r="K2841">
        <v>1.111823</v>
      </c>
      <c r="L2841">
        <v>283.66250000000002</v>
      </c>
      <c r="M2841">
        <v>-0.99992440000000005</v>
      </c>
      <c r="N2841">
        <v>0</v>
      </c>
      <c r="O2841">
        <v>8.1695480000000004E-3</v>
      </c>
      <c r="P2841">
        <v>-0.9829002</v>
      </c>
      <c r="Q2841">
        <v>0.17753940000000001</v>
      </c>
      <c r="R2841">
        <v>-4.885801E-2</v>
      </c>
      <c r="S2841">
        <v>-3.0462340000000001</v>
      </c>
      <c r="T2841">
        <v>-4.0336129999999998E-2</v>
      </c>
      <c r="U2841">
        <v>-0.2790222</v>
      </c>
      <c r="V2841">
        <v>-5.7919850000000002E-2</v>
      </c>
      <c r="W2841">
        <v>0.18624850000000001</v>
      </c>
      <c r="X2841">
        <v>0.98079400000000005</v>
      </c>
      <c r="Y2841">
        <v>-9.9337389999999998E-2</v>
      </c>
      <c r="Z2841">
        <v>-7.6423500000000004E-4</v>
      </c>
      <c r="AA2841">
        <v>0.99505350000000004</v>
      </c>
      <c r="AB2841">
        <v>40</v>
      </c>
      <c r="AC2841">
        <v>-83.752799999999993</v>
      </c>
      <c r="AD2841">
        <v>-1.1118176389950001</v>
      </c>
      <c r="AE2841">
        <v>-7.6921000000000301</v>
      </c>
      <c r="AF2841">
        <v>-8.3746312187043994</v>
      </c>
      <c r="AG2841">
        <v>-1.1118176389950001</v>
      </c>
      <c r="AH2841">
        <v>83.672539301586298</v>
      </c>
      <c r="AI2841">
        <v>90.757501432663602</v>
      </c>
      <c r="AJ2841">
        <v>95.715594764345298</v>
      </c>
      <c r="AK2841">
        <v>84.097945395159201</v>
      </c>
      <c r="AL2841">
        <v>79.266069080263804</v>
      </c>
      <c r="AM2841">
        <v>93.379622336987296</v>
      </c>
      <c r="AN2841">
        <v>1.0000000416061301</v>
      </c>
    </row>
    <row r="2842" spans="1:40" x14ac:dyDescent="0.25">
      <c r="A2842" t="str">
        <f>"20190312172136020"</f>
        <v>20190312172136020</v>
      </c>
      <c r="B2842" t="str">
        <f>"1552382496013899"</f>
        <v>1552382496013899</v>
      </c>
      <c r="C2842" t="s">
        <v>40</v>
      </c>
      <c r="D2842">
        <v>2.9925570000000001</v>
      </c>
      <c r="E2842">
        <v>0.4829135</v>
      </c>
      <c r="F2842" t="s">
        <v>47</v>
      </c>
      <c r="G2842">
        <v>-408.12270000000001</v>
      </c>
      <c r="H2842">
        <v>8.0001390000000006E-2</v>
      </c>
      <c r="I2842">
        <v>277.12830000000002</v>
      </c>
      <c r="J2842">
        <v>-337.93380000000002</v>
      </c>
      <c r="K2842">
        <v>1.1118129999999999</v>
      </c>
      <c r="L2842">
        <v>283.66359999999997</v>
      </c>
      <c r="M2842">
        <v>-0.99993290000000001</v>
      </c>
      <c r="N2842">
        <v>0</v>
      </c>
      <c r="O2842">
        <v>7.0519679999999996E-3</v>
      </c>
      <c r="P2842">
        <v>-0.9829447</v>
      </c>
      <c r="Q2842">
        <v>0.17702379999999901</v>
      </c>
      <c r="R2842">
        <v>-4.9824590000000002E-2</v>
      </c>
      <c r="S2842">
        <v>-3.0462039999999999</v>
      </c>
      <c r="T2842">
        <v>-4.464829E-2</v>
      </c>
      <c r="U2842">
        <v>-0.28274539999999998</v>
      </c>
      <c r="V2842">
        <v>-5.7783330000000001E-2</v>
      </c>
      <c r="W2842">
        <v>0.18574019999999999</v>
      </c>
      <c r="X2842">
        <v>0.98089839999999995</v>
      </c>
      <c r="Y2842">
        <v>-9.9430110000000002E-2</v>
      </c>
      <c r="Z2842">
        <v>-8.3021929999999998E-4</v>
      </c>
      <c r="AA2842">
        <v>0.99504420000000005</v>
      </c>
      <c r="AB2842">
        <v>40</v>
      </c>
      <c r="AC2842">
        <v>-70.188899999999904</v>
      </c>
      <c r="AD2842">
        <v>-1.0318116100000001</v>
      </c>
      <c r="AE2842">
        <v>-6.5352999999999497</v>
      </c>
      <c r="AF2842">
        <v>-7.0286224028135003</v>
      </c>
      <c r="AG2842">
        <v>-1.0318116100000001</v>
      </c>
      <c r="AH2842">
        <v>70.126041597336396</v>
      </c>
      <c r="AI2842">
        <v>90.838768615563097</v>
      </c>
      <c r="AJ2842">
        <v>95.723550809556002</v>
      </c>
      <c r="AK2842">
        <v>70.484947883865303</v>
      </c>
      <c r="AL2842">
        <v>79.295709312494495</v>
      </c>
      <c r="AM2842">
        <v>93.371316766620794</v>
      </c>
      <c r="AN2842">
        <v>1.00000000312224</v>
      </c>
    </row>
    <row r="2843" spans="1:40" x14ac:dyDescent="0.25">
      <c r="A2843" t="str">
        <f>"20190312172136032"</f>
        <v>20190312172136032</v>
      </c>
      <c r="B2843" t="str">
        <f>"1552382496023659"</f>
        <v>1552382496023659</v>
      </c>
      <c r="C2843" t="s">
        <v>40</v>
      </c>
      <c r="D2843">
        <v>3.0161880000000001</v>
      </c>
      <c r="E2843">
        <v>0.48293380000000002</v>
      </c>
      <c r="F2843" t="s">
        <v>47</v>
      </c>
      <c r="G2843">
        <v>-404.52010000000001</v>
      </c>
      <c r="H2843">
        <v>8.000119E-2</v>
      </c>
      <c r="I2843">
        <v>277.3947</v>
      </c>
      <c r="J2843">
        <v>-338.13720000000001</v>
      </c>
      <c r="K2843">
        <v>1.111796</v>
      </c>
      <c r="L2843">
        <v>283.66419999999999</v>
      </c>
      <c r="M2843">
        <v>-0.99993969999999999</v>
      </c>
      <c r="N2843">
        <v>0</v>
      </c>
      <c r="O2843">
        <v>5.9922359999999997E-3</v>
      </c>
      <c r="P2843">
        <v>-0.98298949999999996</v>
      </c>
      <c r="Q2843">
        <v>0.1765842</v>
      </c>
      <c r="R2843">
        <v>-5.049356E-2</v>
      </c>
      <c r="S2843">
        <v>-3.0460210000000001</v>
      </c>
      <c r="T2843">
        <v>-4.7200680000000002E-2</v>
      </c>
      <c r="U2843">
        <v>-0.28677370000000002</v>
      </c>
      <c r="V2843">
        <v>-5.7403129999999997E-2</v>
      </c>
      <c r="W2843">
        <v>0.18531010000000001</v>
      </c>
      <c r="X2843">
        <v>0.98100209999999999</v>
      </c>
      <c r="Y2843">
        <v>-9.968436E-2</v>
      </c>
      <c r="Z2843">
        <v>-8.6325159999999998E-4</v>
      </c>
      <c r="AA2843">
        <v>0.99501870000000003</v>
      </c>
      <c r="AB2843">
        <v>40</v>
      </c>
      <c r="AC2843">
        <v>-66.382900000000006</v>
      </c>
      <c r="AD2843">
        <v>-1.0317948100000001</v>
      </c>
      <c r="AE2843">
        <v>-6.2694999999999901</v>
      </c>
      <c r="AF2843">
        <v>-6.6655901928008596</v>
      </c>
      <c r="AG2843">
        <v>-1.0317948100000001</v>
      </c>
      <c r="AH2843">
        <v>66.328255770058604</v>
      </c>
      <c r="AI2843">
        <v>90.886749063298595</v>
      </c>
      <c r="AJ2843">
        <v>95.7386143218055</v>
      </c>
      <c r="AK2843">
        <v>66.670324782819407</v>
      </c>
      <c r="AL2843">
        <v>79.320787957595897</v>
      </c>
      <c r="AM2843">
        <v>93.348831768916796</v>
      </c>
      <c r="AN2843">
        <v>1.0000000363501</v>
      </c>
    </row>
    <row r="2844" spans="1:40" x14ac:dyDescent="0.25">
      <c r="A2844" t="str">
        <f>"20190312172136043"</f>
        <v>20190312172136043</v>
      </c>
      <c r="B2844" t="str">
        <f>"1552382496033419"</f>
        <v>1552382496033419</v>
      </c>
      <c r="C2844" t="s">
        <v>40</v>
      </c>
      <c r="D2844">
        <v>3.0196960000000002</v>
      </c>
      <c r="E2844">
        <v>0.4829678</v>
      </c>
      <c r="F2844" t="s">
        <v>47</v>
      </c>
      <c r="G2844">
        <v>-400.98469999999998</v>
      </c>
      <c r="H2844">
        <v>8.0001760000000005E-2</v>
      </c>
      <c r="I2844">
        <v>277.7045</v>
      </c>
      <c r="J2844">
        <v>-338.33409999999998</v>
      </c>
      <c r="K2844">
        <v>1.1117790000000001</v>
      </c>
      <c r="L2844">
        <v>283.66469999999998</v>
      </c>
      <c r="M2844">
        <v>-0.99994530000000004</v>
      </c>
      <c r="N2844">
        <v>0</v>
      </c>
      <c r="O2844">
        <v>4.9767079999999998E-3</v>
      </c>
      <c r="P2844">
        <v>-0.98308770000000001</v>
      </c>
      <c r="Q2844">
        <v>0.17582490000000001</v>
      </c>
      <c r="R2844">
        <v>-5.1228030000000001E-2</v>
      </c>
      <c r="S2844">
        <v>-3.0460509999999998</v>
      </c>
      <c r="T2844">
        <v>-5.0008299999999999E-2</v>
      </c>
      <c r="U2844">
        <v>-0.28884890000000002</v>
      </c>
      <c r="V2844">
        <v>-5.71288E-2</v>
      </c>
      <c r="W2844">
        <v>0.1845598</v>
      </c>
      <c r="X2844">
        <v>0.98115949999999996</v>
      </c>
      <c r="Y2844">
        <v>-9.9343420000000002E-2</v>
      </c>
      <c r="Z2844">
        <v>-8.9512619999999995E-4</v>
      </c>
      <c r="AA2844">
        <v>0.99505279999999996</v>
      </c>
      <c r="AB2844">
        <v>40</v>
      </c>
      <c r="AC2844">
        <v>-62.650599999999997</v>
      </c>
      <c r="AD2844">
        <v>-1.03177724</v>
      </c>
      <c r="AE2844">
        <v>-5.96019999999998</v>
      </c>
      <c r="AF2844">
        <v>-6.2702477576974101</v>
      </c>
      <c r="AG2844">
        <v>-1.03177724</v>
      </c>
      <c r="AH2844">
        <v>62.603333673433198</v>
      </c>
      <c r="AI2844">
        <v>90.939517094239605</v>
      </c>
      <c r="AJ2844">
        <v>95.719576997990202</v>
      </c>
      <c r="AK2844">
        <v>62.925018539870997</v>
      </c>
      <c r="AL2844">
        <v>79.364531046445606</v>
      </c>
      <c r="AM2844">
        <v>93.332330378718794</v>
      </c>
      <c r="AN2844">
        <v>0.99999999200286405</v>
      </c>
    </row>
    <row r="2845" spans="1:40" x14ac:dyDescent="0.25">
      <c r="A2845" t="str">
        <f>"20190312172136054"</f>
        <v>20190312172136054</v>
      </c>
      <c r="B2845" t="str">
        <f>"1552382496043179"</f>
        <v>1552382496043179</v>
      </c>
      <c r="C2845" t="s">
        <v>40</v>
      </c>
      <c r="D2845">
        <v>3.0238649999999998</v>
      </c>
      <c r="E2845">
        <v>0.48300009999999999</v>
      </c>
      <c r="F2845" t="s">
        <v>46</v>
      </c>
      <c r="G2845">
        <v>-396.96620000000001</v>
      </c>
      <c r="H2845">
        <v>8.0000879999999996E-2</v>
      </c>
      <c r="I2845">
        <v>278.06360000000001</v>
      </c>
      <c r="J2845">
        <v>-338.54809999999998</v>
      </c>
      <c r="K2845">
        <v>1.1117509999999999</v>
      </c>
      <c r="L2845">
        <v>283.66500000000002</v>
      </c>
      <c r="M2845">
        <v>-0.99994989999999995</v>
      </c>
      <c r="N2845">
        <v>0</v>
      </c>
      <c r="O2845">
        <v>3.8991989999999999E-3</v>
      </c>
      <c r="P2845">
        <v>-0.98315030000000003</v>
      </c>
      <c r="Q2845">
        <v>0.17517489999999999</v>
      </c>
      <c r="R2845">
        <v>-5.2242139999999999E-2</v>
      </c>
      <c r="S2845">
        <v>-3.0459900000000002</v>
      </c>
      <c r="T2845">
        <v>-5.3601740000000002E-2</v>
      </c>
      <c r="U2845">
        <v>-0.290985099999999</v>
      </c>
      <c r="V2845">
        <v>-5.7070269999999999E-2</v>
      </c>
      <c r="W2845">
        <v>0.1839191</v>
      </c>
      <c r="X2845">
        <v>0.98128320000000002</v>
      </c>
      <c r="Y2845">
        <v>-9.8962800000000004E-2</v>
      </c>
      <c r="Z2845">
        <v>-9.3716440000000002E-4</v>
      </c>
      <c r="AA2845">
        <v>0.99509069999999999</v>
      </c>
      <c r="AB2845">
        <v>40</v>
      </c>
      <c r="AC2845">
        <v>-58.418100000000003</v>
      </c>
      <c r="AD2845">
        <v>-1.0317501200000001</v>
      </c>
      <c r="AE2845">
        <v>-5.6014000000000097</v>
      </c>
      <c r="AF2845">
        <v>-5.8273497395737204</v>
      </c>
      <c r="AG2845">
        <v>-1.0317501200000001</v>
      </c>
      <c r="AH2845">
        <v>58.377770209475003</v>
      </c>
      <c r="AI2845">
        <v>91.007515829207904</v>
      </c>
      <c r="AJ2845">
        <v>95.700460266242402</v>
      </c>
      <c r="AK2845">
        <v>58.676967951042698</v>
      </c>
      <c r="AL2845">
        <v>79.401879735521803</v>
      </c>
      <c r="AM2845">
        <v>93.328505299422105</v>
      </c>
      <c r="AN2845">
        <v>0.999999984832461</v>
      </c>
    </row>
    <row r="2846" spans="1:40" x14ac:dyDescent="0.25">
      <c r="A2846" t="str">
        <f>"20190312172136066"</f>
        <v>20190312172136066</v>
      </c>
      <c r="B2846" t="str">
        <f>"1552382496063677"</f>
        <v>1552382496063677</v>
      </c>
      <c r="C2846" t="s">
        <v>40</v>
      </c>
      <c r="D2846">
        <v>3.0228429999999999</v>
      </c>
      <c r="E2846">
        <v>0.48286750000000001</v>
      </c>
      <c r="F2846" t="s">
        <v>46</v>
      </c>
      <c r="G2846">
        <v>-394.08530000000002</v>
      </c>
      <c r="H2846">
        <v>8.0000269999999998E-2</v>
      </c>
      <c r="I2846">
        <v>278.30810000000002</v>
      </c>
      <c r="J2846">
        <v>-338.7518</v>
      </c>
      <c r="K2846">
        <v>1.1117220000000001</v>
      </c>
      <c r="L2846">
        <v>283.6651</v>
      </c>
      <c r="M2846">
        <v>-0.99995330000000004</v>
      </c>
      <c r="N2846">
        <v>0</v>
      </c>
      <c r="O2846">
        <v>2.9008710000000002E-3</v>
      </c>
      <c r="P2846">
        <v>-0.98318620000000001</v>
      </c>
      <c r="Q2846">
        <v>0.17471339999999999</v>
      </c>
      <c r="R2846">
        <v>-5.3104489999999997E-2</v>
      </c>
      <c r="S2846">
        <v>-3.0458980000000002</v>
      </c>
      <c r="T2846">
        <v>-5.6585549999999998E-2</v>
      </c>
      <c r="U2846">
        <v>-0.29379270000000002</v>
      </c>
      <c r="V2846">
        <v>-5.6937130000000002E-2</v>
      </c>
      <c r="W2846">
        <v>0.18346680000000001</v>
      </c>
      <c r="X2846">
        <v>0.98137560000000001</v>
      </c>
      <c r="Y2846">
        <v>-9.8879410000000001E-2</v>
      </c>
      <c r="Z2846">
        <v>-9.7003339999999995E-4</v>
      </c>
      <c r="AA2846">
        <v>0.99509890000000001</v>
      </c>
      <c r="AB2846">
        <v>40</v>
      </c>
      <c r="AC2846">
        <v>-55.333500000000001</v>
      </c>
      <c r="AD2846">
        <v>-1.0317217299999999</v>
      </c>
      <c r="AE2846">
        <v>-5.35699999999997</v>
      </c>
      <c r="AF2846">
        <v>-5.5155999027512701</v>
      </c>
      <c r="AG2846">
        <v>-1.0317217299999999</v>
      </c>
      <c r="AH2846">
        <v>55.298680173016102</v>
      </c>
      <c r="AI2846">
        <v>91.063581929639298</v>
      </c>
      <c r="AJ2846">
        <v>95.695955729940195</v>
      </c>
      <c r="AK2846">
        <v>55.582644061729503</v>
      </c>
      <c r="AL2846">
        <v>79.428243238214407</v>
      </c>
      <c r="AM2846">
        <v>93.320445621166598</v>
      </c>
      <c r="AN2846">
        <v>0.99999998587511796</v>
      </c>
    </row>
    <row r="2847" spans="1:40" x14ac:dyDescent="0.25">
      <c r="A2847" t="str">
        <f>"20190312172136078"</f>
        <v>20190312172136078</v>
      </c>
      <c r="B2847" t="str">
        <f>"1552382496073435"</f>
        <v>1552382496073435</v>
      </c>
      <c r="C2847" t="s">
        <v>40</v>
      </c>
      <c r="D2847">
        <v>3.0127980000000001</v>
      </c>
      <c r="E2847">
        <v>0.48287439999999998</v>
      </c>
      <c r="F2847" t="s">
        <v>46</v>
      </c>
      <c r="G2847">
        <v>-392.55290000000002</v>
      </c>
      <c r="H2847">
        <v>8.0000710000000003E-2</v>
      </c>
      <c r="I2847">
        <v>278.41109999999998</v>
      </c>
      <c r="J2847">
        <v>-338.959</v>
      </c>
      <c r="K2847">
        <v>1.111688</v>
      </c>
      <c r="L2847">
        <v>283.6651</v>
      </c>
      <c r="M2847">
        <v>-0.9999557</v>
      </c>
      <c r="N2847">
        <v>0</v>
      </c>
      <c r="O2847">
        <v>1.9050689999999999E-3</v>
      </c>
      <c r="P2847">
        <v>-0.98322830000000006</v>
      </c>
      <c r="Q2847">
        <v>0.17425460000000001</v>
      </c>
      <c r="R2847">
        <v>-5.3827859999999998E-2</v>
      </c>
      <c r="S2847">
        <v>-3.0456240000000001</v>
      </c>
      <c r="T2847">
        <v>-5.840468E-2</v>
      </c>
      <c r="U2847">
        <v>-0.29742429999999997</v>
      </c>
      <c r="V2847">
        <v>-5.6664909999999999E-2</v>
      </c>
      <c r="W2847">
        <v>0.18301909999999999</v>
      </c>
      <c r="X2847">
        <v>0.98147490000000004</v>
      </c>
      <c r="Y2847">
        <v>-9.9071500000000007E-2</v>
      </c>
      <c r="Z2847">
        <v>-9.8403149999999997E-4</v>
      </c>
      <c r="AA2847">
        <v>0.99507979999999996</v>
      </c>
      <c r="AB2847">
        <v>40</v>
      </c>
      <c r="AC2847">
        <v>-53.593899999999998</v>
      </c>
      <c r="AD2847">
        <v>-1.03168729</v>
      </c>
      <c r="AE2847">
        <v>-5.2540000000000102</v>
      </c>
      <c r="AF2847">
        <v>-5.3541297090590003</v>
      </c>
      <c r="AG2847">
        <v>-1.03168729</v>
      </c>
      <c r="AH2847">
        <v>53.564132984397503</v>
      </c>
      <c r="AI2847">
        <v>91.097955185441293</v>
      </c>
      <c r="AJ2847">
        <v>95.708174632292796</v>
      </c>
      <c r="AK2847">
        <v>53.840945626688203</v>
      </c>
      <c r="AL2847">
        <v>79.454335900314106</v>
      </c>
      <c r="AM2847">
        <v>93.304272028963894</v>
      </c>
      <c r="AN2847">
        <v>0.99999994116006197</v>
      </c>
    </row>
    <row r="2848" spans="1:40" x14ac:dyDescent="0.25">
      <c r="A2848" t="str">
        <f>"20190312172136089"</f>
        <v>20190312172136089</v>
      </c>
      <c r="B2848" t="str">
        <f>"1552382496083195"</f>
        <v>1552382496083195</v>
      </c>
      <c r="C2848" t="s">
        <v>40</v>
      </c>
      <c r="D2848">
        <v>3.0251929999999998</v>
      </c>
      <c r="E2848">
        <v>0.48296539999999999</v>
      </c>
      <c r="F2848" t="s">
        <v>46</v>
      </c>
      <c r="G2848">
        <v>-390.99029999999999</v>
      </c>
      <c r="H2848">
        <v>8.0001169999999996E-2</v>
      </c>
      <c r="I2848">
        <v>278.54500000000002</v>
      </c>
      <c r="J2848">
        <v>-339.1574</v>
      </c>
      <c r="K2848">
        <v>1.1116469999999901</v>
      </c>
      <c r="L2848">
        <v>283.66480000000001</v>
      </c>
      <c r="M2848">
        <v>-0.99995699999999998</v>
      </c>
      <c r="N2848">
        <v>0</v>
      </c>
      <c r="O2848">
        <v>1.003182E-3</v>
      </c>
      <c r="P2848">
        <v>-0.98323349999999998</v>
      </c>
      <c r="Q2848">
        <v>0.17403579999999999</v>
      </c>
      <c r="R2848">
        <v>-5.4438E-2</v>
      </c>
      <c r="S2848">
        <v>-3.045471</v>
      </c>
      <c r="T2848">
        <v>-6.0386179999999998E-2</v>
      </c>
      <c r="U2848">
        <v>-0.29968260000000002</v>
      </c>
      <c r="V2848">
        <v>-5.636853E-2</v>
      </c>
      <c r="W2848">
        <v>0.18281149999999999</v>
      </c>
      <c r="X2848">
        <v>0.98153069999999998</v>
      </c>
      <c r="Y2848">
        <v>-9.8908629999999997E-2</v>
      </c>
      <c r="Z2848">
        <v>-9.979743000000001E-4</v>
      </c>
      <c r="AA2848">
        <v>0.99509599999999998</v>
      </c>
      <c r="AB2848">
        <v>40</v>
      </c>
      <c r="AC2848">
        <v>-51.832900000000002</v>
      </c>
      <c r="AD2848">
        <v>-1.03164582999999</v>
      </c>
      <c r="AE2848">
        <v>-5.1197999999999899</v>
      </c>
      <c r="AF2848">
        <v>-5.1697692939106998</v>
      </c>
      <c r="AG2848">
        <v>-1.03164582999999</v>
      </c>
      <c r="AH2848">
        <v>51.807412844266899</v>
      </c>
      <c r="AI2848">
        <v>91.135149171571697</v>
      </c>
      <c r="AJ2848">
        <v>95.698578687967995</v>
      </c>
      <c r="AK2848">
        <v>52.074934789081901</v>
      </c>
      <c r="AL2848">
        <v>79.466435097476307</v>
      </c>
      <c r="AM2848">
        <v>93.286840910684106</v>
      </c>
      <c r="AN2848">
        <v>0.99999998537455004</v>
      </c>
    </row>
    <row r="2849" spans="1:40" x14ac:dyDescent="0.25">
      <c r="A2849" t="str">
        <f>"20190312172136100"</f>
        <v>20190312172136100</v>
      </c>
      <c r="B2849" t="str">
        <f>"1552382496093931"</f>
        <v>1552382496093931</v>
      </c>
      <c r="C2849" t="s">
        <v>40</v>
      </c>
      <c r="D2849">
        <v>3.0200550000000002</v>
      </c>
      <c r="E2849">
        <v>0.48304039999999998</v>
      </c>
      <c r="F2849" t="s">
        <v>46</v>
      </c>
      <c r="G2849">
        <v>-390.25979999999998</v>
      </c>
      <c r="H2849">
        <v>8.0001379999999997E-2</v>
      </c>
      <c r="I2849">
        <v>278.62119999999999</v>
      </c>
      <c r="J2849">
        <v>-339.37360000000001</v>
      </c>
      <c r="K2849">
        <v>1.111599</v>
      </c>
      <c r="L2849">
        <v>283.6644</v>
      </c>
      <c r="M2849">
        <v>-0.9999574</v>
      </c>
      <c r="N2849">
        <v>0</v>
      </c>
      <c r="O2849" s="1">
        <v>4.0146179999999997E-5</v>
      </c>
      <c r="P2849">
        <v>-0.98314710000000005</v>
      </c>
      <c r="Q2849">
        <v>0.1743287</v>
      </c>
      <c r="R2849">
        <v>-5.5059549999999999E-2</v>
      </c>
      <c r="S2849">
        <v>-3.04541</v>
      </c>
      <c r="T2849">
        <v>-6.1480159999999999E-2</v>
      </c>
      <c r="U2849">
        <v>-0.30056759999999999</v>
      </c>
      <c r="V2849">
        <v>-5.6022700000000002E-2</v>
      </c>
      <c r="W2849">
        <v>0.18311620000000001</v>
      </c>
      <c r="X2849">
        <v>0.98149370000000002</v>
      </c>
      <c r="Y2849">
        <v>-9.8238210000000006E-2</v>
      </c>
      <c r="Z2849">
        <v>-9.8991240000000005E-4</v>
      </c>
      <c r="AA2849">
        <v>0.9951624</v>
      </c>
      <c r="AB2849">
        <v>40</v>
      </c>
      <c r="AC2849">
        <v>-50.886199999999903</v>
      </c>
      <c r="AD2849">
        <v>-1.0315976200000001</v>
      </c>
      <c r="AE2849">
        <v>-5.0432000000000103</v>
      </c>
      <c r="AF2849">
        <v>-5.0431904795329601</v>
      </c>
      <c r="AG2849">
        <v>-1.0315976200000001</v>
      </c>
      <c r="AH2849">
        <v>50.865296202692498</v>
      </c>
      <c r="AI2849">
        <v>91.156187391535298</v>
      </c>
      <c r="AJ2849">
        <v>95.662254265373704</v>
      </c>
      <c r="AK2849">
        <v>51.1251046126077</v>
      </c>
      <c r="AL2849">
        <v>79.448677304762597</v>
      </c>
      <c r="AM2849">
        <v>93.266842300787303</v>
      </c>
      <c r="AN2849">
        <v>0.99999998437870996</v>
      </c>
    </row>
    <row r="2850" spans="1:40" x14ac:dyDescent="0.25">
      <c r="A2850" t="str">
        <f>"20190312172136111"</f>
        <v>20190312172136111</v>
      </c>
      <c r="B2850" t="str">
        <f>"1552382496103691"</f>
        <v>1552382496103691</v>
      </c>
      <c r="C2850" t="s">
        <v>40</v>
      </c>
      <c r="D2850">
        <v>3.0456279999999998</v>
      </c>
      <c r="E2850">
        <v>0.48309809999999997</v>
      </c>
      <c r="F2850" t="s">
        <v>46</v>
      </c>
      <c r="G2850">
        <v>-390.85680000000002</v>
      </c>
      <c r="H2850">
        <v>8.0001210000000003E-2</v>
      </c>
      <c r="I2850">
        <v>278.5573</v>
      </c>
      <c r="J2850">
        <v>-339.57560000000001</v>
      </c>
      <c r="K2850">
        <v>1.11154</v>
      </c>
      <c r="L2850">
        <v>283.66379999999998</v>
      </c>
      <c r="M2850">
        <v>-0.99995699999999998</v>
      </c>
      <c r="N2850">
        <v>0</v>
      </c>
      <c r="O2850">
        <v>-7.9045759999999896E-4</v>
      </c>
      <c r="P2850">
        <v>-0.98314590000000002</v>
      </c>
      <c r="Q2850">
        <v>0.1741481</v>
      </c>
      <c r="R2850">
        <v>-5.5647050000000003E-2</v>
      </c>
      <c r="S2850">
        <v>-3.0453489999999999</v>
      </c>
      <c r="T2850">
        <v>-6.1021329999999999E-2</v>
      </c>
      <c r="U2850">
        <v>-0.30209350000000001</v>
      </c>
      <c r="V2850">
        <v>-5.576706E-2</v>
      </c>
      <c r="W2850">
        <v>0.18294930000000001</v>
      </c>
      <c r="X2850">
        <v>0.98153939999999995</v>
      </c>
      <c r="Y2850">
        <v>-9.7907850000000005E-2</v>
      </c>
      <c r="Z2850">
        <v>-9.6261890000000003E-4</v>
      </c>
      <c r="AA2850">
        <v>0.99519500000000005</v>
      </c>
      <c r="AB2850">
        <v>40</v>
      </c>
      <c r="AC2850">
        <v>-51.281199999999998</v>
      </c>
      <c r="AD2850">
        <v>-1.0315387899999999</v>
      </c>
      <c r="AE2850">
        <v>-5.1064999999999801</v>
      </c>
      <c r="AF2850">
        <v>-5.0639321746934796</v>
      </c>
      <c r="AG2850">
        <v>-1.0315387899999999</v>
      </c>
      <c r="AH2850">
        <v>51.264681217787498</v>
      </c>
      <c r="AI2850">
        <v>91.147158298217207</v>
      </c>
      <c r="AJ2850">
        <v>95.641383754996895</v>
      </c>
      <c r="AK2850">
        <v>51.524508941925397</v>
      </c>
      <c r="AL2850">
        <v>79.458404484049197</v>
      </c>
      <c r="AM2850">
        <v>93.251816190402195</v>
      </c>
      <c r="AN2850">
        <v>1.00000000255194</v>
      </c>
    </row>
    <row r="2851" spans="1:40" x14ac:dyDescent="0.25">
      <c r="A2851" t="str">
        <f>"20190312172136123"</f>
        <v>20190312172136123</v>
      </c>
      <c r="B2851" t="str">
        <f>"1552382496113451"</f>
        <v>1552382496113451</v>
      </c>
      <c r="C2851" t="s">
        <v>40</v>
      </c>
      <c r="D2851">
        <v>3.0220440000000002</v>
      </c>
      <c r="E2851">
        <v>0.48316360000000003</v>
      </c>
      <c r="F2851" t="s">
        <v>46</v>
      </c>
      <c r="G2851">
        <v>-390.15730000000002</v>
      </c>
      <c r="H2851">
        <v>8.0001409999999995E-2</v>
      </c>
      <c r="I2851">
        <v>278.62520000000001</v>
      </c>
      <c r="J2851">
        <v>-339.76600000000002</v>
      </c>
      <c r="K2851">
        <v>1.111478</v>
      </c>
      <c r="L2851">
        <v>283.66309999999999</v>
      </c>
      <c r="M2851">
        <v>-0.99995619999999996</v>
      </c>
      <c r="N2851">
        <v>0</v>
      </c>
      <c r="O2851">
        <v>-1.5520600000000001E-3</v>
      </c>
      <c r="P2851">
        <v>-0.98310850000000005</v>
      </c>
      <c r="Q2851">
        <v>0.17418889999999901</v>
      </c>
      <c r="R2851">
        <v>-5.6180189999999998E-2</v>
      </c>
      <c r="S2851">
        <v>-3.045258</v>
      </c>
      <c r="T2851">
        <v>-6.2103510000000001E-2</v>
      </c>
      <c r="U2851">
        <v>-0.30334470000000002</v>
      </c>
      <c r="V2851">
        <v>-5.5525459999999999E-2</v>
      </c>
      <c r="W2851">
        <v>0.18300279999999999</v>
      </c>
      <c r="X2851">
        <v>0.9815431</v>
      </c>
      <c r="Y2851">
        <v>-9.7557249999999998E-2</v>
      </c>
      <c r="Z2851">
        <v>-9.6063859999999997E-4</v>
      </c>
      <c r="AA2851">
        <v>0.99522940000000004</v>
      </c>
      <c r="AB2851">
        <v>40</v>
      </c>
      <c r="AC2851">
        <v>-50.391300000000001</v>
      </c>
      <c r="AD2851">
        <v>-1.03147659</v>
      </c>
      <c r="AE2851">
        <v>-5.0378999999999703</v>
      </c>
      <c r="AF2851">
        <v>-4.9576236218058298</v>
      </c>
      <c r="AG2851">
        <v>-1.03147659</v>
      </c>
      <c r="AH2851">
        <v>50.3781595098921</v>
      </c>
      <c r="AI2851">
        <v>91.167311710936801</v>
      </c>
      <c r="AJ2851">
        <v>95.620278138439502</v>
      </c>
      <c r="AK2851">
        <v>50.632014887177299</v>
      </c>
      <c r="AL2851">
        <v>79.455286272831302</v>
      </c>
      <c r="AM2851">
        <v>93.237746184064406</v>
      </c>
      <c r="AN2851">
        <v>0.99999997933683005</v>
      </c>
    </row>
    <row r="2852" spans="1:40" x14ac:dyDescent="0.25">
      <c r="A2852" t="str">
        <f>"20190312172136134"</f>
        <v>20190312172136134</v>
      </c>
      <c r="B2852" t="str">
        <f>"1552382496123211"</f>
        <v>1552382496123211</v>
      </c>
      <c r="C2852" t="s">
        <v>40</v>
      </c>
      <c r="D2852">
        <v>3.0346060000000001</v>
      </c>
      <c r="E2852">
        <v>0.483234</v>
      </c>
      <c r="F2852" t="s">
        <v>46</v>
      </c>
      <c r="G2852">
        <v>-390.28519999999997</v>
      </c>
      <c r="H2852">
        <v>8.0001379999999997E-2</v>
      </c>
      <c r="I2852">
        <v>278.61709999999999</v>
      </c>
      <c r="J2852">
        <v>-339.9873</v>
      </c>
      <c r="K2852">
        <v>1.111402</v>
      </c>
      <c r="L2852">
        <v>283.66219999999998</v>
      </c>
      <c r="M2852">
        <v>-0.99995460000000003</v>
      </c>
      <c r="N2852">
        <v>0</v>
      </c>
      <c r="O2852">
        <v>-2.3739410000000001E-3</v>
      </c>
      <c r="P2852">
        <v>-0.98309500000000005</v>
      </c>
      <c r="Q2852">
        <v>0.1741627</v>
      </c>
      <c r="R2852">
        <v>-5.649792E-2</v>
      </c>
      <c r="S2852">
        <v>-3.0451969999999999</v>
      </c>
      <c r="T2852">
        <v>-6.2175389999999997E-2</v>
      </c>
      <c r="U2852">
        <v>-0.30416870000000001</v>
      </c>
      <c r="V2852">
        <v>-5.5001340000000003E-2</v>
      </c>
      <c r="W2852">
        <v>0.1829934</v>
      </c>
      <c r="X2852">
        <v>0.98157439999999996</v>
      </c>
      <c r="Y2852">
        <v>-9.7008090000000005E-2</v>
      </c>
      <c r="Z2852">
        <v>-9.3942739999999998E-4</v>
      </c>
      <c r="AA2852">
        <v>0.99528309999999998</v>
      </c>
      <c r="AB2852">
        <v>40</v>
      </c>
      <c r="AC2852">
        <v>-50.297899999999899</v>
      </c>
      <c r="AD2852">
        <v>-1.0314006200000001</v>
      </c>
      <c r="AE2852">
        <v>-5.0450999999999899</v>
      </c>
      <c r="AF2852">
        <v>-4.9236267401160898</v>
      </c>
      <c r="AG2852">
        <v>-1.0314006200000001</v>
      </c>
      <c r="AH2852">
        <v>50.288800259065901</v>
      </c>
      <c r="AI2852">
        <v>91.169356212107502</v>
      </c>
      <c r="AJ2852">
        <v>95.591837282541405</v>
      </c>
      <c r="AK2852">
        <v>50.539779570266703</v>
      </c>
      <c r="AL2852">
        <v>79.455834509021301</v>
      </c>
      <c r="AM2852">
        <v>93.207146260198698</v>
      </c>
      <c r="AN2852">
        <v>1.00000001729035</v>
      </c>
    </row>
    <row r="2853" spans="1:40" x14ac:dyDescent="0.25">
      <c r="A2853" t="str">
        <f>"20190312172136146"</f>
        <v>20190312172136146</v>
      </c>
      <c r="B2853" t="str">
        <f>"1552382496143707"</f>
        <v>1552382496143707</v>
      </c>
      <c r="C2853" t="s">
        <v>40</v>
      </c>
      <c r="D2853">
        <v>3.0291350000000001</v>
      </c>
      <c r="E2853">
        <v>0.48338160000000002</v>
      </c>
      <c r="F2853" t="s">
        <v>46</v>
      </c>
      <c r="G2853">
        <v>-390.24540000000002</v>
      </c>
      <c r="H2853">
        <v>8.0001390000000006E-2</v>
      </c>
      <c r="I2853">
        <v>278.6386</v>
      </c>
      <c r="J2853">
        <v>-340.18900000000002</v>
      </c>
      <c r="K2853">
        <v>1.111326</v>
      </c>
      <c r="L2853">
        <v>283.66129999999998</v>
      </c>
      <c r="M2853">
        <v>-0.99995250000000002</v>
      </c>
      <c r="N2853">
        <v>0</v>
      </c>
      <c r="O2853">
        <v>-3.0716350000000001E-3</v>
      </c>
      <c r="P2853">
        <v>-0.98309270000000004</v>
      </c>
      <c r="Q2853">
        <v>0.1740187</v>
      </c>
      <c r="R2853">
        <v>-5.6976690000000003E-2</v>
      </c>
      <c r="S2853">
        <v>-3.045166</v>
      </c>
      <c r="T2853">
        <v>-6.2493090000000001E-2</v>
      </c>
      <c r="U2853">
        <v>-0.30438229999999999</v>
      </c>
      <c r="V2853">
        <v>-5.476023E-2</v>
      </c>
      <c r="W2853">
        <v>0.18286440000000001</v>
      </c>
      <c r="X2853">
        <v>0.98161189999999998</v>
      </c>
      <c r="Y2853">
        <v>-9.638381E-2</v>
      </c>
      <c r="Z2853">
        <v>-9.2356280000000001E-4</v>
      </c>
      <c r="AA2853">
        <v>0.9953438</v>
      </c>
      <c r="AB2853">
        <v>40</v>
      </c>
      <c r="AC2853">
        <v>-50.056399999999996</v>
      </c>
      <c r="AD2853">
        <v>-1.03132461</v>
      </c>
      <c r="AE2853">
        <v>-5.02269999999998</v>
      </c>
      <c r="AF2853">
        <v>-4.8668693715175104</v>
      </c>
      <c r="AG2853">
        <v>-1.03132461</v>
      </c>
      <c r="AH2853">
        <v>50.050558020162399</v>
      </c>
      <c r="AI2853">
        <v>91.174910094281003</v>
      </c>
      <c r="AJ2853">
        <v>95.553926909885107</v>
      </c>
      <c r="AK2853">
        <v>50.297200777580599</v>
      </c>
      <c r="AL2853">
        <v>79.463352305007703</v>
      </c>
      <c r="AM2853">
        <v>93.192994480648693</v>
      </c>
      <c r="AN2853">
        <v>0.99999999689931096</v>
      </c>
    </row>
    <row r="2854" spans="1:40" x14ac:dyDescent="0.25">
      <c r="A2854" t="str">
        <f>"20190312172136158"</f>
        <v>20190312172136158</v>
      </c>
      <c r="B2854" t="str">
        <f>"1552382496153468"</f>
        <v>1552382496153468</v>
      </c>
      <c r="C2854" t="s">
        <v>40</v>
      </c>
      <c r="D2854">
        <v>3.0368210000000002</v>
      </c>
      <c r="E2854">
        <v>0.4834273</v>
      </c>
      <c r="F2854" t="s">
        <v>46</v>
      </c>
      <c r="G2854">
        <v>-389.84190000000001</v>
      </c>
      <c r="H2854">
        <v>8.0000039999999994E-2</v>
      </c>
      <c r="I2854">
        <v>278.6961</v>
      </c>
      <c r="J2854">
        <v>-340.4101</v>
      </c>
      <c r="K2854">
        <v>1.1112420000000001</v>
      </c>
      <c r="L2854">
        <v>283.66019999999997</v>
      </c>
      <c r="M2854">
        <v>-0.99995009999999995</v>
      </c>
      <c r="N2854">
        <v>0</v>
      </c>
      <c r="O2854">
        <v>-3.794543E-3</v>
      </c>
      <c r="P2854">
        <v>-0.98309100000000005</v>
      </c>
      <c r="Q2854">
        <v>0.17387</v>
      </c>
      <c r="R2854">
        <v>-5.7458269999999999E-2</v>
      </c>
      <c r="S2854">
        <v>-3.0451350000000001</v>
      </c>
      <c r="T2854">
        <v>-6.3249589999999994E-2</v>
      </c>
      <c r="U2854">
        <v>-0.30450440000000001</v>
      </c>
      <c r="V2854">
        <v>-5.4492440000000003E-2</v>
      </c>
      <c r="W2854">
        <v>0.18273320000000001</v>
      </c>
      <c r="X2854">
        <v>0.98165119999999895</v>
      </c>
      <c r="Y2854">
        <v>-9.5704559999999994E-2</v>
      </c>
      <c r="Z2854">
        <v>-9.1273649999999999E-4</v>
      </c>
      <c r="AA2854">
        <v>0.9954094</v>
      </c>
      <c r="AB2854">
        <v>40</v>
      </c>
      <c r="AC2854">
        <v>-49.431800000000003</v>
      </c>
      <c r="AD2854">
        <v>-1.03124196</v>
      </c>
      <c r="AE2854">
        <v>-4.96409999999997</v>
      </c>
      <c r="AF2854">
        <v>-4.7744279808370198</v>
      </c>
      <c r="AG2854">
        <v>-1.03124196</v>
      </c>
      <c r="AH2854">
        <v>49.428983718145098</v>
      </c>
      <c r="AI2854">
        <v>91.189659094634607</v>
      </c>
      <c r="AJ2854">
        <v>95.517179054697905</v>
      </c>
      <c r="AK2854">
        <v>49.669739821474003</v>
      </c>
      <c r="AL2854">
        <v>79.470997988030007</v>
      </c>
      <c r="AM2854">
        <v>93.177285136985802</v>
      </c>
      <c r="AN2854">
        <v>0.99999996343041597</v>
      </c>
    </row>
    <row r="2855" spans="1:40" x14ac:dyDescent="0.25">
      <c r="A2855" t="str">
        <f>"20190312172136172"</f>
        <v>20190312172136172</v>
      </c>
      <c r="B2855" t="str">
        <f>"1552382496163227"</f>
        <v>1552382496163227</v>
      </c>
      <c r="C2855" t="s">
        <v>40</v>
      </c>
      <c r="D2855">
        <v>3.033881</v>
      </c>
      <c r="E2855">
        <v>0.48347859999999998</v>
      </c>
      <c r="F2855" t="s">
        <v>46</v>
      </c>
      <c r="G2855">
        <v>-389.64670000000001</v>
      </c>
      <c r="H2855">
        <v>8.0000100000000005E-2</v>
      </c>
      <c r="I2855">
        <v>278.71730000000002</v>
      </c>
      <c r="J2855">
        <v>-340.65269999999998</v>
      </c>
      <c r="K2855">
        <v>1.1111359999999999</v>
      </c>
      <c r="L2855">
        <v>283.65870000000001</v>
      </c>
      <c r="M2855">
        <v>-0.99994720000000004</v>
      </c>
      <c r="N2855">
        <v>0</v>
      </c>
      <c r="O2855">
        <v>-4.4751779999999998E-3</v>
      </c>
      <c r="P2855">
        <v>-0.98309669999999905</v>
      </c>
      <c r="Q2855">
        <v>0.17372560000000001</v>
      </c>
      <c r="R2855">
        <v>-5.7799250000000003E-2</v>
      </c>
      <c r="S2855">
        <v>-3.0450439999999999</v>
      </c>
      <c r="T2855">
        <v>-6.3777329999999993E-2</v>
      </c>
      <c r="U2855">
        <v>-0.30569459999999998</v>
      </c>
      <c r="V2855">
        <v>-5.4115490000000002E-2</v>
      </c>
      <c r="W2855">
        <v>0.18260899999999999</v>
      </c>
      <c r="X2855">
        <v>0.98169519999999999</v>
      </c>
      <c r="Y2855">
        <v>-9.5415029999999998E-2</v>
      </c>
      <c r="Z2855">
        <v>-9.0311850000000002E-4</v>
      </c>
      <c r="AA2855">
        <v>0.99543709999999996</v>
      </c>
      <c r="AB2855">
        <v>40</v>
      </c>
      <c r="AC2855">
        <v>-48.994</v>
      </c>
      <c r="AD2855">
        <v>-1.0311359</v>
      </c>
      <c r="AE2855">
        <v>-4.9413999999999803</v>
      </c>
      <c r="AF2855">
        <v>-4.7200146258894202</v>
      </c>
      <c r="AG2855">
        <v>-1.0311359</v>
      </c>
      <c r="AH2855">
        <v>48.994140947855399</v>
      </c>
      <c r="AI2855">
        <v>91.200120369408197</v>
      </c>
      <c r="AJ2855">
        <v>95.502798738176296</v>
      </c>
      <c r="AK2855">
        <v>49.231774562077199</v>
      </c>
      <c r="AL2855">
        <v>79.478236291803896</v>
      </c>
      <c r="AM2855">
        <v>93.155209779427594</v>
      </c>
      <c r="AN2855">
        <v>0.99999999942098905</v>
      </c>
    </row>
    <row r="2856" spans="1:40" x14ac:dyDescent="0.25">
      <c r="A2856" t="str">
        <f>"20190312172136185"</f>
        <v>20190312172136185</v>
      </c>
      <c r="B2856" t="str">
        <f>"1552382496173962"</f>
        <v>1552382496173962</v>
      </c>
      <c r="C2856" t="s">
        <v>40</v>
      </c>
      <c r="D2856">
        <v>3.0342929999999999</v>
      </c>
      <c r="E2856">
        <v>0.48351850000000002</v>
      </c>
      <c r="F2856" t="s">
        <v>46</v>
      </c>
      <c r="G2856">
        <v>-389.36130000000003</v>
      </c>
      <c r="H2856">
        <v>8.0000180000000004E-2</v>
      </c>
      <c r="I2856">
        <v>278.76280000000003</v>
      </c>
      <c r="J2856">
        <v>-340.8854</v>
      </c>
      <c r="K2856">
        <v>1.1110279999999999</v>
      </c>
      <c r="L2856">
        <v>283.65719999999999</v>
      </c>
      <c r="M2856">
        <v>-0.99994439999999996</v>
      </c>
      <c r="N2856">
        <v>0</v>
      </c>
      <c r="O2856">
        <v>-5.0648580000000002E-3</v>
      </c>
      <c r="P2856">
        <v>-0.98309530000000001</v>
      </c>
      <c r="Q2856">
        <v>0.17364250000000001</v>
      </c>
      <c r="R2856">
        <v>-5.806799E-2</v>
      </c>
      <c r="S2856">
        <v>-3.0449830000000002</v>
      </c>
      <c r="T2856">
        <v>-6.4460749999999997E-2</v>
      </c>
      <c r="U2856">
        <v>-0.30606080000000002</v>
      </c>
      <c r="V2856">
        <v>-5.3756140000000001E-2</v>
      </c>
      <c r="W2856">
        <v>0.18254609999999999</v>
      </c>
      <c r="X2856">
        <v>0.9817266</v>
      </c>
      <c r="Y2856">
        <v>-9.4948309999999994E-2</v>
      </c>
      <c r="Z2856">
        <v>-8.954303E-4</v>
      </c>
      <c r="AA2856">
        <v>0.99548179999999997</v>
      </c>
      <c r="AB2856">
        <v>40</v>
      </c>
      <c r="AC2856">
        <v>-48.475900000000003</v>
      </c>
      <c r="AD2856">
        <v>-1.03102782</v>
      </c>
      <c r="AE2856">
        <v>-4.8943999999999601</v>
      </c>
      <c r="AF2856">
        <v>-4.6467223617988997</v>
      </c>
      <c r="AG2856">
        <v>-1.03102782</v>
      </c>
      <c r="AH2856">
        <v>48.478360058258801</v>
      </c>
      <c r="AI2856">
        <v>91.212814254580493</v>
      </c>
      <c r="AJ2856">
        <v>95.475158232660405</v>
      </c>
      <c r="AK2856">
        <v>48.711461084753303</v>
      </c>
      <c r="AL2856">
        <v>79.481901380259998</v>
      </c>
      <c r="AM2856">
        <v>93.134199701357403</v>
      </c>
      <c r="AN2856">
        <v>0.99999995918023399</v>
      </c>
    </row>
    <row r="2857" spans="1:40" x14ac:dyDescent="0.25">
      <c r="A2857" t="str">
        <f>"20190312172136199"</f>
        <v>20190312172136199</v>
      </c>
      <c r="B2857" t="str">
        <f>"1552382496193483"</f>
        <v>1552382496193483</v>
      </c>
      <c r="C2857" t="s">
        <v>40</v>
      </c>
      <c r="D2857">
        <v>3.0413860000000001</v>
      </c>
      <c r="E2857">
        <v>0.48358309999999999</v>
      </c>
      <c r="F2857" t="s">
        <v>46</v>
      </c>
      <c r="G2857">
        <v>-389.34010000000001</v>
      </c>
      <c r="H2857">
        <v>8.0000180000000004E-2</v>
      </c>
      <c r="I2857">
        <v>278.78140000000002</v>
      </c>
      <c r="J2857">
        <v>-341.15530000000001</v>
      </c>
      <c r="K2857">
        <v>1.110889</v>
      </c>
      <c r="L2857">
        <v>283.65550000000002</v>
      </c>
      <c r="M2857">
        <v>-0.99994110000000003</v>
      </c>
      <c r="N2857">
        <v>0</v>
      </c>
      <c r="O2857">
        <v>-5.6536819999999897E-3</v>
      </c>
      <c r="P2857">
        <v>-0.98319520000000005</v>
      </c>
      <c r="Q2857">
        <v>0.17312069999999999</v>
      </c>
      <c r="R2857">
        <v>-5.7935090000000002E-2</v>
      </c>
      <c r="S2857">
        <v>-3.0448909999999998</v>
      </c>
      <c r="T2857">
        <v>-6.4789650000000004E-2</v>
      </c>
      <c r="U2857">
        <v>-0.30639650000000002</v>
      </c>
      <c r="V2857">
        <v>-5.2980720000000002E-2</v>
      </c>
      <c r="W2857">
        <v>0.18205099999999999</v>
      </c>
      <c r="X2857">
        <v>0.98186070000000003</v>
      </c>
      <c r="Y2857">
        <v>-9.4473779999999993E-2</v>
      </c>
      <c r="Z2857">
        <v>-8.8248999999999999E-4</v>
      </c>
      <c r="AA2857">
        <v>0.99552700000000005</v>
      </c>
      <c r="AB2857">
        <v>41</v>
      </c>
      <c r="AC2857">
        <v>-48.184800000000003</v>
      </c>
      <c r="AD2857">
        <v>-1.0308888199999999</v>
      </c>
      <c r="AE2857">
        <v>-4.8740999999999897</v>
      </c>
      <c r="AF2857">
        <v>-4.5995048866627002</v>
      </c>
      <c r="AG2857">
        <v>-1.0308888199999999</v>
      </c>
      <c r="AH2857">
        <v>48.189753441880697</v>
      </c>
      <c r="AI2857">
        <v>91.219958031498706</v>
      </c>
      <c r="AJ2857">
        <v>95.452119917209401</v>
      </c>
      <c r="AK2857">
        <v>48.4197326897918</v>
      </c>
      <c r="AL2857">
        <v>79.510752172576304</v>
      </c>
      <c r="AM2857">
        <v>93.088656706050799</v>
      </c>
      <c r="AN2857">
        <v>0.99999997874860302</v>
      </c>
    </row>
    <row r="2858" spans="1:40" x14ac:dyDescent="0.25">
      <c r="A2858" t="str">
        <f>"20190312172136213"</f>
        <v>20190312172136213</v>
      </c>
      <c r="B2858" t="str">
        <f>"1552382496203243"</f>
        <v>1552382496203243</v>
      </c>
      <c r="C2858" t="s">
        <v>40</v>
      </c>
      <c r="D2858">
        <v>3.0113210000000001</v>
      </c>
      <c r="E2858">
        <v>0.48359740000000001</v>
      </c>
      <c r="F2858" t="s">
        <v>46</v>
      </c>
      <c r="G2858">
        <v>-388.37430000000001</v>
      </c>
      <c r="H2858">
        <v>8.0000470000000004E-2</v>
      </c>
      <c r="I2858">
        <v>278.9135</v>
      </c>
      <c r="J2858">
        <v>-341.39139999999998</v>
      </c>
      <c r="K2858">
        <v>1.1107610000000001</v>
      </c>
      <c r="L2858">
        <v>283.65379999999999</v>
      </c>
      <c r="M2858">
        <v>-0.99993880000000002</v>
      </c>
      <c r="N2858">
        <v>0</v>
      </c>
      <c r="O2858">
        <v>-6.0415989999999999E-3</v>
      </c>
      <c r="P2858">
        <v>-0.98324440000000002</v>
      </c>
      <c r="Q2858">
        <v>0.1728952</v>
      </c>
      <c r="R2858">
        <v>-5.7773619999999998E-2</v>
      </c>
      <c r="S2858">
        <v>-3.0449220000000001</v>
      </c>
      <c r="T2858">
        <v>-6.6476939999999998E-2</v>
      </c>
      <c r="U2858">
        <v>-0.30578610000000001</v>
      </c>
      <c r="V2858">
        <v>-5.2380610000000001E-2</v>
      </c>
      <c r="W2858">
        <v>0.18184890000000001</v>
      </c>
      <c r="X2858">
        <v>0.98193039999999998</v>
      </c>
      <c r="Y2858">
        <v>-9.3888189999999996E-2</v>
      </c>
      <c r="Z2858">
        <v>-8.9064539999999897E-4</v>
      </c>
      <c r="AA2858">
        <v>0.99558230000000003</v>
      </c>
      <c r="AB2858">
        <v>41</v>
      </c>
      <c r="AC2858">
        <v>-46.982900000000001</v>
      </c>
      <c r="AD2858">
        <v>-1.03076053</v>
      </c>
      <c r="AE2858">
        <v>-4.7402999999999897</v>
      </c>
      <c r="AF2858">
        <v>-4.4542271317462001</v>
      </c>
      <c r="AG2858">
        <v>-1.03076053</v>
      </c>
      <c r="AH2858">
        <v>46.988294078010703</v>
      </c>
      <c r="AI2858">
        <v>91.251062887666393</v>
      </c>
      <c r="AJ2858">
        <v>95.415137609187397</v>
      </c>
      <c r="AK2858">
        <v>47.210193676503899</v>
      </c>
      <c r="AL2858">
        <v>79.522528767382497</v>
      </c>
      <c r="AM2858">
        <v>93.053521886029003</v>
      </c>
      <c r="AN2858">
        <v>1.0000000305896699</v>
      </c>
    </row>
    <row r="2859" spans="1:40" x14ac:dyDescent="0.25">
      <c r="A2859" t="str">
        <f>"20190312172136226"</f>
        <v>20190312172136226</v>
      </c>
      <c r="B2859" t="str">
        <f>"1552382496223739"</f>
        <v>1552382496223739</v>
      </c>
      <c r="C2859" t="s">
        <v>40</v>
      </c>
      <c r="D2859">
        <v>3.0046560000000002</v>
      </c>
      <c r="E2859">
        <v>0.48367840000000001</v>
      </c>
      <c r="F2859" t="s">
        <v>46</v>
      </c>
      <c r="G2859">
        <v>-388.14440000000002</v>
      </c>
      <c r="H2859">
        <v>8.000053E-2</v>
      </c>
      <c r="I2859">
        <v>278.96530000000001</v>
      </c>
      <c r="J2859">
        <v>-341.63389999999998</v>
      </c>
      <c r="K2859">
        <v>1.1106320000000001</v>
      </c>
      <c r="L2859">
        <v>283.65219999999999</v>
      </c>
      <c r="M2859">
        <v>-0.99993679999999996</v>
      </c>
      <c r="N2859">
        <v>0</v>
      </c>
      <c r="O2859">
        <v>-6.3825549999999998E-3</v>
      </c>
      <c r="P2859">
        <v>-0.98333190000000004</v>
      </c>
      <c r="Q2859">
        <v>0.17243839999999999</v>
      </c>
      <c r="R2859">
        <v>-5.765224E-2</v>
      </c>
      <c r="S2859">
        <v>-3.0449830000000002</v>
      </c>
      <c r="T2859">
        <v>-6.713247E-2</v>
      </c>
      <c r="U2859">
        <v>-0.30535889999999999</v>
      </c>
      <c r="V2859">
        <v>-5.1864630000000002E-2</v>
      </c>
      <c r="W2859">
        <v>0.1814162</v>
      </c>
      <c r="X2859">
        <v>0.98203779999999996</v>
      </c>
      <c r="Y2859">
        <v>-9.3408229999999995E-2</v>
      </c>
      <c r="Z2859">
        <v>-8.8664099999999997E-4</v>
      </c>
      <c r="AA2859">
        <v>0.9956275</v>
      </c>
      <c r="AB2859">
        <v>41</v>
      </c>
      <c r="AC2859">
        <v>-46.5105</v>
      </c>
      <c r="AD2859">
        <v>-1.0306314700000001</v>
      </c>
      <c r="AE2859">
        <v>-4.6868999999999801</v>
      </c>
      <c r="AF2859">
        <v>-4.3878031182562101</v>
      </c>
      <c r="AG2859">
        <v>-1.0306314700000001</v>
      </c>
      <c r="AH2859">
        <v>46.516856849695202</v>
      </c>
      <c r="AI2859">
        <v>91.263635156835903</v>
      </c>
      <c r="AJ2859">
        <v>95.388604147297301</v>
      </c>
      <c r="AK2859">
        <v>46.734708607271401</v>
      </c>
      <c r="AL2859">
        <v>79.547739774727901</v>
      </c>
      <c r="AM2859">
        <v>93.023168924819501</v>
      </c>
      <c r="AN2859">
        <v>1.00000000904815</v>
      </c>
    </row>
    <row r="2860" spans="1:40" x14ac:dyDescent="0.25">
      <c r="A2860" t="str">
        <f>"20190312172136243"</f>
        <v>20190312172136243</v>
      </c>
      <c r="B2860" t="str">
        <f>"1552382496233499"</f>
        <v>1552382496233499</v>
      </c>
      <c r="C2860" t="s">
        <v>40</v>
      </c>
      <c r="D2860">
        <v>3.023539</v>
      </c>
      <c r="E2860">
        <v>0.48369250000000003</v>
      </c>
      <c r="F2860" t="s">
        <v>46</v>
      </c>
      <c r="G2860">
        <v>-387.34</v>
      </c>
      <c r="H2860">
        <v>8.0000769999999999E-2</v>
      </c>
      <c r="I2860">
        <v>279.08339999999998</v>
      </c>
      <c r="J2860">
        <v>-341.94060000000002</v>
      </c>
      <c r="K2860">
        <v>1.1104670000000001</v>
      </c>
      <c r="L2860">
        <v>283.64999999999998</v>
      </c>
      <c r="M2860">
        <v>-0.99993449999999995</v>
      </c>
      <c r="N2860">
        <v>0</v>
      </c>
      <c r="O2860">
        <v>-6.7084589999999999E-3</v>
      </c>
      <c r="P2860">
        <v>-0.98348080000000004</v>
      </c>
      <c r="Q2860">
        <v>0.17195669999999999</v>
      </c>
      <c r="R2860">
        <v>-5.6539329999999999E-2</v>
      </c>
      <c r="S2860">
        <v>-3.0450740000000001</v>
      </c>
      <c r="T2860">
        <v>-6.8663600000000005E-2</v>
      </c>
      <c r="U2860">
        <v>-0.30438229999999999</v>
      </c>
      <c r="V2860">
        <v>-5.0358170000000001E-2</v>
      </c>
      <c r="W2860">
        <v>0.18096590000000001</v>
      </c>
      <c r="X2860">
        <v>0.9821993</v>
      </c>
      <c r="Y2860">
        <v>-9.2763860000000004E-2</v>
      </c>
      <c r="Z2860">
        <v>-8.9227060000000001E-4</v>
      </c>
      <c r="AA2860">
        <v>0.99568769999999995</v>
      </c>
      <c r="AB2860">
        <v>41</v>
      </c>
      <c r="AC2860">
        <v>-45.399399999999901</v>
      </c>
      <c r="AD2860">
        <v>-1.03046623</v>
      </c>
      <c r="AE2860">
        <v>-4.5665999999999896</v>
      </c>
      <c r="AF2860">
        <v>-4.2597515255548597</v>
      </c>
      <c r="AG2860">
        <v>-1.03046623</v>
      </c>
      <c r="AH2860">
        <v>45.405856177311698</v>
      </c>
      <c r="AI2860">
        <v>91.294397978372601</v>
      </c>
      <c r="AJ2860">
        <v>95.359518210255899</v>
      </c>
      <c r="AK2860">
        <v>45.616873182029401</v>
      </c>
      <c r="AL2860">
        <v>79.573974559000305</v>
      </c>
      <c r="AM2860">
        <v>92.935032006213206</v>
      </c>
      <c r="AN2860">
        <v>1.0000000335845201</v>
      </c>
    </row>
    <row r="2861" spans="1:40" x14ac:dyDescent="0.25">
      <c r="A2861" t="str">
        <f>"20190312172136253"</f>
        <v>20190312172136253</v>
      </c>
      <c r="B2861" t="str">
        <f>"1552382496243260"</f>
        <v>1552382496243260</v>
      </c>
      <c r="C2861" t="s">
        <v>40</v>
      </c>
      <c r="D2861">
        <v>3.0267200000000001</v>
      </c>
      <c r="E2861">
        <v>0.48373690000000003</v>
      </c>
      <c r="F2861" t="s">
        <v>46</v>
      </c>
      <c r="G2861">
        <v>-386.7088</v>
      </c>
      <c r="H2861">
        <v>8.0000959999999996E-2</v>
      </c>
      <c r="I2861">
        <v>279.2235</v>
      </c>
      <c r="J2861">
        <v>-342.14980000000003</v>
      </c>
      <c r="K2861">
        <v>1.11036</v>
      </c>
      <c r="L2861">
        <v>283.64850000000001</v>
      </c>
      <c r="M2861">
        <v>-0.99993339999999997</v>
      </c>
      <c r="N2861">
        <v>0</v>
      </c>
      <c r="O2861">
        <v>-6.8547230000000001E-3</v>
      </c>
      <c r="P2861">
        <v>-0.98355619999999999</v>
      </c>
      <c r="Q2861">
        <v>0.17170179999999999</v>
      </c>
      <c r="R2861">
        <v>-5.5996700000000003E-2</v>
      </c>
      <c r="S2861">
        <v>-3.0453800000000002</v>
      </c>
      <c r="T2861">
        <v>-7.0097919999999994E-2</v>
      </c>
      <c r="U2861">
        <v>-0.30111690000000002</v>
      </c>
      <c r="V2861">
        <v>-4.9624550000000003E-2</v>
      </c>
      <c r="W2861">
        <v>0.18073049999999999</v>
      </c>
      <c r="X2861">
        <v>0.98228000000000004</v>
      </c>
      <c r="Y2861">
        <v>-9.1550549999999994E-2</v>
      </c>
      <c r="Z2861">
        <v>-8.9357619999999897E-4</v>
      </c>
      <c r="AA2861">
        <v>0.99580000000000002</v>
      </c>
      <c r="AB2861">
        <v>41</v>
      </c>
      <c r="AC2861">
        <v>-44.558999999999898</v>
      </c>
      <c r="AD2861">
        <v>-1.03035904</v>
      </c>
      <c r="AE2861">
        <v>-4.4250000000000096</v>
      </c>
      <c r="AF2861">
        <v>-4.1172632793855701</v>
      </c>
      <c r="AG2861">
        <v>-1.03035904</v>
      </c>
      <c r="AH2861">
        <v>44.564690672400602</v>
      </c>
      <c r="AI2861">
        <v>91.318857843744297</v>
      </c>
      <c r="AJ2861">
        <v>95.278484649255006</v>
      </c>
      <c r="AK2861">
        <v>44.766339490624397</v>
      </c>
      <c r="AL2861">
        <v>79.5876883223834</v>
      </c>
      <c r="AM2861">
        <v>92.892110251850497</v>
      </c>
      <c r="AN2861">
        <v>1.00000005399647</v>
      </c>
    </row>
    <row r="2862" spans="1:40" x14ac:dyDescent="0.25">
      <c r="A2862" t="str">
        <f>"20190312172136265"</f>
        <v>20190312172136265</v>
      </c>
      <c r="B2862" t="str">
        <f>"1552382496263755"</f>
        <v>1552382496263755</v>
      </c>
      <c r="C2862" t="s">
        <v>40</v>
      </c>
      <c r="D2862">
        <v>2.9953699999999999</v>
      </c>
      <c r="E2862">
        <v>0.48374590000000001</v>
      </c>
      <c r="F2862" t="s">
        <v>46</v>
      </c>
      <c r="G2862">
        <v>-386.41140000000001</v>
      </c>
      <c r="H2862">
        <v>8.0001039999999995E-2</v>
      </c>
      <c r="I2862">
        <v>279.29390000000001</v>
      </c>
      <c r="J2862">
        <v>-342.35019999999997</v>
      </c>
      <c r="K2862">
        <v>1.110263</v>
      </c>
      <c r="L2862">
        <v>283.64710000000002</v>
      </c>
      <c r="M2862">
        <v>-0.99993279999999995</v>
      </c>
      <c r="N2862">
        <v>0</v>
      </c>
      <c r="O2862">
        <v>-6.9577479999999997E-3</v>
      </c>
      <c r="P2862">
        <v>-0.9836125</v>
      </c>
      <c r="Q2862">
        <v>0.17167370000000001</v>
      </c>
      <c r="R2862">
        <v>-5.5092240000000001E-2</v>
      </c>
      <c r="S2862">
        <v>-3.045471</v>
      </c>
      <c r="T2862">
        <v>-7.0895079999999999E-2</v>
      </c>
      <c r="U2862">
        <v>-0.29962159999999999</v>
      </c>
      <c r="V2862">
        <v>-4.8576370000000001E-2</v>
      </c>
      <c r="W2862">
        <v>0.18072070000000001</v>
      </c>
      <c r="X2862">
        <v>0.98233409999999999</v>
      </c>
      <c r="Y2862">
        <v>-9.0960460000000007E-2</v>
      </c>
      <c r="Z2862">
        <v>-8.9448730000000001E-4</v>
      </c>
      <c r="AA2862">
        <v>0.99585409999999996</v>
      </c>
      <c r="AB2862">
        <v>41</v>
      </c>
      <c r="AC2862">
        <v>-44.061199999999999</v>
      </c>
      <c r="AD2862">
        <v>-1.03026196</v>
      </c>
      <c r="AE2862">
        <v>-4.35320000000001</v>
      </c>
      <c r="AF2862">
        <v>-4.0443248846314104</v>
      </c>
      <c r="AG2862">
        <v>-1.03026196</v>
      </c>
      <c r="AH2862">
        <v>44.0665630089659</v>
      </c>
      <c r="AI2862">
        <v>91.333709571293795</v>
      </c>
      <c r="AJ2862">
        <v>95.243780974877893</v>
      </c>
      <c r="AK2862">
        <v>44.263754685993703</v>
      </c>
      <c r="AL2862">
        <v>79.588258227633304</v>
      </c>
      <c r="AM2862">
        <v>92.8309672918285</v>
      </c>
      <c r="AN2862">
        <v>0.99999995957683696</v>
      </c>
    </row>
    <row r="2863" spans="1:40" x14ac:dyDescent="0.25">
      <c r="A2863" t="str">
        <f>"20190312172136276"</f>
        <v>20190312172136276</v>
      </c>
      <c r="B2863" t="str">
        <f>"1552382496273515"</f>
        <v>1552382496273515</v>
      </c>
      <c r="C2863" t="s">
        <v>40</v>
      </c>
      <c r="D2863">
        <v>3.01702</v>
      </c>
      <c r="E2863">
        <v>0.48377569999999998</v>
      </c>
      <c r="F2863" t="s">
        <v>46</v>
      </c>
      <c r="G2863">
        <v>-387.01760000000002</v>
      </c>
      <c r="H2863">
        <v>8.0000870000000002E-2</v>
      </c>
      <c r="I2863">
        <v>279.29399999999998</v>
      </c>
      <c r="J2863">
        <v>-342.54559999999998</v>
      </c>
      <c r="K2863">
        <v>1.1101730000000001</v>
      </c>
      <c r="L2863">
        <v>283.64569999999998</v>
      </c>
      <c r="M2863">
        <v>-0.9999323</v>
      </c>
      <c r="N2863">
        <v>0</v>
      </c>
      <c r="O2863">
        <v>-7.0208379999999997E-3</v>
      </c>
      <c r="P2863">
        <v>-0.98365320000000001</v>
      </c>
      <c r="Q2863">
        <v>0.17176669999999999</v>
      </c>
      <c r="R2863">
        <v>-5.4063069999999998E-2</v>
      </c>
      <c r="S2863">
        <v>-3.0456240000000001</v>
      </c>
      <c r="T2863">
        <v>-7.0247889999999993E-2</v>
      </c>
      <c r="U2863">
        <v>-0.29681400000000002</v>
      </c>
      <c r="V2863">
        <v>-4.7446009999999997E-2</v>
      </c>
      <c r="W2863">
        <v>0.18083089999999999</v>
      </c>
      <c r="X2863">
        <v>0.9823691</v>
      </c>
      <c r="Y2863">
        <v>-8.9984079999999994E-2</v>
      </c>
      <c r="Z2863">
        <v>-8.7363580000000005E-4</v>
      </c>
      <c r="AA2863">
        <v>0.99594280000000002</v>
      </c>
      <c r="AB2863">
        <v>41</v>
      </c>
      <c r="AC2863">
        <v>-44.472000000000001</v>
      </c>
      <c r="AD2863">
        <v>-1.03017213</v>
      </c>
      <c r="AE2863">
        <v>-4.35169999999993</v>
      </c>
      <c r="AF2863">
        <v>-4.0372027918163198</v>
      </c>
      <c r="AG2863">
        <v>-1.03017213</v>
      </c>
      <c r="AH2863">
        <v>44.477817530336999</v>
      </c>
      <c r="AI2863">
        <v>91.321387541109303</v>
      </c>
      <c r="AJ2863">
        <v>95.186462579907399</v>
      </c>
      <c r="AK2863">
        <v>44.672547646867301</v>
      </c>
      <c r="AL2863">
        <v>79.581838819348903</v>
      </c>
      <c r="AM2863">
        <v>92.765096483139402</v>
      </c>
      <c r="AN2863">
        <v>0.99999999344726997</v>
      </c>
    </row>
    <row r="2864" spans="1:40" x14ac:dyDescent="0.25">
      <c r="A2864" t="str">
        <f>"20190312172136288"</f>
        <v>20190312172136288</v>
      </c>
      <c r="B2864" t="str">
        <f>"1552382496283275"</f>
        <v>1552382496283275</v>
      </c>
      <c r="C2864" t="s">
        <v>40</v>
      </c>
      <c r="D2864">
        <v>2.992162</v>
      </c>
      <c r="E2864">
        <v>0.48380210000000001</v>
      </c>
      <c r="F2864" t="s">
        <v>46</v>
      </c>
      <c r="G2864">
        <v>-387.45179999999999</v>
      </c>
      <c r="H2864">
        <v>8.0000740000000001E-2</v>
      </c>
      <c r="I2864">
        <v>279.30880000000002</v>
      </c>
      <c r="J2864">
        <v>-342.76049999999998</v>
      </c>
      <c r="K2864">
        <v>1.11008</v>
      </c>
      <c r="L2864">
        <v>283.64409999999998</v>
      </c>
      <c r="M2864">
        <v>-0.99993200000000004</v>
      </c>
      <c r="N2864">
        <v>0</v>
      </c>
      <c r="O2864">
        <v>-7.0433919999999999E-3</v>
      </c>
      <c r="P2864">
        <v>-0.9837437</v>
      </c>
      <c r="Q2864">
        <v>0.17155090000000001</v>
      </c>
      <c r="R2864">
        <v>-5.309237E-2</v>
      </c>
      <c r="S2864">
        <v>-3.0458980000000002</v>
      </c>
      <c r="T2864">
        <v>-6.9874409999999998E-2</v>
      </c>
      <c r="U2864">
        <v>-0.2941589</v>
      </c>
      <c r="V2864">
        <v>-4.6412479999999999E-2</v>
      </c>
      <c r="W2864">
        <v>0.18063199999999999</v>
      </c>
      <c r="X2864">
        <v>0.98245510000000003</v>
      </c>
      <c r="Y2864">
        <v>-8.9093329999999998E-2</v>
      </c>
      <c r="Z2864">
        <v>-8.5824239999999997E-4</v>
      </c>
      <c r="AA2864">
        <v>0.99602290000000004</v>
      </c>
      <c r="AB2864">
        <v>41</v>
      </c>
      <c r="AC2864">
        <v>-44.691299999999998</v>
      </c>
      <c r="AD2864">
        <v>-1.0300792599999999</v>
      </c>
      <c r="AE2864">
        <v>-4.3352999999999602</v>
      </c>
      <c r="AF2864">
        <v>-4.0182857155549598</v>
      </c>
      <c r="AG2864">
        <v>-1.0300792599999999</v>
      </c>
      <c r="AH2864">
        <v>44.697204042763701</v>
      </c>
      <c r="AI2864">
        <v>91.3148878975569</v>
      </c>
      <c r="AJ2864">
        <v>95.137089958705005</v>
      </c>
      <c r="AK2864">
        <v>44.889283048564799</v>
      </c>
      <c r="AL2864">
        <v>79.593426149266605</v>
      </c>
      <c r="AM2864">
        <v>92.704717619721507</v>
      </c>
      <c r="AN2864">
        <v>1.00000003061987</v>
      </c>
    </row>
    <row r="2865" spans="1:40" x14ac:dyDescent="0.25">
      <c r="A2865" t="str">
        <f>"20190312172136299"</f>
        <v>20190312172136299</v>
      </c>
      <c r="B2865" t="str">
        <f>"1552382496294011"</f>
        <v>1552382496294011</v>
      </c>
      <c r="C2865" t="s">
        <v>40</v>
      </c>
      <c r="D2865">
        <v>3.0000360000000001</v>
      </c>
      <c r="E2865">
        <v>0.48384549999999998</v>
      </c>
      <c r="F2865" t="s">
        <v>46</v>
      </c>
      <c r="G2865">
        <v>-387.47399999999999</v>
      </c>
      <c r="H2865">
        <v>8.0000740000000001E-2</v>
      </c>
      <c r="I2865">
        <v>279.36470000000003</v>
      </c>
      <c r="J2865">
        <v>-342.9692</v>
      </c>
      <c r="K2865">
        <v>1.109993</v>
      </c>
      <c r="L2865">
        <v>283.64269999999999</v>
      </c>
      <c r="M2865">
        <v>-0.99993189999999998</v>
      </c>
      <c r="N2865">
        <v>0</v>
      </c>
      <c r="O2865">
        <v>-7.0437499999999997E-3</v>
      </c>
      <c r="P2865">
        <v>-0.98382570000000003</v>
      </c>
      <c r="Q2865">
        <v>0.17147860000000001</v>
      </c>
      <c r="R2865">
        <v>-5.1787319999999998E-2</v>
      </c>
      <c r="S2865">
        <v>-3.0460820000000002</v>
      </c>
      <c r="T2865">
        <v>-7.01735E-2</v>
      </c>
      <c r="U2865">
        <v>-0.29153440000000003</v>
      </c>
      <c r="V2865">
        <v>-4.5068860000000002E-2</v>
      </c>
      <c r="W2865">
        <v>0.18057619999999999</v>
      </c>
      <c r="X2865">
        <v>0.98252790000000001</v>
      </c>
      <c r="Y2865">
        <v>-8.8236949999999995E-2</v>
      </c>
      <c r="Z2865">
        <v>-8.5205000000000003E-4</v>
      </c>
      <c r="AA2865">
        <v>0.99609919999999996</v>
      </c>
      <c r="AB2865">
        <v>41</v>
      </c>
      <c r="AC2865">
        <v>-44.504799999999904</v>
      </c>
      <c r="AD2865">
        <v>-1.02999226</v>
      </c>
      <c r="AE2865">
        <v>-4.2779999999999596</v>
      </c>
      <c r="AF2865">
        <v>-3.9622967649033098</v>
      </c>
      <c r="AG2865">
        <v>-1.02999226</v>
      </c>
      <c r="AH2865">
        <v>44.5102081679725</v>
      </c>
      <c r="AI2865">
        <v>91.320401665399899</v>
      </c>
      <c r="AJ2865">
        <v>95.087058486333206</v>
      </c>
      <c r="AK2865">
        <v>44.698090684782798</v>
      </c>
      <c r="AL2865">
        <v>79.596676596759096</v>
      </c>
      <c r="AM2865">
        <v>92.626334227367906</v>
      </c>
      <c r="AN2865">
        <v>1.0000000202132699</v>
      </c>
    </row>
    <row r="2866" spans="1:40" x14ac:dyDescent="0.25">
      <c r="A2866" t="str">
        <f>"20190312172136311"</f>
        <v>20190312172136311</v>
      </c>
      <c r="B2866" t="str">
        <f>"1552382496303265"</f>
        <v>1552382496303265</v>
      </c>
      <c r="C2866" t="s">
        <v>40</v>
      </c>
      <c r="D2866">
        <v>3.0267780000000002</v>
      </c>
      <c r="E2866">
        <v>0.48386240000000003</v>
      </c>
      <c r="F2866" t="s">
        <v>46</v>
      </c>
      <c r="G2866">
        <v>-387.61329999999998</v>
      </c>
      <c r="H2866">
        <v>8.0000689999999999E-2</v>
      </c>
      <c r="I2866">
        <v>279.42579999999998</v>
      </c>
      <c r="J2866">
        <v>-343.17970000000003</v>
      </c>
      <c r="K2866">
        <v>1.1099159999999999</v>
      </c>
      <c r="L2866">
        <v>283.64120000000003</v>
      </c>
      <c r="M2866">
        <v>-0.9999323</v>
      </c>
      <c r="N2866">
        <v>0</v>
      </c>
      <c r="O2866">
        <v>-6.9948919999999999E-3</v>
      </c>
      <c r="P2866">
        <v>-0.98394470000000001</v>
      </c>
      <c r="Q2866">
        <v>0.17117349999999901</v>
      </c>
      <c r="R2866">
        <v>-5.0526370000000001E-2</v>
      </c>
      <c r="S2866">
        <v>-3.0464169999999999</v>
      </c>
      <c r="T2866">
        <v>-7.0284490000000005E-2</v>
      </c>
      <c r="U2866">
        <v>-0.28775020000000001</v>
      </c>
      <c r="V2866">
        <v>-4.3821230000000003E-2</v>
      </c>
      <c r="W2866">
        <v>0.1802859</v>
      </c>
      <c r="X2866">
        <v>0.9826376</v>
      </c>
      <c r="Y2866">
        <v>-8.704916E-2</v>
      </c>
      <c r="Z2866">
        <v>-8.4080839999999999E-4</v>
      </c>
      <c r="AA2866">
        <v>0.99620370000000003</v>
      </c>
      <c r="AB2866">
        <v>41</v>
      </c>
      <c r="AC2866">
        <v>-44.433599999999899</v>
      </c>
      <c r="AD2866">
        <v>-1.02991530999999</v>
      </c>
      <c r="AE2866">
        <v>-4.2154000000000398</v>
      </c>
      <c r="AF2866">
        <v>-3.90239731292167</v>
      </c>
      <c r="AG2866">
        <v>-1.02991530999999</v>
      </c>
      <c r="AH2866">
        <v>44.438338666370903</v>
      </c>
      <c r="AI2866">
        <v>91.322577244508395</v>
      </c>
      <c r="AJ2866">
        <v>95.018612214134606</v>
      </c>
      <c r="AK2866">
        <v>44.6212435254862</v>
      </c>
      <c r="AL2866">
        <v>79.613586674427395</v>
      </c>
      <c r="AM2866">
        <v>92.553442972991206</v>
      </c>
      <c r="AN2866">
        <v>0.99999997943564101</v>
      </c>
    </row>
    <row r="2867" spans="1:40" x14ac:dyDescent="0.25">
      <c r="A2867" t="str">
        <f>"20190312172136322"</f>
        <v>20190312172136322</v>
      </c>
      <c r="B2867" t="str">
        <f>"1552382496314002"</f>
        <v>1552382496314002</v>
      </c>
      <c r="C2867" t="s">
        <v>40</v>
      </c>
      <c r="D2867">
        <v>3.0226760000000001</v>
      </c>
      <c r="E2867">
        <v>0.48385669999999997</v>
      </c>
      <c r="F2867" t="s">
        <v>46</v>
      </c>
      <c r="G2867">
        <v>-387.2824</v>
      </c>
      <c r="H2867">
        <v>8.0000799999999997E-2</v>
      </c>
      <c r="I2867">
        <v>279.52620000000002</v>
      </c>
      <c r="J2867">
        <v>-343.40019999999998</v>
      </c>
      <c r="K2867">
        <v>1.109842</v>
      </c>
      <c r="L2867">
        <v>283.6397</v>
      </c>
      <c r="M2867">
        <v>-0.99993259999999995</v>
      </c>
      <c r="N2867">
        <v>0</v>
      </c>
      <c r="O2867">
        <v>-6.9313839999999996E-3</v>
      </c>
      <c r="P2867">
        <v>-0.98405419999999999</v>
      </c>
      <c r="Q2867">
        <v>0.17092579999999999</v>
      </c>
      <c r="R2867">
        <v>-4.9214550000000003E-2</v>
      </c>
      <c r="S2867">
        <v>-3.0466920000000002</v>
      </c>
      <c r="T2867">
        <v>-7.1148279999999994E-2</v>
      </c>
      <c r="U2867">
        <v>-0.2842712</v>
      </c>
      <c r="V2867">
        <v>-4.2537310000000002E-2</v>
      </c>
      <c r="W2867">
        <v>0.1800532</v>
      </c>
      <c r="X2867">
        <v>0.98273670000000002</v>
      </c>
      <c r="Y2867">
        <v>-8.5976079999999996E-2</v>
      </c>
      <c r="Z2867">
        <v>-8.4008629999999997E-4</v>
      </c>
      <c r="AA2867">
        <v>0.99629679999999998</v>
      </c>
      <c r="AB2867">
        <v>41</v>
      </c>
      <c r="AC2867">
        <v>-43.882199999999997</v>
      </c>
      <c r="AD2867">
        <v>-1.0298411999999999</v>
      </c>
      <c r="AE2867">
        <v>-4.1134999999999797</v>
      </c>
      <c r="AF2867">
        <v>-3.8071450372836502</v>
      </c>
      <c r="AG2867">
        <v>-1.0298411999999999</v>
      </c>
      <c r="AH2867">
        <v>43.885699217417901</v>
      </c>
      <c r="AI2867">
        <v>91.339253160571502</v>
      </c>
      <c r="AJ2867">
        <v>94.958075062175595</v>
      </c>
      <c r="AK2867">
        <v>44.062563725160203</v>
      </c>
      <c r="AL2867">
        <v>79.627141425925501</v>
      </c>
      <c r="AM2867">
        <v>92.478474615751907</v>
      </c>
      <c r="AN2867">
        <v>0.99999999954958296</v>
      </c>
    </row>
    <row r="2868" spans="1:40" x14ac:dyDescent="0.25">
      <c r="A2868" t="str">
        <f>"20190312172136334"</f>
        <v>20190312172136334</v>
      </c>
      <c r="B2868" t="str">
        <f>"1552382496323762"</f>
        <v>1552382496323762</v>
      </c>
      <c r="C2868" t="s">
        <v>40</v>
      </c>
      <c r="D2868">
        <v>3.0225979999999999</v>
      </c>
      <c r="E2868">
        <v>0.48385099999999998</v>
      </c>
      <c r="F2868" t="s">
        <v>46</v>
      </c>
      <c r="G2868">
        <v>-387.33870000000002</v>
      </c>
      <c r="H2868">
        <v>7.4762430000000005E-2</v>
      </c>
      <c r="I2868">
        <v>279.59160000000003</v>
      </c>
      <c r="J2868">
        <v>-343.61399999999998</v>
      </c>
      <c r="K2868">
        <v>1.109777</v>
      </c>
      <c r="L2868">
        <v>283.63830000000002</v>
      </c>
      <c r="M2868">
        <v>-0.99993319999999997</v>
      </c>
      <c r="N2868">
        <v>0</v>
      </c>
      <c r="O2868">
        <v>-6.8422659999999996E-3</v>
      </c>
      <c r="P2868">
        <v>-0.98412599999999995</v>
      </c>
      <c r="Q2868">
        <v>0.17091619999999999</v>
      </c>
      <c r="R2868">
        <v>-4.7791140000000003E-2</v>
      </c>
      <c r="S2868">
        <v>-3.0470579999999998</v>
      </c>
      <c r="T2868">
        <v>-7.1780919999999998E-2</v>
      </c>
      <c r="U2868">
        <v>-0.28073120000000001</v>
      </c>
      <c r="V2868">
        <v>-4.117266E-2</v>
      </c>
      <c r="W2868">
        <v>0.18005650000000001</v>
      </c>
      <c r="X2868">
        <v>0.98279419999999995</v>
      </c>
      <c r="Y2868">
        <v>-8.4906010000000004E-2</v>
      </c>
      <c r="Z2868">
        <v>-8.3701670000000002E-4</v>
      </c>
      <c r="AA2868">
        <v>0.99638859999999996</v>
      </c>
      <c r="AB2868">
        <v>41</v>
      </c>
      <c r="AC2868">
        <v>-43.724699999999899</v>
      </c>
      <c r="AD2868">
        <v>-1.03501457</v>
      </c>
      <c r="AE2868">
        <v>-4.04669999999998</v>
      </c>
      <c r="AF2868">
        <v>-3.74533547544429</v>
      </c>
      <c r="AG2868">
        <v>-1.03501457</v>
      </c>
      <c r="AH2868">
        <v>43.727072929380199</v>
      </c>
      <c r="AI2868">
        <v>91.350986277060301</v>
      </c>
      <c r="AJ2868">
        <v>94.895581265139995</v>
      </c>
      <c r="AK2868">
        <v>43.899381544106902</v>
      </c>
      <c r="AL2868">
        <v>79.626949059316701</v>
      </c>
      <c r="AM2868">
        <v>92.398916298890995</v>
      </c>
      <c r="AN2868">
        <v>0.99999998533868195</v>
      </c>
    </row>
    <row r="2869" spans="1:40" x14ac:dyDescent="0.25">
      <c r="A2869" t="str">
        <f>"20190312172136346"</f>
        <v>20190312172136346</v>
      </c>
      <c r="B2869" t="str">
        <f>"1552382496343281"</f>
        <v>1552382496343281</v>
      </c>
      <c r="C2869" t="s">
        <v>40</v>
      </c>
      <c r="D2869">
        <v>3.0080460000000002</v>
      </c>
      <c r="E2869">
        <v>0.48382130000000001</v>
      </c>
      <c r="F2869" t="s">
        <v>46</v>
      </c>
      <c r="G2869">
        <v>-388.08879999999999</v>
      </c>
      <c r="H2869">
        <v>6.4584669999999997E-2</v>
      </c>
      <c r="I2869">
        <v>279.60169999999999</v>
      </c>
      <c r="J2869">
        <v>-343.81689999999998</v>
      </c>
      <c r="K2869">
        <v>1.1097239999999999</v>
      </c>
      <c r="L2869">
        <v>283.63690000000003</v>
      </c>
      <c r="M2869">
        <v>-0.99993379999999998</v>
      </c>
      <c r="N2869">
        <v>0</v>
      </c>
      <c r="O2869">
        <v>-6.7458669999999896E-3</v>
      </c>
      <c r="P2869">
        <v>-0.9842147</v>
      </c>
      <c r="Q2869">
        <v>0.17082639999999999</v>
      </c>
      <c r="R2869">
        <v>-4.6259599999999998E-2</v>
      </c>
      <c r="S2869">
        <v>-3.0473940000000002</v>
      </c>
      <c r="T2869">
        <v>-7.1616050000000001E-2</v>
      </c>
      <c r="U2869">
        <v>-0.27658080000000002</v>
      </c>
      <c r="V2869">
        <v>-3.9710130000000003E-2</v>
      </c>
      <c r="W2869">
        <v>0.17997779999999899</v>
      </c>
      <c r="X2869">
        <v>0.98286879999999999</v>
      </c>
      <c r="Y2869">
        <v>-8.3646620000000005E-2</v>
      </c>
      <c r="Z2869">
        <v>-8.2254899999999903E-4</v>
      </c>
      <c r="AA2869">
        <v>0.99649509999999997</v>
      </c>
      <c r="AB2869">
        <v>41</v>
      </c>
      <c r="AC2869">
        <v>-44.271900000000002</v>
      </c>
      <c r="AD2869">
        <v>-1.04513933</v>
      </c>
      <c r="AE2869">
        <v>-4.0352000000000299</v>
      </c>
      <c r="AF2869">
        <v>-3.7343788150931299</v>
      </c>
      <c r="AG2869">
        <v>-1.04513933</v>
      </c>
      <c r="AH2869">
        <v>44.273644089375999</v>
      </c>
      <c r="AI2869">
        <v>91.347510136061004</v>
      </c>
      <c r="AJ2869">
        <v>94.821353348727698</v>
      </c>
      <c r="AK2869">
        <v>44.443148654280499</v>
      </c>
      <c r="AL2869">
        <v>79.631533178696301</v>
      </c>
      <c r="AM2869">
        <v>92.313621189669206</v>
      </c>
      <c r="AN2869">
        <v>0.99999999046544796</v>
      </c>
    </row>
    <row r="2870" spans="1:40" x14ac:dyDescent="0.25">
      <c r="A2870" t="str">
        <f>"20190312172136366"</f>
        <v>20190312172136366</v>
      </c>
      <c r="B2870" t="str">
        <f>"1552382496363778"</f>
        <v>1552382496363778</v>
      </c>
      <c r="C2870" t="s">
        <v>40</v>
      </c>
      <c r="D2870">
        <v>3.050808</v>
      </c>
      <c r="E2870">
        <v>0.48381489999999999</v>
      </c>
      <c r="F2870" t="s">
        <v>46</v>
      </c>
      <c r="G2870">
        <v>-388.81060000000002</v>
      </c>
      <c r="H2870">
        <v>5.2204559999999997E-2</v>
      </c>
      <c r="I2870">
        <v>279.61410000000001</v>
      </c>
      <c r="J2870">
        <v>-344.19569999999999</v>
      </c>
      <c r="K2870">
        <v>1.1096269999999999</v>
      </c>
      <c r="L2870">
        <v>283.6345</v>
      </c>
      <c r="M2870">
        <v>-0.99993520000000002</v>
      </c>
      <c r="N2870">
        <v>0</v>
      </c>
      <c r="O2870">
        <v>-6.5371259999999999E-3</v>
      </c>
      <c r="P2870">
        <v>-0.98435139999999999</v>
      </c>
      <c r="Q2870">
        <v>0.170783399999999</v>
      </c>
      <c r="R2870">
        <v>-4.3420300000000002E-2</v>
      </c>
      <c r="S2870">
        <v>-3.0477289999999999</v>
      </c>
      <c r="T2870">
        <v>-7.1632860000000007E-2</v>
      </c>
      <c r="U2870">
        <v>-0.2724915</v>
      </c>
      <c r="V2870">
        <v>-3.7034060000000001E-2</v>
      </c>
      <c r="W2870">
        <v>0.17995340000000001</v>
      </c>
      <c r="X2870">
        <v>0.98297769999999995</v>
      </c>
      <c r="Y2870">
        <v>-8.2518649999999999E-2</v>
      </c>
      <c r="Z2870">
        <v>-8.1436859999999998E-4</v>
      </c>
      <c r="AA2870">
        <v>0.99658919999999995</v>
      </c>
      <c r="AB2870">
        <v>41</v>
      </c>
      <c r="AC2870">
        <v>-44.614899999999999</v>
      </c>
      <c r="AD2870">
        <v>-1.0574224400000001</v>
      </c>
      <c r="AE2870">
        <v>-4.0203999999999898</v>
      </c>
      <c r="AF2870">
        <v>-3.72657168620416</v>
      </c>
      <c r="AG2870">
        <v>-1.0574224400000001</v>
      </c>
      <c r="AH2870">
        <v>44.615369156401798</v>
      </c>
      <c r="AI2870">
        <v>91.352995080864503</v>
      </c>
      <c r="AJ2870">
        <v>94.774640542352998</v>
      </c>
      <c r="AK2870">
        <v>44.783218326858197</v>
      </c>
      <c r="AL2870">
        <v>79.632954009905404</v>
      </c>
      <c r="AM2870">
        <v>92.157619879548193</v>
      </c>
      <c r="AN2870">
        <v>0.999999953234465</v>
      </c>
    </row>
    <row r="2871" spans="1:40" x14ac:dyDescent="0.25">
      <c r="A2871" t="str">
        <f>"20190312172136381"</f>
        <v>20190312172136381</v>
      </c>
      <c r="B2871" t="str">
        <f>"1552382496373537"</f>
        <v>1552382496373537</v>
      </c>
      <c r="C2871" t="s">
        <v>40</v>
      </c>
      <c r="D2871">
        <v>3.0542250000000002</v>
      </c>
      <c r="E2871">
        <v>0.48381489999999999</v>
      </c>
      <c r="F2871" t="s">
        <v>46</v>
      </c>
      <c r="G2871">
        <v>-390.6404</v>
      </c>
      <c r="H2871">
        <v>2.4658590000000001E-2</v>
      </c>
      <c r="I2871">
        <v>279.61630000000002</v>
      </c>
      <c r="J2871">
        <v>-344.45490000000001</v>
      </c>
      <c r="K2871">
        <v>1.1095699999999999</v>
      </c>
      <c r="L2871">
        <v>283.63279999999997</v>
      </c>
      <c r="M2871">
        <v>-0.99993589999999999</v>
      </c>
      <c r="N2871">
        <v>0</v>
      </c>
      <c r="O2871">
        <v>-6.3813979999999999E-3</v>
      </c>
      <c r="P2871">
        <v>-0.98436860000000004</v>
      </c>
      <c r="Q2871">
        <v>0.17105529999999999</v>
      </c>
      <c r="R2871">
        <v>-4.1934260000000001E-2</v>
      </c>
      <c r="S2871">
        <v>-3.0484309999999999</v>
      </c>
      <c r="T2871">
        <v>-7.1212650000000002E-2</v>
      </c>
      <c r="U2871">
        <v>-0.26373289999999999</v>
      </c>
      <c r="V2871">
        <v>-3.5676140000000002E-2</v>
      </c>
      <c r="W2871">
        <v>0.18023620000000001</v>
      </c>
      <c r="X2871">
        <v>0.98297610000000002</v>
      </c>
      <c r="Y2871">
        <v>-7.9812770000000005E-2</v>
      </c>
      <c r="Z2871">
        <v>-7.8159629999999996E-4</v>
      </c>
      <c r="AA2871">
        <v>0.99680950000000001</v>
      </c>
      <c r="AB2871">
        <v>41</v>
      </c>
      <c r="AC2871">
        <v>-46.185499999999898</v>
      </c>
      <c r="AD2871">
        <v>-1.0849114099999999</v>
      </c>
      <c r="AE2871">
        <v>-4.01649999999995</v>
      </c>
      <c r="AF2871">
        <v>-3.7196401924781899</v>
      </c>
      <c r="AG2871">
        <v>-1.0849114099999999</v>
      </c>
      <c r="AH2871">
        <v>46.184898248315903</v>
      </c>
      <c r="AI2871">
        <v>91.341323765925694</v>
      </c>
      <c r="AJ2871">
        <v>94.604550107022405</v>
      </c>
      <c r="AK2871">
        <v>46.347142114011099</v>
      </c>
      <c r="AL2871">
        <v>79.616481326274595</v>
      </c>
      <c r="AM2871">
        <v>92.078580984707202</v>
      </c>
      <c r="AN2871">
        <v>0.99999994396347303</v>
      </c>
    </row>
    <row r="2872" spans="1:40" x14ac:dyDescent="0.25">
      <c r="A2872" t="str">
        <f>"20190312172136393"</f>
        <v>20190312172136393</v>
      </c>
      <c r="B2872" t="str">
        <f>"1552382496383298"</f>
        <v>1552382496383298</v>
      </c>
      <c r="C2872" t="s">
        <v>40</v>
      </c>
      <c r="D2872">
        <v>3.068174</v>
      </c>
      <c r="E2872">
        <v>0.50835649999999999</v>
      </c>
      <c r="F2872" t="s">
        <v>46</v>
      </c>
      <c r="G2872">
        <v>-391.71789999999999</v>
      </c>
      <c r="H2872">
        <v>1.8861300000000001E-2</v>
      </c>
      <c r="I2872">
        <v>279.61630000000002</v>
      </c>
      <c r="J2872">
        <v>-344.69560000000001</v>
      </c>
      <c r="K2872">
        <v>1.1095219999999999</v>
      </c>
      <c r="L2872">
        <v>283.63139999999999</v>
      </c>
      <c r="M2872">
        <v>-0.99993710000000002</v>
      </c>
      <c r="N2872">
        <v>0</v>
      </c>
      <c r="O2872">
        <v>-6.2275999999999998E-3</v>
      </c>
      <c r="P2872">
        <v>-0.98436820000000003</v>
      </c>
      <c r="Q2872">
        <v>0.17135359999999999</v>
      </c>
      <c r="R2872">
        <v>-4.0715849999999998E-2</v>
      </c>
      <c r="S2872">
        <v>-3.0488279999999999</v>
      </c>
      <c r="T2872">
        <v>-7.0359110000000002E-2</v>
      </c>
      <c r="U2872">
        <v>-0.2590942</v>
      </c>
      <c r="V2872">
        <v>-3.4589040000000001E-2</v>
      </c>
      <c r="W2872">
        <v>0.18054339999999999</v>
      </c>
      <c r="X2872">
        <v>0.98295860000000002</v>
      </c>
      <c r="Y2872">
        <v>-7.8450140000000002E-2</v>
      </c>
      <c r="Z2872">
        <v>-7.6003009999999903E-4</v>
      </c>
      <c r="AA2872">
        <v>0.99691770000000002</v>
      </c>
      <c r="AB2872">
        <v>41</v>
      </c>
      <c r="AC2872">
        <v>-47.022299999999902</v>
      </c>
      <c r="AD2872">
        <v>-1.0906606999999999</v>
      </c>
      <c r="AE2872">
        <v>-4.0150999999999604</v>
      </c>
      <c r="AF2872">
        <v>-3.7201863926121299</v>
      </c>
      <c r="AG2872">
        <v>-1.0906606999999999</v>
      </c>
      <c r="AH2872">
        <v>47.0212798804749</v>
      </c>
      <c r="AI2872">
        <v>91.3246021899987</v>
      </c>
      <c r="AJ2872">
        <v>94.523651893766896</v>
      </c>
      <c r="AK2872">
        <v>47.180823320033902</v>
      </c>
      <c r="AL2872">
        <v>79.598586723446402</v>
      </c>
      <c r="AM2872">
        <v>92.015332720525706</v>
      </c>
      <c r="AN2872">
        <v>0.99999996514281997</v>
      </c>
    </row>
    <row r="2873" spans="1:40" x14ac:dyDescent="0.25">
      <c r="A2873" t="str">
        <f>"20190312172136411"</f>
        <v>20190312172136411</v>
      </c>
      <c r="B2873" t="str">
        <f>"1552382496403793"</f>
        <v>1552382496403793</v>
      </c>
      <c r="C2873" t="s">
        <v>40</v>
      </c>
      <c r="D2873">
        <v>3.0718459999999999</v>
      </c>
      <c r="E2873">
        <v>0.51103319999999997</v>
      </c>
      <c r="F2873" t="s">
        <v>46</v>
      </c>
      <c r="G2873">
        <v>-386.26850000000002</v>
      </c>
      <c r="H2873" s="1">
        <v>1.7989789999999999E-6</v>
      </c>
      <c r="I2873">
        <v>282.81990000000002</v>
      </c>
      <c r="J2873">
        <v>-345.01710000000003</v>
      </c>
      <c r="K2873">
        <v>1.1094649999999999</v>
      </c>
      <c r="L2873">
        <v>283.62950000000001</v>
      </c>
      <c r="M2873">
        <v>-0.9999382</v>
      </c>
      <c r="N2873">
        <v>0</v>
      </c>
      <c r="O2873">
        <v>-6.0176800000000001E-3</v>
      </c>
      <c r="P2873">
        <v>-0.98431369999999896</v>
      </c>
      <c r="Q2873">
        <v>0.1721984</v>
      </c>
      <c r="R2873">
        <v>-3.8397290000000001E-2</v>
      </c>
      <c r="S2873">
        <v>-3.0593569999999999</v>
      </c>
      <c r="T2873">
        <v>-8.1649899999999997E-2</v>
      </c>
      <c r="U2873">
        <v>-5.9722900000000002E-2</v>
      </c>
      <c r="V2873">
        <v>-3.2453950000000002E-2</v>
      </c>
      <c r="W2873">
        <v>0.18139830000000001</v>
      </c>
      <c r="X2873">
        <v>0.98287400000000003</v>
      </c>
      <c r="Y2873">
        <v>-1.349786E-2</v>
      </c>
      <c r="Z2873" s="1">
        <v>-1.950678E-5</v>
      </c>
      <c r="AA2873">
        <v>0.99990889999999999</v>
      </c>
      <c r="AB2873">
        <v>41</v>
      </c>
      <c r="AC2873">
        <v>-41.251399999999897</v>
      </c>
      <c r="AD2873">
        <v>-1.1094632010209999</v>
      </c>
      <c r="AE2873">
        <v>-0.809599999999989</v>
      </c>
      <c r="AF2873">
        <v>-0.56093117507093804</v>
      </c>
      <c r="AG2873">
        <v>-1.1094632010209999</v>
      </c>
      <c r="AH2873">
        <v>41.225716011737099</v>
      </c>
      <c r="AI2873">
        <v>91.541424778509693</v>
      </c>
      <c r="AJ2873">
        <v>90.7795378451614</v>
      </c>
      <c r="AK2873">
        <v>41.244456755520297</v>
      </c>
      <c r="AL2873">
        <v>79.548782059327806</v>
      </c>
      <c r="AM2873">
        <v>91.891187497620095</v>
      </c>
      <c r="AN2873">
        <v>0.99999995099474503</v>
      </c>
    </row>
    <row r="2874" spans="1:40" x14ac:dyDescent="0.25">
      <c r="A2874" t="str">
        <f>"20190312172136422"</f>
        <v>20190312172136422</v>
      </c>
      <c r="B2874" t="str">
        <f>"1552382496413554"</f>
        <v>1552382496413554</v>
      </c>
      <c r="C2874" t="s">
        <v>40</v>
      </c>
      <c r="D2874">
        <v>3.0653969999999999</v>
      </c>
      <c r="E2874">
        <v>0.51161709999999905</v>
      </c>
      <c r="F2874" t="s">
        <v>46</v>
      </c>
      <c r="G2874">
        <v>-384.58690000000001</v>
      </c>
      <c r="H2874" s="1">
        <v>9.0414760000000004E-7</v>
      </c>
      <c r="I2874">
        <v>283.22919999999999</v>
      </c>
      <c r="J2874">
        <v>-345.2276</v>
      </c>
      <c r="K2874">
        <v>1.109432</v>
      </c>
      <c r="L2874">
        <v>283.62830000000002</v>
      </c>
      <c r="M2874">
        <v>-0.99993900000000002</v>
      </c>
      <c r="N2874">
        <v>0</v>
      </c>
      <c r="O2874">
        <v>-5.877981E-3</v>
      </c>
      <c r="P2874">
        <v>-0.98429730000000004</v>
      </c>
      <c r="Q2874">
        <v>0.17244129999999999</v>
      </c>
      <c r="R2874">
        <v>-3.7725719999999997E-2</v>
      </c>
      <c r="S2874">
        <v>-3.0616759999999998</v>
      </c>
      <c r="T2874">
        <v>-8.5843680000000006E-2</v>
      </c>
      <c r="U2874">
        <v>-3.0975340000000001E-2</v>
      </c>
      <c r="V2874">
        <v>-3.1905049999999997E-2</v>
      </c>
      <c r="W2874">
        <v>0.18164730000000001</v>
      </c>
      <c r="X2874">
        <v>0.982846</v>
      </c>
      <c r="Y2874">
        <v>-4.2391340000000003E-3</v>
      </c>
      <c r="Z2874">
        <v>1.053608E-4</v>
      </c>
      <c r="AA2874">
        <v>0.99999099999999996</v>
      </c>
      <c r="AB2874">
        <v>41</v>
      </c>
      <c r="AC2874">
        <v>-39.359299999999998</v>
      </c>
      <c r="AD2874">
        <v>-1.1094310958523901</v>
      </c>
      <c r="AE2874">
        <v>-0.39910000000003198</v>
      </c>
      <c r="AF2874">
        <v>-0.16759662558444399</v>
      </c>
      <c r="AG2874">
        <v>-1.1094310958523901</v>
      </c>
      <c r="AH2874">
        <v>39.3297208779126</v>
      </c>
      <c r="AI2874">
        <v>91.615782906301604</v>
      </c>
      <c r="AJ2874">
        <v>90.244154318131706</v>
      </c>
      <c r="AK2874">
        <v>39.3457223890967</v>
      </c>
      <c r="AL2874">
        <v>79.534274556623998</v>
      </c>
      <c r="AM2874">
        <v>91.859277045325896</v>
      </c>
      <c r="AN2874">
        <v>0.99999996676439495</v>
      </c>
    </row>
    <row r="2875" spans="1:40" x14ac:dyDescent="0.25">
      <c r="A2875" t="str">
        <f>"20190312172136434"</f>
        <v>20190312172136434</v>
      </c>
      <c r="B2875" t="str">
        <f>"1552382496423314"</f>
        <v>1552382496423314</v>
      </c>
      <c r="C2875" t="s">
        <v>40</v>
      </c>
      <c r="D2875">
        <v>3.0392160000000001</v>
      </c>
      <c r="E2875">
        <v>0.51175909999999902</v>
      </c>
      <c r="F2875" t="s">
        <v>46</v>
      </c>
      <c r="G2875">
        <v>-384.66460000000001</v>
      </c>
      <c r="H2875" s="1">
        <v>9.4548329999999997E-7</v>
      </c>
      <c r="I2875">
        <v>283.31540000000001</v>
      </c>
      <c r="J2875">
        <v>-345.44970000000001</v>
      </c>
      <c r="K2875">
        <v>1.1094010000000001</v>
      </c>
      <c r="L2875">
        <v>283.62700000000001</v>
      </c>
      <c r="M2875">
        <v>-0.99993989999999999</v>
      </c>
      <c r="N2875">
        <v>0</v>
      </c>
      <c r="O2875">
        <v>-5.7287769999999896E-3</v>
      </c>
      <c r="P2875">
        <v>-0.98434560000000004</v>
      </c>
      <c r="Q2875">
        <v>0.1723007</v>
      </c>
      <c r="R2875">
        <v>-3.7100500000000002E-2</v>
      </c>
      <c r="S2875">
        <v>-3.0619809999999998</v>
      </c>
      <c r="T2875">
        <v>-8.6138729999999997E-2</v>
      </c>
      <c r="U2875">
        <v>-2.4291989999999999E-2</v>
      </c>
      <c r="V2875">
        <v>-3.1412799999999998E-2</v>
      </c>
      <c r="W2875">
        <v>0.1815146</v>
      </c>
      <c r="X2875">
        <v>0.98288640000000005</v>
      </c>
      <c r="Y2875">
        <v>-2.2055899999999999E-3</v>
      </c>
      <c r="Z2875">
        <v>1.301144E-4</v>
      </c>
      <c r="AA2875">
        <v>0.99999760000000004</v>
      </c>
      <c r="AB2875">
        <v>41</v>
      </c>
      <c r="AC2875">
        <v>-39.2149</v>
      </c>
      <c r="AD2875">
        <v>-1.1094000545167</v>
      </c>
      <c r="AE2875">
        <v>-0.31159999999999799</v>
      </c>
      <c r="AF2875">
        <v>-8.6862138886822302E-2</v>
      </c>
      <c r="AG2875">
        <v>-1.1094000545167</v>
      </c>
      <c r="AH2875">
        <v>39.184682547362698</v>
      </c>
      <c r="AI2875">
        <v>91.621725765327895</v>
      </c>
      <c r="AJ2875">
        <v>90.127009471105794</v>
      </c>
      <c r="AK2875">
        <v>39.200480352283002</v>
      </c>
      <c r="AL2875">
        <v>79.542006533330493</v>
      </c>
      <c r="AM2875">
        <v>91.830535495994198</v>
      </c>
      <c r="AN2875">
        <v>0.99999999466098</v>
      </c>
    </row>
    <row r="2876" spans="1:40" x14ac:dyDescent="0.25">
      <c r="A2876" t="str">
        <f>"20190312172136445"</f>
        <v>20190312172136445</v>
      </c>
      <c r="B2876" t="str">
        <f>"1552382496434050"</f>
        <v>1552382496434050</v>
      </c>
      <c r="C2876" t="s">
        <v>40</v>
      </c>
      <c r="D2876">
        <v>3.064282</v>
      </c>
      <c r="E2876">
        <v>0.51192599999999999</v>
      </c>
      <c r="F2876" t="s">
        <v>46</v>
      </c>
      <c r="G2876">
        <v>-384.56029999999998</v>
      </c>
      <c r="H2876" s="1">
        <v>8.8998739999999998E-7</v>
      </c>
      <c r="I2876">
        <v>283.3526</v>
      </c>
      <c r="J2876">
        <v>-345.65350000000001</v>
      </c>
      <c r="K2876">
        <v>1.109375</v>
      </c>
      <c r="L2876">
        <v>283.62599999999998</v>
      </c>
      <c r="M2876">
        <v>-0.99994059999999996</v>
      </c>
      <c r="N2876">
        <v>0</v>
      </c>
      <c r="O2876">
        <v>-5.5915449999999998E-3</v>
      </c>
      <c r="P2876">
        <v>-0.98434600000000005</v>
      </c>
      <c r="Q2876">
        <v>0.17240929999999999</v>
      </c>
      <c r="R2876">
        <v>-3.6583570000000003E-2</v>
      </c>
      <c r="S2876">
        <v>-3.0620729999999998</v>
      </c>
      <c r="T2876">
        <v>-8.6857909999999997E-2</v>
      </c>
      <c r="U2876">
        <v>-2.1484380000000001E-2</v>
      </c>
      <c r="V2876">
        <v>-3.1019850000000002E-2</v>
      </c>
      <c r="W2876">
        <v>0.1816286</v>
      </c>
      <c r="X2876">
        <v>0.98287789999999997</v>
      </c>
      <c r="Y2876">
        <v>-1.4260259999999999E-3</v>
      </c>
      <c r="Z2876">
        <v>1.3835919999999999E-4</v>
      </c>
      <c r="AA2876">
        <v>0.99999899999999997</v>
      </c>
      <c r="AB2876">
        <v>41</v>
      </c>
      <c r="AC2876">
        <v>-38.906799999999897</v>
      </c>
      <c r="AD2876">
        <v>-1.1093741100126</v>
      </c>
      <c r="AE2876">
        <v>-0.27339999999998099</v>
      </c>
      <c r="AF2876">
        <v>-5.5791722884383999E-2</v>
      </c>
      <c r="AG2876">
        <v>-1.1093741100126</v>
      </c>
      <c r="AH2876">
        <v>38.876114744880098</v>
      </c>
      <c r="AI2876">
        <v>91.634554909644393</v>
      </c>
      <c r="AJ2876">
        <v>90.082226016655</v>
      </c>
      <c r="AK2876">
        <v>38.891980166730903</v>
      </c>
      <c r="AL2876">
        <v>79.535365234846793</v>
      </c>
      <c r="AM2876">
        <v>91.807667813442293</v>
      </c>
      <c r="AN2876">
        <v>1.0000000728701901</v>
      </c>
    </row>
    <row r="2877" spans="1:40" x14ac:dyDescent="0.25">
      <c r="A2877" t="str">
        <f>"20190312172136457"</f>
        <v>20190312172136457</v>
      </c>
      <c r="B2877" t="str">
        <f>"1552382496453570"</f>
        <v>1552382496453570</v>
      </c>
      <c r="C2877" t="s">
        <v>40</v>
      </c>
      <c r="D2877">
        <v>3.0548570000000002</v>
      </c>
      <c r="E2877">
        <v>0.51231959999999999</v>
      </c>
      <c r="F2877" t="s">
        <v>46</v>
      </c>
      <c r="G2877">
        <v>-384.53050000000002</v>
      </c>
      <c r="H2877" s="1">
        <v>8.7410730000000004E-7</v>
      </c>
      <c r="I2877">
        <v>283.38729999999998</v>
      </c>
      <c r="J2877">
        <v>-345.87880000000001</v>
      </c>
      <c r="K2877">
        <v>1.109353</v>
      </c>
      <c r="L2877">
        <v>283.62479999999999</v>
      </c>
      <c r="M2877">
        <v>-0.99994130000000003</v>
      </c>
      <c r="N2877">
        <v>0</v>
      </c>
      <c r="O2877">
        <v>-5.4392930000000004E-3</v>
      </c>
      <c r="P2877">
        <v>-0.98433680000000001</v>
      </c>
      <c r="Q2877">
        <v>0.17250460000000001</v>
      </c>
      <c r="R2877">
        <v>-3.637526E-2</v>
      </c>
      <c r="S2877">
        <v>-3.0623469999999999</v>
      </c>
      <c r="T2877">
        <v>-8.7385649999999995E-2</v>
      </c>
      <c r="U2877">
        <v>-1.8798829999999999E-2</v>
      </c>
      <c r="V2877">
        <v>-3.0950350000000001E-2</v>
      </c>
      <c r="W2877">
        <v>0.1817307</v>
      </c>
      <c r="X2877">
        <v>0.98286119999999999</v>
      </c>
      <c r="Y2877">
        <v>-7.0099249999999995E-4</v>
      </c>
      <c r="Z2877">
        <v>1.4518610000000001E-4</v>
      </c>
      <c r="AA2877">
        <v>0.99999979999999999</v>
      </c>
      <c r="AB2877">
        <v>41</v>
      </c>
      <c r="AC2877">
        <v>-38.651699999999998</v>
      </c>
      <c r="AD2877">
        <v>-1.1093521258926999</v>
      </c>
      <c r="AE2877">
        <v>-0.23750000000001101</v>
      </c>
      <c r="AF2877">
        <v>-2.7226906280901401E-2</v>
      </c>
      <c r="AG2877">
        <v>-1.1093521258926999</v>
      </c>
      <c r="AH2877">
        <v>38.620607082526298</v>
      </c>
      <c r="AI2877">
        <v>91.645331631648602</v>
      </c>
      <c r="AJ2877">
        <v>90.0403925955208</v>
      </c>
      <c r="AK2877">
        <v>38.636546104258898</v>
      </c>
      <c r="AL2877">
        <v>79.529416143738999</v>
      </c>
      <c r="AM2877">
        <v>91.8036510356836</v>
      </c>
      <c r="AN2877">
        <v>1.00000005497652</v>
      </c>
    </row>
    <row r="2878" spans="1:40" x14ac:dyDescent="0.25">
      <c r="A2878" t="str">
        <f>"20190312172136469"</f>
        <v>20190312172136469</v>
      </c>
      <c r="B2878" t="str">
        <f>"1552382496463332"</f>
        <v>1552382496463332</v>
      </c>
      <c r="C2878" t="s">
        <v>40</v>
      </c>
      <c r="D2878">
        <v>3.05789</v>
      </c>
      <c r="E2878">
        <v>0.51219510000000001</v>
      </c>
      <c r="F2878" t="s">
        <v>46</v>
      </c>
      <c r="G2878">
        <v>-384.5573</v>
      </c>
      <c r="H2878" s="1">
        <v>8.8837499999999999E-7</v>
      </c>
      <c r="I2878">
        <v>283.42779999999999</v>
      </c>
      <c r="J2878">
        <v>-346.08519999999999</v>
      </c>
      <c r="K2878">
        <v>1.1093329999999999</v>
      </c>
      <c r="L2878">
        <v>283.62369999999999</v>
      </c>
      <c r="M2878">
        <v>-0.99994209999999994</v>
      </c>
      <c r="N2878">
        <v>0</v>
      </c>
      <c r="O2878">
        <v>-5.2991399999999999E-3</v>
      </c>
      <c r="P2878">
        <v>-0.98439869999999996</v>
      </c>
      <c r="Q2878">
        <v>0.17218029999999901</v>
      </c>
      <c r="R2878">
        <v>-3.6242209999999997E-2</v>
      </c>
      <c r="S2878">
        <v>-3.0625610000000001</v>
      </c>
      <c r="T2878">
        <v>-8.7838410000000006E-2</v>
      </c>
      <c r="U2878">
        <v>-1.5594480000000001E-2</v>
      </c>
      <c r="V2878">
        <v>-3.094564E-2</v>
      </c>
      <c r="W2878">
        <v>0.18141289999999999</v>
      </c>
      <c r="X2878">
        <v>0.98292000000000002</v>
      </c>
      <c r="Y2878">
        <v>2.0520259999999999E-4</v>
      </c>
      <c r="Z2878">
        <v>1.54902E-4</v>
      </c>
      <c r="AA2878">
        <v>0.99999990000000005</v>
      </c>
      <c r="AB2878">
        <v>41</v>
      </c>
      <c r="AC2878">
        <v>-38.472099999999998</v>
      </c>
      <c r="AD2878">
        <v>-1.1093321116249999</v>
      </c>
      <c r="AE2878">
        <v>-0.195899999999994</v>
      </c>
      <c r="AF2878">
        <v>7.9741068032616203E-3</v>
      </c>
      <c r="AG2878">
        <v>-1.1093321116249999</v>
      </c>
      <c r="AH2878">
        <v>38.440637640976298</v>
      </c>
      <c r="AI2878">
        <v>91.653000967132698</v>
      </c>
      <c r="AJ2878">
        <v>89.988114592090497</v>
      </c>
      <c r="AK2878">
        <v>38.456641865419101</v>
      </c>
      <c r="AL2878">
        <v>79.547931941908999</v>
      </c>
      <c r="AM2878">
        <v>91.803268928804997</v>
      </c>
      <c r="AN2878">
        <v>0.99999999966070896</v>
      </c>
    </row>
    <row r="2879" spans="1:40" x14ac:dyDescent="0.25">
      <c r="A2879" t="str">
        <f>"20190312172136480"</f>
        <v>20190312172136480</v>
      </c>
      <c r="B2879" t="str">
        <f>"1552382496473090"</f>
        <v>1552382496473090</v>
      </c>
      <c r="C2879" t="s">
        <v>40</v>
      </c>
      <c r="D2879">
        <v>3.044521</v>
      </c>
      <c r="E2879">
        <v>0.51217760000000001</v>
      </c>
      <c r="F2879" t="s">
        <v>46</v>
      </c>
      <c r="G2879">
        <v>-383.96530000000001</v>
      </c>
      <c r="H2879" s="1">
        <v>5.7333309999999998E-7</v>
      </c>
      <c r="I2879">
        <v>283.42070000000001</v>
      </c>
      <c r="J2879">
        <v>-346.3032</v>
      </c>
      <c r="K2879">
        <v>1.1093109999999999</v>
      </c>
      <c r="L2879">
        <v>283.62259999999998</v>
      </c>
      <c r="M2879">
        <v>-0.99994289999999997</v>
      </c>
      <c r="N2879">
        <v>0</v>
      </c>
      <c r="O2879">
        <v>-5.150763E-3</v>
      </c>
      <c r="P2879">
        <v>-0.98441290000000004</v>
      </c>
      <c r="Q2879">
        <v>0.17210410000000001</v>
      </c>
      <c r="R2879">
        <v>-3.6222200000000003E-2</v>
      </c>
      <c r="S2879">
        <v>-3.0626530000000001</v>
      </c>
      <c r="T2879">
        <v>-8.9690919999999993E-2</v>
      </c>
      <c r="U2879">
        <v>-1.6418459999999999E-2</v>
      </c>
      <c r="V2879">
        <v>-3.1062759999999998E-2</v>
      </c>
      <c r="W2879">
        <v>0.181343</v>
      </c>
      <c r="X2879">
        <v>0.98292919999999995</v>
      </c>
      <c r="Y2879">
        <v>-2.1191649999999999E-4</v>
      </c>
      <c r="Z2879">
        <v>1.477119E-4</v>
      </c>
      <c r="AA2879">
        <v>0.99999990000000005</v>
      </c>
      <c r="AB2879">
        <v>41</v>
      </c>
      <c r="AC2879">
        <v>-37.662100000000002</v>
      </c>
      <c r="AD2879">
        <v>-1.1093104266668901</v>
      </c>
      <c r="AE2879">
        <v>-0.201899999999966</v>
      </c>
      <c r="AF2879">
        <v>-7.8934188492369092E-3</v>
      </c>
      <c r="AG2879">
        <v>-1.1093104266668901</v>
      </c>
      <c r="AH2879">
        <v>37.629995182529903</v>
      </c>
      <c r="AI2879">
        <v>91.688557276519305</v>
      </c>
      <c r="AJ2879">
        <v>90.012018592539306</v>
      </c>
      <c r="AK2879">
        <v>37.6463433731086</v>
      </c>
      <c r="AL2879">
        <v>79.552004421590595</v>
      </c>
      <c r="AM2879">
        <v>91.810072300484094</v>
      </c>
      <c r="AN2879">
        <v>0.999999995460228</v>
      </c>
    </row>
    <row r="2880" spans="1:40" x14ac:dyDescent="0.25">
      <c r="A2880" t="str">
        <f>"20190312172136501"</f>
        <v>20190312172136501</v>
      </c>
      <c r="B2880" t="str">
        <f>"1552382496493589"</f>
        <v>1552382496493589</v>
      </c>
      <c r="C2880" t="s">
        <v>40</v>
      </c>
      <c r="D2880">
        <v>3.0346630000000001</v>
      </c>
      <c r="E2880">
        <v>0.51212299999999999</v>
      </c>
      <c r="F2880" t="s">
        <v>46</v>
      </c>
      <c r="G2880">
        <v>-383.97309999999999</v>
      </c>
      <c r="H2880" s="1">
        <v>5.7747149999999898E-7</v>
      </c>
      <c r="I2880">
        <v>283.41539999999998</v>
      </c>
      <c r="J2880">
        <v>-346.67649999999998</v>
      </c>
      <c r="K2880">
        <v>1.109278</v>
      </c>
      <c r="L2880">
        <v>283.62079999999997</v>
      </c>
      <c r="M2880">
        <v>-0.99994400000000006</v>
      </c>
      <c r="N2880">
        <v>0</v>
      </c>
      <c r="O2880">
        <v>-4.89574E-3</v>
      </c>
      <c r="P2880">
        <v>-0.98441690000000004</v>
      </c>
      <c r="Q2880">
        <v>0.17204929999999999</v>
      </c>
      <c r="R2880">
        <v>-3.6368030000000003E-2</v>
      </c>
      <c r="S2880">
        <v>-3.0626530000000001</v>
      </c>
      <c r="T2880">
        <v>-9.0189580000000005E-2</v>
      </c>
      <c r="U2880">
        <v>-1.6845699999999901E-2</v>
      </c>
      <c r="V2880">
        <v>-3.1446420000000003E-2</v>
      </c>
      <c r="W2880">
        <v>0.1812984</v>
      </c>
      <c r="X2880">
        <v>0.98292520000000005</v>
      </c>
      <c r="Y2880">
        <v>-6.0619299999999999E-4</v>
      </c>
      <c r="Z2880">
        <v>1.352201E-4</v>
      </c>
      <c r="AA2880">
        <v>0.99999979999999999</v>
      </c>
      <c r="AB2880">
        <v>41</v>
      </c>
      <c r="AC2880">
        <v>-37.296599999999998</v>
      </c>
      <c r="AD2880">
        <v>-1.1092774225285</v>
      </c>
      <c r="AE2880">
        <v>-0.205399999999997</v>
      </c>
      <c r="AF2880">
        <v>-2.27748986169676E-2</v>
      </c>
      <c r="AG2880">
        <v>-1.1092774225285</v>
      </c>
      <c r="AH2880">
        <v>37.264196096668101</v>
      </c>
      <c r="AI2880">
        <v>91.7050720580948</v>
      </c>
      <c r="AJ2880">
        <v>90.035017672291403</v>
      </c>
      <c r="AK2880">
        <v>37.280709835343401</v>
      </c>
      <c r="AL2880">
        <v>79.554602595232893</v>
      </c>
      <c r="AM2880">
        <v>91.832421031286003</v>
      </c>
      <c r="AN2880">
        <v>0.99999996798420698</v>
      </c>
    </row>
    <row r="2881" spans="1:40" x14ac:dyDescent="0.25">
      <c r="A2881" t="str">
        <f>"20190312172136513"</f>
        <v>20190312172136513</v>
      </c>
      <c r="B2881" t="str">
        <f>"1552382496503346"</f>
        <v>1552382496503346</v>
      </c>
      <c r="C2881" t="s">
        <v>40</v>
      </c>
      <c r="D2881">
        <v>3.0498150000000002</v>
      </c>
      <c r="E2881">
        <v>0.51209320000000003</v>
      </c>
      <c r="F2881" t="s">
        <v>46</v>
      </c>
      <c r="G2881">
        <v>-383.69569999999999</v>
      </c>
      <c r="H2881" s="1">
        <v>4.2987620000000001E-7</v>
      </c>
      <c r="I2881">
        <v>283.40019999999998</v>
      </c>
      <c r="J2881">
        <v>-346.91140000000001</v>
      </c>
      <c r="K2881">
        <v>1.1092610000000001</v>
      </c>
      <c r="L2881">
        <v>283.6198</v>
      </c>
      <c r="M2881">
        <v>-0.99994490000000003</v>
      </c>
      <c r="N2881">
        <v>0</v>
      </c>
      <c r="O2881">
        <v>-4.7345529999999999E-3</v>
      </c>
      <c r="P2881">
        <v>-0.98439259999999995</v>
      </c>
      <c r="Q2881">
        <v>0.17209140000000001</v>
      </c>
      <c r="R2881">
        <v>-3.6828729999999997E-2</v>
      </c>
      <c r="S2881">
        <v>-3.062897</v>
      </c>
      <c r="T2881">
        <v>-9.1779589999999994E-2</v>
      </c>
      <c r="U2881">
        <v>-1.824951E-2</v>
      </c>
      <c r="V2881">
        <v>-3.2059160000000003E-2</v>
      </c>
      <c r="W2881">
        <v>0.18134719999999999</v>
      </c>
      <c r="X2881">
        <v>0.9828964</v>
      </c>
      <c r="Y2881">
        <v>-1.224978E-3</v>
      </c>
      <c r="Z2881">
        <v>1.2349400000000001E-4</v>
      </c>
      <c r="AA2881">
        <v>0.99999919999999998</v>
      </c>
      <c r="AB2881">
        <v>41</v>
      </c>
      <c r="AC2881">
        <v>-36.784299999999902</v>
      </c>
      <c r="AD2881">
        <v>-1.1092605701238001</v>
      </c>
      <c r="AE2881">
        <v>-0.21960000000001301</v>
      </c>
      <c r="AF2881">
        <v>-4.5391399975724299E-2</v>
      </c>
      <c r="AG2881">
        <v>-1.1092605701238001</v>
      </c>
      <c r="AH2881">
        <v>36.751507790844101</v>
      </c>
      <c r="AI2881">
        <v>91.728816454729198</v>
      </c>
      <c r="AJ2881">
        <v>90.070765377496201</v>
      </c>
      <c r="AK2881">
        <v>36.768272250570803</v>
      </c>
      <c r="AL2881">
        <v>79.551759399302199</v>
      </c>
      <c r="AM2881">
        <v>91.8681557755109</v>
      </c>
      <c r="AN2881">
        <v>0.99999996491035203</v>
      </c>
    </row>
    <row r="2882" spans="1:40" x14ac:dyDescent="0.25">
      <c r="A2882" t="str">
        <f>"20190312172136524"</f>
        <v>20190312172136524</v>
      </c>
      <c r="B2882" t="str">
        <f>"1552382496514082"</f>
        <v>1552382496514082</v>
      </c>
      <c r="C2882" t="s">
        <v>40</v>
      </c>
      <c r="D2882">
        <v>3.0457770000000002</v>
      </c>
      <c r="E2882">
        <v>0.51209850000000001</v>
      </c>
      <c r="F2882" t="s">
        <v>46</v>
      </c>
      <c r="G2882">
        <v>-383.76089999999999</v>
      </c>
      <c r="H2882" s="1">
        <v>4.6456550000000002E-7</v>
      </c>
      <c r="I2882">
        <v>283.38369999999998</v>
      </c>
      <c r="J2882">
        <v>-347.1112</v>
      </c>
      <c r="K2882">
        <v>1.109253</v>
      </c>
      <c r="L2882">
        <v>283.6189</v>
      </c>
      <c r="M2882">
        <v>-0.99994530000000004</v>
      </c>
      <c r="N2882">
        <v>0</v>
      </c>
      <c r="O2882">
        <v>-4.5968820000000001E-3</v>
      </c>
      <c r="P2882">
        <v>-0.9843674</v>
      </c>
      <c r="Q2882">
        <v>0.17215839999999999</v>
      </c>
      <c r="R2882">
        <v>-3.7178059999999999E-2</v>
      </c>
      <c r="S2882">
        <v>-3.0629580000000001</v>
      </c>
      <c r="T2882">
        <v>-9.2202539999999999E-2</v>
      </c>
      <c r="U2882">
        <v>-1.9622799999999999E-2</v>
      </c>
      <c r="V2882">
        <v>-3.253959E-2</v>
      </c>
      <c r="W2882">
        <v>0.18141940000000001</v>
      </c>
      <c r="X2882">
        <v>0.9828673</v>
      </c>
      <c r="Y2882">
        <v>-1.810561E-3</v>
      </c>
      <c r="Z2882">
        <v>1.111052E-4</v>
      </c>
      <c r="AA2882">
        <v>0.99999830000000001</v>
      </c>
      <c r="AB2882">
        <v>41</v>
      </c>
      <c r="AC2882">
        <v>-36.649700000000003</v>
      </c>
      <c r="AD2882">
        <v>-1.1092525354345</v>
      </c>
      <c r="AE2882">
        <v>-0.23520000000002</v>
      </c>
      <c r="AF2882">
        <v>-6.6654676125883605E-2</v>
      </c>
      <c r="AG2882">
        <v>-1.1092525354345</v>
      </c>
      <c r="AH2882">
        <v>36.616852419187403</v>
      </c>
      <c r="AI2882">
        <v>91.735156040284494</v>
      </c>
      <c r="AJ2882">
        <v>90.104296987760506</v>
      </c>
      <c r="AK2882">
        <v>36.6337107746645</v>
      </c>
      <c r="AL2882">
        <v>79.547552990555104</v>
      </c>
      <c r="AM2882">
        <v>91.896187271396897</v>
      </c>
      <c r="AN2882">
        <v>0.99999997651150796</v>
      </c>
    </row>
    <row r="2883" spans="1:40" x14ac:dyDescent="0.25">
      <c r="A2883" t="str">
        <f>"20190312172136544"</f>
        <v>20190312172136544</v>
      </c>
      <c r="B2883" t="str">
        <f>"1552382496533602"</f>
        <v>1552382496533602</v>
      </c>
      <c r="C2883" t="s">
        <v>40</v>
      </c>
      <c r="D2883">
        <v>3.0409199999999998</v>
      </c>
      <c r="E2883">
        <v>0.51211859999999998</v>
      </c>
      <c r="F2883" t="s">
        <v>46</v>
      </c>
      <c r="G2883">
        <v>-384.04809999999998</v>
      </c>
      <c r="H2883" s="1">
        <v>6.17388E-7</v>
      </c>
      <c r="I2883">
        <v>283.37009999999998</v>
      </c>
      <c r="J2883">
        <v>-347.47829999999999</v>
      </c>
      <c r="K2883">
        <v>1.109237</v>
      </c>
      <c r="L2883">
        <v>283.61739999999998</v>
      </c>
      <c r="M2883">
        <v>-0.99994640000000001</v>
      </c>
      <c r="N2883">
        <v>0</v>
      </c>
      <c r="O2883">
        <v>-4.3431729999999997E-3</v>
      </c>
      <c r="P2883">
        <v>-0.98426999999999998</v>
      </c>
      <c r="Q2883">
        <v>0.17260829999999999</v>
      </c>
      <c r="R2883">
        <v>-3.7669649999999999E-2</v>
      </c>
      <c r="S2883">
        <v>-3.0629580000000001</v>
      </c>
      <c r="T2883">
        <v>-9.1983800000000004E-2</v>
      </c>
      <c r="U2883">
        <v>-2.062988E-2</v>
      </c>
      <c r="V2883">
        <v>-3.3272990000000002E-2</v>
      </c>
      <c r="W2883">
        <v>0.1818785</v>
      </c>
      <c r="X2883">
        <v>0.98275789999999996</v>
      </c>
      <c r="Y2883">
        <v>-2.3926780000000001E-3</v>
      </c>
      <c r="Z2883" s="1">
        <v>9.4485309999999995E-5</v>
      </c>
      <c r="AA2883">
        <v>0.99999709999999997</v>
      </c>
      <c r="AB2883">
        <v>41</v>
      </c>
      <c r="AC2883">
        <v>-36.569800000000001</v>
      </c>
      <c r="AD2883">
        <v>-1.109236382612</v>
      </c>
      <c r="AE2883">
        <v>-0.247299999999995</v>
      </c>
      <c r="AF2883">
        <v>-8.8380374841947301E-2</v>
      </c>
      <c r="AG2883">
        <v>-1.109236382612</v>
      </c>
      <c r="AH2883">
        <v>36.536915568449103</v>
      </c>
      <c r="AI2883">
        <v>91.738922440352894</v>
      </c>
      <c r="AJ2883">
        <v>90.138594419231396</v>
      </c>
      <c r="AK2883">
        <v>36.553856372469703</v>
      </c>
      <c r="AL2883">
        <v>79.520803570790406</v>
      </c>
      <c r="AM2883">
        <v>91.939108274928401</v>
      </c>
      <c r="AN2883">
        <v>0.99999998531909995</v>
      </c>
    </row>
    <row r="2884" spans="1:40" x14ac:dyDescent="0.25">
      <c r="A2884" t="str">
        <f>"20190312172136556"</f>
        <v>20190312172136556</v>
      </c>
      <c r="B2884" t="str">
        <f>"1552382496553122"</f>
        <v>1552382496553122</v>
      </c>
      <c r="C2884" t="s">
        <v>40</v>
      </c>
      <c r="D2884">
        <v>3.047145</v>
      </c>
      <c r="E2884">
        <v>0.51206490000000005</v>
      </c>
      <c r="F2884" t="s">
        <v>46</v>
      </c>
      <c r="G2884">
        <v>-384.73579999999998</v>
      </c>
      <c r="H2884" s="1">
        <v>9.8335859999999994E-7</v>
      </c>
      <c r="I2884">
        <v>283.34750000000003</v>
      </c>
      <c r="J2884">
        <v>-347.69040000000001</v>
      </c>
      <c r="K2884">
        <v>1.1092310000000001</v>
      </c>
      <c r="L2884">
        <v>283.61649999999997</v>
      </c>
      <c r="M2884">
        <v>-0.99994700000000003</v>
      </c>
      <c r="N2884">
        <v>0</v>
      </c>
      <c r="O2884">
        <v>-4.1956449999999996E-3</v>
      </c>
      <c r="P2884">
        <v>-0.98421789999999998</v>
      </c>
      <c r="Q2884">
        <v>0.1729205</v>
      </c>
      <c r="R2884">
        <v>-3.7600139999999997E-2</v>
      </c>
      <c r="S2884">
        <v>-3.0630799999999998</v>
      </c>
      <c r="T2884">
        <v>-9.1194510000000006E-2</v>
      </c>
      <c r="U2884">
        <v>-2.2186279999999999E-2</v>
      </c>
      <c r="V2884">
        <v>-3.3344569999999997E-2</v>
      </c>
      <c r="W2884">
        <v>0.18219589999999999</v>
      </c>
      <c r="X2884">
        <v>0.98269669999999998</v>
      </c>
      <c r="Y2884">
        <v>-3.0476629999999999E-3</v>
      </c>
      <c r="Z2884" s="1">
        <v>7.9531779999999995E-5</v>
      </c>
      <c r="AA2884">
        <v>0.99999539999999998</v>
      </c>
      <c r="AB2884">
        <v>41</v>
      </c>
      <c r="AC2884">
        <v>-37.045399999999901</v>
      </c>
      <c r="AD2884">
        <v>-1.10923001664139</v>
      </c>
      <c r="AE2884">
        <v>-0.268999999999948</v>
      </c>
      <c r="AF2884">
        <v>-0.11345969792721999</v>
      </c>
      <c r="AG2884">
        <v>-1.10923001664139</v>
      </c>
      <c r="AH2884">
        <v>37.013020300895498</v>
      </c>
      <c r="AI2884">
        <v>91.716554970106003</v>
      </c>
      <c r="AJ2884">
        <v>90.175633909945105</v>
      </c>
      <c r="AK2884">
        <v>37.029811451415398</v>
      </c>
      <c r="AL2884">
        <v>79.502309085725898</v>
      </c>
      <c r="AM2884">
        <v>91.943397602711798</v>
      </c>
      <c r="AN2884">
        <v>1.00000000525809</v>
      </c>
    </row>
    <row r="2885" spans="1:40" x14ac:dyDescent="0.25">
      <c r="A2885" t="str">
        <f>"20190312172136567"</f>
        <v>20190312172136567</v>
      </c>
      <c r="B2885" t="str">
        <f>"1552382496563858"</f>
        <v>1552382496563858</v>
      </c>
      <c r="C2885" t="s">
        <v>40</v>
      </c>
      <c r="D2885">
        <v>3.0311919999999999</v>
      </c>
      <c r="E2885">
        <v>0.51206589999999996</v>
      </c>
      <c r="F2885" t="s">
        <v>46</v>
      </c>
      <c r="G2885">
        <v>-385.2903</v>
      </c>
      <c r="H2885" s="1">
        <v>1.278448E-6</v>
      </c>
      <c r="I2885">
        <v>283.33600000000001</v>
      </c>
      <c r="J2885">
        <v>-347.89949999999999</v>
      </c>
      <c r="K2885">
        <v>1.109227</v>
      </c>
      <c r="L2885">
        <v>283.61579999999998</v>
      </c>
      <c r="M2885">
        <v>-0.99994749999999999</v>
      </c>
      <c r="N2885">
        <v>0</v>
      </c>
      <c r="O2885">
        <v>-4.0500340000000001E-3</v>
      </c>
      <c r="P2885">
        <v>-0.98415450000000004</v>
      </c>
      <c r="Q2885">
        <v>0.173266899999999</v>
      </c>
      <c r="R2885">
        <v>-3.7662630000000002E-2</v>
      </c>
      <c r="S2885">
        <v>-3.06311</v>
      </c>
      <c r="T2885">
        <v>-9.0364340000000001E-2</v>
      </c>
      <c r="U2885">
        <v>-2.285767E-2</v>
      </c>
      <c r="V2885">
        <v>-3.3547590000000002E-2</v>
      </c>
      <c r="W2885">
        <v>0.1825466</v>
      </c>
      <c r="X2885">
        <v>0.98262470000000002</v>
      </c>
      <c r="Y2885">
        <v>-3.4121490000000002E-3</v>
      </c>
      <c r="Z2885" s="1">
        <v>6.9137369999999998E-5</v>
      </c>
      <c r="AA2885">
        <v>0.99999420000000006</v>
      </c>
      <c r="AB2885">
        <v>41</v>
      </c>
      <c r="AC2885">
        <v>-37.390799999999999</v>
      </c>
      <c r="AD2885">
        <v>-1.1092257215520001</v>
      </c>
      <c r="AE2885">
        <v>-0.27979999999996602</v>
      </c>
      <c r="AF2885">
        <v>-0.12824412949150199</v>
      </c>
      <c r="AG2885">
        <v>-1.1092257215520001</v>
      </c>
      <c r="AH2885">
        <v>37.358750610081302</v>
      </c>
      <c r="AI2885">
        <v>91.700670161595696</v>
      </c>
      <c r="AJ2885">
        <v>90.196682661631399</v>
      </c>
      <c r="AK2885">
        <v>37.375434116600601</v>
      </c>
      <c r="AL2885">
        <v>79.481872693059998</v>
      </c>
      <c r="AM2885">
        <v>91.955364069205601</v>
      </c>
      <c r="AN2885">
        <v>1.00000000150822</v>
      </c>
    </row>
    <row r="2886" spans="1:40" x14ac:dyDescent="0.25">
      <c r="A2886" t="str">
        <f>"20190312172136579"</f>
        <v>20190312172136579</v>
      </c>
      <c r="B2886" t="str">
        <f>"1552382496573617"</f>
        <v>1552382496573617</v>
      </c>
      <c r="C2886" t="s">
        <v>40</v>
      </c>
      <c r="D2886">
        <v>3.021083</v>
      </c>
      <c r="E2886">
        <v>0.51207899999999995</v>
      </c>
      <c r="F2886" t="s">
        <v>46</v>
      </c>
      <c r="G2886">
        <v>-385.9511</v>
      </c>
      <c r="H2886" s="1">
        <v>1.630097E-6</v>
      </c>
      <c r="I2886">
        <v>283.32650000000001</v>
      </c>
      <c r="J2886">
        <v>-348.13510000000002</v>
      </c>
      <c r="K2886">
        <v>1.109219</v>
      </c>
      <c r="L2886">
        <v>283.61489999999998</v>
      </c>
      <c r="M2886">
        <v>-0.99994810000000001</v>
      </c>
      <c r="N2886">
        <v>0</v>
      </c>
      <c r="O2886">
        <v>-3.8860639999999998E-3</v>
      </c>
      <c r="P2886">
        <v>-0.98411150000000003</v>
      </c>
      <c r="Q2886">
        <v>0.173568</v>
      </c>
      <c r="R2886">
        <v>-3.7398269999999997E-2</v>
      </c>
      <c r="S2886">
        <v>-3.06311</v>
      </c>
      <c r="T2886">
        <v>-8.9291330000000002E-2</v>
      </c>
      <c r="U2886">
        <v>-2.3284909999999999E-2</v>
      </c>
      <c r="V2886">
        <v>-3.3440699999999997E-2</v>
      </c>
      <c r="W2886">
        <v>0.18285319999999999</v>
      </c>
      <c r="X2886">
        <v>0.98257139999999998</v>
      </c>
      <c r="Y2886">
        <v>-3.7153939999999999E-3</v>
      </c>
      <c r="Z2886" s="1">
        <v>5.9118969999999999E-5</v>
      </c>
      <c r="AA2886">
        <v>0.99999309999999997</v>
      </c>
      <c r="AB2886">
        <v>41</v>
      </c>
      <c r="AC2886">
        <v>-37.815999999999903</v>
      </c>
      <c r="AD2886">
        <v>-1.1092173699029999</v>
      </c>
      <c r="AE2886">
        <v>-0.28839999999996702</v>
      </c>
      <c r="AF2886">
        <v>-0.141314333670922</v>
      </c>
      <c r="AG2886">
        <v>-1.1092173699029999</v>
      </c>
      <c r="AH2886">
        <v>37.784328845809597</v>
      </c>
      <c r="AI2886">
        <v>91.681511467760501</v>
      </c>
      <c r="AJ2886">
        <v>90.214286647400698</v>
      </c>
      <c r="AK2886">
        <v>37.800870879423897</v>
      </c>
      <c r="AL2886">
        <v>79.464005744887501</v>
      </c>
      <c r="AM2886">
        <v>91.9492443128335</v>
      </c>
      <c r="AN2886">
        <v>1.0000000646323399</v>
      </c>
    </row>
    <row r="2887" spans="1:40" x14ac:dyDescent="0.25">
      <c r="A2887" t="str">
        <f>"20190312172136592"</f>
        <v>20190312172136592</v>
      </c>
      <c r="B2887" t="str">
        <f>"1552382496583379"</f>
        <v>1552382496583379</v>
      </c>
      <c r="C2887" t="s">
        <v>40</v>
      </c>
      <c r="D2887">
        <v>3.0364979999999999</v>
      </c>
      <c r="E2887">
        <v>0.51209079999999996</v>
      </c>
      <c r="F2887" t="s">
        <v>46</v>
      </c>
      <c r="G2887">
        <v>-386.63580000000002</v>
      </c>
      <c r="H2887" s="1">
        <v>1.9944630000000002E-6</v>
      </c>
      <c r="I2887">
        <v>283.33260000000001</v>
      </c>
      <c r="J2887">
        <v>-348.36149999999998</v>
      </c>
      <c r="K2887">
        <v>1.109216</v>
      </c>
      <c r="L2887">
        <v>283.61410000000001</v>
      </c>
      <c r="M2887">
        <v>-0.99994870000000002</v>
      </c>
      <c r="N2887">
        <v>0</v>
      </c>
      <c r="O2887">
        <v>-3.727597E-3</v>
      </c>
      <c r="P2887">
        <v>-0.98410169999999997</v>
      </c>
      <c r="Q2887">
        <v>0.17369670000000001</v>
      </c>
      <c r="R2887">
        <v>-3.7063289999999999E-2</v>
      </c>
      <c r="S2887">
        <v>-3.0631409999999999</v>
      </c>
      <c r="T2887">
        <v>-8.8249919999999996E-2</v>
      </c>
      <c r="U2887">
        <v>-2.2460939999999999E-2</v>
      </c>
      <c r="V2887">
        <v>-3.3258999999999997E-2</v>
      </c>
      <c r="W2887">
        <v>0.18298729999999999</v>
      </c>
      <c r="X2887">
        <v>0.98255250000000005</v>
      </c>
      <c r="Y2887">
        <v>-3.604791E-3</v>
      </c>
      <c r="Z2887" s="1">
        <v>5.545757E-5</v>
      </c>
      <c r="AA2887">
        <v>0.99999349999999998</v>
      </c>
      <c r="AB2887">
        <v>41</v>
      </c>
      <c r="AC2887">
        <v>-38.274299999999997</v>
      </c>
      <c r="AD2887">
        <v>-1.1092140055369999</v>
      </c>
      <c r="AE2887">
        <v>-0.28149999999999398</v>
      </c>
      <c r="AF2887">
        <v>-0.138704062005572</v>
      </c>
      <c r="AG2887">
        <v>-1.1092140055369999</v>
      </c>
      <c r="AH2887">
        <v>38.242965744221202</v>
      </c>
      <c r="AI2887">
        <v>91.6613526094376</v>
      </c>
      <c r="AJ2887">
        <v>90.207806124677504</v>
      </c>
      <c r="AK2887">
        <v>38.259299829460801</v>
      </c>
      <c r="AL2887">
        <v>79.456189449389299</v>
      </c>
      <c r="AM2887">
        <v>91.938698463226601</v>
      </c>
      <c r="AN2887">
        <v>0.99999996414926895</v>
      </c>
    </row>
    <row r="2888" spans="1:40" x14ac:dyDescent="0.25">
      <c r="A2888" t="str">
        <f>"20190312172136605"</f>
        <v>20190312172136605</v>
      </c>
      <c r="B2888" t="str">
        <f>"1552382496603873"</f>
        <v>1552382496603873</v>
      </c>
      <c r="C2888" t="s">
        <v>40</v>
      </c>
      <c r="D2888">
        <v>3.0405929999999999</v>
      </c>
      <c r="E2888">
        <v>0.51205389999999995</v>
      </c>
      <c r="F2888" t="s">
        <v>46</v>
      </c>
      <c r="G2888">
        <v>-386.93740000000003</v>
      </c>
      <c r="H2888" s="1">
        <v>2.1549389999999999E-6</v>
      </c>
      <c r="I2888">
        <v>283.34160000000003</v>
      </c>
      <c r="J2888">
        <v>-348.61770000000001</v>
      </c>
      <c r="K2888">
        <v>1.1092109999999999</v>
      </c>
      <c r="L2888">
        <v>283.61329999999998</v>
      </c>
      <c r="M2888">
        <v>-0.99994939999999999</v>
      </c>
      <c r="N2888">
        <v>0</v>
      </c>
      <c r="O2888">
        <v>-3.5479140000000001E-3</v>
      </c>
      <c r="P2888">
        <v>-0.9841432</v>
      </c>
      <c r="Q2888">
        <v>0.1735081</v>
      </c>
      <c r="R2888">
        <v>-3.6842529999999998E-2</v>
      </c>
      <c r="S2888">
        <v>-3.063202</v>
      </c>
      <c r="T2888">
        <v>-8.8079450000000004E-2</v>
      </c>
      <c r="U2888">
        <v>-2.163696E-2</v>
      </c>
      <c r="V2888">
        <v>-3.3212360000000003E-2</v>
      </c>
      <c r="W2888">
        <v>0.18280489999999999</v>
      </c>
      <c r="X2888">
        <v>0.98258809999999996</v>
      </c>
      <c r="Y2888">
        <v>-3.515322E-3</v>
      </c>
      <c r="Z2888" s="1">
        <v>5.1469779999999998E-5</v>
      </c>
      <c r="AA2888">
        <v>0.99999380000000004</v>
      </c>
      <c r="AB2888">
        <v>42</v>
      </c>
      <c r="AC2888">
        <v>-38.319699999999997</v>
      </c>
      <c r="AD2888">
        <v>-1.109208845061</v>
      </c>
      <c r="AE2888">
        <v>-0.27169999999995298</v>
      </c>
      <c r="AF2888">
        <v>-0.13562363504782299</v>
      </c>
      <c r="AG2888">
        <v>-1.109208845061</v>
      </c>
      <c r="AH2888">
        <v>38.2883433400578</v>
      </c>
      <c r="AI2888">
        <v>91.659377539753194</v>
      </c>
      <c r="AJ2888">
        <v>90.202950264062494</v>
      </c>
      <c r="AK2888">
        <v>38.3046468951026</v>
      </c>
      <c r="AL2888">
        <v>79.466820241724307</v>
      </c>
      <c r="AM2888">
        <v>91.935911755057504</v>
      </c>
      <c r="AN2888">
        <v>1.00000003329119</v>
      </c>
    </row>
    <row r="2889" spans="1:40" x14ac:dyDescent="0.25">
      <c r="A2889" t="str">
        <f>"20190312172136622"</f>
        <v>20190312172136622</v>
      </c>
      <c r="B2889" t="str">
        <f>"1552382496613634"</f>
        <v>1552382496613634</v>
      </c>
      <c r="C2889" t="s">
        <v>40</v>
      </c>
      <c r="D2889">
        <v>3.042065</v>
      </c>
      <c r="E2889">
        <v>0.51204629999999995</v>
      </c>
      <c r="F2889" t="s">
        <v>46</v>
      </c>
      <c r="G2889">
        <v>-386.95100000000002</v>
      </c>
      <c r="H2889" s="1">
        <v>2.16216E-6</v>
      </c>
      <c r="I2889">
        <v>283.346</v>
      </c>
      <c r="J2889">
        <v>-348.93430000000001</v>
      </c>
      <c r="K2889">
        <v>1.1092040000000001</v>
      </c>
      <c r="L2889">
        <v>283.6123</v>
      </c>
      <c r="M2889">
        <v>-0.99995000000000001</v>
      </c>
      <c r="N2889">
        <v>0</v>
      </c>
      <c r="O2889">
        <v>-3.3253190000000002E-3</v>
      </c>
      <c r="P2889">
        <v>-0.98423590000000005</v>
      </c>
      <c r="Q2889">
        <v>0.1730565</v>
      </c>
      <c r="R2889">
        <v>-3.6488010000000001E-2</v>
      </c>
      <c r="S2889">
        <v>-3.063202</v>
      </c>
      <c r="T2889">
        <v>-8.8636640000000003E-2</v>
      </c>
      <c r="U2889">
        <v>-2.1362300000000001E-2</v>
      </c>
      <c r="V2889">
        <v>-3.3074099999999898E-2</v>
      </c>
      <c r="W2889">
        <v>0.18236189999999999</v>
      </c>
      <c r="X2889">
        <v>0.98267510000000002</v>
      </c>
      <c r="Y2889">
        <v>-3.648119E-3</v>
      </c>
      <c r="Z2889" s="1">
        <v>4.3434640000000002E-5</v>
      </c>
      <c r="AA2889">
        <v>0.99999329999999997</v>
      </c>
      <c r="AB2889">
        <v>42</v>
      </c>
      <c r="AC2889">
        <v>-38.016699999999901</v>
      </c>
      <c r="AD2889">
        <v>-1.1092018378399999</v>
      </c>
      <c r="AE2889">
        <v>-0.26630000000000098</v>
      </c>
      <c r="AF2889">
        <v>-0.139756284681049</v>
      </c>
      <c r="AG2889">
        <v>-1.1092018378399999</v>
      </c>
      <c r="AH2889">
        <v>37.985041051344503</v>
      </c>
      <c r="AI2889">
        <v>91.672608423840003</v>
      </c>
      <c r="AJ2889">
        <v>90.210804277669993</v>
      </c>
      <c r="AK2889">
        <v>38.001489499866999</v>
      </c>
      <c r="AL2889">
        <v>79.492636463684505</v>
      </c>
      <c r="AM2889">
        <v>91.927688274525593</v>
      </c>
      <c r="AN2889">
        <v>1.0000000554112101</v>
      </c>
    </row>
    <row r="2890" spans="1:40" x14ac:dyDescent="0.25">
      <c r="A2890" t="str">
        <f>"20190312172136634"</f>
        <v>20190312172136634</v>
      </c>
      <c r="B2890" t="str">
        <f>"1552382496623394"</f>
        <v>1552382496623394</v>
      </c>
      <c r="C2890" t="s">
        <v>40</v>
      </c>
      <c r="D2890">
        <v>3.0338590000000001</v>
      </c>
      <c r="E2890">
        <v>0.51205529999999999</v>
      </c>
      <c r="F2890" t="s">
        <v>46</v>
      </c>
      <c r="G2890">
        <v>-386.76479999999998</v>
      </c>
      <c r="H2890" s="1">
        <v>2.0630969999999999E-6</v>
      </c>
      <c r="I2890">
        <v>283.36020000000002</v>
      </c>
      <c r="J2890">
        <v>-349.15629999999999</v>
      </c>
      <c r="K2890">
        <v>1.1092010000000001</v>
      </c>
      <c r="L2890">
        <v>283.61169999999998</v>
      </c>
      <c r="M2890">
        <v>-0.99995040000000002</v>
      </c>
      <c r="N2890">
        <v>0</v>
      </c>
      <c r="O2890">
        <v>-3.1691409999999999E-3</v>
      </c>
      <c r="P2890">
        <v>-0.98429149999999999</v>
      </c>
      <c r="Q2890">
        <v>0.1728083</v>
      </c>
      <c r="R2890">
        <v>-3.6159950000000003E-2</v>
      </c>
      <c r="S2890">
        <v>-3.06311</v>
      </c>
      <c r="T2890">
        <v>-8.9811440000000006E-2</v>
      </c>
      <c r="U2890">
        <v>-2.0416259999999999E-2</v>
      </c>
      <c r="V2890">
        <v>-3.2898469999999999E-2</v>
      </c>
      <c r="W2890">
        <v>0.182119</v>
      </c>
      <c r="X2890">
        <v>0.98272599999999999</v>
      </c>
      <c r="Y2890">
        <v>-3.495672E-3</v>
      </c>
      <c r="Z2890" s="1">
        <v>4.1667520000000002E-5</v>
      </c>
      <c r="AA2890">
        <v>0.99999389999999999</v>
      </c>
      <c r="AB2890">
        <v>42</v>
      </c>
      <c r="AC2890">
        <v>-37.6084999999999</v>
      </c>
      <c r="AD2890">
        <v>-1.109198936903</v>
      </c>
      <c r="AE2890">
        <v>-0.25149999999996397</v>
      </c>
      <c r="AF2890">
        <v>-0.13219180172019199</v>
      </c>
      <c r="AG2890">
        <v>-1.109198936903</v>
      </c>
      <c r="AH2890">
        <v>37.576423619171003</v>
      </c>
      <c r="AI2890">
        <v>91.690782936019602</v>
      </c>
      <c r="AJ2890">
        <v>90.201562585001</v>
      </c>
      <c r="AK2890">
        <v>37.593023408093501</v>
      </c>
      <c r="AL2890">
        <v>79.506790207722602</v>
      </c>
      <c r="AM2890">
        <v>91.917360290789802</v>
      </c>
      <c r="AN2890">
        <v>1.00000001528267</v>
      </c>
    </row>
    <row r="2891" spans="1:40" x14ac:dyDescent="0.25">
      <c r="A2891" t="str">
        <f>"20190312172136646"</f>
        <v>20190312172136646</v>
      </c>
      <c r="B2891" t="str">
        <f>"1552382496643890"</f>
        <v>1552382496643890</v>
      </c>
      <c r="C2891" t="s">
        <v>40</v>
      </c>
      <c r="D2891">
        <v>3.02888</v>
      </c>
      <c r="E2891">
        <v>0.51205440000000002</v>
      </c>
      <c r="F2891" t="s">
        <v>46</v>
      </c>
      <c r="G2891">
        <v>-386.78989999999999</v>
      </c>
      <c r="H2891" s="1">
        <v>2.0764819999999999E-6</v>
      </c>
      <c r="I2891">
        <v>283.37740000000002</v>
      </c>
      <c r="J2891">
        <v>-349.3682</v>
      </c>
      <c r="K2891">
        <v>1.1091979999999999</v>
      </c>
      <c r="L2891">
        <v>283.61110000000002</v>
      </c>
      <c r="M2891">
        <v>-0.99995089999999998</v>
      </c>
      <c r="N2891">
        <v>0</v>
      </c>
      <c r="O2891">
        <v>-3.0198809999999999E-3</v>
      </c>
      <c r="P2891">
        <v>-0.98433490000000001</v>
      </c>
      <c r="Q2891">
        <v>0.1726317</v>
      </c>
      <c r="R2891">
        <v>-3.5825280000000001E-2</v>
      </c>
      <c r="S2891">
        <v>-3.0630190000000002</v>
      </c>
      <c r="T2891">
        <v>-9.0278269999999994E-2</v>
      </c>
      <c r="U2891">
        <v>-1.9073489999999999E-2</v>
      </c>
      <c r="V2891">
        <v>-3.270882E-2</v>
      </c>
      <c r="W2891">
        <v>0.18194689999999999</v>
      </c>
      <c r="X2891">
        <v>0.98276419999999998</v>
      </c>
      <c r="Y2891">
        <v>-3.2068349999999999E-3</v>
      </c>
      <c r="Z2891" s="1">
        <v>4.1742510000000003E-5</v>
      </c>
      <c r="AA2891">
        <v>0.99999490000000002</v>
      </c>
      <c r="AB2891">
        <v>42</v>
      </c>
      <c r="AC2891">
        <v>-37.421699999999902</v>
      </c>
      <c r="AD2891">
        <v>-1.109195923518</v>
      </c>
      <c r="AE2891">
        <v>-0.23369999999999799</v>
      </c>
      <c r="AF2891">
        <v>-0.12057888861955</v>
      </c>
      <c r="AG2891">
        <v>-1.109195923518</v>
      </c>
      <c r="AH2891">
        <v>37.389387731032002</v>
      </c>
      <c r="AI2891">
        <v>91.699232990696302</v>
      </c>
      <c r="AJ2891">
        <v>90.184775356991906</v>
      </c>
      <c r="AK2891">
        <v>37.406031195070398</v>
      </c>
      <c r="AL2891">
        <v>79.516818270095996</v>
      </c>
      <c r="AM2891">
        <v>91.906241407995296</v>
      </c>
      <c r="AN2891">
        <v>1.00000000706352</v>
      </c>
    </row>
    <row r="2892" spans="1:40" x14ac:dyDescent="0.25">
      <c r="A2892" t="str">
        <f>"20190312172136657"</f>
        <v>20190312172136657</v>
      </c>
      <c r="B2892" t="str">
        <f>"1552382496653649"</f>
        <v>1552382496653649</v>
      </c>
      <c r="C2892" t="s">
        <v>40</v>
      </c>
      <c r="D2892">
        <v>3.0374629999999998</v>
      </c>
      <c r="E2892">
        <v>0.51203500000000002</v>
      </c>
      <c r="F2892" t="s">
        <v>46</v>
      </c>
      <c r="G2892">
        <v>-386.95400000000001</v>
      </c>
      <c r="H2892" s="1">
        <v>2.163809E-6</v>
      </c>
      <c r="I2892">
        <v>283.39170000000001</v>
      </c>
      <c r="J2892">
        <v>-349.58760000000001</v>
      </c>
      <c r="K2892">
        <v>1.109186</v>
      </c>
      <c r="L2892">
        <v>283.61059999999998</v>
      </c>
      <c r="M2892">
        <v>-0.99995120000000004</v>
      </c>
      <c r="N2892">
        <v>0</v>
      </c>
      <c r="O2892">
        <v>-2.8652600000000001E-3</v>
      </c>
      <c r="P2892">
        <v>-0.98438780000000004</v>
      </c>
      <c r="Q2892">
        <v>0.17245250000000001</v>
      </c>
      <c r="R2892">
        <v>-3.5226399999999998E-2</v>
      </c>
      <c r="S2892">
        <v>-3.0629270000000002</v>
      </c>
      <c r="T2892">
        <v>-9.0390090000000006E-2</v>
      </c>
      <c r="U2892">
        <v>-1.7883300000000001E-2</v>
      </c>
      <c r="V2892">
        <v>-3.2261409999999997E-2</v>
      </c>
      <c r="W2892">
        <v>0.18177299999999999</v>
      </c>
      <c r="X2892">
        <v>0.9828112</v>
      </c>
      <c r="Y2892">
        <v>-2.973121E-3</v>
      </c>
      <c r="Z2892" s="1">
        <v>4.0681150000000003E-5</v>
      </c>
      <c r="AA2892">
        <v>0.99999559999999998</v>
      </c>
      <c r="AB2892">
        <v>42</v>
      </c>
      <c r="AC2892">
        <v>-37.366399999999999</v>
      </c>
      <c r="AD2892">
        <v>-1.109183836191</v>
      </c>
      <c r="AE2892">
        <v>-0.21889999999996201</v>
      </c>
      <c r="AF2892">
        <v>-0.111731417087767</v>
      </c>
      <c r="AG2892">
        <v>-1.109183836191</v>
      </c>
      <c r="AH2892">
        <v>37.333978530753299</v>
      </c>
      <c r="AI2892">
        <v>91.701736118387799</v>
      </c>
      <c r="AJ2892">
        <v>90.171471666766493</v>
      </c>
      <c r="AK2892">
        <v>37.350618811832</v>
      </c>
      <c r="AL2892">
        <v>79.5269513072801</v>
      </c>
      <c r="AM2892">
        <v>91.880095739620899</v>
      </c>
      <c r="AN2892">
        <v>1.00000003847481</v>
      </c>
    </row>
    <row r="2893" spans="1:40" x14ac:dyDescent="0.25">
      <c r="A2893" t="str">
        <f>"20190312172136669"</f>
        <v>20190312172136669</v>
      </c>
      <c r="B2893" t="str">
        <f>"1552382496663411"</f>
        <v>1552382496663411</v>
      </c>
      <c r="C2893" t="s">
        <v>40</v>
      </c>
      <c r="D2893">
        <v>3.0472169999999998</v>
      </c>
      <c r="E2893">
        <v>0.51199099999999997</v>
      </c>
      <c r="F2893" t="s">
        <v>46</v>
      </c>
      <c r="G2893">
        <v>-386.92950000000002</v>
      </c>
      <c r="H2893" s="1">
        <v>2.1507290000000002E-6</v>
      </c>
      <c r="I2893">
        <v>283.41079999999999</v>
      </c>
      <c r="J2893">
        <v>-349.79</v>
      </c>
      <c r="K2893">
        <v>1.1091819999999999</v>
      </c>
      <c r="L2893">
        <v>283.61009999999999</v>
      </c>
      <c r="M2893">
        <v>-0.99995160000000005</v>
      </c>
      <c r="N2893">
        <v>0</v>
      </c>
      <c r="O2893">
        <v>-2.7225639999999998E-3</v>
      </c>
      <c r="P2893">
        <v>-0.98443159999999996</v>
      </c>
      <c r="Q2893">
        <v>0.17227319999999999</v>
      </c>
      <c r="R2893">
        <v>-3.4876490000000003E-2</v>
      </c>
      <c r="S2893">
        <v>-3.0629580000000001</v>
      </c>
      <c r="T2893">
        <v>-9.0980649999999996E-2</v>
      </c>
      <c r="U2893">
        <v>-1.638794E-2</v>
      </c>
      <c r="V2893">
        <v>-3.2050620000000002E-2</v>
      </c>
      <c r="W2893">
        <v>0.18159900000000001</v>
      </c>
      <c r="X2893">
        <v>0.98285020000000001</v>
      </c>
      <c r="Y2893">
        <v>-2.6276630000000001E-3</v>
      </c>
      <c r="Z2893" s="1">
        <v>4.1838190000000001E-5</v>
      </c>
      <c r="AA2893">
        <v>0.99999649999999995</v>
      </c>
      <c r="AB2893">
        <v>42</v>
      </c>
      <c r="AC2893">
        <v>-37.139499999999998</v>
      </c>
      <c r="AD2893">
        <v>-1.1091798492710001</v>
      </c>
      <c r="AE2893">
        <v>-0.19929999999999301</v>
      </c>
      <c r="AF2893">
        <v>-9.8092586811831001E-2</v>
      </c>
      <c r="AG2893">
        <v>-1.1091798492710001</v>
      </c>
      <c r="AH2893">
        <v>37.106809168695797</v>
      </c>
      <c r="AI2893">
        <v>91.712143565994396</v>
      </c>
      <c r="AJ2893">
        <v>90.151462177964206</v>
      </c>
      <c r="AK2893">
        <v>37.1235126136472</v>
      </c>
      <c r="AL2893">
        <v>79.537088859832096</v>
      </c>
      <c r="AM2893">
        <v>91.867746213192106</v>
      </c>
      <c r="AN2893">
        <v>0.99999997734171098</v>
      </c>
    </row>
    <row r="2894" spans="1:40" x14ac:dyDescent="0.25">
      <c r="A2894" t="str">
        <f>"20190312172136680"</f>
        <v>20190312172136680</v>
      </c>
      <c r="B2894" t="str">
        <f>"1552382496673170"</f>
        <v>1552382496673170</v>
      </c>
      <c r="C2894" t="s">
        <v>40</v>
      </c>
      <c r="D2894">
        <v>3.0374059999999998</v>
      </c>
      <c r="E2894">
        <v>0.51198339999999998</v>
      </c>
      <c r="F2894" t="s">
        <v>46</v>
      </c>
      <c r="G2894">
        <v>-386.9298</v>
      </c>
      <c r="H2894" s="1">
        <v>2.1509250000000001E-6</v>
      </c>
      <c r="I2894">
        <v>283.41809999999998</v>
      </c>
      <c r="J2894">
        <v>-350.00310000000002</v>
      </c>
      <c r="K2894">
        <v>1.1091770000000001</v>
      </c>
      <c r="L2894">
        <v>283.6096</v>
      </c>
      <c r="M2894">
        <v>-0.99995199999999995</v>
      </c>
      <c r="N2894">
        <v>0</v>
      </c>
      <c r="O2894">
        <v>-2.5727160000000001E-3</v>
      </c>
      <c r="P2894">
        <v>-0.98450190000000004</v>
      </c>
      <c r="Q2894">
        <v>0.17193310000000001</v>
      </c>
      <c r="R2894">
        <v>-3.4571449999999997E-2</v>
      </c>
      <c r="S2894">
        <v>-3.0629270000000002</v>
      </c>
      <c r="T2894">
        <v>-9.1474180000000002E-2</v>
      </c>
      <c r="U2894">
        <v>-1.5838620000000001E-2</v>
      </c>
      <c r="V2894">
        <v>-3.1892339999999998E-2</v>
      </c>
      <c r="W2894">
        <v>0.1812647</v>
      </c>
      <c r="X2894">
        <v>0.98291709999999999</v>
      </c>
      <c r="Y2894">
        <v>-2.5981799999999998E-3</v>
      </c>
      <c r="Z2894" s="1">
        <v>3.8031280000000002E-5</v>
      </c>
      <c r="AA2894">
        <v>0.99999660000000001</v>
      </c>
      <c r="AB2894">
        <v>42</v>
      </c>
      <c r="AC2894">
        <v>-36.926699999999897</v>
      </c>
      <c r="AD2894">
        <v>-1.109174849075</v>
      </c>
      <c r="AE2894">
        <v>-0.19150000000001899</v>
      </c>
      <c r="AF2894">
        <v>-9.6406229796834095E-2</v>
      </c>
      <c r="AG2894">
        <v>-1.109174849075</v>
      </c>
      <c r="AH2894">
        <v>36.893784560091298</v>
      </c>
      <c r="AI2894">
        <v>91.722015922459093</v>
      </c>
      <c r="AJ2894">
        <v>90.149717834043599</v>
      </c>
      <c r="AK2894">
        <v>36.910579813562897</v>
      </c>
      <c r="AL2894">
        <v>79.556566534442993</v>
      </c>
      <c r="AM2894">
        <v>91.858402541245098</v>
      </c>
      <c r="AN2894">
        <v>1.0000000191445799</v>
      </c>
    </row>
    <row r="2895" spans="1:40" x14ac:dyDescent="0.25">
      <c r="A2895" t="str">
        <f>"20190312172136691"</f>
        <v>20190312172136691</v>
      </c>
      <c r="B2895" t="str">
        <f>"1552382496683906"</f>
        <v>1552382496683906</v>
      </c>
      <c r="C2895" t="s">
        <v>40</v>
      </c>
      <c r="D2895">
        <v>3.0259499999999999</v>
      </c>
      <c r="E2895">
        <v>0.51196090000000005</v>
      </c>
      <c r="F2895" t="s">
        <v>46</v>
      </c>
      <c r="G2895">
        <v>-386.72890000000001</v>
      </c>
      <c r="H2895" s="1">
        <v>2.0439909999999998E-6</v>
      </c>
      <c r="I2895">
        <v>283.43360000000001</v>
      </c>
      <c r="J2895">
        <v>-350.22280000000001</v>
      </c>
      <c r="K2895">
        <v>1.1091740000000001</v>
      </c>
      <c r="L2895">
        <v>283.60919999999999</v>
      </c>
      <c r="M2895">
        <v>-0.99995239999999996</v>
      </c>
      <c r="N2895">
        <v>0</v>
      </c>
      <c r="O2895">
        <v>-2.4171539999999999E-3</v>
      </c>
      <c r="P2895">
        <v>-0.98458469999999998</v>
      </c>
      <c r="Q2895">
        <v>0.17148540000000001</v>
      </c>
      <c r="R2895">
        <v>-3.4439989999999997E-2</v>
      </c>
      <c r="S2895">
        <v>-3.0628660000000001</v>
      </c>
      <c r="T2895">
        <v>-9.2503070000000007E-2</v>
      </c>
      <c r="U2895">
        <v>-1.467896E-2</v>
      </c>
      <c r="V2895">
        <v>-3.1913270000000001E-2</v>
      </c>
      <c r="W2895">
        <v>0.18082290000000001</v>
      </c>
      <c r="X2895">
        <v>0.98299780000000003</v>
      </c>
      <c r="Y2895">
        <v>-2.3752719999999999E-3</v>
      </c>
      <c r="Z2895" s="1">
        <v>3.7127679999999999E-5</v>
      </c>
      <c r="AA2895">
        <v>0.99999720000000003</v>
      </c>
      <c r="AB2895">
        <v>42</v>
      </c>
      <c r="AC2895">
        <v>-36.506100000000004</v>
      </c>
      <c r="AD2895">
        <v>-1.1091719560090001</v>
      </c>
      <c r="AE2895">
        <v>-0.175599999999974</v>
      </c>
      <c r="AF2895">
        <v>-8.7274114446283899E-2</v>
      </c>
      <c r="AG2895">
        <v>-1.1091719560090001</v>
      </c>
      <c r="AH2895">
        <v>36.4727491942065</v>
      </c>
      <c r="AI2895">
        <v>91.741878830963401</v>
      </c>
      <c r="AJ2895">
        <v>90.137100410175606</v>
      </c>
      <c r="AK2895">
        <v>36.4897151671884</v>
      </c>
      <c r="AL2895">
        <v>79.582305215410798</v>
      </c>
      <c r="AM2895">
        <v>91.859468739907996</v>
      </c>
      <c r="AN2895">
        <v>1.0000000263856701</v>
      </c>
    </row>
    <row r="2896" spans="1:40" x14ac:dyDescent="0.25">
      <c r="A2896" t="str">
        <f>"20190312172136704"</f>
        <v>20190312172136704</v>
      </c>
      <c r="B2896" t="str">
        <f>"1552382496693666"</f>
        <v>1552382496693666</v>
      </c>
      <c r="C2896" t="s">
        <v>40</v>
      </c>
      <c r="D2896">
        <v>3.0496430000000001</v>
      </c>
      <c r="E2896">
        <v>0.51193259999999996</v>
      </c>
      <c r="F2896" t="s">
        <v>46</v>
      </c>
      <c r="G2896">
        <v>-386.51609999999999</v>
      </c>
      <c r="H2896" s="1">
        <v>1.9307809999999999E-6</v>
      </c>
      <c r="I2896">
        <v>283.43779999999998</v>
      </c>
      <c r="J2896">
        <v>-350.44799999999998</v>
      </c>
      <c r="K2896">
        <v>1.1091719999999901</v>
      </c>
      <c r="L2896">
        <v>283.6087</v>
      </c>
      <c r="M2896">
        <v>-0.99995270000000003</v>
      </c>
      <c r="N2896">
        <v>0</v>
      </c>
      <c r="O2896">
        <v>-2.2578979999999999E-3</v>
      </c>
      <c r="P2896">
        <v>-0.98465040000000004</v>
      </c>
      <c r="Q2896">
        <v>0.17113249999999999</v>
      </c>
      <c r="R2896">
        <v>-3.4315030000000003E-2</v>
      </c>
      <c r="S2896">
        <v>-3.0627749999999998</v>
      </c>
      <c r="T2896">
        <v>-9.3602420000000006E-2</v>
      </c>
      <c r="U2896">
        <v>-1.446533E-2</v>
      </c>
      <c r="V2896">
        <v>-3.1943930000000002E-2</v>
      </c>
      <c r="W2896">
        <v>0.18047540000000001</v>
      </c>
      <c r="X2896">
        <v>0.98306070000000001</v>
      </c>
      <c r="Y2896">
        <v>-2.4648159999999999E-3</v>
      </c>
      <c r="Z2896" s="1">
        <v>3.1335779999999998E-5</v>
      </c>
      <c r="AA2896">
        <v>0.99999700000000002</v>
      </c>
      <c r="AB2896">
        <v>42</v>
      </c>
      <c r="AC2896">
        <v>-36.068099999999902</v>
      </c>
      <c r="AD2896">
        <v>-1.1091700692190001</v>
      </c>
      <c r="AE2896">
        <v>-0.17090000000001701</v>
      </c>
      <c r="AF2896">
        <v>-8.9373311153144994E-2</v>
      </c>
      <c r="AG2896">
        <v>-1.1091700692190001</v>
      </c>
      <c r="AH2896">
        <v>36.034317340679202</v>
      </c>
      <c r="AI2896">
        <v>91.763055714833797</v>
      </c>
      <c r="AJ2896">
        <v>90.142106286674903</v>
      </c>
      <c r="AK2896">
        <v>36.051494726848297</v>
      </c>
      <c r="AL2896">
        <v>79.602548927091107</v>
      </c>
      <c r="AM2896">
        <v>91.861134922871898</v>
      </c>
      <c r="AN2896">
        <v>1.00000006227674</v>
      </c>
    </row>
    <row r="2897" spans="1:40" x14ac:dyDescent="0.25">
      <c r="A2897" t="str">
        <f>"20190312172136715"</f>
        <v>20190312172136715</v>
      </c>
      <c r="B2897" t="str">
        <f>"1552382496713186"</f>
        <v>1552382496713186</v>
      </c>
      <c r="C2897" t="s">
        <v>40</v>
      </c>
      <c r="D2897">
        <v>3.034036</v>
      </c>
      <c r="E2897">
        <v>0.51188180000000005</v>
      </c>
      <c r="F2897" t="s">
        <v>46</v>
      </c>
      <c r="G2897">
        <v>-386.4085</v>
      </c>
      <c r="H2897" s="1">
        <v>1.8734830000000001E-6</v>
      </c>
      <c r="I2897">
        <v>283.44209999999998</v>
      </c>
      <c r="J2897">
        <v>-350.67430000000002</v>
      </c>
      <c r="K2897">
        <v>1.1091709999999999</v>
      </c>
      <c r="L2897">
        <v>283.60829999999999</v>
      </c>
      <c r="M2897">
        <v>-0.99995299999999998</v>
      </c>
      <c r="N2897">
        <v>0</v>
      </c>
      <c r="O2897">
        <v>-2.0976900000000001E-3</v>
      </c>
      <c r="P2897">
        <v>-0.98467510000000003</v>
      </c>
      <c r="Q2897">
        <v>0.17099210000000001</v>
      </c>
      <c r="R2897">
        <v>-3.4307480000000001E-2</v>
      </c>
      <c r="S2897">
        <v>-3.0626829999999998</v>
      </c>
      <c r="T2897">
        <v>-9.4465850000000004E-2</v>
      </c>
      <c r="U2897">
        <v>-1.4190670000000001E-2</v>
      </c>
      <c r="V2897">
        <v>-3.2093789999999997E-2</v>
      </c>
      <c r="W2897">
        <v>0.1803408</v>
      </c>
      <c r="X2897">
        <v>0.98308039999999997</v>
      </c>
      <c r="Y2897">
        <v>-2.535383E-3</v>
      </c>
      <c r="Z2897" s="1">
        <v>2.559716E-5</v>
      </c>
      <c r="AA2897">
        <v>0.99999680000000002</v>
      </c>
      <c r="AB2897">
        <v>42</v>
      </c>
      <c r="AC2897">
        <v>-35.734199999999902</v>
      </c>
      <c r="AD2897">
        <v>-1.1091691265169901</v>
      </c>
      <c r="AE2897">
        <v>-0.16620000000000301</v>
      </c>
      <c r="AF2897">
        <v>-9.1149186569034701E-2</v>
      </c>
      <c r="AG2897">
        <v>-1.1091691265169901</v>
      </c>
      <c r="AH2897">
        <v>35.700075669677702</v>
      </c>
      <c r="AI2897">
        <v>91.779549907376605</v>
      </c>
      <c r="AJ2897">
        <v>90.146286870559194</v>
      </c>
      <c r="AK2897">
        <v>35.717418259809101</v>
      </c>
      <c r="AL2897">
        <v>79.610388348746696</v>
      </c>
      <c r="AM2897">
        <v>91.869822521751303</v>
      </c>
      <c r="AN2897">
        <v>0.99999994418268001</v>
      </c>
    </row>
    <row r="2898" spans="1:40" x14ac:dyDescent="0.25">
      <c r="A2898" t="str">
        <f>"20190312172136728"</f>
        <v>20190312172136728</v>
      </c>
      <c r="B2898" t="str">
        <f>"1552382496723922"</f>
        <v>1552382496723922</v>
      </c>
      <c r="C2898" t="s">
        <v>40</v>
      </c>
      <c r="D2898">
        <v>3.039876</v>
      </c>
      <c r="E2898">
        <v>0.51184090000000004</v>
      </c>
      <c r="F2898" t="s">
        <v>46</v>
      </c>
      <c r="G2898">
        <v>-386.58679999999998</v>
      </c>
      <c r="H2898" s="1">
        <v>1.9683810000000002E-6</v>
      </c>
      <c r="I2898">
        <v>283.43799999999999</v>
      </c>
      <c r="J2898">
        <v>-350.88979999999998</v>
      </c>
      <c r="K2898">
        <v>1.109165</v>
      </c>
      <c r="L2898">
        <v>283.608</v>
      </c>
      <c r="M2898">
        <v>-0.99995330000000004</v>
      </c>
      <c r="N2898">
        <v>0</v>
      </c>
      <c r="O2898">
        <v>-1.944994E-3</v>
      </c>
      <c r="P2898">
        <v>-0.98472219999999999</v>
      </c>
      <c r="Q2898">
        <v>0.1707515</v>
      </c>
      <c r="R2898">
        <v>-3.4150130000000001E-2</v>
      </c>
      <c r="S2898">
        <v>-3.062592</v>
      </c>
      <c r="T2898">
        <v>-9.4588989999999998E-2</v>
      </c>
      <c r="U2898">
        <v>-1.452637E-2</v>
      </c>
      <c r="V2898">
        <v>-3.2086759999999999E-2</v>
      </c>
      <c r="W2898">
        <v>0.1801063</v>
      </c>
      <c r="X2898">
        <v>0.98312370000000004</v>
      </c>
      <c r="Y2898">
        <v>-2.7976329999999999E-3</v>
      </c>
      <c r="Z2898" s="1">
        <v>1.6867329999999999E-5</v>
      </c>
      <c r="AA2898">
        <v>0.99999610000000005</v>
      </c>
      <c r="AB2898">
        <v>42</v>
      </c>
      <c r="AC2898">
        <v>-35.696999999999903</v>
      </c>
      <c r="AD2898">
        <v>-1.109163031619</v>
      </c>
      <c r="AE2898">
        <v>-0.170000000000015</v>
      </c>
      <c r="AF2898">
        <v>-0.100469121224669</v>
      </c>
      <c r="AG2898">
        <v>-1.109163031619</v>
      </c>
      <c r="AH2898">
        <v>35.6628334295741</v>
      </c>
      <c r="AI2898">
        <v>91.781396027236894</v>
      </c>
      <c r="AJ2898">
        <v>90.161412900636094</v>
      </c>
      <c r="AK2898">
        <v>35.680218958136699</v>
      </c>
      <c r="AL2898">
        <v>79.624048717791993</v>
      </c>
      <c r="AM2898">
        <v>91.869330959515693</v>
      </c>
      <c r="AN2898">
        <v>1.0000000244843299</v>
      </c>
    </row>
    <row r="2899" spans="1:40" x14ac:dyDescent="0.25">
      <c r="A2899" t="str">
        <f>"20190312172136741"</f>
        <v>20190312172136741</v>
      </c>
      <c r="B2899" t="str">
        <f>"1552382496733682"</f>
        <v>1552382496733682</v>
      </c>
      <c r="C2899" t="s">
        <v>40</v>
      </c>
      <c r="D2899">
        <v>3.0350769999999998</v>
      </c>
      <c r="E2899">
        <v>0.51181730000000003</v>
      </c>
      <c r="F2899" t="s">
        <v>46</v>
      </c>
      <c r="G2899">
        <v>-386.54289999999997</v>
      </c>
      <c r="H2899" s="1">
        <v>1.945037E-6</v>
      </c>
      <c r="I2899">
        <v>283.44209999999998</v>
      </c>
      <c r="J2899">
        <v>-351.15410000000003</v>
      </c>
      <c r="K2899">
        <v>1.1091660000000001</v>
      </c>
      <c r="L2899">
        <v>283.60759999999999</v>
      </c>
      <c r="M2899">
        <v>-0.9999536</v>
      </c>
      <c r="N2899">
        <v>0</v>
      </c>
      <c r="O2899">
        <v>-1.757731E-3</v>
      </c>
      <c r="P2899">
        <v>-0.98471359999999997</v>
      </c>
      <c r="Q2899">
        <v>0.17078969999999999</v>
      </c>
      <c r="R2899">
        <v>-3.4215089999999997E-2</v>
      </c>
      <c r="S2899">
        <v>-3.0625610000000001</v>
      </c>
      <c r="T2899">
        <v>-9.5275760000000001E-2</v>
      </c>
      <c r="U2899">
        <v>-1.4251710000000001E-2</v>
      </c>
      <c r="V2899">
        <v>-3.2334960000000003E-2</v>
      </c>
      <c r="W2899">
        <v>0.18015039999999999</v>
      </c>
      <c r="X2899">
        <v>0.98310739999999996</v>
      </c>
      <c r="Y2899">
        <v>-2.8951290000000002E-3</v>
      </c>
      <c r="Z2899" s="1">
        <v>9.6492329999999993E-6</v>
      </c>
      <c r="AA2899">
        <v>0.99999579999999999</v>
      </c>
      <c r="AB2899">
        <v>42</v>
      </c>
      <c r="AC2899">
        <v>-35.388799999999897</v>
      </c>
      <c r="AD2899">
        <v>-1.109164054963</v>
      </c>
      <c r="AE2899">
        <v>-0.165500000000008</v>
      </c>
      <c r="AF2899">
        <v>-0.10319159663935799</v>
      </c>
      <c r="AG2899">
        <v>-1.109164054963</v>
      </c>
      <c r="AH2899">
        <v>35.354307207199597</v>
      </c>
      <c r="AI2899">
        <v>91.796932711183501</v>
      </c>
      <c r="AJ2899">
        <v>90.167233546513103</v>
      </c>
      <c r="AK2899">
        <v>35.371852248751203</v>
      </c>
      <c r="AL2899">
        <v>79.621479050541197</v>
      </c>
      <c r="AM2899">
        <v>91.883811586130093</v>
      </c>
      <c r="AN2899">
        <v>0.99999993809655796</v>
      </c>
    </row>
    <row r="2900" spans="1:40" x14ac:dyDescent="0.25">
      <c r="A2900" t="str">
        <f>"20190312172136753"</f>
        <v>20190312172136753</v>
      </c>
      <c r="B2900" t="str">
        <f>"1552382496743442"</f>
        <v>1552382496743442</v>
      </c>
      <c r="C2900" t="s">
        <v>40</v>
      </c>
      <c r="D2900">
        <v>3.0545719999999998</v>
      </c>
      <c r="E2900">
        <v>0.51179129999999995</v>
      </c>
      <c r="F2900" t="s">
        <v>46</v>
      </c>
      <c r="G2900">
        <v>-386.91079999999999</v>
      </c>
      <c r="H2900" s="1">
        <v>2.1407769999999999E-6</v>
      </c>
      <c r="I2900">
        <v>283.43770000000001</v>
      </c>
      <c r="J2900">
        <v>-351.38130000000001</v>
      </c>
      <c r="K2900">
        <v>1.1091660000000001</v>
      </c>
      <c r="L2900">
        <v>283.60730000000001</v>
      </c>
      <c r="M2900">
        <v>-0.9999536</v>
      </c>
      <c r="N2900">
        <v>0</v>
      </c>
      <c r="O2900">
        <v>-1.597167E-3</v>
      </c>
      <c r="P2900">
        <v>-0.98469689999999999</v>
      </c>
      <c r="Q2900">
        <v>0.17089969999999999</v>
      </c>
      <c r="R2900">
        <v>-3.4136760000000002E-2</v>
      </c>
      <c r="S2900">
        <v>-3.062592</v>
      </c>
      <c r="T2900">
        <v>-9.500074E-2</v>
      </c>
      <c r="U2900">
        <v>-1.4556879999999999E-2</v>
      </c>
      <c r="V2900">
        <v>-3.2414419999999999E-2</v>
      </c>
      <c r="W2900">
        <v>0.1802658</v>
      </c>
      <c r="X2900">
        <v>0.9830837</v>
      </c>
      <c r="Y2900">
        <v>-3.1550969999999999E-3</v>
      </c>
      <c r="Z2900" s="1">
        <v>6.1058380000000003E-7</v>
      </c>
      <c r="AA2900">
        <v>0.99999499999999997</v>
      </c>
      <c r="AB2900">
        <v>42</v>
      </c>
      <c r="AC2900">
        <v>-35.529499999999899</v>
      </c>
      <c r="AD2900">
        <v>-1.109163859223</v>
      </c>
      <c r="AE2900">
        <v>-0.169600000000002</v>
      </c>
      <c r="AF2900">
        <v>-0.112740806608096</v>
      </c>
      <c r="AG2900">
        <v>-1.109163859223</v>
      </c>
      <c r="AH2900">
        <v>35.495133851233597</v>
      </c>
      <c r="AI2900">
        <v>91.789806323100706</v>
      </c>
      <c r="AJ2900">
        <v>90.181984119355107</v>
      </c>
      <c r="AK2900">
        <v>35.512638342892402</v>
      </c>
      <c r="AL2900">
        <v>79.614757794311799</v>
      </c>
      <c r="AM2900">
        <v>91.888483014123395</v>
      </c>
      <c r="AN2900">
        <v>1.00000000723963</v>
      </c>
    </row>
    <row r="2901" spans="1:40" x14ac:dyDescent="0.25">
      <c r="A2901" t="str">
        <f>"20190312172136768"</f>
        <v>20190312172136768</v>
      </c>
      <c r="B2901" t="str">
        <f>"1552382496763938"</f>
        <v>1552382496763938</v>
      </c>
      <c r="C2901" t="s">
        <v>40</v>
      </c>
      <c r="D2901">
        <v>3.0322110000000002</v>
      </c>
      <c r="E2901">
        <v>0.51174299999999995</v>
      </c>
      <c r="F2901" t="s">
        <v>46</v>
      </c>
      <c r="G2901">
        <v>-387.32440000000003</v>
      </c>
      <c r="H2901" s="1">
        <v>2.3609140000000001E-6</v>
      </c>
      <c r="I2901">
        <v>283.4375</v>
      </c>
      <c r="J2901">
        <v>-351.66160000000002</v>
      </c>
      <c r="K2901">
        <v>1.109173</v>
      </c>
      <c r="L2901">
        <v>283.60700000000003</v>
      </c>
      <c r="M2901">
        <v>-0.99995389999999995</v>
      </c>
      <c r="N2901">
        <v>0</v>
      </c>
      <c r="O2901">
        <v>-1.3990560000000001E-3</v>
      </c>
      <c r="P2901">
        <v>-0.9845604</v>
      </c>
      <c r="Q2901">
        <v>0.1716724</v>
      </c>
      <c r="R2901">
        <v>-3.4195650000000001E-2</v>
      </c>
      <c r="S2901">
        <v>-3.0625309999999999</v>
      </c>
      <c r="T2901">
        <v>-9.4506030000000005E-2</v>
      </c>
      <c r="U2901">
        <v>-1.446533E-2</v>
      </c>
      <c r="V2901">
        <v>-3.2667019999999998E-2</v>
      </c>
      <c r="W2901">
        <v>0.18104329999999999</v>
      </c>
      <c r="X2901">
        <v>0.98293240000000004</v>
      </c>
      <c r="Y2901">
        <v>-3.3232489999999999E-3</v>
      </c>
      <c r="Z2901" s="1">
        <v>-8.0986650000000002E-6</v>
      </c>
      <c r="AA2901">
        <v>0.99999450000000001</v>
      </c>
      <c r="AB2901">
        <v>42</v>
      </c>
      <c r="AC2901">
        <v>-35.662799999999997</v>
      </c>
      <c r="AD2901">
        <v>-1.1091706390860001</v>
      </c>
      <c r="AE2901">
        <v>-0.16950000000002699</v>
      </c>
      <c r="AF2901">
        <v>-0.11948774925736499</v>
      </c>
      <c r="AG2901">
        <v>-1.1091706390860001</v>
      </c>
      <c r="AH2901">
        <v>35.6285391674081</v>
      </c>
      <c r="AI2901">
        <v>91.783118876349107</v>
      </c>
      <c r="AJ2901">
        <v>90.192152645859196</v>
      </c>
      <c r="AK2901">
        <v>35.646000337097597</v>
      </c>
      <c r="AL2901">
        <v>79.569464574739399</v>
      </c>
      <c r="AM2901">
        <v>91.903481593421304</v>
      </c>
      <c r="AN2901">
        <v>0.99999995682016396</v>
      </c>
    </row>
    <row r="2902" spans="1:40" x14ac:dyDescent="0.25">
      <c r="A2902" t="str">
        <f>"20190312172136792"</f>
        <v>20190312172136792</v>
      </c>
      <c r="B2902" t="str">
        <f>"1552382496783457"</f>
        <v>1552382496783457</v>
      </c>
      <c r="C2902" t="s">
        <v>40</v>
      </c>
      <c r="D2902">
        <v>3.0395300000000001</v>
      </c>
      <c r="E2902">
        <v>0.51169560000000003</v>
      </c>
      <c r="F2902" t="s">
        <v>46</v>
      </c>
      <c r="G2902">
        <v>-388.62889999999999</v>
      </c>
      <c r="H2902" s="1">
        <v>3.0550879999999999E-6</v>
      </c>
      <c r="I2902">
        <v>283.42579999999998</v>
      </c>
      <c r="J2902">
        <v>-352.10120000000001</v>
      </c>
      <c r="K2902">
        <v>1.1091770000000001</v>
      </c>
      <c r="L2902">
        <v>283.60660000000001</v>
      </c>
      <c r="M2902">
        <v>-0.99995420000000002</v>
      </c>
      <c r="N2902">
        <v>0</v>
      </c>
      <c r="O2902">
        <v>-1.087831E-3</v>
      </c>
      <c r="P2902">
        <v>-0.98447200000000001</v>
      </c>
      <c r="Q2902">
        <v>0.17224410000000001</v>
      </c>
      <c r="R2902">
        <v>-3.3862860000000002E-2</v>
      </c>
      <c r="S2902">
        <v>-3.0625309999999999</v>
      </c>
      <c r="T2902">
        <v>-9.1888429999999993E-2</v>
      </c>
      <c r="U2902">
        <v>-1.5014649999999999E-2</v>
      </c>
      <c r="V2902">
        <v>-3.2639099999999997E-2</v>
      </c>
      <c r="W2902">
        <v>0.18162429999999999</v>
      </c>
      <c r="X2902">
        <v>0.98282619999999998</v>
      </c>
      <c r="Y2902">
        <v>-3.8135389999999999E-3</v>
      </c>
      <c r="Z2902" s="1">
        <v>-2.456438E-5</v>
      </c>
      <c r="AA2902">
        <v>0.99999269999999996</v>
      </c>
      <c r="AB2902">
        <v>42</v>
      </c>
      <c r="AC2902">
        <v>-36.527699999999903</v>
      </c>
      <c r="AD2902">
        <v>-1.1091739449119999</v>
      </c>
      <c r="AE2902">
        <v>-0.18080000000003299</v>
      </c>
      <c r="AF2902">
        <v>-0.14093218871996499</v>
      </c>
      <c r="AG2902">
        <v>-1.1091739449119999</v>
      </c>
      <c r="AH2902">
        <v>36.494226381854297</v>
      </c>
      <c r="AI2902">
        <v>91.740849477889697</v>
      </c>
      <c r="AJ2902">
        <v>90.221261834309999</v>
      </c>
      <c r="AK2902">
        <v>36.5113501247477</v>
      </c>
      <c r="AL2902">
        <v>79.535615196295396</v>
      </c>
      <c r="AM2902">
        <v>91.902061267695203</v>
      </c>
      <c r="AN2902">
        <v>1.0000000183028599</v>
      </c>
    </row>
    <row r="2903" spans="1:40" x14ac:dyDescent="0.25">
      <c r="A2903" t="str">
        <f>"20190312172136814"</f>
        <v>20190312172136814</v>
      </c>
      <c r="B2903" t="str">
        <f>"1552382496803956"</f>
        <v>1552382496803956</v>
      </c>
      <c r="C2903" t="s">
        <v>40</v>
      </c>
      <c r="D2903">
        <v>3.029569</v>
      </c>
      <c r="E2903">
        <v>0.51161129999999999</v>
      </c>
      <c r="F2903" t="s">
        <v>46</v>
      </c>
      <c r="G2903">
        <v>-389.94260000000003</v>
      </c>
      <c r="H2903" s="1">
        <v>3.7541620000000002E-6</v>
      </c>
      <c r="I2903">
        <v>283.42450000000002</v>
      </c>
      <c r="J2903">
        <v>-352.5172</v>
      </c>
      <c r="K2903">
        <v>1.1091719999999901</v>
      </c>
      <c r="L2903">
        <v>283.60640000000001</v>
      </c>
      <c r="M2903">
        <v>-0.99995449999999997</v>
      </c>
      <c r="N2903">
        <v>0</v>
      </c>
      <c r="O2903">
        <v>-7.9341489999999997E-4</v>
      </c>
      <c r="P2903">
        <v>-0.98447410000000002</v>
      </c>
      <c r="Q2903">
        <v>0.1722611</v>
      </c>
      <c r="R2903">
        <v>-3.3722530000000001E-2</v>
      </c>
      <c r="S2903">
        <v>-3.0625610000000001</v>
      </c>
      <c r="T2903">
        <v>-8.9766979999999996E-2</v>
      </c>
      <c r="U2903">
        <v>-1.473999E-2</v>
      </c>
      <c r="V2903">
        <v>-3.278843E-2</v>
      </c>
      <c r="W2903">
        <v>0.18165110000000001</v>
      </c>
      <c r="X2903">
        <v>0.98281629999999998</v>
      </c>
      <c r="Y2903">
        <v>-4.0180789999999999E-3</v>
      </c>
      <c r="Z2903" s="1">
        <v>-3.5622379999999998E-5</v>
      </c>
      <c r="AA2903">
        <v>0.99999199999999999</v>
      </c>
      <c r="AB2903">
        <v>42</v>
      </c>
      <c r="AC2903">
        <v>-37.425400000000003</v>
      </c>
      <c r="AD2903">
        <v>-1.1091682458380001</v>
      </c>
      <c r="AE2903">
        <v>-0.18189999999998399</v>
      </c>
      <c r="AF2903">
        <v>-0.15207116414403199</v>
      </c>
      <c r="AG2903">
        <v>-1.1091682458380001</v>
      </c>
      <c r="AH2903">
        <v>37.392689881931801</v>
      </c>
      <c r="AI2903">
        <v>91.699035434871305</v>
      </c>
      <c r="AJ2903">
        <v>90.233013133927798</v>
      </c>
      <c r="AK2903">
        <v>37.409445818440901</v>
      </c>
      <c r="AL2903">
        <v>79.534053939223497</v>
      </c>
      <c r="AM2903">
        <v>91.910776351368895</v>
      </c>
      <c r="AN2903">
        <v>1.0000000414093799</v>
      </c>
    </row>
    <row r="2904" spans="1:40" x14ac:dyDescent="0.25">
      <c r="A2904" t="str">
        <f>"20190312172136836"</f>
        <v>20190312172136836</v>
      </c>
      <c r="B2904" t="str">
        <f>"1552382496823474"</f>
        <v>1552382496823474</v>
      </c>
      <c r="C2904" t="s">
        <v>40</v>
      </c>
      <c r="D2904">
        <v>3.034338</v>
      </c>
      <c r="E2904">
        <v>0.51159290000000002</v>
      </c>
      <c r="F2904" t="s">
        <v>46</v>
      </c>
      <c r="G2904">
        <v>-390.54020000000003</v>
      </c>
      <c r="H2904" s="1">
        <v>-1.2493240000000001E-6</v>
      </c>
      <c r="I2904">
        <v>283.42380000000003</v>
      </c>
      <c r="J2904">
        <v>-352.91919999999999</v>
      </c>
      <c r="K2904">
        <v>1.1091679999999999</v>
      </c>
      <c r="L2904">
        <v>283.60629999999998</v>
      </c>
      <c r="M2904">
        <v>-0.99995449999999997</v>
      </c>
      <c r="N2904">
        <v>0</v>
      </c>
      <c r="O2904">
        <v>-5.0889350000000002E-4</v>
      </c>
      <c r="P2904">
        <v>-0.98455000000000004</v>
      </c>
      <c r="Q2904">
        <v>0.17183329999999999</v>
      </c>
      <c r="R2904">
        <v>-3.3684810000000003E-2</v>
      </c>
      <c r="S2904">
        <v>-3.0624389999999999</v>
      </c>
      <c r="T2904">
        <v>-8.9334730000000001E-2</v>
      </c>
      <c r="U2904">
        <v>-1.4709470000000001E-2</v>
      </c>
      <c r="V2904">
        <v>-3.303002E-2</v>
      </c>
      <c r="W2904">
        <v>0.1812337</v>
      </c>
      <c r="X2904">
        <v>0.98288520000000001</v>
      </c>
      <c r="Y2904">
        <v>-4.2926129999999998E-3</v>
      </c>
      <c r="Z2904" s="1">
        <v>-4.775404E-5</v>
      </c>
      <c r="AA2904">
        <v>0.99999079999999996</v>
      </c>
      <c r="AB2904">
        <v>42</v>
      </c>
      <c r="AC2904">
        <v>-37.621000000000002</v>
      </c>
      <c r="AD2904">
        <v>-1.109169249324</v>
      </c>
      <c r="AE2904">
        <v>-0.18249999999994701</v>
      </c>
      <c r="AF2904">
        <v>-0.16321215968819699</v>
      </c>
      <c r="AG2904">
        <v>-1.109169249324</v>
      </c>
      <c r="AH2904">
        <v>37.588415775788398</v>
      </c>
      <c r="AI2904">
        <v>91.690193139877493</v>
      </c>
      <c r="AJ2904">
        <v>90.248781677909605</v>
      </c>
      <c r="AK2904">
        <v>37.605131234530397</v>
      </c>
      <c r="AL2904">
        <v>79.558372165059495</v>
      </c>
      <c r="AM2904">
        <v>91.924709852382605</v>
      </c>
      <c r="AN2904">
        <v>0.999999976307965</v>
      </c>
    </row>
    <row r="2905" spans="1:40" x14ac:dyDescent="0.25">
      <c r="A2905" t="str">
        <f>"20190312172136857"</f>
        <v>20190312172136857</v>
      </c>
      <c r="B2905" t="str">
        <f>"1552382496853730"</f>
        <v>1552382496853730</v>
      </c>
      <c r="C2905" t="s">
        <v>40</v>
      </c>
      <c r="D2905">
        <v>3.0522939999999998</v>
      </c>
      <c r="E2905">
        <v>0.51147569999999998</v>
      </c>
      <c r="F2905" t="s">
        <v>46</v>
      </c>
      <c r="G2905">
        <v>-390.32100000000003</v>
      </c>
      <c r="H2905" s="1">
        <v>-1.3659520000000001E-6</v>
      </c>
      <c r="I2905">
        <v>283.42849999999999</v>
      </c>
      <c r="J2905">
        <v>-353.33539999999999</v>
      </c>
      <c r="K2905">
        <v>1.109164</v>
      </c>
      <c r="L2905">
        <v>283.60629999999998</v>
      </c>
      <c r="M2905">
        <v>-0.99995460000000003</v>
      </c>
      <c r="N2905">
        <v>0</v>
      </c>
      <c r="O2905">
        <v>-2.1459969999999999E-4</v>
      </c>
      <c r="P2905">
        <v>-0.98460329999999996</v>
      </c>
      <c r="Q2905">
        <v>0.1716734</v>
      </c>
      <c r="R2905">
        <v>-3.2936970000000003E-2</v>
      </c>
      <c r="S2905">
        <v>-3.0624389999999999</v>
      </c>
      <c r="T2905">
        <v>-9.0818170000000004E-2</v>
      </c>
      <c r="U2905">
        <v>-1.4556879999999999E-2</v>
      </c>
      <c r="V2905">
        <v>-3.2572110000000001E-2</v>
      </c>
      <c r="W2905">
        <v>0.1810832</v>
      </c>
      <c r="X2905">
        <v>0.98292829999999998</v>
      </c>
      <c r="Y2905">
        <v>-4.5368029999999998E-3</v>
      </c>
      <c r="Z2905" s="1">
        <v>-6.08925E-5</v>
      </c>
      <c r="AA2905">
        <v>0.99998969999999998</v>
      </c>
      <c r="AB2905">
        <v>42</v>
      </c>
      <c r="AC2905">
        <v>-36.985599999999899</v>
      </c>
      <c r="AD2905">
        <v>-1.109165365952</v>
      </c>
      <c r="AE2905">
        <v>-0.17779999999998999</v>
      </c>
      <c r="AF2905">
        <v>-0.16970991249926201</v>
      </c>
      <c r="AG2905">
        <v>-1.109165365952</v>
      </c>
      <c r="AH2905">
        <v>36.952405041270197</v>
      </c>
      <c r="AI2905">
        <v>91.719258850024602</v>
      </c>
      <c r="AJ2905">
        <v>90.263138308647399</v>
      </c>
      <c r="AK2905">
        <v>36.969437209639999</v>
      </c>
      <c r="AL2905">
        <v>79.567141091055404</v>
      </c>
      <c r="AM2905">
        <v>91.8979632238904</v>
      </c>
      <c r="AN2905">
        <v>1.0000000553064801</v>
      </c>
    </row>
    <row r="2906" spans="1:40" x14ac:dyDescent="0.25">
      <c r="A2906" t="str">
        <f>"20190312172136870"</f>
        <v>20190312172136870</v>
      </c>
      <c r="B2906" t="str">
        <f>"1552382496863490"</f>
        <v>1552382496863490</v>
      </c>
      <c r="C2906" t="s">
        <v>40</v>
      </c>
      <c r="D2906">
        <v>3.0635530000000002</v>
      </c>
      <c r="E2906">
        <v>0.5114474</v>
      </c>
      <c r="F2906" t="s">
        <v>46</v>
      </c>
      <c r="G2906">
        <v>-390.41120000000001</v>
      </c>
      <c r="H2906" s="1">
        <v>-1.317981E-6</v>
      </c>
      <c r="I2906">
        <v>283.44009999999997</v>
      </c>
      <c r="J2906">
        <v>-353.5532</v>
      </c>
      <c r="K2906">
        <v>1.1091629999999999</v>
      </c>
      <c r="L2906">
        <v>283.60640000000001</v>
      </c>
      <c r="M2906">
        <v>-0.99995460000000003</v>
      </c>
      <c r="N2906">
        <v>0</v>
      </c>
      <c r="O2906" s="1">
        <v>-6.0599629999999997E-5</v>
      </c>
      <c r="P2906">
        <v>-0.98461089999999996</v>
      </c>
      <c r="Q2906">
        <v>0.17172200000000001</v>
      </c>
      <c r="R2906">
        <v>-3.2459880000000003E-2</v>
      </c>
      <c r="S2906">
        <v>-3.0624690000000001</v>
      </c>
      <c r="T2906">
        <v>-9.1617470000000006E-2</v>
      </c>
      <c r="U2906">
        <v>-1.3732909999999999E-2</v>
      </c>
      <c r="V2906">
        <v>-3.2246049999999998E-2</v>
      </c>
      <c r="W2906">
        <v>0.1811362</v>
      </c>
      <c r="X2906">
        <v>0.98292919999999995</v>
      </c>
      <c r="Y2906">
        <v>-4.4216630000000002E-3</v>
      </c>
      <c r="Z2906" s="1">
        <v>-6.4311990000000003E-5</v>
      </c>
      <c r="AA2906">
        <v>0.99999020000000005</v>
      </c>
      <c r="AB2906">
        <v>42</v>
      </c>
      <c r="AC2906">
        <v>-36.857999999999997</v>
      </c>
      <c r="AD2906">
        <v>-1.10916431798099</v>
      </c>
      <c r="AE2906">
        <v>-0.166300000000035</v>
      </c>
      <c r="AF2906">
        <v>-0.16391787890873</v>
      </c>
      <c r="AG2906">
        <v>-1.10916431798099</v>
      </c>
      <c r="AH2906">
        <v>36.824662901642199</v>
      </c>
      <c r="AI2906">
        <v>91.725218711885603</v>
      </c>
      <c r="AJ2906">
        <v>90.255039418660303</v>
      </c>
      <c r="AK2906">
        <v>36.8417278690195</v>
      </c>
      <c r="AL2906">
        <v>79.564052467767297</v>
      </c>
      <c r="AM2906">
        <v>91.878975812884207</v>
      </c>
      <c r="AN2906">
        <v>0.99999997145184005</v>
      </c>
    </row>
    <row r="2907" spans="1:40" x14ac:dyDescent="0.25">
      <c r="A2907" t="str">
        <f>"20190312172136883"</f>
        <v>20190312172136883</v>
      </c>
      <c r="B2907" t="str">
        <f>"1552382496873250"</f>
        <v>1552382496873250</v>
      </c>
      <c r="C2907" t="s">
        <v>40</v>
      </c>
      <c r="D2907">
        <v>3.0428989999999998</v>
      </c>
      <c r="E2907">
        <v>0.51141769999999998</v>
      </c>
      <c r="F2907" t="s">
        <v>46</v>
      </c>
      <c r="G2907">
        <v>-390.64229999999998</v>
      </c>
      <c r="H2907" s="1">
        <v>-1.1949819999999999E-6</v>
      </c>
      <c r="I2907">
        <v>283.45519999999999</v>
      </c>
      <c r="J2907">
        <v>-353.81079999999997</v>
      </c>
      <c r="K2907">
        <v>1.1091629999999999</v>
      </c>
      <c r="L2907">
        <v>283.60649999999998</v>
      </c>
      <c r="M2907">
        <v>-0.99995449999999997</v>
      </c>
      <c r="N2907">
        <v>0</v>
      </c>
      <c r="O2907">
        <v>1.2158980000000001E-4</v>
      </c>
      <c r="P2907">
        <v>-0.98463679999999998</v>
      </c>
      <c r="Q2907">
        <v>0.17161940000000001</v>
      </c>
      <c r="R2907">
        <v>-3.2212039999999997E-2</v>
      </c>
      <c r="S2907">
        <v>-3.0624389999999999</v>
      </c>
      <c r="T2907">
        <v>-9.1583490000000004E-2</v>
      </c>
      <c r="U2907">
        <v>-1.248169E-2</v>
      </c>
      <c r="V2907">
        <v>-3.2176789999999997E-2</v>
      </c>
      <c r="W2907">
        <v>0.18104000000000001</v>
      </c>
      <c r="X2907">
        <v>0.98294919999999997</v>
      </c>
      <c r="Y2907">
        <v>-4.1953659999999999E-3</v>
      </c>
      <c r="Z2907" s="1">
        <v>-6.6353319999999893E-5</v>
      </c>
      <c r="AA2907">
        <v>0.99999119999999997</v>
      </c>
      <c r="AB2907">
        <v>42</v>
      </c>
      <c r="AC2907">
        <v>-36.831499999999998</v>
      </c>
      <c r="AD2907">
        <v>-1.1091641949819999</v>
      </c>
      <c r="AE2907">
        <v>-0.151299999999992</v>
      </c>
      <c r="AF2907">
        <v>-0.15563739429210299</v>
      </c>
      <c r="AG2907">
        <v>-1.1091641949819999</v>
      </c>
      <c r="AH2907">
        <v>36.798110189212998</v>
      </c>
      <c r="AI2907">
        <v>91.726464308677706</v>
      </c>
      <c r="AJ2907">
        <v>90.242330723206805</v>
      </c>
      <c r="AK2907">
        <v>36.815151523623904</v>
      </c>
      <c r="AL2907">
        <v>79.569657057407895</v>
      </c>
      <c r="AM2907">
        <v>91.874904797478806</v>
      </c>
      <c r="AN2907">
        <v>0.99999997859767098</v>
      </c>
    </row>
    <row r="2908" spans="1:40" x14ac:dyDescent="0.25">
      <c r="A2908" t="str">
        <f>"20190312172136893"</f>
        <v>20190312172136893</v>
      </c>
      <c r="B2908" t="str">
        <f>"1552382496883986"</f>
        <v>1552382496883986</v>
      </c>
      <c r="C2908" t="s">
        <v>40</v>
      </c>
      <c r="D2908">
        <v>3.052994</v>
      </c>
      <c r="E2908">
        <v>0.51140549999999996</v>
      </c>
      <c r="F2908" t="s">
        <v>46</v>
      </c>
      <c r="G2908">
        <v>-390.76929999999999</v>
      </c>
      <c r="H2908" s="1">
        <v>-1.127406E-6</v>
      </c>
      <c r="I2908">
        <v>283.46100000000001</v>
      </c>
      <c r="J2908">
        <v>-354.03840000000002</v>
      </c>
      <c r="K2908">
        <v>1.1091569999999999</v>
      </c>
      <c r="L2908">
        <v>283.60660000000001</v>
      </c>
      <c r="M2908">
        <v>-0.99995429999999996</v>
      </c>
      <c r="N2908">
        <v>0</v>
      </c>
      <c r="O2908">
        <v>2.8250280000000002E-4</v>
      </c>
      <c r="P2908">
        <v>-0.98467959999999999</v>
      </c>
      <c r="Q2908">
        <v>0.1714899</v>
      </c>
      <c r="R2908">
        <v>-3.1578839999999997E-2</v>
      </c>
      <c r="S2908">
        <v>-3.062408</v>
      </c>
      <c r="T2908">
        <v>-9.1906189999999999E-2</v>
      </c>
      <c r="U2908">
        <v>-1.205444E-2</v>
      </c>
      <c r="V2908">
        <v>-3.1702250000000001E-2</v>
      </c>
      <c r="W2908">
        <v>0.18091579999999999</v>
      </c>
      <c r="X2908">
        <v>0.98298750000000001</v>
      </c>
      <c r="Y2908">
        <v>-4.2167200000000002E-3</v>
      </c>
      <c r="Z2908" s="1">
        <v>-7.1736359999999895E-5</v>
      </c>
      <c r="AA2908">
        <v>0.99999110000000002</v>
      </c>
      <c r="AB2908">
        <v>42</v>
      </c>
      <c r="AC2908">
        <v>-36.730899999999899</v>
      </c>
      <c r="AD2908">
        <v>-1.1091581274059901</v>
      </c>
      <c r="AE2908">
        <v>-0.14560000000000101</v>
      </c>
      <c r="AF2908">
        <v>-0.15583495410567699</v>
      </c>
      <c r="AG2908">
        <v>-1.1091581274059901</v>
      </c>
      <c r="AH2908">
        <v>36.697395375662197</v>
      </c>
      <c r="AI2908">
        <v>91.731190065511896</v>
      </c>
      <c r="AJ2908">
        <v>90.243304229381906</v>
      </c>
      <c r="AK2908">
        <v>36.714484112434199</v>
      </c>
      <c r="AL2908">
        <v>79.576892817838399</v>
      </c>
      <c r="AM2908">
        <v>91.847201269559406</v>
      </c>
      <c r="AN2908">
        <v>0.99999999225047598</v>
      </c>
    </row>
    <row r="2909" spans="1:40" x14ac:dyDescent="0.25">
      <c r="A2909" t="str">
        <f>"20190312172136906"</f>
        <v>20190312172136906</v>
      </c>
      <c r="B2909" t="str">
        <f>"1552382496904013"</f>
        <v>1552382496904013</v>
      </c>
      <c r="C2909" t="s">
        <v>40</v>
      </c>
      <c r="D2909">
        <v>3.0270609999999998</v>
      </c>
      <c r="E2909">
        <v>0.51138660000000002</v>
      </c>
      <c r="F2909" t="s">
        <v>46</v>
      </c>
      <c r="G2909">
        <v>-390.73469999999998</v>
      </c>
      <c r="H2909" s="1">
        <v>-1.145834E-6</v>
      </c>
      <c r="I2909">
        <v>283.48340000000002</v>
      </c>
      <c r="J2909">
        <v>-354.25689999999997</v>
      </c>
      <c r="K2909">
        <v>1.109154</v>
      </c>
      <c r="L2909">
        <v>283.60680000000002</v>
      </c>
      <c r="M2909">
        <v>-0.99995420000000002</v>
      </c>
      <c r="N2909">
        <v>0</v>
      </c>
      <c r="O2909">
        <v>4.3692029999999998E-4</v>
      </c>
      <c r="P2909">
        <v>-0.98467720000000003</v>
      </c>
      <c r="Q2909">
        <v>0.17156979999999999</v>
      </c>
      <c r="R2909">
        <v>-3.1218829999999999E-2</v>
      </c>
      <c r="S2909">
        <v>-3.0624389999999999</v>
      </c>
      <c r="T2909">
        <v>-9.2563389999999995E-2</v>
      </c>
      <c r="U2909">
        <v>-1.0284420000000001E-2</v>
      </c>
      <c r="V2909">
        <v>-3.1494109999999999E-2</v>
      </c>
      <c r="W2909">
        <v>0.1810002</v>
      </c>
      <c r="X2909">
        <v>0.98297860000000004</v>
      </c>
      <c r="Y2909">
        <v>-3.793233E-3</v>
      </c>
      <c r="Z2909" s="1">
        <v>-7.0516369999999999E-5</v>
      </c>
      <c r="AA2909">
        <v>0.99999280000000002</v>
      </c>
      <c r="AB2909">
        <v>42</v>
      </c>
      <c r="AC2909">
        <v>-36.477800000000002</v>
      </c>
      <c r="AD2909">
        <v>-1.1091551458339901</v>
      </c>
      <c r="AE2909">
        <v>-0.12340000000000299</v>
      </c>
      <c r="AF2909">
        <v>-0.139209903876719</v>
      </c>
      <c r="AG2909">
        <v>-1.1091551458339901</v>
      </c>
      <c r="AH2909">
        <v>36.4440488787532</v>
      </c>
      <c r="AI2909">
        <v>91.743215618492599</v>
      </c>
      <c r="AJ2909">
        <v>90.2188588098971</v>
      </c>
      <c r="AK2909">
        <v>36.461188998876899</v>
      </c>
      <c r="AL2909">
        <v>79.571975325398299</v>
      </c>
      <c r="AM2909">
        <v>91.835098458179402</v>
      </c>
      <c r="AN2909">
        <v>0.99999993971134404</v>
      </c>
    </row>
    <row r="2910" spans="1:40" x14ac:dyDescent="0.25">
      <c r="A2910" t="str">
        <f>"20190312172136919"</f>
        <v>20190312172136919</v>
      </c>
      <c r="B2910" t="str">
        <f>"1552382496913774"</f>
        <v>1552382496913774</v>
      </c>
      <c r="C2910" t="s">
        <v>40</v>
      </c>
      <c r="D2910">
        <v>3.0046300000000001</v>
      </c>
      <c r="E2910">
        <v>0.51139599999999996</v>
      </c>
      <c r="F2910" t="s">
        <v>46</v>
      </c>
      <c r="G2910">
        <v>-391.04559999999998</v>
      </c>
      <c r="H2910" s="1">
        <v>-9.8039540000000001E-7</v>
      </c>
      <c r="I2910">
        <v>283.4939</v>
      </c>
      <c r="J2910">
        <v>-354.51240000000001</v>
      </c>
      <c r="K2910">
        <v>1.1091530000000001</v>
      </c>
      <c r="L2910">
        <v>283.60700000000003</v>
      </c>
      <c r="M2910">
        <v>-0.99995420000000002</v>
      </c>
      <c r="N2910">
        <v>0</v>
      </c>
      <c r="O2910">
        <v>6.1690569999999997E-4</v>
      </c>
      <c r="P2910">
        <v>-0.98470570000000002</v>
      </c>
      <c r="Q2910">
        <v>0.17150850000000001</v>
      </c>
      <c r="R2910">
        <v>-3.0655479999999999E-2</v>
      </c>
      <c r="S2910">
        <v>-3.062408</v>
      </c>
      <c r="T2910">
        <v>-9.2329620000000001E-2</v>
      </c>
      <c r="U2910">
        <v>-9.399414E-3</v>
      </c>
      <c r="V2910">
        <v>-3.1107260000000001E-2</v>
      </c>
      <c r="W2910">
        <v>0.1809443</v>
      </c>
      <c r="X2910">
        <v>0.98300129999999997</v>
      </c>
      <c r="Y2910">
        <v>-3.68425E-3</v>
      </c>
      <c r="Z2910" s="1">
        <v>-7.4122019999999994E-5</v>
      </c>
      <c r="AA2910">
        <v>0.99999320000000003</v>
      </c>
      <c r="AB2910">
        <v>42</v>
      </c>
      <c r="AC2910">
        <v>-36.533199999999901</v>
      </c>
      <c r="AD2910">
        <v>-1.1091539803954</v>
      </c>
      <c r="AE2910">
        <v>-0.113100000000031</v>
      </c>
      <c r="AF2910">
        <v>-0.135513638680688</v>
      </c>
      <c r="AG2910">
        <v>-1.1091539803954</v>
      </c>
      <c r="AH2910">
        <v>36.499480577473399</v>
      </c>
      <c r="AI2910">
        <v>91.740568703341907</v>
      </c>
      <c r="AJ2910">
        <v>90.212724229612107</v>
      </c>
      <c r="AK2910">
        <v>36.516580739765999</v>
      </c>
      <c r="AL2910">
        <v>79.575232868734602</v>
      </c>
      <c r="AM2910">
        <v>91.812530787265899</v>
      </c>
      <c r="AN2910">
        <v>1.0000000285644399</v>
      </c>
    </row>
    <row r="2911" spans="1:40" x14ac:dyDescent="0.25">
      <c r="A2911" t="str">
        <f>"20190312172136931"</f>
        <v>20190312172136931</v>
      </c>
      <c r="B2911" t="str">
        <f>"1552382496923534"</f>
        <v>1552382496923534</v>
      </c>
      <c r="C2911" t="s">
        <v>40</v>
      </c>
      <c r="D2911">
        <v>3.0210439999999998</v>
      </c>
      <c r="E2911">
        <v>0.51139089999999998</v>
      </c>
      <c r="F2911" t="s">
        <v>46</v>
      </c>
      <c r="G2911">
        <v>-391.24020000000002</v>
      </c>
      <c r="H2911" s="1">
        <v>-8.7683009999999898E-7</v>
      </c>
      <c r="I2911">
        <v>283.51549999999997</v>
      </c>
      <c r="J2911">
        <v>-354.73160000000001</v>
      </c>
      <c r="K2911">
        <v>1.109151</v>
      </c>
      <c r="L2911">
        <v>283.60730000000001</v>
      </c>
      <c r="M2911">
        <v>-0.99995389999999995</v>
      </c>
      <c r="N2911">
        <v>0</v>
      </c>
      <c r="O2911">
        <v>7.7227369999999999E-4</v>
      </c>
      <c r="P2911">
        <v>-0.98472559999999998</v>
      </c>
      <c r="Q2911">
        <v>0.17147109999999999</v>
      </c>
      <c r="R2911">
        <v>-3.021662E-2</v>
      </c>
      <c r="S2911">
        <v>-3.0625</v>
      </c>
      <c r="T2911">
        <v>-9.2485310000000001E-2</v>
      </c>
      <c r="U2911">
        <v>-7.6293949999999998E-3</v>
      </c>
      <c r="V2911">
        <v>-3.0821520000000002E-2</v>
      </c>
      <c r="W2911">
        <v>0.18091199999999999</v>
      </c>
      <c r="X2911">
        <v>0.98301620000000001</v>
      </c>
      <c r="Y2911">
        <v>-3.2616899999999998E-3</v>
      </c>
      <c r="Z2911" s="1">
        <v>-7.2556889999999996E-5</v>
      </c>
      <c r="AA2911">
        <v>0.99999470000000001</v>
      </c>
      <c r="AB2911">
        <v>42</v>
      </c>
      <c r="AC2911">
        <v>-36.508600000000001</v>
      </c>
      <c r="AD2911">
        <v>-1.1091518768301001</v>
      </c>
      <c r="AE2911">
        <v>-9.1800000000034701E-2</v>
      </c>
      <c r="AF2911">
        <v>-0.119885244822142</v>
      </c>
      <c r="AG2911">
        <v>-1.1091518768301001</v>
      </c>
      <c r="AH2911">
        <v>36.474852914608697</v>
      </c>
      <c r="AI2911">
        <v>91.7417424978008</v>
      </c>
      <c r="AJ2911">
        <v>90.188318615991804</v>
      </c>
      <c r="AK2911">
        <v>36.491909863696399</v>
      </c>
      <c r="AL2911">
        <v>79.577114104120795</v>
      </c>
      <c r="AM2911">
        <v>91.795865287190395</v>
      </c>
      <c r="AN2911">
        <v>0.99999998365077503</v>
      </c>
    </row>
    <row r="2912" spans="1:40" x14ac:dyDescent="0.25">
      <c r="A2912" t="str">
        <f>"20190312172136947"</f>
        <v>20190312172136947</v>
      </c>
      <c r="B2912" t="str">
        <f>"1552382496944030"</f>
        <v>1552382496944030</v>
      </c>
      <c r="C2912" t="s">
        <v>40</v>
      </c>
      <c r="D2912">
        <v>3.0341610000000001</v>
      </c>
      <c r="E2912">
        <v>0.51138240000000001</v>
      </c>
      <c r="F2912" t="s">
        <v>46</v>
      </c>
      <c r="G2912">
        <v>-391.43650000000002</v>
      </c>
      <c r="H2912" s="1">
        <v>-7.7236499999999999E-7</v>
      </c>
      <c r="I2912">
        <v>283.53160000000003</v>
      </c>
      <c r="J2912">
        <v>-355.02640000000002</v>
      </c>
      <c r="K2912">
        <v>1.1091519999999999</v>
      </c>
      <c r="L2912">
        <v>283.60770000000002</v>
      </c>
      <c r="M2912">
        <v>-0.99995369999999995</v>
      </c>
      <c r="N2912">
        <v>0</v>
      </c>
      <c r="O2912">
        <v>9.8086500000000004E-4</v>
      </c>
      <c r="P2912">
        <v>-0.98473719999999998</v>
      </c>
      <c r="Q2912">
        <v>0.17161889999999999</v>
      </c>
      <c r="R2912">
        <v>-2.898222E-2</v>
      </c>
      <c r="S2912">
        <v>-3.0624690000000001</v>
      </c>
      <c r="T2912">
        <v>-9.2542050000000001E-2</v>
      </c>
      <c r="U2912">
        <v>-6.3171390000000003E-3</v>
      </c>
      <c r="V2912">
        <v>-2.9792249999999999E-2</v>
      </c>
      <c r="W2912">
        <v>0.18106439999999999</v>
      </c>
      <c r="X2912">
        <v>0.98301989999999995</v>
      </c>
      <c r="Y2912">
        <v>-3.0418260000000001E-3</v>
      </c>
      <c r="Z2912" s="1">
        <v>-7.5583040000000001E-5</v>
      </c>
      <c r="AA2912">
        <v>0.99999539999999998</v>
      </c>
      <c r="AB2912">
        <v>42</v>
      </c>
      <c r="AC2912">
        <v>-36.4101</v>
      </c>
      <c r="AD2912">
        <v>-1.1091527723649901</v>
      </c>
      <c r="AE2912">
        <v>-7.6099999999996698E-2</v>
      </c>
      <c r="AF2912">
        <v>-0.11171132703506</v>
      </c>
      <c r="AG2912">
        <v>-1.1091527723649901</v>
      </c>
      <c r="AH2912">
        <v>36.376251520300897</v>
      </c>
      <c r="AI2912">
        <v>91.746463348185003</v>
      </c>
      <c r="AJ2912">
        <v>90.175954563050695</v>
      </c>
      <c r="AK2912">
        <v>36.393328701304902</v>
      </c>
      <c r="AL2912">
        <v>79.568235873226499</v>
      </c>
      <c r="AM2912">
        <v>91.735924017665596</v>
      </c>
      <c r="AN2912">
        <v>1.0000000094517101</v>
      </c>
    </row>
    <row r="2913" spans="1:40" x14ac:dyDescent="0.25">
      <c r="A2913" t="str">
        <f>"20190312172136958"</f>
        <v>20190312172136958</v>
      </c>
      <c r="B2913" t="str">
        <f>"1552382496953790"</f>
        <v>1552382496953790</v>
      </c>
      <c r="C2913" t="s">
        <v>40</v>
      </c>
      <c r="D2913">
        <v>3.0966320000000001</v>
      </c>
      <c r="E2913">
        <v>0.51180179999999997</v>
      </c>
      <c r="F2913" t="s">
        <v>46</v>
      </c>
      <c r="G2913">
        <v>-391.91340000000002</v>
      </c>
      <c r="H2913" s="1">
        <v>-5.1855359999999897E-7</v>
      </c>
      <c r="I2913">
        <v>283.57569999999998</v>
      </c>
      <c r="J2913">
        <v>-355.26170000000002</v>
      </c>
      <c r="K2913">
        <v>1.1091500000000001</v>
      </c>
      <c r="L2913">
        <v>283.608</v>
      </c>
      <c r="M2913">
        <v>-0.9999536</v>
      </c>
      <c r="N2913">
        <v>0</v>
      </c>
      <c r="O2913">
        <v>1.147325E-3</v>
      </c>
      <c r="P2913">
        <v>-0.98470899999999995</v>
      </c>
      <c r="Q2913">
        <v>0.17189289999999999</v>
      </c>
      <c r="R2913">
        <v>-2.8309049999999999E-2</v>
      </c>
      <c r="S2913">
        <v>-3.0625</v>
      </c>
      <c r="T2913">
        <v>-9.2085959999999994E-2</v>
      </c>
      <c r="U2913">
        <v>-2.6550290000000002E-3</v>
      </c>
      <c r="V2913">
        <v>-2.9282610000000001E-2</v>
      </c>
      <c r="W2913">
        <v>0.18134110000000001</v>
      </c>
      <c r="X2913">
        <v>0.98298419999999997</v>
      </c>
      <c r="Y2913">
        <v>-2.0128960000000001E-3</v>
      </c>
      <c r="Z2913" s="1">
        <v>-6.4748490000000005E-5</v>
      </c>
      <c r="AA2913">
        <v>0.99999800000000005</v>
      </c>
      <c r="AB2913">
        <v>42</v>
      </c>
      <c r="AC2913">
        <v>-36.651699999999998</v>
      </c>
      <c r="AD2913">
        <v>-1.1091505185535999</v>
      </c>
      <c r="AE2913">
        <v>-3.2300000000020597E-2</v>
      </c>
      <c r="AF2913">
        <v>-7.4285284864744797E-2</v>
      </c>
      <c r="AG2913">
        <v>-1.1091505185535999</v>
      </c>
      <c r="AH2913">
        <v>36.618104590991301</v>
      </c>
      <c r="AI2913">
        <v>91.734936569382995</v>
      </c>
      <c r="AJ2913">
        <v>90.116232872004304</v>
      </c>
      <c r="AK2913">
        <v>36.634973959498502</v>
      </c>
      <c r="AL2913">
        <v>79.552115184042606</v>
      </c>
      <c r="AM2913">
        <v>91.706308135754</v>
      </c>
      <c r="AN2913">
        <v>1.0000000016236299</v>
      </c>
    </row>
    <row r="2914" spans="1:40" x14ac:dyDescent="0.25">
      <c r="A2914" t="str">
        <f>"20190312172136971"</f>
        <v>20190312172136971</v>
      </c>
      <c r="B2914" t="str">
        <f>"1552382496963550"</f>
        <v>1552382496963550</v>
      </c>
      <c r="C2914" t="s">
        <v>40</v>
      </c>
      <c r="D2914">
        <v>3.0658820000000002</v>
      </c>
      <c r="E2914">
        <v>0.51180179999999997</v>
      </c>
      <c r="F2914" t="s">
        <v>46</v>
      </c>
      <c r="G2914">
        <v>-392.48009999999999</v>
      </c>
      <c r="H2914" s="1">
        <v>-2.170115E-7</v>
      </c>
      <c r="I2914">
        <v>283.63580000000002</v>
      </c>
      <c r="J2914">
        <v>-355.4796</v>
      </c>
      <c r="K2914">
        <v>1.1091470000000001</v>
      </c>
      <c r="L2914">
        <v>283.60840000000002</v>
      </c>
      <c r="M2914">
        <v>-0.99995330000000004</v>
      </c>
      <c r="N2914">
        <v>0</v>
      </c>
      <c r="O2914">
        <v>1.3010999999999999E-3</v>
      </c>
      <c r="P2914">
        <v>-0.98472969999999904</v>
      </c>
      <c r="Q2914">
        <v>0.17191970000000001</v>
      </c>
      <c r="R2914">
        <v>-2.7411049999999999E-2</v>
      </c>
      <c r="S2914">
        <v>-3.062592</v>
      </c>
      <c r="T2914">
        <v>-9.1268779999999994E-2</v>
      </c>
      <c r="U2914">
        <v>2.2888180000000002E-3</v>
      </c>
      <c r="V2914">
        <v>-2.8535769999999998E-2</v>
      </c>
      <c r="W2914">
        <v>0.18136930000000001</v>
      </c>
      <c r="X2914">
        <v>0.98300100000000001</v>
      </c>
      <c r="Y2914">
        <v>-5.5298999999999995E-4</v>
      </c>
      <c r="Z2914" s="1">
        <v>-4.7005480000000001E-5</v>
      </c>
      <c r="AA2914">
        <v>0.99999979999999999</v>
      </c>
      <c r="AB2914">
        <v>42</v>
      </c>
      <c r="AC2914">
        <v>-37.000499999999903</v>
      </c>
      <c r="AD2914">
        <v>-1.1091472170115</v>
      </c>
      <c r="AE2914">
        <v>2.7400000000000001E-2</v>
      </c>
      <c r="AF2914">
        <v>-2.0724957997138499E-2</v>
      </c>
      <c r="AG2914">
        <v>-1.1091472170115</v>
      </c>
      <c r="AH2914">
        <v>36.967285791444098</v>
      </c>
      <c r="AI2914">
        <v>91.718556937274599</v>
      </c>
      <c r="AJ2914">
        <v>90.032121711778103</v>
      </c>
      <c r="AK2914">
        <v>36.983926993481802</v>
      </c>
      <c r="AL2914">
        <v>79.550472599562099</v>
      </c>
      <c r="AM2914">
        <v>91.6627858510778</v>
      </c>
      <c r="AN2914">
        <v>1.0000000395764901</v>
      </c>
    </row>
    <row r="2915" spans="1:40" x14ac:dyDescent="0.25">
      <c r="A2915" t="str">
        <f>"20190312172136992"</f>
        <v>20190312172136992</v>
      </c>
      <c r="B2915" t="str">
        <f>"1552382496984045"</f>
        <v>1552382496984045</v>
      </c>
      <c r="C2915" t="s">
        <v>40</v>
      </c>
      <c r="D2915">
        <v>3.0441750000000001</v>
      </c>
      <c r="E2915">
        <v>0.55773839999999997</v>
      </c>
      <c r="F2915" t="s">
        <v>46</v>
      </c>
      <c r="G2915">
        <v>-392.71899999999999</v>
      </c>
      <c r="H2915" s="1">
        <v>-8.9898720000000007E-8</v>
      </c>
      <c r="I2915">
        <v>283.66739999999999</v>
      </c>
      <c r="J2915">
        <v>-355.89490000000001</v>
      </c>
      <c r="K2915">
        <v>1.109143</v>
      </c>
      <c r="L2915">
        <v>283.60919999999999</v>
      </c>
      <c r="M2915">
        <v>-0.99995290000000003</v>
      </c>
      <c r="N2915">
        <v>0</v>
      </c>
      <c r="O2915">
        <v>1.594764E-3</v>
      </c>
      <c r="P2915">
        <v>-0.9847477</v>
      </c>
      <c r="Q2915">
        <v>0.1721676</v>
      </c>
      <c r="R2915">
        <v>-2.5109349999999999E-2</v>
      </c>
      <c r="S2915">
        <v>-3.062592</v>
      </c>
      <c r="T2915">
        <v>-9.1217039999999999E-2</v>
      </c>
      <c r="U2915">
        <v>4.8522950000000004E-3</v>
      </c>
      <c r="V2915">
        <v>-2.652268E-2</v>
      </c>
      <c r="W2915">
        <v>0.1816178</v>
      </c>
      <c r="X2915">
        <v>0.98301150000000004</v>
      </c>
      <c r="Y2915" s="1">
        <v>-9.7522999999999998E-6</v>
      </c>
      <c r="Z2915" s="1">
        <v>-4.763567E-5</v>
      </c>
      <c r="AA2915">
        <v>1</v>
      </c>
      <c r="AB2915">
        <v>42</v>
      </c>
      <c r="AC2915">
        <v>-36.824099999999902</v>
      </c>
      <c r="AD2915">
        <v>-1.10914308989872</v>
      </c>
      <c r="AE2915">
        <v>5.8199999999999301E-2</v>
      </c>
      <c r="AF2915">
        <v>-5.2803541215432005E-4</v>
      </c>
      <c r="AG2915">
        <v>-1.10914308989872</v>
      </c>
      <c r="AH2915">
        <v>36.7907688843001</v>
      </c>
      <c r="AI2915">
        <v>91.726791199869595</v>
      </c>
      <c r="AJ2915">
        <v>90.000822331292994</v>
      </c>
      <c r="AK2915">
        <v>36.807483936975103</v>
      </c>
      <c r="AL2915">
        <v>79.535994183961904</v>
      </c>
      <c r="AM2915">
        <v>91.545525187294302</v>
      </c>
      <c r="AN2915">
        <v>1.00000004348173</v>
      </c>
    </row>
    <row r="2916" spans="1:40" x14ac:dyDescent="0.25">
      <c r="A2916" t="str">
        <f>"20190312172137014"</f>
        <v>20190312172137014</v>
      </c>
      <c r="B2916" t="str">
        <f>"1552382497004073"</f>
        <v>1552382497004073</v>
      </c>
      <c r="C2916" t="s">
        <v>40</v>
      </c>
      <c r="D2916">
        <v>3.0225810000000002</v>
      </c>
      <c r="E2916">
        <v>0.55978490000000003</v>
      </c>
      <c r="F2916" t="s">
        <v>46</v>
      </c>
      <c r="G2916">
        <v>-398.74540000000002</v>
      </c>
      <c r="H2916" s="1">
        <v>3.1170829999999999E-6</v>
      </c>
      <c r="I2916">
        <v>288.89069999999998</v>
      </c>
      <c r="J2916">
        <v>-356.30900000000003</v>
      </c>
      <c r="K2916">
        <v>1.1091409999999999</v>
      </c>
      <c r="L2916">
        <v>283.61</v>
      </c>
      <c r="M2916">
        <v>-0.99995239999999996</v>
      </c>
      <c r="N2916">
        <v>0</v>
      </c>
      <c r="O2916">
        <v>1.8874779999999999E-3</v>
      </c>
      <c r="P2916">
        <v>-0.98478250000000001</v>
      </c>
      <c r="Q2916">
        <v>0.17234679999999999</v>
      </c>
      <c r="R2916">
        <v>-2.23678E-2</v>
      </c>
      <c r="S2916">
        <v>-3.0699770000000002</v>
      </c>
      <c r="T2916">
        <v>-7.9463010000000001E-2</v>
      </c>
      <c r="U2916">
        <v>0.37838749999999999</v>
      </c>
      <c r="V2916">
        <v>-2.4068889999999999E-2</v>
      </c>
      <c r="W2916">
        <v>0.18179600000000001</v>
      </c>
      <c r="X2916">
        <v>0.98304159999999996</v>
      </c>
      <c r="Y2916">
        <v>0.1204158</v>
      </c>
      <c r="Z2916">
        <v>1.5036209999999999E-3</v>
      </c>
      <c r="AA2916">
        <v>0.9927224</v>
      </c>
      <c r="AB2916">
        <v>42</v>
      </c>
      <c r="AC2916">
        <v>-42.4363999999999</v>
      </c>
      <c r="AD2916">
        <v>-1.109137882917</v>
      </c>
      <c r="AE2916">
        <v>5.2806999999999604</v>
      </c>
      <c r="AF2916">
        <v>5.19709307348786</v>
      </c>
      <c r="AG2916">
        <v>-1.109137882917</v>
      </c>
      <c r="AH2916">
        <v>42.417757693673302</v>
      </c>
      <c r="AI2916">
        <v>91.486714189315705</v>
      </c>
      <c r="AJ2916">
        <v>83.014841211915595</v>
      </c>
      <c r="AK2916">
        <v>42.749340708565299</v>
      </c>
      <c r="AL2916">
        <v>79.525610155917093</v>
      </c>
      <c r="AM2916">
        <v>91.402555443788501</v>
      </c>
      <c r="AN2916">
        <v>0.99999994220619404</v>
      </c>
    </row>
    <row r="2917" spans="1:40" x14ac:dyDescent="0.25">
      <c r="A2917" t="str">
        <f>"20190312172137026"</f>
        <v>20190312172137026</v>
      </c>
      <c r="B2917" t="str">
        <f>"1552382497023593"</f>
        <v>1552382497023593</v>
      </c>
      <c r="C2917" t="s">
        <v>40</v>
      </c>
      <c r="D2917">
        <v>3.0302319999999998</v>
      </c>
      <c r="E2917">
        <v>0.56070039999999999</v>
      </c>
      <c r="F2917" t="s">
        <v>46</v>
      </c>
      <c r="G2917">
        <v>-399.53539999999998</v>
      </c>
      <c r="H2917" s="1">
        <v>3.5374689999999998E-6</v>
      </c>
      <c r="I2917">
        <v>289.29360000000003</v>
      </c>
      <c r="J2917">
        <v>-356.54129999999998</v>
      </c>
      <c r="K2917">
        <v>1.1091390000000001</v>
      </c>
      <c r="L2917">
        <v>283.61059999999998</v>
      </c>
      <c r="M2917">
        <v>-0.99995199999999995</v>
      </c>
      <c r="N2917">
        <v>0</v>
      </c>
      <c r="O2917">
        <v>2.0518649999999999E-3</v>
      </c>
      <c r="P2917">
        <v>-0.98477190000000003</v>
      </c>
      <c r="Q2917">
        <v>0.17256540000000001</v>
      </c>
      <c r="R2917">
        <v>-2.1106059999999999E-2</v>
      </c>
      <c r="S2917">
        <v>-3.0693049999999999</v>
      </c>
      <c r="T2917">
        <v>-7.8754660000000004E-2</v>
      </c>
      <c r="U2917">
        <v>0.40356449999999999</v>
      </c>
      <c r="V2917">
        <v>-2.2969179999999999E-2</v>
      </c>
      <c r="W2917">
        <v>0.18201439999999999</v>
      </c>
      <c r="X2917">
        <v>0.9830276</v>
      </c>
      <c r="Y2917">
        <v>0.12828639999999999</v>
      </c>
      <c r="Z2917">
        <v>1.5861040000000001E-3</v>
      </c>
      <c r="AA2917">
        <v>0.9917359</v>
      </c>
      <c r="AB2917">
        <v>43</v>
      </c>
      <c r="AC2917">
        <v>-42.994100000000003</v>
      </c>
      <c r="AD2917">
        <v>-1.1091354625309999</v>
      </c>
      <c r="AE2917">
        <v>5.6830000000000496</v>
      </c>
      <c r="AF2917">
        <v>5.59110888040468</v>
      </c>
      <c r="AG2917">
        <v>-1.1091354625309999</v>
      </c>
      <c r="AH2917">
        <v>42.977560123241702</v>
      </c>
      <c r="AI2917">
        <v>91.465974298255404</v>
      </c>
      <c r="AJ2917">
        <v>82.587809765090299</v>
      </c>
      <c r="AK2917">
        <v>43.353908176006897</v>
      </c>
      <c r="AL2917">
        <v>79.512885518424895</v>
      </c>
      <c r="AM2917">
        <v>91.338515470774198</v>
      </c>
      <c r="AN2917">
        <v>1.00000004369949</v>
      </c>
    </row>
    <row r="2918" spans="1:40" x14ac:dyDescent="0.25">
      <c r="A2918" t="str">
        <f>"20190312172137037"</f>
        <v>20190312172137037</v>
      </c>
      <c r="B2918" t="str">
        <f>"1552382497033353"</f>
        <v>1552382497033353</v>
      </c>
      <c r="C2918" t="s">
        <v>40</v>
      </c>
      <c r="D2918">
        <v>3.0101580000000001</v>
      </c>
      <c r="E2918">
        <v>0.5610714</v>
      </c>
      <c r="F2918" t="s">
        <v>47</v>
      </c>
      <c r="G2918">
        <v>-400.01440000000002</v>
      </c>
      <c r="H2918" s="1">
        <v>7.3895089999999998E-6</v>
      </c>
      <c r="I2918">
        <v>289.48669999999998</v>
      </c>
      <c r="J2918">
        <v>-356.75729999999999</v>
      </c>
      <c r="K2918">
        <v>1.109135</v>
      </c>
      <c r="L2918">
        <v>283.61110000000002</v>
      </c>
      <c r="M2918">
        <v>-0.9999517</v>
      </c>
      <c r="N2918">
        <v>0</v>
      </c>
      <c r="O2918">
        <v>2.2044500000000002E-3</v>
      </c>
      <c r="P2918">
        <v>-0.9848034</v>
      </c>
      <c r="Q2918">
        <v>0.17255780000000001</v>
      </c>
      <c r="R2918">
        <v>-1.9652840000000001E-2</v>
      </c>
      <c r="S2918">
        <v>-3.069</v>
      </c>
      <c r="T2918">
        <v>-7.8299640000000004E-2</v>
      </c>
      <c r="U2918">
        <v>0.41482540000000001</v>
      </c>
      <c r="V2918">
        <v>-2.166562E-2</v>
      </c>
      <c r="W2918">
        <v>0.18200740000000001</v>
      </c>
      <c r="X2918">
        <v>0.98305849999999995</v>
      </c>
      <c r="Y2918">
        <v>0.131721799999999</v>
      </c>
      <c r="Z2918">
        <v>1.616461E-3</v>
      </c>
      <c r="AA2918">
        <v>0.99128539999999998</v>
      </c>
      <c r="AB2918">
        <v>43</v>
      </c>
      <c r="AC2918">
        <v>-43.257100000000001</v>
      </c>
      <c r="AD2918">
        <v>-1.1091276104909999</v>
      </c>
      <c r="AE2918">
        <v>5.8755999999999604</v>
      </c>
      <c r="AF2918">
        <v>5.7764944002024903</v>
      </c>
      <c r="AG2918">
        <v>-1.1091276104909999</v>
      </c>
      <c r="AH2918">
        <v>43.242034414833597</v>
      </c>
      <c r="AI2918">
        <v>91.4563429743867</v>
      </c>
      <c r="AJ2918">
        <v>82.391180113262706</v>
      </c>
      <c r="AK2918">
        <v>43.640251969318101</v>
      </c>
      <c r="AL2918">
        <v>79.5132935067641</v>
      </c>
      <c r="AM2918">
        <v>91.262536933068006</v>
      </c>
      <c r="AN2918">
        <v>1.0000000535834901</v>
      </c>
    </row>
    <row r="2919" spans="1:40" x14ac:dyDescent="0.25">
      <c r="A2919" t="str">
        <f>"20190312172137049"</f>
        <v>20190312172137049</v>
      </c>
      <c r="B2919" t="str">
        <f>"1552382497044089"</f>
        <v>1552382497044089</v>
      </c>
      <c r="C2919" t="s">
        <v>40</v>
      </c>
      <c r="D2919">
        <v>3.0343589999999998</v>
      </c>
      <c r="E2919">
        <v>0.56132329999999997</v>
      </c>
      <c r="F2919" t="s">
        <v>46</v>
      </c>
      <c r="G2919">
        <v>-399.81110000000001</v>
      </c>
      <c r="H2919" s="1">
        <v>3.684185E-6</v>
      </c>
      <c r="I2919">
        <v>289.5376</v>
      </c>
      <c r="J2919">
        <v>-356.97620000000001</v>
      </c>
      <c r="K2919">
        <v>1.109132</v>
      </c>
      <c r="L2919">
        <v>283.61169999999998</v>
      </c>
      <c r="M2919">
        <v>-0.99995140000000005</v>
      </c>
      <c r="N2919">
        <v>0</v>
      </c>
      <c r="O2919">
        <v>2.3591850000000002E-3</v>
      </c>
      <c r="P2919">
        <v>-0.98479410000000001</v>
      </c>
      <c r="Q2919">
        <v>0.1727747</v>
      </c>
      <c r="R2919">
        <v>-1.815746E-2</v>
      </c>
      <c r="S2919">
        <v>-3.0685730000000002</v>
      </c>
      <c r="T2919">
        <v>-7.9051140000000006E-2</v>
      </c>
      <c r="U2919">
        <v>0.42239379999999999</v>
      </c>
      <c r="V2919">
        <v>-2.032225E-2</v>
      </c>
      <c r="W2919">
        <v>0.18222260000000001</v>
      </c>
      <c r="X2919">
        <v>0.98304720000000001</v>
      </c>
      <c r="Y2919">
        <v>0.1339852</v>
      </c>
      <c r="Z2919">
        <v>1.6569709999999999E-3</v>
      </c>
      <c r="AA2919">
        <v>0.99098189999999997</v>
      </c>
      <c r="AB2919">
        <v>43</v>
      </c>
      <c r="AC2919">
        <v>-42.834899999999998</v>
      </c>
      <c r="AD2919">
        <v>-1.109128315815</v>
      </c>
      <c r="AE2919">
        <v>5.9259000000000102</v>
      </c>
      <c r="AF2919">
        <v>5.8209940131469704</v>
      </c>
      <c r="AG2919">
        <v>-1.109128315815</v>
      </c>
      <c r="AH2919">
        <v>42.820591681883997</v>
      </c>
      <c r="AI2919">
        <v>91.470213117268102</v>
      </c>
      <c r="AJ2919">
        <v>82.258713695969902</v>
      </c>
      <c r="AK2919">
        <v>43.228661891257701</v>
      </c>
      <c r="AL2919">
        <v>79.500752482505305</v>
      </c>
      <c r="AM2919">
        <v>91.184290365373201</v>
      </c>
      <c r="AN2919">
        <v>0.99999993361182904</v>
      </c>
    </row>
    <row r="2920" spans="1:40" x14ac:dyDescent="0.25">
      <c r="A2920" t="str">
        <f>"20190312172137060"</f>
        <v>20190312172137060</v>
      </c>
      <c r="B2920" t="str">
        <f>"1552382497053849"</f>
        <v>1552382497053849</v>
      </c>
      <c r="C2920" t="s">
        <v>40</v>
      </c>
      <c r="D2920">
        <v>3.0045470000000001</v>
      </c>
      <c r="E2920">
        <v>0.5614306</v>
      </c>
      <c r="F2920" t="s">
        <v>46</v>
      </c>
      <c r="G2920">
        <v>-399.92750000000001</v>
      </c>
      <c r="H2920">
        <v>6.8890180000000002E-3</v>
      </c>
      <c r="I2920">
        <v>289.61630000000002</v>
      </c>
      <c r="J2920">
        <v>-357.1902</v>
      </c>
      <c r="K2920">
        <v>1.1091359999999999</v>
      </c>
      <c r="L2920">
        <v>283.6123</v>
      </c>
      <c r="M2920">
        <v>-0.99995100000000003</v>
      </c>
      <c r="N2920">
        <v>0</v>
      </c>
      <c r="O2920">
        <v>2.5105829999999998E-3</v>
      </c>
      <c r="P2920">
        <v>-0.98484430000000001</v>
      </c>
      <c r="Q2920">
        <v>0.17262449999999999</v>
      </c>
      <c r="R2920">
        <v>-1.6816580000000001E-2</v>
      </c>
      <c r="S2920">
        <v>-3.0681150000000001</v>
      </c>
      <c r="T2920">
        <v>-7.8735949999999999E-2</v>
      </c>
      <c r="U2920">
        <v>0.42892459999999999</v>
      </c>
      <c r="V2920">
        <v>-1.913074E-2</v>
      </c>
      <c r="W2920">
        <v>0.18207119999999999</v>
      </c>
      <c r="X2920">
        <v>0.98309919999999995</v>
      </c>
      <c r="Y2920">
        <v>0.1359242</v>
      </c>
      <c r="Z2920">
        <v>1.6712599999999999E-3</v>
      </c>
      <c r="AA2920">
        <v>0.99071779999999998</v>
      </c>
      <c r="AB2920">
        <v>43</v>
      </c>
      <c r="AC2920">
        <v>-42.737299999999998</v>
      </c>
      <c r="AD2920">
        <v>-1.102246982</v>
      </c>
      <c r="AE2920">
        <v>6.0040000000000102</v>
      </c>
      <c r="AF2920">
        <v>5.8928366465707098</v>
      </c>
      <c r="AG2920">
        <v>-1.102246982</v>
      </c>
      <c r="AH2920">
        <v>42.724369886990999</v>
      </c>
      <c r="AI2920">
        <v>91.463993641605597</v>
      </c>
      <c r="AJ2920">
        <v>82.146923436232797</v>
      </c>
      <c r="AK2920">
        <v>43.142928208374002</v>
      </c>
      <c r="AL2920">
        <v>79.509575055140004</v>
      </c>
      <c r="AM2920">
        <v>91.114813576406107</v>
      </c>
      <c r="AN2920">
        <v>0.99999997206151303</v>
      </c>
    </row>
    <row r="2921" spans="1:40" x14ac:dyDescent="0.25">
      <c r="A2921" t="str">
        <f>"20190312172137071"</f>
        <v>20190312172137071</v>
      </c>
      <c r="B2921" t="str">
        <f>"1552382497063610"</f>
        <v>1552382497063610</v>
      </c>
      <c r="C2921" t="s">
        <v>40</v>
      </c>
      <c r="D2921">
        <v>3.05227</v>
      </c>
      <c r="E2921">
        <v>0.56151240000000002</v>
      </c>
      <c r="F2921" t="s">
        <v>46</v>
      </c>
      <c r="G2921">
        <v>-399.64530000000002</v>
      </c>
      <c r="H2921">
        <v>8.2341250000000001E-3</v>
      </c>
      <c r="I2921">
        <v>289.61630000000002</v>
      </c>
      <c r="J2921">
        <v>-357.41160000000002</v>
      </c>
      <c r="K2921">
        <v>1.109132</v>
      </c>
      <c r="L2921">
        <v>283.613</v>
      </c>
      <c r="M2921">
        <v>-0.99995060000000002</v>
      </c>
      <c r="N2921">
        <v>0</v>
      </c>
      <c r="O2921">
        <v>2.6666400000000001E-3</v>
      </c>
      <c r="P2921">
        <v>-0.98487809999999998</v>
      </c>
      <c r="Q2921">
        <v>0.17255379999999901</v>
      </c>
      <c r="R2921">
        <v>-1.550786E-2</v>
      </c>
      <c r="S2921">
        <v>-3.0675050000000001</v>
      </c>
      <c r="T2921">
        <v>-7.9543470000000005E-2</v>
      </c>
      <c r="U2921">
        <v>0.43380740000000001</v>
      </c>
      <c r="V2921">
        <v>-1.79759E-2</v>
      </c>
      <c r="W2921">
        <v>0.18199799999999999</v>
      </c>
      <c r="X2921">
        <v>0.98313459999999997</v>
      </c>
      <c r="Y2921">
        <v>0.13734160000000001</v>
      </c>
      <c r="Z2921">
        <v>1.7027989999999901E-3</v>
      </c>
      <c r="AA2921">
        <v>0.99052229999999997</v>
      </c>
      <c r="AB2921">
        <v>43</v>
      </c>
      <c r="AC2921">
        <v>-42.233699999999999</v>
      </c>
      <c r="AD2921">
        <v>-1.100897875</v>
      </c>
      <c r="AE2921">
        <v>6.0033000000000198</v>
      </c>
      <c r="AF2921">
        <v>5.88673072659551</v>
      </c>
      <c r="AG2921">
        <v>-1.100897875</v>
      </c>
      <c r="AH2921">
        <v>42.221438809309703</v>
      </c>
      <c r="AI2921">
        <v>91.479310766214695</v>
      </c>
      <c r="AJ2921">
        <v>82.062695103174605</v>
      </c>
      <c r="AK2921">
        <v>42.644055504922498</v>
      </c>
      <c r="AL2921">
        <v>79.513840914594695</v>
      </c>
      <c r="AM2921">
        <v>91.047494870950899</v>
      </c>
      <c r="AN2921">
        <v>1.00000002335098</v>
      </c>
    </row>
    <row r="2922" spans="1:40" x14ac:dyDescent="0.25">
      <c r="A2922" t="str">
        <f>"20190312172137083"</f>
        <v>20190312172137083</v>
      </c>
      <c r="B2922" t="str">
        <f>"1552382497073370"</f>
        <v>1552382497073370</v>
      </c>
      <c r="C2922" t="s">
        <v>40</v>
      </c>
      <c r="D2922">
        <v>3.0638960000000002</v>
      </c>
      <c r="E2922">
        <v>0.56157950000000001</v>
      </c>
      <c r="F2922" t="s">
        <v>46</v>
      </c>
      <c r="G2922">
        <v>-399.3888</v>
      </c>
      <c r="H2922">
        <v>9.1333070000000002E-3</v>
      </c>
      <c r="I2922">
        <v>289.61630000000002</v>
      </c>
      <c r="J2922">
        <v>-357.62040000000002</v>
      </c>
      <c r="K2922">
        <v>1.1091299999999999</v>
      </c>
      <c r="L2922">
        <v>283.61360000000002</v>
      </c>
      <c r="M2922">
        <v>-0.99995029999999996</v>
      </c>
      <c r="N2922">
        <v>0</v>
      </c>
      <c r="O2922">
        <v>2.8139929999999999E-3</v>
      </c>
      <c r="P2922">
        <v>-0.98491470000000003</v>
      </c>
      <c r="Q2922">
        <v>0.1724366</v>
      </c>
      <c r="R2922">
        <v>-1.4460880000000001E-2</v>
      </c>
      <c r="S2922">
        <v>-3.0670470000000001</v>
      </c>
      <c r="T2922">
        <v>-8.0371020000000001E-2</v>
      </c>
      <c r="U2922">
        <v>0.4386292</v>
      </c>
      <c r="V2922">
        <v>-1.7073850000000002E-2</v>
      </c>
      <c r="W2922">
        <v>0.1818785</v>
      </c>
      <c r="X2922">
        <v>0.98317279999999996</v>
      </c>
      <c r="Y2922">
        <v>0.138741</v>
      </c>
      <c r="Z2922">
        <v>1.734972E-3</v>
      </c>
      <c r="AA2922">
        <v>0.99032719999999996</v>
      </c>
      <c r="AB2922">
        <v>43</v>
      </c>
      <c r="AC2922">
        <v>-41.7683999999999</v>
      </c>
      <c r="AD2922">
        <v>-1.099996693</v>
      </c>
      <c r="AE2922">
        <v>6.0026999999999999</v>
      </c>
      <c r="AF2922">
        <v>5.8811384594378104</v>
      </c>
      <c r="AG2922">
        <v>-1.099996693</v>
      </c>
      <c r="AH2922">
        <v>41.756751972201599</v>
      </c>
      <c r="AI2922">
        <v>91.494250835502598</v>
      </c>
      <c r="AJ2922">
        <v>81.983033684122304</v>
      </c>
      <c r="AK2922">
        <v>42.183220806046201</v>
      </c>
      <c r="AL2922">
        <v>79.520804043114495</v>
      </c>
      <c r="AM2922">
        <v>90.994902647333106</v>
      </c>
      <c r="AN2922">
        <v>1.0000000298879499</v>
      </c>
    </row>
    <row r="2923" spans="1:40" x14ac:dyDescent="0.25">
      <c r="A2923" t="str">
        <f>"20190312172137093"</f>
        <v>20190312172137093</v>
      </c>
      <c r="B2923" t="str">
        <f>"1552382497084105"</f>
        <v>1552382497084105</v>
      </c>
      <c r="C2923" t="s">
        <v>40</v>
      </c>
      <c r="D2923">
        <v>3.028956</v>
      </c>
      <c r="E2923">
        <v>0.56164019999999903</v>
      </c>
      <c r="F2923" t="s">
        <v>46</v>
      </c>
      <c r="G2923">
        <v>-399.23790000000002</v>
      </c>
      <c r="H2923">
        <v>1.8575210000000002E-2</v>
      </c>
      <c r="I2923">
        <v>289.61630000000002</v>
      </c>
      <c r="J2923">
        <v>-357.84140000000002</v>
      </c>
      <c r="K2923">
        <v>1.109129</v>
      </c>
      <c r="L2923">
        <v>283.61439999999999</v>
      </c>
      <c r="M2923">
        <v>-0.9999498</v>
      </c>
      <c r="N2923">
        <v>0</v>
      </c>
      <c r="O2923">
        <v>2.9702270000000002E-3</v>
      </c>
      <c r="P2923">
        <v>-0.9849291</v>
      </c>
      <c r="Q2923">
        <v>0.17245269999999999</v>
      </c>
      <c r="R2923">
        <v>-1.3238430000000001E-2</v>
      </c>
      <c r="S2923">
        <v>-3.0664669999999998</v>
      </c>
      <c r="T2923">
        <v>-8.0354449999999994E-2</v>
      </c>
      <c r="U2923">
        <v>0.4422913</v>
      </c>
      <c r="V2923">
        <v>-1.6004910000000001E-2</v>
      </c>
      <c r="W2923">
        <v>0.1818911</v>
      </c>
      <c r="X2923">
        <v>0.98318839999999996</v>
      </c>
      <c r="Y2923">
        <v>0.139770899999999</v>
      </c>
      <c r="Z2923">
        <v>1.7441430000000001E-3</v>
      </c>
      <c r="AA2923">
        <v>0.99018229999999996</v>
      </c>
      <c r="AB2923">
        <v>43</v>
      </c>
      <c r="AC2923">
        <v>-41.396500000000003</v>
      </c>
      <c r="AD2923">
        <v>-1.09055379</v>
      </c>
      <c r="AE2923">
        <v>6.0019000000000302</v>
      </c>
      <c r="AF2923">
        <v>5.8749175701939604</v>
      </c>
      <c r="AG2923">
        <v>-1.09055379</v>
      </c>
      <c r="AH2923">
        <v>41.386014150564201</v>
      </c>
      <c r="AI2923">
        <v>91.494463765737095</v>
      </c>
      <c r="AJ2923">
        <v>81.920605463516907</v>
      </c>
      <c r="AK2923">
        <v>41.815142368478902</v>
      </c>
      <c r="AL2923">
        <v>79.520069337745099</v>
      </c>
      <c r="AM2923">
        <v>90.932611498348095</v>
      </c>
      <c r="AN2923">
        <v>0.99999997964893805</v>
      </c>
    </row>
    <row r="2924" spans="1:40" x14ac:dyDescent="0.25">
      <c r="A2924" t="str">
        <f>"20190312172137107"</f>
        <v>20190312172137107</v>
      </c>
      <c r="B2924" t="str">
        <f>"1552382497104131"</f>
        <v>1552382497104131</v>
      </c>
      <c r="C2924" t="s">
        <v>40</v>
      </c>
      <c r="D2924">
        <v>3.0074100000000001</v>
      </c>
      <c r="E2924">
        <v>0.56166590000000005</v>
      </c>
      <c r="F2924" t="s">
        <v>46</v>
      </c>
      <c r="G2924">
        <v>-399.05009999999999</v>
      </c>
      <c r="H2924">
        <v>3.5099449999999997E-2</v>
      </c>
      <c r="I2924">
        <v>289.61630000000002</v>
      </c>
      <c r="J2924">
        <v>-358.0641</v>
      </c>
      <c r="K2924">
        <v>1.1091260000000001</v>
      </c>
      <c r="L2924">
        <v>283.61520000000002</v>
      </c>
      <c r="M2924">
        <v>-0.99994930000000004</v>
      </c>
      <c r="N2924">
        <v>0</v>
      </c>
      <c r="O2924">
        <v>3.1274190000000002E-3</v>
      </c>
      <c r="P2924">
        <v>-0.98494820000000005</v>
      </c>
      <c r="Q2924">
        <v>0.17242080000000001</v>
      </c>
      <c r="R2924">
        <v>-1.21694E-2</v>
      </c>
      <c r="S2924">
        <v>-3.0658569999999998</v>
      </c>
      <c r="T2924">
        <v>-7.9905989999999996E-2</v>
      </c>
      <c r="U2924">
        <v>0.44653320000000002</v>
      </c>
      <c r="V2924">
        <v>-1.5090799999999901E-2</v>
      </c>
      <c r="W2924">
        <v>0.1818555</v>
      </c>
      <c r="X2924">
        <v>0.98320949999999996</v>
      </c>
      <c r="Y2924">
        <v>0.140985</v>
      </c>
      <c r="Z2924">
        <v>1.7462440000000001E-3</v>
      </c>
      <c r="AA2924">
        <v>0.99001019999999895</v>
      </c>
      <c r="AB2924">
        <v>43</v>
      </c>
      <c r="AC2924">
        <v>-40.985999999999898</v>
      </c>
      <c r="AD2924">
        <v>-1.0740265499999999</v>
      </c>
      <c r="AE2924">
        <v>6.0011000000000001</v>
      </c>
      <c r="AF2924">
        <v>5.8689388427809801</v>
      </c>
      <c r="AG2924">
        <v>-1.0740265499999999</v>
      </c>
      <c r="AH2924">
        <v>40.977020540778099</v>
      </c>
      <c r="AI2924">
        <v>91.486245266670693</v>
      </c>
      <c r="AJ2924">
        <v>81.849236627336097</v>
      </c>
      <c r="AK2924">
        <v>41.409107555823397</v>
      </c>
      <c r="AL2924">
        <v>79.522144281576701</v>
      </c>
      <c r="AM2924">
        <v>90.879335749687698</v>
      </c>
      <c r="AN2924">
        <v>1.00000003800756</v>
      </c>
    </row>
    <row r="2925" spans="1:40" x14ac:dyDescent="0.25">
      <c r="A2925" t="str">
        <f>"20190312172137117"</f>
        <v>20190312172137117</v>
      </c>
      <c r="B2925" t="str">
        <f>"1552382497113890"</f>
        <v>1552382497113890</v>
      </c>
      <c r="C2925" t="s">
        <v>40</v>
      </c>
      <c r="D2925">
        <v>3.024867</v>
      </c>
      <c r="E2925">
        <v>0.5616428</v>
      </c>
      <c r="F2925" t="s">
        <v>46</v>
      </c>
      <c r="G2925">
        <v>-398.9529</v>
      </c>
      <c r="H2925">
        <v>3.2614310000000001E-2</v>
      </c>
      <c r="I2925">
        <v>289.61630000000002</v>
      </c>
      <c r="J2925">
        <v>-358.29610000000002</v>
      </c>
      <c r="K2925">
        <v>1.109124</v>
      </c>
      <c r="L2925">
        <v>283.61599999999999</v>
      </c>
      <c r="M2925">
        <v>-0.99994890000000003</v>
      </c>
      <c r="N2925">
        <v>0</v>
      </c>
      <c r="O2925">
        <v>3.291052E-3</v>
      </c>
      <c r="P2925">
        <v>-0.98497619999999997</v>
      </c>
      <c r="Q2925">
        <v>0.17232939999999999</v>
      </c>
      <c r="R2925">
        <v>-1.1156040000000001E-2</v>
      </c>
      <c r="S2925">
        <v>-3.0655209999999999</v>
      </c>
      <c r="T2925">
        <v>-8.0708500000000002E-2</v>
      </c>
      <c r="U2925">
        <v>0.44992070000000001</v>
      </c>
      <c r="V2925">
        <v>-1.423872E-2</v>
      </c>
      <c r="W2925">
        <v>0.18175939999999999</v>
      </c>
      <c r="X2925">
        <v>0.98323990000000006</v>
      </c>
      <c r="Y2925">
        <v>0.14190829999999999</v>
      </c>
      <c r="Z2925">
        <v>1.7716299999999999E-3</v>
      </c>
      <c r="AA2925">
        <v>0.98987820000000004</v>
      </c>
      <c r="AB2925">
        <v>43</v>
      </c>
      <c r="AC2925">
        <v>-40.656799999999897</v>
      </c>
      <c r="AD2925">
        <v>-1.07650969</v>
      </c>
      <c r="AE2925">
        <v>6.0003000000000304</v>
      </c>
      <c r="AF2925">
        <v>5.8624353051059597</v>
      </c>
      <c r="AG2925">
        <v>-1.07650969</v>
      </c>
      <c r="AH2925">
        <v>40.6484375549568</v>
      </c>
      <c r="AI2925">
        <v>91.501505409273904</v>
      </c>
      <c r="AJ2925">
        <v>81.793225604874706</v>
      </c>
      <c r="AK2925">
        <v>41.083116927497599</v>
      </c>
      <c r="AL2925">
        <v>79.527742907532101</v>
      </c>
      <c r="AM2925">
        <v>90.829666839101094</v>
      </c>
      <c r="AN2925">
        <v>0.99999996079380304</v>
      </c>
    </row>
    <row r="2926" spans="1:40" x14ac:dyDescent="0.25">
      <c r="A2926" t="str">
        <f>"20190312172137130"</f>
        <v>20190312172137130</v>
      </c>
      <c r="B2926" t="str">
        <f>"1552382497123650"</f>
        <v>1552382497123650</v>
      </c>
      <c r="C2926" t="s">
        <v>40</v>
      </c>
      <c r="D2926">
        <v>3.016785</v>
      </c>
      <c r="E2926">
        <v>0.56158450000000004</v>
      </c>
      <c r="F2926" t="s">
        <v>46</v>
      </c>
      <c r="G2926">
        <v>-398.90309999999999</v>
      </c>
      <c r="H2926">
        <v>3.5685109999999999E-2</v>
      </c>
      <c r="I2926">
        <v>289.61630000000002</v>
      </c>
      <c r="J2926">
        <v>-358.51589999999999</v>
      </c>
      <c r="K2926">
        <v>1.1091120000000001</v>
      </c>
      <c r="L2926">
        <v>283.61680000000001</v>
      </c>
      <c r="M2926">
        <v>-0.99994839999999996</v>
      </c>
      <c r="N2926">
        <v>0</v>
      </c>
      <c r="O2926">
        <v>3.446106E-3</v>
      </c>
      <c r="P2926">
        <v>-0.98497449999999998</v>
      </c>
      <c r="Q2926">
        <v>0.172404799999999</v>
      </c>
      <c r="R2926">
        <v>-1.010205E-2</v>
      </c>
      <c r="S2926">
        <v>-3.0650629999999999</v>
      </c>
      <c r="T2926">
        <v>-8.1024170000000006E-2</v>
      </c>
      <c r="U2926">
        <v>0.45291140000000002</v>
      </c>
      <c r="V2926">
        <v>-1.333695E-2</v>
      </c>
      <c r="W2926">
        <v>0.1818292</v>
      </c>
      <c r="X2926">
        <v>0.98323970000000005</v>
      </c>
      <c r="Y2926">
        <v>0.14272079999999901</v>
      </c>
      <c r="Z2926">
        <v>1.7852969999999999E-3</v>
      </c>
      <c r="AA2926">
        <v>0.98976140000000001</v>
      </c>
      <c r="AB2926">
        <v>43</v>
      </c>
      <c r="AC2926">
        <v>-40.3872</v>
      </c>
      <c r="AD2926">
        <v>-1.0734268899999999</v>
      </c>
      <c r="AE2926">
        <v>5.99950000000001</v>
      </c>
      <c r="AF2926">
        <v>5.8562318564020801</v>
      </c>
      <c r="AG2926">
        <v>-1.0734268899999999</v>
      </c>
      <c r="AH2926">
        <v>40.3797272020592</v>
      </c>
      <c r="AI2926">
        <v>91.5069942005005</v>
      </c>
      <c r="AJ2926">
        <v>81.747984859585699</v>
      </c>
      <c r="AK2926">
        <v>40.816296570816299</v>
      </c>
      <c r="AL2926">
        <v>79.523676518119103</v>
      </c>
      <c r="AM2926">
        <v>90.777129001575801</v>
      </c>
      <c r="AN2926">
        <v>1.00000001993201</v>
      </c>
    </row>
    <row r="2927" spans="1:40" x14ac:dyDescent="0.25">
      <c r="A2927" t="str">
        <f>"20190312172137142"</f>
        <v>20190312172137142</v>
      </c>
      <c r="B2927" t="str">
        <f>"1552382497133411"</f>
        <v>1552382497133411</v>
      </c>
      <c r="C2927" t="s">
        <v>40</v>
      </c>
      <c r="D2927">
        <v>3.0440689999999999</v>
      </c>
      <c r="E2927">
        <v>0.56145009999999995</v>
      </c>
      <c r="F2927" t="s">
        <v>46</v>
      </c>
      <c r="G2927">
        <v>-398.88060000000002</v>
      </c>
      <c r="H2927">
        <v>4.2184140000000002E-2</v>
      </c>
      <c r="I2927">
        <v>289.61630000000002</v>
      </c>
      <c r="J2927">
        <v>-358.75069999999999</v>
      </c>
      <c r="K2927">
        <v>1.1091089999999999</v>
      </c>
      <c r="L2927">
        <v>283.61770000000001</v>
      </c>
      <c r="M2927">
        <v>-0.99994780000000005</v>
      </c>
      <c r="N2927">
        <v>0</v>
      </c>
      <c r="O2927">
        <v>3.6117129999999999E-3</v>
      </c>
      <c r="P2927">
        <v>-0.9849812</v>
      </c>
      <c r="Q2927">
        <v>0.17241489999999901</v>
      </c>
      <c r="R2927">
        <v>-9.2320949999999992E-3</v>
      </c>
      <c r="S2927">
        <v>-3.0646360000000001</v>
      </c>
      <c r="T2927">
        <v>-8.1005099999999997E-2</v>
      </c>
      <c r="U2927">
        <v>0.4555054</v>
      </c>
      <c r="V2927">
        <v>-1.2629919999999999E-2</v>
      </c>
      <c r="W2927">
        <v>0.18183350000000001</v>
      </c>
      <c r="X2927">
        <v>0.98324820000000002</v>
      </c>
      <c r="Y2927">
        <v>0.14339640000000001</v>
      </c>
      <c r="Z2927">
        <v>1.7895389999999999E-3</v>
      </c>
      <c r="AA2927">
        <v>0.98966370000000004</v>
      </c>
      <c r="AB2927">
        <v>43</v>
      </c>
      <c r="AC2927">
        <v>-40.129899999999999</v>
      </c>
      <c r="AD2927">
        <v>-1.0669248600000001</v>
      </c>
      <c r="AE2927">
        <v>5.9985999999999997</v>
      </c>
      <c r="AF2927">
        <v>5.8495721288303804</v>
      </c>
      <c r="AG2927">
        <v>-1.0669248600000001</v>
      </c>
      <c r="AH2927">
        <v>40.123562697493</v>
      </c>
      <c r="AI2927">
        <v>91.507265658674996</v>
      </c>
      <c r="AJ2927">
        <v>81.705344993463896</v>
      </c>
      <c r="AK2927">
        <v>40.561756696264197</v>
      </c>
      <c r="AL2927">
        <v>79.523425543330404</v>
      </c>
      <c r="AM2927">
        <v>90.735929459211903</v>
      </c>
      <c r="AN2927">
        <v>0.999999979702348</v>
      </c>
    </row>
    <row r="2928" spans="1:40" x14ac:dyDescent="0.25">
      <c r="A2928" t="str">
        <f>"20190312172137152"</f>
        <v>20190312172137152</v>
      </c>
      <c r="B2928" t="str">
        <f>"1552382497144148"</f>
        <v>1552382497144148</v>
      </c>
      <c r="C2928" t="s">
        <v>40</v>
      </c>
      <c r="D2928">
        <v>3.037042</v>
      </c>
      <c r="E2928">
        <v>0.5613184</v>
      </c>
      <c r="F2928" t="s">
        <v>46</v>
      </c>
      <c r="G2928">
        <v>-398.9563</v>
      </c>
      <c r="H2928">
        <v>4.057649E-2</v>
      </c>
      <c r="I2928">
        <v>289.61630000000002</v>
      </c>
      <c r="J2928">
        <v>-358.97059999999999</v>
      </c>
      <c r="K2928">
        <v>1.109105</v>
      </c>
      <c r="L2928">
        <v>283.61869999999999</v>
      </c>
      <c r="M2928">
        <v>-0.99994729999999998</v>
      </c>
      <c r="N2928">
        <v>0</v>
      </c>
      <c r="O2928">
        <v>3.766531E-3</v>
      </c>
      <c r="P2928">
        <v>-0.98496700000000004</v>
      </c>
      <c r="Q2928">
        <v>0.17253279999999999</v>
      </c>
      <c r="R2928">
        <v>-8.5140019999999997E-3</v>
      </c>
      <c r="S2928">
        <v>-3.06427</v>
      </c>
      <c r="T2928">
        <v>-8.1438300000000005E-2</v>
      </c>
      <c r="U2928">
        <v>0.45718379999999997</v>
      </c>
      <c r="V2928">
        <v>-1.206423E-2</v>
      </c>
      <c r="W2928">
        <v>0.18194550000000001</v>
      </c>
      <c r="X2928">
        <v>0.98323459999999996</v>
      </c>
      <c r="Y2928">
        <v>0.1437901</v>
      </c>
      <c r="Z2928">
        <v>1.8003579999999999E-3</v>
      </c>
      <c r="AA2928">
        <v>0.9896066</v>
      </c>
      <c r="AB2928">
        <v>43</v>
      </c>
      <c r="AC2928">
        <v>-39.985700000000001</v>
      </c>
      <c r="AD2928">
        <v>-1.0685285099999999</v>
      </c>
      <c r="AE2928">
        <v>5.9976000000000296</v>
      </c>
      <c r="AF2928">
        <v>5.84286258669772</v>
      </c>
      <c r="AG2928">
        <v>-1.0685285099999999</v>
      </c>
      <c r="AH2928">
        <v>39.980085675791997</v>
      </c>
      <c r="AI2928">
        <v>91.514867961391502</v>
      </c>
      <c r="AJ2928">
        <v>81.685408423829102</v>
      </c>
      <c r="AK2928">
        <v>40.418907048897097</v>
      </c>
      <c r="AL2928">
        <v>79.516899713955198</v>
      </c>
      <c r="AM2928">
        <v>90.702980526395393</v>
      </c>
      <c r="AN2928">
        <v>0.99999999462645095</v>
      </c>
    </row>
    <row r="2929" spans="1:40" x14ac:dyDescent="0.25">
      <c r="A2929" t="str">
        <f>"20190312172137164"</f>
        <v>20190312172137164</v>
      </c>
      <c r="B2929" t="str">
        <f>"1552382497153907"</f>
        <v>1552382497153907</v>
      </c>
      <c r="C2929" t="s">
        <v>40</v>
      </c>
      <c r="D2929">
        <v>3.0169959999999998</v>
      </c>
      <c r="E2929">
        <v>0.56112459999999997</v>
      </c>
      <c r="F2929" t="s">
        <v>46</v>
      </c>
      <c r="G2929">
        <v>-399.08609999999999</v>
      </c>
      <c r="H2929">
        <v>4.5902999999999999E-2</v>
      </c>
      <c r="I2929">
        <v>289.61630000000002</v>
      </c>
      <c r="J2929">
        <v>-359.17880000000002</v>
      </c>
      <c r="K2929">
        <v>1.1091040000000001</v>
      </c>
      <c r="L2929">
        <v>283.61950000000002</v>
      </c>
      <c r="M2929">
        <v>-0.99994680000000002</v>
      </c>
      <c r="N2929">
        <v>0</v>
      </c>
      <c r="O2929">
        <v>3.9133010000000001E-3</v>
      </c>
      <c r="P2929">
        <v>-0.98495880000000002</v>
      </c>
      <c r="Q2929">
        <v>0.17261290000000001</v>
      </c>
      <c r="R2929">
        <v>-7.8117669999999998E-3</v>
      </c>
      <c r="S2929">
        <v>-3.0639949999999998</v>
      </c>
      <c r="T2929">
        <v>-8.1206680000000003E-2</v>
      </c>
      <c r="U2929">
        <v>0.45809939999999999</v>
      </c>
      <c r="V2929">
        <v>-1.150614E-2</v>
      </c>
      <c r="W2929">
        <v>0.1820196</v>
      </c>
      <c r="X2929">
        <v>0.98322759999999998</v>
      </c>
      <c r="Y2929">
        <v>0.1439473</v>
      </c>
      <c r="Z2929">
        <v>1.793563E-3</v>
      </c>
      <c r="AA2929">
        <v>0.98958369999999996</v>
      </c>
      <c r="AB2929">
        <v>43</v>
      </c>
      <c r="AC2929">
        <v>-39.9072999999999</v>
      </c>
      <c r="AD2929">
        <v>-1.0632010000000001</v>
      </c>
      <c r="AE2929">
        <v>5.9968000000000004</v>
      </c>
      <c r="AF2929">
        <v>5.8365264950990001</v>
      </c>
      <c r="AG2929">
        <v>-1.0632010000000001</v>
      </c>
      <c r="AH2929">
        <v>39.902765830856502</v>
      </c>
      <c r="AI2929">
        <v>91.510211077807796</v>
      </c>
      <c r="AJ2929">
        <v>81.678430197743296</v>
      </c>
      <c r="AK2929">
        <v>40.341370314437299</v>
      </c>
      <c r="AL2929">
        <v>79.5125822645835</v>
      </c>
      <c r="AM2929">
        <v>90.670468535260497</v>
      </c>
      <c r="AN2929">
        <v>1.0000000197218</v>
      </c>
    </row>
    <row r="2930" spans="1:40" x14ac:dyDescent="0.25">
      <c r="A2930" t="str">
        <f>"20190312172137175"</f>
        <v>20190312172137175</v>
      </c>
      <c r="B2930" t="str">
        <f>"1552382497163668"</f>
        <v>1552382497163668</v>
      </c>
      <c r="C2930" t="s">
        <v>40</v>
      </c>
      <c r="D2930">
        <v>3.0104160000000002</v>
      </c>
      <c r="E2930">
        <v>0.56098749999999997</v>
      </c>
      <c r="F2930" t="s">
        <v>46</v>
      </c>
      <c r="G2930">
        <v>-399.24209999999999</v>
      </c>
      <c r="H2930">
        <v>4.4282269999999999E-2</v>
      </c>
      <c r="I2930">
        <v>289.61630000000002</v>
      </c>
      <c r="J2930">
        <v>-359.40350000000001</v>
      </c>
      <c r="K2930">
        <v>1.1091009999999999</v>
      </c>
      <c r="L2930">
        <v>283.62049999999999</v>
      </c>
      <c r="M2930">
        <v>-0.99994620000000001</v>
      </c>
      <c r="N2930">
        <v>0</v>
      </c>
      <c r="O2930">
        <v>4.0716329999999998E-3</v>
      </c>
      <c r="P2930">
        <v>-0.98497239999999997</v>
      </c>
      <c r="Q2930">
        <v>0.1725565</v>
      </c>
      <c r="R2930">
        <v>-7.31782099999999E-3</v>
      </c>
      <c r="S2930">
        <v>-3.0637210000000001</v>
      </c>
      <c r="T2930">
        <v>-8.1429119999999994E-2</v>
      </c>
      <c r="U2930">
        <v>0.45858759999999998</v>
      </c>
      <c r="V2930">
        <v>-1.116871E-2</v>
      </c>
      <c r="W2930">
        <v>0.18195819999999999</v>
      </c>
      <c r="X2930">
        <v>0.98324279999999997</v>
      </c>
      <c r="Y2930">
        <v>0.14395759999999999</v>
      </c>
      <c r="Z2930">
        <v>1.7945649999999999E-3</v>
      </c>
      <c r="AA2930">
        <v>0.98958219999999997</v>
      </c>
      <c r="AB2930">
        <v>43</v>
      </c>
      <c r="AC2930">
        <v>-39.8385999999999</v>
      </c>
      <c r="AD2930">
        <v>-1.06481873</v>
      </c>
      <c r="AE2930">
        <v>5.9958000000000302</v>
      </c>
      <c r="AF2930">
        <v>5.8294624118974596</v>
      </c>
      <c r="AG2930">
        <v>-1.06481873</v>
      </c>
      <c r="AH2930">
        <v>39.834855739052202</v>
      </c>
      <c r="AI2930">
        <v>91.515069581883097</v>
      </c>
      <c r="AJ2930">
        <v>81.674390044598596</v>
      </c>
      <c r="AK2930">
        <v>40.273219422968701</v>
      </c>
      <c r="AL2930">
        <v>79.516159392820299</v>
      </c>
      <c r="AM2930">
        <v>90.650797977034003</v>
      </c>
      <c r="AN2930">
        <v>0.99999996519107104</v>
      </c>
    </row>
    <row r="2931" spans="1:40" x14ac:dyDescent="0.25">
      <c r="A2931" t="str">
        <f>"20190312172137189"</f>
        <v>20190312172137189</v>
      </c>
      <c r="B2931" t="str">
        <f>"1552382497184164"</f>
        <v>1552382497184164</v>
      </c>
      <c r="C2931" t="s">
        <v>40</v>
      </c>
      <c r="D2931">
        <v>2.9988000000000001</v>
      </c>
      <c r="E2931">
        <v>0.56068759999999995</v>
      </c>
      <c r="F2931" t="s">
        <v>46</v>
      </c>
      <c r="G2931">
        <v>-399.4255</v>
      </c>
      <c r="H2931">
        <v>4.0559629999999999E-2</v>
      </c>
      <c r="I2931">
        <v>289.61630000000002</v>
      </c>
      <c r="J2931">
        <v>-359.6506</v>
      </c>
      <c r="K2931">
        <v>1.1090979999999999</v>
      </c>
      <c r="L2931">
        <v>283.6216</v>
      </c>
      <c r="M2931">
        <v>-0.99994550000000004</v>
      </c>
      <c r="N2931">
        <v>0</v>
      </c>
      <c r="O2931">
        <v>4.2459430000000003E-3</v>
      </c>
      <c r="P2931">
        <v>-0.98495140000000003</v>
      </c>
      <c r="Q2931">
        <v>0.1726917</v>
      </c>
      <c r="R2931">
        <v>-6.962874E-3</v>
      </c>
      <c r="S2931">
        <v>-3.063507</v>
      </c>
      <c r="T2931">
        <v>-8.1792119999999996E-2</v>
      </c>
      <c r="U2931">
        <v>0.45895390000000003</v>
      </c>
      <c r="V2931">
        <v>-1.098465E-2</v>
      </c>
      <c r="W2931">
        <v>0.18208659999999999</v>
      </c>
      <c r="X2931">
        <v>0.98322109999999996</v>
      </c>
      <c r="Y2931">
        <v>0.1439105</v>
      </c>
      <c r="Z2931">
        <v>1.797419E-3</v>
      </c>
      <c r="AA2931">
        <v>0.9895891</v>
      </c>
      <c r="AB2931">
        <v>43</v>
      </c>
      <c r="AC2931">
        <v>-39.774900000000002</v>
      </c>
      <c r="AD2931">
        <v>-1.06853837</v>
      </c>
      <c r="AE2931">
        <v>5.9947000000000203</v>
      </c>
      <c r="AF2931">
        <v>5.8216481020880799</v>
      </c>
      <c r="AG2931">
        <v>-1.06853837</v>
      </c>
      <c r="AH2931">
        <v>39.771929521786099</v>
      </c>
      <c r="AI2931">
        <v>91.522756264526805</v>
      </c>
      <c r="AJ2931">
        <v>81.672423444326697</v>
      </c>
      <c r="AK2931">
        <v>40.209945769157997</v>
      </c>
      <c r="AL2931">
        <v>79.508677592673607</v>
      </c>
      <c r="AM2931">
        <v>90.640087871468793</v>
      </c>
      <c r="AN2931">
        <v>0.99999996196019503</v>
      </c>
    </row>
    <row r="2932" spans="1:40" x14ac:dyDescent="0.25">
      <c r="A2932" t="str">
        <f>"20190312172137205"</f>
        <v>20190312172137205</v>
      </c>
      <c r="B2932" t="str">
        <f>"1552382497193924"</f>
        <v>1552382497193924</v>
      </c>
      <c r="C2932" t="s">
        <v>40</v>
      </c>
      <c r="D2932">
        <v>3.0069880000000002</v>
      </c>
      <c r="E2932">
        <v>0.56055089999999996</v>
      </c>
      <c r="F2932" t="s">
        <v>46</v>
      </c>
      <c r="G2932">
        <v>-399.79820000000001</v>
      </c>
      <c r="H2932">
        <v>3.3197780000000003E-2</v>
      </c>
      <c r="I2932">
        <v>289.61630000000002</v>
      </c>
      <c r="J2932">
        <v>-359.94929999999999</v>
      </c>
      <c r="K2932">
        <v>1.1090979999999999</v>
      </c>
      <c r="L2932">
        <v>283.62299999999999</v>
      </c>
      <c r="M2932">
        <v>-0.99994470000000002</v>
      </c>
      <c r="N2932">
        <v>0</v>
      </c>
      <c r="O2932">
        <v>4.4564460000000002E-3</v>
      </c>
      <c r="P2932">
        <v>-0.98493660000000005</v>
      </c>
      <c r="Q2932">
        <v>0.17278840000000001</v>
      </c>
      <c r="R2932">
        <v>-6.6580750000000003E-3</v>
      </c>
      <c r="S2932">
        <v>-3.0634769999999998</v>
      </c>
      <c r="T2932">
        <v>-8.2097050000000005E-2</v>
      </c>
      <c r="U2932">
        <v>0.457428</v>
      </c>
      <c r="V2932">
        <v>-1.0886959999999999E-2</v>
      </c>
      <c r="W2932">
        <v>0.1821748</v>
      </c>
      <c r="X2932">
        <v>0.98320589999999997</v>
      </c>
      <c r="Y2932">
        <v>0.1432215</v>
      </c>
      <c r="Z2932">
        <v>1.789412E-3</v>
      </c>
      <c r="AA2932">
        <v>0.98968909999999999</v>
      </c>
      <c r="AB2932">
        <v>43</v>
      </c>
      <c r="AC2932">
        <v>-39.8489</v>
      </c>
      <c r="AD2932">
        <v>-1.0759002200000001</v>
      </c>
      <c r="AE2932">
        <v>5.9933000000000298</v>
      </c>
      <c r="AF2932">
        <v>5.8115052333907</v>
      </c>
      <c r="AG2932">
        <v>-1.0759002200000001</v>
      </c>
      <c r="AH2932">
        <v>39.8468095786872</v>
      </c>
      <c r="AI2932">
        <v>91.530478526037001</v>
      </c>
      <c r="AJ2932">
        <v>81.702133917997401</v>
      </c>
      <c r="AK2932">
        <v>40.282743054083099</v>
      </c>
      <c r="AL2932">
        <v>79.503538682879395</v>
      </c>
      <c r="AM2932">
        <v>90.634405639689604</v>
      </c>
      <c r="AN2932">
        <v>1.0000000127239399</v>
      </c>
    </row>
    <row r="2933" spans="1:40" x14ac:dyDescent="0.25">
      <c r="A2933" t="str">
        <f>"20190312172137217"</f>
        <v>20190312172137217</v>
      </c>
      <c r="B2933" t="str">
        <f>"1552382497213950"</f>
        <v>1552382497213950</v>
      </c>
      <c r="C2933" t="s">
        <v>40</v>
      </c>
      <c r="D2933">
        <v>3.0029129999999999</v>
      </c>
      <c r="E2933">
        <v>0.56029390000000001</v>
      </c>
      <c r="F2933" t="s">
        <v>47</v>
      </c>
      <c r="G2933">
        <v>-400.12689999999998</v>
      </c>
      <c r="H2933">
        <v>3.2191299999999999E-2</v>
      </c>
      <c r="I2933">
        <v>289.61630000000002</v>
      </c>
      <c r="J2933">
        <v>-360.21269999999998</v>
      </c>
      <c r="K2933">
        <v>1.1090949999999999</v>
      </c>
      <c r="L2933">
        <v>283.62439999999998</v>
      </c>
      <c r="M2933">
        <v>-0.99994400000000006</v>
      </c>
      <c r="N2933">
        <v>0</v>
      </c>
      <c r="O2933">
        <v>4.6416820000000003E-3</v>
      </c>
      <c r="P2933">
        <v>-0.98494519999999997</v>
      </c>
      <c r="Q2933">
        <v>0.17274619999999999</v>
      </c>
      <c r="R2933">
        <v>-6.4289200000000003E-3</v>
      </c>
      <c r="S2933">
        <v>-3.0634160000000001</v>
      </c>
      <c r="T2933">
        <v>-8.2110879999999997E-2</v>
      </c>
      <c r="U2933">
        <v>0.45697019999999999</v>
      </c>
      <c r="V2933">
        <v>-1.084018E-2</v>
      </c>
      <c r="W2933">
        <v>0.1821227</v>
      </c>
      <c r="X2933">
        <v>0.98321599999999998</v>
      </c>
      <c r="Y2933">
        <v>0.14289649999999901</v>
      </c>
      <c r="Z2933">
        <v>1.780502E-3</v>
      </c>
      <c r="AA2933">
        <v>0.98973599999999995</v>
      </c>
      <c r="AB2933">
        <v>43</v>
      </c>
      <c r="AC2933">
        <v>-39.914200000000001</v>
      </c>
      <c r="AD2933">
        <v>-1.0769036999999999</v>
      </c>
      <c r="AE2933">
        <v>5.9919000000000402</v>
      </c>
      <c r="AF2933">
        <v>5.80242728154131</v>
      </c>
      <c r="AG2933">
        <v>-1.0769036999999999</v>
      </c>
      <c r="AH2933">
        <v>39.913169458342402</v>
      </c>
      <c r="AI2933">
        <v>91.529461992694806</v>
      </c>
      <c r="AJ2933">
        <v>81.728499742727806</v>
      </c>
      <c r="AK2933">
        <v>40.347106217757499</v>
      </c>
      <c r="AL2933">
        <v>79.506573861888697</v>
      </c>
      <c r="AM2933">
        <v>90.631673405505396</v>
      </c>
      <c r="AN2933">
        <v>0.99999994500685896</v>
      </c>
    </row>
    <row r="2934" spans="1:40" x14ac:dyDescent="0.25">
      <c r="A2934" t="str">
        <f>"20190312172137237"</f>
        <v>20190312172137237</v>
      </c>
      <c r="B2934" t="str">
        <f>"1552382497233470"</f>
        <v>1552382497233470</v>
      </c>
      <c r="C2934" t="s">
        <v>40</v>
      </c>
      <c r="D2934">
        <v>3.0082589999999998</v>
      </c>
      <c r="E2934">
        <v>0.56008059999999904</v>
      </c>
      <c r="F2934" t="s">
        <v>47</v>
      </c>
      <c r="G2934">
        <v>-400.51650000000001</v>
      </c>
      <c r="H2934">
        <v>2.661204E-2</v>
      </c>
      <c r="I2934">
        <v>289.61630000000002</v>
      </c>
      <c r="J2934">
        <v>-360.5813</v>
      </c>
      <c r="K2934">
        <v>1.1090899999999999</v>
      </c>
      <c r="L2934">
        <v>283.62630000000001</v>
      </c>
      <c r="M2934">
        <v>-0.99994289999999997</v>
      </c>
      <c r="N2934">
        <v>0</v>
      </c>
      <c r="O2934">
        <v>4.90158E-3</v>
      </c>
      <c r="P2934">
        <v>-0.98498149999999995</v>
      </c>
      <c r="Q2934">
        <v>0.17253209999999999</v>
      </c>
      <c r="R2934">
        <v>-6.6548739999999999E-3</v>
      </c>
      <c r="S2934">
        <v>-3.0632630000000001</v>
      </c>
      <c r="T2934">
        <v>-8.2273360000000004E-2</v>
      </c>
      <c r="U2934">
        <v>0.45541379999999998</v>
      </c>
      <c r="V2934">
        <v>-1.132216E-2</v>
      </c>
      <c r="W2934">
        <v>0.1818911</v>
      </c>
      <c r="X2934">
        <v>0.9832535</v>
      </c>
      <c r="Y2934">
        <v>0.14215459999999999</v>
      </c>
      <c r="Z2934">
        <v>1.767331E-3</v>
      </c>
      <c r="AA2934">
        <v>0.98984289999999997</v>
      </c>
      <c r="AB2934">
        <v>43</v>
      </c>
      <c r="AC2934">
        <v>-39.935200000000002</v>
      </c>
      <c r="AD2934">
        <v>-1.0824779600000001</v>
      </c>
      <c r="AE2934">
        <v>5.99</v>
      </c>
      <c r="AF2934">
        <v>5.7900131523985401</v>
      </c>
      <c r="AG2934">
        <v>-1.0824779600000001</v>
      </c>
      <c r="AH2934">
        <v>39.935385977742499</v>
      </c>
      <c r="AI2934">
        <v>91.536605683871102</v>
      </c>
      <c r="AJ2934">
        <v>81.750480906228304</v>
      </c>
      <c r="AK2934">
        <v>40.367450551528599</v>
      </c>
      <c r="AL2934">
        <v>79.520069600217596</v>
      </c>
      <c r="AM2934">
        <v>90.6597315069166</v>
      </c>
      <c r="AN2934">
        <v>1.0000000044142601</v>
      </c>
    </row>
    <row r="2935" spans="1:40" x14ac:dyDescent="0.25">
      <c r="A2935" t="str">
        <f>"20190312172137248"</f>
        <v>20190312172137248</v>
      </c>
      <c r="B2935" t="str">
        <f>"1552382497243230"</f>
        <v>1552382497243230</v>
      </c>
      <c r="C2935" t="s">
        <v>40</v>
      </c>
      <c r="D2935">
        <v>3.0301659999999999</v>
      </c>
      <c r="E2935">
        <v>0.56008059999999904</v>
      </c>
      <c r="F2935" t="s">
        <v>47</v>
      </c>
      <c r="G2935">
        <v>-401.0652</v>
      </c>
      <c r="H2935">
        <v>1.8766100000000001E-2</v>
      </c>
      <c r="I2935">
        <v>289.61630000000002</v>
      </c>
      <c r="J2935">
        <v>-360.79340000000002</v>
      </c>
      <c r="K2935">
        <v>1.1090850000000001</v>
      </c>
      <c r="L2935">
        <v>283.62740000000002</v>
      </c>
      <c r="M2935">
        <v>-0.99994240000000001</v>
      </c>
      <c r="N2935">
        <v>0</v>
      </c>
      <c r="O2935">
        <v>5.0508300000000001E-3</v>
      </c>
      <c r="P2935">
        <v>-0.98494139999999997</v>
      </c>
      <c r="Q2935">
        <v>0.1727552</v>
      </c>
      <c r="R2935">
        <v>-6.7956450000000003E-3</v>
      </c>
      <c r="S2935">
        <v>-3.0632630000000001</v>
      </c>
      <c r="T2935">
        <v>-8.2500699999999996E-2</v>
      </c>
      <c r="U2935">
        <v>0.45324710000000001</v>
      </c>
      <c r="V2935">
        <v>-1.1609110000000001E-2</v>
      </c>
      <c r="W2935">
        <v>0.18210119999999999</v>
      </c>
      <c r="X2935">
        <v>0.98321130000000001</v>
      </c>
      <c r="Y2935">
        <v>0.1413218</v>
      </c>
      <c r="Z2935">
        <v>1.757156E-3</v>
      </c>
      <c r="AA2935">
        <v>0.98996220000000001</v>
      </c>
      <c r="AB2935">
        <v>43</v>
      </c>
      <c r="AC2935">
        <v>-40.271799999999899</v>
      </c>
      <c r="AD2935">
        <v>-1.0903189</v>
      </c>
      <c r="AE2935">
        <v>5.9889000000000001</v>
      </c>
      <c r="AF2935">
        <v>5.78126247824303</v>
      </c>
      <c r="AG2935">
        <v>-1.0903189</v>
      </c>
      <c r="AH2935">
        <v>40.272655327924802</v>
      </c>
      <c r="AI2935">
        <v>91.535085611316205</v>
      </c>
      <c r="AJ2935">
        <v>81.830826402920195</v>
      </c>
      <c r="AK2935">
        <v>40.700105138781502</v>
      </c>
      <c r="AL2935">
        <v>79.507827673207004</v>
      </c>
      <c r="AM2935">
        <v>90.676479307247604</v>
      </c>
      <c r="AN2935">
        <v>1.0000000394620601</v>
      </c>
    </row>
    <row r="2936" spans="1:40" x14ac:dyDescent="0.25">
      <c r="A2936" t="str">
        <f>"20190312172137259"</f>
        <v>20190312172137259</v>
      </c>
      <c r="B2936" t="str">
        <f>"1552382497253966"</f>
        <v>1552382497253966</v>
      </c>
      <c r="C2936" t="s">
        <v>40</v>
      </c>
      <c r="D2936">
        <v>2.9425720000000002</v>
      </c>
      <c r="E2936">
        <v>0.54272929999999997</v>
      </c>
      <c r="F2936" t="s">
        <v>47</v>
      </c>
      <c r="G2936">
        <v>-401.32190000000003</v>
      </c>
      <c r="H2936">
        <v>2.7462449999999999E-2</v>
      </c>
      <c r="I2936">
        <v>289.61630000000002</v>
      </c>
      <c r="J2936">
        <v>-361.02140000000003</v>
      </c>
      <c r="K2936">
        <v>1.1090799999999901</v>
      </c>
      <c r="L2936">
        <v>283.62869999999998</v>
      </c>
      <c r="M2936">
        <v>-0.99994159999999999</v>
      </c>
      <c r="N2936">
        <v>0</v>
      </c>
      <c r="O2936">
        <v>5.211116E-3</v>
      </c>
      <c r="P2936">
        <v>-0.98492349999999995</v>
      </c>
      <c r="Q2936">
        <v>0.172850799999999</v>
      </c>
      <c r="R2936">
        <v>-6.9457369999999996E-3</v>
      </c>
      <c r="S2936">
        <v>-3.0633240000000002</v>
      </c>
      <c r="T2936">
        <v>-8.1753850000000003E-2</v>
      </c>
      <c r="U2936">
        <v>0.45266719999999999</v>
      </c>
      <c r="V2936">
        <v>-1.1916950000000001E-2</v>
      </c>
      <c r="W2936">
        <v>0.18218090000000001</v>
      </c>
      <c r="X2936">
        <v>0.98319279999999998</v>
      </c>
      <c r="Y2936">
        <v>0.14097789999999999</v>
      </c>
      <c r="Z2936">
        <v>1.7324279999999901E-3</v>
      </c>
      <c r="AA2936">
        <v>0.99001119999999998</v>
      </c>
      <c r="AB2936">
        <v>43</v>
      </c>
      <c r="AC2936">
        <v>-40.3005</v>
      </c>
      <c r="AD2936">
        <v>-1.08161754999999</v>
      </c>
      <c r="AE2936">
        <v>5.9876000000000396</v>
      </c>
      <c r="AF2936">
        <v>5.7734297898849896</v>
      </c>
      <c r="AG2936">
        <v>-1.08161754999999</v>
      </c>
      <c r="AH2936">
        <v>40.302752270849702</v>
      </c>
      <c r="AI2936">
        <v>91.521768336643703</v>
      </c>
      <c r="AJ2936">
        <v>81.847755667857797</v>
      </c>
      <c r="AK2936">
        <v>40.728543168994896</v>
      </c>
      <c r="AL2936">
        <v>79.503182967844495</v>
      </c>
      <c r="AM2936">
        <v>90.694428911834805</v>
      </c>
      <c r="AN2936">
        <v>0.99999998799697598</v>
      </c>
    </row>
    <row r="2937" spans="1:40" x14ac:dyDescent="0.25">
      <c r="A2937" t="str">
        <f>"20190312172137271"</f>
        <v>20190312172137271</v>
      </c>
      <c r="B2937" t="str">
        <f>"1552382497263726"</f>
        <v>1552382497263726</v>
      </c>
      <c r="C2937" t="s">
        <v>40</v>
      </c>
      <c r="D2937">
        <v>2.9973800000000002</v>
      </c>
      <c r="E2937">
        <v>0.54218559999999905</v>
      </c>
      <c r="F2937" t="s">
        <v>47</v>
      </c>
      <c r="G2937">
        <v>-407.8981</v>
      </c>
      <c r="H2937" s="1">
        <v>4.1101879999999997E-6</v>
      </c>
      <c r="I2937">
        <v>288.4375</v>
      </c>
      <c r="J2937">
        <v>-361.2364</v>
      </c>
      <c r="K2937">
        <v>1.1090770000000001</v>
      </c>
      <c r="L2937">
        <v>283.62990000000002</v>
      </c>
      <c r="M2937">
        <v>-0.99994090000000002</v>
      </c>
      <c r="N2937">
        <v>0</v>
      </c>
      <c r="O2937">
        <v>5.3626990000000003E-3</v>
      </c>
      <c r="P2937">
        <v>-0.9848922</v>
      </c>
      <c r="Q2937">
        <v>0.1730246</v>
      </c>
      <c r="R2937">
        <v>-7.0677359999999998E-3</v>
      </c>
      <c r="S2937">
        <v>-3.0608219999999999</v>
      </c>
      <c r="T2937">
        <v>-7.2417259999999997E-2</v>
      </c>
      <c r="U2937">
        <v>0.31399539999999998</v>
      </c>
      <c r="V2937">
        <v>-1.2188040000000001E-2</v>
      </c>
      <c r="W2937">
        <v>0.18233940000000001</v>
      </c>
      <c r="X2937">
        <v>0.98316009999999998</v>
      </c>
      <c r="Y2937">
        <v>9.6688060000000006E-2</v>
      </c>
      <c r="Z2937">
        <v>1.0141149999999999E-3</v>
      </c>
      <c r="AA2937">
        <v>0.99531420000000004</v>
      </c>
      <c r="AB2937">
        <v>43</v>
      </c>
      <c r="AC2937">
        <v>-46.661700000000003</v>
      </c>
      <c r="AD2937">
        <v>-1.1090728898119999</v>
      </c>
      <c r="AE2937">
        <v>4.8075999999999697</v>
      </c>
      <c r="AF2937">
        <v>4.5547409126046796</v>
      </c>
      <c r="AG2937">
        <v>-1.1090728898119999</v>
      </c>
      <c r="AH2937">
        <v>46.660728410203902</v>
      </c>
      <c r="AI2937">
        <v>91.355161085560695</v>
      </c>
      <c r="AJ2937">
        <v>84.424792089083894</v>
      </c>
      <c r="AK2937">
        <v>46.895621151944198</v>
      </c>
      <c r="AL2937">
        <v>79.493946945755695</v>
      </c>
      <c r="AM2937">
        <v>90.710247987998898</v>
      </c>
      <c r="AN2937">
        <v>0.999999993671705</v>
      </c>
    </row>
    <row r="2938" spans="1:40" x14ac:dyDescent="0.25">
      <c r="A2938" t="str">
        <f>"20190312172137282"</f>
        <v>20190312172137282</v>
      </c>
      <c r="B2938" t="str">
        <f>"1552382497273486"</f>
        <v>1552382497273486</v>
      </c>
      <c r="C2938" t="s">
        <v>40</v>
      </c>
      <c r="D2938">
        <v>2.965964</v>
      </c>
      <c r="E2938">
        <v>0.54230389999999995</v>
      </c>
      <c r="F2938" t="s">
        <v>47</v>
      </c>
      <c r="G2938">
        <v>-408.99799999999999</v>
      </c>
      <c r="H2938" s="1">
        <v>3.6192270000000001E-6</v>
      </c>
      <c r="I2938">
        <v>288.45299999999997</v>
      </c>
      <c r="J2938">
        <v>-361.45420000000001</v>
      </c>
      <c r="K2938">
        <v>1.109073</v>
      </c>
      <c r="L2938">
        <v>283.6311</v>
      </c>
      <c r="M2938">
        <v>-0.9999403</v>
      </c>
      <c r="N2938">
        <v>0</v>
      </c>
      <c r="O2938">
        <v>5.5160699999999997E-3</v>
      </c>
      <c r="P2938">
        <v>-0.98485060000000002</v>
      </c>
      <c r="Q2938">
        <v>0.17326140000000001</v>
      </c>
      <c r="R2938">
        <v>-7.0738040000000004E-3</v>
      </c>
      <c r="S2938">
        <v>-3.06073</v>
      </c>
      <c r="T2938">
        <v>-7.1073289999999997E-2</v>
      </c>
      <c r="U2938">
        <v>0.30908200000000002</v>
      </c>
      <c r="V2938">
        <v>-1.2344569999999999E-2</v>
      </c>
      <c r="W2938">
        <v>0.18255969999999999</v>
      </c>
      <c r="X2938">
        <v>0.98311729999999997</v>
      </c>
      <c r="Y2938">
        <v>9.4958360000000006E-2</v>
      </c>
      <c r="Z2938">
        <v>9.7182870000000001E-4</v>
      </c>
      <c r="AA2938">
        <v>0.99548080000000005</v>
      </c>
      <c r="AB2938">
        <v>43</v>
      </c>
      <c r="AC2938">
        <v>-47.543799999999997</v>
      </c>
      <c r="AD2938">
        <v>-1.1090693807730001</v>
      </c>
      <c r="AE2938">
        <v>4.8218999999999701</v>
      </c>
      <c r="AF2938">
        <v>4.5571054748131399</v>
      </c>
      <c r="AG2938">
        <v>-1.1090693807730001</v>
      </c>
      <c r="AH2938">
        <v>47.5440673913089</v>
      </c>
      <c r="AI2938">
        <v>91.330212725323605</v>
      </c>
      <c r="AJ2938">
        <v>84.524917661869793</v>
      </c>
      <c r="AK2938">
        <v>47.774842640340097</v>
      </c>
      <c r="AL2938">
        <v>79.481109582761803</v>
      </c>
      <c r="AM2938">
        <v>90.719400006683998</v>
      </c>
      <c r="AN2938">
        <v>1.0000000290159301</v>
      </c>
    </row>
    <row r="2939" spans="1:40" x14ac:dyDescent="0.25">
      <c r="A2939" t="str">
        <f>"20190312172137293"</f>
        <v>20190312172137293</v>
      </c>
      <c r="B2939" t="str">
        <f>"1552382497283246"</f>
        <v>1552382497283246</v>
      </c>
      <c r="C2939" t="s">
        <v>40</v>
      </c>
      <c r="D2939">
        <v>2.9718659999999999</v>
      </c>
      <c r="E2939">
        <v>0.54241269999999997</v>
      </c>
      <c r="F2939" t="s">
        <v>47</v>
      </c>
      <c r="G2939">
        <v>-410.30779999999999</v>
      </c>
      <c r="H2939" s="1">
        <v>1.9137180000000001E-6</v>
      </c>
      <c r="I2939">
        <v>288.5813</v>
      </c>
      <c r="J2939">
        <v>-361.67959999999999</v>
      </c>
      <c r="K2939">
        <v>1.1090690000000001</v>
      </c>
      <c r="L2939">
        <v>283.63249999999999</v>
      </c>
      <c r="M2939">
        <v>-0.99993969999999999</v>
      </c>
      <c r="N2939">
        <v>0</v>
      </c>
      <c r="O2939">
        <v>5.6746909999999999E-3</v>
      </c>
      <c r="P2939">
        <v>-0.98482139999999996</v>
      </c>
      <c r="Q2939">
        <v>0.17342379999999999</v>
      </c>
      <c r="R2939">
        <v>-7.171134E-3</v>
      </c>
      <c r="S2939">
        <v>-3.0605769999999999</v>
      </c>
      <c r="T2939">
        <v>-6.9481020000000004E-2</v>
      </c>
      <c r="U2939">
        <v>0.3101196</v>
      </c>
      <c r="V2939">
        <v>-1.259737E-2</v>
      </c>
      <c r="W2939">
        <v>0.18270549999999999</v>
      </c>
      <c r="X2939">
        <v>0.98308700000000004</v>
      </c>
      <c r="Y2939">
        <v>9.5140520000000006E-2</v>
      </c>
      <c r="Z2939">
        <v>9.4856430000000004E-4</v>
      </c>
      <c r="AA2939">
        <v>0.9954634</v>
      </c>
      <c r="AB2939">
        <v>43</v>
      </c>
      <c r="AC2939">
        <v>-48.6281999999999</v>
      </c>
      <c r="AD2939">
        <v>-1.109067086282</v>
      </c>
      <c r="AE2939">
        <v>4.9488000000000003</v>
      </c>
      <c r="AF2939">
        <v>4.6703536637106398</v>
      </c>
      <c r="AG2939">
        <v>-1.109067086282</v>
      </c>
      <c r="AH2939">
        <v>48.6304646512909</v>
      </c>
      <c r="AI2939">
        <v>91.300480435564197</v>
      </c>
      <c r="AJ2939">
        <v>84.5142742706973</v>
      </c>
      <c r="AK2939">
        <v>48.8668018735262</v>
      </c>
      <c r="AL2939">
        <v>79.472612875677399</v>
      </c>
      <c r="AM2939">
        <v>90.734153368314196</v>
      </c>
      <c r="AN2939">
        <v>1.0000000215150799</v>
      </c>
    </row>
    <row r="2940" spans="1:40" x14ac:dyDescent="0.25">
      <c r="A2940" t="str">
        <f>"20190312172137305"</f>
        <v>20190312172137305</v>
      </c>
      <c r="B2940" t="str">
        <f>"1552382497293982"</f>
        <v>1552382497293982</v>
      </c>
      <c r="C2940" t="s">
        <v>40</v>
      </c>
      <c r="D2940">
        <v>2.9649960000000002</v>
      </c>
      <c r="E2940">
        <v>0.54237869999999899</v>
      </c>
      <c r="F2940" t="s">
        <v>47</v>
      </c>
      <c r="G2940">
        <v>-410.44929999999999</v>
      </c>
      <c r="H2940" s="1">
        <v>1.9389179999999998E-6</v>
      </c>
      <c r="I2940">
        <v>288.58030000000002</v>
      </c>
      <c r="J2940">
        <v>-361.89710000000002</v>
      </c>
      <c r="K2940">
        <v>1.1090660000000001</v>
      </c>
      <c r="L2940">
        <v>283.63380000000001</v>
      </c>
      <c r="M2940">
        <v>-0.99993880000000002</v>
      </c>
      <c r="N2940">
        <v>0</v>
      </c>
      <c r="O2940">
        <v>5.8282400000000002E-3</v>
      </c>
      <c r="P2940">
        <v>-0.98486019999999996</v>
      </c>
      <c r="Q2940">
        <v>0.17319899999999999</v>
      </c>
      <c r="R2940">
        <v>-7.2542639999999999E-3</v>
      </c>
      <c r="S2940">
        <v>-3.06073</v>
      </c>
      <c r="T2940">
        <v>-6.9603680000000001E-2</v>
      </c>
      <c r="U2940">
        <v>0.31051640000000003</v>
      </c>
      <c r="V2940">
        <v>-1.2832339999999999E-2</v>
      </c>
      <c r="W2940">
        <v>0.18246599999999999</v>
      </c>
      <c r="X2940">
        <v>0.98312840000000001</v>
      </c>
      <c r="Y2940">
        <v>9.5110360000000005E-2</v>
      </c>
      <c r="Z2940">
        <v>9.4636109999999998E-4</v>
      </c>
      <c r="AA2940">
        <v>0.99546630000000003</v>
      </c>
      <c r="AB2940">
        <v>43</v>
      </c>
      <c r="AC2940">
        <v>-48.5521999999999</v>
      </c>
      <c r="AD2940">
        <v>-1.109064061082</v>
      </c>
      <c r="AE2940">
        <v>4.9465000000000101</v>
      </c>
      <c r="AF2940">
        <v>4.6610225045147597</v>
      </c>
      <c r="AG2940">
        <v>-1.109064061082</v>
      </c>
      <c r="AH2940">
        <v>48.555130670896901</v>
      </c>
      <c r="AI2940">
        <v>91.302499251502397</v>
      </c>
      <c r="AJ2940">
        <v>84.516725296936997</v>
      </c>
      <c r="AK2940">
        <v>48.790940433107501</v>
      </c>
      <c r="AL2940">
        <v>79.486569395821405</v>
      </c>
      <c r="AM2940">
        <v>90.747813992056294</v>
      </c>
      <c r="AN2940">
        <v>0.99999998049621697</v>
      </c>
    </row>
    <row r="2941" spans="1:40" x14ac:dyDescent="0.25">
      <c r="A2941" t="str">
        <f>"20190312172137316"</f>
        <v>20190312172137316</v>
      </c>
      <c r="B2941" t="str">
        <f>"1552382497314010"</f>
        <v>1552382497314010</v>
      </c>
      <c r="C2941" t="s">
        <v>40</v>
      </c>
      <c r="D2941">
        <v>2.97593</v>
      </c>
      <c r="E2941">
        <v>0.54185309999999998</v>
      </c>
      <c r="F2941" t="s">
        <v>47</v>
      </c>
      <c r="G2941">
        <v>-410.2679</v>
      </c>
      <c r="H2941" s="1">
        <v>1.9107920000000002E-6</v>
      </c>
      <c r="I2941">
        <v>288.53379999999999</v>
      </c>
      <c r="J2941">
        <v>-362.12200000000001</v>
      </c>
      <c r="K2941">
        <v>1.1090610000000001</v>
      </c>
      <c r="L2941">
        <v>283.6352</v>
      </c>
      <c r="M2941">
        <v>-0.99993799999999999</v>
      </c>
      <c r="N2941">
        <v>0</v>
      </c>
      <c r="O2941">
        <v>5.9867940000000001E-3</v>
      </c>
      <c r="P2941">
        <v>-0.98485809999999996</v>
      </c>
      <c r="Q2941">
        <v>0.1732088</v>
      </c>
      <c r="R2941">
        <v>-7.3134250000000001E-3</v>
      </c>
      <c r="S2941">
        <v>-3.0607600000000001</v>
      </c>
      <c r="T2941">
        <v>-7.0178270000000001E-2</v>
      </c>
      <c r="U2941">
        <v>0.31005860000000002</v>
      </c>
      <c r="V2941">
        <v>-1.304752E-2</v>
      </c>
      <c r="W2941">
        <v>0.18246080000000001</v>
      </c>
      <c r="X2941">
        <v>0.98312659999999996</v>
      </c>
      <c r="Y2941">
        <v>9.4803879999999993E-2</v>
      </c>
      <c r="Z2941">
        <v>9.4703980000000005E-4</v>
      </c>
      <c r="AA2941">
        <v>0.99549549999999998</v>
      </c>
      <c r="AB2941">
        <v>43</v>
      </c>
      <c r="AC2941">
        <v>-48.145899999999997</v>
      </c>
      <c r="AD2941">
        <v>-1.1090590892079999</v>
      </c>
      <c r="AE2941">
        <v>4.8985999999999796</v>
      </c>
      <c r="AF2941">
        <v>4.60783991321766</v>
      </c>
      <c r="AG2941">
        <v>-1.1090590892079999</v>
      </c>
      <c r="AH2941">
        <v>48.149077795929202</v>
      </c>
      <c r="AI2941">
        <v>91.313510613409605</v>
      </c>
      <c r="AJ2941">
        <v>84.533473449387898</v>
      </c>
      <c r="AK2941">
        <v>48.381772325201602</v>
      </c>
      <c r="AL2941">
        <v>79.486873122362994</v>
      </c>
      <c r="AM2941">
        <v>90.760353695716901</v>
      </c>
      <c r="AN2941">
        <v>1.00000004647117</v>
      </c>
    </row>
    <row r="2942" spans="1:40" x14ac:dyDescent="0.25">
      <c r="A2942" t="str">
        <f>"20190312172137328"</f>
        <v>20190312172137328</v>
      </c>
      <c r="B2942" t="str">
        <f>"1552382497323769"</f>
        <v>1552382497323769</v>
      </c>
      <c r="C2942" t="s">
        <v>40</v>
      </c>
      <c r="D2942">
        <v>2.9805299999999999</v>
      </c>
      <c r="E2942">
        <v>0.54166080000000005</v>
      </c>
      <c r="F2942" t="s">
        <v>47</v>
      </c>
      <c r="G2942">
        <v>-410.3603</v>
      </c>
      <c r="H2942" s="1">
        <v>1.9341120000000002E-6</v>
      </c>
      <c r="I2942">
        <v>288.4545</v>
      </c>
      <c r="J2942">
        <v>-362.33730000000003</v>
      </c>
      <c r="K2942">
        <v>1.109056</v>
      </c>
      <c r="L2942">
        <v>283.63659999999999</v>
      </c>
      <c r="M2942">
        <v>-0.99993730000000003</v>
      </c>
      <c r="N2942">
        <v>0</v>
      </c>
      <c r="O2942">
        <v>6.1381359999999998E-3</v>
      </c>
      <c r="P2942">
        <v>-0.98492100000000005</v>
      </c>
      <c r="Q2942">
        <v>0.172841299999999</v>
      </c>
      <c r="R2942">
        <v>-7.5280869999999897E-3</v>
      </c>
      <c r="S2942">
        <v>-3.0607600000000001</v>
      </c>
      <c r="T2942">
        <v>-7.0370790000000003E-2</v>
      </c>
      <c r="U2942">
        <v>0.30578610000000001</v>
      </c>
      <c r="V2942">
        <v>-1.34118E-2</v>
      </c>
      <c r="W2942">
        <v>0.18207960000000001</v>
      </c>
      <c r="X2942">
        <v>0.98319230000000002</v>
      </c>
      <c r="Y2942">
        <v>9.3277739999999998E-2</v>
      </c>
      <c r="Z2942">
        <v>9.2873510000000001E-4</v>
      </c>
      <c r="AA2942">
        <v>0.99563970000000002</v>
      </c>
      <c r="AB2942">
        <v>43</v>
      </c>
      <c r="AC2942">
        <v>-48.022999999999897</v>
      </c>
      <c r="AD2942">
        <v>-1.1090540658879999</v>
      </c>
      <c r="AE2942">
        <v>4.8178999999999998</v>
      </c>
      <c r="AF2942">
        <v>4.5206375690255198</v>
      </c>
      <c r="AG2942">
        <v>-1.1090540658879999</v>
      </c>
      <c r="AH2942">
        <v>48.026310191329401</v>
      </c>
      <c r="AI2942">
        <v>91.317055701480996</v>
      </c>
      <c r="AJ2942">
        <v>84.622686446741398</v>
      </c>
      <c r="AK2942">
        <v>48.2513485360289</v>
      </c>
      <c r="AL2942">
        <v>79.509085651388105</v>
      </c>
      <c r="AM2942">
        <v>90.781527558266603</v>
      </c>
      <c r="AN2942">
        <v>0.99999997794734397</v>
      </c>
    </row>
    <row r="2943" spans="1:40" x14ac:dyDescent="0.25">
      <c r="A2943" t="str">
        <f>"20190312172137339"</f>
        <v>20190312172137339</v>
      </c>
      <c r="B2943" t="str">
        <f>"1552382497333529"</f>
        <v>1552382497333529</v>
      </c>
      <c r="C2943" t="s">
        <v>40</v>
      </c>
      <c r="D2943">
        <v>2.9426190000000001</v>
      </c>
      <c r="E2943">
        <v>0.54160459999999999</v>
      </c>
      <c r="F2943" t="s">
        <v>47</v>
      </c>
      <c r="G2943">
        <v>-410.0052</v>
      </c>
      <c r="H2943" s="1">
        <v>1.878866E-6</v>
      </c>
      <c r="I2943">
        <v>288.36599999999999</v>
      </c>
      <c r="J2943">
        <v>-362.56689999999998</v>
      </c>
      <c r="K2943">
        <v>1.1090469999999999</v>
      </c>
      <c r="L2943">
        <v>283.63810000000001</v>
      </c>
      <c r="M2943">
        <v>-0.9999363</v>
      </c>
      <c r="N2943">
        <v>0</v>
      </c>
      <c r="O2943">
        <v>6.2993769999999897E-3</v>
      </c>
      <c r="P2943">
        <v>-0.98488209999999998</v>
      </c>
      <c r="Q2943">
        <v>0.17306089999999999</v>
      </c>
      <c r="R2943">
        <v>-7.5681730000000001E-3</v>
      </c>
      <c r="S2943">
        <v>-3.060791</v>
      </c>
      <c r="T2943">
        <v>-7.1213250000000006E-2</v>
      </c>
      <c r="U2943">
        <v>0.30368040000000002</v>
      </c>
      <c r="V2943">
        <v>-1.360959E-2</v>
      </c>
      <c r="W2943">
        <v>0.1822831</v>
      </c>
      <c r="X2943">
        <v>0.98315189999999997</v>
      </c>
      <c r="Y2943">
        <v>9.2437640000000001E-2</v>
      </c>
      <c r="Z2943">
        <v>9.2638390000000001E-4</v>
      </c>
      <c r="AA2943">
        <v>0.99571810000000005</v>
      </c>
      <c r="AB2943">
        <v>43</v>
      </c>
      <c r="AC2943">
        <v>-47.438299999999998</v>
      </c>
      <c r="AD2943">
        <v>-1.109045121134</v>
      </c>
      <c r="AE2943">
        <v>4.7278999999999698</v>
      </c>
      <c r="AF2943">
        <v>4.4265657401067902</v>
      </c>
      <c r="AG2943">
        <v>-1.109045121134</v>
      </c>
      <c r="AH2943">
        <v>47.441468088559198</v>
      </c>
      <c r="AI2943">
        <v>91.333377183713907</v>
      </c>
      <c r="AJ2943">
        <v>84.669403118673699</v>
      </c>
      <c r="AK2943">
        <v>47.660438098384901</v>
      </c>
      <c r="AL2943">
        <v>79.497227789913794</v>
      </c>
      <c r="AM2943">
        <v>90.793084228459705</v>
      </c>
      <c r="AN2943">
        <v>1.00000000397959</v>
      </c>
    </row>
    <row r="2944" spans="1:40" x14ac:dyDescent="0.25">
      <c r="A2944" t="str">
        <f>"20190312172137351"</f>
        <v>20190312172137351</v>
      </c>
      <c r="B2944" t="str">
        <f>"1552382497343289"</f>
        <v>1552382497343289</v>
      </c>
      <c r="C2944" t="s">
        <v>40</v>
      </c>
      <c r="D2944">
        <v>2.9787270000000001</v>
      </c>
      <c r="E2944">
        <v>0.54161269999999995</v>
      </c>
      <c r="F2944" t="s">
        <v>47</v>
      </c>
      <c r="G2944">
        <v>-410.96749999999997</v>
      </c>
      <c r="H2944" s="1">
        <v>2.0437739999999999E-6</v>
      </c>
      <c r="I2944">
        <v>288.43209999999999</v>
      </c>
      <c r="J2944">
        <v>-362.78230000000002</v>
      </c>
      <c r="K2944">
        <v>1.109043</v>
      </c>
      <c r="L2944">
        <v>283.63959999999997</v>
      </c>
      <c r="M2944">
        <v>-0.99993560000000004</v>
      </c>
      <c r="N2944">
        <v>0</v>
      </c>
      <c r="O2944">
        <v>6.4510139999999997E-3</v>
      </c>
      <c r="P2944">
        <v>-0.98494170000000003</v>
      </c>
      <c r="Q2944">
        <v>0.17271510000000001</v>
      </c>
      <c r="R2944">
        <v>-7.7181929999999999E-3</v>
      </c>
      <c r="S2944">
        <v>-3.06073</v>
      </c>
      <c r="T2944">
        <v>-7.0133210000000001E-2</v>
      </c>
      <c r="U2944">
        <v>0.30316159999999998</v>
      </c>
      <c r="V2944">
        <v>-1.3909629999999999E-2</v>
      </c>
      <c r="W2944">
        <v>0.1819239</v>
      </c>
      <c r="X2944">
        <v>0.98321420000000004</v>
      </c>
      <c r="Y2944">
        <v>9.2122280000000001E-2</v>
      </c>
      <c r="Z2944">
        <v>9.0529480000000001E-4</v>
      </c>
      <c r="AA2944">
        <v>0.9957473</v>
      </c>
      <c r="AB2944">
        <v>43</v>
      </c>
      <c r="AC2944">
        <v>-48.185199999999902</v>
      </c>
      <c r="AD2944">
        <v>-1.109040956226</v>
      </c>
      <c r="AE2944">
        <v>4.7925000000000102</v>
      </c>
      <c r="AF2944">
        <v>4.4791937256176304</v>
      </c>
      <c r="AG2944">
        <v>-1.109040956226</v>
      </c>
      <c r="AH2944">
        <v>48.189836785278402</v>
      </c>
      <c r="AI2944">
        <v>91.312715989618098</v>
      </c>
      <c r="AJ2944">
        <v>84.689676427592801</v>
      </c>
      <c r="AK2944">
        <v>48.410262524241404</v>
      </c>
      <c r="AL2944">
        <v>79.518158080193501</v>
      </c>
      <c r="AM2944">
        <v>90.810515075746807</v>
      </c>
      <c r="AN2944">
        <v>0.99999997313979305</v>
      </c>
    </row>
    <row r="2945" spans="1:40" x14ac:dyDescent="0.25">
      <c r="A2945" t="str">
        <f>"20190312172137362"</f>
        <v>20190312172137362</v>
      </c>
      <c r="B2945" t="str">
        <f>"1552382497354025"</f>
        <v>1552382497354025</v>
      </c>
      <c r="C2945" t="s">
        <v>40</v>
      </c>
      <c r="D2945">
        <v>2.9502169999999999</v>
      </c>
      <c r="E2945">
        <v>0.54157599999999995</v>
      </c>
      <c r="F2945" t="s">
        <v>47</v>
      </c>
      <c r="G2945">
        <v>-410.45389999999998</v>
      </c>
      <c r="H2945" s="1">
        <v>1.9594010000000001E-6</v>
      </c>
      <c r="I2945">
        <v>288.35520000000002</v>
      </c>
      <c r="J2945">
        <v>-363.00420000000003</v>
      </c>
      <c r="K2945">
        <v>1.109043</v>
      </c>
      <c r="L2945">
        <v>283.64109999999999</v>
      </c>
      <c r="M2945">
        <v>-0.99993480000000001</v>
      </c>
      <c r="N2945">
        <v>0</v>
      </c>
      <c r="O2945">
        <v>6.6071840000000003E-3</v>
      </c>
      <c r="P2945">
        <v>-0.98498189999999997</v>
      </c>
      <c r="Q2945">
        <v>0.17248550000000001</v>
      </c>
      <c r="R2945">
        <v>-7.7390559999999898E-3</v>
      </c>
      <c r="S2945">
        <v>-3.06073</v>
      </c>
      <c r="T2945">
        <v>-7.1205379999999999E-2</v>
      </c>
      <c r="U2945">
        <v>0.3027649</v>
      </c>
      <c r="V2945">
        <v>-1.408468E-2</v>
      </c>
      <c r="W2945">
        <v>0.1816797</v>
      </c>
      <c r="X2945">
        <v>0.98325689999999999</v>
      </c>
      <c r="Y2945">
        <v>9.1838379999999997E-2</v>
      </c>
      <c r="Z2945">
        <v>9.1221949999999998E-4</v>
      </c>
      <c r="AA2945">
        <v>0.99577349999999998</v>
      </c>
      <c r="AB2945">
        <v>43</v>
      </c>
      <c r="AC2945">
        <v>-47.449699999999901</v>
      </c>
      <c r="AD2945">
        <v>-1.1090410405990001</v>
      </c>
      <c r="AE2945">
        <v>4.7141000000000304</v>
      </c>
      <c r="AF2945">
        <v>4.3980954164626098</v>
      </c>
      <c r="AG2945">
        <v>-1.1090410405990001</v>
      </c>
      <c r="AH2945">
        <v>47.454141823397798</v>
      </c>
      <c r="AI2945">
        <v>91.333093070736695</v>
      </c>
      <c r="AJ2945">
        <v>84.704898799070406</v>
      </c>
      <c r="AK2945">
        <v>47.670418411392099</v>
      </c>
      <c r="AL2945">
        <v>79.532387235379602</v>
      </c>
      <c r="AM2945">
        <v>90.820678228136899</v>
      </c>
      <c r="AN2945">
        <v>1.0000000115001999</v>
      </c>
    </row>
    <row r="2946" spans="1:40" x14ac:dyDescent="0.25">
      <c r="A2946" t="str">
        <f>"20190312172137373"</f>
        <v>20190312172137373</v>
      </c>
      <c r="B2946" t="str">
        <f>"1552382497363785"</f>
        <v>1552382497363785</v>
      </c>
      <c r="C2946" t="s">
        <v>40</v>
      </c>
      <c r="D2946">
        <v>2.958024</v>
      </c>
      <c r="E2946">
        <v>0.54154099999999905</v>
      </c>
      <c r="F2946" t="s">
        <v>47</v>
      </c>
      <c r="G2946">
        <v>-410.31270000000001</v>
      </c>
      <c r="H2946" s="1">
        <v>1.9381850000000001E-6</v>
      </c>
      <c r="I2946">
        <v>288.31139999999999</v>
      </c>
      <c r="J2946">
        <v>-363.23860000000002</v>
      </c>
      <c r="K2946">
        <v>1.1090390000000001</v>
      </c>
      <c r="L2946">
        <v>283.64280000000002</v>
      </c>
      <c r="M2946">
        <v>-0.99993370000000004</v>
      </c>
      <c r="N2946">
        <v>0</v>
      </c>
      <c r="O2946">
        <v>6.7715819999999999E-3</v>
      </c>
      <c r="P2946">
        <v>-0.98501740000000004</v>
      </c>
      <c r="Q2946">
        <v>0.1722745</v>
      </c>
      <c r="R2946">
        <v>-7.8995539999999996E-3</v>
      </c>
      <c r="S2946">
        <v>-3.0606990000000001</v>
      </c>
      <c r="T2946">
        <v>-7.1751239999999994E-2</v>
      </c>
      <c r="U2946">
        <v>0.30215449999999999</v>
      </c>
      <c r="V2946">
        <v>-1.440692E-2</v>
      </c>
      <c r="W2946">
        <v>0.18145459999999999</v>
      </c>
      <c r="X2946">
        <v>0.9832938</v>
      </c>
      <c r="Y2946">
        <v>9.1478779999999996E-2</v>
      </c>
      <c r="Z2946">
        <v>9.1118069999999995E-4</v>
      </c>
      <c r="AA2946">
        <v>0.99580659999999999</v>
      </c>
      <c r="AB2946">
        <v>43</v>
      </c>
      <c r="AC2946">
        <v>-47.074099999999902</v>
      </c>
      <c r="AD2946">
        <v>-1.1090370618149901</v>
      </c>
      <c r="AE2946">
        <v>4.6685999999999597</v>
      </c>
      <c r="AF2946">
        <v>4.3473235402357204</v>
      </c>
      <c r="AG2946">
        <v>-1.1090370618149901</v>
      </c>
      <c r="AH2946">
        <v>47.078759488950197</v>
      </c>
      <c r="AI2946">
        <v>91.343755607643104</v>
      </c>
      <c r="AJ2946">
        <v>84.724183049114799</v>
      </c>
      <c r="AK2946">
        <v>47.292058320466303</v>
      </c>
      <c r="AL2946">
        <v>79.545502538264202</v>
      </c>
      <c r="AM2946">
        <v>90.839420173239404</v>
      </c>
      <c r="AN2946">
        <v>1.00000001416174</v>
      </c>
    </row>
    <row r="2947" spans="1:40" x14ac:dyDescent="0.25">
      <c r="A2947" t="str">
        <f>"20190312172137386"</f>
        <v>20190312172137386</v>
      </c>
      <c r="B2947" t="str">
        <f>"1552382497383306"</f>
        <v>1552382497383306</v>
      </c>
      <c r="C2947" t="s">
        <v>40</v>
      </c>
      <c r="D2947">
        <v>2.9686159999999999</v>
      </c>
      <c r="E2947">
        <v>0.54159259999999998</v>
      </c>
      <c r="F2947" t="s">
        <v>47</v>
      </c>
      <c r="G2947">
        <v>-410.3254</v>
      </c>
      <c r="H2947" s="1">
        <v>1.9429789999999999E-6</v>
      </c>
      <c r="I2947">
        <v>288.2824</v>
      </c>
      <c r="J2947">
        <v>-363.4692</v>
      </c>
      <c r="K2947">
        <v>1.1090359999999999</v>
      </c>
      <c r="L2947">
        <v>283.64440000000002</v>
      </c>
      <c r="M2947">
        <v>-0.99993279999999995</v>
      </c>
      <c r="N2947">
        <v>0</v>
      </c>
      <c r="O2947">
        <v>6.9334710000000001E-3</v>
      </c>
      <c r="P2947">
        <v>-0.98505889999999996</v>
      </c>
      <c r="Q2947">
        <v>0.17203089999999999</v>
      </c>
      <c r="R2947">
        <v>-8.0332770000000001E-3</v>
      </c>
      <c r="S2947">
        <v>-3.060638</v>
      </c>
      <c r="T2947">
        <v>-7.2087289999999998E-2</v>
      </c>
      <c r="U2947">
        <v>0.30157469999999997</v>
      </c>
      <c r="V2947">
        <v>-1.470021E-2</v>
      </c>
      <c r="W2947">
        <v>0.1811981</v>
      </c>
      <c r="X2947">
        <v>0.98333669999999995</v>
      </c>
      <c r="Y2947">
        <v>9.1132569999999996E-2</v>
      </c>
      <c r="Z2947">
        <v>9.0760449999999996E-4</v>
      </c>
      <c r="AA2947">
        <v>0.99583829999999995</v>
      </c>
      <c r="AB2947">
        <v>43</v>
      </c>
      <c r="AC2947">
        <v>-46.856200000000001</v>
      </c>
      <c r="AD2947">
        <v>-1.109034057021</v>
      </c>
      <c r="AE2947">
        <v>4.6379999999999697</v>
      </c>
      <c r="AF2947">
        <v>4.3106069399752904</v>
      </c>
      <c r="AG2947">
        <v>-1.109034057021</v>
      </c>
      <c r="AH2947">
        <v>46.861234754586697</v>
      </c>
      <c r="AI2947">
        <v>91.350030981876401</v>
      </c>
      <c r="AJ2947">
        <v>84.744344823479196</v>
      </c>
      <c r="AK2947">
        <v>47.072142626558701</v>
      </c>
      <c r="AL2947">
        <v>79.560446026397599</v>
      </c>
      <c r="AM2947">
        <v>90.856468853493794</v>
      </c>
      <c r="AN2947">
        <v>0.99999995659227103</v>
      </c>
    </row>
    <row r="2948" spans="1:40" x14ac:dyDescent="0.25">
      <c r="A2948" t="str">
        <f>"20190312172137405"</f>
        <v>20190312172137405</v>
      </c>
      <c r="B2948" t="str">
        <f>"1552382497394042"</f>
        <v>1552382497394042</v>
      </c>
      <c r="C2948" t="s">
        <v>40</v>
      </c>
      <c r="D2948">
        <v>2.954491</v>
      </c>
      <c r="E2948">
        <v>0.54162339999999998</v>
      </c>
      <c r="F2948" t="s">
        <v>47</v>
      </c>
      <c r="G2948">
        <v>-411.04750000000001</v>
      </c>
      <c r="H2948" s="1">
        <v>2.066698E-6</v>
      </c>
      <c r="I2948">
        <v>288.33229999999998</v>
      </c>
      <c r="J2948">
        <v>-363.83530000000002</v>
      </c>
      <c r="K2948">
        <v>1.109032</v>
      </c>
      <c r="L2948">
        <v>283.64710000000002</v>
      </c>
      <c r="M2948">
        <v>-0.99993120000000002</v>
      </c>
      <c r="N2948">
        <v>0</v>
      </c>
      <c r="O2948">
        <v>7.1905750000000003E-3</v>
      </c>
      <c r="P2948">
        <v>-0.98505120000000002</v>
      </c>
      <c r="Q2948">
        <v>0.1720624</v>
      </c>
      <c r="R2948">
        <v>-8.2985460000000004E-3</v>
      </c>
      <c r="S2948">
        <v>-3.060425</v>
      </c>
      <c r="T2948">
        <v>-7.1337460000000005E-2</v>
      </c>
      <c r="U2948">
        <v>0.30154419999999998</v>
      </c>
      <c r="V2948">
        <v>-1.521876E-2</v>
      </c>
      <c r="W2948">
        <v>0.18120929999999999</v>
      </c>
      <c r="X2948">
        <v>0.98332679999999995</v>
      </c>
      <c r="Y2948">
        <v>9.0874090000000005E-2</v>
      </c>
      <c r="Z2948">
        <v>8.8924789999999903E-4</v>
      </c>
      <c r="AA2948">
        <v>0.99586200000000002</v>
      </c>
      <c r="AB2948">
        <v>44</v>
      </c>
      <c r="AC2948">
        <v>-47.212200000000003</v>
      </c>
      <c r="AD2948">
        <v>-1.1090299333019999</v>
      </c>
      <c r="AE2948">
        <v>4.6851999999999503</v>
      </c>
      <c r="AF2948">
        <v>4.3432082291146603</v>
      </c>
      <c r="AG2948">
        <v>-1.1090299333019999</v>
      </c>
      <c r="AH2948">
        <v>47.218869004744803</v>
      </c>
      <c r="AI2948">
        <v>91.339805416885795</v>
      </c>
      <c r="AJ2948">
        <v>84.744701315136496</v>
      </c>
      <c r="AK2948">
        <v>47.431160593028501</v>
      </c>
      <c r="AL2948">
        <v>79.559794057852997</v>
      </c>
      <c r="AM2948">
        <v>90.886684981959107</v>
      </c>
      <c r="AN2948">
        <v>1.00000000833033</v>
      </c>
    </row>
    <row r="2949" spans="1:40" x14ac:dyDescent="0.25">
      <c r="A2949" t="str">
        <f>"20190312172137419"</f>
        <v>20190312172137419</v>
      </c>
      <c r="B2949" t="str">
        <f>"1552382497413560"</f>
        <v>1552382497413560</v>
      </c>
      <c r="C2949" t="s">
        <v>40</v>
      </c>
      <c r="D2949">
        <v>2.9734120000000002</v>
      </c>
      <c r="E2949">
        <v>0.54153839999999998</v>
      </c>
      <c r="F2949" t="s">
        <v>47</v>
      </c>
      <c r="G2949">
        <v>-411.97879999999998</v>
      </c>
      <c r="H2949" s="1">
        <v>2.2273630000000001E-6</v>
      </c>
      <c r="I2949">
        <v>288.38409999999999</v>
      </c>
      <c r="J2949">
        <v>-364.11630000000002</v>
      </c>
      <c r="K2949">
        <v>1.109029</v>
      </c>
      <c r="L2949">
        <v>283.64920000000001</v>
      </c>
      <c r="M2949">
        <v>-0.99992979999999998</v>
      </c>
      <c r="N2949">
        <v>0</v>
      </c>
      <c r="O2949">
        <v>7.3873350000000001E-3</v>
      </c>
      <c r="P2949">
        <v>-0.98501289999999997</v>
      </c>
      <c r="Q2949">
        <v>0.17226749999999999</v>
      </c>
      <c r="R2949">
        <v>-8.5955340000000002E-3</v>
      </c>
      <c r="S2949">
        <v>-3.0603639999999999</v>
      </c>
      <c r="T2949">
        <v>-7.0498350000000001E-2</v>
      </c>
      <c r="U2949">
        <v>0.30111690000000002</v>
      </c>
      <c r="V2949">
        <v>-1.5708659999999999E-2</v>
      </c>
      <c r="W2949">
        <v>0.1814007</v>
      </c>
      <c r="X2949">
        <v>0.98328380000000004</v>
      </c>
      <c r="Y2949">
        <v>9.0543029999999997E-2</v>
      </c>
      <c r="Z2949">
        <v>8.7049019999999998E-4</v>
      </c>
      <c r="AA2949">
        <v>0.99589220000000001</v>
      </c>
      <c r="AB2949">
        <v>44</v>
      </c>
      <c r="AC2949">
        <v>-47.862499999999898</v>
      </c>
      <c r="AD2949">
        <v>-1.109026772637</v>
      </c>
      <c r="AE2949">
        <v>4.7348999999999801</v>
      </c>
      <c r="AF2949">
        <v>4.3788510748843699</v>
      </c>
      <c r="AG2949">
        <v>-1.109026772637</v>
      </c>
      <c r="AH2949">
        <v>47.870720980927302</v>
      </c>
      <c r="AI2949">
        <v>91.321625175782103</v>
      </c>
      <c r="AJ2949">
        <v>84.773560451972301</v>
      </c>
      <c r="AK2949">
        <v>48.083367231842601</v>
      </c>
      <c r="AL2949">
        <v>79.548642786118407</v>
      </c>
      <c r="AM2949">
        <v>90.915263081838006</v>
      </c>
      <c r="AN2949">
        <v>1.00000000365096</v>
      </c>
    </row>
    <row r="2950" spans="1:40" x14ac:dyDescent="0.25">
      <c r="A2950" t="str">
        <f>"20190312172137438"</f>
        <v>20190312172137438</v>
      </c>
      <c r="B2950" t="str">
        <f>"1552382497434057"</f>
        <v>1552382497434057</v>
      </c>
      <c r="C2950" t="s">
        <v>40</v>
      </c>
      <c r="D2950">
        <v>2.988022</v>
      </c>
      <c r="E2950">
        <v>0.54148560000000001</v>
      </c>
      <c r="F2950" t="s">
        <v>47</v>
      </c>
      <c r="G2950">
        <v>-413.29270000000002</v>
      </c>
      <c r="H2950" s="1">
        <v>2.453681E-6</v>
      </c>
      <c r="I2950">
        <v>288.46140000000003</v>
      </c>
      <c r="J2950">
        <v>-364.48520000000002</v>
      </c>
      <c r="K2950">
        <v>1.109027</v>
      </c>
      <c r="L2950">
        <v>283.65219999999999</v>
      </c>
      <c r="M2950">
        <v>-0.99992809999999999</v>
      </c>
      <c r="N2950">
        <v>0</v>
      </c>
      <c r="O2950">
        <v>7.64585099999999E-3</v>
      </c>
      <c r="P2950">
        <v>-0.98502140000000005</v>
      </c>
      <c r="Q2950">
        <v>0.17219719999999999</v>
      </c>
      <c r="R2950">
        <v>-9.0029840000000003E-3</v>
      </c>
      <c r="S2950">
        <v>-3.060333</v>
      </c>
      <c r="T2950">
        <v>-6.9016579999999994E-2</v>
      </c>
      <c r="U2950">
        <v>0.29946899999999999</v>
      </c>
      <c r="V2950">
        <v>-1.6370949999999999E-2</v>
      </c>
      <c r="W2950">
        <v>0.18131530000000001</v>
      </c>
      <c r="X2950">
        <v>0.98328879999999996</v>
      </c>
      <c r="Y2950">
        <v>8.9756520000000006E-2</v>
      </c>
      <c r="Z2950">
        <v>8.3756819999999997E-4</v>
      </c>
      <c r="AA2950">
        <v>0.99596340000000005</v>
      </c>
      <c r="AB2950">
        <v>44</v>
      </c>
      <c r="AC2950">
        <v>-48.807499999999997</v>
      </c>
      <c r="AD2950">
        <v>-1.109024546319</v>
      </c>
      <c r="AE2950">
        <v>4.8092000000000299</v>
      </c>
      <c r="AF2950">
        <v>4.4336015244689104</v>
      </c>
      <c r="AG2950">
        <v>-1.109024546319</v>
      </c>
      <c r="AH2950">
        <v>48.817882512431197</v>
      </c>
      <c r="AI2950">
        <v>91.296065818208604</v>
      </c>
      <c r="AJ2950">
        <v>84.810678717993696</v>
      </c>
      <c r="AK2950">
        <v>49.0313411087199</v>
      </c>
      <c r="AL2950">
        <v>79.553618898435204</v>
      </c>
      <c r="AM2950">
        <v>90.953839490106304</v>
      </c>
      <c r="AN2950">
        <v>1.0000000551117101</v>
      </c>
    </row>
    <row r="2951" spans="1:40" x14ac:dyDescent="0.25">
      <c r="A2951" t="str">
        <f>"20190312172137450"</f>
        <v>20190312172137450</v>
      </c>
      <c r="B2951" t="str">
        <f>"1552382497443818"</f>
        <v>1552382497443818</v>
      </c>
      <c r="C2951" t="s">
        <v>40</v>
      </c>
      <c r="D2951">
        <v>2.9785140000000001</v>
      </c>
      <c r="E2951">
        <v>0.54148399999999997</v>
      </c>
      <c r="F2951" t="s">
        <v>47</v>
      </c>
      <c r="G2951">
        <v>-414.28280000000001</v>
      </c>
      <c r="H2951" s="1">
        <v>2.625597E-6</v>
      </c>
      <c r="I2951">
        <v>288.50380000000001</v>
      </c>
      <c r="J2951">
        <v>-364.7285</v>
      </c>
      <c r="K2951">
        <v>1.1090249999999999</v>
      </c>
      <c r="L2951">
        <v>283.65410000000003</v>
      </c>
      <c r="M2951">
        <v>-0.99992689999999995</v>
      </c>
      <c r="N2951">
        <v>0</v>
      </c>
      <c r="O2951">
        <v>7.8163590000000002E-3</v>
      </c>
      <c r="P2951">
        <v>-0.98499389999999998</v>
      </c>
      <c r="Q2951">
        <v>0.172349799999999</v>
      </c>
      <c r="R2951">
        <v>-9.08722E-3</v>
      </c>
      <c r="S2951">
        <v>-3.0602719999999999</v>
      </c>
      <c r="T2951">
        <v>-6.8154220000000001E-2</v>
      </c>
      <c r="U2951">
        <v>0.2981567</v>
      </c>
      <c r="V2951">
        <v>-1.6622290000000001E-2</v>
      </c>
      <c r="W2951">
        <v>0.1814588</v>
      </c>
      <c r="X2951">
        <v>0.98325810000000002</v>
      </c>
      <c r="Y2951">
        <v>8.9166239999999994E-2</v>
      </c>
      <c r="Z2951">
        <v>8.1679500000000004E-4</v>
      </c>
      <c r="AA2951">
        <v>0.99601640000000002</v>
      </c>
      <c r="AB2951">
        <v>44</v>
      </c>
      <c r="AC2951">
        <v>-49.554299999999998</v>
      </c>
      <c r="AD2951">
        <v>-1.1090223744030001</v>
      </c>
      <c r="AE2951">
        <v>4.8496999999999799</v>
      </c>
      <c r="AF2951">
        <v>4.4599885114144797</v>
      </c>
      <c r="AG2951">
        <v>-1.1090223744030001</v>
      </c>
      <c r="AH2951">
        <v>49.566104437783999</v>
      </c>
      <c r="AI2951">
        <v>91.276601122441207</v>
      </c>
      <c r="AJ2951">
        <v>84.858337254742494</v>
      </c>
      <c r="AK2951">
        <v>49.778711687690297</v>
      </c>
      <c r="AL2951">
        <v>79.545258148239697</v>
      </c>
      <c r="AM2951">
        <v>90.968511066332098</v>
      </c>
      <c r="AN2951">
        <v>1.00000004391894</v>
      </c>
    </row>
    <row r="2952" spans="1:40" x14ac:dyDescent="0.25">
      <c r="A2952" t="str">
        <f>"20190312172137462"</f>
        <v>20190312172137462</v>
      </c>
      <c r="B2952" t="str">
        <f>"1552382497453577"</f>
        <v>1552382497453577</v>
      </c>
      <c r="C2952" t="s">
        <v>40</v>
      </c>
      <c r="D2952">
        <v>2.9692470000000002</v>
      </c>
      <c r="E2952">
        <v>0.54153619999999902</v>
      </c>
      <c r="F2952" t="s">
        <v>47</v>
      </c>
      <c r="G2952">
        <v>-415.21039999999999</v>
      </c>
      <c r="H2952" s="1">
        <v>2.7843479999999998E-6</v>
      </c>
      <c r="I2952">
        <v>288.57010000000002</v>
      </c>
      <c r="J2952">
        <v>-364.95769999999999</v>
      </c>
      <c r="K2952">
        <v>1.109022</v>
      </c>
      <c r="L2952">
        <v>283.65600000000001</v>
      </c>
      <c r="M2952">
        <v>-0.99992559999999997</v>
      </c>
      <c r="N2952">
        <v>0</v>
      </c>
      <c r="O2952">
        <v>7.9770889999999997E-3</v>
      </c>
      <c r="P2952">
        <v>-0.98500379999999998</v>
      </c>
      <c r="Q2952">
        <v>0.17227870000000001</v>
      </c>
      <c r="R2952">
        <v>-9.3690070000000004E-3</v>
      </c>
      <c r="S2952">
        <v>-3.0602109999999998</v>
      </c>
      <c r="T2952">
        <v>-6.7228789999999997E-2</v>
      </c>
      <c r="U2952">
        <v>0.2980042</v>
      </c>
      <c r="V2952">
        <v>-1.706185E-2</v>
      </c>
      <c r="W2952">
        <v>0.18138090000000001</v>
      </c>
      <c r="X2952">
        <v>0.9832649</v>
      </c>
      <c r="Y2952">
        <v>8.8959479999999994E-2</v>
      </c>
      <c r="Z2952">
        <v>7.9993789999999903E-4</v>
      </c>
      <c r="AA2952">
        <v>0.99603489999999995</v>
      </c>
      <c r="AB2952">
        <v>44</v>
      </c>
      <c r="AC2952">
        <v>-50.252699999999997</v>
      </c>
      <c r="AD2952">
        <v>-1.109019215652</v>
      </c>
      <c r="AE2952">
        <v>4.9141000000000101</v>
      </c>
      <c r="AF2952">
        <v>4.5108801587090497</v>
      </c>
      <c r="AG2952">
        <v>-1.109019215652</v>
      </c>
      <c r="AH2952">
        <v>50.266053435005702</v>
      </c>
      <c r="AI2952">
        <v>91.258853756613703</v>
      </c>
      <c r="AJ2952">
        <v>84.872007877231994</v>
      </c>
      <c r="AK2952">
        <v>50.480234660288303</v>
      </c>
      <c r="AL2952">
        <v>79.549796347064898</v>
      </c>
      <c r="AM2952">
        <v>90.994110435215902</v>
      </c>
      <c r="AN2952">
        <v>1.00000000059112</v>
      </c>
    </row>
    <row r="2953" spans="1:40" x14ac:dyDescent="0.25">
      <c r="A2953" t="str">
        <f>"20190312172137474"</f>
        <v>20190312172137474</v>
      </c>
      <c r="B2953" t="str">
        <f>"1552382497463339"</f>
        <v>1552382497463339</v>
      </c>
      <c r="C2953" t="s">
        <v>40</v>
      </c>
      <c r="D2953">
        <v>2.9677989999999999</v>
      </c>
      <c r="E2953">
        <v>0.54153689999999999</v>
      </c>
      <c r="F2953" t="s">
        <v>47</v>
      </c>
      <c r="G2953">
        <v>-415.42739999999998</v>
      </c>
      <c r="H2953" s="1">
        <v>2.82314E-6</v>
      </c>
      <c r="I2953">
        <v>288.56670000000003</v>
      </c>
      <c r="J2953">
        <v>-365.1893</v>
      </c>
      <c r="K2953">
        <v>1.109019</v>
      </c>
      <c r="L2953">
        <v>283.65800000000002</v>
      </c>
      <c r="M2953">
        <v>-0.99992440000000005</v>
      </c>
      <c r="N2953">
        <v>0</v>
      </c>
      <c r="O2953">
        <v>8.1391239999999993E-3</v>
      </c>
      <c r="P2953">
        <v>-0.9850257</v>
      </c>
      <c r="Q2953">
        <v>0.1721463</v>
      </c>
      <c r="R2953">
        <v>-9.4927459999999998E-3</v>
      </c>
      <c r="S2953">
        <v>-3.0602420000000001</v>
      </c>
      <c r="T2953">
        <v>-6.7245600000000003E-2</v>
      </c>
      <c r="U2953">
        <v>0.29776000000000002</v>
      </c>
      <c r="V2953">
        <v>-1.7345490000000002E-2</v>
      </c>
      <c r="W2953">
        <v>0.18124219999999999</v>
      </c>
      <c r="X2953">
        <v>0.98328550000000003</v>
      </c>
      <c r="Y2953">
        <v>8.8718499999999895E-2</v>
      </c>
      <c r="Z2953">
        <v>7.9394090000000001E-4</v>
      </c>
      <c r="AA2953">
        <v>0.99605639999999995</v>
      </c>
      <c r="AB2953">
        <v>44</v>
      </c>
      <c r="AC2953">
        <v>-50.238099999999903</v>
      </c>
      <c r="AD2953">
        <v>-1.10901617686</v>
      </c>
      <c r="AE2953">
        <v>4.9086999999999996</v>
      </c>
      <c r="AF2953">
        <v>4.4974549510932</v>
      </c>
      <c r="AG2953">
        <v>-1.10901617686</v>
      </c>
      <c r="AH2953">
        <v>50.252133013648603</v>
      </c>
      <c r="AI2953">
        <v>91.259226028749197</v>
      </c>
      <c r="AJ2953">
        <v>84.885779915002701</v>
      </c>
      <c r="AK2953">
        <v>50.465175025348699</v>
      </c>
      <c r="AL2953">
        <v>79.557877071115698</v>
      </c>
      <c r="AM2953">
        <v>91.010612180614501</v>
      </c>
      <c r="AN2953">
        <v>0.999999987797215</v>
      </c>
    </row>
    <row r="2954" spans="1:40" x14ac:dyDescent="0.25">
      <c r="A2954" t="str">
        <f>"20190312172137493"</f>
        <v>20190312172137493</v>
      </c>
      <c r="B2954" t="str">
        <f>"1552382497483833"</f>
        <v>1552382497483833</v>
      </c>
      <c r="C2954" t="s">
        <v>40</v>
      </c>
      <c r="D2954">
        <v>2.981417</v>
      </c>
      <c r="E2954">
        <v>0.5415932</v>
      </c>
      <c r="F2954" t="s">
        <v>47</v>
      </c>
      <c r="G2954">
        <v>-415.64890000000003</v>
      </c>
      <c r="H2954" s="1">
        <v>2.8629109999999998E-6</v>
      </c>
      <c r="I2954">
        <v>288.56110000000001</v>
      </c>
      <c r="J2954">
        <v>-365.5752</v>
      </c>
      <c r="K2954">
        <v>1.109016</v>
      </c>
      <c r="L2954">
        <v>283.66129999999998</v>
      </c>
      <c r="M2954">
        <v>-0.99992230000000004</v>
      </c>
      <c r="N2954">
        <v>0</v>
      </c>
      <c r="O2954">
        <v>8.4094740000000001E-3</v>
      </c>
      <c r="P2954">
        <v>-0.98500069999999995</v>
      </c>
      <c r="Q2954">
        <v>0.17228669999999999</v>
      </c>
      <c r="R2954">
        <v>-9.5572190000000005E-3</v>
      </c>
      <c r="S2954">
        <v>-3.0602420000000001</v>
      </c>
      <c r="T2954">
        <v>-6.7258949999999998E-2</v>
      </c>
      <c r="U2954">
        <v>0.2973633</v>
      </c>
      <c r="V2954">
        <v>-1.7675599999999899E-2</v>
      </c>
      <c r="W2954">
        <v>0.18137339999999999</v>
      </c>
      <c r="X2954">
        <v>0.9832554</v>
      </c>
      <c r="Y2954">
        <v>8.8321430000000006E-2</v>
      </c>
      <c r="Z2954">
        <v>7.8382470000000004E-4</v>
      </c>
      <c r="AA2954">
        <v>0.99609170000000002</v>
      </c>
      <c r="AB2954">
        <v>44</v>
      </c>
      <c r="AC2954">
        <v>-50.073700000000002</v>
      </c>
      <c r="AD2954">
        <v>-1.109013137089</v>
      </c>
      <c r="AE2954">
        <v>4.8998000000000204</v>
      </c>
      <c r="AF2954">
        <v>4.4763405234988296</v>
      </c>
      <c r="AG2954">
        <v>-1.109013137089</v>
      </c>
      <c r="AH2954">
        <v>50.088799331993499</v>
      </c>
      <c r="AI2954">
        <v>91.263341959273106</v>
      </c>
      <c r="AJ2954">
        <v>84.893152105942207</v>
      </c>
      <c r="AK2954">
        <v>50.300649629416</v>
      </c>
      <c r="AL2954">
        <v>79.550232877254999</v>
      </c>
      <c r="AM2954">
        <v>91.029873021738695</v>
      </c>
      <c r="AN2954">
        <v>0.99999995934603902</v>
      </c>
    </row>
    <row r="2955" spans="1:40" x14ac:dyDescent="0.25">
      <c r="A2955" t="str">
        <f>"20190312172137506"</f>
        <v>20190312172137506</v>
      </c>
      <c r="B2955" t="str">
        <f>"1552382497493593"</f>
        <v>1552382497493593</v>
      </c>
      <c r="C2955" t="s">
        <v>40</v>
      </c>
      <c r="D2955">
        <v>2.992756</v>
      </c>
      <c r="E2955">
        <v>0.54162529999999998</v>
      </c>
      <c r="F2955" t="s">
        <v>47</v>
      </c>
      <c r="G2955">
        <v>-416.46159999999998</v>
      </c>
      <c r="H2955" s="1">
        <v>3.0022260000000001E-6</v>
      </c>
      <c r="I2955">
        <v>288.61660000000001</v>
      </c>
      <c r="J2955">
        <v>-365.8057</v>
      </c>
      <c r="K2955">
        <v>1.1090139999999999</v>
      </c>
      <c r="L2955">
        <v>283.66329999999999</v>
      </c>
      <c r="M2955">
        <v>-0.99992080000000005</v>
      </c>
      <c r="N2955">
        <v>0</v>
      </c>
      <c r="O2955">
        <v>8.5711420000000003E-3</v>
      </c>
      <c r="P2955">
        <v>-0.98498359999999996</v>
      </c>
      <c r="Q2955">
        <v>0.1723848</v>
      </c>
      <c r="R2955">
        <v>-9.5421389999999998E-3</v>
      </c>
      <c r="S2955">
        <v>-3.0602420000000001</v>
      </c>
      <c r="T2955">
        <v>-6.6694619999999996E-2</v>
      </c>
      <c r="U2955">
        <v>0.2980042</v>
      </c>
      <c r="V2955">
        <v>-1.7819229999999998E-2</v>
      </c>
      <c r="W2955">
        <v>0.18146680000000001</v>
      </c>
      <c r="X2955">
        <v>0.98323559999999999</v>
      </c>
      <c r="Y2955">
        <v>8.8367360000000006E-2</v>
      </c>
      <c r="Z2955">
        <v>7.7422699999999897E-4</v>
      </c>
      <c r="AA2955">
        <v>0.99608770000000002</v>
      </c>
      <c r="AB2955">
        <v>44</v>
      </c>
      <c r="AC2955">
        <v>-50.655899999999903</v>
      </c>
      <c r="AD2955">
        <v>-1.1090109977739999</v>
      </c>
      <c r="AE2955">
        <v>4.9533000000000103</v>
      </c>
      <c r="AF2955">
        <v>4.5167762770275299</v>
      </c>
      <c r="AG2955">
        <v>-1.1090109977739999</v>
      </c>
      <c r="AH2955">
        <v>50.672438836287498</v>
      </c>
      <c r="AI2955">
        <v>91.248818727826304</v>
      </c>
      <c r="AJ2955">
        <v>84.906302645697593</v>
      </c>
      <c r="AK2955">
        <v>50.885432404050597</v>
      </c>
      <c r="AL2955">
        <v>79.544791418441207</v>
      </c>
      <c r="AM2955">
        <v>91.038260736344796</v>
      </c>
      <c r="AN2955">
        <v>0.99999998478369601</v>
      </c>
    </row>
    <row r="2956" spans="1:40" x14ac:dyDescent="0.25">
      <c r="A2956" t="str">
        <f>"20190312172137517"</f>
        <v>20190312172137517</v>
      </c>
      <c r="B2956" t="str">
        <f>"1552382497514089"</f>
        <v>1552382497514089</v>
      </c>
      <c r="C2956" t="s">
        <v>40</v>
      </c>
      <c r="D2956">
        <v>2.9696579999999999</v>
      </c>
      <c r="E2956">
        <v>0.54169929999999999</v>
      </c>
      <c r="F2956" t="s">
        <v>47</v>
      </c>
      <c r="G2956">
        <v>-416.85680000000002</v>
      </c>
      <c r="H2956" s="1">
        <v>3.0703040000000002E-6</v>
      </c>
      <c r="I2956">
        <v>288.63959999999997</v>
      </c>
      <c r="J2956">
        <v>-366.04950000000002</v>
      </c>
      <c r="K2956">
        <v>1.1090139999999999</v>
      </c>
      <c r="L2956">
        <v>283.66550000000001</v>
      </c>
      <c r="M2956">
        <v>-0.99991949999999996</v>
      </c>
      <c r="N2956">
        <v>0</v>
      </c>
      <c r="O2956">
        <v>8.7415719999999995E-3</v>
      </c>
      <c r="P2956">
        <v>-0.98497970000000001</v>
      </c>
      <c r="Q2956">
        <v>0.1724176</v>
      </c>
      <c r="R2956">
        <v>-9.3553000000000004E-3</v>
      </c>
      <c r="S2956">
        <v>-3.0602719999999999</v>
      </c>
      <c r="T2956">
        <v>-6.6479919999999998E-2</v>
      </c>
      <c r="U2956">
        <v>0.2983093</v>
      </c>
      <c r="V2956">
        <v>-1.7799909999999999E-2</v>
      </c>
      <c r="W2956">
        <v>0.1814954</v>
      </c>
      <c r="X2956">
        <v>0.98323070000000001</v>
      </c>
      <c r="Y2956">
        <v>8.8295209999999999E-2</v>
      </c>
      <c r="Z2956">
        <v>7.6724970000000003E-4</v>
      </c>
      <c r="AA2956">
        <v>0.99609400000000003</v>
      </c>
      <c r="AB2956">
        <v>44</v>
      </c>
      <c r="AC2956">
        <v>-50.807299999999998</v>
      </c>
      <c r="AD2956">
        <v>-1.109010929696</v>
      </c>
      <c r="AE2956">
        <v>4.97409999999996</v>
      </c>
      <c r="AF2956">
        <v>4.52761876310029</v>
      </c>
      <c r="AG2956">
        <v>-1.109010929696</v>
      </c>
      <c r="AH2956">
        <v>50.824856144808798</v>
      </c>
      <c r="AI2956">
        <v>91.245080722716295</v>
      </c>
      <c r="AJ2956">
        <v>84.909371074188499</v>
      </c>
      <c r="AK2956">
        <v>51.0381743310502</v>
      </c>
      <c r="AL2956">
        <v>79.543125389471001</v>
      </c>
      <c r="AM2956">
        <v>91.037140444807804</v>
      </c>
      <c r="AN2956">
        <v>1.0000000132198199</v>
      </c>
    </row>
    <row r="2957" spans="1:40" x14ac:dyDescent="0.25">
      <c r="A2957" t="str">
        <f>"20190312172137529"</f>
        <v>20190312172137529</v>
      </c>
      <c r="B2957" t="str">
        <f>"1552382497523850"</f>
        <v>1552382497523850</v>
      </c>
      <c r="C2957" t="s">
        <v>40</v>
      </c>
      <c r="D2957">
        <v>3.0120269999999998</v>
      </c>
      <c r="E2957">
        <v>0.54175289999999998</v>
      </c>
      <c r="F2957" t="s">
        <v>47</v>
      </c>
      <c r="G2957">
        <v>-417.08969999999999</v>
      </c>
      <c r="H2957" s="1">
        <v>3.110082E-6</v>
      </c>
      <c r="I2957">
        <v>288.65710000000001</v>
      </c>
      <c r="J2957">
        <v>-366.26260000000002</v>
      </c>
      <c r="K2957">
        <v>1.109013</v>
      </c>
      <c r="L2957">
        <v>283.66739999999999</v>
      </c>
      <c r="M2957">
        <v>-0.99991799999999997</v>
      </c>
      <c r="N2957">
        <v>0</v>
      </c>
      <c r="O2957">
        <v>8.8905970000000001E-3</v>
      </c>
      <c r="P2957">
        <v>-0.98494230000000005</v>
      </c>
      <c r="Q2957">
        <v>0.172628799999999</v>
      </c>
      <c r="R2957">
        <v>-9.3915390000000008E-3</v>
      </c>
      <c r="S2957">
        <v>-3.0602420000000001</v>
      </c>
      <c r="T2957">
        <v>-6.6493510000000006E-2</v>
      </c>
      <c r="U2957">
        <v>0.29928589999999999</v>
      </c>
      <c r="V2957">
        <v>-1.7982519999999998E-2</v>
      </c>
      <c r="W2957">
        <v>0.181704</v>
      </c>
      <c r="X2957">
        <v>0.98318879999999997</v>
      </c>
      <c r="Y2957">
        <v>8.8462559999999996E-2</v>
      </c>
      <c r="Z2957">
        <v>7.6598659999999996E-4</v>
      </c>
      <c r="AA2957">
        <v>0.99607920000000005</v>
      </c>
      <c r="AB2957">
        <v>44</v>
      </c>
      <c r="AC2957">
        <v>-50.827099999999902</v>
      </c>
      <c r="AD2957">
        <v>-1.1090098899179901</v>
      </c>
      <c r="AE2957">
        <v>4.9897000000000196</v>
      </c>
      <c r="AF2957">
        <v>4.5354616887566497</v>
      </c>
      <c r="AG2957">
        <v>-1.1090098899179901</v>
      </c>
      <c r="AH2957">
        <v>50.845478861299803</v>
      </c>
      <c r="AI2957">
        <v>91.244561718426596</v>
      </c>
      <c r="AJ2957">
        <v>84.902656730604605</v>
      </c>
      <c r="AK2957">
        <v>51.059406932523203</v>
      </c>
      <c r="AL2957">
        <v>79.530970895253404</v>
      </c>
      <c r="AM2957">
        <v>91.047822793413104</v>
      </c>
      <c r="AN2957">
        <v>0.99999996554349402</v>
      </c>
    </row>
    <row r="2958" spans="1:40" x14ac:dyDescent="0.25">
      <c r="A2958" t="str">
        <f>"20190312172137541"</f>
        <v>20190312172137541</v>
      </c>
      <c r="B2958" t="str">
        <f>"1552382497533609"</f>
        <v>1552382497533609</v>
      </c>
      <c r="C2958" t="s">
        <v>40</v>
      </c>
      <c r="D2958">
        <v>2.9981450000000001</v>
      </c>
      <c r="E2958">
        <v>0.5417978</v>
      </c>
      <c r="F2958" t="s">
        <v>47</v>
      </c>
      <c r="G2958">
        <v>-417.8426</v>
      </c>
      <c r="H2958" s="1">
        <v>3.23827E-6</v>
      </c>
      <c r="I2958">
        <v>288.71850000000001</v>
      </c>
      <c r="J2958">
        <v>-366.49669999999998</v>
      </c>
      <c r="K2958">
        <v>1.1090089999999999</v>
      </c>
      <c r="L2958">
        <v>283.6696</v>
      </c>
      <c r="M2958">
        <v>-0.99991680000000005</v>
      </c>
      <c r="N2958">
        <v>0</v>
      </c>
      <c r="O2958">
        <v>9.0541079999999999E-3</v>
      </c>
      <c r="P2958">
        <v>-0.98495220000000006</v>
      </c>
      <c r="Q2958">
        <v>0.1725718</v>
      </c>
      <c r="R2958">
        <v>-9.4023530000000004E-3</v>
      </c>
      <c r="S2958">
        <v>-3.0602719999999999</v>
      </c>
      <c r="T2958">
        <v>-6.5798280000000001E-2</v>
      </c>
      <c r="U2958">
        <v>0.29968260000000002</v>
      </c>
      <c r="V2958">
        <v>-1.8153849999999999E-2</v>
      </c>
      <c r="W2958">
        <v>0.18164449999999999</v>
      </c>
      <c r="X2958">
        <v>0.98319670000000003</v>
      </c>
      <c r="Y2958">
        <v>8.8427049999999993E-2</v>
      </c>
      <c r="Z2958">
        <v>7.5408039999999902E-4</v>
      </c>
      <c r="AA2958">
        <v>0.99608240000000003</v>
      </c>
      <c r="AB2958">
        <v>44</v>
      </c>
      <c r="AC2958">
        <v>-51.3459</v>
      </c>
      <c r="AD2958">
        <v>-1.10900576173</v>
      </c>
      <c r="AE2958">
        <v>5.0488999999999997</v>
      </c>
      <c r="AF2958">
        <v>4.5816651841817402</v>
      </c>
      <c r="AG2958">
        <v>-1.10900576173</v>
      </c>
      <c r="AH2958">
        <v>51.3657775013845</v>
      </c>
      <c r="AI2958">
        <v>91.231954958198699</v>
      </c>
      <c r="AJ2958">
        <v>84.902886473269007</v>
      </c>
      <c r="AK2958">
        <v>51.581630916065798</v>
      </c>
      <c r="AL2958">
        <v>79.534438249253199</v>
      </c>
      <c r="AM2958">
        <v>91.057795259640301</v>
      </c>
      <c r="AN2958">
        <v>1.0000000187704801</v>
      </c>
    </row>
    <row r="2959" spans="1:40" x14ac:dyDescent="0.25">
      <c r="A2959" t="str">
        <f>"20190312172137552"</f>
        <v>20190312172137552</v>
      </c>
      <c r="B2959" t="str">
        <f>"1552382497543369"</f>
        <v>1552382497543369</v>
      </c>
      <c r="C2959" t="s">
        <v>40</v>
      </c>
      <c r="D2959">
        <v>2.9974910000000001</v>
      </c>
      <c r="E2959">
        <v>0.54185090000000002</v>
      </c>
      <c r="F2959" t="s">
        <v>47</v>
      </c>
      <c r="G2959">
        <v>-417.73219999999998</v>
      </c>
      <c r="H2959" s="1">
        <v>3.220787E-6</v>
      </c>
      <c r="I2959">
        <v>288.69459999999998</v>
      </c>
      <c r="J2959">
        <v>-366.72989999999999</v>
      </c>
      <c r="K2959">
        <v>1.109008</v>
      </c>
      <c r="L2959">
        <v>283.67180000000002</v>
      </c>
      <c r="M2959">
        <v>-0.9999152</v>
      </c>
      <c r="N2959">
        <v>0</v>
      </c>
      <c r="O2959">
        <v>9.2175499999999997E-3</v>
      </c>
      <c r="P2959">
        <v>-0.98498399999999997</v>
      </c>
      <c r="Q2959">
        <v>0.17237729999999901</v>
      </c>
      <c r="R2959">
        <v>-9.6335110000000009E-3</v>
      </c>
      <c r="S2959">
        <v>-3.0603030000000002</v>
      </c>
      <c r="T2959">
        <v>-6.6241030000000006E-2</v>
      </c>
      <c r="U2959">
        <v>0.30014039999999997</v>
      </c>
      <c r="V2959">
        <v>-1.8546469999999999E-2</v>
      </c>
      <c r="W2959">
        <v>0.181449</v>
      </c>
      <c r="X2959">
        <v>0.98322549999999997</v>
      </c>
      <c r="Y2959">
        <v>8.8410649999999993E-2</v>
      </c>
      <c r="Z2959">
        <v>7.5543509999999997E-4</v>
      </c>
      <c r="AA2959">
        <v>0.99608379999999996</v>
      </c>
      <c r="AB2959">
        <v>44</v>
      </c>
      <c r="AC2959">
        <v>-51.002299999999899</v>
      </c>
      <c r="AD2959">
        <v>-1.109004779213</v>
      </c>
      <c r="AE2959">
        <v>5.0227999999999602</v>
      </c>
      <c r="AF2959">
        <v>4.5503196820232299</v>
      </c>
      <c r="AG2959">
        <v>-1.109004779213</v>
      </c>
      <c r="AH2959">
        <v>51.022540699218901</v>
      </c>
      <c r="AI2959">
        <v>91.240240407480997</v>
      </c>
      <c r="AJ2959">
        <v>84.9036996049321</v>
      </c>
      <c r="AK2959">
        <v>51.237046755373903</v>
      </c>
      <c r="AL2959">
        <v>79.545829163248698</v>
      </c>
      <c r="AM2959">
        <v>91.080635572740903</v>
      </c>
      <c r="AN2959">
        <v>1.0000000475003501</v>
      </c>
    </row>
    <row r="2960" spans="1:40" x14ac:dyDescent="0.25">
      <c r="A2960" t="str">
        <f>"20190312172137564"</f>
        <v>20190312172137564</v>
      </c>
      <c r="B2960" t="str">
        <f>"1552382497554106"</f>
        <v>1552382497554106</v>
      </c>
      <c r="C2960" t="s">
        <v>40</v>
      </c>
      <c r="D2960">
        <v>2.996556</v>
      </c>
      <c r="E2960">
        <v>0.54189489999999996</v>
      </c>
      <c r="F2960" t="s">
        <v>47</v>
      </c>
      <c r="G2960">
        <v>-417.52800000000002</v>
      </c>
      <c r="H2960" s="1">
        <v>3.1880330000000001E-6</v>
      </c>
      <c r="I2960">
        <v>288.65480000000002</v>
      </c>
      <c r="J2960">
        <v>-366.9581</v>
      </c>
      <c r="K2960">
        <v>1.1090059999999999</v>
      </c>
      <c r="L2960">
        <v>283.67399999999998</v>
      </c>
      <c r="M2960">
        <v>-0.99991370000000002</v>
      </c>
      <c r="N2960">
        <v>0</v>
      </c>
      <c r="O2960">
        <v>9.3771180000000003E-3</v>
      </c>
      <c r="P2960">
        <v>-0.98502860000000003</v>
      </c>
      <c r="Q2960">
        <v>0.1721181</v>
      </c>
      <c r="R2960">
        <v>-9.6924320000000008E-3</v>
      </c>
      <c r="S2960">
        <v>-3.0603639999999999</v>
      </c>
      <c r="T2960">
        <v>-6.6812750000000004E-2</v>
      </c>
      <c r="U2960">
        <v>0.30020140000000001</v>
      </c>
      <c r="V2960">
        <v>-1.876305E-2</v>
      </c>
      <c r="W2960">
        <v>0.18118919999999999</v>
      </c>
      <c r="X2960">
        <v>0.98326930000000001</v>
      </c>
      <c r="Y2960">
        <v>8.8269200000000006E-2</v>
      </c>
      <c r="Z2960">
        <v>7.5692350000000001E-4</v>
      </c>
      <c r="AA2960">
        <v>0.99609639999999999</v>
      </c>
      <c r="AB2960">
        <v>44</v>
      </c>
      <c r="AC2960">
        <v>-50.569899999999997</v>
      </c>
      <c r="AD2960">
        <v>-1.1090028119669999</v>
      </c>
      <c r="AE2960">
        <v>4.9807999999999799</v>
      </c>
      <c r="AF2960">
        <v>4.5042156044597297</v>
      </c>
      <c r="AG2960">
        <v>-1.1090028119669999</v>
      </c>
      <c r="AH2960">
        <v>50.590287390629499</v>
      </c>
      <c r="AI2960">
        <v>91.250848201399904</v>
      </c>
      <c r="AJ2960">
        <v>84.912188163192994</v>
      </c>
      <c r="AK2960">
        <v>50.802510013924397</v>
      </c>
      <c r="AL2960">
        <v>79.560965498945905</v>
      </c>
      <c r="AM2960">
        <v>91.0932031717564</v>
      </c>
      <c r="AN2960">
        <v>1.0000000472822099</v>
      </c>
    </row>
    <row r="2961" spans="1:40" x14ac:dyDescent="0.25">
      <c r="A2961" t="str">
        <f>"20190312172137576"</f>
        <v>20190312172137576</v>
      </c>
      <c r="B2961" t="str">
        <f>"1552382497573626"</f>
        <v>1552382497573626</v>
      </c>
      <c r="C2961" t="s">
        <v>40</v>
      </c>
      <c r="D2961">
        <v>2.9778690000000001</v>
      </c>
      <c r="E2961">
        <v>0.54199019999999898</v>
      </c>
      <c r="F2961" t="s">
        <v>47</v>
      </c>
      <c r="G2961">
        <v>-417.24450000000002</v>
      </c>
      <c r="H2961" s="1">
        <v>3.1410679999999998E-6</v>
      </c>
      <c r="I2961">
        <v>288.61689999999999</v>
      </c>
      <c r="J2961">
        <v>-367.21039999999999</v>
      </c>
      <c r="K2961">
        <v>1.1090040000000001</v>
      </c>
      <c r="L2961">
        <v>283.67649999999998</v>
      </c>
      <c r="M2961">
        <v>-0.99991209999999997</v>
      </c>
      <c r="N2961">
        <v>0</v>
      </c>
      <c r="O2961">
        <v>9.5534959999999999E-3</v>
      </c>
      <c r="P2961">
        <v>-0.98506839999999996</v>
      </c>
      <c r="Q2961">
        <v>0.1718846</v>
      </c>
      <c r="R2961">
        <v>-9.8037249999999992E-3</v>
      </c>
      <c r="S2961">
        <v>-3.0603030000000002</v>
      </c>
      <c r="T2961">
        <v>-6.7491049999999997E-2</v>
      </c>
      <c r="U2961">
        <v>0.30081180000000002</v>
      </c>
      <c r="V2961">
        <v>-1.9048470000000001E-2</v>
      </c>
      <c r="W2961">
        <v>0.18095559999999999</v>
      </c>
      <c r="X2961">
        <v>0.98330680000000004</v>
      </c>
      <c r="Y2961">
        <v>8.8291830000000002E-2</v>
      </c>
      <c r="Z2961">
        <v>7.609839E-4</v>
      </c>
      <c r="AA2961">
        <v>0.99609429999999999</v>
      </c>
      <c r="AB2961">
        <v>44</v>
      </c>
      <c r="AC2961">
        <v>-50.034100000000002</v>
      </c>
      <c r="AD2961">
        <v>-1.109000858932</v>
      </c>
      <c r="AE2961">
        <v>4.9404000000000101</v>
      </c>
      <c r="AF2961">
        <v>4.4599837889326501</v>
      </c>
      <c r="AG2961">
        <v>-1.109000858932</v>
      </c>
      <c r="AH2961">
        <v>50.054662997138799</v>
      </c>
      <c r="AI2961">
        <v>91.264219005474999</v>
      </c>
      <c r="AJ2961">
        <v>84.908262723277204</v>
      </c>
      <c r="AK2961">
        <v>50.265202934632498</v>
      </c>
      <c r="AL2961">
        <v>79.574574449521194</v>
      </c>
      <c r="AM2961">
        <v>91.109786330792701</v>
      </c>
      <c r="AN2961">
        <v>1.0000000181534701</v>
      </c>
    </row>
    <row r="2962" spans="1:40" x14ac:dyDescent="0.25">
      <c r="A2962" t="str">
        <f>"20190312172137591"</f>
        <v>20190312172137591</v>
      </c>
      <c r="B2962" t="str">
        <f>"1552382497583385"</f>
        <v>1552382497583385</v>
      </c>
      <c r="C2962" t="s">
        <v>40</v>
      </c>
      <c r="D2962">
        <v>3.290054</v>
      </c>
      <c r="E2962">
        <v>0.54202450000000002</v>
      </c>
      <c r="F2962" t="s">
        <v>47</v>
      </c>
      <c r="G2962">
        <v>-416.68439999999998</v>
      </c>
      <c r="H2962" s="1">
        <v>3.0480249999999999E-6</v>
      </c>
      <c r="I2962">
        <v>288.54469999999998</v>
      </c>
      <c r="J2962">
        <v>-367.49149999999997</v>
      </c>
      <c r="K2962">
        <v>1.1090009999999999</v>
      </c>
      <c r="L2962">
        <v>283.67930000000001</v>
      </c>
      <c r="M2962">
        <v>-0.99991030000000003</v>
      </c>
      <c r="N2962">
        <v>0</v>
      </c>
      <c r="O2962">
        <v>9.7514520000000007E-3</v>
      </c>
      <c r="P2962">
        <v>-0.98509899999999995</v>
      </c>
      <c r="Q2962">
        <v>0.17170170000000001</v>
      </c>
      <c r="R2962">
        <v>-9.9346839999999992E-3</v>
      </c>
      <c r="S2962">
        <v>-3.0604550000000001</v>
      </c>
      <c r="T2962">
        <v>-6.8602679999999999E-2</v>
      </c>
      <c r="U2962">
        <v>0.30114750000000001</v>
      </c>
      <c r="V2962">
        <v>-1.9374059999999999E-2</v>
      </c>
      <c r="W2962">
        <v>0.1807732</v>
      </c>
      <c r="X2962">
        <v>0.98333389999999998</v>
      </c>
      <c r="Y2962">
        <v>8.8197479999999995E-2</v>
      </c>
      <c r="Z2962">
        <v>7.6799249999999996E-4</v>
      </c>
      <c r="AA2962">
        <v>0.99610270000000001</v>
      </c>
      <c r="AB2962">
        <v>44</v>
      </c>
      <c r="AC2962">
        <v>-49.192900000000002</v>
      </c>
      <c r="AD2962">
        <v>-1.108997951975</v>
      </c>
      <c r="AE2962">
        <v>4.8653999999999602</v>
      </c>
      <c r="AF2962">
        <v>4.3832401283733997</v>
      </c>
      <c r="AG2962">
        <v>-1.108997951975</v>
      </c>
      <c r="AH2962">
        <v>49.213238426116803</v>
      </c>
      <c r="AI2962">
        <v>91.285827544237705</v>
      </c>
      <c r="AJ2962">
        <v>84.910308149044695</v>
      </c>
      <c r="AK2962">
        <v>49.420496829415796</v>
      </c>
      <c r="AL2962">
        <v>79.585199530032796</v>
      </c>
      <c r="AM2962">
        <v>91.128719622244702</v>
      </c>
      <c r="AN2962">
        <v>0.99999993146416399</v>
      </c>
    </row>
    <row r="2963" spans="1:40" x14ac:dyDescent="0.25">
      <c r="A2963" t="str">
        <f>"20190312172137605"</f>
        <v>20190312172137605</v>
      </c>
      <c r="B2963" t="str">
        <f>"1552382497594122"</f>
        <v>1552382497594122</v>
      </c>
      <c r="C2963" t="s">
        <v>40</v>
      </c>
      <c r="D2963">
        <v>3.0106350000000002</v>
      </c>
      <c r="E2963">
        <v>0.54205439999999905</v>
      </c>
      <c r="F2963" t="s">
        <v>47</v>
      </c>
      <c r="G2963">
        <v>-416.37329999999997</v>
      </c>
      <c r="H2963" s="1">
        <v>2.9977359999999998E-6</v>
      </c>
      <c r="I2963">
        <v>288.48860000000002</v>
      </c>
      <c r="J2963">
        <v>-367.76280000000003</v>
      </c>
      <c r="K2963">
        <v>1.1089990000000001</v>
      </c>
      <c r="L2963">
        <v>283.68200000000002</v>
      </c>
      <c r="M2963">
        <v>-0.99990829999999997</v>
      </c>
      <c r="N2963">
        <v>0</v>
      </c>
      <c r="O2963">
        <v>9.9445839999999994E-3</v>
      </c>
      <c r="P2963">
        <v>-0.98507339999999999</v>
      </c>
      <c r="Q2963">
        <v>0.1718623</v>
      </c>
      <c r="R2963">
        <v>-9.6983050000000008E-3</v>
      </c>
      <c r="S2963">
        <v>-3.0605159999999998</v>
      </c>
      <c r="T2963">
        <v>-6.9434999999999997E-2</v>
      </c>
      <c r="U2963">
        <v>0.30111690000000002</v>
      </c>
      <c r="V2963">
        <v>-1.9326590000000001E-2</v>
      </c>
      <c r="W2963">
        <v>0.18093409999999999</v>
      </c>
      <c r="X2963">
        <v>0.98330530000000005</v>
      </c>
      <c r="Y2963">
        <v>8.7992909999999994E-2</v>
      </c>
      <c r="Z2963">
        <v>7.7060850000000005E-4</v>
      </c>
      <c r="AA2963">
        <v>0.99612080000000003</v>
      </c>
      <c r="AB2963">
        <v>44</v>
      </c>
      <c r="AC2963">
        <v>-48.610499999999902</v>
      </c>
      <c r="AD2963">
        <v>-1.108996002264</v>
      </c>
      <c r="AE2963">
        <v>4.8066000000000004</v>
      </c>
      <c r="AF2963">
        <v>4.3207036316495504</v>
      </c>
      <c r="AG2963">
        <v>-1.108996002264</v>
      </c>
      <c r="AH2963">
        <v>48.630831682421402</v>
      </c>
      <c r="AI2963">
        <v>91.301244342384393</v>
      </c>
      <c r="AJ2963">
        <v>84.922773239589503</v>
      </c>
      <c r="AK2963">
        <v>48.834988912966701</v>
      </c>
      <c r="AL2963">
        <v>79.575826680070705</v>
      </c>
      <c r="AM2963">
        <v>91.125987505620799</v>
      </c>
      <c r="AN2963">
        <v>0.99999998931596401</v>
      </c>
    </row>
    <row r="2964" spans="1:40" x14ac:dyDescent="0.25">
      <c r="A2964" t="str">
        <f>"20190312172137618"</f>
        <v>20190312172137618</v>
      </c>
      <c r="B2964" t="str">
        <f>"1552382497613642"</f>
        <v>1552382497613642</v>
      </c>
      <c r="C2964" t="s">
        <v>40</v>
      </c>
      <c r="D2964">
        <v>3.0086750000000002</v>
      </c>
      <c r="E2964">
        <v>0.54213990000000001</v>
      </c>
      <c r="F2964" t="s">
        <v>47</v>
      </c>
      <c r="G2964">
        <v>-416.7038</v>
      </c>
      <c r="H2964" s="1">
        <v>3.0544330000000002E-6</v>
      </c>
      <c r="I2964">
        <v>288.51080000000002</v>
      </c>
      <c r="J2964">
        <v>-368.03449999999998</v>
      </c>
      <c r="K2964">
        <v>1.108995</v>
      </c>
      <c r="L2964">
        <v>283.68490000000003</v>
      </c>
      <c r="M2964">
        <v>-0.99990639999999997</v>
      </c>
      <c r="N2964">
        <v>0</v>
      </c>
      <c r="O2964">
        <v>1.0140349999999999E-2</v>
      </c>
      <c r="P2964">
        <v>-0.98506780000000005</v>
      </c>
      <c r="Q2964">
        <v>0.1718942</v>
      </c>
      <c r="R2964">
        <v>-9.688416E-3</v>
      </c>
      <c r="S2964">
        <v>-3.0605769999999999</v>
      </c>
      <c r="T2964">
        <v>-6.9352150000000001E-2</v>
      </c>
      <c r="U2964">
        <v>0.3019714</v>
      </c>
      <c r="V2964">
        <v>-1.9508399999999999E-2</v>
      </c>
      <c r="W2964">
        <v>0.18096690000000001</v>
      </c>
      <c r="X2964">
        <v>0.98329569999999999</v>
      </c>
      <c r="Y2964">
        <v>8.8071469999999999E-2</v>
      </c>
      <c r="Z2964">
        <v>7.6612770000000004E-4</v>
      </c>
      <c r="AA2964">
        <v>0.99611380000000005</v>
      </c>
      <c r="AB2964">
        <v>44</v>
      </c>
      <c r="AC2964">
        <v>-48.6693</v>
      </c>
      <c r="AD2964">
        <v>-1.1089919455670001</v>
      </c>
      <c r="AE2964">
        <v>4.8258999999999901</v>
      </c>
      <c r="AF2964">
        <v>4.32988105432882</v>
      </c>
      <c r="AG2964">
        <v>-1.1089919455670001</v>
      </c>
      <c r="AH2964">
        <v>48.690701091897303</v>
      </c>
      <c r="AI2964">
        <v>91.299631068223405</v>
      </c>
      <c r="AJ2964">
        <v>84.918268765313698</v>
      </c>
      <c r="AK2964">
        <v>48.895420091256597</v>
      </c>
      <c r="AL2964">
        <v>79.573916106494593</v>
      </c>
      <c r="AM2964">
        <v>91.136588275816607</v>
      </c>
      <c r="AN2964">
        <v>1.0000000151023201</v>
      </c>
    </row>
    <row r="2965" spans="1:40" x14ac:dyDescent="0.25">
      <c r="A2965" t="str">
        <f>"20190312172137639"</f>
        <v>20190312172137639</v>
      </c>
      <c r="B2965" t="str">
        <f>"1552382497634137"</f>
        <v>1552382497634137</v>
      </c>
      <c r="C2965" t="s">
        <v>40</v>
      </c>
      <c r="D2965">
        <v>2.9880230000000001</v>
      </c>
      <c r="E2965">
        <v>0.54220829999999998</v>
      </c>
      <c r="F2965" t="s">
        <v>47</v>
      </c>
      <c r="G2965">
        <v>-416.82150000000001</v>
      </c>
      <c r="H2965" s="1">
        <v>3.075613E-6</v>
      </c>
      <c r="I2965">
        <v>288.50729999999999</v>
      </c>
      <c r="J2965">
        <v>-368.4384</v>
      </c>
      <c r="K2965">
        <v>1.1089850000000001</v>
      </c>
      <c r="L2965">
        <v>283.6891</v>
      </c>
      <c r="M2965">
        <v>-0.99990330000000005</v>
      </c>
      <c r="N2965">
        <v>0</v>
      </c>
      <c r="O2965">
        <v>1.044045E-2</v>
      </c>
      <c r="P2965">
        <v>-0.98506170000000004</v>
      </c>
      <c r="Q2965">
        <v>0.17192669999999999</v>
      </c>
      <c r="R2965">
        <v>-9.7530280000000004E-3</v>
      </c>
      <c r="S2965">
        <v>-3.0605470000000001</v>
      </c>
      <c r="T2965">
        <v>-6.9570179999999995E-2</v>
      </c>
      <c r="U2965">
        <v>0.30252079999999998</v>
      </c>
      <c r="V2965">
        <v>-1.9865549999999999E-2</v>
      </c>
      <c r="W2965">
        <v>0.18100250000000001</v>
      </c>
      <c r="X2965">
        <v>0.98328199999999999</v>
      </c>
      <c r="Y2965">
        <v>8.7950520000000004E-2</v>
      </c>
      <c r="Z2965">
        <v>7.6036289999999998E-4</v>
      </c>
      <c r="AA2965">
        <v>0.99612460000000003</v>
      </c>
      <c r="AB2965">
        <v>44</v>
      </c>
      <c r="AC2965">
        <v>-48.383099999999999</v>
      </c>
      <c r="AD2965">
        <v>-1.1089819243870001</v>
      </c>
      <c r="AE2965">
        <v>4.8181999999999903</v>
      </c>
      <c r="AF2965">
        <v>4.3105323526281998</v>
      </c>
      <c r="AG2965">
        <v>-1.1089819243870001</v>
      </c>
      <c r="AH2965">
        <v>48.4055881469626</v>
      </c>
      <c r="AI2965">
        <v>91.307257231886695</v>
      </c>
      <c r="AJ2965">
        <v>84.911216351955204</v>
      </c>
      <c r="AK2965">
        <v>48.609788046493598</v>
      </c>
      <c r="AL2965">
        <v>79.571842160649297</v>
      </c>
      <c r="AM2965">
        <v>91.157406876020204</v>
      </c>
      <c r="AN2965">
        <v>1.00000001830352</v>
      </c>
    </row>
    <row r="2966" spans="1:40" x14ac:dyDescent="0.25">
      <c r="A2966" t="str">
        <f>"20190312172137652"</f>
        <v>20190312172137652</v>
      </c>
      <c r="B2966" t="str">
        <f>"1552382497643897"</f>
        <v>1552382497643897</v>
      </c>
      <c r="C2966" t="s">
        <v>40</v>
      </c>
      <c r="D2966">
        <v>3.008105</v>
      </c>
      <c r="E2966">
        <v>0.54223849999999996</v>
      </c>
      <c r="F2966" t="s">
        <v>47</v>
      </c>
      <c r="G2966">
        <v>-417.15929999999997</v>
      </c>
      <c r="H2966" s="1">
        <v>3.1351109999999999E-6</v>
      </c>
      <c r="I2966">
        <v>288.51209999999998</v>
      </c>
      <c r="J2966">
        <v>-368.69450000000001</v>
      </c>
      <c r="K2966">
        <v>1.108978</v>
      </c>
      <c r="L2966">
        <v>283.69200000000001</v>
      </c>
      <c r="M2966">
        <v>-0.99990109999999999</v>
      </c>
      <c r="N2966">
        <v>0</v>
      </c>
      <c r="O2966">
        <v>1.0639040000000001E-2</v>
      </c>
      <c r="P2966">
        <v>-0.98505849999999995</v>
      </c>
      <c r="Q2966">
        <v>0.17194879999999901</v>
      </c>
      <c r="R2966">
        <v>-9.6551550000000003E-3</v>
      </c>
      <c r="S2966">
        <v>-3.0606689999999999</v>
      </c>
      <c r="T2966">
        <v>-6.9666740000000005E-2</v>
      </c>
      <c r="U2966">
        <v>0.30297849999999998</v>
      </c>
      <c r="V2966">
        <v>-1.9960160000000001E-2</v>
      </c>
      <c r="W2966">
        <v>0.18102779999999999</v>
      </c>
      <c r="X2966">
        <v>0.98327540000000002</v>
      </c>
      <c r="Y2966">
        <v>8.789632E-2</v>
      </c>
      <c r="Z2966">
        <v>7.5625919999999997E-4</v>
      </c>
      <c r="AA2966">
        <v>0.9961293</v>
      </c>
      <c r="AB2966">
        <v>44</v>
      </c>
      <c r="AC2966">
        <v>-48.464799999999897</v>
      </c>
      <c r="AD2966">
        <v>-1.1089748648890001</v>
      </c>
      <c r="AE2966">
        <v>4.8200999999999601</v>
      </c>
      <c r="AF2966">
        <v>4.3019560242428696</v>
      </c>
      <c r="AG2966">
        <v>-1.1089748648890001</v>
      </c>
      <c r="AH2966">
        <v>48.488201022933403</v>
      </c>
      <c r="AI2966">
        <v>91.305060234152293</v>
      </c>
      <c r="AJ2966">
        <v>84.929895935008204</v>
      </c>
      <c r="AK2966">
        <v>48.691295827138099</v>
      </c>
      <c r="AL2966">
        <v>79.570367954334699</v>
      </c>
      <c r="AM2966">
        <v>91.162925338320207</v>
      </c>
      <c r="AN2966">
        <v>0.99999999230261205</v>
      </c>
    </row>
    <row r="2967" spans="1:40" x14ac:dyDescent="0.25">
      <c r="A2967" t="str">
        <f>"20190312172137664"</f>
        <v>20190312172137664</v>
      </c>
      <c r="B2967" t="str">
        <f>"1552382497653658"</f>
        <v>1552382497653658</v>
      </c>
      <c r="C2967" t="s">
        <v>40</v>
      </c>
      <c r="D2967">
        <v>3.0071439999999998</v>
      </c>
      <c r="E2967">
        <v>0.54228659999999995</v>
      </c>
      <c r="F2967" t="s">
        <v>47</v>
      </c>
      <c r="G2967">
        <v>-417.39830000000001</v>
      </c>
      <c r="H2967" s="1">
        <v>3.176693E-6</v>
      </c>
      <c r="I2967">
        <v>288.5215</v>
      </c>
      <c r="J2967">
        <v>-368.92140000000001</v>
      </c>
      <c r="K2967">
        <v>1.108973</v>
      </c>
      <c r="L2967">
        <v>283.69450000000001</v>
      </c>
      <c r="M2967">
        <v>-0.99989910000000004</v>
      </c>
      <c r="N2967">
        <v>0</v>
      </c>
      <c r="O2967">
        <v>1.081797E-2</v>
      </c>
      <c r="P2967">
        <v>-0.98501130000000003</v>
      </c>
      <c r="Q2967">
        <v>0.1722177</v>
      </c>
      <c r="R2967">
        <v>-9.7097680000000006E-3</v>
      </c>
      <c r="S2967">
        <v>-3.060638</v>
      </c>
      <c r="T2967">
        <v>-6.969011E-2</v>
      </c>
      <c r="U2967">
        <v>0.30349730000000003</v>
      </c>
      <c r="V2967">
        <v>-2.0187E-2</v>
      </c>
      <c r="W2967">
        <v>0.1812984</v>
      </c>
      <c r="X2967">
        <v>0.98322089999999995</v>
      </c>
      <c r="Y2967">
        <v>8.7886300000000001E-2</v>
      </c>
      <c r="Z2967">
        <v>7.5233759999999896E-4</v>
      </c>
      <c r="AA2967">
        <v>0.99613019999999997</v>
      </c>
      <c r="AB2967">
        <v>44</v>
      </c>
      <c r="AC2967">
        <v>-48.476900000000001</v>
      </c>
      <c r="AD2967">
        <v>-1.108969823307</v>
      </c>
      <c r="AE2967">
        <v>4.8269999999999902</v>
      </c>
      <c r="AF2967">
        <v>4.30004542288619</v>
      </c>
      <c r="AG2967">
        <v>-1.108969823307</v>
      </c>
      <c r="AH2967">
        <v>48.501151061882197</v>
      </c>
      <c r="AI2967">
        <v>91.304713207974601</v>
      </c>
      <c r="AJ2967">
        <v>84.933482060662897</v>
      </c>
      <c r="AK2967">
        <v>48.704023027214198</v>
      </c>
      <c r="AL2967">
        <v>79.554602738040103</v>
      </c>
      <c r="AM2967">
        <v>91.176203047798495</v>
      </c>
      <c r="AN2967">
        <v>0.99999998150418401</v>
      </c>
    </row>
    <row r="2968" spans="1:40" x14ac:dyDescent="0.25">
      <c r="A2968" t="str">
        <f>"20190312172137675"</f>
        <v>20190312172137675</v>
      </c>
      <c r="B2968" t="str">
        <f>"1552382497663418"</f>
        <v>1552382497663418</v>
      </c>
      <c r="C2968" t="s">
        <v>40</v>
      </c>
      <c r="D2968">
        <v>2.9983270000000002</v>
      </c>
      <c r="E2968">
        <v>0.54232669999999905</v>
      </c>
      <c r="F2968" t="s">
        <v>47</v>
      </c>
      <c r="G2968">
        <v>-418.21620000000001</v>
      </c>
      <c r="H2968" s="1">
        <v>3.3162920000000001E-6</v>
      </c>
      <c r="I2968">
        <v>288.584</v>
      </c>
      <c r="J2968">
        <v>-369.15879999999999</v>
      </c>
      <c r="K2968">
        <v>1.108967</v>
      </c>
      <c r="L2968">
        <v>283.69720000000001</v>
      </c>
      <c r="M2968">
        <v>-0.99989700000000004</v>
      </c>
      <c r="N2968">
        <v>0</v>
      </c>
      <c r="O2968">
        <v>1.1010860000000001E-2</v>
      </c>
      <c r="P2968">
        <v>-0.98504999999999998</v>
      </c>
      <c r="Q2968">
        <v>0.1720025</v>
      </c>
      <c r="R2968">
        <v>-9.5950719999999996E-3</v>
      </c>
      <c r="S2968">
        <v>-3.0606689999999999</v>
      </c>
      <c r="T2968">
        <v>-6.8855050000000001E-2</v>
      </c>
      <c r="U2968">
        <v>0.30358889999999999</v>
      </c>
      <c r="V2968">
        <v>-2.0259070000000001E-2</v>
      </c>
      <c r="W2968">
        <v>0.181087</v>
      </c>
      <c r="X2968">
        <v>0.98325839999999998</v>
      </c>
      <c r="Y2968">
        <v>8.7723229999999999E-2</v>
      </c>
      <c r="Z2968">
        <v>7.3716020000000001E-4</v>
      </c>
      <c r="AA2968">
        <v>0.99614460000000005</v>
      </c>
      <c r="AB2968">
        <v>44</v>
      </c>
      <c r="AC2968">
        <v>-49.057400000000001</v>
      </c>
      <c r="AD2968">
        <v>-1.1089636837079999</v>
      </c>
      <c r="AE2968">
        <v>4.8867999999999903</v>
      </c>
      <c r="AF2968">
        <v>4.3441186186470704</v>
      </c>
      <c r="AG2968">
        <v>-1.1089636837079999</v>
      </c>
      <c r="AH2968">
        <v>49.083400524469198</v>
      </c>
      <c r="AI2968">
        <v>91.289251650540294</v>
      </c>
      <c r="AJ2968">
        <v>84.942224634289204</v>
      </c>
      <c r="AK2968">
        <v>49.2877406062616</v>
      </c>
      <c r="AL2968">
        <v>79.566919190343498</v>
      </c>
      <c r="AM2968">
        <v>91.180356041128803</v>
      </c>
      <c r="AN2968">
        <v>1.00000000632841</v>
      </c>
    </row>
    <row r="2969" spans="1:40" x14ac:dyDescent="0.25">
      <c r="A2969" t="str">
        <f>"20190312172137687"</f>
        <v>20190312172137687</v>
      </c>
      <c r="B2969" t="str">
        <f>"1552382497683914"</f>
        <v>1552382497683914</v>
      </c>
      <c r="C2969" t="s">
        <v>40</v>
      </c>
      <c r="D2969">
        <v>3.0085440000000001</v>
      </c>
      <c r="E2969">
        <v>0.5423983</v>
      </c>
      <c r="F2969" t="s">
        <v>47</v>
      </c>
      <c r="G2969">
        <v>-417.8603</v>
      </c>
      <c r="H2969" s="1">
        <v>3.2569320000000001E-6</v>
      </c>
      <c r="I2969">
        <v>288.541</v>
      </c>
      <c r="J2969">
        <v>-369.40129999999999</v>
      </c>
      <c r="K2969">
        <v>1.1089580000000001</v>
      </c>
      <c r="L2969">
        <v>283.7</v>
      </c>
      <c r="M2969">
        <v>-0.99989470000000003</v>
      </c>
      <c r="N2969">
        <v>0</v>
      </c>
      <c r="O2969">
        <v>1.1214119999999999E-2</v>
      </c>
      <c r="P2969">
        <v>-0.98503759999999996</v>
      </c>
      <c r="Q2969">
        <v>0.17208209999999999</v>
      </c>
      <c r="R2969">
        <v>-9.4331199999999997E-3</v>
      </c>
      <c r="S2969">
        <v>-3.0606689999999999</v>
      </c>
      <c r="T2969">
        <v>-6.9693329999999998E-2</v>
      </c>
      <c r="U2969">
        <v>0.30441279999999998</v>
      </c>
      <c r="V2969">
        <v>-2.0293450000000001E-2</v>
      </c>
      <c r="W2969">
        <v>0.18117040000000001</v>
      </c>
      <c r="X2969">
        <v>0.98324230000000001</v>
      </c>
      <c r="Y2969">
        <v>8.7785849999999999E-2</v>
      </c>
      <c r="Z2969">
        <v>7.4221819999999996E-4</v>
      </c>
      <c r="AA2969">
        <v>0.99613910000000006</v>
      </c>
      <c r="AB2969">
        <v>44</v>
      </c>
      <c r="AC2969">
        <v>-48.458999999999897</v>
      </c>
      <c r="AD2969">
        <v>-1.10895474306799</v>
      </c>
      <c r="AE2969">
        <v>4.8410000000000002</v>
      </c>
      <c r="AF2969">
        <v>4.2950204216100101</v>
      </c>
      <c r="AG2969">
        <v>-1.10895474306799</v>
      </c>
      <c r="AH2969">
        <v>48.485101959384203</v>
      </c>
      <c r="AI2969">
        <v>91.305135714314005</v>
      </c>
      <c r="AJ2969">
        <v>84.937705572875601</v>
      </c>
      <c r="AK2969">
        <v>48.687596911904599</v>
      </c>
      <c r="AL2969">
        <v>79.562060068273297</v>
      </c>
      <c r="AM2969">
        <v>91.182377912972299</v>
      </c>
      <c r="AN2969">
        <v>0.99999997922917605</v>
      </c>
    </row>
    <row r="2970" spans="1:40" x14ac:dyDescent="0.25">
      <c r="A2970" t="str">
        <f>"20190312172137701"</f>
        <v>20190312172137701</v>
      </c>
      <c r="B2970" t="str">
        <f>"1552382497693674"</f>
        <v>1552382497693674</v>
      </c>
      <c r="C2970" t="s">
        <v>40</v>
      </c>
      <c r="D2970">
        <v>3.0066820000000001</v>
      </c>
      <c r="E2970">
        <v>0.54243619999999904</v>
      </c>
      <c r="F2970" t="s">
        <v>47</v>
      </c>
      <c r="G2970">
        <v>-418.08100000000002</v>
      </c>
      <c r="H2970" s="1">
        <v>3.294548E-6</v>
      </c>
      <c r="I2970">
        <v>288.55860000000001</v>
      </c>
      <c r="J2970">
        <v>-369.66699999999997</v>
      </c>
      <c r="K2970">
        <v>1.1089469999999999</v>
      </c>
      <c r="L2970">
        <v>283.70319999999998</v>
      </c>
      <c r="M2970">
        <v>-0.999892</v>
      </c>
      <c r="N2970">
        <v>0</v>
      </c>
      <c r="O2970">
        <v>1.144154E-2</v>
      </c>
      <c r="P2970">
        <v>-0.98499800000000004</v>
      </c>
      <c r="Q2970">
        <v>0.17230899999999999</v>
      </c>
      <c r="R2970">
        <v>-9.4159689999999997E-3</v>
      </c>
      <c r="S2970">
        <v>-3.0606990000000001</v>
      </c>
      <c r="T2970">
        <v>-6.9724679999999997E-2</v>
      </c>
      <c r="U2970">
        <v>0.305481</v>
      </c>
      <c r="V2970">
        <v>-2.0495099999999999E-2</v>
      </c>
      <c r="W2970">
        <v>0.18140110000000001</v>
      </c>
      <c r="X2970">
        <v>0.98319559999999995</v>
      </c>
      <c r="Y2970">
        <v>8.7902530000000006E-2</v>
      </c>
      <c r="Z2970">
        <v>7.3869199999999999E-4</v>
      </c>
      <c r="AA2970">
        <v>0.99612880000000004</v>
      </c>
      <c r="AB2970">
        <v>44</v>
      </c>
      <c r="AC2970">
        <v>-48.413999999999902</v>
      </c>
      <c r="AD2970">
        <v>-1.1089437054519999</v>
      </c>
      <c r="AE2970">
        <v>4.8554000000000297</v>
      </c>
      <c r="AF2970">
        <v>4.2988948777234803</v>
      </c>
      <c r="AG2970">
        <v>-1.1089437054519999</v>
      </c>
      <c r="AH2970">
        <v>48.441224289993997</v>
      </c>
      <c r="AI2970">
        <v>91.306286082696204</v>
      </c>
      <c r="AJ2970">
        <v>84.928597156499805</v>
      </c>
      <c r="AK2970">
        <v>48.644243894062903</v>
      </c>
      <c r="AL2970">
        <v>79.548619421776493</v>
      </c>
      <c r="AM2970">
        <v>91.194180169055301</v>
      </c>
      <c r="AN2970">
        <v>0.99999999803228901</v>
      </c>
    </row>
    <row r="2971" spans="1:40" x14ac:dyDescent="0.25">
      <c r="A2971" t="str">
        <f>"20190312172137718"</f>
        <v>20190312172137718</v>
      </c>
      <c r="B2971" t="str">
        <f>"1552382497713193"</f>
        <v>1552382497713193</v>
      </c>
      <c r="C2971" t="s">
        <v>40</v>
      </c>
      <c r="D2971">
        <v>3.023685</v>
      </c>
      <c r="E2971">
        <v>0.54250959999999904</v>
      </c>
      <c r="F2971" t="s">
        <v>47</v>
      </c>
      <c r="G2971">
        <v>-418.66489999999999</v>
      </c>
      <c r="H2971" s="1">
        <v>3.3945689999999999E-6</v>
      </c>
      <c r="I2971">
        <v>288.5992</v>
      </c>
      <c r="J2971">
        <v>-369.9932</v>
      </c>
      <c r="K2971">
        <v>1.1089359999999999</v>
      </c>
      <c r="L2971">
        <v>283.70699999999999</v>
      </c>
      <c r="M2971">
        <v>-0.99988880000000002</v>
      </c>
      <c r="N2971">
        <v>0</v>
      </c>
      <c r="O2971">
        <v>1.172958E-2</v>
      </c>
      <c r="P2971">
        <v>-0.98499769999999998</v>
      </c>
      <c r="Q2971">
        <v>0.17233560000000001</v>
      </c>
      <c r="R2971">
        <v>-8.9619160000000003E-3</v>
      </c>
      <c r="S2971">
        <v>-3.060791</v>
      </c>
      <c r="T2971">
        <v>-6.9273230000000005E-2</v>
      </c>
      <c r="U2971">
        <v>0.30584719999999999</v>
      </c>
      <c r="V2971">
        <v>-2.031964E-2</v>
      </c>
      <c r="W2971">
        <v>0.18143300000000001</v>
      </c>
      <c r="X2971">
        <v>0.98319330000000005</v>
      </c>
      <c r="Y2971">
        <v>8.7730999999999906E-2</v>
      </c>
      <c r="Z2971">
        <v>7.2544809999999999E-4</v>
      </c>
      <c r="AA2971">
        <v>0.99614389999999997</v>
      </c>
      <c r="AB2971">
        <v>44</v>
      </c>
      <c r="AC2971">
        <v>-48.671699999999902</v>
      </c>
      <c r="AD2971">
        <v>-1.108932605431</v>
      </c>
      <c r="AE2971">
        <v>4.8921999999999999</v>
      </c>
      <c r="AF2971">
        <v>4.3187211531909604</v>
      </c>
      <c r="AG2971">
        <v>-1.108932605431</v>
      </c>
      <c r="AH2971">
        <v>48.7007092445224</v>
      </c>
      <c r="AI2971">
        <v>91.299322894217099</v>
      </c>
      <c r="AJ2971">
        <v>84.932334389485504</v>
      </c>
      <c r="AK2971">
        <v>48.904398215721997</v>
      </c>
      <c r="AL2971">
        <v>79.546760266164497</v>
      </c>
      <c r="AM2971">
        <v>91.183962399665802</v>
      </c>
      <c r="AN2971">
        <v>0.99999994321180796</v>
      </c>
    </row>
    <row r="2972" spans="1:40" x14ac:dyDescent="0.25">
      <c r="A2972" t="str">
        <f>"20190312172137741"</f>
        <v>20190312172137741</v>
      </c>
      <c r="B2972" t="str">
        <f>"1552382497733698"</f>
        <v>1552382497733698</v>
      </c>
      <c r="C2972" t="s">
        <v>40</v>
      </c>
      <c r="D2972">
        <v>3.0097680000000002</v>
      </c>
      <c r="E2972">
        <v>0.54259619999999997</v>
      </c>
      <c r="F2972" t="s">
        <v>47</v>
      </c>
      <c r="G2972">
        <v>-418.59870000000001</v>
      </c>
      <c r="H2972" s="1">
        <v>3.3836589999999998E-6</v>
      </c>
      <c r="I2972">
        <v>288.58960000000002</v>
      </c>
      <c r="J2972">
        <v>-370.44920000000002</v>
      </c>
      <c r="K2972">
        <v>1.108919</v>
      </c>
      <c r="L2972">
        <v>283.71269999999998</v>
      </c>
      <c r="M2972">
        <v>-0.99988370000000004</v>
      </c>
      <c r="N2972">
        <v>0</v>
      </c>
      <c r="O2972">
        <v>1.214341E-2</v>
      </c>
      <c r="P2972">
        <v>-0.98499539999999997</v>
      </c>
      <c r="Q2972">
        <v>0.172377</v>
      </c>
      <c r="R2972">
        <v>-8.3915550000000002E-3</v>
      </c>
      <c r="S2972">
        <v>-3.0607600000000001</v>
      </c>
      <c r="T2972">
        <v>-6.9831130000000005E-2</v>
      </c>
      <c r="U2972">
        <v>0.30746459999999998</v>
      </c>
      <c r="V2972">
        <v>-2.0149739999999999E-2</v>
      </c>
      <c r="W2972">
        <v>0.1814837</v>
      </c>
      <c r="X2972">
        <v>0.98318749999999999</v>
      </c>
      <c r="Y2972">
        <v>8.7840639999999998E-2</v>
      </c>
      <c r="Z2972">
        <v>7.2311109999999995E-4</v>
      </c>
      <c r="AA2972">
        <v>0.99613430000000003</v>
      </c>
      <c r="AB2972">
        <v>44</v>
      </c>
      <c r="AC2972">
        <v>-48.149499999999897</v>
      </c>
      <c r="AD2972">
        <v>-1.1089156163410001</v>
      </c>
      <c r="AE2972">
        <v>4.8769000000000302</v>
      </c>
      <c r="AF2972">
        <v>4.2895642367916</v>
      </c>
      <c r="AG2972">
        <v>-1.1089156163410001</v>
      </c>
      <c r="AH2972">
        <v>48.179878479905099</v>
      </c>
      <c r="AI2972">
        <v>91.313302826532393</v>
      </c>
      <c r="AJ2972">
        <v>84.912241172328507</v>
      </c>
      <c r="AK2972">
        <v>48.3831659311805</v>
      </c>
      <c r="AL2972">
        <v>79.543806960377594</v>
      </c>
      <c r="AM2972">
        <v>91.174072560327502</v>
      </c>
      <c r="AN2972">
        <v>1.000000002772</v>
      </c>
    </row>
    <row r="2973" spans="1:40" x14ac:dyDescent="0.25">
      <c r="A2973" t="str">
        <f>"20190312172137752"</f>
        <v>20190312172137752</v>
      </c>
      <c r="B2973" t="str">
        <f>"1552382497743450"</f>
        <v>1552382497743450</v>
      </c>
      <c r="C2973" t="s">
        <v>40</v>
      </c>
      <c r="D2973">
        <v>3.0390649999999999</v>
      </c>
      <c r="E2973">
        <v>0.54259619999999997</v>
      </c>
      <c r="F2973" t="s">
        <v>47</v>
      </c>
      <c r="G2973">
        <v>-418.70690000000002</v>
      </c>
      <c r="H2973" s="1">
        <v>3.4022300000000002E-6</v>
      </c>
      <c r="I2973">
        <v>288.5967</v>
      </c>
      <c r="J2973">
        <v>-370.69200000000001</v>
      </c>
      <c r="K2973">
        <v>1.1089100000000001</v>
      </c>
      <c r="L2973">
        <v>283.7158</v>
      </c>
      <c r="M2973">
        <v>-0.99988089999999996</v>
      </c>
      <c r="N2973">
        <v>0</v>
      </c>
      <c r="O2973">
        <v>1.236918E-2</v>
      </c>
      <c r="P2973">
        <v>-0.98503359999999995</v>
      </c>
      <c r="Q2973">
        <v>0.1721714</v>
      </c>
      <c r="R2973">
        <v>-8.1307310000000004E-3</v>
      </c>
      <c r="S2973">
        <v>-3.0606080000000002</v>
      </c>
      <c r="T2973">
        <v>-7.0329790000000003E-2</v>
      </c>
      <c r="U2973">
        <v>0.30975340000000001</v>
      </c>
      <c r="V2973">
        <v>-2.010876E-2</v>
      </c>
      <c r="W2973">
        <v>0.1812829</v>
      </c>
      <c r="X2973">
        <v>0.98322529999999997</v>
      </c>
      <c r="Y2973">
        <v>8.8357749999999999E-2</v>
      </c>
      <c r="Z2973">
        <v>7.2903559999999896E-4</v>
      </c>
      <c r="AA2973">
        <v>0.99608859999999999</v>
      </c>
      <c r="AB2973">
        <v>44</v>
      </c>
      <c r="AC2973">
        <v>-48.014899999999997</v>
      </c>
      <c r="AD2973">
        <v>-1.1089065977699999</v>
      </c>
      <c r="AE2973">
        <v>4.8808999999999898</v>
      </c>
      <c r="AF2973">
        <v>4.2843345218259801</v>
      </c>
      <c r="AG2973">
        <v>-1.1089065977699999</v>
      </c>
      <c r="AH2973">
        <v>48.046236928615599</v>
      </c>
      <c r="AI2973">
        <v>91.316927660001298</v>
      </c>
      <c r="AJ2973">
        <v>84.904351301191397</v>
      </c>
      <c r="AK2973">
        <v>48.249622580266397</v>
      </c>
      <c r="AL2973">
        <v>79.555505150801295</v>
      </c>
      <c r="AM2973">
        <v>91.171640396643895</v>
      </c>
      <c r="AN2973">
        <v>0.99999992131061499</v>
      </c>
    </row>
    <row r="2974" spans="1:40" x14ac:dyDescent="0.25">
      <c r="A2974" t="str">
        <f>"20190312172137764"</f>
        <v>20190312172137764</v>
      </c>
      <c r="B2974" t="str">
        <f>"1552382497753209"</f>
        <v>1552382497753209</v>
      </c>
      <c r="C2974" t="s">
        <v>40</v>
      </c>
      <c r="D2974">
        <v>3.039164</v>
      </c>
      <c r="E2974">
        <v>0.54483800000000004</v>
      </c>
      <c r="F2974" t="s">
        <v>47</v>
      </c>
      <c r="G2974">
        <v>-418.52600000000001</v>
      </c>
      <c r="H2974" s="1">
        <v>3.37249E-6</v>
      </c>
      <c r="I2974">
        <v>288.56990000000002</v>
      </c>
      <c r="J2974">
        <v>-370.93049999999999</v>
      </c>
      <c r="K2974">
        <v>1.108897</v>
      </c>
      <c r="L2974">
        <v>283.71890000000002</v>
      </c>
      <c r="M2974">
        <v>-0.99987820000000005</v>
      </c>
      <c r="N2974">
        <v>0</v>
      </c>
      <c r="O2974">
        <v>1.2592020000000001E-2</v>
      </c>
      <c r="P2974">
        <v>-0.98508399999999996</v>
      </c>
      <c r="Q2974">
        <v>0.17189279999999901</v>
      </c>
      <c r="R2974">
        <v>-7.9213859999999903E-3</v>
      </c>
      <c r="S2974">
        <v>-3.0605470000000001</v>
      </c>
      <c r="T2974">
        <v>-7.0950869999999999E-2</v>
      </c>
      <c r="U2974">
        <v>0.3105774</v>
      </c>
      <c r="V2974">
        <v>-2.0116829999999999E-2</v>
      </c>
      <c r="W2974">
        <v>0.18101</v>
      </c>
      <c r="X2974">
        <v>0.98327549999999997</v>
      </c>
      <c r="Y2974">
        <v>8.8402880000000003E-2</v>
      </c>
      <c r="Z2974">
        <v>7.3084820000000005E-4</v>
      </c>
      <c r="AA2974">
        <v>0.99608450000000004</v>
      </c>
      <c r="AB2974">
        <v>44</v>
      </c>
      <c r="AC2974">
        <v>-47.595500000000001</v>
      </c>
      <c r="AD2974">
        <v>-1.1088936275100001</v>
      </c>
      <c r="AE2974">
        <v>4.8509999999999902</v>
      </c>
      <c r="AF2974">
        <v>4.2489837194056399</v>
      </c>
      <c r="AG2974">
        <v>-1.1088936275100001</v>
      </c>
      <c r="AH2974">
        <v>47.627225919992703</v>
      </c>
      <c r="AI2974">
        <v>91.328488987281801</v>
      </c>
      <c r="AJ2974">
        <v>84.9019489336617</v>
      </c>
      <c r="AK2974">
        <v>47.829239556561298</v>
      </c>
      <c r="AL2974">
        <v>79.571405115536706</v>
      </c>
      <c r="AM2974">
        <v>91.172050641389902</v>
      </c>
      <c r="AN2974">
        <v>1.00000000792474</v>
      </c>
    </row>
    <row r="2975" spans="1:40" x14ac:dyDescent="0.25">
      <c r="A2975" t="str">
        <f>"20190312172137776"</f>
        <v>20190312172137776</v>
      </c>
      <c r="B2975" t="str">
        <f>"1552382497773706"</f>
        <v>1552382497773706</v>
      </c>
      <c r="C2975" t="s">
        <v>40</v>
      </c>
      <c r="D2975">
        <v>3.0246940000000002</v>
      </c>
      <c r="E2975">
        <v>0.54515389999999997</v>
      </c>
      <c r="F2975" t="s">
        <v>47</v>
      </c>
      <c r="G2975">
        <v>-412.80990000000003</v>
      </c>
      <c r="H2975" s="1">
        <v>2.3887180000000002E-6</v>
      </c>
      <c r="I2975">
        <v>288.22480000000002</v>
      </c>
      <c r="J2975">
        <v>-371.16890000000001</v>
      </c>
      <c r="K2975">
        <v>1.1088880000000001</v>
      </c>
      <c r="L2975">
        <v>283.72199999999998</v>
      </c>
      <c r="M2975">
        <v>-0.99987519999999996</v>
      </c>
      <c r="N2975">
        <v>0</v>
      </c>
      <c r="O2975">
        <v>1.281736E-2</v>
      </c>
      <c r="P2975">
        <v>-0.98510949999999997</v>
      </c>
      <c r="Q2975">
        <v>0.17174909999999999</v>
      </c>
      <c r="R2975">
        <v>-7.8567830000000009E-3</v>
      </c>
      <c r="S2975">
        <v>-3.0622250000000002</v>
      </c>
      <c r="T2975">
        <v>-8.1082459999999995E-2</v>
      </c>
      <c r="U2975">
        <v>0.32946779999999998</v>
      </c>
      <c r="V2975">
        <v>-2.0272539999999999E-2</v>
      </c>
      <c r="W2975">
        <v>0.1808717</v>
      </c>
      <c r="X2975">
        <v>0.9832978</v>
      </c>
      <c r="Y2975">
        <v>9.4192269999999995E-2</v>
      </c>
      <c r="Z2975">
        <v>9.0492510000000003E-4</v>
      </c>
      <c r="AA2975">
        <v>0.99555360000000004</v>
      </c>
      <c r="AB2975">
        <v>45</v>
      </c>
      <c r="AC2975">
        <v>-41.640999999999998</v>
      </c>
      <c r="AD2975">
        <v>-1.10888561128199</v>
      </c>
      <c r="AE2975">
        <v>4.5028000000000299</v>
      </c>
      <c r="AF2975">
        <v>3.9658997617389198</v>
      </c>
      <c r="AG2975">
        <v>-1.10888561128199</v>
      </c>
      <c r="AH2975">
        <v>41.666090008569498</v>
      </c>
      <c r="AI2975">
        <v>91.517632436484604</v>
      </c>
      <c r="AJ2975">
        <v>84.562801354652095</v>
      </c>
      <c r="AK2975">
        <v>41.869094148563597</v>
      </c>
      <c r="AL2975">
        <v>79.579462613186806</v>
      </c>
      <c r="AM2975">
        <v>91.181093308707602</v>
      </c>
      <c r="AN2975">
        <v>1.00000005561188</v>
      </c>
    </row>
    <row r="2976" spans="1:40" x14ac:dyDescent="0.25">
      <c r="A2976" t="str">
        <f>"20190312172137797"</f>
        <v>20190312172137797</v>
      </c>
      <c r="B2976" t="str">
        <f>"1552382497793226"</f>
        <v>1552382497793226</v>
      </c>
      <c r="C2976" t="s">
        <v>40</v>
      </c>
      <c r="D2976">
        <v>2.9943089999999999</v>
      </c>
      <c r="E2976">
        <v>0.53908959999999995</v>
      </c>
      <c r="F2976" t="s">
        <v>47</v>
      </c>
      <c r="G2976">
        <v>-412.44940000000003</v>
      </c>
      <c r="H2976" s="1">
        <v>2.3267309999999999E-6</v>
      </c>
      <c r="I2976">
        <v>288.20229999999998</v>
      </c>
      <c r="J2976">
        <v>-371.55529999999999</v>
      </c>
      <c r="K2976">
        <v>1.1088789999999999</v>
      </c>
      <c r="L2976">
        <v>283.72719999999998</v>
      </c>
      <c r="M2976">
        <v>-0.99987029999999999</v>
      </c>
      <c r="N2976">
        <v>0</v>
      </c>
      <c r="O2976">
        <v>1.318605E-2</v>
      </c>
      <c r="P2976">
        <v>-0.98514539999999995</v>
      </c>
      <c r="Q2976">
        <v>0.17155409999999999</v>
      </c>
      <c r="R2976">
        <v>-7.5957239999999999E-3</v>
      </c>
      <c r="S2976">
        <v>-3.0623779999999998</v>
      </c>
      <c r="T2976">
        <v>-8.2262279999999993E-2</v>
      </c>
      <c r="U2976">
        <v>0.33236690000000002</v>
      </c>
      <c r="V2976">
        <v>-2.0371719999999999E-2</v>
      </c>
      <c r="W2976">
        <v>0.18068500000000001</v>
      </c>
      <c r="X2976">
        <v>0.98333000000000004</v>
      </c>
      <c r="Y2976">
        <v>9.4750589999999996E-2</v>
      </c>
      <c r="Z2976">
        <v>9.1560209999999999E-4</v>
      </c>
      <c r="AA2976">
        <v>0.99550059999999996</v>
      </c>
      <c r="AB2976">
        <v>45</v>
      </c>
      <c r="AC2976">
        <v>-40.894100000000002</v>
      </c>
      <c r="AD2976">
        <v>-1.1088766732690001</v>
      </c>
      <c r="AE2976">
        <v>4.4750999999999896</v>
      </c>
      <c r="AF2976">
        <v>3.9325989045775001</v>
      </c>
      <c r="AG2976">
        <v>-1.1088766732690001</v>
      </c>
      <c r="AH2976">
        <v>40.9198248200425</v>
      </c>
      <c r="AI2976">
        <v>91.545149161284399</v>
      </c>
      <c r="AJ2976">
        <v>84.510449688726695</v>
      </c>
      <c r="AK2976">
        <v>41.123314614993902</v>
      </c>
      <c r="AL2976">
        <v>79.590338165362098</v>
      </c>
      <c r="AM2976">
        <v>91.186831106717705</v>
      </c>
      <c r="AN2976">
        <v>0.99999998255037903</v>
      </c>
    </row>
    <row r="2977" spans="1:40" x14ac:dyDescent="0.25">
      <c r="A2977" t="str">
        <f>"20190312172137819"</f>
        <v>20190312172137819</v>
      </c>
      <c r="B2977" t="str">
        <f>"1552382497813723"</f>
        <v>1552382497813723</v>
      </c>
      <c r="C2977" t="s">
        <v>40</v>
      </c>
      <c r="D2977">
        <v>3.001474</v>
      </c>
      <c r="E2977">
        <v>0.53884299999999996</v>
      </c>
      <c r="F2977" t="s">
        <v>47</v>
      </c>
      <c r="G2977">
        <v>-408.39460000000003</v>
      </c>
      <c r="H2977" s="1">
        <v>4.1560919999999997E-6</v>
      </c>
      <c r="I2977">
        <v>287.1497</v>
      </c>
      <c r="J2977">
        <v>-372.00360000000001</v>
      </c>
      <c r="K2977">
        <v>1.10887</v>
      </c>
      <c r="L2977">
        <v>283.73340000000002</v>
      </c>
      <c r="M2977">
        <v>-0.99986450000000004</v>
      </c>
      <c r="N2977">
        <v>0</v>
      </c>
      <c r="O2977">
        <v>1.3616609999999999E-2</v>
      </c>
      <c r="P2977">
        <v>-0.985155</v>
      </c>
      <c r="Q2977">
        <v>0.17151629999999901</v>
      </c>
      <c r="R2977">
        <v>-7.2046310000000004E-3</v>
      </c>
      <c r="S2977">
        <v>-3.0634459999999999</v>
      </c>
      <c r="T2977">
        <v>-9.2210650000000005E-2</v>
      </c>
      <c r="U2977">
        <v>0.2846069</v>
      </c>
      <c r="V2977">
        <v>-2.0401829999999999E-2</v>
      </c>
      <c r="W2977">
        <v>0.18065729999999999</v>
      </c>
      <c r="X2977">
        <v>0.9833345</v>
      </c>
      <c r="Y2977">
        <v>7.8909149999999997E-2</v>
      </c>
      <c r="Z2977">
        <v>7.7594139999999996E-4</v>
      </c>
      <c r="AA2977">
        <v>0.99688149999999998</v>
      </c>
      <c r="AB2977">
        <v>45</v>
      </c>
      <c r="AC2977">
        <v>-36.390999999999998</v>
      </c>
      <c r="AD2977">
        <v>-1.1088658439079999</v>
      </c>
      <c r="AE2977">
        <v>3.4162999999999699</v>
      </c>
      <c r="AF2977">
        <v>2.9177545952457602</v>
      </c>
      <c r="AG2977">
        <v>-1.1088658439079999</v>
      </c>
      <c r="AH2977">
        <v>36.400644482233702</v>
      </c>
      <c r="AI2977">
        <v>91.739275619534595</v>
      </c>
      <c r="AJ2977">
        <v>85.4171591749313</v>
      </c>
      <c r="AK2977">
        <v>36.5342277058081</v>
      </c>
      <c r="AL2977">
        <v>79.591952173834002</v>
      </c>
      <c r="AM2977">
        <v>91.188579337354</v>
      </c>
      <c r="AN2977">
        <v>1.0000000168004399</v>
      </c>
    </row>
    <row r="2978" spans="1:40" x14ac:dyDescent="0.25">
      <c r="A2978" t="str">
        <f>"20190312172137841"</f>
        <v>20190312172137841</v>
      </c>
      <c r="B2978" t="str">
        <f>"1552382497833241"</f>
        <v>1552382497833241</v>
      </c>
      <c r="C2978" t="s">
        <v>40</v>
      </c>
      <c r="D2978">
        <v>3.0081989999999998</v>
      </c>
      <c r="E2978">
        <v>0.53857749999999904</v>
      </c>
      <c r="F2978" t="s">
        <v>47</v>
      </c>
      <c r="G2978">
        <v>-409.34140000000002</v>
      </c>
      <c r="H2978" s="1">
        <v>3.726938E-6</v>
      </c>
      <c r="I2978">
        <v>287.19479999999999</v>
      </c>
      <c r="J2978">
        <v>-372.4529</v>
      </c>
      <c r="K2978">
        <v>1.108865</v>
      </c>
      <c r="L2978">
        <v>283.7398</v>
      </c>
      <c r="M2978">
        <v>-0.99985840000000004</v>
      </c>
      <c r="N2978">
        <v>0</v>
      </c>
      <c r="O2978">
        <v>1.4050190000000001E-2</v>
      </c>
      <c r="P2978">
        <v>-0.98512670000000002</v>
      </c>
      <c r="Q2978">
        <v>0.1716859</v>
      </c>
      <c r="R2978">
        <v>-7.036675E-3</v>
      </c>
      <c r="S2978">
        <v>-3.06311</v>
      </c>
      <c r="T2978">
        <v>-9.0968969999999996E-2</v>
      </c>
      <c r="U2978">
        <v>0.283966099999999</v>
      </c>
      <c r="V2978">
        <v>-2.0657149999999999E-2</v>
      </c>
      <c r="W2978">
        <v>0.18083750000000001</v>
      </c>
      <c r="X2978">
        <v>0.98329599999999995</v>
      </c>
      <c r="Y2978">
        <v>7.8281340000000005E-2</v>
      </c>
      <c r="Z2978">
        <v>7.434459E-4</v>
      </c>
      <c r="AA2978">
        <v>0.99693100000000001</v>
      </c>
      <c r="AB2978">
        <v>45</v>
      </c>
      <c r="AC2978">
        <v>-36.888500000000001</v>
      </c>
      <c r="AD2978">
        <v>-1.108861273062</v>
      </c>
      <c r="AE2978">
        <v>3.4549999999999801</v>
      </c>
      <c r="AF2978">
        <v>2.9337184364694102</v>
      </c>
      <c r="AG2978">
        <v>-1.108861273062</v>
      </c>
      <c r="AH2978">
        <v>36.900351040493</v>
      </c>
      <c r="AI2978">
        <v>91.715818164951997</v>
      </c>
      <c r="AJ2978">
        <v>85.454328747604904</v>
      </c>
      <c r="AK2978">
        <v>37.033392824571003</v>
      </c>
      <c r="AL2978">
        <v>79.581454096420998</v>
      </c>
      <c r="AM2978">
        <v>91.203496647715397</v>
      </c>
      <c r="AN2978">
        <v>0.99999997143418495</v>
      </c>
    </row>
    <row r="2979" spans="1:40" x14ac:dyDescent="0.25">
      <c r="A2979" t="str">
        <f>"20190312172137853"</f>
        <v>20190312172137853</v>
      </c>
      <c r="B2979" t="str">
        <f>"1552382497843978"</f>
        <v>1552382497843978</v>
      </c>
      <c r="C2979" t="s">
        <v>40</v>
      </c>
      <c r="D2979">
        <v>3.0171429999999999</v>
      </c>
      <c r="E2979">
        <v>0.53849829999999999</v>
      </c>
      <c r="F2979" t="s">
        <v>47</v>
      </c>
      <c r="G2979">
        <v>-410.57679999999999</v>
      </c>
      <c r="H2979" s="1">
        <v>2.0773579999999999E-6</v>
      </c>
      <c r="I2979">
        <v>287.25540000000001</v>
      </c>
      <c r="J2979">
        <v>-372.71749999999997</v>
      </c>
      <c r="K2979">
        <v>1.10886</v>
      </c>
      <c r="L2979">
        <v>283.74369999999999</v>
      </c>
      <c r="M2979">
        <v>-0.99985469999999999</v>
      </c>
      <c r="N2979">
        <v>0</v>
      </c>
      <c r="O2979">
        <v>1.430531E-2</v>
      </c>
      <c r="P2979">
        <v>-0.98508689999999999</v>
      </c>
      <c r="Q2979">
        <v>0.17191789999999901</v>
      </c>
      <c r="R2979">
        <v>-6.948999E-3</v>
      </c>
      <c r="S2979">
        <v>-3.0628660000000001</v>
      </c>
      <c r="T2979">
        <v>-8.9085819999999996E-2</v>
      </c>
      <c r="U2979">
        <v>0.28244019999999997</v>
      </c>
      <c r="V2979">
        <v>-2.0817990000000001E-2</v>
      </c>
      <c r="W2979">
        <v>0.18107519999999999</v>
      </c>
      <c r="X2979">
        <v>0.98324889999999998</v>
      </c>
      <c r="Y2979">
        <v>7.754337E-2</v>
      </c>
      <c r="Z2979">
        <v>7.1002869999999896E-4</v>
      </c>
      <c r="AA2979">
        <v>0.99698869999999895</v>
      </c>
      <c r="AB2979">
        <v>45</v>
      </c>
      <c r="AC2979">
        <v>-37.859299999999998</v>
      </c>
      <c r="AD2979">
        <v>-1.1088579226419999</v>
      </c>
      <c r="AE2979">
        <v>3.51170000000001</v>
      </c>
      <c r="AF2979">
        <v>2.9672046588549601</v>
      </c>
      <c r="AG2979">
        <v>-1.1088579226419999</v>
      </c>
      <c r="AH2979">
        <v>37.873451544259403</v>
      </c>
      <c r="AI2979">
        <v>91.671904973722206</v>
      </c>
      <c r="AJ2979">
        <v>85.520298870751802</v>
      </c>
      <c r="AK2979">
        <v>38.005686433157599</v>
      </c>
      <c r="AL2979">
        <v>79.567606663664805</v>
      </c>
      <c r="AM2979">
        <v>91.212922565952397</v>
      </c>
      <c r="AN2979">
        <v>1.00000000805694</v>
      </c>
    </row>
    <row r="2980" spans="1:40" x14ac:dyDescent="0.25">
      <c r="A2980" t="str">
        <f>"20190312172137866"</f>
        <v>20190312172137866</v>
      </c>
      <c r="B2980" t="str">
        <f>"1552382497863497"</f>
        <v>1552382497863497</v>
      </c>
      <c r="C2980" t="s">
        <v>40</v>
      </c>
      <c r="D2980">
        <v>3.0158779999999998</v>
      </c>
      <c r="E2980">
        <v>0.53855149999999996</v>
      </c>
      <c r="F2980" t="s">
        <v>47</v>
      </c>
      <c r="G2980">
        <v>-411.0471</v>
      </c>
      <c r="H2980" s="1">
        <v>2.1591389999999998E-6</v>
      </c>
      <c r="I2980">
        <v>287.27409999999998</v>
      </c>
      <c r="J2980">
        <v>-372.95080000000002</v>
      </c>
      <c r="K2980">
        <v>1.10886</v>
      </c>
      <c r="L2980">
        <v>283.74720000000002</v>
      </c>
      <c r="M2980">
        <v>-0.99985139999999995</v>
      </c>
      <c r="N2980">
        <v>0</v>
      </c>
      <c r="O2980">
        <v>1.453074E-2</v>
      </c>
      <c r="P2980">
        <v>-0.98515430000000004</v>
      </c>
      <c r="Q2980">
        <v>0.17152899999999999</v>
      </c>
      <c r="R2980">
        <v>-7.0238159999999996E-3</v>
      </c>
      <c r="S2980">
        <v>-3.0628359999999999</v>
      </c>
      <c r="T2980">
        <v>-8.8606359999999995E-2</v>
      </c>
      <c r="U2980">
        <v>0.28210449999999998</v>
      </c>
      <c r="V2980">
        <v>-2.1114870000000001E-2</v>
      </c>
      <c r="W2980">
        <v>0.18069299999999999</v>
      </c>
      <c r="X2980">
        <v>0.98331279999999999</v>
      </c>
      <c r="Y2980">
        <v>7.7211660000000001E-2</v>
      </c>
      <c r="Z2980">
        <v>6.9492839999999996E-4</v>
      </c>
      <c r="AA2980">
        <v>0.99701450000000003</v>
      </c>
      <c r="AB2980">
        <v>45</v>
      </c>
      <c r="AC2980">
        <v>-38.0962999999999</v>
      </c>
      <c r="AD2980">
        <v>-1.1088578408609999</v>
      </c>
      <c r="AE2980">
        <v>3.5268999999999502</v>
      </c>
      <c r="AF2980">
        <v>2.9704411908626698</v>
      </c>
      <c r="AG2980">
        <v>-1.1088578408609999</v>
      </c>
      <c r="AH2980">
        <v>38.1115145336871</v>
      </c>
      <c r="AI2980">
        <v>91.661519359183103</v>
      </c>
      <c r="AJ2980">
        <v>85.543332053540496</v>
      </c>
      <c r="AK2980">
        <v>38.243177517448203</v>
      </c>
      <c r="AL2980">
        <v>79.589871578426994</v>
      </c>
      <c r="AM2980">
        <v>91.230134544104502</v>
      </c>
      <c r="AN2980">
        <v>0.99999993031397605</v>
      </c>
    </row>
    <row r="2981" spans="1:40" x14ac:dyDescent="0.25">
      <c r="A2981" t="str">
        <f>"20190312172137878"</f>
        <v>20190312172137878</v>
      </c>
      <c r="B2981" t="str">
        <f>"1552382497873257"</f>
        <v>1552382497873257</v>
      </c>
      <c r="C2981" t="s">
        <v>40</v>
      </c>
      <c r="D2981">
        <v>3.0344920000000002</v>
      </c>
      <c r="E2981">
        <v>0.53863070000000002</v>
      </c>
      <c r="F2981" t="s">
        <v>47</v>
      </c>
      <c r="G2981">
        <v>-410.96800000000002</v>
      </c>
      <c r="H2981" s="1">
        <v>2.1467909999999999E-6</v>
      </c>
      <c r="I2981">
        <v>287.25490000000002</v>
      </c>
      <c r="J2981">
        <v>-373.19900000000001</v>
      </c>
      <c r="K2981">
        <v>1.108859</v>
      </c>
      <c r="L2981">
        <v>283.7509</v>
      </c>
      <c r="M2981">
        <v>-0.99984790000000001</v>
      </c>
      <c r="N2981">
        <v>0</v>
      </c>
      <c r="O2981">
        <v>1.4770709999999999E-2</v>
      </c>
      <c r="P2981">
        <v>-0.98517259999999995</v>
      </c>
      <c r="Q2981">
        <v>0.17142109999999999</v>
      </c>
      <c r="R2981">
        <v>-7.0617780000000003E-3</v>
      </c>
      <c r="S2981">
        <v>-3.0627749999999998</v>
      </c>
      <c r="T2981">
        <v>-8.9332700000000001E-2</v>
      </c>
      <c r="U2981">
        <v>0.28259279999999998</v>
      </c>
      <c r="V2981">
        <v>-2.138816E-2</v>
      </c>
      <c r="W2981">
        <v>0.18059169999999999</v>
      </c>
      <c r="X2981">
        <v>0.98332560000000002</v>
      </c>
      <c r="Y2981">
        <v>7.7131480000000002E-2</v>
      </c>
      <c r="Z2981">
        <v>6.9248460000000003E-4</v>
      </c>
      <c r="AA2981">
        <v>0.99702069999999998</v>
      </c>
      <c r="AB2981">
        <v>45</v>
      </c>
      <c r="AC2981">
        <v>-37.768999999999998</v>
      </c>
      <c r="AD2981">
        <v>-1.108856853209</v>
      </c>
      <c r="AE2981">
        <v>3.5040000000000102</v>
      </c>
      <c r="AF2981">
        <v>2.94320353537326</v>
      </c>
      <c r="AG2981">
        <v>-1.108856853209</v>
      </c>
      <c r="AH2981">
        <v>37.7843479715971</v>
      </c>
      <c r="AI2981">
        <v>91.675902404738295</v>
      </c>
      <c r="AJ2981">
        <v>85.545951691809705</v>
      </c>
      <c r="AK2981">
        <v>37.915022909267499</v>
      </c>
      <c r="AL2981">
        <v>79.595773723865094</v>
      </c>
      <c r="AM2981">
        <v>91.246034986855605</v>
      </c>
      <c r="AN2981">
        <v>1.00000002555621</v>
      </c>
    </row>
    <row r="2982" spans="1:40" x14ac:dyDescent="0.25">
      <c r="A2982" t="str">
        <f>"20190312172137890"</f>
        <v>20190312172137890</v>
      </c>
      <c r="B2982" t="str">
        <f>"1552382497883994"</f>
        <v>1552382497883994</v>
      </c>
      <c r="C2982" t="s">
        <v>40</v>
      </c>
      <c r="D2982">
        <v>3.0019710000000002</v>
      </c>
      <c r="E2982">
        <v>0.5386512</v>
      </c>
      <c r="F2982" t="s">
        <v>47</v>
      </c>
      <c r="G2982">
        <v>-411.07659999999998</v>
      </c>
      <c r="H2982" s="1">
        <v>2.1659249999999999E-6</v>
      </c>
      <c r="I2982">
        <v>287.25639999999999</v>
      </c>
      <c r="J2982">
        <v>-373.4513</v>
      </c>
      <c r="K2982">
        <v>1.1088549999999999</v>
      </c>
      <c r="L2982">
        <v>283.75479999999999</v>
      </c>
      <c r="M2982">
        <v>-0.99984410000000001</v>
      </c>
      <c r="N2982">
        <v>0</v>
      </c>
      <c r="O2982">
        <v>1.5014670000000001E-2</v>
      </c>
      <c r="P2982">
        <v>-0.98519389999999996</v>
      </c>
      <c r="Q2982">
        <v>0.17128450000000001</v>
      </c>
      <c r="R2982">
        <v>-7.3981960000000001E-3</v>
      </c>
      <c r="S2982">
        <v>-3.0627749999999998</v>
      </c>
      <c r="T2982">
        <v>-8.9661959999999999E-2</v>
      </c>
      <c r="U2982">
        <v>0.28344730000000001</v>
      </c>
      <c r="V2982">
        <v>-2.1963549999999998E-2</v>
      </c>
      <c r="W2982">
        <v>0.18046180000000001</v>
      </c>
      <c r="X2982">
        <v>0.98333669999999995</v>
      </c>
      <c r="Y2982">
        <v>7.7163930000000006E-2</v>
      </c>
      <c r="Z2982">
        <v>6.8837869999999895E-4</v>
      </c>
      <c r="AA2982">
        <v>0.99701819999999997</v>
      </c>
      <c r="AB2982">
        <v>45</v>
      </c>
      <c r="AC2982">
        <v>-37.625299999999903</v>
      </c>
      <c r="AD2982">
        <v>-1.1088528340749999</v>
      </c>
      <c r="AE2982">
        <v>3.5015999999999901</v>
      </c>
      <c r="AF2982">
        <v>2.9337232260652</v>
      </c>
      <c r="AG2982">
        <v>-1.1088528340749999</v>
      </c>
      <c r="AH2982">
        <v>37.641223864971998</v>
      </c>
      <c r="AI2982">
        <v>91.682259207806993</v>
      </c>
      <c r="AJ2982">
        <v>85.543427586634493</v>
      </c>
      <c r="AK2982">
        <v>37.771656313004499</v>
      </c>
      <c r="AL2982">
        <v>79.603340105200303</v>
      </c>
      <c r="AM2982">
        <v>91.279530716120604</v>
      </c>
      <c r="AN2982">
        <v>0.99999996217736498</v>
      </c>
    </row>
    <row r="2983" spans="1:40" x14ac:dyDescent="0.25">
      <c r="A2983" t="str">
        <f>"20190312172137903"</f>
        <v>20190312172137903</v>
      </c>
      <c r="B2983" t="str">
        <f>"1552382497893754"</f>
        <v>1552382497893754</v>
      </c>
      <c r="C2983" t="s">
        <v>40</v>
      </c>
      <c r="D2983">
        <v>3.0037400000000001</v>
      </c>
      <c r="E2983">
        <v>0.53866749999999997</v>
      </c>
      <c r="F2983" t="s">
        <v>47</v>
      </c>
      <c r="G2983">
        <v>-411.16840000000002</v>
      </c>
      <c r="H2983" s="1">
        <v>2.1838019999999998E-6</v>
      </c>
      <c r="I2983">
        <v>287.23820000000001</v>
      </c>
      <c r="J2983">
        <v>-373.70589999999999</v>
      </c>
      <c r="K2983">
        <v>1.108849</v>
      </c>
      <c r="L2983">
        <v>283.75869999999998</v>
      </c>
      <c r="M2983">
        <v>-0.99984039999999996</v>
      </c>
      <c r="N2983">
        <v>0</v>
      </c>
      <c r="O2983">
        <v>1.526048E-2</v>
      </c>
      <c r="P2983">
        <v>-0.98520280000000005</v>
      </c>
      <c r="Q2983">
        <v>0.17122609999999999</v>
      </c>
      <c r="R2983">
        <v>-7.5638369999999899E-3</v>
      </c>
      <c r="S2983">
        <v>-3.0628359999999999</v>
      </c>
      <c r="T2983">
        <v>-9.0044860000000004E-2</v>
      </c>
      <c r="U2983">
        <v>0.28286739999999999</v>
      </c>
      <c r="V2983">
        <v>-2.237076E-2</v>
      </c>
      <c r="W2983">
        <v>0.18041070000000001</v>
      </c>
      <c r="X2983">
        <v>0.98333689999999996</v>
      </c>
      <c r="Y2983">
        <v>7.6729889999999995E-2</v>
      </c>
      <c r="Z2983">
        <v>6.7773690000000005E-4</v>
      </c>
      <c r="AA2983">
        <v>0.99705169999999999</v>
      </c>
      <c r="AB2983">
        <v>45</v>
      </c>
      <c r="AC2983">
        <v>-37.462499999999999</v>
      </c>
      <c r="AD2983">
        <v>-1.1088468161980001</v>
      </c>
      <c r="AE2983">
        <v>3.47950000000003</v>
      </c>
      <c r="AF2983">
        <v>2.9048512344856201</v>
      </c>
      <c r="AG2983">
        <v>-1.1088468161980001</v>
      </c>
      <c r="AH2983">
        <v>37.478684388718698</v>
      </c>
      <c r="AI2983">
        <v>91.689597933553202</v>
      </c>
      <c r="AJ2983">
        <v>85.568050522234103</v>
      </c>
      <c r="AK2983">
        <v>37.607439230363298</v>
      </c>
      <c r="AL2983">
        <v>79.6063168088873</v>
      </c>
      <c r="AM2983">
        <v>91.303245180359198</v>
      </c>
      <c r="AN2983">
        <v>0.99999996523953805</v>
      </c>
    </row>
    <row r="2984" spans="1:40" x14ac:dyDescent="0.25">
      <c r="A2984" t="str">
        <f>"20190312172137915"</f>
        <v>20190312172137915</v>
      </c>
      <c r="B2984" t="str">
        <f>"1552382497903514"</f>
        <v>1552382497903514</v>
      </c>
      <c r="C2984" t="s">
        <v>40</v>
      </c>
      <c r="D2984">
        <v>3.0055869999999998</v>
      </c>
      <c r="E2984">
        <v>0.53875010000000001</v>
      </c>
      <c r="F2984" t="s">
        <v>47</v>
      </c>
      <c r="G2984">
        <v>-411.25069999999999</v>
      </c>
      <c r="H2984" s="1">
        <v>2.199529E-6</v>
      </c>
      <c r="I2984">
        <v>287.2253</v>
      </c>
      <c r="J2984">
        <v>-373.95519999999999</v>
      </c>
      <c r="K2984">
        <v>1.108846</v>
      </c>
      <c r="L2984">
        <v>283.7627</v>
      </c>
      <c r="M2984">
        <v>-0.99983670000000002</v>
      </c>
      <c r="N2984">
        <v>0</v>
      </c>
      <c r="O2984">
        <v>1.550086E-2</v>
      </c>
      <c r="P2984">
        <v>-0.9852282</v>
      </c>
      <c r="Q2984">
        <v>0.171073</v>
      </c>
      <c r="R2984">
        <v>-7.7506509999999999E-3</v>
      </c>
      <c r="S2984">
        <v>-3.0629580000000001</v>
      </c>
      <c r="T2984">
        <v>-9.0461130000000001E-2</v>
      </c>
      <c r="U2984">
        <v>0.28280640000000001</v>
      </c>
      <c r="V2984">
        <v>-2.2793850000000001E-2</v>
      </c>
      <c r="W2984">
        <v>0.1802639</v>
      </c>
      <c r="X2984">
        <v>0.98335419999999996</v>
      </c>
      <c r="Y2984">
        <v>7.6466809999999996E-2</v>
      </c>
      <c r="Z2984">
        <v>6.6988679999999904E-4</v>
      </c>
      <c r="AA2984">
        <v>0.99707190000000001</v>
      </c>
      <c r="AB2984">
        <v>45</v>
      </c>
      <c r="AC2984">
        <v>-37.295499999999997</v>
      </c>
      <c r="AD2984">
        <v>-1.108843800471</v>
      </c>
      <c r="AE2984">
        <v>3.4626000000000001</v>
      </c>
      <c r="AF2984">
        <v>2.8815213237511501</v>
      </c>
      <c r="AG2984">
        <v>-1.108843800471</v>
      </c>
      <c r="AH2984">
        <v>37.3119942327885</v>
      </c>
      <c r="AI2984">
        <v>91.697173536884193</v>
      </c>
      <c r="AJ2984">
        <v>85.583941312908706</v>
      </c>
      <c r="AK2984">
        <v>37.4395194058459</v>
      </c>
      <c r="AL2984">
        <v>79.614869001829504</v>
      </c>
      <c r="AM2984">
        <v>91.327860883633093</v>
      </c>
      <c r="AN2984">
        <v>1.00000005794933</v>
      </c>
    </row>
    <row r="2985" spans="1:40" x14ac:dyDescent="0.25">
      <c r="A2985" t="str">
        <f>"20190312172137929"</f>
        <v>20190312172137929</v>
      </c>
      <c r="B2985" t="str">
        <f>"1552382497924009"</f>
        <v>1552382497924009</v>
      </c>
      <c r="C2985" t="s">
        <v>40</v>
      </c>
      <c r="D2985">
        <v>3.0253169999999998</v>
      </c>
      <c r="E2985">
        <v>0.53892640000000003</v>
      </c>
      <c r="F2985" t="s">
        <v>47</v>
      </c>
      <c r="G2985">
        <v>-411.22559999999999</v>
      </c>
      <c r="H2985" s="1">
        <v>2.196827E-6</v>
      </c>
      <c r="I2985">
        <v>287.20530000000002</v>
      </c>
      <c r="J2985">
        <v>-374.23239999999998</v>
      </c>
      <c r="K2985">
        <v>1.1088370000000001</v>
      </c>
      <c r="L2985">
        <v>283.76710000000003</v>
      </c>
      <c r="M2985">
        <v>-0.99983239999999995</v>
      </c>
      <c r="N2985">
        <v>0</v>
      </c>
      <c r="O2985">
        <v>1.576812E-2</v>
      </c>
      <c r="P2985">
        <v>-0.98522699999999996</v>
      </c>
      <c r="Q2985">
        <v>0.1710614</v>
      </c>
      <c r="R2985">
        <v>-8.1186149999999992E-3</v>
      </c>
      <c r="S2985">
        <v>-3.0630489999999999</v>
      </c>
      <c r="T2985">
        <v>-9.1129660000000001E-2</v>
      </c>
      <c r="U2985">
        <v>0.28292850000000003</v>
      </c>
      <c r="V2985">
        <v>-2.3423119999999999E-2</v>
      </c>
      <c r="W2985">
        <v>0.18025959999999999</v>
      </c>
      <c r="X2985">
        <v>0.98334010000000005</v>
      </c>
      <c r="Y2985">
        <v>7.6236789999999999E-2</v>
      </c>
      <c r="Z2985">
        <v>6.6347050000000005E-4</v>
      </c>
      <c r="AA2985">
        <v>0.99708949999999996</v>
      </c>
      <c r="AB2985">
        <v>45</v>
      </c>
      <c r="AC2985">
        <v>-36.993200000000002</v>
      </c>
      <c r="AD2985">
        <v>-1.108834803173</v>
      </c>
      <c r="AE2985">
        <v>3.4381999999999899</v>
      </c>
      <c r="AF2985">
        <v>2.8518937357974701</v>
      </c>
      <c r="AG2985">
        <v>-1.108834803173</v>
      </c>
      <c r="AH2985">
        <v>37.009850310708202</v>
      </c>
      <c r="AI2985">
        <v>91.711029277433298</v>
      </c>
      <c r="AJ2985">
        <v>85.593627080194594</v>
      </c>
      <c r="AK2985">
        <v>37.136125706945201</v>
      </c>
      <c r="AL2985">
        <v>79.615118438904403</v>
      </c>
      <c r="AM2985">
        <v>91.364525034702794</v>
      </c>
      <c r="AN2985">
        <v>0.999999959105351</v>
      </c>
    </row>
    <row r="2986" spans="1:40" x14ac:dyDescent="0.25">
      <c r="A2986" t="str">
        <f>"20190312172137941"</f>
        <v>20190312172137941</v>
      </c>
      <c r="B2986" t="str">
        <f>"1552382497933770"</f>
        <v>1552382497933770</v>
      </c>
      <c r="C2986" t="s">
        <v>40</v>
      </c>
      <c r="D2986">
        <v>3.0205449999999998</v>
      </c>
      <c r="E2986">
        <v>0.53898610000000002</v>
      </c>
      <c r="F2986" t="s">
        <v>47</v>
      </c>
      <c r="G2986">
        <v>-411.29910000000001</v>
      </c>
      <c r="H2986" s="1">
        <v>2.2109120000000002E-6</v>
      </c>
      <c r="I2986">
        <v>287.19330000000002</v>
      </c>
      <c r="J2986">
        <v>-374.47269999999997</v>
      </c>
      <c r="K2986">
        <v>1.108832</v>
      </c>
      <c r="L2986">
        <v>283.77109999999999</v>
      </c>
      <c r="M2986">
        <v>-0.99982850000000001</v>
      </c>
      <c r="N2986">
        <v>0</v>
      </c>
      <c r="O2986">
        <v>1.5999920000000001E-2</v>
      </c>
      <c r="P2986">
        <v>-0.98524429999999996</v>
      </c>
      <c r="Q2986">
        <v>0.17095379999999999</v>
      </c>
      <c r="R2986">
        <v>-8.2877669999999997E-3</v>
      </c>
      <c r="S2986">
        <v>-3.0632630000000001</v>
      </c>
      <c r="T2986">
        <v>-9.1636179999999998E-2</v>
      </c>
      <c r="U2986">
        <v>0.28314210000000001</v>
      </c>
      <c r="V2986">
        <v>-2.3820250000000001E-2</v>
      </c>
      <c r="W2986">
        <v>0.18015880000000001</v>
      </c>
      <c r="X2986">
        <v>0.98334909999999998</v>
      </c>
      <c r="Y2986">
        <v>7.6068070000000002E-2</v>
      </c>
      <c r="Z2986">
        <v>6.5767560000000002E-4</v>
      </c>
      <c r="AA2986">
        <v>0.99710240000000006</v>
      </c>
      <c r="AB2986">
        <v>45</v>
      </c>
      <c r="AC2986">
        <v>-36.8264</v>
      </c>
      <c r="AD2986">
        <v>-1.1088297890879999</v>
      </c>
      <c r="AE2986">
        <v>3.4222000000000299</v>
      </c>
      <c r="AF2986">
        <v>2.8299731567536002</v>
      </c>
      <c r="AG2986">
        <v>-1.1088297890879999</v>
      </c>
      <c r="AH2986">
        <v>36.843327022680398</v>
      </c>
      <c r="AI2986">
        <v>91.718782745290795</v>
      </c>
      <c r="AJ2986">
        <v>85.607677896628203</v>
      </c>
      <c r="AK2986">
        <v>36.968486548265503</v>
      </c>
      <c r="AL2986">
        <v>79.620990672306803</v>
      </c>
      <c r="AM2986">
        <v>91.387638366675404</v>
      </c>
      <c r="AN2986">
        <v>1.0000000249991501</v>
      </c>
    </row>
    <row r="2987" spans="1:40" x14ac:dyDescent="0.25">
      <c r="A2987" t="str">
        <f>"20190312172137953"</f>
        <v>20190312172137953</v>
      </c>
      <c r="B2987" t="str">
        <f>"1552382497943530"</f>
        <v>1552382497943530</v>
      </c>
      <c r="C2987" t="s">
        <v>40</v>
      </c>
      <c r="D2987">
        <v>3.015409</v>
      </c>
      <c r="E2987">
        <v>0.53903389999999995</v>
      </c>
      <c r="F2987" t="s">
        <v>47</v>
      </c>
      <c r="G2987">
        <v>-411.37020000000001</v>
      </c>
      <c r="H2987" s="1">
        <v>2.2246190000000002E-6</v>
      </c>
      <c r="I2987">
        <v>287.1807</v>
      </c>
      <c r="J2987">
        <v>-374.71960000000001</v>
      </c>
      <c r="K2987">
        <v>1.1088340000000001</v>
      </c>
      <c r="L2987">
        <v>283.77510000000001</v>
      </c>
      <c r="M2987">
        <v>-0.9998245</v>
      </c>
      <c r="N2987">
        <v>0</v>
      </c>
      <c r="O2987">
        <v>1.6238389999999998E-2</v>
      </c>
      <c r="P2987">
        <v>-0.98527609999999999</v>
      </c>
      <c r="Q2987">
        <v>0.170763</v>
      </c>
      <c r="R2987">
        <v>-8.4250360000000003E-3</v>
      </c>
      <c r="S2987">
        <v>-3.0633539999999999</v>
      </c>
      <c r="T2987">
        <v>-9.205866E-2</v>
      </c>
      <c r="U2987">
        <v>0.28308109999999997</v>
      </c>
      <c r="V2987">
        <v>-2.4192450000000001E-2</v>
      </c>
      <c r="W2987">
        <v>0.17997489999999999</v>
      </c>
      <c r="X2987">
        <v>0.98337359999999896</v>
      </c>
      <c r="Y2987">
        <v>7.5807799999999995E-2</v>
      </c>
      <c r="Z2987">
        <v>6.4963919999999999E-4</v>
      </c>
      <c r="AA2987">
        <v>0.99712219999999996</v>
      </c>
      <c r="AB2987">
        <v>45</v>
      </c>
      <c r="AC2987">
        <v>-36.650599999999997</v>
      </c>
      <c r="AD2987">
        <v>-1.108831775381</v>
      </c>
      <c r="AE2987">
        <v>3.40559999999999</v>
      </c>
      <c r="AF2987">
        <v>2.8074305387513698</v>
      </c>
      <c r="AG2987">
        <v>-1.108831775381</v>
      </c>
      <c r="AH2987">
        <v>36.667795855237301</v>
      </c>
      <c r="AI2987">
        <v>91.727041305692794</v>
      </c>
      <c r="AJ2987">
        <v>85.621751789587194</v>
      </c>
      <c r="AK2987">
        <v>36.791825546136899</v>
      </c>
      <c r="AL2987">
        <v>79.631701547031398</v>
      </c>
      <c r="AM2987">
        <v>91.409276941801707</v>
      </c>
      <c r="AN2987">
        <v>0.99999993822198396</v>
      </c>
    </row>
    <row r="2988" spans="1:40" x14ac:dyDescent="0.25">
      <c r="A2988" t="str">
        <f>"20190312172137965"</f>
        <v>20190312172137965</v>
      </c>
      <c r="B2988" t="str">
        <f>"1552382497953293"</f>
        <v>1552382497953293</v>
      </c>
      <c r="C2988" t="s">
        <v>40</v>
      </c>
      <c r="D2988">
        <v>2.9884879999999998</v>
      </c>
      <c r="E2988">
        <v>0.5391283</v>
      </c>
      <c r="F2988" t="s">
        <v>47</v>
      </c>
      <c r="G2988">
        <v>-411.44720000000001</v>
      </c>
      <c r="H2988" s="1">
        <v>2.2395739999999998E-6</v>
      </c>
      <c r="I2988">
        <v>287.16590000000002</v>
      </c>
      <c r="J2988">
        <v>-374.94929999999999</v>
      </c>
      <c r="K2988">
        <v>1.1088309999999999</v>
      </c>
      <c r="L2988">
        <v>283.779</v>
      </c>
      <c r="M2988">
        <v>-0.99982110000000002</v>
      </c>
      <c r="N2988">
        <v>0</v>
      </c>
      <c r="O2988">
        <v>1.6459930000000001E-2</v>
      </c>
      <c r="P2988">
        <v>-0.98533340000000003</v>
      </c>
      <c r="Q2988">
        <v>0.1704251</v>
      </c>
      <c r="R2988">
        <v>-8.5681339999999998E-3</v>
      </c>
      <c r="S2988">
        <v>-3.0632929999999998</v>
      </c>
      <c r="T2988">
        <v>-9.2483040000000002E-2</v>
      </c>
      <c r="U2988">
        <v>0.28280640000000001</v>
      </c>
      <c r="V2988">
        <v>-2.4554079999999999E-2</v>
      </c>
      <c r="W2988">
        <v>0.17964379999999999</v>
      </c>
      <c r="X2988">
        <v>0.98342529999999995</v>
      </c>
      <c r="Y2988">
        <v>7.5500029999999996E-2</v>
      </c>
      <c r="Z2988">
        <v>6.4134320000000002E-4</v>
      </c>
      <c r="AA2988">
        <v>0.99714559999999997</v>
      </c>
      <c r="AB2988">
        <v>45</v>
      </c>
      <c r="AC2988">
        <v>-36.497900000000001</v>
      </c>
      <c r="AD2988">
        <v>-1.1088287604260001</v>
      </c>
      <c r="AE2988">
        <v>3.3869000000000198</v>
      </c>
      <c r="AF2988">
        <v>2.7831153250480698</v>
      </c>
      <c r="AG2988">
        <v>-1.1088287604260001</v>
      </c>
      <c r="AH2988">
        <v>36.515290412510701</v>
      </c>
      <c r="AI2988">
        <v>91.734290715249699</v>
      </c>
      <c r="AJ2988">
        <v>85.641468145313794</v>
      </c>
      <c r="AK2988">
        <v>36.637981194962897</v>
      </c>
      <c r="AL2988">
        <v>79.650987762938101</v>
      </c>
      <c r="AM2988">
        <v>91.4302590366499</v>
      </c>
      <c r="AN2988">
        <v>1.0000000592015801</v>
      </c>
    </row>
    <row r="2989" spans="1:40" x14ac:dyDescent="0.25">
      <c r="A2989" t="str">
        <f>"20190312172137977"</f>
        <v>20190312172137977</v>
      </c>
      <c r="B2989" t="str">
        <f>"1552382497973787"</f>
        <v>1552382497973787</v>
      </c>
      <c r="C2989" t="s">
        <v>40</v>
      </c>
      <c r="D2989">
        <v>2.9837419999999999</v>
      </c>
      <c r="E2989">
        <v>0.53927130000000001</v>
      </c>
      <c r="F2989" t="s">
        <v>47</v>
      </c>
      <c r="G2989">
        <v>-411.41460000000001</v>
      </c>
      <c r="H2989" s="1">
        <v>2.2350639999999998E-6</v>
      </c>
      <c r="I2989">
        <v>287.15140000000002</v>
      </c>
      <c r="J2989">
        <v>-375.19639999999998</v>
      </c>
      <c r="K2989">
        <v>1.108827</v>
      </c>
      <c r="L2989">
        <v>283.78320000000002</v>
      </c>
      <c r="M2989">
        <v>-0.99981710000000001</v>
      </c>
      <c r="N2989">
        <v>0</v>
      </c>
      <c r="O2989">
        <v>1.669816E-2</v>
      </c>
      <c r="P2989">
        <v>-0.98536800000000002</v>
      </c>
      <c r="Q2989">
        <v>0.17022089999999901</v>
      </c>
      <c r="R2989">
        <v>-8.6722729999999994E-3</v>
      </c>
      <c r="S2989">
        <v>-3.0632320000000002</v>
      </c>
      <c r="T2989">
        <v>-9.3146090000000001E-2</v>
      </c>
      <c r="U2989">
        <v>0.28329470000000001</v>
      </c>
      <c r="V2989">
        <v>-2.489309E-2</v>
      </c>
      <c r="W2989">
        <v>0.17944679999999999</v>
      </c>
      <c r="X2989">
        <v>0.98345269999999996</v>
      </c>
      <c r="Y2989">
        <v>7.5421630000000003E-2</v>
      </c>
      <c r="Z2989">
        <v>6.3753449999999999E-4</v>
      </c>
      <c r="AA2989">
        <v>0.99715160000000003</v>
      </c>
      <c r="AB2989">
        <v>45</v>
      </c>
      <c r="AC2989">
        <v>-36.218200000000003</v>
      </c>
      <c r="AD2989">
        <v>-1.1088247649359999</v>
      </c>
      <c r="AE2989">
        <v>3.3681999999999999</v>
      </c>
      <c r="AF2989">
        <v>2.76036169775485</v>
      </c>
      <c r="AG2989">
        <v>-1.1088247649359999</v>
      </c>
      <c r="AH2989">
        <v>36.235723041384801</v>
      </c>
      <c r="AI2989">
        <v>91.747661906804197</v>
      </c>
      <c r="AJ2989">
        <v>85.643740751878596</v>
      </c>
      <c r="AK2989">
        <v>36.357622493690599</v>
      </c>
      <c r="AL2989">
        <v>79.662461036361606</v>
      </c>
      <c r="AM2989">
        <v>91.449957392369896</v>
      </c>
      <c r="AN2989">
        <v>1.00000001654863</v>
      </c>
    </row>
    <row r="2990" spans="1:40" x14ac:dyDescent="0.25">
      <c r="A2990" t="str">
        <f>"20190312172137992"</f>
        <v>20190312172137992</v>
      </c>
      <c r="B2990" t="str">
        <f>"1552382497983547"</f>
        <v>1552382497983547</v>
      </c>
      <c r="C2990" t="s">
        <v>40</v>
      </c>
      <c r="D2990">
        <v>2.9699680000000002</v>
      </c>
      <c r="E2990">
        <v>0.5393232</v>
      </c>
      <c r="F2990" t="s">
        <v>47</v>
      </c>
      <c r="G2990">
        <v>-411.42809999999997</v>
      </c>
      <c r="H2990" s="1">
        <v>2.2380929999999998E-6</v>
      </c>
      <c r="I2990">
        <v>287.14409999999998</v>
      </c>
      <c r="J2990">
        <v>-375.49299999999999</v>
      </c>
      <c r="K2990">
        <v>1.1088249999999999</v>
      </c>
      <c r="L2990">
        <v>283.78829999999999</v>
      </c>
      <c r="M2990">
        <v>-0.99981209999999998</v>
      </c>
      <c r="N2990">
        <v>0</v>
      </c>
      <c r="O2990">
        <v>1.698448E-2</v>
      </c>
      <c r="P2990">
        <v>-0.98543000000000003</v>
      </c>
      <c r="Q2990">
        <v>0.16984749999999901</v>
      </c>
      <c r="R2990">
        <v>-8.9218779999999994E-3</v>
      </c>
      <c r="S2990">
        <v>-3.0632320000000002</v>
      </c>
      <c r="T2990">
        <v>-9.3746070000000001E-2</v>
      </c>
      <c r="U2990">
        <v>0.28414919999999999</v>
      </c>
      <c r="V2990">
        <v>-2.5425179999999999E-2</v>
      </c>
      <c r="W2990">
        <v>0.17908180000000001</v>
      </c>
      <c r="X2990">
        <v>0.98350559999999998</v>
      </c>
      <c r="Y2990">
        <v>7.5411640000000002E-2</v>
      </c>
      <c r="Z2990">
        <v>6.3274100000000003E-4</v>
      </c>
      <c r="AA2990">
        <v>0.99715229999999999</v>
      </c>
      <c r="AB2990">
        <v>45</v>
      </c>
      <c r="AC2990">
        <v>-35.935099999999899</v>
      </c>
      <c r="AD2990">
        <v>-1.1088227619069999</v>
      </c>
      <c r="AE2990">
        <v>3.3557999999999799</v>
      </c>
      <c r="AF2990">
        <v>2.7423618134757399</v>
      </c>
      <c r="AG2990">
        <v>-1.1088227619069999</v>
      </c>
      <c r="AH2990">
        <v>35.952979828947001</v>
      </c>
      <c r="AI2990">
        <v>91.761381021208095</v>
      </c>
      <c r="AJ2990">
        <v>85.638133627186505</v>
      </c>
      <c r="AK2990">
        <v>36.074461809069298</v>
      </c>
      <c r="AL2990">
        <v>79.683718150905094</v>
      </c>
      <c r="AM2990">
        <v>91.480856965798097</v>
      </c>
      <c r="AN2990">
        <v>0.99999999805031603</v>
      </c>
    </row>
    <row r="2991" spans="1:40" x14ac:dyDescent="0.25">
      <c r="A2991" t="str">
        <f>"20190312172138008"</f>
        <v>20190312172138008</v>
      </c>
      <c r="B2991" t="str">
        <f>"1552382498004042"</f>
        <v>1552382498004042</v>
      </c>
      <c r="C2991" t="s">
        <v>40</v>
      </c>
      <c r="D2991">
        <v>2.9891299999999998</v>
      </c>
      <c r="E2991">
        <v>0.53946249999999996</v>
      </c>
      <c r="F2991" t="s">
        <v>47</v>
      </c>
      <c r="G2991">
        <v>-411.25360000000001</v>
      </c>
      <c r="H2991" s="1">
        <v>2.2108169999999999E-6</v>
      </c>
      <c r="I2991">
        <v>287.1019</v>
      </c>
      <c r="J2991">
        <v>-375.8304</v>
      </c>
      <c r="K2991">
        <v>1.108822</v>
      </c>
      <c r="L2991">
        <v>283.79430000000002</v>
      </c>
      <c r="M2991">
        <v>-0.99980650000000004</v>
      </c>
      <c r="N2991">
        <v>0</v>
      </c>
      <c r="O2991">
        <v>1.730984E-2</v>
      </c>
      <c r="P2991">
        <v>-0.9854077</v>
      </c>
      <c r="Q2991">
        <v>0.16996129999999901</v>
      </c>
      <c r="R2991">
        <v>-9.2222970000000008E-3</v>
      </c>
      <c r="S2991">
        <v>-3.0632630000000001</v>
      </c>
      <c r="T2991">
        <v>-9.4982269999999994E-2</v>
      </c>
      <c r="U2991">
        <v>0.28384399999999999</v>
      </c>
      <c r="V2991">
        <v>-2.604503E-2</v>
      </c>
      <c r="W2991">
        <v>0.17920469999999999</v>
      </c>
      <c r="X2991">
        <v>0.98346699999999998</v>
      </c>
      <c r="Y2991">
        <v>7.4987369999999998E-2</v>
      </c>
      <c r="Z2991">
        <v>6.2445540000000003E-4</v>
      </c>
      <c r="AA2991">
        <v>0.99718430000000002</v>
      </c>
      <c r="AB2991">
        <v>45</v>
      </c>
      <c r="AC2991">
        <v>-35.423200000000001</v>
      </c>
      <c r="AD2991">
        <v>-1.1088197891830001</v>
      </c>
      <c r="AE2991">
        <v>3.3075999999999701</v>
      </c>
      <c r="AF2991">
        <v>2.6912934986034398</v>
      </c>
      <c r="AG2991">
        <v>-1.1088197891830001</v>
      </c>
      <c r="AH2991">
        <v>35.440723339043799</v>
      </c>
      <c r="AI2991">
        <v>91.786864396689097</v>
      </c>
      <c r="AJ2991">
        <v>85.657414270999197</v>
      </c>
      <c r="AK2991">
        <v>35.560053610971302</v>
      </c>
      <c r="AL2991">
        <v>79.676560776752396</v>
      </c>
      <c r="AM2991">
        <v>91.517002175814795</v>
      </c>
      <c r="AN2991">
        <v>1.0000000040893899</v>
      </c>
    </row>
    <row r="2992" spans="1:40" x14ac:dyDescent="0.25">
      <c r="A2992" t="str">
        <f>"20190312172138031"</f>
        <v>20190312172138031</v>
      </c>
      <c r="B2992" t="str">
        <f>"1552382498023561"</f>
        <v>1552382498023561</v>
      </c>
      <c r="C2992" t="s">
        <v>40</v>
      </c>
      <c r="D2992">
        <v>3.0060579999999999</v>
      </c>
      <c r="E2992">
        <v>0.53957270000000002</v>
      </c>
      <c r="F2992" t="s">
        <v>47</v>
      </c>
      <c r="G2992">
        <v>-411.49090000000001</v>
      </c>
      <c r="H2992" s="1">
        <v>2.2527379999999998E-6</v>
      </c>
      <c r="I2992">
        <v>287.10399999999998</v>
      </c>
      <c r="J2992">
        <v>-376.2817</v>
      </c>
      <c r="K2992">
        <v>1.1088150000000001</v>
      </c>
      <c r="L2992">
        <v>283.80239999999998</v>
      </c>
      <c r="M2992">
        <v>-0.99979870000000004</v>
      </c>
      <c r="N2992">
        <v>0</v>
      </c>
      <c r="O2992">
        <v>1.7745460000000001E-2</v>
      </c>
      <c r="P2992">
        <v>-0.98540989999999995</v>
      </c>
      <c r="Q2992">
        <v>0.16993029999999901</v>
      </c>
      <c r="R2992">
        <v>-9.5454679999999997E-3</v>
      </c>
      <c r="S2992">
        <v>-3.0635379999999999</v>
      </c>
      <c r="T2992">
        <v>-9.5256809999999997E-2</v>
      </c>
      <c r="U2992">
        <v>0.28433229999999998</v>
      </c>
      <c r="V2992">
        <v>-2.6796380000000002E-2</v>
      </c>
      <c r="W2992">
        <v>0.1791855</v>
      </c>
      <c r="X2992">
        <v>0.9834503</v>
      </c>
      <c r="Y2992">
        <v>7.4702439999999995E-2</v>
      </c>
      <c r="Z2992">
        <v>6.0827349999999995E-4</v>
      </c>
      <c r="AA2992">
        <v>0.99720569999999997</v>
      </c>
      <c r="AB2992">
        <v>45</v>
      </c>
      <c r="AC2992">
        <v>-35.209200000000003</v>
      </c>
      <c r="AD2992">
        <v>-1.108812747262</v>
      </c>
      <c r="AE2992">
        <v>3.30160000000006</v>
      </c>
      <c r="AF2992">
        <v>2.6736207748262699</v>
      </c>
      <c r="AG2992">
        <v>-1.108812747262</v>
      </c>
      <c r="AH2992">
        <v>35.227613729682098</v>
      </c>
      <c r="AI2992">
        <v>91.797661294485493</v>
      </c>
      <c r="AJ2992">
        <v>85.6598231909324</v>
      </c>
      <c r="AK2992">
        <v>35.346322055395902</v>
      </c>
      <c r="AL2992">
        <v>79.677678818247799</v>
      </c>
      <c r="AM2992">
        <v>91.560769975583298</v>
      </c>
      <c r="AN2992">
        <v>0.99999999098072201</v>
      </c>
    </row>
    <row r="2993" spans="1:40" x14ac:dyDescent="0.25">
      <c r="A2993" t="str">
        <f>"20190312172138052"</f>
        <v>20190312172138052</v>
      </c>
      <c r="B2993" t="str">
        <f>"1552382498044057"</f>
        <v>1552382498044057</v>
      </c>
      <c r="C2993" t="s">
        <v>40</v>
      </c>
      <c r="D2993">
        <v>3.001144</v>
      </c>
      <c r="E2993">
        <v>0.53972180000000003</v>
      </c>
      <c r="F2993" t="s">
        <v>47</v>
      </c>
      <c r="G2993">
        <v>-411.87869999999998</v>
      </c>
      <c r="H2993" s="1">
        <v>2.3215850000000002E-6</v>
      </c>
      <c r="I2993">
        <v>287.10320000000002</v>
      </c>
      <c r="J2993">
        <v>-376.71809999999999</v>
      </c>
      <c r="K2993">
        <v>1.108816</v>
      </c>
      <c r="L2993">
        <v>283.81040000000002</v>
      </c>
      <c r="M2993">
        <v>-0.99979110000000004</v>
      </c>
      <c r="N2993">
        <v>0</v>
      </c>
      <c r="O2993">
        <v>1.8166410000000001E-2</v>
      </c>
      <c r="P2993">
        <v>-0.98540559999999999</v>
      </c>
      <c r="Q2993">
        <v>0.16993610000000001</v>
      </c>
      <c r="R2993">
        <v>-9.8788550000000006E-3</v>
      </c>
      <c r="S2993">
        <v>-3.0636290000000002</v>
      </c>
      <c r="T2993">
        <v>-9.5429299999999995E-2</v>
      </c>
      <c r="U2993">
        <v>0.28408810000000001</v>
      </c>
      <c r="V2993">
        <v>-2.7543789999999999E-2</v>
      </c>
      <c r="W2993">
        <v>0.17920329999999901</v>
      </c>
      <c r="X2993">
        <v>0.98342640000000003</v>
      </c>
      <c r="Y2993">
        <v>7.4201399999999904E-2</v>
      </c>
      <c r="Z2993">
        <v>5.8849879999999996E-4</v>
      </c>
      <c r="AA2993">
        <v>0.99724310000000005</v>
      </c>
      <c r="AB2993">
        <v>45</v>
      </c>
      <c r="AC2993">
        <v>-35.160599999999903</v>
      </c>
      <c r="AD2993">
        <v>-1.108813678415</v>
      </c>
      <c r="AE2993">
        <v>3.2928000000000002</v>
      </c>
      <c r="AF2993">
        <v>2.6508732948042302</v>
      </c>
      <c r="AG2993">
        <v>-1.108813678415</v>
      </c>
      <c r="AH2993">
        <v>35.179935913508999</v>
      </c>
      <c r="AI2993">
        <v>91.800171046804493</v>
      </c>
      <c r="AJ2993">
        <v>85.690800374883096</v>
      </c>
      <c r="AK2993">
        <v>35.297088943383798</v>
      </c>
      <c r="AL2993">
        <v>79.676642097484304</v>
      </c>
      <c r="AM2993">
        <v>91.604319811178001</v>
      </c>
      <c r="AN2993">
        <v>0.99999998365770704</v>
      </c>
    </row>
    <row r="2994" spans="1:40" x14ac:dyDescent="0.25">
      <c r="A2994" t="str">
        <f>"20190312172138064"</f>
        <v>20190312172138064</v>
      </c>
      <c r="B2994" t="str">
        <f>"1552382498053818"</f>
        <v>1552382498053818</v>
      </c>
      <c r="C2994" t="s">
        <v>40</v>
      </c>
      <c r="D2994">
        <v>3.1378140000000001</v>
      </c>
      <c r="E2994">
        <v>0.5398096</v>
      </c>
      <c r="F2994" t="s">
        <v>47</v>
      </c>
      <c r="G2994">
        <v>-412.30349999999999</v>
      </c>
      <c r="H2994" s="1">
        <v>2.3957350000000001E-6</v>
      </c>
      <c r="I2994">
        <v>287.11709999999999</v>
      </c>
      <c r="J2994">
        <v>-376.95979999999997</v>
      </c>
      <c r="K2994">
        <v>1.108814</v>
      </c>
      <c r="L2994">
        <v>283.81490000000002</v>
      </c>
      <c r="M2994">
        <v>-0.99978659999999997</v>
      </c>
      <c r="N2994">
        <v>0</v>
      </c>
      <c r="O2994">
        <v>1.839992E-2</v>
      </c>
      <c r="P2994">
        <v>-0.98538349999999997</v>
      </c>
      <c r="Q2994">
        <v>0.17004839999999999</v>
      </c>
      <c r="R2994">
        <v>-1.0147629999999999E-2</v>
      </c>
      <c r="S2994">
        <v>-3.063812</v>
      </c>
      <c r="T2994">
        <v>-9.5465900000000006E-2</v>
      </c>
      <c r="U2994">
        <v>0.28469850000000002</v>
      </c>
      <c r="V2994">
        <v>-2.8041170000000001E-2</v>
      </c>
      <c r="W2994">
        <v>0.17932239999999999</v>
      </c>
      <c r="X2994">
        <v>0.9833906</v>
      </c>
      <c r="Y2994">
        <v>7.4160069999999995E-2</v>
      </c>
      <c r="Z2994">
        <v>5.8078709999999996E-4</v>
      </c>
      <c r="AA2994">
        <v>0.99724619999999997</v>
      </c>
      <c r="AB2994">
        <v>45</v>
      </c>
      <c r="AC2994">
        <v>-35.343699999999998</v>
      </c>
      <c r="AD2994">
        <v>-1.108811604265</v>
      </c>
      <c r="AE2994">
        <v>3.3021999999999698</v>
      </c>
      <c r="AF2994">
        <v>2.6487066328635298</v>
      </c>
      <c r="AG2994">
        <v>-1.108811604265</v>
      </c>
      <c r="AH2994">
        <v>35.363974259767701</v>
      </c>
      <c r="AI2994">
        <v>91.790866128151393</v>
      </c>
      <c r="AJ2994">
        <v>85.716632918593803</v>
      </c>
      <c r="AK2994">
        <v>35.480357741238201</v>
      </c>
      <c r="AL2994">
        <v>79.669705472279006</v>
      </c>
      <c r="AM2994">
        <v>91.633334156900801</v>
      </c>
      <c r="AN2994">
        <v>0.99999995126254304</v>
      </c>
    </row>
    <row r="2995" spans="1:40" x14ac:dyDescent="0.25">
      <c r="A2995" t="str">
        <f>"20190312172138086"</f>
        <v>20190312172138086</v>
      </c>
      <c r="B2995" t="str">
        <f>"1552382498073337"</f>
        <v>1552382498073337</v>
      </c>
      <c r="C2995" t="s">
        <v>40</v>
      </c>
      <c r="D2995">
        <v>3.007911</v>
      </c>
      <c r="E2995">
        <v>0.5398906</v>
      </c>
      <c r="F2995" t="s">
        <v>47</v>
      </c>
      <c r="G2995">
        <v>-412.63470000000001</v>
      </c>
      <c r="H2995" s="1">
        <v>2.4534559999999999E-6</v>
      </c>
      <c r="I2995">
        <v>287.12880000000001</v>
      </c>
      <c r="J2995">
        <v>-377.38479999999998</v>
      </c>
      <c r="K2995">
        <v>1.1088150000000001</v>
      </c>
      <c r="L2995">
        <v>283.82299999999998</v>
      </c>
      <c r="M2995">
        <v>-0.99977899999999997</v>
      </c>
      <c r="N2995">
        <v>0</v>
      </c>
      <c r="O2995">
        <v>1.881008E-2</v>
      </c>
      <c r="P2995">
        <v>-0.98538440000000005</v>
      </c>
      <c r="Q2995">
        <v>0.17003660000000001</v>
      </c>
      <c r="R2995">
        <v>-1.0280070000000001E-2</v>
      </c>
      <c r="S2995">
        <v>-3.063904</v>
      </c>
      <c r="T2995">
        <v>-9.5229149999999999E-2</v>
      </c>
      <c r="U2995">
        <v>0.2846069</v>
      </c>
      <c r="V2995">
        <v>-2.8577140000000001E-2</v>
      </c>
      <c r="W2995">
        <v>0.17932200000000001</v>
      </c>
      <c r="X2995">
        <v>0.98337529999999995</v>
      </c>
      <c r="Y2995">
        <v>7.3719199999999999E-2</v>
      </c>
      <c r="Z2995">
        <v>5.5978470000000004E-4</v>
      </c>
      <c r="AA2995">
        <v>0.99727889999999997</v>
      </c>
      <c r="AB2995">
        <v>45</v>
      </c>
      <c r="AC2995">
        <v>-35.249899999999997</v>
      </c>
      <c r="AD2995">
        <v>-1.108812546544</v>
      </c>
      <c r="AE2995">
        <v>3.3058000000000298</v>
      </c>
      <c r="AF2995">
        <v>2.6395434439418501</v>
      </c>
      <c r="AG2995">
        <v>-1.108812546544</v>
      </c>
      <c r="AH2995">
        <v>35.271252551140897</v>
      </c>
      <c r="AI2995">
        <v>91.795580839289997</v>
      </c>
      <c r="AJ2995">
        <v>85.720216599039901</v>
      </c>
      <c r="AK2995">
        <v>35.3872563415446</v>
      </c>
      <c r="AL2995">
        <v>79.669729346474199</v>
      </c>
      <c r="AM2995">
        <v>91.664561671250695</v>
      </c>
      <c r="AN2995">
        <v>1.00000000663233</v>
      </c>
    </row>
    <row r="2996" spans="1:40" x14ac:dyDescent="0.25">
      <c r="A2996" t="str">
        <f>"20190312172138097"</f>
        <v>20190312172138097</v>
      </c>
      <c r="B2996" t="str">
        <f>"1552382498093834"</f>
        <v>1552382498093834</v>
      </c>
      <c r="C2996" t="s">
        <v>40</v>
      </c>
      <c r="D2996">
        <v>3.0002019999999998</v>
      </c>
      <c r="E2996">
        <v>0.54253390000000001</v>
      </c>
      <c r="F2996" t="s">
        <v>47</v>
      </c>
      <c r="G2996">
        <v>-413.06700000000001</v>
      </c>
      <c r="H2996" s="1">
        <v>2.529004E-6</v>
      </c>
      <c r="I2996">
        <v>287.14179999999999</v>
      </c>
      <c r="J2996">
        <v>-377.63080000000002</v>
      </c>
      <c r="K2996">
        <v>1.1088129999999901</v>
      </c>
      <c r="L2996">
        <v>283.82780000000002</v>
      </c>
      <c r="M2996">
        <v>-0.99977450000000001</v>
      </c>
      <c r="N2996">
        <v>0</v>
      </c>
      <c r="O2996">
        <v>1.9047339999999999E-2</v>
      </c>
      <c r="P2996">
        <v>-0.98537169999999996</v>
      </c>
      <c r="Q2996">
        <v>0.17011109999999999</v>
      </c>
      <c r="R2996">
        <v>-1.024746E-2</v>
      </c>
      <c r="S2996">
        <v>-3.063904</v>
      </c>
      <c r="T2996">
        <v>-9.5209840000000004E-2</v>
      </c>
      <c r="U2996">
        <v>0.28497309999999998</v>
      </c>
      <c r="V2996">
        <v>-2.8777870000000001E-2</v>
      </c>
      <c r="W2996">
        <v>0.17940309999999901</v>
      </c>
      <c r="X2996">
        <v>0.98335459999999997</v>
      </c>
      <c r="Y2996">
        <v>7.3600879999999994E-2</v>
      </c>
      <c r="Z2996">
        <v>5.5048320000000001E-4</v>
      </c>
      <c r="AA2996">
        <v>0.99728760000000005</v>
      </c>
      <c r="AB2996">
        <v>45</v>
      </c>
      <c r="AC2996">
        <v>-35.4361999999999</v>
      </c>
      <c r="AD2996">
        <v>-1.1088104709959901</v>
      </c>
      <c r="AE2996">
        <v>3.3139999999999601</v>
      </c>
      <c r="AF2996">
        <v>2.63584528985721</v>
      </c>
      <c r="AG2996">
        <v>-1.1088104709959901</v>
      </c>
      <c r="AH2996">
        <v>35.458480509299903</v>
      </c>
      <c r="AI2996">
        <v>91.786168749984199</v>
      </c>
      <c r="AJ2996">
        <v>85.748674216088006</v>
      </c>
      <c r="AK2996">
        <v>35.573599495708201</v>
      </c>
      <c r="AL2996">
        <v>79.665005508579299</v>
      </c>
      <c r="AM2996">
        <v>91.6762824135117</v>
      </c>
      <c r="AN2996">
        <v>0.99999995371625205</v>
      </c>
    </row>
    <row r="2997" spans="1:40" x14ac:dyDescent="0.25">
      <c r="A2997" t="str">
        <f>"20190312172138109"</f>
        <v>20190312172138109</v>
      </c>
      <c r="B2997" t="str">
        <f>"1552382498103594"</f>
        <v>1552382498103594</v>
      </c>
      <c r="C2997" t="s">
        <v>40</v>
      </c>
      <c r="D2997">
        <v>2.997182</v>
      </c>
      <c r="E2997">
        <v>0.54243079999999999</v>
      </c>
      <c r="F2997" t="s">
        <v>47</v>
      </c>
      <c r="G2997">
        <v>-413.07369999999997</v>
      </c>
      <c r="H2997" s="1">
        <v>2.5104679999999999E-6</v>
      </c>
      <c r="I2997">
        <v>287.36750000000001</v>
      </c>
      <c r="J2997">
        <v>-377.85860000000002</v>
      </c>
      <c r="K2997">
        <v>1.1088119999999999</v>
      </c>
      <c r="L2997">
        <v>283.8322</v>
      </c>
      <c r="M2997">
        <v>-0.99977020000000005</v>
      </c>
      <c r="N2997">
        <v>0</v>
      </c>
      <c r="O2997">
        <v>1.926721E-2</v>
      </c>
      <c r="P2997">
        <v>-0.98536729999999995</v>
      </c>
      <c r="Q2997">
        <v>0.1701424</v>
      </c>
      <c r="R2997">
        <v>-1.015518E-2</v>
      </c>
      <c r="S2997">
        <v>-3.06427</v>
      </c>
      <c r="T2997">
        <v>-9.5863820000000002E-2</v>
      </c>
      <c r="U2997">
        <v>0.30603029999999998</v>
      </c>
      <c r="V2997">
        <v>-2.8900990000000001E-2</v>
      </c>
      <c r="W2997">
        <v>0.17944019999999999</v>
      </c>
      <c r="X2997">
        <v>0.98334429999999995</v>
      </c>
      <c r="Y2997">
        <v>8.0155560000000001E-2</v>
      </c>
      <c r="Z2997">
        <v>6.4941860000000001E-4</v>
      </c>
      <c r="AA2997">
        <v>0.99678219999999995</v>
      </c>
      <c r="AB2997">
        <v>45</v>
      </c>
      <c r="AC2997">
        <v>-35.2150999999999</v>
      </c>
      <c r="AD2997">
        <v>-1.108809489532</v>
      </c>
      <c r="AE2997">
        <v>3.5352999999999999</v>
      </c>
      <c r="AF2997">
        <v>2.8533163943083899</v>
      </c>
      <c r="AG2997">
        <v>-1.108809489532</v>
      </c>
      <c r="AH2997">
        <v>35.2420898668435</v>
      </c>
      <c r="AI2997">
        <v>91.796208866429694</v>
      </c>
      <c r="AJ2997">
        <v>85.371240113354602</v>
      </c>
      <c r="AK2997">
        <v>35.374790050441</v>
      </c>
      <c r="AL2997">
        <v>79.662845594233204</v>
      </c>
      <c r="AM2997">
        <v>91.683467536653893</v>
      </c>
      <c r="AN2997">
        <v>1.0000000324707501</v>
      </c>
    </row>
    <row r="2998" spans="1:40" x14ac:dyDescent="0.25">
      <c r="A2998" t="str">
        <f>"20190312172138120"</f>
        <v>20190312172138120</v>
      </c>
      <c r="B2998" t="str">
        <f>"1552382498113354"</f>
        <v>1552382498113354</v>
      </c>
      <c r="C2998" t="s">
        <v>40</v>
      </c>
      <c r="D2998">
        <v>3.0315270000000001</v>
      </c>
      <c r="E2998">
        <v>0.54243079999999999</v>
      </c>
      <c r="F2998" t="s">
        <v>47</v>
      </c>
      <c r="G2998">
        <v>-414.02449999999999</v>
      </c>
      <c r="H2998" s="1">
        <v>2.6728329999999999E-6</v>
      </c>
      <c r="I2998">
        <v>287.43950000000001</v>
      </c>
      <c r="J2998">
        <v>-378.09879999999998</v>
      </c>
      <c r="K2998">
        <v>1.1088119999999999</v>
      </c>
      <c r="L2998">
        <v>283.83699999999999</v>
      </c>
      <c r="M2998">
        <v>-0.99976560000000003</v>
      </c>
      <c r="N2998">
        <v>0</v>
      </c>
      <c r="O2998">
        <v>1.9499220000000001E-2</v>
      </c>
      <c r="P2998">
        <v>-0.98535720000000004</v>
      </c>
      <c r="Q2998">
        <v>0.17020150000000001</v>
      </c>
      <c r="R2998">
        <v>-1.01333E-2</v>
      </c>
      <c r="S2998">
        <v>-3.063965</v>
      </c>
      <c r="T2998">
        <v>-9.3937870000000007E-2</v>
      </c>
      <c r="U2998">
        <v>0.30560300000000001</v>
      </c>
      <c r="V2998">
        <v>-2.9107419999999998E-2</v>
      </c>
      <c r="W2998">
        <v>0.1795059</v>
      </c>
      <c r="X2998">
        <v>0.98332620000000004</v>
      </c>
      <c r="Y2998">
        <v>7.9797859999999998E-2</v>
      </c>
      <c r="Z2998">
        <v>6.2388639999999996E-4</v>
      </c>
      <c r="AA2998">
        <v>0.99681090000000006</v>
      </c>
      <c r="AB2998">
        <v>45</v>
      </c>
      <c r="AC2998">
        <v>-35.925699999999999</v>
      </c>
      <c r="AD2998">
        <v>-1.1088093271670001</v>
      </c>
      <c r="AE2998">
        <v>3.60250000000002</v>
      </c>
      <c r="AF2998">
        <v>2.8985272634241102</v>
      </c>
      <c r="AG2998">
        <v>-1.1088093271670001</v>
      </c>
      <c r="AH2998">
        <v>35.9552085842205</v>
      </c>
      <c r="AI2998">
        <v>91.760655293167005</v>
      </c>
      <c r="AJ2998">
        <v>85.391070604814004</v>
      </c>
      <c r="AK2998">
        <v>36.088889464149901</v>
      </c>
      <c r="AL2998">
        <v>79.659018925498401</v>
      </c>
      <c r="AM2998">
        <v>91.695516172939406</v>
      </c>
      <c r="AN2998">
        <v>1.0000000128201501</v>
      </c>
    </row>
    <row r="2999" spans="1:40" x14ac:dyDescent="0.25">
      <c r="A2999" t="str">
        <f>"20190312172138130"</f>
        <v>20190312172138130</v>
      </c>
      <c r="B2999" t="str">
        <f>"1552382498124089"</f>
        <v>1552382498124089</v>
      </c>
      <c r="C2999" t="s">
        <v>40</v>
      </c>
      <c r="D2999">
        <v>3.0267400000000002</v>
      </c>
      <c r="E2999">
        <v>0.54246479999999997</v>
      </c>
      <c r="F2999" t="s">
        <v>47</v>
      </c>
      <c r="G2999">
        <v>-414.30799999999999</v>
      </c>
      <c r="H2999" s="1">
        <v>2.722501E-6</v>
      </c>
      <c r="I2999">
        <v>287.44639999999998</v>
      </c>
      <c r="J2999">
        <v>-378.31950000000001</v>
      </c>
      <c r="K2999">
        <v>1.108811</v>
      </c>
      <c r="L2999">
        <v>283.84140000000002</v>
      </c>
      <c r="M2999">
        <v>-0.99976129999999996</v>
      </c>
      <c r="N2999">
        <v>0</v>
      </c>
      <c r="O2999">
        <v>1.9712049999999998E-2</v>
      </c>
      <c r="P2999">
        <v>-0.98536559999999995</v>
      </c>
      <c r="Q2999">
        <v>0.17015820000000001</v>
      </c>
      <c r="R2999">
        <v>-1.004582E-2</v>
      </c>
      <c r="S2999">
        <v>-3.063965</v>
      </c>
      <c r="T2999">
        <v>-9.3825939999999997E-2</v>
      </c>
      <c r="U2999">
        <v>0.30541990000000002</v>
      </c>
      <c r="V2999">
        <v>-2.9229539999999998E-2</v>
      </c>
      <c r="W2999">
        <v>0.17946790000000001</v>
      </c>
      <c r="X2999">
        <v>0.98332949999999997</v>
      </c>
      <c r="Y2999">
        <v>7.9526959999999994E-2</v>
      </c>
      <c r="Z2999">
        <v>6.1251260000000005E-4</v>
      </c>
      <c r="AA2999">
        <v>0.99683250000000001</v>
      </c>
      <c r="AB2999">
        <v>45</v>
      </c>
      <c r="AC2999">
        <v>-35.988500000000002</v>
      </c>
      <c r="AD2999">
        <v>-1.108808277499</v>
      </c>
      <c r="AE2999">
        <v>3.60499999999996</v>
      </c>
      <c r="AF2999">
        <v>2.8921427552772201</v>
      </c>
      <c r="AG2999">
        <v>-1.108808277499</v>
      </c>
      <c r="AH2999">
        <v>36.018720383163597</v>
      </c>
      <c r="AI2999">
        <v>91.757595863271604</v>
      </c>
      <c r="AJ2999">
        <v>85.409253384204106</v>
      </c>
      <c r="AK2999">
        <v>36.151655059674397</v>
      </c>
      <c r="AL2999">
        <v>79.661231965595903</v>
      </c>
      <c r="AM2999">
        <v>91.702619811637504</v>
      </c>
      <c r="AN2999">
        <v>0.99999999935463502</v>
      </c>
    </row>
    <row r="3000" spans="1:40" x14ac:dyDescent="0.25">
      <c r="A3000" t="str">
        <f>"20190312172138142"</f>
        <v>20190312172138142</v>
      </c>
      <c r="B3000" t="str">
        <f>"1552382498133849"</f>
        <v>1552382498133849</v>
      </c>
      <c r="C3000" t="s">
        <v>40</v>
      </c>
      <c r="D3000">
        <v>3.0077970000000001</v>
      </c>
      <c r="E3000">
        <v>0.54254849999999999</v>
      </c>
      <c r="F3000" t="s">
        <v>47</v>
      </c>
      <c r="G3000">
        <v>-414.25060000000002</v>
      </c>
      <c r="H3000" s="1">
        <v>2.7137130000000001E-6</v>
      </c>
      <c r="I3000">
        <v>287.43049999999999</v>
      </c>
      <c r="J3000">
        <v>-378.55290000000002</v>
      </c>
      <c r="K3000">
        <v>1.108808</v>
      </c>
      <c r="L3000">
        <v>283.84609999999998</v>
      </c>
      <c r="M3000">
        <v>-0.99975700000000001</v>
      </c>
      <c r="N3000">
        <v>0</v>
      </c>
      <c r="O3000">
        <v>1.993698E-2</v>
      </c>
      <c r="P3000">
        <v>-0.98540059999999996</v>
      </c>
      <c r="Q3000">
        <v>0.16997209999999999</v>
      </c>
      <c r="R3000">
        <v>-9.7822080000000006E-3</v>
      </c>
      <c r="S3000">
        <v>-3.0640260000000001</v>
      </c>
      <c r="T3000">
        <v>-9.4553709999999999E-2</v>
      </c>
      <c r="U3000">
        <v>0.30606080000000002</v>
      </c>
      <c r="V3000">
        <v>-2.918784E-2</v>
      </c>
      <c r="W3000">
        <v>0.17928820000000001</v>
      </c>
      <c r="X3000">
        <v>0.98336349999999995</v>
      </c>
      <c r="Y3000">
        <v>7.9506869999999993E-2</v>
      </c>
      <c r="Z3000">
        <v>6.1001589999999997E-4</v>
      </c>
      <c r="AA3000">
        <v>0.9968342</v>
      </c>
      <c r="AB3000">
        <v>45</v>
      </c>
      <c r="AC3000">
        <v>-35.697699999999998</v>
      </c>
      <c r="AD3000">
        <v>-1.1088052862869999</v>
      </c>
      <c r="AE3000">
        <v>3.5844000000000098</v>
      </c>
      <c r="AF3000">
        <v>2.8692111472900601</v>
      </c>
      <c r="AG3000">
        <v>-1.1088052862869999</v>
      </c>
      <c r="AH3000">
        <v>35.727943632053702</v>
      </c>
      <c r="AI3000">
        <v>91.7718847917494</v>
      </c>
      <c r="AJ3000">
        <v>85.408589784280196</v>
      </c>
      <c r="AK3000">
        <v>35.860114025834299</v>
      </c>
      <c r="AL3000">
        <v>79.671697577557794</v>
      </c>
      <c r="AM3000">
        <v>91.700133464582194</v>
      </c>
      <c r="AN3000">
        <v>0.99999998089767705</v>
      </c>
    </row>
    <row r="3001" spans="1:40" x14ac:dyDescent="0.25">
      <c r="A3001" t="str">
        <f>"20190312172138154"</f>
        <v>20190312172138154</v>
      </c>
      <c r="B3001" t="str">
        <f>"1552382498143610"</f>
        <v>1552382498143610</v>
      </c>
      <c r="C3001" t="s">
        <v>40</v>
      </c>
      <c r="D3001">
        <v>3.0242239999999998</v>
      </c>
      <c r="E3001">
        <v>0.54262600000000005</v>
      </c>
      <c r="F3001" t="s">
        <v>47</v>
      </c>
      <c r="G3001">
        <v>-414.16980000000001</v>
      </c>
      <c r="H3001" s="1">
        <v>2.6999120000000001E-6</v>
      </c>
      <c r="I3001">
        <v>287.42450000000002</v>
      </c>
      <c r="J3001">
        <v>-378.80430000000001</v>
      </c>
      <c r="K3001">
        <v>1.1088070000000001</v>
      </c>
      <c r="L3001">
        <v>283.85129999999998</v>
      </c>
      <c r="M3001">
        <v>-0.99975190000000003</v>
      </c>
      <c r="N3001">
        <v>0</v>
      </c>
      <c r="O3001">
        <v>2.0179300000000001E-2</v>
      </c>
      <c r="P3001">
        <v>-0.98538199999999998</v>
      </c>
      <c r="Q3001">
        <v>0.1700895</v>
      </c>
      <c r="R3001">
        <v>-9.6107099999999997E-3</v>
      </c>
      <c r="S3001">
        <v>-3.0639340000000002</v>
      </c>
      <c r="T3001">
        <v>-9.5384720000000006E-2</v>
      </c>
      <c r="U3001">
        <v>0.30783080000000002</v>
      </c>
      <c r="V3001">
        <v>-2.9254220000000001E-2</v>
      </c>
      <c r="W3001">
        <v>0.1794125</v>
      </c>
      <c r="X3001">
        <v>0.98333890000000002</v>
      </c>
      <c r="Y3001">
        <v>7.9837809999999995E-2</v>
      </c>
      <c r="Z3001">
        <v>6.1299450000000001E-4</v>
      </c>
      <c r="AA3001">
        <v>0.99680769999999996</v>
      </c>
      <c r="AB3001">
        <v>46</v>
      </c>
      <c r="AC3001">
        <v>-35.365499999999997</v>
      </c>
      <c r="AD3001">
        <v>-1.1088043000879999</v>
      </c>
      <c r="AE3001">
        <v>3.5732000000000399</v>
      </c>
      <c r="AF3001">
        <v>2.8560105127633402</v>
      </c>
      <c r="AG3001">
        <v>-1.1088043000879999</v>
      </c>
      <c r="AH3001">
        <v>35.395963651416899</v>
      </c>
      <c r="AI3001">
        <v>91.788436671173997</v>
      </c>
      <c r="AJ3001">
        <v>85.386942632648299</v>
      </c>
      <c r="AK3001">
        <v>35.5283054174744</v>
      </c>
      <c r="AL3001">
        <v>79.664458773644199</v>
      </c>
      <c r="AM3001">
        <v>91.704040293702207</v>
      </c>
      <c r="AN3001">
        <v>1.0000000233986299</v>
      </c>
    </row>
    <row r="3002" spans="1:40" x14ac:dyDescent="0.25">
      <c r="A3002" t="str">
        <f>"20190312172138168"</f>
        <v>20190312172138168</v>
      </c>
      <c r="B3002" t="str">
        <f>"1552382498164105"</f>
        <v>1552382498164105</v>
      </c>
      <c r="C3002" t="s">
        <v>40</v>
      </c>
      <c r="D3002">
        <v>3.0385239999999998</v>
      </c>
      <c r="E3002">
        <v>0.54276729999999995</v>
      </c>
      <c r="F3002" t="s">
        <v>47</v>
      </c>
      <c r="G3002">
        <v>-414.82659999999998</v>
      </c>
      <c r="H3002" s="1">
        <v>2.8112529999999998E-6</v>
      </c>
      <c r="I3002">
        <v>287.48340000000002</v>
      </c>
      <c r="J3002">
        <v>-379.05540000000002</v>
      </c>
      <c r="K3002">
        <v>1.108806</v>
      </c>
      <c r="L3002">
        <v>283.85649999999998</v>
      </c>
      <c r="M3002">
        <v>-0.99974700000000005</v>
      </c>
      <c r="N3002">
        <v>0</v>
      </c>
      <c r="O3002">
        <v>2.0421390000000001E-2</v>
      </c>
      <c r="P3002">
        <v>-0.98537640000000004</v>
      </c>
      <c r="Q3002">
        <v>0.17012849999999999</v>
      </c>
      <c r="R3002">
        <v>-9.4834370000000008E-3</v>
      </c>
      <c r="S3002">
        <v>-3.063812</v>
      </c>
      <c r="T3002">
        <v>-9.4307420000000003E-2</v>
      </c>
      <c r="U3002">
        <v>0.30892940000000002</v>
      </c>
      <c r="V3002">
        <v>-2.936509E-2</v>
      </c>
      <c r="W3002">
        <v>0.17945800000000001</v>
      </c>
      <c r="X3002">
        <v>0.98332730000000002</v>
      </c>
      <c r="Y3002">
        <v>7.9954919999999999E-2</v>
      </c>
      <c r="Z3002">
        <v>6.0045889999999998E-4</v>
      </c>
      <c r="AA3002">
        <v>0.99679830000000003</v>
      </c>
      <c r="AB3002">
        <v>46</v>
      </c>
      <c r="AC3002">
        <v>-35.771199999999901</v>
      </c>
      <c r="AD3002">
        <v>-1.108803188747</v>
      </c>
      <c r="AE3002">
        <v>3.6269000000000302</v>
      </c>
      <c r="AF3002">
        <v>2.8928622495866998</v>
      </c>
      <c r="AG3002">
        <v>-1.108803188747</v>
      </c>
      <c r="AH3002">
        <v>35.803758397021902</v>
      </c>
      <c r="AI3002">
        <v>91.768062483667904</v>
      </c>
      <c r="AJ3002">
        <v>85.380665974354301</v>
      </c>
      <c r="AK3002">
        <v>35.937545991049198</v>
      </c>
      <c r="AL3002">
        <v>79.661808881467095</v>
      </c>
      <c r="AM3002">
        <v>91.710514739816702</v>
      </c>
      <c r="AN3002">
        <v>1.0000000305999901</v>
      </c>
    </row>
    <row r="3003" spans="1:40" x14ac:dyDescent="0.25">
      <c r="A3003" t="str">
        <f>"20190312172138180"</f>
        <v>20190312172138180</v>
      </c>
      <c r="B3003" t="str">
        <f>"1552382498173866"</f>
        <v>1552382498173866</v>
      </c>
      <c r="C3003" t="s">
        <v>40</v>
      </c>
      <c r="D3003">
        <v>3.0289809999999999</v>
      </c>
      <c r="E3003">
        <v>0.54288740000000002</v>
      </c>
      <c r="F3003" t="s">
        <v>47</v>
      </c>
      <c r="G3003">
        <v>-415.50700000000001</v>
      </c>
      <c r="H3003" s="1">
        <v>2.9259070000000002E-6</v>
      </c>
      <c r="I3003">
        <v>287.55250000000001</v>
      </c>
      <c r="J3003">
        <v>-379.31380000000001</v>
      </c>
      <c r="K3003">
        <v>1.10880499999999</v>
      </c>
      <c r="L3003">
        <v>283.86189999999999</v>
      </c>
      <c r="M3003">
        <v>-0.99974169999999996</v>
      </c>
      <c r="N3003">
        <v>0</v>
      </c>
      <c r="O3003">
        <v>2.067045E-2</v>
      </c>
      <c r="P3003">
        <v>-0.98534980000000005</v>
      </c>
      <c r="Q3003">
        <v>0.17029540000000001</v>
      </c>
      <c r="R3003">
        <v>-9.2393619999999992E-3</v>
      </c>
      <c r="S3003">
        <v>-3.0636290000000002</v>
      </c>
      <c r="T3003">
        <v>-9.319115E-2</v>
      </c>
      <c r="U3003">
        <v>0.31063839999999998</v>
      </c>
      <c r="V3003">
        <v>-2.9365559999999999E-2</v>
      </c>
      <c r="W3003">
        <v>0.17963109999999999</v>
      </c>
      <c r="X3003">
        <v>0.98329560000000005</v>
      </c>
      <c r="Y3003">
        <v>8.0263580000000001E-2</v>
      </c>
      <c r="Z3003">
        <v>5.9050569999999998E-4</v>
      </c>
      <c r="AA3003">
        <v>0.99677349999999998</v>
      </c>
      <c r="AB3003">
        <v>46</v>
      </c>
      <c r="AC3003">
        <v>-36.193199999999898</v>
      </c>
      <c r="AD3003">
        <v>-1.10880207409299</v>
      </c>
      <c r="AE3003">
        <v>3.6906000000000101</v>
      </c>
      <c r="AF3003">
        <v>2.9389183685451399</v>
      </c>
      <c r="AG3003">
        <v>-1.10880207409299</v>
      </c>
      <c r="AH3003">
        <v>36.228104437504101</v>
      </c>
      <c r="AI3003">
        <v>91.747318389762</v>
      </c>
      <c r="AJ3003">
        <v>85.362172719283905</v>
      </c>
      <c r="AK3003">
        <v>36.364023902082003</v>
      </c>
      <c r="AL3003">
        <v>79.651726336502804</v>
      </c>
      <c r="AM3003">
        <v>91.710597213615699</v>
      </c>
      <c r="AN3003">
        <v>0.99999995259034002</v>
      </c>
    </row>
    <row r="3004" spans="1:40" x14ac:dyDescent="0.25">
      <c r="A3004" t="str">
        <f>"20190312172138191"</f>
        <v>20190312172138191</v>
      </c>
      <c r="B3004" t="str">
        <f>"1552382498183625"</f>
        <v>1552382498183625</v>
      </c>
      <c r="C3004" t="s">
        <v>40</v>
      </c>
      <c r="D3004">
        <v>3.0346920000000002</v>
      </c>
      <c r="E3004">
        <v>0.54296800000000001</v>
      </c>
      <c r="F3004" t="s">
        <v>47</v>
      </c>
      <c r="G3004">
        <v>-416.16449999999998</v>
      </c>
      <c r="H3004" s="1">
        <v>3.0367149999999999E-6</v>
      </c>
      <c r="I3004">
        <v>287.6191</v>
      </c>
      <c r="J3004">
        <v>-379.56380000000001</v>
      </c>
      <c r="K3004">
        <v>1.1088070000000001</v>
      </c>
      <c r="L3004">
        <v>283.86720000000003</v>
      </c>
      <c r="M3004">
        <v>-0.99973670000000003</v>
      </c>
      <c r="N3004">
        <v>0</v>
      </c>
      <c r="O3004">
        <v>2.0910990000000001E-2</v>
      </c>
      <c r="P3004">
        <v>-0.98535729999999999</v>
      </c>
      <c r="Q3004">
        <v>0.1702555</v>
      </c>
      <c r="R3004">
        <v>-9.1790180000000006E-3</v>
      </c>
      <c r="S3004">
        <v>-3.063507</v>
      </c>
      <c r="T3004">
        <v>-9.217823E-2</v>
      </c>
      <c r="U3004">
        <v>0.3123474</v>
      </c>
      <c r="V3004">
        <v>-2.9542039999999999E-2</v>
      </c>
      <c r="W3004">
        <v>0.179597799999999</v>
      </c>
      <c r="X3004">
        <v>0.98329650000000002</v>
      </c>
      <c r="Y3004">
        <v>8.0578670000000005E-2</v>
      </c>
      <c r="Z3004">
        <v>5.8161230000000001E-4</v>
      </c>
      <c r="AA3004">
        <v>0.99674810000000003</v>
      </c>
      <c r="AB3004">
        <v>46</v>
      </c>
      <c r="AC3004">
        <v>-36.600699999999897</v>
      </c>
      <c r="AD3004">
        <v>-1.108803963285</v>
      </c>
      <c r="AE3004">
        <v>3.7518999999999698</v>
      </c>
      <c r="AF3004">
        <v>2.9829793081878999</v>
      </c>
      <c r="AG3004">
        <v>-1.108803963285</v>
      </c>
      <c r="AH3004">
        <v>36.6378804225793</v>
      </c>
      <c r="AI3004">
        <v>91.727749213570206</v>
      </c>
      <c r="AJ3004">
        <v>85.345364795749305</v>
      </c>
      <c r="AK3004">
        <v>36.775833010841403</v>
      </c>
      <c r="AL3004">
        <v>79.653666892820596</v>
      </c>
      <c r="AM3004">
        <v>91.720869757096594</v>
      </c>
      <c r="AN3004">
        <v>1.0000000544022201</v>
      </c>
    </row>
    <row r="3005" spans="1:40" x14ac:dyDescent="0.25">
      <c r="A3005" t="str">
        <f>"20190312172138206"</f>
        <v>20190312172138206</v>
      </c>
      <c r="B3005" t="str">
        <f>"1552382498204122"</f>
        <v>1552382498204122</v>
      </c>
      <c r="C3005" t="s">
        <v>40</v>
      </c>
      <c r="D3005">
        <v>3.0304310000000001</v>
      </c>
      <c r="E3005">
        <v>0.54307799999999995</v>
      </c>
      <c r="F3005" t="s">
        <v>47</v>
      </c>
      <c r="G3005">
        <v>-416.4579</v>
      </c>
      <c r="H3005" s="1">
        <v>3.0866950000000001E-6</v>
      </c>
      <c r="I3005">
        <v>287.6429</v>
      </c>
      <c r="J3005">
        <v>-379.83800000000002</v>
      </c>
      <c r="K3005">
        <v>1.108806</v>
      </c>
      <c r="L3005">
        <v>283.87299999999999</v>
      </c>
      <c r="M3005">
        <v>-0.99973109999999998</v>
      </c>
      <c r="N3005">
        <v>0</v>
      </c>
      <c r="O3005">
        <v>2.1175369999999999E-2</v>
      </c>
      <c r="P3005">
        <v>-0.98535450000000002</v>
      </c>
      <c r="Q3005">
        <v>0.1702823</v>
      </c>
      <c r="R3005">
        <v>-8.9768829999999997E-3</v>
      </c>
      <c r="S3005">
        <v>-3.0634160000000001</v>
      </c>
      <c r="T3005">
        <v>-9.206665E-2</v>
      </c>
      <c r="U3005">
        <v>0.31350709999999998</v>
      </c>
      <c r="V3005">
        <v>-2.9600459999999999E-2</v>
      </c>
      <c r="W3005">
        <v>0.17963209999999999</v>
      </c>
      <c r="X3005">
        <v>0.98328839999999995</v>
      </c>
      <c r="Y3005">
        <v>8.0691639999999995E-2</v>
      </c>
      <c r="Z3005">
        <v>5.7469019999999995E-4</v>
      </c>
      <c r="AA3005">
        <v>0.99673900000000004</v>
      </c>
      <c r="AB3005">
        <v>46</v>
      </c>
      <c r="AC3005">
        <v>-36.619899999999902</v>
      </c>
      <c r="AD3005">
        <v>-1.1088029133049999</v>
      </c>
      <c r="AE3005">
        <v>3.7698999999999998</v>
      </c>
      <c r="AF3005">
        <v>2.99086678525937</v>
      </c>
      <c r="AG3005">
        <v>-1.1088029133049999</v>
      </c>
      <c r="AH3005">
        <v>36.658264989617301</v>
      </c>
      <c r="AI3005">
        <v>91.726763674011096</v>
      </c>
      <c r="AJ3005">
        <v>85.335695148862598</v>
      </c>
      <c r="AK3005">
        <v>36.796781382027497</v>
      </c>
      <c r="AL3005">
        <v>79.651668360001096</v>
      </c>
      <c r="AM3005">
        <v>91.724284956028697</v>
      </c>
      <c r="AN3005">
        <v>0.99999997807858998</v>
      </c>
    </row>
    <row r="3006" spans="1:40" x14ac:dyDescent="0.25">
      <c r="A3006" t="str">
        <f>"20190312172138220"</f>
        <v>20190312172138220</v>
      </c>
      <c r="B3006" t="str">
        <f>"1552382498213881"</f>
        <v>1552382498213881</v>
      </c>
      <c r="C3006" t="s">
        <v>40</v>
      </c>
      <c r="D3006">
        <v>3.0046719999999998</v>
      </c>
      <c r="E3006">
        <v>0.54314019999999996</v>
      </c>
      <c r="F3006" t="s">
        <v>47</v>
      </c>
      <c r="G3006">
        <v>-416.65589999999997</v>
      </c>
      <c r="H3006" s="1">
        <v>3.120215E-6</v>
      </c>
      <c r="I3006">
        <v>287.66109999999998</v>
      </c>
      <c r="J3006">
        <v>-380.13679999999999</v>
      </c>
      <c r="K3006">
        <v>1.108806</v>
      </c>
      <c r="L3006">
        <v>283.87950000000001</v>
      </c>
      <c r="M3006">
        <v>-0.99972490000000003</v>
      </c>
      <c r="N3006">
        <v>0</v>
      </c>
      <c r="O3006">
        <v>2.146317E-2</v>
      </c>
      <c r="P3006">
        <v>-0.9853172</v>
      </c>
      <c r="Q3006">
        <v>0.1704987</v>
      </c>
      <c r="R3006">
        <v>-8.9727360000000003E-3</v>
      </c>
      <c r="S3006">
        <v>-3.0634160000000001</v>
      </c>
      <c r="T3006">
        <v>-9.225738E-2</v>
      </c>
      <c r="U3006">
        <v>0.31518550000000001</v>
      </c>
      <c r="V3006">
        <v>-2.9878189999999999E-2</v>
      </c>
      <c r="W3006">
        <v>0.1798563</v>
      </c>
      <c r="X3006">
        <v>0.98323910000000003</v>
      </c>
      <c r="Y3006">
        <v>8.0945039999999996E-2</v>
      </c>
      <c r="Z3006">
        <v>5.7103310000000001E-4</v>
      </c>
      <c r="AA3006">
        <v>0.9967184</v>
      </c>
      <c r="AB3006">
        <v>46</v>
      </c>
      <c r="AC3006">
        <v>-36.519099999999902</v>
      </c>
      <c r="AD3006">
        <v>-1.108802879785</v>
      </c>
      <c r="AE3006">
        <v>3.7815999999999601</v>
      </c>
      <c r="AF3006">
        <v>2.9941471546798</v>
      </c>
      <c r="AG3006">
        <v>-1.108802879785</v>
      </c>
      <c r="AH3006">
        <v>36.5585108904611</v>
      </c>
      <c r="AI3006">
        <v>91.731428542078604</v>
      </c>
      <c r="AJ3006">
        <v>85.317917548802797</v>
      </c>
      <c r="AK3006">
        <v>36.697671309472199</v>
      </c>
      <c r="AL3006">
        <v>79.638610841024303</v>
      </c>
      <c r="AM3006">
        <v>91.740540583359405</v>
      </c>
      <c r="AN3006">
        <v>1.0000000613280799</v>
      </c>
    </row>
    <row r="3007" spans="1:40" x14ac:dyDescent="0.25">
      <c r="A3007" t="str">
        <f>"20190312172138243"</f>
        <v>20190312172138243</v>
      </c>
      <c r="B3007" t="str">
        <f>"1552382498233402"</f>
        <v>1552382498233402</v>
      </c>
      <c r="C3007" t="s">
        <v>40</v>
      </c>
      <c r="D3007">
        <v>3.0333209999999999</v>
      </c>
      <c r="E3007">
        <v>0.54320900000000005</v>
      </c>
      <c r="F3007" t="s">
        <v>47</v>
      </c>
      <c r="G3007">
        <v>-417.11369999999999</v>
      </c>
      <c r="H3007" s="1">
        <v>3.19881E-6</v>
      </c>
      <c r="I3007">
        <v>287.6909</v>
      </c>
      <c r="J3007">
        <v>-380.59179999999998</v>
      </c>
      <c r="K3007">
        <v>1.1088039999999999</v>
      </c>
      <c r="L3007">
        <v>283.88959999999997</v>
      </c>
      <c r="M3007">
        <v>-0.99971509999999997</v>
      </c>
      <c r="N3007">
        <v>0</v>
      </c>
      <c r="O3007">
        <v>2.1900860000000001E-2</v>
      </c>
      <c r="P3007">
        <v>-0.98532839999999999</v>
      </c>
      <c r="Q3007">
        <v>0.17043749999999999</v>
      </c>
      <c r="R3007">
        <v>-8.8739890000000005E-3</v>
      </c>
      <c r="S3007">
        <v>-3.0634769999999998</v>
      </c>
      <c r="T3007">
        <v>-9.1862680000000002E-2</v>
      </c>
      <c r="U3007">
        <v>0.31576539999999997</v>
      </c>
      <c r="V3007">
        <v>-3.021041E-2</v>
      </c>
      <c r="W3007">
        <v>0.17980750000000001</v>
      </c>
      <c r="X3007">
        <v>0.98323780000000005</v>
      </c>
      <c r="Y3007">
        <v>8.0693829999999994E-2</v>
      </c>
      <c r="Z3007">
        <v>5.5174059999999999E-4</v>
      </c>
      <c r="AA3007">
        <v>0.99673880000000004</v>
      </c>
      <c r="AB3007">
        <v>46</v>
      </c>
      <c r="AC3007">
        <v>-36.521900000000002</v>
      </c>
      <c r="AD3007">
        <v>-1.1088008011899999</v>
      </c>
      <c r="AE3007">
        <v>3.8013000000000199</v>
      </c>
      <c r="AF3007">
        <v>2.9977576335948899</v>
      </c>
      <c r="AG3007">
        <v>-1.1088008011899999</v>
      </c>
      <c r="AH3007">
        <v>36.563055002625902</v>
      </c>
      <c r="AI3007">
        <v>91.731197771974493</v>
      </c>
      <c r="AJ3007">
        <v>85.312876825919901</v>
      </c>
      <c r="AK3007">
        <v>36.702492846829102</v>
      </c>
      <c r="AL3007">
        <v>79.641452451799594</v>
      </c>
      <c r="AM3007">
        <v>91.759884132596397</v>
      </c>
      <c r="AN3007">
        <v>0.99999998863872896</v>
      </c>
    </row>
    <row r="3008" spans="1:40" x14ac:dyDescent="0.25">
      <c r="A3008" t="str">
        <f>"20190312172138255"</f>
        <v>20190312172138255</v>
      </c>
      <c r="B3008" t="str">
        <f>"1552382498244138"</f>
        <v>1552382498244138</v>
      </c>
      <c r="C3008" t="s">
        <v>40</v>
      </c>
      <c r="D3008">
        <v>3.0138229999999999</v>
      </c>
      <c r="E3008">
        <v>0.54328409999999905</v>
      </c>
      <c r="F3008" t="s">
        <v>47</v>
      </c>
      <c r="G3008">
        <v>-417.21210000000002</v>
      </c>
      <c r="H3008" s="1">
        <v>3.217719E-6</v>
      </c>
      <c r="I3008">
        <v>287.67430000000002</v>
      </c>
      <c r="J3008">
        <v>-380.85480000000001</v>
      </c>
      <c r="K3008">
        <v>1.1088020000000001</v>
      </c>
      <c r="L3008">
        <v>283.89550000000003</v>
      </c>
      <c r="M3008">
        <v>-0.99970950000000003</v>
      </c>
      <c r="N3008">
        <v>0</v>
      </c>
      <c r="O3008">
        <v>2.2154030000000002E-2</v>
      </c>
      <c r="P3008">
        <v>-0.98532430000000004</v>
      </c>
      <c r="Q3008">
        <v>0.17045260000000001</v>
      </c>
      <c r="R3008">
        <v>-9.0511370000000008E-3</v>
      </c>
      <c r="S3008">
        <v>-3.063599</v>
      </c>
      <c r="T3008">
        <v>-9.2760560000000006E-2</v>
      </c>
      <c r="U3008">
        <v>0.31661990000000001</v>
      </c>
      <c r="V3008">
        <v>-3.0636449999999999E-2</v>
      </c>
      <c r="W3008">
        <v>0.1798305</v>
      </c>
      <c r="X3008">
        <v>0.98322050000000005</v>
      </c>
      <c r="Y3008">
        <v>8.0712039999999999E-2</v>
      </c>
      <c r="Z3008">
        <v>5.4973839999999995E-4</v>
      </c>
      <c r="AA3008">
        <v>0.99673730000000005</v>
      </c>
      <c r="AB3008">
        <v>46</v>
      </c>
      <c r="AC3008">
        <v>-36.357300000000002</v>
      </c>
      <c r="AD3008">
        <v>-1.1087987822809999</v>
      </c>
      <c r="AE3008">
        <v>3.77879999999998</v>
      </c>
      <c r="AF3008">
        <v>2.9696429739138899</v>
      </c>
      <c r="AG3008">
        <v>-1.1087987822809999</v>
      </c>
      <c r="AH3008">
        <v>36.3986034549593</v>
      </c>
      <c r="AI3008">
        <v>91.739068253065298</v>
      </c>
      <c r="AJ3008">
        <v>85.335755509487498</v>
      </c>
      <c r="AK3008">
        <v>36.536372939900303</v>
      </c>
      <c r="AL3008">
        <v>79.640113729590595</v>
      </c>
      <c r="AM3008">
        <v>91.784718207128904</v>
      </c>
      <c r="AN3008">
        <v>1.00000007620954</v>
      </c>
    </row>
    <row r="3009" spans="1:40" x14ac:dyDescent="0.25">
      <c r="A3009" t="str">
        <f>"20190312172138267"</f>
        <v>20190312172138267</v>
      </c>
      <c r="B3009" t="str">
        <f>"1552382498263658"</f>
        <v>1552382498263658</v>
      </c>
      <c r="C3009" t="s">
        <v>40</v>
      </c>
      <c r="D3009">
        <v>3.009204</v>
      </c>
      <c r="E3009">
        <v>0.54339499999999996</v>
      </c>
      <c r="F3009" t="s">
        <v>47</v>
      </c>
      <c r="G3009">
        <v>-417.28309999999999</v>
      </c>
      <c r="H3009" s="1">
        <v>3.2313599999999998E-6</v>
      </c>
      <c r="I3009">
        <v>287.66239999999999</v>
      </c>
      <c r="J3009">
        <v>-381.09570000000002</v>
      </c>
      <c r="K3009">
        <v>1.1088009999999999</v>
      </c>
      <c r="L3009">
        <v>283.90100000000001</v>
      </c>
      <c r="M3009">
        <v>-0.9997045</v>
      </c>
      <c r="N3009">
        <v>0</v>
      </c>
      <c r="O3009">
        <v>2.238557E-2</v>
      </c>
      <c r="P3009">
        <v>-0.98532640000000005</v>
      </c>
      <c r="Q3009">
        <v>0.1704476</v>
      </c>
      <c r="R3009">
        <v>-8.9411209999999998E-3</v>
      </c>
      <c r="S3009">
        <v>-3.0637509999999999</v>
      </c>
      <c r="T3009">
        <v>-9.3253970000000005E-2</v>
      </c>
      <c r="U3009">
        <v>0.316803</v>
      </c>
      <c r="V3009">
        <v>-3.0754119999999999E-2</v>
      </c>
      <c r="W3009">
        <v>0.179832299999999</v>
      </c>
      <c r="X3009">
        <v>0.98321639999999999</v>
      </c>
      <c r="Y3009">
        <v>8.0534960000000003E-2</v>
      </c>
      <c r="Z3009">
        <v>5.4292290000000003E-4</v>
      </c>
      <c r="AA3009">
        <v>0.99675170000000002</v>
      </c>
      <c r="AB3009">
        <v>46</v>
      </c>
      <c r="AC3009">
        <v>-36.187399999999897</v>
      </c>
      <c r="AD3009">
        <v>-1.1087977686399999</v>
      </c>
      <c r="AE3009">
        <v>3.7613999999999801</v>
      </c>
      <c r="AF3009">
        <v>2.9476076595507399</v>
      </c>
      <c r="AG3009">
        <v>-1.1087977686399999</v>
      </c>
      <c r="AH3009">
        <v>36.228886462064501</v>
      </c>
      <c r="AI3009">
        <v>91.747240360746304</v>
      </c>
      <c r="AJ3009">
        <v>85.348620432347502</v>
      </c>
      <c r="AK3009">
        <v>36.365506151950399</v>
      </c>
      <c r="AL3009">
        <v>79.640007886816093</v>
      </c>
      <c r="AM3009">
        <v>91.791576048746506</v>
      </c>
      <c r="AN3009">
        <v>0.99999998062461104</v>
      </c>
    </row>
    <row r="3010" spans="1:40" x14ac:dyDescent="0.25">
      <c r="A3010" t="str">
        <f>"20190312172138278"</f>
        <v>20190312172138278</v>
      </c>
      <c r="B3010" t="str">
        <f>"1552382498273418"</f>
        <v>1552382498273418</v>
      </c>
      <c r="C3010" t="s">
        <v>40</v>
      </c>
      <c r="D3010">
        <v>3.0091809999999999</v>
      </c>
      <c r="E3010">
        <v>0.54339499999999996</v>
      </c>
      <c r="F3010" t="s">
        <v>47</v>
      </c>
      <c r="G3010">
        <v>-417.16219999999998</v>
      </c>
      <c r="H3010" s="1">
        <v>3.2114869999999999E-6</v>
      </c>
      <c r="I3010">
        <v>287.64429999999999</v>
      </c>
      <c r="J3010">
        <v>-381.334</v>
      </c>
      <c r="K3010">
        <v>1.1087990000000001</v>
      </c>
      <c r="L3010">
        <v>283.90649999999999</v>
      </c>
      <c r="M3010">
        <v>-0.99969920000000001</v>
      </c>
      <c r="N3010">
        <v>0</v>
      </c>
      <c r="O3010">
        <v>2.2614539999999999E-2</v>
      </c>
      <c r="P3010">
        <v>-0.98532129999999996</v>
      </c>
      <c r="Q3010">
        <v>0.17046559999999999</v>
      </c>
      <c r="R3010">
        <v>-9.1279670000000007E-3</v>
      </c>
      <c r="S3010">
        <v>-3.0638429999999999</v>
      </c>
      <c r="T3010">
        <v>-9.4192390000000001E-2</v>
      </c>
      <c r="U3010">
        <v>0.31799319999999998</v>
      </c>
      <c r="V3010">
        <v>-3.1166550000000001E-2</v>
      </c>
      <c r="W3010">
        <v>0.17985670000000001</v>
      </c>
      <c r="X3010">
        <v>0.98319889999999999</v>
      </c>
      <c r="Y3010">
        <v>8.06862E-2</v>
      </c>
      <c r="Z3010">
        <v>5.4366150000000003E-4</v>
      </c>
      <c r="AA3010">
        <v>0.99673940000000005</v>
      </c>
      <c r="AB3010">
        <v>46</v>
      </c>
      <c r="AC3010">
        <v>-35.828199999999903</v>
      </c>
      <c r="AD3010">
        <v>-1.10879578851299</v>
      </c>
      <c r="AE3010">
        <v>3.7377999999999898</v>
      </c>
      <c r="AF3010">
        <v>2.9237991156679501</v>
      </c>
      <c r="AG3010">
        <v>-1.10879578851299</v>
      </c>
      <c r="AH3010">
        <v>35.869584561720401</v>
      </c>
      <c r="AI3010">
        <v>91.764706547727997</v>
      </c>
      <c r="AJ3010">
        <v>85.340012750282199</v>
      </c>
      <c r="AK3010">
        <v>36.005626310339501</v>
      </c>
      <c r="AL3010">
        <v>79.638586184479905</v>
      </c>
      <c r="AM3010">
        <v>91.815618408626904</v>
      </c>
      <c r="AN3010">
        <v>0.99999993166749801</v>
      </c>
    </row>
    <row r="3011" spans="1:40" x14ac:dyDescent="0.25">
      <c r="A3011" t="str">
        <f>"20190312172138290"</f>
        <v>20190312172138290</v>
      </c>
      <c r="B3011" t="str">
        <f>"1552382498284154"</f>
        <v>1552382498284154</v>
      </c>
      <c r="C3011" t="s">
        <v>40</v>
      </c>
      <c r="D3011">
        <v>3.0622210000000001</v>
      </c>
      <c r="E3011">
        <v>0.54239519999999997</v>
      </c>
      <c r="F3011" t="s">
        <v>47</v>
      </c>
      <c r="G3011">
        <v>-417.46640000000002</v>
      </c>
      <c r="H3011" s="1">
        <v>3.2647880000000002E-6</v>
      </c>
      <c r="I3011">
        <v>287.65190000000001</v>
      </c>
      <c r="J3011">
        <v>-381.57929999999999</v>
      </c>
      <c r="K3011">
        <v>1.1087990000000001</v>
      </c>
      <c r="L3011">
        <v>283.91219999999998</v>
      </c>
      <c r="M3011">
        <v>-0.99969379999999997</v>
      </c>
      <c r="N3011">
        <v>0</v>
      </c>
      <c r="O3011">
        <v>2.2849830000000002E-2</v>
      </c>
      <c r="P3011">
        <v>-0.98527509999999996</v>
      </c>
      <c r="Q3011">
        <v>0.17072799999999999</v>
      </c>
      <c r="R3011">
        <v>-9.2200979999999995E-3</v>
      </c>
      <c r="S3011">
        <v>-3.063904</v>
      </c>
      <c r="T3011">
        <v>-9.4022040000000001E-2</v>
      </c>
      <c r="U3011">
        <v>0.3175964</v>
      </c>
      <c r="V3011">
        <v>-3.1488460000000003E-2</v>
      </c>
      <c r="W3011">
        <v>0.18012549999999999</v>
      </c>
      <c r="X3011">
        <v>0.98313950000000006</v>
      </c>
      <c r="Y3011">
        <v>8.0322260000000006E-2</v>
      </c>
      <c r="Z3011">
        <v>5.2990920000000003E-4</v>
      </c>
      <c r="AA3011">
        <v>0.99676880000000001</v>
      </c>
      <c r="AB3011">
        <v>46</v>
      </c>
      <c r="AC3011">
        <v>-35.887099999999997</v>
      </c>
      <c r="AD3011">
        <v>-1.1087957352119999</v>
      </c>
      <c r="AE3011">
        <v>3.73970000000002</v>
      </c>
      <c r="AF3011">
        <v>2.91591872725951</v>
      </c>
      <c r="AG3011">
        <v>-1.1087957352119999</v>
      </c>
      <c r="AH3011">
        <v>35.929254698413402</v>
      </c>
      <c r="AI3011">
        <v>91.761828005919199</v>
      </c>
      <c r="AJ3011">
        <v>85.360202178846095</v>
      </c>
      <c r="AK3011">
        <v>36.064433354620597</v>
      </c>
      <c r="AL3011">
        <v>79.622930066939702</v>
      </c>
      <c r="AM3011">
        <v>91.834469397035306</v>
      </c>
      <c r="AN3011">
        <v>0.99999999766183501</v>
      </c>
    </row>
    <row r="3012" spans="1:40" x14ac:dyDescent="0.25">
      <c r="A3012" t="str">
        <f>"20190312172138302"</f>
        <v>20190312172138302</v>
      </c>
      <c r="B3012" t="str">
        <f>"1552382498293914"</f>
        <v>1552382498293914</v>
      </c>
      <c r="C3012" t="s">
        <v>40</v>
      </c>
      <c r="D3012">
        <v>3.0883080000000001</v>
      </c>
      <c r="E3012">
        <v>0.54239519999999997</v>
      </c>
      <c r="F3012" t="s">
        <v>47</v>
      </c>
      <c r="G3012">
        <v>-417.8449</v>
      </c>
      <c r="H3012" s="1">
        <v>3.338858E-6</v>
      </c>
      <c r="I3012">
        <v>287.5727</v>
      </c>
      <c r="J3012">
        <v>-381.82850000000002</v>
      </c>
      <c r="K3012">
        <v>1.1087990000000001</v>
      </c>
      <c r="L3012">
        <v>283.91800000000001</v>
      </c>
      <c r="M3012">
        <v>-0.99968809999999997</v>
      </c>
      <c r="N3012">
        <v>0</v>
      </c>
      <c r="O3012">
        <v>2.3089120000000001E-2</v>
      </c>
      <c r="P3012">
        <v>-0.98528839999999995</v>
      </c>
      <c r="Q3012">
        <v>0.17063639999999999</v>
      </c>
      <c r="R3012">
        <v>-9.4765679999999995E-3</v>
      </c>
      <c r="S3012">
        <v>-3.0639949999999998</v>
      </c>
      <c r="T3012">
        <v>-9.3679429999999994E-2</v>
      </c>
      <c r="U3012">
        <v>0.30926510000000001</v>
      </c>
      <c r="V3012">
        <v>-3.1980729999999999E-2</v>
      </c>
      <c r="W3012">
        <v>0.18004110000000001</v>
      </c>
      <c r="X3012">
        <v>0.98313910000000004</v>
      </c>
      <c r="Y3012">
        <v>7.7399659999999995E-2</v>
      </c>
      <c r="Z3012">
        <v>4.7618569999999998E-4</v>
      </c>
      <c r="AA3012">
        <v>0.997</v>
      </c>
      <c r="AB3012">
        <v>46</v>
      </c>
      <c r="AC3012">
        <v>-36.016399999999898</v>
      </c>
      <c r="AD3012">
        <v>-1.10879566114199</v>
      </c>
      <c r="AE3012">
        <v>3.6546999999999898</v>
      </c>
      <c r="AF3012">
        <v>2.8194559969308202</v>
      </c>
      <c r="AG3012">
        <v>-1.10879566114199</v>
      </c>
      <c r="AH3012">
        <v>36.057359428906501</v>
      </c>
      <c r="AI3012">
        <v>91.755984093294003</v>
      </c>
      <c r="AJ3012">
        <v>85.528932328460002</v>
      </c>
      <c r="AK3012">
        <v>36.184415553137697</v>
      </c>
      <c r="AL3012">
        <v>79.627846514355298</v>
      </c>
      <c r="AM3012">
        <v>91.863128992827697</v>
      </c>
      <c r="AN3012">
        <v>1.0000000273646701</v>
      </c>
    </row>
    <row r="3013" spans="1:40" x14ac:dyDescent="0.25">
      <c r="A3013" t="str">
        <f>"20190312172138314"</f>
        <v>20190312172138314</v>
      </c>
      <c r="B3013" t="str">
        <f>"1552382498303674"</f>
        <v>1552382498303674</v>
      </c>
      <c r="C3013" t="s">
        <v>40</v>
      </c>
      <c r="D3013">
        <v>3.0132639999999999</v>
      </c>
      <c r="E3013">
        <v>0.49517040000000001</v>
      </c>
      <c r="F3013" t="s">
        <v>47</v>
      </c>
      <c r="G3013">
        <v>-418.02499999999998</v>
      </c>
      <c r="H3013" s="1">
        <v>3.3712509999999999E-6</v>
      </c>
      <c r="I3013">
        <v>287.5675</v>
      </c>
      <c r="J3013">
        <v>-382.07389999999998</v>
      </c>
      <c r="K3013">
        <v>1.1087990000000001</v>
      </c>
      <c r="L3013">
        <v>283.92380000000003</v>
      </c>
      <c r="M3013">
        <v>-0.99968279999999998</v>
      </c>
      <c r="N3013">
        <v>0</v>
      </c>
      <c r="O3013">
        <v>2.3324170000000002E-2</v>
      </c>
      <c r="P3013">
        <v>-0.98527849999999995</v>
      </c>
      <c r="Q3013">
        <v>0.17069300000000001</v>
      </c>
      <c r="R3013">
        <v>-9.5142549999999992E-3</v>
      </c>
      <c r="S3013">
        <v>-3.0639949999999998</v>
      </c>
      <c r="T3013">
        <v>-9.3858479999999994E-2</v>
      </c>
      <c r="U3013">
        <v>0.30892940000000002</v>
      </c>
      <c r="V3013">
        <v>-3.2249439999999997E-2</v>
      </c>
      <c r="W3013">
        <v>0.1801044</v>
      </c>
      <c r="X3013">
        <v>0.98311870000000001</v>
      </c>
      <c r="Y3013">
        <v>7.7057290000000001E-2</v>
      </c>
      <c r="Z3013">
        <v>4.6469350000000003E-4</v>
      </c>
      <c r="AA3013">
        <v>0.99702659999999999</v>
      </c>
      <c r="AB3013">
        <v>46</v>
      </c>
      <c r="AC3013">
        <v>-35.951099999999997</v>
      </c>
      <c r="AD3013">
        <v>-1.108795628749</v>
      </c>
      <c r="AE3013">
        <v>3.64369999999996</v>
      </c>
      <c r="AF3013">
        <v>2.8015034988678398</v>
      </c>
      <c r="AG3013">
        <v>-1.108795628749</v>
      </c>
      <c r="AH3013">
        <v>35.9924204781626</v>
      </c>
      <c r="AI3013">
        <v>91.759199033535097</v>
      </c>
      <c r="AJ3013">
        <v>85.549303357313406</v>
      </c>
      <c r="AK3013">
        <v>36.118308120361299</v>
      </c>
      <c r="AL3013">
        <v>79.624159130430897</v>
      </c>
      <c r="AM3013">
        <v>91.878811247996296</v>
      </c>
      <c r="AN3013">
        <v>0.99999999978468102</v>
      </c>
    </row>
    <row r="3014" spans="1:40" x14ac:dyDescent="0.25">
      <c r="A3014" t="str">
        <f>"20190312172138332"</f>
        <v>20190312172138332</v>
      </c>
      <c r="B3014" t="str">
        <f>"1552382498323460"</f>
        <v>1552382498323460</v>
      </c>
      <c r="C3014" t="s">
        <v>40</v>
      </c>
      <c r="D3014">
        <v>2.9572790000000002</v>
      </c>
      <c r="E3014">
        <v>0.48201840000000001</v>
      </c>
      <c r="F3014" t="s">
        <v>47</v>
      </c>
      <c r="G3014">
        <v>-430.47989999999999</v>
      </c>
      <c r="H3014" s="1">
        <v>2.584392E-6</v>
      </c>
      <c r="I3014">
        <v>282.84789999999998</v>
      </c>
      <c r="J3014">
        <v>-382.42239999999998</v>
      </c>
      <c r="K3014">
        <v>1.1087929999999999</v>
      </c>
      <c r="L3014">
        <v>283.93209999999999</v>
      </c>
      <c r="M3014">
        <v>-0.99967470000000003</v>
      </c>
      <c r="N3014">
        <v>0</v>
      </c>
      <c r="O3014">
        <v>2.3657850000000001E-2</v>
      </c>
      <c r="P3014">
        <v>-0.98525750000000001</v>
      </c>
      <c r="Q3014">
        <v>0.1707726</v>
      </c>
      <c r="R3014">
        <v>-1.022756E-2</v>
      </c>
      <c r="S3014">
        <v>-3.056305</v>
      </c>
      <c r="T3014">
        <v>-7.0008399999999998E-2</v>
      </c>
      <c r="U3014">
        <v>-6.7932129999999993E-2</v>
      </c>
      <c r="V3014">
        <v>-3.3290510000000002E-2</v>
      </c>
      <c r="W3014">
        <v>0.18019399999999999</v>
      </c>
      <c r="X3014">
        <v>0.98306760000000004</v>
      </c>
      <c r="Y3014">
        <v>-4.5850040000000002E-2</v>
      </c>
      <c r="Z3014">
        <v>-1.0667889999999901E-3</v>
      </c>
      <c r="AA3014">
        <v>0.99894769999999999</v>
      </c>
      <c r="AB3014">
        <v>46</v>
      </c>
      <c r="AC3014">
        <v>-48.057499999999997</v>
      </c>
      <c r="AD3014">
        <v>-1.108790415608</v>
      </c>
      <c r="AE3014">
        <v>-1.0842000000000001</v>
      </c>
      <c r="AF3014">
        <v>-2.2197042647476199</v>
      </c>
      <c r="AG3014">
        <v>-1.108790415608</v>
      </c>
      <c r="AH3014">
        <v>47.992862359430397</v>
      </c>
      <c r="AI3014">
        <v>91.322069683076293</v>
      </c>
      <c r="AJ3014">
        <v>92.6480837259612</v>
      </c>
      <c r="AK3014">
        <v>48.056959336394897</v>
      </c>
      <c r="AL3014">
        <v>79.618940262556904</v>
      </c>
      <c r="AM3014">
        <v>91.939517798397702</v>
      </c>
      <c r="AN3014">
        <v>1.0000000209309099</v>
      </c>
    </row>
    <row r="3015" spans="1:40" x14ac:dyDescent="0.25">
      <c r="A3015" t="str">
        <f>"20190312172138344"</f>
        <v>20190312172138344</v>
      </c>
      <c r="B3015" t="str">
        <f>"1552382498334197"</f>
        <v>1552382498334197</v>
      </c>
      <c r="C3015" t="s">
        <v>40</v>
      </c>
      <c r="D3015">
        <v>2.9766059999999999</v>
      </c>
      <c r="E3015">
        <v>0.47868889999999997</v>
      </c>
      <c r="F3015" t="s">
        <v>46</v>
      </c>
      <c r="G3015">
        <v>-452.90870000000001</v>
      </c>
      <c r="H3015" s="1">
        <v>2.174335E-7</v>
      </c>
      <c r="I3015">
        <v>279.89490000000001</v>
      </c>
      <c r="J3015">
        <v>-382.6866</v>
      </c>
      <c r="K3015">
        <v>1.1087929999999999</v>
      </c>
      <c r="L3015">
        <v>283.93849999999998</v>
      </c>
      <c r="M3015">
        <v>-0.99966869999999997</v>
      </c>
      <c r="N3015">
        <v>0</v>
      </c>
      <c r="O3015">
        <v>2.3910669999999998E-2</v>
      </c>
      <c r="P3015">
        <v>-0.98523229999999995</v>
      </c>
      <c r="Q3015">
        <v>0.1708963</v>
      </c>
      <c r="R3015">
        <v>-1.057312E-2</v>
      </c>
      <c r="S3015">
        <v>-3.0513919999999999</v>
      </c>
      <c r="T3015">
        <v>-4.8000340000000002E-2</v>
      </c>
      <c r="U3015">
        <v>-0.17477419999999999</v>
      </c>
      <c r="V3015">
        <v>-3.3884070000000002E-2</v>
      </c>
      <c r="W3015">
        <v>0.18032529999999999</v>
      </c>
      <c r="X3015">
        <v>0.98302319999999999</v>
      </c>
      <c r="Y3015">
        <v>-8.1026490000000007E-2</v>
      </c>
      <c r="Z3015">
        <v>-1.0125920000000001E-3</v>
      </c>
      <c r="AA3015">
        <v>0.99671140000000003</v>
      </c>
      <c r="AB3015">
        <v>46</v>
      </c>
      <c r="AC3015">
        <v>-70.222099999999998</v>
      </c>
      <c r="AD3015">
        <v>-1.1087927825665</v>
      </c>
      <c r="AE3015">
        <v>-4.0435999999999597</v>
      </c>
      <c r="AF3015">
        <v>-5.7201560719647002</v>
      </c>
      <c r="AG3015">
        <v>-1.1087927825665</v>
      </c>
      <c r="AH3015">
        <v>70.087915629016607</v>
      </c>
      <c r="AI3015">
        <v>90.903342206891793</v>
      </c>
      <c r="AJ3015">
        <v>94.665797454815205</v>
      </c>
      <c r="AK3015">
        <v>70.329691625532206</v>
      </c>
      <c r="AL3015">
        <v>79.611291589611994</v>
      </c>
      <c r="AM3015">
        <v>91.974160800944802</v>
      </c>
      <c r="AN3015">
        <v>0.99999997787904704</v>
      </c>
    </row>
    <row r="3016" spans="1:40" x14ac:dyDescent="0.25">
      <c r="A3016" t="str">
        <f>"20190312172138357"</f>
        <v>20190312172138357</v>
      </c>
      <c r="B3016" t="str">
        <f>"1552382498353716"</f>
        <v>1552382498353716</v>
      </c>
      <c r="C3016" t="s">
        <v>40</v>
      </c>
      <c r="D3016">
        <v>2.9817269999999998</v>
      </c>
      <c r="E3016">
        <v>0.47450599999999998</v>
      </c>
      <c r="F3016" t="s">
        <v>46</v>
      </c>
      <c r="G3016">
        <v>-459.91770000000002</v>
      </c>
      <c r="H3016">
        <v>8.0000269999999998E-2</v>
      </c>
      <c r="I3016">
        <v>278.81099999999998</v>
      </c>
      <c r="J3016">
        <v>-382.95119999999997</v>
      </c>
      <c r="K3016">
        <v>1.1087899999999999</v>
      </c>
      <c r="L3016">
        <v>283.94490000000002</v>
      </c>
      <c r="M3016">
        <v>-0.99966259999999996</v>
      </c>
      <c r="N3016">
        <v>0</v>
      </c>
      <c r="O3016">
        <v>2.4163480000000001E-2</v>
      </c>
      <c r="P3016">
        <v>-0.98518079999999997</v>
      </c>
      <c r="Q3016">
        <v>0.171179</v>
      </c>
      <c r="R3016">
        <v>-1.0820079999999999E-2</v>
      </c>
      <c r="S3016">
        <v>-3.0498660000000002</v>
      </c>
      <c r="T3016">
        <v>-4.0627120000000003E-2</v>
      </c>
      <c r="U3016">
        <v>-0.2024841</v>
      </c>
      <c r="V3016">
        <v>-3.4378600000000002E-2</v>
      </c>
      <c r="W3016">
        <v>0.1806152</v>
      </c>
      <c r="X3016">
        <v>0.98295279999999996</v>
      </c>
      <c r="Y3016">
        <v>-9.0327359999999995E-2</v>
      </c>
      <c r="Z3016">
        <v>-9.2250329999999997E-4</v>
      </c>
      <c r="AA3016">
        <v>0.99591169999999996</v>
      </c>
      <c r="AB3016">
        <v>46</v>
      </c>
      <c r="AC3016">
        <v>-76.966499999999996</v>
      </c>
      <c r="AD3016">
        <v>-1.02878973</v>
      </c>
      <c r="AE3016">
        <v>-5.1339000000000397</v>
      </c>
      <c r="AF3016">
        <v>-6.9910202575881204</v>
      </c>
      <c r="AG3016">
        <v>-1.02878973</v>
      </c>
      <c r="AH3016">
        <v>76.806304658334994</v>
      </c>
      <c r="AI3016">
        <v>90.764249199107795</v>
      </c>
      <c r="AJ3016">
        <v>95.200813065272499</v>
      </c>
      <c r="AK3016">
        <v>77.130676178933797</v>
      </c>
      <c r="AL3016">
        <v>79.594404206980897</v>
      </c>
      <c r="AM3016">
        <v>92.003093248452103</v>
      </c>
      <c r="AN3016">
        <v>0.99999997281841901</v>
      </c>
    </row>
    <row r="3017" spans="1:40" x14ac:dyDescent="0.25">
      <c r="A3017" t="str">
        <f>"20190312172138370"</f>
        <v>20190312172138370</v>
      </c>
      <c r="B3017" t="str">
        <f>"1552382498363476"</f>
        <v>1552382498363476</v>
      </c>
      <c r="C3017" t="s">
        <v>40</v>
      </c>
      <c r="D3017">
        <v>2.9258570000000002</v>
      </c>
      <c r="E3017">
        <v>0.47312080000000001</v>
      </c>
      <c r="F3017" t="s">
        <v>45</v>
      </c>
      <c r="G3017">
        <v>-472.24200000000002</v>
      </c>
      <c r="H3017">
        <v>8.0000299999999996E-2</v>
      </c>
      <c r="I3017">
        <v>277.017</v>
      </c>
      <c r="J3017">
        <v>-383.21199999999999</v>
      </c>
      <c r="K3017">
        <v>1.108789</v>
      </c>
      <c r="L3017">
        <v>283.95139999999998</v>
      </c>
      <c r="M3017">
        <v>-0.99965630000000005</v>
      </c>
      <c r="N3017">
        <v>0</v>
      </c>
      <c r="O3017">
        <v>2.441289E-2</v>
      </c>
      <c r="P3017">
        <v>-0.98513930000000005</v>
      </c>
      <c r="Q3017">
        <v>0.17138889999999901</v>
      </c>
      <c r="R3017">
        <v>-1.124082E-2</v>
      </c>
      <c r="S3017">
        <v>-3.0486759999999999</v>
      </c>
      <c r="T3017">
        <v>-3.5126209999999998E-2</v>
      </c>
      <c r="U3017">
        <v>-0.23654169999999999</v>
      </c>
      <c r="V3017">
        <v>-3.5043680000000001E-2</v>
      </c>
      <c r="W3017">
        <v>0.18083179999999999</v>
      </c>
      <c r="X3017">
        <v>0.98288949999999997</v>
      </c>
      <c r="Y3017">
        <v>-0.1016653</v>
      </c>
      <c r="Z3017">
        <v>-8.6569269999999996E-4</v>
      </c>
      <c r="AA3017">
        <v>0.99481830000000004</v>
      </c>
      <c r="AB3017">
        <v>46</v>
      </c>
      <c r="AC3017">
        <v>-89.029999999999902</v>
      </c>
      <c r="AD3017">
        <v>-1.02878869999999</v>
      </c>
      <c r="AE3017">
        <v>-6.9343999999999797</v>
      </c>
      <c r="AF3017">
        <v>-9.1047034822050108</v>
      </c>
      <c r="AG3017">
        <v>-1.02878869999999</v>
      </c>
      <c r="AH3017">
        <v>88.822377736914305</v>
      </c>
      <c r="AI3017">
        <v>90.660142205514006</v>
      </c>
      <c r="AJ3017">
        <v>95.852640563179904</v>
      </c>
      <c r="AK3017">
        <v>89.293722167502906</v>
      </c>
      <c r="AL3017">
        <v>79.581786292470099</v>
      </c>
      <c r="AM3017">
        <v>92.041943497634094</v>
      </c>
      <c r="AN3017">
        <v>0.99999998430471504</v>
      </c>
    </row>
    <row r="3018" spans="1:40" x14ac:dyDescent="0.25">
      <c r="A3018" t="str">
        <f>"20190312172138382"</f>
        <v>20190312172138382</v>
      </c>
      <c r="B3018" t="str">
        <f>"1552382498374212"</f>
        <v>1552382498374212</v>
      </c>
      <c r="C3018" t="s">
        <v>40</v>
      </c>
      <c r="D3018">
        <v>2.9378669999999998</v>
      </c>
      <c r="E3018">
        <v>0.4720509</v>
      </c>
      <c r="F3018" t="s">
        <v>45</v>
      </c>
      <c r="G3018">
        <v>-473.59230000000002</v>
      </c>
      <c r="H3018">
        <v>8.0000009999999996E-2</v>
      </c>
      <c r="I3018">
        <v>276.57470000000001</v>
      </c>
      <c r="J3018">
        <v>-383.47579999999999</v>
      </c>
      <c r="K3018">
        <v>1.108786</v>
      </c>
      <c r="L3018">
        <v>283.9579</v>
      </c>
      <c r="M3018">
        <v>-0.99965009999999999</v>
      </c>
      <c r="N3018">
        <v>0</v>
      </c>
      <c r="O3018">
        <v>2.4664740000000001E-2</v>
      </c>
      <c r="P3018">
        <v>-0.98511519999999997</v>
      </c>
      <c r="Q3018">
        <v>0.17151369999999999</v>
      </c>
      <c r="R3018">
        <v>-1.1457770000000001E-2</v>
      </c>
      <c r="S3018">
        <v>-3.0484619999999998</v>
      </c>
      <c r="T3018">
        <v>-3.4700269999999998E-2</v>
      </c>
      <c r="U3018">
        <v>-0.2488098</v>
      </c>
      <c r="V3018">
        <v>-3.550772E-2</v>
      </c>
      <c r="W3018">
        <v>0.18096409999999999</v>
      </c>
      <c r="X3018">
        <v>0.98284850000000001</v>
      </c>
      <c r="Y3018">
        <v>-0.1058986</v>
      </c>
      <c r="Z3018">
        <v>-8.8203849999999998E-4</v>
      </c>
      <c r="AA3018">
        <v>0.9943765</v>
      </c>
      <c r="AB3018">
        <v>46</v>
      </c>
      <c r="AC3018">
        <v>-90.116500000000002</v>
      </c>
      <c r="AD3018">
        <v>-1.02878599</v>
      </c>
      <c r="AE3018">
        <v>-7.38319999999998</v>
      </c>
      <c r="AF3018">
        <v>-9.6025120748503898</v>
      </c>
      <c r="AG3018">
        <v>-1.02878599</v>
      </c>
      <c r="AH3018">
        <v>89.8953312809235</v>
      </c>
      <c r="AI3018">
        <v>90.651970753892797</v>
      </c>
      <c r="AJ3018">
        <v>96.0971469710191</v>
      </c>
      <c r="AK3018">
        <v>90.412594392970803</v>
      </c>
      <c r="AL3018">
        <v>79.574078950715204</v>
      </c>
      <c r="AM3018">
        <v>92.0690453106333</v>
      </c>
      <c r="AN3018">
        <v>0.99999998881032903</v>
      </c>
    </row>
    <row r="3019" spans="1:40" x14ac:dyDescent="0.25">
      <c r="A3019" t="str">
        <f>"20190312172138393"</f>
        <v>20190312172138393</v>
      </c>
      <c r="B3019" t="str">
        <f>"1552382498383973"</f>
        <v>1552382498383973</v>
      </c>
      <c r="C3019" t="s">
        <v>40</v>
      </c>
      <c r="D3019">
        <v>2.9806949999999999</v>
      </c>
      <c r="E3019">
        <v>0.4713348</v>
      </c>
      <c r="F3019" t="s">
        <v>45</v>
      </c>
      <c r="G3019">
        <v>-479.09</v>
      </c>
      <c r="H3019">
        <v>8.0000089999999996E-2</v>
      </c>
      <c r="I3019">
        <v>275.8639</v>
      </c>
      <c r="J3019">
        <v>-383.71929999999998</v>
      </c>
      <c r="K3019">
        <v>1.1087929999999999</v>
      </c>
      <c r="L3019">
        <v>283.96409999999997</v>
      </c>
      <c r="M3019">
        <v>-0.99964430000000004</v>
      </c>
      <c r="N3019">
        <v>0</v>
      </c>
      <c r="O3019">
        <v>2.489628E-2</v>
      </c>
      <c r="P3019">
        <v>-0.98508269999999998</v>
      </c>
      <c r="Q3019">
        <v>0.17166239999999999</v>
      </c>
      <c r="R3019">
        <v>-1.2000429999999999E-2</v>
      </c>
      <c r="S3019">
        <v>-3.048035</v>
      </c>
      <c r="T3019">
        <v>-3.2796140000000001E-2</v>
      </c>
      <c r="U3019">
        <v>-0.25802609999999998</v>
      </c>
      <c r="V3019">
        <v>-3.6276660000000002E-2</v>
      </c>
      <c r="W3019">
        <v>0.18111930000000001</v>
      </c>
      <c r="X3019">
        <v>0.98279179999999999</v>
      </c>
      <c r="Y3019">
        <v>-0.109126399999999</v>
      </c>
      <c r="Z3019">
        <v>-8.5347679999999901E-4</v>
      </c>
      <c r="AA3019">
        <v>0.99402749999999995</v>
      </c>
      <c r="AB3019">
        <v>46</v>
      </c>
      <c r="AC3019">
        <v>-95.370699999999999</v>
      </c>
      <c r="AD3019">
        <v>-1.0287929099999999</v>
      </c>
      <c r="AE3019">
        <v>-8.1001999999999708</v>
      </c>
      <c r="AF3019">
        <v>-10.470963517171301</v>
      </c>
      <c r="AG3019">
        <v>-1.0287929099999999</v>
      </c>
      <c r="AH3019">
        <v>95.128471650901204</v>
      </c>
      <c r="AI3019">
        <v>90.615897220753695</v>
      </c>
      <c r="AJ3019">
        <v>96.281363952373496</v>
      </c>
      <c r="AK3019">
        <v>95.708545127725699</v>
      </c>
      <c r="AL3019">
        <v>79.565036926007707</v>
      </c>
      <c r="AM3019">
        <v>92.113933296328597</v>
      </c>
      <c r="AN3019">
        <v>0.99999995952024201</v>
      </c>
    </row>
    <row r="3020" spans="1:40" x14ac:dyDescent="0.25">
      <c r="A3020" t="str">
        <f>"20190312172138407"</f>
        <v>20190312172138407</v>
      </c>
      <c r="B3020" t="str">
        <f>"1552382498403493"</f>
        <v>1552382498403493</v>
      </c>
      <c r="C3020" t="s">
        <v>40</v>
      </c>
      <c r="D3020">
        <v>2.9878390000000001</v>
      </c>
      <c r="E3020">
        <v>0.46994039999999998</v>
      </c>
      <c r="F3020" t="s">
        <v>45</v>
      </c>
      <c r="G3020">
        <v>-489.69229999999999</v>
      </c>
      <c r="H3020" s="1">
        <v>1.764009E-6</v>
      </c>
      <c r="I3020">
        <v>274.7303</v>
      </c>
      <c r="J3020">
        <v>-383.97149999999999</v>
      </c>
      <c r="K3020">
        <v>1.1087929999999999</v>
      </c>
      <c r="L3020">
        <v>283.97050000000002</v>
      </c>
      <c r="M3020">
        <v>-0.99963829999999998</v>
      </c>
      <c r="N3020">
        <v>0</v>
      </c>
      <c r="O3020">
        <v>2.51358E-2</v>
      </c>
      <c r="P3020">
        <v>-0.98505229999999999</v>
      </c>
      <c r="Q3020">
        <v>0.1718083</v>
      </c>
      <c r="R3020">
        <v>-1.241509E-2</v>
      </c>
      <c r="S3020">
        <v>-3.0477599999999998</v>
      </c>
      <c r="T3020">
        <v>-3.1888600000000003E-2</v>
      </c>
      <c r="U3020">
        <v>-0.26556400000000002</v>
      </c>
      <c r="V3020">
        <v>-3.6926069999999998E-2</v>
      </c>
      <c r="W3020">
        <v>0.18127219999999999</v>
      </c>
      <c r="X3020">
        <v>0.98273940000000004</v>
      </c>
      <c r="Y3020">
        <v>-0.11181240000000001</v>
      </c>
      <c r="Z3020">
        <v>-8.4637619999999999E-4</v>
      </c>
      <c r="AA3020">
        <v>0.99372899999999997</v>
      </c>
      <c r="AB3020">
        <v>46</v>
      </c>
      <c r="AC3020">
        <v>-105.7208</v>
      </c>
      <c r="AD3020">
        <v>-1.1087912359909999</v>
      </c>
      <c r="AE3020">
        <v>-9.2402000000000104</v>
      </c>
      <c r="AF3020">
        <v>-11.893480346654201</v>
      </c>
      <c r="AG3020">
        <v>-1.1087912359909999</v>
      </c>
      <c r="AH3020">
        <v>105.44361308526101</v>
      </c>
      <c r="AI3020">
        <v>90.598674930235404</v>
      </c>
      <c r="AJ3020">
        <v>96.435460027149006</v>
      </c>
      <c r="AK3020">
        <v>106.118046689691</v>
      </c>
      <c r="AL3020">
        <v>79.556128706884707</v>
      </c>
      <c r="AM3020">
        <v>92.151855434066206</v>
      </c>
      <c r="AN3020">
        <v>0.99999993672541998</v>
      </c>
    </row>
    <row r="3021" spans="1:40" x14ac:dyDescent="0.25">
      <c r="A3021" t="str">
        <f>"20190312172138423"</f>
        <v>20190312172138423</v>
      </c>
      <c r="B3021" t="str">
        <f>"1552382498414229"</f>
        <v>1552382498414229</v>
      </c>
      <c r="C3021" t="s">
        <v>40</v>
      </c>
      <c r="D3021">
        <v>2.9611719999999999</v>
      </c>
      <c r="E3021">
        <v>0.4695512</v>
      </c>
      <c r="F3021" t="s">
        <v>45</v>
      </c>
      <c r="G3021">
        <v>-499.95780000000002</v>
      </c>
      <c r="H3021">
        <v>1.977959E-2</v>
      </c>
      <c r="I3021">
        <v>273.38869999999997</v>
      </c>
      <c r="J3021">
        <v>-384.29820000000001</v>
      </c>
      <c r="K3021">
        <v>1.1087929999999999</v>
      </c>
      <c r="L3021">
        <v>283.97890000000001</v>
      </c>
      <c r="M3021">
        <v>-0.99963020000000002</v>
      </c>
      <c r="N3021">
        <v>0</v>
      </c>
      <c r="O3021">
        <v>2.544534E-2</v>
      </c>
      <c r="P3021">
        <v>-0.98502489999999998</v>
      </c>
      <c r="Q3021">
        <v>0.17188429999999999</v>
      </c>
      <c r="R3021">
        <v>-1.347857E-2</v>
      </c>
      <c r="S3021">
        <v>-3.046967</v>
      </c>
      <c r="T3021">
        <v>-2.8608439999999999E-2</v>
      </c>
      <c r="U3021">
        <v>-0.27798460000000003</v>
      </c>
      <c r="V3021">
        <v>-3.8293269999999997E-2</v>
      </c>
      <c r="W3021">
        <v>0.18135850000000001</v>
      </c>
      <c r="X3021">
        <v>0.98267119999999997</v>
      </c>
      <c r="Y3021">
        <v>-0.1161616</v>
      </c>
      <c r="Z3021">
        <v>-7.8265819999999995E-4</v>
      </c>
      <c r="AA3021">
        <v>0.99322999999999995</v>
      </c>
      <c r="AB3021">
        <v>46</v>
      </c>
      <c r="AC3021">
        <v>-115.6596</v>
      </c>
      <c r="AD3021">
        <v>-1.08901341</v>
      </c>
      <c r="AE3021">
        <v>-10.590199999999999</v>
      </c>
      <c r="AF3021">
        <v>-13.528714550277201</v>
      </c>
      <c r="AG3021">
        <v>-1.08901341</v>
      </c>
      <c r="AH3021">
        <v>115.34252339516701</v>
      </c>
      <c r="AI3021">
        <v>90.537262685621499</v>
      </c>
      <c r="AJ3021">
        <v>96.6897503899622</v>
      </c>
      <c r="AK3021">
        <v>116.138321714905</v>
      </c>
      <c r="AL3021">
        <v>79.551101238439102</v>
      </c>
      <c r="AM3021">
        <v>92.231604202217497</v>
      </c>
      <c r="AN3021">
        <v>0.99999998367949094</v>
      </c>
    </row>
    <row r="3022" spans="1:40" x14ac:dyDescent="0.25">
      <c r="A3022" t="str">
        <f>"20190312172138444"</f>
        <v>20190312172138444</v>
      </c>
      <c r="B3022" t="str">
        <f>"1552382498433748"</f>
        <v>1552382498433748</v>
      </c>
      <c r="C3022" t="s">
        <v>40</v>
      </c>
      <c r="D3022">
        <v>2.9765470000000001</v>
      </c>
      <c r="E3022">
        <v>0.46891670000000002</v>
      </c>
      <c r="F3022" t="s">
        <v>45</v>
      </c>
      <c r="G3022">
        <v>-499.95780000000002</v>
      </c>
      <c r="H3022">
        <v>3.7286550000000002E-2</v>
      </c>
      <c r="I3022">
        <v>273.16849999999999</v>
      </c>
      <c r="J3022">
        <v>-384.73329999999999</v>
      </c>
      <c r="K3022">
        <v>1.1087940000000001</v>
      </c>
      <c r="L3022">
        <v>283.99020000000002</v>
      </c>
      <c r="M3022">
        <v>-0.99961979999999995</v>
      </c>
      <c r="N3022">
        <v>0</v>
      </c>
      <c r="O3022">
        <v>2.5852130000000001E-2</v>
      </c>
      <c r="P3022">
        <v>-0.98503640000000003</v>
      </c>
      <c r="Q3022">
        <v>0.17173350000000001</v>
      </c>
      <c r="R3022">
        <v>-1.4529729999999999E-2</v>
      </c>
      <c r="S3022">
        <v>-3.0466310000000001</v>
      </c>
      <c r="T3022">
        <v>-2.8224949999999999E-2</v>
      </c>
      <c r="U3022">
        <v>-0.2847595</v>
      </c>
      <c r="V3022">
        <v>-3.974544E-2</v>
      </c>
      <c r="W3022">
        <v>0.1812201</v>
      </c>
      <c r="X3022">
        <v>0.98263909999999999</v>
      </c>
      <c r="Y3022">
        <v>-0.1187653</v>
      </c>
      <c r="Z3022">
        <v>-7.8797100000000005E-4</v>
      </c>
      <c r="AA3022">
        <v>0.99292210000000003</v>
      </c>
      <c r="AB3022">
        <v>46</v>
      </c>
      <c r="AC3022">
        <v>-115.22450000000001</v>
      </c>
      <c r="AD3022">
        <v>-1.0715074499999999</v>
      </c>
      <c r="AE3022">
        <v>-10.8217</v>
      </c>
      <c r="AF3022">
        <v>-13.795835896298</v>
      </c>
      <c r="AG3022">
        <v>-1.0715074499999999</v>
      </c>
      <c r="AH3022">
        <v>114.896360002628</v>
      </c>
      <c r="AI3022">
        <v>90.530506642046404</v>
      </c>
      <c r="AJ3022">
        <v>96.846840190826796</v>
      </c>
      <c r="AK3022">
        <v>115.72660350216201</v>
      </c>
      <c r="AL3022">
        <v>79.559164892558002</v>
      </c>
      <c r="AM3022">
        <v>92.316216927561698</v>
      </c>
      <c r="AN3022">
        <v>1.0000000127468001</v>
      </c>
    </row>
    <row r="3023" spans="1:40" x14ac:dyDescent="0.25">
      <c r="A3023" t="str">
        <f>"20190312172138465"</f>
        <v>20190312172138465</v>
      </c>
      <c r="B3023" t="str">
        <f>"1552382498453268"</f>
        <v>1552382498453268</v>
      </c>
      <c r="C3023" t="s">
        <v>40</v>
      </c>
      <c r="D3023">
        <v>2.9906169999999999</v>
      </c>
      <c r="E3023">
        <v>0.4683718</v>
      </c>
      <c r="F3023" t="s">
        <v>48</v>
      </c>
      <c r="G3023">
        <v>-455.0951</v>
      </c>
      <c r="H3023">
        <v>0.44004870000000001</v>
      </c>
      <c r="I3023">
        <v>277.21699999999998</v>
      </c>
      <c r="J3023">
        <v>-385.1807</v>
      </c>
      <c r="K3023">
        <v>1.1087899999999999</v>
      </c>
      <c r="L3023">
        <v>284.00209999999998</v>
      </c>
      <c r="M3023">
        <v>-0.99960890000000002</v>
      </c>
      <c r="N3023">
        <v>0</v>
      </c>
      <c r="O3023">
        <v>2.626533E-2</v>
      </c>
      <c r="P3023">
        <v>-0.98500900000000002</v>
      </c>
      <c r="Q3023">
        <v>0.17181920000000001</v>
      </c>
      <c r="R3023">
        <v>-1.535163E-2</v>
      </c>
      <c r="S3023">
        <v>-3.046265</v>
      </c>
      <c r="T3023">
        <v>-2.894998E-2</v>
      </c>
      <c r="U3023">
        <v>-0.29324339999999999</v>
      </c>
      <c r="V3023">
        <v>-4.0974620000000003E-2</v>
      </c>
      <c r="W3023">
        <v>0.18131810000000001</v>
      </c>
      <c r="X3023">
        <v>0.98257050000000001</v>
      </c>
      <c r="Y3023">
        <v>-0.1219263</v>
      </c>
      <c r="Z3023">
        <v>-8.2710869999999895E-4</v>
      </c>
      <c r="AA3023">
        <v>0.99253880000000005</v>
      </c>
      <c r="AB3023">
        <v>46</v>
      </c>
      <c r="AC3023">
        <v>-69.914400000000001</v>
      </c>
      <c r="AD3023">
        <v>-0.66874129999999998</v>
      </c>
      <c r="AE3023">
        <v>-6.7850999999999999</v>
      </c>
      <c r="AF3023">
        <v>-8.6183872435041895</v>
      </c>
      <c r="AG3023">
        <v>-0.66874129999999998</v>
      </c>
      <c r="AH3023">
        <v>69.705738662093395</v>
      </c>
      <c r="AI3023">
        <v>90.545512571065998</v>
      </c>
      <c r="AJ3023">
        <v>97.048255575986801</v>
      </c>
      <c r="AK3023">
        <v>70.239688325286494</v>
      </c>
      <c r="AL3023">
        <v>79.553454974643799</v>
      </c>
      <c r="AM3023">
        <v>92.387933827405902</v>
      </c>
      <c r="AN3023">
        <v>0.999999980171002</v>
      </c>
    </row>
    <row r="3024" spans="1:40" x14ac:dyDescent="0.25">
      <c r="A3024" t="str">
        <f>"20190312172138479"</f>
        <v>20190312172138479</v>
      </c>
      <c r="B3024" t="str">
        <f>"1552382498473764"</f>
        <v>1552382498473764</v>
      </c>
      <c r="C3024" t="s">
        <v>40</v>
      </c>
      <c r="D3024">
        <v>2.9768590000000001</v>
      </c>
      <c r="E3024">
        <v>0.46791050000000001</v>
      </c>
      <c r="F3024" t="s">
        <v>48</v>
      </c>
      <c r="G3024">
        <v>-455.09449999999998</v>
      </c>
      <c r="H3024">
        <v>0.43719089999999999</v>
      </c>
      <c r="I3024">
        <v>277.1146</v>
      </c>
      <c r="J3024">
        <v>-385.47370000000001</v>
      </c>
      <c r="K3024">
        <v>1.108792</v>
      </c>
      <c r="L3024">
        <v>284.00990000000002</v>
      </c>
      <c r="M3024">
        <v>-0.99960190000000004</v>
      </c>
      <c r="N3024">
        <v>0</v>
      </c>
      <c r="O3024">
        <v>2.6532590000000002E-2</v>
      </c>
      <c r="P3024">
        <v>-0.98502529999999999</v>
      </c>
      <c r="Q3024">
        <v>0.17169579999999901</v>
      </c>
      <c r="R3024">
        <v>-1.5696229999999999E-2</v>
      </c>
      <c r="S3024">
        <v>-3.0460509999999998</v>
      </c>
      <c r="T3024">
        <v>-2.9257769999999999E-2</v>
      </c>
      <c r="U3024">
        <v>-0.30007929999999999</v>
      </c>
      <c r="V3024">
        <v>-4.1584120000000002E-2</v>
      </c>
      <c r="W3024">
        <v>0.18120230000000001</v>
      </c>
      <c r="X3024">
        <v>0.9825663</v>
      </c>
      <c r="Y3024">
        <v>-0.12440420000000001</v>
      </c>
      <c r="Z3024">
        <v>-8.5030479999999905E-4</v>
      </c>
      <c r="AA3024">
        <v>0.99223119999999998</v>
      </c>
      <c r="AB3024">
        <v>46</v>
      </c>
      <c r="AC3024">
        <v>-69.620799999999903</v>
      </c>
      <c r="AD3024">
        <v>-0.67160109999999995</v>
      </c>
      <c r="AE3024">
        <v>-6.8953000000000104</v>
      </c>
      <c r="AF3024">
        <v>-8.7393721044925492</v>
      </c>
      <c r="AG3024">
        <v>-0.67160109999999995</v>
      </c>
      <c r="AH3024">
        <v>69.406933072669304</v>
      </c>
      <c r="AI3024">
        <v>90.550049865625496</v>
      </c>
      <c r="AJ3024">
        <v>97.176628090138905</v>
      </c>
      <c r="AK3024">
        <v>69.958202030728998</v>
      </c>
      <c r="AL3024">
        <v>79.560202036995307</v>
      </c>
      <c r="AM3024">
        <v>92.423422797672004</v>
      </c>
      <c r="AN3024">
        <v>1.00000002322857</v>
      </c>
    </row>
    <row r="3025" spans="1:40" x14ac:dyDescent="0.25">
      <c r="A3025" t="str">
        <f>"20190312172138491"</f>
        <v>20190312172138491</v>
      </c>
      <c r="B3025" t="str">
        <f>"1552382498483525"</f>
        <v>1552382498483525</v>
      </c>
      <c r="C3025" t="s">
        <v>40</v>
      </c>
      <c r="D3025">
        <v>2.9961419999999999</v>
      </c>
      <c r="E3025">
        <v>0.46779399999999999</v>
      </c>
      <c r="F3025" t="s">
        <v>48</v>
      </c>
      <c r="G3025">
        <v>-455.09500000000003</v>
      </c>
      <c r="H3025">
        <v>0.43948540000000003</v>
      </c>
      <c r="I3025">
        <v>277.04129999999998</v>
      </c>
      <c r="J3025">
        <v>-385.72500000000002</v>
      </c>
      <c r="K3025">
        <v>1.1087990000000001</v>
      </c>
      <c r="L3025">
        <v>284.01670000000001</v>
      </c>
      <c r="M3025">
        <v>-0.99959580000000003</v>
      </c>
      <c r="N3025">
        <v>0</v>
      </c>
      <c r="O3025">
        <v>2.6757530000000002E-2</v>
      </c>
      <c r="P3025">
        <v>-0.98499139999999996</v>
      </c>
      <c r="Q3025">
        <v>0.17185400000000001</v>
      </c>
      <c r="R3025">
        <v>-1.6076679999999999E-2</v>
      </c>
      <c r="S3025">
        <v>-3.045868</v>
      </c>
      <c r="T3025">
        <v>-2.9278640000000002E-2</v>
      </c>
      <c r="U3025">
        <v>-0.30487059999999999</v>
      </c>
      <c r="V3025">
        <v>-4.218628E-2</v>
      </c>
      <c r="W3025">
        <v>0.1813669</v>
      </c>
      <c r="X3025">
        <v>0.98251029999999995</v>
      </c>
      <c r="Y3025">
        <v>-0.1261786</v>
      </c>
      <c r="Z3025">
        <v>-8.6156190000000004E-4</v>
      </c>
      <c r="AA3025">
        <v>0.99200719999999998</v>
      </c>
      <c r="AB3025">
        <v>46</v>
      </c>
      <c r="AC3025">
        <v>-69.37</v>
      </c>
      <c r="AD3025">
        <v>-0.66931359999999895</v>
      </c>
      <c r="AE3025">
        <v>-6.9754000000000298</v>
      </c>
      <c r="AF3025">
        <v>-8.8283441190362097</v>
      </c>
      <c r="AG3025">
        <v>-0.66931359999999895</v>
      </c>
      <c r="AH3025">
        <v>69.152133790139104</v>
      </c>
      <c r="AI3025">
        <v>90.550076020542804</v>
      </c>
      <c r="AJ3025">
        <v>97.2753409638634</v>
      </c>
      <c r="AK3025">
        <v>69.7166066895727</v>
      </c>
      <c r="AL3025">
        <v>79.550612666673302</v>
      </c>
      <c r="AM3025">
        <v>92.4586124410948</v>
      </c>
      <c r="AN3025">
        <v>1.0000000621209599</v>
      </c>
    </row>
    <row r="3026" spans="1:40" x14ac:dyDescent="0.25">
      <c r="A3026" t="str">
        <f>"20190312172138504"</f>
        <v>20190312172138504</v>
      </c>
      <c r="B3026" t="str">
        <f>"1552382498494261"</f>
        <v>1552382498494261</v>
      </c>
      <c r="C3026" t="s">
        <v>40</v>
      </c>
      <c r="D3026">
        <v>3.0079449999999999</v>
      </c>
      <c r="E3026">
        <v>0.46769830000000001</v>
      </c>
      <c r="F3026" t="s">
        <v>48</v>
      </c>
      <c r="G3026">
        <v>-455.09609999999998</v>
      </c>
      <c r="H3026">
        <v>0.44445400000000002</v>
      </c>
      <c r="I3026">
        <v>277.02289999999999</v>
      </c>
      <c r="J3026">
        <v>-385.99040000000002</v>
      </c>
      <c r="K3026">
        <v>1.108803</v>
      </c>
      <c r="L3026">
        <v>284.024</v>
      </c>
      <c r="M3026">
        <v>-0.99958939999999996</v>
      </c>
      <c r="N3026">
        <v>0</v>
      </c>
      <c r="O3026">
        <v>2.6991939999999999E-2</v>
      </c>
      <c r="P3026">
        <v>-0.98500350000000003</v>
      </c>
      <c r="Q3026">
        <v>0.17178499999999999</v>
      </c>
      <c r="R3026">
        <v>-1.6059489999999999E-2</v>
      </c>
      <c r="S3026">
        <v>-3.045776</v>
      </c>
      <c r="T3026">
        <v>-2.9165509999999999E-2</v>
      </c>
      <c r="U3026">
        <v>-0.3070679</v>
      </c>
      <c r="V3026">
        <v>-4.2402750000000003E-2</v>
      </c>
      <c r="W3026">
        <v>0.18130450000000001</v>
      </c>
      <c r="X3026">
        <v>0.98251239999999995</v>
      </c>
      <c r="Y3026">
        <v>-0.1271226</v>
      </c>
      <c r="Z3026">
        <v>-8.6497669999999996E-4</v>
      </c>
      <c r="AA3026">
        <v>0.99188659999999995</v>
      </c>
      <c r="AB3026">
        <v>46</v>
      </c>
      <c r="AC3026">
        <v>-69.105699999999899</v>
      </c>
      <c r="AD3026">
        <v>-0.66434899999999997</v>
      </c>
      <c r="AE3026">
        <v>-7.0011000000000001</v>
      </c>
      <c r="AF3026">
        <v>-8.8631212689794197</v>
      </c>
      <c r="AG3026">
        <v>-0.66434899999999997</v>
      </c>
      <c r="AH3026">
        <v>68.885235406411994</v>
      </c>
      <c r="AI3026">
        <v>90.548042389936995</v>
      </c>
      <c r="AJ3026">
        <v>97.331682671211297</v>
      </c>
      <c r="AK3026">
        <v>69.456259150772198</v>
      </c>
      <c r="AL3026">
        <v>79.554247175413806</v>
      </c>
      <c r="AM3026">
        <v>92.471207416794797</v>
      </c>
      <c r="AN3026">
        <v>0.99999996554078496</v>
      </c>
    </row>
    <row r="3027" spans="1:40" x14ac:dyDescent="0.25">
      <c r="A3027" t="str">
        <f>"20190312172138521"</f>
        <v>20190312172138521</v>
      </c>
      <c r="B3027" t="str">
        <f>"1552382498513780"</f>
        <v>1552382498513780</v>
      </c>
      <c r="C3027" t="s">
        <v>40</v>
      </c>
      <c r="D3027">
        <v>2.9861200000000001</v>
      </c>
      <c r="E3027">
        <v>0.46750510000000001</v>
      </c>
      <c r="F3027" t="s">
        <v>48</v>
      </c>
      <c r="G3027">
        <v>-455.09429999999998</v>
      </c>
      <c r="H3027">
        <v>0.43654510000000002</v>
      </c>
      <c r="I3027">
        <v>277.0385</v>
      </c>
      <c r="J3027">
        <v>-386.3535</v>
      </c>
      <c r="K3027">
        <v>1.1088039999999999</v>
      </c>
      <c r="L3027">
        <v>284.03390000000002</v>
      </c>
      <c r="M3027">
        <v>-0.99958089999999999</v>
      </c>
      <c r="N3027">
        <v>0</v>
      </c>
      <c r="O3027">
        <v>2.730343E-2</v>
      </c>
      <c r="P3027">
        <v>-0.98498430000000003</v>
      </c>
      <c r="Q3027">
        <v>0.1718674</v>
      </c>
      <c r="R3027">
        <v>-1.6362020000000001E-2</v>
      </c>
      <c r="S3027">
        <v>-3.0458069999999999</v>
      </c>
      <c r="T3027">
        <v>-2.9627319999999999E-2</v>
      </c>
      <c r="U3027">
        <v>-0.30789179999999999</v>
      </c>
      <c r="V3027">
        <v>-4.3014810000000001E-2</v>
      </c>
      <c r="W3027">
        <v>0.181395</v>
      </c>
      <c r="X3027">
        <v>0.98246909999999998</v>
      </c>
      <c r="Y3027">
        <v>-0.12769610000000001</v>
      </c>
      <c r="Z3027">
        <v>-8.8445769999999997E-4</v>
      </c>
      <c r="AA3027">
        <v>0.9918129</v>
      </c>
      <c r="AB3027">
        <v>46</v>
      </c>
      <c r="AC3027">
        <v>-68.740799999999894</v>
      </c>
      <c r="AD3027">
        <v>-0.67225889999999999</v>
      </c>
      <c r="AE3027">
        <v>-6.9954000000000098</v>
      </c>
      <c r="AF3027">
        <v>-8.8688987566857094</v>
      </c>
      <c r="AG3027">
        <v>-0.67225889999999999</v>
      </c>
      <c r="AH3027">
        <v>68.517677316957702</v>
      </c>
      <c r="AI3027">
        <v>90.557487047423393</v>
      </c>
      <c r="AJ3027">
        <v>97.375333295948295</v>
      </c>
      <c r="AK3027">
        <v>69.092556777815901</v>
      </c>
      <c r="AL3027">
        <v>79.548974591261896</v>
      </c>
      <c r="AM3027">
        <v>92.506943074925999</v>
      </c>
      <c r="AN3027">
        <v>0.99999997617957204</v>
      </c>
    </row>
    <row r="3028" spans="1:40" x14ac:dyDescent="0.25">
      <c r="A3028" t="str">
        <f>"20190312172138533"</f>
        <v>20190312172138533</v>
      </c>
      <c r="B3028" t="str">
        <f>"1552382498523540"</f>
        <v>1552382498523540</v>
      </c>
      <c r="C3028" t="s">
        <v>40</v>
      </c>
      <c r="D3028">
        <v>2.9781300000000002</v>
      </c>
      <c r="E3028">
        <v>0.46741329999999998</v>
      </c>
      <c r="F3028" t="s">
        <v>48</v>
      </c>
      <c r="G3028">
        <v>-455.09339999999997</v>
      </c>
      <c r="H3028">
        <v>0.43242160000000002</v>
      </c>
      <c r="I3028">
        <v>277.02449999999999</v>
      </c>
      <c r="J3028">
        <v>-386.60210000000001</v>
      </c>
      <c r="K3028">
        <v>1.108811</v>
      </c>
      <c r="L3028">
        <v>284.04079999999999</v>
      </c>
      <c r="M3028">
        <v>-0.9995752</v>
      </c>
      <c r="N3028">
        <v>0</v>
      </c>
      <c r="O3028">
        <v>2.7508660000000001E-2</v>
      </c>
      <c r="P3028">
        <v>-0.98500960000000004</v>
      </c>
      <c r="Q3028">
        <v>0.17172979999999999</v>
      </c>
      <c r="R3028">
        <v>-1.6287240000000001E-2</v>
      </c>
      <c r="S3028">
        <v>-3.045776</v>
      </c>
      <c r="T3028">
        <v>-2.9966710000000001E-2</v>
      </c>
      <c r="U3028">
        <v>-0.3105774</v>
      </c>
      <c r="V3028">
        <v>-4.3146110000000001E-2</v>
      </c>
      <c r="W3028">
        <v>0.18126329999999999</v>
      </c>
      <c r="X3028">
        <v>0.98248769999999996</v>
      </c>
      <c r="Y3028">
        <v>-0.12876599999999999</v>
      </c>
      <c r="Z3028">
        <v>-9.0182299999999995E-4</v>
      </c>
      <c r="AA3028">
        <v>0.99167459999999996</v>
      </c>
      <c r="AB3028">
        <v>46</v>
      </c>
      <c r="AC3028">
        <v>-68.491299999999896</v>
      </c>
      <c r="AD3028">
        <v>-0.67638940000000003</v>
      </c>
      <c r="AE3028">
        <v>-7.0163000000000002</v>
      </c>
      <c r="AF3028">
        <v>-8.89697707406639</v>
      </c>
      <c r="AG3028">
        <v>-0.67638940000000003</v>
      </c>
      <c r="AH3028">
        <v>68.265771566220806</v>
      </c>
      <c r="AI3028">
        <v>90.562917905208806</v>
      </c>
      <c r="AJ3028">
        <v>97.425421423002405</v>
      </c>
      <c r="AK3028">
        <v>68.846417998384894</v>
      </c>
      <c r="AL3028">
        <v>79.556648168860804</v>
      </c>
      <c r="AM3028">
        <v>92.514538009462001</v>
      </c>
      <c r="AN3028">
        <v>1.0000000256931501</v>
      </c>
    </row>
    <row r="3029" spans="1:40" x14ac:dyDescent="0.25">
      <c r="A3029" t="str">
        <f>"20190312172138545"</f>
        <v>20190312172138545</v>
      </c>
      <c r="B3029" t="str">
        <f>"1552382498534277"</f>
        <v>1552382498534277</v>
      </c>
      <c r="C3029" t="s">
        <v>40</v>
      </c>
      <c r="D3029">
        <v>2.9912160000000001</v>
      </c>
      <c r="E3029">
        <v>0.46736030000000001</v>
      </c>
      <c r="F3029" t="s">
        <v>48</v>
      </c>
      <c r="G3029">
        <v>-455.08909999999997</v>
      </c>
      <c r="H3029">
        <v>0.41313280000000002</v>
      </c>
      <c r="I3029">
        <v>277.04640000000001</v>
      </c>
      <c r="J3029">
        <v>-386.84249999999997</v>
      </c>
      <c r="K3029">
        <v>1.1088199999999999</v>
      </c>
      <c r="L3029">
        <v>284.04750000000001</v>
      </c>
      <c r="M3029">
        <v>-0.99956970000000001</v>
      </c>
      <c r="N3029">
        <v>0</v>
      </c>
      <c r="O3029">
        <v>2.77034E-2</v>
      </c>
      <c r="P3029">
        <v>-0.98505160000000003</v>
      </c>
      <c r="Q3029">
        <v>0.17150489999999999</v>
      </c>
      <c r="R3029">
        <v>-1.6105979999999999E-2</v>
      </c>
      <c r="S3029">
        <v>-3.045868</v>
      </c>
      <c r="T3029">
        <v>-3.093636E-2</v>
      </c>
      <c r="U3029">
        <v>-0.3110657</v>
      </c>
      <c r="V3029">
        <v>-4.316147E-2</v>
      </c>
      <c r="W3029">
        <v>0.1810438</v>
      </c>
      <c r="X3029">
        <v>0.9825275</v>
      </c>
      <c r="Y3029">
        <v>-0.12911300000000001</v>
      </c>
      <c r="Z3029">
        <v>-9.3469829999999997E-4</v>
      </c>
      <c r="AA3029">
        <v>0.99162950000000005</v>
      </c>
      <c r="AB3029">
        <v>46</v>
      </c>
      <c r="AC3029">
        <v>-68.246600000000001</v>
      </c>
      <c r="AD3029">
        <v>-0.69568719999999995</v>
      </c>
      <c r="AE3029">
        <v>-7.0011000000000001</v>
      </c>
      <c r="AF3029">
        <v>-8.8882493805468794</v>
      </c>
      <c r="AG3029">
        <v>-0.69568719999999995</v>
      </c>
      <c r="AH3029">
        <v>68.019445922775006</v>
      </c>
      <c r="AI3029">
        <v>90.581048160105496</v>
      </c>
      <c r="AJ3029">
        <v>97.444781974116694</v>
      </c>
      <c r="AK3029">
        <v>68.601238920097899</v>
      </c>
      <c r="AL3029">
        <v>79.569436208204607</v>
      </c>
      <c r="AM3029">
        <v>92.515330270820598</v>
      </c>
      <c r="AN3029">
        <v>1.00000002913362</v>
      </c>
    </row>
    <row r="3030" spans="1:40" x14ac:dyDescent="0.25">
      <c r="A3030" t="str">
        <f>"20190312172138558"</f>
        <v>20190312172138558</v>
      </c>
      <c r="B3030" t="str">
        <f>"1552382498553796"</f>
        <v>1552382498553796</v>
      </c>
      <c r="C3030" t="s">
        <v>40</v>
      </c>
      <c r="D3030">
        <v>2.9652949999999998</v>
      </c>
      <c r="E3030">
        <v>0.46722979999999997</v>
      </c>
      <c r="F3030" t="s">
        <v>48</v>
      </c>
      <c r="G3030">
        <v>-455.08359999999999</v>
      </c>
      <c r="H3030">
        <v>0.38848680000000002</v>
      </c>
      <c r="I3030">
        <v>277.08199999999999</v>
      </c>
      <c r="J3030">
        <v>-387.11720000000003</v>
      </c>
      <c r="K3030">
        <v>1.1088279999999999</v>
      </c>
      <c r="L3030">
        <v>284.05529999999999</v>
      </c>
      <c r="M3030">
        <v>-0.9995636</v>
      </c>
      <c r="N3030">
        <v>0</v>
      </c>
      <c r="O3030">
        <v>2.792101E-2</v>
      </c>
      <c r="P3030">
        <v>-0.98504290000000005</v>
      </c>
      <c r="Q3030">
        <v>0.17157709999999901</v>
      </c>
      <c r="R3030">
        <v>-1.587233E-2</v>
      </c>
      <c r="S3030">
        <v>-3.0460210000000001</v>
      </c>
      <c r="T3030">
        <v>-3.2149909999999997E-2</v>
      </c>
      <c r="U3030">
        <v>-0.3109131</v>
      </c>
      <c r="V3030">
        <v>-4.3145379999999997E-2</v>
      </c>
      <c r="W3030">
        <v>0.18112210000000001</v>
      </c>
      <c r="X3030">
        <v>0.98251370000000005</v>
      </c>
      <c r="Y3030">
        <v>-0.129274</v>
      </c>
      <c r="Z3030">
        <v>-9.7445569999999996E-4</v>
      </c>
      <c r="AA3030">
        <v>0.99160839999999995</v>
      </c>
      <c r="AB3030">
        <v>47</v>
      </c>
      <c r="AC3030">
        <v>-67.966399999999894</v>
      </c>
      <c r="AD3030">
        <v>-0.72034120000000001</v>
      </c>
      <c r="AE3030">
        <v>-6.9732999999999903</v>
      </c>
      <c r="AF3030">
        <v>-8.8673742144609697</v>
      </c>
      <c r="AG3030">
        <v>-0.72034120000000001</v>
      </c>
      <c r="AH3030">
        <v>67.737659440763295</v>
      </c>
      <c r="AI3030">
        <v>90.604122377886</v>
      </c>
      <c r="AJ3030">
        <v>97.458043432497405</v>
      </c>
      <c r="AK3030">
        <v>68.319394928647696</v>
      </c>
      <c r="AL3030">
        <v>79.5648737501065</v>
      </c>
      <c r="AM3030">
        <v>92.514429064932699</v>
      </c>
      <c r="AN3030">
        <v>0.99999995480572101</v>
      </c>
    </row>
    <row r="3031" spans="1:40" x14ac:dyDescent="0.25">
      <c r="A3031" t="str">
        <f>"20190312172138571"</f>
        <v>20190312172138571</v>
      </c>
      <c r="B3031" t="str">
        <f>"1552382498563556"</f>
        <v>1552382498563556</v>
      </c>
      <c r="C3031" t="s">
        <v>40</v>
      </c>
      <c r="D3031">
        <v>2.991438</v>
      </c>
      <c r="E3031">
        <v>0.46717740000000002</v>
      </c>
      <c r="F3031" t="s">
        <v>48</v>
      </c>
      <c r="G3031">
        <v>-455.08269999999999</v>
      </c>
      <c r="H3031">
        <v>0.384909</v>
      </c>
      <c r="I3031">
        <v>277.11689999999999</v>
      </c>
      <c r="J3031">
        <v>-387.37150000000003</v>
      </c>
      <c r="K3031">
        <v>1.108838</v>
      </c>
      <c r="L3031">
        <v>284.0625</v>
      </c>
      <c r="M3031">
        <v>-0.9995581</v>
      </c>
      <c r="N3031">
        <v>0</v>
      </c>
      <c r="O3031">
        <v>2.8115210000000002E-2</v>
      </c>
      <c r="P3031">
        <v>-0.98507210000000001</v>
      </c>
      <c r="Q3031">
        <v>0.17142959999999999</v>
      </c>
      <c r="R3031">
        <v>-1.5645909999999999E-2</v>
      </c>
      <c r="S3031">
        <v>-3.0462039999999999</v>
      </c>
      <c r="T3031">
        <v>-3.2442930000000002E-2</v>
      </c>
      <c r="U3031">
        <v>-0.31097409999999998</v>
      </c>
      <c r="V3031">
        <v>-4.3114649999999997E-2</v>
      </c>
      <c r="W3031">
        <v>0.18098</v>
      </c>
      <c r="X3031">
        <v>0.98254129999999995</v>
      </c>
      <c r="Y3031">
        <v>-0.12948009999999999</v>
      </c>
      <c r="Z3031">
        <v>-9.8643519999999998E-4</v>
      </c>
      <c r="AA3031">
        <v>0.99158159999999895</v>
      </c>
      <c r="AB3031">
        <v>47</v>
      </c>
      <c r="AC3031">
        <v>-67.711199999999906</v>
      </c>
      <c r="AD3031">
        <v>-0.72392900000000004</v>
      </c>
      <c r="AE3031">
        <v>-6.9456000000000104</v>
      </c>
      <c r="AF3031">
        <v>-8.8456567558968509</v>
      </c>
      <c r="AG3031">
        <v>-0.72392900000000004</v>
      </c>
      <c r="AH3031">
        <v>67.481511192174594</v>
      </c>
      <c r="AI3031">
        <v>90.609421755016001</v>
      </c>
      <c r="AJ3031">
        <v>97.467905237634994</v>
      </c>
      <c r="AK3031">
        <v>68.0626481222981</v>
      </c>
      <c r="AL3031">
        <v>79.573152980009098</v>
      </c>
      <c r="AM3031">
        <v>92.512569985495006</v>
      </c>
      <c r="AN3031">
        <v>1.00000001982515</v>
      </c>
    </row>
    <row r="3032" spans="1:40" x14ac:dyDescent="0.25">
      <c r="A3032" t="str">
        <f>"20190312172138582"</f>
        <v>20190312172138582</v>
      </c>
      <c r="B3032" t="str">
        <f>"1552382498573317"</f>
        <v>1552382498573317</v>
      </c>
      <c r="C3032" t="s">
        <v>40</v>
      </c>
      <c r="D3032">
        <v>2.955838</v>
      </c>
      <c r="E3032">
        <v>0.46707409999999999</v>
      </c>
      <c r="F3032" t="s">
        <v>48</v>
      </c>
      <c r="G3032">
        <v>-455.07979999999998</v>
      </c>
      <c r="H3032">
        <v>0.3715888</v>
      </c>
      <c r="I3032">
        <v>277.15820000000002</v>
      </c>
      <c r="J3032">
        <v>-387.61590000000001</v>
      </c>
      <c r="K3032">
        <v>1.1088450000000001</v>
      </c>
      <c r="L3032">
        <v>284.06939999999997</v>
      </c>
      <c r="M3032">
        <v>-0.99955280000000002</v>
      </c>
      <c r="N3032">
        <v>0</v>
      </c>
      <c r="O3032">
        <v>2.8299089999999999E-2</v>
      </c>
      <c r="P3032">
        <v>-0.98501629999999996</v>
      </c>
      <c r="Q3032">
        <v>0.1717786</v>
      </c>
      <c r="R3032">
        <v>-1.5330170000000001E-2</v>
      </c>
      <c r="S3032">
        <v>-3.0463260000000001</v>
      </c>
      <c r="T3032">
        <v>-3.3167240000000001E-2</v>
      </c>
      <c r="U3032">
        <v>-0.31063839999999998</v>
      </c>
      <c r="V3032">
        <v>-4.2982029999999997E-2</v>
      </c>
      <c r="W3032">
        <v>0.18133360000000001</v>
      </c>
      <c r="X3032">
        <v>0.98248190000000002</v>
      </c>
      <c r="Y3032">
        <v>-0.12955</v>
      </c>
      <c r="Z3032">
        <v>-1.0107989999999999E-3</v>
      </c>
      <c r="AA3032">
        <v>0.99157240000000002</v>
      </c>
      <c r="AB3032">
        <v>47</v>
      </c>
      <c r="AC3032">
        <v>-67.463899999999896</v>
      </c>
      <c r="AD3032">
        <v>-0.73725620000000003</v>
      </c>
      <c r="AE3032">
        <v>-6.9111999999999503</v>
      </c>
      <c r="AF3032">
        <v>-8.8166459255378502</v>
      </c>
      <c r="AG3032">
        <v>-0.73725620000000003</v>
      </c>
      <c r="AH3032">
        <v>67.233342491286294</v>
      </c>
      <c r="AI3032">
        <v>90.622926555149206</v>
      </c>
      <c r="AJ3032">
        <v>97.4708540850189</v>
      </c>
      <c r="AK3032">
        <v>67.812971728359898</v>
      </c>
      <c r="AL3032">
        <v>79.552552199492993</v>
      </c>
      <c r="AM3032">
        <v>92.505002466073194</v>
      </c>
      <c r="AN3032">
        <v>1.0000000066097401</v>
      </c>
    </row>
    <row r="3033" spans="1:40" x14ac:dyDescent="0.25">
      <c r="A3033" t="str">
        <f>"20190312172138593"</f>
        <v>20190312172138593</v>
      </c>
      <c r="B3033" t="str">
        <f>"1552382498584053"</f>
        <v>1552382498584053</v>
      </c>
      <c r="C3033" t="s">
        <v>40</v>
      </c>
      <c r="D3033">
        <v>2.9689030000000001</v>
      </c>
      <c r="E3033">
        <v>0.46695550000000002</v>
      </c>
      <c r="F3033" t="s">
        <v>48</v>
      </c>
      <c r="G3033">
        <v>-455.0838</v>
      </c>
      <c r="H3033">
        <v>0.38959779999999999</v>
      </c>
      <c r="I3033">
        <v>277.19929999999999</v>
      </c>
      <c r="J3033">
        <v>-387.86169999999998</v>
      </c>
      <c r="K3033">
        <v>1.1088559999999901</v>
      </c>
      <c r="L3033">
        <v>284.07650000000001</v>
      </c>
      <c r="M3033">
        <v>-0.99954779999999999</v>
      </c>
      <c r="N3033">
        <v>0</v>
      </c>
      <c r="O3033">
        <v>2.8478090000000001E-2</v>
      </c>
      <c r="P3033">
        <v>-0.98498560000000002</v>
      </c>
      <c r="Q3033">
        <v>0.1719811</v>
      </c>
      <c r="R3033">
        <v>-1.503903E-2</v>
      </c>
      <c r="S3033">
        <v>-3.0464169999999999</v>
      </c>
      <c r="T3033">
        <v>-3.2473559999999999E-2</v>
      </c>
      <c r="U3033">
        <v>-0.31021120000000002</v>
      </c>
      <c r="V3033">
        <v>-4.2869339999999999E-2</v>
      </c>
      <c r="W3033">
        <v>0.18154090000000001</v>
      </c>
      <c r="X3033">
        <v>0.98244849999999995</v>
      </c>
      <c r="Y3033">
        <v>-0.12958729999999999</v>
      </c>
      <c r="Z3033">
        <v>-9.9173959999999993E-4</v>
      </c>
      <c r="AA3033">
        <v>0.99156759999999999</v>
      </c>
      <c r="AB3033">
        <v>47</v>
      </c>
      <c r="AC3033">
        <v>-67.222099999999998</v>
      </c>
      <c r="AD3033">
        <v>-0.71925819999999896</v>
      </c>
      <c r="AE3033">
        <v>-6.87720000000001</v>
      </c>
      <c r="AF3033">
        <v>-8.7878610372472803</v>
      </c>
      <c r="AG3033">
        <v>-0.71925819999999896</v>
      </c>
      <c r="AH3033">
        <v>66.991384653070497</v>
      </c>
      <c r="AI3033">
        <v>90.609912070305697</v>
      </c>
      <c r="AJ3033">
        <v>97.473329638609499</v>
      </c>
      <c r="AK3033">
        <v>67.569145707962605</v>
      </c>
      <c r="AL3033">
        <v>79.540473902353497</v>
      </c>
      <c r="AM3033">
        <v>92.498528031685098</v>
      </c>
      <c r="AN3033">
        <v>0.99999996691854698</v>
      </c>
    </row>
    <row r="3034" spans="1:40" x14ac:dyDescent="0.25">
      <c r="A3034" t="str">
        <f>"20190312172138613"</f>
        <v>20190312172138613</v>
      </c>
      <c r="B3034" t="str">
        <f>"1552382498603572"</f>
        <v>1552382498603572</v>
      </c>
      <c r="C3034" t="s">
        <v>40</v>
      </c>
      <c r="D3034">
        <v>2.9805229999999998</v>
      </c>
      <c r="E3034">
        <v>0.46673029999999999</v>
      </c>
      <c r="F3034" t="s">
        <v>48</v>
      </c>
      <c r="G3034">
        <v>-455.08749999999998</v>
      </c>
      <c r="H3034">
        <v>0.40633469999999999</v>
      </c>
      <c r="I3034">
        <v>277.23469999999998</v>
      </c>
      <c r="J3034">
        <v>-388.2577</v>
      </c>
      <c r="K3034">
        <v>1.108868</v>
      </c>
      <c r="L3034">
        <v>284.08789999999999</v>
      </c>
      <c r="M3034">
        <v>-0.99953959999999997</v>
      </c>
      <c r="N3034">
        <v>0</v>
      </c>
      <c r="O3034">
        <v>2.8759059999999999E-2</v>
      </c>
      <c r="P3034">
        <v>-0.98494090000000001</v>
      </c>
      <c r="Q3034">
        <v>0.17227590000000001</v>
      </c>
      <c r="R3034">
        <v>-1.459296E-2</v>
      </c>
      <c r="S3034">
        <v>-3.04657</v>
      </c>
      <c r="T3034">
        <v>-3.1834130000000002E-2</v>
      </c>
      <c r="U3034">
        <v>-0.31005860000000002</v>
      </c>
      <c r="V3034">
        <v>-4.2703890000000001E-2</v>
      </c>
      <c r="W3034">
        <v>0.18184330000000001</v>
      </c>
      <c r="X3034">
        <v>0.98239980000000005</v>
      </c>
      <c r="Y3034">
        <v>-0.12981219999999999</v>
      </c>
      <c r="Z3034">
        <v>-9.7626790000000005E-4</v>
      </c>
      <c r="AA3034">
        <v>0.99153809999999998</v>
      </c>
      <c r="AB3034">
        <v>47</v>
      </c>
      <c r="AC3034">
        <v>-66.829799999999906</v>
      </c>
      <c r="AD3034">
        <v>-0.70253330000000003</v>
      </c>
      <c r="AE3034">
        <v>-6.85320000000001</v>
      </c>
      <c r="AF3034">
        <v>-8.7714579258903207</v>
      </c>
      <c r="AG3034">
        <v>-0.70253330000000003</v>
      </c>
      <c r="AH3034">
        <v>66.597770983399698</v>
      </c>
      <c r="AI3034">
        <v>90.599210571489493</v>
      </c>
      <c r="AJ3034">
        <v>97.503124757735904</v>
      </c>
      <c r="AK3034">
        <v>67.176596573067201</v>
      </c>
      <c r="AL3034">
        <v>79.522854607609503</v>
      </c>
      <c r="AM3034">
        <v>92.489020583677899</v>
      </c>
      <c r="AN3034">
        <v>0.99999998750803099</v>
      </c>
    </row>
    <row r="3035" spans="1:40" x14ac:dyDescent="0.25">
      <c r="A3035" t="str">
        <f>"20190312172138626"</f>
        <v>20190312172138626</v>
      </c>
      <c r="B3035" t="str">
        <f>"1552382498624068"</f>
        <v>1552382498624068</v>
      </c>
      <c r="C3035" t="s">
        <v>40</v>
      </c>
      <c r="D3035">
        <v>2.9523739999999998</v>
      </c>
      <c r="E3035">
        <v>0.46660620000000003</v>
      </c>
      <c r="F3035" t="s">
        <v>48</v>
      </c>
      <c r="G3035">
        <v>-455.13490000000002</v>
      </c>
      <c r="H3035">
        <v>0.42883009999999999</v>
      </c>
      <c r="I3035">
        <v>277.27390000000003</v>
      </c>
      <c r="J3035">
        <v>-388.5403</v>
      </c>
      <c r="K3035">
        <v>1.1088849999999999</v>
      </c>
      <c r="L3035">
        <v>284.09620000000001</v>
      </c>
      <c r="M3035">
        <v>-0.99953380000000003</v>
      </c>
      <c r="N3035">
        <v>0</v>
      </c>
      <c r="O3035">
        <v>2.895445E-2</v>
      </c>
      <c r="P3035">
        <v>-0.98483880000000001</v>
      </c>
      <c r="Q3035">
        <v>0.1729</v>
      </c>
      <c r="R3035">
        <v>-1.407779E-2</v>
      </c>
      <c r="S3035">
        <v>-3.0466920000000002</v>
      </c>
      <c r="T3035">
        <v>-3.0977129999999999E-2</v>
      </c>
      <c r="U3035">
        <v>-0.3104248</v>
      </c>
      <c r="V3035">
        <v>-4.2381259999999997E-2</v>
      </c>
      <c r="W3035">
        <v>0.18247250000000001</v>
      </c>
      <c r="X3035">
        <v>0.98229710000000003</v>
      </c>
      <c r="Y3035">
        <v>-0.1301204</v>
      </c>
      <c r="Z3035">
        <v>-9.5348890000000004E-4</v>
      </c>
      <c r="AA3035">
        <v>0.99149779999999998</v>
      </c>
      <c r="AB3035">
        <v>47</v>
      </c>
      <c r="AC3035">
        <v>-66.5946</v>
      </c>
      <c r="AD3035">
        <v>-0.68005490000000002</v>
      </c>
      <c r="AE3035">
        <v>-6.8222999999999798</v>
      </c>
      <c r="AF3035">
        <v>-8.7468371713038504</v>
      </c>
      <c r="AG3035">
        <v>-0.68005490000000002</v>
      </c>
      <c r="AH3035">
        <v>66.362282659473195</v>
      </c>
      <c r="AI3035">
        <v>90.582090318349799</v>
      </c>
      <c r="AJ3035">
        <v>97.508551798232006</v>
      </c>
      <c r="AK3035">
        <v>66.939690729373197</v>
      </c>
      <c r="AL3035">
        <v>79.486190699858994</v>
      </c>
      <c r="AM3035">
        <v>92.470497238359798</v>
      </c>
      <c r="AN3035">
        <v>0.99999998856192296</v>
      </c>
    </row>
    <row r="3036" spans="1:40" x14ac:dyDescent="0.25">
      <c r="A3036" t="str">
        <f>"20190312172138644"</f>
        <v>20190312172138644</v>
      </c>
      <c r="B3036" t="str">
        <f>"1552382498633828"</f>
        <v>1552382498633828</v>
      </c>
      <c r="C3036" t="s">
        <v>40</v>
      </c>
      <c r="D3036">
        <v>2.9759549999999999</v>
      </c>
      <c r="E3036">
        <v>0.46650849999999999</v>
      </c>
      <c r="F3036" t="s">
        <v>45</v>
      </c>
      <c r="G3036">
        <v>-499.95780000000002</v>
      </c>
      <c r="H3036">
        <v>3.383651E-2</v>
      </c>
      <c r="I3036">
        <v>272.77609999999999</v>
      </c>
      <c r="J3036">
        <v>-388.90780000000001</v>
      </c>
      <c r="K3036">
        <v>1.108897</v>
      </c>
      <c r="L3036">
        <v>284.1069</v>
      </c>
      <c r="M3036">
        <v>-0.99952660000000004</v>
      </c>
      <c r="N3036">
        <v>0</v>
      </c>
      <c r="O3036">
        <v>2.920267E-2</v>
      </c>
      <c r="P3036">
        <v>-0.98481039999999997</v>
      </c>
      <c r="Q3036">
        <v>0.17307149999999999</v>
      </c>
      <c r="R3036">
        <v>-1.3971799999999999E-2</v>
      </c>
      <c r="S3036">
        <v>-3.0469360000000001</v>
      </c>
      <c r="T3036">
        <v>-2.9399390000000001E-2</v>
      </c>
      <c r="U3036">
        <v>-0.30957030000000002</v>
      </c>
      <c r="V3036">
        <v>-4.2523129999999999E-2</v>
      </c>
      <c r="W3036">
        <v>0.18265210000000001</v>
      </c>
      <c r="X3036">
        <v>0.98225759999999995</v>
      </c>
      <c r="Y3036">
        <v>-0.13008419999999901</v>
      </c>
      <c r="Z3036">
        <v>-9.0708399999999995E-4</v>
      </c>
      <c r="AA3036">
        <v>0.99150249999999995</v>
      </c>
      <c r="AB3036">
        <v>47</v>
      </c>
      <c r="AC3036">
        <v>-111.05</v>
      </c>
      <c r="AD3036">
        <v>-1.07506049</v>
      </c>
      <c r="AE3036">
        <v>-11.3308</v>
      </c>
      <c r="AF3036">
        <v>-14.567724453795901</v>
      </c>
      <c r="AG3036">
        <v>-1.07506049</v>
      </c>
      <c r="AH3036">
        <v>110.661464586031</v>
      </c>
      <c r="AI3036">
        <v>90.551842103472097</v>
      </c>
      <c r="AJ3036">
        <v>97.499422995029207</v>
      </c>
      <c r="AK3036">
        <v>111.62138726581099</v>
      </c>
      <c r="AL3036">
        <v>79.475724601836205</v>
      </c>
      <c r="AM3036">
        <v>92.478856411229103</v>
      </c>
      <c r="AN3036">
        <v>0.99999999948858298</v>
      </c>
    </row>
    <row r="3037" spans="1:40" x14ac:dyDescent="0.25">
      <c r="A3037" t="str">
        <f>"20190312172138667"</f>
        <v>20190312172138667</v>
      </c>
      <c r="B3037" t="str">
        <f>"1552382498663108"</f>
        <v>1552382498663108</v>
      </c>
      <c r="C3037" t="s">
        <v>40</v>
      </c>
      <c r="D3037">
        <v>2.9759530000000001</v>
      </c>
      <c r="E3037">
        <v>0.46624149999999998</v>
      </c>
      <c r="F3037" t="s">
        <v>45</v>
      </c>
      <c r="G3037">
        <v>-499.95780000000002</v>
      </c>
      <c r="H3037">
        <v>4.815171E-2</v>
      </c>
      <c r="I3037">
        <v>272.81110000000001</v>
      </c>
      <c r="J3037">
        <v>-389.37009999999998</v>
      </c>
      <c r="K3037">
        <v>1.1089150000000001</v>
      </c>
      <c r="L3037">
        <v>284.12060000000002</v>
      </c>
      <c r="M3037">
        <v>-0.9995174</v>
      </c>
      <c r="N3037">
        <v>0</v>
      </c>
      <c r="O3037">
        <v>2.9504800000000001E-2</v>
      </c>
      <c r="P3037">
        <v>-0.98477460000000006</v>
      </c>
      <c r="Q3037">
        <v>0.17328009999999999</v>
      </c>
      <c r="R3037">
        <v>-1.389018E-2</v>
      </c>
      <c r="S3037">
        <v>-3.0469970000000002</v>
      </c>
      <c r="T3037">
        <v>-2.9104830000000002E-2</v>
      </c>
      <c r="U3037">
        <v>-0.3099365</v>
      </c>
      <c r="V3037">
        <v>-4.2743379999999997E-2</v>
      </c>
      <c r="W3037">
        <v>0.18287010000000001</v>
      </c>
      <c r="X3037">
        <v>0.98220750000000001</v>
      </c>
      <c r="Y3037">
        <v>-0.1304999</v>
      </c>
      <c r="Z3037">
        <v>-9.0283319999999998E-4</v>
      </c>
      <c r="AA3037">
        <v>0.99144790000000005</v>
      </c>
      <c r="AB3037">
        <v>47</v>
      </c>
      <c r="AC3037">
        <v>-110.5877</v>
      </c>
      <c r="AD3037">
        <v>-1.0607632899999999</v>
      </c>
      <c r="AE3037">
        <v>-11.3095</v>
      </c>
      <c r="AF3037">
        <v>-14.566271524966</v>
      </c>
      <c r="AG3037">
        <v>-1.0607632899999999</v>
      </c>
      <c r="AH3037">
        <v>110.19581564297199</v>
      </c>
      <c r="AI3037">
        <v>90.546765857690204</v>
      </c>
      <c r="AJ3037">
        <v>97.530007499332797</v>
      </c>
      <c r="AK3037">
        <v>111.15943176409399</v>
      </c>
      <c r="AL3037">
        <v>79.463020380111999</v>
      </c>
      <c r="AM3037">
        <v>92.491806526564901</v>
      </c>
      <c r="AN3037">
        <v>1.0000000215320399</v>
      </c>
    </row>
    <row r="3038" spans="1:40" x14ac:dyDescent="0.25">
      <c r="A3038" t="str">
        <f>"20190312172138679"</f>
        <v>20190312172138679</v>
      </c>
      <c r="B3038" t="str">
        <f>"1552382498673845"</f>
        <v>1552382498673845</v>
      </c>
      <c r="C3038" t="s">
        <v>40</v>
      </c>
      <c r="D3038">
        <v>2.9664060000000001</v>
      </c>
      <c r="E3038">
        <v>0.46612940000000003</v>
      </c>
      <c r="F3038" t="s">
        <v>45</v>
      </c>
      <c r="G3038">
        <v>-499.97660000000002</v>
      </c>
      <c r="H3038">
        <v>6.8874599999999994E-2</v>
      </c>
      <c r="I3038">
        <v>272.8125</v>
      </c>
      <c r="J3038">
        <v>-389.65050000000002</v>
      </c>
      <c r="K3038">
        <v>1.1089230000000001</v>
      </c>
      <c r="L3038">
        <v>284.12900000000002</v>
      </c>
      <c r="M3038">
        <v>-0.99951219999999996</v>
      </c>
      <c r="N3038">
        <v>0</v>
      </c>
      <c r="O3038">
        <v>2.9683379999999999E-2</v>
      </c>
      <c r="P3038">
        <v>-0.98474539999999999</v>
      </c>
      <c r="Q3038">
        <v>0.1734436</v>
      </c>
      <c r="R3038">
        <v>-1.3921640000000001E-2</v>
      </c>
      <c r="S3038">
        <v>-3.0470579999999998</v>
      </c>
      <c r="T3038">
        <v>-2.865171E-2</v>
      </c>
      <c r="U3038">
        <v>-0.31152340000000001</v>
      </c>
      <c r="V3038">
        <v>-4.2952770000000001E-2</v>
      </c>
      <c r="W3038">
        <v>0.18303929999999999</v>
      </c>
      <c r="X3038">
        <v>0.98216680000000001</v>
      </c>
      <c r="Y3038">
        <v>-0.13118629999999901</v>
      </c>
      <c r="Z3038">
        <v>-8.9363179999999895E-4</v>
      </c>
      <c r="AA3038">
        <v>0.9913573</v>
      </c>
      <c r="AB3038">
        <v>47</v>
      </c>
      <c r="AC3038">
        <v>-110.3261</v>
      </c>
      <c r="AD3038">
        <v>-1.0400484000000001</v>
      </c>
      <c r="AE3038">
        <v>-11.3165</v>
      </c>
      <c r="AF3038">
        <v>-14.585236152324599</v>
      </c>
      <c r="AG3038">
        <v>-1.0400484000000001</v>
      </c>
      <c r="AH3038">
        <v>109.93188474617</v>
      </c>
      <c r="AI3038">
        <v>90.5373418274486</v>
      </c>
      <c r="AJ3038">
        <v>97.557591271526604</v>
      </c>
      <c r="AK3038">
        <v>110.90009061375299</v>
      </c>
      <c r="AL3038">
        <v>79.453158993260104</v>
      </c>
      <c r="AM3038">
        <v>92.504101446208495</v>
      </c>
      <c r="AN3038">
        <v>0.99999997440870103</v>
      </c>
    </row>
    <row r="3039" spans="1:40" x14ac:dyDescent="0.25">
      <c r="A3039" t="str">
        <f>"20190312172138691"</f>
        <v>20190312172138691</v>
      </c>
      <c r="B3039" t="str">
        <f>"1552382498683605"</f>
        <v>1552382498683605</v>
      </c>
      <c r="C3039" t="s">
        <v>40</v>
      </c>
      <c r="D3039">
        <v>2.9638990000000001</v>
      </c>
      <c r="E3039">
        <v>0.46601160000000003</v>
      </c>
      <c r="F3039" t="s">
        <v>45</v>
      </c>
      <c r="G3039">
        <v>-501.76499999999999</v>
      </c>
      <c r="H3039">
        <v>7.9999810000000005E-2</v>
      </c>
      <c r="I3039">
        <v>272.63619999999997</v>
      </c>
      <c r="J3039">
        <v>-389.89789999999999</v>
      </c>
      <c r="K3039">
        <v>1.1089290000000001</v>
      </c>
      <c r="L3039">
        <v>284.13639999999998</v>
      </c>
      <c r="M3039">
        <v>-0.99950760000000005</v>
      </c>
      <c r="N3039">
        <v>0</v>
      </c>
      <c r="O3039">
        <v>2.9834550000000001E-2</v>
      </c>
      <c r="P3039">
        <v>-0.98473390000000005</v>
      </c>
      <c r="Q3039">
        <v>0.17351150000000001</v>
      </c>
      <c r="R3039">
        <v>-1.389376E-2</v>
      </c>
      <c r="S3039">
        <v>-3.0470280000000001</v>
      </c>
      <c r="T3039">
        <v>-2.796388E-2</v>
      </c>
      <c r="U3039">
        <v>-0.3123474</v>
      </c>
      <c r="V3039">
        <v>-4.3075809999999999E-2</v>
      </c>
      <c r="W3039">
        <v>0.1831129</v>
      </c>
      <c r="X3039">
        <v>0.98214769999999896</v>
      </c>
      <c r="Y3039">
        <v>-0.13160289999999999</v>
      </c>
      <c r="Z3039">
        <v>-8.7546719999999996E-4</v>
      </c>
      <c r="AA3039">
        <v>0.99130209999999996</v>
      </c>
      <c r="AB3039">
        <v>47</v>
      </c>
      <c r="AC3039">
        <v>-111.86709999999999</v>
      </c>
      <c r="AD3039">
        <v>-1.0289291899999999</v>
      </c>
      <c r="AE3039">
        <v>-11.5002</v>
      </c>
      <c r="AF3039">
        <v>-14.8315008245514</v>
      </c>
      <c r="AG3039">
        <v>-1.0289291899999999</v>
      </c>
      <c r="AH3039">
        <v>111.46484701931701</v>
      </c>
      <c r="AI3039">
        <v>90.524260497449006</v>
      </c>
      <c r="AJ3039">
        <v>97.579249603965096</v>
      </c>
      <c r="AK3039">
        <v>112.45196411369</v>
      </c>
      <c r="AL3039">
        <v>79.448869608315903</v>
      </c>
      <c r="AM3039">
        <v>92.511314153671293</v>
      </c>
      <c r="AN3039">
        <v>0.99999998208442697</v>
      </c>
    </row>
    <row r="3040" spans="1:40" x14ac:dyDescent="0.25">
      <c r="A3040" t="str">
        <f>"20190312172138704"</f>
        <v>20190312172138704</v>
      </c>
      <c r="B3040" t="str">
        <f>"1552382498693364"</f>
        <v>1552382498693364</v>
      </c>
      <c r="C3040" t="s">
        <v>40</v>
      </c>
      <c r="D3040">
        <v>2.955457</v>
      </c>
      <c r="E3040">
        <v>0.46591080000000001</v>
      </c>
      <c r="F3040" t="s">
        <v>45</v>
      </c>
      <c r="G3040">
        <v>-503.30259999999998</v>
      </c>
      <c r="H3040">
        <v>7.9999769999999998E-2</v>
      </c>
      <c r="I3040">
        <v>272.4726</v>
      </c>
      <c r="J3040">
        <v>-390.15679999999998</v>
      </c>
      <c r="K3040">
        <v>1.108935</v>
      </c>
      <c r="L3040">
        <v>284.14429999999999</v>
      </c>
      <c r="M3040">
        <v>-0.99950300000000003</v>
      </c>
      <c r="N3040">
        <v>0</v>
      </c>
      <c r="O3040">
        <v>2.9988810000000001E-2</v>
      </c>
      <c r="P3040">
        <v>-0.98473860000000002</v>
      </c>
      <c r="Q3040">
        <v>0.17350160000000001</v>
      </c>
      <c r="R3040">
        <v>-1.3689110000000001E-2</v>
      </c>
      <c r="S3040">
        <v>-3.046967</v>
      </c>
      <c r="T3040">
        <v>-2.7645349999999999E-2</v>
      </c>
      <c r="U3040">
        <v>-0.31338500000000002</v>
      </c>
      <c r="V3040">
        <v>-4.3027610000000001E-2</v>
      </c>
      <c r="W3040">
        <v>0.18310870000000001</v>
      </c>
      <c r="X3040">
        <v>0.98215059999999998</v>
      </c>
      <c r="Y3040">
        <v>-0.13209199999999999</v>
      </c>
      <c r="Z3040">
        <v>-8.6910749999999999E-4</v>
      </c>
      <c r="AA3040">
        <v>0.99123709999999998</v>
      </c>
      <c r="AB3040">
        <v>47</v>
      </c>
      <c r="AC3040">
        <v>-113.14579999999999</v>
      </c>
      <c r="AD3040">
        <v>-1.0289352300000001</v>
      </c>
      <c r="AE3040">
        <v>-11.6716999999999</v>
      </c>
      <c r="AF3040">
        <v>-15.058485875283599</v>
      </c>
      <c r="AG3040">
        <v>-1.0289352300000001</v>
      </c>
      <c r="AH3040">
        <v>112.73564425737899</v>
      </c>
      <c r="AI3040">
        <v>90.518319344452706</v>
      </c>
      <c r="AJ3040">
        <v>97.608158775068006</v>
      </c>
      <c r="AK3040">
        <v>113.74155876675</v>
      </c>
      <c r="AL3040">
        <v>79.449114432766805</v>
      </c>
      <c r="AM3040">
        <v>92.508500294060894</v>
      </c>
      <c r="AN3040">
        <v>0.99999998615918095</v>
      </c>
    </row>
    <row r="3041" spans="1:40" x14ac:dyDescent="0.25">
      <c r="A3041" t="str">
        <f>"20190312172138715"</f>
        <v>20190312172138715</v>
      </c>
      <c r="B3041" t="str">
        <f>"1552382498713861"</f>
        <v>1552382498713861</v>
      </c>
      <c r="C3041" t="s">
        <v>40</v>
      </c>
      <c r="D3041">
        <v>2.9540639999999998</v>
      </c>
      <c r="E3041">
        <v>0.46571570000000001</v>
      </c>
      <c r="F3041" t="s">
        <v>45</v>
      </c>
      <c r="G3041">
        <v>-503.38339999999999</v>
      </c>
      <c r="H3041">
        <v>7.9999769999999998E-2</v>
      </c>
      <c r="I3041">
        <v>272.48880000000003</v>
      </c>
      <c r="J3041">
        <v>-390.41660000000002</v>
      </c>
      <c r="K3041">
        <v>1.108946</v>
      </c>
      <c r="L3041">
        <v>284.15210000000002</v>
      </c>
      <c r="M3041">
        <v>-0.99949849999999996</v>
      </c>
      <c r="N3041">
        <v>0</v>
      </c>
      <c r="O3041">
        <v>3.013594E-2</v>
      </c>
      <c r="P3041">
        <v>-0.98483319999999996</v>
      </c>
      <c r="Q3041">
        <v>0.17297799999999999</v>
      </c>
      <c r="R3041">
        <v>-1.350759E-2</v>
      </c>
      <c r="S3041">
        <v>-3.0470280000000001</v>
      </c>
      <c r="T3041">
        <v>-2.7689579999999998E-2</v>
      </c>
      <c r="U3041">
        <v>-0.31365969999999999</v>
      </c>
      <c r="V3041">
        <v>-4.2998559999999998E-2</v>
      </c>
      <c r="W3041">
        <v>0.18259110000000001</v>
      </c>
      <c r="X3041">
        <v>0.98224820000000002</v>
      </c>
      <c r="Y3041">
        <v>-0.1323242</v>
      </c>
      <c r="Z3041">
        <v>-8.7286340000000001E-4</v>
      </c>
      <c r="AA3041">
        <v>0.99120609999999998</v>
      </c>
      <c r="AB3041">
        <v>47</v>
      </c>
      <c r="AC3041">
        <v>-112.966799999999</v>
      </c>
      <c r="AD3041">
        <v>-1.0289462300000001</v>
      </c>
      <c r="AE3041">
        <v>-11.6632999999999</v>
      </c>
      <c r="AF3041">
        <v>-15.0612874888992</v>
      </c>
      <c r="AG3041">
        <v>-1.0289462300000001</v>
      </c>
      <c r="AH3041">
        <v>112.554746182985</v>
      </c>
      <c r="AI3041">
        <v>90.519141556985801</v>
      </c>
      <c r="AJ3041">
        <v>97.621644114115298</v>
      </c>
      <c r="AK3041">
        <v>113.56263469770199</v>
      </c>
      <c r="AL3041">
        <v>79.479278964067902</v>
      </c>
      <c r="AM3041">
        <v>92.5065600780393</v>
      </c>
      <c r="AN3041">
        <v>0.99999995618226001</v>
      </c>
    </row>
    <row r="3042" spans="1:40" x14ac:dyDescent="0.25">
      <c r="A3042" t="str">
        <f>"20190312172138728"</f>
        <v>20190312172138728</v>
      </c>
      <c r="B3042" t="str">
        <f>"1552382498723620"</f>
        <v>1552382498723620</v>
      </c>
      <c r="C3042" t="s">
        <v>40</v>
      </c>
      <c r="D3042">
        <v>2.9507989999999999</v>
      </c>
      <c r="E3042">
        <v>0.465638</v>
      </c>
      <c r="F3042" t="s">
        <v>45</v>
      </c>
      <c r="G3042">
        <v>-499.95780000000002</v>
      </c>
      <c r="H3042">
        <v>4.6950220000000001E-2</v>
      </c>
      <c r="I3042">
        <v>272.82990000000001</v>
      </c>
      <c r="J3042">
        <v>-390.666</v>
      </c>
      <c r="K3042">
        <v>1.1089560000000001</v>
      </c>
      <c r="L3042">
        <v>284.15969999999999</v>
      </c>
      <c r="M3042">
        <v>-0.99949449999999995</v>
      </c>
      <c r="N3042">
        <v>0</v>
      </c>
      <c r="O3042">
        <v>3.026763E-2</v>
      </c>
      <c r="P3042">
        <v>-0.98483169999999998</v>
      </c>
      <c r="Q3042">
        <v>0.17298769999999999</v>
      </c>
      <c r="R3042">
        <v>-1.349144E-2</v>
      </c>
      <c r="S3042">
        <v>-3.0470280000000001</v>
      </c>
      <c r="T3042">
        <v>-2.9540779999999999E-2</v>
      </c>
      <c r="U3042">
        <v>-0.31494139999999998</v>
      </c>
      <c r="V3042">
        <v>-4.3117879999999997E-2</v>
      </c>
      <c r="W3042">
        <v>0.18260570000000001</v>
      </c>
      <c r="X3042">
        <v>0.98224029999999996</v>
      </c>
      <c r="Y3042">
        <v>-0.1328664</v>
      </c>
      <c r="Z3042">
        <v>-9.3509189999999996E-4</v>
      </c>
      <c r="AA3042">
        <v>0.9911335</v>
      </c>
      <c r="AB3042">
        <v>47</v>
      </c>
      <c r="AC3042">
        <v>-109.29179999999999</v>
      </c>
      <c r="AD3042">
        <v>-1.06200578</v>
      </c>
      <c r="AE3042">
        <v>-11.329799999999899</v>
      </c>
      <c r="AF3042">
        <v>-14.6314019524801</v>
      </c>
      <c r="AG3042">
        <v>-1.06200578</v>
      </c>
      <c r="AH3042">
        <v>108.888606363028</v>
      </c>
      <c r="AI3042">
        <v>90.553818989220005</v>
      </c>
      <c r="AJ3042">
        <v>97.653015183517795</v>
      </c>
      <c r="AK3042">
        <v>109.872354917214</v>
      </c>
      <c r="AL3042">
        <v>79.478428608569402</v>
      </c>
      <c r="AM3042">
        <v>92.513527005251902</v>
      </c>
      <c r="AN3042">
        <v>1.00000000009613</v>
      </c>
    </row>
    <row r="3043" spans="1:40" x14ac:dyDescent="0.25">
      <c r="A3043" t="str">
        <f>"20190312172138741"</f>
        <v>20190312172138741</v>
      </c>
      <c r="B3043" t="str">
        <f>"1552382498733381"</f>
        <v>1552382498733381</v>
      </c>
      <c r="C3043" t="s">
        <v>40</v>
      </c>
      <c r="D3043">
        <v>2.963206</v>
      </c>
      <c r="E3043">
        <v>0.46556340000000002</v>
      </c>
      <c r="F3043" t="s">
        <v>45</v>
      </c>
      <c r="G3043">
        <v>-499.95780000000002</v>
      </c>
      <c r="H3043">
        <v>4.0695439999999999E-2</v>
      </c>
      <c r="I3043">
        <v>272.84730000000002</v>
      </c>
      <c r="J3043">
        <v>-390.93450000000001</v>
      </c>
      <c r="K3043">
        <v>1.10897</v>
      </c>
      <c r="L3043">
        <v>284.16789999999997</v>
      </c>
      <c r="M3043">
        <v>-0.99949010000000005</v>
      </c>
      <c r="N3043">
        <v>0</v>
      </c>
      <c r="O3043">
        <v>3.040321E-2</v>
      </c>
      <c r="P3043">
        <v>-0.98485739999999999</v>
      </c>
      <c r="Q3043">
        <v>0.1728432</v>
      </c>
      <c r="R3043">
        <v>-1.3450129999999999E-2</v>
      </c>
      <c r="S3043">
        <v>-3.0471189999999999</v>
      </c>
      <c r="T3043">
        <v>-2.9783730000000001E-2</v>
      </c>
      <c r="U3043">
        <v>-0.31539919999999999</v>
      </c>
      <c r="V3043">
        <v>-4.321784E-2</v>
      </c>
      <c r="W3043">
        <v>0.18246689999999999</v>
      </c>
      <c r="X3043">
        <v>0.98226170000000002</v>
      </c>
      <c r="Y3043">
        <v>-0.13314500000000001</v>
      </c>
      <c r="Z3043">
        <v>-9.4542680000000003E-4</v>
      </c>
      <c r="AA3043">
        <v>0.99109610000000004</v>
      </c>
      <c r="AB3043">
        <v>47</v>
      </c>
      <c r="AC3043">
        <v>-109.02330000000001</v>
      </c>
      <c r="AD3043">
        <v>-1.0682745600000001</v>
      </c>
      <c r="AE3043">
        <v>-11.320599999999899</v>
      </c>
      <c r="AF3043">
        <v>-14.628792650531199</v>
      </c>
      <c r="AG3043">
        <v>-1.0682745600000001</v>
      </c>
      <c r="AH3043">
        <v>108.618379001576</v>
      </c>
      <c r="AI3043">
        <v>90.558450827047807</v>
      </c>
      <c r="AJ3043">
        <v>97.670476463914994</v>
      </c>
      <c r="AK3043">
        <v>109.60426561898799</v>
      </c>
      <c r="AL3043">
        <v>79.486517148966996</v>
      </c>
      <c r="AM3043">
        <v>92.519291788105903</v>
      </c>
      <c r="AN3043">
        <v>0.99999999928838201</v>
      </c>
    </row>
    <row r="3044" spans="1:40" x14ac:dyDescent="0.25">
      <c r="A3044" t="str">
        <f>"20190312172138752"</f>
        <v>20190312172138752</v>
      </c>
      <c r="B3044" t="str">
        <f>"1552382498743141"</f>
        <v>1552382498743141</v>
      </c>
      <c r="C3044" t="s">
        <v>40</v>
      </c>
      <c r="D3044">
        <v>2.976054</v>
      </c>
      <c r="E3044">
        <v>0.46547070000000001</v>
      </c>
      <c r="F3044" t="s">
        <v>45</v>
      </c>
      <c r="G3044">
        <v>-499.95780000000002</v>
      </c>
      <c r="H3044">
        <v>1.1698800000000001E-2</v>
      </c>
      <c r="I3044">
        <v>272.8759</v>
      </c>
      <c r="J3044">
        <v>-391.20319999999998</v>
      </c>
      <c r="K3044">
        <v>1.108986</v>
      </c>
      <c r="L3044">
        <v>284.17610000000002</v>
      </c>
      <c r="M3044">
        <v>-0.9994866</v>
      </c>
      <c r="N3044">
        <v>0</v>
      </c>
      <c r="O3044">
        <v>3.0520809999999999E-2</v>
      </c>
      <c r="P3044">
        <v>-0.98483500000000002</v>
      </c>
      <c r="Q3044">
        <v>0.1729791</v>
      </c>
      <c r="R3044">
        <v>-1.3359589999999999E-2</v>
      </c>
      <c r="S3044">
        <v>-3.0472109999999999</v>
      </c>
      <c r="T3044">
        <v>-3.0668850000000001E-2</v>
      </c>
      <c r="U3044">
        <v>-0.31561280000000003</v>
      </c>
      <c r="V3044">
        <v>-4.3249929999999999E-2</v>
      </c>
      <c r="W3044">
        <v>0.18260889999999999</v>
      </c>
      <c r="X3044">
        <v>0.98223389999999999</v>
      </c>
      <c r="Y3044">
        <v>-0.133326799999999</v>
      </c>
      <c r="Z3044">
        <v>-9.7558319999999999E-4</v>
      </c>
      <c r="AA3044">
        <v>0.99107160000000005</v>
      </c>
      <c r="AB3044">
        <v>47</v>
      </c>
      <c r="AC3044">
        <v>-108.7546</v>
      </c>
      <c r="AD3044">
        <v>-1.0972872</v>
      </c>
      <c r="AE3044">
        <v>-11.3002</v>
      </c>
      <c r="AF3044">
        <v>-14.612899584875001</v>
      </c>
      <c r="AG3044">
        <v>-1.0972872</v>
      </c>
      <c r="AH3044">
        <v>108.348110238522</v>
      </c>
      <c r="AI3044">
        <v>90.575032819123905</v>
      </c>
      <c r="AJ3044">
        <v>97.681127294842895</v>
      </c>
      <c r="AK3044">
        <v>109.334595923412</v>
      </c>
      <c r="AL3044">
        <v>79.478242131454707</v>
      </c>
      <c r="AM3044">
        <v>92.521231257294104</v>
      </c>
      <c r="AN3044">
        <v>1.00000000055671</v>
      </c>
    </row>
    <row r="3045" spans="1:40" x14ac:dyDescent="0.25">
      <c r="A3045" t="str">
        <f>"20190312172138768"</f>
        <v>20190312172138768</v>
      </c>
      <c r="B3045" t="str">
        <f>"1552382498763637"</f>
        <v>1552382498763637</v>
      </c>
      <c r="C3045" t="s">
        <v>40</v>
      </c>
      <c r="D3045">
        <v>2.966882</v>
      </c>
      <c r="E3045">
        <v>0.46530909999999898</v>
      </c>
      <c r="F3045" t="s">
        <v>45</v>
      </c>
      <c r="G3045">
        <v>-499.95780000000002</v>
      </c>
      <c r="H3045">
        <v>1.4342209999999999E-2</v>
      </c>
      <c r="I3045">
        <v>272.89580000000001</v>
      </c>
      <c r="J3045">
        <v>-391.4828</v>
      </c>
      <c r="K3045">
        <v>1.109003</v>
      </c>
      <c r="L3045">
        <v>284.18470000000002</v>
      </c>
      <c r="M3045">
        <v>-0.99948309999999996</v>
      </c>
      <c r="N3045">
        <v>0</v>
      </c>
      <c r="O3045">
        <v>3.0631450000000001E-2</v>
      </c>
      <c r="P3045">
        <v>-0.98486799999999997</v>
      </c>
      <c r="Q3045">
        <v>0.1728016</v>
      </c>
      <c r="R3045">
        <v>-1.321203E-2</v>
      </c>
      <c r="S3045">
        <v>-3.047272</v>
      </c>
      <c r="T3045">
        <v>-3.06716E-2</v>
      </c>
      <c r="U3045">
        <v>-0.31607059999999998</v>
      </c>
      <c r="V3045">
        <v>-4.3222749999999997E-2</v>
      </c>
      <c r="W3045">
        <v>0.18243870000000001</v>
      </c>
      <c r="X3045">
        <v>0.98226670000000005</v>
      </c>
      <c r="Y3045">
        <v>-0.1335818</v>
      </c>
      <c r="Z3045">
        <v>-9.7803470000000004E-4</v>
      </c>
      <c r="AA3045">
        <v>0.99103730000000001</v>
      </c>
      <c r="AB3045">
        <v>47</v>
      </c>
      <c r="AC3045">
        <v>-108.47499999999999</v>
      </c>
      <c r="AD3045">
        <v>-1.0946607900000001</v>
      </c>
      <c r="AE3045">
        <v>-11.2889</v>
      </c>
      <c r="AF3045">
        <v>-14.605035558920999</v>
      </c>
      <c r="AG3045">
        <v>-1.0946607900000001</v>
      </c>
      <c r="AH3045">
        <v>108.0673938899</v>
      </c>
      <c r="AI3045">
        <v>90.575125409646404</v>
      </c>
      <c r="AJ3045">
        <v>97.696746138748793</v>
      </c>
      <c r="AK3045">
        <v>109.055339016837</v>
      </c>
      <c r="AL3045">
        <v>79.488160243769201</v>
      </c>
      <c r="AM3045">
        <v>92.5195648284584</v>
      </c>
      <c r="AN3045">
        <v>0.99999997765207105</v>
      </c>
    </row>
    <row r="3046" spans="1:40" x14ac:dyDescent="0.25">
      <c r="A3046" t="str">
        <f>"20190312172138782"</f>
        <v>20190312172138782</v>
      </c>
      <c r="B3046" t="str">
        <f>"1552382498773396"</f>
        <v>1552382498773396</v>
      </c>
      <c r="C3046" t="s">
        <v>40</v>
      </c>
      <c r="D3046">
        <v>2.9402689999999998</v>
      </c>
      <c r="E3046">
        <v>0.4652</v>
      </c>
      <c r="F3046" t="s">
        <v>45</v>
      </c>
      <c r="G3046">
        <v>-498.13909999999998</v>
      </c>
      <c r="H3046" s="1">
        <v>7.7425370000000002E-7</v>
      </c>
      <c r="I3046">
        <v>273.09679999999997</v>
      </c>
      <c r="J3046">
        <v>-391.7801</v>
      </c>
      <c r="K3046">
        <v>1.1090260000000001</v>
      </c>
      <c r="L3046">
        <v>284.19389999999999</v>
      </c>
      <c r="M3046">
        <v>-0.99947969999999997</v>
      </c>
      <c r="N3046">
        <v>0</v>
      </c>
      <c r="O3046">
        <v>3.073615E-2</v>
      </c>
      <c r="P3046">
        <v>-0.98485149999999999</v>
      </c>
      <c r="Q3046">
        <v>0.172906</v>
      </c>
      <c r="R3046">
        <v>-1.307354E-2</v>
      </c>
      <c r="S3046">
        <v>-3.0473629999999998</v>
      </c>
      <c r="T3046">
        <v>-3.1686190000000003E-2</v>
      </c>
      <c r="U3046">
        <v>-0.316803</v>
      </c>
      <c r="V3046">
        <v>-4.3197010000000001E-2</v>
      </c>
      <c r="W3046">
        <v>0.1825512</v>
      </c>
      <c r="X3046">
        <v>0.98224690000000003</v>
      </c>
      <c r="Y3046">
        <v>-0.1339176</v>
      </c>
      <c r="Z3046">
        <v>-1.0131700000000001E-3</v>
      </c>
      <c r="AA3046">
        <v>0.99099199999999998</v>
      </c>
      <c r="AB3046">
        <v>47</v>
      </c>
      <c r="AC3046">
        <v>-106.358999999999</v>
      </c>
      <c r="AD3046">
        <v>-1.1090252257463</v>
      </c>
      <c r="AE3046">
        <v>-11.097099999999999</v>
      </c>
      <c r="AF3046">
        <v>-14.3595345193801</v>
      </c>
      <c r="AG3046">
        <v>-1.1090252257463</v>
      </c>
      <c r="AH3046">
        <v>105.956249465032</v>
      </c>
      <c r="AI3046">
        <v>90.594250894774206</v>
      </c>
      <c r="AJ3046">
        <v>97.717888728601295</v>
      </c>
      <c r="AK3046">
        <v>106.930598844581</v>
      </c>
      <c r="AL3046">
        <v>79.4816040527936</v>
      </c>
      <c r="AM3046">
        <v>92.518117003302294</v>
      </c>
      <c r="AN3046">
        <v>0.99999994742699305</v>
      </c>
    </row>
    <row r="3047" spans="1:40" x14ac:dyDescent="0.25">
      <c r="A3047" t="str">
        <f>"20190312172138794"</f>
        <v>20190312172138794</v>
      </c>
      <c r="B3047" t="str">
        <f>"1552382498783157"</f>
        <v>1552382498783157</v>
      </c>
      <c r="C3047" t="s">
        <v>40</v>
      </c>
      <c r="D3047">
        <v>2.9892280000000002</v>
      </c>
      <c r="E3047">
        <v>0.46511390000000002</v>
      </c>
      <c r="F3047" t="s">
        <v>45</v>
      </c>
      <c r="G3047">
        <v>-499.91379999999998</v>
      </c>
      <c r="H3047" s="1">
        <v>5.8764359999999997E-7</v>
      </c>
      <c r="I3047">
        <v>272.93090000000001</v>
      </c>
      <c r="J3047">
        <v>-392.07549999999998</v>
      </c>
      <c r="K3047">
        <v>1.109057</v>
      </c>
      <c r="L3047">
        <v>284.20299999999997</v>
      </c>
      <c r="M3047">
        <v>-0.99947710000000001</v>
      </c>
      <c r="N3047">
        <v>0</v>
      </c>
      <c r="O3047">
        <v>3.0818479999999999E-2</v>
      </c>
      <c r="P3047">
        <v>-0.98485389999999995</v>
      </c>
      <c r="Q3047">
        <v>0.17291860000000001</v>
      </c>
      <c r="R3047">
        <v>-1.2731650000000001E-2</v>
      </c>
      <c r="S3047">
        <v>-3.0474239999999999</v>
      </c>
      <c r="T3047">
        <v>-3.1254530000000003E-2</v>
      </c>
      <c r="U3047">
        <v>-0.31741329999999901</v>
      </c>
      <c r="V3047">
        <v>-4.2948600000000003E-2</v>
      </c>
      <c r="W3047">
        <v>0.18257280000000001</v>
      </c>
      <c r="X3047">
        <v>0.98225379999999995</v>
      </c>
      <c r="Y3047">
        <v>-0.134193799999999</v>
      </c>
      <c r="Z3047">
        <v>-1.0015930000000001E-3</v>
      </c>
      <c r="AA3047">
        <v>0.99095460000000002</v>
      </c>
      <c r="AB3047">
        <v>47</v>
      </c>
      <c r="AC3047">
        <v>-107.8383</v>
      </c>
      <c r="AD3047">
        <v>-1.1090564123564</v>
      </c>
      <c r="AE3047">
        <v>-11.272099999999901</v>
      </c>
      <c r="AF3047">
        <v>-14.588790448763399</v>
      </c>
      <c r="AG3047">
        <v>-1.1090564123564</v>
      </c>
      <c r="AH3047">
        <v>107.42842618371699</v>
      </c>
      <c r="AI3047">
        <v>90.586102843239701</v>
      </c>
      <c r="AJ3047">
        <v>97.7334645171441</v>
      </c>
      <c r="AK3047">
        <v>108.42015294766</v>
      </c>
      <c r="AL3047">
        <v>79.480345534924197</v>
      </c>
      <c r="AM3047">
        <v>92.503637159896897</v>
      </c>
      <c r="AN3047">
        <v>0.99999996857811901</v>
      </c>
    </row>
    <row r="3048" spans="1:40" x14ac:dyDescent="0.25">
      <c r="A3048" t="str">
        <f>"20190312172138812"</f>
        <v>20190312172138812</v>
      </c>
      <c r="B3048" t="str">
        <f>"1552382498803653"</f>
        <v>1552382498803653</v>
      </c>
      <c r="C3048" t="s">
        <v>40</v>
      </c>
      <c r="D3048">
        <v>2.986964</v>
      </c>
      <c r="E3048">
        <v>0.46491880000000002</v>
      </c>
      <c r="F3048" t="s">
        <v>45</v>
      </c>
      <c r="G3048">
        <v>-499.43729999999999</v>
      </c>
      <c r="H3048" s="1">
        <v>6.4821379999999997E-7</v>
      </c>
      <c r="I3048">
        <v>273.03489999999999</v>
      </c>
      <c r="J3048">
        <v>-392.4316</v>
      </c>
      <c r="K3048">
        <v>1.1090899999999999</v>
      </c>
      <c r="L3048">
        <v>284.21409999999997</v>
      </c>
      <c r="M3048">
        <v>-0.99947439999999999</v>
      </c>
      <c r="N3048">
        <v>0</v>
      </c>
      <c r="O3048">
        <v>3.0899889999999999E-2</v>
      </c>
      <c r="P3048">
        <v>-0.98484989999999994</v>
      </c>
      <c r="Q3048">
        <v>0.17296719999999999</v>
      </c>
      <c r="R3048">
        <v>-1.2381090000000001E-2</v>
      </c>
      <c r="S3048">
        <v>-3.0475460000000001</v>
      </c>
      <c r="T3048">
        <v>-3.1481389999999998E-2</v>
      </c>
      <c r="U3048">
        <v>-0.31701659999999998</v>
      </c>
      <c r="V3048">
        <v>-4.2692380000000002E-2</v>
      </c>
      <c r="W3048">
        <v>0.18263190000000001</v>
      </c>
      <c r="X3048">
        <v>0.98225399999999996</v>
      </c>
      <c r="Y3048">
        <v>-0.1341427</v>
      </c>
      <c r="Z3048">
        <v>-1.0094049999999999E-3</v>
      </c>
      <c r="AA3048">
        <v>0.99096150000000005</v>
      </c>
      <c r="AB3048">
        <v>47</v>
      </c>
      <c r="AC3048">
        <v>-107.0057</v>
      </c>
      <c r="AD3048">
        <v>-1.1090893517861999</v>
      </c>
      <c r="AE3048">
        <v>-11.1791999999999</v>
      </c>
      <c r="AF3048">
        <v>-14.478945867920199</v>
      </c>
      <c r="AG3048">
        <v>-1.1090893517861999</v>
      </c>
      <c r="AH3048">
        <v>106.597817545219</v>
      </c>
      <c r="AI3048">
        <v>90.590684786267502</v>
      </c>
      <c r="AJ3048">
        <v>97.735022544621302</v>
      </c>
      <c r="AK3048">
        <v>107.58236220700999</v>
      </c>
      <c r="AL3048">
        <v>79.476901626928694</v>
      </c>
      <c r="AM3048">
        <v>92.488719451866999</v>
      </c>
      <c r="AN3048">
        <v>0.99999998536183698</v>
      </c>
    </row>
    <row r="3049" spans="1:40" x14ac:dyDescent="0.25">
      <c r="A3049" t="str">
        <f>"20190312172138827"</f>
        <v>20190312172138827</v>
      </c>
      <c r="B3049" t="str">
        <f>"1552382498823920"</f>
        <v>1552382498823920</v>
      </c>
      <c r="C3049" t="s">
        <v>40</v>
      </c>
      <c r="D3049">
        <v>2.9831050000000001</v>
      </c>
      <c r="E3049">
        <v>0.4647213</v>
      </c>
      <c r="F3049" t="s">
        <v>45</v>
      </c>
      <c r="G3049">
        <v>-499.95780000000002</v>
      </c>
      <c r="H3049">
        <v>2.437954E-3</v>
      </c>
      <c r="I3049">
        <v>273.01330000000002</v>
      </c>
      <c r="J3049">
        <v>-392.7441</v>
      </c>
      <c r="K3049">
        <v>1.109119</v>
      </c>
      <c r="L3049">
        <v>284.22379999999998</v>
      </c>
      <c r="M3049">
        <v>-0.99947260000000004</v>
      </c>
      <c r="N3049">
        <v>0</v>
      </c>
      <c r="O3049">
        <v>3.0954120000000002E-2</v>
      </c>
      <c r="P3049">
        <v>-0.98482709999999996</v>
      </c>
      <c r="Q3049">
        <v>0.173119</v>
      </c>
      <c r="R3049">
        <v>-1.2045119999999999E-2</v>
      </c>
      <c r="S3049">
        <v>-3.0476990000000002</v>
      </c>
      <c r="T3049">
        <v>-3.1366709999999999E-2</v>
      </c>
      <c r="U3049">
        <v>-0.31747439999999999</v>
      </c>
      <c r="V3049">
        <v>-4.2420840000000001E-2</v>
      </c>
      <c r="W3049">
        <v>0.18279319999999999</v>
      </c>
      <c r="X3049">
        <v>0.98223579999999999</v>
      </c>
      <c r="Y3049">
        <v>-0.13433870000000001</v>
      </c>
      <c r="Z3049">
        <v>-1.0072340000000001E-3</v>
      </c>
      <c r="AA3049">
        <v>0.99093500000000001</v>
      </c>
      <c r="AB3049">
        <v>47</v>
      </c>
      <c r="AC3049">
        <v>-107.2137</v>
      </c>
      <c r="AD3049">
        <v>-1.1066810459999901</v>
      </c>
      <c r="AE3049">
        <v>-11.2104999999999</v>
      </c>
      <c r="AF3049">
        <v>-14.522462530266999</v>
      </c>
      <c r="AG3049">
        <v>-1.1066810459999901</v>
      </c>
      <c r="AH3049">
        <v>106.80403438688199</v>
      </c>
      <c r="AI3049">
        <v>90.588252916977595</v>
      </c>
      <c r="AJ3049">
        <v>97.743190364502894</v>
      </c>
      <c r="AK3049">
        <v>107.792524890156</v>
      </c>
      <c r="AL3049">
        <v>79.467501994619496</v>
      </c>
      <c r="AM3049">
        <v>92.472955713943307</v>
      </c>
      <c r="AN3049">
        <v>1.0000000242170901</v>
      </c>
    </row>
    <row r="3050" spans="1:40" x14ac:dyDescent="0.25">
      <c r="A3050" t="str">
        <f>"20190312172138847"</f>
        <v>20190312172138847</v>
      </c>
      <c r="B3050" t="str">
        <f>"1552382498843441"</f>
        <v>1552382498843441</v>
      </c>
      <c r="C3050" t="s">
        <v>40</v>
      </c>
      <c r="D3050">
        <v>2.9640300000000002</v>
      </c>
      <c r="E3050">
        <v>0.46453470000000002</v>
      </c>
      <c r="F3050" t="s">
        <v>45</v>
      </c>
      <c r="G3050">
        <v>-499.95780000000002</v>
      </c>
      <c r="H3050">
        <v>6.0885820000000004E-3</v>
      </c>
      <c r="I3050">
        <v>273.03019999999998</v>
      </c>
      <c r="J3050">
        <v>-393.14530000000002</v>
      </c>
      <c r="K3050">
        <v>1.1091569999999999</v>
      </c>
      <c r="L3050">
        <v>284.23610000000002</v>
      </c>
      <c r="M3050">
        <v>-0.9994712</v>
      </c>
      <c r="N3050">
        <v>0</v>
      </c>
      <c r="O3050">
        <v>3.0995419999999999E-2</v>
      </c>
      <c r="P3050">
        <v>-0.9847842</v>
      </c>
      <c r="Q3050">
        <v>0.17339959999999999</v>
      </c>
      <c r="R3050">
        <v>-1.1523220000000001E-2</v>
      </c>
      <c r="S3050">
        <v>-3.0478209999999999</v>
      </c>
      <c r="T3050">
        <v>-3.1356450000000001E-2</v>
      </c>
      <c r="U3050">
        <v>-0.31820680000000001</v>
      </c>
      <c r="V3050">
        <v>-4.1954829999999999E-2</v>
      </c>
      <c r="W3050">
        <v>0.1830862</v>
      </c>
      <c r="X3050">
        <v>0.9822012</v>
      </c>
      <c r="Y3050">
        <v>-0.13461110000000001</v>
      </c>
      <c r="Z3050">
        <v>-1.008674E-3</v>
      </c>
      <c r="AA3050">
        <v>0.99089799999999995</v>
      </c>
      <c r="AB3050">
        <v>47</v>
      </c>
      <c r="AC3050">
        <v>-106.8125</v>
      </c>
      <c r="AD3050">
        <v>-1.1030684180000001</v>
      </c>
      <c r="AE3050">
        <v>-11.2059</v>
      </c>
      <c r="AF3050">
        <v>-14.509842938900499</v>
      </c>
      <c r="AG3050">
        <v>-1.1030684180000001</v>
      </c>
      <c r="AH3050">
        <v>106.402601820109</v>
      </c>
      <c r="AI3050">
        <v>90.588513684332099</v>
      </c>
      <c r="AJ3050">
        <v>97.765376017500998</v>
      </c>
      <c r="AK3050">
        <v>107.393044356397</v>
      </c>
      <c r="AL3050">
        <v>79.450425699248399</v>
      </c>
      <c r="AM3050">
        <v>92.445908527757197</v>
      </c>
      <c r="AN3050">
        <v>0.99999998083610397</v>
      </c>
    </row>
    <row r="3051" spans="1:40" x14ac:dyDescent="0.25">
      <c r="A3051" t="str">
        <f>"20190312172138868"</f>
        <v>20190312172138868</v>
      </c>
      <c r="B3051" t="str">
        <f>"1552382498863936"</f>
        <v>1552382498863936</v>
      </c>
      <c r="C3051" t="s">
        <v>40</v>
      </c>
      <c r="D3051">
        <v>2.9560439999999999</v>
      </c>
      <c r="E3051">
        <v>0.46434399999999998</v>
      </c>
      <c r="F3051" t="s">
        <v>45</v>
      </c>
      <c r="G3051">
        <v>-499.95780000000002</v>
      </c>
      <c r="H3051">
        <v>1.239723E-2</v>
      </c>
      <c r="I3051">
        <v>273.08569999999997</v>
      </c>
      <c r="J3051">
        <v>-393.60770000000002</v>
      </c>
      <c r="K3051">
        <v>1.1092040000000001</v>
      </c>
      <c r="L3051">
        <v>284.25049999999999</v>
      </c>
      <c r="M3051">
        <v>-0.99947109999999995</v>
      </c>
      <c r="N3051">
        <v>0</v>
      </c>
      <c r="O3051">
        <v>3.099648E-2</v>
      </c>
      <c r="P3051">
        <v>-0.98471180000000003</v>
      </c>
      <c r="Q3051">
        <v>0.17385329999999999</v>
      </c>
      <c r="R3051">
        <v>-1.0878540000000001E-2</v>
      </c>
      <c r="S3051">
        <v>-3.0481569999999998</v>
      </c>
      <c r="T3051">
        <v>-3.1298760000000002E-2</v>
      </c>
      <c r="U3051">
        <v>-0.31820680000000001</v>
      </c>
      <c r="V3051">
        <v>-4.1328230000000001E-2</v>
      </c>
      <c r="W3051">
        <v>0.18355630000000001</v>
      </c>
      <c r="X3051">
        <v>0.98214009999999996</v>
      </c>
      <c r="Y3051">
        <v>-0.1346009</v>
      </c>
      <c r="Z3051">
        <v>-1.006666E-3</v>
      </c>
      <c r="AA3051">
        <v>0.99089939999999999</v>
      </c>
      <c r="AB3051">
        <v>47</v>
      </c>
      <c r="AC3051">
        <v>-106.3501</v>
      </c>
      <c r="AD3051">
        <v>-1.0968067699999999</v>
      </c>
      <c r="AE3051">
        <v>-11.1648</v>
      </c>
      <c r="AF3051">
        <v>-14.4545522826403</v>
      </c>
      <c r="AG3051">
        <v>-1.0968067699999999</v>
      </c>
      <c r="AH3051">
        <v>105.94176162776</v>
      </c>
      <c r="AI3051">
        <v>90.5877128555382</v>
      </c>
      <c r="AJ3051">
        <v>97.769386194437701</v>
      </c>
      <c r="AK3051">
        <v>106.928919958893</v>
      </c>
      <c r="AL3051">
        <v>79.423027436256902</v>
      </c>
      <c r="AM3051">
        <v>92.409571707829798</v>
      </c>
      <c r="AN3051">
        <v>1.0000000569463099</v>
      </c>
    </row>
    <row r="3052" spans="1:40" x14ac:dyDescent="0.25">
      <c r="A3052" t="str">
        <f>"20190312172138881"</f>
        <v>20190312172138881</v>
      </c>
      <c r="B3052" t="str">
        <f>"1552382498873696"</f>
        <v>1552382498873696</v>
      </c>
      <c r="C3052" t="s">
        <v>40</v>
      </c>
      <c r="D3052">
        <v>2.9935900000000002</v>
      </c>
      <c r="E3052">
        <v>0.46428350000000002</v>
      </c>
      <c r="F3052" t="s">
        <v>45</v>
      </c>
      <c r="G3052">
        <v>-499.95780000000002</v>
      </c>
      <c r="H3052">
        <v>4.2172729999999999E-2</v>
      </c>
      <c r="I3052">
        <v>273.16199999999998</v>
      </c>
      <c r="J3052">
        <v>-393.89830000000001</v>
      </c>
      <c r="K3052">
        <v>1.1092390000000001</v>
      </c>
      <c r="L3052">
        <v>284.2595</v>
      </c>
      <c r="M3052">
        <v>-0.99947140000000001</v>
      </c>
      <c r="N3052">
        <v>0</v>
      </c>
      <c r="O3052">
        <v>3.0973319999999999E-2</v>
      </c>
      <c r="P3052">
        <v>-0.98469229999999996</v>
      </c>
      <c r="Q3052">
        <v>0.1739715</v>
      </c>
      <c r="R3052">
        <v>-1.074496E-2</v>
      </c>
      <c r="S3052">
        <v>-3.0484309999999999</v>
      </c>
      <c r="T3052">
        <v>-3.058553E-2</v>
      </c>
      <c r="U3052">
        <v>-0.31784059999999997</v>
      </c>
      <c r="V3052">
        <v>-4.1184800000000001E-2</v>
      </c>
      <c r="W3052">
        <v>0.18369079999999999</v>
      </c>
      <c r="X3052">
        <v>0.98212089999999996</v>
      </c>
      <c r="Y3052">
        <v>-0.1344513</v>
      </c>
      <c r="Z3052">
        <v>-9.826651E-4</v>
      </c>
      <c r="AA3052">
        <v>0.99091969999999996</v>
      </c>
      <c r="AB3052">
        <v>47</v>
      </c>
      <c r="AC3052">
        <v>-106.0595</v>
      </c>
      <c r="AD3052">
        <v>-1.06706626999999</v>
      </c>
      <c r="AE3052">
        <v>-11.097499999999901</v>
      </c>
      <c r="AF3052">
        <v>-14.375910710954001</v>
      </c>
      <c r="AG3052">
        <v>-1.06706626999999</v>
      </c>
      <c r="AH3052">
        <v>105.65428679831901</v>
      </c>
      <c r="AI3052">
        <v>90.573362040792503</v>
      </c>
      <c r="AJ3052">
        <v>97.748399148883095</v>
      </c>
      <c r="AK3052">
        <v>106.633173815916</v>
      </c>
      <c r="AL3052">
        <v>79.415187031127005</v>
      </c>
      <c r="AM3052">
        <v>92.401265960260901</v>
      </c>
      <c r="AN3052">
        <v>0.99999997998624401</v>
      </c>
    </row>
    <row r="3053" spans="1:40" x14ac:dyDescent="0.25">
      <c r="A3053" t="str">
        <f>"20190312172138902"</f>
        <v>20190312172138902</v>
      </c>
      <c r="B3053" t="str">
        <f>"1552382498893220"</f>
        <v>1552382498893220</v>
      </c>
      <c r="C3053" t="s">
        <v>40</v>
      </c>
      <c r="D3053">
        <v>3.0969570000000002</v>
      </c>
      <c r="E3053">
        <v>0.48450929999999998</v>
      </c>
      <c r="F3053" t="s">
        <v>45</v>
      </c>
      <c r="G3053">
        <v>-499.95780000000002</v>
      </c>
      <c r="H3053">
        <v>3.8985220000000001E-2</v>
      </c>
      <c r="I3053">
        <v>273.18830000000003</v>
      </c>
      <c r="J3053">
        <v>-394.31189999999998</v>
      </c>
      <c r="K3053">
        <v>1.109308</v>
      </c>
      <c r="L3053">
        <v>284.2722</v>
      </c>
      <c r="M3053">
        <v>-0.99947319999999995</v>
      </c>
      <c r="N3053">
        <v>0</v>
      </c>
      <c r="O3053">
        <v>3.0892929999999999E-2</v>
      </c>
      <c r="P3053">
        <v>-0.98468080000000002</v>
      </c>
      <c r="Q3053">
        <v>0.17404620000000001</v>
      </c>
      <c r="R3053">
        <v>-1.0575559999999999E-2</v>
      </c>
      <c r="S3053">
        <v>-3.048645</v>
      </c>
      <c r="T3053">
        <v>-3.0764099999999999E-2</v>
      </c>
      <c r="U3053">
        <v>-0.3182373</v>
      </c>
      <c r="V3053">
        <v>-4.0958759999999997E-2</v>
      </c>
      <c r="W3053">
        <v>0.18385119999999999</v>
      </c>
      <c r="X3053">
        <v>0.98210039999999998</v>
      </c>
      <c r="Y3053">
        <v>-0.134492</v>
      </c>
      <c r="Z3053">
        <v>-9.8772230000000001E-4</v>
      </c>
      <c r="AA3053">
        <v>0.99091419999999997</v>
      </c>
      <c r="AB3053">
        <v>47</v>
      </c>
      <c r="AC3053">
        <v>-105.6459</v>
      </c>
      <c r="AD3053">
        <v>-1.0703227799999999</v>
      </c>
      <c r="AE3053">
        <v>-11.0838999999999</v>
      </c>
      <c r="AF3053">
        <v>-14.341026039724699</v>
      </c>
      <c r="AG3053">
        <v>-1.0703227799999999</v>
      </c>
      <c r="AH3053">
        <v>105.242354426864</v>
      </c>
      <c r="AI3053">
        <v>90.577347118767193</v>
      </c>
      <c r="AJ3053">
        <v>97.759712067055702</v>
      </c>
      <c r="AK3053">
        <v>106.22035484800099</v>
      </c>
      <c r="AL3053">
        <v>79.405838197947503</v>
      </c>
      <c r="AM3053">
        <v>92.388151864818894</v>
      </c>
      <c r="AN3053">
        <v>1.0000000397211599</v>
      </c>
    </row>
    <row r="3054" spans="1:40" x14ac:dyDescent="0.25">
      <c r="A3054" t="str">
        <f>"20190312172138914"</f>
        <v>20190312172138914</v>
      </c>
      <c r="B3054" t="str">
        <f>"1552382498903952"</f>
        <v>1552382498903952</v>
      </c>
      <c r="C3054" t="s">
        <v>40</v>
      </c>
      <c r="D3054">
        <v>3.074665</v>
      </c>
      <c r="E3054">
        <v>0.49373630000000002</v>
      </c>
      <c r="F3054" t="s">
        <v>47</v>
      </c>
      <c r="G3054">
        <v>-438.49970000000002</v>
      </c>
      <c r="H3054" s="1">
        <v>6.2134619999999899E-6</v>
      </c>
      <c r="I3054">
        <v>282.01749999999998</v>
      </c>
      <c r="J3054">
        <v>-394.6062</v>
      </c>
      <c r="K3054">
        <v>1.109389</v>
      </c>
      <c r="L3054">
        <v>284.28129999999999</v>
      </c>
      <c r="M3054">
        <v>-0.99947430000000004</v>
      </c>
      <c r="N3054">
        <v>0</v>
      </c>
      <c r="O3054">
        <v>3.079747E-2</v>
      </c>
      <c r="P3054">
        <v>-0.98466520000000002</v>
      </c>
      <c r="Q3054">
        <v>0.1741297</v>
      </c>
      <c r="R3054">
        <v>-1.064642E-2</v>
      </c>
      <c r="S3054">
        <v>-3.0585330000000002</v>
      </c>
      <c r="T3054">
        <v>-7.6782110000000001E-2</v>
      </c>
      <c r="U3054">
        <v>-0.15606689999999901</v>
      </c>
      <c r="V3054">
        <v>-4.0954560000000001E-2</v>
      </c>
      <c r="W3054">
        <v>0.1840897</v>
      </c>
      <c r="X3054">
        <v>0.98205580000000003</v>
      </c>
      <c r="Y3054">
        <v>-8.165994E-2</v>
      </c>
      <c r="Z3054">
        <v>-1.7968000000000001E-3</v>
      </c>
      <c r="AA3054">
        <v>0.99665859999999995</v>
      </c>
      <c r="AB3054">
        <v>47</v>
      </c>
      <c r="AC3054">
        <v>-43.893500000000003</v>
      </c>
      <c r="AD3054">
        <v>-1.1093827865379999</v>
      </c>
      <c r="AE3054">
        <v>-2.2637999999999998</v>
      </c>
      <c r="AF3054">
        <v>-3.6123027709431299</v>
      </c>
      <c r="AG3054">
        <v>-1.1093827865379999</v>
      </c>
      <c r="AH3054">
        <v>43.775064721266197</v>
      </c>
      <c r="AI3054">
        <v>91.446809280841904</v>
      </c>
      <c r="AJ3054">
        <v>94.717339160347393</v>
      </c>
      <c r="AK3054">
        <v>43.9378624062103</v>
      </c>
      <c r="AL3054">
        <v>79.391934839461399</v>
      </c>
      <c r="AM3054">
        <v>92.3880155831488</v>
      </c>
      <c r="AN3054">
        <v>0.99999994397226</v>
      </c>
    </row>
    <row r="3055" spans="1:40" x14ac:dyDescent="0.25">
      <c r="A3055" t="str">
        <f>"20190312172138927"</f>
        <v>20190312172138927</v>
      </c>
      <c r="B3055" t="str">
        <f>"1552382498923472"</f>
        <v>1552382498923472</v>
      </c>
      <c r="C3055" t="s">
        <v>40</v>
      </c>
      <c r="D3055">
        <v>3.091523</v>
      </c>
      <c r="E3055">
        <v>0.50313949999999996</v>
      </c>
      <c r="F3055" t="s">
        <v>47</v>
      </c>
      <c r="G3055">
        <v>-436.37490000000003</v>
      </c>
      <c r="H3055" s="1">
        <v>5.1716949999999996E-6</v>
      </c>
      <c r="I3055">
        <v>283.15539999999999</v>
      </c>
      <c r="J3055">
        <v>-394.85930000000002</v>
      </c>
      <c r="K3055">
        <v>1.1094649999999999</v>
      </c>
      <c r="L3055">
        <v>284.28899999999999</v>
      </c>
      <c r="M3055">
        <v>-0.99947609999999998</v>
      </c>
      <c r="N3055">
        <v>0</v>
      </c>
      <c r="O3055">
        <v>3.0691639999999999E-2</v>
      </c>
      <c r="P3055">
        <v>-0.98470040000000003</v>
      </c>
      <c r="Q3055">
        <v>0.17391699999999999</v>
      </c>
      <c r="R3055">
        <v>-1.0863299999999999E-2</v>
      </c>
      <c r="S3055">
        <v>-3.0602109999999998</v>
      </c>
      <c r="T3055">
        <v>-8.1279870000000004E-2</v>
      </c>
      <c r="U3055">
        <v>-8.2489010000000001E-2</v>
      </c>
      <c r="V3055">
        <v>-4.1085730000000001E-2</v>
      </c>
      <c r="W3055">
        <v>0.1840241</v>
      </c>
      <c r="X3055">
        <v>0.98206269999999996</v>
      </c>
      <c r="Y3055">
        <v>-5.7583849999999999E-2</v>
      </c>
      <c r="Z3055">
        <v>-1.579362E-3</v>
      </c>
      <c r="AA3055">
        <v>0.99833939999999999</v>
      </c>
      <c r="AB3055">
        <v>47</v>
      </c>
      <c r="AC3055">
        <v>-41.515599999999999</v>
      </c>
      <c r="AD3055">
        <v>-1.1094598283049999</v>
      </c>
      <c r="AE3055">
        <v>-1.1335999999999999</v>
      </c>
      <c r="AF3055">
        <v>-2.4055982825542599</v>
      </c>
      <c r="AG3055">
        <v>-1.1094598283049999</v>
      </c>
      <c r="AH3055">
        <v>41.431678939467098</v>
      </c>
      <c r="AI3055">
        <v>91.531325260878901</v>
      </c>
      <c r="AJ3055">
        <v>93.322965932855894</v>
      </c>
      <c r="AK3055">
        <v>41.516283840810303</v>
      </c>
      <c r="AL3055">
        <v>79.395759659455194</v>
      </c>
      <c r="AM3055">
        <v>92.395638253133399</v>
      </c>
      <c r="AN3055">
        <v>1.00000002666086</v>
      </c>
    </row>
    <row r="3056" spans="1:40" x14ac:dyDescent="0.25">
      <c r="A3056" t="str">
        <f>"20190312172138941"</f>
        <v>20190312172138941</v>
      </c>
      <c r="B3056" t="str">
        <f>"1552382498933233"</f>
        <v>1552382498933233</v>
      </c>
      <c r="C3056" t="s">
        <v>40</v>
      </c>
      <c r="D3056">
        <v>3.0815640000000002</v>
      </c>
      <c r="E3056">
        <v>0.50563199999999997</v>
      </c>
      <c r="F3056" t="s">
        <v>47</v>
      </c>
      <c r="G3056">
        <v>-434.41759999999999</v>
      </c>
      <c r="H3056" s="1">
        <v>4.2137559999999998E-6</v>
      </c>
      <c r="I3056">
        <v>284.18450000000001</v>
      </c>
      <c r="J3056">
        <v>-395.15719999999999</v>
      </c>
      <c r="K3056">
        <v>1.1095539999999999</v>
      </c>
      <c r="L3056">
        <v>284.298</v>
      </c>
      <c r="M3056">
        <v>-0.99947850000000005</v>
      </c>
      <c r="N3056">
        <v>0</v>
      </c>
      <c r="O3056">
        <v>3.0544249999999998E-2</v>
      </c>
      <c r="P3056">
        <v>-0.98473730000000004</v>
      </c>
      <c r="Q3056">
        <v>0.1737012</v>
      </c>
      <c r="R3056">
        <v>-1.0969329999999999E-2</v>
      </c>
      <c r="S3056">
        <v>-3.0616759999999998</v>
      </c>
      <c r="T3056">
        <v>-8.5868600000000003E-2</v>
      </c>
      <c r="U3056">
        <v>-8.0871580000000005E-3</v>
      </c>
      <c r="V3056">
        <v>-4.1069109999999999E-2</v>
      </c>
      <c r="W3056">
        <v>0.18399219999999999</v>
      </c>
      <c r="X3056">
        <v>0.98206930000000003</v>
      </c>
      <c r="Y3056">
        <v>-3.3160950000000002E-2</v>
      </c>
      <c r="Z3056">
        <v>-1.321366E-3</v>
      </c>
      <c r="AA3056">
        <v>0.99944909999999998</v>
      </c>
      <c r="AB3056">
        <v>47</v>
      </c>
      <c r="AC3056">
        <v>-39.260399999999997</v>
      </c>
      <c r="AD3056">
        <v>-1.109549786244</v>
      </c>
      <c r="AE3056">
        <v>-0.113499999999987</v>
      </c>
      <c r="AF3056">
        <v>-1.3116447330177501</v>
      </c>
      <c r="AG3056">
        <v>-1.109549786244</v>
      </c>
      <c r="AH3056">
        <v>39.2072980926865</v>
      </c>
      <c r="AI3056">
        <v>91.620107580868606</v>
      </c>
      <c r="AJ3056">
        <v>91.916063944169807</v>
      </c>
      <c r="AK3056">
        <v>39.244919879681099</v>
      </c>
      <c r="AL3056">
        <v>79.397618385287799</v>
      </c>
      <c r="AM3056">
        <v>92.394654223234696</v>
      </c>
      <c r="AN3056">
        <v>0.99999995572975997</v>
      </c>
    </row>
    <row r="3057" spans="1:40" x14ac:dyDescent="0.25">
      <c r="A3057" t="str">
        <f>"20190312172138956"</f>
        <v>20190312172138956</v>
      </c>
      <c r="B3057" t="str">
        <f>"1552382498953728"</f>
        <v>1552382498953728</v>
      </c>
      <c r="C3057" t="s">
        <v>40</v>
      </c>
      <c r="D3057">
        <v>3.1031710000000001</v>
      </c>
      <c r="E3057">
        <v>0.50878259999999997</v>
      </c>
      <c r="F3057" t="s">
        <v>47</v>
      </c>
      <c r="G3057">
        <v>-433.7645</v>
      </c>
      <c r="H3057" s="1">
        <v>3.9013100000000001E-6</v>
      </c>
      <c r="I3057">
        <v>284.44580000000002</v>
      </c>
      <c r="J3057">
        <v>-395.48090000000002</v>
      </c>
      <c r="K3057">
        <v>1.1096549999999901</v>
      </c>
      <c r="L3057">
        <v>284.30779999999999</v>
      </c>
      <c r="M3057">
        <v>-0.99948269999999995</v>
      </c>
      <c r="N3057">
        <v>0</v>
      </c>
      <c r="O3057">
        <v>3.0333800000000001E-2</v>
      </c>
      <c r="P3057">
        <v>-0.98473920000000004</v>
      </c>
      <c r="Q3057">
        <v>0.17366899999999999</v>
      </c>
      <c r="R3057">
        <v>-1.130959E-2</v>
      </c>
      <c r="S3057">
        <v>-3.0621640000000001</v>
      </c>
      <c r="T3057">
        <v>-8.8004589999999994E-2</v>
      </c>
      <c r="U3057">
        <v>1.171875E-2</v>
      </c>
      <c r="V3057">
        <v>-4.1229340000000003E-2</v>
      </c>
      <c r="W3057">
        <v>0.18416150000000001</v>
      </c>
      <c r="X3057">
        <v>0.98203090000000004</v>
      </c>
      <c r="Y3057">
        <v>-2.6486699999999998E-2</v>
      </c>
      <c r="Z3057">
        <v>-1.252052E-3</v>
      </c>
      <c r="AA3057">
        <v>0.99964839999999999</v>
      </c>
      <c r="AB3057">
        <v>47</v>
      </c>
      <c r="AC3057">
        <v>-38.2835999999999</v>
      </c>
      <c r="AD3057">
        <v>-1.1096510986899999</v>
      </c>
      <c r="AE3057">
        <v>0.13800000000003301</v>
      </c>
      <c r="AF3057">
        <v>-1.0225578162186499</v>
      </c>
      <c r="AG3057">
        <v>-1.1096510986899999</v>
      </c>
      <c r="AH3057">
        <v>38.238042539657499</v>
      </c>
      <c r="AI3057">
        <v>91.661637998433307</v>
      </c>
      <c r="AJ3057">
        <v>91.531832782835494</v>
      </c>
      <c r="AK3057">
        <v>38.267804317898701</v>
      </c>
      <c r="AL3057">
        <v>79.3877500723016</v>
      </c>
      <c r="AM3057">
        <v>92.404079852918699</v>
      </c>
      <c r="AN3057">
        <v>1.00000000255694</v>
      </c>
    </row>
    <row r="3058" spans="1:40" x14ac:dyDescent="0.25">
      <c r="A3058" t="str">
        <f>"20190312172138968"</f>
        <v>20190312172138968</v>
      </c>
      <c r="B3058" t="str">
        <f>"1552382498963489"</f>
        <v>1552382498963489</v>
      </c>
      <c r="C3058" t="s">
        <v>40</v>
      </c>
      <c r="D3058">
        <v>3.0970209999999998</v>
      </c>
      <c r="E3058">
        <v>0.5097758</v>
      </c>
      <c r="F3058" t="s">
        <v>47</v>
      </c>
      <c r="G3058">
        <v>-432.28320000000002</v>
      </c>
      <c r="H3058" s="1">
        <v>3.2189779999999998E-6</v>
      </c>
      <c r="I3058">
        <v>284.73680000000002</v>
      </c>
      <c r="J3058">
        <v>-395.71620000000001</v>
      </c>
      <c r="K3058">
        <v>1.109726</v>
      </c>
      <c r="L3058">
        <v>284.31490000000002</v>
      </c>
      <c r="M3058">
        <v>-0.9994866</v>
      </c>
      <c r="N3058">
        <v>0</v>
      </c>
      <c r="O3058">
        <v>3.0153030000000001E-2</v>
      </c>
      <c r="P3058">
        <v>-0.98473429999999995</v>
      </c>
      <c r="Q3058">
        <v>0.17368329999999901</v>
      </c>
      <c r="R3058">
        <v>-1.1523719999999999E-2</v>
      </c>
      <c r="S3058">
        <v>-3.063202</v>
      </c>
      <c r="T3058">
        <v>-9.2360620000000004E-2</v>
      </c>
      <c r="U3058">
        <v>3.5705569999999999E-2</v>
      </c>
      <c r="V3058">
        <v>-4.128569E-2</v>
      </c>
      <c r="W3058">
        <v>0.18431990000000001</v>
      </c>
      <c r="X3058">
        <v>0.98199879999999995</v>
      </c>
      <c r="Y3058">
        <v>-1.8480460000000001E-2</v>
      </c>
      <c r="Z3058">
        <v>-1.1873719999999999E-3</v>
      </c>
      <c r="AA3058">
        <v>0.99982850000000001</v>
      </c>
      <c r="AB3058">
        <v>47</v>
      </c>
      <c r="AC3058">
        <v>-36.567</v>
      </c>
      <c r="AD3058">
        <v>-1.1097227810220001</v>
      </c>
      <c r="AE3058">
        <v>0.421899999999993</v>
      </c>
      <c r="AF3058">
        <v>-0.68033590914043196</v>
      </c>
      <c r="AG3058">
        <v>-1.1097227810220001</v>
      </c>
      <c r="AH3058">
        <v>36.529454694170099</v>
      </c>
      <c r="AI3058">
        <v>91.739743157299998</v>
      </c>
      <c r="AJ3058">
        <v>91.066971038403494</v>
      </c>
      <c r="AK3058">
        <v>36.552638780988303</v>
      </c>
      <c r="AL3058">
        <v>79.378516198797797</v>
      </c>
      <c r="AM3058">
        <v>92.407440354584494</v>
      </c>
      <c r="AN3058">
        <v>0.999999988468113</v>
      </c>
    </row>
    <row r="3059" spans="1:40" x14ac:dyDescent="0.25">
      <c r="A3059" t="str">
        <f>"20190312172138983"</f>
        <v>20190312172138983</v>
      </c>
      <c r="B3059" t="str">
        <f>"1552382498973249"</f>
        <v>1552382498973249</v>
      </c>
      <c r="C3059" t="s">
        <v>40</v>
      </c>
      <c r="D3059">
        <v>3.0581100000000001</v>
      </c>
      <c r="E3059">
        <v>0.51051820000000003</v>
      </c>
      <c r="F3059" t="s">
        <v>47</v>
      </c>
      <c r="G3059">
        <v>-432.18669999999997</v>
      </c>
      <c r="H3059" s="1">
        <v>3.1682559999999999E-6</v>
      </c>
      <c r="I3059">
        <v>284.82749999999999</v>
      </c>
      <c r="J3059">
        <v>-396.01990000000001</v>
      </c>
      <c r="K3059">
        <v>1.109818</v>
      </c>
      <c r="L3059">
        <v>284.32389999999998</v>
      </c>
      <c r="M3059">
        <v>-0.99949219999999905</v>
      </c>
      <c r="N3059">
        <v>0</v>
      </c>
      <c r="O3059">
        <v>2.989636E-2</v>
      </c>
      <c r="P3059">
        <v>-0.98474819999999996</v>
      </c>
      <c r="Q3059">
        <v>0.1735844</v>
      </c>
      <c r="R3059">
        <v>-1.1814750000000001E-2</v>
      </c>
      <c r="S3059">
        <v>-3.0634160000000001</v>
      </c>
      <c r="T3059">
        <v>-9.3213320000000002E-2</v>
      </c>
      <c r="U3059">
        <v>4.3060300000000003E-2</v>
      </c>
      <c r="V3059">
        <v>-4.1351989999999998E-2</v>
      </c>
      <c r="W3059">
        <v>0.1844047</v>
      </c>
      <c r="X3059">
        <v>0.98198010000000002</v>
      </c>
      <c r="Y3059">
        <v>-1.582544E-2</v>
      </c>
      <c r="Z3059">
        <v>-1.1500340000000001E-3</v>
      </c>
      <c r="AA3059">
        <v>0.99987409999999999</v>
      </c>
      <c r="AB3059">
        <v>47</v>
      </c>
      <c r="AC3059">
        <v>-36.166799999999903</v>
      </c>
      <c r="AD3059">
        <v>-1.109814831744</v>
      </c>
      <c r="AE3059">
        <v>0.50360000000000504</v>
      </c>
      <c r="AF3059">
        <v>-0.577402931368724</v>
      </c>
      <c r="AG3059">
        <v>-1.109814831744</v>
      </c>
      <c r="AH3059">
        <v>36.131672221028602</v>
      </c>
      <c r="AI3059">
        <v>91.759110651108003</v>
      </c>
      <c r="AJ3059">
        <v>90.915538452893301</v>
      </c>
      <c r="AK3059">
        <v>36.153323783488602</v>
      </c>
      <c r="AL3059">
        <v>79.373572887479796</v>
      </c>
      <c r="AM3059">
        <v>92.411347727751505</v>
      </c>
      <c r="AN3059">
        <v>0.99999999862752997</v>
      </c>
    </row>
    <row r="3060" spans="1:40" x14ac:dyDescent="0.25">
      <c r="A3060" t="str">
        <f>"20190312172139002"</f>
        <v>20190312172139002</v>
      </c>
      <c r="B3060" t="str">
        <f>"1552382498993744"</f>
        <v>1552382498993744</v>
      </c>
      <c r="C3060" t="s">
        <v>40</v>
      </c>
      <c r="D3060">
        <v>3.0843829999999999</v>
      </c>
      <c r="E3060">
        <v>0.51174209999999998</v>
      </c>
      <c r="F3060" t="s">
        <v>47</v>
      </c>
      <c r="G3060">
        <v>-431.73149999999998</v>
      </c>
      <c r="H3060" s="1">
        <v>2.9615660000000001E-6</v>
      </c>
      <c r="I3060">
        <v>284.8827</v>
      </c>
      <c r="J3060">
        <v>-396.44240000000002</v>
      </c>
      <c r="K3060">
        <v>1.109942</v>
      </c>
      <c r="L3060">
        <v>284.33620000000002</v>
      </c>
      <c r="M3060">
        <v>-0.999502</v>
      </c>
      <c r="N3060">
        <v>0</v>
      </c>
      <c r="O3060">
        <v>2.9466570000000001E-2</v>
      </c>
      <c r="P3060">
        <v>-0.98477890000000001</v>
      </c>
      <c r="Q3060">
        <v>0.17335970000000001</v>
      </c>
      <c r="R3060">
        <v>-1.253393E-2</v>
      </c>
      <c r="S3060">
        <v>-3.0637819999999998</v>
      </c>
      <c r="T3060">
        <v>-9.5213409999999998E-2</v>
      </c>
      <c r="U3060">
        <v>4.7943119999999999E-2</v>
      </c>
      <c r="V3060">
        <v>-4.1689419999999998E-2</v>
      </c>
      <c r="W3060">
        <v>0.1844258</v>
      </c>
      <c r="X3060">
        <v>0.98196190000000005</v>
      </c>
      <c r="Y3060">
        <v>-1.380433E-2</v>
      </c>
      <c r="Z3060">
        <v>-1.1297989999999999E-3</v>
      </c>
      <c r="AA3060">
        <v>0.99990409999999996</v>
      </c>
      <c r="AB3060">
        <v>47</v>
      </c>
      <c r="AC3060">
        <v>-35.289099999999898</v>
      </c>
      <c r="AD3060">
        <v>-1.109939038434</v>
      </c>
      <c r="AE3060">
        <v>0.54649999999998</v>
      </c>
      <c r="AF3060">
        <v>-0.49316459863343198</v>
      </c>
      <c r="AG3060">
        <v>-1.109939038434</v>
      </c>
      <c r="AH3060">
        <v>35.2550102959203</v>
      </c>
      <c r="AI3060">
        <v>91.803080126470704</v>
      </c>
      <c r="AJ3060">
        <v>90.801429556922002</v>
      </c>
      <c r="AK3060">
        <v>35.275925600270703</v>
      </c>
      <c r="AL3060">
        <v>79.372343167896901</v>
      </c>
      <c r="AM3060">
        <v>92.431045686822799</v>
      </c>
      <c r="AN3060">
        <v>1.0000000282485899</v>
      </c>
    </row>
    <row r="3061" spans="1:40" x14ac:dyDescent="0.25">
      <c r="A3061" t="str">
        <f>"20190312172139014"</f>
        <v>20190312172139014</v>
      </c>
      <c r="B3061" t="str">
        <f>"1552382499003504"</f>
        <v>1552382499003504</v>
      </c>
      <c r="C3061" t="s">
        <v>40</v>
      </c>
      <c r="D3061">
        <v>3.1280260000000002</v>
      </c>
      <c r="E3061">
        <v>0.51231359999999904</v>
      </c>
      <c r="F3061" t="s">
        <v>47</v>
      </c>
      <c r="G3061">
        <v>-430.98989999999998</v>
      </c>
      <c r="H3061" s="1">
        <v>2.6258030000000002E-6</v>
      </c>
      <c r="I3061">
        <v>284.96140000000003</v>
      </c>
      <c r="J3061">
        <v>-396.70839999999998</v>
      </c>
      <c r="K3061">
        <v>1.110017</v>
      </c>
      <c r="L3061">
        <v>284.34379999999999</v>
      </c>
      <c r="M3061">
        <v>-0.99950939999999999</v>
      </c>
      <c r="N3061">
        <v>0</v>
      </c>
      <c r="O3061">
        <v>2.915649E-2</v>
      </c>
      <c r="P3061">
        <v>-0.9848036</v>
      </c>
      <c r="Q3061">
        <v>0.1731885</v>
      </c>
      <c r="R3061">
        <v>-1.296023E-2</v>
      </c>
      <c r="S3061">
        <v>-3.0644230000000001</v>
      </c>
      <c r="T3061">
        <v>-9.8453399999999996E-2</v>
      </c>
      <c r="U3061">
        <v>5.5450439999999997E-2</v>
      </c>
      <c r="V3061">
        <v>-4.1836159999999997E-2</v>
      </c>
      <c r="W3061">
        <v>0.18440190000000001</v>
      </c>
      <c r="X3061">
        <v>0.9819601</v>
      </c>
      <c r="Y3061">
        <v>-1.104865E-2</v>
      </c>
      <c r="Z3061">
        <v>-1.1137429999999999E-3</v>
      </c>
      <c r="AA3061">
        <v>0.99993840000000001</v>
      </c>
      <c r="AB3061">
        <v>47</v>
      </c>
      <c r="AC3061">
        <v>-34.281499999999902</v>
      </c>
      <c r="AD3061">
        <v>-1.1100143741969899</v>
      </c>
      <c r="AE3061">
        <v>0.61760000000003801</v>
      </c>
      <c r="AF3061">
        <v>-0.38185600036124401</v>
      </c>
      <c r="AG3061">
        <v>-1.1100143741969899</v>
      </c>
      <c r="AH3061">
        <v>34.249035941387397</v>
      </c>
      <c r="AI3061">
        <v>91.856196362471394</v>
      </c>
      <c r="AJ3061">
        <v>90.638786759806194</v>
      </c>
      <c r="AK3061">
        <v>34.2691466020148</v>
      </c>
      <c r="AL3061">
        <v>79.373735930782999</v>
      </c>
      <c r="AM3061">
        <v>92.439596719698599</v>
      </c>
      <c r="AN3061">
        <v>0.99999998149958202</v>
      </c>
    </row>
    <row r="3062" spans="1:40" x14ac:dyDescent="0.25">
      <c r="A3062" t="str">
        <f>"20190312172139028"</f>
        <v>20190312172139028</v>
      </c>
      <c r="B3062" t="str">
        <f>"1552382499023135"</f>
        <v>1552382499023135</v>
      </c>
      <c r="C3062" t="s">
        <v>40</v>
      </c>
      <c r="D3062">
        <v>3.0746150000000001</v>
      </c>
      <c r="E3062">
        <v>0.51314689999999996</v>
      </c>
      <c r="F3062" t="s">
        <v>47</v>
      </c>
      <c r="G3062">
        <v>-430.79829999999998</v>
      </c>
      <c r="H3062" s="1">
        <v>2.5375369999999998E-6</v>
      </c>
      <c r="I3062">
        <v>284.99930000000001</v>
      </c>
      <c r="J3062">
        <v>-396.98169999999999</v>
      </c>
      <c r="K3062">
        <v>1.110093</v>
      </c>
      <c r="L3062">
        <v>284.35160000000002</v>
      </c>
      <c r="M3062">
        <v>-0.99951769999999995</v>
      </c>
      <c r="N3062">
        <v>0</v>
      </c>
      <c r="O3062">
        <v>2.88121E-2</v>
      </c>
      <c r="P3062">
        <v>-0.98482130000000001</v>
      </c>
      <c r="Q3062">
        <v>0.1730525</v>
      </c>
      <c r="R3062">
        <v>-1.3420130000000001E-2</v>
      </c>
      <c r="S3062">
        <v>-3.0646059999999999</v>
      </c>
      <c r="T3062">
        <v>-9.9787589999999995E-2</v>
      </c>
      <c r="U3062">
        <v>5.892944E-2</v>
      </c>
      <c r="V3062">
        <v>-4.1983140000000002E-2</v>
      </c>
      <c r="W3062">
        <v>0.1844094</v>
      </c>
      <c r="X3062">
        <v>0.98195239999999995</v>
      </c>
      <c r="Y3062">
        <v>-9.5708749999999995E-3</v>
      </c>
      <c r="Z3062">
        <v>-1.0934899999999999E-3</v>
      </c>
      <c r="AA3062">
        <v>0.9999536</v>
      </c>
      <c r="AB3062">
        <v>47</v>
      </c>
      <c r="AC3062">
        <v>-33.816599999999902</v>
      </c>
      <c r="AD3062">
        <v>-1.1100904624629999</v>
      </c>
      <c r="AE3062">
        <v>0.64769999999998595</v>
      </c>
      <c r="AF3062">
        <v>-0.32660976634636801</v>
      </c>
      <c r="AG3062">
        <v>-1.1100904624629999</v>
      </c>
      <c r="AH3062">
        <v>33.784828723014797</v>
      </c>
      <c r="AI3062">
        <v>91.881840387049607</v>
      </c>
      <c r="AJ3062">
        <v>90.553881103750399</v>
      </c>
      <c r="AK3062">
        <v>33.804639128642897</v>
      </c>
      <c r="AL3062">
        <v>79.373298519247797</v>
      </c>
      <c r="AM3062">
        <v>92.448176344996298</v>
      </c>
      <c r="AN3062">
        <v>0.99999996335918895</v>
      </c>
    </row>
    <row r="3063" spans="1:40" x14ac:dyDescent="0.25">
      <c r="A3063" t="str">
        <f>"20190312172139047"</f>
        <v>20190312172139047</v>
      </c>
      <c r="B3063" t="str">
        <f>"1552382499043631"</f>
        <v>1552382499043631</v>
      </c>
      <c r="C3063" t="s">
        <v>40</v>
      </c>
      <c r="D3063">
        <v>3.0669970000000002</v>
      </c>
      <c r="E3063">
        <v>0.51374319999999996</v>
      </c>
      <c r="F3063" t="s">
        <v>47</v>
      </c>
      <c r="G3063">
        <v>-430.40660000000003</v>
      </c>
      <c r="H3063" s="1">
        <v>2.359091E-6</v>
      </c>
      <c r="I3063">
        <v>285.05309999999997</v>
      </c>
      <c r="J3063">
        <v>-397.3768</v>
      </c>
      <c r="K3063">
        <v>1.110195</v>
      </c>
      <c r="L3063">
        <v>284.36259999999999</v>
      </c>
      <c r="M3063">
        <v>-0.99953069999999999</v>
      </c>
      <c r="N3063">
        <v>0</v>
      </c>
      <c r="O3063">
        <v>2.826712E-2</v>
      </c>
      <c r="P3063">
        <v>-0.98479320000000004</v>
      </c>
      <c r="Q3063">
        <v>0.17315549999999999</v>
      </c>
      <c r="R3063">
        <v>-1.4126929999999999E-2</v>
      </c>
      <c r="S3063">
        <v>-3.0650019999999998</v>
      </c>
      <c r="T3063">
        <v>-0.1017935</v>
      </c>
      <c r="U3063">
        <v>6.4331050000000001E-2</v>
      </c>
      <c r="V3063">
        <v>-4.2190030000000003E-2</v>
      </c>
      <c r="W3063">
        <v>0.18470739999999999</v>
      </c>
      <c r="X3063">
        <v>0.98188759999999997</v>
      </c>
      <c r="Y3063">
        <v>-7.267384E-3</v>
      </c>
      <c r="Z3063">
        <v>-1.05897E-3</v>
      </c>
      <c r="AA3063">
        <v>0.99997309999999995</v>
      </c>
      <c r="AB3063">
        <v>47</v>
      </c>
      <c r="AC3063">
        <v>-33.029800000000002</v>
      </c>
      <c r="AD3063">
        <v>-1.1101926409089999</v>
      </c>
      <c r="AE3063">
        <v>0.69049999999998501</v>
      </c>
      <c r="AF3063">
        <v>-0.24322367466584299</v>
      </c>
      <c r="AG3063">
        <v>-1.1101926409089999</v>
      </c>
      <c r="AH3063">
        <v>32.998855046793103</v>
      </c>
      <c r="AI3063">
        <v>91.926843941671194</v>
      </c>
      <c r="AJ3063">
        <v>90.422300642373798</v>
      </c>
      <c r="AK3063">
        <v>33.018420917044303</v>
      </c>
      <c r="AL3063">
        <v>79.355926774446502</v>
      </c>
      <c r="AM3063">
        <v>92.460388164460099</v>
      </c>
      <c r="AN3063">
        <v>1.0000000406399501</v>
      </c>
    </row>
    <row r="3064" spans="1:40" x14ac:dyDescent="0.25">
      <c r="A3064" t="str">
        <f>"20190312172139069"</f>
        <v>20190312172139069</v>
      </c>
      <c r="B3064" t="str">
        <f>"1552382499063151"</f>
        <v>1552382499063151</v>
      </c>
      <c r="C3064" t="s">
        <v>40</v>
      </c>
      <c r="D3064">
        <v>3.093696</v>
      </c>
      <c r="E3064">
        <v>0.5142371</v>
      </c>
      <c r="F3064" t="s">
        <v>47</v>
      </c>
      <c r="G3064">
        <v>-430.69150000000002</v>
      </c>
      <c r="H3064" s="1">
        <v>2.4822180000000002E-6</v>
      </c>
      <c r="I3064">
        <v>285.09030000000001</v>
      </c>
      <c r="J3064">
        <v>-397.85120000000001</v>
      </c>
      <c r="K3064">
        <v>1.110309</v>
      </c>
      <c r="L3064">
        <v>284.37549999999999</v>
      </c>
      <c r="M3064">
        <v>-0.99954860000000001</v>
      </c>
      <c r="N3064">
        <v>0</v>
      </c>
      <c r="O3064">
        <v>2.753061E-2</v>
      </c>
      <c r="P3064">
        <v>-0.98476799999999998</v>
      </c>
      <c r="Q3064">
        <v>0.173255399999999</v>
      </c>
      <c r="R3064">
        <v>-1.4646320000000001E-2</v>
      </c>
      <c r="S3064">
        <v>-3.0652469999999998</v>
      </c>
      <c r="T3064">
        <v>-0.1021473</v>
      </c>
      <c r="U3064">
        <v>6.6955570000000006E-2</v>
      </c>
      <c r="V3064">
        <v>-4.2029740000000003E-2</v>
      </c>
      <c r="W3064">
        <v>0.18501860000000001</v>
      </c>
      <c r="X3064">
        <v>0.98183580000000004</v>
      </c>
      <c r="Y3064">
        <v>-5.6776439999999999E-3</v>
      </c>
      <c r="Z3064">
        <v>-1.0115510000000001E-3</v>
      </c>
      <c r="AA3064">
        <v>0.99998339999999997</v>
      </c>
      <c r="AB3064">
        <v>47</v>
      </c>
      <c r="AC3064">
        <v>-32.840299999999999</v>
      </c>
      <c r="AD3064">
        <v>-1.110306517782</v>
      </c>
      <c r="AE3064">
        <v>0.71480000000002497</v>
      </c>
      <c r="AF3064">
        <v>-0.18943343783486999</v>
      </c>
      <c r="AG3064">
        <v>-1.110306517782</v>
      </c>
      <c r="AH3064">
        <v>32.8100444375984</v>
      </c>
      <c r="AI3064">
        <v>91.938142795406606</v>
      </c>
      <c r="AJ3064">
        <v>90.330801621033203</v>
      </c>
      <c r="AK3064">
        <v>32.829372238713098</v>
      </c>
      <c r="AL3064">
        <v>79.3377827462742</v>
      </c>
      <c r="AM3064">
        <v>92.451181139693304</v>
      </c>
      <c r="AN3064">
        <v>0.99999995977603295</v>
      </c>
    </row>
    <row r="3065" spans="1:40" x14ac:dyDescent="0.25">
      <c r="A3065" t="str">
        <f>"20190312172139080"</f>
        <v>20190312172139080</v>
      </c>
      <c r="B3065" t="str">
        <f>"1552382499073887"</f>
        <v>1552382499073887</v>
      </c>
      <c r="C3065" t="s">
        <v>40</v>
      </c>
      <c r="D3065">
        <v>3.089642</v>
      </c>
      <c r="E3065">
        <v>0.51443819999999996</v>
      </c>
      <c r="F3065" t="s">
        <v>47</v>
      </c>
      <c r="G3065">
        <v>-431.24149999999997</v>
      </c>
      <c r="H3065" s="1">
        <v>2.7229140000000002E-6</v>
      </c>
      <c r="I3065">
        <v>285.12709999999998</v>
      </c>
      <c r="J3065">
        <v>-398.10109999999997</v>
      </c>
      <c r="K3065">
        <v>1.1103689999999999</v>
      </c>
      <c r="L3065">
        <v>284.38209999999998</v>
      </c>
      <c r="M3065">
        <v>-0.99955859999999996</v>
      </c>
      <c r="N3065">
        <v>0</v>
      </c>
      <c r="O3065">
        <v>2.7116330000000001E-2</v>
      </c>
      <c r="P3065">
        <v>-0.98475270000000004</v>
      </c>
      <c r="Q3065">
        <v>0.1732976</v>
      </c>
      <c r="R3065">
        <v>-1.5171799999999999E-2</v>
      </c>
      <c r="S3065">
        <v>-3.065369</v>
      </c>
      <c r="T3065">
        <v>-0.10193049999999999</v>
      </c>
      <c r="U3065">
        <v>6.9000240000000004E-2</v>
      </c>
      <c r="V3065">
        <v>-4.2170890000000003E-2</v>
      </c>
      <c r="W3065">
        <v>0.18516389999999999</v>
      </c>
      <c r="X3065">
        <v>0.98180239999999996</v>
      </c>
      <c r="Y3065">
        <v>-4.5983090000000001E-3</v>
      </c>
      <c r="Z3065">
        <v>-9.7765259999999898E-4</v>
      </c>
      <c r="AA3065">
        <v>0.99998900000000002</v>
      </c>
      <c r="AB3065">
        <v>47</v>
      </c>
      <c r="AC3065">
        <v>-33.1404</v>
      </c>
      <c r="AD3065">
        <v>-1.1103662770859899</v>
      </c>
      <c r="AE3065">
        <v>0.74500000000000399</v>
      </c>
      <c r="AF3065">
        <v>-0.153813627208191</v>
      </c>
      <c r="AG3065">
        <v>-1.1103662770859899</v>
      </c>
      <c r="AH3065">
        <v>33.111263881362703</v>
      </c>
      <c r="AI3065">
        <v>91.920638977399904</v>
      </c>
      <c r="AJ3065">
        <v>90.266157411297996</v>
      </c>
      <c r="AK3065">
        <v>33.130233438997102</v>
      </c>
      <c r="AL3065">
        <v>79.329311762982996</v>
      </c>
      <c r="AM3065">
        <v>92.459486503002793</v>
      </c>
      <c r="AN3065">
        <v>1.00000000323618</v>
      </c>
    </row>
    <row r="3066" spans="1:40" x14ac:dyDescent="0.25">
      <c r="A3066" t="str">
        <f>"20190312172139102"</f>
        <v>20190312172139102</v>
      </c>
      <c r="B3066" t="str">
        <f>"1552382499093407"</f>
        <v>1552382499093407</v>
      </c>
      <c r="C3066" t="s">
        <v>40</v>
      </c>
      <c r="D3066">
        <v>3.0770520000000001</v>
      </c>
      <c r="E3066">
        <v>0.51478769999999996</v>
      </c>
      <c r="F3066" t="s">
        <v>47</v>
      </c>
      <c r="G3066">
        <v>-431.4092</v>
      </c>
      <c r="H3066" s="1">
        <v>2.7967069999999998E-6</v>
      </c>
      <c r="I3066">
        <v>285.13350000000003</v>
      </c>
      <c r="J3066">
        <v>-398.54829999999998</v>
      </c>
      <c r="K3066">
        <v>1.110471</v>
      </c>
      <c r="L3066">
        <v>284.39370000000002</v>
      </c>
      <c r="M3066">
        <v>-0.99957810000000002</v>
      </c>
      <c r="N3066">
        <v>0</v>
      </c>
      <c r="O3066">
        <v>2.630584E-2</v>
      </c>
      <c r="P3066">
        <v>-0.98476470000000005</v>
      </c>
      <c r="Q3066">
        <v>0.1731277</v>
      </c>
      <c r="R3066">
        <v>-1.629763E-2</v>
      </c>
      <c r="S3066">
        <v>-3.0655209999999999</v>
      </c>
      <c r="T3066">
        <v>-0.1021928</v>
      </c>
      <c r="U3066">
        <v>6.9152829999999998E-2</v>
      </c>
      <c r="V3066">
        <v>-4.2541710000000003E-2</v>
      </c>
      <c r="W3066">
        <v>0.1851592</v>
      </c>
      <c r="X3066">
        <v>0.98178730000000003</v>
      </c>
      <c r="Y3066">
        <v>-3.7397429999999998E-3</v>
      </c>
      <c r="Z3066">
        <v>-9.3881590000000005E-4</v>
      </c>
      <c r="AA3066">
        <v>0.99999249999999995</v>
      </c>
      <c r="AB3066">
        <v>47</v>
      </c>
      <c r="AC3066">
        <v>-32.860900000000001</v>
      </c>
      <c r="AD3066">
        <v>-1.110468203293</v>
      </c>
      <c r="AE3066">
        <v>0.73980000000000201</v>
      </c>
      <c r="AF3066">
        <v>-0.124812713057882</v>
      </c>
      <c r="AG3066">
        <v>-1.110468203293</v>
      </c>
      <c r="AH3066">
        <v>32.831515521385299</v>
      </c>
      <c r="AI3066">
        <v>91.937176371483702</v>
      </c>
      <c r="AJ3066">
        <v>90.217815325427097</v>
      </c>
      <c r="AK3066">
        <v>32.850527077580203</v>
      </c>
      <c r="AL3066">
        <v>79.329585912550499</v>
      </c>
      <c r="AM3066">
        <v>92.481124634023601</v>
      </c>
      <c r="AN3066">
        <v>1.0000000144378201</v>
      </c>
    </row>
    <row r="3067" spans="1:40" x14ac:dyDescent="0.25">
      <c r="A3067" t="str">
        <f>"20190312172139114"</f>
        <v>20190312172139114</v>
      </c>
      <c r="B3067" t="str">
        <f>"1552382499104144"</f>
        <v>1552382499104144</v>
      </c>
      <c r="C3067" t="s">
        <v>40</v>
      </c>
      <c r="D3067">
        <v>3.0601189999999998</v>
      </c>
      <c r="E3067">
        <v>0.51495979999999997</v>
      </c>
      <c r="F3067" t="s">
        <v>47</v>
      </c>
      <c r="G3067">
        <v>-431.416</v>
      </c>
      <c r="H3067" s="1">
        <v>2.800004E-6</v>
      </c>
      <c r="I3067">
        <v>285.1302</v>
      </c>
      <c r="J3067">
        <v>-398.80540000000002</v>
      </c>
      <c r="K3067">
        <v>1.1105309999999999</v>
      </c>
      <c r="L3067">
        <v>284.40010000000001</v>
      </c>
      <c r="M3067">
        <v>-0.99958999999999998</v>
      </c>
      <c r="N3067">
        <v>0</v>
      </c>
      <c r="O3067">
        <v>2.5804440000000001E-2</v>
      </c>
      <c r="P3067">
        <v>-0.98477320000000002</v>
      </c>
      <c r="Q3067">
        <v>0.17302529999999999</v>
      </c>
      <c r="R3067">
        <v>-1.6859590000000001E-2</v>
      </c>
      <c r="S3067">
        <v>-3.0657350000000001</v>
      </c>
      <c r="T3067">
        <v>-0.103579</v>
      </c>
      <c r="U3067">
        <v>6.8695069999999997E-2</v>
      </c>
      <c r="V3067">
        <v>-4.263455E-2</v>
      </c>
      <c r="W3067">
        <v>0.1851418</v>
      </c>
      <c r="X3067">
        <v>0.98178650000000001</v>
      </c>
      <c r="Y3067">
        <v>-3.3890169999999998E-3</v>
      </c>
      <c r="Z3067">
        <v>-9.2863069999999997E-4</v>
      </c>
      <c r="AA3067">
        <v>0.99999380000000004</v>
      </c>
      <c r="AB3067">
        <v>47</v>
      </c>
      <c r="AC3067">
        <v>-32.610599999999899</v>
      </c>
      <c r="AD3067">
        <v>-1.1105281999959999</v>
      </c>
      <c r="AE3067">
        <v>0.73009999999999298</v>
      </c>
      <c r="AF3067">
        <v>-0.111576882017354</v>
      </c>
      <c r="AG3067">
        <v>-1.1105281999959999</v>
      </c>
      <c r="AH3067">
        <v>32.580815905610997</v>
      </c>
      <c r="AI3067">
        <v>91.9521789173792</v>
      </c>
      <c r="AJ3067">
        <v>90.196215449532303</v>
      </c>
      <c r="AK3067">
        <v>32.599927720148401</v>
      </c>
      <c r="AL3067">
        <v>79.330599825496193</v>
      </c>
      <c r="AM3067">
        <v>92.486534498745797</v>
      </c>
      <c r="AN3067">
        <v>0.99999996127159496</v>
      </c>
    </row>
    <row r="3068" spans="1:40" x14ac:dyDescent="0.25">
      <c r="A3068" t="str">
        <f>"20190312172139126"</f>
        <v>20190312172139126</v>
      </c>
      <c r="B3068" t="str">
        <f>"1552382499123194"</f>
        <v>1552382499123194</v>
      </c>
      <c r="C3068" t="s">
        <v>40</v>
      </c>
      <c r="D3068">
        <v>3.0840160000000001</v>
      </c>
      <c r="E3068">
        <v>0.51520710000000003</v>
      </c>
      <c r="F3068" t="s">
        <v>47</v>
      </c>
      <c r="G3068">
        <v>-431.51670000000001</v>
      </c>
      <c r="H3068" s="1">
        <v>2.844691E-6</v>
      </c>
      <c r="I3068">
        <v>285.12979999999999</v>
      </c>
      <c r="J3068">
        <v>-399.0505</v>
      </c>
      <c r="K3068">
        <v>1.110592</v>
      </c>
      <c r="L3068">
        <v>284.40620000000001</v>
      </c>
      <c r="M3068">
        <v>-0.99960170000000004</v>
      </c>
      <c r="N3068">
        <v>0</v>
      </c>
      <c r="O3068">
        <v>2.5308509999999999E-2</v>
      </c>
      <c r="P3068">
        <v>-0.98475690000000005</v>
      </c>
      <c r="Q3068">
        <v>0.173061299999999</v>
      </c>
      <c r="R3068">
        <v>-1.7428679999999998E-2</v>
      </c>
      <c r="S3068">
        <v>-3.0659179999999999</v>
      </c>
      <c r="T3068">
        <v>-0.104085999999999</v>
      </c>
      <c r="U3068">
        <v>6.8389889999999995E-2</v>
      </c>
      <c r="V3068">
        <v>-4.2738489999999997E-2</v>
      </c>
      <c r="W3068">
        <v>0.18525430000000001</v>
      </c>
      <c r="X3068">
        <v>0.98176079999999999</v>
      </c>
      <c r="Y3068">
        <v>-2.9940930000000002E-3</v>
      </c>
      <c r="Z3068">
        <v>-9.0959489999999999E-4</v>
      </c>
      <c r="AA3068">
        <v>0.99999510000000003</v>
      </c>
      <c r="AB3068">
        <v>47</v>
      </c>
      <c r="AC3068">
        <v>-32.466200000000001</v>
      </c>
      <c r="AD3068">
        <v>-1.1105891553089999</v>
      </c>
      <c r="AE3068">
        <v>0.72359999999997604</v>
      </c>
      <c r="AF3068">
        <v>-9.8252113004923397E-2</v>
      </c>
      <c r="AG3068">
        <v>-1.1105891553089999</v>
      </c>
      <c r="AH3068">
        <v>32.436177184308399</v>
      </c>
      <c r="AI3068">
        <v>91.960987298588293</v>
      </c>
      <c r="AJ3068">
        <v>90.173553565024704</v>
      </c>
      <c r="AK3068">
        <v>32.455333183953698</v>
      </c>
      <c r="AL3068">
        <v>79.324041015554499</v>
      </c>
      <c r="AM3068">
        <v>92.492654023906596</v>
      </c>
      <c r="AN3068">
        <v>1.0000000013063</v>
      </c>
    </row>
    <row r="3069" spans="1:40" x14ac:dyDescent="0.25">
      <c r="A3069" t="str">
        <f>"20190312172139138"</f>
        <v>20190312172139138</v>
      </c>
      <c r="B3069" t="str">
        <f>"1552382499133930"</f>
        <v>1552382499133930</v>
      </c>
      <c r="C3069" t="s">
        <v>40</v>
      </c>
      <c r="D3069">
        <v>3.0601560000000001</v>
      </c>
      <c r="E3069">
        <v>0.51533499999999999</v>
      </c>
      <c r="F3069" t="s">
        <v>47</v>
      </c>
      <c r="G3069">
        <v>-431.62079999999997</v>
      </c>
      <c r="H3069" s="1">
        <v>2.8900599999999998E-6</v>
      </c>
      <c r="I3069">
        <v>285.13889999999998</v>
      </c>
      <c r="J3069">
        <v>-399.31509999999997</v>
      </c>
      <c r="K3069">
        <v>1.110652</v>
      </c>
      <c r="L3069">
        <v>284.41250000000002</v>
      </c>
      <c r="M3069">
        <v>-0.99961449999999996</v>
      </c>
      <c r="N3069">
        <v>0</v>
      </c>
      <c r="O3069">
        <v>2.4754789999999999E-2</v>
      </c>
      <c r="P3069">
        <v>-0.98473820000000001</v>
      </c>
      <c r="Q3069">
        <v>0.17310719999999999</v>
      </c>
      <c r="R3069">
        <v>-1.8027100000000001E-2</v>
      </c>
      <c r="S3069">
        <v>-3.0660400000000001</v>
      </c>
      <c r="T3069">
        <v>-0.1045464</v>
      </c>
      <c r="U3069">
        <v>6.8969730000000007E-2</v>
      </c>
      <c r="V3069">
        <v>-4.2815659999999998E-2</v>
      </c>
      <c r="W3069">
        <v>0.18537799999999999</v>
      </c>
      <c r="X3069">
        <v>0.98173410000000005</v>
      </c>
      <c r="Y3069">
        <v>-2.252661E-3</v>
      </c>
      <c r="Z3069">
        <v>-8.8207509999999999E-4</v>
      </c>
      <c r="AA3069">
        <v>0.99999709999999997</v>
      </c>
      <c r="AB3069">
        <v>47</v>
      </c>
      <c r="AC3069">
        <v>-32.305700000000002</v>
      </c>
      <c r="AD3069">
        <v>-1.11064910994</v>
      </c>
      <c r="AE3069">
        <v>0.72639999999995497</v>
      </c>
      <c r="AF3069">
        <v>-7.3519811468660795E-2</v>
      </c>
      <c r="AG3069">
        <v>-1.11064910994</v>
      </c>
      <c r="AH3069">
        <v>32.275653149493003</v>
      </c>
      <c r="AI3069">
        <v>91.970842893256901</v>
      </c>
      <c r="AJ3069">
        <v>90.130512234800506</v>
      </c>
      <c r="AK3069">
        <v>32.2948406534924</v>
      </c>
      <c r="AL3069">
        <v>79.3168287313908</v>
      </c>
      <c r="AM3069">
        <v>92.497216976764506</v>
      </c>
      <c r="AN3069">
        <v>1.0000000133640199</v>
      </c>
    </row>
    <row r="3070" spans="1:40" x14ac:dyDescent="0.25">
      <c r="A3070" t="str">
        <f>"20190312172139150"</f>
        <v>20190312172139150</v>
      </c>
      <c r="B3070" t="str">
        <f>"1552382499143690"</f>
        <v>1552382499143690</v>
      </c>
      <c r="C3070" t="s">
        <v>40</v>
      </c>
      <c r="D3070">
        <v>3.0855570000000001</v>
      </c>
      <c r="E3070">
        <v>0.51543509999999904</v>
      </c>
      <c r="F3070" t="s">
        <v>47</v>
      </c>
      <c r="G3070">
        <v>-431.85359999999997</v>
      </c>
      <c r="H3070" s="1">
        <v>2.9938449999999998E-6</v>
      </c>
      <c r="I3070">
        <v>285.13249999999999</v>
      </c>
      <c r="J3070">
        <v>-399.56779999999998</v>
      </c>
      <c r="K3070">
        <v>1.1107089999999999</v>
      </c>
      <c r="L3070">
        <v>284.41849999999999</v>
      </c>
      <c r="M3070">
        <v>-0.99962740000000005</v>
      </c>
      <c r="N3070">
        <v>0</v>
      </c>
      <c r="O3070">
        <v>2.4191629999999999E-2</v>
      </c>
      <c r="P3070">
        <v>-0.98472020000000005</v>
      </c>
      <c r="Q3070">
        <v>0.1731579</v>
      </c>
      <c r="R3070">
        <v>-1.851467E-2</v>
      </c>
      <c r="S3070">
        <v>-3.0661619999999998</v>
      </c>
      <c r="T3070">
        <v>-0.10465869999999999</v>
      </c>
      <c r="U3070">
        <v>6.7840579999999998E-2</v>
      </c>
      <c r="V3070">
        <v>-4.2773499999999999E-2</v>
      </c>
      <c r="W3070">
        <v>0.18549470000000001</v>
      </c>
      <c r="X3070">
        <v>0.98171390000000003</v>
      </c>
      <c r="Y3070">
        <v>-2.0586900000000002E-3</v>
      </c>
      <c r="Z3070">
        <v>-8.604738E-4</v>
      </c>
      <c r="AA3070">
        <v>0.99999749999999998</v>
      </c>
      <c r="AB3070">
        <v>47</v>
      </c>
      <c r="AC3070">
        <v>-32.285799999999902</v>
      </c>
      <c r="AD3070">
        <v>-1.110706006155</v>
      </c>
      <c r="AE3070">
        <v>0.71399999999999797</v>
      </c>
      <c r="AF3070">
        <v>-6.7238005483900201E-2</v>
      </c>
      <c r="AG3070">
        <v>-1.110706006155</v>
      </c>
      <c r="AH3070">
        <v>32.255467632589898</v>
      </c>
      <c r="AI3070">
        <v>91.972177052413898</v>
      </c>
      <c r="AJ3070">
        <v>90.119435514032403</v>
      </c>
      <c r="AK3070">
        <v>32.274655396743498</v>
      </c>
      <c r="AL3070">
        <v>79.310024358003105</v>
      </c>
      <c r="AM3070">
        <v>92.494812377364497</v>
      </c>
      <c r="AN3070">
        <v>1.0000000187417699</v>
      </c>
    </row>
    <row r="3071" spans="1:40" x14ac:dyDescent="0.25">
      <c r="A3071" t="str">
        <f>"20190312172139163"</f>
        <v>20190312172139163</v>
      </c>
      <c r="B3071" t="str">
        <f>"1552382499153451"</f>
        <v>1552382499153451</v>
      </c>
      <c r="C3071" t="s">
        <v>40</v>
      </c>
      <c r="D3071">
        <v>3.091091</v>
      </c>
      <c r="E3071">
        <v>0.51554469999999997</v>
      </c>
      <c r="F3071" t="s">
        <v>47</v>
      </c>
      <c r="G3071">
        <v>-432.00170000000003</v>
      </c>
      <c r="H3071" s="1">
        <v>3.0598619999999999E-6</v>
      </c>
      <c r="I3071">
        <v>285.12860000000001</v>
      </c>
      <c r="J3071">
        <v>-399.83330000000001</v>
      </c>
      <c r="K3071">
        <v>1.1107659999999999</v>
      </c>
      <c r="L3071">
        <v>284.42450000000002</v>
      </c>
      <c r="M3071">
        <v>-0.9996408</v>
      </c>
      <c r="N3071">
        <v>0</v>
      </c>
      <c r="O3071">
        <v>2.3584290000000001E-2</v>
      </c>
      <c r="P3071">
        <v>-0.98474600000000001</v>
      </c>
      <c r="Q3071">
        <v>0.1729571</v>
      </c>
      <c r="R3071">
        <v>-1.9007630000000001E-2</v>
      </c>
      <c r="S3071">
        <v>-3.066284</v>
      </c>
      <c r="T3071">
        <v>-0.1050056</v>
      </c>
      <c r="U3071">
        <v>6.7138669999999998E-2</v>
      </c>
      <c r="V3071">
        <v>-4.2694080000000002E-2</v>
      </c>
      <c r="W3071">
        <v>0.1853611</v>
      </c>
      <c r="X3071">
        <v>0.98174260000000002</v>
      </c>
      <c r="Y3071">
        <v>-1.6813079999999901E-3</v>
      </c>
      <c r="Z3071">
        <v>-8.3604980000000001E-4</v>
      </c>
      <c r="AA3071">
        <v>0.99999819999999995</v>
      </c>
      <c r="AB3071">
        <v>47</v>
      </c>
      <c r="AC3071">
        <v>-32.168399999999998</v>
      </c>
      <c r="AD3071">
        <v>-1.1107629401379999</v>
      </c>
      <c r="AE3071">
        <v>0.70409999999998196</v>
      </c>
      <c r="AF3071">
        <v>-5.4760969709254703E-2</v>
      </c>
      <c r="AG3071">
        <v>-1.1107629401379999</v>
      </c>
      <c r="AH3071">
        <v>32.137758665121702</v>
      </c>
      <c r="AI3071">
        <v>91.979497494582404</v>
      </c>
      <c r="AJ3071">
        <v>90.097628756333293</v>
      </c>
      <c r="AK3071">
        <v>32.156994963624797</v>
      </c>
      <c r="AL3071">
        <v>79.317814257882205</v>
      </c>
      <c r="AM3071">
        <v>92.490113247550994</v>
      </c>
      <c r="AN3071">
        <v>1.0000000272575</v>
      </c>
    </row>
    <row r="3072" spans="1:40" x14ac:dyDescent="0.25">
      <c r="A3072" t="str">
        <f>"20190312172139175"</f>
        <v>20190312172139175</v>
      </c>
      <c r="B3072" t="str">
        <f>"1552382499173946"</f>
        <v>1552382499173946</v>
      </c>
      <c r="C3072" t="s">
        <v>40</v>
      </c>
      <c r="D3072">
        <v>3.0779160000000001</v>
      </c>
      <c r="E3072">
        <v>0.51569500000000001</v>
      </c>
      <c r="F3072" t="s">
        <v>47</v>
      </c>
      <c r="G3072">
        <v>-431.89159999999998</v>
      </c>
      <c r="H3072" s="1">
        <v>3.0119700000000001E-6</v>
      </c>
      <c r="I3072">
        <v>285.11810000000003</v>
      </c>
      <c r="J3072">
        <v>-400.10919999999999</v>
      </c>
      <c r="K3072">
        <v>1.110827</v>
      </c>
      <c r="L3072">
        <v>284.43060000000003</v>
      </c>
      <c r="M3072">
        <v>-0.99965550000000003</v>
      </c>
      <c r="N3072">
        <v>0</v>
      </c>
      <c r="O3072">
        <v>2.2918729999999998E-2</v>
      </c>
      <c r="P3072">
        <v>-0.98472519999999997</v>
      </c>
      <c r="Q3072">
        <v>0.1730168</v>
      </c>
      <c r="R3072">
        <v>-1.9533999999999999E-2</v>
      </c>
      <c r="S3072">
        <v>-3.0664370000000001</v>
      </c>
      <c r="T3072">
        <v>-0.1062464</v>
      </c>
      <c r="U3072">
        <v>6.6345210000000002E-2</v>
      </c>
      <c r="V3072">
        <v>-4.2591950000000003E-2</v>
      </c>
      <c r="W3072">
        <v>0.18548390000000001</v>
      </c>
      <c r="X3072">
        <v>0.98172380000000004</v>
      </c>
      <c r="Y3072">
        <v>-1.2755450000000001E-3</v>
      </c>
      <c r="Z3072">
        <v>-8.1581259999999995E-4</v>
      </c>
      <c r="AA3072">
        <v>0.99999890000000002</v>
      </c>
      <c r="AB3072">
        <v>47</v>
      </c>
      <c r="AC3072">
        <v>-31.782399999999999</v>
      </c>
      <c r="AD3072">
        <v>-1.1108239880299999</v>
      </c>
      <c r="AE3072">
        <v>0.6875</v>
      </c>
      <c r="AF3072">
        <v>-4.1102269107887002E-2</v>
      </c>
      <c r="AG3072">
        <v>-1.1108239880299999</v>
      </c>
      <c r="AH3072">
        <v>31.751040443883799</v>
      </c>
      <c r="AI3072">
        <v>92.003698909753695</v>
      </c>
      <c r="AJ3072">
        <v>90.074170332685</v>
      </c>
      <c r="AK3072">
        <v>31.770492419823299</v>
      </c>
      <c r="AL3072">
        <v>79.310653720111702</v>
      </c>
      <c r="AM3072">
        <v>92.484211543898397</v>
      </c>
      <c r="AN3072">
        <v>0.99999998542522595</v>
      </c>
    </row>
    <row r="3073" spans="1:40" x14ac:dyDescent="0.25">
      <c r="A3073" t="str">
        <f>"20190312172139189"</f>
        <v>20190312172139189</v>
      </c>
      <c r="B3073" t="str">
        <f>"1552382499183707"</f>
        <v>1552382499183707</v>
      </c>
      <c r="C3073" t="s">
        <v>40</v>
      </c>
      <c r="D3073">
        <v>3.0761910000000001</v>
      </c>
      <c r="E3073">
        <v>0.51578809999999997</v>
      </c>
      <c r="F3073" t="s">
        <v>47</v>
      </c>
      <c r="G3073">
        <v>-431.9135</v>
      </c>
      <c r="H3073" s="1">
        <v>3.022136E-6</v>
      </c>
      <c r="I3073">
        <v>285.11290000000002</v>
      </c>
      <c r="J3073">
        <v>-400.3811</v>
      </c>
      <c r="K3073">
        <v>1.110887</v>
      </c>
      <c r="L3073">
        <v>284.43639999999999</v>
      </c>
      <c r="M3073">
        <v>-0.99967019999999995</v>
      </c>
      <c r="N3073">
        <v>0</v>
      </c>
      <c r="O3073">
        <v>2.2233960000000001E-2</v>
      </c>
      <c r="P3073">
        <v>-0.98471310000000001</v>
      </c>
      <c r="Q3073">
        <v>0.17298450000000001</v>
      </c>
      <c r="R3073">
        <v>-2.0421100000000001E-2</v>
      </c>
      <c r="S3073">
        <v>-3.066681</v>
      </c>
      <c r="T3073">
        <v>-0.10710939999999999</v>
      </c>
      <c r="U3073">
        <v>6.5795899999999893E-2</v>
      </c>
      <c r="V3073">
        <v>-4.2830989999999999E-2</v>
      </c>
      <c r="W3073">
        <v>0.18550639999999999</v>
      </c>
      <c r="X3073">
        <v>0.98170919999999895</v>
      </c>
      <c r="Y3073">
        <v>-7.7181769999999997E-4</v>
      </c>
      <c r="Z3073">
        <v>-7.8967860000000003E-4</v>
      </c>
      <c r="AA3073">
        <v>0.99999939999999998</v>
      </c>
      <c r="AB3073">
        <v>47</v>
      </c>
      <c r="AC3073">
        <v>-31.532399999999999</v>
      </c>
      <c r="AD3073">
        <v>-1.1108839778640001</v>
      </c>
      <c r="AE3073">
        <v>0.67650000000003196</v>
      </c>
      <c r="AF3073">
        <v>-2.4784532009643E-2</v>
      </c>
      <c r="AG3073">
        <v>-1.1108839778640001</v>
      </c>
      <c r="AH3073">
        <v>31.500567400859399</v>
      </c>
      <c r="AI3073">
        <v>92.019727988303899</v>
      </c>
      <c r="AJ3073">
        <v>90.045080101899799</v>
      </c>
      <c r="AK3073">
        <v>31.520159010724999</v>
      </c>
      <c r="AL3073">
        <v>79.309342341251593</v>
      </c>
      <c r="AM3073">
        <v>92.498173245827005</v>
      </c>
      <c r="AN3073">
        <v>1.0000000357549801</v>
      </c>
    </row>
    <row r="3074" spans="1:40" x14ac:dyDescent="0.25">
      <c r="A3074" t="str">
        <f>"20190312172139202"</f>
        <v>20190312172139202</v>
      </c>
      <c r="B3074" t="str">
        <f>"1552382499193466"</f>
        <v>1552382499193466</v>
      </c>
      <c r="C3074" t="s">
        <v>40</v>
      </c>
      <c r="D3074">
        <v>3.0629759999999999</v>
      </c>
      <c r="E3074">
        <v>0.51589399999999996</v>
      </c>
      <c r="F3074" t="s">
        <v>47</v>
      </c>
      <c r="G3074">
        <v>-432.04809999999998</v>
      </c>
      <c r="H3074" s="1">
        <v>3.083377E-6</v>
      </c>
      <c r="I3074">
        <v>285.09530000000001</v>
      </c>
      <c r="J3074">
        <v>-400.6619</v>
      </c>
      <c r="K3074">
        <v>1.1109500000000001</v>
      </c>
      <c r="L3074">
        <v>284.44220000000001</v>
      </c>
      <c r="M3074">
        <v>-0.99968520000000005</v>
      </c>
      <c r="N3074">
        <v>0</v>
      </c>
      <c r="O3074">
        <v>2.1506609999999999E-2</v>
      </c>
      <c r="P3074">
        <v>-0.98473540000000004</v>
      </c>
      <c r="Q3074">
        <v>0.17275209999999999</v>
      </c>
      <c r="R3074">
        <v>-2.1285410000000001E-2</v>
      </c>
      <c r="S3074">
        <v>-3.0668030000000002</v>
      </c>
      <c r="T3074">
        <v>-0.107584</v>
      </c>
      <c r="U3074">
        <v>6.3812259999999996E-2</v>
      </c>
      <c r="V3074">
        <v>-4.3006599999999999E-2</v>
      </c>
      <c r="W3074">
        <v>0.18532789999999999</v>
      </c>
      <c r="X3074">
        <v>0.98173520000000003</v>
      </c>
      <c r="Y3074">
        <v>-6.9199539999999996E-4</v>
      </c>
      <c r="Z3074">
        <v>-7.6625209999999996E-4</v>
      </c>
      <c r="AA3074">
        <v>0.99999950000000004</v>
      </c>
      <c r="AB3074">
        <v>47</v>
      </c>
      <c r="AC3074">
        <v>-31.386199999999899</v>
      </c>
      <c r="AD3074">
        <v>-1.1109469166229999</v>
      </c>
      <c r="AE3074">
        <v>0.65309999999999402</v>
      </c>
      <c r="AF3074">
        <v>-2.2090540443967799E-2</v>
      </c>
      <c r="AG3074">
        <v>-1.1109469166229999</v>
      </c>
      <c r="AH3074">
        <v>31.353721073231199</v>
      </c>
      <c r="AI3074">
        <v>92.029294564873396</v>
      </c>
      <c r="AJ3074">
        <v>90.040368239616996</v>
      </c>
      <c r="AK3074">
        <v>31.373404599780301</v>
      </c>
      <c r="AL3074">
        <v>79.319749728745094</v>
      </c>
      <c r="AM3074">
        <v>92.508336524402793</v>
      </c>
      <c r="AN3074">
        <v>1.0000000005405001</v>
      </c>
    </row>
    <row r="3075" spans="1:40" x14ac:dyDescent="0.25">
      <c r="A3075" t="str">
        <f>"20190312172139225"</f>
        <v>20190312172139225</v>
      </c>
      <c r="B3075" t="str">
        <f>"1552382499213493"</f>
        <v>1552382499213493</v>
      </c>
      <c r="C3075" t="s">
        <v>40</v>
      </c>
      <c r="D3075">
        <v>3.0678299999999998</v>
      </c>
      <c r="E3075">
        <v>0.51608929999999997</v>
      </c>
      <c r="F3075" t="s">
        <v>47</v>
      </c>
      <c r="G3075">
        <v>-432.03890000000001</v>
      </c>
      <c r="H3075" s="1">
        <v>3.0806530000000002E-6</v>
      </c>
      <c r="I3075">
        <v>285.07979999999998</v>
      </c>
      <c r="J3075">
        <v>-401.13130000000001</v>
      </c>
      <c r="K3075">
        <v>1.1110519999999999</v>
      </c>
      <c r="L3075">
        <v>284.45139999999998</v>
      </c>
      <c r="M3075">
        <v>-0.99971089999999996</v>
      </c>
      <c r="N3075">
        <v>0</v>
      </c>
      <c r="O3075">
        <v>2.0218050000000001E-2</v>
      </c>
      <c r="P3075">
        <v>-0.98472029999999999</v>
      </c>
      <c r="Q3075">
        <v>0.17267270000000001</v>
      </c>
      <c r="R3075">
        <v>-2.2584280000000002E-2</v>
      </c>
      <c r="S3075">
        <v>-3.0668950000000001</v>
      </c>
      <c r="T3075">
        <v>-0.1085877</v>
      </c>
      <c r="U3075">
        <v>6.231689E-2</v>
      </c>
      <c r="V3075">
        <v>-4.3081540000000002E-2</v>
      </c>
      <c r="W3075">
        <v>0.18532180000000001</v>
      </c>
      <c r="X3075">
        <v>0.98173310000000003</v>
      </c>
      <c r="Y3075">
        <v>1.078763E-4</v>
      </c>
      <c r="Z3075">
        <v>-7.1362899999999905E-4</v>
      </c>
      <c r="AA3075">
        <v>0.99999979999999999</v>
      </c>
      <c r="AB3075">
        <v>47</v>
      </c>
      <c r="AC3075">
        <v>-30.907599999999999</v>
      </c>
      <c r="AD3075">
        <v>-1.1110489193469999</v>
      </c>
      <c r="AE3075">
        <v>0.62839999999999896</v>
      </c>
      <c r="AF3075">
        <v>3.3229169592144899E-3</v>
      </c>
      <c r="AG3075">
        <v>-1.1110489193469999</v>
      </c>
      <c r="AH3075">
        <v>30.874107746304201</v>
      </c>
      <c r="AI3075">
        <v>92.060981184998795</v>
      </c>
      <c r="AJ3075">
        <v>89.993833372667297</v>
      </c>
      <c r="AK3075">
        <v>30.894092799002198</v>
      </c>
      <c r="AL3075">
        <v>79.320105757130904</v>
      </c>
      <c r="AM3075">
        <v>92.512707129926397</v>
      </c>
      <c r="AN3075">
        <v>1.0000000341398101</v>
      </c>
    </row>
    <row r="3076" spans="1:40" x14ac:dyDescent="0.25">
      <c r="A3076" t="str">
        <f>"20190312172139247"</f>
        <v>20190312172139247</v>
      </c>
      <c r="B3076" t="str">
        <f>"1552382499243749"</f>
        <v>1552382499243749</v>
      </c>
      <c r="C3076" t="s">
        <v>40</v>
      </c>
      <c r="D3076">
        <v>3.051841</v>
      </c>
      <c r="E3076">
        <v>0.51632869999999997</v>
      </c>
      <c r="F3076" t="s">
        <v>47</v>
      </c>
      <c r="G3076">
        <v>-432.18290000000002</v>
      </c>
      <c r="H3076" s="1">
        <v>3.146559E-6</v>
      </c>
      <c r="I3076">
        <v>285.05599999999998</v>
      </c>
      <c r="J3076">
        <v>-401.6148</v>
      </c>
      <c r="K3076">
        <v>1.111011</v>
      </c>
      <c r="L3076">
        <v>284.46019999999999</v>
      </c>
      <c r="M3076">
        <v>-0.99974229999999997</v>
      </c>
      <c r="N3076">
        <v>0</v>
      </c>
      <c r="O3076">
        <v>1.8832120000000001E-2</v>
      </c>
      <c r="P3076">
        <v>-0.98456909999999997</v>
      </c>
      <c r="Q3076">
        <v>0.17335400000000001</v>
      </c>
      <c r="R3076">
        <v>-2.3921680000000001E-2</v>
      </c>
      <c r="S3076">
        <v>-3.0671689999999998</v>
      </c>
      <c r="T3076">
        <v>-0.10974589999999899</v>
      </c>
      <c r="U3076">
        <v>5.9722900000000002E-2</v>
      </c>
      <c r="V3076">
        <v>-4.3081889999999998E-2</v>
      </c>
      <c r="W3076">
        <v>0.18567600000000001</v>
      </c>
      <c r="X3076">
        <v>0.98166609999999999</v>
      </c>
      <c r="Y3076">
        <v>6.4609710000000002E-4</v>
      </c>
      <c r="Z3076">
        <v>-6.6198869999999999E-4</v>
      </c>
      <c r="AA3076">
        <v>0.99999959999999999</v>
      </c>
      <c r="AB3076">
        <v>47</v>
      </c>
      <c r="AC3076">
        <v>-30.568100000000001</v>
      </c>
      <c r="AD3076">
        <v>-1.1110078534409999</v>
      </c>
      <c r="AE3076">
        <v>0.595799999999997</v>
      </c>
      <c r="AF3076">
        <v>1.9959584483863799E-2</v>
      </c>
      <c r="AG3076">
        <v>-1.1110078534409999</v>
      </c>
      <c r="AH3076">
        <v>30.533580221348402</v>
      </c>
      <c r="AI3076">
        <v>92.083868852341496</v>
      </c>
      <c r="AJ3076">
        <v>89.962546161289396</v>
      </c>
      <c r="AK3076">
        <v>30.553792857335001</v>
      </c>
      <c r="AL3076">
        <v>79.299452559439104</v>
      </c>
      <c r="AM3076">
        <v>92.512898794441</v>
      </c>
      <c r="AN3076">
        <v>0.99999997905559002</v>
      </c>
    </row>
    <row r="3077" spans="1:40" x14ac:dyDescent="0.25">
      <c r="A3077" t="str">
        <f>"20190312172139262"</f>
        <v>20190312172139262</v>
      </c>
      <c r="B3077" t="str">
        <f>"1552382499253509"</f>
        <v>1552382499253509</v>
      </c>
      <c r="C3077" t="s">
        <v>40</v>
      </c>
      <c r="D3077">
        <v>3.0652819999999998</v>
      </c>
      <c r="E3077">
        <v>0.5163875</v>
      </c>
      <c r="F3077" t="s">
        <v>47</v>
      </c>
      <c r="G3077">
        <v>-433.02890000000002</v>
      </c>
      <c r="H3077" s="1">
        <v>3.5224430000000001E-6</v>
      </c>
      <c r="I3077">
        <v>285.0478</v>
      </c>
      <c r="J3077">
        <v>-401.91449999999998</v>
      </c>
      <c r="K3077">
        <v>1.1108089999999999</v>
      </c>
      <c r="L3077">
        <v>284.46550000000002</v>
      </c>
      <c r="M3077">
        <v>-0.99976690000000001</v>
      </c>
      <c r="N3077">
        <v>0</v>
      </c>
      <c r="O3077">
        <v>1.7971310000000001E-2</v>
      </c>
      <c r="P3077">
        <v>-0.98441500000000004</v>
      </c>
      <c r="Q3077">
        <v>0.1741251</v>
      </c>
      <c r="R3077">
        <v>-2.4651719999999998E-2</v>
      </c>
      <c r="S3077">
        <v>-3.0675050000000001</v>
      </c>
      <c r="T3077">
        <v>-0.1084871</v>
      </c>
      <c r="U3077">
        <v>5.7373050000000002E-2</v>
      </c>
      <c r="V3077">
        <v>-4.2960489999999997E-2</v>
      </c>
      <c r="W3077">
        <v>0.18575240000000001</v>
      </c>
      <c r="X3077">
        <v>0.981657</v>
      </c>
      <c r="Y3077">
        <v>7.3851410000000004E-4</v>
      </c>
      <c r="Z3077">
        <v>-6.2226849999999999E-4</v>
      </c>
      <c r="AA3077">
        <v>0.99999950000000004</v>
      </c>
      <c r="AB3077">
        <v>47</v>
      </c>
      <c r="AC3077">
        <v>-31.1144</v>
      </c>
      <c r="AD3077">
        <v>-1.110805477557</v>
      </c>
      <c r="AE3077">
        <v>0.58229999999997495</v>
      </c>
      <c r="AF3077">
        <v>2.2970118500232201E-2</v>
      </c>
      <c r="AG3077">
        <v>-1.110805477557</v>
      </c>
      <c r="AH3077">
        <v>31.080240727402199</v>
      </c>
      <c r="AI3077">
        <v>92.046875089670394</v>
      </c>
      <c r="AJ3077">
        <v>89.957655070406204</v>
      </c>
      <c r="AK3077">
        <v>31.1000929276519</v>
      </c>
      <c r="AL3077">
        <v>79.294998017431297</v>
      </c>
      <c r="AM3077">
        <v>92.505849961927893</v>
      </c>
      <c r="AN3077">
        <v>1.0000000117279</v>
      </c>
    </row>
    <row r="3078" spans="1:40" x14ac:dyDescent="0.25">
      <c r="A3078" t="str">
        <f>"20190312172139280"</f>
        <v>20190312172139280</v>
      </c>
      <c r="B3078" t="str">
        <f>"1552382499274005"</f>
        <v>1552382499274005</v>
      </c>
      <c r="C3078" t="s">
        <v>40</v>
      </c>
      <c r="D3078">
        <v>3.0757940000000001</v>
      </c>
      <c r="E3078">
        <v>0.51654429999999996</v>
      </c>
      <c r="F3078" t="s">
        <v>47</v>
      </c>
      <c r="G3078">
        <v>-434.01400000000001</v>
      </c>
      <c r="H3078" s="1">
        <v>3.9592920000000001E-6</v>
      </c>
      <c r="I3078">
        <v>285.04820000000001</v>
      </c>
      <c r="J3078">
        <v>-402.32979999999998</v>
      </c>
      <c r="K3078">
        <v>1.1104670000000001</v>
      </c>
      <c r="L3078">
        <v>284.47239999999999</v>
      </c>
      <c r="M3078">
        <v>-0.99980150000000001</v>
      </c>
      <c r="N3078">
        <v>0</v>
      </c>
      <c r="O3078">
        <v>1.6806120000000001E-2</v>
      </c>
      <c r="P3078">
        <v>-0.9841396</v>
      </c>
      <c r="Q3078">
        <v>0.17546110000000001</v>
      </c>
      <c r="R3078">
        <v>-2.6127790000000001E-2</v>
      </c>
      <c r="S3078">
        <v>-3.0676570000000001</v>
      </c>
      <c r="T3078">
        <v>-0.10615620000000001</v>
      </c>
      <c r="U3078">
        <v>5.569458E-2</v>
      </c>
      <c r="V3078">
        <v>-4.3273859999999997E-2</v>
      </c>
      <c r="W3078">
        <v>0.18583810000000001</v>
      </c>
      <c r="X3078">
        <v>0.98162700000000003</v>
      </c>
      <c r="Y3078">
        <v>1.3547839999999999E-3</v>
      </c>
      <c r="Z3078">
        <v>-5.5791199999999895E-4</v>
      </c>
      <c r="AA3078">
        <v>0.99999890000000002</v>
      </c>
      <c r="AB3078">
        <v>48</v>
      </c>
      <c r="AC3078">
        <v>-31.684200000000001</v>
      </c>
      <c r="AD3078">
        <v>-1.1104630407080001</v>
      </c>
      <c r="AE3078">
        <v>0.57580000000001497</v>
      </c>
      <c r="AF3078">
        <v>4.3146728114451201E-2</v>
      </c>
      <c r="AG3078">
        <v>-1.1104630407080001</v>
      </c>
      <c r="AH3078">
        <v>31.650537002223299</v>
      </c>
      <c r="AI3078">
        <v>92.009403476412302</v>
      </c>
      <c r="AJ3078">
        <v>89.9218931454715</v>
      </c>
      <c r="AK3078">
        <v>31.670040769377501</v>
      </c>
      <c r="AL3078">
        <v>79.290000597027301</v>
      </c>
      <c r="AM3078">
        <v>92.524182061461801</v>
      </c>
      <c r="AN3078">
        <v>0.99999999674995399</v>
      </c>
    </row>
    <row r="3079" spans="1:40" x14ac:dyDescent="0.25">
      <c r="A3079" t="str">
        <f>"20190312172139292"</f>
        <v>20190312172139292</v>
      </c>
      <c r="B3079" t="str">
        <f>"1552382499283765"</f>
        <v>1552382499283765</v>
      </c>
      <c r="C3079" t="s">
        <v>40</v>
      </c>
      <c r="D3079">
        <v>3.0928300000000002</v>
      </c>
      <c r="E3079">
        <v>0.51664840000000001</v>
      </c>
      <c r="F3079" t="s">
        <v>47</v>
      </c>
      <c r="G3079">
        <v>-435.67720000000003</v>
      </c>
      <c r="H3079" s="1">
        <v>4.6969550000000003E-6</v>
      </c>
      <c r="I3079">
        <v>285.04689999999999</v>
      </c>
      <c r="J3079">
        <v>-402.584</v>
      </c>
      <c r="K3079">
        <v>1.1102799999999999</v>
      </c>
      <c r="L3079">
        <v>284.47640000000001</v>
      </c>
      <c r="M3079">
        <v>-0.99982150000000003</v>
      </c>
      <c r="N3079">
        <v>0</v>
      </c>
      <c r="O3079">
        <v>1.608033E-2</v>
      </c>
      <c r="P3079">
        <v>-0.98397559999999995</v>
      </c>
      <c r="Q3079">
        <v>0.17627279999999901</v>
      </c>
      <c r="R3079">
        <v>-2.6833240000000001E-2</v>
      </c>
      <c r="S3079">
        <v>-3.0679630000000002</v>
      </c>
      <c r="T3079">
        <v>-0.10216260000000001</v>
      </c>
      <c r="U3079">
        <v>5.2856449999999999E-2</v>
      </c>
      <c r="V3079">
        <v>-4.325379E-2</v>
      </c>
      <c r="W3079">
        <v>0.18588689999999999</v>
      </c>
      <c r="X3079">
        <v>0.98161860000000001</v>
      </c>
      <c r="Y3079">
        <v>1.153269E-3</v>
      </c>
      <c r="Z3079">
        <v>-5.1607940000000004E-4</v>
      </c>
      <c r="AA3079">
        <v>0.99999919999999998</v>
      </c>
      <c r="AB3079">
        <v>48</v>
      </c>
      <c r="AC3079">
        <v>-33.093200000000003</v>
      </c>
      <c r="AD3079">
        <v>-1.1102753030450001</v>
      </c>
      <c r="AE3079">
        <v>0.57049999999998102</v>
      </c>
      <c r="AF3079">
        <v>3.8207477259624298E-2</v>
      </c>
      <c r="AG3079">
        <v>-1.1102753030450001</v>
      </c>
      <c r="AH3079">
        <v>33.060892748487603</v>
      </c>
      <c r="AI3079">
        <v>91.923425012138097</v>
      </c>
      <c r="AJ3079">
        <v>89.933785024049499</v>
      </c>
      <c r="AK3079">
        <v>33.0795526025802</v>
      </c>
      <c r="AL3079">
        <v>79.2871545050062</v>
      </c>
      <c r="AM3079">
        <v>92.523034445501395</v>
      </c>
      <c r="AN3079">
        <v>0.99999995290346599</v>
      </c>
    </row>
    <row r="3080" spans="1:40" x14ac:dyDescent="0.25">
      <c r="A3080" t="str">
        <f>"20190312172139305"</f>
        <v>20190312172139305</v>
      </c>
      <c r="B3080" t="str">
        <f>"1552382499293525"</f>
        <v>1552382499293525</v>
      </c>
      <c r="C3080" t="s">
        <v>40</v>
      </c>
      <c r="D3080">
        <v>3.0545230000000001</v>
      </c>
      <c r="E3080">
        <v>0.51674920000000002</v>
      </c>
      <c r="F3080" t="s">
        <v>47</v>
      </c>
      <c r="G3080">
        <v>-436.68950000000001</v>
      </c>
      <c r="H3080" s="1">
        <v>5.145634E-6</v>
      </c>
      <c r="I3080">
        <v>285.04930000000002</v>
      </c>
      <c r="J3080">
        <v>-402.8433</v>
      </c>
      <c r="K3080">
        <v>1.1101219999999901</v>
      </c>
      <c r="L3080">
        <v>284.48039999999997</v>
      </c>
      <c r="M3080">
        <v>-0.99984050000000002</v>
      </c>
      <c r="N3080">
        <v>0</v>
      </c>
      <c r="O3080">
        <v>1.533207E-2</v>
      </c>
      <c r="P3080">
        <v>-0.98381819999999998</v>
      </c>
      <c r="Q3080">
        <v>0.17702270000000001</v>
      </c>
      <c r="R3080">
        <v>-2.765745E-2</v>
      </c>
      <c r="S3080">
        <v>-3.0681759999999998</v>
      </c>
      <c r="T3080">
        <v>-9.9881769999999995E-2</v>
      </c>
      <c r="U3080">
        <v>5.1544189999999997E-2</v>
      </c>
      <c r="V3080">
        <v>-4.3335619999999998E-2</v>
      </c>
      <c r="W3080">
        <v>0.18589720000000001</v>
      </c>
      <c r="X3080">
        <v>0.98161310000000002</v>
      </c>
      <c r="Y3080">
        <v>1.4720619999999999E-3</v>
      </c>
      <c r="Z3080">
        <v>-4.7499229999999998E-4</v>
      </c>
      <c r="AA3080">
        <v>0.99999879999999997</v>
      </c>
      <c r="AB3080">
        <v>48</v>
      </c>
      <c r="AC3080">
        <v>-33.846200000000003</v>
      </c>
      <c r="AD3080">
        <v>-1.1101168543659901</v>
      </c>
      <c r="AE3080">
        <v>0.56890000000004104</v>
      </c>
      <c r="AF3080">
        <v>4.9825459975113E-2</v>
      </c>
      <c r="AG3080">
        <v>-1.1101168543659901</v>
      </c>
      <c r="AH3080">
        <v>33.814577782141399</v>
      </c>
      <c r="AI3080">
        <v>91.880316413269796</v>
      </c>
      <c r="AJ3080">
        <v>89.915575272854596</v>
      </c>
      <c r="AK3080">
        <v>33.832831873659401</v>
      </c>
      <c r="AL3080">
        <v>79.286554525130697</v>
      </c>
      <c r="AM3080">
        <v>92.5278156260771</v>
      </c>
      <c r="AN3080">
        <v>1.00000001151011</v>
      </c>
    </row>
    <row r="3081" spans="1:40" x14ac:dyDescent="0.25">
      <c r="A3081" t="str">
        <f>"20190312172139317"</f>
        <v>20190312172139317</v>
      </c>
      <c r="B3081" t="str">
        <f>"1552382499313553"</f>
        <v>1552382499313553</v>
      </c>
      <c r="C3081" t="s">
        <v>40</v>
      </c>
      <c r="D3081">
        <v>3.0533610000000002</v>
      </c>
      <c r="E3081">
        <v>0.51695869999999999</v>
      </c>
      <c r="F3081" t="s">
        <v>47</v>
      </c>
      <c r="G3081">
        <v>-437.67950000000002</v>
      </c>
      <c r="H3081" s="1">
        <v>5.5850699999999997E-6</v>
      </c>
      <c r="I3081">
        <v>285.04480000000001</v>
      </c>
      <c r="J3081">
        <v>-403.11540000000002</v>
      </c>
      <c r="K3081">
        <v>1.1100000000000001</v>
      </c>
      <c r="L3081">
        <v>284.48450000000003</v>
      </c>
      <c r="M3081">
        <v>-0.99985889999999999</v>
      </c>
      <c r="N3081">
        <v>0</v>
      </c>
      <c r="O3081">
        <v>1.4536179999999999E-2</v>
      </c>
      <c r="P3081">
        <v>-0.98361829999999995</v>
      </c>
      <c r="Q3081">
        <v>0.1780004</v>
      </c>
      <c r="R3081">
        <v>-2.8481909999999999E-2</v>
      </c>
      <c r="S3081">
        <v>-3.0683289999999999</v>
      </c>
      <c r="T3081">
        <v>-9.7777610000000001E-2</v>
      </c>
      <c r="U3081">
        <v>4.9713130000000001E-2</v>
      </c>
      <c r="V3081">
        <v>-4.3376079999999997E-2</v>
      </c>
      <c r="W3081">
        <v>0.18615290000000001</v>
      </c>
      <c r="X3081">
        <v>0.98156290000000002</v>
      </c>
      <c r="Y3081">
        <v>1.66992799999999E-3</v>
      </c>
      <c r="Z3081">
        <v>-4.3646409999999999E-4</v>
      </c>
      <c r="AA3081">
        <v>0.99999850000000001</v>
      </c>
      <c r="AB3081">
        <v>48</v>
      </c>
      <c r="AC3081">
        <v>-34.564100000000003</v>
      </c>
      <c r="AD3081">
        <v>-1.1099944149299901</v>
      </c>
      <c r="AE3081">
        <v>0.56029999999998303</v>
      </c>
      <c r="AF3081">
        <v>5.7733485007646898E-2</v>
      </c>
      <c r="AG3081">
        <v>-1.1099944149299901</v>
      </c>
      <c r="AH3081">
        <v>34.5329877409646</v>
      </c>
      <c r="AI3081">
        <v>91.841022790347196</v>
      </c>
      <c r="AJ3081">
        <v>89.904210954161996</v>
      </c>
      <c r="AK3081">
        <v>34.550870655803699</v>
      </c>
      <c r="AL3081">
        <v>79.271644215684105</v>
      </c>
      <c r="AM3081">
        <v>92.530301870181205</v>
      </c>
      <c r="AN3081">
        <v>1.0000000565754901</v>
      </c>
    </row>
    <row r="3082" spans="1:40" x14ac:dyDescent="0.25">
      <c r="A3082" t="str">
        <f>"20190312172139329"</f>
        <v>20190312172139329</v>
      </c>
      <c r="B3082" t="str">
        <f>"1552382499324292"</f>
        <v>1552382499324292</v>
      </c>
      <c r="C3082" t="s">
        <v>40</v>
      </c>
      <c r="D3082">
        <v>3.0716079999999999</v>
      </c>
      <c r="E3082">
        <v>0.51704919999999999</v>
      </c>
      <c r="F3082" t="s">
        <v>47</v>
      </c>
      <c r="G3082">
        <v>-438.9434</v>
      </c>
      <c r="H3082" s="1">
        <v>6.1444059999999997E-6</v>
      </c>
      <c r="I3082">
        <v>285.05810000000002</v>
      </c>
      <c r="J3082">
        <v>-403.35390000000001</v>
      </c>
      <c r="K3082">
        <v>1.1099779999999999</v>
      </c>
      <c r="L3082">
        <v>284.48779999999999</v>
      </c>
      <c r="M3082">
        <v>-0.99987289999999995</v>
      </c>
      <c r="N3082">
        <v>0</v>
      </c>
      <c r="O3082">
        <v>1.383274E-2</v>
      </c>
      <c r="P3082">
        <v>-0.98349799999999998</v>
      </c>
      <c r="Q3082">
        <v>0.17852670000000001</v>
      </c>
      <c r="R3082">
        <v>-2.9329359999999999E-2</v>
      </c>
      <c r="S3082">
        <v>-3.0686040000000001</v>
      </c>
      <c r="T3082">
        <v>-9.5069050000000002E-2</v>
      </c>
      <c r="U3082">
        <v>4.9133299999999998E-2</v>
      </c>
      <c r="V3082">
        <v>-4.3545279999999999E-2</v>
      </c>
      <c r="W3082">
        <v>0.18618009999999999</v>
      </c>
      <c r="X3082">
        <v>0.98155020000000004</v>
      </c>
      <c r="Y3082">
        <v>2.182219E-3</v>
      </c>
      <c r="Z3082">
        <v>-3.9462250000000003E-4</v>
      </c>
      <c r="AA3082">
        <v>0.99999760000000004</v>
      </c>
      <c r="AB3082">
        <v>48</v>
      </c>
      <c r="AC3082">
        <v>-35.589499999999902</v>
      </c>
      <c r="AD3082">
        <v>-1.1099718555939999</v>
      </c>
      <c r="AE3082">
        <v>0.570300000000031</v>
      </c>
      <c r="AF3082">
        <v>7.7853953878096793E-2</v>
      </c>
      <c r="AG3082">
        <v>-1.1099718555939999</v>
      </c>
      <c r="AH3082">
        <v>35.559403899710802</v>
      </c>
      <c r="AI3082">
        <v>91.787878883585407</v>
      </c>
      <c r="AJ3082">
        <v>89.874556506605998</v>
      </c>
      <c r="AK3082">
        <v>35.576808519892701</v>
      </c>
      <c r="AL3082">
        <v>79.270057514918904</v>
      </c>
      <c r="AM3082">
        <v>92.540191909543793</v>
      </c>
      <c r="AN3082">
        <v>1.0000000080831599</v>
      </c>
    </row>
    <row r="3083" spans="1:40" x14ac:dyDescent="0.25">
      <c r="A3083" t="str">
        <f>"20190312172139340"</f>
        <v>20190312172139340</v>
      </c>
      <c r="B3083" t="str">
        <f>"1552382499334048"</f>
        <v>1552382499334048</v>
      </c>
      <c r="C3083" t="s">
        <v>40</v>
      </c>
      <c r="D3083">
        <v>3.0666229999999999</v>
      </c>
      <c r="E3083">
        <v>0.51713390000000004</v>
      </c>
      <c r="F3083" t="s">
        <v>47</v>
      </c>
      <c r="G3083">
        <v>-439.73390000000001</v>
      </c>
      <c r="H3083" s="1">
        <v>6.4960920000000001E-6</v>
      </c>
      <c r="I3083">
        <v>285.04489999999998</v>
      </c>
      <c r="J3083">
        <v>-403.6078</v>
      </c>
      <c r="K3083">
        <v>1.1099749999999999</v>
      </c>
      <c r="L3083">
        <v>284.49130000000002</v>
      </c>
      <c r="M3083">
        <v>-0.99988679999999996</v>
      </c>
      <c r="N3083">
        <v>0</v>
      </c>
      <c r="O3083">
        <v>1.3083239999999999E-2</v>
      </c>
      <c r="P3083">
        <v>-0.98338380000000003</v>
      </c>
      <c r="Q3083">
        <v>0.1790407</v>
      </c>
      <c r="R3083">
        <v>-3.0018659999999999E-2</v>
      </c>
      <c r="S3083">
        <v>-3.068756</v>
      </c>
      <c r="T3083">
        <v>-9.3629359999999995E-2</v>
      </c>
      <c r="U3083">
        <v>4.6997070000000002E-2</v>
      </c>
      <c r="V3083">
        <v>-4.3516939999999997E-2</v>
      </c>
      <c r="W3083">
        <v>0.1862106</v>
      </c>
      <c r="X3083">
        <v>0.98154569999999997</v>
      </c>
      <c r="Y3083">
        <v>2.2345669999999998E-3</v>
      </c>
      <c r="Z3083">
        <v>-3.6497390000000003E-4</v>
      </c>
      <c r="AA3083">
        <v>0.99999740000000004</v>
      </c>
      <c r="AB3083">
        <v>48</v>
      </c>
      <c r="AC3083">
        <v>-36.126100000000001</v>
      </c>
      <c r="AD3083">
        <v>-1.1099685039079901</v>
      </c>
      <c r="AE3083">
        <v>0.55359999999996001</v>
      </c>
      <c r="AF3083">
        <v>8.0816854788132095E-2</v>
      </c>
      <c r="AG3083">
        <v>-1.1099685039079901</v>
      </c>
      <c r="AH3083">
        <v>36.096183546320198</v>
      </c>
      <c r="AI3083">
        <v>91.761303033181903</v>
      </c>
      <c r="AJ3083">
        <v>89.871718932563894</v>
      </c>
      <c r="AK3083">
        <v>36.1133358754536</v>
      </c>
      <c r="AL3083">
        <v>79.268279197930696</v>
      </c>
      <c r="AM3083">
        <v>92.538552496299801</v>
      </c>
      <c r="AN3083">
        <v>1.0000000364038999</v>
      </c>
    </row>
    <row r="3084" spans="1:40" x14ac:dyDescent="0.25">
      <c r="A3084" t="str">
        <f>"20190312172139351"</f>
        <v>20190312172139351</v>
      </c>
      <c r="B3084" t="str">
        <f>"1552382499343808"</f>
        <v>1552382499343808</v>
      </c>
      <c r="C3084" t="s">
        <v>40</v>
      </c>
      <c r="D3084">
        <v>3.066303</v>
      </c>
      <c r="E3084">
        <v>0.51722000000000001</v>
      </c>
      <c r="F3084" t="s">
        <v>46</v>
      </c>
      <c r="G3084">
        <v>-440.51690000000002</v>
      </c>
      <c r="H3084" s="1">
        <v>-1.2800959999999999E-6</v>
      </c>
      <c r="I3084">
        <v>285.03699999999998</v>
      </c>
      <c r="J3084">
        <v>-403.86709999999999</v>
      </c>
      <c r="K3084">
        <v>1.1100779999999999</v>
      </c>
      <c r="L3084">
        <v>284.49450000000002</v>
      </c>
      <c r="M3084">
        <v>-0.99989819999999996</v>
      </c>
      <c r="N3084">
        <v>0</v>
      </c>
      <c r="O3084">
        <v>1.2326520000000001E-2</v>
      </c>
      <c r="P3084">
        <v>-0.98329849999999996</v>
      </c>
      <c r="Q3084">
        <v>0.1793563</v>
      </c>
      <c r="R3084">
        <v>-3.0918939999999999E-2</v>
      </c>
      <c r="S3084">
        <v>-3.068848</v>
      </c>
      <c r="T3084">
        <v>-9.2290159999999996E-2</v>
      </c>
      <c r="U3084">
        <v>4.5379639999999999E-2</v>
      </c>
      <c r="V3084">
        <v>-4.3709199999999997E-2</v>
      </c>
      <c r="W3084">
        <v>0.18627850000000001</v>
      </c>
      <c r="X3084">
        <v>0.98152419999999996</v>
      </c>
      <c r="Y3084">
        <v>2.4634169999999999E-3</v>
      </c>
      <c r="Z3084">
        <v>-3.3355739999999998E-4</v>
      </c>
      <c r="AA3084">
        <v>0.99999689999999997</v>
      </c>
      <c r="AB3084">
        <v>49</v>
      </c>
      <c r="AC3084">
        <v>-36.649799999999999</v>
      </c>
      <c r="AD3084">
        <v>-1.110079280096</v>
      </c>
      <c r="AE3084">
        <v>0.54250000000001797</v>
      </c>
      <c r="AF3084">
        <v>9.0599523604972199E-2</v>
      </c>
      <c r="AG3084">
        <v>-1.110079280096</v>
      </c>
      <c r="AH3084">
        <v>36.620114317576601</v>
      </c>
      <c r="AI3084">
        <v>91.736291476685295</v>
      </c>
      <c r="AJ3084">
        <v>89.858248401618397</v>
      </c>
      <c r="AK3084">
        <v>36.6370476009483</v>
      </c>
      <c r="AL3084">
        <v>79.264318752491405</v>
      </c>
      <c r="AM3084">
        <v>92.549808956089393</v>
      </c>
      <c r="AN3084">
        <v>0.99999996445626405</v>
      </c>
    </row>
    <row r="3085" spans="1:40" x14ac:dyDescent="0.25">
      <c r="A3085" t="str">
        <f>"20190312172139364"</f>
        <v>20190312172139364</v>
      </c>
      <c r="B3085" t="str">
        <f>"1552382499353569"</f>
        <v>1552382499353569</v>
      </c>
      <c r="C3085" t="s">
        <v>40</v>
      </c>
      <c r="D3085">
        <v>3.080908</v>
      </c>
      <c r="E3085">
        <v>0.51727599999999996</v>
      </c>
      <c r="F3085" t="s">
        <v>46</v>
      </c>
      <c r="G3085">
        <v>-441.08210000000003</v>
      </c>
      <c r="H3085" s="1">
        <v>-9.7843839999999998E-7</v>
      </c>
      <c r="I3085">
        <v>285.01659999999998</v>
      </c>
      <c r="J3085">
        <v>-404.10919999999999</v>
      </c>
      <c r="K3085">
        <v>1.1101829999999999</v>
      </c>
      <c r="L3085">
        <v>284.4973</v>
      </c>
      <c r="M3085">
        <v>-0.99990789999999996</v>
      </c>
      <c r="N3085">
        <v>0</v>
      </c>
      <c r="O3085">
        <v>1.161918E-2</v>
      </c>
      <c r="P3085">
        <v>-0.98327620000000004</v>
      </c>
      <c r="Q3085">
        <v>0.17936440000000001</v>
      </c>
      <c r="R3085">
        <v>-3.1567520000000002E-2</v>
      </c>
      <c r="S3085">
        <v>-3.0689700000000002</v>
      </c>
      <c r="T3085">
        <v>-9.1543669999999994E-2</v>
      </c>
      <c r="U3085">
        <v>4.3060300000000003E-2</v>
      </c>
      <c r="V3085">
        <v>-4.3697930000000003E-2</v>
      </c>
      <c r="W3085">
        <v>0.1861169</v>
      </c>
      <c r="X3085">
        <v>0.98155539999999997</v>
      </c>
      <c r="Y3085">
        <v>2.4143110000000001E-3</v>
      </c>
      <c r="Z3085">
        <v>-3.1048939999999998E-4</v>
      </c>
      <c r="AA3085">
        <v>0.99999700000000002</v>
      </c>
      <c r="AB3085">
        <v>49</v>
      </c>
      <c r="AC3085">
        <v>-36.972900000000003</v>
      </c>
      <c r="AD3085">
        <v>-1.11018397843839</v>
      </c>
      <c r="AE3085">
        <v>0.51929999999998699</v>
      </c>
      <c r="AF3085">
        <v>8.9578847253348706E-2</v>
      </c>
      <c r="AG3085">
        <v>-1.11018397843839</v>
      </c>
      <c r="AH3085">
        <v>36.943135961864598</v>
      </c>
      <c r="AI3085">
        <v>91.721281383977399</v>
      </c>
      <c r="AJ3085">
        <v>89.861070813595703</v>
      </c>
      <c r="AK3085">
        <v>36.959921909179798</v>
      </c>
      <c r="AL3085">
        <v>79.273743006740602</v>
      </c>
      <c r="AM3085">
        <v>92.549071458341203</v>
      </c>
      <c r="AN3085">
        <v>1.0000000064105199</v>
      </c>
    </row>
    <row r="3086" spans="1:40" x14ac:dyDescent="0.25">
      <c r="A3086" t="str">
        <f>"20190312172139376"</f>
        <v>20190312172139376</v>
      </c>
      <c r="B3086" t="str">
        <f>"1552382499363329"</f>
        <v>1552382499363329</v>
      </c>
      <c r="C3086" t="s">
        <v>40</v>
      </c>
      <c r="D3086">
        <v>3.0766939999999998</v>
      </c>
      <c r="E3086">
        <v>0.51737310000000003</v>
      </c>
      <c r="F3086" t="s">
        <v>46</v>
      </c>
      <c r="G3086">
        <v>-441.20699999999999</v>
      </c>
      <c r="H3086" s="1">
        <v>-9.1124019999999998E-7</v>
      </c>
      <c r="I3086">
        <v>285.00009999999997</v>
      </c>
      <c r="J3086">
        <v>-404.37650000000002</v>
      </c>
      <c r="K3086">
        <v>1.110347</v>
      </c>
      <c r="L3086">
        <v>284.50020000000001</v>
      </c>
      <c r="M3086">
        <v>-0.99991669999999999</v>
      </c>
      <c r="N3086">
        <v>0</v>
      </c>
      <c r="O3086">
        <v>1.083714E-2</v>
      </c>
      <c r="P3086">
        <v>-0.98326279999999999</v>
      </c>
      <c r="Q3086">
        <v>0.17929010000000001</v>
      </c>
      <c r="R3086">
        <v>-3.2390790000000003E-2</v>
      </c>
      <c r="S3086">
        <v>-3.0691220000000001</v>
      </c>
      <c r="T3086">
        <v>-9.1846109999999995E-2</v>
      </c>
      <c r="U3086">
        <v>4.1595460000000001E-2</v>
      </c>
      <c r="V3086">
        <v>-4.3793970000000002E-2</v>
      </c>
      <c r="W3086">
        <v>0.1859951</v>
      </c>
      <c r="X3086">
        <v>0.98157419999999995</v>
      </c>
      <c r="Y3086">
        <v>2.7180640000000001E-3</v>
      </c>
      <c r="Z3086">
        <v>-2.8356140000000002E-4</v>
      </c>
      <c r="AA3086">
        <v>0.9999962</v>
      </c>
      <c r="AB3086">
        <v>49</v>
      </c>
      <c r="AC3086">
        <v>-36.830499999999901</v>
      </c>
      <c r="AD3086">
        <v>-1.1103479112401999</v>
      </c>
      <c r="AE3086">
        <v>0.49989999999996798</v>
      </c>
      <c r="AF3086">
        <v>0.100632103945815</v>
      </c>
      <c r="AG3086">
        <v>-1.1103479112401999</v>
      </c>
      <c r="AH3086">
        <v>36.800314066002002</v>
      </c>
      <c r="AI3086">
        <v>91.728211249245803</v>
      </c>
      <c r="AJ3086">
        <v>89.843322520083703</v>
      </c>
      <c r="AK3086">
        <v>36.817198625923801</v>
      </c>
      <c r="AL3086">
        <v>79.280845576704493</v>
      </c>
      <c r="AM3086">
        <v>92.554617569265005</v>
      </c>
      <c r="AN3086">
        <v>0.99999999956900498</v>
      </c>
    </row>
    <row r="3087" spans="1:40" x14ac:dyDescent="0.25">
      <c r="A3087" t="str">
        <f>"20190312172139387"</f>
        <v>20190312172139387</v>
      </c>
      <c r="B3087" t="str">
        <f>"1552382499383824"</f>
        <v>1552382499383824</v>
      </c>
      <c r="C3087" t="s">
        <v>40</v>
      </c>
      <c r="D3087">
        <v>3.100994</v>
      </c>
      <c r="E3087">
        <v>0.51755770000000001</v>
      </c>
      <c r="F3087" t="s">
        <v>46</v>
      </c>
      <c r="G3087">
        <v>-441.26</v>
      </c>
      <c r="H3087" s="1">
        <v>-8.8207719999999998E-7</v>
      </c>
      <c r="I3087">
        <v>284.97770000000003</v>
      </c>
      <c r="J3087">
        <v>-404.63220000000001</v>
      </c>
      <c r="K3087">
        <v>1.110501</v>
      </c>
      <c r="L3087">
        <v>284.5027</v>
      </c>
      <c r="M3087">
        <v>-0.99992479999999995</v>
      </c>
      <c r="N3087">
        <v>0</v>
      </c>
      <c r="O3087">
        <v>1.007068E-2</v>
      </c>
      <c r="P3087">
        <v>-0.98325459999999998</v>
      </c>
      <c r="Q3087">
        <v>0.17917069999999999</v>
      </c>
      <c r="R3087">
        <v>-3.3296119999999998E-2</v>
      </c>
      <c r="S3087">
        <v>-3.0692140000000001</v>
      </c>
      <c r="T3087">
        <v>-9.2396140000000002E-2</v>
      </c>
      <c r="U3087">
        <v>3.9733890000000001E-2</v>
      </c>
      <c r="V3087">
        <v>-4.3983960000000002E-2</v>
      </c>
      <c r="W3087">
        <v>0.18588869999999999</v>
      </c>
      <c r="X3087">
        <v>0.98158590000000001</v>
      </c>
      <c r="Y3087">
        <v>2.8773819999999999E-3</v>
      </c>
      <c r="Z3087">
        <v>-2.5978790000000002E-4</v>
      </c>
      <c r="AA3087">
        <v>0.99999579999999999</v>
      </c>
      <c r="AB3087">
        <v>49</v>
      </c>
      <c r="AC3087">
        <v>-36.627799999999901</v>
      </c>
      <c r="AD3087">
        <v>-1.1105018820771999</v>
      </c>
      <c r="AE3087">
        <v>0.47500000000002202</v>
      </c>
      <c r="AF3087">
        <v>0.106002602532727</v>
      </c>
      <c r="AG3087">
        <v>-1.1105018820771999</v>
      </c>
      <c r="AH3087">
        <v>36.5970912568282</v>
      </c>
      <c r="AI3087">
        <v>91.738042138055505</v>
      </c>
      <c r="AJ3087">
        <v>89.834044604384104</v>
      </c>
      <c r="AK3087">
        <v>36.614089357000999</v>
      </c>
      <c r="AL3087">
        <v>79.2870504688983</v>
      </c>
      <c r="AM3087">
        <v>92.565654867859394</v>
      </c>
      <c r="AN3087">
        <v>1.0000000383018901</v>
      </c>
    </row>
    <row r="3088" spans="1:40" x14ac:dyDescent="0.25">
      <c r="A3088" t="str">
        <f>"20190312172139399"</f>
        <v>20190312172139399</v>
      </c>
      <c r="B3088" t="str">
        <f>"1552382499393584"</f>
        <v>1552382499393584</v>
      </c>
      <c r="C3088" t="s">
        <v>40</v>
      </c>
      <c r="D3088">
        <v>3.075126</v>
      </c>
      <c r="E3088">
        <v>0.51755320000000005</v>
      </c>
      <c r="F3088" t="s">
        <v>46</v>
      </c>
      <c r="G3088">
        <v>-441.22609999999997</v>
      </c>
      <c r="H3088" s="1">
        <v>-8.991568E-7</v>
      </c>
      <c r="I3088">
        <v>284.95609999999999</v>
      </c>
      <c r="J3088">
        <v>-404.88810000000001</v>
      </c>
      <c r="K3088">
        <v>1.1106590000000001</v>
      </c>
      <c r="L3088">
        <v>284.50510000000003</v>
      </c>
      <c r="M3088">
        <v>-0.99993189999999998</v>
      </c>
      <c r="N3088">
        <v>0</v>
      </c>
      <c r="O3088">
        <v>9.294521E-3</v>
      </c>
      <c r="P3088">
        <v>-0.98325609999999997</v>
      </c>
      <c r="Q3088">
        <v>0.17900239999999901</v>
      </c>
      <c r="R3088">
        <v>-3.414764E-2</v>
      </c>
      <c r="S3088">
        <v>-3.069366</v>
      </c>
      <c r="T3088">
        <v>-9.3144889999999994E-2</v>
      </c>
      <c r="U3088">
        <v>3.80249E-2</v>
      </c>
      <c r="V3088">
        <v>-4.4108120000000001E-2</v>
      </c>
      <c r="W3088">
        <v>0.18576409999999999</v>
      </c>
      <c r="X3088">
        <v>0.98160389999999997</v>
      </c>
      <c r="Y3088">
        <v>3.0958460000000002E-3</v>
      </c>
      <c r="Z3088">
        <v>-2.350199E-4</v>
      </c>
      <c r="AA3088">
        <v>0.99999519999999997</v>
      </c>
      <c r="AB3088">
        <v>49</v>
      </c>
      <c r="AC3088">
        <v>-36.337999999999901</v>
      </c>
      <c r="AD3088">
        <v>-1.1106598991568</v>
      </c>
      <c r="AE3088">
        <v>0.45099999999996498</v>
      </c>
      <c r="AF3088">
        <v>0.11312214012421</v>
      </c>
      <c r="AG3088">
        <v>-1.1106598991568</v>
      </c>
      <c r="AH3088">
        <v>36.306709709342599</v>
      </c>
      <c r="AI3088">
        <v>91.752182372833701</v>
      </c>
      <c r="AJ3088">
        <v>89.821482026954797</v>
      </c>
      <c r="AK3088">
        <v>36.323870002364202</v>
      </c>
      <c r="AL3088">
        <v>79.294315891920704</v>
      </c>
      <c r="AM3088">
        <v>92.572840484478206</v>
      </c>
      <c r="AN3088">
        <v>1.00000002179697</v>
      </c>
    </row>
    <row r="3089" spans="1:40" x14ac:dyDescent="0.25">
      <c r="A3089" t="str">
        <f>"20190312172139410"</f>
        <v>20190312172139410</v>
      </c>
      <c r="B3089" t="str">
        <f>"1552382499403345"</f>
        <v>1552382499403345</v>
      </c>
      <c r="C3089" t="s">
        <v>40</v>
      </c>
      <c r="D3089">
        <v>3.1081829999999999</v>
      </c>
      <c r="E3089">
        <v>0.51755320000000005</v>
      </c>
      <c r="F3089" t="s">
        <v>46</v>
      </c>
      <c r="G3089">
        <v>-441.24009999999998</v>
      </c>
      <c r="H3089" s="1">
        <v>-8.9032819999999999E-7</v>
      </c>
      <c r="I3089">
        <v>284.92360000000002</v>
      </c>
      <c r="J3089">
        <v>-405.1345</v>
      </c>
      <c r="K3089">
        <v>1.1107830000000001</v>
      </c>
      <c r="L3089">
        <v>284.50689999999997</v>
      </c>
      <c r="M3089">
        <v>-0.99993829999999995</v>
      </c>
      <c r="N3089">
        <v>0</v>
      </c>
      <c r="O3089">
        <v>8.5114449999999994E-3</v>
      </c>
      <c r="P3089">
        <v>-0.98330070000000003</v>
      </c>
      <c r="Q3089">
        <v>0.17857729999999999</v>
      </c>
      <c r="R3089">
        <v>-3.507482E-2</v>
      </c>
      <c r="S3089">
        <v>-3.0693969999999999</v>
      </c>
      <c r="T3089">
        <v>-9.3779089999999996E-2</v>
      </c>
      <c r="U3089">
        <v>3.533936E-2</v>
      </c>
      <c r="V3089">
        <v>-4.42928E-2</v>
      </c>
      <c r="W3089">
        <v>0.18540380000000001</v>
      </c>
      <c r="X3089">
        <v>0.98166370000000003</v>
      </c>
      <c r="Y3089">
        <v>3.003744E-3</v>
      </c>
      <c r="Z3089">
        <v>-2.1410710000000001E-4</v>
      </c>
      <c r="AA3089">
        <v>0.99999550000000004</v>
      </c>
      <c r="AB3089">
        <v>49</v>
      </c>
      <c r="AC3089">
        <v>-36.105599999999903</v>
      </c>
      <c r="AD3089">
        <v>-1.1107838903281999</v>
      </c>
      <c r="AE3089">
        <v>0.41670000000004798</v>
      </c>
      <c r="AF3089">
        <v>0.109262846254953</v>
      </c>
      <c r="AG3089">
        <v>-1.1107838903281999</v>
      </c>
      <c r="AH3089">
        <v>36.073700513013101</v>
      </c>
      <c r="AI3089">
        <v>91.7636902581648</v>
      </c>
      <c r="AJ3089">
        <v>89.826458591304402</v>
      </c>
      <c r="AK3089">
        <v>36.090963521678702</v>
      </c>
      <c r="AL3089">
        <v>79.315324500487193</v>
      </c>
      <c r="AM3089">
        <v>92.583441188828402</v>
      </c>
      <c r="AN3089">
        <v>1.0000000205419799</v>
      </c>
    </row>
    <row r="3090" spans="1:40" x14ac:dyDescent="0.25">
      <c r="A3090" t="str">
        <f>"20190312172139426"</f>
        <v>20190312172139426</v>
      </c>
      <c r="B3090" t="str">
        <f>"1552382499423370"</f>
        <v>1552382499423370</v>
      </c>
      <c r="C3090" t="s">
        <v>40</v>
      </c>
      <c r="D3090">
        <v>3.0767660000000001</v>
      </c>
      <c r="E3090">
        <v>0.50324919999999995</v>
      </c>
      <c r="F3090" t="s">
        <v>46</v>
      </c>
      <c r="G3090">
        <v>-440.97809999999998</v>
      </c>
      <c r="H3090" s="1">
        <v>-1.028057E-6</v>
      </c>
      <c r="I3090">
        <v>284.8854</v>
      </c>
      <c r="J3090">
        <v>-405.45699999999999</v>
      </c>
      <c r="K3090">
        <v>1.1109199999999999</v>
      </c>
      <c r="L3090">
        <v>284.50920000000002</v>
      </c>
      <c r="M3090">
        <v>-0.9999458</v>
      </c>
      <c r="N3090">
        <v>0</v>
      </c>
      <c r="O3090">
        <v>7.4650719999999997E-3</v>
      </c>
      <c r="P3090">
        <v>-0.98332410000000003</v>
      </c>
      <c r="Q3090">
        <v>0.17823259999999999</v>
      </c>
      <c r="R3090">
        <v>-3.614792E-2</v>
      </c>
      <c r="S3090">
        <v>-3.069366</v>
      </c>
      <c r="T3090">
        <v>-9.5118880000000003E-2</v>
      </c>
      <c r="U3090">
        <v>3.2409670000000002E-2</v>
      </c>
      <c r="V3090">
        <v>-4.4369400000000003E-2</v>
      </c>
      <c r="W3090">
        <v>0.18514890000000001</v>
      </c>
      <c r="X3090">
        <v>0.98170829999999998</v>
      </c>
      <c r="Y3090">
        <v>3.095436E-3</v>
      </c>
      <c r="Z3090">
        <v>-1.833304E-4</v>
      </c>
      <c r="AA3090">
        <v>0.99999519999999997</v>
      </c>
      <c r="AB3090">
        <v>49</v>
      </c>
      <c r="AC3090">
        <v>-35.521099999999898</v>
      </c>
      <c r="AD3090">
        <v>-1.1109210280570001</v>
      </c>
      <c r="AE3090">
        <v>0.37619999999998199</v>
      </c>
      <c r="AF3090">
        <v>0.110906496493935</v>
      </c>
      <c r="AG3090">
        <v>-1.1109210280570001</v>
      </c>
      <c r="AH3090">
        <v>35.488210671358601</v>
      </c>
      <c r="AI3090">
        <v>91.792989711726705</v>
      </c>
      <c r="AJ3090">
        <v>89.820941846256005</v>
      </c>
      <c r="AK3090">
        <v>35.505767734781799</v>
      </c>
      <c r="AL3090">
        <v>79.330185990443596</v>
      </c>
      <c r="AM3090">
        <v>92.587785513859899</v>
      </c>
      <c r="AN3090">
        <v>0.99999997255822903</v>
      </c>
    </row>
    <row r="3091" spans="1:40" x14ac:dyDescent="0.25">
      <c r="A3091" t="str">
        <f>"20190312172139438"</f>
        <v>20190312172139438</v>
      </c>
      <c r="B3091" t="str">
        <f>"1552382499434106"</f>
        <v>1552382499434106</v>
      </c>
      <c r="C3091" t="s">
        <v>40</v>
      </c>
      <c r="D3091">
        <v>3.0648490000000002</v>
      </c>
      <c r="E3091">
        <v>0.50305840000000002</v>
      </c>
      <c r="F3091" t="s">
        <v>46</v>
      </c>
      <c r="G3091">
        <v>-442.12810000000002</v>
      </c>
      <c r="H3091" s="1">
        <v>-3.5513370000000001E-7</v>
      </c>
      <c r="I3091">
        <v>283.4907</v>
      </c>
      <c r="J3091">
        <v>-405.75700000000001</v>
      </c>
      <c r="K3091">
        <v>1.1110260000000001</v>
      </c>
      <c r="L3091">
        <v>284.51089999999999</v>
      </c>
      <c r="M3091">
        <v>-0.99995210000000001</v>
      </c>
      <c r="N3091">
        <v>0</v>
      </c>
      <c r="O3091">
        <v>6.461634E-3</v>
      </c>
      <c r="P3091">
        <v>-0.98332750000000002</v>
      </c>
      <c r="Q3091">
        <v>0.1779944</v>
      </c>
      <c r="R3091">
        <v>-3.7214549999999999E-2</v>
      </c>
      <c r="S3091">
        <v>-3.064575</v>
      </c>
      <c r="T3091">
        <v>-9.2838760000000006E-2</v>
      </c>
      <c r="U3091">
        <v>-8.5113530000000007E-2</v>
      </c>
      <c r="V3091">
        <v>-4.4472230000000001E-2</v>
      </c>
      <c r="W3091">
        <v>0.18499930000000001</v>
      </c>
      <c r="X3091">
        <v>0.98173189999999999</v>
      </c>
      <c r="Y3091">
        <v>-3.4202740000000002E-2</v>
      </c>
      <c r="Z3091">
        <v>-7.1352920000000003E-4</v>
      </c>
      <c r="AA3091">
        <v>0.99941469999999999</v>
      </c>
      <c r="AB3091">
        <v>49</v>
      </c>
      <c r="AC3091">
        <v>-36.371099999999998</v>
      </c>
      <c r="AD3091">
        <v>-1.1110263551336901</v>
      </c>
      <c r="AE3091">
        <v>-1.02019999999998</v>
      </c>
      <c r="AF3091">
        <v>-1.2540325494703499</v>
      </c>
      <c r="AG3091">
        <v>-1.1110263551336901</v>
      </c>
      <c r="AH3091">
        <v>36.329874964648297</v>
      </c>
      <c r="AI3091">
        <v>91.750609748783702</v>
      </c>
      <c r="AJ3091">
        <v>91.976947524763006</v>
      </c>
      <c r="AK3091">
        <v>36.3684862503777</v>
      </c>
      <c r="AL3091">
        <v>79.338908649583701</v>
      </c>
      <c r="AM3091">
        <v>92.5937124870362</v>
      </c>
      <c r="AN3091">
        <v>1.0000000218596301</v>
      </c>
    </row>
    <row r="3092" spans="1:40" x14ac:dyDescent="0.25">
      <c r="A3092" t="str">
        <f>"20190312172139453"</f>
        <v>20190312172139453</v>
      </c>
      <c r="B3092" t="str">
        <f>"1552382499443866"</f>
        <v>1552382499443866</v>
      </c>
      <c r="C3092" t="s">
        <v>40</v>
      </c>
      <c r="D3092">
        <v>3.0736669999999999</v>
      </c>
      <c r="E3092">
        <v>0.50300129999999998</v>
      </c>
      <c r="F3092" t="s">
        <v>46</v>
      </c>
      <c r="G3092">
        <v>-442.4973</v>
      </c>
      <c r="H3092" s="1">
        <v>-1.559567E-7</v>
      </c>
      <c r="I3092">
        <v>283.42930000000001</v>
      </c>
      <c r="J3092">
        <v>-406.0557</v>
      </c>
      <c r="K3092">
        <v>1.111102</v>
      </c>
      <c r="L3092">
        <v>284.51220000000001</v>
      </c>
      <c r="M3092">
        <v>-0.9999576</v>
      </c>
      <c r="N3092">
        <v>0</v>
      </c>
      <c r="O3092">
        <v>5.4227019999999997E-3</v>
      </c>
      <c r="P3092">
        <v>-0.98333329999999997</v>
      </c>
      <c r="Q3092">
        <v>0.1777531</v>
      </c>
      <c r="R3092">
        <v>-3.820689E-2</v>
      </c>
      <c r="S3092">
        <v>-3.064209</v>
      </c>
      <c r="T3092">
        <v>-9.266162E-2</v>
      </c>
      <c r="U3092">
        <v>-9.0209960000000006E-2</v>
      </c>
      <c r="V3092">
        <v>-4.4457999999999998E-2</v>
      </c>
      <c r="W3092">
        <v>0.18485779999999999</v>
      </c>
      <c r="X3092">
        <v>0.98175919999999905</v>
      </c>
      <c r="Y3092">
        <v>-3.4828829999999998E-2</v>
      </c>
      <c r="Z3092">
        <v>-6.9029399999999896E-4</v>
      </c>
      <c r="AA3092">
        <v>0.99939299999999998</v>
      </c>
      <c r="AB3092">
        <v>49</v>
      </c>
      <c r="AC3092">
        <v>-36.441600000000001</v>
      </c>
      <c r="AD3092">
        <v>-1.1111021559567</v>
      </c>
      <c r="AE3092">
        <v>-1.08289999999999</v>
      </c>
      <c r="AF3092">
        <v>-1.27931324098046</v>
      </c>
      <c r="AG3092">
        <v>-1.1111021559567</v>
      </c>
      <c r="AH3092">
        <v>36.401381571978398</v>
      </c>
      <c r="AI3092">
        <v>91.747254055526895</v>
      </c>
      <c r="AJ3092">
        <v>92.012810782344999</v>
      </c>
      <c r="AK3092">
        <v>36.440798162475701</v>
      </c>
      <c r="AL3092">
        <v>79.347158308744</v>
      </c>
      <c r="AM3092">
        <v>92.592811694294596</v>
      </c>
      <c r="AN3092">
        <v>1.0000000233847299</v>
      </c>
    </row>
    <row r="3093" spans="1:40" x14ac:dyDescent="0.25">
      <c r="A3093" t="str">
        <f>"20190312172139471"</f>
        <v>20190312172139471</v>
      </c>
      <c r="B3093" t="str">
        <f>"1552382499463386"</f>
        <v>1552382499463386</v>
      </c>
      <c r="C3093" t="s">
        <v>40</v>
      </c>
      <c r="D3093">
        <v>3.094446</v>
      </c>
      <c r="E3093">
        <v>0.50303909999999996</v>
      </c>
      <c r="F3093" t="s">
        <v>46</v>
      </c>
      <c r="G3093">
        <v>-442.18680000000001</v>
      </c>
      <c r="H3093" s="1">
        <v>-3.2020929999999998E-7</v>
      </c>
      <c r="I3093">
        <v>283.40719999999999</v>
      </c>
      <c r="J3093">
        <v>-406.45409999999998</v>
      </c>
      <c r="K3093">
        <v>1.1111869999999999</v>
      </c>
      <c r="L3093">
        <v>284.5136</v>
      </c>
      <c r="M3093">
        <v>-0.99996320000000005</v>
      </c>
      <c r="N3093">
        <v>0</v>
      </c>
      <c r="O3093">
        <v>4.0078659999999997E-3</v>
      </c>
      <c r="P3093">
        <v>-0.98336970000000001</v>
      </c>
      <c r="Q3093">
        <v>0.17727379999999901</v>
      </c>
      <c r="R3093">
        <v>-3.9472670000000001E-2</v>
      </c>
      <c r="S3093">
        <v>-3.064209</v>
      </c>
      <c r="T3093">
        <v>-9.4230289999999994E-2</v>
      </c>
      <c r="U3093">
        <v>-9.3719479999999994E-2</v>
      </c>
      <c r="V3093">
        <v>-4.4346650000000001E-2</v>
      </c>
      <c r="W3093">
        <v>0.1845195</v>
      </c>
      <c r="X3093">
        <v>0.98182789999999998</v>
      </c>
      <c r="Y3093">
        <v>-3.4558560000000002E-2</v>
      </c>
      <c r="Z3093">
        <v>-6.5431810000000001E-4</v>
      </c>
      <c r="AA3093">
        <v>0.99940249999999997</v>
      </c>
      <c r="AB3093">
        <v>49</v>
      </c>
      <c r="AC3093">
        <v>-35.732700000000001</v>
      </c>
      <c r="AD3093">
        <v>-1.1111873202092999</v>
      </c>
      <c r="AE3093">
        <v>-1.1064000000000001</v>
      </c>
      <c r="AF3093">
        <v>-1.24840101379964</v>
      </c>
      <c r="AG3093">
        <v>-1.1111873202092999</v>
      </c>
      <c r="AH3093">
        <v>35.693494711368203</v>
      </c>
      <c r="AI3093">
        <v>91.782031167627693</v>
      </c>
      <c r="AJ3093">
        <v>92.003137115410496</v>
      </c>
      <c r="AK3093">
        <v>35.732601459484002</v>
      </c>
      <c r="AL3093">
        <v>79.366881021504497</v>
      </c>
      <c r="AM3093">
        <v>92.586145814773801</v>
      </c>
      <c r="AN3093">
        <v>1.00000004823244</v>
      </c>
    </row>
    <row r="3094" spans="1:40" x14ac:dyDescent="0.25">
      <c r="A3094" t="str">
        <f>"20190312172139492"</f>
        <v>20190312172139492</v>
      </c>
      <c r="B3094" t="str">
        <f>"1552382499483882"</f>
        <v>1552382499483882</v>
      </c>
      <c r="C3094" t="s">
        <v>40</v>
      </c>
      <c r="D3094">
        <v>3.0799439999999998</v>
      </c>
      <c r="E3094">
        <v>0.50318099999999999</v>
      </c>
      <c r="F3094" t="s">
        <v>46</v>
      </c>
      <c r="G3094">
        <v>-442.32319999999999</v>
      </c>
      <c r="H3094" s="1">
        <v>-2.4628650000000003E-7</v>
      </c>
      <c r="I3094">
        <v>283.37569999999999</v>
      </c>
      <c r="J3094">
        <v>-406.92090000000002</v>
      </c>
      <c r="K3094">
        <v>1.1112599999999999</v>
      </c>
      <c r="L3094">
        <v>284.5145</v>
      </c>
      <c r="M3094">
        <v>-0.99996719999999895</v>
      </c>
      <c r="N3094">
        <v>0</v>
      </c>
      <c r="O3094">
        <v>2.314394E-3</v>
      </c>
      <c r="P3094">
        <v>-0.98333809999999999</v>
      </c>
      <c r="Q3094">
        <v>0.177060299999999</v>
      </c>
      <c r="R3094">
        <v>-4.118351E-2</v>
      </c>
      <c r="S3094">
        <v>-3.063904</v>
      </c>
      <c r="T3094">
        <v>-9.491658E-2</v>
      </c>
      <c r="U3094">
        <v>-9.7198489999999999E-2</v>
      </c>
      <c r="V3094">
        <v>-4.4404119999999998E-2</v>
      </c>
      <c r="W3094">
        <v>0.1844778</v>
      </c>
      <c r="X3094">
        <v>0.98183310000000001</v>
      </c>
      <c r="Y3094">
        <v>-3.4003600000000002E-2</v>
      </c>
      <c r="Z3094">
        <v>-5.9810479999999997E-4</v>
      </c>
      <c r="AA3094">
        <v>0.99942149999999996</v>
      </c>
      <c r="AB3094">
        <v>49</v>
      </c>
      <c r="AC3094">
        <v>-35.402299999999897</v>
      </c>
      <c r="AD3094">
        <v>-1.1112602462865</v>
      </c>
      <c r="AE3094">
        <v>-1.1388</v>
      </c>
      <c r="AF3094">
        <v>-1.2195339236318401</v>
      </c>
      <c r="AG3094">
        <v>-1.1112602462865</v>
      </c>
      <c r="AH3094">
        <v>35.364760578240599</v>
      </c>
      <c r="AI3094">
        <v>91.798733845432906</v>
      </c>
      <c r="AJ3094">
        <v>91.975030166632493</v>
      </c>
      <c r="AK3094">
        <v>35.403226591401904</v>
      </c>
      <c r="AL3094">
        <v>79.369311581616103</v>
      </c>
      <c r="AM3094">
        <v>92.589479014899894</v>
      </c>
      <c r="AN3094">
        <v>1.0000000104107101</v>
      </c>
    </row>
    <row r="3095" spans="1:40" x14ac:dyDescent="0.25">
      <c r="A3095" t="str">
        <f>"20190312172139504"</f>
        <v>20190312172139504</v>
      </c>
      <c r="B3095" t="str">
        <f>"1552382499493643"</f>
        <v>1552382499493643</v>
      </c>
      <c r="C3095" t="s">
        <v>40</v>
      </c>
      <c r="D3095">
        <v>3.0875249999999999</v>
      </c>
      <c r="E3095">
        <v>0.50328660000000003</v>
      </c>
      <c r="F3095" t="s">
        <v>46</v>
      </c>
      <c r="G3095">
        <v>-442.08159999999998</v>
      </c>
      <c r="H3095" s="1">
        <v>-3.737827E-7</v>
      </c>
      <c r="I3095">
        <v>283.35149999999999</v>
      </c>
      <c r="J3095">
        <v>-407.17989999999998</v>
      </c>
      <c r="K3095">
        <v>1.111291</v>
      </c>
      <c r="L3095">
        <v>284.5147</v>
      </c>
      <c r="M3095">
        <v>-0.99996799999999997</v>
      </c>
      <c r="N3095">
        <v>0</v>
      </c>
      <c r="O3095">
        <v>1.367715E-3</v>
      </c>
      <c r="P3095">
        <v>-0.98325059999999997</v>
      </c>
      <c r="Q3095">
        <v>0.17732290000000001</v>
      </c>
      <c r="R3095">
        <v>-4.2130109999999998E-2</v>
      </c>
      <c r="S3095">
        <v>-3.0640260000000001</v>
      </c>
      <c r="T3095">
        <v>-9.6839069999999999E-2</v>
      </c>
      <c r="U3095">
        <v>-0.10134890000000001</v>
      </c>
      <c r="V3095">
        <v>-4.4426819999999999E-2</v>
      </c>
      <c r="W3095">
        <v>0.18483630000000001</v>
      </c>
      <c r="X3095">
        <v>0.98176459999999999</v>
      </c>
      <c r="Y3095">
        <v>-3.4408090000000002E-2</v>
      </c>
      <c r="Z3095">
        <v>-5.8665839999999905E-4</v>
      </c>
      <c r="AA3095">
        <v>0.99940770000000001</v>
      </c>
      <c r="AB3095">
        <v>49</v>
      </c>
      <c r="AC3095">
        <v>-34.901699999999998</v>
      </c>
      <c r="AD3095">
        <v>-1.1112913737826999</v>
      </c>
      <c r="AE3095">
        <v>-1.16320000000001</v>
      </c>
      <c r="AF3095">
        <v>-1.20971089987984</v>
      </c>
      <c r="AG3095">
        <v>-1.1112913737826999</v>
      </c>
      <c r="AH3095">
        <v>34.864768843778798</v>
      </c>
      <c r="AI3095">
        <v>91.824549641113805</v>
      </c>
      <c r="AJ3095">
        <v>91.987207624814303</v>
      </c>
      <c r="AK3095">
        <v>34.9034450378306</v>
      </c>
      <c r="AL3095">
        <v>79.348411139022602</v>
      </c>
      <c r="AM3095">
        <v>92.590981508992897</v>
      </c>
      <c r="AN3095">
        <v>0.99999996497307997</v>
      </c>
    </row>
    <row r="3096" spans="1:40" x14ac:dyDescent="0.25">
      <c r="A3096" t="str">
        <f>"20190312172139516"</f>
        <v>20190312172139516</v>
      </c>
      <c r="B3096" t="str">
        <f>"1552382499513669"</f>
        <v>1552382499513669</v>
      </c>
      <c r="C3096" t="s">
        <v>40</v>
      </c>
      <c r="D3096">
        <v>3.087529</v>
      </c>
      <c r="E3096">
        <v>0.50343130000000003</v>
      </c>
      <c r="F3096" t="s">
        <v>46</v>
      </c>
      <c r="G3096">
        <v>-442.64510000000001</v>
      </c>
      <c r="H3096" s="1">
        <v>-7.2446610000000002E-8</v>
      </c>
      <c r="I3096">
        <v>283.31760000000003</v>
      </c>
      <c r="J3096">
        <v>-407.4477</v>
      </c>
      <c r="K3096">
        <v>1.1113189999999999</v>
      </c>
      <c r="L3096">
        <v>284.51459999999997</v>
      </c>
      <c r="M3096">
        <v>-0.99996819999999997</v>
      </c>
      <c r="N3096">
        <v>0</v>
      </c>
      <c r="O3096">
        <v>3.8681510000000002E-4</v>
      </c>
      <c r="P3096">
        <v>-0.98319350000000005</v>
      </c>
      <c r="Q3096">
        <v>0.1773969</v>
      </c>
      <c r="R3096">
        <v>-4.3140699999999997E-2</v>
      </c>
      <c r="S3096">
        <v>-3.0639949999999998</v>
      </c>
      <c r="T3096">
        <v>-9.6009369999999997E-2</v>
      </c>
      <c r="U3096">
        <v>-0.1034241</v>
      </c>
      <c r="V3096">
        <v>-4.4478259999999999E-2</v>
      </c>
      <c r="W3096">
        <v>0.18500829999999999</v>
      </c>
      <c r="X3096">
        <v>0.98172990000000004</v>
      </c>
      <c r="Y3096">
        <v>-3.4105120000000003E-2</v>
      </c>
      <c r="Z3096">
        <v>-5.4616849999999896E-4</v>
      </c>
      <c r="AA3096">
        <v>0.99941809999999998</v>
      </c>
      <c r="AB3096">
        <v>49</v>
      </c>
      <c r="AC3096">
        <v>-35.197400000000002</v>
      </c>
      <c r="AD3096">
        <v>-1.11131907244661</v>
      </c>
      <c r="AE3096">
        <v>-1.1969999999999399</v>
      </c>
      <c r="AF3096">
        <v>-1.2094109459935301</v>
      </c>
      <c r="AG3096">
        <v>-1.11131907244661</v>
      </c>
      <c r="AH3096">
        <v>35.161921523830202</v>
      </c>
      <c r="AI3096">
        <v>91.809204587230894</v>
      </c>
      <c r="AJ3096">
        <v>91.969938876144099</v>
      </c>
      <c r="AK3096">
        <v>35.200261791143902</v>
      </c>
      <c r="AL3096">
        <v>79.338383603563102</v>
      </c>
      <c r="AM3096">
        <v>92.594068966214394</v>
      </c>
      <c r="AN3096">
        <v>0.99999999161776298</v>
      </c>
    </row>
    <row r="3097" spans="1:40" x14ac:dyDescent="0.25">
      <c r="A3097" t="str">
        <f>"20190312172139538"</f>
        <v>20190312172139538</v>
      </c>
      <c r="B3097" t="str">
        <f>"1552382499534165"</f>
        <v>1552382499534165</v>
      </c>
      <c r="C3097" t="s">
        <v>40</v>
      </c>
      <c r="D3097">
        <v>3.0826060000000002</v>
      </c>
      <c r="E3097">
        <v>0.50364390000000003</v>
      </c>
      <c r="F3097" t="s">
        <v>46</v>
      </c>
      <c r="G3097">
        <v>-442.84640000000002</v>
      </c>
      <c r="H3097" s="1">
        <v>3.537783E-8</v>
      </c>
      <c r="I3097">
        <v>283.30180000000001</v>
      </c>
      <c r="J3097">
        <v>-407.90629999999999</v>
      </c>
      <c r="K3097">
        <v>1.111356</v>
      </c>
      <c r="L3097">
        <v>284.51389999999998</v>
      </c>
      <c r="M3097">
        <v>-0.99996600000000002</v>
      </c>
      <c r="N3097">
        <v>0</v>
      </c>
      <c r="O3097">
        <v>-1.2769669999999999E-3</v>
      </c>
      <c r="P3097">
        <v>-0.98310520000000001</v>
      </c>
      <c r="Q3097">
        <v>0.17745129999999901</v>
      </c>
      <c r="R3097">
        <v>-4.4886130000000003E-2</v>
      </c>
      <c r="S3097">
        <v>-3.0640559999999999</v>
      </c>
      <c r="T3097">
        <v>-9.619403E-2</v>
      </c>
      <c r="U3097">
        <v>-0.1049805</v>
      </c>
      <c r="V3097">
        <v>-4.4595759999999998E-2</v>
      </c>
      <c r="W3097">
        <v>0.18522710000000001</v>
      </c>
      <c r="X3097">
        <v>0.98168330000000004</v>
      </c>
      <c r="Y3097">
        <v>-3.294996E-2</v>
      </c>
      <c r="Z3097">
        <v>-4.7687320000000001E-4</v>
      </c>
      <c r="AA3097">
        <v>0.99945689999999998</v>
      </c>
      <c r="AB3097">
        <v>49</v>
      </c>
      <c r="AC3097">
        <v>-34.940100000000001</v>
      </c>
      <c r="AD3097">
        <v>-1.11135596462216</v>
      </c>
      <c r="AE3097">
        <v>-1.21209999999996</v>
      </c>
      <c r="AF3097">
        <v>-1.1663016301045801</v>
      </c>
      <c r="AG3097">
        <v>-1.11135596462216</v>
      </c>
      <c r="AH3097">
        <v>34.9063465571287</v>
      </c>
      <c r="AI3097">
        <v>91.822563299101901</v>
      </c>
      <c r="AJ3097">
        <v>91.913672359639406</v>
      </c>
      <c r="AK3097">
        <v>34.943502994674901</v>
      </c>
      <c r="AL3097">
        <v>79.325626687573603</v>
      </c>
      <c r="AM3097">
        <v>92.601035718448102</v>
      </c>
      <c r="AN3097">
        <v>0.999999980941638</v>
      </c>
    </row>
    <row r="3098" spans="1:40" x14ac:dyDescent="0.25">
      <c r="A3098" t="str">
        <f>"20190312172139549"</f>
        <v>20190312172139549</v>
      </c>
      <c r="B3098" t="str">
        <f>"1552382499543925"</f>
        <v>1552382499543925</v>
      </c>
      <c r="C3098" t="s">
        <v>40</v>
      </c>
      <c r="D3098">
        <v>3.0749019999999998</v>
      </c>
      <c r="E3098">
        <v>0.50374430000000003</v>
      </c>
      <c r="F3098" t="s">
        <v>46</v>
      </c>
      <c r="G3098">
        <v>-443.45740000000001</v>
      </c>
      <c r="H3098" s="1">
        <v>3.6262159999999898E-7</v>
      </c>
      <c r="I3098">
        <v>283.25439999999998</v>
      </c>
      <c r="J3098">
        <v>-408.16059999999999</v>
      </c>
      <c r="K3098">
        <v>1.1113690000000001</v>
      </c>
      <c r="L3098">
        <v>284.51319999999998</v>
      </c>
      <c r="M3098">
        <v>-0.99996379999999996</v>
      </c>
      <c r="N3098">
        <v>0</v>
      </c>
      <c r="O3098">
        <v>-2.18089E-3</v>
      </c>
      <c r="P3098">
        <v>-0.98299700000000001</v>
      </c>
      <c r="Q3098">
        <v>0.17782290000000001</v>
      </c>
      <c r="R3098">
        <v>-4.5786920000000002E-2</v>
      </c>
      <c r="S3098">
        <v>-3.0638730000000001</v>
      </c>
      <c r="T3098">
        <v>-9.5779059999999999E-2</v>
      </c>
      <c r="U3098">
        <v>-0.10855099999999999</v>
      </c>
      <c r="V3098">
        <v>-4.461242E-2</v>
      </c>
      <c r="W3098">
        <v>0.18568680000000001</v>
      </c>
      <c r="X3098">
        <v>0.98159569999999996</v>
      </c>
      <c r="Y3098">
        <v>-3.3212319999999997E-2</v>
      </c>
      <c r="Z3098">
        <v>-4.5069199999999999E-4</v>
      </c>
      <c r="AA3098">
        <v>0.99944820000000001</v>
      </c>
      <c r="AB3098">
        <v>49</v>
      </c>
      <c r="AC3098">
        <v>-35.296799999999998</v>
      </c>
      <c r="AD3098">
        <v>-1.1113686373784</v>
      </c>
      <c r="AE3098">
        <v>-1.2587999999999999</v>
      </c>
      <c r="AF3098">
        <v>-1.18064696673179</v>
      </c>
      <c r="AG3098">
        <v>-1.1113686373784</v>
      </c>
      <c r="AH3098">
        <v>35.264544856639098</v>
      </c>
      <c r="AI3098">
        <v>91.804079474455506</v>
      </c>
      <c r="AJ3098">
        <v>91.917530224989704</v>
      </c>
      <c r="AK3098">
        <v>35.301801532699599</v>
      </c>
      <c r="AL3098">
        <v>79.298822899590803</v>
      </c>
      <c r="AM3098">
        <v>92.602237963467701</v>
      </c>
      <c r="AN3098">
        <v>0.99999998698549297</v>
      </c>
    </row>
    <row r="3099" spans="1:40" x14ac:dyDescent="0.25">
      <c r="A3099" t="str">
        <f>"20190312172139561"</f>
        <v>20190312172139561</v>
      </c>
      <c r="B3099" t="str">
        <f>"1552382499553684"</f>
        <v>1552382499553684</v>
      </c>
      <c r="C3099" t="s">
        <v>40</v>
      </c>
      <c r="D3099">
        <v>3.070786</v>
      </c>
      <c r="E3099">
        <v>0.50374430000000003</v>
      </c>
      <c r="F3099" t="s">
        <v>46</v>
      </c>
      <c r="G3099">
        <v>-444.1182</v>
      </c>
      <c r="H3099" s="1">
        <v>7.1573659999999998E-7</v>
      </c>
      <c r="I3099">
        <v>283.22030000000001</v>
      </c>
      <c r="J3099">
        <v>-408.41860000000003</v>
      </c>
      <c r="K3099">
        <v>1.111378</v>
      </c>
      <c r="L3099">
        <v>284.51240000000001</v>
      </c>
      <c r="M3099">
        <v>-0.99996050000000003</v>
      </c>
      <c r="N3099">
        <v>0</v>
      </c>
      <c r="O3099">
        <v>-3.0901589999999999E-3</v>
      </c>
      <c r="P3099">
        <v>-0.98293810000000004</v>
      </c>
      <c r="Q3099">
        <v>0.1778719</v>
      </c>
      <c r="R3099">
        <v>-4.684054E-2</v>
      </c>
      <c r="S3099">
        <v>-3.0639340000000002</v>
      </c>
      <c r="T3099">
        <v>-9.4699259999999993E-2</v>
      </c>
      <c r="U3099">
        <v>-0.1101685</v>
      </c>
      <c r="V3099">
        <v>-4.4775049999999997E-2</v>
      </c>
      <c r="W3099">
        <v>0.18582360000000001</v>
      </c>
      <c r="X3099">
        <v>0.98156239999999995</v>
      </c>
      <c r="Y3099">
        <v>-3.2830690000000003E-2</v>
      </c>
      <c r="Z3099">
        <v>-4.116182E-4</v>
      </c>
      <c r="AA3099">
        <v>0.99946080000000004</v>
      </c>
      <c r="AB3099">
        <v>49</v>
      </c>
      <c r="AC3099">
        <v>-35.699599999999897</v>
      </c>
      <c r="AD3099">
        <v>-1.11137728426339</v>
      </c>
      <c r="AE3099">
        <v>-1.2921</v>
      </c>
      <c r="AF3099">
        <v>-1.1806298346965001</v>
      </c>
      <c r="AG3099">
        <v>-1.11137728426339</v>
      </c>
      <c r="AH3099">
        <v>35.668898759490602</v>
      </c>
      <c r="AI3099">
        <v>91.783677539398397</v>
      </c>
      <c r="AJ3099">
        <v>91.895780960540606</v>
      </c>
      <c r="AK3099">
        <v>35.705733222962202</v>
      </c>
      <c r="AL3099">
        <v>79.290845934530296</v>
      </c>
      <c r="AM3099">
        <v>92.611799524858299</v>
      </c>
      <c r="AN3099">
        <v>0.99999998025661097</v>
      </c>
    </row>
    <row r="3100" spans="1:40" x14ac:dyDescent="0.25">
      <c r="A3100" t="str">
        <f>"20190312172139581"</f>
        <v>20190312172139581</v>
      </c>
      <c r="B3100" t="str">
        <f>"1552382499574184"</f>
        <v>1552382499574184</v>
      </c>
      <c r="C3100" t="s">
        <v>40</v>
      </c>
      <c r="D3100">
        <v>3.0654189999999999</v>
      </c>
      <c r="E3100">
        <v>0.50688820000000001</v>
      </c>
      <c r="F3100" t="s">
        <v>46</v>
      </c>
      <c r="G3100">
        <v>-444.43439999999998</v>
      </c>
      <c r="H3100" s="1">
        <v>8.8574480000000004E-7</v>
      </c>
      <c r="I3100">
        <v>283.18110000000001</v>
      </c>
      <c r="J3100">
        <v>-408.88150000000002</v>
      </c>
      <c r="K3100">
        <v>1.1113789999999999</v>
      </c>
      <c r="L3100">
        <v>284.51010000000002</v>
      </c>
      <c r="M3100">
        <v>-0.99995319999999999</v>
      </c>
      <c r="N3100">
        <v>0</v>
      </c>
      <c r="O3100">
        <v>-4.6657139999999996E-3</v>
      </c>
      <c r="P3100">
        <v>-0.98281850000000004</v>
      </c>
      <c r="Q3100">
        <v>0.17803289999999999</v>
      </c>
      <c r="R3100">
        <v>-4.8704690000000002E-2</v>
      </c>
      <c r="S3100">
        <v>-3.0637819999999998</v>
      </c>
      <c r="T3100">
        <v>-9.4542150000000005E-2</v>
      </c>
      <c r="U3100">
        <v>-0.1132507</v>
      </c>
      <c r="V3100">
        <v>-4.508972E-2</v>
      </c>
      <c r="W3100">
        <v>0.1861314</v>
      </c>
      <c r="X3100">
        <v>0.98148970000000002</v>
      </c>
      <c r="Y3100">
        <v>-3.226292E-2</v>
      </c>
      <c r="Z3100">
        <v>-3.5360339999999902E-4</v>
      </c>
      <c r="AA3100">
        <v>0.99947940000000002</v>
      </c>
      <c r="AB3100">
        <v>49</v>
      </c>
      <c r="AC3100">
        <v>-35.552899999999902</v>
      </c>
      <c r="AD3100">
        <v>-1.1113781142551999</v>
      </c>
      <c r="AE3100">
        <v>-1.329</v>
      </c>
      <c r="AF3100">
        <v>-1.16196604927513</v>
      </c>
      <c r="AG3100">
        <v>-1.1113781142551999</v>
      </c>
      <c r="AH3100">
        <v>35.524049077351997</v>
      </c>
      <c r="AI3100">
        <v>91.790970080845696</v>
      </c>
      <c r="AJ3100">
        <v>91.873435727484903</v>
      </c>
      <c r="AK3100">
        <v>35.560418856681402</v>
      </c>
      <c r="AL3100">
        <v>79.272897438960698</v>
      </c>
      <c r="AM3100">
        <v>92.630323581869106</v>
      </c>
      <c r="AN3100">
        <v>1.00000000606086</v>
      </c>
    </row>
    <row r="3101" spans="1:40" x14ac:dyDescent="0.25">
      <c r="A3101" t="str">
        <f>"20190312172139593"</f>
        <v>20190312172139593</v>
      </c>
      <c r="B3101" t="str">
        <f>"1552382499583941"</f>
        <v>1552382499583941</v>
      </c>
      <c r="C3101" t="s">
        <v>40</v>
      </c>
      <c r="D3101">
        <v>3.0713370000000002</v>
      </c>
      <c r="E3101">
        <v>0.50687380000000004</v>
      </c>
      <c r="F3101" t="s">
        <v>46</v>
      </c>
      <c r="G3101">
        <v>-445.53</v>
      </c>
      <c r="H3101" s="1">
        <v>1.4595880000000001E-6</v>
      </c>
      <c r="I3101">
        <v>283.39080000000001</v>
      </c>
      <c r="J3101">
        <v>-409.14760000000001</v>
      </c>
      <c r="K3101">
        <v>1.1113740000000001</v>
      </c>
      <c r="L3101">
        <v>284.50850000000003</v>
      </c>
      <c r="M3101">
        <v>-0.99994810000000001</v>
      </c>
      <c r="N3101">
        <v>0</v>
      </c>
      <c r="O3101">
        <v>-5.5407440000000002E-3</v>
      </c>
      <c r="P3101">
        <v>-0.98275590000000002</v>
      </c>
      <c r="Q3101">
        <v>0.17804729999999999</v>
      </c>
      <c r="R3101">
        <v>-4.9905070000000003E-2</v>
      </c>
      <c r="S3101">
        <v>-3.0646360000000001</v>
      </c>
      <c r="T3101">
        <v>-9.2936039999999998E-2</v>
      </c>
      <c r="U3101">
        <v>-9.3597410000000006E-2</v>
      </c>
      <c r="V3101">
        <v>-4.5425849999999997E-2</v>
      </c>
      <c r="W3101">
        <v>0.18622649999999999</v>
      </c>
      <c r="X3101">
        <v>0.9814562</v>
      </c>
      <c r="Y3101">
        <v>-2.497912E-2</v>
      </c>
      <c r="Z3101">
        <v>-2.106256E-4</v>
      </c>
      <c r="AA3101">
        <v>0.99968800000000002</v>
      </c>
      <c r="AB3101">
        <v>49</v>
      </c>
      <c r="AC3101">
        <v>-36.382399999999897</v>
      </c>
      <c r="AD3101">
        <v>-1.1113725404120001</v>
      </c>
      <c r="AE3101">
        <v>-1.1177000000000099</v>
      </c>
      <c r="AF3101">
        <v>-0.915236690680444</v>
      </c>
      <c r="AG3101">
        <v>-1.1113725404120001</v>
      </c>
      <c r="AH3101">
        <v>36.354143877605402</v>
      </c>
      <c r="AI3101">
        <v>91.750473877021193</v>
      </c>
      <c r="AJ3101">
        <v>91.442149901582795</v>
      </c>
      <c r="AK3101">
        <v>36.382641248227003</v>
      </c>
      <c r="AL3101">
        <v>79.267352067989407</v>
      </c>
      <c r="AM3101">
        <v>92.649994309103405</v>
      </c>
      <c r="AN3101">
        <v>1.0000000448344499</v>
      </c>
    </row>
    <row r="3102" spans="1:40" x14ac:dyDescent="0.25">
      <c r="A3102" t="str">
        <f>"20190312172139607"</f>
        <v>20190312172139607</v>
      </c>
      <c r="B3102" t="str">
        <f>"1552382499603461"</f>
        <v>1552382499603461</v>
      </c>
      <c r="C3102" t="s">
        <v>40</v>
      </c>
      <c r="D3102">
        <v>3.0866129999999998</v>
      </c>
      <c r="E3102">
        <v>0.50698129999999997</v>
      </c>
      <c r="F3102" t="s">
        <v>46</v>
      </c>
      <c r="G3102">
        <v>-445.4511</v>
      </c>
      <c r="H3102" s="1">
        <v>1.4190249999999999E-6</v>
      </c>
      <c r="I3102">
        <v>283.35820000000001</v>
      </c>
      <c r="J3102">
        <v>-409.41379999999998</v>
      </c>
      <c r="K3102">
        <v>1.111362</v>
      </c>
      <c r="L3102">
        <v>284.50670000000002</v>
      </c>
      <c r="M3102">
        <v>-0.99994229999999995</v>
      </c>
      <c r="N3102">
        <v>0</v>
      </c>
      <c r="O3102">
        <v>-6.3963809999999996E-3</v>
      </c>
      <c r="P3102">
        <v>-0.98267099999999996</v>
      </c>
      <c r="Q3102">
        <v>0.178255</v>
      </c>
      <c r="R3102">
        <v>-5.082714E-2</v>
      </c>
      <c r="S3102">
        <v>-3.064667</v>
      </c>
      <c r="T3102">
        <v>-9.3819860000000005E-2</v>
      </c>
      <c r="U3102">
        <v>-9.7106929999999994E-2</v>
      </c>
      <c r="V3102">
        <v>-4.5502889999999997E-2</v>
      </c>
      <c r="W3102">
        <v>0.18651280000000001</v>
      </c>
      <c r="X3102">
        <v>0.9813982</v>
      </c>
      <c r="Y3102">
        <v>-2.5267189999999998E-2</v>
      </c>
      <c r="Z3102">
        <v>-1.9084829999999999E-4</v>
      </c>
      <c r="AA3102">
        <v>0.99968069999999998</v>
      </c>
      <c r="AB3102">
        <v>49</v>
      </c>
      <c r="AC3102">
        <v>-36.037300000000002</v>
      </c>
      <c r="AD3102">
        <v>-1.111360580975</v>
      </c>
      <c r="AE3102">
        <v>-1.1485000000000101</v>
      </c>
      <c r="AF3102">
        <v>-0.91708830121834495</v>
      </c>
      <c r="AG3102">
        <v>-1.111360580975</v>
      </c>
      <c r="AH3102">
        <v>36.009696803535398</v>
      </c>
      <c r="AI3102">
        <v>91.767175223871803</v>
      </c>
      <c r="AJ3102">
        <v>91.458882959957194</v>
      </c>
      <c r="AK3102">
        <v>36.038513248686101</v>
      </c>
      <c r="AL3102">
        <v>79.250655082062494</v>
      </c>
      <c r="AM3102">
        <v>92.654638799606502</v>
      </c>
      <c r="AN3102">
        <v>0.99999998226271503</v>
      </c>
    </row>
    <row r="3103" spans="1:40" x14ac:dyDescent="0.25">
      <c r="A3103" t="str">
        <f>"20190312172139618"</f>
        <v>20190312172139618</v>
      </c>
      <c r="B3103" t="str">
        <f>"1552382499613730"</f>
        <v>1552382499613730</v>
      </c>
      <c r="C3103" t="s">
        <v>40</v>
      </c>
      <c r="D3103">
        <v>3.0923769999999999</v>
      </c>
      <c r="E3103">
        <v>0.50700210000000001</v>
      </c>
      <c r="F3103" t="s">
        <v>46</v>
      </c>
      <c r="G3103">
        <v>-445.61059999999998</v>
      </c>
      <c r="H3103" s="1">
        <v>1.504878E-6</v>
      </c>
      <c r="I3103">
        <v>283.33499999999998</v>
      </c>
      <c r="J3103">
        <v>-409.68130000000002</v>
      </c>
      <c r="K3103">
        <v>1.1113459999999999</v>
      </c>
      <c r="L3103">
        <v>284.50479999999999</v>
      </c>
      <c r="M3103">
        <v>-0.99993580000000004</v>
      </c>
      <c r="N3103">
        <v>0</v>
      </c>
      <c r="O3103">
        <v>-7.2397889999999999E-3</v>
      </c>
      <c r="P3103">
        <v>-0.98261379999999998</v>
      </c>
      <c r="Q3103">
        <v>0.17826839999999999</v>
      </c>
      <c r="R3103">
        <v>-5.1870769999999997E-2</v>
      </c>
      <c r="S3103">
        <v>-3.0647890000000002</v>
      </c>
      <c r="T3103">
        <v>-9.4099160000000001E-2</v>
      </c>
      <c r="U3103">
        <v>-9.9212649999999999E-2</v>
      </c>
      <c r="V3103">
        <v>-4.5710809999999998E-2</v>
      </c>
      <c r="W3103">
        <v>0.18660270000000001</v>
      </c>
      <c r="X3103">
        <v>0.98137149999999995</v>
      </c>
      <c r="Y3103">
        <v>-2.5109289999999999E-2</v>
      </c>
      <c r="Z3103">
        <v>-1.6310200000000001E-4</v>
      </c>
      <c r="AA3103">
        <v>0.99968469999999998</v>
      </c>
      <c r="AB3103">
        <v>49</v>
      </c>
      <c r="AC3103">
        <v>-35.929299999999898</v>
      </c>
      <c r="AD3103">
        <v>-1.111344495122</v>
      </c>
      <c r="AE3103">
        <v>-1.1698</v>
      </c>
      <c r="AF3103">
        <v>-0.90877035818296104</v>
      </c>
      <c r="AG3103">
        <v>-1.111344495122</v>
      </c>
      <c r="AH3103">
        <v>35.902514265021303</v>
      </c>
      <c r="AI3103">
        <v>91.772428905395202</v>
      </c>
      <c r="AJ3103">
        <v>91.449970598728001</v>
      </c>
      <c r="AK3103">
        <v>35.931204832301503</v>
      </c>
      <c r="AL3103">
        <v>79.245412702957793</v>
      </c>
      <c r="AM3103">
        <v>92.666823831445896</v>
      </c>
      <c r="AN3103">
        <v>1.0000000334051899</v>
      </c>
    </row>
    <row r="3104" spans="1:40" x14ac:dyDescent="0.25">
      <c r="A3104" t="str">
        <f>"20190312172139630"</f>
        <v>20190312172139630</v>
      </c>
      <c r="B3104" t="str">
        <f>"1552382499623490"</f>
        <v>1552382499623490</v>
      </c>
      <c r="C3104" t="s">
        <v>40</v>
      </c>
      <c r="D3104">
        <v>3.0728749999999998</v>
      </c>
      <c r="E3104">
        <v>0.50712860000000004</v>
      </c>
      <c r="F3104" t="s">
        <v>46</v>
      </c>
      <c r="G3104">
        <v>-445.80040000000002</v>
      </c>
      <c r="H3104" s="1">
        <v>1.6074719999999999E-6</v>
      </c>
      <c r="I3104">
        <v>283.29849999999999</v>
      </c>
      <c r="J3104">
        <v>-409.9323</v>
      </c>
      <c r="K3104">
        <v>1.111318</v>
      </c>
      <c r="L3104">
        <v>284.50259999999997</v>
      </c>
      <c r="M3104">
        <v>-0.99992950000000003</v>
      </c>
      <c r="N3104">
        <v>0</v>
      </c>
      <c r="O3104">
        <v>-7.9917080000000001E-3</v>
      </c>
      <c r="P3104">
        <v>-0.98261140000000002</v>
      </c>
      <c r="Q3104">
        <v>0.17809469999999999</v>
      </c>
      <c r="R3104">
        <v>-5.2514280000000003E-2</v>
      </c>
      <c r="S3104">
        <v>-3.064819</v>
      </c>
      <c r="T3104">
        <v>-9.4301220000000005E-2</v>
      </c>
      <c r="U3104">
        <v>-0.102356</v>
      </c>
      <c r="V3104">
        <v>-4.5603129999999999E-2</v>
      </c>
      <c r="W3104">
        <v>0.18650149999999999</v>
      </c>
      <c r="X3104">
        <v>0.98139569999999998</v>
      </c>
      <c r="Y3104">
        <v>-2.5381609999999999E-2</v>
      </c>
      <c r="Z3104">
        <v>-1.4451230000000001E-4</v>
      </c>
      <c r="AA3104">
        <v>0.99967779999999995</v>
      </c>
      <c r="AB3104">
        <v>49</v>
      </c>
      <c r="AC3104">
        <v>-35.868099999999998</v>
      </c>
      <c r="AD3104">
        <v>-1.1113163925280001</v>
      </c>
      <c r="AE3104">
        <v>-1.20409999999998</v>
      </c>
      <c r="AF3104">
        <v>-0.91652426101439899</v>
      </c>
      <c r="AG3104">
        <v>-1.1113163925280001</v>
      </c>
      <c r="AH3104">
        <v>35.842208883891502</v>
      </c>
      <c r="AI3104">
        <v>91.775352606763803</v>
      </c>
      <c r="AJ3104">
        <v>91.4647961820517</v>
      </c>
      <c r="AK3104">
        <v>35.871144092736102</v>
      </c>
      <c r="AL3104">
        <v>79.251314144227607</v>
      </c>
      <c r="AM3104">
        <v>92.660485176002098</v>
      </c>
      <c r="AN3104">
        <v>0.99999998747326801</v>
      </c>
    </row>
    <row r="3105" spans="1:40" x14ac:dyDescent="0.25">
      <c r="A3105" t="str">
        <f>"20190312172139643"</f>
        <v>20190312172139643</v>
      </c>
      <c r="B3105" t="str">
        <f>"1552382499634225"</f>
        <v>1552382499634225</v>
      </c>
      <c r="C3105" t="s">
        <v>40</v>
      </c>
      <c r="D3105">
        <v>3.1013500000000001</v>
      </c>
      <c r="E3105">
        <v>0.50712239999999997</v>
      </c>
      <c r="F3105" t="s">
        <v>46</v>
      </c>
      <c r="G3105">
        <v>-445.23099999999999</v>
      </c>
      <c r="H3105" s="1">
        <v>1.3039299999999999E-6</v>
      </c>
      <c r="I3105">
        <v>283.31119999999999</v>
      </c>
      <c r="J3105">
        <v>-410.22430000000003</v>
      </c>
      <c r="K3105">
        <v>1.1112839999999999</v>
      </c>
      <c r="L3105">
        <v>284.5</v>
      </c>
      <c r="M3105">
        <v>-0.99992159999999997</v>
      </c>
      <c r="N3105">
        <v>0</v>
      </c>
      <c r="O3105">
        <v>-8.8448789999999999E-3</v>
      </c>
      <c r="P3105">
        <v>-0.9826125</v>
      </c>
      <c r="Q3105">
        <v>0.17783689999999999</v>
      </c>
      <c r="R3105">
        <v>-5.3357929999999998E-2</v>
      </c>
      <c r="S3105">
        <v>-3.0650629999999999</v>
      </c>
      <c r="T3105">
        <v>-9.6498009999999995E-2</v>
      </c>
      <c r="U3105">
        <v>-0.10345459999999999</v>
      </c>
      <c r="V3105">
        <v>-4.5591560000000003E-2</v>
      </c>
      <c r="W3105">
        <v>0.1863282</v>
      </c>
      <c r="X3105">
        <v>0.9814292</v>
      </c>
      <c r="Y3105">
        <v>-2.4884179999999999E-2</v>
      </c>
      <c r="Z3105">
        <v>-1.131936E-4</v>
      </c>
      <c r="AA3105">
        <v>0.99969039999999998</v>
      </c>
      <c r="AB3105">
        <v>49</v>
      </c>
      <c r="AC3105">
        <v>-35.006699999999903</v>
      </c>
      <c r="AD3105">
        <v>-1.11128269607</v>
      </c>
      <c r="AE3105">
        <v>-1.1888000000000101</v>
      </c>
      <c r="AF3105">
        <v>-0.87822730364290502</v>
      </c>
      <c r="AG3105">
        <v>-1.11128269607</v>
      </c>
      <c r="AH3105">
        <v>34.980635112600801</v>
      </c>
      <c r="AI3105">
        <v>91.819016838546801</v>
      </c>
      <c r="AJ3105">
        <v>91.438171421176705</v>
      </c>
      <c r="AK3105">
        <v>35.009299697485602</v>
      </c>
      <c r="AL3105">
        <v>79.261421137617106</v>
      </c>
      <c r="AM3105">
        <v>92.659720492693395</v>
      </c>
      <c r="AN3105">
        <v>1.0000000315355499</v>
      </c>
    </row>
    <row r="3106" spans="1:40" x14ac:dyDescent="0.25">
      <c r="A3106" t="str">
        <f>"20190312172139658"</f>
        <v>20190312172139658</v>
      </c>
      <c r="B3106" t="str">
        <f>"1552382499653746"</f>
        <v>1552382499653746</v>
      </c>
      <c r="C3106" t="s">
        <v>40</v>
      </c>
      <c r="D3106">
        <v>3.1075200000000001</v>
      </c>
      <c r="E3106">
        <v>0.50717849999999998</v>
      </c>
      <c r="F3106" t="s">
        <v>46</v>
      </c>
      <c r="G3106">
        <v>-444.98360000000002</v>
      </c>
      <c r="H3106" s="1">
        <v>1.1728720000000001E-6</v>
      </c>
      <c r="I3106">
        <v>283.29770000000002</v>
      </c>
      <c r="J3106">
        <v>-410.56389999999999</v>
      </c>
      <c r="K3106">
        <v>1.1112329999999999</v>
      </c>
      <c r="L3106">
        <v>284.4966</v>
      </c>
      <c r="M3106">
        <v>-0.99991200000000002</v>
      </c>
      <c r="N3106">
        <v>0</v>
      </c>
      <c r="O3106">
        <v>-9.7828370000000008E-3</v>
      </c>
      <c r="P3106">
        <v>-0.98259779999999997</v>
      </c>
      <c r="Q3106">
        <v>0.1776421</v>
      </c>
      <c r="R3106">
        <v>-5.4270119999999998E-2</v>
      </c>
      <c r="S3106">
        <v>-3.0650629999999999</v>
      </c>
      <c r="T3106">
        <v>-9.7992540000000003E-2</v>
      </c>
      <c r="U3106">
        <v>-0.1060181</v>
      </c>
      <c r="V3106">
        <v>-4.5558719999999997E-2</v>
      </c>
      <c r="W3106">
        <v>0.18623120000000001</v>
      </c>
      <c r="X3106">
        <v>0.98144909999999996</v>
      </c>
      <c r="Y3106">
        <v>-2.4781830000000001E-2</v>
      </c>
      <c r="Z3106" s="1">
        <v>-8.3340559999999997E-5</v>
      </c>
      <c r="AA3106">
        <v>0.9996929</v>
      </c>
      <c r="AB3106">
        <v>49</v>
      </c>
      <c r="AC3106">
        <v>-34.419699999999999</v>
      </c>
      <c r="AD3106">
        <v>-1.1112318271279999</v>
      </c>
      <c r="AE3106">
        <v>-1.1988999999999801</v>
      </c>
      <c r="AF3106">
        <v>-0.86121023464614799</v>
      </c>
      <c r="AG3106">
        <v>-1.1112318271279999</v>
      </c>
      <c r="AH3106">
        <v>34.393976290773999</v>
      </c>
      <c r="AI3106">
        <v>91.849940925158293</v>
      </c>
      <c r="AJ3106">
        <v>91.434361722961498</v>
      </c>
      <c r="AK3106">
        <v>34.422697807292799</v>
      </c>
      <c r="AL3106">
        <v>79.267077456618793</v>
      </c>
      <c r="AM3106">
        <v>92.657753608032607</v>
      </c>
      <c r="AN3106">
        <v>0.99999999635614401</v>
      </c>
    </row>
    <row r="3107" spans="1:40" x14ac:dyDescent="0.25">
      <c r="A3107" t="str">
        <f>"20190312172139672"</f>
        <v>20190312172139672</v>
      </c>
      <c r="B3107" t="str">
        <f>"1552382499663506"</f>
        <v>1552382499663506</v>
      </c>
      <c r="C3107" t="s">
        <v>40</v>
      </c>
      <c r="D3107">
        <v>3.0859359999999998</v>
      </c>
      <c r="E3107">
        <v>0.50733209999999995</v>
      </c>
      <c r="F3107" t="s">
        <v>46</v>
      </c>
      <c r="G3107">
        <v>-444.70370000000003</v>
      </c>
      <c r="H3107" s="1">
        <v>1.0242220000000001E-6</v>
      </c>
      <c r="I3107">
        <v>283.29090000000002</v>
      </c>
      <c r="J3107">
        <v>-410.85739999999998</v>
      </c>
      <c r="K3107">
        <v>1.1111850000000001</v>
      </c>
      <c r="L3107">
        <v>284.49329999999998</v>
      </c>
      <c r="M3107">
        <v>-0.9999036</v>
      </c>
      <c r="N3107">
        <v>0</v>
      </c>
      <c r="O3107">
        <v>-1.0535889999999999E-2</v>
      </c>
      <c r="P3107">
        <v>-0.98265380000000002</v>
      </c>
      <c r="Q3107">
        <v>0.1771615</v>
      </c>
      <c r="R3107">
        <v>-5.4821670000000003E-2</v>
      </c>
      <c r="S3107">
        <v>-3.0651549999999999</v>
      </c>
      <c r="T3107">
        <v>-9.9768999999999997E-2</v>
      </c>
      <c r="U3107">
        <v>-0.1082458</v>
      </c>
      <c r="V3107">
        <v>-4.5343620000000001E-2</v>
      </c>
      <c r="W3107">
        <v>0.1858358</v>
      </c>
      <c r="X3107">
        <v>0.98153400000000002</v>
      </c>
      <c r="Y3107">
        <v>-2.475374E-2</v>
      </c>
      <c r="Z3107" s="1">
        <v>-5.9895159999999999E-5</v>
      </c>
      <c r="AA3107">
        <v>0.99969359999999996</v>
      </c>
      <c r="AB3107">
        <v>49</v>
      </c>
      <c r="AC3107">
        <v>-33.846299999999999</v>
      </c>
      <c r="AD3107">
        <v>-1.111183975778</v>
      </c>
      <c r="AE3107">
        <v>-1.20239999999995</v>
      </c>
      <c r="AF3107">
        <v>-0.84480836890105504</v>
      </c>
      <c r="AG3107">
        <v>-1.111183975778</v>
      </c>
      <c r="AH3107">
        <v>33.820683173848501</v>
      </c>
      <c r="AI3107">
        <v>91.881198748780704</v>
      </c>
      <c r="AJ3107">
        <v>91.430896303740397</v>
      </c>
      <c r="AK3107">
        <v>33.849476234559901</v>
      </c>
      <c r="AL3107">
        <v>79.290134649033106</v>
      </c>
      <c r="AM3107">
        <v>92.644994730826397</v>
      </c>
      <c r="AN3107">
        <v>0.99999999079617197</v>
      </c>
    </row>
    <row r="3108" spans="1:40" x14ac:dyDescent="0.25">
      <c r="A3108" t="str">
        <f>"20190312172139693"</f>
        <v>20190312172139693</v>
      </c>
      <c r="B3108" t="str">
        <f>"1552382499684001"</f>
        <v>1552382499684001</v>
      </c>
      <c r="C3108" t="s">
        <v>40</v>
      </c>
      <c r="D3108">
        <v>3.0784419999999999</v>
      </c>
      <c r="E3108">
        <v>0.5075539</v>
      </c>
      <c r="F3108" t="s">
        <v>46</v>
      </c>
      <c r="G3108">
        <v>-444.45859999999999</v>
      </c>
      <c r="H3108" s="1">
        <v>8.933627E-7</v>
      </c>
      <c r="I3108">
        <v>283.30040000000002</v>
      </c>
      <c r="J3108">
        <v>-411.33629999999999</v>
      </c>
      <c r="K3108">
        <v>1.1110880000000001</v>
      </c>
      <c r="L3108">
        <v>284.48779999999999</v>
      </c>
      <c r="M3108">
        <v>-0.99988969999999999</v>
      </c>
      <c r="N3108">
        <v>0</v>
      </c>
      <c r="O3108">
        <v>-1.168393E-2</v>
      </c>
      <c r="P3108">
        <v>-0.98267919999999997</v>
      </c>
      <c r="Q3108">
        <v>0.17670259999999999</v>
      </c>
      <c r="R3108">
        <v>-5.5841160000000001E-2</v>
      </c>
      <c r="S3108">
        <v>-3.0650940000000002</v>
      </c>
      <c r="T3108">
        <v>-0.10136199999999999</v>
      </c>
      <c r="U3108">
        <v>-0.1088257</v>
      </c>
      <c r="V3108">
        <v>-4.5188699999999901E-2</v>
      </c>
      <c r="W3108">
        <v>0.18551300000000001</v>
      </c>
      <c r="X3108">
        <v>0.98160230000000004</v>
      </c>
      <c r="Y3108">
        <v>-2.3796390000000001E-2</v>
      </c>
      <c r="Z3108" s="1">
        <v>-7.092138E-6</v>
      </c>
      <c r="AA3108">
        <v>0.99971679999999996</v>
      </c>
      <c r="AB3108">
        <v>49</v>
      </c>
      <c r="AC3108">
        <v>-33.122300000000003</v>
      </c>
      <c r="AD3108">
        <v>-1.11108710663729</v>
      </c>
      <c r="AE3108">
        <v>-1.18739999999996</v>
      </c>
      <c r="AF3108">
        <v>-0.79940564854545004</v>
      </c>
      <c r="AG3108">
        <v>-1.11108710663729</v>
      </c>
      <c r="AH3108">
        <v>33.096718167174501</v>
      </c>
      <c r="AI3108">
        <v>91.9221894361674</v>
      </c>
      <c r="AJ3108">
        <v>91.3836316226554</v>
      </c>
      <c r="AK3108">
        <v>33.125010451120502</v>
      </c>
      <c r="AL3108">
        <v>79.308958026595207</v>
      </c>
      <c r="AM3108">
        <v>92.635787516280402</v>
      </c>
      <c r="AN3108">
        <v>1.0000000835709799</v>
      </c>
    </row>
    <row r="3109" spans="1:40" x14ac:dyDescent="0.25">
      <c r="A3109" t="str">
        <f>"20190312172139706"</f>
        <v>20190312172139706</v>
      </c>
      <c r="B3109" t="str">
        <f>"1552382499703521"</f>
        <v>1552382499703521</v>
      </c>
      <c r="C3109" t="s">
        <v>40</v>
      </c>
      <c r="D3109">
        <v>3.057458</v>
      </c>
      <c r="E3109">
        <v>0.50782280000000002</v>
      </c>
      <c r="F3109" t="s">
        <v>46</v>
      </c>
      <c r="G3109">
        <v>-444.35700000000003</v>
      </c>
      <c r="H3109" s="1">
        <v>8.3924949999999898E-7</v>
      </c>
      <c r="I3109">
        <v>283.30189999999999</v>
      </c>
      <c r="J3109">
        <v>-411.61500000000001</v>
      </c>
      <c r="K3109">
        <v>1.1110279999999999</v>
      </c>
      <c r="L3109">
        <v>284.48430000000002</v>
      </c>
      <c r="M3109">
        <v>-0.99988169999999998</v>
      </c>
      <c r="N3109">
        <v>0</v>
      </c>
      <c r="O3109">
        <v>-1.2295270000000001E-2</v>
      </c>
      <c r="P3109">
        <v>-0.98271390000000003</v>
      </c>
      <c r="Q3109">
        <v>0.17644219999999999</v>
      </c>
      <c r="R3109">
        <v>-5.6054060000000003E-2</v>
      </c>
      <c r="S3109">
        <v>-3.0651860000000002</v>
      </c>
      <c r="T3109">
        <v>-0.10313799999999999</v>
      </c>
      <c r="U3109">
        <v>-0.11007690000000001</v>
      </c>
      <c r="V3109">
        <v>-4.4770860000000003E-2</v>
      </c>
      <c r="W3109">
        <v>0.18533259999999999</v>
      </c>
      <c r="X3109">
        <v>0.98165539999999996</v>
      </c>
      <c r="Y3109">
        <v>-2.3591879999999999E-2</v>
      </c>
      <c r="Z3109" s="1">
        <v>1.6778329999999899E-5</v>
      </c>
      <c r="AA3109">
        <v>0.99972159999999999</v>
      </c>
      <c r="AB3109">
        <v>49</v>
      </c>
      <c r="AC3109">
        <v>-32.741999999999898</v>
      </c>
      <c r="AD3109">
        <v>-1.1110271607505</v>
      </c>
      <c r="AE3109">
        <v>-1.1824000000000201</v>
      </c>
      <c r="AF3109">
        <v>-0.778826092723648</v>
      </c>
      <c r="AG3109">
        <v>-1.1110271607505</v>
      </c>
      <c r="AH3109">
        <v>32.716441628410301</v>
      </c>
      <c r="AI3109">
        <v>91.944426160356102</v>
      </c>
      <c r="AJ3109">
        <v>91.363688086085006</v>
      </c>
      <c r="AK3109">
        <v>32.744564499467899</v>
      </c>
      <c r="AL3109">
        <v>79.319475290312994</v>
      </c>
      <c r="AM3109">
        <v>92.611308383049007</v>
      </c>
      <c r="AN3109">
        <v>0.99999996343852904</v>
      </c>
    </row>
    <row r="3110" spans="1:40" x14ac:dyDescent="0.25">
      <c r="A3110" t="str">
        <f>"20190312172139718"</f>
        <v>20190312172139718</v>
      </c>
      <c r="B3110" t="str">
        <f>"1552382499713790"</f>
        <v>1552382499713790</v>
      </c>
      <c r="C3110" t="s">
        <v>40</v>
      </c>
      <c r="D3110">
        <v>3.0760299999999998</v>
      </c>
      <c r="E3110">
        <v>0.50788370000000005</v>
      </c>
      <c r="F3110" t="s">
        <v>46</v>
      </c>
      <c r="G3110">
        <v>-444.28019999999998</v>
      </c>
      <c r="H3110" s="1">
        <v>7.9730469999999998E-7</v>
      </c>
      <c r="I3110">
        <v>283.32619999999997</v>
      </c>
      <c r="J3110">
        <v>-411.88040000000001</v>
      </c>
      <c r="K3110">
        <v>1.1109659999999999</v>
      </c>
      <c r="L3110">
        <v>284.48090000000002</v>
      </c>
      <c r="M3110">
        <v>-0.99987420000000005</v>
      </c>
      <c r="N3110">
        <v>0</v>
      </c>
      <c r="O3110">
        <v>-1.284806E-2</v>
      </c>
      <c r="P3110">
        <v>-0.98272009999999999</v>
      </c>
      <c r="Q3110">
        <v>0.17633480000000001</v>
      </c>
      <c r="R3110">
        <v>-5.6281779999999997E-2</v>
      </c>
      <c r="S3110">
        <v>-3.0652469999999998</v>
      </c>
      <c r="T3110">
        <v>-0.1042569</v>
      </c>
      <c r="U3110">
        <v>-0.10867309999999999</v>
      </c>
      <c r="V3110">
        <v>-4.4427090000000002E-2</v>
      </c>
      <c r="W3110">
        <v>0.1852993</v>
      </c>
      <c r="X3110">
        <v>0.98167740000000003</v>
      </c>
      <c r="Y3110">
        <v>-2.2581940000000002E-2</v>
      </c>
      <c r="Z3110" s="1">
        <v>5.291388E-5</v>
      </c>
      <c r="AA3110">
        <v>0.99974499999999999</v>
      </c>
      <c r="AB3110">
        <v>49</v>
      </c>
      <c r="AC3110">
        <v>-32.3997999999999</v>
      </c>
      <c r="AD3110">
        <v>-1.1109652026953001</v>
      </c>
      <c r="AE3110">
        <v>-1.15470000000004</v>
      </c>
      <c r="AF3110">
        <v>-0.73744614635124695</v>
      </c>
      <c r="AG3110">
        <v>-1.1109652026953001</v>
      </c>
      <c r="AH3110">
        <v>32.373946301410498</v>
      </c>
      <c r="AI3110">
        <v>91.964918300401393</v>
      </c>
      <c r="AJ3110">
        <v>91.304914935093905</v>
      </c>
      <c r="AK3110">
        <v>32.401396106139899</v>
      </c>
      <c r="AL3110">
        <v>79.321417883915203</v>
      </c>
      <c r="AM3110">
        <v>92.591227072248103</v>
      </c>
      <c r="AN3110">
        <v>1.0000000572885499</v>
      </c>
    </row>
    <row r="3111" spans="1:40" x14ac:dyDescent="0.25">
      <c r="A3111" t="str">
        <f>"20190312172139730"</f>
        <v>20190312172139730</v>
      </c>
      <c r="B3111" t="str">
        <f>"1552382499723549"</f>
        <v>1552382499723549</v>
      </c>
      <c r="C3111" t="s">
        <v>40</v>
      </c>
      <c r="D3111">
        <v>3.0966710000000002</v>
      </c>
      <c r="E3111">
        <v>0.507992</v>
      </c>
      <c r="F3111" t="s">
        <v>46</v>
      </c>
      <c r="G3111">
        <v>-444.41539999999998</v>
      </c>
      <c r="H3111" s="1">
        <v>8.6935360000000002E-7</v>
      </c>
      <c r="I3111">
        <v>283.32420000000002</v>
      </c>
      <c r="J3111">
        <v>-412.14170000000001</v>
      </c>
      <c r="K3111">
        <v>1.1108979999999999</v>
      </c>
      <c r="L3111">
        <v>284.47730000000001</v>
      </c>
      <c r="M3111">
        <v>-0.99986710000000001</v>
      </c>
      <c r="N3111">
        <v>0</v>
      </c>
      <c r="O3111">
        <v>-1.334074E-2</v>
      </c>
      <c r="P3111">
        <v>-0.98277150000000002</v>
      </c>
      <c r="Q3111">
        <v>0.17596239999999999</v>
      </c>
      <c r="R3111">
        <v>-5.6547399999999998E-2</v>
      </c>
      <c r="S3111">
        <v>-3.0653380000000001</v>
      </c>
      <c r="T3111">
        <v>-0.10467120000000001</v>
      </c>
      <c r="U3111">
        <v>-0.1089783</v>
      </c>
      <c r="V3111">
        <v>-4.4177790000000002E-2</v>
      </c>
      <c r="W3111">
        <v>0.18499889999999999</v>
      </c>
      <c r="X3111">
        <v>0.98174519999999998</v>
      </c>
      <c r="Y3111">
        <v>-2.218813E-2</v>
      </c>
      <c r="Z3111" s="1">
        <v>7.6652939999999995E-5</v>
      </c>
      <c r="AA3111">
        <v>0.99975380000000003</v>
      </c>
      <c r="AB3111">
        <v>49</v>
      </c>
      <c r="AC3111">
        <v>-32.273699999999899</v>
      </c>
      <c r="AD3111">
        <v>-1.1108971306463999</v>
      </c>
      <c r="AE3111">
        <v>-1.15309999999999</v>
      </c>
      <c r="AF3111">
        <v>-0.72156959429151601</v>
      </c>
      <c r="AG3111">
        <v>-1.1108971306463999</v>
      </c>
      <c r="AH3111">
        <v>32.2480523096607</v>
      </c>
      <c r="AI3111">
        <v>91.972480317485804</v>
      </c>
      <c r="AJ3111">
        <v>91.281813685084501</v>
      </c>
      <c r="AK3111">
        <v>32.275247991005401</v>
      </c>
      <c r="AL3111">
        <v>79.338931237730904</v>
      </c>
      <c r="AM3111">
        <v>92.576528497320496</v>
      </c>
      <c r="AN3111">
        <v>0.99999995392676599</v>
      </c>
    </row>
    <row r="3112" spans="1:40" x14ac:dyDescent="0.25">
      <c r="A3112" t="str">
        <f>"20190312172139743"</f>
        <v>20190312172139743</v>
      </c>
      <c r="B3112" t="str">
        <f>"1552382499733309"</f>
        <v>1552382499733309</v>
      </c>
      <c r="C3112" t="s">
        <v>40</v>
      </c>
      <c r="D3112">
        <v>3.0964649999999998</v>
      </c>
      <c r="E3112">
        <v>0.50810310000000003</v>
      </c>
      <c r="F3112" t="s">
        <v>46</v>
      </c>
      <c r="G3112">
        <v>-444.2423</v>
      </c>
      <c r="H3112" s="1">
        <v>7.7677779999999996E-7</v>
      </c>
      <c r="I3112">
        <v>283.33510000000001</v>
      </c>
      <c r="J3112">
        <v>-412.41480000000001</v>
      </c>
      <c r="K3112">
        <v>1.110832</v>
      </c>
      <c r="L3112">
        <v>284.4735</v>
      </c>
      <c r="M3112">
        <v>-0.99985990000000002</v>
      </c>
      <c r="N3112">
        <v>0</v>
      </c>
      <c r="O3112">
        <v>-1.38347E-2</v>
      </c>
      <c r="P3112">
        <v>-0.98285140000000004</v>
      </c>
      <c r="Q3112">
        <v>0.175559299999999</v>
      </c>
      <c r="R3112">
        <v>-5.6413150000000002E-2</v>
      </c>
      <c r="S3112">
        <v>-3.0653079999999999</v>
      </c>
      <c r="T3112">
        <v>-0.1060801</v>
      </c>
      <c r="U3112">
        <v>-0.10906979999999999</v>
      </c>
      <c r="V3112">
        <v>-4.3525580000000001E-2</v>
      </c>
      <c r="W3112">
        <v>0.1846727</v>
      </c>
      <c r="X3112">
        <v>0.98183580000000004</v>
      </c>
      <c r="Y3112">
        <v>-2.1724830000000001E-2</v>
      </c>
      <c r="Z3112">
        <v>1.027779E-4</v>
      </c>
      <c r="AA3112">
        <v>0.99976399999999999</v>
      </c>
      <c r="AB3112">
        <v>49</v>
      </c>
      <c r="AC3112">
        <v>-31.827499999999901</v>
      </c>
      <c r="AD3112">
        <v>-1.1108312232222</v>
      </c>
      <c r="AE3112">
        <v>-1.1383999999999901</v>
      </c>
      <c r="AF3112">
        <v>-0.69709951109100099</v>
      </c>
      <c r="AG3112">
        <v>-1.1108312232222</v>
      </c>
      <c r="AH3112">
        <v>31.801515173128301</v>
      </c>
      <c r="AI3112">
        <v>92.000055893414896</v>
      </c>
      <c r="AJ3112">
        <v>91.255740939074201</v>
      </c>
      <c r="AK3112">
        <v>31.828544752180498</v>
      </c>
      <c r="AL3112">
        <v>79.357949411631296</v>
      </c>
      <c r="AM3112">
        <v>92.538306623883201</v>
      </c>
      <c r="AN3112">
        <v>1.0000000102006299</v>
      </c>
    </row>
    <row r="3113" spans="1:40" x14ac:dyDescent="0.25">
      <c r="A3113" t="str">
        <f>"20190312172139755"</f>
        <v>20190312172139755</v>
      </c>
      <c r="B3113" t="str">
        <f>"1552382499744045"</f>
        <v>1552382499744045</v>
      </c>
      <c r="C3113" t="s">
        <v>40</v>
      </c>
      <c r="D3113">
        <v>3.1135229999999998</v>
      </c>
      <c r="E3113">
        <v>0.50819499999999995</v>
      </c>
      <c r="F3113" t="s">
        <v>46</v>
      </c>
      <c r="G3113">
        <v>-444.1336</v>
      </c>
      <c r="H3113" s="1">
        <v>7.1792639999999999E-7</v>
      </c>
      <c r="I3113">
        <v>283.35719999999998</v>
      </c>
      <c r="J3113">
        <v>-412.7004</v>
      </c>
      <c r="K3113">
        <v>1.110762</v>
      </c>
      <c r="L3113">
        <v>284.46940000000001</v>
      </c>
      <c r="M3113">
        <v>-0.99985259999999998</v>
      </c>
      <c r="N3113">
        <v>0</v>
      </c>
      <c r="O3113">
        <v>-1.4302850000000001E-2</v>
      </c>
      <c r="P3113">
        <v>-0.9828848</v>
      </c>
      <c r="Q3113">
        <v>0.17535049999999999</v>
      </c>
      <c r="R3113">
        <v>-5.6481700000000003E-2</v>
      </c>
      <c r="S3113">
        <v>-3.0653990000000002</v>
      </c>
      <c r="T3113">
        <v>-0.107354</v>
      </c>
      <c r="U3113">
        <v>-0.10787960000000001</v>
      </c>
      <c r="V3113">
        <v>-4.310013E-2</v>
      </c>
      <c r="W3113">
        <v>0.18454429999999999</v>
      </c>
      <c r="X3113">
        <v>0.98187869999999999</v>
      </c>
      <c r="Y3113">
        <v>-2.0868649999999999E-2</v>
      </c>
      <c r="Z3113">
        <v>1.3537550000000001E-4</v>
      </c>
      <c r="AA3113">
        <v>0.99978219999999995</v>
      </c>
      <c r="AB3113">
        <v>49</v>
      </c>
      <c r="AC3113">
        <v>-31.433199999999999</v>
      </c>
      <c r="AD3113">
        <v>-1.1107612820735999</v>
      </c>
      <c r="AE3113">
        <v>-1.1122000000000201</v>
      </c>
      <c r="AF3113">
        <v>-0.66165640894853395</v>
      </c>
      <c r="AG3113">
        <v>-1.1107612820735999</v>
      </c>
      <c r="AH3113">
        <v>31.406723629665301</v>
      </c>
      <c r="AI3113">
        <v>92.025086040031596</v>
      </c>
      <c r="AJ3113">
        <v>91.206891653861106</v>
      </c>
      <c r="AK3113">
        <v>31.4333241795938</v>
      </c>
      <c r="AL3113">
        <v>79.365434745982</v>
      </c>
      <c r="AM3113">
        <v>92.513417706190296</v>
      </c>
      <c r="AN3113">
        <v>1.0000000006910901</v>
      </c>
    </row>
    <row r="3114" spans="1:40" x14ac:dyDescent="0.25">
      <c r="A3114" t="str">
        <f>"20190312172139768"</f>
        <v>20190312172139768</v>
      </c>
      <c r="B3114" t="str">
        <f>"1552382499763565"</f>
        <v>1552382499763565</v>
      </c>
      <c r="C3114" t="s">
        <v>40</v>
      </c>
      <c r="D3114">
        <v>3.1162550000000002</v>
      </c>
      <c r="E3114">
        <v>0.50839899999999905</v>
      </c>
      <c r="F3114" t="s">
        <v>46</v>
      </c>
      <c r="G3114">
        <v>-444.2029</v>
      </c>
      <c r="H3114" s="1">
        <v>7.5448339999999996E-7</v>
      </c>
      <c r="I3114">
        <v>283.36509999999998</v>
      </c>
      <c r="J3114">
        <v>-412.97579999999999</v>
      </c>
      <c r="K3114">
        <v>1.110698</v>
      </c>
      <c r="L3114">
        <v>284.46530000000001</v>
      </c>
      <c r="M3114">
        <v>-0.99984569999999995</v>
      </c>
      <c r="N3114">
        <v>0</v>
      </c>
      <c r="O3114">
        <v>-1.4718119999999999E-2</v>
      </c>
      <c r="P3114">
        <v>-0.98298529999999995</v>
      </c>
      <c r="Q3114">
        <v>0.17484910000000001</v>
      </c>
      <c r="R3114">
        <v>-5.6282169999999999E-2</v>
      </c>
      <c r="S3114">
        <v>-3.0653380000000001</v>
      </c>
      <c r="T3114">
        <v>-0.10808230000000001</v>
      </c>
      <c r="U3114">
        <v>-0.1074524</v>
      </c>
      <c r="V3114">
        <v>-4.2458849999999999E-2</v>
      </c>
      <c r="W3114">
        <v>0.1841207</v>
      </c>
      <c r="X3114">
        <v>0.98198620000000003</v>
      </c>
      <c r="Y3114">
        <v>-2.0315469999999999E-2</v>
      </c>
      <c r="Z3114">
        <v>1.6067389999999999E-4</v>
      </c>
      <c r="AA3114">
        <v>0.99979359999999995</v>
      </c>
      <c r="AB3114">
        <v>49</v>
      </c>
      <c r="AC3114">
        <v>-31.2271</v>
      </c>
      <c r="AD3114">
        <v>-1.1106972455166</v>
      </c>
      <c r="AE3114">
        <v>-1.1002000000000201</v>
      </c>
      <c r="AF3114">
        <v>-0.63964726020151996</v>
      </c>
      <c r="AG3114">
        <v>-1.1106972455166</v>
      </c>
      <c r="AH3114">
        <v>31.200487776956301</v>
      </c>
      <c r="AI3114">
        <v>92.038367178415996</v>
      </c>
      <c r="AJ3114">
        <v>91.174467380715399</v>
      </c>
      <c r="AK3114">
        <v>31.226803142631798</v>
      </c>
      <c r="AL3114">
        <v>79.390128828623205</v>
      </c>
      <c r="AM3114">
        <v>92.475797134265605</v>
      </c>
      <c r="AN3114">
        <v>1.0000000415511201</v>
      </c>
    </row>
    <row r="3115" spans="1:40" x14ac:dyDescent="0.25">
      <c r="A3115" t="str">
        <f>"20190312172139782"</f>
        <v>20190312172139782</v>
      </c>
      <c r="B3115" t="str">
        <f>"1552382499773326"</f>
        <v>1552382499773326</v>
      </c>
      <c r="C3115" t="s">
        <v>40</v>
      </c>
      <c r="D3115">
        <v>3.1066009999999999</v>
      </c>
      <c r="E3115">
        <v>0.50839899999999905</v>
      </c>
      <c r="F3115" t="s">
        <v>46</v>
      </c>
      <c r="G3115">
        <v>-443.87439999999998</v>
      </c>
      <c r="H3115" s="1">
        <v>5.7801539999999997E-7</v>
      </c>
      <c r="I3115">
        <v>283.40289999999999</v>
      </c>
      <c r="J3115">
        <v>-413.28890000000001</v>
      </c>
      <c r="K3115">
        <v>1.110622</v>
      </c>
      <c r="L3115">
        <v>284.4606</v>
      </c>
      <c r="M3115">
        <v>-0.99983849999999996</v>
      </c>
      <c r="N3115">
        <v>0</v>
      </c>
      <c r="O3115">
        <v>-1.51594E-2</v>
      </c>
      <c r="P3115">
        <v>-0.98306439999999995</v>
      </c>
      <c r="Q3115">
        <v>0.17444789999999999</v>
      </c>
      <c r="R3115">
        <v>-5.6149400000000002E-2</v>
      </c>
      <c r="S3115">
        <v>-3.0654910000000002</v>
      </c>
      <c r="T3115">
        <v>-0.11019370000000001</v>
      </c>
      <c r="U3115">
        <v>-0.10540769999999999</v>
      </c>
      <c r="V3115">
        <v>-4.1854490000000001E-2</v>
      </c>
      <c r="W3115">
        <v>0.1838071</v>
      </c>
      <c r="X3115">
        <v>0.98207089999999997</v>
      </c>
      <c r="Y3115">
        <v>-1.920724E-2</v>
      </c>
      <c r="Z3115">
        <v>1.99562E-4</v>
      </c>
      <c r="AA3115">
        <v>0.99981549999999997</v>
      </c>
      <c r="AB3115">
        <v>49</v>
      </c>
      <c r="AC3115">
        <v>-30.5854999999999</v>
      </c>
      <c r="AD3115">
        <v>-1.1106214219846</v>
      </c>
      <c r="AE3115">
        <v>-1.0577000000000101</v>
      </c>
      <c r="AF3115">
        <v>-0.59311788992124204</v>
      </c>
      <c r="AG3115">
        <v>-1.1106214219846</v>
      </c>
      <c r="AH3115">
        <v>30.5577756997207</v>
      </c>
      <c r="AI3115">
        <v>92.081105518447998</v>
      </c>
      <c r="AJ3115">
        <v>91.111955450270997</v>
      </c>
      <c r="AK3115">
        <v>30.583703577048301</v>
      </c>
      <c r="AL3115">
        <v>79.408408863826494</v>
      </c>
      <c r="AM3115">
        <v>92.440389277101502</v>
      </c>
      <c r="AN3115">
        <v>1.00000005048518</v>
      </c>
    </row>
    <row r="3116" spans="1:40" x14ac:dyDescent="0.25">
      <c r="A3116" t="str">
        <f>"20190312172139793"</f>
        <v>20190312172139793</v>
      </c>
      <c r="B3116" t="str">
        <f>"1552382499784061"</f>
        <v>1552382499784061</v>
      </c>
      <c r="C3116" t="s">
        <v>40</v>
      </c>
      <c r="D3116">
        <v>3.1158169999999998</v>
      </c>
      <c r="E3116">
        <v>0.51381369999999904</v>
      </c>
      <c r="F3116" t="s">
        <v>46</v>
      </c>
      <c r="G3116">
        <v>-443.84109999999998</v>
      </c>
      <c r="H3116" s="1">
        <v>5.598375E-7</v>
      </c>
      <c r="I3116">
        <v>283.41309999999999</v>
      </c>
      <c r="J3116">
        <v>-413.55829999999997</v>
      </c>
      <c r="K3116">
        <v>1.110555</v>
      </c>
      <c r="L3116">
        <v>284.45639999999997</v>
      </c>
      <c r="M3116">
        <v>-0.99983259999999996</v>
      </c>
      <c r="N3116">
        <v>0</v>
      </c>
      <c r="O3116">
        <v>-1.5497560000000001E-2</v>
      </c>
      <c r="P3116">
        <v>-0.98330770000000001</v>
      </c>
      <c r="Q3116">
        <v>0.17357520000000001</v>
      </c>
      <c r="R3116">
        <v>-5.4567919999999999E-2</v>
      </c>
      <c r="S3116">
        <v>-3.0654599999999999</v>
      </c>
      <c r="T3116">
        <v>-0.11143459999999999</v>
      </c>
      <c r="U3116">
        <v>-0.1051025</v>
      </c>
      <c r="V3116">
        <v>-3.9904849999999999E-2</v>
      </c>
      <c r="W3116">
        <v>0.18301310000000001</v>
      </c>
      <c r="X3116">
        <v>0.98230030000000002</v>
      </c>
      <c r="Y3116">
        <v>-1.8770459999999999E-2</v>
      </c>
      <c r="Z3116">
        <v>2.2202729999999999E-4</v>
      </c>
      <c r="AA3116">
        <v>0.99982380000000004</v>
      </c>
      <c r="AB3116">
        <v>50</v>
      </c>
      <c r="AC3116">
        <v>-30.282800000000002</v>
      </c>
      <c r="AD3116">
        <v>-1.1105544401625</v>
      </c>
      <c r="AE3116">
        <v>-1.0432999999999799</v>
      </c>
      <c r="AF3116">
        <v>-0.57307317609903696</v>
      </c>
      <c r="AG3116">
        <v>-1.1105544401625</v>
      </c>
      <c r="AH3116">
        <v>30.254691154328199</v>
      </c>
      <c r="AI3116">
        <v>92.101827135156498</v>
      </c>
      <c r="AJ3116">
        <v>91.085145710245996</v>
      </c>
      <c r="AK3116">
        <v>30.280490102927899</v>
      </c>
      <c r="AL3116">
        <v>79.454686588477102</v>
      </c>
      <c r="AM3116">
        <v>92.326297766498101</v>
      </c>
      <c r="AN3116">
        <v>1.00000003560261</v>
      </c>
    </row>
    <row r="3117" spans="1:40" x14ac:dyDescent="0.25">
      <c r="A3117" t="str">
        <f>"20190312172139817"</f>
        <v>20190312172139817</v>
      </c>
      <c r="B3117" t="str">
        <f>"1552382499813341"</f>
        <v>1552382499813341</v>
      </c>
      <c r="C3117" t="s">
        <v>40</v>
      </c>
      <c r="D3117">
        <v>3.213546</v>
      </c>
      <c r="E3117">
        <v>0.54791129999999999</v>
      </c>
      <c r="F3117" t="s">
        <v>47</v>
      </c>
      <c r="G3117">
        <v>-437.61270000000002</v>
      </c>
      <c r="H3117" s="1">
        <v>5.6462250000000003E-6</v>
      </c>
      <c r="I3117">
        <v>284.00650000000002</v>
      </c>
      <c r="J3117">
        <v>-414.05950000000001</v>
      </c>
      <c r="K3117">
        <v>1.1104369999999999</v>
      </c>
      <c r="L3117">
        <v>284.44830000000002</v>
      </c>
      <c r="M3117">
        <v>-0.99982260000000001</v>
      </c>
      <c r="N3117">
        <v>0</v>
      </c>
      <c r="O3117">
        <v>-1.606695E-2</v>
      </c>
      <c r="P3117">
        <v>-0.98360780000000003</v>
      </c>
      <c r="Q3117">
        <v>0.17240920000000001</v>
      </c>
      <c r="R3117">
        <v>-5.2831219999999998E-2</v>
      </c>
      <c r="S3117">
        <v>-3.072784</v>
      </c>
      <c r="T3117">
        <v>-0.14186499999999999</v>
      </c>
      <c r="U3117">
        <v>-5.7464599999999998E-2</v>
      </c>
      <c r="V3117">
        <v>-3.7547110000000002E-2</v>
      </c>
      <c r="W3117">
        <v>0.18198259999999999</v>
      </c>
      <c r="X3117">
        <v>0.98258469999999998</v>
      </c>
      <c r="Y3117">
        <v>-2.6448359999999998E-3</v>
      </c>
      <c r="Z3117">
        <v>6.8029129999999996E-4</v>
      </c>
      <c r="AA3117">
        <v>0.9999962</v>
      </c>
      <c r="AB3117">
        <v>50</v>
      </c>
      <c r="AC3117">
        <v>-23.5532</v>
      </c>
      <c r="AD3117">
        <v>-1.1104313537749999</v>
      </c>
      <c r="AE3117">
        <v>-0.44180000000000003</v>
      </c>
      <c r="AF3117">
        <v>-6.3156266977521094E-2</v>
      </c>
      <c r="AG3117">
        <v>-1.1104313537749999</v>
      </c>
      <c r="AH3117">
        <v>23.505031550985201</v>
      </c>
      <c r="AI3117">
        <v>92.704762680360503</v>
      </c>
      <c r="AJ3117">
        <v>90.1539491164514</v>
      </c>
      <c r="AK3117">
        <v>23.531331341815701</v>
      </c>
      <c r="AL3117">
        <v>79.514738775223904</v>
      </c>
      <c r="AM3117">
        <v>92.188355615221397</v>
      </c>
      <c r="AN3117">
        <v>1.00000007242309</v>
      </c>
    </row>
    <row r="3118" spans="1:40" x14ac:dyDescent="0.25">
      <c r="A3118" t="str">
        <f>"20190312172139839"</f>
        <v>20190312172139839</v>
      </c>
      <c r="B3118" t="str">
        <f>"1552382499833837"</f>
        <v>1552382499833837</v>
      </c>
      <c r="C3118" t="s">
        <v>40</v>
      </c>
      <c r="D3118">
        <v>3.0925919999999998</v>
      </c>
      <c r="E3118">
        <v>0.56460429999999995</v>
      </c>
      <c r="F3118" t="s">
        <v>41</v>
      </c>
      <c r="G3118">
        <v>-414.84620000000001</v>
      </c>
      <c r="H3118">
        <v>1.0247440000000001</v>
      </c>
      <c r="I3118">
        <v>284.50319999999999</v>
      </c>
      <c r="J3118">
        <v>-414.55889999999999</v>
      </c>
      <c r="K3118">
        <v>1.1103320000000001</v>
      </c>
      <c r="L3118">
        <v>284.44</v>
      </c>
      <c r="M3118">
        <v>-0.99981359999999997</v>
      </c>
      <c r="N3118">
        <v>0</v>
      </c>
      <c r="O3118">
        <v>-1.6557479999999999E-2</v>
      </c>
      <c r="P3118">
        <v>-0.98394040000000005</v>
      </c>
      <c r="Q3118">
        <v>0.1711568</v>
      </c>
      <c r="R3118">
        <v>-5.0667700000000003E-2</v>
      </c>
      <c r="S3118">
        <v>-3.1213380000000002</v>
      </c>
      <c r="T3118">
        <v>-0.3399548</v>
      </c>
      <c r="U3118">
        <v>0.21789549999999999</v>
      </c>
      <c r="V3118">
        <v>-3.4842449999999997E-2</v>
      </c>
      <c r="W3118">
        <v>0.18085760000000001</v>
      </c>
      <c r="X3118">
        <v>0.98289190000000004</v>
      </c>
      <c r="Y3118">
        <v>8.5546399999999995E-2</v>
      </c>
      <c r="Z3118">
        <v>6.4353659999999997E-3</v>
      </c>
      <c r="AA3118">
        <v>0.99631340000000002</v>
      </c>
      <c r="AB3118">
        <v>50</v>
      </c>
      <c r="AC3118">
        <v>-0.28730000000001599</v>
      </c>
      <c r="AD3118">
        <v>-8.5587999999999706E-2</v>
      </c>
      <c r="AE3118">
        <v>6.3199999999994802E-2</v>
      </c>
      <c r="AF3118">
        <v>6.2645536387021999E-2</v>
      </c>
      <c r="AG3118">
        <v>-8.5587999999999706E-2</v>
      </c>
      <c r="AH3118">
        <v>0.26387673849981802</v>
      </c>
      <c r="AI3118">
        <v>107.51450780178401</v>
      </c>
      <c r="AJ3118">
        <v>76.644958945749707</v>
      </c>
      <c r="AK3118">
        <v>0.284395327132003</v>
      </c>
      <c r="AL3118">
        <v>79.580283206847696</v>
      </c>
      <c r="AM3118">
        <v>92.030223010001905</v>
      </c>
      <c r="AN3118">
        <v>0.99999997744268598</v>
      </c>
    </row>
    <row r="3119" spans="1:40" x14ac:dyDescent="0.25">
      <c r="A3119" t="str">
        <f>"20190312172139862"</f>
        <v>20190312172139862</v>
      </c>
      <c r="B3119" t="str">
        <f>"1552382499853357"</f>
        <v>1552382499853357</v>
      </c>
      <c r="C3119" t="s">
        <v>40</v>
      </c>
      <c r="D3119">
        <v>3.226712</v>
      </c>
      <c r="E3119">
        <v>0.57405419999999996</v>
      </c>
      <c r="F3119" t="s">
        <v>41</v>
      </c>
      <c r="G3119">
        <v>-415.28410000000002</v>
      </c>
      <c r="H3119">
        <v>1.011976</v>
      </c>
      <c r="I3119">
        <v>284.52269999999999</v>
      </c>
      <c r="J3119">
        <v>-415.05439999999999</v>
      </c>
      <c r="K3119">
        <v>1.1102320000000001</v>
      </c>
      <c r="L3119">
        <v>284.4316</v>
      </c>
      <c r="M3119">
        <v>-0.99980530000000001</v>
      </c>
      <c r="N3119">
        <v>0</v>
      </c>
      <c r="O3119">
        <v>-1.698028E-2</v>
      </c>
      <c r="P3119">
        <v>-0.98414840000000003</v>
      </c>
      <c r="Q3119">
        <v>0.17058909999999999</v>
      </c>
      <c r="R3119">
        <v>-4.8492639999999997E-2</v>
      </c>
      <c r="S3119">
        <v>-3.1415099999999998</v>
      </c>
      <c r="T3119">
        <v>-0.42623080000000002</v>
      </c>
      <c r="U3119">
        <v>0.35678100000000001</v>
      </c>
      <c r="V3119">
        <v>-3.2200270000000003E-2</v>
      </c>
      <c r="W3119">
        <v>0.18040639999999999</v>
      </c>
      <c r="X3119">
        <v>0.98306490000000002</v>
      </c>
      <c r="Y3119">
        <v>0.12838530000000001</v>
      </c>
      <c r="Z3119">
        <v>1.0929009999999999E-2</v>
      </c>
      <c r="AA3119">
        <v>0.9916642</v>
      </c>
      <c r="AB3119">
        <v>50</v>
      </c>
      <c r="AC3119">
        <v>-0.22970000000003599</v>
      </c>
      <c r="AD3119">
        <v>-9.8255999999999899E-2</v>
      </c>
      <c r="AE3119">
        <v>9.1099999999983E-2</v>
      </c>
      <c r="AF3119">
        <v>8.2019538207566203E-2</v>
      </c>
      <c r="AG3119">
        <v>-9.8255999999999899E-2</v>
      </c>
      <c r="AH3119">
        <v>0.19697646684492801</v>
      </c>
      <c r="AI3119">
        <v>114.725832212404</v>
      </c>
      <c r="AJ3119">
        <v>67.393517538030196</v>
      </c>
      <c r="AK3119">
        <v>0.234906736119877</v>
      </c>
      <c r="AL3119">
        <v>79.606567257515394</v>
      </c>
      <c r="AM3119">
        <v>91.876051306168407</v>
      </c>
      <c r="AN3119">
        <v>0.99999996208052</v>
      </c>
    </row>
    <row r="3120" spans="1:40" x14ac:dyDescent="0.25">
      <c r="A3120" t="str">
        <f>"20190312172139876"</f>
        <v>20190312172139876</v>
      </c>
      <c r="B3120" t="str">
        <f>"1552382499873854"</f>
        <v>1552382499873854</v>
      </c>
      <c r="C3120" t="s">
        <v>40</v>
      </c>
      <c r="D3120">
        <v>3.1396799999999998</v>
      </c>
      <c r="E3120">
        <v>0.57776519999999898</v>
      </c>
      <c r="F3120" t="s">
        <v>41</v>
      </c>
      <c r="G3120">
        <v>-416.14429999999999</v>
      </c>
      <c r="H3120">
        <v>0.94635119999999895</v>
      </c>
      <c r="I3120">
        <v>284.58330000000001</v>
      </c>
      <c r="J3120">
        <v>-415.38589999999999</v>
      </c>
      <c r="K3120">
        <v>1.1101700000000001</v>
      </c>
      <c r="L3120">
        <v>284.42579999999998</v>
      </c>
      <c r="M3120">
        <v>-0.99980020000000003</v>
      </c>
      <c r="N3120">
        <v>0</v>
      </c>
      <c r="O3120">
        <v>-1.7236959999999999E-2</v>
      </c>
      <c r="P3120">
        <v>-0.98427549999999997</v>
      </c>
      <c r="Q3120">
        <v>0.17016289999999901</v>
      </c>
      <c r="R3120">
        <v>-4.7394279999999997E-2</v>
      </c>
      <c r="S3120">
        <v>-3.152069</v>
      </c>
      <c r="T3120">
        <v>-0.47404980000000002</v>
      </c>
      <c r="U3120">
        <v>0.43792720000000002</v>
      </c>
      <c r="V3120">
        <v>-3.0817540000000001E-2</v>
      </c>
      <c r="W3120">
        <v>0.1800552</v>
      </c>
      <c r="X3120">
        <v>0.98317370000000004</v>
      </c>
      <c r="Y3120">
        <v>0.1527877</v>
      </c>
      <c r="Z3120">
        <v>1.3937669999999999E-2</v>
      </c>
      <c r="AA3120">
        <v>0.9881607</v>
      </c>
      <c r="AB3120">
        <v>50</v>
      </c>
      <c r="AC3120">
        <v>-0.75839999999999397</v>
      </c>
      <c r="AD3120">
        <v>-0.16381879999999999</v>
      </c>
      <c r="AE3120">
        <v>0.15750000000002701</v>
      </c>
      <c r="AF3120">
        <v>0.163247803037954</v>
      </c>
      <c r="AG3120">
        <v>-0.16381879999999999</v>
      </c>
      <c r="AH3120">
        <v>0.72322302679563399</v>
      </c>
      <c r="AI3120">
        <v>102.459501862946</v>
      </c>
      <c r="AJ3120">
        <v>77.280214071660197</v>
      </c>
      <c r="AK3120">
        <v>0.759300988355472</v>
      </c>
      <c r="AL3120">
        <v>79.627025565435602</v>
      </c>
      <c r="AM3120">
        <v>91.795346073793993</v>
      </c>
      <c r="AN3120">
        <v>1.0000000600951799</v>
      </c>
    </row>
    <row r="3121" spans="1:40" x14ac:dyDescent="0.25">
      <c r="A3121" t="str">
        <f>"20190312172139895"</f>
        <v>20190312172139895</v>
      </c>
      <c r="B3121" t="str">
        <f>"1552382499883613"</f>
        <v>1552382499883613</v>
      </c>
      <c r="C3121" t="s">
        <v>40</v>
      </c>
      <c r="D3121">
        <v>3.0983160000000001</v>
      </c>
      <c r="E3121">
        <v>0.57896320000000001</v>
      </c>
      <c r="F3121" t="s">
        <v>41</v>
      </c>
      <c r="G3121">
        <v>-416.16199999999998</v>
      </c>
      <c r="H3121">
        <v>0.98835430000000002</v>
      </c>
      <c r="I3121">
        <v>284.54169999999999</v>
      </c>
      <c r="J3121">
        <v>-415.78800000000001</v>
      </c>
      <c r="K3121">
        <v>1.110101</v>
      </c>
      <c r="L3121">
        <v>284.4187</v>
      </c>
      <c r="M3121">
        <v>-0.99979450000000003</v>
      </c>
      <c r="N3121">
        <v>0</v>
      </c>
      <c r="O3121">
        <v>-1.7529469999999998E-2</v>
      </c>
      <c r="P3121">
        <v>-0.98453159999999895</v>
      </c>
      <c r="Q3121">
        <v>0.1693009</v>
      </c>
      <c r="R3121">
        <v>-4.5112329999999999E-2</v>
      </c>
      <c r="S3121">
        <v>-3.15625</v>
      </c>
      <c r="T3121">
        <v>-0.49557440000000003</v>
      </c>
      <c r="U3121">
        <v>0.47027590000000002</v>
      </c>
      <c r="V3121">
        <v>-2.821019E-2</v>
      </c>
      <c r="W3121">
        <v>0.1792821</v>
      </c>
      <c r="X3121">
        <v>0.98339310000000002</v>
      </c>
      <c r="Y3121">
        <v>0.16252800000000001</v>
      </c>
      <c r="Z3121">
        <v>1.533528E-2</v>
      </c>
      <c r="AA3121">
        <v>0.98658480000000004</v>
      </c>
      <c r="AB3121">
        <v>50</v>
      </c>
      <c r="AC3121">
        <v>-0.37399999999996603</v>
      </c>
      <c r="AD3121">
        <v>-0.1217467</v>
      </c>
      <c r="AE3121">
        <v>0.12299999999999001</v>
      </c>
      <c r="AF3121">
        <v>0.118231632361436</v>
      </c>
      <c r="AG3121">
        <v>-0.1217467</v>
      </c>
      <c r="AH3121">
        <v>0.339337362135395</v>
      </c>
      <c r="AI3121">
        <v>108.716485916191</v>
      </c>
      <c r="AJ3121">
        <v>70.790685303680505</v>
      </c>
      <c r="AK3121">
        <v>0.379408517554295</v>
      </c>
      <c r="AL3121">
        <v>79.672052386635997</v>
      </c>
      <c r="AM3121">
        <v>91.643169630007606</v>
      </c>
      <c r="AN3121">
        <v>0.99999993766392603</v>
      </c>
    </row>
    <row r="3122" spans="1:40" x14ac:dyDescent="0.25">
      <c r="A3122" t="str">
        <f>"20190312172139908"</f>
        <v>20190312172139908</v>
      </c>
      <c r="B3122" t="str">
        <f>"1552382499904109"</f>
        <v>1552382499904109</v>
      </c>
      <c r="C3122" t="s">
        <v>40</v>
      </c>
      <c r="D3122">
        <v>3.0896379999999999</v>
      </c>
      <c r="E3122">
        <v>0.58112269999999999</v>
      </c>
      <c r="F3122" t="s">
        <v>41</v>
      </c>
      <c r="G3122">
        <v>-416.6026</v>
      </c>
      <c r="H3122">
        <v>0.97931369999999895</v>
      </c>
      <c r="I3122">
        <v>284.54419999999999</v>
      </c>
      <c r="J3122">
        <v>-416.06150000000002</v>
      </c>
      <c r="K3122">
        <v>1.11006</v>
      </c>
      <c r="L3122">
        <v>284.41379999999998</v>
      </c>
      <c r="M3122">
        <v>-0.99979050000000003</v>
      </c>
      <c r="N3122">
        <v>0</v>
      </c>
      <c r="O3122">
        <v>-1.7718069999999999E-2</v>
      </c>
      <c r="P3122">
        <v>-0.98470489999999999</v>
      </c>
      <c r="Q3122">
        <v>0.16858979999999901</v>
      </c>
      <c r="R3122">
        <v>-4.3977700000000002E-2</v>
      </c>
      <c r="S3122">
        <v>-3.1566160000000001</v>
      </c>
      <c r="T3122">
        <v>-0.50682490000000002</v>
      </c>
      <c r="U3122">
        <v>0.48620609999999997</v>
      </c>
      <c r="V3122">
        <v>-2.68662E-2</v>
      </c>
      <c r="W3122">
        <v>0.1786305</v>
      </c>
      <c r="X3122">
        <v>0.98354940000000002</v>
      </c>
      <c r="Y3122">
        <v>0.167403</v>
      </c>
      <c r="Z3122">
        <v>1.6088180000000001E-2</v>
      </c>
      <c r="AA3122">
        <v>0.98575729999999995</v>
      </c>
      <c r="AB3122">
        <v>50</v>
      </c>
      <c r="AC3122">
        <v>-0.54109999999997105</v>
      </c>
      <c r="AD3122">
        <v>-0.13074630000000001</v>
      </c>
      <c r="AE3122">
        <v>0.13040000000000801</v>
      </c>
      <c r="AF3122">
        <v>0.13264769509468199</v>
      </c>
      <c r="AG3122">
        <v>-0.13074630000000001</v>
      </c>
      <c r="AH3122">
        <v>0.51053295991983805</v>
      </c>
      <c r="AI3122">
        <v>103.92120757667701</v>
      </c>
      <c r="AJ3122">
        <v>75.435337050244001</v>
      </c>
      <c r="AK3122">
        <v>0.54344632590729103</v>
      </c>
      <c r="AL3122">
        <v>79.709999904178304</v>
      </c>
      <c r="AM3122">
        <v>91.564677070263002</v>
      </c>
      <c r="AN3122">
        <v>1.0000000352365199</v>
      </c>
    </row>
    <row r="3123" spans="1:40" x14ac:dyDescent="0.25">
      <c r="A3123" t="str">
        <f>"20190312172139919"</f>
        <v>20190312172139919</v>
      </c>
      <c r="B3123" t="str">
        <f>"1552382499913869"</f>
        <v>1552382499913869</v>
      </c>
      <c r="C3123" t="s">
        <v>40</v>
      </c>
      <c r="D3123">
        <v>3.0774560000000002</v>
      </c>
      <c r="E3123">
        <v>0.58190200000000003</v>
      </c>
      <c r="F3123" t="s">
        <v>41</v>
      </c>
      <c r="G3123">
        <v>-417.03449999999998</v>
      </c>
      <c r="H3123">
        <v>0.94830110000000001</v>
      </c>
      <c r="I3123">
        <v>284.57010000000002</v>
      </c>
      <c r="J3123">
        <v>-416.34030000000001</v>
      </c>
      <c r="K3123">
        <v>1.1100139999999901</v>
      </c>
      <c r="L3123">
        <v>284.40870000000001</v>
      </c>
      <c r="M3123">
        <v>-0.99978659999999997</v>
      </c>
      <c r="N3123">
        <v>0</v>
      </c>
      <c r="O3123">
        <v>-1.7905029999999999E-2</v>
      </c>
      <c r="P3123">
        <v>-0.98489709999999997</v>
      </c>
      <c r="Q3123">
        <v>0.16775039999999999</v>
      </c>
      <c r="R3123">
        <v>-4.2869730000000002E-2</v>
      </c>
      <c r="S3123">
        <v>-3.1591800000000001</v>
      </c>
      <c r="T3123">
        <v>-0.52540299999999995</v>
      </c>
      <c r="U3123">
        <v>0.50625609999999999</v>
      </c>
      <c r="V3123">
        <v>-2.5550090000000001E-2</v>
      </c>
      <c r="W3123">
        <v>0.17785300000000001</v>
      </c>
      <c r="X3123">
        <v>0.98372530000000002</v>
      </c>
      <c r="Y3123">
        <v>0.17332239999999999</v>
      </c>
      <c r="Z3123">
        <v>1.7165570000000002E-2</v>
      </c>
      <c r="AA3123">
        <v>0.98471549999999997</v>
      </c>
      <c r="AB3123">
        <v>50</v>
      </c>
      <c r="AC3123">
        <v>-0.69419999999996596</v>
      </c>
      <c r="AD3123">
        <v>-0.16171289999999899</v>
      </c>
      <c r="AE3123">
        <v>0.161400000000014</v>
      </c>
      <c r="AF3123">
        <v>0.165294726117238</v>
      </c>
      <c r="AG3123">
        <v>-0.16171289999999899</v>
      </c>
      <c r="AH3123">
        <v>0.65735654409103705</v>
      </c>
      <c r="AI3123">
        <v>103.41866772777</v>
      </c>
      <c r="AJ3123">
        <v>75.885392720975304</v>
      </c>
      <c r="AK3123">
        <v>0.69684362275039402</v>
      </c>
      <c r="AL3123">
        <v>79.755271773463093</v>
      </c>
      <c r="AM3123">
        <v>91.487796723538295</v>
      </c>
      <c r="AN3123">
        <v>0.99999998128404799</v>
      </c>
    </row>
    <row r="3124" spans="1:40" x14ac:dyDescent="0.25">
      <c r="A3124" t="str">
        <f>"20190312172139931"</f>
        <v>20190312172139931</v>
      </c>
      <c r="B3124" t="str">
        <f>"1552382499923629"</f>
        <v>1552382499923629</v>
      </c>
      <c r="C3124" t="s">
        <v>40</v>
      </c>
      <c r="D3124">
        <v>3.0846439999999999</v>
      </c>
      <c r="E3124">
        <v>0.58255400000000002</v>
      </c>
      <c r="F3124" t="s">
        <v>41</v>
      </c>
      <c r="G3124">
        <v>-417.05160000000001</v>
      </c>
      <c r="H3124">
        <v>0.98959330000000001</v>
      </c>
      <c r="I3124">
        <v>284.52530000000002</v>
      </c>
      <c r="J3124">
        <v>-416.59519999999998</v>
      </c>
      <c r="K3124">
        <v>1.1099810000000001</v>
      </c>
      <c r="L3124">
        <v>284.40410000000003</v>
      </c>
      <c r="M3124">
        <v>-0.99978310000000004</v>
      </c>
      <c r="N3124">
        <v>0</v>
      </c>
      <c r="O3124">
        <v>-1.8067659999999999E-2</v>
      </c>
      <c r="P3124">
        <v>-0.98507120000000004</v>
      </c>
      <c r="Q3124">
        <v>0.16701839999999901</v>
      </c>
      <c r="R3124">
        <v>-4.1711020000000001E-2</v>
      </c>
      <c r="S3124">
        <v>-3.1595460000000002</v>
      </c>
      <c r="T3124">
        <v>-0.53509700000000004</v>
      </c>
      <c r="U3124">
        <v>0.51565550000000004</v>
      </c>
      <c r="V3124">
        <v>-2.4211489999999999E-2</v>
      </c>
      <c r="W3124">
        <v>0.17717910000000001</v>
      </c>
      <c r="X3124">
        <v>0.9838808</v>
      </c>
      <c r="Y3124">
        <v>0.17618399999999901</v>
      </c>
      <c r="Z3124">
        <v>1.7738219999999999E-2</v>
      </c>
      <c r="AA3124">
        <v>0.9841974</v>
      </c>
      <c r="AB3124">
        <v>50</v>
      </c>
      <c r="AC3124">
        <v>-0.45640000000003</v>
      </c>
      <c r="AD3124">
        <v>-0.120387699999999</v>
      </c>
      <c r="AE3124">
        <v>0.121199999999987</v>
      </c>
      <c r="AF3124">
        <v>0.121528054762889</v>
      </c>
      <c r="AG3124">
        <v>-0.120387699999999</v>
      </c>
      <c r="AH3124">
        <v>0.42642049428442003</v>
      </c>
      <c r="AI3124">
        <v>105.19020451329899</v>
      </c>
      <c r="AJ3124">
        <v>74.092670030498695</v>
      </c>
      <c r="AK3124">
        <v>0.45945261382596497</v>
      </c>
      <c r="AL3124">
        <v>79.794507024877106</v>
      </c>
      <c r="AM3124">
        <v>91.409658852614101</v>
      </c>
      <c r="AN3124">
        <v>1.0000000291667299</v>
      </c>
    </row>
    <row r="3125" spans="1:40" x14ac:dyDescent="0.25">
      <c r="A3125" t="str">
        <f>"20190312172139945"</f>
        <v>20190312172139945</v>
      </c>
      <c r="B3125" t="str">
        <f>"1552382499933389"</f>
        <v>1552382499933389</v>
      </c>
      <c r="C3125" t="s">
        <v>40</v>
      </c>
      <c r="D3125">
        <v>3.0737920000000001</v>
      </c>
      <c r="E3125">
        <v>0.58311519999999994</v>
      </c>
      <c r="F3125" t="s">
        <v>41</v>
      </c>
      <c r="G3125">
        <v>-417.48289999999997</v>
      </c>
      <c r="H3125">
        <v>0.95742799999999995</v>
      </c>
      <c r="I3125">
        <v>284.55130000000003</v>
      </c>
      <c r="J3125">
        <v>-416.90260000000001</v>
      </c>
      <c r="K3125">
        <v>1.1099429999999999</v>
      </c>
      <c r="L3125">
        <v>284.39839999999998</v>
      </c>
      <c r="M3125">
        <v>-0.99977899999999997</v>
      </c>
      <c r="N3125">
        <v>0</v>
      </c>
      <c r="O3125">
        <v>-1.8259600000000001E-2</v>
      </c>
      <c r="P3125">
        <v>-0.98523530000000004</v>
      </c>
      <c r="Q3125">
        <v>0.16629379999999999</v>
      </c>
      <c r="R3125">
        <v>-4.0719680000000001E-2</v>
      </c>
      <c r="S3125">
        <v>-3.159729</v>
      </c>
      <c r="T3125">
        <v>-0.54307950000000005</v>
      </c>
      <c r="U3125">
        <v>0.52380369999999998</v>
      </c>
      <c r="V3125">
        <v>-2.3009450000000001E-2</v>
      </c>
      <c r="W3125">
        <v>0.17652399999999999</v>
      </c>
      <c r="X3125">
        <v>0.9840274</v>
      </c>
      <c r="Y3125">
        <v>0.17871670000000001</v>
      </c>
      <c r="Z3125">
        <v>1.824164E-2</v>
      </c>
      <c r="AA3125">
        <v>0.98373140000000003</v>
      </c>
      <c r="AB3125">
        <v>50</v>
      </c>
      <c r="AC3125">
        <v>-0.58029999999996495</v>
      </c>
      <c r="AD3125">
        <v>-0.15251500000000001</v>
      </c>
      <c r="AE3125">
        <v>0.152900000000045</v>
      </c>
      <c r="AF3125">
        <v>0.153553028015746</v>
      </c>
      <c r="AG3125">
        <v>-0.15251500000000001</v>
      </c>
      <c r="AH3125">
        <v>0.54237858128888305</v>
      </c>
      <c r="AI3125">
        <v>105.139612779118</v>
      </c>
      <c r="AJ3125">
        <v>74.192629615708896</v>
      </c>
      <c r="AK3125">
        <v>0.58396393987877904</v>
      </c>
      <c r="AL3125">
        <v>79.832642718339699</v>
      </c>
      <c r="AM3125">
        <v>91.339499468512798</v>
      </c>
      <c r="AN3125">
        <v>1.0000000406580301</v>
      </c>
    </row>
    <row r="3126" spans="1:40" x14ac:dyDescent="0.25">
      <c r="A3126" t="str">
        <f>"20190312172139958"</f>
        <v>20190312172139958</v>
      </c>
      <c r="B3126" t="str">
        <f>"1552382499953885"</f>
        <v>1552382499953885</v>
      </c>
      <c r="C3126" t="s">
        <v>40</v>
      </c>
      <c r="D3126">
        <v>3.1031439999999999</v>
      </c>
      <c r="E3126">
        <v>0.58386400000000005</v>
      </c>
      <c r="F3126" t="s">
        <v>41</v>
      </c>
      <c r="G3126">
        <v>-417.91910000000001</v>
      </c>
      <c r="H3126">
        <v>0.93305150000000003</v>
      </c>
      <c r="I3126">
        <v>284.56979999999999</v>
      </c>
      <c r="J3126">
        <v>-417.21850000000001</v>
      </c>
      <c r="K3126">
        <v>1.10991</v>
      </c>
      <c r="L3126">
        <v>284.39249999999998</v>
      </c>
      <c r="M3126">
        <v>-0.99977479999999996</v>
      </c>
      <c r="N3126">
        <v>0</v>
      </c>
      <c r="O3126">
        <v>-1.8449440000000001E-2</v>
      </c>
      <c r="P3126">
        <v>-0.98541429999999997</v>
      </c>
      <c r="Q3126">
        <v>0.165523</v>
      </c>
      <c r="R3126">
        <v>-3.9510780000000002E-2</v>
      </c>
      <c r="S3126">
        <v>-3.1597599999999999</v>
      </c>
      <c r="T3126">
        <v>-0.54998669999999905</v>
      </c>
      <c r="U3126">
        <v>0.53118900000000002</v>
      </c>
      <c r="V3126">
        <v>-2.1592299999999998E-2</v>
      </c>
      <c r="W3126">
        <v>0.17582509999999901</v>
      </c>
      <c r="X3126">
        <v>0.98418459999999997</v>
      </c>
      <c r="Y3126">
        <v>0.18103150000000001</v>
      </c>
      <c r="Z3126">
        <v>1.869788E-2</v>
      </c>
      <c r="AA3126">
        <v>0.98329960000000005</v>
      </c>
      <c r="AB3126">
        <v>50</v>
      </c>
      <c r="AC3126">
        <v>-0.70060000000000799</v>
      </c>
      <c r="AD3126">
        <v>-0.1768585</v>
      </c>
      <c r="AE3126">
        <v>0.17730000000000201</v>
      </c>
      <c r="AF3126">
        <v>0.17944905843415199</v>
      </c>
      <c r="AG3126">
        <v>-0.1768585</v>
      </c>
      <c r="AH3126">
        <v>0.65781324145408304</v>
      </c>
      <c r="AI3126">
        <v>104.54094454615201</v>
      </c>
      <c r="AJ3126">
        <v>74.741196947024704</v>
      </c>
      <c r="AK3126">
        <v>0.70441405027688198</v>
      </c>
      <c r="AL3126">
        <v>79.873322707532793</v>
      </c>
      <c r="AM3126">
        <v>91.256826437226295</v>
      </c>
      <c r="AN3126">
        <v>1.00000001004323</v>
      </c>
    </row>
    <row r="3127" spans="1:40" x14ac:dyDescent="0.25">
      <c r="A3127" t="str">
        <f>"20190312172139971"</f>
        <v>20190312172139971</v>
      </c>
      <c r="B3127" t="str">
        <f>"1552382499963645"</f>
        <v>1552382499963645</v>
      </c>
      <c r="C3127" t="s">
        <v>40</v>
      </c>
      <c r="D3127">
        <v>3.1231420000000001</v>
      </c>
      <c r="E3127">
        <v>0.58442109999999903</v>
      </c>
      <c r="F3127" t="s">
        <v>41</v>
      </c>
      <c r="G3127">
        <v>-417.93869999999998</v>
      </c>
      <c r="H3127">
        <v>0.98271439999999999</v>
      </c>
      <c r="I3127">
        <v>284.5163</v>
      </c>
      <c r="J3127">
        <v>-417.49549999999999</v>
      </c>
      <c r="K3127">
        <v>1.109883</v>
      </c>
      <c r="L3127">
        <v>284.38729999999998</v>
      </c>
      <c r="M3127">
        <v>-0.99977139999999998</v>
      </c>
      <c r="N3127">
        <v>0</v>
      </c>
      <c r="O3127">
        <v>-1.8607249999999999E-2</v>
      </c>
      <c r="P3127">
        <v>-0.98557969999999895</v>
      </c>
      <c r="Q3127">
        <v>0.16478779999999901</v>
      </c>
      <c r="R3127">
        <v>-3.8441030000000001E-2</v>
      </c>
      <c r="S3127">
        <v>-3.1599119999999998</v>
      </c>
      <c r="T3127">
        <v>-0.558320699999999</v>
      </c>
      <c r="U3127">
        <v>0.54092410000000002</v>
      </c>
      <c r="V3127">
        <v>-2.0349260000000001E-2</v>
      </c>
      <c r="W3127">
        <v>0.1751509</v>
      </c>
      <c r="X3127">
        <v>0.98433130000000002</v>
      </c>
      <c r="Y3127">
        <v>0.18398929999999999</v>
      </c>
      <c r="Z3127">
        <v>1.9256349999999998E-2</v>
      </c>
      <c r="AA3127">
        <v>0.98273960000000005</v>
      </c>
      <c r="AB3127">
        <v>50</v>
      </c>
      <c r="AC3127">
        <v>-0.44319999999998999</v>
      </c>
      <c r="AD3127">
        <v>-0.12716859999999899</v>
      </c>
      <c r="AE3127">
        <v>0.12900000000001899</v>
      </c>
      <c r="AF3127">
        <v>0.12754421865051899</v>
      </c>
      <c r="AG3127">
        <v>-0.12716859999999899</v>
      </c>
      <c r="AH3127">
        <v>0.40963165456836698</v>
      </c>
      <c r="AI3127">
        <v>106.510375307605</v>
      </c>
      <c r="AJ3127">
        <v>72.705334097311706</v>
      </c>
      <c r="AK3127">
        <v>0.44747901957695102</v>
      </c>
      <c r="AL3127">
        <v>79.912560523249994</v>
      </c>
      <c r="AM3127">
        <v>91.184317372310801</v>
      </c>
      <c r="AN3127">
        <v>1.0000000191565199</v>
      </c>
    </row>
    <row r="3128" spans="1:40" x14ac:dyDescent="0.25">
      <c r="A3128" t="str">
        <f>"20190312172139985"</f>
        <v>20190312172139985</v>
      </c>
      <c r="B3128" t="str">
        <f>"1552382499973405"</f>
        <v>1552382499973405</v>
      </c>
      <c r="C3128" t="s">
        <v>40</v>
      </c>
      <c r="D3128">
        <v>3.0930279999999999</v>
      </c>
      <c r="E3128">
        <v>0.58461209999999997</v>
      </c>
      <c r="F3128" t="s">
        <v>41</v>
      </c>
      <c r="G3128">
        <v>-418.3716</v>
      </c>
      <c r="H3128">
        <v>0.95326809999999995</v>
      </c>
      <c r="I3128">
        <v>284.5394</v>
      </c>
      <c r="J3128">
        <v>-417.78649999999999</v>
      </c>
      <c r="K3128">
        <v>1.1098479999999999</v>
      </c>
      <c r="L3128">
        <v>284.3818</v>
      </c>
      <c r="M3128">
        <v>-0.99976779999999998</v>
      </c>
      <c r="N3128">
        <v>0</v>
      </c>
      <c r="O3128">
        <v>-1.8767209999999999E-2</v>
      </c>
      <c r="P3128">
        <v>-0.98589959999999999</v>
      </c>
      <c r="Q3128">
        <v>0.1634776</v>
      </c>
      <c r="R3128">
        <v>-3.5743610000000002E-2</v>
      </c>
      <c r="S3128">
        <v>-3.1597599999999999</v>
      </c>
      <c r="T3128">
        <v>-0.56488559999999999</v>
      </c>
      <c r="U3128">
        <v>0.54843140000000001</v>
      </c>
      <c r="V3128">
        <v>-1.7473059999999999E-2</v>
      </c>
      <c r="W3128">
        <v>0.17390630000000001</v>
      </c>
      <c r="X3128">
        <v>0.98460720000000002</v>
      </c>
      <c r="Y3128">
        <v>0.1863127</v>
      </c>
      <c r="Z3128">
        <v>1.9709190000000001E-2</v>
      </c>
      <c r="AA3128">
        <v>0.98229279999999997</v>
      </c>
      <c r="AB3128">
        <v>50</v>
      </c>
      <c r="AC3128">
        <v>-0.58510000000001094</v>
      </c>
      <c r="AD3128">
        <v>-0.15657989999999899</v>
      </c>
      <c r="AE3128">
        <v>0.15760000000000199</v>
      </c>
      <c r="AF3128">
        <v>0.15800337620435001</v>
      </c>
      <c r="AG3128">
        <v>-0.15657989999999899</v>
      </c>
      <c r="AH3128">
        <v>0.54560782962085597</v>
      </c>
      <c r="AI3128">
        <v>105.41121340744</v>
      </c>
      <c r="AJ3128">
        <v>73.849434296522602</v>
      </c>
      <c r="AK3128">
        <v>0.58921153732726905</v>
      </c>
      <c r="AL3128">
        <v>79.984982422684396</v>
      </c>
      <c r="AM3128">
        <v>91.016677024077396</v>
      </c>
      <c r="AN3128">
        <v>1.0000000236486399</v>
      </c>
    </row>
    <row r="3129" spans="1:40" x14ac:dyDescent="0.25">
      <c r="A3129" t="str">
        <f>"20190312172140006"</f>
        <v>20190312172140006</v>
      </c>
      <c r="B3129" t="str">
        <f>"1552382500003662"</f>
        <v>1552382500003662</v>
      </c>
      <c r="C3129" t="s">
        <v>40</v>
      </c>
      <c r="D3129">
        <v>3.2432859999999999</v>
      </c>
      <c r="E3129">
        <v>0.58463069999999995</v>
      </c>
      <c r="F3129" t="s">
        <v>41</v>
      </c>
      <c r="G3129">
        <v>-418.80709999999999</v>
      </c>
      <c r="H3129">
        <v>0.92507839999999997</v>
      </c>
      <c r="I3129">
        <v>284.56259999999997</v>
      </c>
      <c r="J3129">
        <v>-418.27089999999998</v>
      </c>
      <c r="K3129">
        <v>1.1097939999999999</v>
      </c>
      <c r="L3129">
        <v>284.3725</v>
      </c>
      <c r="M3129">
        <v>-0.99976209999999999</v>
      </c>
      <c r="N3129">
        <v>0</v>
      </c>
      <c r="O3129">
        <v>-1.9009180000000001E-2</v>
      </c>
      <c r="P3129">
        <v>-0.98631250000000004</v>
      </c>
      <c r="Q3129">
        <v>0.16150889999999901</v>
      </c>
      <c r="R3129">
        <v>-3.320327E-2</v>
      </c>
      <c r="S3129">
        <v>-3.15802</v>
      </c>
      <c r="T3129">
        <v>-0.57189009999999996</v>
      </c>
      <c r="U3129">
        <v>0.55819700000000005</v>
      </c>
      <c r="V3129">
        <v>-1.4660889999999999E-2</v>
      </c>
      <c r="W3129">
        <v>0.17204029999999901</v>
      </c>
      <c r="X3129">
        <v>0.98498079999999999</v>
      </c>
      <c r="Y3129">
        <v>0.1894545</v>
      </c>
      <c r="Z3129">
        <v>2.0278549999999999E-2</v>
      </c>
      <c r="AA3129">
        <v>0.98168010000000006</v>
      </c>
      <c r="AB3129">
        <v>50</v>
      </c>
      <c r="AC3129">
        <v>-0.536200000000008</v>
      </c>
      <c r="AD3129">
        <v>-0.18471560000000001</v>
      </c>
      <c r="AE3129">
        <v>0.19009999999997201</v>
      </c>
      <c r="AF3129">
        <v>0.18116054141072699</v>
      </c>
      <c r="AG3129">
        <v>-0.18471560000000001</v>
      </c>
      <c r="AH3129">
        <v>0.48170651015760602</v>
      </c>
      <c r="AI3129">
        <v>109.743971823123</v>
      </c>
      <c r="AJ3129">
        <v>69.3896863742861</v>
      </c>
      <c r="AK3129">
        <v>0.54679077952705801</v>
      </c>
      <c r="AL3129">
        <v>80.093532269346895</v>
      </c>
      <c r="AM3129">
        <v>90.852752759819296</v>
      </c>
      <c r="AN3129">
        <v>0.99999999144416096</v>
      </c>
    </row>
    <row r="3130" spans="1:40" x14ac:dyDescent="0.25">
      <c r="A3130" t="str">
        <f>"20190312172140018"</f>
        <v>20190312172140018</v>
      </c>
      <c r="B3130" t="str">
        <f>"1552382500013421"</f>
        <v>1552382500013421</v>
      </c>
      <c r="C3130" t="s">
        <v>40</v>
      </c>
      <c r="D3130">
        <v>3.098557</v>
      </c>
      <c r="E3130">
        <v>0.58455239999999997</v>
      </c>
      <c r="F3130" t="s">
        <v>41</v>
      </c>
      <c r="G3130">
        <v>-419.25380000000001</v>
      </c>
      <c r="H3130">
        <v>0.92848900000000001</v>
      </c>
      <c r="I3130">
        <v>284.54919999999998</v>
      </c>
      <c r="J3130">
        <v>-418.54739999999998</v>
      </c>
      <c r="K3130">
        <v>1.109766</v>
      </c>
      <c r="L3130">
        <v>284.36720000000003</v>
      </c>
      <c r="M3130">
        <v>-0.99975930000000002</v>
      </c>
      <c r="N3130">
        <v>0</v>
      </c>
      <c r="O3130">
        <v>-1.913635E-2</v>
      </c>
      <c r="P3130">
        <v>-0.98648809999999998</v>
      </c>
      <c r="Q3130">
        <v>0.16069629999999999</v>
      </c>
      <c r="R3130">
        <v>-3.1909239999999998E-2</v>
      </c>
      <c r="S3130">
        <v>-3.1560359999999998</v>
      </c>
      <c r="T3130">
        <v>-0.58226</v>
      </c>
      <c r="U3130">
        <v>0.5661621</v>
      </c>
      <c r="V3130">
        <v>-1.3224029999999999E-2</v>
      </c>
      <c r="W3130">
        <v>0.17128399999999999</v>
      </c>
      <c r="X3130">
        <v>0.98513289999999998</v>
      </c>
      <c r="Y3130">
        <v>0.19192139999999999</v>
      </c>
      <c r="Z3130">
        <v>2.0895520000000001E-2</v>
      </c>
      <c r="AA3130">
        <v>0.98118780000000005</v>
      </c>
      <c r="AB3130">
        <v>50</v>
      </c>
      <c r="AC3130">
        <v>-0.70640000000003</v>
      </c>
      <c r="AD3130">
        <v>-0.18127699999999999</v>
      </c>
      <c r="AE3130">
        <v>0.181999999999959</v>
      </c>
      <c r="AF3130">
        <v>0.184115331621271</v>
      </c>
      <c r="AG3130">
        <v>-0.18127699999999999</v>
      </c>
      <c r="AH3130">
        <v>0.66191131456051799</v>
      </c>
      <c r="AI3130">
        <v>104.780743354292</v>
      </c>
      <c r="AJ3130">
        <v>74.455714268156399</v>
      </c>
      <c r="AK3130">
        <v>0.71055358306762795</v>
      </c>
      <c r="AL3130">
        <v>80.137517656746198</v>
      </c>
      <c r="AM3130">
        <v>90.7690694346459</v>
      </c>
      <c r="AN3130">
        <v>0.99999995714392398</v>
      </c>
    </row>
    <row r="3131" spans="1:40" x14ac:dyDescent="0.25">
      <c r="A3131" t="str">
        <f>"20190312172140031"</f>
        <v>20190312172140031</v>
      </c>
      <c r="B3131" t="str">
        <f>"1552382500024157"</f>
        <v>1552382500024157</v>
      </c>
      <c r="C3131" t="s">
        <v>40</v>
      </c>
      <c r="D3131">
        <v>3.2045560000000002</v>
      </c>
      <c r="E3131">
        <v>0.58488099999999998</v>
      </c>
      <c r="F3131" t="s">
        <v>41</v>
      </c>
      <c r="G3131">
        <v>-419.27159999999998</v>
      </c>
      <c r="H3131">
        <v>0.97486090000000003</v>
      </c>
      <c r="I3131">
        <v>284.49829999999997</v>
      </c>
      <c r="J3131">
        <v>-418.82990000000001</v>
      </c>
      <c r="K3131">
        <v>1.1097399999999999</v>
      </c>
      <c r="L3131">
        <v>284.36169999999998</v>
      </c>
      <c r="M3131">
        <v>-0.99975639999999999</v>
      </c>
      <c r="N3131">
        <v>0</v>
      </c>
      <c r="O3131">
        <v>-1.9247980000000001E-2</v>
      </c>
      <c r="P3131">
        <v>-0.98660740000000002</v>
      </c>
      <c r="Q3131">
        <v>0.16019510000000001</v>
      </c>
      <c r="R3131">
        <v>-3.0715280000000001E-2</v>
      </c>
      <c r="S3131">
        <v>-3.155243</v>
      </c>
      <c r="T3131">
        <v>-0.58791949999999904</v>
      </c>
      <c r="U3131">
        <v>0.569519</v>
      </c>
      <c r="V3131">
        <v>-1.190402E-2</v>
      </c>
      <c r="W3131">
        <v>0.17083770000000001</v>
      </c>
      <c r="X3131">
        <v>0.98522730000000003</v>
      </c>
      <c r="Y3131">
        <v>0.1929971</v>
      </c>
      <c r="Z3131">
        <v>2.1217570000000002E-2</v>
      </c>
      <c r="AA3131">
        <v>0.98096989999999995</v>
      </c>
      <c r="AB3131">
        <v>50</v>
      </c>
      <c r="AC3131">
        <v>-0.44169999999996801</v>
      </c>
      <c r="AD3131">
        <v>-0.134879099999999</v>
      </c>
      <c r="AE3131">
        <v>0.13659999999998701</v>
      </c>
      <c r="AF3131">
        <v>0.13369833553493901</v>
      </c>
      <c r="AG3131">
        <v>-0.134879099999999</v>
      </c>
      <c r="AH3131">
        <v>0.40455796046312997</v>
      </c>
      <c r="AI3131">
        <v>107.565688867246</v>
      </c>
      <c r="AJ3131">
        <v>71.712309819756697</v>
      </c>
      <c r="AK3131">
        <v>0.44691694968496198</v>
      </c>
      <c r="AL3131">
        <v>80.163472023589094</v>
      </c>
      <c r="AM3131">
        <v>90.692243219385503</v>
      </c>
      <c r="AN3131">
        <v>1.00000002904936</v>
      </c>
    </row>
    <row r="3132" spans="1:40" x14ac:dyDescent="0.25">
      <c r="A3132" t="str">
        <f>"20190312172140052"</f>
        <v>20190312172140052</v>
      </c>
      <c r="B3132" t="str">
        <f>"1552382500043676"</f>
        <v>1552382500043676</v>
      </c>
      <c r="C3132" t="s">
        <v>40</v>
      </c>
      <c r="D3132">
        <v>3.1003949999999998</v>
      </c>
      <c r="E3132">
        <v>0.58466319999999905</v>
      </c>
      <c r="F3132" t="s">
        <v>41</v>
      </c>
      <c r="G3132">
        <v>-419.70549999999997</v>
      </c>
      <c r="H3132">
        <v>0.94537210000000005</v>
      </c>
      <c r="I3132">
        <v>284.52190000000002</v>
      </c>
      <c r="J3132">
        <v>-419.28390000000002</v>
      </c>
      <c r="K3132">
        <v>1.1096870000000001</v>
      </c>
      <c r="L3132">
        <v>284.3528</v>
      </c>
      <c r="M3132">
        <v>-0.99975250000000004</v>
      </c>
      <c r="N3132">
        <v>0</v>
      </c>
      <c r="O3132">
        <v>-1.9403480000000001E-2</v>
      </c>
      <c r="P3132">
        <v>-0.98672979999999999</v>
      </c>
      <c r="Q3132">
        <v>0.15980569999999999</v>
      </c>
      <c r="R3132">
        <v>-2.8752159999999999E-2</v>
      </c>
      <c r="S3132">
        <v>-3.1548769999999999</v>
      </c>
      <c r="T3132">
        <v>-0.5923136</v>
      </c>
      <c r="U3132">
        <v>0.57614140000000003</v>
      </c>
      <c r="V3132">
        <v>-9.7617869999999992E-3</v>
      </c>
      <c r="W3132">
        <v>0.17053560000000001</v>
      </c>
      <c r="X3132">
        <v>0.98530320000000005</v>
      </c>
      <c r="Y3132">
        <v>0.19507279999999999</v>
      </c>
      <c r="Z3132">
        <v>2.1592400000000001E-2</v>
      </c>
      <c r="AA3132">
        <v>0.98055110000000001</v>
      </c>
      <c r="AB3132">
        <v>50</v>
      </c>
      <c r="AC3132">
        <v>-0.42159999999995501</v>
      </c>
      <c r="AD3132">
        <v>-0.16431490000000001</v>
      </c>
      <c r="AE3132">
        <v>0.16910000000001399</v>
      </c>
      <c r="AF3132">
        <v>0.15674001180627101</v>
      </c>
      <c r="AG3132">
        <v>-0.16431490000000001</v>
      </c>
      <c r="AH3132">
        <v>0.36984567333663798</v>
      </c>
      <c r="AI3132">
        <v>112.2475560163</v>
      </c>
      <c r="AJ3132">
        <v>67.032845957484</v>
      </c>
      <c r="AK3132">
        <v>0.433996128725673</v>
      </c>
      <c r="AL3132">
        <v>80.181038970224705</v>
      </c>
      <c r="AM3132">
        <v>90.567633289678994</v>
      </c>
      <c r="AN3132">
        <v>1.0000000396415101</v>
      </c>
    </row>
    <row r="3133" spans="1:40" x14ac:dyDescent="0.25">
      <c r="A3133" t="str">
        <f>"20190312172140073"</f>
        <v>20190312172140073</v>
      </c>
      <c r="B3133" t="str">
        <f>"1552382500064173"</f>
        <v>1552382500064173</v>
      </c>
      <c r="C3133" t="s">
        <v>40</v>
      </c>
      <c r="D3133">
        <v>3.1105320000000001</v>
      </c>
      <c r="E3133">
        <v>0.58457700000000001</v>
      </c>
      <c r="F3133" t="s">
        <v>41</v>
      </c>
      <c r="G3133">
        <v>-420.15120000000002</v>
      </c>
      <c r="H3133">
        <v>0.94489690000000004</v>
      </c>
      <c r="I3133">
        <v>284.5127</v>
      </c>
      <c r="J3133">
        <v>-419.77379999999999</v>
      </c>
      <c r="K3133">
        <v>1.109634</v>
      </c>
      <c r="L3133">
        <v>284.34320000000002</v>
      </c>
      <c r="M3133">
        <v>-0.999749</v>
      </c>
      <c r="N3133">
        <v>0</v>
      </c>
      <c r="O3133">
        <v>-1.9532130000000002E-2</v>
      </c>
      <c r="P3133">
        <v>-0.98690509999999998</v>
      </c>
      <c r="Q3133">
        <v>0.15904450000000001</v>
      </c>
      <c r="R3133">
        <v>-2.689575E-2</v>
      </c>
      <c r="S3133">
        <v>-3.1543269999999999</v>
      </c>
      <c r="T3133">
        <v>-0.59933979999999998</v>
      </c>
      <c r="U3133">
        <v>0.58087159999999904</v>
      </c>
      <c r="V3133">
        <v>-7.7499250000000004E-3</v>
      </c>
      <c r="W3133">
        <v>0.16986979999999999</v>
      </c>
      <c r="X3133">
        <v>0.98543599999999998</v>
      </c>
      <c r="Y3133">
        <v>0.19653789999999999</v>
      </c>
      <c r="Z3133">
        <v>2.200589E-2</v>
      </c>
      <c r="AA3133">
        <v>0.98024920000000004</v>
      </c>
      <c r="AB3133">
        <v>50</v>
      </c>
      <c r="AC3133">
        <v>-0.377400000000022</v>
      </c>
      <c r="AD3133">
        <v>-0.164737099999999</v>
      </c>
      <c r="AE3133">
        <v>0.16949999999997001</v>
      </c>
      <c r="AF3133">
        <v>0.15263810433814101</v>
      </c>
      <c r="AG3133">
        <v>-0.164737099999999</v>
      </c>
      <c r="AH3133">
        <v>0.32283087898280199</v>
      </c>
      <c r="AI3133">
        <v>114.764976539801</v>
      </c>
      <c r="AJ3133">
        <v>64.694684029978902</v>
      </c>
      <c r="AK3133">
        <v>0.393263880158298</v>
      </c>
      <c r="AL3133">
        <v>80.219750564289996</v>
      </c>
      <c r="AM3133">
        <v>90.450591250808799</v>
      </c>
      <c r="AN3133">
        <v>0.99999996019277104</v>
      </c>
    </row>
    <row r="3134" spans="1:40" x14ac:dyDescent="0.25">
      <c r="A3134" t="str">
        <f>"20190312172140096"</f>
        <v>20190312172140096</v>
      </c>
      <c r="B3134" t="str">
        <f>"1552382500083693"</f>
        <v>1552382500083693</v>
      </c>
      <c r="C3134" t="s">
        <v>40</v>
      </c>
      <c r="D3134">
        <v>3.0966550000000002</v>
      </c>
      <c r="E3134">
        <v>0.58438040000000002</v>
      </c>
      <c r="F3134" t="s">
        <v>41</v>
      </c>
      <c r="G3134">
        <v>-420.5992</v>
      </c>
      <c r="H3134">
        <v>0.95028389999999996</v>
      </c>
      <c r="I3134">
        <v>284.49650000000003</v>
      </c>
      <c r="J3134">
        <v>-420.26650000000001</v>
      </c>
      <c r="K3134">
        <v>1.1095820000000001</v>
      </c>
      <c r="L3134">
        <v>284.33359999999999</v>
      </c>
      <c r="M3134">
        <v>-0.99974629999999998</v>
      </c>
      <c r="N3134">
        <v>0</v>
      </c>
      <c r="O3134">
        <v>-1.9617780000000001E-2</v>
      </c>
      <c r="P3134">
        <v>-0.98712319999999998</v>
      </c>
      <c r="Q3134">
        <v>0.15789239999999999</v>
      </c>
      <c r="R3134">
        <v>-2.5643059999999999E-2</v>
      </c>
      <c r="S3134">
        <v>-3.15387</v>
      </c>
      <c r="T3134">
        <v>-0.60887910000000001</v>
      </c>
      <c r="U3134">
        <v>0.58529659999999994</v>
      </c>
      <c r="V3134">
        <v>-6.3837039999999996E-3</v>
      </c>
      <c r="W3134">
        <v>0.1688152</v>
      </c>
      <c r="X3134">
        <v>0.98562709999999998</v>
      </c>
      <c r="Y3134">
        <v>0.19783319999999999</v>
      </c>
      <c r="Z3134">
        <v>2.2489519999999999E-2</v>
      </c>
      <c r="AA3134">
        <v>0.97997769999999995</v>
      </c>
      <c r="AB3134">
        <v>50</v>
      </c>
      <c r="AC3134">
        <v>-0.33269999999998801</v>
      </c>
      <c r="AD3134">
        <v>-0.1592981</v>
      </c>
      <c r="AE3134">
        <v>0.16290000000003599</v>
      </c>
      <c r="AF3134">
        <v>0.14295966724815301</v>
      </c>
      <c r="AG3134">
        <v>-0.1592981</v>
      </c>
      <c r="AH3134">
        <v>0.27802705131280298</v>
      </c>
      <c r="AI3134">
        <v>117.00087023045801</v>
      </c>
      <c r="AJ3134">
        <v>62.788072719467799</v>
      </c>
      <c r="AK3134">
        <v>0.35087375562302198</v>
      </c>
      <c r="AL3134">
        <v>80.281061076996906</v>
      </c>
      <c r="AM3134">
        <v>90.371087790294894</v>
      </c>
      <c r="AN3134">
        <v>1.0000000518411001</v>
      </c>
    </row>
    <row r="3135" spans="1:40" x14ac:dyDescent="0.25">
      <c r="A3135" t="str">
        <f>"20190312172140109"</f>
        <v>20190312172140109</v>
      </c>
      <c r="B3135" t="str">
        <f>"1552382500104190"</f>
        <v>1552382500104190</v>
      </c>
      <c r="C3135" t="s">
        <v>40</v>
      </c>
      <c r="D3135">
        <v>3.2076910000000001</v>
      </c>
      <c r="E3135">
        <v>0.58403070000000001</v>
      </c>
      <c r="F3135" t="s">
        <v>41</v>
      </c>
      <c r="G3135">
        <v>-421.04790000000003</v>
      </c>
      <c r="H3135">
        <v>0.95638970000000001</v>
      </c>
      <c r="I3135">
        <v>284.47919999999999</v>
      </c>
      <c r="J3135">
        <v>-420.55520000000001</v>
      </c>
      <c r="K3135">
        <v>1.109553</v>
      </c>
      <c r="L3135">
        <v>284.3279</v>
      </c>
      <c r="M3135">
        <v>-0.9997452</v>
      </c>
      <c r="N3135">
        <v>0</v>
      </c>
      <c r="O3135">
        <v>-1.963929E-2</v>
      </c>
      <c r="P3135">
        <v>-0.98714749999999996</v>
      </c>
      <c r="Q3135">
        <v>0.1578321</v>
      </c>
      <c r="R3135">
        <v>-2.5078179999999999E-2</v>
      </c>
      <c r="S3135">
        <v>-3.1533199999999999</v>
      </c>
      <c r="T3135">
        <v>-0.61836440000000004</v>
      </c>
      <c r="U3135">
        <v>0.58731080000000002</v>
      </c>
      <c r="V3135">
        <v>-5.7821289999999996E-3</v>
      </c>
      <c r="W3135">
        <v>0.1688105</v>
      </c>
      <c r="X3135">
        <v>0.98563160000000005</v>
      </c>
      <c r="Y3135">
        <v>0.19835810000000001</v>
      </c>
      <c r="Z3135">
        <v>2.2890799999999999E-2</v>
      </c>
      <c r="AA3135">
        <v>0.97986229999999996</v>
      </c>
      <c r="AB3135">
        <v>50</v>
      </c>
      <c r="AC3135">
        <v>-0.49270000000001302</v>
      </c>
      <c r="AD3135">
        <v>-0.1531633</v>
      </c>
      <c r="AE3135">
        <v>0.151299999999992</v>
      </c>
      <c r="AF3135">
        <v>0.14788778454014401</v>
      </c>
      <c r="AG3135">
        <v>-0.1531633</v>
      </c>
      <c r="AH3135">
        <v>0.44990263994720597</v>
      </c>
      <c r="AI3135">
        <v>107.921838666432</v>
      </c>
      <c r="AJ3135">
        <v>71.803755591331495</v>
      </c>
      <c r="AK3135">
        <v>0.49773705780717897</v>
      </c>
      <c r="AL3135">
        <v>80.281334117310493</v>
      </c>
      <c r="AM3135">
        <v>90.336117255092802</v>
      </c>
      <c r="AN3135">
        <v>1.0000000344222899</v>
      </c>
    </row>
    <row r="3136" spans="1:40" x14ac:dyDescent="0.25">
      <c r="A3136" t="str">
        <f>"20190312172140122"</f>
        <v>20190312172140122</v>
      </c>
      <c r="B3136" t="str">
        <f>"1552382500113950"</f>
        <v>1552382500113950</v>
      </c>
      <c r="C3136" t="s">
        <v>40</v>
      </c>
      <c r="D3136">
        <v>3.11565</v>
      </c>
      <c r="E3136">
        <v>0.5838044</v>
      </c>
      <c r="F3136" t="s">
        <v>41</v>
      </c>
      <c r="G3136">
        <v>-421.483</v>
      </c>
      <c r="H3136">
        <v>0.92643739999999997</v>
      </c>
      <c r="I3136">
        <v>284.50110000000001</v>
      </c>
      <c r="J3136">
        <v>-420.85489999999999</v>
      </c>
      <c r="K3136">
        <v>1.1095269999999999</v>
      </c>
      <c r="L3136">
        <v>284.322</v>
      </c>
      <c r="M3136">
        <v>-0.99974450000000004</v>
      </c>
      <c r="N3136">
        <v>0</v>
      </c>
      <c r="O3136">
        <v>-1.964395E-2</v>
      </c>
      <c r="P3136">
        <v>-0.98715529999999996</v>
      </c>
      <c r="Q3136">
        <v>0.15783239999999901</v>
      </c>
      <c r="R3136">
        <v>-2.4764069999999999E-2</v>
      </c>
      <c r="S3136">
        <v>-3.1535030000000002</v>
      </c>
      <c r="T3136">
        <v>-0.62247739999999996</v>
      </c>
      <c r="U3136">
        <v>0.58602909999999997</v>
      </c>
      <c r="V3136">
        <v>-5.4479130000000004E-3</v>
      </c>
      <c r="W3136">
        <v>0.16886880000000001</v>
      </c>
      <c r="X3136">
        <v>0.98562349999999999</v>
      </c>
      <c r="Y3136">
        <v>0.1979225</v>
      </c>
      <c r="Z3136">
        <v>2.2998459999999998E-2</v>
      </c>
      <c r="AA3136">
        <v>0.97994780000000004</v>
      </c>
      <c r="AB3136">
        <v>50</v>
      </c>
      <c r="AC3136">
        <v>-0.62810000000001698</v>
      </c>
      <c r="AD3136">
        <v>-0.18308959999999999</v>
      </c>
      <c r="AE3136">
        <v>0.17910000000000501</v>
      </c>
      <c r="AF3136">
        <v>0.17745953599733799</v>
      </c>
      <c r="AG3136">
        <v>-0.18308959999999999</v>
      </c>
      <c r="AH3136">
        <v>0.57896443932893804</v>
      </c>
      <c r="AI3136">
        <v>106.82280720252</v>
      </c>
      <c r="AJ3136">
        <v>72.959070473738194</v>
      </c>
      <c r="AK3136">
        <v>0.63262430442721795</v>
      </c>
      <c r="AL3136">
        <v>80.277944953924703</v>
      </c>
      <c r="AM3136">
        <v>90.316692168221095</v>
      </c>
      <c r="AN3136">
        <v>1.0000000175608701</v>
      </c>
    </row>
    <row r="3137" spans="1:40" x14ac:dyDescent="0.25">
      <c r="A3137" t="str">
        <f>"20190312172140134"</f>
        <v>20190312172140134</v>
      </c>
      <c r="B3137" t="str">
        <f>"1552382500123710"</f>
        <v>1552382500123710</v>
      </c>
      <c r="C3137" t="s">
        <v>40</v>
      </c>
      <c r="D3137">
        <v>3.1388539999999998</v>
      </c>
      <c r="E3137">
        <v>0.58356940000000002</v>
      </c>
      <c r="F3137" t="s">
        <v>41</v>
      </c>
      <c r="G3137">
        <v>-421.91980000000001</v>
      </c>
      <c r="H3137">
        <v>0.89875530000000003</v>
      </c>
      <c r="I3137">
        <v>284.5197</v>
      </c>
      <c r="J3137">
        <v>-421.12299999999999</v>
      </c>
      <c r="K3137">
        <v>1.1094949999999999</v>
      </c>
      <c r="L3137">
        <v>284.31670000000003</v>
      </c>
      <c r="M3137">
        <v>-0.99974450000000004</v>
      </c>
      <c r="N3137">
        <v>0</v>
      </c>
      <c r="O3137">
        <v>-1.9619029999999999E-2</v>
      </c>
      <c r="P3137">
        <v>-0.98718209999999995</v>
      </c>
      <c r="Q3137">
        <v>0.1576544</v>
      </c>
      <c r="R3137">
        <v>-2.4838829999999999E-2</v>
      </c>
      <c r="S3137">
        <v>-3.153473</v>
      </c>
      <c r="T3137">
        <v>-0.62414380000000003</v>
      </c>
      <c r="U3137">
        <v>0.58486939999999998</v>
      </c>
      <c r="V3137">
        <v>-5.5307519999999999E-3</v>
      </c>
      <c r="W3137">
        <v>0.16874239999999999</v>
      </c>
      <c r="X3137">
        <v>0.98564470000000004</v>
      </c>
      <c r="Y3137">
        <v>0.1975372</v>
      </c>
      <c r="Z3137">
        <v>2.301754E-2</v>
      </c>
      <c r="AA3137">
        <v>0.98002509999999998</v>
      </c>
      <c r="AB3137">
        <v>50</v>
      </c>
      <c r="AC3137">
        <v>-0.79679999999996198</v>
      </c>
      <c r="AD3137">
        <v>-0.2107397</v>
      </c>
      <c r="AE3137">
        <v>0.20299999999997401</v>
      </c>
      <c r="AF3137">
        <v>0.205120512389529</v>
      </c>
      <c r="AG3137">
        <v>-0.2107397</v>
      </c>
      <c r="AH3137">
        <v>0.743805062545144</v>
      </c>
      <c r="AI3137">
        <v>105.276646318245</v>
      </c>
      <c r="AJ3137">
        <v>74.582641383772</v>
      </c>
      <c r="AK3137">
        <v>0.79983224292774002</v>
      </c>
      <c r="AL3137">
        <v>80.285292712431101</v>
      </c>
      <c r="AM3137">
        <v>90.321500659685995</v>
      </c>
      <c r="AN3137">
        <v>1.00000003070676</v>
      </c>
    </row>
    <row r="3138" spans="1:40" x14ac:dyDescent="0.25">
      <c r="A3138" t="str">
        <f>"20190312172140147"</f>
        <v>20190312172140147</v>
      </c>
      <c r="B3138" t="str">
        <f>"1552382500144205"</f>
        <v>1552382500144205</v>
      </c>
      <c r="C3138" t="s">
        <v>40</v>
      </c>
      <c r="D3138">
        <v>3.1604950000000001</v>
      </c>
      <c r="E3138">
        <v>0.58344050000000003</v>
      </c>
      <c r="F3138" t="s">
        <v>41</v>
      </c>
      <c r="G3138">
        <v>-421.93709999999999</v>
      </c>
      <c r="H3138">
        <v>0.94787600000000005</v>
      </c>
      <c r="I3138">
        <v>284.46730000000002</v>
      </c>
      <c r="J3138">
        <v>-421.39569999999998</v>
      </c>
      <c r="K3138">
        <v>1.1094580000000001</v>
      </c>
      <c r="L3138">
        <v>284.31139999999999</v>
      </c>
      <c r="M3138">
        <v>-0.99974470000000004</v>
      </c>
      <c r="N3138">
        <v>0</v>
      </c>
      <c r="O3138">
        <v>-1.9573799999999999E-2</v>
      </c>
      <c r="P3138">
        <v>-0.98721709999999996</v>
      </c>
      <c r="Q3138">
        <v>0.15743270000000001</v>
      </c>
      <c r="R3138">
        <v>-2.484917E-2</v>
      </c>
      <c r="S3138">
        <v>-3.1536249999999999</v>
      </c>
      <c r="T3138">
        <v>-0.62617040000000002</v>
      </c>
      <c r="U3138">
        <v>0.58248900000000003</v>
      </c>
      <c r="V3138">
        <v>-5.5680460000000001E-3</v>
      </c>
      <c r="W3138">
        <v>0.16857220000000001</v>
      </c>
      <c r="X3138">
        <v>0.98567360000000004</v>
      </c>
      <c r="Y3138">
        <v>0.19675809999999999</v>
      </c>
      <c r="Z3138">
        <v>2.3006530000000001E-2</v>
      </c>
      <c r="AA3138">
        <v>0.98018209999999995</v>
      </c>
      <c r="AB3138">
        <v>50</v>
      </c>
      <c r="AC3138">
        <v>-0.54140000000000998</v>
      </c>
      <c r="AD3138">
        <v>-0.161582</v>
      </c>
      <c r="AE3138">
        <v>0.15590000000003101</v>
      </c>
      <c r="AF3138">
        <v>0.15381617022365501</v>
      </c>
      <c r="AG3138">
        <v>-0.161582</v>
      </c>
      <c r="AH3138">
        <v>0.49733690859191898</v>
      </c>
      <c r="AI3138">
        <v>107.243740873728</v>
      </c>
      <c r="AJ3138">
        <v>72.8142274568593</v>
      </c>
      <c r="AK3138">
        <v>0.54507995523045905</v>
      </c>
      <c r="AL3138">
        <v>80.295186053168607</v>
      </c>
      <c r="AM3138">
        <v>90.323659010988095</v>
      </c>
      <c r="AN3138">
        <v>1.0000000177430199</v>
      </c>
    </row>
    <row r="3139" spans="1:40" x14ac:dyDescent="0.25">
      <c r="A3139" t="str">
        <f>"20190312172140162"</f>
        <v>20190312172140162</v>
      </c>
      <c r="B3139" t="str">
        <f>"1552382500153966"</f>
        <v>1552382500153966</v>
      </c>
      <c r="C3139" t="s">
        <v>40</v>
      </c>
      <c r="D3139">
        <v>3.0732159999999999</v>
      </c>
      <c r="E3139">
        <v>0.58339289999999999</v>
      </c>
      <c r="F3139" t="s">
        <v>41</v>
      </c>
      <c r="G3139">
        <v>-422.37150000000003</v>
      </c>
      <c r="H3139">
        <v>0.91446629999999995</v>
      </c>
      <c r="I3139">
        <v>284.49160000000001</v>
      </c>
      <c r="J3139">
        <v>-421.75510000000003</v>
      </c>
      <c r="K3139">
        <v>1.1094029999999999</v>
      </c>
      <c r="L3139">
        <v>284.30439999999999</v>
      </c>
      <c r="M3139">
        <v>-0.99974569999999996</v>
      </c>
      <c r="N3139">
        <v>0</v>
      </c>
      <c r="O3139">
        <v>-1.9483380000000002E-2</v>
      </c>
      <c r="P3139">
        <v>-0.98722030000000005</v>
      </c>
      <c r="Q3139">
        <v>0.15736129999999901</v>
      </c>
      <c r="R3139">
        <v>-2.5174370000000001E-2</v>
      </c>
      <c r="S3139">
        <v>-3.1540219999999999</v>
      </c>
      <c r="T3139">
        <v>-0.63039719999999999</v>
      </c>
      <c r="U3139">
        <v>0.58117680000000005</v>
      </c>
      <c r="V3139">
        <v>-5.9590959999999997E-3</v>
      </c>
      <c r="W3139">
        <v>0.1685661</v>
      </c>
      <c r="X3139">
        <v>0.9856724</v>
      </c>
      <c r="Y3139">
        <v>0.196211</v>
      </c>
      <c r="Z3139">
        <v>2.308547E-2</v>
      </c>
      <c r="AA3139">
        <v>0.98028990000000005</v>
      </c>
      <c r="AB3139">
        <v>50</v>
      </c>
      <c r="AC3139">
        <v>-0.61639999999999795</v>
      </c>
      <c r="AD3139">
        <v>-0.19493669999999999</v>
      </c>
      <c r="AE3139">
        <v>0.18720000000001799</v>
      </c>
      <c r="AF3139">
        <v>0.182466578647422</v>
      </c>
      <c r="AG3139">
        <v>-0.19493669999999999</v>
      </c>
      <c r="AH3139">
        <v>0.561243193216729</v>
      </c>
      <c r="AI3139">
        <v>108.279009909303</v>
      </c>
      <c r="AJ3139">
        <v>71.990063909032301</v>
      </c>
      <c r="AK3139">
        <v>0.62152094997859597</v>
      </c>
      <c r="AL3139">
        <v>80.295541050519304</v>
      </c>
      <c r="AM3139">
        <v>90.346389825623305</v>
      </c>
      <c r="AN3139">
        <v>1.0000000605080499</v>
      </c>
    </row>
    <row r="3140" spans="1:40" x14ac:dyDescent="0.25">
      <c r="A3140" t="str">
        <f>"20190312172140175"</f>
        <v>20190312172140175</v>
      </c>
      <c r="B3140" t="str">
        <f>"1552382500163725"</f>
        <v>1552382500163725</v>
      </c>
      <c r="C3140" t="s">
        <v>40</v>
      </c>
      <c r="D3140">
        <v>3.207106</v>
      </c>
      <c r="E3140">
        <v>0.58316089999999998</v>
      </c>
      <c r="F3140" t="s">
        <v>41</v>
      </c>
      <c r="G3140">
        <v>-422.81209999999999</v>
      </c>
      <c r="H3140">
        <v>0.89740880000000001</v>
      </c>
      <c r="I3140">
        <v>284.49880000000002</v>
      </c>
      <c r="J3140">
        <v>-422.03649999999999</v>
      </c>
      <c r="K3140">
        <v>1.1093599999999999</v>
      </c>
      <c r="L3140">
        <v>284.29899999999998</v>
      </c>
      <c r="M3140">
        <v>-0.99974719999999995</v>
      </c>
      <c r="N3140">
        <v>0</v>
      </c>
      <c r="O3140">
        <v>-1.9380120000000001E-2</v>
      </c>
      <c r="P3140">
        <v>-0.98727529999999997</v>
      </c>
      <c r="Q3140">
        <v>0.15700069999999999</v>
      </c>
      <c r="R3140">
        <v>-2.5262050000000001E-2</v>
      </c>
      <c r="S3140">
        <v>-3.1544490000000001</v>
      </c>
      <c r="T3140">
        <v>-0.63269160000000002</v>
      </c>
      <c r="U3140">
        <v>0.57913210000000004</v>
      </c>
      <c r="V3140">
        <v>-6.1281570000000004E-3</v>
      </c>
      <c r="W3140">
        <v>0.168256399999999</v>
      </c>
      <c r="X3140">
        <v>0.98572420000000005</v>
      </c>
      <c r="Y3140">
        <v>0.19545870000000001</v>
      </c>
      <c r="Z3140">
        <v>2.3071709999999999E-2</v>
      </c>
      <c r="AA3140">
        <v>0.98044050000000005</v>
      </c>
      <c r="AB3140">
        <v>50</v>
      </c>
      <c r="AC3140">
        <v>-0.77559999999999696</v>
      </c>
      <c r="AD3140">
        <v>-0.21195120000000001</v>
      </c>
      <c r="AE3140">
        <v>0.19979999999998199</v>
      </c>
      <c r="AF3140">
        <v>0.20073682156078701</v>
      </c>
      <c r="AG3140">
        <v>-0.21195120000000001</v>
      </c>
      <c r="AH3140">
        <v>0.72108354676076103</v>
      </c>
      <c r="AI3140">
        <v>105.810360855447</v>
      </c>
      <c r="AJ3140">
        <v>74.443744083549802</v>
      </c>
      <c r="AK3140">
        <v>0.77793320029475899</v>
      </c>
      <c r="AL3140">
        <v>80.313541929044405</v>
      </c>
      <c r="AM3140">
        <v>90.356198020541797</v>
      </c>
      <c r="AN3140">
        <v>0.99999998445740801</v>
      </c>
    </row>
    <row r="3141" spans="1:40" x14ac:dyDescent="0.25">
      <c r="A3141" t="str">
        <f>"20190312172140188"</f>
        <v>20190312172140188</v>
      </c>
      <c r="B3141" t="str">
        <f>"1552382500184221"</f>
        <v>1552382500184221</v>
      </c>
      <c r="C3141" t="s">
        <v>40</v>
      </c>
      <c r="D3141">
        <v>3.107796</v>
      </c>
      <c r="E3141">
        <v>0.58285489999999995</v>
      </c>
      <c r="F3141" t="s">
        <v>41</v>
      </c>
      <c r="G3141">
        <v>-422.83069999999998</v>
      </c>
      <c r="H3141">
        <v>0.94948900000000003</v>
      </c>
      <c r="I3141">
        <v>284.44459999999998</v>
      </c>
      <c r="J3141">
        <v>-422.32769999999999</v>
      </c>
      <c r="K3141">
        <v>1.1093139999999999</v>
      </c>
      <c r="L3141">
        <v>284.29349999999999</v>
      </c>
      <c r="M3141">
        <v>-0.9997492</v>
      </c>
      <c r="N3141">
        <v>0</v>
      </c>
      <c r="O3141">
        <v>-1.9249530000000001E-2</v>
      </c>
      <c r="P3141">
        <v>-0.98728839999999995</v>
      </c>
      <c r="Q3141">
        <v>0.15689839999999999</v>
      </c>
      <c r="R3141">
        <v>-2.5391629999999998E-2</v>
      </c>
      <c r="S3141">
        <v>-3.1543580000000002</v>
      </c>
      <c r="T3141">
        <v>-0.63492419999999905</v>
      </c>
      <c r="U3141">
        <v>0.57675169999999998</v>
      </c>
      <c r="V3141">
        <v>-6.3655780000000002E-3</v>
      </c>
      <c r="W3141">
        <v>0.16820460000000001</v>
      </c>
      <c r="X3141">
        <v>0.98573149999999998</v>
      </c>
      <c r="Y3141">
        <v>0.194609</v>
      </c>
      <c r="Z3141">
        <v>2.3043899999999999E-2</v>
      </c>
      <c r="AA3141">
        <v>0.98061019999999999</v>
      </c>
      <c r="AB3141">
        <v>50</v>
      </c>
      <c r="AC3141">
        <v>-0.50299999999998501</v>
      </c>
      <c r="AD3141">
        <v>-0.15982499999999999</v>
      </c>
      <c r="AE3141">
        <v>0.151099999999985</v>
      </c>
      <c r="AF3141">
        <v>0.147130232807509</v>
      </c>
      <c r="AG3141">
        <v>-0.15982499999999999</v>
      </c>
      <c r="AH3141">
        <v>0.45762031560986299</v>
      </c>
      <c r="AI3141">
        <v>108.39146227021099</v>
      </c>
      <c r="AJ3141">
        <v>72.176800274474203</v>
      </c>
      <c r="AK3141">
        <v>0.50656459537739296</v>
      </c>
      <c r="AL3141">
        <v>80.316552415818705</v>
      </c>
      <c r="AM3141">
        <v>90.369994956850405</v>
      </c>
      <c r="AN3141">
        <v>0.99999994906834</v>
      </c>
    </row>
    <row r="3142" spans="1:40" x14ac:dyDescent="0.25">
      <c r="A3142" t="str">
        <f>"20190312172140200"</f>
        <v>20190312172140200</v>
      </c>
      <c r="B3142" t="str">
        <f>"1552382500193982"</f>
        <v>1552382500193982</v>
      </c>
      <c r="C3142" t="s">
        <v>40</v>
      </c>
      <c r="D3142">
        <v>3.1071970000000002</v>
      </c>
      <c r="E3142">
        <v>0.58271770000000001</v>
      </c>
      <c r="F3142" t="s">
        <v>41</v>
      </c>
      <c r="G3142">
        <v>-423.26639999999998</v>
      </c>
      <c r="H3142">
        <v>0.91957809999999995</v>
      </c>
      <c r="I3142">
        <v>284.46480000000003</v>
      </c>
      <c r="J3142">
        <v>-422.60059999999999</v>
      </c>
      <c r="K3142">
        <v>1.1092709999999999</v>
      </c>
      <c r="L3142">
        <v>284.28820000000002</v>
      </c>
      <c r="M3142">
        <v>-0.99975119999999895</v>
      </c>
      <c r="N3142">
        <v>0</v>
      </c>
      <c r="O3142">
        <v>-1.9112759999999999E-2</v>
      </c>
      <c r="P3142">
        <v>-0.9872822</v>
      </c>
      <c r="Q3142">
        <v>0.15689500000000001</v>
      </c>
      <c r="R3142">
        <v>-2.564978E-2</v>
      </c>
      <c r="S3142">
        <v>-3.1547239999999999</v>
      </c>
      <c r="T3142">
        <v>-0.63770780000000005</v>
      </c>
      <c r="U3142">
        <v>0.57400509999999905</v>
      </c>
      <c r="V3142">
        <v>-6.7392060000000002E-3</v>
      </c>
      <c r="W3142">
        <v>0.16824739999999999</v>
      </c>
      <c r="X3142">
        <v>0.98572179999999998</v>
      </c>
      <c r="Y3142">
        <v>0.1936147</v>
      </c>
      <c r="Z3142">
        <v>2.3016229999999999E-2</v>
      </c>
      <c r="AA3142">
        <v>0.98080769999999995</v>
      </c>
      <c r="AB3142">
        <v>50</v>
      </c>
      <c r="AC3142">
        <v>-0.66579999999998996</v>
      </c>
      <c r="AD3142">
        <v>-0.189692899999999</v>
      </c>
      <c r="AE3142">
        <v>0.176600000000007</v>
      </c>
      <c r="AF3142">
        <v>0.175950148785916</v>
      </c>
      <c r="AG3142">
        <v>-0.189692899999999</v>
      </c>
      <c r="AH3142">
        <v>0.61561576730479595</v>
      </c>
      <c r="AI3142">
        <v>106.503069718517</v>
      </c>
      <c r="AJ3142">
        <v>74.049447504359193</v>
      </c>
      <c r="AK3142">
        <v>0.66777587866174704</v>
      </c>
      <c r="AL3142">
        <v>80.3140655502459</v>
      </c>
      <c r="AM3142">
        <v>90.391715030635694</v>
      </c>
      <c r="AN3142">
        <v>1.00000003574975</v>
      </c>
    </row>
    <row r="3143" spans="1:40" x14ac:dyDescent="0.25">
      <c r="A3143" t="str">
        <f>"20190312172140212"</f>
        <v>20190312172140212</v>
      </c>
      <c r="B3143" t="str">
        <f>"1552382500203742"</f>
        <v>1552382500203742</v>
      </c>
      <c r="C3143" t="s">
        <v>40</v>
      </c>
      <c r="D3143">
        <v>3.4032420000000001</v>
      </c>
      <c r="E3143">
        <v>0.58259830000000001</v>
      </c>
      <c r="F3143" t="s">
        <v>41</v>
      </c>
      <c r="G3143">
        <v>-423.70139999999998</v>
      </c>
      <c r="H3143">
        <v>0.88627029999999996</v>
      </c>
      <c r="I3143">
        <v>284.48759999999999</v>
      </c>
      <c r="J3143">
        <v>-422.8716</v>
      </c>
      <c r="K3143">
        <v>1.1092310000000001</v>
      </c>
      <c r="L3143">
        <v>284.28309999999999</v>
      </c>
      <c r="M3143">
        <v>-0.99975369999999997</v>
      </c>
      <c r="N3143">
        <v>0</v>
      </c>
      <c r="O3143">
        <v>-1.8946669999999999E-2</v>
      </c>
      <c r="P3143">
        <v>-0.98727520000000002</v>
      </c>
      <c r="Q3143">
        <v>0.1569489</v>
      </c>
      <c r="R3143">
        <v>-2.5586950000000001E-2</v>
      </c>
      <c r="S3143">
        <v>-3.1550600000000002</v>
      </c>
      <c r="T3143">
        <v>-0.63905259999999997</v>
      </c>
      <c r="U3143">
        <v>0.57189939999999995</v>
      </c>
      <c r="V3143">
        <v>-6.8218100000000002E-3</v>
      </c>
      <c r="W3143">
        <v>0.168348</v>
      </c>
      <c r="X3143">
        <v>0.98570400000000002</v>
      </c>
      <c r="Y3143">
        <v>0.1928018</v>
      </c>
      <c r="Z3143">
        <v>2.294885E-2</v>
      </c>
      <c r="AA3143">
        <v>0.98096930000000004</v>
      </c>
      <c r="AB3143">
        <v>50</v>
      </c>
      <c r="AC3143">
        <v>-0.829799999999977</v>
      </c>
      <c r="AD3143">
        <v>-0.22296069999999901</v>
      </c>
      <c r="AE3143">
        <v>0.20449999999999499</v>
      </c>
      <c r="AF3143">
        <v>0.20615502067966801</v>
      </c>
      <c r="AG3143">
        <v>-0.22296069999999901</v>
      </c>
      <c r="AH3143">
        <v>0.77315399410700403</v>
      </c>
      <c r="AI3143">
        <v>105.570110417625</v>
      </c>
      <c r="AJ3143">
        <v>75.0699235111435</v>
      </c>
      <c r="AK3143">
        <v>0.83064942358346205</v>
      </c>
      <c r="AL3143">
        <v>80.3082176528726</v>
      </c>
      <c r="AM3143">
        <v>90.396523379731207</v>
      </c>
      <c r="AN3143">
        <v>0.99999998090583797</v>
      </c>
    </row>
    <row r="3144" spans="1:40" x14ac:dyDescent="0.25">
      <c r="A3144" t="str">
        <f>"20190312172140231"</f>
        <v>20190312172140231</v>
      </c>
      <c r="B3144" t="str">
        <f>"1552382500224241"</f>
        <v>1552382500224241</v>
      </c>
      <c r="C3144" t="s">
        <v>40</v>
      </c>
      <c r="D3144">
        <v>3.2090019999999999</v>
      </c>
      <c r="E3144">
        <v>0.58241889999999996</v>
      </c>
      <c r="F3144" t="s">
        <v>41</v>
      </c>
      <c r="G3144">
        <v>-423.71940000000001</v>
      </c>
      <c r="H3144">
        <v>0.93714399999999998</v>
      </c>
      <c r="I3144">
        <v>284.43650000000002</v>
      </c>
      <c r="J3144">
        <v>-423.26409999999998</v>
      </c>
      <c r="K3144">
        <v>1.1091740000000001</v>
      </c>
      <c r="L3144">
        <v>284.2758</v>
      </c>
      <c r="M3144">
        <v>-0.99975809999999998</v>
      </c>
      <c r="N3144">
        <v>0</v>
      </c>
      <c r="O3144">
        <v>-1.8682319999999999E-2</v>
      </c>
      <c r="P3144">
        <v>-0.98726499999999995</v>
      </c>
      <c r="Q3144">
        <v>0.15705429999999901</v>
      </c>
      <c r="R3144">
        <v>-2.5339190000000001E-2</v>
      </c>
      <c r="S3144">
        <v>-3.1552730000000002</v>
      </c>
      <c r="T3144">
        <v>-0.64047829999999994</v>
      </c>
      <c r="U3144">
        <v>0.57098389999999999</v>
      </c>
      <c r="V3144">
        <v>-6.8075080000000003E-3</v>
      </c>
      <c r="W3144">
        <v>0.16852010000000001</v>
      </c>
      <c r="X3144">
        <v>0.98567470000000001</v>
      </c>
      <c r="Y3144">
        <v>0.19225329999999999</v>
      </c>
      <c r="Z3144">
        <v>2.28907E-2</v>
      </c>
      <c r="AA3144">
        <v>0.98107829999999996</v>
      </c>
      <c r="AB3144">
        <v>50</v>
      </c>
      <c r="AC3144">
        <v>-0.45530000000002202</v>
      </c>
      <c r="AD3144">
        <v>-0.17202999999999899</v>
      </c>
      <c r="AE3144">
        <v>0.16070000000001899</v>
      </c>
      <c r="AF3144">
        <v>0.15012109048137801</v>
      </c>
      <c r="AG3144">
        <v>-0.17202999999999899</v>
      </c>
      <c r="AH3144">
        <v>0.40127697900068598</v>
      </c>
      <c r="AI3144">
        <v>111.876835447719</v>
      </c>
      <c r="AJ3144">
        <v>69.4887544406796</v>
      </c>
      <c r="AK3144">
        <v>0.46168590684927202</v>
      </c>
      <c r="AL3144">
        <v>80.298214219379901</v>
      </c>
      <c r="AM3144">
        <v>90.3957038524495</v>
      </c>
      <c r="AN3144">
        <v>0.99999999024463504</v>
      </c>
    </row>
    <row r="3145" spans="1:40" x14ac:dyDescent="0.25">
      <c r="A3145" t="str">
        <f>"20190312172140242"</f>
        <v>20190312172140242</v>
      </c>
      <c r="B3145" t="str">
        <f>"1552382500233998"</f>
        <v>1552382500233998</v>
      </c>
      <c r="C3145" t="s">
        <v>40</v>
      </c>
      <c r="D3145">
        <v>3.1278489999999999</v>
      </c>
      <c r="E3145">
        <v>0.58232419999999996</v>
      </c>
      <c r="F3145" t="s">
        <v>41</v>
      </c>
      <c r="G3145">
        <v>-424.16230000000002</v>
      </c>
      <c r="H3145">
        <v>0.92612720000000004</v>
      </c>
      <c r="I3145">
        <v>284.43819999999999</v>
      </c>
      <c r="J3145">
        <v>-423.5333</v>
      </c>
      <c r="K3145">
        <v>1.109137</v>
      </c>
      <c r="L3145">
        <v>284.27089999999998</v>
      </c>
      <c r="M3145">
        <v>-0.99976129999999996</v>
      </c>
      <c r="N3145">
        <v>0</v>
      </c>
      <c r="O3145">
        <v>-1.848493E-2</v>
      </c>
      <c r="P3145">
        <v>-0.98725180000000001</v>
      </c>
      <c r="Q3145">
        <v>0.1571736</v>
      </c>
      <c r="R3145">
        <v>-2.511905E-2</v>
      </c>
      <c r="S3145">
        <v>-3.1556090000000001</v>
      </c>
      <c r="T3145">
        <v>-0.64313379999999998</v>
      </c>
      <c r="U3145">
        <v>0.56918329999999995</v>
      </c>
      <c r="V3145">
        <v>-6.7640729999999998E-3</v>
      </c>
      <c r="W3145">
        <v>0.16868549999999999</v>
      </c>
      <c r="X3145">
        <v>0.98564669999999999</v>
      </c>
      <c r="Y3145">
        <v>0.1914846</v>
      </c>
      <c r="Z3145">
        <v>2.2866020000000001E-2</v>
      </c>
      <c r="AA3145">
        <v>0.98122920000000002</v>
      </c>
      <c r="AB3145">
        <v>50</v>
      </c>
      <c r="AC3145">
        <v>-0.62900000000001899</v>
      </c>
      <c r="AD3145">
        <v>-0.1830098</v>
      </c>
      <c r="AE3145">
        <v>0.167300000000011</v>
      </c>
      <c r="AF3145">
        <v>0.16579159039218899</v>
      </c>
      <c r="AG3145">
        <v>-0.1830098</v>
      </c>
      <c r="AH3145">
        <v>0.57994852961573196</v>
      </c>
      <c r="AI3145">
        <v>106.878208552323</v>
      </c>
      <c r="AJ3145">
        <v>74.046200359454602</v>
      </c>
      <c r="AK3145">
        <v>0.63033303526331297</v>
      </c>
      <c r="AL3145">
        <v>80.288599796737699</v>
      </c>
      <c r="AM3145">
        <v>90.393190330234503</v>
      </c>
      <c r="AN3145">
        <v>0.99999998390734401</v>
      </c>
    </row>
    <row r="3146" spans="1:40" x14ac:dyDescent="0.25">
      <c r="A3146" t="str">
        <f>"20190312172140259"</f>
        <v>20190312172140259</v>
      </c>
      <c r="B3146" t="str">
        <f>"1552382500253517"</f>
        <v>1552382500253517</v>
      </c>
      <c r="C3146" t="s">
        <v>40</v>
      </c>
      <c r="D3146">
        <v>3.1862210000000002</v>
      </c>
      <c r="E3146">
        <v>0.58213530000000002</v>
      </c>
      <c r="F3146" t="s">
        <v>41</v>
      </c>
      <c r="G3146">
        <v>-424.59699999999998</v>
      </c>
      <c r="H3146">
        <v>0.89210009999999995</v>
      </c>
      <c r="I3146">
        <v>284.46300000000002</v>
      </c>
      <c r="J3146">
        <v>-423.92290000000003</v>
      </c>
      <c r="K3146">
        <v>1.109086</v>
      </c>
      <c r="L3146">
        <v>284.26389999999998</v>
      </c>
      <c r="M3146">
        <v>-0.99976609999999999</v>
      </c>
      <c r="N3146">
        <v>0</v>
      </c>
      <c r="O3146">
        <v>-1.8172170000000001E-2</v>
      </c>
      <c r="P3146">
        <v>-0.98727480000000001</v>
      </c>
      <c r="Q3146">
        <v>0.15709719999999999</v>
      </c>
      <c r="R3146">
        <v>-2.4678439999999999E-2</v>
      </c>
      <c r="S3146">
        <v>-3.1557620000000002</v>
      </c>
      <c r="T3146">
        <v>-0.64391369999999903</v>
      </c>
      <c r="U3146">
        <v>0.56906129999999999</v>
      </c>
      <c r="V3146">
        <v>-6.6075750000000001E-3</v>
      </c>
      <c r="W3146">
        <v>0.16867699999999999</v>
      </c>
      <c r="X3146">
        <v>0.9856492</v>
      </c>
      <c r="Y3146">
        <v>0.19113630000000001</v>
      </c>
      <c r="Z3146">
        <v>2.2794600000000002E-2</v>
      </c>
      <c r="AA3146">
        <v>0.98129880000000003</v>
      </c>
      <c r="AB3146">
        <v>50</v>
      </c>
      <c r="AC3146">
        <v>-0.67409999999995296</v>
      </c>
      <c r="AD3146">
        <v>-0.21698589999999901</v>
      </c>
      <c r="AE3146">
        <v>0.19909999999998701</v>
      </c>
      <c r="AF3146">
        <v>0.19293153832662999</v>
      </c>
      <c r="AG3146">
        <v>-0.21698589999999901</v>
      </c>
      <c r="AH3146">
        <v>0.61204294709361595</v>
      </c>
      <c r="AI3146">
        <v>108.681719245753</v>
      </c>
      <c r="AJ3146">
        <v>72.503820005196204</v>
      </c>
      <c r="AK3146">
        <v>0.67742307929899204</v>
      </c>
      <c r="AL3146">
        <v>80.289093734148594</v>
      </c>
      <c r="AM3146">
        <v>90.384092524160707</v>
      </c>
      <c r="AN3146">
        <v>0.99999996791850898</v>
      </c>
    </row>
    <row r="3147" spans="1:40" x14ac:dyDescent="0.25">
      <c r="A3147" t="str">
        <f>"20190312172140274"</f>
        <v>20190312172140274</v>
      </c>
      <c r="B3147" t="str">
        <f>"1552382500264253"</f>
        <v>1552382500264253</v>
      </c>
      <c r="C3147" t="s">
        <v>40</v>
      </c>
      <c r="D3147">
        <v>3.20736</v>
      </c>
      <c r="E3147">
        <v>0.58202549999999997</v>
      </c>
      <c r="F3147" t="s">
        <v>41</v>
      </c>
      <c r="G3147">
        <v>-424.62479999999999</v>
      </c>
      <c r="H3147">
        <v>0.96538219999999997</v>
      </c>
      <c r="I3147">
        <v>284.39069999999998</v>
      </c>
      <c r="J3147">
        <v>-424.262</v>
      </c>
      <c r="K3147">
        <v>1.109043</v>
      </c>
      <c r="L3147">
        <v>284.25790000000001</v>
      </c>
      <c r="M3147">
        <v>-0.99977070000000001</v>
      </c>
      <c r="N3147">
        <v>0</v>
      </c>
      <c r="O3147">
        <v>-1.7876960000000001E-2</v>
      </c>
      <c r="P3147">
        <v>-0.98727949999999998</v>
      </c>
      <c r="Q3147">
        <v>0.15716289999999999</v>
      </c>
      <c r="R3147">
        <v>-2.4066959999999998E-2</v>
      </c>
      <c r="S3147">
        <v>-3.1557010000000001</v>
      </c>
      <c r="T3147">
        <v>-0.646121099999999</v>
      </c>
      <c r="U3147">
        <v>0.56909180000000004</v>
      </c>
      <c r="V3147">
        <v>-6.2685719999999896E-3</v>
      </c>
      <c r="W3147">
        <v>0.16880300000000001</v>
      </c>
      <c r="X3147">
        <v>0.98562989999999995</v>
      </c>
      <c r="Y3147">
        <v>0.1908426</v>
      </c>
      <c r="Z3147">
        <v>2.2782670000000001E-2</v>
      </c>
      <c r="AA3147">
        <v>0.98135629999999996</v>
      </c>
      <c r="AB3147">
        <v>50</v>
      </c>
      <c r="AC3147">
        <v>-0.36280000000004903</v>
      </c>
      <c r="AD3147">
        <v>-0.14366080000000001</v>
      </c>
      <c r="AE3147">
        <v>0.13279999999997399</v>
      </c>
      <c r="AF3147">
        <v>0.12234772886097101</v>
      </c>
      <c r="AG3147">
        <v>-0.14366080000000001</v>
      </c>
      <c r="AH3147">
        <v>0.31659199939093302</v>
      </c>
      <c r="AI3147">
        <v>112.941272947922</v>
      </c>
      <c r="AJ3147">
        <v>68.870857221177204</v>
      </c>
      <c r="AK3147">
        <v>0.36856191649765802</v>
      </c>
      <c r="AL3147">
        <v>80.281769987905307</v>
      </c>
      <c r="AM3147">
        <v>90.364394258617097</v>
      </c>
      <c r="AN3147">
        <v>1.0000000237889599</v>
      </c>
    </row>
    <row r="3148" spans="1:40" x14ac:dyDescent="0.25">
      <c r="A3148" t="str">
        <f>"20190312172140298"</f>
        <v>20190312172140298</v>
      </c>
      <c r="B3148" t="str">
        <f>"1552382500293533"</f>
        <v>1552382500293533</v>
      </c>
      <c r="C3148" t="s">
        <v>40</v>
      </c>
      <c r="D3148">
        <v>3.2651910000000002</v>
      </c>
      <c r="E3148">
        <v>0.58183640000000003</v>
      </c>
      <c r="F3148" t="s">
        <v>41</v>
      </c>
      <c r="G3148">
        <v>-425.06319999999999</v>
      </c>
      <c r="H3148">
        <v>0.9448879</v>
      </c>
      <c r="I3148">
        <v>284.4033</v>
      </c>
      <c r="J3148">
        <v>-424.7595</v>
      </c>
      <c r="K3148">
        <v>1.1089929999999999</v>
      </c>
      <c r="L3148">
        <v>284.24930000000001</v>
      </c>
      <c r="M3148">
        <v>-0.99977769999999999</v>
      </c>
      <c r="N3148">
        <v>0</v>
      </c>
      <c r="O3148">
        <v>-1.7423040000000001E-2</v>
      </c>
      <c r="P3148">
        <v>-0.98726389999999997</v>
      </c>
      <c r="Q3148">
        <v>0.15732399999999999</v>
      </c>
      <c r="R3148">
        <v>-2.3656469999999999E-2</v>
      </c>
      <c r="S3148">
        <v>-3.1555179999999998</v>
      </c>
      <c r="T3148">
        <v>-0.64662749999999902</v>
      </c>
      <c r="U3148">
        <v>0.57028199999999996</v>
      </c>
      <c r="V3148">
        <v>-6.2805179999999997E-3</v>
      </c>
      <c r="W3148">
        <v>0.16905400000000001</v>
      </c>
      <c r="X3148">
        <v>0.98558679999999999</v>
      </c>
      <c r="Y3148">
        <v>0.19076969999999999</v>
      </c>
      <c r="Z3148">
        <v>2.270198E-2</v>
      </c>
      <c r="AA3148">
        <v>0.98137229999999998</v>
      </c>
      <c r="AB3148">
        <v>50</v>
      </c>
      <c r="AC3148">
        <v>-0.30369999999999198</v>
      </c>
      <c r="AD3148">
        <v>-0.1641051</v>
      </c>
      <c r="AE3148">
        <v>0.153999999999996</v>
      </c>
      <c r="AF3148">
        <v>0.12924899052771799</v>
      </c>
      <c r="AG3148">
        <v>-0.1641051</v>
      </c>
      <c r="AH3148">
        <v>0.244242723208105</v>
      </c>
      <c r="AI3148">
        <v>120.70470567012801</v>
      </c>
      <c r="AJ3148">
        <v>62.112987275981901</v>
      </c>
      <c r="AK3148">
        <v>0.32138807264513602</v>
      </c>
      <c r="AL3148">
        <v>80.267179014643702</v>
      </c>
      <c r="AM3148">
        <v>90.365104629952597</v>
      </c>
      <c r="AN3148">
        <v>1.0000000200782899</v>
      </c>
    </row>
    <row r="3149" spans="1:40" x14ac:dyDescent="0.25">
      <c r="A3149" t="str">
        <f>"20190312172140311"</f>
        <v>20190312172140311</v>
      </c>
      <c r="B3149" t="str">
        <f>"1552382500304269"</f>
        <v>1552382500304269</v>
      </c>
      <c r="C3149" t="s">
        <v>40</v>
      </c>
      <c r="D3149">
        <v>3.2062789999999999</v>
      </c>
      <c r="E3149">
        <v>0.58175869999999996</v>
      </c>
      <c r="F3149" t="s">
        <v>41</v>
      </c>
      <c r="G3149">
        <v>-425.51409999999998</v>
      </c>
      <c r="H3149">
        <v>0.95419100000000001</v>
      </c>
      <c r="I3149">
        <v>284.3861</v>
      </c>
      <c r="J3149">
        <v>-425.06029999999998</v>
      </c>
      <c r="K3149">
        <v>1.108967</v>
      </c>
      <c r="L3149">
        <v>284.24430000000001</v>
      </c>
      <c r="M3149">
        <v>-0.9997819</v>
      </c>
      <c r="N3149">
        <v>0</v>
      </c>
      <c r="O3149">
        <v>-1.713599E-2</v>
      </c>
      <c r="P3149">
        <v>-0.98726999999999998</v>
      </c>
      <c r="Q3149">
        <v>0.1573417</v>
      </c>
      <c r="R3149">
        <v>-2.3273309999999998E-2</v>
      </c>
      <c r="S3149">
        <v>-3.155548</v>
      </c>
      <c r="T3149">
        <v>-0.64734769999999997</v>
      </c>
      <c r="U3149">
        <v>0.57095340000000006</v>
      </c>
      <c r="V3149">
        <v>-6.1676480000000004E-3</v>
      </c>
      <c r="W3149">
        <v>0.16912639999999901</v>
      </c>
      <c r="X3149">
        <v>0.98557510000000004</v>
      </c>
      <c r="Y3149">
        <v>0.1906872</v>
      </c>
      <c r="Z3149">
        <v>2.265996E-2</v>
      </c>
      <c r="AA3149">
        <v>0.98138930000000002</v>
      </c>
      <c r="AB3149">
        <v>50</v>
      </c>
      <c r="AC3149">
        <v>-0.45380000000000098</v>
      </c>
      <c r="AD3149">
        <v>-0.154776</v>
      </c>
      <c r="AE3149">
        <v>0.14179999999998899</v>
      </c>
      <c r="AF3149">
        <v>0.13522506232725101</v>
      </c>
      <c r="AG3149">
        <v>-0.154776</v>
      </c>
      <c r="AH3149">
        <v>0.40805784905009002</v>
      </c>
      <c r="AI3149">
        <v>109.80113132095001</v>
      </c>
      <c r="AJ3149">
        <v>71.665475246790805</v>
      </c>
      <c r="AK3149">
        <v>0.45689455657601702</v>
      </c>
      <c r="AL3149">
        <v>80.2629702775547</v>
      </c>
      <c r="AM3149">
        <v>90.358547600340401</v>
      </c>
      <c r="AN3149">
        <v>1.0000000283994099</v>
      </c>
    </row>
    <row r="3150" spans="1:40" x14ac:dyDescent="0.25">
      <c r="A3150" t="str">
        <f>"20190312172140323"</f>
        <v>20190312172140323</v>
      </c>
      <c r="B3150" t="str">
        <f>"1552382500314030"</f>
        <v>1552382500314030</v>
      </c>
      <c r="C3150" t="s">
        <v>40</v>
      </c>
      <c r="D3150">
        <v>3.245247</v>
      </c>
      <c r="E3150">
        <v>0.58176609999999995</v>
      </c>
      <c r="F3150" t="s">
        <v>41</v>
      </c>
      <c r="G3150">
        <v>-425.9502</v>
      </c>
      <c r="H3150">
        <v>0.92619510000000005</v>
      </c>
      <c r="I3150">
        <v>284.40589999999997</v>
      </c>
      <c r="J3150">
        <v>-425.34289999999999</v>
      </c>
      <c r="K3150">
        <v>1.108949</v>
      </c>
      <c r="L3150">
        <v>284.2396</v>
      </c>
      <c r="M3150">
        <v>-0.99978599999999995</v>
      </c>
      <c r="N3150">
        <v>0</v>
      </c>
      <c r="O3150">
        <v>-1.6862189999999999E-2</v>
      </c>
      <c r="P3150">
        <v>-0.98724449999999997</v>
      </c>
      <c r="Q3150">
        <v>0.15755420000000001</v>
      </c>
      <c r="R3150">
        <v>-2.291491E-2</v>
      </c>
      <c r="S3150">
        <v>-3.1554570000000002</v>
      </c>
      <c r="T3150">
        <v>-0.6481422</v>
      </c>
      <c r="U3150">
        <v>0.57165529999999998</v>
      </c>
      <c r="V3150">
        <v>-6.0682080000000003E-3</v>
      </c>
      <c r="W3150">
        <v>0.16939000000000001</v>
      </c>
      <c r="X3150">
        <v>0.98553040000000003</v>
      </c>
      <c r="Y3150">
        <v>0.19063140000000001</v>
      </c>
      <c r="Z3150">
        <v>2.2626529999999999E-2</v>
      </c>
      <c r="AA3150">
        <v>0.98140090000000002</v>
      </c>
      <c r="AB3150">
        <v>50</v>
      </c>
      <c r="AC3150">
        <v>-0.60730000000000905</v>
      </c>
      <c r="AD3150">
        <v>-0.1827539</v>
      </c>
      <c r="AE3150">
        <v>0.16629999999997799</v>
      </c>
      <c r="AF3150">
        <v>0.16280280648593401</v>
      </c>
      <c r="AG3150">
        <v>-0.1827539</v>
      </c>
      <c r="AH3150">
        <v>0.55744912549805503</v>
      </c>
      <c r="AI3150">
        <v>107.468455462318</v>
      </c>
      <c r="AJ3150">
        <v>73.719575871257405</v>
      </c>
      <c r="AK3150">
        <v>0.60881300025825102</v>
      </c>
      <c r="AL3150">
        <v>80.247645553870797</v>
      </c>
      <c r="AM3150">
        <v>90.352782941939694</v>
      </c>
      <c r="AN3150">
        <v>0.99999998228624498</v>
      </c>
    </row>
    <row r="3151" spans="1:40" x14ac:dyDescent="0.25">
      <c r="A3151" t="str">
        <f>"20190312172140335"</f>
        <v>20190312172140335</v>
      </c>
      <c r="B3151" t="str">
        <f>"1552382500323790"</f>
        <v>1552382500323790</v>
      </c>
      <c r="C3151" t="s">
        <v>40</v>
      </c>
      <c r="D3151">
        <v>3.1545070000000002</v>
      </c>
      <c r="E3151">
        <v>0.58171110000000004</v>
      </c>
      <c r="F3151" t="s">
        <v>41</v>
      </c>
      <c r="G3151">
        <v>-426.38569999999999</v>
      </c>
      <c r="H3151">
        <v>0.89459849999999996</v>
      </c>
      <c r="I3151">
        <v>284.42910000000001</v>
      </c>
      <c r="J3151">
        <v>-425.62200000000001</v>
      </c>
      <c r="K3151">
        <v>1.10893</v>
      </c>
      <c r="L3151">
        <v>284.23500000000001</v>
      </c>
      <c r="M3151">
        <v>-0.99979010000000001</v>
      </c>
      <c r="N3151">
        <v>0</v>
      </c>
      <c r="O3151">
        <v>-1.6586420000000001E-2</v>
      </c>
      <c r="P3151">
        <v>-0.98720180000000002</v>
      </c>
      <c r="Q3151">
        <v>0.1578562</v>
      </c>
      <c r="R3151">
        <v>-2.2682379999999999E-2</v>
      </c>
      <c r="S3151">
        <v>-3.1555789999999999</v>
      </c>
      <c r="T3151">
        <v>-0.64865139999999999</v>
      </c>
      <c r="U3151">
        <v>0.57284550000000001</v>
      </c>
      <c r="V3151">
        <v>-6.0983779999999998E-3</v>
      </c>
      <c r="W3151">
        <v>0.169742899999999</v>
      </c>
      <c r="X3151">
        <v>0.9854695</v>
      </c>
      <c r="Y3151">
        <v>0.19071080000000001</v>
      </c>
      <c r="Z3151">
        <v>2.2594690000000001E-2</v>
      </c>
      <c r="AA3151">
        <v>0.98138619999999999</v>
      </c>
      <c r="AB3151">
        <v>50</v>
      </c>
      <c r="AC3151">
        <v>-0.76370000000002802</v>
      </c>
      <c r="AD3151">
        <v>-0.21433149999999901</v>
      </c>
      <c r="AE3151">
        <v>0.194099999999991</v>
      </c>
      <c r="AF3151">
        <v>0.19249926967544301</v>
      </c>
      <c r="AG3151">
        <v>-0.21433149999999901</v>
      </c>
      <c r="AH3151">
        <v>0.70799454395019501</v>
      </c>
      <c r="AI3151">
        <v>106.284408765723</v>
      </c>
      <c r="AJ3151">
        <v>74.789343399845094</v>
      </c>
      <c r="AK3151">
        <v>0.76436263316640096</v>
      </c>
      <c r="AL3151">
        <v>80.227128829160407</v>
      </c>
      <c r="AM3151">
        <v>90.354558777455793</v>
      </c>
      <c r="AN3151">
        <v>0.99999998887244501</v>
      </c>
    </row>
    <row r="3152" spans="1:40" x14ac:dyDescent="0.25">
      <c r="A3152" t="str">
        <f>"20190312172140348"</f>
        <v>20190312172140348</v>
      </c>
      <c r="B3152" t="str">
        <f>"1552382500344286"</f>
        <v>1552382500344286</v>
      </c>
      <c r="C3152" t="s">
        <v>40</v>
      </c>
      <c r="D3152">
        <v>3.140657</v>
      </c>
      <c r="E3152">
        <v>0.581681</v>
      </c>
      <c r="F3152" t="s">
        <v>41</v>
      </c>
      <c r="G3152">
        <v>-426.40539999999999</v>
      </c>
      <c r="H3152">
        <v>0.94779230000000003</v>
      </c>
      <c r="I3152">
        <v>284.37759999999997</v>
      </c>
      <c r="J3152">
        <v>-425.88839999999999</v>
      </c>
      <c r="K3152">
        <v>1.10891299999999</v>
      </c>
      <c r="L3152">
        <v>284.23070000000001</v>
      </c>
      <c r="M3152">
        <v>-0.99979370000000001</v>
      </c>
      <c r="N3152">
        <v>0</v>
      </c>
      <c r="O3152">
        <v>-1.6320210000000002E-2</v>
      </c>
      <c r="P3152">
        <v>-0.9871624</v>
      </c>
      <c r="Q3152">
        <v>0.1581206</v>
      </c>
      <c r="R3152">
        <v>-2.255039E-2</v>
      </c>
      <c r="S3152">
        <v>-3.155853</v>
      </c>
      <c r="T3152">
        <v>-0.64915509999999998</v>
      </c>
      <c r="U3152">
        <v>0.57315059999999995</v>
      </c>
      <c r="V3152">
        <v>-6.2202150000000003E-3</v>
      </c>
      <c r="W3152">
        <v>0.1700554</v>
      </c>
      <c r="X3152">
        <v>0.98541489999999998</v>
      </c>
      <c r="Y3152">
        <v>0.1905299</v>
      </c>
      <c r="Z3152">
        <v>2.2537729999999999E-2</v>
      </c>
      <c r="AA3152">
        <v>0.98142269999999998</v>
      </c>
      <c r="AB3152">
        <v>50</v>
      </c>
      <c r="AC3152">
        <v>-0.51699999999999502</v>
      </c>
      <c r="AD3152">
        <v>-0.16112069999999901</v>
      </c>
      <c r="AE3152">
        <v>0.14689999999995901</v>
      </c>
      <c r="AF3152">
        <v>0.14251145917142</v>
      </c>
      <c r="AG3152">
        <v>-0.16112069999999901</v>
      </c>
      <c r="AH3152">
        <v>0.472106519699375</v>
      </c>
      <c r="AI3152">
        <v>108.09321612496601</v>
      </c>
      <c r="AJ3152">
        <v>73.202881042572798</v>
      </c>
      <c r="AK3152">
        <v>0.518800502993505</v>
      </c>
      <c r="AL3152">
        <v>80.208960129076303</v>
      </c>
      <c r="AM3152">
        <v>90.3616622133585</v>
      </c>
      <c r="AN3152">
        <v>1.0000000276429</v>
      </c>
    </row>
    <row r="3153" spans="1:40" x14ac:dyDescent="0.25">
      <c r="A3153" t="str">
        <f>"20190312172140363"</f>
        <v>20190312172140363</v>
      </c>
      <c r="B3153" t="str">
        <f>"1552382500354046"</f>
        <v>1552382500354046</v>
      </c>
      <c r="C3153" t="s">
        <v>40</v>
      </c>
      <c r="D3153">
        <v>3.162976</v>
      </c>
      <c r="E3153">
        <v>0.58165349999999905</v>
      </c>
      <c r="F3153" t="s">
        <v>41</v>
      </c>
      <c r="G3153">
        <v>-426.83920000000001</v>
      </c>
      <c r="H3153">
        <v>0.91289319999999896</v>
      </c>
      <c r="I3153">
        <v>284.40379999999999</v>
      </c>
      <c r="J3153">
        <v>-426.24689999999998</v>
      </c>
      <c r="K3153">
        <v>1.1088979999999999</v>
      </c>
      <c r="L3153">
        <v>284.2251</v>
      </c>
      <c r="M3153">
        <v>-0.99979879999999999</v>
      </c>
      <c r="N3153">
        <v>0</v>
      </c>
      <c r="O3153">
        <v>-1.5959250000000001E-2</v>
      </c>
      <c r="P3153">
        <v>-0.9871219</v>
      </c>
      <c r="Q3153">
        <v>0.15839210000000001</v>
      </c>
      <c r="R3153">
        <v>-2.241638E-2</v>
      </c>
      <c r="S3153">
        <v>-3.1562809999999999</v>
      </c>
      <c r="T3153">
        <v>-0.65075559999999999</v>
      </c>
      <c r="U3153">
        <v>0.57321169999999899</v>
      </c>
      <c r="V3153">
        <v>-6.4317510000000003E-3</v>
      </c>
      <c r="W3153">
        <v>0.170392299999999</v>
      </c>
      <c r="X3153">
        <v>0.98535530000000005</v>
      </c>
      <c r="Y3153">
        <v>0.19016630000000001</v>
      </c>
      <c r="Z3153">
        <v>2.2479280000000001E-2</v>
      </c>
      <c r="AA3153">
        <v>0.98149450000000005</v>
      </c>
      <c r="AB3153">
        <v>50</v>
      </c>
      <c r="AC3153">
        <v>-0.59230000000002203</v>
      </c>
      <c r="AD3153">
        <v>-0.19600480000000001</v>
      </c>
      <c r="AE3153">
        <v>0.178699999999992</v>
      </c>
      <c r="AF3153">
        <v>0.170969917977425</v>
      </c>
      <c r="AG3153">
        <v>-0.19600480000000001</v>
      </c>
      <c r="AH3153">
        <v>0.53561172729893303</v>
      </c>
      <c r="AI3153">
        <v>109.21936557498</v>
      </c>
      <c r="AJ3153">
        <v>72.296659252003593</v>
      </c>
      <c r="AK3153">
        <v>0.59542297310096703</v>
      </c>
      <c r="AL3153">
        <v>80.189370870800303</v>
      </c>
      <c r="AM3153">
        <v>90.373983834743697</v>
      </c>
      <c r="AN3153">
        <v>0.99999998527915201</v>
      </c>
    </row>
    <row r="3154" spans="1:40" x14ac:dyDescent="0.25">
      <c r="A3154" t="str">
        <f>"20190312172140375"</f>
        <v>20190312172140375</v>
      </c>
      <c r="B3154" t="str">
        <f>"1552382500363806"</f>
        <v>1552382500363806</v>
      </c>
      <c r="C3154" t="s">
        <v>40</v>
      </c>
      <c r="D3154">
        <v>3.1713</v>
      </c>
      <c r="E3154">
        <v>0.58161850000000004</v>
      </c>
      <c r="F3154" t="s">
        <v>41</v>
      </c>
      <c r="G3154">
        <v>-427.2799</v>
      </c>
      <c r="H3154">
        <v>0.89593429999999996</v>
      </c>
      <c r="I3154">
        <v>284.41300000000001</v>
      </c>
      <c r="J3154">
        <v>-426.5224</v>
      </c>
      <c r="K3154">
        <v>1.108887</v>
      </c>
      <c r="L3154">
        <v>284.2208</v>
      </c>
      <c r="M3154">
        <v>-0.99980250000000004</v>
      </c>
      <c r="N3154">
        <v>0</v>
      </c>
      <c r="O3154">
        <v>-1.5679970000000001E-2</v>
      </c>
      <c r="P3154">
        <v>-0.98706700000000003</v>
      </c>
      <c r="Q3154">
        <v>0.1587578</v>
      </c>
      <c r="R3154">
        <v>-2.224228E-2</v>
      </c>
      <c r="S3154">
        <v>-3.1565859999999999</v>
      </c>
      <c r="T3154">
        <v>-0.65067889999999995</v>
      </c>
      <c r="U3154">
        <v>0.57376099999999997</v>
      </c>
      <c r="V3154">
        <v>-6.525716E-3</v>
      </c>
      <c r="W3154">
        <v>0.17080809999999999</v>
      </c>
      <c r="X3154">
        <v>0.98528269999999996</v>
      </c>
      <c r="Y3154">
        <v>0.190051</v>
      </c>
      <c r="Z3154">
        <v>2.240603E-2</v>
      </c>
      <c r="AA3154">
        <v>0.98151849999999996</v>
      </c>
      <c r="AB3154">
        <v>50</v>
      </c>
      <c r="AC3154">
        <v>-0.75749999999999296</v>
      </c>
      <c r="AD3154">
        <v>-0.21295269999999999</v>
      </c>
      <c r="AE3154">
        <v>0.192200000000013</v>
      </c>
      <c r="AF3154">
        <v>0.18995071592055501</v>
      </c>
      <c r="AG3154">
        <v>-0.21295269999999999</v>
      </c>
      <c r="AH3154">
        <v>0.702249878923078</v>
      </c>
      <c r="AI3154">
        <v>106.316022243883</v>
      </c>
      <c r="AJ3154">
        <v>74.864325686037802</v>
      </c>
      <c r="AK3154">
        <v>0.75801386488869704</v>
      </c>
      <c r="AL3154">
        <v>80.165192944384998</v>
      </c>
      <c r="AM3154">
        <v>90.379475370931402</v>
      </c>
      <c r="AN3154">
        <v>0.99999999545710605</v>
      </c>
    </row>
    <row r="3155" spans="1:40" x14ac:dyDescent="0.25">
      <c r="A3155" t="str">
        <f>"20190312172140388"</f>
        <v>20190312172140388</v>
      </c>
      <c r="B3155" t="str">
        <f>"1552382500384302"</f>
        <v>1552382500384302</v>
      </c>
      <c r="C3155" t="s">
        <v>40</v>
      </c>
      <c r="D3155">
        <v>3.2208890000000001</v>
      </c>
      <c r="E3155">
        <v>0.58156989999999997</v>
      </c>
      <c r="F3155" t="s">
        <v>41</v>
      </c>
      <c r="G3155">
        <v>-427.29969999999997</v>
      </c>
      <c r="H3155">
        <v>0.94873050000000003</v>
      </c>
      <c r="I3155">
        <v>284.3623</v>
      </c>
      <c r="J3155">
        <v>-426.78769999999997</v>
      </c>
      <c r="K3155">
        <v>1.108881</v>
      </c>
      <c r="L3155">
        <v>284.21690000000001</v>
      </c>
      <c r="M3155">
        <v>-0.99980619999999998</v>
      </c>
      <c r="N3155">
        <v>0</v>
      </c>
      <c r="O3155">
        <v>-1.5409900000000001E-2</v>
      </c>
      <c r="P3155">
        <v>-0.98705149999999997</v>
      </c>
      <c r="Q3155">
        <v>0.1588765</v>
      </c>
      <c r="R3155">
        <v>-2.2077960000000001E-2</v>
      </c>
      <c r="S3155">
        <v>-3.1568299999999998</v>
      </c>
      <c r="T3155">
        <v>-0.65043469999999903</v>
      </c>
      <c r="U3155">
        <v>0.57394409999999996</v>
      </c>
      <c r="V3155">
        <v>-6.6213640000000002E-3</v>
      </c>
      <c r="W3155">
        <v>0.1709754</v>
      </c>
      <c r="X3155">
        <v>0.98525300000000005</v>
      </c>
      <c r="Y3155">
        <v>0.18984129999999999</v>
      </c>
      <c r="Z3155">
        <v>2.2320130000000001E-2</v>
      </c>
      <c r="AA3155">
        <v>0.98156109999999996</v>
      </c>
      <c r="AB3155">
        <v>50</v>
      </c>
      <c r="AC3155">
        <v>-0.51200000000000001</v>
      </c>
      <c r="AD3155">
        <v>-0.160150499999999</v>
      </c>
      <c r="AE3155">
        <v>0.14539999999999501</v>
      </c>
      <c r="AF3155">
        <v>0.14054818693020699</v>
      </c>
      <c r="AG3155">
        <v>-0.160150499999999</v>
      </c>
      <c r="AH3155">
        <v>0.46738237982032299</v>
      </c>
      <c r="AI3155">
        <v>108.166660980681</v>
      </c>
      <c r="AJ3155">
        <v>73.263258542008003</v>
      </c>
      <c r="AK3155">
        <v>0.51366162448262298</v>
      </c>
      <c r="AL3155">
        <v>80.155463816769895</v>
      </c>
      <c r="AM3155">
        <v>90.3850488153806</v>
      </c>
      <c r="AN3155">
        <v>0.99999995193768898</v>
      </c>
    </row>
    <row r="3156" spans="1:40" x14ac:dyDescent="0.25">
      <c r="A3156" t="str">
        <f>"20190312172140399"</f>
        <v>20190312172140399</v>
      </c>
      <c r="B3156" t="str">
        <f>"1552382500394062"</f>
        <v>1552382500394062</v>
      </c>
      <c r="C3156" t="s">
        <v>40</v>
      </c>
      <c r="D3156">
        <v>3.2784970000000002</v>
      </c>
      <c r="E3156">
        <v>0.58160259999999997</v>
      </c>
      <c r="F3156" t="s">
        <v>41</v>
      </c>
      <c r="G3156">
        <v>-427.73320000000001</v>
      </c>
      <c r="H3156">
        <v>0.91356970000000004</v>
      </c>
      <c r="I3156">
        <v>284.38929999999999</v>
      </c>
      <c r="J3156">
        <v>-427.06009999999998</v>
      </c>
      <c r="K3156">
        <v>1.1088720000000001</v>
      </c>
      <c r="L3156">
        <v>284.21280000000002</v>
      </c>
      <c r="M3156">
        <v>-0.99980990000000003</v>
      </c>
      <c r="N3156">
        <v>0</v>
      </c>
      <c r="O3156">
        <v>-1.513198E-2</v>
      </c>
      <c r="P3156">
        <v>-0.9869947</v>
      </c>
      <c r="Q3156">
        <v>0.15923010000000001</v>
      </c>
      <c r="R3156">
        <v>-2.207201E-2</v>
      </c>
      <c r="S3156">
        <v>-3.1571039999999999</v>
      </c>
      <c r="T3156">
        <v>-0.65216980000000002</v>
      </c>
      <c r="U3156">
        <v>0.57418819999999904</v>
      </c>
      <c r="V3156">
        <v>-6.8834949999999999E-3</v>
      </c>
      <c r="W3156">
        <v>0.1713789</v>
      </c>
      <c r="X3156">
        <v>0.98518119999999998</v>
      </c>
      <c r="Y3156">
        <v>0.18961610000000001</v>
      </c>
      <c r="Z3156">
        <v>2.2297210000000001E-2</v>
      </c>
      <c r="AA3156">
        <v>0.98160510000000001</v>
      </c>
      <c r="AB3156">
        <v>50</v>
      </c>
      <c r="AC3156">
        <v>-0.67310000000003301</v>
      </c>
      <c r="AD3156">
        <v>-0.19530229999999901</v>
      </c>
      <c r="AE3156">
        <v>0.17649999999997501</v>
      </c>
      <c r="AF3156">
        <v>0.17303542736289201</v>
      </c>
      <c r="AG3156">
        <v>-0.19530229999999901</v>
      </c>
      <c r="AH3156">
        <v>0.62140238470692899</v>
      </c>
      <c r="AI3156">
        <v>106.84491926133801</v>
      </c>
      <c r="AJ3156">
        <v>74.4396309874639</v>
      </c>
      <c r="AK3156">
        <v>0.673962292140596</v>
      </c>
      <c r="AL3156">
        <v>80.131999639257799</v>
      </c>
      <c r="AM3156">
        <v>90.400321071940894</v>
      </c>
      <c r="AN3156">
        <v>1.00000005335103</v>
      </c>
    </row>
    <row r="3157" spans="1:40" x14ac:dyDescent="0.25">
      <c r="A3157" t="str">
        <f>"20190312172140412"</f>
        <v>20190312172140412</v>
      </c>
      <c r="B3157" t="str">
        <f>"1552382500403822"</f>
        <v>1552382500403822</v>
      </c>
      <c r="C3157" t="s">
        <v>40</v>
      </c>
      <c r="D3157">
        <v>3.24404</v>
      </c>
      <c r="E3157">
        <v>0.58163129999999996</v>
      </c>
      <c r="F3157" t="s">
        <v>41</v>
      </c>
      <c r="G3157">
        <v>-428.16789999999997</v>
      </c>
      <c r="H3157">
        <v>0.88010999999999995</v>
      </c>
      <c r="I3157">
        <v>284.41469999999998</v>
      </c>
      <c r="J3157">
        <v>-427.34710000000001</v>
      </c>
      <c r="K3157">
        <v>1.1088639999999901</v>
      </c>
      <c r="L3157">
        <v>284.20859999999999</v>
      </c>
      <c r="M3157">
        <v>-0.99981359999999997</v>
      </c>
      <c r="N3157">
        <v>0</v>
      </c>
      <c r="O3157">
        <v>-1.483835E-2</v>
      </c>
      <c r="P3157">
        <v>-0.98692599999999997</v>
      </c>
      <c r="Q3157">
        <v>0.1596726</v>
      </c>
      <c r="R3157">
        <v>-2.1953759999999999E-2</v>
      </c>
      <c r="S3157">
        <v>-3.1575929999999999</v>
      </c>
      <c r="T3157">
        <v>-0.6520686</v>
      </c>
      <c r="U3157">
        <v>0.57473750000000001</v>
      </c>
      <c r="V3157">
        <v>-7.0496459999999997E-3</v>
      </c>
      <c r="W3157">
        <v>0.171874</v>
      </c>
      <c r="X3157">
        <v>0.98509369999999996</v>
      </c>
      <c r="Y3157">
        <v>0.18947820000000001</v>
      </c>
      <c r="Z3157">
        <v>2.2216610000000001E-2</v>
      </c>
      <c r="AA3157">
        <v>0.98163350000000005</v>
      </c>
      <c r="AB3157">
        <v>50</v>
      </c>
      <c r="AC3157">
        <v>-0.820799999999962</v>
      </c>
      <c r="AD3157">
        <v>-0.22875399999999901</v>
      </c>
      <c r="AE3157">
        <v>0.20609999999999201</v>
      </c>
      <c r="AF3157">
        <v>0.203396400446749</v>
      </c>
      <c r="AG3157">
        <v>-0.22875399999999901</v>
      </c>
      <c r="AH3157">
        <v>0.761977348568739</v>
      </c>
      <c r="AI3157">
        <v>106.175075620125</v>
      </c>
      <c r="AJ3157">
        <v>75.054372123581402</v>
      </c>
      <c r="AK3157">
        <v>0.82116257097029199</v>
      </c>
      <c r="AL3157">
        <v>80.103204554351194</v>
      </c>
      <c r="AM3157">
        <v>90.410019948205502</v>
      </c>
      <c r="AN3157">
        <v>0.99999998358220699</v>
      </c>
    </row>
    <row r="3158" spans="1:40" x14ac:dyDescent="0.25">
      <c r="A3158" t="str">
        <f>"20190312172140431"</f>
        <v>20190312172140431</v>
      </c>
      <c r="B3158" t="str">
        <f>"1552382500423341"</f>
        <v>1552382500423341</v>
      </c>
      <c r="C3158" t="s">
        <v>40</v>
      </c>
      <c r="D3158">
        <v>3.2186360000000001</v>
      </c>
      <c r="E3158">
        <v>0.58157650000000005</v>
      </c>
      <c r="F3158" t="s">
        <v>41</v>
      </c>
      <c r="G3158">
        <v>-428.18799999999999</v>
      </c>
      <c r="H3158">
        <v>0.93542539999999996</v>
      </c>
      <c r="I3158">
        <v>284.36219999999997</v>
      </c>
      <c r="J3158">
        <v>-427.75619999999998</v>
      </c>
      <c r="K3158">
        <v>1.1088519999999999</v>
      </c>
      <c r="L3158">
        <v>284.20280000000002</v>
      </c>
      <c r="M3158">
        <v>-0.99981880000000001</v>
      </c>
      <c r="N3158">
        <v>0</v>
      </c>
      <c r="O3158">
        <v>-1.4419029999999999E-2</v>
      </c>
      <c r="P3158">
        <v>-0.98692389999999997</v>
      </c>
      <c r="Q3158">
        <v>0.15972829999999999</v>
      </c>
      <c r="R3158">
        <v>-2.164087E-2</v>
      </c>
      <c r="S3158">
        <v>-3.157959</v>
      </c>
      <c r="T3158">
        <v>-0.65150600000000003</v>
      </c>
      <c r="U3158">
        <v>0.57556149999999995</v>
      </c>
      <c r="V3158">
        <v>-7.142486E-3</v>
      </c>
      <c r="W3158">
        <v>0.17200560000000001</v>
      </c>
      <c r="X3158">
        <v>0.98507009999999995</v>
      </c>
      <c r="Y3158">
        <v>0.18931480000000001</v>
      </c>
      <c r="Z3158">
        <v>2.2093330000000001E-2</v>
      </c>
      <c r="AA3158">
        <v>0.98166790000000004</v>
      </c>
      <c r="AB3158">
        <v>50</v>
      </c>
      <c r="AC3158">
        <v>-0.43180000000006602</v>
      </c>
      <c r="AD3158">
        <v>-0.17342659999999899</v>
      </c>
      <c r="AE3158">
        <v>0.159399999999948</v>
      </c>
      <c r="AF3158">
        <v>0.14502191417778601</v>
      </c>
      <c r="AG3158">
        <v>-0.17342659999999899</v>
      </c>
      <c r="AH3158">
        <v>0.37606782026577501</v>
      </c>
      <c r="AI3158">
        <v>113.280932258695</v>
      </c>
      <c r="AJ3158">
        <v>68.912012868339701</v>
      </c>
      <c r="AK3158">
        <v>0.43878827083093302</v>
      </c>
      <c r="AL3158">
        <v>80.0955508220258</v>
      </c>
      <c r="AM3158">
        <v>90.415429451843096</v>
      </c>
      <c r="AN3158">
        <v>1.00000002172581</v>
      </c>
    </row>
    <row r="3159" spans="1:40" x14ac:dyDescent="0.25">
      <c r="A3159" t="str">
        <f>"20190312172140453"</f>
        <v>20190312172140453</v>
      </c>
      <c r="B3159" t="str">
        <f>"1552382500443838"</f>
        <v>1552382500443838</v>
      </c>
      <c r="C3159" t="s">
        <v>40</v>
      </c>
      <c r="D3159">
        <v>3.2405240000000002</v>
      </c>
      <c r="E3159">
        <v>0.58161980000000002</v>
      </c>
      <c r="F3159" t="s">
        <v>41</v>
      </c>
      <c r="G3159">
        <v>-428.63189999999997</v>
      </c>
      <c r="H3159">
        <v>0.9278438</v>
      </c>
      <c r="I3159">
        <v>284.36320000000001</v>
      </c>
      <c r="J3159">
        <v>-428.24619999999999</v>
      </c>
      <c r="K3159">
        <v>1.108854</v>
      </c>
      <c r="L3159">
        <v>284.1961</v>
      </c>
      <c r="M3159">
        <v>-0.99982470000000001</v>
      </c>
      <c r="N3159">
        <v>0</v>
      </c>
      <c r="O3159">
        <v>-1.391624E-2</v>
      </c>
      <c r="P3159">
        <v>-0.98694709999999997</v>
      </c>
      <c r="Q3159">
        <v>0.15966329999999901</v>
      </c>
      <c r="R3159">
        <v>-2.105798E-2</v>
      </c>
      <c r="S3159">
        <v>-3.15802</v>
      </c>
      <c r="T3159">
        <v>-0.65277289999999999</v>
      </c>
      <c r="U3159">
        <v>0.57675169999999998</v>
      </c>
      <c r="V3159">
        <v>-7.0480400000000002E-3</v>
      </c>
      <c r="W3159">
        <v>0.17203089999999999</v>
      </c>
      <c r="X3159">
        <v>0.98506640000000001</v>
      </c>
      <c r="Y3159">
        <v>0.18917390000000001</v>
      </c>
      <c r="Z3159">
        <v>2.2017910000000002E-2</v>
      </c>
      <c r="AA3159">
        <v>0.98169669999999998</v>
      </c>
      <c r="AB3159">
        <v>50</v>
      </c>
      <c r="AC3159">
        <v>-0.385699999999985</v>
      </c>
      <c r="AD3159">
        <v>-0.18101020000000001</v>
      </c>
      <c r="AE3159">
        <v>0.167100000000004</v>
      </c>
      <c r="AF3159">
        <v>0.14547495874076699</v>
      </c>
      <c r="AG3159">
        <v>-0.18101020000000001</v>
      </c>
      <c r="AH3159">
        <v>0.32337131320950702</v>
      </c>
      <c r="AI3159">
        <v>117.04348041159599</v>
      </c>
      <c r="AJ3159">
        <v>65.778462963594905</v>
      </c>
      <c r="AK3159">
        <v>0.39811639294496398</v>
      </c>
      <c r="AL3159">
        <v>80.094079676156696</v>
      </c>
      <c r="AM3159">
        <v>90.409937903839705</v>
      </c>
      <c r="AN3159">
        <v>1.0000000589158</v>
      </c>
    </row>
    <row r="3160" spans="1:40" x14ac:dyDescent="0.25">
      <c r="A3160" t="str">
        <f>"20190312172140468"</f>
        <v>20190312172140468</v>
      </c>
      <c r="B3160" t="str">
        <f>"1552382500464335"</f>
        <v>1552382500464335</v>
      </c>
      <c r="C3160" t="s">
        <v>40</v>
      </c>
      <c r="D3160">
        <v>3.205778</v>
      </c>
      <c r="E3160">
        <v>0.58160489999999998</v>
      </c>
      <c r="F3160" t="s">
        <v>41</v>
      </c>
      <c r="G3160">
        <v>-429.08139999999997</v>
      </c>
      <c r="H3160">
        <v>0.93557069999999998</v>
      </c>
      <c r="I3160">
        <v>284.3494</v>
      </c>
      <c r="J3160">
        <v>-428.56420000000003</v>
      </c>
      <c r="K3160">
        <v>1.1088519999999999</v>
      </c>
      <c r="L3160">
        <v>284.1918</v>
      </c>
      <c r="M3160">
        <v>-0.99982850000000001</v>
      </c>
      <c r="N3160">
        <v>0</v>
      </c>
      <c r="O3160">
        <v>-1.358969E-2</v>
      </c>
      <c r="P3160">
        <v>-0.98695840000000001</v>
      </c>
      <c r="Q3160">
        <v>0.15963229999999901</v>
      </c>
      <c r="R3160">
        <v>-2.075869E-2</v>
      </c>
      <c r="S3160">
        <v>-3.1580810000000001</v>
      </c>
      <c r="T3160">
        <v>-0.65526569999999995</v>
      </c>
      <c r="U3160">
        <v>0.57901000000000002</v>
      </c>
      <c r="V3160">
        <v>-7.0667940000000004E-3</v>
      </c>
      <c r="W3160">
        <v>0.17205909999999999</v>
      </c>
      <c r="X3160">
        <v>0.98506130000000003</v>
      </c>
      <c r="Y3160">
        <v>0.1894988</v>
      </c>
      <c r="Z3160">
        <v>2.2065040000000001E-2</v>
      </c>
      <c r="AA3160">
        <v>0.98163299999999998</v>
      </c>
      <c r="AB3160">
        <v>50</v>
      </c>
      <c r="AC3160">
        <v>-0.51719999999994504</v>
      </c>
      <c r="AD3160">
        <v>-0.173281299999999</v>
      </c>
      <c r="AE3160">
        <v>0.15760000000000199</v>
      </c>
      <c r="AF3160">
        <v>0.14928146752539301</v>
      </c>
      <c r="AG3160">
        <v>-0.173281299999999</v>
      </c>
      <c r="AH3160">
        <v>0.46703939345615603</v>
      </c>
      <c r="AI3160">
        <v>109.46374839028501</v>
      </c>
      <c r="AJ3160">
        <v>72.274375240360399</v>
      </c>
      <c r="AK3160">
        <v>0.52003573003796499</v>
      </c>
      <c r="AL3160">
        <v>80.092439080117103</v>
      </c>
      <c r="AM3160">
        <v>90.411030790657193</v>
      </c>
      <c r="AN3160">
        <v>1.00000001911396</v>
      </c>
    </row>
    <row r="3161" spans="1:40" x14ac:dyDescent="0.25">
      <c r="A3161" t="str">
        <f>"20190312172140487"</f>
        <v>20190312172140487</v>
      </c>
      <c r="B3161" t="str">
        <f>"1552382500483853"</f>
        <v>1552382500483853</v>
      </c>
      <c r="C3161" t="s">
        <v>40</v>
      </c>
      <c r="D3161">
        <v>3.2717520000000002</v>
      </c>
      <c r="E3161">
        <v>0.58164389999999999</v>
      </c>
      <c r="F3161" t="s">
        <v>41</v>
      </c>
      <c r="G3161">
        <v>-429.51859999999999</v>
      </c>
      <c r="H3161">
        <v>0.91037500000000005</v>
      </c>
      <c r="I3161">
        <v>284.36739999999998</v>
      </c>
      <c r="J3161">
        <v>-428.99970000000002</v>
      </c>
      <c r="K3161">
        <v>1.1088469999999999</v>
      </c>
      <c r="L3161">
        <v>284.18619999999999</v>
      </c>
      <c r="M3161">
        <v>-0.99983339999999998</v>
      </c>
      <c r="N3161">
        <v>0</v>
      </c>
      <c r="O3161">
        <v>-1.314215E-2</v>
      </c>
      <c r="P3161">
        <v>-0.98701839999999996</v>
      </c>
      <c r="Q3161">
        <v>0.159326</v>
      </c>
      <c r="R3161">
        <v>-2.0245320000000001E-2</v>
      </c>
      <c r="S3161">
        <v>-3.1581419999999998</v>
      </c>
      <c r="T3161">
        <v>-0.65676590000000001</v>
      </c>
      <c r="U3161">
        <v>0.5800476</v>
      </c>
      <c r="V3161">
        <v>-6.9905089999999998E-3</v>
      </c>
      <c r="W3161">
        <v>0.17183509999999999</v>
      </c>
      <c r="X3161">
        <v>0.98510089999999995</v>
      </c>
      <c r="Y3161">
        <v>0.1893619</v>
      </c>
      <c r="Z3161">
        <v>2.2008119999999999E-2</v>
      </c>
      <c r="AA3161">
        <v>0.98166070000000005</v>
      </c>
      <c r="AB3161">
        <v>50</v>
      </c>
      <c r="AC3161">
        <v>-0.51889999999997305</v>
      </c>
      <c r="AD3161">
        <v>-0.19847199999999901</v>
      </c>
      <c r="AE3161">
        <v>0.18119999999998901</v>
      </c>
      <c r="AF3161">
        <v>0.166317388232056</v>
      </c>
      <c r="AG3161">
        <v>-0.19847199999999901</v>
      </c>
      <c r="AH3161">
        <v>0.45689656624784297</v>
      </c>
      <c r="AI3161">
        <v>112.20472242053999</v>
      </c>
      <c r="AJ3161">
        <v>69.997714731460604</v>
      </c>
      <c r="AK3161">
        <v>0.52517338152404702</v>
      </c>
      <c r="AL3161">
        <v>80.105466944593203</v>
      </c>
      <c r="AM3161">
        <v>90.406577579516195</v>
      </c>
      <c r="AN3161">
        <v>0.99999997599444901</v>
      </c>
    </row>
    <row r="3162" spans="1:40" x14ac:dyDescent="0.25">
      <c r="A3162" t="str">
        <f>"20190312172140510"</f>
        <v>20190312172140510</v>
      </c>
      <c r="B3162" t="str">
        <f>"1552382500504349"</f>
        <v>1552382500504349</v>
      </c>
      <c r="C3162" t="s">
        <v>40</v>
      </c>
      <c r="D3162">
        <v>3.3304049999999998</v>
      </c>
      <c r="E3162">
        <v>0.58156819999999998</v>
      </c>
      <c r="F3162" t="s">
        <v>41</v>
      </c>
      <c r="G3162">
        <v>-429.964</v>
      </c>
      <c r="H3162">
        <v>0.90741570000000005</v>
      </c>
      <c r="I3162">
        <v>284.36410000000001</v>
      </c>
      <c r="J3162">
        <v>-429.50420000000003</v>
      </c>
      <c r="K3162">
        <v>1.108846</v>
      </c>
      <c r="L3162">
        <v>284.18</v>
      </c>
      <c r="M3162">
        <v>-0.99983880000000003</v>
      </c>
      <c r="N3162">
        <v>0</v>
      </c>
      <c r="O3162">
        <v>-1.262391E-2</v>
      </c>
      <c r="P3162">
        <v>-0.98724129999999999</v>
      </c>
      <c r="Q3162">
        <v>0.15807060000000001</v>
      </c>
      <c r="R3162">
        <v>-1.9198369999999999E-2</v>
      </c>
      <c r="S3162">
        <v>-3.1579280000000001</v>
      </c>
      <c r="T3162">
        <v>-0.65968839999999995</v>
      </c>
      <c r="U3162">
        <v>0.58242799999999995</v>
      </c>
      <c r="V3162">
        <v>-6.4506880000000004E-3</v>
      </c>
      <c r="W3162">
        <v>0.17068079999999999</v>
      </c>
      <c r="X3162">
        <v>0.98530519999999999</v>
      </c>
      <c r="Y3162">
        <v>0.189551</v>
      </c>
      <c r="Z3162">
        <v>2.2017120000000001E-2</v>
      </c>
      <c r="AA3162">
        <v>0.98162400000000005</v>
      </c>
      <c r="AB3162">
        <v>50</v>
      </c>
      <c r="AC3162">
        <v>-0.45979999999997201</v>
      </c>
      <c r="AD3162">
        <v>-0.20143030000000001</v>
      </c>
      <c r="AE3162">
        <v>0.18410000000000001</v>
      </c>
      <c r="AF3162">
        <v>0.162939952099665</v>
      </c>
      <c r="AG3162">
        <v>-0.20143030000000001</v>
      </c>
      <c r="AH3162">
        <v>0.392516708902101</v>
      </c>
      <c r="AI3162">
        <v>115.359164047966</v>
      </c>
      <c r="AJ3162">
        <v>67.455882114480204</v>
      </c>
      <c r="AK3162">
        <v>0.47031155685956599</v>
      </c>
      <c r="AL3162">
        <v>80.172594869142998</v>
      </c>
      <c r="AM3162">
        <v>90.375103995144102</v>
      </c>
      <c r="AN3162">
        <v>0.99999994200567499</v>
      </c>
    </row>
    <row r="3163" spans="1:40" x14ac:dyDescent="0.25">
      <c r="A3163" t="str">
        <f>"20190312172140522"</f>
        <v>20190312172140522</v>
      </c>
      <c r="B3163" t="str">
        <f>"1552382500514109"</f>
        <v>1552382500514109</v>
      </c>
      <c r="C3163" t="s">
        <v>40</v>
      </c>
      <c r="D3163">
        <v>3.2259090000000001</v>
      </c>
      <c r="E3163">
        <v>0.581515</v>
      </c>
      <c r="F3163" t="s">
        <v>41</v>
      </c>
      <c r="G3163">
        <v>-430.41379999999998</v>
      </c>
      <c r="H3163">
        <v>0.91723699999999997</v>
      </c>
      <c r="I3163">
        <v>284.34899999999999</v>
      </c>
      <c r="J3163">
        <v>-429.78949999999998</v>
      </c>
      <c r="K3163">
        <v>1.1088499999999999</v>
      </c>
      <c r="L3163">
        <v>284.17660000000001</v>
      </c>
      <c r="M3163">
        <v>-0.9998416</v>
      </c>
      <c r="N3163">
        <v>0</v>
      </c>
      <c r="O3163">
        <v>-1.2330819999999999E-2</v>
      </c>
      <c r="P3163">
        <v>-0.98737629999999998</v>
      </c>
      <c r="Q3163">
        <v>0.157279799999999</v>
      </c>
      <c r="R3163">
        <v>-1.8743300000000001E-2</v>
      </c>
      <c r="S3163">
        <v>-3.1566770000000002</v>
      </c>
      <c r="T3163">
        <v>-0.66498169999999901</v>
      </c>
      <c r="U3163">
        <v>0.58547969999999905</v>
      </c>
      <c r="V3163">
        <v>-6.2832959999999998E-3</v>
      </c>
      <c r="W3163">
        <v>0.16994779999999901</v>
      </c>
      <c r="X3163">
        <v>0.985433</v>
      </c>
      <c r="Y3163">
        <v>0.1901737</v>
      </c>
      <c r="Z3163">
        <v>2.220043E-2</v>
      </c>
      <c r="AA3163">
        <v>0.98149940000000002</v>
      </c>
      <c r="AB3163">
        <v>50</v>
      </c>
      <c r="AC3163">
        <v>-0.62430000000000496</v>
      </c>
      <c r="AD3163">
        <v>-0.19161299999999901</v>
      </c>
      <c r="AE3163">
        <v>0.17239999999998101</v>
      </c>
      <c r="AF3163">
        <v>0.165591750972404</v>
      </c>
      <c r="AG3163">
        <v>-0.19161299999999901</v>
      </c>
      <c r="AH3163">
        <v>0.57205566597387503</v>
      </c>
      <c r="AI3163">
        <v>107.83539544773799</v>
      </c>
      <c r="AJ3163">
        <v>73.855967131430305</v>
      </c>
      <c r="AK3163">
        <v>0.62560678923099899</v>
      </c>
      <c r="AL3163">
        <v>80.215215610788306</v>
      </c>
      <c r="AM3163">
        <v>90.365323125557296</v>
      </c>
      <c r="AN3163">
        <v>0.99999996601123098</v>
      </c>
    </row>
    <row r="3164" spans="1:40" x14ac:dyDescent="0.25">
      <c r="A3164" t="str">
        <f>"20190312172140534"</f>
        <v>20190312172140534</v>
      </c>
      <c r="B3164" t="str">
        <f>"1552382500523870"</f>
        <v>1552382500523870</v>
      </c>
      <c r="C3164" t="s">
        <v>40</v>
      </c>
      <c r="D3164">
        <v>3.32185</v>
      </c>
      <c r="E3164">
        <v>0.58156109999999905</v>
      </c>
      <c r="F3164" t="s">
        <v>41</v>
      </c>
      <c r="G3164">
        <v>-430.84789999999998</v>
      </c>
      <c r="H3164">
        <v>0.88489680000000004</v>
      </c>
      <c r="I3164">
        <v>284.37360000000001</v>
      </c>
      <c r="J3164">
        <v>-430.072</v>
      </c>
      <c r="K3164">
        <v>1.1088499999999999</v>
      </c>
      <c r="L3164">
        <v>284.17329999999998</v>
      </c>
      <c r="M3164">
        <v>-0.99984450000000002</v>
      </c>
      <c r="N3164">
        <v>0</v>
      </c>
      <c r="O3164">
        <v>-1.204001E-2</v>
      </c>
      <c r="P3164">
        <v>-0.98751069999999996</v>
      </c>
      <c r="Q3164">
        <v>0.156499</v>
      </c>
      <c r="R3164">
        <v>-1.818645E-2</v>
      </c>
      <c r="S3164">
        <v>-3.1558229999999998</v>
      </c>
      <c r="T3164">
        <v>-0.66769579999999995</v>
      </c>
      <c r="U3164">
        <v>0.58712769999999903</v>
      </c>
      <c r="V3164">
        <v>-6.0124569999999997E-3</v>
      </c>
      <c r="W3164">
        <v>0.1692255</v>
      </c>
      <c r="X3164">
        <v>0.98555899999999996</v>
      </c>
      <c r="Y3164">
        <v>0.19039639999999999</v>
      </c>
      <c r="Z3164">
        <v>2.2256640000000001E-2</v>
      </c>
      <c r="AA3164">
        <v>0.98145499999999997</v>
      </c>
      <c r="AB3164">
        <v>50</v>
      </c>
      <c r="AC3164">
        <v>-0.77590000000003501</v>
      </c>
      <c r="AD3164">
        <v>-0.22395319999999899</v>
      </c>
      <c r="AE3164">
        <v>0.20030000000002601</v>
      </c>
      <c r="AF3164">
        <v>0.194441089180448</v>
      </c>
      <c r="AG3164">
        <v>-0.22395319999999899</v>
      </c>
      <c r="AH3164">
        <v>0.71739880894382002</v>
      </c>
      <c r="AI3164">
        <v>106.767715399106</v>
      </c>
      <c r="AJ3164">
        <v>74.835100287334896</v>
      </c>
      <c r="AK3164">
        <v>0.77628823514589695</v>
      </c>
      <c r="AL3164">
        <v>80.257208758935505</v>
      </c>
      <c r="AM3164">
        <v>90.349531724754101</v>
      </c>
      <c r="AN3164">
        <v>0.99999998098521303</v>
      </c>
    </row>
    <row r="3165" spans="1:40" x14ac:dyDescent="0.25">
      <c r="A3165" t="str">
        <f>"20190312172140554"</f>
        <v>20190312172140554</v>
      </c>
      <c r="B3165" t="str">
        <f>"1552382500543390"</f>
        <v>1552382500543390</v>
      </c>
      <c r="C3165" t="s">
        <v>40</v>
      </c>
      <c r="D3165">
        <v>3.275827</v>
      </c>
      <c r="E3165">
        <v>0.58154930000000005</v>
      </c>
      <c r="F3165" t="s">
        <v>41</v>
      </c>
      <c r="G3165">
        <v>-430.8682</v>
      </c>
      <c r="H3165">
        <v>0.93954300000000002</v>
      </c>
      <c r="I3165">
        <v>284.32229999999998</v>
      </c>
      <c r="J3165">
        <v>-430.49639999999999</v>
      </c>
      <c r="K3165">
        <v>1.1088549999999999</v>
      </c>
      <c r="L3165">
        <v>284.16849999999999</v>
      </c>
      <c r="M3165">
        <v>-0.99984859999999998</v>
      </c>
      <c r="N3165">
        <v>0</v>
      </c>
      <c r="O3165">
        <v>-1.160344E-2</v>
      </c>
      <c r="P3165">
        <v>-0.98785599999999996</v>
      </c>
      <c r="Q3165">
        <v>0.15444820000000001</v>
      </c>
      <c r="R3165">
        <v>-1.6926279999999998E-2</v>
      </c>
      <c r="S3165">
        <v>-3.155151</v>
      </c>
      <c r="T3165">
        <v>-0.67088639999999999</v>
      </c>
      <c r="U3165">
        <v>0.58999630000000003</v>
      </c>
      <c r="V3165">
        <v>-5.1814629999999999E-3</v>
      </c>
      <c r="W3165">
        <v>0.16726260000000001</v>
      </c>
      <c r="X3165">
        <v>0.98589879999999996</v>
      </c>
      <c r="Y3165">
        <v>0.1908263</v>
      </c>
      <c r="Z3165">
        <v>2.2317259999999998E-2</v>
      </c>
      <c r="AA3165">
        <v>0.98137010000000002</v>
      </c>
      <c r="AB3165">
        <v>50</v>
      </c>
      <c r="AC3165">
        <v>-0.37180000000000701</v>
      </c>
      <c r="AD3165">
        <v>-0.16931199999999899</v>
      </c>
      <c r="AE3165">
        <v>0.153799999999989</v>
      </c>
      <c r="AF3165">
        <v>0.134319577816574</v>
      </c>
      <c r="AG3165">
        <v>-0.16931199999999899</v>
      </c>
      <c r="AH3165">
        <v>0.314330290053977</v>
      </c>
      <c r="AI3165">
        <v>116.349939700249</v>
      </c>
      <c r="AJ3165">
        <v>66.862018823999406</v>
      </c>
      <c r="AK3165">
        <v>0.38146013366305997</v>
      </c>
      <c r="AL3165">
        <v>80.371301528478796</v>
      </c>
      <c r="AM3165">
        <v>90.301119372806696</v>
      </c>
      <c r="AN3165">
        <v>1.0000000343794999</v>
      </c>
    </row>
    <row r="3166" spans="1:40" x14ac:dyDescent="0.25">
      <c r="A3166" t="str">
        <f>"20190312172140566"</f>
        <v>20190312172140566</v>
      </c>
      <c r="B3166" t="str">
        <f>"1552382500563886"</f>
        <v>1552382500563886</v>
      </c>
      <c r="C3166" t="s">
        <v>40</v>
      </c>
      <c r="D3166">
        <v>3.2263500000000001</v>
      </c>
      <c r="E3166">
        <v>0.58150849999999998</v>
      </c>
      <c r="F3166" t="s">
        <v>41</v>
      </c>
      <c r="G3166">
        <v>-431.31169999999997</v>
      </c>
      <c r="H3166">
        <v>0.93327340000000003</v>
      </c>
      <c r="I3166">
        <v>284.3227</v>
      </c>
      <c r="J3166">
        <v>-430.7679</v>
      </c>
      <c r="K3166">
        <v>1.108857</v>
      </c>
      <c r="L3166">
        <v>284.16559999999998</v>
      </c>
      <c r="M3166">
        <v>-0.99985100000000005</v>
      </c>
      <c r="N3166">
        <v>0</v>
      </c>
      <c r="O3166">
        <v>-1.132408E-2</v>
      </c>
      <c r="P3166">
        <v>-0.9879483</v>
      </c>
      <c r="Q3166">
        <v>0.153945</v>
      </c>
      <c r="R3166">
        <v>-1.609944E-2</v>
      </c>
      <c r="S3166">
        <v>-3.153168</v>
      </c>
      <c r="T3166">
        <v>-0.67911769999999905</v>
      </c>
      <c r="U3166">
        <v>0.59445190000000003</v>
      </c>
      <c r="V3166">
        <v>-4.6299059999999996E-3</v>
      </c>
      <c r="W3166">
        <v>0.16681409999999999</v>
      </c>
      <c r="X3166">
        <v>0.98597749999999995</v>
      </c>
      <c r="Y3166">
        <v>0.1918752</v>
      </c>
      <c r="Z3166">
        <v>2.2647690000000002E-2</v>
      </c>
      <c r="AA3166">
        <v>0.98115799999999997</v>
      </c>
      <c r="AB3166">
        <v>50</v>
      </c>
      <c r="AC3166">
        <v>-0.54379999999997597</v>
      </c>
      <c r="AD3166">
        <v>-0.17558359999999901</v>
      </c>
      <c r="AE3166">
        <v>0.15710000000001401</v>
      </c>
      <c r="AF3166">
        <v>0.148919103737855</v>
      </c>
      <c r="AG3166">
        <v>-0.17558359999999901</v>
      </c>
      <c r="AH3166">
        <v>0.49441233656707101</v>
      </c>
      <c r="AI3166">
        <v>108.780377334208</v>
      </c>
      <c r="AJ3166">
        <v>73.237474729242393</v>
      </c>
      <c r="AK3166">
        <v>0.54538982260100599</v>
      </c>
      <c r="AL3166">
        <v>80.397364581993202</v>
      </c>
      <c r="AM3166">
        <v>90.269044804364995</v>
      </c>
      <c r="AN3166">
        <v>1.0000000052473099</v>
      </c>
    </row>
    <row r="3167" spans="1:40" x14ac:dyDescent="0.25">
      <c r="A3167" t="str">
        <f>"20190312172140577"</f>
        <v>20190312172140577</v>
      </c>
      <c r="B3167" t="str">
        <f>"1552382500573646"</f>
        <v>1552382500573646</v>
      </c>
      <c r="C3167" t="s">
        <v>40</v>
      </c>
      <c r="D3167">
        <v>3.2804440000000001</v>
      </c>
      <c r="E3167">
        <v>0.58151609999999998</v>
      </c>
      <c r="F3167" t="s">
        <v>41</v>
      </c>
      <c r="G3167">
        <v>-431.74419999999998</v>
      </c>
      <c r="H3167">
        <v>0.89763740000000003</v>
      </c>
      <c r="I3167">
        <v>284.3503</v>
      </c>
      <c r="J3167">
        <v>-431.03429999999997</v>
      </c>
      <c r="K3167">
        <v>1.1088579999999999</v>
      </c>
      <c r="L3167">
        <v>284.16269999999997</v>
      </c>
      <c r="M3167">
        <v>-0.99985329999999994</v>
      </c>
      <c r="N3167">
        <v>0</v>
      </c>
      <c r="O3167">
        <v>-1.104984E-2</v>
      </c>
      <c r="P3167">
        <v>-0.98805860000000001</v>
      </c>
      <c r="Q3167">
        <v>0.15332779999999999</v>
      </c>
      <c r="R3167">
        <v>-1.520153E-2</v>
      </c>
      <c r="S3167">
        <v>-3.1525569999999998</v>
      </c>
      <c r="T3167">
        <v>-0.68196610000000002</v>
      </c>
      <c r="U3167">
        <v>0.59664919999999899</v>
      </c>
      <c r="V3167">
        <v>-4.002172E-3</v>
      </c>
      <c r="W3167">
        <v>0.16624990000000001</v>
      </c>
      <c r="X3167">
        <v>0.98607549999999999</v>
      </c>
      <c r="Y3167">
        <v>0.19226019999999999</v>
      </c>
      <c r="Z3167">
        <v>2.2726059999999999E-2</v>
      </c>
      <c r="AA3167">
        <v>0.98108079999999998</v>
      </c>
      <c r="AB3167">
        <v>50</v>
      </c>
      <c r="AC3167">
        <v>-0.70990000000000397</v>
      </c>
      <c r="AD3167">
        <v>-0.21122059999999901</v>
      </c>
      <c r="AE3167">
        <v>0.18760000000003099</v>
      </c>
      <c r="AF3167">
        <v>0.18049754922497399</v>
      </c>
      <c r="AG3167">
        <v>-0.21122059999999901</v>
      </c>
      <c r="AH3167">
        <v>0.65369137244648401</v>
      </c>
      <c r="AI3167">
        <v>107.299953505679</v>
      </c>
      <c r="AJ3167">
        <v>74.564082918053401</v>
      </c>
      <c r="AK3167">
        <v>0.710285799908424</v>
      </c>
      <c r="AL3167">
        <v>80.430148307709601</v>
      </c>
      <c r="AM3167">
        <v>90.232544369446799</v>
      </c>
      <c r="AN3167">
        <v>0.99999996916548795</v>
      </c>
    </row>
    <row r="3168" spans="1:40" x14ac:dyDescent="0.25">
      <c r="A3168" t="str">
        <f>"20190312172140591"</f>
        <v>20190312172140591</v>
      </c>
      <c r="B3168" t="str">
        <f>"1552382500584382"</f>
        <v>1552382500584382</v>
      </c>
      <c r="C3168" t="s">
        <v>40</v>
      </c>
      <c r="D3168">
        <v>3.229368</v>
      </c>
      <c r="E3168">
        <v>0.58148820000000001</v>
      </c>
      <c r="F3168" t="s">
        <v>41</v>
      </c>
      <c r="G3168">
        <v>-431.76440000000002</v>
      </c>
      <c r="H3168">
        <v>0.95015559999999999</v>
      </c>
      <c r="I3168">
        <v>284.30160000000001</v>
      </c>
      <c r="J3168">
        <v>-431.31060000000002</v>
      </c>
      <c r="K3168">
        <v>1.108862</v>
      </c>
      <c r="L3168">
        <v>284.15980000000002</v>
      </c>
      <c r="M3168">
        <v>-0.99985590000000002</v>
      </c>
      <c r="N3168">
        <v>0</v>
      </c>
      <c r="O3168">
        <v>-1.0765469999999999E-2</v>
      </c>
      <c r="P3168">
        <v>-0.98827350000000003</v>
      </c>
      <c r="Q3168">
        <v>0.15202739999999901</v>
      </c>
      <c r="R3168">
        <v>-1.4259310000000001E-2</v>
      </c>
      <c r="S3168">
        <v>-3.1518549999999999</v>
      </c>
      <c r="T3168">
        <v>-0.68499769999999904</v>
      </c>
      <c r="U3168">
        <v>0.59970089999999998</v>
      </c>
      <c r="V3168">
        <v>-3.3408399999999999E-3</v>
      </c>
      <c r="W3168">
        <v>0.16500419999999999</v>
      </c>
      <c r="X3168">
        <v>0.98628720000000003</v>
      </c>
      <c r="Y3168">
        <v>0.19288949999999999</v>
      </c>
      <c r="Z3168">
        <v>2.2834170000000001E-2</v>
      </c>
      <c r="AA3168">
        <v>0.98095480000000002</v>
      </c>
      <c r="AB3168">
        <v>50</v>
      </c>
      <c r="AC3168">
        <v>-0.45380000000000098</v>
      </c>
      <c r="AD3168">
        <v>-0.158706399999999</v>
      </c>
      <c r="AE3168">
        <v>0.14179999999998899</v>
      </c>
      <c r="AF3168">
        <v>0.13197199344805299</v>
      </c>
      <c r="AG3168">
        <v>-0.158706399999999</v>
      </c>
      <c r="AH3168">
        <v>0.40690570553882899</v>
      </c>
      <c r="AI3168">
        <v>110.35520680222599</v>
      </c>
      <c r="AJ3168">
        <v>72.030532131883703</v>
      </c>
      <c r="AK3168">
        <v>0.456263719416376</v>
      </c>
      <c r="AL3168">
        <v>80.502521487968806</v>
      </c>
      <c r="AM3168">
        <v>90.194076634015204</v>
      </c>
      <c r="AN3168">
        <v>0.99999999405669204</v>
      </c>
    </row>
    <row r="3169" spans="1:40" x14ac:dyDescent="0.25">
      <c r="A3169" t="str">
        <f>"20190312172140602"</f>
        <v>20190312172140602</v>
      </c>
      <c r="B3169" t="str">
        <f>"1552382500594142"</f>
        <v>1552382500594142</v>
      </c>
      <c r="C3169" t="s">
        <v>40</v>
      </c>
      <c r="D3169">
        <v>3.2882920000000002</v>
      </c>
      <c r="E3169">
        <v>0.58150190000000002</v>
      </c>
      <c r="F3169" t="s">
        <v>41</v>
      </c>
      <c r="G3169">
        <v>-432.19619999999998</v>
      </c>
      <c r="H3169">
        <v>0.91497539999999999</v>
      </c>
      <c r="I3169">
        <v>284.3297</v>
      </c>
      <c r="J3169">
        <v>-431.5917</v>
      </c>
      <c r="K3169">
        <v>1.1088629999999999</v>
      </c>
      <c r="L3169">
        <v>284.15699999999998</v>
      </c>
      <c r="M3169">
        <v>-0.99985809999999997</v>
      </c>
      <c r="N3169">
        <v>0</v>
      </c>
      <c r="O3169">
        <v>-1.0475740000000001E-2</v>
      </c>
      <c r="P3169">
        <v>-0.98854759999999997</v>
      </c>
      <c r="Q3169">
        <v>0.1503177</v>
      </c>
      <c r="R3169">
        <v>-1.3345869999999999E-2</v>
      </c>
      <c r="S3169">
        <v>-3.15036</v>
      </c>
      <c r="T3169">
        <v>-0.68980909999999995</v>
      </c>
      <c r="U3169">
        <v>0.60208130000000004</v>
      </c>
      <c r="V3169">
        <v>-2.7137480000000002E-3</v>
      </c>
      <c r="W3169">
        <v>0.16334989999999999</v>
      </c>
      <c r="X3169">
        <v>0.98656449999999996</v>
      </c>
      <c r="Y3169">
        <v>0.19333500000000001</v>
      </c>
      <c r="Z3169">
        <v>2.2985479999999999E-2</v>
      </c>
      <c r="AA3169">
        <v>0.9808635</v>
      </c>
      <c r="AB3169">
        <v>50</v>
      </c>
      <c r="AC3169">
        <v>-0.60449999999997295</v>
      </c>
      <c r="AD3169">
        <v>-0.19388759999999899</v>
      </c>
      <c r="AE3169">
        <v>0.17270000000002</v>
      </c>
      <c r="AF3169">
        <v>0.163475276927987</v>
      </c>
      <c r="AG3169">
        <v>-0.19388759999999899</v>
      </c>
      <c r="AH3169">
        <v>0.55031610844284395</v>
      </c>
      <c r="AI3169">
        <v>108.661578394743</v>
      </c>
      <c r="AJ3169">
        <v>73.455577037995397</v>
      </c>
      <c r="AK3169">
        <v>0.60594091033046904</v>
      </c>
      <c r="AL3169">
        <v>80.598610114719193</v>
      </c>
      <c r="AM3169">
        <v>90.157603395325594</v>
      </c>
      <c r="AN3169">
        <v>1.0000000334592301</v>
      </c>
    </row>
    <row r="3170" spans="1:40" x14ac:dyDescent="0.25">
      <c r="A3170" t="str">
        <f>"20190312172140615"</f>
        <v>20190312172140615</v>
      </c>
      <c r="B3170" t="str">
        <f>"1552382500603902"</f>
        <v>1552382500603902</v>
      </c>
      <c r="C3170" t="s">
        <v>40</v>
      </c>
      <c r="D3170">
        <v>3.2334200000000002</v>
      </c>
      <c r="E3170">
        <v>0.58149059999999997</v>
      </c>
      <c r="F3170" t="s">
        <v>41</v>
      </c>
      <c r="G3170">
        <v>-432.6284</v>
      </c>
      <c r="H3170">
        <v>0.87970339999999903</v>
      </c>
      <c r="I3170">
        <v>284.35660000000001</v>
      </c>
      <c r="J3170">
        <v>-431.86900000000003</v>
      </c>
      <c r="K3170">
        <v>1.1088610000000001</v>
      </c>
      <c r="L3170">
        <v>284.1542</v>
      </c>
      <c r="M3170">
        <v>-0.99986050000000004</v>
      </c>
      <c r="N3170">
        <v>0</v>
      </c>
      <c r="O3170">
        <v>-1.019053E-2</v>
      </c>
      <c r="P3170">
        <v>-0.98889550000000004</v>
      </c>
      <c r="Q3170">
        <v>0.1481229</v>
      </c>
      <c r="R3170">
        <v>-1.205987E-2</v>
      </c>
      <c r="S3170">
        <v>-3.1487729999999998</v>
      </c>
      <c r="T3170">
        <v>-0.69604889999999997</v>
      </c>
      <c r="U3170">
        <v>0.60528559999999998</v>
      </c>
      <c r="V3170">
        <v>-1.709047E-3</v>
      </c>
      <c r="W3170">
        <v>0.16120909999999999</v>
      </c>
      <c r="X3170">
        <v>0.98691879999999998</v>
      </c>
      <c r="Y3170">
        <v>0.19401289999999999</v>
      </c>
      <c r="Z3170">
        <v>2.3209339999999998E-2</v>
      </c>
      <c r="AA3170">
        <v>0.98072440000000005</v>
      </c>
      <c r="AB3170">
        <v>50</v>
      </c>
      <c r="AC3170">
        <v>-0.75939999999997099</v>
      </c>
      <c r="AD3170">
        <v>-0.22915759999999999</v>
      </c>
      <c r="AE3170">
        <v>0.20240000000001099</v>
      </c>
      <c r="AF3170">
        <v>0.19366350452331099</v>
      </c>
      <c r="AG3170">
        <v>-0.22915759999999999</v>
      </c>
      <c r="AH3170">
        <v>0.69795721030743496</v>
      </c>
      <c r="AI3170">
        <v>107.555968456945</v>
      </c>
      <c r="AJ3170">
        <v>74.492161049420304</v>
      </c>
      <c r="AK3170">
        <v>0.75971246273978399</v>
      </c>
      <c r="AL3170">
        <v>80.722916390833305</v>
      </c>
      <c r="AM3170">
        <v>90.099218985602604</v>
      </c>
      <c r="AN3170">
        <v>1.00000000627894</v>
      </c>
    </row>
    <row r="3171" spans="1:40" x14ac:dyDescent="0.25">
      <c r="A3171" t="str">
        <f>"20190312172140627"</f>
        <v>20190312172140627</v>
      </c>
      <c r="B3171" t="str">
        <f>"1552382500623422"</f>
        <v>1552382500623422</v>
      </c>
      <c r="C3171" t="s">
        <v>40</v>
      </c>
      <c r="D3171">
        <v>3.3352390000000001</v>
      </c>
      <c r="E3171">
        <v>0.58159890000000003</v>
      </c>
      <c r="F3171" t="s">
        <v>41</v>
      </c>
      <c r="G3171">
        <v>-432.64879999999999</v>
      </c>
      <c r="H3171">
        <v>0.93454729999999997</v>
      </c>
      <c r="I3171">
        <v>284.30560000000003</v>
      </c>
      <c r="J3171">
        <v>-432.13170000000002</v>
      </c>
      <c r="K3171">
        <v>1.1088559999999901</v>
      </c>
      <c r="L3171">
        <v>284.15170000000001</v>
      </c>
      <c r="M3171">
        <v>-0.99986249999999999</v>
      </c>
      <c r="N3171">
        <v>0</v>
      </c>
      <c r="O3171">
        <v>-9.9206750000000003E-3</v>
      </c>
      <c r="P3171">
        <v>-0.98927200000000004</v>
      </c>
      <c r="Q3171">
        <v>0.14567910000000001</v>
      </c>
      <c r="R3171">
        <v>-1.089093E-2</v>
      </c>
      <c r="S3171">
        <v>-3.1464840000000001</v>
      </c>
      <c r="T3171">
        <v>-0.70343169999999899</v>
      </c>
      <c r="U3171">
        <v>0.60940550000000004</v>
      </c>
      <c r="V3171">
        <v>-8.0722409999999997E-4</v>
      </c>
      <c r="W3171">
        <v>0.1588156</v>
      </c>
      <c r="X3171">
        <v>0.98730799999999996</v>
      </c>
      <c r="Y3171">
        <v>0.194996</v>
      </c>
      <c r="Z3171">
        <v>2.3511850000000001E-2</v>
      </c>
      <c r="AA3171">
        <v>0.98052220000000001</v>
      </c>
      <c r="AB3171">
        <v>50</v>
      </c>
      <c r="AC3171">
        <v>-0.51709999999997003</v>
      </c>
      <c r="AD3171">
        <v>-0.17430869999999901</v>
      </c>
      <c r="AE3171">
        <v>0.15390000000002099</v>
      </c>
      <c r="AF3171">
        <v>0.143992505352253</v>
      </c>
      <c r="AG3171">
        <v>-0.17430869999999901</v>
      </c>
      <c r="AH3171">
        <v>0.46681963918144698</v>
      </c>
      <c r="AI3171">
        <v>109.636795943978</v>
      </c>
      <c r="AJ3171">
        <v>72.857398748468995</v>
      </c>
      <c r="AK3171">
        <v>0.51868867350155701</v>
      </c>
      <c r="AL3171">
        <v>80.861844510686197</v>
      </c>
      <c r="AM3171">
        <v>90.046845081520203</v>
      </c>
      <c r="AN3171">
        <v>1.0000000666390501</v>
      </c>
    </row>
    <row r="3172" spans="1:40" x14ac:dyDescent="0.25">
      <c r="A3172" t="str">
        <f>"20190312172140640"</f>
        <v>20190312172140640</v>
      </c>
      <c r="B3172" t="str">
        <f>"1552382500634158"</f>
        <v>1552382500634158</v>
      </c>
      <c r="C3172" t="s">
        <v>40</v>
      </c>
      <c r="D3172">
        <v>3.2398950000000002</v>
      </c>
      <c r="E3172">
        <v>0.5816019</v>
      </c>
      <c r="F3172" t="s">
        <v>41</v>
      </c>
      <c r="G3172">
        <v>-433.07889999999998</v>
      </c>
      <c r="H3172">
        <v>0.89422619999999897</v>
      </c>
      <c r="I3172">
        <v>284.33730000000003</v>
      </c>
      <c r="J3172">
        <v>-432.42700000000002</v>
      </c>
      <c r="K3172">
        <v>1.1088549999999999</v>
      </c>
      <c r="L3172">
        <v>284.149</v>
      </c>
      <c r="M3172">
        <v>-0.9998648</v>
      </c>
      <c r="N3172">
        <v>0</v>
      </c>
      <c r="O3172">
        <v>-9.6174659999999999E-3</v>
      </c>
      <c r="P3172">
        <v>-0.98967640000000001</v>
      </c>
      <c r="Q3172">
        <v>0.14300089999999999</v>
      </c>
      <c r="R3172">
        <v>-9.5698769999999992E-3</v>
      </c>
      <c r="S3172">
        <v>-3.1442869999999998</v>
      </c>
      <c r="T3172">
        <v>-0.71254200000000001</v>
      </c>
      <c r="U3172">
        <v>0.61444089999999996</v>
      </c>
      <c r="V3172">
        <v>2.135878E-4</v>
      </c>
      <c r="W3172">
        <v>0.15619179999999999</v>
      </c>
      <c r="X3172">
        <v>0.98772669999999996</v>
      </c>
      <c r="Y3172">
        <v>0.19618730000000001</v>
      </c>
      <c r="Z3172">
        <v>2.3886350000000001E-2</v>
      </c>
      <c r="AA3172">
        <v>0.98027549999999997</v>
      </c>
      <c r="AB3172">
        <v>50</v>
      </c>
      <c r="AC3172">
        <v>-0.65190000000001103</v>
      </c>
      <c r="AD3172">
        <v>-0.21462880000000001</v>
      </c>
      <c r="AE3172">
        <v>0.188300000000026</v>
      </c>
      <c r="AF3172">
        <v>0.17686621949372699</v>
      </c>
      <c r="AG3172">
        <v>-0.21462880000000001</v>
      </c>
      <c r="AH3172">
        <v>0.59093624889097696</v>
      </c>
      <c r="AI3172">
        <v>109.185384979552</v>
      </c>
      <c r="AJ3172">
        <v>73.337647274466804</v>
      </c>
      <c r="AK3172">
        <v>0.65311012213927799</v>
      </c>
      <c r="AL3172">
        <v>81.014076529333096</v>
      </c>
      <c r="AM3172">
        <v>89.987610257670696</v>
      </c>
      <c r="AN3172">
        <v>0.99999997894993797</v>
      </c>
    </row>
    <row r="3173" spans="1:40" x14ac:dyDescent="0.25">
      <c r="A3173" t="str">
        <f>"20190312172140651"</f>
        <v>20190312172140651</v>
      </c>
      <c r="B3173" t="str">
        <f>"1552382500643917"</f>
        <v>1552382500643917</v>
      </c>
      <c r="C3173" t="s">
        <v>40</v>
      </c>
      <c r="D3173">
        <v>3.253533</v>
      </c>
      <c r="E3173">
        <v>0.58160000000000001</v>
      </c>
      <c r="F3173" t="s">
        <v>41</v>
      </c>
      <c r="G3173">
        <v>-433.5111</v>
      </c>
      <c r="H3173">
        <v>0.85987590000000003</v>
      </c>
      <c r="I3173">
        <v>284.36270000000002</v>
      </c>
      <c r="J3173">
        <v>-432.69639999999998</v>
      </c>
      <c r="K3173">
        <v>1.1088519999999999</v>
      </c>
      <c r="L3173">
        <v>284.1465</v>
      </c>
      <c r="M3173">
        <v>-0.99986679999999994</v>
      </c>
      <c r="N3173">
        <v>0</v>
      </c>
      <c r="O3173">
        <v>-9.3405729999999996E-3</v>
      </c>
      <c r="P3173">
        <v>-0.99004250000000005</v>
      </c>
      <c r="Q3173">
        <v>0.140517899999999</v>
      </c>
      <c r="R3173">
        <v>-8.4143389999999998E-3</v>
      </c>
      <c r="S3173">
        <v>-3.1415099999999998</v>
      </c>
      <c r="T3173">
        <v>-0.72141189999999999</v>
      </c>
      <c r="U3173">
        <v>0.61886600000000003</v>
      </c>
      <c r="V3173">
        <v>1.0944240000000001E-3</v>
      </c>
      <c r="W3173">
        <v>0.15375730000000001</v>
      </c>
      <c r="X3173">
        <v>0.98810799999999999</v>
      </c>
      <c r="Y3173">
        <v>0.19725709999999999</v>
      </c>
      <c r="Z3173">
        <v>2.4251669999999999E-2</v>
      </c>
      <c r="AA3173">
        <v>0.98005180000000003</v>
      </c>
      <c r="AB3173">
        <v>50</v>
      </c>
      <c r="AC3173">
        <v>-0.81470000000001597</v>
      </c>
      <c r="AD3173">
        <v>-0.24897609999999901</v>
      </c>
      <c r="AE3173">
        <v>0.21620000000001399</v>
      </c>
      <c r="AF3173">
        <v>0.20584139592546499</v>
      </c>
      <c r="AG3173">
        <v>-0.24897609999999901</v>
      </c>
      <c r="AH3173">
        <v>0.747431594978196</v>
      </c>
      <c r="AI3173">
        <v>107.804559049679</v>
      </c>
      <c r="AJ3173">
        <v>74.602534117214304</v>
      </c>
      <c r="AK3173">
        <v>0.814256573703525</v>
      </c>
      <c r="AL3173">
        <v>81.155268819315907</v>
      </c>
      <c r="AM3173">
        <v>89.936539476903306</v>
      </c>
      <c r="AN3173">
        <v>0.99999996236558997</v>
      </c>
    </row>
    <row r="3174" spans="1:40" x14ac:dyDescent="0.25">
      <c r="A3174" t="str">
        <f>"20190312172140779"</f>
        <v>20190312172140779</v>
      </c>
      <c r="B3174" t="str">
        <f>"1552382500773726"</f>
        <v>1552382500773726</v>
      </c>
      <c r="C3174" t="s">
        <v>40</v>
      </c>
      <c r="D3174">
        <v>3.6041409999999998</v>
      </c>
      <c r="E3174">
        <v>0.56860880000000003</v>
      </c>
      <c r="F3174" t="s">
        <v>41</v>
      </c>
      <c r="G3174">
        <v>-436.18299999999999</v>
      </c>
      <c r="H3174">
        <v>0.87907760000000001</v>
      </c>
      <c r="I3174">
        <v>284.32130000000001</v>
      </c>
      <c r="J3174">
        <v>-435.51350000000002</v>
      </c>
      <c r="K3174">
        <v>1.1088549999999999</v>
      </c>
      <c r="L3174">
        <v>284.12569999999999</v>
      </c>
      <c r="M3174">
        <v>-0.99988370000000004</v>
      </c>
      <c r="N3174">
        <v>0</v>
      </c>
      <c r="O3174">
        <v>-6.4502300000000004E-3</v>
      </c>
      <c r="P3174">
        <v>-0.99172110000000002</v>
      </c>
      <c r="Q3174">
        <v>0.12840799999999999</v>
      </c>
      <c r="R3174">
        <v>9.4865119999999997E-4</v>
      </c>
      <c r="S3174">
        <v>-3.1244200000000002</v>
      </c>
      <c r="T3174">
        <v>-0.76913679999999995</v>
      </c>
      <c r="U3174">
        <v>0.64880369999999998</v>
      </c>
      <c r="V3174">
        <v>7.5860809999999997E-3</v>
      </c>
      <c r="W3174">
        <v>0.1420949</v>
      </c>
      <c r="X3174">
        <v>0.98982400000000004</v>
      </c>
      <c r="Y3174">
        <v>0.2036126</v>
      </c>
      <c r="Z3174">
        <v>2.599249E-2</v>
      </c>
      <c r="AA3174">
        <v>0.97870639999999998</v>
      </c>
      <c r="AB3174">
        <v>50</v>
      </c>
      <c r="AC3174">
        <v>-0.66950000000002696</v>
      </c>
      <c r="AD3174">
        <v>-0.22977739999999899</v>
      </c>
      <c r="AE3174">
        <v>0.19560000000001301</v>
      </c>
      <c r="AF3174">
        <v>0.18034258517111099</v>
      </c>
      <c r="AG3174">
        <v>-0.22977739999999899</v>
      </c>
      <c r="AH3174">
        <v>0.60280335439898602</v>
      </c>
      <c r="AI3174">
        <v>110.061613283871</v>
      </c>
      <c r="AJ3174">
        <v>73.3442283741186</v>
      </c>
      <c r="AK3174">
        <v>0.66984549386528602</v>
      </c>
      <c r="AL3174">
        <v>81.830912981776905</v>
      </c>
      <c r="AM3174">
        <v>89.560889699095995</v>
      </c>
      <c r="AN3174">
        <v>1.0000000301034699</v>
      </c>
    </row>
    <row r="3175" spans="1:40" x14ac:dyDescent="0.25">
      <c r="A3175" t="str">
        <f>"20190312172140800"</f>
        <v>20190312172140800</v>
      </c>
      <c r="B3175" t="str">
        <f>"1552382500794222"</f>
        <v>1552382500794222</v>
      </c>
      <c r="C3175" t="s">
        <v>40</v>
      </c>
      <c r="D3175">
        <v>3.2525309999999998</v>
      </c>
      <c r="E3175">
        <v>0.56964979999999998</v>
      </c>
      <c r="F3175" t="s">
        <v>41</v>
      </c>
      <c r="G3175">
        <v>-436.1943</v>
      </c>
      <c r="H3175">
        <v>0.91601259999999995</v>
      </c>
      <c r="I3175">
        <v>284.24419999999998</v>
      </c>
      <c r="J3175">
        <v>-435.9633</v>
      </c>
      <c r="K3175">
        <v>1.1088690000000001</v>
      </c>
      <c r="L3175">
        <v>284.12310000000002</v>
      </c>
      <c r="M3175">
        <v>-0.99988560000000004</v>
      </c>
      <c r="N3175">
        <v>0</v>
      </c>
      <c r="O3175">
        <v>-5.9882499999999996E-3</v>
      </c>
      <c r="P3175">
        <v>-0.99185210000000001</v>
      </c>
      <c r="Q3175">
        <v>0.12738579999999999</v>
      </c>
      <c r="R3175">
        <v>1.6874979999999999E-3</v>
      </c>
      <c r="S3175">
        <v>-3.1396480000000002</v>
      </c>
      <c r="T3175">
        <v>-0.88920239999999995</v>
      </c>
      <c r="U3175">
        <v>0.54574579999999995</v>
      </c>
      <c r="V3175">
        <v>7.8659030000000005E-3</v>
      </c>
      <c r="W3175">
        <v>0.1411405</v>
      </c>
      <c r="X3175">
        <v>0.98995829999999996</v>
      </c>
      <c r="Y3175">
        <v>0.17041289999999901</v>
      </c>
      <c r="Z3175">
        <v>2.5152089999999998E-2</v>
      </c>
      <c r="AA3175">
        <v>0.98505169999999997</v>
      </c>
      <c r="AB3175">
        <v>50</v>
      </c>
      <c r="AC3175">
        <v>-0.23099999999999399</v>
      </c>
      <c r="AD3175">
        <v>-0.19285640000000001</v>
      </c>
      <c r="AE3175">
        <v>0.12109999999995499</v>
      </c>
      <c r="AF3175">
        <v>7.9185999046330793E-2</v>
      </c>
      <c r="AG3175">
        <v>-0.19285640000000001</v>
      </c>
      <c r="AH3175">
        <v>0.14887347008396801</v>
      </c>
      <c r="AI3175">
        <v>138.835333647455</v>
      </c>
      <c r="AJ3175">
        <v>61.9914283541654</v>
      </c>
      <c r="AK3175">
        <v>0.25617830423509202</v>
      </c>
      <c r="AL3175">
        <v>81.886152358543399</v>
      </c>
      <c r="AM3175">
        <v>89.544755006506094</v>
      </c>
      <c r="AN3175">
        <v>0.999999974454572</v>
      </c>
    </row>
    <row r="3176" spans="1:40" x14ac:dyDescent="0.25">
      <c r="A3176" t="str">
        <f>"20190312172140822"</f>
        <v>20190312172140822</v>
      </c>
      <c r="B3176" t="str">
        <f>"1552382500813742"</f>
        <v>1552382500813742</v>
      </c>
      <c r="C3176" t="s">
        <v>40</v>
      </c>
      <c r="D3176">
        <v>3.3522820000000002</v>
      </c>
      <c r="E3176">
        <v>0.57118359999999901</v>
      </c>
      <c r="F3176" t="s">
        <v>41</v>
      </c>
      <c r="G3176">
        <v>-436.6438</v>
      </c>
      <c r="H3176">
        <v>0.92887459999999999</v>
      </c>
      <c r="I3176">
        <v>284.24439999999998</v>
      </c>
      <c r="J3176">
        <v>-436.45499999999998</v>
      </c>
      <c r="K3176">
        <v>1.1088769999999999</v>
      </c>
      <c r="L3176">
        <v>284.12049999999999</v>
      </c>
      <c r="M3176">
        <v>-0.99988750000000004</v>
      </c>
      <c r="N3176">
        <v>0</v>
      </c>
      <c r="O3176">
        <v>-5.4825380000000003E-3</v>
      </c>
      <c r="P3176">
        <v>-0.99204210000000004</v>
      </c>
      <c r="Q3176">
        <v>0.12588779999999999</v>
      </c>
      <c r="R3176">
        <v>2.1921150000000001E-3</v>
      </c>
      <c r="S3176">
        <v>-3.1300349999999999</v>
      </c>
      <c r="T3176">
        <v>-0.8279164</v>
      </c>
      <c r="U3176">
        <v>0.55599980000000004</v>
      </c>
      <c r="V3176">
        <v>7.867265E-3</v>
      </c>
      <c r="W3176">
        <v>0.13971329999999901</v>
      </c>
      <c r="X3176">
        <v>0.99016079999999995</v>
      </c>
      <c r="Y3176">
        <v>0.1742937</v>
      </c>
      <c r="Z3176">
        <v>2.390929E-2</v>
      </c>
      <c r="AA3176">
        <v>0.98440340000000004</v>
      </c>
      <c r="AB3176">
        <v>50</v>
      </c>
      <c r="AC3176">
        <v>-0.18880000000001401</v>
      </c>
      <c r="AD3176">
        <v>-0.18000240000000001</v>
      </c>
      <c r="AE3176">
        <v>0.123899999999991</v>
      </c>
      <c r="AF3176">
        <v>7.6395345477683202E-2</v>
      </c>
      <c r="AG3176">
        <v>-0.18000240000000001</v>
      </c>
      <c r="AH3176">
        <v>0.115031942998695</v>
      </c>
      <c r="AI3176">
        <v>142.50633335484301</v>
      </c>
      <c r="AJ3176">
        <v>56.410953531930197</v>
      </c>
      <c r="AK3176">
        <v>0.22686881832122599</v>
      </c>
      <c r="AL3176">
        <v>81.968743945014296</v>
      </c>
      <c r="AM3176">
        <v>89.544769298433295</v>
      </c>
      <c r="AN3176">
        <v>1.0000000549560499</v>
      </c>
    </row>
    <row r="3177" spans="1:40" x14ac:dyDescent="0.25">
      <c r="A3177" t="str">
        <f>"20190312172140838"</f>
        <v>20190312172140838</v>
      </c>
      <c r="B3177" t="str">
        <f>"1552382500834238"</f>
        <v>1552382500834238</v>
      </c>
      <c r="C3177" t="s">
        <v>40</v>
      </c>
      <c r="D3177">
        <v>3.2825410000000002</v>
      </c>
      <c r="E3177">
        <v>0.57181169999999903</v>
      </c>
      <c r="F3177" t="s">
        <v>41</v>
      </c>
      <c r="G3177">
        <v>-437.49669999999998</v>
      </c>
      <c r="H3177">
        <v>0.8433697</v>
      </c>
      <c r="I3177">
        <v>284.3109</v>
      </c>
      <c r="J3177">
        <v>-436.81920000000002</v>
      </c>
      <c r="K3177">
        <v>1.108881</v>
      </c>
      <c r="L3177">
        <v>284.11880000000002</v>
      </c>
      <c r="M3177">
        <v>-0.99988880000000002</v>
      </c>
      <c r="N3177">
        <v>0</v>
      </c>
      <c r="O3177">
        <v>-5.1084099999999999E-3</v>
      </c>
      <c r="P3177">
        <v>-0.99211870000000002</v>
      </c>
      <c r="Q3177">
        <v>0.12527759999999999</v>
      </c>
      <c r="R3177">
        <v>2.5055839999999999E-3</v>
      </c>
      <c r="S3177">
        <v>-3.12384</v>
      </c>
      <c r="T3177">
        <v>-0.79623789999999905</v>
      </c>
      <c r="U3177">
        <v>0.56970209999999999</v>
      </c>
      <c r="V3177">
        <v>7.8089530000000004E-3</v>
      </c>
      <c r="W3177">
        <v>0.13915089999999999</v>
      </c>
      <c r="X3177">
        <v>0.99024040000000002</v>
      </c>
      <c r="Y3177">
        <v>0.1787435</v>
      </c>
      <c r="Z3177">
        <v>2.3518359999999999E-2</v>
      </c>
      <c r="AA3177">
        <v>0.98361460000000001</v>
      </c>
      <c r="AB3177">
        <v>50</v>
      </c>
      <c r="AC3177">
        <v>-0.67749999999995203</v>
      </c>
      <c r="AD3177">
        <v>-0.26551130000000001</v>
      </c>
      <c r="AE3177">
        <v>0.19209999999998201</v>
      </c>
      <c r="AF3177">
        <v>0.17121901840443199</v>
      </c>
      <c r="AG3177">
        <v>-0.26551130000000001</v>
      </c>
      <c r="AH3177">
        <v>0.59230954861624796</v>
      </c>
      <c r="AI3177">
        <v>113.298314750502</v>
      </c>
      <c r="AJ3177">
        <v>73.876995965829494</v>
      </c>
      <c r="AK3177">
        <v>0.67129934014048498</v>
      </c>
      <c r="AL3177">
        <v>82.001284530274802</v>
      </c>
      <c r="AM3177">
        <v>89.548179639013995</v>
      </c>
      <c r="AN3177">
        <v>1.0000000012549599</v>
      </c>
    </row>
    <row r="3178" spans="1:40" x14ac:dyDescent="0.25">
      <c r="A3178" t="str">
        <f>"20190312172140855"</f>
        <v>20190312172140855</v>
      </c>
      <c r="B3178" t="str">
        <f>"1552382500843998"</f>
        <v>1552382500843998</v>
      </c>
      <c r="C3178" t="s">
        <v>40</v>
      </c>
      <c r="D3178">
        <v>3.2680699999999998</v>
      </c>
      <c r="E3178">
        <v>0.57216590000000001</v>
      </c>
      <c r="F3178" t="s">
        <v>41</v>
      </c>
      <c r="G3178">
        <v>-437.53089999999997</v>
      </c>
      <c r="H3178">
        <v>0.93018149999999999</v>
      </c>
      <c r="I3178">
        <v>284.25049999999999</v>
      </c>
      <c r="J3178">
        <v>-437.18729999999999</v>
      </c>
      <c r="K3178">
        <v>1.1088849999999999</v>
      </c>
      <c r="L3178">
        <v>284.11709999999999</v>
      </c>
      <c r="M3178">
        <v>-0.99989019999999995</v>
      </c>
      <c r="N3178">
        <v>0</v>
      </c>
      <c r="O3178">
        <v>-4.7305619999999998E-3</v>
      </c>
      <c r="P3178">
        <v>-0.99226709999999996</v>
      </c>
      <c r="Q3178">
        <v>0.1241058</v>
      </c>
      <c r="R3178">
        <v>2.064513E-3</v>
      </c>
      <c r="S3178">
        <v>-3.1213679999999999</v>
      </c>
      <c r="T3178">
        <v>-0.78367909999999996</v>
      </c>
      <c r="U3178">
        <v>0.57586669999999995</v>
      </c>
      <c r="V3178">
        <v>6.9917690000000001E-3</v>
      </c>
      <c r="W3178">
        <v>0.13802600000000001</v>
      </c>
      <c r="X3178">
        <v>0.99040399999999995</v>
      </c>
      <c r="Y3178">
        <v>0.18051629999999999</v>
      </c>
      <c r="Z3178">
        <v>2.3296689999999998E-2</v>
      </c>
      <c r="AA3178">
        <v>0.98329599999999995</v>
      </c>
      <c r="AB3178">
        <v>50</v>
      </c>
      <c r="AC3178">
        <v>-0.34359999999997998</v>
      </c>
      <c r="AD3178">
        <v>-0.17870349999999999</v>
      </c>
      <c r="AE3178">
        <v>0.133399999999994</v>
      </c>
      <c r="AF3178">
        <v>0.109325603795191</v>
      </c>
      <c r="AG3178">
        <v>-0.17870349999999999</v>
      </c>
      <c r="AH3178">
        <v>0.27769015147045201</v>
      </c>
      <c r="AI3178">
        <v>120.913197542398</v>
      </c>
      <c r="AJ3178">
        <v>68.510620481650307</v>
      </c>
      <c r="AK3178">
        <v>0.34784888785378598</v>
      </c>
      <c r="AL3178">
        <v>82.066365142530898</v>
      </c>
      <c r="AM3178">
        <v>89.595526471635495</v>
      </c>
      <c r="AN3178">
        <v>1.0000000723628699</v>
      </c>
    </row>
    <row r="3179" spans="1:40" x14ac:dyDescent="0.25">
      <c r="A3179" t="str">
        <f>"20190312172140871"</f>
        <v>20190312172140871</v>
      </c>
      <c r="B3179" t="str">
        <f>"1552382500863518"</f>
        <v>1552382500863518</v>
      </c>
      <c r="C3179" t="s">
        <v>40</v>
      </c>
      <c r="D3179">
        <v>3.3773029999999999</v>
      </c>
      <c r="E3179">
        <v>0.57282359999999999</v>
      </c>
      <c r="F3179" t="s">
        <v>41</v>
      </c>
      <c r="G3179">
        <v>-437.96679999999998</v>
      </c>
      <c r="H3179">
        <v>0.91356610000000005</v>
      </c>
      <c r="I3179">
        <v>284.26170000000002</v>
      </c>
      <c r="J3179">
        <v>-437.52499999999998</v>
      </c>
      <c r="K3179">
        <v>1.108887</v>
      </c>
      <c r="L3179">
        <v>284.11579999999998</v>
      </c>
      <c r="M3179">
        <v>-0.99989099999999997</v>
      </c>
      <c r="N3179">
        <v>0</v>
      </c>
      <c r="O3179">
        <v>-4.3839020000000003E-3</v>
      </c>
      <c r="P3179">
        <v>-0.99235119999999999</v>
      </c>
      <c r="Q3179">
        <v>0.1234297</v>
      </c>
      <c r="R3179">
        <v>1.9922080000000001E-3</v>
      </c>
      <c r="S3179">
        <v>-3.1199650000000001</v>
      </c>
      <c r="T3179">
        <v>-0.78175069999999902</v>
      </c>
      <c r="U3179">
        <v>0.57760619999999996</v>
      </c>
      <c r="V3179">
        <v>6.5747130000000003E-3</v>
      </c>
      <c r="W3179">
        <v>0.13738800000000001</v>
      </c>
      <c r="X3179">
        <v>0.99049549999999997</v>
      </c>
      <c r="Y3179">
        <v>0.1808092</v>
      </c>
      <c r="Z3179">
        <v>2.320088E-2</v>
      </c>
      <c r="AA3179">
        <v>0.98324449999999997</v>
      </c>
      <c r="AB3179">
        <v>50</v>
      </c>
      <c r="AC3179">
        <v>-0.44180000000000003</v>
      </c>
      <c r="AD3179">
        <v>-0.19532089999999999</v>
      </c>
      <c r="AE3179">
        <v>0.14590000000004</v>
      </c>
      <c r="AF3179">
        <v>0.125685451716855</v>
      </c>
      <c r="AG3179">
        <v>-0.19532089999999999</v>
      </c>
      <c r="AH3179">
        <v>0.37505784633785799</v>
      </c>
      <c r="AI3179">
        <v>116.279569260899</v>
      </c>
      <c r="AJ3179">
        <v>71.473509265716004</v>
      </c>
      <c r="AK3179">
        <v>0.44115243946925198</v>
      </c>
      <c r="AL3179">
        <v>82.103270977844304</v>
      </c>
      <c r="AM3179">
        <v>89.619687546295694</v>
      </c>
      <c r="AN3179">
        <v>1.00000001245764</v>
      </c>
    </row>
    <row r="3180" spans="1:40" x14ac:dyDescent="0.25">
      <c r="A3180" t="str">
        <f>"20190312172140889"</f>
        <v>20190312172140889</v>
      </c>
      <c r="B3180" t="str">
        <f>"1552382500884014"</f>
        <v>1552382500884014</v>
      </c>
      <c r="C3180" t="s">
        <v>40</v>
      </c>
      <c r="D3180">
        <v>3.3403239999999998</v>
      </c>
      <c r="E3180">
        <v>0.57307739999999996</v>
      </c>
      <c r="F3180" t="s">
        <v>41</v>
      </c>
      <c r="G3180">
        <v>-438.40010000000001</v>
      </c>
      <c r="H3180">
        <v>0.89010879999999903</v>
      </c>
      <c r="I3180">
        <v>284.27980000000002</v>
      </c>
      <c r="J3180">
        <v>-437.9486</v>
      </c>
      <c r="K3180">
        <v>1.1088899999999999</v>
      </c>
      <c r="L3180">
        <v>284.11419999999998</v>
      </c>
      <c r="M3180">
        <v>-0.99989240000000001</v>
      </c>
      <c r="N3180">
        <v>0</v>
      </c>
      <c r="O3180">
        <v>-3.9495420000000003E-3</v>
      </c>
      <c r="P3180">
        <v>-0.99249750000000003</v>
      </c>
      <c r="Q3180">
        <v>0.1222505</v>
      </c>
      <c r="R3180">
        <v>1.9602999999999999E-3</v>
      </c>
      <c r="S3180">
        <v>-3.1189580000000001</v>
      </c>
      <c r="T3180">
        <v>-0.77983549999999902</v>
      </c>
      <c r="U3180">
        <v>0.58273319999999995</v>
      </c>
      <c r="V3180">
        <v>6.1104499999999999E-3</v>
      </c>
      <c r="W3180">
        <v>0.13625379999999901</v>
      </c>
      <c r="X3180">
        <v>0.99065510000000001</v>
      </c>
      <c r="Y3180">
        <v>0.182004</v>
      </c>
      <c r="Z3180">
        <v>2.3189330000000001E-2</v>
      </c>
      <c r="AA3180">
        <v>0.98302429999999996</v>
      </c>
      <c r="AB3180">
        <v>49</v>
      </c>
      <c r="AC3180">
        <v>-0.45150000000001</v>
      </c>
      <c r="AD3180">
        <v>-0.21878119999999901</v>
      </c>
      <c r="AE3180">
        <v>0.16560000000003999</v>
      </c>
      <c r="AF3180">
        <v>0.13868053337318401</v>
      </c>
      <c r="AG3180">
        <v>-0.21878119999999901</v>
      </c>
      <c r="AH3180">
        <v>0.37353491498744001</v>
      </c>
      <c r="AI3180">
        <v>118.770473804917</v>
      </c>
      <c r="AJ3180">
        <v>69.631788421736303</v>
      </c>
      <c r="AK3180">
        <v>0.45456114717910701</v>
      </c>
      <c r="AL3180">
        <v>82.168872541483793</v>
      </c>
      <c r="AM3180">
        <v>89.646598946395798</v>
      </c>
      <c r="AN3180">
        <v>0.99999998138482604</v>
      </c>
    </row>
    <row r="3181" spans="1:40" x14ac:dyDescent="0.25">
      <c r="A3181" t="str">
        <f>"20190312172140912"</f>
        <v>20190312172140912</v>
      </c>
      <c r="B3181" t="str">
        <f>"1552382500903533"</f>
        <v>1552382500903533</v>
      </c>
      <c r="C3181" t="s">
        <v>40</v>
      </c>
      <c r="D3181">
        <v>3.4046240000000001</v>
      </c>
      <c r="E3181">
        <v>0.57278969999999996</v>
      </c>
      <c r="F3181" t="s">
        <v>41</v>
      </c>
      <c r="G3181">
        <v>-438.84039999999999</v>
      </c>
      <c r="H3181">
        <v>0.88563349999999996</v>
      </c>
      <c r="I3181">
        <v>284.28140000000002</v>
      </c>
      <c r="J3181">
        <v>-438.43540000000002</v>
      </c>
      <c r="K3181">
        <v>1.1088960000000001</v>
      </c>
      <c r="L3181">
        <v>284.11270000000002</v>
      </c>
      <c r="M3181">
        <v>-0.9998937</v>
      </c>
      <c r="N3181">
        <v>0</v>
      </c>
      <c r="O3181">
        <v>-3.4499869999999998E-3</v>
      </c>
      <c r="P3181">
        <v>-0.99256610000000001</v>
      </c>
      <c r="Q3181">
        <v>0.1216901</v>
      </c>
      <c r="R3181">
        <v>2.0524800000000002E-3</v>
      </c>
      <c r="S3181">
        <v>-3.117645</v>
      </c>
      <c r="T3181">
        <v>-0.78043459999999998</v>
      </c>
      <c r="U3181">
        <v>0.58474729999999997</v>
      </c>
      <c r="V3181">
        <v>5.7061100000000003E-3</v>
      </c>
      <c r="W3181">
        <v>0.135737</v>
      </c>
      <c r="X3181">
        <v>0.99072850000000001</v>
      </c>
      <c r="Y3181">
        <v>0.18219869999999999</v>
      </c>
      <c r="Z3181">
        <v>2.311626E-2</v>
      </c>
      <c r="AA3181">
        <v>0.98299000000000003</v>
      </c>
      <c r="AB3181">
        <v>49</v>
      </c>
      <c r="AC3181">
        <v>-0.40499999999997199</v>
      </c>
      <c r="AD3181">
        <v>-0.223262499999999</v>
      </c>
      <c r="AE3181">
        <v>0.16870000000000099</v>
      </c>
      <c r="AF3181">
        <v>0.135108473809054</v>
      </c>
      <c r="AG3181">
        <v>-0.223262499999999</v>
      </c>
      <c r="AH3181">
        <v>0.32122942990395698</v>
      </c>
      <c r="AI3181">
        <v>122.646215529575</v>
      </c>
      <c r="AJ3181">
        <v>67.188472561061403</v>
      </c>
      <c r="AK3181">
        <v>0.41387049935660197</v>
      </c>
      <c r="AL3181">
        <v>82.198761034315297</v>
      </c>
      <c r="AM3181">
        <v>89.670008074387098</v>
      </c>
      <c r="AN3181">
        <v>1.0000000267862901</v>
      </c>
    </row>
    <row r="3182" spans="1:40" x14ac:dyDescent="0.25">
      <c r="A3182" t="str">
        <f>"20190312172140933"</f>
        <v>20190312172140933</v>
      </c>
      <c r="B3182" t="str">
        <f>"1552382500924030"</f>
        <v>1552382500924030</v>
      </c>
      <c r="C3182" t="s">
        <v>40</v>
      </c>
      <c r="D3182">
        <v>3.287226</v>
      </c>
      <c r="E3182">
        <v>0.57277999999999996</v>
      </c>
      <c r="F3182" t="s">
        <v>41</v>
      </c>
      <c r="G3182">
        <v>-439.28660000000002</v>
      </c>
      <c r="H3182">
        <v>0.89672419999999997</v>
      </c>
      <c r="I3182">
        <v>284.27229999999997</v>
      </c>
      <c r="J3182">
        <v>-438.91640000000001</v>
      </c>
      <c r="K3182">
        <v>1.1089009999999999</v>
      </c>
      <c r="L3182">
        <v>284.11130000000003</v>
      </c>
      <c r="M3182">
        <v>-0.99989470000000003</v>
      </c>
      <c r="N3182">
        <v>0</v>
      </c>
      <c r="O3182">
        <v>-2.956359E-3</v>
      </c>
      <c r="P3182">
        <v>-0.9925891</v>
      </c>
      <c r="Q3182">
        <v>0.1215015</v>
      </c>
      <c r="R3182">
        <v>2.1316130000000001E-3</v>
      </c>
      <c r="S3182">
        <v>-3.1165159999999998</v>
      </c>
      <c r="T3182">
        <v>-0.77685179999999998</v>
      </c>
      <c r="U3182">
        <v>0.58291630000000005</v>
      </c>
      <c r="V3182">
        <v>5.2951200000000004E-3</v>
      </c>
      <c r="W3182">
        <v>0.13558629999999999</v>
      </c>
      <c r="X3182">
        <v>0.99075139999999995</v>
      </c>
      <c r="Y3182">
        <v>0.18130689999999999</v>
      </c>
      <c r="Z3182">
        <v>2.2793569999999999E-2</v>
      </c>
      <c r="AA3182">
        <v>0.98316239999999999</v>
      </c>
      <c r="AB3182">
        <v>49</v>
      </c>
      <c r="AC3182">
        <v>-0.37020000000001102</v>
      </c>
      <c r="AD3182">
        <v>-0.212176799999999</v>
      </c>
      <c r="AE3182">
        <v>0.16099999999994399</v>
      </c>
      <c r="AF3182">
        <v>0.127008648996396</v>
      </c>
      <c r="AG3182">
        <v>-0.212176799999999</v>
      </c>
      <c r="AH3182">
        <v>0.28969598294162102</v>
      </c>
      <c r="AI3182">
        <v>123.852825891419</v>
      </c>
      <c r="AJ3182">
        <v>66.326371019978396</v>
      </c>
      <c r="AK3182">
        <v>0.380885749156675</v>
      </c>
      <c r="AL3182">
        <v>82.207475943652895</v>
      </c>
      <c r="AM3182">
        <v>89.693782780034397</v>
      </c>
      <c r="AN3182">
        <v>1.00000000982273</v>
      </c>
    </row>
    <row r="3183" spans="1:40" x14ac:dyDescent="0.25">
      <c r="A3183" t="str">
        <f>"20190312172140947"</f>
        <v>20190312172140947</v>
      </c>
      <c r="B3183" t="str">
        <f>"1552382500943550"</f>
        <v>1552382500943550</v>
      </c>
      <c r="C3183" t="s">
        <v>40</v>
      </c>
      <c r="D3183">
        <v>3.3992559999999998</v>
      </c>
      <c r="E3183">
        <v>0.57304379999999999</v>
      </c>
      <c r="F3183" t="s">
        <v>41</v>
      </c>
      <c r="G3183">
        <v>-439.7319</v>
      </c>
      <c r="H3183">
        <v>0.90625880000000003</v>
      </c>
      <c r="I3183">
        <v>284.26429999999999</v>
      </c>
      <c r="J3183">
        <v>-439.22219999999999</v>
      </c>
      <c r="K3183">
        <v>1.1089039999999999</v>
      </c>
      <c r="L3183">
        <v>284.11070000000001</v>
      </c>
      <c r="M3183">
        <v>-0.99989539999999999</v>
      </c>
      <c r="N3183">
        <v>0</v>
      </c>
      <c r="O3183">
        <v>-2.642873E-3</v>
      </c>
      <c r="P3183">
        <v>-0.99256049999999996</v>
      </c>
      <c r="Q3183">
        <v>0.12173730000000001</v>
      </c>
      <c r="R3183">
        <v>2.0113679999999999E-3</v>
      </c>
      <c r="S3183">
        <v>-3.1159669999999999</v>
      </c>
      <c r="T3183">
        <v>-0.77427330000000005</v>
      </c>
      <c r="U3183">
        <v>0.58331299999999997</v>
      </c>
      <c r="V3183">
        <v>4.8638379999999997E-3</v>
      </c>
      <c r="W3183">
        <v>0.1358424</v>
      </c>
      <c r="X3183">
        <v>0.99071849999999995</v>
      </c>
      <c r="Y3183">
        <v>0.18119759999999999</v>
      </c>
      <c r="Z3183">
        <v>2.2634290000000001E-2</v>
      </c>
      <c r="AA3183">
        <v>0.98318620000000001</v>
      </c>
      <c r="AB3183">
        <v>49</v>
      </c>
      <c r="AC3183">
        <v>-0.50970000000000903</v>
      </c>
      <c r="AD3183">
        <v>-0.2026452</v>
      </c>
      <c r="AE3183">
        <v>0.153599999999983</v>
      </c>
      <c r="AF3183">
        <v>0.13533546748971001</v>
      </c>
      <c r="AG3183">
        <v>-0.2026452</v>
      </c>
      <c r="AH3183">
        <v>0.44483241598443801</v>
      </c>
      <c r="AI3183">
        <v>113.549008278909</v>
      </c>
      <c r="AJ3183">
        <v>73.078182225194695</v>
      </c>
      <c r="AK3183">
        <v>0.50720473593436699</v>
      </c>
      <c r="AL3183">
        <v>82.192665237076795</v>
      </c>
      <c r="AM3183">
        <v>89.718714094114503</v>
      </c>
      <c r="AN3183">
        <v>0.999999980400049</v>
      </c>
    </row>
    <row r="3184" spans="1:40" x14ac:dyDescent="0.25">
      <c r="A3184" t="str">
        <f>"20190312172140959"</f>
        <v>20190312172140959</v>
      </c>
      <c r="B3184" t="str">
        <f>"1552382500953310"</f>
        <v>1552382500953310</v>
      </c>
      <c r="C3184" t="s">
        <v>40</v>
      </c>
      <c r="D3184">
        <v>3.3066849999999999</v>
      </c>
      <c r="E3184">
        <v>0.57299540000000004</v>
      </c>
      <c r="F3184" t="s">
        <v>41</v>
      </c>
      <c r="G3184">
        <v>-440.1617</v>
      </c>
      <c r="H3184">
        <v>0.87659759999999998</v>
      </c>
      <c r="I3184">
        <v>284.28739999999999</v>
      </c>
      <c r="J3184">
        <v>-439.4907</v>
      </c>
      <c r="K3184">
        <v>1.1089070000000001</v>
      </c>
      <c r="L3184">
        <v>284.11</v>
      </c>
      <c r="M3184">
        <v>-0.9998958</v>
      </c>
      <c r="N3184">
        <v>0</v>
      </c>
      <c r="O3184">
        <v>-2.3679909999999998E-3</v>
      </c>
      <c r="P3184">
        <v>-0.99252790000000002</v>
      </c>
      <c r="Q3184">
        <v>0.12200519999999999</v>
      </c>
      <c r="R3184">
        <v>1.8135429999999999E-3</v>
      </c>
      <c r="S3184">
        <v>-3.1158139999999999</v>
      </c>
      <c r="T3184">
        <v>-0.77044049999999997</v>
      </c>
      <c r="U3184">
        <v>0.58563229999999999</v>
      </c>
      <c r="V3184">
        <v>4.393274E-3</v>
      </c>
      <c r="W3184">
        <v>0.1361282</v>
      </c>
      <c r="X3184">
        <v>0.99068149999999999</v>
      </c>
      <c r="Y3184">
        <v>0.18168989999999999</v>
      </c>
      <c r="Z3184">
        <v>2.2518079999999999E-2</v>
      </c>
      <c r="AA3184">
        <v>0.98309800000000003</v>
      </c>
      <c r="AB3184">
        <v>49</v>
      </c>
      <c r="AC3184">
        <v>-0.67099999999999205</v>
      </c>
      <c r="AD3184">
        <v>-0.232309399999999</v>
      </c>
      <c r="AE3184">
        <v>0.17739999999997699</v>
      </c>
      <c r="AF3184">
        <v>0.16095616856959399</v>
      </c>
      <c r="AG3184">
        <v>-0.232309399999999</v>
      </c>
      <c r="AH3184">
        <v>0.60301981992151399</v>
      </c>
      <c r="AI3184">
        <v>110.41589194961399</v>
      </c>
      <c r="AJ3184">
        <v>75.055199296962499</v>
      </c>
      <c r="AK3184">
        <v>0.66596354911296696</v>
      </c>
      <c r="AL3184">
        <v>82.176136807115697</v>
      </c>
      <c r="AM3184">
        <v>89.745917927800093</v>
      </c>
      <c r="AN3184">
        <v>1.00000001106696</v>
      </c>
    </row>
    <row r="3185" spans="1:40" x14ac:dyDescent="0.25">
      <c r="A3185" t="str">
        <f>"20190312172140970"</f>
        <v>20190312172140970</v>
      </c>
      <c r="B3185" t="str">
        <f>"1552382500964046"</f>
        <v>1552382500964046</v>
      </c>
      <c r="C3185" t="s">
        <v>40</v>
      </c>
      <c r="D3185">
        <v>3.3211659999999998</v>
      </c>
      <c r="E3185">
        <v>0.57293019999999995</v>
      </c>
      <c r="F3185" t="s">
        <v>41</v>
      </c>
      <c r="G3185">
        <v>-440.18599999999998</v>
      </c>
      <c r="H3185">
        <v>0.93753330000000001</v>
      </c>
      <c r="I3185">
        <v>284.24079999999998</v>
      </c>
      <c r="J3185">
        <v>-439.74610000000001</v>
      </c>
      <c r="K3185">
        <v>1.10891299999999</v>
      </c>
      <c r="L3185">
        <v>284.1096</v>
      </c>
      <c r="M3185">
        <v>-0.99989600000000001</v>
      </c>
      <c r="N3185">
        <v>0</v>
      </c>
      <c r="O3185">
        <v>-2.1086049999999999E-3</v>
      </c>
      <c r="P3185">
        <v>-0.99246619999999997</v>
      </c>
      <c r="Q3185">
        <v>0.1225101</v>
      </c>
      <c r="R3185">
        <v>1.40776799999999E-3</v>
      </c>
      <c r="S3185">
        <v>-3.115936</v>
      </c>
      <c r="T3185">
        <v>-0.76792459999999996</v>
      </c>
      <c r="U3185">
        <v>0.58520509999999903</v>
      </c>
      <c r="V3185">
        <v>3.7301080000000002E-3</v>
      </c>
      <c r="W3185">
        <v>0.13664780000000001</v>
      </c>
      <c r="X3185">
        <v>0.99061270000000001</v>
      </c>
      <c r="Y3185">
        <v>0.18134990000000001</v>
      </c>
      <c r="Z3185">
        <v>2.234266E-2</v>
      </c>
      <c r="AA3185">
        <v>0.98316479999999995</v>
      </c>
      <c r="AB3185">
        <v>49</v>
      </c>
      <c r="AC3185">
        <v>-0.43989999999996598</v>
      </c>
      <c r="AD3185">
        <v>-0.171379699999999</v>
      </c>
      <c r="AE3185">
        <v>0.131199999999978</v>
      </c>
      <c r="AF3185">
        <v>0.115964234410596</v>
      </c>
      <c r="AG3185">
        <v>-0.171379699999999</v>
      </c>
      <c r="AH3185">
        <v>0.38584333843541302</v>
      </c>
      <c r="AI3185">
        <v>113.04357772945301</v>
      </c>
      <c r="AJ3185">
        <v>73.271983028830405</v>
      </c>
      <c r="AK3185">
        <v>0.43782849044975403</v>
      </c>
      <c r="AL3185">
        <v>82.146085237021296</v>
      </c>
      <c r="AM3185">
        <v>89.784256313843102</v>
      </c>
      <c r="AN3185">
        <v>1.00000002817591</v>
      </c>
    </row>
    <row r="3186" spans="1:40" x14ac:dyDescent="0.25">
      <c r="A3186" t="str">
        <f>"20190312172140984"</f>
        <v>20190312172140984</v>
      </c>
      <c r="B3186" t="str">
        <f>"1552382500973806"</f>
        <v>1552382500973806</v>
      </c>
      <c r="C3186" t="s">
        <v>40</v>
      </c>
      <c r="D3186">
        <v>3.3570150000000001</v>
      </c>
      <c r="E3186">
        <v>0.57293649999999996</v>
      </c>
      <c r="F3186" t="s">
        <v>41</v>
      </c>
      <c r="G3186">
        <v>-440.61070000000001</v>
      </c>
      <c r="H3186">
        <v>0.89689300000000005</v>
      </c>
      <c r="I3186">
        <v>284.27179999999998</v>
      </c>
      <c r="J3186">
        <v>-440.03179999999998</v>
      </c>
      <c r="K3186">
        <v>1.1089199999999999</v>
      </c>
      <c r="L3186">
        <v>284.10919999999999</v>
      </c>
      <c r="M3186">
        <v>-0.99989649999999997</v>
      </c>
      <c r="N3186">
        <v>0</v>
      </c>
      <c r="O3186">
        <v>-1.8201510000000001E-3</v>
      </c>
      <c r="P3186">
        <v>-0.99242450000000004</v>
      </c>
      <c r="Q3186">
        <v>0.1228548</v>
      </c>
      <c r="R3186">
        <v>7.5831429999999897E-4</v>
      </c>
      <c r="S3186">
        <v>-3.116241</v>
      </c>
      <c r="T3186">
        <v>-0.76422800000000002</v>
      </c>
      <c r="U3186">
        <v>0.58386229999999995</v>
      </c>
      <c r="V3186">
        <v>2.79422E-3</v>
      </c>
      <c r="W3186">
        <v>0.13700909999999999</v>
      </c>
      <c r="X3186">
        <v>0.99056580000000005</v>
      </c>
      <c r="Y3186">
        <v>0.18071690000000001</v>
      </c>
      <c r="Z3186">
        <v>2.2091889999999999E-2</v>
      </c>
      <c r="AA3186">
        <v>0.98328700000000002</v>
      </c>
      <c r="AB3186">
        <v>49</v>
      </c>
      <c r="AC3186">
        <v>-0.57890000000003194</v>
      </c>
      <c r="AD3186">
        <v>-0.21202699999999999</v>
      </c>
      <c r="AE3186">
        <v>0.162599999999997</v>
      </c>
      <c r="AF3186">
        <v>0.14555569765276899</v>
      </c>
      <c r="AG3186">
        <v>-0.21202699999999999</v>
      </c>
      <c r="AH3186">
        <v>0.51461752546842499</v>
      </c>
      <c r="AI3186">
        <v>111.626136066378</v>
      </c>
      <c r="AJ3186">
        <v>74.206843233578695</v>
      </c>
      <c r="AK3186">
        <v>0.575302622423564</v>
      </c>
      <c r="AL3186">
        <v>82.125187127603596</v>
      </c>
      <c r="AM3186">
        <v>89.838378643400205</v>
      </c>
      <c r="AN3186">
        <v>0.99999995263892805</v>
      </c>
    </row>
    <row r="3187" spans="1:40" x14ac:dyDescent="0.25">
      <c r="A3187" t="str">
        <f>"20190312172141001"</f>
        <v>20190312172141001</v>
      </c>
      <c r="B3187" t="str">
        <f>"1552382500993326"</f>
        <v>1552382500993326</v>
      </c>
      <c r="C3187" t="s">
        <v>40</v>
      </c>
      <c r="D3187">
        <v>3.3254260000000002</v>
      </c>
      <c r="E3187">
        <v>0.57292290000000001</v>
      </c>
      <c r="F3187" t="s">
        <v>41</v>
      </c>
      <c r="G3187">
        <v>-441.03809999999999</v>
      </c>
      <c r="H3187">
        <v>0.86276980000000003</v>
      </c>
      <c r="I3187">
        <v>284.29770000000002</v>
      </c>
      <c r="J3187">
        <v>-440.40190000000001</v>
      </c>
      <c r="K3187">
        <v>1.10893</v>
      </c>
      <c r="L3187">
        <v>284.1087</v>
      </c>
      <c r="M3187">
        <v>-0.99989680000000003</v>
      </c>
      <c r="N3187">
        <v>0</v>
      </c>
      <c r="O3187">
        <v>-1.4510479999999999E-3</v>
      </c>
      <c r="P3187">
        <v>-0.99223939999999999</v>
      </c>
      <c r="Q3187">
        <v>0.1243409</v>
      </c>
      <c r="R3187">
        <v>-6.135181E-4</v>
      </c>
      <c r="S3187">
        <v>-3.1168520000000002</v>
      </c>
      <c r="T3187">
        <v>-0.76238830000000002</v>
      </c>
      <c r="U3187">
        <v>0.58218380000000003</v>
      </c>
      <c r="V3187">
        <v>1.0566040000000001E-3</v>
      </c>
      <c r="W3187">
        <v>0.1385139</v>
      </c>
      <c r="X3187">
        <v>0.99035989999999996</v>
      </c>
      <c r="Y3187">
        <v>0.17986859999999999</v>
      </c>
      <c r="Z3187">
        <v>2.1847450000000001E-2</v>
      </c>
      <c r="AA3187">
        <v>0.98344799999999999</v>
      </c>
      <c r="AB3187">
        <v>49</v>
      </c>
      <c r="AC3187">
        <v>-0.63619999999997301</v>
      </c>
      <c r="AD3187">
        <v>-0.246160199999999</v>
      </c>
      <c r="AE3187">
        <v>0.18900000000002101</v>
      </c>
      <c r="AF3187">
        <v>0.16695531684682699</v>
      </c>
      <c r="AG3187">
        <v>-0.246160199999999</v>
      </c>
      <c r="AH3187">
        <v>0.55902149710892801</v>
      </c>
      <c r="AI3187">
        <v>112.876150331377</v>
      </c>
      <c r="AJ3187">
        <v>73.371411021737899</v>
      </c>
      <c r="AK3187">
        <v>0.63322504381726097</v>
      </c>
      <c r="AL3187">
        <v>82.038138626945894</v>
      </c>
      <c r="AM3187">
        <v>89.938871791106294</v>
      </c>
      <c r="AN3187">
        <v>0.99999997421661602</v>
      </c>
    </row>
    <row r="3188" spans="1:40" x14ac:dyDescent="0.25">
      <c r="A3188" t="str">
        <f>"20190312172141014"</f>
        <v>20190312172141014</v>
      </c>
      <c r="B3188" t="str">
        <f>"1552382501004062"</f>
        <v>1552382501004062</v>
      </c>
      <c r="C3188" t="s">
        <v>40</v>
      </c>
      <c r="D3188">
        <v>3.3274439999999998</v>
      </c>
      <c r="E3188">
        <v>0.572882</v>
      </c>
      <c r="F3188" t="s">
        <v>41</v>
      </c>
      <c r="G3188">
        <v>-441.47329999999999</v>
      </c>
      <c r="H3188">
        <v>0.84928859999999995</v>
      </c>
      <c r="I3188">
        <v>284.3073</v>
      </c>
      <c r="J3188">
        <v>-440.7276</v>
      </c>
      <c r="K3188">
        <v>1.108943</v>
      </c>
      <c r="L3188">
        <v>284.10849999999999</v>
      </c>
      <c r="M3188">
        <v>-0.99989689999999998</v>
      </c>
      <c r="N3188">
        <v>0</v>
      </c>
      <c r="O3188">
        <v>-1.1315229999999999E-3</v>
      </c>
      <c r="P3188">
        <v>-0.99209700000000001</v>
      </c>
      <c r="Q3188">
        <v>0.12546550000000001</v>
      </c>
      <c r="R3188">
        <v>-1.4281719999999999E-3</v>
      </c>
      <c r="S3188">
        <v>-3.1185299999999998</v>
      </c>
      <c r="T3188">
        <v>-0.75565890000000002</v>
      </c>
      <c r="U3188">
        <v>0.57760619999999996</v>
      </c>
      <c r="V3188" s="1">
        <v>-7.5277439999999995E-5</v>
      </c>
      <c r="W3188">
        <v>0.1396519</v>
      </c>
      <c r="X3188">
        <v>0.99020059999999999</v>
      </c>
      <c r="Y3188">
        <v>0.17821210000000001</v>
      </c>
      <c r="Z3188">
        <v>2.137959E-2</v>
      </c>
      <c r="AA3188">
        <v>0.98375979999999996</v>
      </c>
      <c r="AB3188">
        <v>49</v>
      </c>
      <c r="AC3188">
        <v>-0.74569999999999903</v>
      </c>
      <c r="AD3188">
        <v>-0.25965439999999901</v>
      </c>
      <c r="AE3188">
        <v>0.198800000000005</v>
      </c>
      <c r="AF3188">
        <v>0.17934229974670601</v>
      </c>
      <c r="AG3188">
        <v>-0.25965439999999901</v>
      </c>
      <c r="AH3188">
        <v>0.66966849774299197</v>
      </c>
      <c r="AI3188">
        <v>110.53279467257499</v>
      </c>
      <c r="AJ3188">
        <v>75.0075705443072</v>
      </c>
      <c r="AK3188">
        <v>0.74029721381831004</v>
      </c>
      <c r="AL3188">
        <v>81.972295835760804</v>
      </c>
      <c r="AM3188">
        <v>90.004355763464702</v>
      </c>
      <c r="AN3188">
        <v>0.99999994354032895</v>
      </c>
    </row>
    <row r="3189" spans="1:40" x14ac:dyDescent="0.25">
      <c r="A3189" t="str">
        <f>"20190312172141034"</f>
        <v>20190312172141034</v>
      </c>
      <c r="B3189" t="str">
        <f>"1552382501023582"</f>
        <v>1552382501023582</v>
      </c>
      <c r="C3189" t="s">
        <v>40</v>
      </c>
      <c r="D3189">
        <v>3.365993</v>
      </c>
      <c r="E3189">
        <v>0.57300169999999995</v>
      </c>
      <c r="F3189" t="s">
        <v>41</v>
      </c>
      <c r="G3189">
        <v>-441.50189999999998</v>
      </c>
      <c r="H3189">
        <v>0.9225196</v>
      </c>
      <c r="I3189">
        <v>284.25119999999998</v>
      </c>
      <c r="J3189">
        <v>-441.13260000000002</v>
      </c>
      <c r="K3189">
        <v>1.1089659999999999</v>
      </c>
      <c r="L3189">
        <v>284.10829999999999</v>
      </c>
      <c r="M3189">
        <v>-0.99989709999999998</v>
      </c>
      <c r="N3189">
        <v>0</v>
      </c>
      <c r="O3189">
        <v>-7.4040869999999895E-4</v>
      </c>
      <c r="P3189">
        <v>-0.99183080000000001</v>
      </c>
      <c r="Q3189">
        <v>0.12748180000000001</v>
      </c>
      <c r="R3189">
        <v>-4.5031430000000002E-3</v>
      </c>
      <c r="S3189">
        <v>-3.11972</v>
      </c>
      <c r="T3189">
        <v>-0.75108560000000002</v>
      </c>
      <c r="U3189">
        <v>0.57437130000000003</v>
      </c>
      <c r="V3189">
        <v>-3.5386039999999999E-3</v>
      </c>
      <c r="W3189">
        <v>0.1416857</v>
      </c>
      <c r="X3189">
        <v>0.98990540000000005</v>
      </c>
      <c r="Y3189">
        <v>0.1768836</v>
      </c>
      <c r="Z3189">
        <v>2.099935E-2</v>
      </c>
      <c r="AA3189">
        <v>0.98400770000000004</v>
      </c>
      <c r="AB3189">
        <v>49</v>
      </c>
      <c r="AC3189">
        <v>-0.369299999999952</v>
      </c>
      <c r="AD3189">
        <v>-0.18644639999999901</v>
      </c>
      <c r="AE3189">
        <v>0.142899999999997</v>
      </c>
      <c r="AF3189">
        <v>0.117192540312205</v>
      </c>
      <c r="AG3189">
        <v>-0.18644639999999901</v>
      </c>
      <c r="AH3189">
        <v>0.30219849440315399</v>
      </c>
      <c r="AI3189">
        <v>119.90868278376099</v>
      </c>
      <c r="AJ3189">
        <v>68.8037132189516</v>
      </c>
      <c r="AK3189">
        <v>0.37392550273727099</v>
      </c>
      <c r="AL3189">
        <v>81.854598050722601</v>
      </c>
      <c r="AM3189">
        <v>90.204813723594398</v>
      </c>
      <c r="AN3189">
        <v>1.00000003012595</v>
      </c>
    </row>
    <row r="3190" spans="1:40" x14ac:dyDescent="0.25">
      <c r="A3190" t="str">
        <f>"20190312172141049"</f>
        <v>20190312172141049</v>
      </c>
      <c r="B3190" t="str">
        <f>"1552382501044078"</f>
        <v>1552382501044078</v>
      </c>
      <c r="C3190" t="s">
        <v>40</v>
      </c>
      <c r="D3190">
        <v>3.3322310000000002</v>
      </c>
      <c r="E3190">
        <v>0.57301650000000004</v>
      </c>
      <c r="F3190" t="s">
        <v>41</v>
      </c>
      <c r="G3190">
        <v>-441.93979999999999</v>
      </c>
      <c r="H3190">
        <v>0.91662869999999996</v>
      </c>
      <c r="I3190">
        <v>284.25490000000002</v>
      </c>
      <c r="J3190">
        <v>-441.48009999999999</v>
      </c>
      <c r="K3190">
        <v>1.1089819999999999</v>
      </c>
      <c r="L3190">
        <v>284.10820000000001</v>
      </c>
      <c r="M3190">
        <v>-0.99989720000000004</v>
      </c>
      <c r="N3190">
        <v>0</v>
      </c>
      <c r="O3190">
        <v>-4.125701E-4</v>
      </c>
      <c r="P3190">
        <v>-0.99174960000000001</v>
      </c>
      <c r="Q3190">
        <v>0.1280309</v>
      </c>
      <c r="R3190">
        <v>-6.4174509999999898E-3</v>
      </c>
      <c r="S3190">
        <v>-3.1228940000000001</v>
      </c>
      <c r="T3190">
        <v>-0.74420299999999995</v>
      </c>
      <c r="U3190">
        <v>0.56561280000000003</v>
      </c>
      <c r="V3190">
        <v>-5.7797619999999999E-3</v>
      </c>
      <c r="W3190">
        <v>0.14224879999999901</v>
      </c>
      <c r="X3190">
        <v>0.98981399999999997</v>
      </c>
      <c r="Y3190">
        <v>0.17389640000000001</v>
      </c>
      <c r="Z3190">
        <v>2.0372049999999999E-2</v>
      </c>
      <c r="AA3190">
        <v>0.98455320000000002</v>
      </c>
      <c r="AB3190">
        <v>49</v>
      </c>
      <c r="AC3190">
        <v>-0.459699999999998</v>
      </c>
      <c r="AD3190">
        <v>-0.19235329999999901</v>
      </c>
      <c r="AE3190">
        <v>0.14670000000000899</v>
      </c>
      <c r="AF3190">
        <v>0.12674887477868799</v>
      </c>
      <c r="AG3190">
        <v>-0.19235329999999901</v>
      </c>
      <c r="AH3190">
        <v>0.39661592562183501</v>
      </c>
      <c r="AI3190">
        <v>114.795498310244</v>
      </c>
      <c r="AJ3190">
        <v>72.277375300001495</v>
      </c>
      <c r="AK3190">
        <v>0.458660290122678</v>
      </c>
      <c r="AL3190">
        <v>81.822003934490894</v>
      </c>
      <c r="AM3190">
        <v>90.334560033994805</v>
      </c>
      <c r="AN3190">
        <v>0.99999994067310605</v>
      </c>
    </row>
    <row r="3191" spans="1:40" x14ac:dyDescent="0.25">
      <c r="A3191" t="str">
        <f>"20190312172141061"</f>
        <v>20190312172141061</v>
      </c>
      <c r="B3191" t="str">
        <f>"1552382501053839"</f>
        <v>1552382501053839</v>
      </c>
      <c r="C3191" t="s">
        <v>40</v>
      </c>
      <c r="D3191">
        <v>3.3406500000000001</v>
      </c>
      <c r="E3191">
        <v>0.57316369999999905</v>
      </c>
      <c r="F3191" t="s">
        <v>41</v>
      </c>
      <c r="G3191">
        <v>-442.3723</v>
      </c>
      <c r="H3191">
        <v>0.897528199999999</v>
      </c>
      <c r="I3191">
        <v>284.26850000000002</v>
      </c>
      <c r="J3191">
        <v>-441.75380000000001</v>
      </c>
      <c r="K3191">
        <v>1.1089979999999999</v>
      </c>
      <c r="L3191">
        <v>284.10820000000001</v>
      </c>
      <c r="M3191">
        <v>-0.99989709999999998</v>
      </c>
      <c r="N3191">
        <v>0</v>
      </c>
      <c r="O3191">
        <v>-1.5907510000000001E-4</v>
      </c>
      <c r="P3191">
        <v>-0.99163710000000005</v>
      </c>
      <c r="Q3191">
        <v>0.12876599999999999</v>
      </c>
      <c r="R3191">
        <v>-8.6893030000000007E-3</v>
      </c>
      <c r="S3191">
        <v>-3.1242070000000002</v>
      </c>
      <c r="T3191">
        <v>-0.74054569999999997</v>
      </c>
      <c r="U3191">
        <v>0.56036379999999997</v>
      </c>
      <c r="V3191">
        <v>-8.3048759999999992E-3</v>
      </c>
      <c r="W3191">
        <v>0.1429945</v>
      </c>
      <c r="X3191">
        <v>0.98968860000000003</v>
      </c>
      <c r="Y3191">
        <v>0.1720756</v>
      </c>
      <c r="Z3191">
        <v>1.999925E-2</v>
      </c>
      <c r="AA3191">
        <v>0.98488070000000005</v>
      </c>
      <c r="AB3191">
        <v>49</v>
      </c>
      <c r="AC3191">
        <v>-0.61849999999998295</v>
      </c>
      <c r="AD3191">
        <v>-0.21146980000000001</v>
      </c>
      <c r="AE3191">
        <v>0.16030000000000599</v>
      </c>
      <c r="AF3191">
        <v>0.14456263382996401</v>
      </c>
      <c r="AG3191">
        <v>-0.21146980000000001</v>
      </c>
      <c r="AH3191">
        <v>0.55741393560283004</v>
      </c>
      <c r="AI3191">
        <v>110.16463344204401</v>
      </c>
      <c r="AJ3191">
        <v>75.46093059751</v>
      </c>
      <c r="AK3191">
        <v>0.61345588840285203</v>
      </c>
      <c r="AL3191">
        <v>81.778837358753293</v>
      </c>
      <c r="AM3191">
        <v>90.480780698013206</v>
      </c>
      <c r="AN3191">
        <v>0.99999996148279202</v>
      </c>
    </row>
    <row r="3192" spans="1:40" x14ac:dyDescent="0.25">
      <c r="A3192" t="str">
        <f>"20190312172141078"</f>
        <v>20190312172141078</v>
      </c>
      <c r="B3192" t="str">
        <f>"1552382501073361"</f>
        <v>1552382501073361</v>
      </c>
      <c r="C3192" t="s">
        <v>40</v>
      </c>
      <c r="D3192">
        <v>3.3275760000000001</v>
      </c>
      <c r="E3192">
        <v>0.57351490000000005</v>
      </c>
      <c r="F3192" t="s">
        <v>41</v>
      </c>
      <c r="G3192">
        <v>-442.79820000000001</v>
      </c>
      <c r="H3192">
        <v>0.8626606</v>
      </c>
      <c r="I3192">
        <v>284.29399999999998</v>
      </c>
      <c r="J3192">
        <v>-442.12049999999999</v>
      </c>
      <c r="K3192">
        <v>1.1090169999999999</v>
      </c>
      <c r="L3192">
        <v>284.10840000000002</v>
      </c>
      <c r="M3192">
        <v>-0.99989689999999998</v>
      </c>
      <c r="N3192">
        <v>0</v>
      </c>
      <c r="O3192">
        <v>1.718384E-4</v>
      </c>
      <c r="P3192">
        <v>-0.991282</v>
      </c>
      <c r="Q3192">
        <v>0.13114799999999999</v>
      </c>
      <c r="R3192">
        <v>-1.266778E-2</v>
      </c>
      <c r="S3192">
        <v>-3.1259160000000001</v>
      </c>
      <c r="T3192">
        <v>-0.73731199999999997</v>
      </c>
      <c r="U3192">
        <v>0.55480959999999901</v>
      </c>
      <c r="V3192">
        <v>-1.261133E-2</v>
      </c>
      <c r="W3192">
        <v>0.145387299999999</v>
      </c>
      <c r="X3192">
        <v>0.98929449999999997</v>
      </c>
      <c r="Y3192">
        <v>0.1700652</v>
      </c>
      <c r="Z3192">
        <v>1.9598150000000002E-2</v>
      </c>
      <c r="AA3192">
        <v>0.9852379</v>
      </c>
      <c r="AB3192">
        <v>49</v>
      </c>
      <c r="AC3192">
        <v>-0.67770000000001496</v>
      </c>
      <c r="AD3192">
        <v>-0.246356399999999</v>
      </c>
      <c r="AE3192">
        <v>0.185600000000022</v>
      </c>
      <c r="AF3192">
        <v>0.165178801350433</v>
      </c>
      <c r="AG3192">
        <v>-0.246356399999999</v>
      </c>
      <c r="AH3192">
        <v>0.60354113609938798</v>
      </c>
      <c r="AI3192">
        <v>111.489877774067</v>
      </c>
      <c r="AJ3192">
        <v>74.693938568921794</v>
      </c>
      <c r="AK3192">
        <v>0.67248599628591998</v>
      </c>
      <c r="AL3192">
        <v>81.640292995109803</v>
      </c>
      <c r="AM3192">
        <v>90.730355668385698</v>
      </c>
      <c r="AN3192">
        <v>1.00000006018795</v>
      </c>
    </row>
    <row r="3193" spans="1:40" x14ac:dyDescent="0.25">
      <c r="A3193" t="str">
        <f>"20190312172141094"</f>
        <v>20190312172141094</v>
      </c>
      <c r="B3193" t="str">
        <f>"1552382501084094"</f>
        <v>1552382501084094</v>
      </c>
      <c r="C3193" t="s">
        <v>40</v>
      </c>
      <c r="D3193">
        <v>3.3358910000000002</v>
      </c>
      <c r="E3193">
        <v>0.57366689999999998</v>
      </c>
      <c r="F3193" t="s">
        <v>41</v>
      </c>
      <c r="G3193">
        <v>-442.83089999999999</v>
      </c>
      <c r="H3193">
        <v>0.94347519999999996</v>
      </c>
      <c r="I3193">
        <v>284.23250000000002</v>
      </c>
      <c r="J3193">
        <v>-442.46629999999999</v>
      </c>
      <c r="K3193">
        <v>1.109038</v>
      </c>
      <c r="L3193">
        <v>284.10860000000002</v>
      </c>
      <c r="M3193">
        <v>-0.99989680000000003</v>
      </c>
      <c r="N3193">
        <v>0</v>
      </c>
      <c r="O3193">
        <v>4.7535809999999998E-4</v>
      </c>
      <c r="P3193">
        <v>-0.99111139999999998</v>
      </c>
      <c r="Q3193">
        <v>0.13222999999999999</v>
      </c>
      <c r="R3193">
        <v>-1.4618569999999999E-2</v>
      </c>
      <c r="S3193">
        <v>-3.1298520000000001</v>
      </c>
      <c r="T3193">
        <v>-0.72941330000000004</v>
      </c>
      <c r="U3193">
        <v>0.54507450000000002</v>
      </c>
      <c r="V3193">
        <v>-1.48647E-2</v>
      </c>
      <c r="W3193">
        <v>0.14647839999999901</v>
      </c>
      <c r="X3193">
        <v>0.98910220000000004</v>
      </c>
      <c r="Y3193">
        <v>0.1667759</v>
      </c>
      <c r="Z3193">
        <v>1.893036E-2</v>
      </c>
      <c r="AA3193">
        <v>0.9858131</v>
      </c>
      <c r="AB3193">
        <v>49</v>
      </c>
      <c r="AC3193">
        <v>-0.36459999999999498</v>
      </c>
      <c r="AD3193">
        <v>-0.16556279999999901</v>
      </c>
      <c r="AE3193">
        <v>0.123899999999991</v>
      </c>
      <c r="AF3193">
        <v>0.104423494332677</v>
      </c>
      <c r="AG3193">
        <v>-0.16556279999999901</v>
      </c>
      <c r="AH3193">
        <v>0.307766772899283</v>
      </c>
      <c r="AI3193">
        <v>116.995423310128</v>
      </c>
      <c r="AJ3193">
        <v>71.258221324664007</v>
      </c>
      <c r="AK3193">
        <v>0.36474058372126</v>
      </c>
      <c r="AL3193">
        <v>81.577100741089794</v>
      </c>
      <c r="AM3193">
        <v>90.861003507327396</v>
      </c>
      <c r="AN3193">
        <v>1.0000000215087399</v>
      </c>
    </row>
    <row r="3194" spans="1:40" x14ac:dyDescent="0.25">
      <c r="A3194" t="str">
        <f>"20190312172141113"</f>
        <v>20190312172141113</v>
      </c>
      <c r="B3194" t="str">
        <f>"1552382501103614"</f>
        <v>1552382501103614</v>
      </c>
      <c r="C3194" t="s">
        <v>40</v>
      </c>
      <c r="D3194">
        <v>3.2818779999999999</v>
      </c>
      <c r="E3194">
        <v>0.57390220000000003</v>
      </c>
      <c r="F3194" t="s">
        <v>41</v>
      </c>
      <c r="G3194">
        <v>-443.26190000000003</v>
      </c>
      <c r="H3194">
        <v>0.92470870000000005</v>
      </c>
      <c r="I3194">
        <v>284.24599999999998</v>
      </c>
      <c r="J3194">
        <v>-442.86059999999998</v>
      </c>
      <c r="K3194">
        <v>1.1090610000000001</v>
      </c>
      <c r="L3194">
        <v>284.10899999999998</v>
      </c>
      <c r="M3194">
        <v>-0.99989629999999996</v>
      </c>
      <c r="N3194">
        <v>0</v>
      </c>
      <c r="O3194">
        <v>8.1569140000000004E-4</v>
      </c>
      <c r="P3194">
        <v>-0.99074090000000004</v>
      </c>
      <c r="Q3194">
        <v>0.13452359999999999</v>
      </c>
      <c r="R3194">
        <v>-1.8329959999999999E-2</v>
      </c>
      <c r="S3194">
        <v>-3.1317140000000001</v>
      </c>
      <c r="T3194">
        <v>-0.72550429999999999</v>
      </c>
      <c r="U3194">
        <v>0.54052730000000004</v>
      </c>
      <c r="V3194">
        <v>-1.8913159999999998E-2</v>
      </c>
      <c r="W3194">
        <v>0.14878029999999901</v>
      </c>
      <c r="X3194">
        <v>0.98868940000000005</v>
      </c>
      <c r="Y3194">
        <v>0.16505410000000001</v>
      </c>
      <c r="Z3194">
        <v>1.8550250000000001E-2</v>
      </c>
      <c r="AA3194">
        <v>0.98611000000000004</v>
      </c>
      <c r="AB3194">
        <v>49</v>
      </c>
      <c r="AC3194">
        <v>-0.40130000000004801</v>
      </c>
      <c r="AD3194">
        <v>-0.1843523</v>
      </c>
      <c r="AE3194">
        <v>0.136999999999943</v>
      </c>
      <c r="AF3194">
        <v>0.114946671730562</v>
      </c>
      <c r="AG3194">
        <v>-0.1843523</v>
      </c>
      <c r="AH3194">
        <v>0.33760194899699603</v>
      </c>
      <c r="AI3194">
        <v>117.335479917413</v>
      </c>
      <c r="AJ3194">
        <v>71.197324265601907</v>
      </c>
      <c r="AK3194">
        <v>0.40146429956322899</v>
      </c>
      <c r="AL3194">
        <v>81.443750284401304</v>
      </c>
      <c r="AM3194">
        <v>91.095907462733706</v>
      </c>
      <c r="AN3194">
        <v>1.00000000748081</v>
      </c>
    </row>
    <row r="3195" spans="1:40" x14ac:dyDescent="0.25">
      <c r="A3195" t="str">
        <f>"20190312172141133"</f>
        <v>20190312172141133</v>
      </c>
      <c r="B3195" t="str">
        <f>"1552382501124111"</f>
        <v>1552382501124111</v>
      </c>
      <c r="C3195" t="s">
        <v>40</v>
      </c>
      <c r="D3195">
        <v>3.3632610000000001</v>
      </c>
      <c r="E3195">
        <v>0.57395600000000002</v>
      </c>
      <c r="F3195" t="s">
        <v>41</v>
      </c>
      <c r="G3195">
        <v>-443.69839999999999</v>
      </c>
      <c r="H3195">
        <v>0.91761879999999996</v>
      </c>
      <c r="I3195">
        <v>284.25200000000001</v>
      </c>
      <c r="J3195">
        <v>-443.34</v>
      </c>
      <c r="K3195">
        <v>1.109078</v>
      </c>
      <c r="L3195">
        <v>284.10969999999998</v>
      </c>
      <c r="M3195">
        <v>-0.9998958</v>
      </c>
      <c r="N3195">
        <v>0</v>
      </c>
      <c r="O3195">
        <v>1.221148E-3</v>
      </c>
      <c r="P3195">
        <v>-0.99056359999999999</v>
      </c>
      <c r="Q3195">
        <v>0.13524649999999999</v>
      </c>
      <c r="R3195">
        <v>-2.2183230000000002E-2</v>
      </c>
      <c r="S3195">
        <v>-3.1351930000000001</v>
      </c>
      <c r="T3195">
        <v>-0.71656660000000005</v>
      </c>
      <c r="U3195">
        <v>0.53262330000000002</v>
      </c>
      <c r="V3195">
        <v>-2.317176E-2</v>
      </c>
      <c r="W3195">
        <v>0.14951439999999999</v>
      </c>
      <c r="X3195">
        <v>0.98848800000000003</v>
      </c>
      <c r="Y3195">
        <v>0.16224450000000001</v>
      </c>
      <c r="Z3195">
        <v>1.7905879999999999E-2</v>
      </c>
      <c r="AA3195">
        <v>0.98658809999999997</v>
      </c>
      <c r="AB3195">
        <v>49</v>
      </c>
      <c r="AC3195">
        <v>-0.35840000000001698</v>
      </c>
      <c r="AD3195">
        <v>-0.1914592</v>
      </c>
      <c r="AE3195">
        <v>0.14230000000003401</v>
      </c>
      <c r="AF3195">
        <v>0.11380711797446399</v>
      </c>
      <c r="AG3195">
        <v>-0.1914592</v>
      </c>
      <c r="AH3195">
        <v>0.28766099792768002</v>
      </c>
      <c r="AI3195">
        <v>121.753230625662</v>
      </c>
      <c r="AJ3195">
        <v>68.414797167603297</v>
      </c>
      <c r="AK3195">
        <v>0.36380975123688197</v>
      </c>
      <c r="AL3195">
        <v>81.401213668201393</v>
      </c>
      <c r="AM3195">
        <v>91.342859951439195</v>
      </c>
      <c r="AN3195">
        <v>1.00000000620642</v>
      </c>
    </row>
    <row r="3196" spans="1:40" x14ac:dyDescent="0.25">
      <c r="A3196" t="str">
        <f>"20190312172141148"</f>
        <v>20190312172141148</v>
      </c>
      <c r="B3196" t="str">
        <f>"1552382501143630"</f>
        <v>1552382501143630</v>
      </c>
      <c r="C3196" t="s">
        <v>40</v>
      </c>
      <c r="D3196">
        <v>3.346276</v>
      </c>
      <c r="E3196">
        <v>0.5308541</v>
      </c>
      <c r="F3196" t="s">
        <v>41</v>
      </c>
      <c r="G3196">
        <v>-444.14109999999999</v>
      </c>
      <c r="H3196">
        <v>0.92712300000000003</v>
      </c>
      <c r="I3196">
        <v>284.24329999999998</v>
      </c>
      <c r="J3196">
        <v>-443.65469999999999</v>
      </c>
      <c r="K3196">
        <v>1.1090869999999999</v>
      </c>
      <c r="L3196">
        <v>284.11020000000002</v>
      </c>
      <c r="M3196">
        <v>-0.99989550000000005</v>
      </c>
      <c r="N3196">
        <v>0</v>
      </c>
      <c r="O3196">
        <v>1.482955E-3</v>
      </c>
      <c r="P3196">
        <v>-0.99052119999999999</v>
      </c>
      <c r="Q3196">
        <v>0.13522519999999999</v>
      </c>
      <c r="R3196">
        <v>-2.413177E-2</v>
      </c>
      <c r="S3196">
        <v>-3.1376040000000001</v>
      </c>
      <c r="T3196">
        <v>-0.71259759999999905</v>
      </c>
      <c r="U3196">
        <v>0.52224729999999997</v>
      </c>
      <c r="V3196">
        <v>-2.538238E-2</v>
      </c>
      <c r="W3196">
        <v>0.1495003</v>
      </c>
      <c r="X3196">
        <v>0.98843579999999998</v>
      </c>
      <c r="Y3196">
        <v>0.15882579999999999</v>
      </c>
      <c r="Z3196">
        <v>1.7361479999999999E-2</v>
      </c>
      <c r="AA3196">
        <v>0.98715390000000003</v>
      </c>
      <c r="AB3196">
        <v>49</v>
      </c>
      <c r="AC3196">
        <v>-0.486400000000003</v>
      </c>
      <c r="AD3196">
        <v>-0.18196399999999999</v>
      </c>
      <c r="AE3196">
        <v>0.133099999999956</v>
      </c>
      <c r="AF3196">
        <v>0.117127965075043</v>
      </c>
      <c r="AG3196">
        <v>-0.18196399999999999</v>
      </c>
      <c r="AH3196">
        <v>0.430539051714323</v>
      </c>
      <c r="AI3196">
        <v>112.18661964722</v>
      </c>
      <c r="AJ3196">
        <v>74.781028672953894</v>
      </c>
      <c r="AK3196">
        <v>0.48186484884217201</v>
      </c>
      <c r="AL3196">
        <v>81.402030389306901</v>
      </c>
      <c r="AM3196">
        <v>91.470994580245204</v>
      </c>
      <c r="AN3196">
        <v>0.99999996781809597</v>
      </c>
    </row>
    <row r="3197" spans="1:40" x14ac:dyDescent="0.25">
      <c r="A3197" t="str">
        <f>"20190312172141161"</f>
        <v>20190312172141161</v>
      </c>
      <c r="B3197" t="str">
        <f>"1552382501153390"</f>
        <v>1552382501153390</v>
      </c>
      <c r="C3197" t="s">
        <v>40</v>
      </c>
      <c r="D3197">
        <v>3.2836599999999998</v>
      </c>
      <c r="E3197">
        <v>0.52065720000000004</v>
      </c>
      <c r="F3197" t="s">
        <v>41</v>
      </c>
      <c r="G3197">
        <v>-444.6037</v>
      </c>
      <c r="H3197">
        <v>0.97887250000000003</v>
      </c>
      <c r="I3197">
        <v>284.16379999999998</v>
      </c>
      <c r="J3197">
        <v>-443.92259999999999</v>
      </c>
      <c r="K3197">
        <v>1.1091</v>
      </c>
      <c r="L3197">
        <v>284.11070000000001</v>
      </c>
      <c r="M3197">
        <v>-0.99989499999999998</v>
      </c>
      <c r="N3197">
        <v>0</v>
      </c>
      <c r="O3197">
        <v>1.7045610000000001E-3</v>
      </c>
      <c r="P3197">
        <v>-0.99046520000000005</v>
      </c>
      <c r="Q3197">
        <v>0.13526369999999999</v>
      </c>
      <c r="R3197">
        <v>-2.612774E-2</v>
      </c>
      <c r="S3197">
        <v>-3.0908509999999998</v>
      </c>
      <c r="T3197">
        <v>-0.42412309999999998</v>
      </c>
      <c r="U3197">
        <v>0.17349239999999999</v>
      </c>
      <c r="V3197">
        <v>-2.7599220000000001E-2</v>
      </c>
      <c r="W3197">
        <v>0.1495446</v>
      </c>
      <c r="X3197">
        <v>0.98836970000000002</v>
      </c>
      <c r="Y3197">
        <v>5.3853489999999997E-2</v>
      </c>
      <c r="Z3197">
        <v>3.4421270000000001E-3</v>
      </c>
      <c r="AA3197">
        <v>0.99854290000000001</v>
      </c>
      <c r="AB3197">
        <v>49</v>
      </c>
      <c r="AC3197">
        <v>-0.68110000000001403</v>
      </c>
      <c r="AD3197">
        <v>-0.130227499999999</v>
      </c>
      <c r="AE3197">
        <v>5.30999999999721E-2</v>
      </c>
      <c r="AF3197">
        <v>5.0117687603751099E-2</v>
      </c>
      <c r="AG3197">
        <v>-0.130227499999999</v>
      </c>
      <c r="AH3197">
        <v>0.65730488557504596</v>
      </c>
      <c r="AI3197">
        <v>101.17489467224</v>
      </c>
      <c r="AJ3197">
        <v>85.639791084634993</v>
      </c>
      <c r="AK3197">
        <v>0.67195289787887802</v>
      </c>
      <c r="AL3197">
        <v>81.399463469284399</v>
      </c>
      <c r="AM3197">
        <v>91.599510795908799</v>
      </c>
      <c r="AN3197">
        <v>0.99999998410592905</v>
      </c>
    </row>
    <row r="3198" spans="1:40" x14ac:dyDescent="0.25">
      <c r="A3198" t="str">
        <f>"20190312172141172"</f>
        <v>20190312172141172</v>
      </c>
      <c r="B3198" t="str">
        <f>"1552382501164127"</f>
        <v>1552382501164127</v>
      </c>
      <c r="C3198" t="s">
        <v>40</v>
      </c>
      <c r="D3198">
        <v>3.3195019999999902</v>
      </c>
      <c r="E3198">
        <v>0.51263809999999999</v>
      </c>
      <c r="F3198" t="s">
        <v>41</v>
      </c>
      <c r="G3198">
        <v>-445.0428</v>
      </c>
      <c r="H3198">
        <v>0.97905540000000002</v>
      </c>
      <c r="I3198">
        <v>284.14210000000003</v>
      </c>
      <c r="J3198">
        <v>-444.20569999999998</v>
      </c>
      <c r="K3198">
        <v>1.109105</v>
      </c>
      <c r="L3198">
        <v>284.1114</v>
      </c>
      <c r="M3198">
        <v>-0.99989459999999997</v>
      </c>
      <c r="N3198">
        <v>0</v>
      </c>
      <c r="O3198">
        <v>1.936842E-3</v>
      </c>
      <c r="P3198">
        <v>-0.99034610000000001</v>
      </c>
      <c r="Q3198">
        <v>0.135717</v>
      </c>
      <c r="R3198">
        <v>-2.8210010000000001E-2</v>
      </c>
      <c r="S3198">
        <v>-3.079987</v>
      </c>
      <c r="T3198">
        <v>-0.35751539999999998</v>
      </c>
      <c r="U3198">
        <v>8.6639399999999894E-2</v>
      </c>
      <c r="V3198">
        <v>-2.9912979999999999E-2</v>
      </c>
      <c r="W3198">
        <v>0.15000189999999999</v>
      </c>
      <c r="X3198">
        <v>0.98823309999999998</v>
      </c>
      <c r="Y3198">
        <v>2.6020769999999999E-2</v>
      </c>
      <c r="Z3198">
        <v>1.2808100000000001E-3</v>
      </c>
      <c r="AA3198">
        <v>0.99966060000000001</v>
      </c>
      <c r="AB3198">
        <v>49</v>
      </c>
      <c r="AC3198">
        <v>-0.83710000000002005</v>
      </c>
      <c r="AD3198">
        <v>-0.13004959999999999</v>
      </c>
      <c r="AE3198">
        <v>3.0700000000024302E-2</v>
      </c>
      <c r="AF3198">
        <v>2.8394048909480801E-2</v>
      </c>
      <c r="AG3198">
        <v>-0.13004959999999999</v>
      </c>
      <c r="AH3198">
        <v>0.81745440648732204</v>
      </c>
      <c r="AI3198">
        <v>99.034126953205998</v>
      </c>
      <c r="AJ3198">
        <v>88.010647007083307</v>
      </c>
      <c r="AK3198">
        <v>0.82822148436222898</v>
      </c>
      <c r="AL3198">
        <v>81.372963404462297</v>
      </c>
      <c r="AM3198">
        <v>91.733765404724394</v>
      </c>
      <c r="AN3198">
        <v>1.00000000815585</v>
      </c>
    </row>
    <row r="3199" spans="1:40" x14ac:dyDescent="0.25">
      <c r="A3199" t="str">
        <f>"20190312172141190"</f>
        <v>20190312172141190</v>
      </c>
      <c r="B3199" t="str">
        <f>"1552382501183646"</f>
        <v>1552382501183646</v>
      </c>
      <c r="C3199" t="s">
        <v>40</v>
      </c>
      <c r="D3199">
        <v>3.3160980000000002</v>
      </c>
      <c r="E3199">
        <v>0.50413370000000002</v>
      </c>
      <c r="F3199" t="s">
        <v>41</v>
      </c>
      <c r="G3199">
        <v>-445.0652</v>
      </c>
      <c r="H3199">
        <v>1.023574</v>
      </c>
      <c r="I3199">
        <v>284.11599999999999</v>
      </c>
      <c r="J3199">
        <v>-444.57639999999998</v>
      </c>
      <c r="K3199">
        <v>1.1091169999999999</v>
      </c>
      <c r="L3199">
        <v>284.1123</v>
      </c>
      <c r="M3199">
        <v>-0.99989380000000005</v>
      </c>
      <c r="N3199">
        <v>0</v>
      </c>
      <c r="O3199">
        <v>2.2398349999999999E-3</v>
      </c>
      <c r="P3199">
        <v>-0.99012140000000004</v>
      </c>
      <c r="Q3199">
        <v>0.13658719999999999</v>
      </c>
      <c r="R3199">
        <v>-3.1682490000000001E-2</v>
      </c>
      <c r="S3199">
        <v>-3.071625</v>
      </c>
      <c r="T3199">
        <v>-0.30562869999999998</v>
      </c>
      <c r="U3199">
        <v>1.6815190000000001E-2</v>
      </c>
      <c r="V3199">
        <v>-3.3686019999999997E-2</v>
      </c>
      <c r="W3199">
        <v>0.15087970000000001</v>
      </c>
      <c r="X3199">
        <v>0.98797800000000002</v>
      </c>
      <c r="Y3199">
        <v>3.2293479999999999E-3</v>
      </c>
      <c r="Z3199" s="1">
        <v>-6.2072819999999906E-5</v>
      </c>
      <c r="AA3199">
        <v>0.99999479999999996</v>
      </c>
      <c r="AB3199">
        <v>49</v>
      </c>
      <c r="AC3199">
        <v>-0.48880000000002599</v>
      </c>
      <c r="AD3199">
        <v>-8.5542999999999897E-2</v>
      </c>
      <c r="AE3199">
        <v>3.69999999998071E-3</v>
      </c>
      <c r="AF3199">
        <v>2.52763598619915E-3</v>
      </c>
      <c r="AG3199">
        <v>-8.5542999999999897E-2</v>
      </c>
      <c r="AH3199">
        <v>0.47428198937682498</v>
      </c>
      <c r="AI3199">
        <v>100.223985038724</v>
      </c>
      <c r="AJ3199">
        <v>89.6946510592566</v>
      </c>
      <c r="AK3199">
        <v>0.48194128194202002</v>
      </c>
      <c r="AL3199">
        <v>81.322089935780298</v>
      </c>
      <c r="AM3199">
        <v>91.952795886639393</v>
      </c>
      <c r="AN3199">
        <v>0.99999998014976499</v>
      </c>
    </row>
    <row r="3200" spans="1:40" x14ac:dyDescent="0.25">
      <c r="A3200" t="str">
        <f>"20190312172141206"</f>
        <v>20190312172141206</v>
      </c>
      <c r="B3200" t="str">
        <f>"1552382501193406"</f>
        <v>1552382501193406</v>
      </c>
      <c r="C3200" t="s">
        <v>40</v>
      </c>
      <c r="D3200">
        <v>3.3178260000000002</v>
      </c>
      <c r="E3200">
        <v>0.50197849999999999</v>
      </c>
      <c r="F3200" t="s">
        <v>46</v>
      </c>
      <c r="G3200">
        <v>-457.95330000000001</v>
      </c>
      <c r="H3200" s="1">
        <v>2.7292940000000001E-6</v>
      </c>
      <c r="I3200">
        <v>283.84519999999998</v>
      </c>
      <c r="J3200">
        <v>-444.89960000000002</v>
      </c>
      <c r="K3200">
        <v>1.1091310000000001</v>
      </c>
      <c r="L3200">
        <v>284.11320000000001</v>
      </c>
      <c r="M3200">
        <v>-0.99989309999999998</v>
      </c>
      <c r="N3200">
        <v>0</v>
      </c>
      <c r="O3200">
        <v>2.5025440000000002E-3</v>
      </c>
      <c r="P3200">
        <v>-0.99007420000000002</v>
      </c>
      <c r="Q3200">
        <v>0.13663710000000001</v>
      </c>
      <c r="R3200">
        <v>-3.2919900000000002E-2</v>
      </c>
      <c r="S3200">
        <v>-3.0629879999999998</v>
      </c>
      <c r="T3200">
        <v>-0.25396049999999998</v>
      </c>
      <c r="U3200">
        <v>-6.115723E-2</v>
      </c>
      <c r="V3200">
        <v>-3.5185189999999998E-2</v>
      </c>
      <c r="W3200">
        <v>0.15093770000000001</v>
      </c>
      <c r="X3200">
        <v>0.98791689999999999</v>
      </c>
      <c r="Y3200">
        <v>-2.237944E-2</v>
      </c>
      <c r="Z3200">
        <v>-1.133228E-3</v>
      </c>
      <c r="AA3200">
        <v>0.99974890000000005</v>
      </c>
      <c r="AB3200">
        <v>49</v>
      </c>
      <c r="AC3200">
        <v>-13.0536999999999</v>
      </c>
      <c r="AD3200">
        <v>-1.109128270706</v>
      </c>
      <c r="AE3200">
        <v>-0.26800000000002899</v>
      </c>
      <c r="AF3200">
        <v>-0.29851583606499199</v>
      </c>
      <c r="AG3200">
        <v>-1.109128270706</v>
      </c>
      <c r="AH3200">
        <v>12.9594692269392</v>
      </c>
      <c r="AI3200">
        <v>94.890413246105794</v>
      </c>
      <c r="AJ3200">
        <v>91.319550450857093</v>
      </c>
      <c r="AK3200">
        <v>13.010269784645001</v>
      </c>
      <c r="AL3200">
        <v>81.318728403810098</v>
      </c>
      <c r="AM3200">
        <v>92.039757739524504</v>
      </c>
      <c r="AN3200">
        <v>0.99999999409111795</v>
      </c>
    </row>
    <row r="3201" spans="1:40" x14ac:dyDescent="0.25">
      <c r="A3201" t="str">
        <f>"20190312172141217"</f>
        <v>20190312172141217</v>
      </c>
      <c r="B3201" t="str">
        <f>"1552382501213902"</f>
        <v>1552382501213902</v>
      </c>
      <c r="C3201" t="s">
        <v>40</v>
      </c>
      <c r="D3201">
        <v>3.3381750000000001</v>
      </c>
      <c r="E3201">
        <v>0.49934469999999997</v>
      </c>
      <c r="F3201" t="s">
        <v>46</v>
      </c>
      <c r="G3201">
        <v>-458.84480000000002</v>
      </c>
      <c r="H3201" s="1">
        <v>3.2082029999999999E-6</v>
      </c>
      <c r="I3201">
        <v>283.74119999999999</v>
      </c>
      <c r="J3201">
        <v>-445.18349999999998</v>
      </c>
      <c r="K3201">
        <v>1.1091409999999999</v>
      </c>
      <c r="L3201">
        <v>284.11399999999998</v>
      </c>
      <c r="M3201">
        <v>-0.99989240000000001</v>
      </c>
      <c r="N3201">
        <v>0</v>
      </c>
      <c r="O3201">
        <v>2.7325320000000002E-3</v>
      </c>
      <c r="P3201">
        <v>-0.989927</v>
      </c>
      <c r="Q3201">
        <v>0.13745270000000001</v>
      </c>
      <c r="R3201">
        <v>-3.3930149999999999E-2</v>
      </c>
      <c r="S3201">
        <v>-3.0609739999999999</v>
      </c>
      <c r="T3201">
        <v>-0.24345449999999999</v>
      </c>
      <c r="U3201">
        <v>-8.1634520000000002E-2</v>
      </c>
      <c r="V3201">
        <v>-3.6423690000000002E-2</v>
      </c>
      <c r="W3201">
        <v>0.1517607</v>
      </c>
      <c r="X3201">
        <v>0.98774589999999995</v>
      </c>
      <c r="Y3201">
        <v>-2.929066E-2</v>
      </c>
      <c r="Z3201">
        <v>-1.379749E-3</v>
      </c>
      <c r="AA3201">
        <v>0.99956999999999996</v>
      </c>
      <c r="AB3201">
        <v>49</v>
      </c>
      <c r="AC3201">
        <v>-13.661300000000001</v>
      </c>
      <c r="AD3201">
        <v>-1.109137791797</v>
      </c>
      <c r="AE3201">
        <v>-0.37280000000003999</v>
      </c>
      <c r="AF3201">
        <v>-0.40744870872644001</v>
      </c>
      <c r="AG3201">
        <v>-1.109137791797</v>
      </c>
      <c r="AH3201">
        <v>13.570843983901501</v>
      </c>
      <c r="AI3201">
        <v>94.670273239443404</v>
      </c>
      <c r="AJ3201">
        <v>91.719722114504705</v>
      </c>
      <c r="AK3201">
        <v>13.622188059442999</v>
      </c>
      <c r="AL3201">
        <v>81.271024311242698</v>
      </c>
      <c r="AM3201">
        <v>92.111857456654903</v>
      </c>
      <c r="AN3201">
        <v>0.99999997911225702</v>
      </c>
    </row>
    <row r="3202" spans="1:40" x14ac:dyDescent="0.25">
      <c r="A3202" t="str">
        <f>"20190312172141231"</f>
        <v>20190312172141231</v>
      </c>
      <c r="B3202" t="str">
        <f>"1552382501224170"</f>
        <v>1552382501224170</v>
      </c>
      <c r="C3202" t="s">
        <v>40</v>
      </c>
      <c r="D3202">
        <v>3.3441290000000001</v>
      </c>
      <c r="E3202">
        <v>0.49864890000000001</v>
      </c>
      <c r="F3202" t="s">
        <v>46</v>
      </c>
      <c r="G3202">
        <v>-460.33150000000001</v>
      </c>
      <c r="H3202" s="1">
        <v>-1.3155869999999901E-6</v>
      </c>
      <c r="I3202">
        <v>283.59129999999999</v>
      </c>
      <c r="J3202">
        <v>-445.44560000000001</v>
      </c>
      <c r="K3202">
        <v>1.1091519999999999</v>
      </c>
      <c r="L3202">
        <v>284.11489999999998</v>
      </c>
      <c r="M3202">
        <v>-0.99989159999999999</v>
      </c>
      <c r="N3202">
        <v>0</v>
      </c>
      <c r="O3202">
        <v>2.9439710000000001E-3</v>
      </c>
      <c r="P3202">
        <v>-0.98983650000000001</v>
      </c>
      <c r="Q3202">
        <v>0.13784640000000001</v>
      </c>
      <c r="R3202">
        <v>-3.4954699999999998E-2</v>
      </c>
      <c r="S3202">
        <v>-3.0579830000000001</v>
      </c>
      <c r="T3202">
        <v>-0.2239071</v>
      </c>
      <c r="U3202">
        <v>-0.10552980000000001</v>
      </c>
      <c r="V3202">
        <v>-3.7658589999999999E-2</v>
      </c>
      <c r="W3202">
        <v>0.15216550000000001</v>
      </c>
      <c r="X3202">
        <v>0.98763730000000005</v>
      </c>
      <c r="Y3202">
        <v>-3.7323769999999999E-2</v>
      </c>
      <c r="Z3202">
        <v>-1.579434E-3</v>
      </c>
      <c r="AA3202">
        <v>0.99930200000000002</v>
      </c>
      <c r="AB3202">
        <v>49</v>
      </c>
      <c r="AC3202">
        <v>-14.8858999999999</v>
      </c>
      <c r="AD3202">
        <v>-1.1091533155869999</v>
      </c>
      <c r="AE3202">
        <v>-0.52359999999998696</v>
      </c>
      <c r="AF3202">
        <v>-0.56429696291887099</v>
      </c>
      <c r="AG3202">
        <v>-1.1091533155869999</v>
      </c>
      <c r="AH3202">
        <v>14.802216616470901</v>
      </c>
      <c r="AI3202">
        <v>94.282155468605794</v>
      </c>
      <c r="AJ3202">
        <v>92.183199043126507</v>
      </c>
      <c r="AK3202">
        <v>14.854436000763</v>
      </c>
      <c r="AL3202">
        <v>81.247558392751202</v>
      </c>
      <c r="AM3202">
        <v>92.183629052076697</v>
      </c>
      <c r="AN3202">
        <v>0.99999997257116302</v>
      </c>
    </row>
    <row r="3203" spans="1:40" x14ac:dyDescent="0.25">
      <c r="A3203" t="str">
        <f>"20190312172141242"</f>
        <v>20190312172141242</v>
      </c>
      <c r="B3203" t="str">
        <f>"1552382501233930"</f>
        <v>1552382501233930</v>
      </c>
      <c r="C3203" t="s">
        <v>40</v>
      </c>
      <c r="D3203">
        <v>3.327124</v>
      </c>
      <c r="E3203">
        <v>0.49810460000000001</v>
      </c>
      <c r="F3203" t="s">
        <v>46</v>
      </c>
      <c r="G3203">
        <v>-460.91070000000002</v>
      </c>
      <c r="H3203" s="1">
        <v>-1.0051130000000001E-6</v>
      </c>
      <c r="I3203">
        <v>283.54059999999998</v>
      </c>
      <c r="J3203">
        <v>-445.7208</v>
      </c>
      <c r="K3203">
        <v>1.109162</v>
      </c>
      <c r="L3203">
        <v>284.11579999999998</v>
      </c>
      <c r="M3203">
        <v>-0.99989070000000002</v>
      </c>
      <c r="N3203">
        <v>0</v>
      </c>
      <c r="O3203">
        <v>3.1660059999999999E-3</v>
      </c>
      <c r="P3203">
        <v>-0.98978730000000004</v>
      </c>
      <c r="Q3203">
        <v>0.1380015</v>
      </c>
      <c r="R3203">
        <v>-3.5733309999999997E-2</v>
      </c>
      <c r="S3203">
        <v>-3.0573429999999999</v>
      </c>
      <c r="T3203">
        <v>-0.21927089999999999</v>
      </c>
      <c r="U3203">
        <v>-0.113525399999999</v>
      </c>
      <c r="V3203">
        <v>-3.8657839999999999E-2</v>
      </c>
      <c r="W3203">
        <v>0.15233329999999901</v>
      </c>
      <c r="X3203">
        <v>0.98757280000000003</v>
      </c>
      <c r="Y3203">
        <v>-4.0159319999999998E-2</v>
      </c>
      <c r="Z3203">
        <v>-1.6644839999999999E-3</v>
      </c>
      <c r="AA3203">
        <v>0.99919190000000002</v>
      </c>
      <c r="AB3203">
        <v>49</v>
      </c>
      <c r="AC3203">
        <v>-15.1899</v>
      </c>
      <c r="AD3203">
        <v>-1.1091630051129999</v>
      </c>
      <c r="AE3203">
        <v>-0.57519999999999505</v>
      </c>
      <c r="AF3203">
        <v>-0.61999245082039001</v>
      </c>
      <c r="AG3203">
        <v>-1.1091630051129999</v>
      </c>
      <c r="AH3203">
        <v>15.107566086462199</v>
      </c>
      <c r="AI3203">
        <v>94.1954728856619</v>
      </c>
      <c r="AJ3203">
        <v>92.350016445700405</v>
      </c>
      <c r="AK3203">
        <v>15.1609098100281</v>
      </c>
      <c r="AL3203">
        <v>81.237830549572294</v>
      </c>
      <c r="AM3203">
        <v>92.241658357712097</v>
      </c>
      <c r="AN3203">
        <v>0.99999994909109602</v>
      </c>
    </row>
    <row r="3204" spans="1:40" x14ac:dyDescent="0.25">
      <c r="A3204" t="str">
        <f>"20190312172141257"</f>
        <v>20190312172141257</v>
      </c>
      <c r="B3204" t="str">
        <f>"1552382501253450"</f>
        <v>1552382501253450</v>
      </c>
      <c r="C3204" t="s">
        <v>40</v>
      </c>
      <c r="D3204">
        <v>3.303874</v>
      </c>
      <c r="E3204">
        <v>0.49741079999999999</v>
      </c>
      <c r="F3204" t="s">
        <v>46</v>
      </c>
      <c r="G3204">
        <v>-461.4402</v>
      </c>
      <c r="H3204" s="1">
        <v>-7.2161449999999998E-7</v>
      </c>
      <c r="I3204">
        <v>283.50009999999997</v>
      </c>
      <c r="J3204">
        <v>-446.0335</v>
      </c>
      <c r="K3204">
        <v>1.1091799999999901</v>
      </c>
      <c r="L3204">
        <v>284.11689999999999</v>
      </c>
      <c r="M3204">
        <v>-0.99988969999999999</v>
      </c>
      <c r="N3204">
        <v>0</v>
      </c>
      <c r="O3204">
        <v>3.418407E-3</v>
      </c>
      <c r="P3204">
        <v>-0.98969700000000005</v>
      </c>
      <c r="Q3204">
        <v>0.13827639999999999</v>
      </c>
      <c r="R3204">
        <v>-3.7147090000000001E-2</v>
      </c>
      <c r="S3204">
        <v>-3.056702</v>
      </c>
      <c r="T3204">
        <v>-0.21568119999999999</v>
      </c>
      <c r="U3204">
        <v>-0.11972049999999999</v>
      </c>
      <c r="V3204">
        <v>-4.0322980000000001E-2</v>
      </c>
      <c r="W3204">
        <v>0.1526245</v>
      </c>
      <c r="X3204">
        <v>0.98746129999999999</v>
      </c>
      <c r="Y3204">
        <v>-4.2438620000000003E-2</v>
      </c>
      <c r="Z3204">
        <v>-1.7356470000000001E-3</v>
      </c>
      <c r="AA3204">
        <v>0.99909760000000003</v>
      </c>
      <c r="AB3204">
        <v>49</v>
      </c>
      <c r="AC3204">
        <v>-15.406700000000001</v>
      </c>
      <c r="AD3204">
        <v>-1.10918072161449</v>
      </c>
      <c r="AE3204">
        <v>-0.61680000000001201</v>
      </c>
      <c r="AF3204">
        <v>-0.66602176847780503</v>
      </c>
      <c r="AG3204">
        <v>-1.10918072161449</v>
      </c>
      <c r="AH3204">
        <v>15.325197117197201</v>
      </c>
      <c r="AI3204">
        <v>94.135746859317607</v>
      </c>
      <c r="AJ3204">
        <v>92.488466463822704</v>
      </c>
      <c r="AK3204">
        <v>15.379711751207701</v>
      </c>
      <c r="AL3204">
        <v>81.220949061729101</v>
      </c>
      <c r="AM3204">
        <v>92.338373863219104</v>
      </c>
      <c r="AN3204">
        <v>0.99999999985701005</v>
      </c>
    </row>
    <row r="3205" spans="1:40" x14ac:dyDescent="0.25">
      <c r="A3205" t="str">
        <f>"20190312172141272"</f>
        <v>20190312172141272</v>
      </c>
      <c r="B3205" t="str">
        <f>"1552382501264188"</f>
        <v>1552382501264188</v>
      </c>
      <c r="C3205" t="s">
        <v>40</v>
      </c>
      <c r="D3205">
        <v>3.3135089999999998</v>
      </c>
      <c r="E3205">
        <v>0.49715749999999997</v>
      </c>
      <c r="F3205" t="s">
        <v>46</v>
      </c>
      <c r="G3205">
        <v>-462.11660000000001</v>
      </c>
      <c r="H3205" s="1">
        <v>-3.5901339999999998E-7</v>
      </c>
      <c r="I3205">
        <v>283.43959999999998</v>
      </c>
      <c r="J3205">
        <v>-446.37950000000001</v>
      </c>
      <c r="K3205">
        <v>1.1091949999999999</v>
      </c>
      <c r="L3205">
        <v>284.11829999999998</v>
      </c>
      <c r="M3205">
        <v>-0.99988849999999996</v>
      </c>
      <c r="N3205">
        <v>0</v>
      </c>
      <c r="O3205">
        <v>3.6970710000000001E-3</v>
      </c>
      <c r="P3205">
        <v>-0.98968469999999997</v>
      </c>
      <c r="Q3205">
        <v>0.13834289999999999</v>
      </c>
      <c r="R3205">
        <v>-3.7225279999999999E-2</v>
      </c>
      <c r="S3205">
        <v>-3.055847</v>
      </c>
      <c r="T3205">
        <v>-0.21074889999999999</v>
      </c>
      <c r="U3205">
        <v>-0.12869259999999999</v>
      </c>
      <c r="V3205">
        <v>-4.0678869999999999E-2</v>
      </c>
      <c r="W3205">
        <v>0.15271029999999999</v>
      </c>
      <c r="X3205">
        <v>0.98743340000000002</v>
      </c>
      <c r="Y3205">
        <v>-4.5653150000000003E-2</v>
      </c>
      <c r="Z3205">
        <v>-1.8262790000000001E-3</v>
      </c>
      <c r="AA3205">
        <v>0.9989557</v>
      </c>
      <c r="AB3205">
        <v>49</v>
      </c>
      <c r="AC3205">
        <v>-15.7370999999999</v>
      </c>
      <c r="AD3205">
        <v>-1.1091953590133901</v>
      </c>
      <c r="AE3205">
        <v>-0.67869999999999198</v>
      </c>
      <c r="AF3205">
        <v>-0.73324674473140905</v>
      </c>
      <c r="AG3205">
        <v>-1.1091953590133901</v>
      </c>
      <c r="AH3205">
        <v>15.6568468185539</v>
      </c>
      <c r="AI3205">
        <v>94.047876307223206</v>
      </c>
      <c r="AJ3205">
        <v>92.681336170342107</v>
      </c>
      <c r="AK3205">
        <v>15.7132051928554</v>
      </c>
      <c r="AL3205">
        <v>81.215974445404797</v>
      </c>
      <c r="AM3205">
        <v>92.3590556792781</v>
      </c>
      <c r="AN3205">
        <v>0.99999996281306203</v>
      </c>
    </row>
    <row r="3206" spans="1:40" x14ac:dyDescent="0.25">
      <c r="A3206" t="str">
        <f>"20190312172141286"</f>
        <v>20190312172141286</v>
      </c>
      <c r="B3206" t="str">
        <f>"1552382501273947"</f>
        <v>1552382501273947</v>
      </c>
      <c r="C3206" t="s">
        <v>40</v>
      </c>
      <c r="D3206">
        <v>3.3063829999999998</v>
      </c>
      <c r="E3206">
        <v>0.49700800000000001</v>
      </c>
      <c r="F3206" t="s">
        <v>46</v>
      </c>
      <c r="G3206">
        <v>-462.5994</v>
      </c>
      <c r="H3206" s="1">
        <v>-1.0146040000000001E-7</v>
      </c>
      <c r="I3206">
        <v>283.4255</v>
      </c>
      <c r="J3206">
        <v>-446.66079999999999</v>
      </c>
      <c r="K3206">
        <v>1.109205</v>
      </c>
      <c r="L3206">
        <v>284.11950000000002</v>
      </c>
      <c r="M3206">
        <v>-0.99988730000000003</v>
      </c>
      <c r="N3206">
        <v>0</v>
      </c>
      <c r="O3206">
        <v>3.9232080000000001E-3</v>
      </c>
      <c r="P3206">
        <v>-0.98960559999999997</v>
      </c>
      <c r="Q3206">
        <v>0.13885529999999999</v>
      </c>
      <c r="R3206">
        <v>-3.7413679999999998E-2</v>
      </c>
      <c r="S3206">
        <v>-3.0556030000000001</v>
      </c>
      <c r="T3206">
        <v>-0.20895739999999999</v>
      </c>
      <c r="U3206">
        <v>-0.13052369999999999</v>
      </c>
      <c r="V3206">
        <v>-4.1091219999999998E-2</v>
      </c>
      <c r="W3206">
        <v>0.1532376</v>
      </c>
      <c r="X3206">
        <v>0.98733470000000001</v>
      </c>
      <c r="Y3206">
        <v>-4.6479479999999997E-2</v>
      </c>
      <c r="Z3206">
        <v>-1.8545619999999999E-3</v>
      </c>
      <c r="AA3206">
        <v>0.99891750000000001</v>
      </c>
      <c r="AB3206">
        <v>49</v>
      </c>
      <c r="AC3206">
        <v>-15.938599999999999</v>
      </c>
      <c r="AD3206">
        <v>-1.1092051014603901</v>
      </c>
      <c r="AE3206">
        <v>-0.69400000000001605</v>
      </c>
      <c r="AF3206">
        <v>-0.75289223580266595</v>
      </c>
      <c r="AG3206">
        <v>-1.1092051014603901</v>
      </c>
      <c r="AH3206">
        <v>15.859092505934999</v>
      </c>
      <c r="AI3206">
        <v>93.996338199202299</v>
      </c>
      <c r="AJ3206">
        <v>92.718010753290599</v>
      </c>
      <c r="AK3206">
        <v>15.915652603259501</v>
      </c>
      <c r="AL3206">
        <v>81.185403152957207</v>
      </c>
      <c r="AM3206">
        <v>92.383179258562805</v>
      </c>
      <c r="AN3206">
        <v>1.00000003011946</v>
      </c>
    </row>
    <row r="3207" spans="1:40" x14ac:dyDescent="0.25">
      <c r="A3207" t="str">
        <f>"20190312172141302"</f>
        <v>20190312172141302</v>
      </c>
      <c r="B3207" t="str">
        <f>"1552382501293466"</f>
        <v>1552382501293466</v>
      </c>
      <c r="C3207" t="s">
        <v>40</v>
      </c>
      <c r="D3207">
        <v>3.3092000000000001</v>
      </c>
      <c r="E3207">
        <v>0.4967625</v>
      </c>
      <c r="F3207" t="s">
        <v>46</v>
      </c>
      <c r="G3207">
        <v>-463.09039999999999</v>
      </c>
      <c r="H3207" s="1">
        <v>1.6041749999999999E-7</v>
      </c>
      <c r="I3207">
        <v>283.41129999999998</v>
      </c>
      <c r="J3207">
        <v>-447.01819999999998</v>
      </c>
      <c r="K3207">
        <v>1.1092219999999999</v>
      </c>
      <c r="L3207">
        <v>284.12099999999998</v>
      </c>
      <c r="M3207">
        <v>-0.99988589999999999</v>
      </c>
      <c r="N3207">
        <v>0</v>
      </c>
      <c r="O3207">
        <v>4.209979E-3</v>
      </c>
      <c r="P3207">
        <v>-0.9895275</v>
      </c>
      <c r="Q3207">
        <v>0.1393848</v>
      </c>
      <c r="R3207">
        <v>-3.751765E-2</v>
      </c>
      <c r="S3207">
        <v>-3.0554809999999999</v>
      </c>
      <c r="T3207">
        <v>-0.20628369999999999</v>
      </c>
      <c r="U3207">
        <v>-0.13171389999999999</v>
      </c>
      <c r="V3207">
        <v>-4.1479340000000003E-2</v>
      </c>
      <c r="W3207">
        <v>0.15378739999999999</v>
      </c>
      <c r="X3207">
        <v>0.98723289999999997</v>
      </c>
      <c r="Y3207">
        <v>-4.7156829999999997E-2</v>
      </c>
      <c r="Z3207">
        <v>-1.8731049999999999E-3</v>
      </c>
      <c r="AA3207">
        <v>0.99888580000000005</v>
      </c>
      <c r="AB3207">
        <v>49</v>
      </c>
      <c r="AC3207">
        <v>-16.072199999999999</v>
      </c>
      <c r="AD3207">
        <v>-1.1092218395825</v>
      </c>
      <c r="AE3207">
        <v>-0.709699999999997</v>
      </c>
      <c r="AF3207">
        <v>-0.77368651042395298</v>
      </c>
      <c r="AG3207">
        <v>-1.1092218395825</v>
      </c>
      <c r="AH3207">
        <v>15.9930418053321</v>
      </c>
      <c r="AI3207">
        <v>93.962863197191993</v>
      </c>
      <c r="AJ3207">
        <v>92.769606931992897</v>
      </c>
      <c r="AK3207">
        <v>16.050119940141201</v>
      </c>
      <c r="AL3207">
        <v>81.153523342252001</v>
      </c>
      <c r="AM3207">
        <v>92.405910615329802</v>
      </c>
      <c r="AN3207">
        <v>0.99999994944400095</v>
      </c>
    </row>
    <row r="3208" spans="1:40" x14ac:dyDescent="0.25">
      <c r="A3208" t="str">
        <f>"20190312172141324"</f>
        <v>20190312172141324</v>
      </c>
      <c r="B3208" t="str">
        <f>"1552382501313961"</f>
        <v>1552382501313961</v>
      </c>
      <c r="C3208" t="s">
        <v>40</v>
      </c>
      <c r="D3208">
        <v>3.3008989999999998</v>
      </c>
      <c r="E3208">
        <v>0.49670399999999998</v>
      </c>
      <c r="F3208" t="s">
        <v>46</v>
      </c>
      <c r="G3208">
        <v>-463.7937</v>
      </c>
      <c r="H3208" s="1">
        <v>5.3566089999999995E-7</v>
      </c>
      <c r="I3208">
        <v>283.38909999999998</v>
      </c>
      <c r="J3208">
        <v>-447.50450000000001</v>
      </c>
      <c r="K3208">
        <v>1.109227</v>
      </c>
      <c r="L3208">
        <v>284.1234</v>
      </c>
      <c r="M3208">
        <v>-0.99988379999999999</v>
      </c>
      <c r="N3208">
        <v>0</v>
      </c>
      <c r="O3208">
        <v>4.5988019999999999E-3</v>
      </c>
      <c r="P3208">
        <v>-0.98969050000000003</v>
      </c>
      <c r="Q3208">
        <v>0.1382688</v>
      </c>
      <c r="R3208">
        <v>-3.7343670000000002E-2</v>
      </c>
      <c r="S3208">
        <v>-3.0551149999999998</v>
      </c>
      <c r="T3208">
        <v>-0.20200899999999999</v>
      </c>
      <c r="U3208">
        <v>-0.133300799999999</v>
      </c>
      <c r="V3208">
        <v>-4.1694050000000003E-2</v>
      </c>
      <c r="W3208">
        <v>0.15270029999999901</v>
      </c>
      <c r="X3208">
        <v>0.98739259999999995</v>
      </c>
      <c r="Y3208">
        <v>-4.8070189999999999E-2</v>
      </c>
      <c r="Z3208">
        <v>-1.8903959999999999E-3</v>
      </c>
      <c r="AA3208">
        <v>0.99884220000000001</v>
      </c>
      <c r="AB3208">
        <v>49</v>
      </c>
      <c r="AC3208">
        <v>-16.289199999999902</v>
      </c>
      <c r="AD3208">
        <v>-1.1092264643391001</v>
      </c>
      <c r="AE3208">
        <v>-0.73430000000001805</v>
      </c>
      <c r="AF3208">
        <v>-0.805483467069815</v>
      </c>
      <c r="AG3208">
        <v>-1.1092264643391001</v>
      </c>
      <c r="AH3208">
        <v>16.210633526495599</v>
      </c>
      <c r="AI3208">
        <v>93.909602753124801</v>
      </c>
      <c r="AJ3208">
        <v>92.844606769530301</v>
      </c>
      <c r="AK3208">
        <v>16.268491826080801</v>
      </c>
      <c r="AL3208">
        <v>81.216554186522401</v>
      </c>
      <c r="AM3208">
        <v>92.417958933699694</v>
      </c>
      <c r="AN3208">
        <v>0.999999960980125</v>
      </c>
    </row>
    <row r="3209" spans="1:40" x14ac:dyDescent="0.25">
      <c r="A3209" t="str">
        <f>"20190312172141347"</f>
        <v>20190312172141347</v>
      </c>
      <c r="B3209" t="str">
        <f>"1552382501333482"</f>
        <v>1552382501333482</v>
      </c>
      <c r="C3209" t="s">
        <v>40</v>
      </c>
      <c r="D3209">
        <v>3.317812</v>
      </c>
      <c r="E3209">
        <v>0.49666519999999997</v>
      </c>
      <c r="F3209" t="s">
        <v>46</v>
      </c>
      <c r="G3209">
        <v>-464.14580000000001</v>
      </c>
      <c r="H3209" s="1">
        <v>7.2254260000000002E-7</v>
      </c>
      <c r="I3209">
        <v>283.39999999999998</v>
      </c>
      <c r="J3209">
        <v>-447.98320000000001</v>
      </c>
      <c r="K3209">
        <v>1.1092409999999999</v>
      </c>
      <c r="L3209">
        <v>284.1259</v>
      </c>
      <c r="M3209">
        <v>-0.99988149999999998</v>
      </c>
      <c r="N3209">
        <v>0</v>
      </c>
      <c r="O3209">
        <v>4.9793140000000003E-3</v>
      </c>
      <c r="P3209">
        <v>-0.98949909999999996</v>
      </c>
      <c r="Q3209">
        <v>0.13976949999999999</v>
      </c>
      <c r="R3209">
        <v>-3.6826459999999998E-2</v>
      </c>
      <c r="S3209">
        <v>-3.0546880000000001</v>
      </c>
      <c r="T3209">
        <v>-0.2036115</v>
      </c>
      <c r="U3209">
        <v>-0.13278199999999901</v>
      </c>
      <c r="V3209">
        <v>-4.1551820000000003E-2</v>
      </c>
      <c r="W3209">
        <v>0.15422139999999901</v>
      </c>
      <c r="X3209">
        <v>0.98716219999999999</v>
      </c>
      <c r="Y3209">
        <v>-4.8283890000000003E-2</v>
      </c>
      <c r="Z3209">
        <v>-1.9380700000000001E-3</v>
      </c>
      <c r="AA3209">
        <v>0.99883169999999999</v>
      </c>
      <c r="AB3209">
        <v>49</v>
      </c>
      <c r="AC3209">
        <v>-16.162599999999902</v>
      </c>
      <c r="AD3209">
        <v>-1.1092402774573999</v>
      </c>
      <c r="AE3209">
        <v>-0.72590000000002397</v>
      </c>
      <c r="AF3209">
        <v>-0.80260546897952501</v>
      </c>
      <c r="AG3209">
        <v>-1.1092402774573999</v>
      </c>
      <c r="AH3209">
        <v>16.083184044211599</v>
      </c>
      <c r="AI3209">
        <v>93.940493768851297</v>
      </c>
      <c r="AJ3209">
        <v>92.856883882633596</v>
      </c>
      <c r="AK3209">
        <v>16.141356774817702</v>
      </c>
      <c r="AL3209">
        <v>81.128357204808594</v>
      </c>
      <c r="AM3209">
        <v>92.410282099714607</v>
      </c>
      <c r="AN3209">
        <v>1.00000000153605</v>
      </c>
    </row>
    <row r="3210" spans="1:40" x14ac:dyDescent="0.25">
      <c r="A3210" t="str">
        <f>"20190312172141362"</f>
        <v>20190312172141362</v>
      </c>
      <c r="B3210" t="str">
        <f>"1552382501353979"</f>
        <v>1552382501353979</v>
      </c>
      <c r="C3210" t="s">
        <v>40</v>
      </c>
      <c r="D3210">
        <v>3.2944379999999902</v>
      </c>
      <c r="E3210">
        <v>0.49652299999999999</v>
      </c>
      <c r="F3210" t="s">
        <v>46</v>
      </c>
      <c r="G3210">
        <v>-465.14609999999999</v>
      </c>
      <c r="H3210" s="1">
        <v>1.255336E-6</v>
      </c>
      <c r="I3210">
        <v>283.38900000000001</v>
      </c>
      <c r="J3210">
        <v>-448.32330000000002</v>
      </c>
      <c r="K3210">
        <v>1.1092439999999999</v>
      </c>
      <c r="L3210">
        <v>284.1277</v>
      </c>
      <c r="M3210">
        <v>-0.99987999999999999</v>
      </c>
      <c r="N3210">
        <v>0</v>
      </c>
      <c r="O3210">
        <v>5.2480280000000001E-3</v>
      </c>
      <c r="P3210">
        <v>-0.98947569999999996</v>
      </c>
      <c r="Q3210">
        <v>0.13997219999999999</v>
      </c>
      <c r="R3210">
        <v>-3.6691389999999997E-2</v>
      </c>
      <c r="S3210">
        <v>-3.0548709999999999</v>
      </c>
      <c r="T3210">
        <v>-0.1974368</v>
      </c>
      <c r="U3210">
        <v>-0.13116459999999999</v>
      </c>
      <c r="V3210">
        <v>-4.168359E-2</v>
      </c>
      <c r="W3210">
        <v>0.15443950000000001</v>
      </c>
      <c r="X3210">
        <v>0.98712250000000001</v>
      </c>
      <c r="Y3210">
        <v>-4.8028880000000003E-2</v>
      </c>
      <c r="Z3210">
        <v>-1.888444E-3</v>
      </c>
      <c r="AA3210">
        <v>0.99884410000000001</v>
      </c>
      <c r="AB3210">
        <v>49</v>
      </c>
      <c r="AC3210">
        <v>-16.822799999999901</v>
      </c>
      <c r="AD3210">
        <v>-1.1092427446640001</v>
      </c>
      <c r="AE3210">
        <v>-0.73869999999999403</v>
      </c>
      <c r="AF3210">
        <v>-0.82341269230163205</v>
      </c>
      <c r="AG3210">
        <v>-1.1092427446640001</v>
      </c>
      <c r="AH3210">
        <v>16.746025064280499</v>
      </c>
      <c r="AI3210">
        <v>93.785128906235997</v>
      </c>
      <c r="AJ3210">
        <v>92.815002684525496</v>
      </c>
      <c r="AK3210">
        <v>16.8029099676796</v>
      </c>
      <c r="AL3210">
        <v>81.115709053353498</v>
      </c>
      <c r="AM3210">
        <v>92.418013707477797</v>
      </c>
      <c r="AN3210">
        <v>0.99999995542089304</v>
      </c>
    </row>
    <row r="3211" spans="1:40" x14ac:dyDescent="0.25">
      <c r="A3211" t="str">
        <f>"20190312172141374"</f>
        <v>20190312172141374</v>
      </c>
      <c r="B3211" t="str">
        <f>"1552382501363739"</f>
        <v>1552382501363739</v>
      </c>
      <c r="C3211" t="s">
        <v>40</v>
      </c>
      <c r="D3211">
        <v>3.2898040000000002</v>
      </c>
      <c r="E3211">
        <v>0.4965002</v>
      </c>
      <c r="F3211" t="s">
        <v>46</v>
      </c>
      <c r="G3211">
        <v>-465.68810000000002</v>
      </c>
      <c r="H3211" s="1">
        <v>1.544284E-6</v>
      </c>
      <c r="I3211">
        <v>283.3777</v>
      </c>
      <c r="J3211">
        <v>-448.60050000000001</v>
      </c>
      <c r="K3211">
        <v>1.1092500000000001</v>
      </c>
      <c r="L3211">
        <v>284.1293</v>
      </c>
      <c r="M3211">
        <v>-0.99987859999999995</v>
      </c>
      <c r="N3211">
        <v>0</v>
      </c>
      <c r="O3211">
        <v>5.4657380000000004E-3</v>
      </c>
      <c r="P3211">
        <v>-0.98945709999999998</v>
      </c>
      <c r="Q3211">
        <v>0.140065299999999</v>
      </c>
      <c r="R3211">
        <v>-3.6830309999999998E-2</v>
      </c>
      <c r="S3211">
        <v>-3.0546570000000002</v>
      </c>
      <c r="T3211">
        <v>-0.195128</v>
      </c>
      <c r="U3211">
        <v>-0.1319275</v>
      </c>
      <c r="V3211">
        <v>-4.2038730000000003E-2</v>
      </c>
      <c r="W3211">
        <v>0.15454599999999999</v>
      </c>
      <c r="X3211">
        <v>0.98709080000000005</v>
      </c>
      <c r="Y3211">
        <v>-4.8499540000000001E-2</v>
      </c>
      <c r="Z3211">
        <v>-1.895426E-3</v>
      </c>
      <c r="AA3211">
        <v>0.99882139999999997</v>
      </c>
      <c r="AB3211">
        <v>49</v>
      </c>
      <c r="AC3211">
        <v>-17.087599999999998</v>
      </c>
      <c r="AD3211">
        <v>-1.1092484557160001</v>
      </c>
      <c r="AE3211">
        <v>-0.75159999999999605</v>
      </c>
      <c r="AF3211">
        <v>-0.84145600280684896</v>
      </c>
      <c r="AG3211">
        <v>-1.1092484557160001</v>
      </c>
      <c r="AH3211">
        <v>17.011687228430102</v>
      </c>
      <c r="AI3211">
        <v>93.726152084454398</v>
      </c>
      <c r="AJ3211">
        <v>92.831736542391795</v>
      </c>
      <c r="AK3211">
        <v>17.0685670956615</v>
      </c>
      <c r="AL3211">
        <v>81.109533159036303</v>
      </c>
      <c r="AM3211">
        <v>92.438668395910398</v>
      </c>
      <c r="AN3211">
        <v>0.99999998419032599</v>
      </c>
    </row>
    <row r="3212" spans="1:40" x14ac:dyDescent="0.25">
      <c r="A3212" t="str">
        <f>"20190312172141388"</f>
        <v>20190312172141388</v>
      </c>
      <c r="B3212" t="str">
        <f>"1552382501384234"</f>
        <v>1552382501384234</v>
      </c>
      <c r="C3212" t="s">
        <v>40</v>
      </c>
      <c r="D3212">
        <v>3.286619</v>
      </c>
      <c r="E3212">
        <v>0.49633820000000001</v>
      </c>
      <c r="F3212" t="s">
        <v>46</v>
      </c>
      <c r="G3212">
        <v>-466.02719999999999</v>
      </c>
      <c r="H3212" s="1">
        <v>1.7248439999999999E-6</v>
      </c>
      <c r="I3212">
        <v>283.37509999999997</v>
      </c>
      <c r="J3212">
        <v>-448.8698</v>
      </c>
      <c r="K3212">
        <v>1.109256</v>
      </c>
      <c r="L3212">
        <v>284.1309</v>
      </c>
      <c r="M3212">
        <v>-0.99987720000000002</v>
      </c>
      <c r="N3212">
        <v>0</v>
      </c>
      <c r="O3212">
        <v>5.6747369999999896E-3</v>
      </c>
      <c r="P3212">
        <v>-0.98956149999999998</v>
      </c>
      <c r="Q3212">
        <v>0.13927800000000001</v>
      </c>
      <c r="R3212">
        <v>-3.7015590000000001E-2</v>
      </c>
      <c r="S3212">
        <v>-3.0545960000000001</v>
      </c>
      <c r="T3212">
        <v>-0.1944321</v>
      </c>
      <c r="U3212">
        <v>-0.13220209999999999</v>
      </c>
      <c r="V3212">
        <v>-4.243268E-2</v>
      </c>
      <c r="W3212">
        <v>0.15377469999999999</v>
      </c>
      <c r="X3212">
        <v>0.98719440000000003</v>
      </c>
      <c r="Y3212">
        <v>-4.8798559999999998E-2</v>
      </c>
      <c r="Z3212">
        <v>-1.911502E-3</v>
      </c>
      <c r="AA3212">
        <v>0.99880679999999999</v>
      </c>
      <c r="AB3212">
        <v>49</v>
      </c>
      <c r="AC3212">
        <v>-17.1573999999999</v>
      </c>
      <c r="AD3212">
        <v>-1.1092542751559999</v>
      </c>
      <c r="AE3212">
        <v>-0.75580000000002101</v>
      </c>
      <c r="AF3212">
        <v>-0.84961756556216395</v>
      </c>
      <c r="AG3212">
        <v>-1.1092542751559999</v>
      </c>
      <c r="AH3212">
        <v>17.0815743531255</v>
      </c>
      <c r="AI3212">
        <v>93.710918668641298</v>
      </c>
      <c r="AJ3212">
        <v>92.847478552638506</v>
      </c>
      <c r="AK3212">
        <v>17.1386253076499</v>
      </c>
      <c r="AL3212">
        <v>81.154260093645206</v>
      </c>
      <c r="AM3212">
        <v>92.461235471343997</v>
      </c>
      <c r="AN3212">
        <v>0.999999987041716</v>
      </c>
    </row>
    <row r="3213" spans="1:40" x14ac:dyDescent="0.25">
      <c r="A3213" t="str">
        <f>"20190312172141402"</f>
        <v>20190312172141402</v>
      </c>
      <c r="B3213" t="str">
        <f>"1552382501393994"</f>
        <v>1552382501393994</v>
      </c>
      <c r="C3213" t="s">
        <v>40</v>
      </c>
      <c r="D3213">
        <v>3.3252039999999998</v>
      </c>
      <c r="E3213">
        <v>0.49630170000000001</v>
      </c>
      <c r="F3213" t="s">
        <v>46</v>
      </c>
      <c r="G3213">
        <v>-466.17610000000002</v>
      </c>
      <c r="H3213" s="1">
        <v>1.804275E-6</v>
      </c>
      <c r="I3213">
        <v>283.37110000000001</v>
      </c>
      <c r="J3213">
        <v>-449.19659999999999</v>
      </c>
      <c r="K3213">
        <v>1.1092660000000001</v>
      </c>
      <c r="L3213">
        <v>284.13290000000001</v>
      </c>
      <c r="M3213">
        <v>-0.99987550000000003</v>
      </c>
      <c r="N3213">
        <v>0</v>
      </c>
      <c r="O3213">
        <v>5.9253500000000002E-3</v>
      </c>
      <c r="P3213">
        <v>-0.98957309999999998</v>
      </c>
      <c r="Q3213">
        <v>0.1388054</v>
      </c>
      <c r="R3213">
        <v>-3.8448969999999999E-2</v>
      </c>
      <c r="S3213">
        <v>-3.0541990000000001</v>
      </c>
      <c r="T3213">
        <v>-0.1957595</v>
      </c>
      <c r="U3213">
        <v>-0.1340942</v>
      </c>
      <c r="V3213">
        <v>-4.4116269999999999E-2</v>
      </c>
      <c r="W3213">
        <v>0.1533214</v>
      </c>
      <c r="X3213">
        <v>0.98719109999999999</v>
      </c>
      <c r="Y3213">
        <v>-4.966827E-2</v>
      </c>
      <c r="Z3213">
        <v>-1.9686209999999998E-3</v>
      </c>
      <c r="AA3213">
        <v>0.99876390000000004</v>
      </c>
      <c r="AB3213">
        <v>49</v>
      </c>
      <c r="AC3213">
        <v>-16.979500000000002</v>
      </c>
      <c r="AD3213">
        <v>-1.109264195725</v>
      </c>
      <c r="AE3213">
        <v>-0.76179999999999304</v>
      </c>
      <c r="AF3213">
        <v>-0.85874912183009999</v>
      </c>
      <c r="AG3213">
        <v>-1.109264195725</v>
      </c>
      <c r="AH3213">
        <v>16.902692377256599</v>
      </c>
      <c r="AI3213">
        <v>93.749913452881003</v>
      </c>
      <c r="AJ3213">
        <v>92.908437943692903</v>
      </c>
      <c r="AK3213">
        <v>16.960805603223299</v>
      </c>
      <c r="AL3213">
        <v>81.180543925906804</v>
      </c>
      <c r="AM3213">
        <v>92.558770471571705</v>
      </c>
      <c r="AN3213">
        <v>0.99999998244794097</v>
      </c>
    </row>
    <row r="3214" spans="1:40" x14ac:dyDescent="0.25">
      <c r="A3214" t="str">
        <f>"20190312172141416"</f>
        <v>20190312172141416</v>
      </c>
      <c r="B3214" t="str">
        <f>"1552382501403754"</f>
        <v>1552382501403754</v>
      </c>
      <c r="C3214" t="s">
        <v>40</v>
      </c>
      <c r="D3214">
        <v>3.3249399999999998</v>
      </c>
      <c r="E3214">
        <v>0.49625920000000001</v>
      </c>
      <c r="F3214" t="s">
        <v>46</v>
      </c>
      <c r="G3214">
        <v>-466.38639999999998</v>
      </c>
      <c r="H3214" s="1">
        <v>1.9170009999999998E-6</v>
      </c>
      <c r="I3214">
        <v>283.35210000000001</v>
      </c>
      <c r="J3214">
        <v>-449.512</v>
      </c>
      <c r="K3214">
        <v>1.1092770000000001</v>
      </c>
      <c r="L3214">
        <v>284.13490000000002</v>
      </c>
      <c r="M3214">
        <v>-0.99987380000000003</v>
      </c>
      <c r="N3214">
        <v>0</v>
      </c>
      <c r="O3214">
        <v>6.161573E-3</v>
      </c>
      <c r="P3214">
        <v>-0.98951639999999996</v>
      </c>
      <c r="Q3214">
        <v>0.1391096</v>
      </c>
      <c r="R3214">
        <v>-3.880927E-2</v>
      </c>
      <c r="S3214">
        <v>-3.053925</v>
      </c>
      <c r="T3214">
        <v>-0.19707069999999999</v>
      </c>
      <c r="U3214">
        <v>-0.13873289999999999</v>
      </c>
      <c r="V3214">
        <v>-4.4711840000000003E-2</v>
      </c>
      <c r="W3214">
        <v>0.15364229999999901</v>
      </c>
      <c r="X3214">
        <v>0.98711439999999995</v>
      </c>
      <c r="Y3214">
        <v>-5.1416450000000002E-2</v>
      </c>
      <c r="Z3214">
        <v>-2.0534310000000001E-3</v>
      </c>
      <c r="AA3214">
        <v>0.99867519999999999</v>
      </c>
      <c r="AB3214">
        <v>49</v>
      </c>
      <c r="AC3214">
        <v>-16.874400000000001</v>
      </c>
      <c r="AD3214">
        <v>-1.1092750829989999</v>
      </c>
      <c r="AE3214">
        <v>-0.78280000000000804</v>
      </c>
      <c r="AF3214">
        <v>-0.88296171923433397</v>
      </c>
      <c r="AG3214">
        <v>-1.1092750829989999</v>
      </c>
      <c r="AH3214">
        <v>16.796826317361401</v>
      </c>
      <c r="AI3214">
        <v>93.773175365186304</v>
      </c>
      <c r="AJ3214">
        <v>93.009107647575902</v>
      </c>
      <c r="AK3214">
        <v>16.856556200570701</v>
      </c>
      <c r="AL3214">
        <v>81.161937153470404</v>
      </c>
      <c r="AM3214">
        <v>92.593468274928497</v>
      </c>
      <c r="AN3214">
        <v>0.99999997183641698</v>
      </c>
    </row>
    <row r="3215" spans="1:40" x14ac:dyDescent="0.25">
      <c r="A3215" t="str">
        <f>"20190312172141429"</f>
        <v>20190312172141429</v>
      </c>
      <c r="B3215" t="str">
        <f>"1552382501423782"</f>
        <v>1552382501423782</v>
      </c>
      <c r="C3215" t="s">
        <v>40</v>
      </c>
      <c r="D3215">
        <v>3.2974649999999999</v>
      </c>
      <c r="E3215">
        <v>0.49617919999999999</v>
      </c>
      <c r="F3215" t="s">
        <v>46</v>
      </c>
      <c r="G3215">
        <v>-466.8168</v>
      </c>
      <c r="H3215" s="1">
        <v>2.146558E-6</v>
      </c>
      <c r="I3215">
        <v>283.34050000000002</v>
      </c>
      <c r="J3215">
        <v>-449.77629999999999</v>
      </c>
      <c r="K3215">
        <v>1.1092930000000001</v>
      </c>
      <c r="L3215">
        <v>284.13670000000002</v>
      </c>
      <c r="M3215">
        <v>-0.99987239999999999</v>
      </c>
      <c r="N3215">
        <v>0</v>
      </c>
      <c r="O3215">
        <v>6.3544819999999998E-3</v>
      </c>
      <c r="P3215">
        <v>-0.98943879999999995</v>
      </c>
      <c r="Q3215">
        <v>0.13950799999999999</v>
      </c>
      <c r="R3215">
        <v>-3.9356559999999999E-2</v>
      </c>
      <c r="S3215">
        <v>-3.0538020000000001</v>
      </c>
      <c r="T3215">
        <v>-0.19575519999999999</v>
      </c>
      <c r="U3215">
        <v>-0.14019779999999901</v>
      </c>
      <c r="V3215">
        <v>-4.545163E-2</v>
      </c>
      <c r="W3215">
        <v>0.15405369999999999</v>
      </c>
      <c r="X3215">
        <v>0.98701649999999996</v>
      </c>
      <c r="Y3215">
        <v>-5.2088790000000003E-2</v>
      </c>
      <c r="Z3215">
        <v>-2.0736750000000001E-3</v>
      </c>
      <c r="AA3215">
        <v>0.99864030000000004</v>
      </c>
      <c r="AB3215">
        <v>49</v>
      </c>
      <c r="AC3215">
        <v>-17.040500000000002</v>
      </c>
      <c r="AD3215">
        <v>-1.1092908534420001</v>
      </c>
      <c r="AE3215">
        <v>-0.79619999999999802</v>
      </c>
      <c r="AF3215">
        <v>-0.90067068100126102</v>
      </c>
      <c r="AG3215">
        <v>-1.1092908534420001</v>
      </c>
      <c r="AH3215">
        <v>16.963367491660801</v>
      </c>
      <c r="AI3215">
        <v>93.736186278368507</v>
      </c>
      <c r="AJ3215">
        <v>93.039267884361493</v>
      </c>
      <c r="AK3215">
        <v>17.0234417944868</v>
      </c>
      <c r="AL3215">
        <v>81.138081750636402</v>
      </c>
      <c r="AM3215">
        <v>92.636580172212206</v>
      </c>
      <c r="AN3215">
        <v>0.99999998221279796</v>
      </c>
    </row>
    <row r="3216" spans="1:40" x14ac:dyDescent="0.25">
      <c r="A3216" t="str">
        <f>"20190312172141441"</f>
        <v>20190312172141441</v>
      </c>
      <c r="B3216" t="str">
        <f>"1552382501433542"</f>
        <v>1552382501433542</v>
      </c>
      <c r="C3216" t="s">
        <v>40</v>
      </c>
      <c r="D3216">
        <v>3.2737370000000001</v>
      </c>
      <c r="E3216">
        <v>0.49616860000000002</v>
      </c>
      <c r="F3216" t="s">
        <v>46</v>
      </c>
      <c r="G3216">
        <v>-467.25880000000001</v>
      </c>
      <c r="H3216" s="1">
        <v>2.3825570000000002E-6</v>
      </c>
      <c r="I3216">
        <v>283.32139999999998</v>
      </c>
      <c r="J3216">
        <v>-450.04410000000001</v>
      </c>
      <c r="K3216">
        <v>1.10931</v>
      </c>
      <c r="L3216">
        <v>284.13850000000002</v>
      </c>
      <c r="M3216">
        <v>-0.99987099999999995</v>
      </c>
      <c r="N3216">
        <v>0</v>
      </c>
      <c r="O3216">
        <v>6.5471390000000004E-3</v>
      </c>
      <c r="P3216">
        <v>-0.98929250000000002</v>
      </c>
      <c r="Q3216">
        <v>0.14036699999999999</v>
      </c>
      <c r="R3216">
        <v>-3.9971930000000003E-2</v>
      </c>
      <c r="S3216">
        <v>-3.0537109999999998</v>
      </c>
      <c r="T3216">
        <v>-0.19376350000000001</v>
      </c>
      <c r="U3216">
        <v>-0.14239499999999999</v>
      </c>
      <c r="V3216">
        <v>-4.6258519999999997E-2</v>
      </c>
      <c r="W3216">
        <v>0.15492330000000001</v>
      </c>
      <c r="X3216">
        <v>0.98684289999999997</v>
      </c>
      <c r="Y3216">
        <v>-5.2999789999999998E-2</v>
      </c>
      <c r="Z3216">
        <v>-2.0937130000000001E-3</v>
      </c>
      <c r="AA3216">
        <v>0.99859229999999999</v>
      </c>
      <c r="AB3216">
        <v>49</v>
      </c>
      <c r="AC3216">
        <v>-17.214699999999901</v>
      </c>
      <c r="AD3216">
        <v>-1.1093076174429899</v>
      </c>
      <c r="AE3216">
        <v>-0.81710000000003902</v>
      </c>
      <c r="AF3216">
        <v>-0.92596525482024705</v>
      </c>
      <c r="AG3216">
        <v>-1.1093076174429899</v>
      </c>
      <c r="AH3216">
        <v>17.137975992874502</v>
      </c>
      <c r="AI3216">
        <v>93.698098280131703</v>
      </c>
      <c r="AJ3216">
        <v>93.092685249637597</v>
      </c>
      <c r="AK3216">
        <v>17.198784729613699</v>
      </c>
      <c r="AL3216">
        <v>81.087652016685297</v>
      </c>
      <c r="AM3216">
        <v>92.683790167576902</v>
      </c>
      <c r="AN3216">
        <v>0.99999999441794496</v>
      </c>
    </row>
    <row r="3217" spans="1:40" x14ac:dyDescent="0.25">
      <c r="A3217" t="str">
        <f>"20190312172141453"</f>
        <v>20190312172141453</v>
      </c>
      <c r="B3217" t="str">
        <f>"1552382501443303"</f>
        <v>1552382501443303</v>
      </c>
      <c r="C3217" t="s">
        <v>40</v>
      </c>
      <c r="D3217">
        <v>3.2760720000000001</v>
      </c>
      <c r="E3217">
        <v>0.49614730000000001</v>
      </c>
      <c r="F3217" t="s">
        <v>46</v>
      </c>
      <c r="G3217">
        <v>-467.78179999999998</v>
      </c>
      <c r="H3217" s="1">
        <v>2.6618589999999998E-6</v>
      </c>
      <c r="I3217">
        <v>283.29969999999997</v>
      </c>
      <c r="J3217">
        <v>-450.31189999999998</v>
      </c>
      <c r="K3217">
        <v>1.109329</v>
      </c>
      <c r="L3217">
        <v>284.1404</v>
      </c>
      <c r="M3217">
        <v>-0.99986960000000003</v>
      </c>
      <c r="N3217">
        <v>0</v>
      </c>
      <c r="O3217">
        <v>6.7310690000000001E-3</v>
      </c>
      <c r="P3217">
        <v>-0.98905869999999996</v>
      </c>
      <c r="Q3217">
        <v>0.14177679999999901</v>
      </c>
      <c r="R3217">
        <v>-4.0774610000000003E-2</v>
      </c>
      <c r="S3217">
        <v>-3.0537719999999999</v>
      </c>
      <c r="T3217">
        <v>-0.19098090000000001</v>
      </c>
      <c r="U3217">
        <v>-0.14440919999999999</v>
      </c>
      <c r="V3217">
        <v>-4.7243050000000002E-2</v>
      </c>
      <c r="W3217">
        <v>0.15634200000000001</v>
      </c>
      <c r="X3217">
        <v>0.98657249999999996</v>
      </c>
      <c r="Y3217">
        <v>-5.3841130000000001E-2</v>
      </c>
      <c r="Z3217">
        <v>-2.1013870000000001E-3</v>
      </c>
      <c r="AA3217">
        <v>0.99854730000000003</v>
      </c>
      <c r="AB3217">
        <v>49</v>
      </c>
      <c r="AC3217">
        <v>-17.4698999999999</v>
      </c>
      <c r="AD3217">
        <v>-1.1093263381409999</v>
      </c>
      <c r="AE3217">
        <v>-0.84070000000002598</v>
      </c>
      <c r="AF3217">
        <v>-0.95444513986744495</v>
      </c>
      <c r="AG3217">
        <v>-1.1093263381409999</v>
      </c>
      <c r="AH3217">
        <v>17.393871893863</v>
      </c>
      <c r="AI3217">
        <v>93.643735227396803</v>
      </c>
      <c r="AJ3217">
        <v>93.140812554357893</v>
      </c>
      <c r="AK3217">
        <v>17.4553244000113</v>
      </c>
      <c r="AL3217">
        <v>81.005363966317006</v>
      </c>
      <c r="AM3217">
        <v>92.741573715247597</v>
      </c>
      <c r="AN3217">
        <v>1.00000001224677</v>
      </c>
    </row>
    <row r="3218" spans="1:40" x14ac:dyDescent="0.25">
      <c r="A3218" t="str">
        <f>"20190312172141466"</f>
        <v>20190312172141466</v>
      </c>
      <c r="B3218" t="str">
        <f>"1552382501454038"</f>
        <v>1552382501454038</v>
      </c>
      <c r="C3218" t="s">
        <v>40</v>
      </c>
      <c r="D3218">
        <v>3.2839309999999999</v>
      </c>
      <c r="E3218">
        <v>0.4961178</v>
      </c>
      <c r="F3218" t="s">
        <v>46</v>
      </c>
      <c r="G3218">
        <v>-468.505</v>
      </c>
      <c r="H3218" s="1">
        <v>3.0482159999999999E-6</v>
      </c>
      <c r="I3218">
        <v>283.26479999999998</v>
      </c>
      <c r="J3218">
        <v>-450.58049999999997</v>
      </c>
      <c r="K3218">
        <v>1.1093470000000001</v>
      </c>
      <c r="L3218">
        <v>284.1422</v>
      </c>
      <c r="M3218">
        <v>-0.99986810000000004</v>
      </c>
      <c r="N3218">
        <v>0</v>
      </c>
      <c r="O3218">
        <v>6.9102190000000004E-3</v>
      </c>
      <c r="P3218">
        <v>-0.98884989999999995</v>
      </c>
      <c r="Q3218">
        <v>0.14300679999999999</v>
      </c>
      <c r="R3218">
        <v>-4.1538440000000003E-2</v>
      </c>
      <c r="S3218">
        <v>-3.0538020000000001</v>
      </c>
      <c r="T3218">
        <v>-0.18620629999999999</v>
      </c>
      <c r="U3218">
        <v>-0.14697270000000001</v>
      </c>
      <c r="V3218">
        <v>-4.8185110000000003E-2</v>
      </c>
      <c r="W3218">
        <v>0.1575801</v>
      </c>
      <c r="X3218">
        <v>0.98632989999999998</v>
      </c>
      <c r="Y3218">
        <v>-5.485947E-2</v>
      </c>
      <c r="Z3218">
        <v>-2.090798E-3</v>
      </c>
      <c r="AA3218">
        <v>0.99849189999999999</v>
      </c>
      <c r="AB3218">
        <v>49</v>
      </c>
      <c r="AC3218">
        <v>-17.924499999999998</v>
      </c>
      <c r="AD3218">
        <v>-1.10934395178399</v>
      </c>
      <c r="AE3218">
        <v>-0.87740000000002205</v>
      </c>
      <c r="AF3218">
        <v>-0.99744322537337504</v>
      </c>
      <c r="AG3218">
        <v>-1.10934395178399</v>
      </c>
      <c r="AH3218">
        <v>17.849800729002599</v>
      </c>
      <c r="AI3218">
        <v>93.550765577687699</v>
      </c>
      <c r="AJ3218">
        <v>93.198350240163606</v>
      </c>
      <c r="AK3218">
        <v>17.912032912439201</v>
      </c>
      <c r="AL3218">
        <v>80.933535456993596</v>
      </c>
      <c r="AM3218">
        <v>92.796843387226801</v>
      </c>
      <c r="AN3218">
        <v>0.99999998218786501</v>
      </c>
    </row>
    <row r="3219" spans="1:40" x14ac:dyDescent="0.25">
      <c r="A3219" t="str">
        <f>"20190312172141478"</f>
        <v>20190312172141478</v>
      </c>
      <c r="B3219" t="str">
        <f>"1552382501473558"</f>
        <v>1552382501473558</v>
      </c>
      <c r="C3219" t="s">
        <v>40</v>
      </c>
      <c r="D3219">
        <v>3.2844509999999998</v>
      </c>
      <c r="E3219">
        <v>0.49610870000000001</v>
      </c>
      <c r="F3219" t="s">
        <v>46</v>
      </c>
      <c r="G3219">
        <v>-469.17129999999997</v>
      </c>
      <c r="H3219" s="1">
        <v>3.4043519999999999E-6</v>
      </c>
      <c r="I3219">
        <v>283.22969999999998</v>
      </c>
      <c r="J3219">
        <v>-450.84980000000002</v>
      </c>
      <c r="K3219">
        <v>1.1093630000000001</v>
      </c>
      <c r="L3219">
        <v>284.14420000000001</v>
      </c>
      <c r="M3219">
        <v>-0.99986679999999994</v>
      </c>
      <c r="N3219">
        <v>0</v>
      </c>
      <c r="O3219">
        <v>7.0844710000000002E-3</v>
      </c>
      <c r="P3219">
        <v>-0.98877130000000002</v>
      </c>
      <c r="Q3219">
        <v>0.14323239999999901</v>
      </c>
      <c r="R3219">
        <v>-4.2614300000000001E-2</v>
      </c>
      <c r="S3219">
        <v>-3.053925</v>
      </c>
      <c r="T3219">
        <v>-0.1822327</v>
      </c>
      <c r="U3219">
        <v>-0.14990229999999999</v>
      </c>
      <c r="V3219">
        <v>-4.9436580000000001E-2</v>
      </c>
      <c r="W3219">
        <v>0.15781600000000001</v>
      </c>
      <c r="X3219">
        <v>0.9862303</v>
      </c>
      <c r="Y3219">
        <v>-5.5989669999999998E-2</v>
      </c>
      <c r="Z3219">
        <v>-2.0901869999999999E-3</v>
      </c>
      <c r="AA3219">
        <v>0.99842920000000002</v>
      </c>
      <c r="AB3219">
        <v>49</v>
      </c>
      <c r="AC3219">
        <v>-18.321499999999901</v>
      </c>
      <c r="AD3219">
        <v>-1.10935959564799</v>
      </c>
      <c r="AE3219">
        <v>-0.91450000000003195</v>
      </c>
      <c r="AF3219">
        <v>-1.04048401477951</v>
      </c>
      <c r="AG3219">
        <v>-1.10935959564799</v>
      </c>
      <c r="AH3219">
        <v>18.247825756923199</v>
      </c>
      <c r="AI3219">
        <v>93.473333969068605</v>
      </c>
      <c r="AJ3219">
        <v>93.263449649896501</v>
      </c>
      <c r="AK3219">
        <v>18.311101292726701</v>
      </c>
      <c r="AL3219">
        <v>80.919848601152395</v>
      </c>
      <c r="AM3219">
        <v>92.869652804949098</v>
      </c>
      <c r="AN3219">
        <v>1.00000003496809</v>
      </c>
    </row>
    <row r="3220" spans="1:40" x14ac:dyDescent="0.25">
      <c r="A3220" t="str">
        <f>"20190312172141492"</f>
        <v>20190312172141492</v>
      </c>
      <c r="B3220" t="str">
        <f>"1552382501483317"</f>
        <v>1552382501483317</v>
      </c>
      <c r="C3220" t="s">
        <v>40</v>
      </c>
      <c r="D3220">
        <v>3.2759819999999999</v>
      </c>
      <c r="E3220">
        <v>0.49610219999999999</v>
      </c>
      <c r="F3220" t="s">
        <v>46</v>
      </c>
      <c r="G3220">
        <v>-469.48700000000002</v>
      </c>
      <c r="H3220" s="1">
        <v>3.5732899999999999E-6</v>
      </c>
      <c r="I3220">
        <v>283.2081</v>
      </c>
      <c r="J3220">
        <v>-451.1456</v>
      </c>
      <c r="K3220">
        <v>1.109375</v>
      </c>
      <c r="L3220">
        <v>284.1465</v>
      </c>
      <c r="M3220">
        <v>-0.99986520000000001</v>
      </c>
      <c r="N3220">
        <v>0</v>
      </c>
      <c r="O3220">
        <v>7.26494599999999E-3</v>
      </c>
      <c r="P3220">
        <v>-0.9886568</v>
      </c>
      <c r="Q3220">
        <v>0.14330970000000001</v>
      </c>
      <c r="R3220">
        <v>-4.4942559999999999E-2</v>
      </c>
      <c r="S3220">
        <v>-3.0537719999999999</v>
      </c>
      <c r="T3220">
        <v>-0.18177219999999999</v>
      </c>
      <c r="U3220">
        <v>-0.1533813</v>
      </c>
      <c r="V3220">
        <v>-5.194787E-2</v>
      </c>
      <c r="W3220">
        <v>0.15790309999999999</v>
      </c>
      <c r="X3220">
        <v>0.98608720000000005</v>
      </c>
      <c r="Y3220">
        <v>-5.7304870000000001E-2</v>
      </c>
      <c r="Z3220">
        <v>-2.1347720000000001E-3</v>
      </c>
      <c r="AA3220">
        <v>0.99835439999999998</v>
      </c>
      <c r="AB3220">
        <v>49</v>
      </c>
      <c r="AC3220">
        <v>-18.341399999999901</v>
      </c>
      <c r="AD3220">
        <v>-1.1093714267100001</v>
      </c>
      <c r="AE3220">
        <v>-0.93840000000000101</v>
      </c>
      <c r="AF3220">
        <v>-1.06774294487838</v>
      </c>
      <c r="AG3220">
        <v>-1.1093714267100001</v>
      </c>
      <c r="AH3220">
        <v>18.267442904091101</v>
      </c>
      <c r="AI3220">
        <v>93.469365041227505</v>
      </c>
      <c r="AJ3220">
        <v>93.345166431118102</v>
      </c>
      <c r="AK3220">
        <v>18.3322189113311</v>
      </c>
      <c r="AL3220">
        <v>80.914794159180602</v>
      </c>
      <c r="AM3220">
        <v>93.015600295766106</v>
      </c>
      <c r="AN3220">
        <v>0.99999996809549196</v>
      </c>
    </row>
    <row r="3221" spans="1:40" x14ac:dyDescent="0.25">
      <c r="A3221" t="str">
        <f>"20190312172141514"</f>
        <v>20190312172141514</v>
      </c>
      <c r="B3221" t="str">
        <f>"1552382501503813"</f>
        <v>1552382501503813</v>
      </c>
      <c r="C3221" t="s">
        <v>40</v>
      </c>
      <c r="D3221">
        <v>3.265857</v>
      </c>
      <c r="E3221">
        <v>0.49609999999999999</v>
      </c>
      <c r="F3221" t="s">
        <v>46</v>
      </c>
      <c r="G3221">
        <v>-469.80869999999999</v>
      </c>
      <c r="H3221" s="1">
        <v>3.7461969999999999E-6</v>
      </c>
      <c r="I3221">
        <v>283.16789999999997</v>
      </c>
      <c r="J3221">
        <v>-451.63600000000002</v>
      </c>
      <c r="K3221">
        <v>1.1094090000000001</v>
      </c>
      <c r="L3221">
        <v>284.15019999999998</v>
      </c>
      <c r="M3221">
        <v>-0.9998629</v>
      </c>
      <c r="N3221">
        <v>0</v>
      </c>
      <c r="O3221">
        <v>7.5491150000000003E-3</v>
      </c>
      <c r="P3221">
        <v>-0.98849410000000004</v>
      </c>
      <c r="Q3221">
        <v>0.14361289999999999</v>
      </c>
      <c r="R3221">
        <v>-4.7484289999999998E-2</v>
      </c>
      <c r="S3221">
        <v>-3.053436</v>
      </c>
      <c r="T3221">
        <v>-0.18150250000000001</v>
      </c>
      <c r="U3221">
        <v>-0.16009519999999999</v>
      </c>
      <c r="V3221">
        <v>-5.4777350000000002E-2</v>
      </c>
      <c r="W3221">
        <v>0.15821950000000001</v>
      </c>
      <c r="X3221">
        <v>0.98588339999999997</v>
      </c>
      <c r="Y3221">
        <v>-5.9778810000000002E-2</v>
      </c>
      <c r="Z3221">
        <v>-2.222005E-3</v>
      </c>
      <c r="AA3221">
        <v>0.99820920000000002</v>
      </c>
      <c r="AB3221">
        <v>49</v>
      </c>
      <c r="AC3221">
        <v>-18.172699999999999</v>
      </c>
      <c r="AD3221">
        <v>-1.1094052538029999</v>
      </c>
      <c r="AE3221">
        <v>-0.98230000000000905</v>
      </c>
      <c r="AF3221">
        <v>-1.11533015104614</v>
      </c>
      <c r="AG3221">
        <v>-1.1094052538029999</v>
      </c>
      <c r="AH3221">
        <v>18.097515581676401</v>
      </c>
      <c r="AI3221">
        <v>93.501302461499193</v>
      </c>
      <c r="AJ3221">
        <v>93.526616086987801</v>
      </c>
      <c r="AK3221">
        <v>18.165759317793999</v>
      </c>
      <c r="AL3221">
        <v>80.896435493292202</v>
      </c>
      <c r="AM3221">
        <v>93.180180640793594</v>
      </c>
      <c r="AN3221">
        <v>1.00000002332441</v>
      </c>
    </row>
    <row r="3222" spans="1:40" x14ac:dyDescent="0.25">
      <c r="A3222" t="str">
        <f>"20190312172141536"</f>
        <v>20190312172141536</v>
      </c>
      <c r="B3222" t="str">
        <f>"1552382501524310"</f>
        <v>1552382501524310</v>
      </c>
      <c r="C3222" t="s">
        <v>40</v>
      </c>
      <c r="D3222">
        <v>3.277444</v>
      </c>
      <c r="E3222">
        <v>0.4961334</v>
      </c>
      <c r="F3222" t="s">
        <v>45</v>
      </c>
      <c r="G3222">
        <v>-470.38330000000002</v>
      </c>
      <c r="H3222" s="1">
        <v>6.3133810000000001E-6</v>
      </c>
      <c r="I3222">
        <v>283.12049999999999</v>
      </c>
      <c r="J3222">
        <v>-452.10820000000001</v>
      </c>
      <c r="K3222">
        <v>1.1094520000000001</v>
      </c>
      <c r="L3222">
        <v>284.15390000000002</v>
      </c>
      <c r="M3222">
        <v>-0.99986070000000005</v>
      </c>
      <c r="N3222">
        <v>0</v>
      </c>
      <c r="O3222">
        <v>7.8039449999999996E-3</v>
      </c>
      <c r="P3222">
        <v>-0.98817089999999996</v>
      </c>
      <c r="Q3222">
        <v>0.14498849999999999</v>
      </c>
      <c r="R3222">
        <v>-4.9966030000000002E-2</v>
      </c>
      <c r="S3222">
        <v>-3.0531009999999998</v>
      </c>
      <c r="T3222">
        <v>-0.180673</v>
      </c>
      <c r="U3222">
        <v>-0.16769410000000001</v>
      </c>
      <c r="V3222">
        <v>-5.7514750000000003E-2</v>
      </c>
      <c r="W3222">
        <v>0.1596032</v>
      </c>
      <c r="X3222">
        <v>0.98550439999999995</v>
      </c>
      <c r="Y3222">
        <v>-6.2511890000000001E-2</v>
      </c>
      <c r="Z3222">
        <v>-2.3077599999999998E-3</v>
      </c>
      <c r="AA3222">
        <v>0.99804159999999997</v>
      </c>
      <c r="AB3222">
        <v>48</v>
      </c>
      <c r="AC3222">
        <v>-18.275099999999998</v>
      </c>
      <c r="AD3222">
        <v>-1.1094456866189999</v>
      </c>
      <c r="AE3222">
        <v>-1.0334000000000201</v>
      </c>
      <c r="AF3222">
        <v>-1.1716974362755701</v>
      </c>
      <c r="AG3222">
        <v>-1.1094456866189999</v>
      </c>
      <c r="AH3222">
        <v>18.199617597467</v>
      </c>
      <c r="AI3222">
        <v>93.481235109062993</v>
      </c>
      <c r="AJ3222">
        <v>93.683637614255801</v>
      </c>
      <c r="AK3222">
        <v>18.271010516875201</v>
      </c>
      <c r="AL3222">
        <v>80.816134944283604</v>
      </c>
      <c r="AM3222">
        <v>93.3400345720096</v>
      </c>
      <c r="AN3222">
        <v>1.0000000251685801</v>
      </c>
    </row>
    <row r="3223" spans="1:40" x14ac:dyDescent="0.25">
      <c r="A3223" t="str">
        <f>"20190312172141552"</f>
        <v>20190312172141552</v>
      </c>
      <c r="B3223" t="str">
        <f>"1552382501543830"</f>
        <v>1552382501543830</v>
      </c>
      <c r="C3223" t="s">
        <v>40</v>
      </c>
      <c r="D3223">
        <v>3.2684419999999998</v>
      </c>
      <c r="E3223">
        <v>0.49632100000000001</v>
      </c>
      <c r="F3223" t="s">
        <v>45</v>
      </c>
      <c r="G3223">
        <v>-471.29270000000002</v>
      </c>
      <c r="H3223" s="1">
        <v>5.9043639999999996E-6</v>
      </c>
      <c r="I3223">
        <v>283.05489999999998</v>
      </c>
      <c r="J3223">
        <v>-452.44970000000001</v>
      </c>
      <c r="K3223">
        <v>1.1094710000000001</v>
      </c>
      <c r="L3223">
        <v>284.1567</v>
      </c>
      <c r="M3223">
        <v>-0.99985919999999895</v>
      </c>
      <c r="N3223">
        <v>0</v>
      </c>
      <c r="O3223">
        <v>7.9784090000000005E-3</v>
      </c>
      <c r="P3223">
        <v>-0.98795029999999995</v>
      </c>
      <c r="Q3223">
        <v>0.14599210000000001</v>
      </c>
      <c r="R3223">
        <v>-5.1388749999999997E-2</v>
      </c>
      <c r="S3223">
        <v>-3.0529480000000002</v>
      </c>
      <c r="T3223">
        <v>-0.1765534</v>
      </c>
      <c r="U3223">
        <v>-0.1748962</v>
      </c>
      <c r="V3223">
        <v>-5.9112030000000003E-2</v>
      </c>
      <c r="W3223">
        <v>0.16061139999999999</v>
      </c>
      <c r="X3223">
        <v>0.98524610000000001</v>
      </c>
      <c r="Y3223">
        <v>-6.5036679999999999E-2</v>
      </c>
      <c r="Z3223">
        <v>-2.3381529999999999E-3</v>
      </c>
      <c r="AA3223">
        <v>0.99788019999999999</v>
      </c>
      <c r="AB3223">
        <v>48</v>
      </c>
      <c r="AC3223">
        <v>-18.843</v>
      </c>
      <c r="AD3223">
        <v>-1.1094650956359999</v>
      </c>
      <c r="AE3223">
        <v>-1.1018000000000201</v>
      </c>
      <c r="AF3223">
        <v>-1.2478073263213001</v>
      </c>
      <c r="AG3223">
        <v>-1.1094650956359999</v>
      </c>
      <c r="AH3223">
        <v>18.768762967134499</v>
      </c>
      <c r="AI3223">
        <v>93.3755153250262</v>
      </c>
      <c r="AJ3223">
        <v>93.803609062878806</v>
      </c>
      <c r="AK3223">
        <v>18.842887232017699</v>
      </c>
      <c r="AL3223">
        <v>80.757614778892005</v>
      </c>
      <c r="AM3223">
        <v>93.433471824433894</v>
      </c>
      <c r="AN3223">
        <v>1.00000006573294</v>
      </c>
    </row>
    <row r="3224" spans="1:40" x14ac:dyDescent="0.25">
      <c r="A3224" t="str">
        <f>"20190312172141566"</f>
        <v>20190312172141566</v>
      </c>
      <c r="B3224" t="str">
        <f>"1552382501553590"</f>
        <v>1552382501553590</v>
      </c>
      <c r="C3224" t="s">
        <v>40</v>
      </c>
      <c r="D3224">
        <v>3.2580399999999998</v>
      </c>
      <c r="E3224">
        <v>0.49635370000000001</v>
      </c>
      <c r="F3224" t="s">
        <v>45</v>
      </c>
      <c r="G3224">
        <v>-471.76979999999998</v>
      </c>
      <c r="H3224" s="1">
        <v>5.69087599999999E-6</v>
      </c>
      <c r="I3224">
        <v>283.03320000000002</v>
      </c>
      <c r="J3224">
        <v>-452.74110000000002</v>
      </c>
      <c r="K3224">
        <v>1.109491</v>
      </c>
      <c r="L3224">
        <v>284.15910000000002</v>
      </c>
      <c r="M3224">
        <v>-0.99985789999999997</v>
      </c>
      <c r="N3224">
        <v>0</v>
      </c>
      <c r="O3224">
        <v>8.1232530000000004E-3</v>
      </c>
      <c r="P3224">
        <v>-0.98784240000000001</v>
      </c>
      <c r="Q3224">
        <v>0.146229</v>
      </c>
      <c r="R3224">
        <v>-5.276761E-2</v>
      </c>
      <c r="S3224">
        <v>-3.053223</v>
      </c>
      <c r="T3224">
        <v>-0.1753325</v>
      </c>
      <c r="U3224">
        <v>-0.1775513</v>
      </c>
      <c r="V3224">
        <v>-6.0637339999999998E-2</v>
      </c>
      <c r="W3224">
        <v>0.16085279999999999</v>
      </c>
      <c r="X3224">
        <v>0.98511389999999999</v>
      </c>
      <c r="Y3224">
        <v>-6.6040749999999995E-2</v>
      </c>
      <c r="Z3224">
        <v>-2.358831E-3</v>
      </c>
      <c r="AA3224">
        <v>0.99781410000000004</v>
      </c>
      <c r="AB3224">
        <v>48</v>
      </c>
      <c r="AC3224">
        <v>-19.028699999999901</v>
      </c>
      <c r="AD3224">
        <v>-1.109485309124</v>
      </c>
      <c r="AE3224">
        <v>-1.1258999999999999</v>
      </c>
      <c r="AF3224">
        <v>-1.2761314823397101</v>
      </c>
      <c r="AG3224">
        <v>-1.109485309124</v>
      </c>
      <c r="AH3224">
        <v>18.954711862085102</v>
      </c>
      <c r="AI3224">
        <v>93.342350115565907</v>
      </c>
      <c r="AJ3224">
        <v>93.851642577179405</v>
      </c>
      <c r="AK3224">
        <v>19.029991355385601</v>
      </c>
      <c r="AL3224">
        <v>80.743600325821703</v>
      </c>
      <c r="AM3224">
        <v>93.522319388444799</v>
      </c>
      <c r="AN3224">
        <v>0.99999995312166101</v>
      </c>
    </row>
    <row r="3225" spans="1:40" x14ac:dyDescent="0.25">
      <c r="A3225" t="str">
        <f>"20190312172141581"</f>
        <v>20190312172141581</v>
      </c>
      <c r="B3225" t="str">
        <f>"1552382501574086"</f>
        <v>1552382501574086</v>
      </c>
      <c r="C3225" t="s">
        <v>40</v>
      </c>
      <c r="D3225">
        <v>3.277447</v>
      </c>
      <c r="E3225">
        <v>0.49657960000000001</v>
      </c>
      <c r="F3225" t="s">
        <v>45</v>
      </c>
      <c r="G3225">
        <v>-472.08109999999999</v>
      </c>
      <c r="H3225" s="1">
        <v>5.5509819999999998E-6</v>
      </c>
      <c r="I3225">
        <v>283.01190000000003</v>
      </c>
      <c r="J3225">
        <v>-453.0754</v>
      </c>
      <c r="K3225">
        <v>1.109505</v>
      </c>
      <c r="L3225">
        <v>284.1619</v>
      </c>
      <c r="M3225">
        <v>-0.99985650000000004</v>
      </c>
      <c r="N3225">
        <v>0</v>
      </c>
      <c r="O3225">
        <v>8.2850119999999996E-3</v>
      </c>
      <c r="P3225">
        <v>-0.98774519999999999</v>
      </c>
      <c r="Q3225">
        <v>0.1458112</v>
      </c>
      <c r="R3225">
        <v>-5.5662780000000002E-2</v>
      </c>
      <c r="S3225">
        <v>-3.0531920000000001</v>
      </c>
      <c r="T3225">
        <v>-0.17515359999999999</v>
      </c>
      <c r="U3225">
        <v>-0.1811218</v>
      </c>
      <c r="V3225">
        <v>-6.3696089999999997E-2</v>
      </c>
      <c r="W3225">
        <v>0.16044149999999999</v>
      </c>
      <c r="X3225">
        <v>0.98498799999999997</v>
      </c>
      <c r="Y3225">
        <v>-6.7363399999999907E-2</v>
      </c>
      <c r="Z3225">
        <v>-2.403512E-3</v>
      </c>
      <c r="AA3225">
        <v>0.99772559999999999</v>
      </c>
      <c r="AB3225">
        <v>48</v>
      </c>
      <c r="AC3225">
        <v>-19.005699999999901</v>
      </c>
      <c r="AD3225">
        <v>-1.1094994490179999</v>
      </c>
      <c r="AE3225">
        <v>-1.1499999999999699</v>
      </c>
      <c r="AF3225">
        <v>-1.3030158223358901</v>
      </c>
      <c r="AG3225">
        <v>-1.1094994490179999</v>
      </c>
      <c r="AH3225">
        <v>18.9312383909289</v>
      </c>
      <c r="AI3225">
        <v>93.346187369421401</v>
      </c>
      <c r="AJ3225">
        <v>93.9373941371054</v>
      </c>
      <c r="AK3225">
        <v>19.008435660906098</v>
      </c>
      <c r="AL3225">
        <v>80.767476745323194</v>
      </c>
      <c r="AM3225">
        <v>93.699986869154202</v>
      </c>
      <c r="AN3225">
        <v>1.0000000134737601</v>
      </c>
    </row>
    <row r="3226" spans="1:40" x14ac:dyDescent="0.25">
      <c r="A3226" t="str">
        <f>"20190312172141596"</f>
        <v>20190312172141596</v>
      </c>
      <c r="B3226" t="str">
        <f>"1552382501583846"</f>
        <v>1552382501583846</v>
      </c>
      <c r="C3226" t="s">
        <v>40</v>
      </c>
      <c r="D3226">
        <v>3.2779609999999999</v>
      </c>
      <c r="E3226">
        <v>0.49667060000000002</v>
      </c>
      <c r="F3226" t="s">
        <v>45</v>
      </c>
      <c r="G3226">
        <v>-472.05329999999998</v>
      </c>
      <c r="H3226" s="1">
        <v>5.5616969999999998E-6</v>
      </c>
      <c r="I3226">
        <v>282.99369999999999</v>
      </c>
      <c r="J3226">
        <v>-453.40230000000003</v>
      </c>
      <c r="K3226">
        <v>1.109521</v>
      </c>
      <c r="L3226">
        <v>284.16480000000001</v>
      </c>
      <c r="M3226">
        <v>-0.99985520000000006</v>
      </c>
      <c r="N3226">
        <v>0</v>
      </c>
      <c r="O3226">
        <v>8.4389389999999995E-3</v>
      </c>
      <c r="P3226">
        <v>-0.98777429999999999</v>
      </c>
      <c r="Q3226">
        <v>0.1450332</v>
      </c>
      <c r="R3226">
        <v>-5.7161539999999997E-2</v>
      </c>
      <c r="S3226">
        <v>-3.0529790000000001</v>
      </c>
      <c r="T3226">
        <v>-0.17848530000000001</v>
      </c>
      <c r="U3226">
        <v>-0.18792719999999999</v>
      </c>
      <c r="V3226">
        <v>-6.5351419999999993E-2</v>
      </c>
      <c r="W3226">
        <v>0.15966900000000001</v>
      </c>
      <c r="X3226">
        <v>0.98500509999999997</v>
      </c>
      <c r="Y3226">
        <v>-6.9727839999999999E-2</v>
      </c>
      <c r="Z3226">
        <v>-2.527138E-3</v>
      </c>
      <c r="AA3226">
        <v>0.99756279999999997</v>
      </c>
      <c r="AB3226">
        <v>48</v>
      </c>
      <c r="AC3226">
        <v>-18.6509999999999</v>
      </c>
      <c r="AD3226">
        <v>-1.1095154383029999</v>
      </c>
      <c r="AE3226">
        <v>-1.17110000000002</v>
      </c>
      <c r="AF3226">
        <v>-1.3238037798596201</v>
      </c>
      <c r="AG3226">
        <v>-1.1095154383029999</v>
      </c>
      <c r="AH3226">
        <v>18.574975847884499</v>
      </c>
      <c r="AI3226">
        <v>93.409686802568004</v>
      </c>
      <c r="AJ3226">
        <v>94.076470680300702</v>
      </c>
      <c r="AK3226">
        <v>18.655112133270499</v>
      </c>
      <c r="AL3226">
        <v>80.812315880278604</v>
      </c>
      <c r="AM3226">
        <v>93.795798625994806</v>
      </c>
      <c r="AN3226">
        <v>1.00000002234151</v>
      </c>
    </row>
    <row r="3227" spans="1:40" x14ac:dyDescent="0.25">
      <c r="A3227" t="str">
        <f>"20190312172141615"</f>
        <v>20190312172141615</v>
      </c>
      <c r="B3227" t="str">
        <f>"1552382501604341"</f>
        <v>1552382501604341</v>
      </c>
      <c r="C3227" t="s">
        <v>40</v>
      </c>
      <c r="D3227">
        <v>3.2520929999999999</v>
      </c>
      <c r="E3227">
        <v>0.49685390000000001</v>
      </c>
      <c r="F3227" t="s">
        <v>45</v>
      </c>
      <c r="G3227">
        <v>-472.02690000000001</v>
      </c>
      <c r="H3227" s="1">
        <v>5.5735519999999998E-6</v>
      </c>
      <c r="I3227">
        <v>282.99549999999999</v>
      </c>
      <c r="J3227">
        <v>-453.79329999999999</v>
      </c>
      <c r="K3227">
        <v>1.109548</v>
      </c>
      <c r="L3227">
        <v>284.16820000000001</v>
      </c>
      <c r="M3227">
        <v>-0.99985360000000001</v>
      </c>
      <c r="N3227">
        <v>0</v>
      </c>
      <c r="O3227">
        <v>8.6209790000000008E-3</v>
      </c>
      <c r="P3227">
        <v>-0.98783089999999996</v>
      </c>
      <c r="Q3227">
        <v>0.1436973</v>
      </c>
      <c r="R3227">
        <v>-5.9508070000000003E-2</v>
      </c>
      <c r="S3227">
        <v>-3.052673</v>
      </c>
      <c r="T3227">
        <v>-0.18185490000000001</v>
      </c>
      <c r="U3227">
        <v>-0.1916504</v>
      </c>
      <c r="V3227">
        <v>-6.7883470000000001E-2</v>
      </c>
      <c r="W3227">
        <v>0.15834010000000001</v>
      </c>
      <c r="X3227">
        <v>0.98504840000000005</v>
      </c>
      <c r="Y3227">
        <v>-7.1119639999999998E-2</v>
      </c>
      <c r="Z3227">
        <v>-2.6271300000000001E-3</v>
      </c>
      <c r="AA3227">
        <v>0.99746440000000003</v>
      </c>
      <c r="AB3227">
        <v>48</v>
      </c>
      <c r="AC3227">
        <v>-18.233599999999999</v>
      </c>
      <c r="AD3227">
        <v>-1.1095424264480001</v>
      </c>
      <c r="AE3227">
        <v>-1.1727000000000201</v>
      </c>
      <c r="AF3227">
        <v>-1.32497900172362</v>
      </c>
      <c r="AG3227">
        <v>-1.1095424264480001</v>
      </c>
      <c r="AH3227">
        <v>18.1558588033554</v>
      </c>
      <c r="AI3227">
        <v>93.487862959222497</v>
      </c>
      <c r="AJ3227">
        <v>94.173934381655201</v>
      </c>
      <c r="AK3227">
        <v>18.237923748016801</v>
      </c>
      <c r="AL3227">
        <v>80.8894376660528</v>
      </c>
      <c r="AM3227">
        <v>93.942239472427204</v>
      </c>
      <c r="AN3227">
        <v>1.0000000515548999</v>
      </c>
    </row>
    <row r="3228" spans="1:40" x14ac:dyDescent="0.25">
      <c r="A3228" t="str">
        <f>"20190312172141629"</f>
        <v>20190312172141629</v>
      </c>
      <c r="B3228" t="str">
        <f>"1552382501623862"</f>
        <v>1552382501623862</v>
      </c>
      <c r="C3228" t="s">
        <v>40</v>
      </c>
      <c r="D3228">
        <v>3.287801</v>
      </c>
      <c r="E3228">
        <v>0.501556</v>
      </c>
      <c r="F3228" t="s">
        <v>45</v>
      </c>
      <c r="G3228">
        <v>-471.83749999999998</v>
      </c>
      <c r="H3228" s="1">
        <v>5.6584139999999999E-6</v>
      </c>
      <c r="I3228">
        <v>283.0052</v>
      </c>
      <c r="J3228">
        <v>-454.11880000000002</v>
      </c>
      <c r="K3228">
        <v>1.1095649999999999</v>
      </c>
      <c r="L3228">
        <v>284.17110000000002</v>
      </c>
      <c r="M3228">
        <v>-0.99985219999999997</v>
      </c>
      <c r="N3228">
        <v>0</v>
      </c>
      <c r="O3228">
        <v>8.7710719999999995E-3</v>
      </c>
      <c r="P3228">
        <v>-0.98783790000000005</v>
      </c>
      <c r="Q3228">
        <v>0.14321420000000001</v>
      </c>
      <c r="R3228">
        <v>-6.0548390000000001E-2</v>
      </c>
      <c r="S3228">
        <v>-3.0523989999999999</v>
      </c>
      <c r="T3228">
        <v>-0.18769269999999999</v>
      </c>
      <c r="U3228">
        <v>-0.1967468</v>
      </c>
      <c r="V3228">
        <v>-6.9075250000000005E-2</v>
      </c>
      <c r="W3228">
        <v>0.15786120000000001</v>
      </c>
      <c r="X3228">
        <v>0.98504230000000004</v>
      </c>
      <c r="Y3228">
        <v>-7.292071E-2</v>
      </c>
      <c r="Z3228">
        <v>-2.7758869999999999E-3</v>
      </c>
      <c r="AA3228">
        <v>0.9973339</v>
      </c>
      <c r="AB3228">
        <v>48</v>
      </c>
      <c r="AC3228">
        <v>-17.718699999999899</v>
      </c>
      <c r="AD3228">
        <v>-1.1095593415859999</v>
      </c>
      <c r="AE3228">
        <v>-1.1659000000000199</v>
      </c>
      <c r="AF3228">
        <v>-1.31614529089773</v>
      </c>
      <c r="AG3228">
        <v>-1.1095593415859999</v>
      </c>
      <c r="AH3228">
        <v>17.638920491384301</v>
      </c>
      <c r="AI3228">
        <v>93.589441322565605</v>
      </c>
      <c r="AJ3228">
        <v>94.2672728969047</v>
      </c>
      <c r="AK3228">
        <v>17.7227220386889</v>
      </c>
      <c r="AL3228">
        <v>80.9172250935855</v>
      </c>
      <c r="AM3228">
        <v>94.011251233798603</v>
      </c>
      <c r="AN3228">
        <v>0.99999994070864395</v>
      </c>
    </row>
    <row r="3229" spans="1:40" x14ac:dyDescent="0.25">
      <c r="A3229" t="str">
        <f>"20190312172141642"</f>
        <v>20190312172141642</v>
      </c>
      <c r="B3229" t="str">
        <f>"1552382501633622"</f>
        <v>1552382501633622</v>
      </c>
      <c r="C3229" t="s">
        <v>40</v>
      </c>
      <c r="D3229">
        <v>3.2956189999999999</v>
      </c>
      <c r="E3229">
        <v>0.50197269999999905</v>
      </c>
      <c r="F3229" t="s">
        <v>46</v>
      </c>
      <c r="G3229">
        <v>-468.34870000000001</v>
      </c>
      <c r="H3229" s="1">
        <v>2.9582829999999999E-6</v>
      </c>
      <c r="I3229">
        <v>283.41910000000001</v>
      </c>
      <c r="J3229">
        <v>-454.39260000000002</v>
      </c>
      <c r="K3229">
        <v>1.109588</v>
      </c>
      <c r="L3229">
        <v>284.17360000000002</v>
      </c>
      <c r="M3229">
        <v>-0.99985109999999999</v>
      </c>
      <c r="N3229">
        <v>0</v>
      </c>
      <c r="O3229">
        <v>8.8964669999999999E-3</v>
      </c>
      <c r="P3229">
        <v>-0.98767309999999997</v>
      </c>
      <c r="Q3229">
        <v>0.14377609999999999</v>
      </c>
      <c r="R3229">
        <v>-6.1891050000000003E-2</v>
      </c>
      <c r="S3229">
        <v>-3.0616150000000002</v>
      </c>
      <c r="T3229">
        <v>-0.23872760000000001</v>
      </c>
      <c r="U3229">
        <v>-0.16180420000000001</v>
      </c>
      <c r="V3229">
        <v>-7.0542199999999999E-2</v>
      </c>
      <c r="W3229">
        <v>0.15842390000000001</v>
      </c>
      <c r="X3229">
        <v>0.98484799999999995</v>
      </c>
      <c r="Y3229">
        <v>-6.1445649999999997E-2</v>
      </c>
      <c r="Z3229">
        <v>-3.082577E-3</v>
      </c>
      <c r="AA3229">
        <v>0.99810560000000004</v>
      </c>
      <c r="AB3229">
        <v>48</v>
      </c>
      <c r="AC3229">
        <v>-13.9560999999999</v>
      </c>
      <c r="AD3229">
        <v>-1.1095850417169999</v>
      </c>
      <c r="AE3229">
        <v>-0.75450000000000705</v>
      </c>
      <c r="AF3229">
        <v>-0.87314056311613997</v>
      </c>
      <c r="AG3229">
        <v>-1.1095850417169999</v>
      </c>
      <c r="AH3229">
        <v>13.8614699864758</v>
      </c>
      <c r="AI3229">
        <v>94.567648185370203</v>
      </c>
      <c r="AJ3229">
        <v>93.6043262546644</v>
      </c>
      <c r="AK3229">
        <v>13.9331943068964</v>
      </c>
      <c r="AL3229">
        <v>80.884574047089799</v>
      </c>
      <c r="AM3229">
        <v>94.096956523449705</v>
      </c>
      <c r="AN3229">
        <v>0.99999995858802404</v>
      </c>
    </row>
    <row r="3230" spans="1:40" x14ac:dyDescent="0.25">
      <c r="A3230" t="str">
        <f>"20190312172141655"</f>
        <v>20190312172141655</v>
      </c>
      <c r="B3230" t="str">
        <f>"1552382501644358"</f>
        <v>1552382501644358</v>
      </c>
      <c r="C3230" t="s">
        <v>40</v>
      </c>
      <c r="D3230">
        <v>3.3117529999999999</v>
      </c>
      <c r="E3230">
        <v>0.50217210000000001</v>
      </c>
      <c r="F3230" t="s">
        <v>46</v>
      </c>
      <c r="G3230">
        <v>-468.56270000000001</v>
      </c>
      <c r="H3230" s="1">
        <v>3.0720380000000002E-6</v>
      </c>
      <c r="I3230">
        <v>283.42309999999998</v>
      </c>
      <c r="J3230">
        <v>-454.67770000000002</v>
      </c>
      <c r="K3230">
        <v>1.1096109999999999</v>
      </c>
      <c r="L3230">
        <v>284.17619999999999</v>
      </c>
      <c r="M3230">
        <v>-0.99984989999999996</v>
      </c>
      <c r="N3230">
        <v>0</v>
      </c>
      <c r="O3230">
        <v>9.0265829999999995E-3</v>
      </c>
      <c r="P3230">
        <v>-0.98735019999999996</v>
      </c>
      <c r="Q3230">
        <v>0.14537069999999999</v>
      </c>
      <c r="R3230">
        <v>-6.3301319999999994E-2</v>
      </c>
      <c r="S3230">
        <v>-3.0621640000000001</v>
      </c>
      <c r="T3230">
        <v>-0.23978089999999999</v>
      </c>
      <c r="U3230">
        <v>-0.16217039999999999</v>
      </c>
      <c r="V3230">
        <v>-7.2078719999999999E-2</v>
      </c>
      <c r="W3230">
        <v>0.1600164</v>
      </c>
      <c r="X3230">
        <v>0.9844792</v>
      </c>
      <c r="Y3230">
        <v>-6.1682210000000001E-2</v>
      </c>
      <c r="Z3230">
        <v>-3.114983E-3</v>
      </c>
      <c r="AA3230">
        <v>0.99809099999999995</v>
      </c>
      <c r="AB3230">
        <v>48</v>
      </c>
      <c r="AC3230">
        <v>-13.8849999999999</v>
      </c>
      <c r="AD3230">
        <v>-1.1096079279619999</v>
      </c>
      <c r="AE3230">
        <v>-0.75310000000001698</v>
      </c>
      <c r="AF3230">
        <v>-0.87285915947394199</v>
      </c>
      <c r="AG3230">
        <v>-1.1096079279619999</v>
      </c>
      <c r="AH3230">
        <v>13.7898282655594</v>
      </c>
      <c r="AI3230">
        <v>94.591283171392007</v>
      </c>
      <c r="AJ3230">
        <v>93.621837368721501</v>
      </c>
      <c r="AK3230">
        <v>13.8619073889452</v>
      </c>
      <c r="AL3230">
        <v>80.792151330790801</v>
      </c>
      <c r="AM3230">
        <v>94.187443359134505</v>
      </c>
      <c r="AN3230">
        <v>0.99999994268921699</v>
      </c>
    </row>
    <row r="3231" spans="1:40" x14ac:dyDescent="0.25">
      <c r="A3231" t="str">
        <f>"20190312172141669"</f>
        <v>20190312172141669</v>
      </c>
      <c r="B3231" t="str">
        <f>"1552382501663878"</f>
        <v>1552382501663878</v>
      </c>
      <c r="C3231" t="s">
        <v>40</v>
      </c>
      <c r="D3231">
        <v>3.3044440000000002</v>
      </c>
      <c r="E3231">
        <v>0.50165660000000001</v>
      </c>
      <c r="F3231" t="s">
        <v>46</v>
      </c>
      <c r="G3231">
        <v>-469.22829999999999</v>
      </c>
      <c r="H3231" s="1">
        <v>3.427478E-6</v>
      </c>
      <c r="I3231">
        <v>283.39449999999999</v>
      </c>
      <c r="J3231">
        <v>-454.97449999999998</v>
      </c>
      <c r="K3231">
        <v>1.109637</v>
      </c>
      <c r="L3231">
        <v>284.17899999999997</v>
      </c>
      <c r="M3231">
        <v>-0.99984850000000003</v>
      </c>
      <c r="N3231">
        <v>0</v>
      </c>
      <c r="O3231">
        <v>9.1622460000000006E-3</v>
      </c>
      <c r="P3231">
        <v>-0.98698649999999999</v>
      </c>
      <c r="Q3231">
        <v>0.1470495</v>
      </c>
      <c r="R3231">
        <v>-6.5068719999999997E-2</v>
      </c>
      <c r="S3231">
        <v>-3.0623170000000002</v>
      </c>
      <c r="T3231">
        <v>-0.23352680000000001</v>
      </c>
      <c r="U3231">
        <v>-0.16452030000000001</v>
      </c>
      <c r="V3231">
        <v>-7.3977139999999997E-2</v>
      </c>
      <c r="W3231">
        <v>0.16169229999999901</v>
      </c>
      <c r="X3231">
        <v>0.98406450000000001</v>
      </c>
      <c r="Y3231">
        <v>-6.2586790000000003E-2</v>
      </c>
      <c r="Z3231">
        <v>-3.0785040000000001E-3</v>
      </c>
      <c r="AA3231">
        <v>0.9980348</v>
      </c>
      <c r="AB3231">
        <v>48</v>
      </c>
      <c r="AC3231">
        <v>-14.2538</v>
      </c>
      <c r="AD3231">
        <v>-1.1096335725219999</v>
      </c>
      <c r="AE3231">
        <v>-0.78450000000003595</v>
      </c>
      <c r="AF3231">
        <v>-0.90958244839832603</v>
      </c>
      <c r="AG3231">
        <v>-1.1096335725219999</v>
      </c>
      <c r="AH3231">
        <v>14.1604548360366</v>
      </c>
      <c r="AI3231">
        <v>94.471445783783807</v>
      </c>
      <c r="AJ3231">
        <v>93.675287060318894</v>
      </c>
      <c r="AK3231">
        <v>14.2329585139258</v>
      </c>
      <c r="AL3231">
        <v>80.694862772369305</v>
      </c>
      <c r="AM3231">
        <v>94.299129155823707</v>
      </c>
      <c r="AN3231">
        <v>0.99999997864105905</v>
      </c>
    </row>
    <row r="3232" spans="1:40" x14ac:dyDescent="0.25">
      <c r="A3232" t="str">
        <f>"20190312172141681"</f>
        <v>20190312172141681</v>
      </c>
      <c r="B3232" t="str">
        <f>"1552382501673638"</f>
        <v>1552382501673638</v>
      </c>
      <c r="C3232" t="s">
        <v>40</v>
      </c>
      <c r="D3232">
        <v>3.343715</v>
      </c>
      <c r="E3232">
        <v>0.50182720000000003</v>
      </c>
      <c r="F3232" t="s">
        <v>45</v>
      </c>
      <c r="G3232">
        <v>-470.39479999999998</v>
      </c>
      <c r="H3232" s="1">
        <v>6.32427699999999E-6</v>
      </c>
      <c r="I3232">
        <v>283.30340000000001</v>
      </c>
      <c r="J3232">
        <v>-455.2439</v>
      </c>
      <c r="K3232">
        <v>1.109674</v>
      </c>
      <c r="L3232">
        <v>284.18150000000003</v>
      </c>
      <c r="M3232">
        <v>-0.99984740000000005</v>
      </c>
      <c r="N3232">
        <v>0</v>
      </c>
      <c r="O3232">
        <v>9.2851110000000004E-3</v>
      </c>
      <c r="P3232">
        <v>-0.98634259999999996</v>
      </c>
      <c r="Q3232">
        <v>0.149426</v>
      </c>
      <c r="R3232">
        <v>-6.9284540000000006E-2</v>
      </c>
      <c r="S3232">
        <v>-3.060883</v>
      </c>
      <c r="T3232">
        <v>-0.2202588</v>
      </c>
      <c r="U3232">
        <v>-0.1737976</v>
      </c>
      <c r="V3232">
        <v>-7.8307860000000007E-2</v>
      </c>
      <c r="W3232">
        <v>0.16406299999999999</v>
      </c>
      <c r="X3232">
        <v>0.98333669999999995</v>
      </c>
      <c r="Y3232">
        <v>-6.5764210000000003E-2</v>
      </c>
      <c r="Z3232">
        <v>-3.028083E-3</v>
      </c>
      <c r="AA3232">
        <v>0.99783060000000001</v>
      </c>
      <c r="AB3232">
        <v>48</v>
      </c>
      <c r="AC3232">
        <v>-15.150899999999901</v>
      </c>
      <c r="AD3232">
        <v>-1.109667675723</v>
      </c>
      <c r="AE3232">
        <v>-0.87810000000001698</v>
      </c>
      <c r="AF3232">
        <v>-1.0133377322394901</v>
      </c>
      <c r="AG3232">
        <v>-1.109667675723</v>
      </c>
      <c r="AH3232">
        <v>15.0615690476758</v>
      </c>
      <c r="AI3232">
        <v>94.204208173531995</v>
      </c>
      <c r="AJ3232">
        <v>93.849041778171198</v>
      </c>
      <c r="AK3232">
        <v>15.136349556218301</v>
      </c>
      <c r="AL3232">
        <v>80.557192738415793</v>
      </c>
      <c r="AM3232">
        <v>94.553131535975794</v>
      </c>
      <c r="AN3232">
        <v>0.99999992723683195</v>
      </c>
    </row>
    <row r="3233" spans="1:40" x14ac:dyDescent="0.25">
      <c r="A3233" t="str">
        <f>"20190312172141697"</f>
        <v>20190312172141697</v>
      </c>
      <c r="B3233" t="str">
        <f>"1552382501694134"</f>
        <v>1552382501694134</v>
      </c>
      <c r="C3233" t="s">
        <v>40</v>
      </c>
      <c r="D3233">
        <v>3.2428599999999999</v>
      </c>
      <c r="E3233">
        <v>0.50158150000000001</v>
      </c>
      <c r="F3233" t="s">
        <v>45</v>
      </c>
      <c r="G3233">
        <v>-471.09280000000001</v>
      </c>
      <c r="H3233" s="1">
        <v>6.0076900000000002E-6</v>
      </c>
      <c r="I3233">
        <v>283.22289999999998</v>
      </c>
      <c r="J3233">
        <v>-455.577</v>
      </c>
      <c r="K3233">
        <v>1.1096980000000001</v>
      </c>
      <c r="L3233">
        <v>284.1848</v>
      </c>
      <c r="M3233">
        <v>-0.99984600000000001</v>
      </c>
      <c r="N3233">
        <v>0</v>
      </c>
      <c r="O3233">
        <v>9.4370530000000008E-3</v>
      </c>
      <c r="P3233">
        <v>-0.98595140000000003</v>
      </c>
      <c r="Q3233">
        <v>0.1507714</v>
      </c>
      <c r="R3233">
        <v>-7.1890179999999998E-2</v>
      </c>
      <c r="S3233">
        <v>-3.0610050000000002</v>
      </c>
      <c r="T3233">
        <v>-0.2143178</v>
      </c>
      <c r="U3233">
        <v>-0.18515010000000001</v>
      </c>
      <c r="V3233">
        <v>-8.1060259999999995E-2</v>
      </c>
      <c r="W3233">
        <v>0.16540529999999901</v>
      </c>
      <c r="X3233">
        <v>0.98288880000000001</v>
      </c>
      <c r="Y3233">
        <v>-6.9601739999999995E-2</v>
      </c>
      <c r="Z3233">
        <v>-3.0908519999999998E-3</v>
      </c>
      <c r="AA3233">
        <v>0.99757010000000002</v>
      </c>
      <c r="AB3233">
        <v>48</v>
      </c>
      <c r="AC3233">
        <v>-15.5158</v>
      </c>
      <c r="AD3233">
        <v>-1.1096919923099999</v>
      </c>
      <c r="AE3233">
        <v>-0.96190000000001397</v>
      </c>
      <c r="AF3233">
        <v>-1.1026778699389801</v>
      </c>
      <c r="AG3233">
        <v>-1.1096919923099999</v>
      </c>
      <c r="AH3233">
        <v>15.427419332366</v>
      </c>
      <c r="AI3233">
        <v>94.103758053709896</v>
      </c>
      <c r="AJ3233">
        <v>94.088274784444096</v>
      </c>
      <c r="AK3233">
        <v>15.5065335281394</v>
      </c>
      <c r="AL3233">
        <v>80.479220375087195</v>
      </c>
      <c r="AM3233">
        <v>94.714596232411907</v>
      </c>
      <c r="AN3233">
        <v>1.00000003609239</v>
      </c>
    </row>
    <row r="3234" spans="1:40" x14ac:dyDescent="0.25">
      <c r="A3234" t="str">
        <f>"20190312172141715"</f>
        <v>20190312172141715</v>
      </c>
      <c r="B3234" t="str">
        <f>"1552382501703894"</f>
        <v>1552382501703894</v>
      </c>
      <c r="C3234" t="s">
        <v>40</v>
      </c>
      <c r="D3234">
        <v>3.3526889999999998</v>
      </c>
      <c r="E3234">
        <v>0.4780314</v>
      </c>
      <c r="F3234" t="s">
        <v>45</v>
      </c>
      <c r="G3234">
        <v>-471.56979999999999</v>
      </c>
      <c r="H3234" s="1">
        <v>5.791318E-6</v>
      </c>
      <c r="I3234">
        <v>283.16739999999999</v>
      </c>
      <c r="J3234">
        <v>-455.96409999999997</v>
      </c>
      <c r="K3234">
        <v>1.1097330000000001</v>
      </c>
      <c r="L3234">
        <v>284.18849999999998</v>
      </c>
      <c r="M3234">
        <v>-0.99984430000000002</v>
      </c>
      <c r="N3234">
        <v>0</v>
      </c>
      <c r="O3234">
        <v>9.6136099999999999E-3</v>
      </c>
      <c r="P3234">
        <v>-0.9851491</v>
      </c>
      <c r="Q3234">
        <v>0.15392330000000001</v>
      </c>
      <c r="R3234">
        <v>-7.6086050000000002E-2</v>
      </c>
      <c r="S3234">
        <v>-3.0610659999999998</v>
      </c>
      <c r="T3234">
        <v>-0.212399</v>
      </c>
      <c r="U3234">
        <v>-0.19473270000000001</v>
      </c>
      <c r="V3234">
        <v>-8.5422159999999997E-2</v>
      </c>
      <c r="W3234">
        <v>0.16854820000000001</v>
      </c>
      <c r="X3234">
        <v>0.981985</v>
      </c>
      <c r="Y3234">
        <v>-7.2882379999999997E-2</v>
      </c>
      <c r="Z3234">
        <v>-3.1886839999999998E-3</v>
      </c>
      <c r="AA3234">
        <v>0.99733539999999998</v>
      </c>
      <c r="AB3234">
        <v>48</v>
      </c>
      <c r="AC3234">
        <v>-15.605700000000001</v>
      </c>
      <c r="AD3234">
        <v>-1.109727208682</v>
      </c>
      <c r="AE3234">
        <v>-1.0210999999999899</v>
      </c>
      <c r="AF3234">
        <v>-1.1652292638383499</v>
      </c>
      <c r="AG3234">
        <v>-1.109727208682</v>
      </c>
      <c r="AH3234">
        <v>15.517030888788501</v>
      </c>
      <c r="AI3234">
        <v>94.079195576476096</v>
      </c>
      <c r="AJ3234">
        <v>94.294484538102296</v>
      </c>
      <c r="AK3234">
        <v>15.600240425025801</v>
      </c>
      <c r="AL3234">
        <v>80.296580848155301</v>
      </c>
      <c r="AM3234">
        <v>94.971603077040996</v>
      </c>
      <c r="AN3234">
        <v>0.99999999068365197</v>
      </c>
    </row>
    <row r="3235" spans="1:40" x14ac:dyDescent="0.25">
      <c r="A3235" t="str">
        <f>"20190312172141738"</f>
        <v>20190312172141738</v>
      </c>
      <c r="B3235" t="str">
        <f>"1552382501724390"</f>
        <v>1552382501724390</v>
      </c>
      <c r="C3235" t="s">
        <v>40</v>
      </c>
      <c r="D3235">
        <v>3.2748159999999999</v>
      </c>
      <c r="E3235">
        <v>0.47629199999999999</v>
      </c>
      <c r="F3235" t="s">
        <v>45</v>
      </c>
      <c r="G3235">
        <v>-475.5367</v>
      </c>
      <c r="H3235" s="1">
        <v>3.8997589999999998E-6</v>
      </c>
      <c r="I3235">
        <v>281.6533</v>
      </c>
      <c r="J3235">
        <v>-456.44220000000001</v>
      </c>
      <c r="K3235">
        <v>1.109758</v>
      </c>
      <c r="L3235">
        <v>284.19330000000002</v>
      </c>
      <c r="M3235">
        <v>-0.99984209999999996</v>
      </c>
      <c r="N3235">
        <v>0</v>
      </c>
      <c r="O3235">
        <v>9.8318840000000008E-3</v>
      </c>
      <c r="P3235">
        <v>-0.98470000000000002</v>
      </c>
      <c r="Q3235">
        <v>0.154671</v>
      </c>
      <c r="R3235">
        <v>-8.0266249999999997E-2</v>
      </c>
      <c r="S3235">
        <v>-3.0417480000000001</v>
      </c>
      <c r="T3235">
        <v>-0.17246040000000001</v>
      </c>
      <c r="U3235">
        <v>-0.3939819</v>
      </c>
      <c r="V3235">
        <v>-8.9814469999999993E-2</v>
      </c>
      <c r="W3235">
        <v>0.1692922</v>
      </c>
      <c r="X3235">
        <v>0.98146500000000003</v>
      </c>
      <c r="Y3235">
        <v>-0.13796359999999999</v>
      </c>
      <c r="Z3235">
        <v>-4.4465909999999997E-3</v>
      </c>
      <c r="AA3235">
        <v>0.99042730000000001</v>
      </c>
      <c r="AB3235">
        <v>48</v>
      </c>
      <c r="AC3235">
        <v>-19.094499999999901</v>
      </c>
      <c r="AD3235">
        <v>-1.1097541002410001</v>
      </c>
      <c r="AE3235">
        <v>-2.54000000000002</v>
      </c>
      <c r="AF3235">
        <v>-2.71860936942358</v>
      </c>
      <c r="AG3235">
        <v>-1.1097541002410001</v>
      </c>
      <c r="AH3235">
        <v>19.005520090236601</v>
      </c>
      <c r="AI3235">
        <v>93.308174196628897</v>
      </c>
      <c r="AJ3235">
        <v>98.1405460870062</v>
      </c>
      <c r="AK3235">
        <v>19.231021422870601</v>
      </c>
      <c r="AL3235">
        <v>80.2533315388456</v>
      </c>
      <c r="AM3235">
        <v>95.228609589258099</v>
      </c>
      <c r="AN3235">
        <v>1.0000000171136101</v>
      </c>
    </row>
    <row r="3236" spans="1:40" x14ac:dyDescent="0.25">
      <c r="A3236" t="str">
        <f>"20190312172141753"</f>
        <v>20190312172141753</v>
      </c>
      <c r="B3236" t="str">
        <f>"1552382501743910"</f>
        <v>1552382501743910</v>
      </c>
      <c r="C3236" t="s">
        <v>40</v>
      </c>
      <c r="D3236">
        <v>3.2861639999999999</v>
      </c>
      <c r="E3236">
        <v>0.47571099999999999</v>
      </c>
      <c r="F3236" t="s">
        <v>45</v>
      </c>
      <c r="G3236">
        <v>-477.87090000000001</v>
      </c>
      <c r="H3236" s="1">
        <v>2.8279820000000002E-6</v>
      </c>
      <c r="I3236">
        <v>281.2337</v>
      </c>
      <c r="J3236">
        <v>-456.7833</v>
      </c>
      <c r="K3236">
        <v>1.1097699999999999</v>
      </c>
      <c r="L3236">
        <v>284.19670000000002</v>
      </c>
      <c r="M3236">
        <v>-0.99984050000000002</v>
      </c>
      <c r="N3236">
        <v>0</v>
      </c>
      <c r="O3236">
        <v>9.9878569999999993E-3</v>
      </c>
      <c r="P3236">
        <v>-0.98463109999999998</v>
      </c>
      <c r="Q3236">
        <v>0.1540106</v>
      </c>
      <c r="R3236">
        <v>-8.2355620000000004E-2</v>
      </c>
      <c r="S3236">
        <v>-3.03714</v>
      </c>
      <c r="T3236">
        <v>-0.15728829999999999</v>
      </c>
      <c r="U3236">
        <v>-0.41946410000000001</v>
      </c>
      <c r="V3236">
        <v>-9.205808E-2</v>
      </c>
      <c r="W3236">
        <v>0.16863239999999999</v>
      </c>
      <c r="X3236">
        <v>0.98137070000000004</v>
      </c>
      <c r="Y3236">
        <v>-0.14649529999999999</v>
      </c>
      <c r="Z3236">
        <v>-4.2875680000000003E-3</v>
      </c>
      <c r="AA3236">
        <v>0.98920209999999997</v>
      </c>
      <c r="AB3236">
        <v>48</v>
      </c>
      <c r="AC3236">
        <v>-21.087599999999998</v>
      </c>
      <c r="AD3236">
        <v>-1.109767172018</v>
      </c>
      <c r="AE3236">
        <v>-2.9630000000000201</v>
      </c>
      <c r="AF3236">
        <v>-3.16489954648232</v>
      </c>
      <c r="AG3236">
        <v>-1.109767172018</v>
      </c>
      <c r="AH3236">
        <v>20.999916326962801</v>
      </c>
      <c r="AI3236">
        <v>92.991335308240096</v>
      </c>
      <c r="AJ3236">
        <v>98.570552058596206</v>
      </c>
      <c r="AK3236">
        <v>21.266044720512799</v>
      </c>
      <c r="AL3236">
        <v>80.291686711461196</v>
      </c>
      <c r="AM3236">
        <v>95.358983649902399</v>
      </c>
      <c r="AN3236">
        <v>1.0000000136207601</v>
      </c>
    </row>
    <row r="3237" spans="1:40" x14ac:dyDescent="0.25">
      <c r="A3237" t="str">
        <f>"20190312172141771"</f>
        <v>20190312172141771</v>
      </c>
      <c r="B3237" t="str">
        <f>"1552382501764406"</f>
        <v>1552382501764406</v>
      </c>
      <c r="C3237" t="s">
        <v>40</v>
      </c>
      <c r="D3237">
        <v>3.2933479999999999</v>
      </c>
      <c r="E3237">
        <v>0.4756261</v>
      </c>
      <c r="F3237" t="s">
        <v>45</v>
      </c>
      <c r="G3237">
        <v>-477.86290000000002</v>
      </c>
      <c r="H3237" s="1">
        <v>2.8296879999999999E-6</v>
      </c>
      <c r="I3237">
        <v>281.21300000000002</v>
      </c>
      <c r="J3237">
        <v>-457.16030000000001</v>
      </c>
      <c r="K3237">
        <v>1.1097840000000001</v>
      </c>
      <c r="L3237">
        <v>284.20060000000001</v>
      </c>
      <c r="M3237">
        <v>-0.99983889999999997</v>
      </c>
      <c r="N3237">
        <v>0</v>
      </c>
      <c r="O3237">
        <v>1.015951E-2</v>
      </c>
      <c r="P3237">
        <v>-0.98454929999999996</v>
      </c>
      <c r="Q3237">
        <v>0.15192710000000001</v>
      </c>
      <c r="R3237">
        <v>-8.7069309999999997E-2</v>
      </c>
      <c r="S3237">
        <v>-3.0358890000000001</v>
      </c>
      <c r="T3237">
        <v>-0.15982850000000001</v>
      </c>
      <c r="U3237">
        <v>-0.42971799999999999</v>
      </c>
      <c r="V3237">
        <v>-9.6942559999999997E-2</v>
      </c>
      <c r="W3237">
        <v>0.16655029999999901</v>
      </c>
      <c r="X3237">
        <v>0.98125589999999996</v>
      </c>
      <c r="Y3237">
        <v>-0.1499846</v>
      </c>
      <c r="Z3237">
        <v>-4.4578090000000001E-3</v>
      </c>
      <c r="AA3237">
        <v>0.98867830000000001</v>
      </c>
      <c r="AB3237">
        <v>48</v>
      </c>
      <c r="AC3237">
        <v>-20.7026</v>
      </c>
      <c r="AD3237">
        <v>-1.109781170312</v>
      </c>
      <c r="AE3237">
        <v>-2.98760000000004</v>
      </c>
      <c r="AF3237">
        <v>-3.1888206536222898</v>
      </c>
      <c r="AG3237">
        <v>-1.109781170312</v>
      </c>
      <c r="AH3237">
        <v>20.613150094770202</v>
      </c>
      <c r="AI3237">
        <v>93.045585841879998</v>
      </c>
      <c r="AJ3237">
        <v>98.793855370997804</v>
      </c>
      <c r="AK3237">
        <v>20.887846902839701</v>
      </c>
      <c r="AL3237">
        <v>80.412693618892902</v>
      </c>
      <c r="AM3237">
        <v>95.642191519693895</v>
      </c>
      <c r="AN3237">
        <v>1.00000000182712</v>
      </c>
    </row>
    <row r="3238" spans="1:40" x14ac:dyDescent="0.25">
      <c r="A3238" t="str">
        <f>"20190312172141788"</f>
        <v>20190312172141788</v>
      </c>
      <c r="B3238" t="str">
        <f>"1552382501783926"</f>
        <v>1552382501783926</v>
      </c>
      <c r="C3238" t="s">
        <v>40</v>
      </c>
      <c r="D3238">
        <v>3.3175430000000001</v>
      </c>
      <c r="E3238">
        <v>0.47554469999999999</v>
      </c>
      <c r="F3238" t="s">
        <v>45</v>
      </c>
      <c r="G3238">
        <v>-477.08659999999998</v>
      </c>
      <c r="H3238" s="1">
        <v>3.1803170000000001E-6</v>
      </c>
      <c r="I3238">
        <v>281.28550000000001</v>
      </c>
      <c r="J3238">
        <v>-457.53109999999998</v>
      </c>
      <c r="K3238">
        <v>1.109793</v>
      </c>
      <c r="L3238">
        <v>284.2045</v>
      </c>
      <c r="M3238">
        <v>-0.99983719999999998</v>
      </c>
      <c r="N3238">
        <v>0</v>
      </c>
      <c r="O3238">
        <v>1.0328199999999999E-2</v>
      </c>
      <c r="P3238">
        <v>-0.98448380000000002</v>
      </c>
      <c r="Q3238">
        <v>0.15110860000000001</v>
      </c>
      <c r="R3238">
        <v>-8.9206949999999993E-2</v>
      </c>
      <c r="S3238">
        <v>-3.0339049999999999</v>
      </c>
      <c r="T3238">
        <v>-0.1689717</v>
      </c>
      <c r="U3238">
        <v>-0.44384770000000001</v>
      </c>
      <c r="V3238">
        <v>-9.9246989999999993E-2</v>
      </c>
      <c r="W3238">
        <v>0.16573170000000001</v>
      </c>
      <c r="X3238">
        <v>0.98116409999999998</v>
      </c>
      <c r="Y3238">
        <v>-0.154717299999999</v>
      </c>
      <c r="Z3238">
        <v>-4.8542780000000001E-3</v>
      </c>
      <c r="AA3238">
        <v>0.98794689999999996</v>
      </c>
      <c r="AB3238">
        <v>48</v>
      </c>
      <c r="AC3238">
        <v>-19.555499999999899</v>
      </c>
      <c r="AD3238">
        <v>-1.1097898196830001</v>
      </c>
      <c r="AE3238">
        <v>-2.9189999999999801</v>
      </c>
      <c r="AF3238">
        <v>-3.1110383097004002</v>
      </c>
      <c r="AG3238">
        <v>-1.1097898196830001</v>
      </c>
      <c r="AH3238">
        <v>19.462988129092398</v>
      </c>
      <c r="AI3238">
        <v>93.222679362646403</v>
      </c>
      <c r="AJ3238">
        <v>99.081551439375801</v>
      </c>
      <c r="AK3238">
        <v>19.741279080178401</v>
      </c>
      <c r="AL3238">
        <v>80.460256734549006</v>
      </c>
      <c r="AM3238">
        <v>95.775953006735307</v>
      </c>
      <c r="AN3238">
        <v>0.99999997626887904</v>
      </c>
    </row>
    <row r="3239" spans="1:40" x14ac:dyDescent="0.25">
      <c r="A3239" t="str">
        <f>"20190312172141804"</f>
        <v>20190312172141804</v>
      </c>
      <c r="B3239" t="str">
        <f>"1552382501793686"</f>
        <v>1552382501793686</v>
      </c>
      <c r="C3239" t="s">
        <v>40</v>
      </c>
      <c r="D3239">
        <v>3.3051170000000001</v>
      </c>
      <c r="E3239">
        <v>0.4756264</v>
      </c>
      <c r="F3239" t="s">
        <v>45</v>
      </c>
      <c r="G3239">
        <v>-476.74720000000002</v>
      </c>
      <c r="H3239" s="1">
        <v>3.336218E-6</v>
      </c>
      <c r="I3239">
        <v>281.34699999999998</v>
      </c>
      <c r="J3239">
        <v>-457.87650000000002</v>
      </c>
      <c r="K3239">
        <v>1.10981</v>
      </c>
      <c r="L3239">
        <v>284.2081</v>
      </c>
      <c r="M3239">
        <v>-0.99983540000000004</v>
      </c>
      <c r="N3239">
        <v>0</v>
      </c>
      <c r="O3239">
        <v>1.048546E-2</v>
      </c>
      <c r="P3239">
        <v>-0.98428760000000004</v>
      </c>
      <c r="Q3239">
        <v>0.14948059999999999</v>
      </c>
      <c r="R3239">
        <v>-9.3985360000000004E-2</v>
      </c>
      <c r="S3239">
        <v>-3.033264</v>
      </c>
      <c r="T3239">
        <v>-0.17518059999999999</v>
      </c>
      <c r="U3239">
        <v>-0.4510498</v>
      </c>
      <c r="V3239">
        <v>-0.10417999999999999</v>
      </c>
      <c r="W3239">
        <v>0.164103</v>
      </c>
      <c r="X3239">
        <v>0.98092650000000003</v>
      </c>
      <c r="Y3239">
        <v>-0.15717490000000001</v>
      </c>
      <c r="Z3239">
        <v>-5.1120999999999996E-3</v>
      </c>
      <c r="AA3239">
        <v>0.98755749999999998</v>
      </c>
      <c r="AB3239">
        <v>48</v>
      </c>
      <c r="AC3239">
        <v>-18.870699999999999</v>
      </c>
      <c r="AD3239">
        <v>-1.1098066637820001</v>
      </c>
      <c r="AE3239">
        <v>-2.86110000000002</v>
      </c>
      <c r="AF3239">
        <v>-3.04852520316317</v>
      </c>
      <c r="AG3239">
        <v>-1.1098066637820001</v>
      </c>
      <c r="AH3239">
        <v>18.776176420422701</v>
      </c>
      <c r="AI3239">
        <v>93.339032497357493</v>
      </c>
      <c r="AJ3239">
        <v>99.222145949172102</v>
      </c>
      <c r="AK3239">
        <v>19.054395233544799</v>
      </c>
      <c r="AL3239">
        <v>80.554870423314696</v>
      </c>
      <c r="AM3239">
        <v>96.062413397617902</v>
      </c>
      <c r="AN3239">
        <v>1.00000003270562</v>
      </c>
    </row>
    <row r="3240" spans="1:40" x14ac:dyDescent="0.25">
      <c r="A3240" t="str">
        <f>"20190312172141827"</f>
        <v>20190312172141827</v>
      </c>
      <c r="B3240" t="str">
        <f>"1552382501823942"</f>
        <v>1552382501823942</v>
      </c>
      <c r="C3240" t="s">
        <v>40</v>
      </c>
      <c r="D3240">
        <v>3.3066879999999998</v>
      </c>
      <c r="E3240">
        <v>0.47582279999999999</v>
      </c>
      <c r="F3240" t="s">
        <v>45</v>
      </c>
      <c r="G3240">
        <v>-476.48649999999998</v>
      </c>
      <c r="H3240" s="1">
        <v>3.452348E-6</v>
      </c>
      <c r="I3240">
        <v>281.35320000000002</v>
      </c>
      <c r="J3240">
        <v>-458.36189999999999</v>
      </c>
      <c r="K3240">
        <v>1.1098250000000001</v>
      </c>
      <c r="L3240">
        <v>284.21339999999998</v>
      </c>
      <c r="M3240">
        <v>-0.99983319999999998</v>
      </c>
      <c r="N3240">
        <v>0</v>
      </c>
      <c r="O3240">
        <v>1.070577E-2</v>
      </c>
      <c r="P3240">
        <v>-0.98372510000000002</v>
      </c>
      <c r="Q3240">
        <v>0.15009929999999999</v>
      </c>
      <c r="R3240">
        <v>-9.8769140000000005E-2</v>
      </c>
      <c r="S3240">
        <v>-3.030945</v>
      </c>
      <c r="T3240">
        <v>-0.18074989999999999</v>
      </c>
      <c r="U3240">
        <v>-0.46496579999999899</v>
      </c>
      <c r="V3240">
        <v>-0.10917399999999999</v>
      </c>
      <c r="W3240">
        <v>0.16471450000000001</v>
      </c>
      <c r="X3240">
        <v>0.98028059999999995</v>
      </c>
      <c r="Y3240">
        <v>-0.1619071</v>
      </c>
      <c r="Z3240">
        <v>-5.4297529999999998E-3</v>
      </c>
      <c r="AA3240">
        <v>0.98679110000000003</v>
      </c>
      <c r="AB3240">
        <v>48</v>
      </c>
      <c r="AC3240">
        <v>-18.124599999999901</v>
      </c>
      <c r="AD3240">
        <v>-1.1098215476519999</v>
      </c>
      <c r="AE3240">
        <v>-2.8601999999999599</v>
      </c>
      <c r="AF3240">
        <v>-3.04296283917289</v>
      </c>
      <c r="AG3240">
        <v>-1.1098215476519999</v>
      </c>
      <c r="AH3240">
        <v>18.02698785262</v>
      </c>
      <c r="AI3240">
        <v>93.473915041020405</v>
      </c>
      <c r="AJ3240">
        <v>99.581230892083198</v>
      </c>
      <c r="AK3240">
        <v>18.3156659105457</v>
      </c>
      <c r="AL3240">
        <v>80.519349842864798</v>
      </c>
      <c r="AM3240">
        <v>96.354852312256497</v>
      </c>
      <c r="AN3240">
        <v>0.99999994176130302</v>
      </c>
    </row>
    <row r="3241" spans="1:40" x14ac:dyDescent="0.25">
      <c r="A3241" t="str">
        <f>"20190312172141850"</f>
        <v>20190312172141850</v>
      </c>
      <c r="B3241" t="str">
        <f>"1552382501843462"</f>
        <v>1552382501843462</v>
      </c>
      <c r="C3241" t="s">
        <v>40</v>
      </c>
      <c r="D3241">
        <v>3.3770440000000002</v>
      </c>
      <c r="E3241">
        <v>0.47604980000000002</v>
      </c>
      <c r="F3241" t="s">
        <v>45</v>
      </c>
      <c r="G3241">
        <v>-477.01479999999998</v>
      </c>
      <c r="H3241" s="1">
        <v>3.210576E-6</v>
      </c>
      <c r="I3241">
        <v>281.26729999999998</v>
      </c>
      <c r="J3241">
        <v>-458.83339999999998</v>
      </c>
      <c r="K3241">
        <v>1.1098300000000001</v>
      </c>
      <c r="L3241">
        <v>284.21859999999998</v>
      </c>
      <c r="M3241">
        <v>-0.99983089999999997</v>
      </c>
      <c r="N3241">
        <v>0</v>
      </c>
      <c r="O3241">
        <v>1.0919470000000001E-2</v>
      </c>
      <c r="P3241">
        <v>-0.98311559999999998</v>
      </c>
      <c r="Q3241">
        <v>0.15123039999999999</v>
      </c>
      <c r="R3241">
        <v>-0.103021</v>
      </c>
      <c r="S3241">
        <v>-3.0291139999999999</v>
      </c>
      <c r="T3241">
        <v>-0.18022879999999999</v>
      </c>
      <c r="U3241">
        <v>-0.47842410000000002</v>
      </c>
      <c r="V3241">
        <v>-0.1136292</v>
      </c>
      <c r="W3241">
        <v>0.16583699999999901</v>
      </c>
      <c r="X3241">
        <v>0.97958489999999998</v>
      </c>
      <c r="Y3241">
        <v>-0.1664795</v>
      </c>
      <c r="Z3241">
        <v>-5.5632249999999998E-3</v>
      </c>
      <c r="AA3241">
        <v>0.98602920000000005</v>
      </c>
      <c r="AB3241">
        <v>48</v>
      </c>
      <c r="AC3241">
        <v>-18.1814</v>
      </c>
      <c r="AD3241">
        <v>-1.1098267894239999</v>
      </c>
      <c r="AE3241">
        <v>-2.9512999999999998</v>
      </c>
      <c r="AF3241">
        <v>-3.13828361293749</v>
      </c>
      <c r="AG3241">
        <v>-1.1098267894239999</v>
      </c>
      <c r="AH3241">
        <v>18.082438248533901</v>
      </c>
      <c r="AI3241">
        <v>93.460574178209399</v>
      </c>
      <c r="AJ3241">
        <v>99.845850685440894</v>
      </c>
      <c r="AK3241">
        <v>18.3862751135133</v>
      </c>
      <c r="AL3241">
        <v>80.4541394529776</v>
      </c>
      <c r="AM3241">
        <v>96.616585050049693</v>
      </c>
      <c r="AN3241">
        <v>1.00000004098482</v>
      </c>
    </row>
    <row r="3242" spans="1:40" x14ac:dyDescent="0.25">
      <c r="A3242" t="str">
        <f>"20190312172141865"</f>
        <v>20190312172141865</v>
      </c>
      <c r="B3242" t="str">
        <f>"1552382501854198"</f>
        <v>1552382501854198</v>
      </c>
      <c r="C3242" t="s">
        <v>40</v>
      </c>
      <c r="D3242">
        <v>3.4346339999999902</v>
      </c>
      <c r="E3242">
        <v>0.47606949999999998</v>
      </c>
      <c r="F3242" t="s">
        <v>45</v>
      </c>
      <c r="G3242">
        <v>-477.67270000000002</v>
      </c>
      <c r="H3242" s="1">
        <v>2.9102859999999999E-6</v>
      </c>
      <c r="I3242">
        <v>281.1696</v>
      </c>
      <c r="J3242">
        <v>-459.17939999999999</v>
      </c>
      <c r="K3242">
        <v>1.109836</v>
      </c>
      <c r="L3242">
        <v>284.22250000000003</v>
      </c>
      <c r="M3242">
        <v>-0.99982910000000003</v>
      </c>
      <c r="N3242">
        <v>0</v>
      </c>
      <c r="O3242">
        <v>1.1076570000000001E-2</v>
      </c>
      <c r="P3242">
        <v>-0.98283030000000005</v>
      </c>
      <c r="Q3242">
        <v>0.1517503</v>
      </c>
      <c r="R3242">
        <v>-0.1049595</v>
      </c>
      <c r="S3242">
        <v>-3.0276179999999999</v>
      </c>
      <c r="T3242">
        <v>-0.17835809999999999</v>
      </c>
      <c r="U3242">
        <v>-0.48999019999999999</v>
      </c>
      <c r="V3242">
        <v>-0.1157193</v>
      </c>
      <c r="W3242">
        <v>0.16635239999999901</v>
      </c>
      <c r="X3242">
        <v>0.97925280000000003</v>
      </c>
      <c r="Y3242">
        <v>-0.17038039999999999</v>
      </c>
      <c r="Z3242">
        <v>-5.6298750000000003E-3</v>
      </c>
      <c r="AA3242">
        <v>0.98536230000000002</v>
      </c>
      <c r="AB3242">
        <v>48</v>
      </c>
      <c r="AC3242">
        <v>-18.493300000000001</v>
      </c>
      <c r="AD3242">
        <v>-1.1098330897139901</v>
      </c>
      <c r="AE3242">
        <v>-3.0529000000000202</v>
      </c>
      <c r="AF3242">
        <v>-3.2461963436379002</v>
      </c>
      <c r="AG3242">
        <v>-1.1098330897139901</v>
      </c>
      <c r="AH3242">
        <v>18.3938573602281</v>
      </c>
      <c r="AI3242">
        <v>93.400455171698994</v>
      </c>
      <c r="AJ3242">
        <v>100.00864896818899</v>
      </c>
      <c r="AK3242">
        <v>18.711053117793401</v>
      </c>
      <c r="AL3242">
        <v>80.424193452167501</v>
      </c>
      <c r="AM3242">
        <v>96.739445801368305</v>
      </c>
      <c r="AN3242">
        <v>1.00000006184304</v>
      </c>
    </row>
    <row r="3243" spans="1:40" x14ac:dyDescent="0.25">
      <c r="A3243" t="str">
        <f>"20190312172141878"</f>
        <v>20190312172141878</v>
      </c>
      <c r="B3243" t="str">
        <f>"1552382501873718"</f>
        <v>1552382501873718</v>
      </c>
      <c r="C3243" t="s">
        <v>40</v>
      </c>
      <c r="D3243">
        <v>3.3504909999999999</v>
      </c>
      <c r="E3243">
        <v>0.47635169999999999</v>
      </c>
      <c r="F3243" t="s">
        <v>45</v>
      </c>
      <c r="G3243">
        <v>-477.9735</v>
      </c>
      <c r="H3243" s="1">
        <v>2.7744399999999999E-6</v>
      </c>
      <c r="I3243">
        <v>281.142</v>
      </c>
      <c r="J3243">
        <v>-459.47059999999999</v>
      </c>
      <c r="K3243">
        <v>1.1098269999999999</v>
      </c>
      <c r="L3243">
        <v>284.22579999999999</v>
      </c>
      <c r="M3243">
        <v>-0.99982760000000004</v>
      </c>
      <c r="N3243">
        <v>0</v>
      </c>
      <c r="O3243">
        <v>1.1208640000000001E-2</v>
      </c>
      <c r="P3243">
        <v>-0.98258900000000005</v>
      </c>
      <c r="Q3243">
        <v>0.15226919999999999</v>
      </c>
      <c r="R3243">
        <v>-0.1064575</v>
      </c>
      <c r="S3243">
        <v>-3.0270389999999998</v>
      </c>
      <c r="T3243">
        <v>-0.1787531</v>
      </c>
      <c r="U3243">
        <v>-0.49615480000000001</v>
      </c>
      <c r="V3243">
        <v>-0.117344</v>
      </c>
      <c r="W3243">
        <v>0.16686770000000001</v>
      </c>
      <c r="X3243">
        <v>0.9789717</v>
      </c>
      <c r="Y3243">
        <v>-0.17248959999999999</v>
      </c>
      <c r="Z3243">
        <v>-5.7120280000000001E-3</v>
      </c>
      <c r="AA3243">
        <v>0.98499479999999995</v>
      </c>
      <c r="AB3243">
        <v>48</v>
      </c>
      <c r="AC3243">
        <v>-18.5029</v>
      </c>
      <c r="AD3243">
        <v>-1.1098242255599999</v>
      </c>
      <c r="AE3243">
        <v>-3.0837999999999899</v>
      </c>
      <c r="AF3243">
        <v>-3.27954128521045</v>
      </c>
      <c r="AG3243">
        <v>-1.1098242255599999</v>
      </c>
      <c r="AH3243">
        <v>18.402749655057001</v>
      </c>
      <c r="AI3243">
        <v>93.397782302186499</v>
      </c>
      <c r="AJ3243">
        <v>100.104563588758</v>
      </c>
      <c r="AK3243">
        <v>18.725605349887601</v>
      </c>
      <c r="AL3243">
        <v>80.394249981232804</v>
      </c>
      <c r="AM3243">
        <v>96.835122612870506</v>
      </c>
      <c r="AN3243">
        <v>1.00000001652008</v>
      </c>
    </row>
    <row r="3244" spans="1:40" x14ac:dyDescent="0.25">
      <c r="A3244" t="str">
        <f>"20190312172141891"</f>
        <v>20190312172141891</v>
      </c>
      <c r="B3244" t="str">
        <f>"1552382501883478"</f>
        <v>1552382501883478</v>
      </c>
      <c r="C3244" t="s">
        <v>40</v>
      </c>
      <c r="D3244">
        <v>3.4531089999999902</v>
      </c>
      <c r="E3244">
        <v>0.47652939999999999</v>
      </c>
      <c r="F3244" t="s">
        <v>45</v>
      </c>
      <c r="G3244">
        <v>-478.35629999999998</v>
      </c>
      <c r="H3244" s="1">
        <v>2.6022190000000001E-6</v>
      </c>
      <c r="I3244">
        <v>281.11349999999999</v>
      </c>
      <c r="J3244">
        <v>-459.74540000000002</v>
      </c>
      <c r="K3244">
        <v>1.1098220000000001</v>
      </c>
      <c r="L3244">
        <v>284.22890000000001</v>
      </c>
      <c r="M3244">
        <v>-0.99982629999999995</v>
      </c>
      <c r="N3244">
        <v>0</v>
      </c>
      <c r="O3244">
        <v>1.1333380000000001E-2</v>
      </c>
      <c r="P3244">
        <v>-0.98242059999999998</v>
      </c>
      <c r="Q3244">
        <v>0.15260199999999999</v>
      </c>
      <c r="R3244">
        <v>-0.10752920000000001</v>
      </c>
      <c r="S3244">
        <v>-3.026672</v>
      </c>
      <c r="T3244">
        <v>-0.1778634</v>
      </c>
      <c r="U3244">
        <v>-0.49877929999999998</v>
      </c>
      <c r="V3244">
        <v>-0.118536</v>
      </c>
      <c r="W3244">
        <v>0.16719729999999999</v>
      </c>
      <c r="X3244">
        <v>0.97877179999999997</v>
      </c>
      <c r="Y3244">
        <v>-0.17346429999999999</v>
      </c>
      <c r="Z3244">
        <v>-5.7196310000000002E-3</v>
      </c>
      <c r="AA3244">
        <v>0.98482349999999996</v>
      </c>
      <c r="AB3244">
        <v>48</v>
      </c>
      <c r="AC3244">
        <v>-18.610899999999901</v>
      </c>
      <c r="AD3244">
        <v>-1.10981939778099</v>
      </c>
      <c r="AE3244">
        <v>-3.1154000000000202</v>
      </c>
      <c r="AF3244">
        <v>-3.3146814303232199</v>
      </c>
      <c r="AG3244">
        <v>-1.10981939778099</v>
      </c>
      <c r="AH3244">
        <v>18.510362717669299</v>
      </c>
      <c r="AI3244">
        <v>93.377556852890294</v>
      </c>
      <c r="AJ3244">
        <v>100.15244485556499</v>
      </c>
      <c r="AK3244">
        <v>18.837524784851698</v>
      </c>
      <c r="AL3244">
        <v>80.375095838740407</v>
      </c>
      <c r="AM3244">
        <v>96.905284539222905</v>
      </c>
      <c r="AN3244">
        <v>0.99999997844926403</v>
      </c>
    </row>
    <row r="3245" spans="1:40" x14ac:dyDescent="0.25">
      <c r="A3245" t="str">
        <f>"20190312172141904"</f>
        <v>20190312172141904</v>
      </c>
      <c r="B3245" t="str">
        <f>"1552382501894214"</f>
        <v>1552382501894214</v>
      </c>
      <c r="C3245" t="s">
        <v>40</v>
      </c>
      <c r="D3245">
        <v>3.3408820000000001</v>
      </c>
      <c r="E3245">
        <v>0.47668719999999998</v>
      </c>
      <c r="F3245" t="s">
        <v>45</v>
      </c>
      <c r="G3245">
        <v>-478.68770000000001</v>
      </c>
      <c r="H3245" s="1">
        <v>2.4534800000000002E-6</v>
      </c>
      <c r="I3245">
        <v>281.09350000000001</v>
      </c>
      <c r="J3245">
        <v>-460.02679999999998</v>
      </c>
      <c r="K3245">
        <v>1.1098049999999999</v>
      </c>
      <c r="L3245">
        <v>284.23219999999998</v>
      </c>
      <c r="M3245">
        <v>-0.99982479999999996</v>
      </c>
      <c r="N3245">
        <v>0</v>
      </c>
      <c r="O3245">
        <v>1.146139E-2</v>
      </c>
      <c r="P3245">
        <v>-0.98147099999999998</v>
      </c>
      <c r="Q3245">
        <v>0.15501199999999901</v>
      </c>
      <c r="R3245">
        <v>-0.11263330000000001</v>
      </c>
      <c r="S3245">
        <v>-3.0263979999999999</v>
      </c>
      <c r="T3245">
        <v>-0.1773149</v>
      </c>
      <c r="U3245">
        <v>-0.500946</v>
      </c>
      <c r="V3245">
        <v>-0.123753</v>
      </c>
      <c r="W3245">
        <v>0.16959489999999999</v>
      </c>
      <c r="X3245">
        <v>0.97771300000000005</v>
      </c>
      <c r="Y3245">
        <v>-0.17429129999999901</v>
      </c>
      <c r="Z3245">
        <v>-5.7336920000000003E-3</v>
      </c>
      <c r="AA3245">
        <v>0.98467740000000004</v>
      </c>
      <c r="AB3245">
        <v>48</v>
      </c>
      <c r="AC3245">
        <v>-18.660900000000002</v>
      </c>
      <c r="AD3245">
        <v>-1.1098025465200001</v>
      </c>
      <c r="AE3245">
        <v>-3.1386999999999698</v>
      </c>
      <c r="AF3245">
        <v>-3.3409056201939502</v>
      </c>
      <c r="AG3245">
        <v>-1.1098025465200001</v>
      </c>
      <c r="AH3245">
        <v>18.559857328752798</v>
      </c>
      <c r="AI3245">
        <v>93.367972724572397</v>
      </c>
      <c r="AJ3245">
        <v>100.204366337341</v>
      </c>
      <c r="AK3245">
        <v>18.890781246919499</v>
      </c>
      <c r="AL3245">
        <v>80.2357332016295</v>
      </c>
      <c r="AM3245">
        <v>97.213792586330598</v>
      </c>
      <c r="AN3245">
        <v>0.99999997274200403</v>
      </c>
    </row>
    <row r="3246" spans="1:40" x14ac:dyDescent="0.25">
      <c r="A3246" t="str">
        <f>"20190312172141928"</f>
        <v>20190312172141928</v>
      </c>
      <c r="B3246" t="str">
        <f>"1552382501923494"</f>
        <v>1552382501923494</v>
      </c>
      <c r="C3246" t="s">
        <v>40</v>
      </c>
      <c r="D3246">
        <v>3.4248379999999998</v>
      </c>
      <c r="E3246">
        <v>0.47713050000000001</v>
      </c>
      <c r="F3246" t="s">
        <v>45</v>
      </c>
      <c r="G3246">
        <v>-479.73750000000001</v>
      </c>
      <c r="H3246" s="1">
        <v>1.9679089999999999E-6</v>
      </c>
      <c r="I3246">
        <v>280.86399999999998</v>
      </c>
      <c r="J3246">
        <v>-460.51139999999998</v>
      </c>
      <c r="K3246">
        <v>1.1097790000000001</v>
      </c>
      <c r="L3246">
        <v>284.23790000000002</v>
      </c>
      <c r="M3246">
        <v>-0.99982230000000005</v>
      </c>
      <c r="N3246">
        <v>0</v>
      </c>
      <c r="O3246">
        <v>1.1681789999999999E-2</v>
      </c>
      <c r="P3246">
        <v>-0.9812284</v>
      </c>
      <c r="Q3246">
        <v>0.15570000000000001</v>
      </c>
      <c r="R3246">
        <v>-0.1137934</v>
      </c>
      <c r="S3246">
        <v>-3.0242309999999999</v>
      </c>
      <c r="T3246">
        <v>-0.17027809999999999</v>
      </c>
      <c r="U3246">
        <v>-0.51678469999999999</v>
      </c>
      <c r="V3246">
        <v>-0.1251263</v>
      </c>
      <c r="W3246">
        <v>0.1702776</v>
      </c>
      <c r="X3246">
        <v>0.97741960000000006</v>
      </c>
      <c r="Y3246">
        <v>-0.179649799999999</v>
      </c>
      <c r="Z3246">
        <v>-5.6699990000000002E-3</v>
      </c>
      <c r="AA3246">
        <v>0.98371430000000004</v>
      </c>
      <c r="AB3246">
        <v>48</v>
      </c>
      <c r="AC3246">
        <v>-19.226099999999999</v>
      </c>
      <c r="AD3246">
        <v>-1.1097770320909901</v>
      </c>
      <c r="AE3246">
        <v>-3.3738999999999901</v>
      </c>
      <c r="AF3246">
        <v>-3.5866961697264799</v>
      </c>
      <c r="AG3246">
        <v>-1.1097770320909901</v>
      </c>
      <c r="AH3246">
        <v>19.123556534025699</v>
      </c>
      <c r="AI3246">
        <v>93.264466496149097</v>
      </c>
      <c r="AJ3246">
        <v>100.62263443778799</v>
      </c>
      <c r="AK3246">
        <v>19.488622552273</v>
      </c>
      <c r="AL3246">
        <v>80.196040932197704</v>
      </c>
      <c r="AM3246">
        <v>97.295153195507396</v>
      </c>
      <c r="AN3246">
        <v>1.0000000632388</v>
      </c>
    </row>
    <row r="3247" spans="1:40" x14ac:dyDescent="0.25">
      <c r="A3247" t="str">
        <f>"20190312172141950"</f>
        <v>20190312172141950</v>
      </c>
      <c r="B3247" t="str">
        <f>"1552382501943990"</f>
        <v>1552382501943990</v>
      </c>
      <c r="C3247" t="s">
        <v>40</v>
      </c>
      <c r="D3247">
        <v>3.4564210000000002</v>
      </c>
      <c r="E3247">
        <v>0.47743469999999999</v>
      </c>
      <c r="F3247" t="s">
        <v>45</v>
      </c>
      <c r="G3247">
        <v>-480.21440000000001</v>
      </c>
      <c r="H3247" s="1">
        <v>1.9166940000000001E-6</v>
      </c>
      <c r="I3247">
        <v>280.87490000000003</v>
      </c>
      <c r="J3247">
        <v>-460.9948</v>
      </c>
      <c r="K3247">
        <v>1.1097549999999901</v>
      </c>
      <c r="L3247">
        <v>284.24369999999999</v>
      </c>
      <c r="M3247">
        <v>-0.99981960000000003</v>
      </c>
      <c r="N3247">
        <v>0</v>
      </c>
      <c r="O3247">
        <v>1.1901119999999999E-2</v>
      </c>
      <c r="P3247">
        <v>-0.98128879999999996</v>
      </c>
      <c r="Q3247">
        <v>0.15425269999999999</v>
      </c>
      <c r="R3247">
        <v>-0.1152311</v>
      </c>
      <c r="S3247">
        <v>-3.0245669999999998</v>
      </c>
      <c r="T3247">
        <v>-0.17036019999999999</v>
      </c>
      <c r="U3247">
        <v>-0.51623540000000001</v>
      </c>
      <c r="V3247">
        <v>-0.126781</v>
      </c>
      <c r="W3247">
        <v>0.168829799999999</v>
      </c>
      <c r="X3247">
        <v>0.97745749999999998</v>
      </c>
      <c r="Y3247">
        <v>-0.17967330000000001</v>
      </c>
      <c r="Z3247">
        <v>-5.6851119999999896E-3</v>
      </c>
      <c r="AA3247">
        <v>0.98370990000000003</v>
      </c>
      <c r="AB3247">
        <v>48</v>
      </c>
      <c r="AC3247">
        <v>-19.2196</v>
      </c>
      <c r="AD3247">
        <v>-1.1097530833060001</v>
      </c>
      <c r="AE3247">
        <v>-3.3687999999999598</v>
      </c>
      <c r="AF3247">
        <v>-3.5857227780196301</v>
      </c>
      <c r="AG3247">
        <v>-1.1097530833060001</v>
      </c>
      <c r="AH3247">
        <v>19.1163078388362</v>
      </c>
      <c r="AI3247">
        <v>93.265619421019807</v>
      </c>
      <c r="AJ3247">
        <v>100.623752419875</v>
      </c>
      <c r="AK3247">
        <v>19.481329141921201</v>
      </c>
      <c r="AL3247">
        <v>80.280212298073906</v>
      </c>
      <c r="AM3247">
        <v>97.390282939951405</v>
      </c>
      <c r="AN3247">
        <v>1.00000004381764</v>
      </c>
    </row>
    <row r="3248" spans="1:40" x14ac:dyDescent="0.25">
      <c r="A3248" t="str">
        <f>"20190312172141972"</f>
        <v>20190312172141972</v>
      </c>
      <c r="B3248" t="str">
        <f>"1552382501963510"</f>
        <v>1552382501963510</v>
      </c>
      <c r="C3248" t="s">
        <v>40</v>
      </c>
      <c r="D3248">
        <v>3.380547</v>
      </c>
      <c r="E3248">
        <v>0.47768040000000001</v>
      </c>
      <c r="F3248" t="s">
        <v>45</v>
      </c>
      <c r="G3248">
        <v>-480.00549999999998</v>
      </c>
      <c r="H3248" s="1">
        <v>1.8903389999999999E-6</v>
      </c>
      <c r="I3248">
        <v>280.9973</v>
      </c>
      <c r="J3248">
        <v>-461.45209999999997</v>
      </c>
      <c r="K3248">
        <v>1.1097239999999999</v>
      </c>
      <c r="L3248">
        <v>284.24930000000001</v>
      </c>
      <c r="M3248">
        <v>-0.99981730000000002</v>
      </c>
      <c r="N3248">
        <v>0</v>
      </c>
      <c r="O3248">
        <v>1.210842E-2</v>
      </c>
      <c r="P3248">
        <v>-0.98150230000000005</v>
      </c>
      <c r="Q3248">
        <v>0.15129629999999999</v>
      </c>
      <c r="R3248">
        <v>-0.1173146</v>
      </c>
      <c r="S3248">
        <v>-3.0243229999999999</v>
      </c>
      <c r="T3248">
        <v>-0.17654529999999999</v>
      </c>
      <c r="U3248">
        <v>-0.51644899999999905</v>
      </c>
      <c r="V3248">
        <v>-0.1290723</v>
      </c>
      <c r="W3248">
        <v>0.16587560000000001</v>
      </c>
      <c r="X3248">
        <v>0.97766330000000001</v>
      </c>
      <c r="Y3248">
        <v>-0.17993529999999999</v>
      </c>
      <c r="Z3248">
        <v>-5.9112050000000001E-3</v>
      </c>
      <c r="AA3248">
        <v>0.98366070000000005</v>
      </c>
      <c r="AB3248">
        <v>48</v>
      </c>
      <c r="AC3248">
        <v>-18.5534</v>
      </c>
      <c r="AD3248">
        <v>-1.1097221096609999</v>
      </c>
      <c r="AE3248">
        <v>-3.2519999999999998</v>
      </c>
      <c r="AF3248">
        <v>-3.4644139103616398</v>
      </c>
      <c r="AG3248">
        <v>-1.1097221096609999</v>
      </c>
      <c r="AH3248">
        <v>18.448625677976899</v>
      </c>
      <c r="AI3248">
        <v>93.3833124442735</v>
      </c>
      <c r="AJ3248">
        <v>100.635545387356</v>
      </c>
      <c r="AK3248">
        <v>18.803867589118099</v>
      </c>
      <c r="AL3248">
        <v>80.451895904951201</v>
      </c>
      <c r="AM3248">
        <v>97.520765223711905</v>
      </c>
      <c r="AN3248">
        <v>0.999999950734768</v>
      </c>
    </row>
    <row r="3249" spans="1:40" x14ac:dyDescent="0.25">
      <c r="A3249" t="str">
        <f>"20190312172141994"</f>
        <v>20190312172141994</v>
      </c>
      <c r="B3249" t="str">
        <f>"1552382501984006"</f>
        <v>1552382501984006</v>
      </c>
      <c r="C3249" t="s">
        <v>40</v>
      </c>
      <c r="D3249">
        <v>3.390485</v>
      </c>
      <c r="E3249">
        <v>0.47792030000000002</v>
      </c>
      <c r="F3249" t="s">
        <v>45</v>
      </c>
      <c r="G3249">
        <v>-479.34550000000002</v>
      </c>
      <c r="H3249" s="1">
        <v>2.168353E-6</v>
      </c>
      <c r="I3249">
        <v>281.16840000000002</v>
      </c>
      <c r="J3249">
        <v>-461.93180000000001</v>
      </c>
      <c r="K3249">
        <v>1.1097129999999999</v>
      </c>
      <c r="L3249">
        <v>284.2552</v>
      </c>
      <c r="M3249">
        <v>-0.9998146</v>
      </c>
      <c r="N3249">
        <v>0</v>
      </c>
      <c r="O3249">
        <v>1.232603E-2</v>
      </c>
      <c r="P3249">
        <v>-0.98168500000000003</v>
      </c>
      <c r="Q3249">
        <v>0.1484317</v>
      </c>
      <c r="R3249">
        <v>-0.1194274</v>
      </c>
      <c r="S3249">
        <v>-3.0232239999999999</v>
      </c>
      <c r="T3249">
        <v>-0.1874962</v>
      </c>
      <c r="U3249">
        <v>-0.52053830000000001</v>
      </c>
      <c r="V3249">
        <v>-0.13140260000000001</v>
      </c>
      <c r="W3249">
        <v>0.16301260000000001</v>
      </c>
      <c r="X3249">
        <v>0.97783450000000005</v>
      </c>
      <c r="Y3249">
        <v>-0.18145700000000001</v>
      </c>
      <c r="Z3249">
        <v>-6.3389319999999898E-3</v>
      </c>
      <c r="AA3249">
        <v>0.98337850000000004</v>
      </c>
      <c r="AB3249">
        <v>48</v>
      </c>
      <c r="AC3249">
        <v>-17.413699999999999</v>
      </c>
      <c r="AD3249">
        <v>-1.1097108316469999</v>
      </c>
      <c r="AE3249">
        <v>-3.0867999999999798</v>
      </c>
      <c r="AF3249">
        <v>-3.2882836904055099</v>
      </c>
      <c r="AG3249">
        <v>-1.1097108316469999</v>
      </c>
      <c r="AH3249">
        <v>17.306184617079602</v>
      </c>
      <c r="AI3249">
        <v>93.604593463025196</v>
      </c>
      <c r="AJ3249">
        <v>100.758314146004</v>
      </c>
      <c r="AK3249">
        <v>17.650730686260701</v>
      </c>
      <c r="AL3249">
        <v>80.618198511069096</v>
      </c>
      <c r="AM3249">
        <v>97.653626408524403</v>
      </c>
      <c r="AN3249">
        <v>1.00000003021788</v>
      </c>
    </row>
    <row r="3250" spans="1:40" x14ac:dyDescent="0.25">
      <c r="A3250" t="str">
        <f>"20190312172142017"</f>
        <v>20190312172142017</v>
      </c>
      <c r="B3250" t="str">
        <f>"1552382502014263"</f>
        <v>1552382502014263</v>
      </c>
      <c r="C3250" t="s">
        <v>40</v>
      </c>
      <c r="D3250">
        <v>3.471041</v>
      </c>
      <c r="E3250">
        <v>0.47883949999999997</v>
      </c>
      <c r="F3250" t="s">
        <v>45</v>
      </c>
      <c r="G3250">
        <v>-478.8963</v>
      </c>
      <c r="H3250" s="1">
        <v>2.3797849999999999E-6</v>
      </c>
      <c r="I3250">
        <v>281.30829999999997</v>
      </c>
      <c r="J3250">
        <v>-462.4024</v>
      </c>
      <c r="K3250">
        <v>1.1097379999999999</v>
      </c>
      <c r="L3250">
        <v>284.26119999999997</v>
      </c>
      <c r="M3250">
        <v>-0.99981189999999998</v>
      </c>
      <c r="N3250">
        <v>0</v>
      </c>
      <c r="O3250">
        <v>1.2539160000000001E-2</v>
      </c>
      <c r="P3250">
        <v>-0.98165009999999997</v>
      </c>
      <c r="Q3250">
        <v>0.14676310000000001</v>
      </c>
      <c r="R3250">
        <v>-0.1217531</v>
      </c>
      <c r="S3250">
        <v>-3.0220030000000002</v>
      </c>
      <c r="T3250">
        <v>-0.19768060000000001</v>
      </c>
      <c r="U3250">
        <v>-0.52496339999999997</v>
      </c>
      <c r="V3250">
        <v>-0.13393820000000001</v>
      </c>
      <c r="W3250">
        <v>0.16134179999999901</v>
      </c>
      <c r="X3250">
        <v>0.97776759999999996</v>
      </c>
      <c r="Y3250">
        <v>-0.18308650000000001</v>
      </c>
      <c r="Z3250">
        <v>-6.7510570000000004E-3</v>
      </c>
      <c r="AA3250">
        <v>0.98307370000000005</v>
      </c>
      <c r="AB3250">
        <v>48</v>
      </c>
      <c r="AC3250">
        <v>-16.493899999999901</v>
      </c>
      <c r="AD3250">
        <v>-1.1097356202149999</v>
      </c>
      <c r="AE3250">
        <v>-2.9529000000000001</v>
      </c>
      <c r="AF3250">
        <v>-3.1457122902805201</v>
      </c>
      <c r="AG3250">
        <v>-1.1097356202149999</v>
      </c>
      <c r="AH3250">
        <v>16.383709419382502</v>
      </c>
      <c r="AI3250">
        <v>93.805655731751003</v>
      </c>
      <c r="AJ3250">
        <v>100.868660527245</v>
      </c>
      <c r="AK3250">
        <v>16.719837119384799</v>
      </c>
      <c r="AL3250">
        <v>80.715212788830797</v>
      </c>
      <c r="AM3250">
        <v>97.800040225240906</v>
      </c>
      <c r="AN3250">
        <v>1.00000004872811</v>
      </c>
    </row>
    <row r="3251" spans="1:40" x14ac:dyDescent="0.25">
      <c r="A3251" t="str">
        <f>"20190312172142039"</f>
        <v>20190312172142039</v>
      </c>
      <c r="B3251" t="str">
        <f>"1552382502033782"</f>
        <v>1552382502033782</v>
      </c>
      <c r="C3251" t="s">
        <v>40</v>
      </c>
      <c r="D3251">
        <v>3.5264139999999999</v>
      </c>
      <c r="E3251">
        <v>0.47889510000000002</v>
      </c>
      <c r="F3251" t="s">
        <v>45</v>
      </c>
      <c r="G3251">
        <v>-476.07100000000003</v>
      </c>
      <c r="H3251" s="1">
        <v>3.6834639999999998E-6</v>
      </c>
      <c r="I3251">
        <v>281.88929999999999</v>
      </c>
      <c r="J3251">
        <v>-462.88189999999997</v>
      </c>
      <c r="K3251">
        <v>1.1097729999999999</v>
      </c>
      <c r="L3251">
        <v>284.26729999999998</v>
      </c>
      <c r="M3251">
        <v>-0.99980930000000001</v>
      </c>
      <c r="N3251">
        <v>0</v>
      </c>
      <c r="O3251">
        <v>1.2751490000000001E-2</v>
      </c>
      <c r="P3251">
        <v>-0.98110359999999996</v>
      </c>
      <c r="Q3251">
        <v>0.14858579999999999</v>
      </c>
      <c r="R3251">
        <v>-0.1239278</v>
      </c>
      <c r="S3251">
        <v>-3.027679</v>
      </c>
      <c r="T3251">
        <v>-0.24581230000000001</v>
      </c>
      <c r="U3251">
        <v>-0.52539060000000004</v>
      </c>
      <c r="V3251">
        <v>-0.13631399999999999</v>
      </c>
      <c r="W3251">
        <v>0.1631542</v>
      </c>
      <c r="X3251">
        <v>0.97713830000000002</v>
      </c>
      <c r="Y3251">
        <v>-0.1828999</v>
      </c>
      <c r="Z3251">
        <v>-8.3840819999999993E-3</v>
      </c>
      <c r="AA3251">
        <v>0.98309579999999996</v>
      </c>
      <c r="AB3251">
        <v>48</v>
      </c>
      <c r="AC3251">
        <v>-13.1890999999999</v>
      </c>
      <c r="AD3251">
        <v>-1.1097693165360001</v>
      </c>
      <c r="AE3251">
        <v>-2.3779999999999801</v>
      </c>
      <c r="AF3251">
        <v>-2.5286663317799798</v>
      </c>
      <c r="AG3251">
        <v>-1.1097693165360001</v>
      </c>
      <c r="AH3251">
        <v>13.068091646506099</v>
      </c>
      <c r="AI3251">
        <v>94.766042992210004</v>
      </c>
      <c r="AJ3251">
        <v>100.951350615067</v>
      </c>
      <c r="AK3251">
        <v>13.3566747596431</v>
      </c>
      <c r="AL3251">
        <v>80.609975322723997</v>
      </c>
      <c r="AM3251">
        <v>97.941695748110007</v>
      </c>
      <c r="AN3251">
        <v>1.0000000284502599</v>
      </c>
    </row>
    <row r="3252" spans="1:40" x14ac:dyDescent="0.25">
      <c r="A3252" t="str">
        <f>"20190312172142062"</f>
        <v>20190312172142062</v>
      </c>
      <c r="B3252" t="str">
        <f>"1552382502054282"</f>
        <v>1552382502054282</v>
      </c>
      <c r="C3252" t="s">
        <v>40</v>
      </c>
      <c r="D3252">
        <v>3.3950659999999999</v>
      </c>
      <c r="E3252">
        <v>0.47884480000000001</v>
      </c>
      <c r="F3252" t="s">
        <v>45</v>
      </c>
      <c r="G3252">
        <v>-476.80439999999999</v>
      </c>
      <c r="H3252" s="1">
        <v>3.3521559999999999E-6</v>
      </c>
      <c r="I3252">
        <v>281.81979999999999</v>
      </c>
      <c r="J3252">
        <v>-463.35500000000002</v>
      </c>
      <c r="K3252">
        <v>1.10981</v>
      </c>
      <c r="L3252">
        <v>284.27350000000001</v>
      </c>
      <c r="M3252">
        <v>-0.99980690000000005</v>
      </c>
      <c r="N3252">
        <v>0</v>
      </c>
      <c r="O3252">
        <v>1.294416E-2</v>
      </c>
      <c r="P3252">
        <v>-0.98026590000000002</v>
      </c>
      <c r="Q3252">
        <v>0.15159029999999901</v>
      </c>
      <c r="R3252">
        <v>-0.12688279999999999</v>
      </c>
      <c r="S3252">
        <v>-3.027161</v>
      </c>
      <c r="T3252">
        <v>-0.2412967</v>
      </c>
      <c r="U3252">
        <v>-0.53216549999999996</v>
      </c>
      <c r="V3252">
        <v>-0.13944790000000001</v>
      </c>
      <c r="W3252">
        <v>0.16614129999999999</v>
      </c>
      <c r="X3252">
        <v>0.97619230000000001</v>
      </c>
      <c r="Y3252">
        <v>-0.18526719999999999</v>
      </c>
      <c r="Z3252">
        <v>-8.3390800000000005E-3</v>
      </c>
      <c r="AA3252">
        <v>0.98265279999999999</v>
      </c>
      <c r="AB3252">
        <v>48</v>
      </c>
      <c r="AC3252">
        <v>-13.449399999999899</v>
      </c>
      <c r="AD3252">
        <v>-1.1098066478440001</v>
      </c>
      <c r="AE3252">
        <v>-2.45370000000002</v>
      </c>
      <c r="AF3252">
        <v>-2.6104026976545098</v>
      </c>
      <c r="AG3252">
        <v>-1.1098066478440001</v>
      </c>
      <c r="AH3252">
        <v>13.328675749602301</v>
      </c>
      <c r="AI3252">
        <v>94.671387319762403</v>
      </c>
      <c r="AJ3252">
        <v>101.081042509196</v>
      </c>
      <c r="AK3252">
        <v>13.627159288625</v>
      </c>
      <c r="AL3252">
        <v>80.436458947961299</v>
      </c>
      <c r="AM3252">
        <v>98.129633982448397</v>
      </c>
      <c r="AN3252">
        <v>1.0000000274796901</v>
      </c>
    </row>
    <row r="3253" spans="1:40" x14ac:dyDescent="0.25">
      <c r="A3253" t="str">
        <f>"20190312172142083"</f>
        <v>20190312172142083</v>
      </c>
      <c r="B3253" t="str">
        <f>"1552382502073798"</f>
        <v>1552382502073798</v>
      </c>
      <c r="C3253" t="s">
        <v>40</v>
      </c>
      <c r="D3253">
        <v>3.5391560000000002</v>
      </c>
      <c r="E3253">
        <v>0.48206520000000003</v>
      </c>
      <c r="F3253" t="s">
        <v>45</v>
      </c>
      <c r="G3253">
        <v>-477.8639</v>
      </c>
      <c r="H3253" s="1">
        <v>2.8702780000000001E-6</v>
      </c>
      <c r="I3253">
        <v>281.68189999999998</v>
      </c>
      <c r="J3253">
        <v>-463.83170000000001</v>
      </c>
      <c r="K3253">
        <v>1.1098619999999999</v>
      </c>
      <c r="L3253">
        <v>284.27980000000002</v>
      </c>
      <c r="M3253">
        <v>-0.9998049</v>
      </c>
      <c r="N3253">
        <v>0</v>
      </c>
      <c r="O3253">
        <v>1.3104269999999999E-2</v>
      </c>
      <c r="P3253">
        <v>-0.9792208</v>
      </c>
      <c r="Q3253">
        <v>0.15612100000000001</v>
      </c>
      <c r="R3253">
        <v>-0.1294331</v>
      </c>
      <c r="S3253">
        <v>-3.0262150000000001</v>
      </c>
      <c r="T3253">
        <v>-0.23147960000000001</v>
      </c>
      <c r="U3253">
        <v>-0.54052730000000004</v>
      </c>
      <c r="V3253">
        <v>-0.14214689999999999</v>
      </c>
      <c r="W3253">
        <v>0.1706474</v>
      </c>
      <c r="X3253">
        <v>0.97502500000000003</v>
      </c>
      <c r="Y3253">
        <v>-0.1881485</v>
      </c>
      <c r="Z3253">
        <v>-8.1226670000000001E-3</v>
      </c>
      <c r="AA3253">
        <v>0.98210699999999995</v>
      </c>
      <c r="AB3253">
        <v>47</v>
      </c>
      <c r="AC3253">
        <v>-14.0321999999999</v>
      </c>
      <c r="AD3253">
        <v>-1.109859129722</v>
      </c>
      <c r="AE3253">
        <v>-2.5979000000000299</v>
      </c>
      <c r="AF3253">
        <v>-2.7648554815153599</v>
      </c>
      <c r="AG3253">
        <v>-1.109859129722</v>
      </c>
      <c r="AH3253">
        <v>13.9127960285032</v>
      </c>
      <c r="AI3253">
        <v>94.473850571027697</v>
      </c>
      <c r="AJ3253">
        <v>101.239811880877</v>
      </c>
      <c r="AK3253">
        <v>14.2282151534276</v>
      </c>
      <c r="AL3253">
        <v>80.174537750475196</v>
      </c>
      <c r="AM3253">
        <v>98.294599062329496</v>
      </c>
      <c r="AN3253">
        <v>1.0000000134656799</v>
      </c>
    </row>
    <row r="3254" spans="1:40" x14ac:dyDescent="0.25">
      <c r="A3254" t="str">
        <f>"20190312172142106"</f>
        <v>20190312172142106</v>
      </c>
      <c r="B3254" t="str">
        <f>"1552382502104055"</f>
        <v>1552382502104055</v>
      </c>
      <c r="C3254" t="s">
        <v>40</v>
      </c>
      <c r="D3254">
        <v>3.4335810000000002</v>
      </c>
      <c r="E3254">
        <v>0.48187350000000001</v>
      </c>
      <c r="F3254" t="s">
        <v>45</v>
      </c>
      <c r="G3254">
        <v>-480.48090000000002</v>
      </c>
      <c r="H3254" s="1">
        <v>2.0104720000000001E-6</v>
      </c>
      <c r="I3254">
        <v>281.40690000000001</v>
      </c>
      <c r="J3254">
        <v>-464.3125</v>
      </c>
      <c r="K3254">
        <v>1.109912</v>
      </c>
      <c r="L3254">
        <v>284.28620000000001</v>
      </c>
      <c r="M3254">
        <v>-0.9998032</v>
      </c>
      <c r="N3254">
        <v>0</v>
      </c>
      <c r="O3254">
        <v>1.323121E-2</v>
      </c>
      <c r="P3254">
        <v>-0.97819940000000005</v>
      </c>
      <c r="Q3254">
        <v>0.16072729999999999</v>
      </c>
      <c r="R3254">
        <v>-0.1315026</v>
      </c>
      <c r="S3254">
        <v>-3.026764</v>
      </c>
      <c r="T3254">
        <v>-0.20176849999999999</v>
      </c>
      <c r="U3254">
        <v>-0.52227780000000001</v>
      </c>
      <c r="V3254">
        <v>-0.14433609999999999</v>
      </c>
      <c r="W3254">
        <v>0.17522650000000001</v>
      </c>
      <c r="X3254">
        <v>0.97389049999999999</v>
      </c>
      <c r="Y3254">
        <v>-0.182643</v>
      </c>
      <c r="Z3254">
        <v>-6.9113369999999896E-3</v>
      </c>
      <c r="AA3254">
        <v>0.983155</v>
      </c>
      <c r="AB3254">
        <v>47</v>
      </c>
      <c r="AC3254">
        <v>-16.168399999999998</v>
      </c>
      <c r="AD3254">
        <v>-1.109909989528</v>
      </c>
      <c r="AE3254">
        <v>-2.8793000000000002</v>
      </c>
      <c r="AF3254">
        <v>-3.0789356078659802</v>
      </c>
      <c r="AG3254">
        <v>-1.109909989528</v>
      </c>
      <c r="AH3254">
        <v>16.055549204206098</v>
      </c>
      <c r="AI3254">
        <v>93.883980637290307</v>
      </c>
      <c r="AJ3254">
        <v>100.855687721492</v>
      </c>
      <c r="AK3254">
        <v>16.385737850671301</v>
      </c>
      <c r="AL3254">
        <v>79.908160431225895</v>
      </c>
      <c r="AM3254">
        <v>98.430194314517493</v>
      </c>
      <c r="AN3254">
        <v>0.99999997102785398</v>
      </c>
    </row>
    <row r="3255" spans="1:40" x14ac:dyDescent="0.25">
      <c r="A3255" t="str">
        <f>"20190312172142129"</f>
        <v>20190312172142129</v>
      </c>
      <c r="B3255" t="str">
        <f>"1552382502123574"</f>
        <v>1552382502123574</v>
      </c>
      <c r="C3255" t="s">
        <v>40</v>
      </c>
      <c r="D3255">
        <v>3.4852620000000001</v>
      </c>
      <c r="E3255">
        <v>0.48463250000000002</v>
      </c>
      <c r="F3255" t="s">
        <v>45</v>
      </c>
      <c r="G3255">
        <v>-481.76639999999998</v>
      </c>
      <c r="H3255" s="1">
        <v>2.2228909999999999E-6</v>
      </c>
      <c r="I3255">
        <v>281.22840000000002</v>
      </c>
      <c r="J3255">
        <v>-464.78109999999998</v>
      </c>
      <c r="K3255">
        <v>1.1099600000000001</v>
      </c>
      <c r="L3255">
        <v>284.29239999999999</v>
      </c>
      <c r="M3255">
        <v>-0.99980210000000003</v>
      </c>
      <c r="N3255">
        <v>0</v>
      </c>
      <c r="O3255">
        <v>1.3319040000000001E-2</v>
      </c>
      <c r="P3255">
        <v>-0.97778399999999999</v>
      </c>
      <c r="Q3255">
        <v>0.1622546</v>
      </c>
      <c r="R3255">
        <v>-0.1327111</v>
      </c>
      <c r="S3255">
        <v>-3.027161</v>
      </c>
      <c r="T3255">
        <v>-0.19250039999999999</v>
      </c>
      <c r="U3255">
        <v>-0.53033450000000004</v>
      </c>
      <c r="V3255">
        <v>-0.14563809999999999</v>
      </c>
      <c r="W3255">
        <v>0.17673369999999999</v>
      </c>
      <c r="X3255">
        <v>0.97342419999999996</v>
      </c>
      <c r="Y3255">
        <v>-0.18527979999999999</v>
      </c>
      <c r="Z3255">
        <v>-6.680839E-3</v>
      </c>
      <c r="AA3255">
        <v>0.98266310000000001</v>
      </c>
      <c r="AB3255">
        <v>47</v>
      </c>
      <c r="AC3255">
        <v>-16.985299999999899</v>
      </c>
      <c r="AD3255">
        <v>-1.1099577771089999</v>
      </c>
      <c r="AE3255">
        <v>-3.0639999999999601</v>
      </c>
      <c r="AF3255">
        <v>-3.2764301026517701</v>
      </c>
      <c r="AG3255">
        <v>-1.1099577771089999</v>
      </c>
      <c r="AH3255">
        <v>16.873194939335502</v>
      </c>
      <c r="AI3255">
        <v>93.694809660684001</v>
      </c>
      <c r="AJ3255">
        <v>100.98891801943699</v>
      </c>
      <c r="AK3255">
        <v>17.224160587539401</v>
      </c>
      <c r="AL3255">
        <v>79.820435093835101</v>
      </c>
      <c r="AM3255">
        <v>98.509147069354</v>
      </c>
      <c r="AN3255">
        <v>0.99999996501646904</v>
      </c>
    </row>
    <row r="3256" spans="1:40" x14ac:dyDescent="0.25">
      <c r="A3256" t="str">
        <f>"20190312172142150"</f>
        <v>20190312172142150</v>
      </c>
      <c r="B3256" t="str">
        <f>"1552382502144070"</f>
        <v>1552382502144070</v>
      </c>
      <c r="C3256" t="s">
        <v>40</v>
      </c>
      <c r="D3256">
        <v>3.4272170000000002</v>
      </c>
      <c r="E3256">
        <v>0.48477239999999999</v>
      </c>
      <c r="F3256" t="s">
        <v>45</v>
      </c>
      <c r="G3256">
        <v>-479.62520000000001</v>
      </c>
      <c r="H3256" s="1">
        <v>2.0985950000000002E-6</v>
      </c>
      <c r="I3256">
        <v>281.7894</v>
      </c>
      <c r="J3256">
        <v>-465.25700000000001</v>
      </c>
      <c r="K3256">
        <v>1.110036</v>
      </c>
      <c r="L3256">
        <v>284.29880000000003</v>
      </c>
      <c r="M3256">
        <v>-0.99980179999999996</v>
      </c>
      <c r="N3256">
        <v>0</v>
      </c>
      <c r="O3256">
        <v>1.335299E-2</v>
      </c>
      <c r="P3256">
        <v>-0.97728349999999997</v>
      </c>
      <c r="Q3256">
        <v>0.163411</v>
      </c>
      <c r="R3256">
        <v>-0.1349602</v>
      </c>
      <c r="S3256">
        <v>-3.036346</v>
      </c>
      <c r="T3256">
        <v>-0.22704079999999999</v>
      </c>
      <c r="U3256">
        <v>-0.51199340000000004</v>
      </c>
      <c r="V3256">
        <v>-0.14793210000000001</v>
      </c>
      <c r="W3256">
        <v>0.1778652</v>
      </c>
      <c r="X3256">
        <v>0.97287210000000002</v>
      </c>
      <c r="Y3256">
        <v>-0.1789058</v>
      </c>
      <c r="Z3256">
        <v>-7.6233050000000004E-3</v>
      </c>
      <c r="AA3256">
        <v>0.98383670000000001</v>
      </c>
      <c r="AB3256">
        <v>47</v>
      </c>
      <c r="AC3256">
        <v>-14.3682</v>
      </c>
      <c r="AD3256">
        <v>-1.110033901405</v>
      </c>
      <c r="AE3256">
        <v>-2.5094000000000198</v>
      </c>
      <c r="AF3256">
        <v>-2.6855015053263198</v>
      </c>
      <c r="AG3256">
        <v>-1.110033901405</v>
      </c>
      <c r="AH3256">
        <v>14.2508679168899</v>
      </c>
      <c r="AI3256">
        <v>94.3771764899235</v>
      </c>
      <c r="AJ3256">
        <v>100.67193914158599</v>
      </c>
      <c r="AK3256">
        <v>14.5441166793319</v>
      </c>
      <c r="AL3256">
        <v>79.754561936291296</v>
      </c>
      <c r="AM3256">
        <v>98.645999675053105</v>
      </c>
      <c r="AN3256">
        <v>1.00000002926992</v>
      </c>
    </row>
    <row r="3257" spans="1:40" x14ac:dyDescent="0.25">
      <c r="A3257" t="str">
        <f>"20190312172142173"</f>
        <v>20190312172142173</v>
      </c>
      <c r="B3257" t="str">
        <f>"1552382502163591"</f>
        <v>1552382502163591</v>
      </c>
      <c r="C3257" t="s">
        <v>40</v>
      </c>
      <c r="D3257">
        <v>3.488807</v>
      </c>
      <c r="E3257">
        <v>0.48480220000000002</v>
      </c>
      <c r="F3257" t="s">
        <v>45</v>
      </c>
      <c r="G3257">
        <v>-480.16460000000001</v>
      </c>
      <c r="H3257" s="1">
        <v>1.985442E-6</v>
      </c>
      <c r="I3257">
        <v>281.76249999999999</v>
      </c>
      <c r="J3257">
        <v>-465.71690000000001</v>
      </c>
      <c r="K3257">
        <v>1.1101179999999999</v>
      </c>
      <c r="L3257">
        <v>284.30489999999998</v>
      </c>
      <c r="M3257">
        <v>-0.99980239999999998</v>
      </c>
      <c r="N3257">
        <v>0</v>
      </c>
      <c r="O3257">
        <v>1.329934E-2</v>
      </c>
      <c r="P3257">
        <v>-0.97671600000000003</v>
      </c>
      <c r="Q3257">
        <v>0.164964</v>
      </c>
      <c r="R3257">
        <v>-0.1371598</v>
      </c>
      <c r="S3257">
        <v>-3.0361940000000001</v>
      </c>
      <c r="T3257">
        <v>-0.22607910000000001</v>
      </c>
      <c r="U3257">
        <v>-0.516571</v>
      </c>
      <c r="V3257">
        <v>-0.15009829999999999</v>
      </c>
      <c r="W3257">
        <v>0.17938479999999901</v>
      </c>
      <c r="X3257">
        <v>0.97226109999999999</v>
      </c>
      <c r="Y3257">
        <v>-0.18030379999999999</v>
      </c>
      <c r="Z3257">
        <v>-7.6381769999999899E-3</v>
      </c>
      <c r="AA3257">
        <v>0.98358129999999999</v>
      </c>
      <c r="AB3257">
        <v>47</v>
      </c>
      <c r="AC3257">
        <v>-14.4476999999999</v>
      </c>
      <c r="AD3257">
        <v>-1.110116014558</v>
      </c>
      <c r="AE3257">
        <v>-2.5423999999999798</v>
      </c>
      <c r="AF3257">
        <v>-2.7187717053761098</v>
      </c>
      <c r="AG3257">
        <v>-1.110116014558</v>
      </c>
      <c r="AH3257">
        <v>14.330541140678701</v>
      </c>
      <c r="AI3257">
        <v>94.352246947065098</v>
      </c>
      <c r="AJ3257">
        <v>100.742410815393</v>
      </c>
      <c r="AK3257">
        <v>14.628345310950801</v>
      </c>
      <c r="AL3257">
        <v>79.666072070453595</v>
      </c>
      <c r="AM3257">
        <v>98.776076118833799</v>
      </c>
      <c r="AN3257">
        <v>1.00000002635356</v>
      </c>
    </row>
    <row r="3258" spans="1:40" x14ac:dyDescent="0.25">
      <c r="A3258" t="str">
        <f>"20190312172142194"</f>
        <v>20190312172142194</v>
      </c>
      <c r="B3258" t="str">
        <f>"1552382502184086"</f>
        <v>1552382502184086</v>
      </c>
      <c r="C3258" t="s">
        <v>40</v>
      </c>
      <c r="D3258">
        <v>3.4352529999999999</v>
      </c>
      <c r="E3258">
        <v>0.48429499999999998</v>
      </c>
      <c r="F3258" t="s">
        <v>45</v>
      </c>
      <c r="G3258">
        <v>-480.93630000000002</v>
      </c>
      <c r="H3258" s="1">
        <v>2.1161669999999999E-6</v>
      </c>
      <c r="I3258">
        <v>281.6918</v>
      </c>
      <c r="J3258">
        <v>-466.1848</v>
      </c>
      <c r="K3258">
        <v>1.110228</v>
      </c>
      <c r="L3258">
        <v>284.3109</v>
      </c>
      <c r="M3258">
        <v>-0.9998049</v>
      </c>
      <c r="N3258">
        <v>0</v>
      </c>
      <c r="O3258">
        <v>1.312135E-2</v>
      </c>
      <c r="P3258">
        <v>-0.97604959999999996</v>
      </c>
      <c r="Q3258">
        <v>0.1670468</v>
      </c>
      <c r="R3258">
        <v>-0.139366299999999</v>
      </c>
      <c r="S3258">
        <v>-3.035736</v>
      </c>
      <c r="T3258">
        <v>-0.2214295</v>
      </c>
      <c r="U3258">
        <v>-0.5212097</v>
      </c>
      <c r="V3258">
        <v>-0.15216199999999999</v>
      </c>
      <c r="W3258">
        <v>0.18142130000000001</v>
      </c>
      <c r="X3258">
        <v>0.97156209999999998</v>
      </c>
      <c r="Y3258">
        <v>-0.1816315</v>
      </c>
      <c r="Z3258">
        <v>-7.5167890000000003E-3</v>
      </c>
      <c r="AA3258">
        <v>0.98333789999999999</v>
      </c>
      <c r="AB3258">
        <v>47</v>
      </c>
      <c r="AC3258">
        <v>-14.7515</v>
      </c>
      <c r="AD3258">
        <v>-1.1102258838329999</v>
      </c>
      <c r="AE3258">
        <v>-2.6191</v>
      </c>
      <c r="AF3258">
        <v>-2.7970956176558999</v>
      </c>
      <c r="AG3258">
        <v>-1.1102258838329999</v>
      </c>
      <c r="AH3258">
        <v>14.635492750669099</v>
      </c>
      <c r="AI3258">
        <v>94.261228300419603</v>
      </c>
      <c r="AJ3258">
        <v>100.819739593723</v>
      </c>
      <c r="AK3258">
        <v>14.9416864330079</v>
      </c>
      <c r="AL3258">
        <v>79.547441887134696</v>
      </c>
      <c r="AM3258">
        <v>98.901118717560294</v>
      </c>
      <c r="AN3258">
        <v>0.99999993824704803</v>
      </c>
    </row>
    <row r="3259" spans="1:40" x14ac:dyDescent="0.25">
      <c r="A3259" t="str">
        <f>"20190312172142218"</f>
        <v>20190312172142218</v>
      </c>
      <c r="B3259" t="str">
        <f>"1552382502214346"</f>
        <v>1552382502214346</v>
      </c>
      <c r="C3259" t="s">
        <v>40</v>
      </c>
      <c r="D3259">
        <v>3.4462410000000001</v>
      </c>
      <c r="E3259">
        <v>0.48339189999999999</v>
      </c>
      <c r="F3259" t="s">
        <v>45</v>
      </c>
      <c r="G3259">
        <v>-481.71809999999999</v>
      </c>
      <c r="H3259" s="1">
        <v>2.2463430000000001E-6</v>
      </c>
      <c r="I3259">
        <v>281.59460000000001</v>
      </c>
      <c r="J3259">
        <v>-466.66370000000001</v>
      </c>
      <c r="K3259">
        <v>1.1103749999999999</v>
      </c>
      <c r="L3259">
        <v>284.31700000000001</v>
      </c>
      <c r="M3259">
        <v>-0.99980930000000001</v>
      </c>
      <c r="N3259">
        <v>0</v>
      </c>
      <c r="O3259">
        <v>1.278137E-2</v>
      </c>
      <c r="P3259">
        <v>-0.97560259999999999</v>
      </c>
      <c r="Q3259">
        <v>0.16758799999999999</v>
      </c>
      <c r="R3259">
        <v>-0.14182449999999999</v>
      </c>
      <c r="S3259">
        <v>-3.0349430000000002</v>
      </c>
      <c r="T3259">
        <v>-0.21691859999999999</v>
      </c>
      <c r="U3259">
        <v>-0.53073119999999996</v>
      </c>
      <c r="V3259">
        <v>-0.1543408</v>
      </c>
      <c r="W3259">
        <v>0.18190519999999999</v>
      </c>
      <c r="X3259">
        <v>0.97112790000000004</v>
      </c>
      <c r="Y3259">
        <v>-0.18434890000000001</v>
      </c>
      <c r="Z3259">
        <v>-7.4361469999999997E-3</v>
      </c>
      <c r="AA3259">
        <v>0.9828327</v>
      </c>
      <c r="AB3259">
        <v>47</v>
      </c>
      <c r="AC3259">
        <v>-15.0543999999999</v>
      </c>
      <c r="AD3259">
        <v>-1.1103727536569901</v>
      </c>
      <c r="AE3259">
        <v>-2.7223999999999902</v>
      </c>
      <c r="AF3259">
        <v>-2.89934103481602</v>
      </c>
      <c r="AG3259">
        <v>-1.1103727536569901</v>
      </c>
      <c r="AH3259">
        <v>14.9396698808793</v>
      </c>
      <c r="AI3259">
        <v>94.173047657384004</v>
      </c>
      <c r="AJ3259">
        <v>100.98286433125899</v>
      </c>
      <c r="AK3259">
        <v>15.258861105530899</v>
      </c>
      <c r="AL3259">
        <v>79.519247884094497</v>
      </c>
      <c r="AM3259">
        <v>99.030458688179806</v>
      </c>
      <c r="AN3259">
        <v>0.99999999124504502</v>
      </c>
    </row>
    <row r="3260" spans="1:40" x14ac:dyDescent="0.25">
      <c r="A3260" t="str">
        <f>"20190312172142240"</f>
        <v>20190312172142240</v>
      </c>
      <c r="B3260" t="str">
        <f>"1552382502233862"</f>
        <v>1552382502233862</v>
      </c>
      <c r="C3260" t="s">
        <v>40</v>
      </c>
      <c r="D3260">
        <v>3.5433270000000001</v>
      </c>
      <c r="E3260">
        <v>0.4829698</v>
      </c>
      <c r="F3260" t="s">
        <v>45</v>
      </c>
      <c r="G3260">
        <v>-482.20960000000002</v>
      </c>
      <c r="H3260" s="1">
        <v>2.3266989999999999E-6</v>
      </c>
      <c r="I3260">
        <v>281.51659999999998</v>
      </c>
      <c r="J3260">
        <v>-467.13799999999998</v>
      </c>
      <c r="K3260">
        <v>1.1105499999999999</v>
      </c>
      <c r="L3260">
        <v>284.32260000000002</v>
      </c>
      <c r="M3260">
        <v>-0.99981589999999998</v>
      </c>
      <c r="N3260">
        <v>0</v>
      </c>
      <c r="O3260">
        <v>1.2254549999999999E-2</v>
      </c>
      <c r="P3260">
        <v>-0.97528930000000003</v>
      </c>
      <c r="Q3260">
        <v>0.16612539999999901</v>
      </c>
      <c r="R3260">
        <v>-0.14564750000000001</v>
      </c>
      <c r="S3260">
        <v>-3.0328059999999999</v>
      </c>
      <c r="T3260">
        <v>-0.21662020000000001</v>
      </c>
      <c r="U3260">
        <v>-0.54632569999999903</v>
      </c>
      <c r="V3260">
        <v>-0.15771830000000001</v>
      </c>
      <c r="W3260">
        <v>0.18037220000000001</v>
      </c>
      <c r="X3260">
        <v>0.97087120000000005</v>
      </c>
      <c r="Y3260">
        <v>-0.18883710000000001</v>
      </c>
      <c r="Z3260">
        <v>-7.5492980000000003E-3</v>
      </c>
      <c r="AA3260">
        <v>0.98197939999999995</v>
      </c>
      <c r="AB3260">
        <v>47</v>
      </c>
      <c r="AC3260">
        <v>-15.071599999999901</v>
      </c>
      <c r="AD3260">
        <v>-1.110547673301</v>
      </c>
      <c r="AE3260">
        <v>-2.80600000000004</v>
      </c>
      <c r="AF3260">
        <v>-2.9748941381543998</v>
      </c>
      <c r="AG3260">
        <v>-1.110547673301</v>
      </c>
      <c r="AH3260">
        <v>14.9575872346915</v>
      </c>
      <c r="AI3260">
        <v>94.164935775324807</v>
      </c>
      <c r="AJ3260">
        <v>101.248692092957</v>
      </c>
      <c r="AK3260">
        <v>15.290936111020301</v>
      </c>
      <c r="AL3260">
        <v>79.608560271657893</v>
      </c>
      <c r="AM3260">
        <v>99.227110863799098</v>
      </c>
      <c r="AN3260">
        <v>1.00000003983858</v>
      </c>
    </row>
    <row r="3261" spans="1:40" x14ac:dyDescent="0.25">
      <c r="A3261" t="str">
        <f>"20190312172142262"</f>
        <v>20190312172142262</v>
      </c>
      <c r="B3261" t="str">
        <f>"1552382502254358"</f>
        <v>1552382502254358</v>
      </c>
      <c r="C3261" t="s">
        <v>40</v>
      </c>
      <c r="D3261">
        <v>3.4561039999999998</v>
      </c>
      <c r="E3261">
        <v>0.48276930000000001</v>
      </c>
      <c r="F3261" t="s">
        <v>45</v>
      </c>
      <c r="G3261">
        <v>-482.30149999999998</v>
      </c>
      <c r="H3261" s="1">
        <v>2.342491E-6</v>
      </c>
      <c r="I3261">
        <v>281.51069999999999</v>
      </c>
      <c r="J3261">
        <v>-467.59949999999998</v>
      </c>
      <c r="K3261">
        <v>1.1107419999999999</v>
      </c>
      <c r="L3261">
        <v>284.32769999999999</v>
      </c>
      <c r="M3261">
        <v>-0.99982459999999995</v>
      </c>
      <c r="N3261">
        <v>0</v>
      </c>
      <c r="O3261">
        <v>1.1524660000000001E-2</v>
      </c>
      <c r="P3261">
        <v>-0.9751765</v>
      </c>
      <c r="Q3261">
        <v>0.16304630000000001</v>
      </c>
      <c r="R3261">
        <v>-0.14982309999999999</v>
      </c>
      <c r="S3261">
        <v>-3.0299680000000002</v>
      </c>
      <c r="T3261">
        <v>-0.22190950000000001</v>
      </c>
      <c r="U3261">
        <v>-0.56188959999999999</v>
      </c>
      <c r="V3261">
        <v>-0.16126219999999999</v>
      </c>
      <c r="W3261">
        <v>0.17721429999999999</v>
      </c>
      <c r="X3261">
        <v>0.97087060000000003</v>
      </c>
      <c r="Y3261">
        <v>-0.19312570000000001</v>
      </c>
      <c r="Z3261">
        <v>-7.8392889999999993E-3</v>
      </c>
      <c r="AA3261">
        <v>0.98114270000000003</v>
      </c>
      <c r="AB3261">
        <v>47</v>
      </c>
      <c r="AC3261">
        <v>-14.7019999999999</v>
      </c>
      <c r="AD3261">
        <v>-1.1107396575090001</v>
      </c>
      <c r="AE3261">
        <v>-2.8170000000000002</v>
      </c>
      <c r="AF3261">
        <v>-2.9699154121028402</v>
      </c>
      <c r="AG3261">
        <v>-1.1107396575090001</v>
      </c>
      <c r="AH3261">
        <v>14.5882363423072</v>
      </c>
      <c r="AI3261">
        <v>94.266874274128895</v>
      </c>
      <c r="AJ3261">
        <v>101.50718507051999</v>
      </c>
      <c r="AK3261">
        <v>14.928857281145801</v>
      </c>
      <c r="AL3261">
        <v>79.792458140553705</v>
      </c>
      <c r="AM3261">
        <v>99.430763278367607</v>
      </c>
      <c r="AN3261">
        <v>1.00000006360884</v>
      </c>
    </row>
    <row r="3262" spans="1:40" x14ac:dyDescent="0.25">
      <c r="A3262" t="str">
        <f>"20190312172142284"</f>
        <v>20190312172142284</v>
      </c>
      <c r="B3262" t="str">
        <f>"1552382502273878"</f>
        <v>1552382502273878</v>
      </c>
      <c r="C3262" t="s">
        <v>40</v>
      </c>
      <c r="D3262">
        <v>3.56338</v>
      </c>
      <c r="E3262">
        <v>0.48267490000000002</v>
      </c>
      <c r="F3262" t="s">
        <v>45</v>
      </c>
      <c r="G3262">
        <v>-482.0992</v>
      </c>
      <c r="H3262" s="1">
        <v>2.311743E-6</v>
      </c>
      <c r="I3262">
        <v>281.56939999999997</v>
      </c>
      <c r="J3262">
        <v>-468.06990000000002</v>
      </c>
      <c r="K3262">
        <v>1.1109329999999999</v>
      </c>
      <c r="L3262">
        <v>284.33229999999998</v>
      </c>
      <c r="M3262">
        <v>-0.99983489999999997</v>
      </c>
      <c r="N3262">
        <v>0</v>
      </c>
      <c r="O3262">
        <v>1.05884E-2</v>
      </c>
      <c r="P3262">
        <v>-0.97520799999999996</v>
      </c>
      <c r="Q3262">
        <v>0.1595588</v>
      </c>
      <c r="R3262">
        <v>-0.1533312</v>
      </c>
      <c r="S3262">
        <v>-3.026672</v>
      </c>
      <c r="T3262">
        <v>-0.2318568</v>
      </c>
      <c r="U3262">
        <v>-0.57577509999999998</v>
      </c>
      <c r="V3262">
        <v>-0.16394</v>
      </c>
      <c r="W3262">
        <v>0.17364560000000001</v>
      </c>
      <c r="X3262">
        <v>0.97106689999999996</v>
      </c>
      <c r="Y3262">
        <v>-0.19668830000000001</v>
      </c>
      <c r="Z3262">
        <v>-8.2590630000000005E-3</v>
      </c>
      <c r="AA3262">
        <v>0.98043130000000001</v>
      </c>
      <c r="AB3262">
        <v>47</v>
      </c>
      <c r="AC3262">
        <v>-14.0292999999999</v>
      </c>
      <c r="AD3262">
        <v>-1.110930688257</v>
      </c>
      <c r="AE3262">
        <v>-2.7629000000000001</v>
      </c>
      <c r="AF3262">
        <v>-2.8938408023638398</v>
      </c>
      <c r="AG3262">
        <v>-1.110930688257</v>
      </c>
      <c r="AH3262">
        <v>13.915257722559801</v>
      </c>
      <c r="AI3262">
        <v>94.469330200838201</v>
      </c>
      <c r="AJ3262">
        <v>101.74788072373499</v>
      </c>
      <c r="AK3262">
        <v>14.256327685235</v>
      </c>
      <c r="AL3262">
        <v>80.000150181293407</v>
      </c>
      <c r="AM3262">
        <v>99.582579879407305</v>
      </c>
      <c r="AN3262">
        <v>1.00000002113748</v>
      </c>
    </row>
    <row r="3263" spans="1:40" x14ac:dyDescent="0.25">
      <c r="A3263" t="str">
        <f>"20190312172142308"</f>
        <v>20190312172142308</v>
      </c>
      <c r="B3263" t="str">
        <f>"1552382502304134"</f>
        <v>1552382502304134</v>
      </c>
      <c r="C3263" t="s">
        <v>40</v>
      </c>
      <c r="D3263">
        <v>3.417608</v>
      </c>
      <c r="E3263">
        <v>0.48239510000000002</v>
      </c>
      <c r="F3263" t="s">
        <v>45</v>
      </c>
      <c r="G3263">
        <v>-481.92529999999999</v>
      </c>
      <c r="H3263" s="1">
        <v>2.2871099999999999E-6</v>
      </c>
      <c r="I3263">
        <v>281.64049999999997</v>
      </c>
      <c r="J3263">
        <v>-468.55090000000001</v>
      </c>
      <c r="K3263">
        <v>1.11114</v>
      </c>
      <c r="L3263">
        <v>284.3365</v>
      </c>
      <c r="M3263">
        <v>-0.99984669999999998</v>
      </c>
      <c r="N3263">
        <v>0</v>
      </c>
      <c r="O3263">
        <v>9.4056020000000008E-3</v>
      </c>
      <c r="P3263">
        <v>-0.97473739999999998</v>
      </c>
      <c r="Q3263">
        <v>0.1584063</v>
      </c>
      <c r="R3263">
        <v>-0.157462299999999</v>
      </c>
      <c r="S3263">
        <v>-3.02359</v>
      </c>
      <c r="T3263">
        <v>-0.24243319999999999</v>
      </c>
      <c r="U3263">
        <v>-0.58743290000000004</v>
      </c>
      <c r="V3263">
        <v>-0.16700290000000001</v>
      </c>
      <c r="W3263">
        <v>0.17239640000000001</v>
      </c>
      <c r="X3263">
        <v>0.97076750000000001</v>
      </c>
      <c r="Y3263">
        <v>-0.199297</v>
      </c>
      <c r="Z3263">
        <v>-8.6497689999999999E-3</v>
      </c>
      <c r="AA3263">
        <v>0.97990100000000002</v>
      </c>
      <c r="AB3263">
        <v>47</v>
      </c>
      <c r="AC3263">
        <v>-13.3743999999999</v>
      </c>
      <c r="AD3263">
        <v>-1.11113771289</v>
      </c>
      <c r="AE3263">
        <v>-2.6960000000000202</v>
      </c>
      <c r="AF3263">
        <v>-2.8030966791513801</v>
      </c>
      <c r="AG3263">
        <v>-1.11113771289</v>
      </c>
      <c r="AH3263">
        <v>13.260495372475001</v>
      </c>
      <c r="AI3263">
        <v>94.686709830220906</v>
      </c>
      <c r="AJ3263">
        <v>101.935871948447</v>
      </c>
      <c r="AK3263">
        <v>13.598996857603399</v>
      </c>
      <c r="AL3263">
        <v>80.072819990556297</v>
      </c>
      <c r="AM3263">
        <v>99.761152033849797</v>
      </c>
      <c r="AN3263">
        <v>1.00000001319881</v>
      </c>
    </row>
    <row r="3264" spans="1:40" x14ac:dyDescent="0.25">
      <c r="A3264" t="str">
        <f>"20190312172142330"</f>
        <v>20190312172142330</v>
      </c>
      <c r="B3264" t="str">
        <f>"1552382502323654"</f>
        <v>1552382502323654</v>
      </c>
      <c r="C3264" t="s">
        <v>40</v>
      </c>
      <c r="D3264">
        <v>3.5303979999999999</v>
      </c>
      <c r="E3264">
        <v>0.48221449999999999</v>
      </c>
      <c r="F3264" t="s">
        <v>45</v>
      </c>
      <c r="G3264">
        <v>-482.28739999999999</v>
      </c>
      <c r="H3264" s="1">
        <v>2.346904E-6</v>
      </c>
      <c r="I3264">
        <v>281.58969999999999</v>
      </c>
      <c r="J3264">
        <v>-469.01560000000001</v>
      </c>
      <c r="K3264">
        <v>1.1113569999999999</v>
      </c>
      <c r="L3264">
        <v>284.33969999999999</v>
      </c>
      <c r="M3264">
        <v>-0.99985889999999999</v>
      </c>
      <c r="N3264">
        <v>0</v>
      </c>
      <c r="O3264">
        <v>8.0111959999999999E-3</v>
      </c>
      <c r="P3264">
        <v>-0.97381839999999997</v>
      </c>
      <c r="Q3264">
        <v>0.1593127</v>
      </c>
      <c r="R3264">
        <v>-0.16216469999999999</v>
      </c>
      <c r="S3264">
        <v>-3.0198360000000002</v>
      </c>
      <c r="T3264">
        <v>-0.2442724</v>
      </c>
      <c r="U3264">
        <v>-0.60385129999999998</v>
      </c>
      <c r="V3264">
        <v>-0.1704378</v>
      </c>
      <c r="W3264">
        <v>0.1731915</v>
      </c>
      <c r="X3264">
        <v>0.97002869999999997</v>
      </c>
      <c r="Y3264">
        <v>-0.20326630000000001</v>
      </c>
      <c r="Z3264">
        <v>-8.7684129999999992E-3</v>
      </c>
      <c r="AA3264">
        <v>0.97908419999999896</v>
      </c>
      <c r="AB3264">
        <v>47</v>
      </c>
      <c r="AC3264">
        <v>-13.271799999999899</v>
      </c>
      <c r="AD3264">
        <v>-1.1113546530959999</v>
      </c>
      <c r="AE3264">
        <v>-2.75</v>
      </c>
      <c r="AF3264">
        <v>-2.8371708920902901</v>
      </c>
      <c r="AG3264">
        <v>-1.1113546530959999</v>
      </c>
      <c r="AH3264">
        <v>13.1608551833367</v>
      </c>
      <c r="AI3264">
        <v>94.7189306195542</v>
      </c>
      <c r="AJ3264">
        <v>102.16544719211601</v>
      </c>
      <c r="AK3264">
        <v>13.508988007717001</v>
      </c>
      <c r="AL3264">
        <v>80.026568357360503</v>
      </c>
      <c r="AM3264">
        <v>99.965371430601607</v>
      </c>
      <c r="AN3264">
        <v>1.00000000908239</v>
      </c>
    </row>
    <row r="3265" spans="1:40" x14ac:dyDescent="0.25">
      <c r="A3265" t="str">
        <f>"20190312172142351"</f>
        <v>20190312172142351</v>
      </c>
      <c r="B3265" t="str">
        <f>"1552382502344154"</f>
        <v>1552382502344154</v>
      </c>
      <c r="C3265" t="s">
        <v>40</v>
      </c>
      <c r="D3265">
        <v>3.4099680000000001</v>
      </c>
      <c r="E3265">
        <v>0.48201840000000001</v>
      </c>
      <c r="F3265" t="s">
        <v>45</v>
      </c>
      <c r="G3265">
        <v>-482.84120000000001</v>
      </c>
      <c r="H3265" s="1">
        <v>2.4369069999999999E-6</v>
      </c>
      <c r="I3265">
        <v>281.49549999999999</v>
      </c>
      <c r="J3265">
        <v>-469.47620000000001</v>
      </c>
      <c r="K3265">
        <v>1.1115930000000001</v>
      </c>
      <c r="L3265">
        <v>284.34219999999999</v>
      </c>
      <c r="M3265">
        <v>-0.99987079999999995</v>
      </c>
      <c r="N3265">
        <v>0</v>
      </c>
      <c r="O3265">
        <v>6.3498869999999898E-3</v>
      </c>
      <c r="P3265">
        <v>-0.97295540000000003</v>
      </c>
      <c r="Q3265">
        <v>0.15914300000000001</v>
      </c>
      <c r="R3265">
        <v>-0.16742509999999999</v>
      </c>
      <c r="S3265">
        <v>-3.016937</v>
      </c>
      <c r="T3265">
        <v>-0.24251220000000001</v>
      </c>
      <c r="U3265">
        <v>-0.62063599999999997</v>
      </c>
      <c r="V3265">
        <v>-0.17418259999999999</v>
      </c>
      <c r="W3265">
        <v>0.1728961</v>
      </c>
      <c r="X3265">
        <v>0.96941600000000006</v>
      </c>
      <c r="Y3265">
        <v>-0.2070534</v>
      </c>
      <c r="Z3265">
        <v>-8.7272430000000008E-3</v>
      </c>
      <c r="AA3265">
        <v>0.97829069999999996</v>
      </c>
      <c r="AB3265">
        <v>47</v>
      </c>
      <c r="AC3265">
        <v>-13.365</v>
      </c>
      <c r="AD3265">
        <v>-1.1115905630930001</v>
      </c>
      <c r="AE3265">
        <v>-2.84669999999999</v>
      </c>
      <c r="AF3265">
        <v>-2.9122467938622201</v>
      </c>
      <c r="AG3265">
        <v>-1.1115905630930001</v>
      </c>
      <c r="AH3265">
        <v>13.2589136988022</v>
      </c>
      <c r="AI3265">
        <v>94.681236091395206</v>
      </c>
      <c r="AJ3265">
        <v>102.387985972737</v>
      </c>
      <c r="AK3265">
        <v>13.620411426994499</v>
      </c>
      <c r="AL3265">
        <v>80.043752784608401</v>
      </c>
      <c r="AM3265">
        <v>100.186095142553</v>
      </c>
      <c r="AN3265">
        <v>1.0000000102969799</v>
      </c>
    </row>
    <row r="3266" spans="1:40" x14ac:dyDescent="0.25">
      <c r="A3266" t="str">
        <f>"20190312172142374"</f>
        <v>20190312172142374</v>
      </c>
      <c r="B3266" t="str">
        <f>"1552382502363671"</f>
        <v>1552382502363671</v>
      </c>
      <c r="C3266" t="s">
        <v>40</v>
      </c>
      <c r="D3266">
        <v>3.523101</v>
      </c>
      <c r="E3266">
        <v>0.48193399999999997</v>
      </c>
      <c r="F3266" t="s">
        <v>45</v>
      </c>
      <c r="G3266">
        <v>-483.27910000000003</v>
      </c>
      <c r="H3266" s="1">
        <v>2.507604E-6</v>
      </c>
      <c r="I3266">
        <v>281.41559999999998</v>
      </c>
      <c r="J3266">
        <v>-469.94240000000002</v>
      </c>
      <c r="K3266">
        <v>1.1118650000000001</v>
      </c>
      <c r="L3266">
        <v>284.34370000000001</v>
      </c>
      <c r="M3266">
        <v>-0.99988129999999997</v>
      </c>
      <c r="N3266">
        <v>0</v>
      </c>
      <c r="O3266">
        <v>4.3593929999999996E-3</v>
      </c>
      <c r="P3266">
        <v>-0.97221139999999995</v>
      </c>
      <c r="Q3266">
        <v>0.15772059999999999</v>
      </c>
      <c r="R3266">
        <v>-0.17299929999999999</v>
      </c>
      <c r="S3266">
        <v>-3.013153</v>
      </c>
      <c r="T3266">
        <v>-0.24265700000000001</v>
      </c>
      <c r="U3266">
        <v>-0.63885499999999995</v>
      </c>
      <c r="V3266">
        <v>-0.17793709999999999</v>
      </c>
      <c r="W3266">
        <v>0.17133099999999901</v>
      </c>
      <c r="X3266">
        <v>0.96901190000000004</v>
      </c>
      <c r="Y3266">
        <v>-0.211007</v>
      </c>
      <c r="Z3266">
        <v>-8.7366800000000001E-3</v>
      </c>
      <c r="AA3266">
        <v>0.97744549999999997</v>
      </c>
      <c r="AB3266">
        <v>47</v>
      </c>
      <c r="AC3266">
        <v>-13.3367</v>
      </c>
      <c r="AD3266">
        <v>-1.1118624923960001</v>
      </c>
      <c r="AE3266">
        <v>-2.9281000000000201</v>
      </c>
      <c r="AF3266">
        <v>-2.9665481199538801</v>
      </c>
      <c r="AG3266">
        <v>-1.1118624923960001</v>
      </c>
      <c r="AH3266">
        <v>13.2360427670394</v>
      </c>
      <c r="AI3266">
        <v>94.686007063237199</v>
      </c>
      <c r="AJ3266">
        <v>102.632739057968</v>
      </c>
      <c r="AK3266">
        <v>13.6099035294485</v>
      </c>
      <c r="AL3266">
        <v>80.134784704758601</v>
      </c>
      <c r="AM3266">
        <v>100.405155806979</v>
      </c>
      <c r="AN3266">
        <v>0.99999999272951001</v>
      </c>
    </row>
    <row r="3267" spans="1:40" x14ac:dyDescent="0.25">
      <c r="A3267" t="str">
        <f>"20190312172142396"</f>
        <v>20190312172142396</v>
      </c>
      <c r="B3267" t="str">
        <f>"1552382502393927"</f>
        <v>1552382502393927</v>
      </c>
      <c r="C3267" t="s">
        <v>40</v>
      </c>
      <c r="D3267">
        <v>3.5280209999999999</v>
      </c>
      <c r="E3267">
        <v>0.48194399999999998</v>
      </c>
      <c r="F3267" t="s">
        <v>45</v>
      </c>
      <c r="G3267">
        <v>-483.46050000000002</v>
      </c>
      <c r="H3267" s="1">
        <v>2.5377100000000001E-6</v>
      </c>
      <c r="I3267">
        <v>281.39210000000003</v>
      </c>
      <c r="J3267">
        <v>-470.40879999999999</v>
      </c>
      <c r="K3267">
        <v>1.1121749999999999</v>
      </c>
      <c r="L3267">
        <v>284.34410000000003</v>
      </c>
      <c r="M3267">
        <v>-0.99988880000000002</v>
      </c>
      <c r="N3267">
        <v>0</v>
      </c>
      <c r="O3267">
        <v>2.0318509999999999E-3</v>
      </c>
      <c r="P3267">
        <v>-0.97128890000000001</v>
      </c>
      <c r="Q3267">
        <v>0.156879399999999</v>
      </c>
      <c r="R3267">
        <v>-0.17884910000000001</v>
      </c>
      <c r="S3267">
        <v>-3.0090330000000001</v>
      </c>
      <c r="T3267">
        <v>-0.2474923</v>
      </c>
      <c r="U3267">
        <v>-0.65701290000000001</v>
      </c>
      <c r="V3267">
        <v>-0.18165700000000001</v>
      </c>
      <c r="W3267">
        <v>0.17032459999999999</v>
      </c>
      <c r="X3267">
        <v>0.96849890000000005</v>
      </c>
      <c r="Y3267">
        <v>-0.21460750000000001</v>
      </c>
      <c r="Z3267">
        <v>-8.8736830000000003E-3</v>
      </c>
      <c r="AA3267">
        <v>0.97666010000000003</v>
      </c>
      <c r="AB3267">
        <v>47</v>
      </c>
      <c r="AC3267">
        <v>-13.0517</v>
      </c>
      <c r="AD3267">
        <v>-1.11217246229</v>
      </c>
      <c r="AE3267">
        <v>-2.9519999999999902</v>
      </c>
      <c r="AF3267">
        <v>-2.9580819258013702</v>
      </c>
      <c r="AG3267">
        <v>-1.11217246229</v>
      </c>
      <c r="AH3267">
        <v>12.956175071791799</v>
      </c>
      <c r="AI3267">
        <v>94.783799462879102</v>
      </c>
      <c r="AJ3267">
        <v>102.861007788943</v>
      </c>
      <c r="AK3267">
        <v>13.3360282226961</v>
      </c>
      <c r="AL3267">
        <v>80.193306762171602</v>
      </c>
      <c r="AM3267">
        <v>100.62328176913201</v>
      </c>
      <c r="AN3267">
        <v>0.99999992715768204</v>
      </c>
    </row>
    <row r="3268" spans="1:40" x14ac:dyDescent="0.25">
      <c r="A3268" t="str">
        <f>"20190312172142419"</f>
        <v>20190312172142419</v>
      </c>
      <c r="B3268" t="str">
        <f>"1552382502413446"</f>
        <v>1552382502413446</v>
      </c>
      <c r="C3268" t="s">
        <v>40</v>
      </c>
      <c r="D3268">
        <v>3.4289689999999999</v>
      </c>
      <c r="E3268">
        <v>0.48197509999999999</v>
      </c>
      <c r="F3268" t="s">
        <v>45</v>
      </c>
      <c r="G3268">
        <v>-483.75020000000001</v>
      </c>
      <c r="H3268" s="1">
        <v>2.5859710000000001E-6</v>
      </c>
      <c r="I3268">
        <v>281.35629999999998</v>
      </c>
      <c r="J3268">
        <v>-470.88319999999999</v>
      </c>
      <c r="K3268">
        <v>1.112541</v>
      </c>
      <c r="L3268">
        <v>284.34309999999999</v>
      </c>
      <c r="M3268">
        <v>-0.99989050000000002</v>
      </c>
      <c r="N3268">
        <v>0</v>
      </c>
      <c r="O3268">
        <v>-6.9879049999999998E-4</v>
      </c>
      <c r="P3268">
        <v>-0.97060970000000002</v>
      </c>
      <c r="Q3268">
        <v>0.1562499</v>
      </c>
      <c r="R3268">
        <v>-0.18303800000000001</v>
      </c>
      <c r="S3268">
        <v>-3.005188</v>
      </c>
      <c r="T3268">
        <v>-0.25052020000000003</v>
      </c>
      <c r="U3268">
        <v>-0.67300419999999905</v>
      </c>
      <c r="V3268">
        <v>-0.18334439999999999</v>
      </c>
      <c r="W3268">
        <v>0.16952719999999999</v>
      </c>
      <c r="X3268">
        <v>0.96832090000000004</v>
      </c>
      <c r="Y3268">
        <v>-0.21713750000000001</v>
      </c>
      <c r="Z3268">
        <v>-8.8674819999999994E-3</v>
      </c>
      <c r="AA3268">
        <v>0.97610070000000004</v>
      </c>
      <c r="AB3268">
        <v>47</v>
      </c>
      <c r="AC3268">
        <v>-12.867000000000001</v>
      </c>
      <c r="AD3268">
        <v>-1.112538414029</v>
      </c>
      <c r="AE3268">
        <v>-2.9868000000000099</v>
      </c>
      <c r="AF3268">
        <v>-2.9568315958826998</v>
      </c>
      <c r="AG3268">
        <v>-1.112538414029</v>
      </c>
      <c r="AH3268">
        <v>12.7784357750993</v>
      </c>
      <c r="AI3268">
        <v>94.848368431659694</v>
      </c>
      <c r="AJ3268">
        <v>103.02850617467701</v>
      </c>
      <c r="AK3268">
        <v>13.163168906742699</v>
      </c>
      <c r="AL3268">
        <v>80.239669417202407</v>
      </c>
      <c r="AM3268">
        <v>100.721609019905</v>
      </c>
      <c r="AN3268">
        <v>1.0000000029639999</v>
      </c>
    </row>
    <row r="3269" spans="1:40" x14ac:dyDescent="0.25">
      <c r="A3269" t="str">
        <f>"20190312172142441"</f>
        <v>20190312172142441</v>
      </c>
      <c r="B3269" t="str">
        <f>"1552382502433942"</f>
        <v>1552382502433942</v>
      </c>
      <c r="C3269" t="s">
        <v>40</v>
      </c>
      <c r="D3269">
        <v>3.4322330000000001</v>
      </c>
      <c r="E3269">
        <v>0.48201080000000002</v>
      </c>
      <c r="F3269" t="s">
        <v>45</v>
      </c>
      <c r="G3269">
        <v>-484.09500000000003</v>
      </c>
      <c r="H3269" s="1">
        <v>2.6447860000000001E-6</v>
      </c>
      <c r="I3269">
        <v>281.3295</v>
      </c>
      <c r="J3269">
        <v>-471.34620000000001</v>
      </c>
      <c r="K3269">
        <v>1.1129209999999901</v>
      </c>
      <c r="L3269">
        <v>284.34059999999999</v>
      </c>
      <c r="M3269">
        <v>-0.99988350000000004</v>
      </c>
      <c r="N3269">
        <v>0</v>
      </c>
      <c r="O3269">
        <v>-3.7615790000000001E-3</v>
      </c>
      <c r="P3269">
        <v>-0.96959980000000001</v>
      </c>
      <c r="Q3269">
        <v>0.15483529999999901</v>
      </c>
      <c r="R3269">
        <v>-0.18947990000000001</v>
      </c>
      <c r="S3269">
        <v>-3.0023499999999999</v>
      </c>
      <c r="T3269">
        <v>-0.25282139999999997</v>
      </c>
      <c r="U3269">
        <v>-0.68484500000000004</v>
      </c>
      <c r="V3269">
        <v>-0.18696740000000001</v>
      </c>
      <c r="W3269">
        <v>0.1679184</v>
      </c>
      <c r="X3269">
        <v>0.9679084</v>
      </c>
      <c r="Y3269">
        <v>-0.21800079999999999</v>
      </c>
      <c r="Z3269">
        <v>-8.7346850000000007E-3</v>
      </c>
      <c r="AA3269">
        <v>0.97590949999999999</v>
      </c>
      <c r="AB3269">
        <v>47</v>
      </c>
      <c r="AC3269">
        <v>-12.748799999999999</v>
      </c>
      <c r="AD3269">
        <v>-1.1129183552139901</v>
      </c>
      <c r="AE3269">
        <v>-3.0110999999999901</v>
      </c>
      <c r="AF3269">
        <v>-2.9418835098918801</v>
      </c>
      <c r="AG3269">
        <v>-1.1129183552139901</v>
      </c>
      <c r="AH3269">
        <v>12.6685964433794</v>
      </c>
      <c r="AI3269">
        <v>94.890978941311204</v>
      </c>
      <c r="AJ3269">
        <v>103.073434717506</v>
      </c>
      <c r="AK3269">
        <v>13.0532218894934</v>
      </c>
      <c r="AL3269">
        <v>80.333187903056299</v>
      </c>
      <c r="AM3269">
        <v>100.93296624342599</v>
      </c>
      <c r="AN3269">
        <v>1.0000000342559301</v>
      </c>
    </row>
    <row r="3270" spans="1:40" x14ac:dyDescent="0.25">
      <c r="A3270" t="str">
        <f>"20190312172142455"</f>
        <v>20190312172142455</v>
      </c>
      <c r="B3270" t="str">
        <f>"1552382502443702"</f>
        <v>1552382502443702</v>
      </c>
      <c r="C3270" t="s">
        <v>40</v>
      </c>
      <c r="D3270">
        <v>3.4293130000000001</v>
      </c>
      <c r="E3270">
        <v>0.4820566</v>
      </c>
      <c r="F3270" t="s">
        <v>45</v>
      </c>
      <c r="G3270">
        <v>-484.30419999999998</v>
      </c>
      <c r="H3270" s="1">
        <v>2.6792749999999999E-6</v>
      </c>
      <c r="I3270">
        <v>281.29939999999999</v>
      </c>
      <c r="J3270">
        <v>-471.65640000000002</v>
      </c>
      <c r="K3270">
        <v>1.1131930000000001</v>
      </c>
      <c r="L3270">
        <v>284.33789999999999</v>
      </c>
      <c r="M3270">
        <v>-0.99987199999999998</v>
      </c>
      <c r="N3270">
        <v>0</v>
      </c>
      <c r="O3270">
        <v>-6.0564269999999996E-3</v>
      </c>
      <c r="P3270">
        <v>-0.96880029999999995</v>
      </c>
      <c r="Q3270">
        <v>0.1547231</v>
      </c>
      <c r="R3270">
        <v>-0.19361449999999999</v>
      </c>
      <c r="S3270">
        <v>-2.9976500000000001</v>
      </c>
      <c r="T3270">
        <v>-0.25745760000000001</v>
      </c>
      <c r="U3270">
        <v>-0.70352169999999903</v>
      </c>
      <c r="V3270">
        <v>-0.18899060000000001</v>
      </c>
      <c r="W3270">
        <v>0.16766879999999901</v>
      </c>
      <c r="X3270">
        <v>0.96755860000000005</v>
      </c>
      <c r="Y3270">
        <v>-0.22182930000000001</v>
      </c>
      <c r="Z3270">
        <v>-8.8695459999999903E-3</v>
      </c>
      <c r="AA3270">
        <v>0.97504519999999995</v>
      </c>
      <c r="AB3270">
        <v>47</v>
      </c>
      <c r="AC3270">
        <v>-12.647799999999901</v>
      </c>
      <c r="AD3270">
        <v>-1.113190320725</v>
      </c>
      <c r="AE3270">
        <v>-3.0384999999999902</v>
      </c>
      <c r="AF3270">
        <v>-2.9403010207111202</v>
      </c>
      <c r="AG3270">
        <v>-1.113190320725</v>
      </c>
      <c r="AH3270">
        <v>12.573883059203</v>
      </c>
      <c r="AI3270">
        <v>94.927078532250704</v>
      </c>
      <c r="AJ3270">
        <v>103.161654754164</v>
      </c>
      <c r="AK3270">
        <v>12.9609836806109</v>
      </c>
      <c r="AL3270">
        <v>80.347693868761098</v>
      </c>
      <c r="AM3270">
        <v>101.052273333419</v>
      </c>
      <c r="AN3270">
        <v>0.99999995890787896</v>
      </c>
    </row>
    <row r="3271" spans="1:40" x14ac:dyDescent="0.25">
      <c r="A3271" t="str">
        <f>"20190312172142468"</f>
        <v>20190312172142468</v>
      </c>
      <c r="B3271" t="str">
        <f>"1552382502464199"</f>
        <v>1552382502464199</v>
      </c>
      <c r="C3271" t="s">
        <v>40</v>
      </c>
      <c r="D3271">
        <v>3.4631419999999999</v>
      </c>
      <c r="E3271">
        <v>0.4821261</v>
      </c>
      <c r="F3271" t="s">
        <v>45</v>
      </c>
      <c r="G3271">
        <v>-484.5847</v>
      </c>
      <c r="H3271" s="1">
        <v>2.7244039999999998E-6</v>
      </c>
      <c r="I3271">
        <v>281.2466</v>
      </c>
      <c r="J3271">
        <v>-471.90809999999999</v>
      </c>
      <c r="K3271">
        <v>1.113413</v>
      </c>
      <c r="L3271">
        <v>284.33510000000001</v>
      </c>
      <c r="M3271">
        <v>-0.99985809999999997</v>
      </c>
      <c r="N3271">
        <v>0</v>
      </c>
      <c r="O3271">
        <v>-8.0355429999999992E-3</v>
      </c>
      <c r="P3271">
        <v>-0.96798220000000001</v>
      </c>
      <c r="Q3271">
        <v>0.1552432</v>
      </c>
      <c r="R3271">
        <v>-0.19725609999999999</v>
      </c>
      <c r="S3271">
        <v>-2.9946899999999999</v>
      </c>
      <c r="T3271">
        <v>-0.2578588</v>
      </c>
      <c r="U3271">
        <v>-0.71606449999999999</v>
      </c>
      <c r="V3271">
        <v>-0.19081319999999999</v>
      </c>
      <c r="W3271">
        <v>0.16807449999999999</v>
      </c>
      <c r="X3271">
        <v>0.9671305</v>
      </c>
      <c r="Y3271">
        <v>-0.2239766</v>
      </c>
      <c r="Z3271">
        <v>-8.8109309999999993E-3</v>
      </c>
      <c r="AA3271">
        <v>0.9745547</v>
      </c>
      <c r="AB3271">
        <v>47</v>
      </c>
      <c r="AC3271">
        <v>-12.676600000000001</v>
      </c>
      <c r="AD3271">
        <v>-1.113410275596</v>
      </c>
      <c r="AE3271">
        <v>-3.08850000000001</v>
      </c>
      <c r="AF3271">
        <v>-2.9649345397043199</v>
      </c>
      <c r="AG3271">
        <v>-1.113410275596</v>
      </c>
      <c r="AH3271">
        <v>12.6091887246063</v>
      </c>
      <c r="AI3271">
        <v>94.912904839081904</v>
      </c>
      <c r="AJ3271">
        <v>103.23219520664099</v>
      </c>
      <c r="AK3271">
        <v>13.000852262804701</v>
      </c>
      <c r="AL3271">
        <v>80.3241153316674</v>
      </c>
      <c r="AM3271">
        <v>101.16101292089201</v>
      </c>
      <c r="AN3271">
        <v>1.0000000594373599</v>
      </c>
    </row>
    <row r="3272" spans="1:40" x14ac:dyDescent="0.25">
      <c r="A3272" t="str">
        <f>"20190312172142480"</f>
        <v>20190312172142480</v>
      </c>
      <c r="B3272" t="str">
        <f>"1552382502473959"</f>
        <v>1552382502473959</v>
      </c>
      <c r="C3272" t="s">
        <v>40</v>
      </c>
      <c r="D3272">
        <v>3.4302290000000002</v>
      </c>
      <c r="E3272">
        <v>0.48210920000000002</v>
      </c>
      <c r="F3272" t="s">
        <v>45</v>
      </c>
      <c r="G3272">
        <v>-484.9</v>
      </c>
      <c r="H3272" s="1">
        <v>2.7744920000000001E-6</v>
      </c>
      <c r="I3272">
        <v>281.1798</v>
      </c>
      <c r="J3272">
        <v>-472.17320000000001</v>
      </c>
      <c r="K3272">
        <v>1.1136520000000001</v>
      </c>
      <c r="L3272">
        <v>284.33179999999999</v>
      </c>
      <c r="M3272">
        <v>-0.99983829999999996</v>
      </c>
      <c r="N3272">
        <v>0</v>
      </c>
      <c r="O3272">
        <v>-1.0195030000000001E-2</v>
      </c>
      <c r="P3272">
        <v>-0.96693229999999997</v>
      </c>
      <c r="Q3272">
        <v>0.1564575</v>
      </c>
      <c r="R3272">
        <v>-0.2014031</v>
      </c>
      <c r="S3272">
        <v>-2.9922490000000002</v>
      </c>
      <c r="T3272">
        <v>-0.25643630000000001</v>
      </c>
      <c r="U3272">
        <v>-0.72671509999999995</v>
      </c>
      <c r="V3272">
        <v>-0.1929816</v>
      </c>
      <c r="W3272">
        <v>0.16916110000000001</v>
      </c>
      <c r="X3272">
        <v>0.96651050000000005</v>
      </c>
      <c r="Y3272">
        <v>-0.2253407</v>
      </c>
      <c r="Z3272">
        <v>-8.6413449999999999E-3</v>
      </c>
      <c r="AA3272">
        <v>0.97424169999999999</v>
      </c>
      <c r="AB3272">
        <v>47</v>
      </c>
      <c r="AC3272">
        <v>-12.7267999999999</v>
      </c>
      <c r="AD3272">
        <v>-1.1136492255079999</v>
      </c>
      <c r="AE3272">
        <v>-3.1519999999999802</v>
      </c>
      <c r="AF3272">
        <v>-3.0004253278639301</v>
      </c>
      <c r="AG3272">
        <v>-1.1136492255079999</v>
      </c>
      <c r="AH3272">
        <v>12.666891784214901</v>
      </c>
      <c r="AI3272">
        <v>94.889794700920007</v>
      </c>
      <c r="AJ3272">
        <v>103.32612457935799</v>
      </c>
      <c r="AK3272">
        <v>13.064949836052699</v>
      </c>
      <c r="AL3272">
        <v>80.260952387285499</v>
      </c>
      <c r="AM3272">
        <v>101.291662478885</v>
      </c>
      <c r="AN3272">
        <v>0.99999996115100898</v>
      </c>
    </row>
    <row r="3273" spans="1:40" x14ac:dyDescent="0.25">
      <c r="A3273" t="str">
        <f>"20190312172142492"</f>
        <v>20190312172142492</v>
      </c>
      <c r="B3273" t="str">
        <f>"1552382502483719"</f>
        <v>1552382502483719</v>
      </c>
      <c r="C3273" t="s">
        <v>40</v>
      </c>
      <c r="D3273">
        <v>3.5755370000000002</v>
      </c>
      <c r="E3273">
        <v>0.48210900000000001</v>
      </c>
      <c r="F3273" t="s">
        <v>45</v>
      </c>
      <c r="G3273">
        <v>-485.3965</v>
      </c>
      <c r="H3273" s="1">
        <v>2.8521709999999998E-6</v>
      </c>
      <c r="I3273">
        <v>281.06079999999997</v>
      </c>
      <c r="J3273">
        <v>-472.4384</v>
      </c>
      <c r="K3273">
        <v>1.1138969999999999</v>
      </c>
      <c r="L3273">
        <v>284.32749999999999</v>
      </c>
      <c r="M3273">
        <v>-0.99981140000000002</v>
      </c>
      <c r="N3273">
        <v>0</v>
      </c>
      <c r="O3273">
        <v>-1.2548709999999999E-2</v>
      </c>
      <c r="P3273">
        <v>-0.96581340000000004</v>
      </c>
      <c r="Q3273">
        <v>0.1583176</v>
      </c>
      <c r="R3273">
        <v>-0.20528109999999999</v>
      </c>
      <c r="S3273">
        <v>-2.9892880000000002</v>
      </c>
      <c r="T3273">
        <v>-0.2517527</v>
      </c>
      <c r="U3273">
        <v>-0.73944089999999996</v>
      </c>
      <c r="V3273">
        <v>-0.19470760000000001</v>
      </c>
      <c r="W3273">
        <v>0.17089219999999999</v>
      </c>
      <c r="X3273">
        <v>0.96585960000000004</v>
      </c>
      <c r="Y3273">
        <v>-0.22720870000000001</v>
      </c>
      <c r="Z3273">
        <v>-8.3705089999999999E-3</v>
      </c>
      <c r="AA3273">
        <v>0.97381010000000001</v>
      </c>
      <c r="AB3273">
        <v>47</v>
      </c>
      <c r="AC3273">
        <v>-12.9581</v>
      </c>
      <c r="AD3273">
        <v>-1.1138941478290001</v>
      </c>
      <c r="AE3273">
        <v>-3.2667000000000099</v>
      </c>
      <c r="AF3273">
        <v>-3.0824015771732101</v>
      </c>
      <c r="AG3273">
        <v>-1.1138941478290001</v>
      </c>
      <c r="AH3273">
        <v>12.908392182907599</v>
      </c>
      <c r="AI3273">
        <v>94.797731008411404</v>
      </c>
      <c r="AJ3273">
        <v>103.43019095982</v>
      </c>
      <c r="AK3273">
        <v>13.317978390254201</v>
      </c>
      <c r="AL3273">
        <v>80.160302313234197</v>
      </c>
      <c r="AM3273">
        <v>101.397499966156</v>
      </c>
      <c r="AN3273">
        <v>0.99999998021537895</v>
      </c>
    </row>
    <row r="3274" spans="1:40" x14ac:dyDescent="0.25">
      <c r="A3274" t="str">
        <f>"20190312172142507"</f>
        <v>20190312172142507</v>
      </c>
      <c r="B3274" t="str">
        <f>"1552382502504214"</f>
        <v>1552382502504214</v>
      </c>
      <c r="C3274" t="s">
        <v>40</v>
      </c>
      <c r="D3274">
        <v>3.5127220000000001</v>
      </c>
      <c r="E3274">
        <v>0.48223169999999999</v>
      </c>
      <c r="F3274" t="s">
        <v>45</v>
      </c>
      <c r="G3274">
        <v>-485.93520000000001</v>
      </c>
      <c r="H3274" s="1">
        <v>2.9364220000000001E-6</v>
      </c>
      <c r="I3274">
        <v>280.9316</v>
      </c>
      <c r="J3274">
        <v>-472.70639999999997</v>
      </c>
      <c r="K3274">
        <v>1.1141460000000001</v>
      </c>
      <c r="L3274">
        <v>284.3227</v>
      </c>
      <c r="M3274">
        <v>-0.99977709999999997</v>
      </c>
      <c r="N3274">
        <v>0</v>
      </c>
      <c r="O3274">
        <v>-1.5030979999999999E-2</v>
      </c>
      <c r="P3274">
        <v>-0.96472219999999997</v>
      </c>
      <c r="Q3274">
        <v>0.159882</v>
      </c>
      <c r="R3274">
        <v>-0.20916380000000001</v>
      </c>
      <c r="S3274">
        <v>-2.986847</v>
      </c>
      <c r="T3274">
        <v>-0.2465059</v>
      </c>
      <c r="U3274">
        <v>-0.75152589999999997</v>
      </c>
      <c r="V3274">
        <v>-0.1963183</v>
      </c>
      <c r="W3274">
        <v>0.1723259</v>
      </c>
      <c r="X3274">
        <v>0.96527870000000005</v>
      </c>
      <c r="Y3274">
        <v>-0.228718</v>
      </c>
      <c r="Z3274">
        <v>-8.0591780000000002E-3</v>
      </c>
      <c r="AA3274">
        <v>0.97345939999999997</v>
      </c>
      <c r="AB3274">
        <v>47</v>
      </c>
      <c r="AC3274">
        <v>-13.2288</v>
      </c>
      <c r="AD3274">
        <v>-1.1141430635780001</v>
      </c>
      <c r="AE3274">
        <v>-3.39109999999999</v>
      </c>
      <c r="AF3274">
        <v>-3.17074920189093</v>
      </c>
      <c r="AG3274">
        <v>-1.1141430635780001</v>
      </c>
      <c r="AH3274">
        <v>13.190488860038</v>
      </c>
      <c r="AI3274">
        <v>94.694948175544994</v>
      </c>
      <c r="AJ3274">
        <v>103.516398145728</v>
      </c>
      <c r="AK3274">
        <v>13.611905143446901</v>
      </c>
      <c r="AL3274">
        <v>80.076920880521101</v>
      </c>
      <c r="AM3274">
        <v>101.496017470124</v>
      </c>
      <c r="AN3274">
        <v>1.00000002969969</v>
      </c>
    </row>
    <row r="3275" spans="1:40" x14ac:dyDescent="0.25">
      <c r="A3275" t="str">
        <f>"20190312172142520"</f>
        <v>20190312172142520</v>
      </c>
      <c r="B3275" t="str">
        <f>"1552382502513975"</f>
        <v>1552382502513975</v>
      </c>
      <c r="C3275" t="s">
        <v>40</v>
      </c>
      <c r="D3275">
        <v>3.446942</v>
      </c>
      <c r="E3275">
        <v>0.4823036</v>
      </c>
      <c r="F3275" t="s">
        <v>45</v>
      </c>
      <c r="G3275">
        <v>-486.46080000000001</v>
      </c>
      <c r="H3275" s="1">
        <v>3.0186600000000002E-6</v>
      </c>
      <c r="I3275">
        <v>280.80579999999998</v>
      </c>
      <c r="J3275">
        <v>-473.0052</v>
      </c>
      <c r="K3275">
        <v>1.1144210000000001</v>
      </c>
      <c r="L3275">
        <v>284.31650000000002</v>
      </c>
      <c r="M3275">
        <v>-0.99972899999999998</v>
      </c>
      <c r="N3275">
        <v>0</v>
      </c>
      <c r="O3275">
        <v>-1.792939E-2</v>
      </c>
      <c r="P3275">
        <v>-0.96303090000000002</v>
      </c>
      <c r="Q3275">
        <v>0.16138449999999999</v>
      </c>
      <c r="R3275">
        <v>-0.215701</v>
      </c>
      <c r="S3275">
        <v>-2.9843440000000001</v>
      </c>
      <c r="T3275">
        <v>-0.2417396</v>
      </c>
      <c r="U3275">
        <v>-0.76306149999999995</v>
      </c>
      <c r="V3275">
        <v>-0.2002089</v>
      </c>
      <c r="W3275">
        <v>0.17365129999999901</v>
      </c>
      <c r="X3275">
        <v>0.96424149999999997</v>
      </c>
      <c r="Y3275">
        <v>-0.22965630000000001</v>
      </c>
      <c r="Z3275">
        <v>-7.7134509999999996E-3</v>
      </c>
      <c r="AA3275">
        <v>0.97324120000000003</v>
      </c>
      <c r="AB3275">
        <v>47</v>
      </c>
      <c r="AC3275">
        <v>-13.4556</v>
      </c>
      <c r="AD3275">
        <v>-1.1144179813399999</v>
      </c>
      <c r="AE3275">
        <v>-3.5107000000000399</v>
      </c>
      <c r="AF3275">
        <v>-3.2479987187086801</v>
      </c>
      <c r="AG3275">
        <v>-1.1144179813399999</v>
      </c>
      <c r="AH3275">
        <v>13.430136262342399</v>
      </c>
      <c r="AI3275">
        <v>94.611138708094202</v>
      </c>
      <c r="AJ3275">
        <v>103.59559401953</v>
      </c>
      <c r="AK3275">
        <v>13.8621781527635</v>
      </c>
      <c r="AL3275">
        <v>79.999818585909907</v>
      </c>
      <c r="AM3275">
        <v>101.729857580717</v>
      </c>
      <c r="AN3275">
        <v>1.0000000239765701</v>
      </c>
    </row>
    <row r="3276" spans="1:40" x14ac:dyDescent="0.25">
      <c r="A3276" t="str">
        <f>"20190312172142542"</f>
        <v>20190312172142542</v>
      </c>
      <c r="B3276" t="str">
        <f>"1552382502533495"</f>
        <v>1552382502533495</v>
      </c>
      <c r="C3276" t="s">
        <v>40</v>
      </c>
      <c r="D3276">
        <v>3.4879820000000001</v>
      </c>
      <c r="E3276">
        <v>0.48248760000000002</v>
      </c>
      <c r="F3276" t="s">
        <v>45</v>
      </c>
      <c r="G3276">
        <v>-487.01850000000002</v>
      </c>
      <c r="H3276" s="1">
        <v>3.1022609999999999E-6</v>
      </c>
      <c r="I3276">
        <v>280.63040000000001</v>
      </c>
      <c r="J3276">
        <v>-473.44279999999998</v>
      </c>
      <c r="K3276">
        <v>1.114838</v>
      </c>
      <c r="L3276">
        <v>284.30549999999999</v>
      </c>
      <c r="M3276">
        <v>-0.99963550000000001</v>
      </c>
      <c r="N3276">
        <v>0</v>
      </c>
      <c r="O3276">
        <v>-2.2540930000000001E-2</v>
      </c>
      <c r="P3276">
        <v>-0.96122850000000004</v>
      </c>
      <c r="Q3276">
        <v>0.16035260000000001</v>
      </c>
      <c r="R3276">
        <v>-0.22433639999999999</v>
      </c>
      <c r="S3276">
        <v>-2.9793400000000001</v>
      </c>
      <c r="T3276">
        <v>-0.23693359999999999</v>
      </c>
      <c r="U3276">
        <v>-0.78369140000000004</v>
      </c>
      <c r="V3276">
        <v>-0.20458560000000001</v>
      </c>
      <c r="W3276">
        <v>0.17237379999999999</v>
      </c>
      <c r="X3276">
        <v>0.96355179999999996</v>
      </c>
      <c r="Y3276">
        <v>-0.23190469999999999</v>
      </c>
      <c r="Z3276">
        <v>-7.2946059999999899E-3</v>
      </c>
      <c r="AA3276">
        <v>0.97271110000000005</v>
      </c>
      <c r="AB3276">
        <v>47</v>
      </c>
      <c r="AC3276">
        <v>-13.575699999999999</v>
      </c>
      <c r="AD3276">
        <v>-1.1148348977389999</v>
      </c>
      <c r="AE3276">
        <v>-3.67509999999998</v>
      </c>
      <c r="AF3276">
        <v>-3.3470928477056101</v>
      </c>
      <c r="AG3276">
        <v>-1.1148348977389999</v>
      </c>
      <c r="AH3276">
        <v>13.569837100403801</v>
      </c>
      <c r="AI3276">
        <v>94.560528455362601</v>
      </c>
      <c r="AJ3276">
        <v>103.855819608788</v>
      </c>
      <c r="AK3276">
        <v>14.020926014777899</v>
      </c>
      <c r="AL3276">
        <v>80.074134752881605</v>
      </c>
      <c r="AM3276">
        <v>101.987274920448</v>
      </c>
      <c r="AN3276">
        <v>1.0000000329685099</v>
      </c>
    </row>
    <row r="3277" spans="1:40" x14ac:dyDescent="0.25">
      <c r="A3277" t="str">
        <f>"20190312172142557"</f>
        <v>20190312172142557</v>
      </c>
      <c r="B3277" t="str">
        <f>"1552382502553990"</f>
        <v>1552382502553990</v>
      </c>
      <c r="C3277" t="s">
        <v>40</v>
      </c>
      <c r="D3277">
        <v>3.576873</v>
      </c>
      <c r="E3277">
        <v>0.48267979999999999</v>
      </c>
      <c r="F3277" t="s">
        <v>45</v>
      </c>
      <c r="G3277">
        <v>-487.2056</v>
      </c>
      <c r="H3277" s="1">
        <v>3.1294629999999999E-6</v>
      </c>
      <c r="I3277">
        <v>280.56200000000001</v>
      </c>
      <c r="J3277">
        <v>-473.77030000000002</v>
      </c>
      <c r="K3277">
        <v>1.1151580000000001</v>
      </c>
      <c r="L3277">
        <v>284.29590000000002</v>
      </c>
      <c r="M3277">
        <v>-0.99954529999999997</v>
      </c>
      <c r="N3277">
        <v>0</v>
      </c>
      <c r="O3277">
        <v>-2.622501E-2</v>
      </c>
      <c r="P3277">
        <v>-0.96001219999999998</v>
      </c>
      <c r="Q3277">
        <v>0.1599428</v>
      </c>
      <c r="R3277">
        <v>-0.22977120000000001</v>
      </c>
      <c r="S3277">
        <v>-2.9724430000000002</v>
      </c>
      <c r="T3277">
        <v>-0.2407783</v>
      </c>
      <c r="U3277">
        <v>-0.80850219999999995</v>
      </c>
      <c r="V3277">
        <v>-0.20661660000000001</v>
      </c>
      <c r="W3277">
        <v>0.1717909</v>
      </c>
      <c r="X3277">
        <v>0.96322240000000003</v>
      </c>
      <c r="Y3277">
        <v>-0.23642479999999999</v>
      </c>
      <c r="Z3277">
        <v>-7.3087839999999996E-3</v>
      </c>
      <c r="AA3277">
        <v>0.97162230000000005</v>
      </c>
      <c r="AB3277">
        <v>47</v>
      </c>
      <c r="AC3277">
        <v>-13.4352999999999</v>
      </c>
      <c r="AD3277">
        <v>-1.115154870537</v>
      </c>
      <c r="AE3277">
        <v>-3.7339000000000002</v>
      </c>
      <c r="AF3277">
        <v>-3.3587552034926502</v>
      </c>
      <c r="AG3277">
        <v>-1.115154870537</v>
      </c>
      <c r="AH3277">
        <v>13.4426401931388</v>
      </c>
      <c r="AI3277">
        <v>94.601380751356103</v>
      </c>
      <c r="AJ3277">
        <v>104.028601887438</v>
      </c>
      <c r="AK3277">
        <v>13.900697186273099</v>
      </c>
      <c r="AL3277">
        <v>80.108037508581702</v>
      </c>
      <c r="AM3277">
        <v>102.10680201737</v>
      </c>
      <c r="AN3277">
        <v>0.99999996229006405</v>
      </c>
    </row>
    <row r="3278" spans="1:40" x14ac:dyDescent="0.25">
      <c r="A3278" t="str">
        <f>"20190312172142575"</f>
        <v>20190312172142575</v>
      </c>
      <c r="B3278" t="str">
        <f>"1552382502563752"</f>
        <v>1552382502563752</v>
      </c>
      <c r="C3278" t="s">
        <v>40</v>
      </c>
      <c r="D3278">
        <v>3.4973459999999998</v>
      </c>
      <c r="E3278">
        <v>0.48279060000000001</v>
      </c>
      <c r="F3278" t="s">
        <v>45</v>
      </c>
      <c r="G3278">
        <v>-487.41739999999999</v>
      </c>
      <c r="H3278" s="1">
        <v>3.1623479999999998E-6</v>
      </c>
      <c r="I3278">
        <v>280.50839999999999</v>
      </c>
      <c r="J3278">
        <v>-474.13159999999999</v>
      </c>
      <c r="K3278">
        <v>1.11551</v>
      </c>
      <c r="L3278">
        <v>284.28370000000001</v>
      </c>
      <c r="M3278">
        <v>-0.99942299999999995</v>
      </c>
      <c r="N3278">
        <v>0</v>
      </c>
      <c r="O3278">
        <v>-3.0532730000000001E-2</v>
      </c>
      <c r="P3278">
        <v>-0.95822339999999995</v>
      </c>
      <c r="Q3278">
        <v>0.15926390000000001</v>
      </c>
      <c r="R3278">
        <v>-0.23757819999999999</v>
      </c>
      <c r="S3278">
        <v>-2.9681700000000002</v>
      </c>
      <c r="T3278">
        <v>-0.24254049999999999</v>
      </c>
      <c r="U3278">
        <v>-0.82376099999999997</v>
      </c>
      <c r="V3278">
        <v>-0.21044950000000001</v>
      </c>
      <c r="W3278">
        <v>0.17089309999999999</v>
      </c>
      <c r="X3278">
        <v>0.96255210000000002</v>
      </c>
      <c r="Y3278">
        <v>-0.23723659999999999</v>
      </c>
      <c r="Z3278">
        <v>-7.055731E-3</v>
      </c>
      <c r="AA3278">
        <v>0.97142629999999996</v>
      </c>
      <c r="AB3278">
        <v>47</v>
      </c>
      <c r="AC3278">
        <v>-13.285799999999901</v>
      </c>
      <c r="AD3278">
        <v>-1.1155068376520001</v>
      </c>
      <c r="AE3278">
        <v>-3.7753000000000099</v>
      </c>
      <c r="AF3278">
        <v>-3.3460168365062799</v>
      </c>
      <c r="AG3278">
        <v>-1.1155068376520001</v>
      </c>
      <c r="AH3278">
        <v>13.308079224086301</v>
      </c>
      <c r="AI3278">
        <v>94.647451416526394</v>
      </c>
      <c r="AJ3278">
        <v>104.113195116643</v>
      </c>
      <c r="AK3278">
        <v>13.767539969420399</v>
      </c>
      <c r="AL3278">
        <v>80.160250118569806</v>
      </c>
      <c r="AM3278">
        <v>102.33290817468099</v>
      </c>
      <c r="AN3278">
        <v>0.99999999444613497</v>
      </c>
    </row>
    <row r="3279" spans="1:40" x14ac:dyDescent="0.25">
      <c r="A3279" t="str">
        <f>"20190312172142591"</f>
        <v>20190312172142591</v>
      </c>
      <c r="B3279" t="str">
        <f>"1552382502584247"</f>
        <v>1552382502584247</v>
      </c>
      <c r="C3279" t="s">
        <v>40</v>
      </c>
      <c r="D3279">
        <v>3.4732609999999999</v>
      </c>
      <c r="E3279">
        <v>0.48302929999999999</v>
      </c>
      <c r="F3279" t="s">
        <v>45</v>
      </c>
      <c r="G3279">
        <v>-487.608</v>
      </c>
      <c r="H3279" s="1">
        <v>3.1895510000000001E-6</v>
      </c>
      <c r="I3279">
        <v>280.43290000000002</v>
      </c>
      <c r="J3279">
        <v>-474.44720000000001</v>
      </c>
      <c r="K3279">
        <v>1.1158250000000001</v>
      </c>
      <c r="L3279">
        <v>284.27159999999998</v>
      </c>
      <c r="M3279">
        <v>-0.99929290000000004</v>
      </c>
      <c r="N3279">
        <v>0</v>
      </c>
      <c r="O3279">
        <v>-3.4521419999999997E-2</v>
      </c>
      <c r="P3279">
        <v>-0.95693620000000001</v>
      </c>
      <c r="Q3279">
        <v>0.15882769999999999</v>
      </c>
      <c r="R3279">
        <v>-0.24299660000000001</v>
      </c>
      <c r="S3279">
        <v>-2.9617</v>
      </c>
      <c r="T3279">
        <v>-0.24515490000000001</v>
      </c>
      <c r="U3279">
        <v>-0.84628300000000001</v>
      </c>
      <c r="V3279">
        <v>-0.2121835</v>
      </c>
      <c r="W3279">
        <v>0.17028190000000001</v>
      </c>
      <c r="X3279">
        <v>0.96227969999999896</v>
      </c>
      <c r="Y3279">
        <v>-0.24073510000000001</v>
      </c>
      <c r="Z3279">
        <v>-6.9587640000000001E-3</v>
      </c>
      <c r="AA3279">
        <v>0.97056589999999998</v>
      </c>
      <c r="AB3279">
        <v>47</v>
      </c>
      <c r="AC3279">
        <v>-13.160799999999901</v>
      </c>
      <c r="AD3279">
        <v>-1.1158218104490001</v>
      </c>
      <c r="AE3279">
        <v>-3.8386999999999598</v>
      </c>
      <c r="AF3279">
        <v>-3.3597740851128699</v>
      </c>
      <c r="AG3279">
        <v>-1.1158218104490001</v>
      </c>
      <c r="AH3279">
        <v>13.1980530150802</v>
      </c>
      <c r="AI3279">
        <v>94.683859517881501</v>
      </c>
      <c r="AJ3279">
        <v>104.28219523813399</v>
      </c>
      <c r="AK3279">
        <v>13.6646164821606</v>
      </c>
      <c r="AL3279">
        <v>80.195790204476296</v>
      </c>
      <c r="AM3279">
        <v>102.434787911372</v>
      </c>
      <c r="AN3279">
        <v>0.99999999208597401</v>
      </c>
    </row>
    <row r="3280" spans="1:40" x14ac:dyDescent="0.25">
      <c r="A3280" t="str">
        <f>"20190312172142603"</f>
        <v>20190312172142603</v>
      </c>
      <c r="B3280" t="str">
        <f>"1552382502594007"</f>
        <v>1552382502594007</v>
      </c>
      <c r="C3280" t="s">
        <v>40</v>
      </c>
      <c r="D3280">
        <v>3.568956</v>
      </c>
      <c r="E3280">
        <v>0.48310690000000001</v>
      </c>
      <c r="F3280" t="s">
        <v>45</v>
      </c>
      <c r="G3280">
        <v>-487.78280000000001</v>
      </c>
      <c r="H3280" s="1">
        <v>3.2166689999999998E-6</v>
      </c>
      <c r="I3280">
        <v>280.38830000000002</v>
      </c>
      <c r="J3280">
        <v>-474.71190000000001</v>
      </c>
      <c r="K3280">
        <v>1.1160950000000001</v>
      </c>
      <c r="L3280">
        <v>284.26060000000001</v>
      </c>
      <c r="M3280">
        <v>-0.99916629999999995</v>
      </c>
      <c r="N3280">
        <v>0</v>
      </c>
      <c r="O3280">
        <v>-3.8001409999999999E-2</v>
      </c>
      <c r="P3280">
        <v>-0.95565829999999996</v>
      </c>
      <c r="Q3280">
        <v>0.1587877</v>
      </c>
      <c r="R3280">
        <v>-0.24799950000000001</v>
      </c>
      <c r="S3280">
        <v>-2.9573969999999998</v>
      </c>
      <c r="T3280">
        <v>-0.24745320000000001</v>
      </c>
      <c r="U3280">
        <v>-0.86117549999999898</v>
      </c>
      <c r="V3280">
        <v>-0.2139846</v>
      </c>
      <c r="W3280">
        <v>0.1700845</v>
      </c>
      <c r="X3280">
        <v>0.96191570000000004</v>
      </c>
      <c r="Y3280">
        <v>-0.24223320000000001</v>
      </c>
      <c r="Z3280">
        <v>-6.8062139999999997E-3</v>
      </c>
      <c r="AA3280">
        <v>0.97019420000000001</v>
      </c>
      <c r="AB3280">
        <v>47</v>
      </c>
      <c r="AC3280">
        <v>-13.0708999999999</v>
      </c>
      <c r="AD3280">
        <v>-1.116091783331</v>
      </c>
      <c r="AE3280">
        <v>-3.8722999999999899</v>
      </c>
      <c r="AF3280">
        <v>-3.3502783433966501</v>
      </c>
      <c r="AG3280">
        <v>-1.116091783331</v>
      </c>
      <c r="AH3280">
        <v>13.1206811357566</v>
      </c>
      <c r="AI3280">
        <v>94.711617736568002</v>
      </c>
      <c r="AJ3280">
        <v>104.32402036910599</v>
      </c>
      <c r="AK3280">
        <v>13.5875788613443</v>
      </c>
      <c r="AL3280">
        <v>80.207267702782701</v>
      </c>
      <c r="AM3280">
        <v>102.54160988148099</v>
      </c>
      <c r="AN3280">
        <v>0.99999998004194901</v>
      </c>
    </row>
    <row r="3281" spans="1:40" x14ac:dyDescent="0.25">
      <c r="A3281" t="str">
        <f>"20190312172142616"</f>
        <v>20190312172142616</v>
      </c>
      <c r="B3281" t="str">
        <f>"1552382502603768"</f>
        <v>1552382502603768</v>
      </c>
      <c r="C3281" t="s">
        <v>40</v>
      </c>
      <c r="D3281">
        <v>3.6249060000000002</v>
      </c>
      <c r="E3281">
        <v>0.48316959999999998</v>
      </c>
      <c r="F3281" t="s">
        <v>45</v>
      </c>
      <c r="G3281">
        <v>-487.98570000000001</v>
      </c>
      <c r="H3281" s="1">
        <v>3.2470169999999998E-6</v>
      </c>
      <c r="I3281">
        <v>280.32380000000001</v>
      </c>
      <c r="J3281">
        <v>-474.9828</v>
      </c>
      <c r="K3281">
        <v>1.1163809999999901</v>
      </c>
      <c r="L3281">
        <v>284.2482</v>
      </c>
      <c r="M3281">
        <v>-0.99901629999999997</v>
      </c>
      <c r="N3281">
        <v>0</v>
      </c>
      <c r="O3281">
        <v>-4.1745310000000001E-2</v>
      </c>
      <c r="P3281">
        <v>-0.95423899999999995</v>
      </c>
      <c r="Q3281">
        <v>0.1591381</v>
      </c>
      <c r="R3281">
        <v>-0.25318629999999998</v>
      </c>
      <c r="S3281">
        <v>-2.9531559999999999</v>
      </c>
      <c r="T3281">
        <v>-0.24830749999999999</v>
      </c>
      <c r="U3281">
        <v>-0.87585449999999998</v>
      </c>
      <c r="V3281">
        <v>-0.2157374</v>
      </c>
      <c r="W3281">
        <v>0.1702776</v>
      </c>
      <c r="X3281">
        <v>0.96148999999999996</v>
      </c>
      <c r="Y3281">
        <v>-0.24341380000000001</v>
      </c>
      <c r="Z3281">
        <v>-6.5763139999999998E-3</v>
      </c>
      <c r="AA3281">
        <v>0.96990030000000005</v>
      </c>
      <c r="AB3281">
        <v>46</v>
      </c>
      <c r="AC3281">
        <v>-13.0029</v>
      </c>
      <c r="AD3281">
        <v>-1.1163777529829999</v>
      </c>
      <c r="AE3281">
        <v>-3.9243999999999901</v>
      </c>
      <c r="AF3281">
        <v>-3.35543851384702</v>
      </c>
      <c r="AG3281">
        <v>-1.1163777529829999</v>
      </c>
      <c r="AH3281">
        <v>13.067126366578901</v>
      </c>
      <c r="AI3281">
        <v>94.730415813444793</v>
      </c>
      <c r="AJ3281">
        <v>104.401524911972</v>
      </c>
      <c r="AK3281">
        <v>13.5371732052044</v>
      </c>
      <c r="AL3281">
        <v>80.196040835382504</v>
      </c>
      <c r="AM3281">
        <v>102.646469403376</v>
      </c>
      <c r="AN3281">
        <v>1.00000005346025</v>
      </c>
    </row>
    <row r="3282" spans="1:40" x14ac:dyDescent="0.25">
      <c r="A3282" t="str">
        <f>"20190312172142630"</f>
        <v>20190312172142630</v>
      </c>
      <c r="B3282" t="str">
        <f>"1552382502624263"</f>
        <v>1552382502624263</v>
      </c>
      <c r="C3282" t="s">
        <v>40</v>
      </c>
      <c r="D3282">
        <v>3.5336059999999998</v>
      </c>
      <c r="E3282">
        <v>0.48330499999999998</v>
      </c>
      <c r="F3282" t="s">
        <v>45</v>
      </c>
      <c r="G3282">
        <v>-488.2448</v>
      </c>
      <c r="H3282" s="1">
        <v>3.2854680000000001E-6</v>
      </c>
      <c r="I3282">
        <v>280.238</v>
      </c>
      <c r="J3282">
        <v>-475.24400000000003</v>
      </c>
      <c r="K3282">
        <v>1.116676</v>
      </c>
      <c r="L3282">
        <v>284.23509999999999</v>
      </c>
      <c r="M3282">
        <v>-0.99885119999999905</v>
      </c>
      <c r="N3282">
        <v>0</v>
      </c>
      <c r="O3282">
        <v>-4.5507239999999997E-2</v>
      </c>
      <c r="P3282">
        <v>-0.9526635</v>
      </c>
      <c r="Q3282">
        <v>0.16000529999999999</v>
      </c>
      <c r="R3282">
        <v>-0.25851669999999999</v>
      </c>
      <c r="S3282">
        <v>-2.9486690000000002</v>
      </c>
      <c r="T3282">
        <v>-0.24821650000000001</v>
      </c>
      <c r="U3282">
        <v>-0.89163210000000004</v>
      </c>
      <c r="V3282">
        <v>-0.21763460000000001</v>
      </c>
      <c r="W3282">
        <v>0.17101859999999999</v>
      </c>
      <c r="X3282">
        <v>0.96093070000000003</v>
      </c>
      <c r="Y3282">
        <v>-0.24493290000000001</v>
      </c>
      <c r="Z3282">
        <v>-6.3330139999999997E-3</v>
      </c>
      <c r="AA3282">
        <v>0.96951940000000003</v>
      </c>
      <c r="AB3282">
        <v>46</v>
      </c>
      <c r="AC3282">
        <v>-13.0007999999999</v>
      </c>
      <c r="AD3282">
        <v>-1.1166727145319999</v>
      </c>
      <c r="AE3282">
        <v>-3.9970999999999801</v>
      </c>
      <c r="AF3282">
        <v>-3.3784885353793799</v>
      </c>
      <c r="AG3282">
        <v>-1.1166727145319999</v>
      </c>
      <c r="AH3282">
        <v>13.081074062663401</v>
      </c>
      <c r="AI3282">
        <v>94.724946770949899</v>
      </c>
      <c r="AJ3282">
        <v>104.48149413860401</v>
      </c>
      <c r="AK3282">
        <v>13.556387474838401</v>
      </c>
      <c r="AL3282">
        <v>80.152952071043998</v>
      </c>
      <c r="AM3282">
        <v>102.76124059008001</v>
      </c>
      <c r="AN3282">
        <v>0.99999999543280405</v>
      </c>
    </row>
    <row r="3283" spans="1:40" x14ac:dyDescent="0.25">
      <c r="A3283" t="str">
        <f>"20190312172142641"</f>
        <v>20190312172142641</v>
      </c>
      <c r="B3283" t="str">
        <f>"1552382502634022"</f>
        <v>1552382502634022</v>
      </c>
      <c r="C3283" t="s">
        <v>40</v>
      </c>
      <c r="D3283">
        <v>3.5131860000000001</v>
      </c>
      <c r="E3283">
        <v>0.4911626</v>
      </c>
      <c r="F3283" t="s">
        <v>45</v>
      </c>
      <c r="G3283">
        <v>-488.61180000000002</v>
      </c>
      <c r="H3283" s="1">
        <v>3.3399809999999999E-6</v>
      </c>
      <c r="I3283">
        <v>280.11689999999999</v>
      </c>
      <c r="J3283">
        <v>-475.5086</v>
      </c>
      <c r="K3283">
        <v>1.116978</v>
      </c>
      <c r="L3283">
        <v>284.22109999999998</v>
      </c>
      <c r="M3283">
        <v>-0.99866440000000001</v>
      </c>
      <c r="N3283">
        <v>0</v>
      </c>
      <c r="O3283">
        <v>-4.9412030000000003E-2</v>
      </c>
      <c r="P3283">
        <v>-0.95045809999999997</v>
      </c>
      <c r="Q3283">
        <v>0.1620124</v>
      </c>
      <c r="R3283">
        <v>-0.26529509999999901</v>
      </c>
      <c r="S3283">
        <v>-2.9442750000000002</v>
      </c>
      <c r="T3283">
        <v>-0.24594969999999999</v>
      </c>
      <c r="U3283">
        <v>-0.9070435</v>
      </c>
      <c r="V3283">
        <v>-0.2208997</v>
      </c>
      <c r="W3283">
        <v>0.17288439999999999</v>
      </c>
      <c r="X3283">
        <v>0.95985120000000002</v>
      </c>
      <c r="Y3283">
        <v>-0.2462049</v>
      </c>
      <c r="Z3283">
        <v>-6.0146660000000001E-3</v>
      </c>
      <c r="AA3283">
        <v>0.96919909999999998</v>
      </c>
      <c r="AB3283">
        <v>46</v>
      </c>
      <c r="AC3283">
        <v>-13.103199999999999</v>
      </c>
      <c r="AD3283">
        <v>-1.116974660019</v>
      </c>
      <c r="AE3283">
        <v>-4.1041999999999899</v>
      </c>
      <c r="AF3283">
        <v>-3.42896518554263</v>
      </c>
      <c r="AG3283">
        <v>-1.116974660019</v>
      </c>
      <c r="AH3283">
        <v>13.2026433845806</v>
      </c>
      <c r="AI3283">
        <v>94.681259366131798</v>
      </c>
      <c r="AJ3283">
        <v>104.559085102534</v>
      </c>
      <c r="AK3283">
        <v>13.686315317688599</v>
      </c>
      <c r="AL3283">
        <v>80.044433388279998</v>
      </c>
      <c r="AM3283">
        <v>102.960356872943</v>
      </c>
      <c r="AN3283">
        <v>1.00000000968244</v>
      </c>
    </row>
    <row r="3284" spans="1:40" x14ac:dyDescent="0.25">
      <c r="A3284" t="str">
        <f>"20190312172142664"</f>
        <v>20190312172142664</v>
      </c>
      <c r="B3284" t="str">
        <f>"1552382502653544"</f>
        <v>1552382502653544</v>
      </c>
      <c r="C3284" t="s">
        <v>40</v>
      </c>
      <c r="D3284">
        <v>3.5483069999999999</v>
      </c>
      <c r="E3284">
        <v>0.4921876</v>
      </c>
      <c r="F3284" t="s">
        <v>45</v>
      </c>
      <c r="G3284">
        <v>-487.77929999999998</v>
      </c>
      <c r="H3284" s="1">
        <v>3.2367190000000002E-6</v>
      </c>
      <c r="I3284">
        <v>280.62490000000003</v>
      </c>
      <c r="J3284">
        <v>-475.96719999999999</v>
      </c>
      <c r="K3284">
        <v>1.1175219999999999</v>
      </c>
      <c r="L3284">
        <v>284.19369999999998</v>
      </c>
      <c r="M3284">
        <v>-0.99827929999999998</v>
      </c>
      <c r="N3284">
        <v>0</v>
      </c>
      <c r="O3284">
        <v>-5.6599990000000003E-2</v>
      </c>
      <c r="P3284">
        <v>-0.94778189999999995</v>
      </c>
      <c r="Q3284">
        <v>0.16211619999999999</v>
      </c>
      <c r="R3284">
        <v>-0.27464169999999999</v>
      </c>
      <c r="S3284">
        <v>-2.9601440000000001</v>
      </c>
      <c r="T3284">
        <v>-0.26945609999999998</v>
      </c>
      <c r="U3284">
        <v>-0.86755369999999998</v>
      </c>
      <c r="V3284">
        <v>-0.22366820000000001</v>
      </c>
      <c r="W3284">
        <v>0.17288439999999999</v>
      </c>
      <c r="X3284">
        <v>0.95920989999999995</v>
      </c>
      <c r="Y3284">
        <v>-0.22583349999999999</v>
      </c>
      <c r="Z3284">
        <v>-5.0226740000000004E-3</v>
      </c>
      <c r="AA3284">
        <v>0.97415300000000005</v>
      </c>
      <c r="AB3284">
        <v>46</v>
      </c>
      <c r="AC3284">
        <v>-11.8120999999999</v>
      </c>
      <c r="AD3284">
        <v>-1.117518763281</v>
      </c>
      <c r="AE3284">
        <v>-3.5687999999999498</v>
      </c>
      <c r="AF3284">
        <v>-2.8708874434445999</v>
      </c>
      <c r="AG3284">
        <v>-1.117518763281</v>
      </c>
      <c r="AH3284">
        <v>11.897594091192</v>
      </c>
      <c r="AI3284">
        <v>95.217069222457198</v>
      </c>
      <c r="AJ3284">
        <v>103.56613119237799</v>
      </c>
      <c r="AK3284">
        <v>12.2899791723981</v>
      </c>
      <c r="AL3284">
        <v>80.044433852649703</v>
      </c>
      <c r="AM3284">
        <v>103.12566963901899</v>
      </c>
      <c r="AN3284">
        <v>1.0000000558563</v>
      </c>
    </row>
    <row r="3285" spans="1:40" x14ac:dyDescent="0.25">
      <c r="A3285" t="str">
        <f>"20190312172142678"</f>
        <v>20190312172142678</v>
      </c>
      <c r="B3285" t="str">
        <f>"1552382502674039"</f>
        <v>1552382502674039</v>
      </c>
      <c r="C3285" t="s">
        <v>40</v>
      </c>
      <c r="D3285">
        <v>3.523279</v>
      </c>
      <c r="E3285">
        <v>0.49293589999999998</v>
      </c>
      <c r="F3285" t="s">
        <v>45</v>
      </c>
      <c r="G3285">
        <v>-488.18819999999999</v>
      </c>
      <c r="H3285" s="1">
        <v>3.3001060000000001E-6</v>
      </c>
      <c r="I3285">
        <v>280.52019999999999</v>
      </c>
      <c r="J3285">
        <v>-476.27530000000002</v>
      </c>
      <c r="K3285">
        <v>1.1178920000000001</v>
      </c>
      <c r="L3285">
        <v>284.17349999999999</v>
      </c>
      <c r="M3285">
        <v>-0.99797670000000005</v>
      </c>
      <c r="N3285">
        <v>0</v>
      </c>
      <c r="O3285">
        <v>-6.1656490000000001E-2</v>
      </c>
      <c r="P3285">
        <v>-0.94613780000000003</v>
      </c>
      <c r="Q3285">
        <v>0.1612749</v>
      </c>
      <c r="R3285">
        <v>-0.28073789999999998</v>
      </c>
      <c r="S3285">
        <v>-2.954132</v>
      </c>
      <c r="T3285">
        <v>-0.27013219999999999</v>
      </c>
      <c r="U3285">
        <v>-0.88797000000000004</v>
      </c>
      <c r="V3285">
        <v>-0.2251119</v>
      </c>
      <c r="W3285">
        <v>0.17200560000000001</v>
      </c>
      <c r="X3285">
        <v>0.9590301</v>
      </c>
      <c r="Y3285">
        <v>-0.22762840000000001</v>
      </c>
      <c r="Z3285">
        <v>-4.6715489999999997E-3</v>
      </c>
      <c r="AA3285">
        <v>0.97373690000000002</v>
      </c>
      <c r="AB3285">
        <v>46</v>
      </c>
      <c r="AC3285">
        <v>-11.912899999999899</v>
      </c>
      <c r="AD3285">
        <v>-1.1178886998940001</v>
      </c>
      <c r="AE3285">
        <v>-3.6533000000000002</v>
      </c>
      <c r="AF3285">
        <v>-2.8885027840830499</v>
      </c>
      <c r="AG3285">
        <v>-1.1178886998940001</v>
      </c>
      <c r="AH3285">
        <v>12.0187704422083</v>
      </c>
      <c r="AI3285">
        <v>95.167587107267806</v>
      </c>
      <c r="AJ3285">
        <v>103.51375257956499</v>
      </c>
      <c r="AK3285">
        <v>12.411444977177601</v>
      </c>
      <c r="AL3285">
        <v>80.095550738026503</v>
      </c>
      <c r="AM3285">
        <v>103.20982011141599</v>
      </c>
      <c r="AN3285">
        <v>1.00000001332949</v>
      </c>
    </row>
    <row r="3286" spans="1:40" x14ac:dyDescent="0.25">
      <c r="A3286" t="str">
        <f>"20190312172142691"</f>
        <v>20190312172142691</v>
      </c>
      <c r="B3286" t="str">
        <f>"1552382502683799"</f>
        <v>1552382502683799</v>
      </c>
      <c r="C3286" t="s">
        <v>40</v>
      </c>
      <c r="D3286">
        <v>3.5072350000000001</v>
      </c>
      <c r="E3286">
        <v>0.49331809999999998</v>
      </c>
      <c r="F3286" t="s">
        <v>45</v>
      </c>
      <c r="G3286">
        <v>-488.3143</v>
      </c>
      <c r="H3286" s="1">
        <v>3.320214E-6</v>
      </c>
      <c r="I3286">
        <v>280.49430000000001</v>
      </c>
      <c r="J3286">
        <v>-476.51429999999999</v>
      </c>
      <c r="K3286">
        <v>1.1181779999999999</v>
      </c>
      <c r="L3286">
        <v>284.15629999999999</v>
      </c>
      <c r="M3286">
        <v>-0.99771080000000001</v>
      </c>
      <c r="N3286">
        <v>0</v>
      </c>
      <c r="O3286">
        <v>-6.5786629999999999E-2</v>
      </c>
      <c r="P3286">
        <v>-0.9446194</v>
      </c>
      <c r="Q3286">
        <v>0.16112379999999901</v>
      </c>
      <c r="R3286">
        <v>-0.2858909</v>
      </c>
      <c r="S3286">
        <v>-2.9499819999999999</v>
      </c>
      <c r="T3286">
        <v>-0.273922099999999</v>
      </c>
      <c r="U3286">
        <v>-0.90155030000000003</v>
      </c>
      <c r="V3286">
        <v>-0.22648409999999999</v>
      </c>
      <c r="W3286">
        <v>0.1718219</v>
      </c>
      <c r="X3286">
        <v>0.95873989999999998</v>
      </c>
      <c r="Y3286">
        <v>-0.22807720000000001</v>
      </c>
      <c r="Z3286">
        <v>-4.3887240000000001E-3</v>
      </c>
      <c r="AA3286">
        <v>0.97363319999999998</v>
      </c>
      <c r="AB3286">
        <v>46</v>
      </c>
      <c r="AC3286">
        <v>-11.8</v>
      </c>
      <c r="AD3286">
        <v>-1.1181746797859999</v>
      </c>
      <c r="AE3286">
        <v>-3.6619999999999702</v>
      </c>
      <c r="AF3286">
        <v>-2.8543088256660401</v>
      </c>
      <c r="AG3286">
        <v>-1.1181746797859999</v>
      </c>
      <c r="AH3286">
        <v>11.917756780883501</v>
      </c>
      <c r="AI3286">
        <v>95.213451327039706</v>
      </c>
      <c r="AJ3286">
        <v>103.468670196619</v>
      </c>
      <c r="AK3286">
        <v>12.305702750151401</v>
      </c>
      <c r="AL3286">
        <v>80.106234950822497</v>
      </c>
      <c r="AM3286">
        <v>103.29137354682101</v>
      </c>
      <c r="AN3286">
        <v>1.0000000043622099</v>
      </c>
    </row>
    <row r="3287" spans="1:40" x14ac:dyDescent="0.25">
      <c r="A3287" t="str">
        <f>"20190312172142704"</f>
        <v>20190312172142704</v>
      </c>
      <c r="B3287" t="str">
        <f>"1552382502693559"</f>
        <v>1552382502693559</v>
      </c>
      <c r="C3287" t="s">
        <v>40</v>
      </c>
      <c r="D3287">
        <v>3.5389740000000001</v>
      </c>
      <c r="E3287">
        <v>0.49367509999999998</v>
      </c>
      <c r="F3287" t="s">
        <v>45</v>
      </c>
      <c r="G3287">
        <v>-488.50990000000002</v>
      </c>
      <c r="H3287" s="1">
        <v>3.3492859999999999E-6</v>
      </c>
      <c r="I3287">
        <v>280.42989999999998</v>
      </c>
      <c r="J3287">
        <v>-476.7758</v>
      </c>
      <c r="K3287">
        <v>1.118495</v>
      </c>
      <c r="L3287">
        <v>284.13659999999999</v>
      </c>
      <c r="M3287">
        <v>-0.99739339999999999</v>
      </c>
      <c r="N3287">
        <v>0</v>
      </c>
      <c r="O3287">
        <v>-7.039782E-2</v>
      </c>
      <c r="P3287">
        <v>-0.94292830000000005</v>
      </c>
      <c r="Q3287">
        <v>0.16122310000000001</v>
      </c>
      <c r="R3287">
        <v>-0.29136519999999999</v>
      </c>
      <c r="S3287">
        <v>-2.9457399999999998</v>
      </c>
      <c r="T3287">
        <v>-0.27458660000000001</v>
      </c>
      <c r="U3287">
        <v>-0.91506960000000004</v>
      </c>
      <c r="V3287">
        <v>-0.2277487</v>
      </c>
      <c r="W3287">
        <v>0.17188299999999901</v>
      </c>
      <c r="X3287">
        <v>0.95842930000000004</v>
      </c>
      <c r="Y3287">
        <v>-0.22806399999999999</v>
      </c>
      <c r="Z3287">
        <v>-3.985822E-3</v>
      </c>
      <c r="AA3287">
        <v>0.973638</v>
      </c>
      <c r="AB3287">
        <v>46</v>
      </c>
      <c r="AC3287">
        <v>-11.7341</v>
      </c>
      <c r="AD3287">
        <v>-1.1184916507139999</v>
      </c>
      <c r="AE3287">
        <v>-3.7067000000000099</v>
      </c>
      <c r="AF3287">
        <v>-2.8478156522282201</v>
      </c>
      <c r="AG3287">
        <v>-1.1184916507139999</v>
      </c>
      <c r="AH3287">
        <v>11.867910279085599</v>
      </c>
      <c r="AI3287">
        <v>95.236161126954897</v>
      </c>
      <c r="AJ3287">
        <v>103.49352928137201</v>
      </c>
      <c r="AK3287">
        <v>12.255952511095099</v>
      </c>
      <c r="AL3287">
        <v>80.1026810622825</v>
      </c>
      <c r="AM3287">
        <v>103.367107456761</v>
      </c>
      <c r="AN3287">
        <v>0.99999997956958897</v>
      </c>
    </row>
    <row r="3288" spans="1:40" x14ac:dyDescent="0.25">
      <c r="A3288" t="str">
        <f>"20190312172142719"</f>
        <v>20190312172142719</v>
      </c>
      <c r="B3288" t="str">
        <f>"1552382502714054"</f>
        <v>1552382502714054</v>
      </c>
      <c r="C3288" t="s">
        <v>40</v>
      </c>
      <c r="D3288">
        <v>3.554862</v>
      </c>
      <c r="E3288">
        <v>0.50224079999999904</v>
      </c>
      <c r="F3288" t="s">
        <v>45</v>
      </c>
      <c r="G3288">
        <v>-488.73079999999999</v>
      </c>
      <c r="H3288" s="1">
        <v>3.3820310000000002E-6</v>
      </c>
      <c r="I3288">
        <v>280.35629999999998</v>
      </c>
      <c r="J3288">
        <v>-477.09269999999998</v>
      </c>
      <c r="K3288">
        <v>1.1188880000000001</v>
      </c>
      <c r="L3288">
        <v>284.11110000000002</v>
      </c>
      <c r="M3288">
        <v>-0.99696359999999995</v>
      </c>
      <c r="N3288">
        <v>0</v>
      </c>
      <c r="O3288">
        <v>-7.6205529999999994E-2</v>
      </c>
      <c r="P3288">
        <v>-0.94077109999999997</v>
      </c>
      <c r="Q3288">
        <v>0.16152449999999999</v>
      </c>
      <c r="R3288">
        <v>-0.29809350000000001</v>
      </c>
      <c r="S3288">
        <v>-2.941284</v>
      </c>
      <c r="T3288">
        <v>-0.27518049999999999</v>
      </c>
      <c r="U3288">
        <v>-0.93005369999999998</v>
      </c>
      <c r="V3288">
        <v>-0.22918769999999999</v>
      </c>
      <c r="W3288">
        <v>0.172126799999999</v>
      </c>
      <c r="X3288">
        <v>0.95804239999999996</v>
      </c>
      <c r="Y3288">
        <v>-0.22735030000000001</v>
      </c>
      <c r="Z3288">
        <v>-3.4395810000000001E-3</v>
      </c>
      <c r="AA3288">
        <v>0.97380699999999998</v>
      </c>
      <c r="AB3288">
        <v>46</v>
      </c>
      <c r="AC3288">
        <v>-11.6381</v>
      </c>
      <c r="AD3288">
        <v>-1.118884617969</v>
      </c>
      <c r="AE3288">
        <v>-3.7548000000000399</v>
      </c>
      <c r="AF3288">
        <v>-2.8331597527899302</v>
      </c>
      <c r="AG3288">
        <v>-1.118884617969</v>
      </c>
      <c r="AH3288">
        <v>11.7917084596368</v>
      </c>
      <c r="AI3288">
        <v>95.271283751057197</v>
      </c>
      <c r="AJ3288">
        <v>103.510203343508</v>
      </c>
      <c r="AK3288">
        <v>12.178796548519299</v>
      </c>
      <c r="AL3288">
        <v>80.0885006031465</v>
      </c>
      <c r="AM3288">
        <v>103.453740446544</v>
      </c>
      <c r="AN3288">
        <v>0.99999993865364301</v>
      </c>
    </row>
    <row r="3289" spans="1:40" x14ac:dyDescent="0.25">
      <c r="A3289" t="str">
        <f>"20190312172142732"</f>
        <v>20190312172142732</v>
      </c>
      <c r="B3289" t="str">
        <f>"1552382502723815"</f>
        <v>1552382502723815</v>
      </c>
      <c r="C3289" t="s">
        <v>40</v>
      </c>
      <c r="D3289">
        <v>3.5623749999999998</v>
      </c>
      <c r="E3289">
        <v>0.50238110000000002</v>
      </c>
      <c r="F3289" t="s">
        <v>45</v>
      </c>
      <c r="G3289">
        <v>-487.91050000000001</v>
      </c>
      <c r="H3289" s="1">
        <v>3.2815549999999999E-6</v>
      </c>
      <c r="I3289">
        <v>280.87150000000003</v>
      </c>
      <c r="J3289">
        <v>-477.34570000000002</v>
      </c>
      <c r="K3289">
        <v>1.1191949999999999</v>
      </c>
      <c r="L3289">
        <v>284.08879999999999</v>
      </c>
      <c r="M3289">
        <v>-0.99657600000000002</v>
      </c>
      <c r="N3289">
        <v>0</v>
      </c>
      <c r="O3289">
        <v>-8.1085699999999997E-2</v>
      </c>
      <c r="P3289">
        <v>-0.93850080000000002</v>
      </c>
      <c r="Q3289">
        <v>0.1625896</v>
      </c>
      <c r="R3289">
        <v>-0.30459960000000003</v>
      </c>
      <c r="S3289">
        <v>-2.9605100000000002</v>
      </c>
      <c r="T3289">
        <v>-0.30620429999999998</v>
      </c>
      <c r="U3289">
        <v>-0.88659669999999902</v>
      </c>
      <c r="V3289">
        <v>-0.2313028</v>
      </c>
      <c r="W3289">
        <v>0.17311260000000001</v>
      </c>
      <c r="X3289">
        <v>0.95735630000000005</v>
      </c>
      <c r="Y3289">
        <v>-0.20763699999999999</v>
      </c>
      <c r="Z3289">
        <v>-2.3248409999999998E-3</v>
      </c>
      <c r="AA3289">
        <v>0.97820320000000005</v>
      </c>
      <c r="AB3289">
        <v>46</v>
      </c>
      <c r="AC3289">
        <v>-10.5647999999999</v>
      </c>
      <c r="AD3289">
        <v>-1.119191718445</v>
      </c>
      <c r="AE3289">
        <v>-3.2172999999999599</v>
      </c>
      <c r="AF3289">
        <v>-2.3260484013925198</v>
      </c>
      <c r="AG3289">
        <v>-1.119191718445</v>
      </c>
      <c r="AH3289">
        <v>10.6812175091244</v>
      </c>
      <c r="AI3289">
        <v>95.84567372075</v>
      </c>
      <c r="AJ3289">
        <v>102.285488906073</v>
      </c>
      <c r="AK3289">
        <v>10.988698682987099</v>
      </c>
      <c r="AL3289">
        <v>80.031158448932601</v>
      </c>
      <c r="AM3289">
        <v>103.582694229445</v>
      </c>
      <c r="AN3289">
        <v>1.0000000213581399</v>
      </c>
    </row>
    <row r="3290" spans="1:40" x14ac:dyDescent="0.25">
      <c r="A3290" t="str">
        <f>"20190312172142754"</f>
        <v>20190312172142754</v>
      </c>
      <c r="B3290" t="str">
        <f>"1552382502744311"</f>
        <v>1552382502744311</v>
      </c>
      <c r="C3290" t="s">
        <v>40</v>
      </c>
      <c r="D3290">
        <v>3.9327299999999998</v>
      </c>
      <c r="E3290">
        <v>0.50298310000000002</v>
      </c>
      <c r="F3290" t="s">
        <v>45</v>
      </c>
      <c r="G3290">
        <v>-488.07</v>
      </c>
      <c r="H3290" s="1">
        <v>3.3039849999999998E-6</v>
      </c>
      <c r="I3290">
        <v>280.80439999999999</v>
      </c>
      <c r="J3290">
        <v>-477.78280000000001</v>
      </c>
      <c r="K3290">
        <v>1.1197299999999999</v>
      </c>
      <c r="L3290">
        <v>284.04770000000002</v>
      </c>
      <c r="M3290">
        <v>-0.99582289999999996</v>
      </c>
      <c r="N3290">
        <v>0</v>
      </c>
      <c r="O3290">
        <v>-8.9816409999999999E-2</v>
      </c>
      <c r="P3290">
        <v>-0.9353089</v>
      </c>
      <c r="Q3290">
        <v>0.163828799999999</v>
      </c>
      <c r="R3290">
        <v>-0.3136196</v>
      </c>
      <c r="S3290">
        <v>-2.9561769999999998</v>
      </c>
      <c r="T3290">
        <v>-0.30850709999999998</v>
      </c>
      <c r="U3290">
        <v>-0.90536499999999998</v>
      </c>
      <c r="V3290">
        <v>-0.23240640000000001</v>
      </c>
      <c r="W3290">
        <v>0.174265</v>
      </c>
      <c r="X3290">
        <v>0.95687979999999995</v>
      </c>
      <c r="Y3290">
        <v>-0.20519200000000001</v>
      </c>
      <c r="Z3290">
        <v>-1.3389840000000001E-3</v>
      </c>
      <c r="AA3290">
        <v>0.97872079999999995</v>
      </c>
      <c r="AB3290">
        <v>46</v>
      </c>
      <c r="AC3290">
        <v>-10.287199999999901</v>
      </c>
      <c r="AD3290">
        <v>-1.1197266960150001</v>
      </c>
      <c r="AE3290">
        <v>-3.2433000000000298</v>
      </c>
      <c r="AF3290">
        <v>-2.28151751835233</v>
      </c>
      <c r="AG3290">
        <v>-1.1197266960150001</v>
      </c>
      <c r="AH3290">
        <v>10.424612230855301</v>
      </c>
      <c r="AI3290">
        <v>95.990026087675204</v>
      </c>
      <c r="AJ3290">
        <v>102.345033076954</v>
      </c>
      <c r="AK3290">
        <v>10.729941762377599</v>
      </c>
      <c r="AL3290">
        <v>79.964111384147103</v>
      </c>
      <c r="AM3290">
        <v>103.651623814301</v>
      </c>
      <c r="AN3290">
        <v>0.99999998831699899</v>
      </c>
    </row>
    <row r="3291" spans="1:40" x14ac:dyDescent="0.25">
      <c r="A3291" t="str">
        <f>"20190312172142767"</f>
        <v>20190312172142767</v>
      </c>
      <c r="B3291" t="str">
        <f>"1552382502763831"</f>
        <v>1552382502763831</v>
      </c>
      <c r="C3291" t="s">
        <v>40</v>
      </c>
      <c r="D3291">
        <v>3.5893120000000001</v>
      </c>
      <c r="E3291">
        <v>0.50330200000000003</v>
      </c>
      <c r="F3291" t="s">
        <v>45</v>
      </c>
      <c r="G3291">
        <v>-488.73419999999999</v>
      </c>
      <c r="H3291" s="1">
        <v>3.4034369999999999E-6</v>
      </c>
      <c r="I3291">
        <v>280.5942</v>
      </c>
      <c r="J3291">
        <v>-478.05739999999997</v>
      </c>
      <c r="K3291">
        <v>1.1200639999999999</v>
      </c>
      <c r="L3291">
        <v>284.01979999999998</v>
      </c>
      <c r="M3291">
        <v>-0.99528570000000005</v>
      </c>
      <c r="N3291">
        <v>0</v>
      </c>
      <c r="O3291">
        <v>-9.5562090000000002E-2</v>
      </c>
      <c r="P3291">
        <v>-0.93328929999999999</v>
      </c>
      <c r="Q3291">
        <v>0.16413259999999999</v>
      </c>
      <c r="R3291">
        <v>-0.31942399999999999</v>
      </c>
      <c r="S3291">
        <v>-2.948547</v>
      </c>
      <c r="T3291">
        <v>-0.30147360000000001</v>
      </c>
      <c r="U3291">
        <v>-0.92980960000000001</v>
      </c>
      <c r="V3291">
        <v>-0.23298489999999999</v>
      </c>
      <c r="W3291">
        <v>0.17450539999999901</v>
      </c>
      <c r="X3291">
        <v>0.95669530000000003</v>
      </c>
      <c r="Y3291">
        <v>-0.20768980000000001</v>
      </c>
      <c r="Z3291">
        <v>-8.6910839999999997E-4</v>
      </c>
      <c r="AA3291">
        <v>0.97819440000000002</v>
      </c>
      <c r="AB3291">
        <v>46</v>
      </c>
      <c r="AC3291">
        <v>-10.6768</v>
      </c>
      <c r="AD3291">
        <v>-1.1200605965629999</v>
      </c>
      <c r="AE3291">
        <v>-3.42559999999997</v>
      </c>
      <c r="AF3291">
        <v>-2.3658741139094102</v>
      </c>
      <c r="AG3291">
        <v>-1.1200605965629999</v>
      </c>
      <c r="AH3291">
        <v>10.8470927912643</v>
      </c>
      <c r="AI3291">
        <v>95.760918713968394</v>
      </c>
      <c r="AJ3291">
        <v>102.304162008375</v>
      </c>
      <c r="AK3291">
        <v>11.158463966206901</v>
      </c>
      <c r="AL3291">
        <v>79.950123238666706</v>
      </c>
      <c r="AM3291">
        <v>103.686868771429</v>
      </c>
      <c r="AN3291">
        <v>0.99999999764962899</v>
      </c>
    </row>
    <row r="3292" spans="1:40" x14ac:dyDescent="0.25">
      <c r="A3292" t="str">
        <f>"20190312172142780"</f>
        <v>20190312172142780</v>
      </c>
      <c r="B3292" t="str">
        <f>"1552382502773591"</f>
        <v>1552382502773591</v>
      </c>
      <c r="C3292" t="s">
        <v>40</v>
      </c>
      <c r="D3292">
        <v>3.5524589999999998</v>
      </c>
      <c r="E3292">
        <v>0.50330200000000003</v>
      </c>
      <c r="F3292" t="s">
        <v>45</v>
      </c>
      <c r="G3292">
        <v>-489.03230000000002</v>
      </c>
      <c r="H3292" s="1">
        <v>3.4471769999999998E-6</v>
      </c>
      <c r="I3292">
        <v>280.48989999999998</v>
      </c>
      <c r="J3292">
        <v>-478.31729999999999</v>
      </c>
      <c r="K3292">
        <v>1.120379</v>
      </c>
      <c r="L3292">
        <v>283.99220000000003</v>
      </c>
      <c r="M3292">
        <v>-0.99473299999999998</v>
      </c>
      <c r="N3292">
        <v>0</v>
      </c>
      <c r="O3292">
        <v>-0.1011317</v>
      </c>
      <c r="P3292">
        <v>-0.93112870000000003</v>
      </c>
      <c r="Q3292">
        <v>0.1645702</v>
      </c>
      <c r="R3292">
        <v>-0.32544709999999899</v>
      </c>
      <c r="S3292">
        <v>-2.9433289999999999</v>
      </c>
      <c r="T3292">
        <v>-0.30038680000000001</v>
      </c>
      <c r="U3292">
        <v>-0.94668580000000002</v>
      </c>
      <c r="V3292">
        <v>-0.2339657</v>
      </c>
      <c r="W3292">
        <v>0.174861299999999</v>
      </c>
      <c r="X3292">
        <v>0.95639090000000004</v>
      </c>
      <c r="Y3292">
        <v>-0.20783209999999999</v>
      </c>
      <c r="Z3292">
        <v>-3.2747720000000002E-4</v>
      </c>
      <c r="AA3292">
        <v>0.97816449999999999</v>
      </c>
      <c r="AB3292">
        <v>46</v>
      </c>
      <c r="AC3292">
        <v>-10.715</v>
      </c>
      <c r="AD3292">
        <v>-1.1203755528229999</v>
      </c>
      <c r="AE3292">
        <v>-3.5023000000000399</v>
      </c>
      <c r="AF3292">
        <v>-2.37708141025669</v>
      </c>
      <c r="AG3292">
        <v>-1.1203755528229999</v>
      </c>
      <c r="AH3292">
        <v>10.9065597031876</v>
      </c>
      <c r="AI3292">
        <v>95.731509457901495</v>
      </c>
      <c r="AJ3292">
        <v>102.29532011328899</v>
      </c>
      <c r="AK3292">
        <v>11.2186809371488</v>
      </c>
      <c r="AL3292">
        <v>79.929413152424303</v>
      </c>
      <c r="AM3292">
        <v>103.746514442864</v>
      </c>
      <c r="AN3292">
        <v>0.99999998830849401</v>
      </c>
    </row>
    <row r="3293" spans="1:40" x14ac:dyDescent="0.25">
      <c r="A3293" t="str">
        <f>"20190312172142798"</f>
        <v>20190312172142798</v>
      </c>
      <c r="B3293" t="str">
        <f>"1552382502794086"</f>
        <v>1552382502794086</v>
      </c>
      <c r="C3293" t="s">
        <v>40</v>
      </c>
      <c r="D3293">
        <v>3.4771990000000002</v>
      </c>
      <c r="E3293">
        <v>0.47926920000000001</v>
      </c>
      <c r="F3293" t="s">
        <v>45</v>
      </c>
      <c r="G3293">
        <v>-489.31920000000002</v>
      </c>
      <c r="H3293" s="1">
        <v>3.487765E-6</v>
      </c>
      <c r="I3293">
        <v>280.37189999999998</v>
      </c>
      <c r="J3293">
        <v>-478.7022</v>
      </c>
      <c r="K3293">
        <v>1.120827</v>
      </c>
      <c r="L3293">
        <v>283.94799999999998</v>
      </c>
      <c r="M3293">
        <v>-0.99381299999999995</v>
      </c>
      <c r="N3293">
        <v>0</v>
      </c>
      <c r="O3293">
        <v>-0.10978</v>
      </c>
      <c r="P3293">
        <v>-0.92728969999999999</v>
      </c>
      <c r="Q3293">
        <v>0.16476729999999901</v>
      </c>
      <c r="R3293">
        <v>-0.33613310000000002</v>
      </c>
      <c r="S3293">
        <v>-2.9369510000000001</v>
      </c>
      <c r="T3293">
        <v>-0.29908299999999999</v>
      </c>
      <c r="U3293">
        <v>-0.96646120000000002</v>
      </c>
      <c r="V3293">
        <v>-0.23685619999999999</v>
      </c>
      <c r="W3293">
        <v>0.174876799999999</v>
      </c>
      <c r="X3293">
        <v>0.95567630000000003</v>
      </c>
      <c r="Y3293">
        <v>-0.2059503</v>
      </c>
      <c r="Z3293">
        <v>6.1128289999999997E-4</v>
      </c>
      <c r="AA3293">
        <v>0.97856220000000005</v>
      </c>
      <c r="AB3293">
        <v>46</v>
      </c>
      <c r="AC3293">
        <v>-10.617000000000001</v>
      </c>
      <c r="AD3293">
        <v>-1.1208235122349901</v>
      </c>
      <c r="AE3293">
        <v>-3.5760999999999901</v>
      </c>
      <c r="AF3293">
        <v>-2.3651069201855499</v>
      </c>
      <c r="AG3293">
        <v>-1.1208235122349901</v>
      </c>
      <c r="AH3293">
        <v>10.836982217155599</v>
      </c>
      <c r="AI3293">
        <v>95.770000009979796</v>
      </c>
      <c r="AJ3293">
        <v>102.311419529467</v>
      </c>
      <c r="AK3293">
        <v>11.1485496664111</v>
      </c>
      <c r="AL3293">
        <v>79.928511009132095</v>
      </c>
      <c r="AM3293">
        <v>103.91978372585601</v>
      </c>
      <c r="AN3293">
        <v>0.99999997251918404</v>
      </c>
    </row>
    <row r="3294" spans="1:40" x14ac:dyDescent="0.25">
      <c r="A3294" t="str">
        <f>"20190312172142822"</f>
        <v>20190312172142822</v>
      </c>
      <c r="B3294" t="str">
        <f>"1552382502813607"</f>
        <v>1552382502813607</v>
      </c>
      <c r="C3294" t="s">
        <v>40</v>
      </c>
      <c r="D3294">
        <v>3.5221949999999902</v>
      </c>
      <c r="E3294">
        <v>0.47852040000000001</v>
      </c>
      <c r="F3294" t="s">
        <v>45</v>
      </c>
      <c r="G3294">
        <v>-489.79109999999997</v>
      </c>
      <c r="H3294" s="1">
        <v>3.4189870000000001E-6</v>
      </c>
      <c r="I3294">
        <v>279.37180000000001</v>
      </c>
      <c r="J3294">
        <v>-479.1447</v>
      </c>
      <c r="K3294">
        <v>1.1213219999999999</v>
      </c>
      <c r="L3294">
        <v>283.89260000000002</v>
      </c>
      <c r="M3294">
        <v>-0.99260530000000002</v>
      </c>
      <c r="N3294">
        <v>0</v>
      </c>
      <c r="O3294">
        <v>-0.12018860000000001</v>
      </c>
      <c r="P3294">
        <v>-0.92272750000000003</v>
      </c>
      <c r="Q3294">
        <v>0.1637972</v>
      </c>
      <c r="R3294">
        <v>-0.34891899999999998</v>
      </c>
      <c r="S3294">
        <v>-2.8589169999999999</v>
      </c>
      <c r="T3294">
        <v>-0.28896749999999999</v>
      </c>
      <c r="U3294">
        <v>-1.17981</v>
      </c>
      <c r="V3294">
        <v>-0.24022930000000001</v>
      </c>
      <c r="W3294">
        <v>0.1736809</v>
      </c>
      <c r="X3294">
        <v>0.95505229999999997</v>
      </c>
      <c r="Y3294">
        <v>-0.26695540000000001</v>
      </c>
      <c r="Z3294">
        <v>-1.3754640000000001E-3</v>
      </c>
      <c r="AA3294">
        <v>0.96370789999999995</v>
      </c>
      <c r="AB3294">
        <v>46</v>
      </c>
      <c r="AC3294">
        <v>-10.6463999999999</v>
      </c>
      <c r="AD3294">
        <v>-1.121318581013</v>
      </c>
      <c r="AE3294">
        <v>-4.5208000000000004</v>
      </c>
      <c r="AF3294">
        <v>-3.1783865648087199</v>
      </c>
      <c r="AG3294">
        <v>-1.121318581013</v>
      </c>
      <c r="AH3294">
        <v>11.0091610105251</v>
      </c>
      <c r="AI3294">
        <v>95.588979531282206</v>
      </c>
      <c r="AJ3294">
        <v>106.10362954998701</v>
      </c>
      <c r="AK3294">
        <v>11.5135191262771</v>
      </c>
      <c r="AL3294">
        <v>79.998096560454201</v>
      </c>
      <c r="AM3294">
        <v>104.119001471422</v>
      </c>
      <c r="AN3294">
        <v>1.00000003366929</v>
      </c>
    </row>
    <row r="3295" spans="1:40" x14ac:dyDescent="0.25">
      <c r="A3295" t="str">
        <f>"20190312172142835"</f>
        <v>20190312172142835</v>
      </c>
      <c r="B3295" t="str">
        <f>"1552382502824343"</f>
        <v>1552382502824343</v>
      </c>
      <c r="C3295" t="s">
        <v>40</v>
      </c>
      <c r="D3295">
        <v>3.4840840000000002</v>
      </c>
      <c r="E3295">
        <v>0.47848580000000002</v>
      </c>
      <c r="F3295" t="s">
        <v>45</v>
      </c>
      <c r="G3295">
        <v>-490.5145</v>
      </c>
      <c r="H3295" s="1">
        <v>3.2641339999999999E-6</v>
      </c>
      <c r="I3295">
        <v>278.9898</v>
      </c>
      <c r="J3295">
        <v>-479.42020000000002</v>
      </c>
      <c r="K3295">
        <v>1.1216189999999999</v>
      </c>
      <c r="L3295">
        <v>283.85550000000001</v>
      </c>
      <c r="M3295">
        <v>-0.9917627</v>
      </c>
      <c r="N3295">
        <v>0</v>
      </c>
      <c r="O3295">
        <v>-0.12694040000000001</v>
      </c>
      <c r="P3295">
        <v>-0.91994050000000005</v>
      </c>
      <c r="Q3295">
        <v>0.162998799999999</v>
      </c>
      <c r="R3295">
        <v>-0.35656759999999998</v>
      </c>
      <c r="S3295">
        <v>-2.8381349999999999</v>
      </c>
      <c r="T3295">
        <v>-0.27990510000000002</v>
      </c>
      <c r="U3295">
        <v>-1.223846</v>
      </c>
      <c r="V3295">
        <v>-0.2417542</v>
      </c>
      <c r="W3295">
        <v>0.1727505</v>
      </c>
      <c r="X3295">
        <v>0.95483620000000002</v>
      </c>
      <c r="Y3295">
        <v>-0.27558090000000002</v>
      </c>
      <c r="Z3295">
        <v>-1.1220760000000001E-3</v>
      </c>
      <c r="AA3295">
        <v>0.96127720000000005</v>
      </c>
      <c r="AB3295">
        <v>46</v>
      </c>
      <c r="AC3295">
        <v>-11.094299999999899</v>
      </c>
      <c r="AD3295">
        <v>-1.1216157358659999</v>
      </c>
      <c r="AE3295">
        <v>-4.8657000000000004</v>
      </c>
      <c r="AF3295">
        <v>-3.3887568302500601</v>
      </c>
      <c r="AG3295">
        <v>-1.1216157358659999</v>
      </c>
      <c r="AH3295">
        <v>11.523488970808</v>
      </c>
      <c r="AI3295">
        <v>95.334754366778</v>
      </c>
      <c r="AJ3295">
        <v>106.387231001052</v>
      </c>
      <c r="AK3295">
        <v>12.063684875436801</v>
      </c>
      <c r="AL3295">
        <v>80.052222378022506</v>
      </c>
      <c r="AM3295">
        <v>104.20809224068</v>
      </c>
      <c r="AN3295">
        <v>0.999999998649165</v>
      </c>
    </row>
    <row r="3296" spans="1:40" x14ac:dyDescent="0.25">
      <c r="A3296" t="str">
        <f>"20190312172142851"</f>
        <v>20190312172142851</v>
      </c>
      <c r="B3296" t="str">
        <f>"1552382502843865"</f>
        <v>1552382502843865</v>
      </c>
      <c r="C3296" t="s">
        <v>40</v>
      </c>
      <c r="D3296">
        <v>3.548883</v>
      </c>
      <c r="E3296">
        <v>0.47833750000000003</v>
      </c>
      <c r="F3296" t="s">
        <v>45</v>
      </c>
      <c r="G3296">
        <v>-490.69009999999997</v>
      </c>
      <c r="H3296" s="1">
        <v>3.211091E-6</v>
      </c>
      <c r="I3296">
        <v>278.88389999999998</v>
      </c>
      <c r="J3296">
        <v>-479.738</v>
      </c>
      <c r="K3296">
        <v>1.1219509999999999</v>
      </c>
      <c r="L3296">
        <v>283.81049999999999</v>
      </c>
      <c r="M3296">
        <v>-0.99070440000000004</v>
      </c>
      <c r="N3296">
        <v>0</v>
      </c>
      <c r="O3296">
        <v>-0.13493810000000001</v>
      </c>
      <c r="P3296">
        <v>-0.91672600000000004</v>
      </c>
      <c r="Q3296">
        <v>0.16237869999999999</v>
      </c>
      <c r="R3296">
        <v>-0.36502950000000001</v>
      </c>
      <c r="S3296">
        <v>-2.827515</v>
      </c>
      <c r="T3296">
        <v>-0.28140179999999998</v>
      </c>
      <c r="U3296">
        <v>-1.2473449999999999</v>
      </c>
      <c r="V3296">
        <v>-0.24296519999999999</v>
      </c>
      <c r="W3296">
        <v>0.1720013</v>
      </c>
      <c r="X3296">
        <v>0.95466410000000002</v>
      </c>
      <c r="Y3296">
        <v>-0.27586959999999999</v>
      </c>
      <c r="Z3296">
        <v>-4.015639E-4</v>
      </c>
      <c r="AA3296">
        <v>0.96119500000000002</v>
      </c>
      <c r="AB3296">
        <v>46</v>
      </c>
      <c r="AC3296">
        <v>-10.9520999999999</v>
      </c>
      <c r="AD3296">
        <v>-1.1219477889089999</v>
      </c>
      <c r="AE3296">
        <v>-4.9265999999999996</v>
      </c>
      <c r="AF3296">
        <v>-3.3740046529041199</v>
      </c>
      <c r="AG3296">
        <v>-1.1219477889089999</v>
      </c>
      <c r="AH3296">
        <v>11.4171371815802</v>
      </c>
      <c r="AI3296">
        <v>95.383640850179205</v>
      </c>
      <c r="AJ3296">
        <v>106.463520573401</v>
      </c>
      <c r="AK3296">
        <v>11.9579971425769</v>
      </c>
      <c r="AL3296">
        <v>80.095801101286696</v>
      </c>
      <c r="AM3296">
        <v>104.278829444922</v>
      </c>
      <c r="AN3296">
        <v>1.00000003972076</v>
      </c>
    </row>
    <row r="3297" spans="1:40" x14ac:dyDescent="0.25">
      <c r="A3297" t="str">
        <f>"20190312172142866"</f>
        <v>20190312172142866</v>
      </c>
      <c r="B3297" t="str">
        <f>"1552382502853623"</f>
        <v>1552382502853623</v>
      </c>
      <c r="C3297" t="s">
        <v>40</v>
      </c>
      <c r="D3297">
        <v>3.6878899999999999</v>
      </c>
      <c r="E3297">
        <v>0.47806929999999997</v>
      </c>
      <c r="F3297" t="s">
        <v>45</v>
      </c>
      <c r="G3297">
        <v>-490.80279999999999</v>
      </c>
      <c r="H3297" s="1">
        <v>3.1724459999999999E-6</v>
      </c>
      <c r="I3297">
        <v>278.80279999999999</v>
      </c>
      <c r="J3297">
        <v>-480.02690000000001</v>
      </c>
      <c r="K3297">
        <v>1.12225</v>
      </c>
      <c r="L3297">
        <v>283.76749999999998</v>
      </c>
      <c r="M3297">
        <v>-0.9896587</v>
      </c>
      <c r="N3297">
        <v>0</v>
      </c>
      <c r="O3297">
        <v>-0.14239309999999999</v>
      </c>
      <c r="P3297">
        <v>-0.91315080000000004</v>
      </c>
      <c r="Q3297">
        <v>0.16310859999999999</v>
      </c>
      <c r="R3297">
        <v>-0.3735656</v>
      </c>
      <c r="S3297">
        <v>-2.815674</v>
      </c>
      <c r="T3297">
        <v>-0.2855048</v>
      </c>
      <c r="U3297">
        <v>-1.2743230000000001</v>
      </c>
      <c r="V3297">
        <v>-0.24485699999999999</v>
      </c>
      <c r="W3297">
        <v>0.17258799999999999</v>
      </c>
      <c r="X3297">
        <v>0.95407459999999999</v>
      </c>
      <c r="Y3297">
        <v>-0.27780120000000003</v>
      </c>
      <c r="Z3297">
        <v>2.0000249999999999E-4</v>
      </c>
      <c r="AA3297">
        <v>0.96063860000000001</v>
      </c>
      <c r="AB3297">
        <v>45</v>
      </c>
      <c r="AC3297">
        <v>-10.775899999999901</v>
      </c>
      <c r="AD3297">
        <v>-1.1222468275540001</v>
      </c>
      <c r="AE3297">
        <v>-4.9646999999999899</v>
      </c>
      <c r="AF3297">
        <v>-3.34948400628448</v>
      </c>
      <c r="AG3297">
        <v>-1.1222468275540001</v>
      </c>
      <c r="AH3297">
        <v>11.272255908423899</v>
      </c>
      <c r="AI3297">
        <v>95.451470201666595</v>
      </c>
      <c r="AJ3297">
        <v>106.549004744028</v>
      </c>
      <c r="AK3297">
        <v>11.8127995968487</v>
      </c>
      <c r="AL3297">
        <v>80.061674485304493</v>
      </c>
      <c r="AM3297">
        <v>104.393930825829</v>
      </c>
      <c r="AN3297">
        <v>0.99999995527907903</v>
      </c>
    </row>
    <row r="3298" spans="1:40" x14ac:dyDescent="0.25">
      <c r="A3298" t="str">
        <f>"20190312172142878"</f>
        <v>20190312172142878</v>
      </c>
      <c r="B3298" t="str">
        <f>"1552382502874119"</f>
        <v>1552382502874119</v>
      </c>
      <c r="C3298" t="s">
        <v>40</v>
      </c>
      <c r="D3298">
        <v>3.4862199999999999</v>
      </c>
      <c r="E3298">
        <v>0.47816540000000002</v>
      </c>
      <c r="F3298" t="s">
        <v>45</v>
      </c>
      <c r="G3298">
        <v>-490.9128</v>
      </c>
      <c r="H3298" s="1">
        <v>3.1298079999999999E-6</v>
      </c>
      <c r="I3298">
        <v>278.7097</v>
      </c>
      <c r="J3298">
        <v>-480.28739999999999</v>
      </c>
      <c r="K3298">
        <v>1.1225099999999999</v>
      </c>
      <c r="L3298">
        <v>283.72710000000001</v>
      </c>
      <c r="M3298">
        <v>-0.98864379999999996</v>
      </c>
      <c r="N3298">
        <v>0</v>
      </c>
      <c r="O3298">
        <v>-0.14926449999999999</v>
      </c>
      <c r="P3298">
        <v>-0.91015760000000001</v>
      </c>
      <c r="Q3298">
        <v>0.16389809999999999</v>
      </c>
      <c r="R3298">
        <v>-0.38046069999999999</v>
      </c>
      <c r="S3298">
        <v>-2.8040470000000002</v>
      </c>
      <c r="T3298">
        <v>-0.2890741</v>
      </c>
      <c r="U3298">
        <v>-1.3027949999999999</v>
      </c>
      <c r="V3298">
        <v>-0.24560589999999999</v>
      </c>
      <c r="W3298">
        <v>0.17328080000000001</v>
      </c>
      <c r="X3298">
        <v>0.95375650000000001</v>
      </c>
      <c r="Y3298">
        <v>-0.2806785</v>
      </c>
      <c r="Z3298">
        <v>7.1596349999999997E-4</v>
      </c>
      <c r="AA3298">
        <v>0.95980160000000003</v>
      </c>
      <c r="AB3298">
        <v>45</v>
      </c>
      <c r="AC3298">
        <v>-10.625400000000001</v>
      </c>
      <c r="AD3298">
        <v>-1.122506870192</v>
      </c>
      <c r="AE3298">
        <v>-5.0174000000000003</v>
      </c>
      <c r="AF3298">
        <v>-3.34441836723588</v>
      </c>
      <c r="AG3298">
        <v>-1.122506870192</v>
      </c>
      <c r="AH3298">
        <v>11.153579301555499</v>
      </c>
      <c r="AI3298">
        <v>95.506326359079196</v>
      </c>
      <c r="AJ3298">
        <v>106.691442185255</v>
      </c>
      <c r="AK3298">
        <v>11.6981830693839</v>
      </c>
      <c r="AL3298">
        <v>80.021372978524198</v>
      </c>
      <c r="AM3298">
        <v>104.44073138865799</v>
      </c>
      <c r="AN3298">
        <v>0.99999997752784897</v>
      </c>
    </row>
    <row r="3299" spans="1:40" x14ac:dyDescent="0.25">
      <c r="A3299" t="str">
        <f>"20190312172142892"</f>
        <v>20190312172142892</v>
      </c>
      <c r="B3299" t="str">
        <f>"1552382502883879"</f>
        <v>1552382502883879</v>
      </c>
      <c r="C3299" t="s">
        <v>40</v>
      </c>
      <c r="D3299">
        <v>3.6604909999999999</v>
      </c>
      <c r="E3299">
        <v>0.47853079999999998</v>
      </c>
      <c r="F3299" t="s">
        <v>45</v>
      </c>
      <c r="G3299">
        <v>-491.08019999999999</v>
      </c>
      <c r="H3299" s="1">
        <v>3.081429E-6</v>
      </c>
      <c r="I3299">
        <v>278.61489999999998</v>
      </c>
      <c r="J3299">
        <v>-480.55099999999999</v>
      </c>
      <c r="K3299">
        <v>1.122771</v>
      </c>
      <c r="L3299">
        <v>283.68349999999998</v>
      </c>
      <c r="M3299">
        <v>-0.98753139999999995</v>
      </c>
      <c r="N3299">
        <v>0</v>
      </c>
      <c r="O3299">
        <v>-0.1564461</v>
      </c>
      <c r="P3299">
        <v>-0.90707150000000003</v>
      </c>
      <c r="Q3299">
        <v>0.16428309999999999</v>
      </c>
      <c r="R3299">
        <v>-0.38759860000000002</v>
      </c>
      <c r="S3299">
        <v>-2.7950439999999999</v>
      </c>
      <c r="T3299">
        <v>-0.29070040000000003</v>
      </c>
      <c r="U3299">
        <v>-1.323914</v>
      </c>
      <c r="V3299">
        <v>-0.24630650000000001</v>
      </c>
      <c r="W3299">
        <v>0.17357330000000001</v>
      </c>
      <c r="X3299">
        <v>0.9535226</v>
      </c>
      <c r="Y3299">
        <v>-0.28084759999999998</v>
      </c>
      <c r="Z3299">
        <v>1.4000639999999999E-3</v>
      </c>
      <c r="AA3299">
        <v>0.95975140000000003</v>
      </c>
      <c r="AB3299">
        <v>45</v>
      </c>
      <c r="AC3299">
        <v>-10.529199999999999</v>
      </c>
      <c r="AD3299">
        <v>-1.122767918571</v>
      </c>
      <c r="AE3299">
        <v>-5.0686</v>
      </c>
      <c r="AF3299">
        <v>-3.3279419257954999</v>
      </c>
      <c r="AG3299">
        <v>-1.122767918571</v>
      </c>
      <c r="AH3299">
        <v>11.090213374747201</v>
      </c>
      <c r="AI3299">
        <v>95.538527805589894</v>
      </c>
      <c r="AJ3299">
        <v>106.70340524086799</v>
      </c>
      <c r="AK3299">
        <v>11.633083768195799</v>
      </c>
      <c r="AL3299">
        <v>80.004355980195498</v>
      </c>
      <c r="AM3299">
        <v>104.483597297879</v>
      </c>
      <c r="AN3299">
        <v>0.99999996556294901</v>
      </c>
    </row>
    <row r="3300" spans="1:40" x14ac:dyDescent="0.25">
      <c r="A3300" t="str">
        <f>"20190312172142911"</f>
        <v>20190312172142911</v>
      </c>
      <c r="B3300" t="str">
        <f>"1552382502904378"</f>
        <v>1552382502904378</v>
      </c>
      <c r="C3300" t="s">
        <v>40</v>
      </c>
      <c r="D3300">
        <v>3.5029979999999998</v>
      </c>
      <c r="E3300">
        <v>0.47938039999999998</v>
      </c>
      <c r="F3300" t="s">
        <v>45</v>
      </c>
      <c r="G3300">
        <v>-491.38099999999997</v>
      </c>
      <c r="H3300" s="1">
        <v>2.9997900000000002E-6</v>
      </c>
      <c r="I3300">
        <v>278.45940000000002</v>
      </c>
      <c r="J3300">
        <v>-480.91399999999999</v>
      </c>
      <c r="K3300">
        <v>1.1231199999999999</v>
      </c>
      <c r="L3300">
        <v>283.62079999999997</v>
      </c>
      <c r="M3300">
        <v>-0.98587309999999995</v>
      </c>
      <c r="N3300">
        <v>0</v>
      </c>
      <c r="O3300">
        <v>-0.16656319999999999</v>
      </c>
      <c r="P3300">
        <v>-0.90275179999999999</v>
      </c>
      <c r="Q3300">
        <v>0.16371769999999999</v>
      </c>
      <c r="R3300">
        <v>-0.39778910000000001</v>
      </c>
      <c r="S3300">
        <v>-2.7855219999999998</v>
      </c>
      <c r="T3300">
        <v>-0.28878189999999998</v>
      </c>
      <c r="U3300">
        <v>-1.343658</v>
      </c>
      <c r="V3300">
        <v>-0.24739449999999999</v>
      </c>
      <c r="W3300">
        <v>0.1728722</v>
      </c>
      <c r="X3300">
        <v>0.9533684</v>
      </c>
      <c r="Y3300">
        <v>-0.27787099999999998</v>
      </c>
      <c r="Z3300">
        <v>2.501138E-3</v>
      </c>
      <c r="AA3300">
        <v>0.9606152</v>
      </c>
      <c r="AB3300">
        <v>45</v>
      </c>
      <c r="AC3300">
        <v>-10.466999999999899</v>
      </c>
      <c r="AD3300">
        <v>-1.1231170002099999</v>
      </c>
      <c r="AE3300">
        <v>-5.1613999999999498</v>
      </c>
      <c r="AF3300">
        <v>-3.3148879106521698</v>
      </c>
      <c r="AG3300">
        <v>-1.1231170002099999</v>
      </c>
      <c r="AH3300">
        <v>11.077973308353</v>
      </c>
      <c r="AI3300">
        <v>95.547605886987398</v>
      </c>
      <c r="AJ3300">
        <v>106.65888388172699</v>
      </c>
      <c r="AK3300">
        <v>11.617717774026399</v>
      </c>
      <c r="AL3300">
        <v>80.045143700552998</v>
      </c>
      <c r="AM3300">
        <v>104.54712001589201</v>
      </c>
      <c r="AN3300">
        <v>1.0000000711408199</v>
      </c>
    </row>
    <row r="3301" spans="1:40" x14ac:dyDescent="0.25">
      <c r="A3301" t="str">
        <f>"20190312172142933"</f>
        <v>20190312172142933</v>
      </c>
      <c r="B3301" t="str">
        <f>"1552382502923895"</f>
        <v>1552382502923895</v>
      </c>
      <c r="C3301" t="s">
        <v>40</v>
      </c>
      <c r="D3301">
        <v>3.7445219999999999</v>
      </c>
      <c r="E3301">
        <v>0.48017670000000001</v>
      </c>
      <c r="F3301" t="s">
        <v>45</v>
      </c>
      <c r="G3301">
        <v>-491.66550000000001</v>
      </c>
      <c r="H3301" s="1">
        <v>2.9239760000000001E-6</v>
      </c>
      <c r="I3301">
        <v>278.31630000000001</v>
      </c>
      <c r="J3301">
        <v>-481.35419999999999</v>
      </c>
      <c r="K3301">
        <v>1.123532</v>
      </c>
      <c r="L3301">
        <v>283.53980000000001</v>
      </c>
      <c r="M3301">
        <v>-0.98364450000000003</v>
      </c>
      <c r="N3301">
        <v>0</v>
      </c>
      <c r="O3301">
        <v>-0.1792427</v>
      </c>
      <c r="P3301">
        <v>-0.89758090000000001</v>
      </c>
      <c r="Q3301">
        <v>0.1616319</v>
      </c>
      <c r="R3301">
        <v>-0.41015119999999999</v>
      </c>
      <c r="S3301">
        <v>-2.772888</v>
      </c>
      <c r="T3301">
        <v>-0.28966059999999999</v>
      </c>
      <c r="U3301">
        <v>-1.3680730000000001</v>
      </c>
      <c r="V3301">
        <v>-0.24827250000000001</v>
      </c>
      <c r="W3301">
        <v>0.17062910000000001</v>
      </c>
      <c r="X3301">
        <v>0.95354410000000001</v>
      </c>
      <c r="Y3301">
        <v>-0.27410459999999998</v>
      </c>
      <c r="Z3301">
        <v>3.9078999999999997E-3</v>
      </c>
      <c r="AA3301">
        <v>0.96169199999999999</v>
      </c>
      <c r="AB3301">
        <v>45</v>
      </c>
      <c r="AC3301">
        <v>-10.311299999999999</v>
      </c>
      <c r="AD3301">
        <v>-1.123529076024</v>
      </c>
      <c r="AE3301">
        <v>-5.2234999999999996</v>
      </c>
      <c r="AF3301">
        <v>-3.2595648369875398</v>
      </c>
      <c r="AG3301">
        <v>-1.123529076024</v>
      </c>
      <c r="AH3301">
        <v>10.9769665779541</v>
      </c>
      <c r="AI3301">
        <v>95.603855806856501</v>
      </c>
      <c r="AJ3301">
        <v>106.538569191417</v>
      </c>
      <c r="AK3301">
        <v>11.5056888435555</v>
      </c>
      <c r="AL3301">
        <v>80.175601114506804</v>
      </c>
      <c r="AM3301">
        <v>104.593971492835</v>
      </c>
      <c r="AN3301">
        <v>0.999999937333932</v>
      </c>
    </row>
    <row r="3302" spans="1:40" x14ac:dyDescent="0.25">
      <c r="A3302" t="str">
        <f>"20190312172142955"</f>
        <v>20190312172142955</v>
      </c>
      <c r="B3302" t="str">
        <f>"1552382502944391"</f>
        <v>1552382502944391</v>
      </c>
      <c r="C3302" t="s">
        <v>40</v>
      </c>
      <c r="D3302">
        <v>3.8014549999999998</v>
      </c>
      <c r="E3302">
        <v>0.48121239999999998</v>
      </c>
      <c r="F3302" t="s">
        <v>45</v>
      </c>
      <c r="G3302">
        <v>-491.78699999999998</v>
      </c>
      <c r="H3302" s="1">
        <v>2.8886850000000002E-6</v>
      </c>
      <c r="I3302">
        <v>278.24700000000001</v>
      </c>
      <c r="J3302">
        <v>-481.77339999999998</v>
      </c>
      <c r="K3302">
        <v>1.1239170000000001</v>
      </c>
      <c r="L3302">
        <v>283.4572</v>
      </c>
      <c r="M3302">
        <v>-0.98128470000000001</v>
      </c>
      <c r="N3302">
        <v>0</v>
      </c>
      <c r="O3302">
        <v>-0.19172929999999999</v>
      </c>
      <c r="P3302">
        <v>-0.89226679999999903</v>
      </c>
      <c r="Q3302">
        <v>0.15935879999999999</v>
      </c>
      <c r="R3302">
        <v>-0.42245060000000001</v>
      </c>
      <c r="S3302">
        <v>-2.7567140000000001</v>
      </c>
      <c r="T3302">
        <v>-0.29687360000000002</v>
      </c>
      <c r="U3302">
        <v>-1.3985289999999999</v>
      </c>
      <c r="V3302">
        <v>-0.24928520000000001</v>
      </c>
      <c r="W3302">
        <v>0.16818820000000001</v>
      </c>
      <c r="X3302">
        <v>0.95371360000000005</v>
      </c>
      <c r="Y3302">
        <v>-0.27264670000000002</v>
      </c>
      <c r="Z3302">
        <v>5.306664E-3</v>
      </c>
      <c r="AA3302">
        <v>0.96209960000000005</v>
      </c>
      <c r="AB3302">
        <v>45</v>
      </c>
      <c r="AC3302">
        <v>-10.013599999999901</v>
      </c>
      <c r="AD3302">
        <v>-1.123914111315</v>
      </c>
      <c r="AE3302">
        <v>-5.21019999999998</v>
      </c>
      <c r="AF3302">
        <v>-3.16195378642864</v>
      </c>
      <c r="AG3302">
        <v>-1.123914111315</v>
      </c>
      <c r="AH3302">
        <v>10.7205936963759</v>
      </c>
      <c r="AI3302">
        <v>95.742045264987496</v>
      </c>
      <c r="AJ3302">
        <v>106.433004231814</v>
      </c>
      <c r="AK3302">
        <v>11.2335330096946</v>
      </c>
      <c r="AL3302">
        <v>80.317506205275706</v>
      </c>
      <c r="AM3302">
        <v>104.648451912398</v>
      </c>
      <c r="AN3302">
        <v>1.0000000061916201</v>
      </c>
    </row>
    <row r="3303" spans="1:40" x14ac:dyDescent="0.25">
      <c r="A3303" t="str">
        <f>"20190312172142967"</f>
        <v>20190312172142967</v>
      </c>
      <c r="B3303" t="str">
        <f>"1552382502963912"</f>
        <v>1552382502963912</v>
      </c>
      <c r="C3303" t="s">
        <v>40</v>
      </c>
      <c r="D3303">
        <v>3.6555529999999998</v>
      </c>
      <c r="E3303">
        <v>0.48162109999999902</v>
      </c>
      <c r="F3303" t="s">
        <v>45</v>
      </c>
      <c r="G3303">
        <v>-491.82940000000002</v>
      </c>
      <c r="H3303" s="1">
        <v>2.8747050000000001E-6</v>
      </c>
      <c r="I3303">
        <v>278.21809999999999</v>
      </c>
      <c r="J3303">
        <v>-482.0283</v>
      </c>
      <c r="K3303">
        <v>1.1241460000000001</v>
      </c>
      <c r="L3303">
        <v>283.40410000000003</v>
      </c>
      <c r="M3303">
        <v>-0.97972809999999999</v>
      </c>
      <c r="N3303">
        <v>0</v>
      </c>
      <c r="O3303">
        <v>-0.1995258</v>
      </c>
      <c r="P3303">
        <v>-0.88885720000000001</v>
      </c>
      <c r="Q3303">
        <v>0.15862699999999999</v>
      </c>
      <c r="R3303">
        <v>-0.42984929999999899</v>
      </c>
      <c r="S3303">
        <v>-2.7408450000000002</v>
      </c>
      <c r="T3303">
        <v>-0.30633070000000001</v>
      </c>
      <c r="U3303">
        <v>-1.427948</v>
      </c>
      <c r="V3303">
        <v>-0.24967839999999999</v>
      </c>
      <c r="W3303">
        <v>0.16735799999999901</v>
      </c>
      <c r="X3303">
        <v>0.95375670000000001</v>
      </c>
      <c r="Y3303">
        <v>-0.27539709999999901</v>
      </c>
      <c r="Z3303">
        <v>6.1271600000000004E-3</v>
      </c>
      <c r="AA3303">
        <v>0.96131100000000003</v>
      </c>
      <c r="AB3303">
        <v>45</v>
      </c>
      <c r="AC3303">
        <v>-9.8011000000000195</v>
      </c>
      <c r="AD3303">
        <v>-1.1241431252949901</v>
      </c>
      <c r="AE3303">
        <v>-5.1860000000000301</v>
      </c>
      <c r="AF3303">
        <v>-3.0940023713673899</v>
      </c>
      <c r="AG3303">
        <v>-1.1241431252949901</v>
      </c>
      <c r="AH3303">
        <v>10.5306385036293</v>
      </c>
      <c r="AI3303">
        <v>95.847875479210799</v>
      </c>
      <c r="AJ3303">
        <v>106.373292843624</v>
      </c>
      <c r="AK3303">
        <v>11.033172514480899</v>
      </c>
      <c r="AL3303">
        <v>80.365756280918703</v>
      </c>
      <c r="AM3303">
        <v>104.66992671833999</v>
      </c>
      <c r="AN3303">
        <v>0.99999992319272202</v>
      </c>
    </row>
    <row r="3304" spans="1:40" x14ac:dyDescent="0.25">
      <c r="A3304" t="str">
        <f>"20190312172142982"</f>
        <v>20190312172142982</v>
      </c>
      <c r="B3304" t="str">
        <f>"1552382502973671"</f>
        <v>1552382502973671</v>
      </c>
      <c r="C3304" t="s">
        <v>40</v>
      </c>
      <c r="D3304">
        <v>3.5594800000000002</v>
      </c>
      <c r="E3304">
        <v>0.48196529999999999</v>
      </c>
      <c r="F3304" t="s">
        <v>45</v>
      </c>
      <c r="G3304">
        <v>-491.76589999999999</v>
      </c>
      <c r="H3304" s="1">
        <v>2.8887969999999999E-6</v>
      </c>
      <c r="I3304">
        <v>278.24200000000002</v>
      </c>
      <c r="J3304">
        <v>-482.30399999999997</v>
      </c>
      <c r="K3304">
        <v>1.124393</v>
      </c>
      <c r="L3304">
        <v>283.34480000000002</v>
      </c>
      <c r="M3304">
        <v>-0.97794599999999998</v>
      </c>
      <c r="N3304">
        <v>0</v>
      </c>
      <c r="O3304">
        <v>-0.2080794</v>
      </c>
      <c r="P3304">
        <v>-0.88482989999999995</v>
      </c>
      <c r="Q3304">
        <v>0.1579441</v>
      </c>
      <c r="R3304">
        <v>-0.43832660000000001</v>
      </c>
      <c r="S3304">
        <v>-2.7312319999999999</v>
      </c>
      <c r="T3304">
        <v>-0.315303</v>
      </c>
      <c r="U3304">
        <v>-1.4478759999999999</v>
      </c>
      <c r="V3304">
        <v>-0.2505231</v>
      </c>
      <c r="W3304">
        <v>0.16655029999999901</v>
      </c>
      <c r="X3304">
        <v>0.95367659999999999</v>
      </c>
      <c r="Y3304">
        <v>-0.27390150000000002</v>
      </c>
      <c r="Z3304">
        <v>7.2787340000000002E-3</v>
      </c>
      <c r="AA3304">
        <v>0.96173019999999998</v>
      </c>
      <c r="AB3304">
        <v>45</v>
      </c>
      <c r="AC3304">
        <v>-9.4618999999999502</v>
      </c>
      <c r="AD3304">
        <v>-1.1243901112029999</v>
      </c>
      <c r="AE3304">
        <v>-5.1028000000000002</v>
      </c>
      <c r="AF3304">
        <v>-2.9892257595073302</v>
      </c>
      <c r="AG3304">
        <v>-1.1243901112029999</v>
      </c>
      <c r="AH3304">
        <v>10.2050495832877</v>
      </c>
      <c r="AI3304">
        <v>96.035856244778898</v>
      </c>
      <c r="AJ3304">
        <v>106.32616993724599</v>
      </c>
      <c r="AK3304">
        <v>10.693117448192201</v>
      </c>
      <c r="AL3304">
        <v>80.412693037242605</v>
      </c>
      <c r="AM3304">
        <v>104.71858867268701</v>
      </c>
      <c r="AN3304">
        <v>0.99999994172562801</v>
      </c>
    </row>
    <row r="3305" spans="1:40" x14ac:dyDescent="0.25">
      <c r="A3305" t="str">
        <f>"20190312172142996"</f>
        <v>20190312172142996</v>
      </c>
      <c r="B3305" t="str">
        <f>"1552382502994166"</f>
        <v>1552382502994166</v>
      </c>
      <c r="C3305" t="s">
        <v>40</v>
      </c>
      <c r="D3305">
        <v>3.6580590000000002</v>
      </c>
      <c r="E3305">
        <v>0.48244900000000002</v>
      </c>
      <c r="F3305" t="s">
        <v>45</v>
      </c>
      <c r="G3305">
        <v>-491.88729999999998</v>
      </c>
      <c r="H3305" s="1">
        <v>2.8481019999999999E-6</v>
      </c>
      <c r="I3305">
        <v>278.15730000000002</v>
      </c>
      <c r="J3305">
        <v>-482.577</v>
      </c>
      <c r="K3305">
        <v>1.12463</v>
      </c>
      <c r="L3305">
        <v>283.2833</v>
      </c>
      <c r="M3305">
        <v>-0.97606139999999997</v>
      </c>
      <c r="N3305">
        <v>0</v>
      </c>
      <c r="O3305">
        <v>-0.2167425</v>
      </c>
      <c r="P3305">
        <v>-0.88062940000000001</v>
      </c>
      <c r="Q3305">
        <v>0.15741749999999999</v>
      </c>
      <c r="R3305">
        <v>-0.44689079999999898</v>
      </c>
      <c r="S3305">
        <v>-2.7184750000000002</v>
      </c>
      <c r="T3305">
        <v>-0.31895380000000001</v>
      </c>
      <c r="U3305">
        <v>-1.471527</v>
      </c>
      <c r="V3305">
        <v>-0.25138680000000002</v>
      </c>
      <c r="W3305">
        <v>0.16589860000000001</v>
      </c>
      <c r="X3305">
        <v>0.95356300000000005</v>
      </c>
      <c r="Y3305">
        <v>-0.27377030000000002</v>
      </c>
      <c r="Z3305">
        <v>8.2883149999999992E-3</v>
      </c>
      <c r="AA3305">
        <v>0.96175940000000004</v>
      </c>
      <c r="AB3305">
        <v>45</v>
      </c>
      <c r="AC3305">
        <v>-9.3102999999999803</v>
      </c>
      <c r="AD3305">
        <v>-1.124627151898</v>
      </c>
      <c r="AE3305">
        <v>-5.1259999999999701</v>
      </c>
      <c r="AF3305">
        <v>-2.9527787387001401</v>
      </c>
      <c r="AG3305">
        <v>-1.124627151898</v>
      </c>
      <c r="AH3305">
        <v>10.0871674555778</v>
      </c>
      <c r="AI3305">
        <v>96.107451778941694</v>
      </c>
      <c r="AJ3305">
        <v>106.316138965813</v>
      </c>
      <c r="AK3305">
        <v>10.570460528632299</v>
      </c>
      <c r="AL3305">
        <v>80.450560368627293</v>
      </c>
      <c r="AM3305">
        <v>104.76880066473601</v>
      </c>
      <c r="AN3305">
        <v>1.0000000318325899</v>
      </c>
    </row>
    <row r="3306" spans="1:40" x14ac:dyDescent="0.25">
      <c r="A3306" t="str">
        <f>"20190312172143008"</f>
        <v>20190312172143008</v>
      </c>
      <c r="B3306" t="str">
        <f>"1552382503003928"</f>
        <v>1552382503003928</v>
      </c>
      <c r="C3306" t="s">
        <v>40</v>
      </c>
      <c r="D3306">
        <v>3.4828709999999998</v>
      </c>
      <c r="E3306">
        <v>0.48244900000000002</v>
      </c>
      <c r="F3306" t="s">
        <v>45</v>
      </c>
      <c r="G3306">
        <v>-491.92500000000001</v>
      </c>
      <c r="H3306" s="1">
        <v>2.8310940000000001E-6</v>
      </c>
      <c r="I3306">
        <v>278.11869999999999</v>
      </c>
      <c r="J3306">
        <v>-482.8141</v>
      </c>
      <c r="K3306">
        <v>1.1248320000000001</v>
      </c>
      <c r="L3306">
        <v>283.22770000000003</v>
      </c>
      <c r="M3306">
        <v>-0.97432920000000001</v>
      </c>
      <c r="N3306">
        <v>0</v>
      </c>
      <c r="O3306">
        <v>-0.22439690000000001</v>
      </c>
      <c r="P3306">
        <v>-0.87686609999999998</v>
      </c>
      <c r="Q3306">
        <v>0.15659799999999999</v>
      </c>
      <c r="R3306">
        <v>-0.45451390000000003</v>
      </c>
      <c r="S3306">
        <v>-2.7061160000000002</v>
      </c>
      <c r="T3306">
        <v>-0.32556570000000001</v>
      </c>
      <c r="U3306">
        <v>-1.4950870000000001</v>
      </c>
      <c r="V3306">
        <v>-0.25220219999999999</v>
      </c>
      <c r="W3306">
        <v>0.16497029999999999</v>
      </c>
      <c r="X3306">
        <v>0.95350869999999999</v>
      </c>
      <c r="Y3306">
        <v>-0.27451979999999998</v>
      </c>
      <c r="Z3306">
        <v>9.2464569999999996E-3</v>
      </c>
      <c r="AA3306">
        <v>0.96153699999999998</v>
      </c>
      <c r="AB3306">
        <v>45</v>
      </c>
      <c r="AC3306">
        <v>-9.1109000000000098</v>
      </c>
      <c r="AD3306">
        <v>-1.1248291689059999</v>
      </c>
      <c r="AE3306">
        <v>-5.1090000000000302</v>
      </c>
      <c r="AF3306">
        <v>-2.9002411929832399</v>
      </c>
      <c r="AG3306">
        <v>-1.1248291689059999</v>
      </c>
      <c r="AH3306">
        <v>9.9101888877045692</v>
      </c>
      <c r="AI3306">
        <v>96.216904302620605</v>
      </c>
      <c r="AJ3306">
        <v>106.31224472032299</v>
      </c>
      <c r="AK3306">
        <v>10.3869381160514</v>
      </c>
      <c r="AL3306">
        <v>80.504490814630799</v>
      </c>
      <c r="AM3306">
        <v>104.815407844516</v>
      </c>
      <c r="AN3306">
        <v>0.99999999527130901</v>
      </c>
    </row>
    <row r="3307" spans="1:40" x14ac:dyDescent="0.25">
      <c r="A3307" t="str">
        <f>"20190312172143022"</f>
        <v>20190312172143022</v>
      </c>
      <c r="B3307" t="str">
        <f>"1552382503013687"</f>
        <v>1552382503013687</v>
      </c>
      <c r="C3307" t="s">
        <v>40</v>
      </c>
      <c r="D3307">
        <v>3.5987520000000002</v>
      </c>
      <c r="E3307">
        <v>0.49351200000000001</v>
      </c>
      <c r="F3307" t="s">
        <v>45</v>
      </c>
      <c r="G3307">
        <v>-492.04770000000002</v>
      </c>
      <c r="H3307" s="1">
        <v>2.7847330000000001E-6</v>
      </c>
      <c r="I3307">
        <v>278.01830000000001</v>
      </c>
      <c r="J3307">
        <v>-483.06670000000003</v>
      </c>
      <c r="K3307">
        <v>1.1250389999999999</v>
      </c>
      <c r="L3307">
        <v>283.1669</v>
      </c>
      <c r="M3307">
        <v>-0.97239569999999997</v>
      </c>
      <c r="N3307">
        <v>0</v>
      </c>
      <c r="O3307">
        <v>-0.23262869999999999</v>
      </c>
      <c r="P3307">
        <v>-0.87235689999999999</v>
      </c>
      <c r="Q3307">
        <v>0.15520919999999999</v>
      </c>
      <c r="R3307">
        <v>-0.46357670000000001</v>
      </c>
      <c r="S3307">
        <v>-2.6924739999999998</v>
      </c>
      <c r="T3307">
        <v>-0.32799539999999999</v>
      </c>
      <c r="U3307">
        <v>-1.519012</v>
      </c>
      <c r="V3307">
        <v>-0.25400660000000003</v>
      </c>
      <c r="W3307">
        <v>0.16342799999999999</v>
      </c>
      <c r="X3307">
        <v>0.95329529999999996</v>
      </c>
      <c r="Y3307">
        <v>-0.27499000000000001</v>
      </c>
      <c r="Z3307">
        <v>1.018969E-2</v>
      </c>
      <c r="AA3307">
        <v>0.9613931</v>
      </c>
      <c r="AB3307">
        <v>45</v>
      </c>
      <c r="AC3307">
        <v>-8.9809999999999892</v>
      </c>
      <c r="AD3307">
        <v>-1.1250362152669999</v>
      </c>
      <c r="AE3307">
        <v>-5.1485999999999796</v>
      </c>
      <c r="AF3307">
        <v>-2.88366236815187</v>
      </c>
      <c r="AG3307">
        <v>-1.1250362152669999</v>
      </c>
      <c r="AH3307">
        <v>9.8164999812846592</v>
      </c>
      <c r="AI3307">
        <v>96.275057189551504</v>
      </c>
      <c r="AJ3307">
        <v>106.37050282670199</v>
      </c>
      <c r="AK3307">
        <v>10.292953270161</v>
      </c>
      <c r="AL3307">
        <v>80.594074011176701</v>
      </c>
      <c r="AM3307">
        <v>104.919886535472</v>
      </c>
      <c r="AN3307">
        <v>0.99999999651482496</v>
      </c>
    </row>
    <row r="3308" spans="1:40" x14ac:dyDescent="0.25">
      <c r="A3308" t="str">
        <f>"20190312172143033"</f>
        <v>20190312172143033</v>
      </c>
      <c r="B3308" t="str">
        <f>"1552382503023447"</f>
        <v>1552382503023447</v>
      </c>
      <c r="C3308" t="s">
        <v>40</v>
      </c>
      <c r="D3308">
        <v>3.6502270000000001</v>
      </c>
      <c r="E3308">
        <v>0.49393369999999998</v>
      </c>
      <c r="F3308" t="s">
        <v>45</v>
      </c>
      <c r="G3308">
        <v>-491.11239999999998</v>
      </c>
      <c r="H3308" s="1">
        <v>3.1525190000000002E-6</v>
      </c>
      <c r="I3308">
        <v>278.82409999999999</v>
      </c>
      <c r="J3308">
        <v>-483.29700000000003</v>
      </c>
      <c r="K3308">
        <v>1.1252219999999999</v>
      </c>
      <c r="L3308">
        <v>283.10890000000001</v>
      </c>
      <c r="M3308">
        <v>-0.97052959999999999</v>
      </c>
      <c r="N3308">
        <v>0</v>
      </c>
      <c r="O3308">
        <v>-0.24029159999999999</v>
      </c>
      <c r="P3308">
        <v>-0.86842059999999999</v>
      </c>
      <c r="Q3308">
        <v>0.15456539999999999</v>
      </c>
      <c r="R3308">
        <v>-0.47112140000000002</v>
      </c>
      <c r="S3308">
        <v>-2.7251590000000001</v>
      </c>
      <c r="T3308">
        <v>-0.3810577</v>
      </c>
      <c r="U3308">
        <v>-1.470947</v>
      </c>
      <c r="V3308">
        <v>-0.25478070000000003</v>
      </c>
      <c r="W3308">
        <v>0.162680399999999</v>
      </c>
      <c r="X3308">
        <v>0.95321659999999997</v>
      </c>
      <c r="Y3308">
        <v>-0.24948409999999999</v>
      </c>
      <c r="Z3308">
        <v>1.437715E-2</v>
      </c>
      <c r="AA3308">
        <v>0.96827209999999997</v>
      </c>
      <c r="AB3308">
        <v>45</v>
      </c>
      <c r="AC3308">
        <v>-7.8154000000000101</v>
      </c>
      <c r="AD3308">
        <v>-1.1252188474810001</v>
      </c>
      <c r="AE3308">
        <v>-4.2848000000000104</v>
      </c>
      <c r="AF3308">
        <v>-2.2451459824475402</v>
      </c>
      <c r="AG3308">
        <v>-1.1252188474810001</v>
      </c>
      <c r="AH3308">
        <v>8.4809403815118891</v>
      </c>
      <c r="AI3308">
        <v>97.308742683132905</v>
      </c>
      <c r="AJ3308">
        <v>104.82768694110101</v>
      </c>
      <c r="AK3308">
        <v>8.8449504064175404</v>
      </c>
      <c r="AL3308">
        <v>80.637489412440502</v>
      </c>
      <c r="AM3308">
        <v>104.96449919468</v>
      </c>
      <c r="AN3308">
        <v>1.0000000020761</v>
      </c>
    </row>
    <row r="3309" spans="1:40" x14ac:dyDescent="0.25">
      <c r="A3309" t="str">
        <f>"20190312172143045"</f>
        <v>20190312172143045</v>
      </c>
      <c r="B3309" t="str">
        <f>"1552382503033713"</f>
        <v>1552382503033713</v>
      </c>
      <c r="C3309" t="s">
        <v>40</v>
      </c>
      <c r="D3309">
        <v>3.658496</v>
      </c>
      <c r="E3309">
        <v>0.49487379999999997</v>
      </c>
      <c r="F3309" t="s">
        <v>45</v>
      </c>
      <c r="G3309">
        <v>-491.06389999999999</v>
      </c>
      <c r="H3309" s="1">
        <v>3.163743E-6</v>
      </c>
      <c r="I3309">
        <v>278.84370000000001</v>
      </c>
      <c r="J3309">
        <v>-483.51179999999999</v>
      </c>
      <c r="K3309">
        <v>1.125389</v>
      </c>
      <c r="L3309">
        <v>283.05360000000002</v>
      </c>
      <c r="M3309">
        <v>-0.96871399999999996</v>
      </c>
      <c r="N3309">
        <v>0</v>
      </c>
      <c r="O3309">
        <v>-0.2475069</v>
      </c>
      <c r="P3309">
        <v>-0.86487199999999997</v>
      </c>
      <c r="Q3309">
        <v>0.15384300000000001</v>
      </c>
      <c r="R3309">
        <v>-0.47783819999999999</v>
      </c>
      <c r="S3309">
        <v>-2.7155459999999998</v>
      </c>
      <c r="T3309">
        <v>-0.39341179999999998</v>
      </c>
      <c r="U3309">
        <v>-1.4912719999999999</v>
      </c>
      <c r="V3309">
        <v>-0.25509019999999999</v>
      </c>
      <c r="W3309">
        <v>0.16187969999999999</v>
      </c>
      <c r="X3309">
        <v>0.95327010000000001</v>
      </c>
      <c r="Y3309">
        <v>-0.24934419999999999</v>
      </c>
      <c r="Z3309">
        <v>1.5783789999999999E-2</v>
      </c>
      <c r="AA3309">
        <v>0.96828630000000004</v>
      </c>
      <c r="AB3309">
        <v>45</v>
      </c>
      <c r="AC3309">
        <v>-7.5520999999999896</v>
      </c>
      <c r="AD3309">
        <v>-1.1253858362569999</v>
      </c>
      <c r="AE3309">
        <v>-4.2099000000000002</v>
      </c>
      <c r="AF3309">
        <v>-2.1725546424302098</v>
      </c>
      <c r="AG3309">
        <v>-1.1253858362569999</v>
      </c>
      <c r="AH3309">
        <v>8.2199414070495003</v>
      </c>
      <c r="AI3309">
        <v>97.5400707445975</v>
      </c>
      <c r="AJ3309">
        <v>104.804902429409</v>
      </c>
      <c r="AK3309">
        <v>8.5763584166078299</v>
      </c>
      <c r="AL3309">
        <v>80.683982077240998</v>
      </c>
      <c r="AM3309">
        <v>104.98105770990099</v>
      </c>
      <c r="AN3309">
        <v>0.99999996548106895</v>
      </c>
    </row>
    <row r="3310" spans="1:40" x14ac:dyDescent="0.25">
      <c r="A3310" t="str">
        <f>"20190312172143057"</f>
        <v>20190312172143057</v>
      </c>
      <c r="B3310" t="str">
        <f>"1552382503054208"</f>
        <v>1552382503054208</v>
      </c>
      <c r="C3310" t="s">
        <v>40</v>
      </c>
      <c r="D3310">
        <v>3.53796</v>
      </c>
      <c r="E3310">
        <v>0.49636439999999998</v>
      </c>
      <c r="F3310" t="s">
        <v>45</v>
      </c>
      <c r="G3310">
        <v>-491.14659999999998</v>
      </c>
      <c r="H3310" s="1">
        <v>3.1440809999999998E-6</v>
      </c>
      <c r="I3310">
        <v>278.80880000000002</v>
      </c>
      <c r="J3310">
        <v>-483.74259999999998</v>
      </c>
      <c r="K3310">
        <v>1.1255679999999999</v>
      </c>
      <c r="L3310">
        <v>282.99239999999998</v>
      </c>
      <c r="M3310">
        <v>-0.96667559999999997</v>
      </c>
      <c r="N3310">
        <v>0</v>
      </c>
      <c r="O3310">
        <v>-0.25534829999999997</v>
      </c>
      <c r="P3310">
        <v>-0.86077490000000001</v>
      </c>
      <c r="Q3310">
        <v>0.1537367</v>
      </c>
      <c r="R3310">
        <v>-0.48521350000000002</v>
      </c>
      <c r="S3310">
        <v>-2.7078859999999998</v>
      </c>
      <c r="T3310">
        <v>-0.39914749999999999</v>
      </c>
      <c r="U3310">
        <v>-1.5055240000000001</v>
      </c>
      <c r="V3310">
        <v>-0.25558170000000002</v>
      </c>
      <c r="W3310">
        <v>0.16168199999999999</v>
      </c>
      <c r="X3310">
        <v>0.95317200000000002</v>
      </c>
      <c r="Y3310">
        <v>-0.24663270000000001</v>
      </c>
      <c r="Z3310">
        <v>1.722605E-2</v>
      </c>
      <c r="AA3310">
        <v>0.96895589999999998</v>
      </c>
      <c r="AB3310">
        <v>44</v>
      </c>
      <c r="AC3310">
        <v>-7.4039999999999901</v>
      </c>
      <c r="AD3310">
        <v>-1.1255648559189999</v>
      </c>
      <c r="AE3310">
        <v>-4.1835999999999496</v>
      </c>
      <c r="AF3310">
        <v>-2.1168644290260898</v>
      </c>
      <c r="AG3310">
        <v>-1.1255648559189999</v>
      </c>
      <c r="AH3310">
        <v>8.0852875237534398</v>
      </c>
      <c r="AI3310">
        <v>97.670002825922595</v>
      </c>
      <c r="AJ3310">
        <v>104.671678841145</v>
      </c>
      <c r="AK3310">
        <v>8.4332606741117004</v>
      </c>
      <c r="AL3310">
        <v>80.695460688054098</v>
      </c>
      <c r="AM3310">
        <v>105.010096455994</v>
      </c>
      <c r="AN3310">
        <v>0.99999996804144398</v>
      </c>
    </row>
    <row r="3311" spans="1:40" x14ac:dyDescent="0.25">
      <c r="A3311" t="str">
        <f>"20190312172143068"</f>
        <v>20190312172143068</v>
      </c>
      <c r="B3311" t="str">
        <f>"1552382503063969"</f>
        <v>1552382503063969</v>
      </c>
      <c r="C3311" t="s">
        <v>40</v>
      </c>
      <c r="D3311">
        <v>3.964083</v>
      </c>
      <c r="E3311">
        <v>0.49636439999999998</v>
      </c>
      <c r="F3311" t="s">
        <v>45</v>
      </c>
      <c r="G3311">
        <v>-491.46899999999999</v>
      </c>
      <c r="H3311" s="1">
        <v>3.059268E-6</v>
      </c>
      <c r="I3311">
        <v>278.64980000000003</v>
      </c>
      <c r="J3311">
        <v>-483.95359999999999</v>
      </c>
      <c r="K3311">
        <v>1.1257280000000001</v>
      </c>
      <c r="L3311">
        <v>282.93419999999998</v>
      </c>
      <c r="M3311">
        <v>-0.96472100000000005</v>
      </c>
      <c r="N3311">
        <v>0</v>
      </c>
      <c r="O3311">
        <v>-0.26263330000000001</v>
      </c>
      <c r="P3311">
        <v>-0.85683690000000001</v>
      </c>
      <c r="Q3311">
        <v>0.1531469</v>
      </c>
      <c r="R3311">
        <v>-0.49231740000000002</v>
      </c>
      <c r="S3311">
        <v>-2.7000730000000002</v>
      </c>
      <c r="T3311">
        <v>-0.39334249999999998</v>
      </c>
      <c r="U3311">
        <v>-1.5175780000000001</v>
      </c>
      <c r="V3311">
        <v>-0.25629449999999998</v>
      </c>
      <c r="W3311">
        <v>0.16100249999999999</v>
      </c>
      <c r="X3311">
        <v>0.95309569999999999</v>
      </c>
      <c r="Y3311">
        <v>-0.2438786</v>
      </c>
      <c r="Z3311">
        <v>1.8110749999999998E-2</v>
      </c>
      <c r="AA3311">
        <v>0.96963670000000002</v>
      </c>
      <c r="AB3311">
        <v>44</v>
      </c>
      <c r="AC3311">
        <v>-7.5153999999999996</v>
      </c>
      <c r="AD3311">
        <v>-1.125724940732</v>
      </c>
      <c r="AE3311">
        <v>-4.2843999999999403</v>
      </c>
      <c r="AF3311">
        <v>-2.1238561766046602</v>
      </c>
      <c r="AG3311">
        <v>-1.125724940732</v>
      </c>
      <c r="AH3311">
        <v>8.23741440236644</v>
      </c>
      <c r="AI3311">
        <v>97.538280446413395</v>
      </c>
      <c r="AJ3311">
        <v>104.457719198424</v>
      </c>
      <c r="AK3311">
        <v>8.5809683449714402</v>
      </c>
      <c r="AL3311">
        <v>80.734910732224805</v>
      </c>
      <c r="AM3311">
        <v>105.05121203090501</v>
      </c>
      <c r="AN3311">
        <v>1.0000000445474899</v>
      </c>
    </row>
    <row r="3312" spans="1:40" x14ac:dyDescent="0.25">
      <c r="A3312" t="str">
        <f>"20190312172143080"</f>
        <v>20190312172143080</v>
      </c>
      <c r="B3312" t="str">
        <f>"1552382503073728"</f>
        <v>1552382503073728</v>
      </c>
      <c r="C3312" t="s">
        <v>40</v>
      </c>
      <c r="D3312">
        <v>3.7166579999999998</v>
      </c>
      <c r="E3312">
        <v>0.47332960000000002</v>
      </c>
      <c r="F3312" t="s">
        <v>45</v>
      </c>
      <c r="G3312">
        <v>-491.60899999999998</v>
      </c>
      <c r="H3312" s="1">
        <v>3.0111580000000002E-6</v>
      </c>
      <c r="I3312">
        <v>278.54880000000003</v>
      </c>
      <c r="J3312">
        <v>-484.17880000000002</v>
      </c>
      <c r="K3312">
        <v>1.125893</v>
      </c>
      <c r="L3312">
        <v>282.87119999999999</v>
      </c>
      <c r="M3312">
        <v>-0.96255979999999997</v>
      </c>
      <c r="N3312">
        <v>0</v>
      </c>
      <c r="O3312">
        <v>-0.27044439999999997</v>
      </c>
      <c r="P3312">
        <v>-0.85249109999999995</v>
      </c>
      <c r="Q3312">
        <v>0.15298580000000001</v>
      </c>
      <c r="R3312">
        <v>-0.49985469999999999</v>
      </c>
      <c r="S3312">
        <v>-2.6873779999999998</v>
      </c>
      <c r="T3312">
        <v>-0.3951789</v>
      </c>
      <c r="U3312">
        <v>-1.5394589999999999</v>
      </c>
      <c r="V3312">
        <v>-0.25703169999999997</v>
      </c>
      <c r="W3312">
        <v>0.1607441</v>
      </c>
      <c r="X3312">
        <v>0.95294069999999997</v>
      </c>
      <c r="Y3312">
        <v>-0.2439955</v>
      </c>
      <c r="Z3312">
        <v>1.9214700000000001E-2</v>
      </c>
      <c r="AA3312">
        <v>0.96958599999999995</v>
      </c>
      <c r="AB3312">
        <v>44</v>
      </c>
      <c r="AC3312">
        <v>-7.4302000000000099</v>
      </c>
      <c r="AD3312">
        <v>-1.125889988842</v>
      </c>
      <c r="AE3312">
        <v>-4.3223999999999503</v>
      </c>
      <c r="AF3312">
        <v>-2.11518974220742</v>
      </c>
      <c r="AG3312">
        <v>-1.125889988842</v>
      </c>
      <c r="AH3312">
        <v>8.1820235036399698</v>
      </c>
      <c r="AI3312">
        <v>97.5885742876808</v>
      </c>
      <c r="AJ3312">
        <v>104.494582159704</v>
      </c>
      <c r="AK3312">
        <v>8.5256767782171394</v>
      </c>
      <c r="AL3312">
        <v>80.749910638986805</v>
      </c>
      <c r="AM3312">
        <v>105.09487544975001</v>
      </c>
      <c r="AN3312">
        <v>0.99999996910309397</v>
      </c>
    </row>
    <row r="3313" spans="1:40" x14ac:dyDescent="0.25">
      <c r="A3313" t="str">
        <f>"20190312172143092"</f>
        <v>20190312172143092</v>
      </c>
      <c r="B3313" t="str">
        <f>"1552382503083489"</f>
        <v>1552382503083489</v>
      </c>
      <c r="C3313" t="s">
        <v>40</v>
      </c>
      <c r="D3313">
        <v>3.5858729999999999</v>
      </c>
      <c r="E3313">
        <v>0.47219339999999999</v>
      </c>
      <c r="F3313" t="s">
        <v>45</v>
      </c>
      <c r="G3313">
        <v>-492.82119999999998</v>
      </c>
      <c r="H3313" s="1">
        <v>2.3894040000000001E-6</v>
      </c>
      <c r="I3313">
        <v>277.09410000000003</v>
      </c>
      <c r="J3313">
        <v>-484.40750000000003</v>
      </c>
      <c r="K3313">
        <v>1.1260490000000001</v>
      </c>
      <c r="L3313">
        <v>282.80410000000001</v>
      </c>
      <c r="M3313">
        <v>-0.96025139999999998</v>
      </c>
      <c r="N3313">
        <v>0</v>
      </c>
      <c r="O3313">
        <v>-0.2785263</v>
      </c>
      <c r="P3313">
        <v>-0.84793700000000005</v>
      </c>
      <c r="Q3313">
        <v>0.15267120000000001</v>
      </c>
      <c r="R3313">
        <v>-0.50763610000000003</v>
      </c>
      <c r="S3313">
        <v>-2.5714109999999999</v>
      </c>
      <c r="T3313">
        <v>-0.3349934</v>
      </c>
      <c r="U3313">
        <v>-1.7189029999999901</v>
      </c>
      <c r="V3313">
        <v>-0.25778509999999999</v>
      </c>
      <c r="W3313">
        <v>0.16033559999999999</v>
      </c>
      <c r="X3313">
        <v>0.95280609999999999</v>
      </c>
      <c r="Y3313">
        <v>-0.30197810000000003</v>
      </c>
      <c r="Z3313">
        <v>1.4046899999999999E-2</v>
      </c>
      <c r="AA3313">
        <v>0.95321140000000004</v>
      </c>
      <c r="AB3313">
        <v>44</v>
      </c>
      <c r="AC3313">
        <v>-8.41369999999994</v>
      </c>
      <c r="AD3313">
        <v>-1.1260466105959901</v>
      </c>
      <c r="AE3313">
        <v>-5.7099999999999804</v>
      </c>
      <c r="AF3313">
        <v>-3.1020905969267001</v>
      </c>
      <c r="AG3313">
        <v>-1.1260466105959901</v>
      </c>
      <c r="AH3313">
        <v>9.5541309487411006</v>
      </c>
      <c r="AI3313">
        <v>96.396091582296293</v>
      </c>
      <c r="AJ3313">
        <v>107.98787731694</v>
      </c>
      <c r="AK3313">
        <v>10.1080346866474</v>
      </c>
      <c r="AL3313">
        <v>80.773624414036902</v>
      </c>
      <c r="AM3313">
        <v>105.139133601767</v>
      </c>
      <c r="AN3313">
        <v>1.00000006330328</v>
      </c>
    </row>
    <row r="3314" spans="1:40" x14ac:dyDescent="0.25">
      <c r="A3314" t="str">
        <f>"20190312172143105"</f>
        <v>20190312172143105</v>
      </c>
      <c r="B3314" t="str">
        <f>"1552382503094225"</f>
        <v>1552382503094225</v>
      </c>
      <c r="C3314" t="s">
        <v>40</v>
      </c>
      <c r="D3314">
        <v>3.4917919999999998</v>
      </c>
      <c r="E3314">
        <v>0.47263379999999999</v>
      </c>
      <c r="F3314" t="s">
        <v>45</v>
      </c>
      <c r="G3314">
        <v>-493.10449999999997</v>
      </c>
      <c r="H3314" s="1">
        <v>2.2738920000000001E-6</v>
      </c>
      <c r="I3314">
        <v>276.83839999999998</v>
      </c>
      <c r="J3314">
        <v>-484.63889999999998</v>
      </c>
      <c r="K3314">
        <v>1.126214</v>
      </c>
      <c r="L3314">
        <v>282.73489999999998</v>
      </c>
      <c r="M3314">
        <v>-0.95782489999999998</v>
      </c>
      <c r="N3314">
        <v>0</v>
      </c>
      <c r="O3314">
        <v>-0.28675729999999999</v>
      </c>
      <c r="P3314">
        <v>-0.84278589999999998</v>
      </c>
      <c r="Q3314">
        <v>0.15301960000000001</v>
      </c>
      <c r="R3314">
        <v>-0.51604030000000001</v>
      </c>
      <c r="S3314">
        <v>-2.5502009999999999</v>
      </c>
      <c r="T3314">
        <v>-0.33018920000000002</v>
      </c>
      <c r="U3314">
        <v>-1.7493289999999999</v>
      </c>
      <c r="V3314">
        <v>-0.25918089999999999</v>
      </c>
      <c r="W3314">
        <v>0.16056049999999999</v>
      </c>
      <c r="X3314">
        <v>0.95238940000000005</v>
      </c>
      <c r="Y3314">
        <v>-0.30525439999999998</v>
      </c>
      <c r="Z3314">
        <v>1.4585399999999899E-2</v>
      </c>
      <c r="AA3314">
        <v>0.95215919999999998</v>
      </c>
      <c r="AB3314">
        <v>44</v>
      </c>
      <c r="AC3314">
        <v>-8.4655999999999896</v>
      </c>
      <c r="AD3314">
        <v>-1.126211726108</v>
      </c>
      <c r="AE3314">
        <v>-5.8964999999999996</v>
      </c>
      <c r="AF3314">
        <v>-3.1828631049843401</v>
      </c>
      <c r="AG3314">
        <v>-1.126211726108</v>
      </c>
      <c r="AH3314">
        <v>9.6856804686645201</v>
      </c>
      <c r="AI3314">
        <v>96.303587697997799</v>
      </c>
      <c r="AJ3314">
        <v>108.19131605494699</v>
      </c>
      <c r="AK3314">
        <v>10.2572596992648</v>
      </c>
      <c r="AL3314">
        <v>80.760568785343096</v>
      </c>
      <c r="AM3314">
        <v>105.223663580519</v>
      </c>
      <c r="AN3314">
        <v>0.99999999115870997</v>
      </c>
    </row>
    <row r="3315" spans="1:40" x14ac:dyDescent="0.25">
      <c r="A3315" t="str">
        <f>"20190312172143119"</f>
        <v>20190312172143119</v>
      </c>
      <c r="B3315" t="str">
        <f>"1552382503113745"</f>
        <v>1552382503113745</v>
      </c>
      <c r="C3315" t="s">
        <v>40</v>
      </c>
      <c r="D3315">
        <v>3.5993629999999999</v>
      </c>
      <c r="E3315">
        <v>0.47274909999999998</v>
      </c>
      <c r="F3315" t="s">
        <v>45</v>
      </c>
      <c r="G3315">
        <v>-493.5231</v>
      </c>
      <c r="H3315" s="1">
        <v>2.1262460000000001E-6</v>
      </c>
      <c r="I3315">
        <v>276.52569999999997</v>
      </c>
      <c r="J3315">
        <v>-484.89850000000001</v>
      </c>
      <c r="K3315">
        <v>1.1263909999999999</v>
      </c>
      <c r="L3315">
        <v>282.65519999999998</v>
      </c>
      <c r="M3315">
        <v>-0.9549841</v>
      </c>
      <c r="N3315">
        <v>0</v>
      </c>
      <c r="O3315">
        <v>-0.29607709999999998</v>
      </c>
      <c r="P3315">
        <v>-0.83699179999999995</v>
      </c>
      <c r="Q3315">
        <v>0.15317459999999999</v>
      </c>
      <c r="R3315">
        <v>-0.52534060000000005</v>
      </c>
      <c r="S3315">
        <v>-2.5336910000000001</v>
      </c>
      <c r="T3315">
        <v>-0.3211869</v>
      </c>
      <c r="U3315">
        <v>-1.770813</v>
      </c>
      <c r="V3315">
        <v>-0.26053680000000001</v>
      </c>
      <c r="W3315">
        <v>0.1605888</v>
      </c>
      <c r="X3315">
        <v>0.95201460000000004</v>
      </c>
      <c r="Y3315">
        <v>-0.30436570000000002</v>
      </c>
      <c r="Z3315">
        <v>1.525497E-2</v>
      </c>
      <c r="AA3315">
        <v>0.95243310000000003</v>
      </c>
      <c r="AB3315">
        <v>44</v>
      </c>
      <c r="AC3315">
        <v>-8.6245999999999796</v>
      </c>
      <c r="AD3315">
        <v>-1.126388873754</v>
      </c>
      <c r="AE3315">
        <v>-6.1295000000000002</v>
      </c>
      <c r="AF3315">
        <v>-3.2636101073686699</v>
      </c>
      <c r="AG3315">
        <v>-1.126388873754</v>
      </c>
      <c r="AH3315">
        <v>9.9402380926006408</v>
      </c>
      <c r="AI3315">
        <v>96.144897965341499</v>
      </c>
      <c r="AJ3315">
        <v>108.176204639933</v>
      </c>
      <c r="AK3315">
        <v>10.5227485081334</v>
      </c>
      <c r="AL3315">
        <v>80.758926012071797</v>
      </c>
      <c r="AM3315">
        <v>105.305323522151</v>
      </c>
      <c r="AN3315">
        <v>0.99999999272641904</v>
      </c>
    </row>
    <row r="3316" spans="1:40" x14ac:dyDescent="0.25">
      <c r="A3316" t="str">
        <f>"20190312172143132"</f>
        <v>20190312172143132</v>
      </c>
      <c r="B3316" t="str">
        <f>"1552382503123504"</f>
        <v>1552382503123504</v>
      </c>
      <c r="C3316" t="s">
        <v>40</v>
      </c>
      <c r="D3316">
        <v>3.605254</v>
      </c>
      <c r="E3316">
        <v>0.47279300000000002</v>
      </c>
      <c r="F3316" t="s">
        <v>45</v>
      </c>
      <c r="G3316">
        <v>-493.80680000000001</v>
      </c>
      <c r="H3316" s="1">
        <v>2.0172259999999998E-6</v>
      </c>
      <c r="I3316">
        <v>276.2885</v>
      </c>
      <c r="J3316">
        <v>-485.1463</v>
      </c>
      <c r="K3316">
        <v>1.126549</v>
      </c>
      <c r="L3316">
        <v>282.57549999999998</v>
      </c>
      <c r="M3316">
        <v>-0.9521307</v>
      </c>
      <c r="N3316">
        <v>0</v>
      </c>
      <c r="O3316">
        <v>-0.3051258</v>
      </c>
      <c r="P3316">
        <v>-0.83137549999999905</v>
      </c>
      <c r="Q3316">
        <v>0.1536035</v>
      </c>
      <c r="R3316">
        <v>-0.53406069999999894</v>
      </c>
      <c r="S3316">
        <v>-2.5144959999999998</v>
      </c>
      <c r="T3316">
        <v>-0.31793700000000003</v>
      </c>
      <c r="U3316">
        <v>-1.797058</v>
      </c>
      <c r="V3316">
        <v>-0.26156370000000001</v>
      </c>
      <c r="W3316">
        <v>0.16091069999999999</v>
      </c>
      <c r="X3316">
        <v>0.95167860000000004</v>
      </c>
      <c r="Y3316">
        <v>-0.30538409999999999</v>
      </c>
      <c r="Z3316">
        <v>1.602431E-2</v>
      </c>
      <c r="AA3316">
        <v>0.95209440000000001</v>
      </c>
      <c r="AB3316">
        <v>44</v>
      </c>
      <c r="AC3316">
        <v>-8.6605000000000096</v>
      </c>
      <c r="AD3316">
        <v>-1.126546982774</v>
      </c>
      <c r="AE3316">
        <v>-6.2869999999999697</v>
      </c>
      <c r="AF3316">
        <v>-3.3074317690739399</v>
      </c>
      <c r="AG3316">
        <v>-1.126546982774</v>
      </c>
      <c r="AH3316">
        <v>10.054595073913401</v>
      </c>
      <c r="AI3316">
        <v>96.075264075715296</v>
      </c>
      <c r="AJ3316">
        <v>108.20848024879599</v>
      </c>
      <c r="AK3316">
        <v>10.6443926605439</v>
      </c>
      <c r="AL3316">
        <v>80.740239461424906</v>
      </c>
      <c r="AM3316">
        <v>105.36797180976799</v>
      </c>
      <c r="AN3316">
        <v>0.99999999011507001</v>
      </c>
    </row>
    <row r="3317" spans="1:40" x14ac:dyDescent="0.25">
      <c r="A3317" t="str">
        <f>"20190312172143145"</f>
        <v>20190312172143145</v>
      </c>
      <c r="B3317" t="str">
        <f>"1552382503133771"</f>
        <v>1552382503133771</v>
      </c>
      <c r="C3317" t="s">
        <v>40</v>
      </c>
      <c r="D3317">
        <v>3.6027840000000002</v>
      </c>
      <c r="E3317">
        <v>0.47329589999999999</v>
      </c>
      <c r="F3317" t="s">
        <v>45</v>
      </c>
      <c r="G3317">
        <v>-494.05360000000002</v>
      </c>
      <c r="H3317" s="1">
        <v>1.917895E-6</v>
      </c>
      <c r="I3317">
        <v>276.06950000000001</v>
      </c>
      <c r="J3317">
        <v>-485.37459999999999</v>
      </c>
      <c r="K3317">
        <v>1.1266879999999999</v>
      </c>
      <c r="L3317">
        <v>282.50049999999999</v>
      </c>
      <c r="M3317">
        <v>-0.94939980000000002</v>
      </c>
      <c r="N3317">
        <v>0</v>
      </c>
      <c r="O3317">
        <v>-0.3135173</v>
      </c>
      <c r="P3317">
        <v>-0.82538750000000005</v>
      </c>
      <c r="Q3317">
        <v>0.15366189999999999</v>
      </c>
      <c r="R3317">
        <v>-0.54325299999999999</v>
      </c>
      <c r="S3317">
        <v>-2.4957889999999998</v>
      </c>
      <c r="T3317">
        <v>-0.31565349999999998</v>
      </c>
      <c r="U3317">
        <v>-1.8229679999999999</v>
      </c>
      <c r="V3317">
        <v>-0.263795</v>
      </c>
      <c r="W3317">
        <v>0.16081189999999901</v>
      </c>
      <c r="X3317">
        <v>0.95107920000000001</v>
      </c>
      <c r="Y3317">
        <v>-0.30685639999999997</v>
      </c>
      <c r="Z3317">
        <v>1.6731220000000002E-2</v>
      </c>
      <c r="AA3317">
        <v>0.95160869999999997</v>
      </c>
      <c r="AB3317">
        <v>44</v>
      </c>
      <c r="AC3317">
        <v>-8.6790000000000305</v>
      </c>
      <c r="AD3317">
        <v>-1.126686082105</v>
      </c>
      <c r="AE3317">
        <v>-6.4309999999999796</v>
      </c>
      <c r="AF3317">
        <v>-3.3487290471051998</v>
      </c>
      <c r="AG3317">
        <v>-1.126686082105</v>
      </c>
      <c r="AH3317">
        <v>10.147453417655701</v>
      </c>
      <c r="AI3317">
        <v>96.018936103774806</v>
      </c>
      <c r="AJ3317">
        <v>108.26324341206001</v>
      </c>
      <c r="AK3317">
        <v>10.744962476529601</v>
      </c>
      <c r="AL3317">
        <v>80.745974668302296</v>
      </c>
      <c r="AM3317">
        <v>105.50209184864801</v>
      </c>
      <c r="AN3317">
        <v>0.99999995693962396</v>
      </c>
    </row>
    <row r="3318" spans="1:40" x14ac:dyDescent="0.25">
      <c r="A3318" t="str">
        <f>"20190312172143159"</f>
        <v>20190312172143159</v>
      </c>
      <c r="B3318" t="str">
        <f>"1552382503154267"</f>
        <v>1552382503154267</v>
      </c>
      <c r="C3318" t="s">
        <v>40</v>
      </c>
      <c r="D3318">
        <v>3.708968</v>
      </c>
      <c r="E3318">
        <v>0.47428239999999999</v>
      </c>
      <c r="F3318" t="s">
        <v>45</v>
      </c>
      <c r="G3318">
        <v>-494.1995</v>
      </c>
      <c r="H3318" s="1">
        <v>1.8525029999999999E-6</v>
      </c>
      <c r="I3318">
        <v>275.92110000000002</v>
      </c>
      <c r="J3318">
        <v>-485.62299999999999</v>
      </c>
      <c r="K3318">
        <v>1.1268359999999999</v>
      </c>
      <c r="L3318">
        <v>282.41680000000002</v>
      </c>
      <c r="M3318">
        <v>-0.94631010000000004</v>
      </c>
      <c r="N3318">
        <v>0</v>
      </c>
      <c r="O3318">
        <v>-0.32272089999999998</v>
      </c>
      <c r="P3318">
        <v>-0.81962690000000005</v>
      </c>
      <c r="Q3318">
        <v>0.15325159999999999</v>
      </c>
      <c r="R3318">
        <v>-0.55201999999999996</v>
      </c>
      <c r="S3318">
        <v>-2.4776919999999998</v>
      </c>
      <c r="T3318">
        <v>-0.31633080000000002</v>
      </c>
      <c r="U3318">
        <v>-1.8472599999999999</v>
      </c>
      <c r="V3318">
        <v>-0.26472109999999999</v>
      </c>
      <c r="W3318">
        <v>0.16029879999999999</v>
      </c>
      <c r="X3318">
        <v>0.95090850000000005</v>
      </c>
      <c r="Y3318">
        <v>-0.30698399999999998</v>
      </c>
      <c r="Z3318">
        <v>1.7749839999999999E-2</v>
      </c>
      <c r="AA3318">
        <v>0.95154919999999998</v>
      </c>
      <c r="AB3318">
        <v>44</v>
      </c>
      <c r="AC3318">
        <v>-8.5764999999999496</v>
      </c>
      <c r="AD3318">
        <v>-1.1268341474969901</v>
      </c>
      <c r="AE3318">
        <v>-6.4956999999999896</v>
      </c>
      <c r="AF3318">
        <v>-3.3430471086189901</v>
      </c>
      <c r="AG3318">
        <v>-1.1268341474969901</v>
      </c>
      <c r="AH3318">
        <v>10.1032757163941</v>
      </c>
      <c r="AI3318">
        <v>96.044274496819199</v>
      </c>
      <c r="AJ3318">
        <v>108.308731347674</v>
      </c>
      <c r="AK3318">
        <v>10.7014905208522</v>
      </c>
      <c r="AL3318">
        <v>80.775759666579901</v>
      </c>
      <c r="AM3318">
        <v>105.55654128533899</v>
      </c>
      <c r="AN3318">
        <v>0.99999997071944902</v>
      </c>
    </row>
    <row r="3319" spans="1:40" x14ac:dyDescent="0.25">
      <c r="A3319" t="str">
        <f>"20190312172143170"</f>
        <v>20190312172143170</v>
      </c>
      <c r="B3319" t="str">
        <f>"1552382503164027"</f>
        <v>1552382503164027</v>
      </c>
      <c r="C3319" t="s">
        <v>40</v>
      </c>
      <c r="D3319">
        <v>3.6480670000000002</v>
      </c>
      <c r="E3319">
        <v>0.47482530000000001</v>
      </c>
      <c r="F3319" t="s">
        <v>45</v>
      </c>
      <c r="G3319">
        <v>-494.3621</v>
      </c>
      <c r="H3319" s="1">
        <v>1.7921059999999999E-6</v>
      </c>
      <c r="I3319">
        <v>275.791</v>
      </c>
      <c r="J3319">
        <v>-485.84730000000002</v>
      </c>
      <c r="K3319">
        <v>1.126959</v>
      </c>
      <c r="L3319">
        <v>282.3381</v>
      </c>
      <c r="M3319">
        <v>-0.94339390000000001</v>
      </c>
      <c r="N3319">
        <v>0</v>
      </c>
      <c r="O3319">
        <v>-0.33114700000000002</v>
      </c>
      <c r="P3319">
        <v>-0.81399940000000004</v>
      </c>
      <c r="Q3319">
        <v>0.15293689999999999</v>
      </c>
      <c r="R3319">
        <v>-0.560370699999999</v>
      </c>
      <c r="S3319">
        <v>-2.46225</v>
      </c>
      <c r="T3319">
        <v>-0.31748549999999998</v>
      </c>
      <c r="U3319">
        <v>-1.8668210000000001</v>
      </c>
      <c r="V3319">
        <v>-0.26598719999999998</v>
      </c>
      <c r="W3319">
        <v>0.1598743</v>
      </c>
      <c r="X3319">
        <v>0.95062670000000005</v>
      </c>
      <c r="Y3319">
        <v>-0.30621150000000003</v>
      </c>
      <c r="Z3319">
        <v>1.8767929999999999E-2</v>
      </c>
      <c r="AA3319">
        <v>0.95177849999999997</v>
      </c>
      <c r="AB3319">
        <v>44</v>
      </c>
      <c r="AC3319">
        <v>-8.5147999999999797</v>
      </c>
      <c r="AD3319">
        <v>-1.126957207894</v>
      </c>
      <c r="AE3319">
        <v>-6.5471000000000004</v>
      </c>
      <c r="AF3319">
        <v>-3.32087221899166</v>
      </c>
      <c r="AG3319">
        <v>-1.126957207894</v>
      </c>
      <c r="AH3319">
        <v>10.091551761057501</v>
      </c>
      <c r="AI3319">
        <v>96.055141974084293</v>
      </c>
      <c r="AJ3319">
        <v>108.21505642728999</v>
      </c>
      <c r="AK3319">
        <v>10.683521974957401</v>
      </c>
      <c r="AL3319">
        <v>80.800400265805706</v>
      </c>
      <c r="AM3319">
        <v>105.63172320360199</v>
      </c>
      <c r="AN3319">
        <v>1.0000000525585999</v>
      </c>
    </row>
    <row r="3320" spans="1:40" x14ac:dyDescent="0.25">
      <c r="A3320" t="str">
        <f>"20190312172143183"</f>
        <v>20190312172143183</v>
      </c>
      <c r="B3320" t="str">
        <f>"1552382503173788"</f>
        <v>1552382503173788</v>
      </c>
      <c r="C3320" t="s">
        <v>40</v>
      </c>
      <c r="D3320">
        <v>3.4776099999999999</v>
      </c>
      <c r="E3320">
        <v>0.47578229999999999</v>
      </c>
      <c r="F3320" t="s">
        <v>45</v>
      </c>
      <c r="G3320">
        <v>-494.46199999999999</v>
      </c>
      <c r="H3320" s="1">
        <v>1.746818E-6</v>
      </c>
      <c r="I3320">
        <v>275.68799999999999</v>
      </c>
      <c r="J3320">
        <v>-486.0634</v>
      </c>
      <c r="K3320">
        <v>1.1270739999999999</v>
      </c>
      <c r="L3320">
        <v>282.2611</v>
      </c>
      <c r="M3320">
        <v>-0.94049479999999996</v>
      </c>
      <c r="N3320">
        <v>0</v>
      </c>
      <c r="O3320">
        <v>-0.33929189999999998</v>
      </c>
      <c r="P3320">
        <v>-0.80856219999999901</v>
      </c>
      <c r="Q3320">
        <v>0.1523495</v>
      </c>
      <c r="R3320">
        <v>-0.56834609999999997</v>
      </c>
      <c r="S3320">
        <v>-2.4458009999999999</v>
      </c>
      <c r="T3320">
        <v>-0.31995559999999901</v>
      </c>
      <c r="U3320">
        <v>-1.8880619999999999</v>
      </c>
      <c r="V3320">
        <v>-0.2671037</v>
      </c>
      <c r="W3320">
        <v>0.1591851</v>
      </c>
      <c r="X3320">
        <v>0.95042919999999997</v>
      </c>
      <c r="Y3320">
        <v>-0.30629410000000001</v>
      </c>
      <c r="Z3320">
        <v>1.9797470000000001E-2</v>
      </c>
      <c r="AA3320">
        <v>0.95173099999999999</v>
      </c>
      <c r="AB3320">
        <v>44</v>
      </c>
      <c r="AC3320">
        <v>-8.3985999999999805</v>
      </c>
      <c r="AD3320">
        <v>-1.1270722531820001</v>
      </c>
      <c r="AE3320">
        <v>-6.5731000000000099</v>
      </c>
      <c r="AF3320">
        <v>-3.2961615303899299</v>
      </c>
      <c r="AG3320">
        <v>-1.1270722531820001</v>
      </c>
      <c r="AH3320">
        <v>10.0189219228411</v>
      </c>
      <c r="AI3320">
        <v>96.099470887367403</v>
      </c>
      <c r="AJ3320">
        <v>108.210876422084</v>
      </c>
      <c r="AK3320">
        <v>10.6072507839827</v>
      </c>
      <c r="AL3320">
        <v>80.840400066240903</v>
      </c>
      <c r="AM3320">
        <v>105.69721207817</v>
      </c>
      <c r="AN3320">
        <v>0.99999997341416902</v>
      </c>
    </row>
    <row r="3321" spans="1:40" x14ac:dyDescent="0.25">
      <c r="A3321" t="str">
        <f>"20190312172143194"</f>
        <v>20190312172143194</v>
      </c>
      <c r="B3321" t="str">
        <f>"1552382503183548"</f>
        <v>1552382503183548</v>
      </c>
      <c r="C3321" t="s">
        <v>40</v>
      </c>
      <c r="D3321">
        <v>3.6409410000000002</v>
      </c>
      <c r="E3321">
        <v>0.47656029999999999</v>
      </c>
      <c r="F3321" t="s">
        <v>45</v>
      </c>
      <c r="G3321">
        <v>-494.60700000000003</v>
      </c>
      <c r="H3321" s="1">
        <v>1.6910340000000001E-6</v>
      </c>
      <c r="I3321">
        <v>275.56650000000002</v>
      </c>
      <c r="J3321">
        <v>-486.28100000000001</v>
      </c>
      <c r="K3321">
        <v>1.127189</v>
      </c>
      <c r="L3321">
        <v>282.18099999999998</v>
      </c>
      <c r="M3321">
        <v>-0.93746450000000003</v>
      </c>
      <c r="N3321">
        <v>0</v>
      </c>
      <c r="O3321">
        <v>-0.34757500000000002</v>
      </c>
      <c r="P3321">
        <v>-0.80279109999999998</v>
      </c>
      <c r="Q3321">
        <v>0.15271479999999901</v>
      </c>
      <c r="R3321">
        <v>-0.57637249999999995</v>
      </c>
      <c r="S3321">
        <v>-2.4314580000000001</v>
      </c>
      <c r="T3321">
        <v>-0.32075759999999998</v>
      </c>
      <c r="U3321">
        <v>-1.905243</v>
      </c>
      <c r="V3321">
        <v>-0.2682776</v>
      </c>
      <c r="W3321">
        <v>0.15944739999999999</v>
      </c>
      <c r="X3321">
        <v>0.95005459999999997</v>
      </c>
      <c r="Y3321">
        <v>-0.30483359999999998</v>
      </c>
      <c r="Z3321">
        <v>2.0834559999999998E-2</v>
      </c>
      <c r="AA3321">
        <v>0.95217770000000002</v>
      </c>
      <c r="AB3321">
        <v>44</v>
      </c>
      <c r="AC3321">
        <v>-8.3259999999999597</v>
      </c>
      <c r="AD3321">
        <v>-1.1271873089659901</v>
      </c>
      <c r="AE3321">
        <v>-6.6144999999999596</v>
      </c>
      <c r="AF3321">
        <v>-3.2707795340853498</v>
      </c>
      <c r="AG3321">
        <v>-1.1271873089659901</v>
      </c>
      <c r="AH3321">
        <v>9.9938471962391109</v>
      </c>
      <c r="AI3321">
        <v>96.1183611009819</v>
      </c>
      <c r="AJ3321">
        <v>108.12220153961999</v>
      </c>
      <c r="AK3321">
        <v>10.575704788422399</v>
      </c>
      <c r="AL3321">
        <v>80.825177595659</v>
      </c>
      <c r="AM3321">
        <v>105.768684438017</v>
      </c>
      <c r="AN3321">
        <v>1.00000004350483</v>
      </c>
    </row>
    <row r="3322" spans="1:40" x14ac:dyDescent="0.25">
      <c r="A3322" t="str">
        <f>"20190312172143206"</f>
        <v>20190312172143206</v>
      </c>
      <c r="B3322" t="str">
        <f>"1552382503204043"</f>
        <v>1552382503204043</v>
      </c>
      <c r="C3322" t="s">
        <v>40</v>
      </c>
      <c r="D3322">
        <v>5.1410859999999996</v>
      </c>
      <c r="E3322">
        <v>0.47821839999999999</v>
      </c>
      <c r="F3322" t="s">
        <v>45</v>
      </c>
      <c r="G3322">
        <v>-494.81650000000002</v>
      </c>
      <c r="H3322" s="1">
        <v>1.6074550000000001E-6</v>
      </c>
      <c r="I3322">
        <v>275.3827</v>
      </c>
      <c r="J3322">
        <v>-486.49489999999997</v>
      </c>
      <c r="K3322">
        <v>1.1272979999999999</v>
      </c>
      <c r="L3322">
        <v>282.1003</v>
      </c>
      <c r="M3322">
        <v>-0.93438520000000003</v>
      </c>
      <c r="N3322">
        <v>0</v>
      </c>
      <c r="O3322">
        <v>-0.35576819999999998</v>
      </c>
      <c r="P3322">
        <v>-0.79684119999999903</v>
      </c>
      <c r="Q3322">
        <v>0.15275559999999999</v>
      </c>
      <c r="R3322">
        <v>-0.58455970000000002</v>
      </c>
      <c r="S3322">
        <v>-2.4160159999999999</v>
      </c>
      <c r="T3322">
        <v>-0.31905640000000002</v>
      </c>
      <c r="U3322">
        <v>-1.9243159999999999</v>
      </c>
      <c r="V3322">
        <v>-0.2697388</v>
      </c>
      <c r="W3322">
        <v>0.1593744</v>
      </c>
      <c r="X3322">
        <v>0.94965299999999997</v>
      </c>
      <c r="Y3322">
        <v>-0.30409999999999998</v>
      </c>
      <c r="Z3322">
        <v>2.165773E-2</v>
      </c>
      <c r="AA3322">
        <v>0.95239390000000002</v>
      </c>
      <c r="AB3322">
        <v>44</v>
      </c>
      <c r="AC3322">
        <v>-8.3216000000000392</v>
      </c>
      <c r="AD3322">
        <v>-1.1272963925449999</v>
      </c>
      <c r="AE3322">
        <v>-6.7176</v>
      </c>
      <c r="AF3322">
        <v>-3.2804034827307298</v>
      </c>
      <c r="AG3322">
        <v>-1.1272963925449999</v>
      </c>
      <c r="AH3322">
        <v>10.0555593934554</v>
      </c>
      <c r="AI3322">
        <v>96.083552335929795</v>
      </c>
      <c r="AJ3322">
        <v>108.067768155171</v>
      </c>
      <c r="AK3322">
        <v>10.637016446422599</v>
      </c>
      <c r="AL3322">
        <v>80.829414148471002</v>
      </c>
      <c r="AM3322">
        <v>105.856631562106</v>
      </c>
      <c r="AN3322">
        <v>1.0000000200049</v>
      </c>
    </row>
    <row r="3323" spans="1:40" x14ac:dyDescent="0.25">
      <c r="A3323" t="str">
        <f>"20190312172143218"</f>
        <v>20190312172143218</v>
      </c>
      <c r="B3323" t="str">
        <f>"1552382503213804"</f>
        <v>1552382503213804</v>
      </c>
      <c r="C3323" t="s">
        <v>40</v>
      </c>
      <c r="D3323">
        <v>3.618255</v>
      </c>
      <c r="E3323">
        <v>0.4788037</v>
      </c>
      <c r="F3323" t="s">
        <v>45</v>
      </c>
      <c r="G3323">
        <v>-494.98930000000001</v>
      </c>
      <c r="H3323" s="1">
        <v>1.545128E-6</v>
      </c>
      <c r="I3323">
        <v>275.24970000000002</v>
      </c>
      <c r="J3323">
        <v>-486.70400000000001</v>
      </c>
      <c r="K3323">
        <v>1.1274040000000001</v>
      </c>
      <c r="L3323">
        <v>282.02010000000001</v>
      </c>
      <c r="M3323">
        <v>-0.93128359999999999</v>
      </c>
      <c r="N3323">
        <v>0</v>
      </c>
      <c r="O3323">
        <v>-0.36380829999999997</v>
      </c>
      <c r="P3323">
        <v>-0.79108029999999996</v>
      </c>
      <c r="Q3323">
        <v>0.1529179</v>
      </c>
      <c r="R3323">
        <v>-0.5922906</v>
      </c>
      <c r="S3323">
        <v>-2.4038089999999999</v>
      </c>
      <c r="T3323">
        <v>-0.31900830000000002</v>
      </c>
      <c r="U3323">
        <v>-1.9386289999999999</v>
      </c>
      <c r="V3323">
        <v>-0.270864099999999</v>
      </c>
      <c r="W3323">
        <v>0.15944029999999901</v>
      </c>
      <c r="X3323">
        <v>0.94932159999999999</v>
      </c>
      <c r="Y3323">
        <v>-0.30173430000000001</v>
      </c>
      <c r="Z3323">
        <v>2.2657969999999999E-2</v>
      </c>
      <c r="AA3323">
        <v>0.95312280000000005</v>
      </c>
      <c r="AB3323">
        <v>44</v>
      </c>
      <c r="AC3323">
        <v>-8.2852999999999994</v>
      </c>
      <c r="AD3323">
        <v>-1.1274024548720001</v>
      </c>
      <c r="AE3323">
        <v>-6.7703999999999898</v>
      </c>
      <c r="AF3323">
        <v>-3.2553431912069799</v>
      </c>
      <c r="AG3323">
        <v>-1.1274024548720001</v>
      </c>
      <c r="AH3323">
        <v>10.0691060370843</v>
      </c>
      <c r="AI3323">
        <v>96.081185378232206</v>
      </c>
      <c r="AJ3323">
        <v>107.916026336039</v>
      </c>
      <c r="AK3323">
        <v>10.642142264311101</v>
      </c>
      <c r="AL3323">
        <v>80.825589589345597</v>
      </c>
      <c r="AM3323">
        <v>105.924712121936</v>
      </c>
      <c r="AN3323">
        <v>1.00000003507972</v>
      </c>
    </row>
    <row r="3324" spans="1:40" x14ac:dyDescent="0.25">
      <c r="A3324" t="str">
        <f>"20190312172143229"</f>
        <v>20190312172143229</v>
      </c>
      <c r="B3324" t="str">
        <f>"1552382503223563"</f>
        <v>1552382503223563</v>
      </c>
      <c r="C3324" t="s">
        <v>40</v>
      </c>
      <c r="D3324">
        <v>3.5362390000000001</v>
      </c>
      <c r="E3324">
        <v>0.4788037</v>
      </c>
      <c r="F3324" t="s">
        <v>45</v>
      </c>
      <c r="G3324">
        <v>-495.10329999999999</v>
      </c>
      <c r="H3324" s="1">
        <v>1.492671E-6</v>
      </c>
      <c r="I3324">
        <v>275.12990000000002</v>
      </c>
      <c r="J3324">
        <v>-486.89389999999997</v>
      </c>
      <c r="K3324">
        <v>1.1274959999999901</v>
      </c>
      <c r="L3324">
        <v>281.94450000000001</v>
      </c>
      <c r="M3324">
        <v>-0.92836949999999996</v>
      </c>
      <c r="N3324">
        <v>0</v>
      </c>
      <c r="O3324">
        <v>-0.37118040000000002</v>
      </c>
      <c r="P3324">
        <v>-0.78572849999999905</v>
      </c>
      <c r="Q3324">
        <v>0.15372910000000001</v>
      </c>
      <c r="R3324">
        <v>-0.59916449999999999</v>
      </c>
      <c r="S3324">
        <v>-2.3877259999999998</v>
      </c>
      <c r="T3324">
        <v>-0.32049490000000003</v>
      </c>
      <c r="U3324">
        <v>-1.95871</v>
      </c>
      <c r="V3324">
        <v>-0.27174619999999999</v>
      </c>
      <c r="W3324">
        <v>0.16017319999999999</v>
      </c>
      <c r="X3324">
        <v>0.94894610000000001</v>
      </c>
      <c r="Y3324">
        <v>-0.30214950000000002</v>
      </c>
      <c r="Z3324">
        <v>2.354912E-2</v>
      </c>
      <c r="AA3324">
        <v>0.95296959999999997</v>
      </c>
      <c r="AB3324">
        <v>44</v>
      </c>
      <c r="AC3324">
        <v>-8.2094000000000094</v>
      </c>
      <c r="AD3324">
        <v>-1.1274945073289999</v>
      </c>
      <c r="AE3324">
        <v>-6.81459999999998</v>
      </c>
      <c r="AF3324">
        <v>-3.2436570210090201</v>
      </c>
      <c r="AG3324">
        <v>-1.1274945073289999</v>
      </c>
      <c r="AH3324">
        <v>10.040477467944701</v>
      </c>
      <c r="AI3324">
        <v>96.099317236320701</v>
      </c>
      <c r="AJ3324">
        <v>107.903468092368</v>
      </c>
      <c r="AK3324">
        <v>10.6114910600869</v>
      </c>
      <c r="AL3324">
        <v>80.783051198338995</v>
      </c>
      <c r="AM3324">
        <v>105.979929087035</v>
      </c>
      <c r="AN3324">
        <v>1.00000007595894</v>
      </c>
    </row>
    <row r="3325" spans="1:40" x14ac:dyDescent="0.25">
      <c r="A3325" t="str">
        <f>"20190312172143240"</f>
        <v>20190312172143240</v>
      </c>
      <c r="B3325" t="str">
        <f>"1552382503233829"</f>
        <v>1552382503233829</v>
      </c>
      <c r="C3325" t="s">
        <v>40</v>
      </c>
      <c r="D3325">
        <v>3.6224880000000002</v>
      </c>
      <c r="E3325">
        <v>0.49076219999999998</v>
      </c>
      <c r="F3325" t="s">
        <v>45</v>
      </c>
      <c r="G3325">
        <v>-495.29829999999998</v>
      </c>
      <c r="H3325" s="1">
        <v>1.4024209999999899E-6</v>
      </c>
      <c r="I3325">
        <v>274.92360000000002</v>
      </c>
      <c r="J3325">
        <v>-487.1035</v>
      </c>
      <c r="K3325">
        <v>1.127597</v>
      </c>
      <c r="L3325">
        <v>281.8603</v>
      </c>
      <c r="M3325">
        <v>-0.92507090000000003</v>
      </c>
      <c r="N3325">
        <v>0</v>
      </c>
      <c r="O3325">
        <v>-0.37932480000000002</v>
      </c>
      <c r="P3325">
        <v>-0.78009890000000004</v>
      </c>
      <c r="Q3325">
        <v>0.15474389999999999</v>
      </c>
      <c r="R3325">
        <v>-0.60621740000000002</v>
      </c>
      <c r="S3325">
        <v>-2.3703609999999999</v>
      </c>
      <c r="T3325">
        <v>-0.31799319999999998</v>
      </c>
      <c r="U3325">
        <v>-1.980164</v>
      </c>
      <c r="V3325">
        <v>-0.27211410000000003</v>
      </c>
      <c r="W3325">
        <v>0.16113</v>
      </c>
      <c r="X3325">
        <v>0.94867860000000004</v>
      </c>
      <c r="Y3325">
        <v>-0.30231910000000001</v>
      </c>
      <c r="Z3325">
        <v>2.4243529999999999E-2</v>
      </c>
      <c r="AA3325">
        <v>0.95289840000000003</v>
      </c>
      <c r="AB3325">
        <v>44</v>
      </c>
      <c r="AC3325">
        <v>-8.1947999999999794</v>
      </c>
      <c r="AD3325">
        <v>-1.127595597579</v>
      </c>
      <c r="AE3325">
        <v>-6.9366999999999699</v>
      </c>
      <c r="AF3325">
        <v>-3.2729374311003001</v>
      </c>
      <c r="AG3325">
        <v>-1.127595597579</v>
      </c>
      <c r="AH3325">
        <v>10.1024231750464</v>
      </c>
      <c r="AI3325">
        <v>96.061119847761503</v>
      </c>
      <c r="AJ3325">
        <v>107.951053050159</v>
      </c>
      <c r="AK3325">
        <v>10.679070430861101</v>
      </c>
      <c r="AL3325">
        <v>80.727508679473502</v>
      </c>
      <c r="AM3325">
        <v>106.004737261057</v>
      </c>
      <c r="AN3325">
        <v>1.0000000232083801</v>
      </c>
    </row>
    <row r="3326" spans="1:40" x14ac:dyDescent="0.25">
      <c r="A3326" t="str">
        <f>"20190312172143252"</f>
        <v>20190312172143252</v>
      </c>
      <c r="B3326" t="str">
        <f>"1552382503243589"</f>
        <v>1552382503243589</v>
      </c>
      <c r="C3326" t="s">
        <v>40</v>
      </c>
      <c r="D3326">
        <v>3.5149729999999999</v>
      </c>
      <c r="E3326">
        <v>0.49225340000000001</v>
      </c>
      <c r="F3326" t="s">
        <v>45</v>
      </c>
      <c r="G3326">
        <v>-495.12909999999999</v>
      </c>
      <c r="H3326" s="1">
        <v>1.6051159999999999E-6</v>
      </c>
      <c r="I3326">
        <v>275.4545</v>
      </c>
      <c r="J3326">
        <v>-487.31569999999999</v>
      </c>
      <c r="K3326">
        <v>1.1276919999999999</v>
      </c>
      <c r="L3326">
        <v>281.77179999999998</v>
      </c>
      <c r="M3326">
        <v>-0.92161139999999997</v>
      </c>
      <c r="N3326">
        <v>0</v>
      </c>
      <c r="O3326">
        <v>-0.38765290000000002</v>
      </c>
      <c r="P3326">
        <v>-0.77408049999999995</v>
      </c>
      <c r="Q3326">
        <v>0.15574260000000001</v>
      </c>
      <c r="R3326">
        <v>-0.613631699999999</v>
      </c>
      <c r="S3326">
        <v>-2.415009</v>
      </c>
      <c r="T3326">
        <v>-0.33930949999999999</v>
      </c>
      <c r="U3326">
        <v>-1.9276120000000001</v>
      </c>
      <c r="V3326">
        <v>-0.27276709999999998</v>
      </c>
      <c r="W3326">
        <v>0.16206219999999999</v>
      </c>
      <c r="X3326">
        <v>0.94833219999999996</v>
      </c>
      <c r="Y3326">
        <v>-0.2725514</v>
      </c>
      <c r="Z3326">
        <v>2.841728E-2</v>
      </c>
      <c r="AA3326">
        <v>0.96172150000000001</v>
      </c>
      <c r="AB3326">
        <v>43</v>
      </c>
      <c r="AC3326">
        <v>-7.8133999999999997</v>
      </c>
      <c r="AD3326">
        <v>-1.127690394884</v>
      </c>
      <c r="AE3326">
        <v>-6.3172999999999799</v>
      </c>
      <c r="AF3326">
        <v>-2.7589556788563701</v>
      </c>
      <c r="AG3326">
        <v>-1.127690394884</v>
      </c>
      <c r="AH3326">
        <v>9.5315031336657192</v>
      </c>
      <c r="AI3326">
        <v>96.483659468697198</v>
      </c>
      <c r="AJ3326">
        <v>106.14343110552301</v>
      </c>
      <c r="AK3326">
        <v>9.9866447844952901</v>
      </c>
      <c r="AL3326">
        <v>80.673386044694595</v>
      </c>
      <c r="AM3326">
        <v>106.046728520014</v>
      </c>
      <c r="AN3326">
        <v>1.00000000453404</v>
      </c>
    </row>
    <row r="3327" spans="1:40" x14ac:dyDescent="0.25">
      <c r="A3327" t="str">
        <f>"20190312172143264"</f>
        <v>20190312172143264</v>
      </c>
      <c r="B3327" t="str">
        <f>"1552382503254326"</f>
        <v>1552382503254326</v>
      </c>
      <c r="C3327" t="s">
        <v>40</v>
      </c>
      <c r="D3327">
        <v>3.5496029999999998</v>
      </c>
      <c r="E3327">
        <v>0.49372959999999999</v>
      </c>
      <c r="F3327" t="s">
        <v>45</v>
      </c>
      <c r="G3327">
        <v>-495.4819</v>
      </c>
      <c r="H3327" s="1">
        <v>1.4751930000000001E-6</v>
      </c>
      <c r="I3327">
        <v>275.17540000000002</v>
      </c>
      <c r="J3327">
        <v>-487.50549999999998</v>
      </c>
      <c r="K3327">
        <v>1.1277740000000001</v>
      </c>
      <c r="L3327">
        <v>281.69159999999999</v>
      </c>
      <c r="M3327">
        <v>-0.91843920000000001</v>
      </c>
      <c r="N3327">
        <v>0</v>
      </c>
      <c r="O3327">
        <v>-0.39510899999999999</v>
      </c>
      <c r="P3327">
        <v>-0.76878019999999903</v>
      </c>
      <c r="Q3327">
        <v>0.15646460000000001</v>
      </c>
      <c r="R3327">
        <v>-0.62007749999999995</v>
      </c>
      <c r="S3327">
        <v>-2.403381</v>
      </c>
      <c r="T3327">
        <v>-0.33189039999999997</v>
      </c>
      <c r="U3327">
        <v>-1.941376</v>
      </c>
      <c r="V3327">
        <v>-0.27312789999999998</v>
      </c>
      <c r="W3327">
        <v>0.1627364</v>
      </c>
      <c r="X3327">
        <v>0.94811279999999998</v>
      </c>
      <c r="Y3327">
        <v>-0.27038289999999998</v>
      </c>
      <c r="Z3327">
        <v>2.8762059999999999E-2</v>
      </c>
      <c r="AA3327">
        <v>0.96232309999999999</v>
      </c>
      <c r="AB3327">
        <v>43</v>
      </c>
      <c r="AC3327">
        <v>-7.9764000000000097</v>
      </c>
      <c r="AD3327">
        <v>-1.1277725248070001</v>
      </c>
      <c r="AE3327">
        <v>-6.5161999999999596</v>
      </c>
      <c r="AF3327">
        <v>-2.80012229927737</v>
      </c>
      <c r="AG3327">
        <v>-1.1277725248070001</v>
      </c>
      <c r="AH3327">
        <v>9.7849077059929996</v>
      </c>
      <c r="AI3327">
        <v>96.323061124680905</v>
      </c>
      <c r="AJ3327">
        <v>105.96939900044001</v>
      </c>
      <c r="AK3327">
        <v>10.2399694615473</v>
      </c>
      <c r="AL3327">
        <v>80.634236867394193</v>
      </c>
      <c r="AM3327">
        <v>106.070385540004</v>
      </c>
      <c r="AN3327">
        <v>0.99999993358360195</v>
      </c>
    </row>
    <row r="3328" spans="1:40" x14ac:dyDescent="0.25">
      <c r="A3328" t="str">
        <f>"20190312172143273"</f>
        <v>20190312172143273</v>
      </c>
      <c r="B3328" t="str">
        <f>"1552382503264085"</f>
        <v>1552382503264085</v>
      </c>
      <c r="C3328" t="s">
        <v>40</v>
      </c>
      <c r="D3328">
        <v>3.5959449999999902</v>
      </c>
      <c r="E3328">
        <v>0.49478109999999997</v>
      </c>
      <c r="F3328" t="s">
        <v>45</v>
      </c>
      <c r="G3328">
        <v>-495.7627</v>
      </c>
      <c r="H3328" s="1">
        <v>1.3744799999999901E-6</v>
      </c>
      <c r="I3328">
        <v>274.96100000000001</v>
      </c>
      <c r="J3328">
        <v>-487.69670000000002</v>
      </c>
      <c r="K3328">
        <v>1.1278520000000001</v>
      </c>
      <c r="L3328">
        <v>281.6087</v>
      </c>
      <c r="M3328">
        <v>-0.9151511</v>
      </c>
      <c r="N3328">
        <v>0</v>
      </c>
      <c r="O3328">
        <v>-0.40266489999999999</v>
      </c>
      <c r="P3328">
        <v>-0.76339230000000002</v>
      </c>
      <c r="Q3328">
        <v>0.15731609999999999</v>
      </c>
      <c r="R3328">
        <v>-0.62648559999999998</v>
      </c>
      <c r="S3328">
        <v>-2.3945310000000002</v>
      </c>
      <c r="T3328">
        <v>-0.32704749999999999</v>
      </c>
      <c r="U3328">
        <v>-1.951843</v>
      </c>
      <c r="V3328">
        <v>-0.2733833</v>
      </c>
      <c r="W3328">
        <v>0.163547</v>
      </c>
      <c r="X3328">
        <v>0.94789979999999996</v>
      </c>
      <c r="Y3328">
        <v>-0.26675110000000002</v>
      </c>
      <c r="Z3328">
        <v>2.9377770000000001E-2</v>
      </c>
      <c r="AA3328">
        <v>0.9633176</v>
      </c>
      <c r="AB3328">
        <v>43</v>
      </c>
      <c r="AC3328">
        <v>-8.0659999999999705</v>
      </c>
      <c r="AD3328">
        <v>-1.12785062552</v>
      </c>
      <c r="AE3328">
        <v>-6.64769999999998</v>
      </c>
      <c r="AF3328">
        <v>-2.8036215154884299</v>
      </c>
      <c r="AG3328">
        <v>-1.12785062552</v>
      </c>
      <c r="AH3328">
        <v>9.9444273778528807</v>
      </c>
      <c r="AI3328">
        <v>96.229743815156695</v>
      </c>
      <c r="AJ3328">
        <v>105.744678430913</v>
      </c>
      <c r="AK3328">
        <v>10.393458351722201</v>
      </c>
      <c r="AL3328">
        <v>80.587163242883705</v>
      </c>
      <c r="AM3328">
        <v>106.088063354742</v>
      </c>
      <c r="AN3328">
        <v>1.00000004038396</v>
      </c>
    </row>
    <row r="3329" spans="1:40" x14ac:dyDescent="0.25">
      <c r="A3329" t="str">
        <f>"20190312172143285"</f>
        <v>20190312172143285</v>
      </c>
      <c r="B3329" t="str">
        <f>"1552382503273845"</f>
        <v>1552382503273845</v>
      </c>
      <c r="C3329" t="s">
        <v>40</v>
      </c>
      <c r="D3329">
        <v>3.5532439999999998</v>
      </c>
      <c r="E3329">
        <v>0.49616749999999998</v>
      </c>
      <c r="F3329" t="s">
        <v>45</v>
      </c>
      <c r="G3329">
        <v>-496.03629999999998</v>
      </c>
      <c r="H3329" s="1">
        <v>1.2695469999999999E-6</v>
      </c>
      <c r="I3329">
        <v>274.7328</v>
      </c>
      <c r="J3329">
        <v>-487.88200000000001</v>
      </c>
      <c r="K3329">
        <v>1.1279220000000001</v>
      </c>
      <c r="L3329">
        <v>281.52670000000001</v>
      </c>
      <c r="M3329">
        <v>-0.91188250000000004</v>
      </c>
      <c r="N3329">
        <v>0</v>
      </c>
      <c r="O3329">
        <v>-0.4100125</v>
      </c>
      <c r="P3329">
        <v>-0.75806929999999995</v>
      </c>
      <c r="Q3329">
        <v>0.15707860000000001</v>
      </c>
      <c r="R3329">
        <v>-0.63297539999999997</v>
      </c>
      <c r="S3329">
        <v>-2.3835139999999999</v>
      </c>
      <c r="T3329">
        <v>-0.32235049999999998</v>
      </c>
      <c r="U3329">
        <v>-1.9652099999999999</v>
      </c>
      <c r="V3329">
        <v>-0.27384649999999999</v>
      </c>
      <c r="W3329">
        <v>0.163264299999999</v>
      </c>
      <c r="X3329">
        <v>0.94781479999999996</v>
      </c>
      <c r="Y3329">
        <v>-0.26442640000000001</v>
      </c>
      <c r="Z3329">
        <v>2.9885430000000001E-2</v>
      </c>
      <c r="AA3329">
        <v>0.96394270000000004</v>
      </c>
      <c r="AB3329">
        <v>43</v>
      </c>
      <c r="AC3329">
        <v>-8.1543000000000294</v>
      </c>
      <c r="AD3329">
        <v>-1.1279207304529999</v>
      </c>
      <c r="AE3329">
        <v>-6.7938999999999998</v>
      </c>
      <c r="AF3329">
        <v>-2.8205335496308401</v>
      </c>
      <c r="AG3329">
        <v>-1.1279207304529999</v>
      </c>
      <c r="AH3329">
        <v>10.109022141481599</v>
      </c>
      <c r="AI3329">
        <v>96.134083690641901</v>
      </c>
      <c r="AJ3329">
        <v>105.589714251359</v>
      </c>
      <c r="AK3329">
        <v>10.555564567361801</v>
      </c>
      <c r="AL3329">
        <v>80.603581206937804</v>
      </c>
      <c r="AM3329">
        <v>106.115278139859</v>
      </c>
      <c r="AN3329">
        <v>1.0000000161578899</v>
      </c>
    </row>
    <row r="3330" spans="1:40" x14ac:dyDescent="0.25">
      <c r="A3330" t="str">
        <f>"20190312172143296"</f>
        <v>20190312172143296</v>
      </c>
      <c r="B3330" t="str">
        <f>"1552382503294343"</f>
        <v>1552382503294343</v>
      </c>
      <c r="C3330" t="s">
        <v>40</v>
      </c>
      <c r="D3330">
        <v>4.0291610000000002</v>
      </c>
      <c r="E3330">
        <v>0.49873129999999999</v>
      </c>
      <c r="F3330" t="s">
        <v>45</v>
      </c>
      <c r="G3330">
        <v>-496.09930000000003</v>
      </c>
      <c r="H3330" s="1">
        <v>1.2475079999999999E-6</v>
      </c>
      <c r="I3330">
        <v>274.68619999999999</v>
      </c>
      <c r="J3330">
        <v>-488.077</v>
      </c>
      <c r="K3330">
        <v>1.127988</v>
      </c>
      <c r="L3330">
        <v>281.43889999999999</v>
      </c>
      <c r="M3330">
        <v>-0.90835650000000001</v>
      </c>
      <c r="N3330">
        <v>0</v>
      </c>
      <c r="O3330">
        <v>-0.41776459999999999</v>
      </c>
      <c r="P3330">
        <v>-0.75234309999999904</v>
      </c>
      <c r="Q3330">
        <v>0.156964299999999</v>
      </c>
      <c r="R3330">
        <v>-0.6397986</v>
      </c>
      <c r="S3330">
        <v>-2.3744809999999998</v>
      </c>
      <c r="T3330">
        <v>-0.32592890000000002</v>
      </c>
      <c r="U3330">
        <v>-1.9766539999999999</v>
      </c>
      <c r="V3330">
        <v>-0.27435279999999901</v>
      </c>
      <c r="W3330">
        <v>0.16310339999999901</v>
      </c>
      <c r="X3330">
        <v>0.94769610000000004</v>
      </c>
      <c r="Y3330">
        <v>-0.26082369999999999</v>
      </c>
      <c r="Z3330">
        <v>3.1257760000000002E-2</v>
      </c>
      <c r="AA3330">
        <v>0.96488030000000002</v>
      </c>
      <c r="AB3330">
        <v>43</v>
      </c>
      <c r="AC3330">
        <v>-8.0223000000000297</v>
      </c>
      <c r="AD3330">
        <v>-1.127986752492</v>
      </c>
      <c r="AE3330">
        <v>-6.7526999999999999</v>
      </c>
      <c r="AF3330">
        <v>-2.7510944678722802</v>
      </c>
      <c r="AG3330">
        <v>-1.127986752492</v>
      </c>
      <c r="AH3330">
        <v>9.9943245300260894</v>
      </c>
      <c r="AI3330">
        <v>96.2102320643654</v>
      </c>
      <c r="AJ3330">
        <v>105.39040200498</v>
      </c>
      <c r="AK3330">
        <v>10.427243053484201</v>
      </c>
      <c r="AL3330">
        <v>80.612925556103903</v>
      </c>
      <c r="AM3330">
        <v>106.145438738309</v>
      </c>
      <c r="AN3330">
        <v>1.0000000379573</v>
      </c>
    </row>
    <row r="3331" spans="1:40" x14ac:dyDescent="0.25">
      <c r="A3331" t="str">
        <f>"20190312172143308"</f>
        <v>20190312172143308</v>
      </c>
      <c r="B3331" t="str">
        <f>"1552382503304101"</f>
        <v>1552382503304101</v>
      </c>
      <c r="C3331" t="s">
        <v>40</v>
      </c>
      <c r="D3331">
        <v>3.573</v>
      </c>
      <c r="E3331">
        <v>0.49971870000000002</v>
      </c>
      <c r="F3331" t="s">
        <v>45</v>
      </c>
      <c r="G3331">
        <v>-496.16910000000001</v>
      </c>
      <c r="H3331" s="1">
        <v>1.2350949999999999E-6</v>
      </c>
      <c r="I3331">
        <v>274.6687</v>
      </c>
      <c r="J3331">
        <v>-488.26010000000002</v>
      </c>
      <c r="K3331">
        <v>1.128047</v>
      </c>
      <c r="L3331">
        <v>281.35410000000002</v>
      </c>
      <c r="M3331">
        <v>-0.90495510000000001</v>
      </c>
      <c r="N3331">
        <v>0</v>
      </c>
      <c r="O3331">
        <v>-0.42508079999999998</v>
      </c>
      <c r="P3331">
        <v>-0.74699099999999996</v>
      </c>
      <c r="Q3331">
        <v>0.1565078</v>
      </c>
      <c r="R3331">
        <v>-0.64614989999999894</v>
      </c>
      <c r="S3331">
        <v>-2.370117</v>
      </c>
      <c r="T3331">
        <v>-0.33037879999999997</v>
      </c>
      <c r="U3331">
        <v>-1.9829410000000001</v>
      </c>
      <c r="V3331">
        <v>-0.27470169999999999</v>
      </c>
      <c r="W3331">
        <v>0.16261129999999999</v>
      </c>
      <c r="X3331">
        <v>0.94767959999999996</v>
      </c>
      <c r="Y3331">
        <v>-0.25548749999999998</v>
      </c>
      <c r="Z3331">
        <v>3.2772820000000001E-2</v>
      </c>
      <c r="AA3331">
        <v>0.96625669999999997</v>
      </c>
      <c r="AB3331">
        <v>43</v>
      </c>
      <c r="AC3331">
        <v>-7.90899999999999</v>
      </c>
      <c r="AD3331">
        <v>-1.128045764905</v>
      </c>
      <c r="AE3331">
        <v>-6.6854000000000102</v>
      </c>
      <c r="AF3331">
        <v>-2.6569850136437299</v>
      </c>
      <c r="AG3331">
        <v>-1.128045764905</v>
      </c>
      <c r="AH3331">
        <v>9.8836682726708993</v>
      </c>
      <c r="AI3331">
        <v>96.289703992813102</v>
      </c>
      <c r="AJ3331">
        <v>105.04685104751201</v>
      </c>
      <c r="AK3331">
        <v>10.2965506425525</v>
      </c>
      <c r="AL3331">
        <v>80.641502352954305</v>
      </c>
      <c r="AM3331">
        <v>106.16516624576001</v>
      </c>
      <c r="AN3331">
        <v>1.0000000415633601</v>
      </c>
    </row>
    <row r="3332" spans="1:40" x14ac:dyDescent="0.25">
      <c r="A3332" t="str">
        <f>"20190312172143320"</f>
        <v>20190312172143320</v>
      </c>
      <c r="B3332" t="str">
        <f>"1552382503313862"</f>
        <v>1552382503313862</v>
      </c>
      <c r="C3332" t="s">
        <v>40</v>
      </c>
      <c r="D3332">
        <v>3.5718779999999999</v>
      </c>
      <c r="E3332">
        <v>0.49971870000000002</v>
      </c>
      <c r="F3332" t="s">
        <v>45</v>
      </c>
      <c r="G3332">
        <v>-496.23869999999999</v>
      </c>
      <c r="H3332" s="1">
        <v>1.2067649999999999E-6</v>
      </c>
      <c r="I3332">
        <v>274.59559999999999</v>
      </c>
      <c r="J3332">
        <v>-488.48439999999999</v>
      </c>
      <c r="K3332">
        <v>1.1281159999999999</v>
      </c>
      <c r="L3332">
        <v>281.24900000000002</v>
      </c>
      <c r="M3332">
        <v>-0.90068700000000002</v>
      </c>
      <c r="N3332">
        <v>0</v>
      </c>
      <c r="O3332">
        <v>-0.43404999999999999</v>
      </c>
      <c r="P3332">
        <v>-0.74065669999999995</v>
      </c>
      <c r="Q3332">
        <v>0.15608910000000001</v>
      </c>
      <c r="R3332">
        <v>-0.65350090000000005</v>
      </c>
      <c r="S3332">
        <v>-2.3580930000000002</v>
      </c>
      <c r="T3332">
        <v>-0.333395099999999</v>
      </c>
      <c r="U3332">
        <v>-1.997498</v>
      </c>
      <c r="V3332">
        <v>-0.27462769999999997</v>
      </c>
      <c r="W3332">
        <v>0.16217319999999999</v>
      </c>
      <c r="X3332">
        <v>0.94777610000000001</v>
      </c>
      <c r="Y3332">
        <v>-0.25185730000000001</v>
      </c>
      <c r="Z3332">
        <v>3.4276000000000001E-2</v>
      </c>
      <c r="AA3332">
        <v>0.96715720000000005</v>
      </c>
      <c r="AB3332">
        <v>43</v>
      </c>
      <c r="AC3332">
        <v>-7.7542999999999997</v>
      </c>
      <c r="AD3332">
        <v>-1.128114793235</v>
      </c>
      <c r="AE3332">
        <v>-6.6534000000000297</v>
      </c>
      <c r="AF3332">
        <v>-2.5957117301677899</v>
      </c>
      <c r="AG3332">
        <v>-1.128114793235</v>
      </c>
      <c r="AH3332">
        <v>9.7549829190404793</v>
      </c>
      <c r="AI3332">
        <v>96.376700637935301</v>
      </c>
      <c r="AJ3332">
        <v>104.900611415138</v>
      </c>
      <c r="AK3332">
        <v>10.1572660752595</v>
      </c>
      <c r="AL3332">
        <v>80.666941175457794</v>
      </c>
      <c r="AM3332">
        <v>106.15947938374001</v>
      </c>
      <c r="AN3332">
        <v>1.0000000280683601</v>
      </c>
    </row>
    <row r="3333" spans="1:40" x14ac:dyDescent="0.25">
      <c r="A3333" t="str">
        <f>"20190312172143334"</f>
        <v>20190312172143334</v>
      </c>
      <c r="B3333" t="str">
        <f>"1552382503323621"</f>
        <v>1552382503323621</v>
      </c>
      <c r="C3333" t="s">
        <v>40</v>
      </c>
      <c r="D3333">
        <v>3.5774400000000002</v>
      </c>
      <c r="E3333">
        <v>0.51220540000000003</v>
      </c>
      <c r="F3333" t="s">
        <v>45</v>
      </c>
      <c r="G3333">
        <v>-496.36309999999997</v>
      </c>
      <c r="H3333" s="1">
        <v>1.1679179999999999E-6</v>
      </c>
      <c r="I3333">
        <v>274.43759999999997</v>
      </c>
      <c r="J3333">
        <v>-488.7296</v>
      </c>
      <c r="K3333">
        <v>1.1281859999999999</v>
      </c>
      <c r="L3333">
        <v>281.12970000000001</v>
      </c>
      <c r="M3333">
        <v>-0.8958583</v>
      </c>
      <c r="N3333">
        <v>0</v>
      </c>
      <c r="O3333">
        <v>-0.44392979999999999</v>
      </c>
      <c r="P3333">
        <v>-0.73343829999999999</v>
      </c>
      <c r="Q3333">
        <v>0.15596589999999999</v>
      </c>
      <c r="R3333">
        <v>-0.66162140000000003</v>
      </c>
      <c r="S3333">
        <v>-2.3377690000000002</v>
      </c>
      <c r="T3333">
        <v>-0.33473380000000003</v>
      </c>
      <c r="U3333">
        <v>-2.0210569999999999</v>
      </c>
      <c r="V3333">
        <v>-0.27466030000000002</v>
      </c>
      <c r="W3333">
        <v>0.162025</v>
      </c>
      <c r="X3333">
        <v>0.94779199999999997</v>
      </c>
      <c r="Y3333">
        <v>-0.25100840000000002</v>
      </c>
      <c r="Z3333">
        <v>3.5589460000000003E-2</v>
      </c>
      <c r="AA3333">
        <v>0.96733049999999998</v>
      </c>
      <c r="AB3333">
        <v>43</v>
      </c>
      <c r="AC3333">
        <v>-7.6334999999999598</v>
      </c>
      <c r="AD3333">
        <v>-1.1281848320819901</v>
      </c>
      <c r="AE3333">
        <v>-6.6921000000000301</v>
      </c>
      <c r="AF3333">
        <v>-2.5751055203853701</v>
      </c>
      <c r="AG3333">
        <v>-1.1281848320819901</v>
      </c>
      <c r="AH3333">
        <v>9.6914472365631195</v>
      </c>
      <c r="AI3333">
        <v>96.419156262791702</v>
      </c>
      <c r="AJ3333">
        <v>104.88018178890501</v>
      </c>
      <c r="AK3333">
        <v>10.090991972821399</v>
      </c>
      <c r="AL3333">
        <v>80.675546216544802</v>
      </c>
      <c r="AM3333">
        <v>106.161040513869</v>
      </c>
      <c r="AN3333">
        <v>1.0000000281425401</v>
      </c>
    </row>
    <row r="3334" spans="1:40" x14ac:dyDescent="0.25">
      <c r="A3334" t="str">
        <f>"20190312172143348"</f>
        <v>20190312172143348</v>
      </c>
      <c r="B3334" t="str">
        <f>"1552382503344117"</f>
        <v>1552382503344117</v>
      </c>
      <c r="C3334" t="s">
        <v>40</v>
      </c>
      <c r="D3334">
        <v>3.663449</v>
      </c>
      <c r="E3334">
        <v>0.51262399999999997</v>
      </c>
      <c r="F3334" t="s">
        <v>45</v>
      </c>
      <c r="G3334">
        <v>-496.56709999999998</v>
      </c>
      <c r="H3334" s="1">
        <v>1.189836E-6</v>
      </c>
      <c r="I3334">
        <v>274.64049999999997</v>
      </c>
      <c r="J3334">
        <v>-488.9359</v>
      </c>
      <c r="K3334">
        <v>1.1282399999999999</v>
      </c>
      <c r="L3334">
        <v>281.02730000000003</v>
      </c>
      <c r="M3334">
        <v>-0.89168510000000001</v>
      </c>
      <c r="N3334">
        <v>0</v>
      </c>
      <c r="O3334">
        <v>-0.45225290000000001</v>
      </c>
      <c r="P3334">
        <v>-0.72726959999999996</v>
      </c>
      <c r="Q3334">
        <v>0.15537699999999999</v>
      </c>
      <c r="R3334">
        <v>-0.66853359999999995</v>
      </c>
      <c r="S3334">
        <v>-2.3832399999999998</v>
      </c>
      <c r="T3334">
        <v>-0.3430629</v>
      </c>
      <c r="U3334">
        <v>-1.9732670000000001</v>
      </c>
      <c r="V3334">
        <v>-0.27474690000000002</v>
      </c>
      <c r="W3334">
        <v>0.16141329999999901</v>
      </c>
      <c r="X3334">
        <v>0.94787120000000002</v>
      </c>
      <c r="Y3334">
        <v>-0.22150800000000001</v>
      </c>
      <c r="Z3334">
        <v>3.8917809999999997E-2</v>
      </c>
      <c r="AA3334">
        <v>0.97438170000000002</v>
      </c>
      <c r="AB3334">
        <v>43</v>
      </c>
      <c r="AC3334">
        <v>-7.6311999999999696</v>
      </c>
      <c r="AD3334">
        <v>-1.128238810164</v>
      </c>
      <c r="AE3334">
        <v>-6.3868000000000498</v>
      </c>
      <c r="AF3334">
        <v>-2.2157100971039401</v>
      </c>
      <c r="AG3334">
        <v>-1.128238810164</v>
      </c>
      <c r="AH3334">
        <v>9.5718060306455008</v>
      </c>
      <c r="AI3334">
        <v>96.550839084518103</v>
      </c>
      <c r="AJ3334">
        <v>103.03343732458001</v>
      </c>
      <c r="AK3334">
        <v>9.8894774753507697</v>
      </c>
      <c r="AL3334">
        <v>80.7110609203297</v>
      </c>
      <c r="AM3334">
        <v>106.164589745112</v>
      </c>
      <c r="AN3334">
        <v>0.99999996213296904</v>
      </c>
    </row>
    <row r="3335" spans="1:40" x14ac:dyDescent="0.25">
      <c r="A3335" t="str">
        <f>"20190312172143360"</f>
        <v>20190312172143360</v>
      </c>
      <c r="B3335" t="str">
        <f>"1552382503353877"</f>
        <v>1552382503353877</v>
      </c>
      <c r="C3335" t="s">
        <v>40</v>
      </c>
      <c r="D3335">
        <v>3.5680429999999999</v>
      </c>
      <c r="E3335">
        <v>0.51321859999999997</v>
      </c>
      <c r="F3335" t="s">
        <v>45</v>
      </c>
      <c r="G3335">
        <v>-496.4332</v>
      </c>
      <c r="H3335" s="1">
        <v>1.2266480000000001E-6</v>
      </c>
      <c r="I3335">
        <v>274.71100000000001</v>
      </c>
      <c r="J3335">
        <v>-489.15649999999999</v>
      </c>
      <c r="K3335">
        <v>1.1282939999999999</v>
      </c>
      <c r="L3335">
        <v>280.916</v>
      </c>
      <c r="M3335">
        <v>-0.88710999999999995</v>
      </c>
      <c r="N3335">
        <v>0</v>
      </c>
      <c r="O3335">
        <v>-0.4611613</v>
      </c>
      <c r="P3335">
        <v>-0.72074169999999904</v>
      </c>
      <c r="Q3335">
        <v>0.15505620000000001</v>
      </c>
      <c r="R3335">
        <v>-0.67563989999999996</v>
      </c>
      <c r="S3335">
        <v>-2.3675839999999999</v>
      </c>
      <c r="T3335">
        <v>-0.35628949999999998</v>
      </c>
      <c r="U3335">
        <v>-1.994629</v>
      </c>
      <c r="V3335">
        <v>-0.27453549999999999</v>
      </c>
      <c r="W3335">
        <v>0.161082</v>
      </c>
      <c r="X3335">
        <v>0.94798890000000002</v>
      </c>
      <c r="Y3335">
        <v>-0.22020339999999999</v>
      </c>
      <c r="Z3335">
        <v>4.153254E-2</v>
      </c>
      <c r="AA3335">
        <v>0.97456940000000003</v>
      </c>
      <c r="AB3335">
        <v>43</v>
      </c>
      <c r="AC3335">
        <v>-7.2766999999999999</v>
      </c>
      <c r="AD3335">
        <v>-1.1282927733520001</v>
      </c>
      <c r="AE3335">
        <v>-6.2049999999999796</v>
      </c>
      <c r="AF3335">
        <v>-2.1196720956439399</v>
      </c>
      <c r="AG3335">
        <v>-1.1282927733520001</v>
      </c>
      <c r="AH3335">
        <v>9.1905104628455607</v>
      </c>
      <c r="AI3335">
        <v>96.821687232165402</v>
      </c>
      <c r="AJ3335">
        <v>102.98742536534</v>
      </c>
      <c r="AK3335">
        <v>9.4990282104604606</v>
      </c>
      <c r="AL3335">
        <v>80.730295556485601</v>
      </c>
      <c r="AM3335">
        <v>106.150900061009</v>
      </c>
      <c r="AN3335">
        <v>1.0000000530037201</v>
      </c>
    </row>
    <row r="3336" spans="1:40" x14ac:dyDescent="0.25">
      <c r="A3336" t="str">
        <f>"20190312172143372"</f>
        <v>20190312172143372</v>
      </c>
      <c r="B3336" t="str">
        <f>"1552382503363638"</f>
        <v>1552382503363638</v>
      </c>
      <c r="C3336" t="s">
        <v>40</v>
      </c>
      <c r="D3336">
        <v>3.6084839999999998</v>
      </c>
      <c r="E3336">
        <v>0.51321859999999997</v>
      </c>
      <c r="F3336" t="s">
        <v>45</v>
      </c>
      <c r="G3336">
        <v>-496.60980000000001</v>
      </c>
      <c r="H3336" s="1">
        <v>1.1620099999999999E-6</v>
      </c>
      <c r="I3336">
        <v>274.5283</v>
      </c>
      <c r="J3336">
        <v>-489.37180000000001</v>
      </c>
      <c r="K3336">
        <v>1.128344</v>
      </c>
      <c r="L3336">
        <v>280.80329999999998</v>
      </c>
      <c r="M3336">
        <v>-0.88250729999999999</v>
      </c>
      <c r="N3336">
        <v>0</v>
      </c>
      <c r="O3336">
        <v>-0.4699084</v>
      </c>
      <c r="P3336">
        <v>-0.71413459999999995</v>
      </c>
      <c r="Q3336">
        <v>0.15464639999999999</v>
      </c>
      <c r="R3336">
        <v>-0.68271250000000006</v>
      </c>
      <c r="S3336">
        <v>-2.3505250000000002</v>
      </c>
      <c r="T3336">
        <v>-0.3558288</v>
      </c>
      <c r="U3336">
        <v>-2.014465</v>
      </c>
      <c r="V3336">
        <v>-0.274472099999999</v>
      </c>
      <c r="W3336">
        <v>0.16065699999999999</v>
      </c>
      <c r="X3336">
        <v>0.94807929999999996</v>
      </c>
      <c r="Y3336">
        <v>-0.21884590000000001</v>
      </c>
      <c r="Z3336">
        <v>4.2611540000000003E-2</v>
      </c>
      <c r="AA3336">
        <v>0.97482849999999999</v>
      </c>
      <c r="AB3336">
        <v>43</v>
      </c>
      <c r="AC3336">
        <v>-7.2379999999999898</v>
      </c>
      <c r="AD3336">
        <v>-1.12834283799</v>
      </c>
      <c r="AE3336">
        <v>-6.2749999999999702</v>
      </c>
      <c r="AF3336">
        <v>-2.10768593291855</v>
      </c>
      <c r="AG3336">
        <v>-1.12834283799</v>
      </c>
      <c r="AH3336">
        <v>9.2101923166893194</v>
      </c>
      <c r="AI3336">
        <v>96.810186652975204</v>
      </c>
      <c r="AJ3336">
        <v>102.889775563337</v>
      </c>
      <c r="AK3336">
        <v>9.5154159164100101</v>
      </c>
      <c r="AL3336">
        <v>80.754966937834098</v>
      </c>
      <c r="AM3336">
        <v>106.145905212725</v>
      </c>
      <c r="AN3336">
        <v>0.99999998220794895</v>
      </c>
    </row>
    <row r="3337" spans="1:40" x14ac:dyDescent="0.25">
      <c r="A3337" t="str">
        <f>"20190312172143384"</f>
        <v>20190312172143384</v>
      </c>
      <c r="B3337" t="str">
        <f>"1552382503374374"</f>
        <v>1552382503374374</v>
      </c>
      <c r="C3337" t="s">
        <v>40</v>
      </c>
      <c r="D3337">
        <v>3.6019939999999999</v>
      </c>
      <c r="E3337">
        <v>0.48892619999999998</v>
      </c>
      <c r="F3337" t="s">
        <v>45</v>
      </c>
      <c r="G3337">
        <v>-496.7346</v>
      </c>
      <c r="H3337" s="1">
        <v>1.1224480000000001E-6</v>
      </c>
      <c r="I3337">
        <v>274.36649999999997</v>
      </c>
      <c r="J3337">
        <v>-489.54500000000002</v>
      </c>
      <c r="K3337">
        <v>1.1283799999999999</v>
      </c>
      <c r="L3337">
        <v>280.71159999999998</v>
      </c>
      <c r="M3337">
        <v>-0.87872510000000004</v>
      </c>
      <c r="N3337">
        <v>0</v>
      </c>
      <c r="O3337">
        <v>-0.47694330000000001</v>
      </c>
      <c r="P3337">
        <v>-0.70856649999999999</v>
      </c>
      <c r="Q3337">
        <v>0.1548812</v>
      </c>
      <c r="R3337">
        <v>-0.68843659999999995</v>
      </c>
      <c r="S3337">
        <v>-2.3304749999999999</v>
      </c>
      <c r="T3337">
        <v>-0.35714319999999999</v>
      </c>
      <c r="U3337">
        <v>-2.0373839999999999</v>
      </c>
      <c r="V3337">
        <v>-0.27457959999999998</v>
      </c>
      <c r="W3337">
        <v>0.16086929999999999</v>
      </c>
      <c r="X3337">
        <v>0.94801219999999997</v>
      </c>
      <c r="Y3337">
        <v>-0.2206775</v>
      </c>
      <c r="Z3337">
        <v>4.3529459999999999E-2</v>
      </c>
      <c r="AA3337">
        <v>0.97437499999999999</v>
      </c>
      <c r="AB3337">
        <v>43</v>
      </c>
      <c r="AC3337">
        <v>-7.18959999999998</v>
      </c>
      <c r="AD3337">
        <v>-1.1283788775519901</v>
      </c>
      <c r="AE3337">
        <v>-6.3451000000000004</v>
      </c>
      <c r="AF3337">
        <v>-2.11763849209416</v>
      </c>
      <c r="AG3337">
        <v>-1.1283788775519901</v>
      </c>
      <c r="AH3337">
        <v>9.2180097233909706</v>
      </c>
      <c r="AI3337">
        <v>96.803380387894606</v>
      </c>
      <c r="AJ3337">
        <v>102.937983164248</v>
      </c>
      <c r="AK3337">
        <v>9.5251947452550692</v>
      </c>
      <c r="AL3337">
        <v>80.742643001423104</v>
      </c>
      <c r="AM3337">
        <v>106.15298285522699</v>
      </c>
      <c r="AN3337">
        <v>1.00000000988374</v>
      </c>
    </row>
    <row r="3338" spans="1:40" x14ac:dyDescent="0.25">
      <c r="A3338" t="str">
        <f>"20190312172143394"</f>
        <v>20190312172143394</v>
      </c>
      <c r="B3338" t="str">
        <f>"1552382503384133"</f>
        <v>1552382503384133</v>
      </c>
      <c r="C3338" t="s">
        <v>40</v>
      </c>
      <c r="D3338">
        <v>3.6662029999999999</v>
      </c>
      <c r="E3338">
        <v>0.4807054</v>
      </c>
      <c r="F3338" t="s">
        <v>45</v>
      </c>
      <c r="G3338">
        <v>-496.73759999999999</v>
      </c>
      <c r="H3338" s="1">
        <v>9.6307510000000003E-7</v>
      </c>
      <c r="I3338">
        <v>273.4631</v>
      </c>
      <c r="J3338">
        <v>-489.73469999999998</v>
      </c>
      <c r="K3338">
        <v>1.1284160000000001</v>
      </c>
      <c r="L3338">
        <v>280.60879999999997</v>
      </c>
      <c r="M3338">
        <v>-0.87448879999999996</v>
      </c>
      <c r="N3338">
        <v>0</v>
      </c>
      <c r="O3338">
        <v>-0.48466700000000001</v>
      </c>
      <c r="P3338">
        <v>-0.70260749999999905</v>
      </c>
      <c r="Q3338">
        <v>0.15523410000000001</v>
      </c>
      <c r="R3338">
        <v>-0.69443889999999997</v>
      </c>
      <c r="S3338">
        <v>-2.176971</v>
      </c>
      <c r="T3338">
        <v>-0.341526</v>
      </c>
      <c r="U3338">
        <v>-2.1939090000000001</v>
      </c>
      <c r="V3338">
        <v>-0.27436139999999998</v>
      </c>
      <c r="W3338">
        <v>0.161213299999999</v>
      </c>
      <c r="X3338">
        <v>0.94801690000000005</v>
      </c>
      <c r="Y3338">
        <v>-0.28034559999999997</v>
      </c>
      <c r="Z3338">
        <v>3.9590489999999999E-2</v>
      </c>
      <c r="AA3338">
        <v>0.9590824</v>
      </c>
      <c r="AB3338">
        <v>43</v>
      </c>
      <c r="AC3338">
        <v>-7.0029000000000101</v>
      </c>
      <c r="AD3338">
        <v>-1.1284150369249</v>
      </c>
      <c r="AE3338">
        <v>-7.1456999999999704</v>
      </c>
      <c r="AF3338">
        <v>-2.8194206065906799</v>
      </c>
      <c r="AG3338">
        <v>-1.1284150369249</v>
      </c>
      <c r="AH3338">
        <v>9.4685607725887699</v>
      </c>
      <c r="AI3338">
        <v>96.516020035586095</v>
      </c>
      <c r="AJ3338">
        <v>106.58177065292899</v>
      </c>
      <c r="AK3338">
        <v>9.94364601927448</v>
      </c>
      <c r="AL3338">
        <v>80.722672259891795</v>
      </c>
      <c r="AM3338">
        <v>106.140739396664</v>
      </c>
      <c r="AN3338">
        <v>0.999999974296229</v>
      </c>
    </row>
    <row r="3339" spans="1:40" x14ac:dyDescent="0.25">
      <c r="A3339" t="str">
        <f>"20190312172143405"</f>
        <v>20190312172143405</v>
      </c>
      <c r="B3339" t="str">
        <f>"1552382503393893"</f>
        <v>1552382503393893</v>
      </c>
      <c r="C3339" t="s">
        <v>40</v>
      </c>
      <c r="D3339">
        <v>3.50393</v>
      </c>
      <c r="E3339">
        <v>0.47785569999999999</v>
      </c>
      <c r="F3339" t="s">
        <v>45</v>
      </c>
      <c r="G3339">
        <v>-497.05040000000002</v>
      </c>
      <c r="H3339" s="1">
        <v>8.1498229999999999E-7</v>
      </c>
      <c r="I3339">
        <v>272.77969999999999</v>
      </c>
      <c r="J3339">
        <v>-489.90769999999998</v>
      </c>
      <c r="K3339">
        <v>1.12845</v>
      </c>
      <c r="L3339">
        <v>280.51330000000002</v>
      </c>
      <c r="M3339">
        <v>-0.87054370000000003</v>
      </c>
      <c r="N3339">
        <v>0</v>
      </c>
      <c r="O3339">
        <v>-0.49171700000000002</v>
      </c>
      <c r="P3339">
        <v>-0.69709860000000001</v>
      </c>
      <c r="Q3339">
        <v>0.15528729999999999</v>
      </c>
      <c r="R3339">
        <v>-0.69995669999999899</v>
      </c>
      <c r="S3339">
        <v>-2.1099239999999999</v>
      </c>
      <c r="T3339">
        <v>-0.32545089999999999</v>
      </c>
      <c r="U3339">
        <v>-2.2580260000000001</v>
      </c>
      <c r="V3339">
        <v>-0.27419890000000002</v>
      </c>
      <c r="W3339">
        <v>0.1612566</v>
      </c>
      <c r="X3339">
        <v>0.94805660000000003</v>
      </c>
      <c r="Y3339">
        <v>-0.30117290000000002</v>
      </c>
      <c r="Z3339">
        <v>3.7526150000000001E-2</v>
      </c>
      <c r="AA3339">
        <v>0.95283090000000004</v>
      </c>
      <c r="AB3339">
        <v>43</v>
      </c>
      <c r="AC3339">
        <v>-7.1427000000000396</v>
      </c>
      <c r="AD3339">
        <v>-1.1284491850177001</v>
      </c>
      <c r="AE3339">
        <v>-7.7336000000000196</v>
      </c>
      <c r="AF3339">
        <v>-3.1842554761578001</v>
      </c>
      <c r="AG3339">
        <v>-1.1284491850177001</v>
      </c>
      <c r="AH3339">
        <v>9.9087680978770596</v>
      </c>
      <c r="AI3339">
        <v>96.188006781359107</v>
      </c>
      <c r="AJ3339">
        <v>107.815190369425</v>
      </c>
      <c r="AK3339">
        <v>10.468837839899599</v>
      </c>
      <c r="AL3339">
        <v>80.720158911613794</v>
      </c>
      <c r="AM3339">
        <v>106.131036507115</v>
      </c>
      <c r="AN3339">
        <v>1.0000000223041601</v>
      </c>
    </row>
    <row r="3340" spans="1:40" x14ac:dyDescent="0.25">
      <c r="A3340" t="str">
        <f>"20190312172143416"</f>
        <v>20190312172143416</v>
      </c>
      <c r="B3340" t="str">
        <f>"1552382503403654"</f>
        <v>1552382503403654</v>
      </c>
      <c r="C3340" t="s">
        <v>40</v>
      </c>
      <c r="D3340">
        <v>3.486351</v>
      </c>
      <c r="E3340">
        <v>0.47657500000000003</v>
      </c>
      <c r="F3340" t="s">
        <v>45</v>
      </c>
      <c r="G3340">
        <v>-497.43389999999999</v>
      </c>
      <c r="H3340" s="1">
        <v>6.7997209999999996E-7</v>
      </c>
      <c r="I3340">
        <v>272.2063</v>
      </c>
      <c r="J3340">
        <v>-490.08179999999999</v>
      </c>
      <c r="K3340">
        <v>1.128482</v>
      </c>
      <c r="L3340">
        <v>280.41559999999998</v>
      </c>
      <c r="M3340">
        <v>-0.86649449999999995</v>
      </c>
      <c r="N3340">
        <v>0</v>
      </c>
      <c r="O3340">
        <v>-0.49881789999999998</v>
      </c>
      <c r="P3340">
        <v>-0.69148160000000003</v>
      </c>
      <c r="Q3340">
        <v>0.1553312</v>
      </c>
      <c r="R3340">
        <v>-0.70549700000000004</v>
      </c>
      <c r="S3340">
        <v>-2.0740970000000001</v>
      </c>
      <c r="T3340">
        <v>-0.31098389999999998</v>
      </c>
      <c r="U3340">
        <v>-2.289307</v>
      </c>
      <c r="V3340">
        <v>-0.27403379999999999</v>
      </c>
      <c r="W3340">
        <v>0.16128999999999999</v>
      </c>
      <c r="X3340">
        <v>0.94809869999999996</v>
      </c>
      <c r="Y3340">
        <v>-0.30796879999999999</v>
      </c>
      <c r="Z3340">
        <v>3.6339980000000001E-2</v>
      </c>
      <c r="AA3340">
        <v>0.95070220000000005</v>
      </c>
      <c r="AB3340">
        <v>43</v>
      </c>
      <c r="AC3340">
        <v>-7.3521000000000001</v>
      </c>
      <c r="AD3340">
        <v>-1.12848132002789</v>
      </c>
      <c r="AE3340">
        <v>-8.2092999999999794</v>
      </c>
      <c r="AF3340">
        <v>-3.4108228808762902</v>
      </c>
      <c r="AG3340">
        <v>-1.12848132002789</v>
      </c>
      <c r="AH3340">
        <v>10.3588047371912</v>
      </c>
      <c r="AI3340">
        <v>95.907623968234105</v>
      </c>
      <c r="AJ3340">
        <v>108.22505979585399</v>
      </c>
      <c r="AK3340">
        <v>10.964124150957799</v>
      </c>
      <c r="AL3340">
        <v>80.718220261781298</v>
      </c>
      <c r="AM3340">
        <v>106.121149780922</v>
      </c>
      <c r="AN3340">
        <v>1.0000000662920601</v>
      </c>
    </row>
    <row r="3341" spans="1:40" x14ac:dyDescent="0.25">
      <c r="A3341" t="str">
        <f>"20190312172143428"</f>
        <v>20190312172143428</v>
      </c>
      <c r="B3341" t="str">
        <f>"1552382503424149"</f>
        <v>1552382503424149</v>
      </c>
      <c r="C3341" t="s">
        <v>40</v>
      </c>
      <c r="D3341">
        <v>3.41086</v>
      </c>
      <c r="E3341">
        <v>0.47507100000000002</v>
      </c>
      <c r="F3341" t="s">
        <v>45</v>
      </c>
      <c r="G3341">
        <v>-497.73239999999998</v>
      </c>
      <c r="H3341" s="1">
        <v>5.7795809999999996E-7</v>
      </c>
      <c r="I3341">
        <v>271.77730000000003</v>
      </c>
      <c r="J3341">
        <v>-490.2595</v>
      </c>
      <c r="K3341">
        <v>1.1285130000000001</v>
      </c>
      <c r="L3341">
        <v>280.31360000000001</v>
      </c>
      <c r="M3341">
        <v>-0.86227379999999998</v>
      </c>
      <c r="N3341">
        <v>0</v>
      </c>
      <c r="O3341">
        <v>-0.50607899999999995</v>
      </c>
      <c r="P3341">
        <v>-0.68570109999999995</v>
      </c>
      <c r="Q3341">
        <v>0.15537010000000001</v>
      </c>
      <c r="R3341">
        <v>-0.71110790000000001</v>
      </c>
      <c r="S3341">
        <v>-2.047577</v>
      </c>
      <c r="T3341">
        <v>-0.30202519999999999</v>
      </c>
      <c r="U3341">
        <v>-2.3119200000000002</v>
      </c>
      <c r="V3341">
        <v>-0.27381450000000002</v>
      </c>
      <c r="W3341">
        <v>0.1613192</v>
      </c>
      <c r="X3341">
        <v>0.94815700000000003</v>
      </c>
      <c r="Y3341">
        <v>-0.31067830000000002</v>
      </c>
      <c r="Z3341">
        <v>3.5958700000000003E-2</v>
      </c>
      <c r="AA3341">
        <v>0.94983470000000003</v>
      </c>
      <c r="AB3341">
        <v>43</v>
      </c>
      <c r="AC3341">
        <v>-7.4728999999999797</v>
      </c>
      <c r="AD3341">
        <v>-1.1285124220418901</v>
      </c>
      <c r="AE3341">
        <v>-8.5362999999999793</v>
      </c>
      <c r="AF3341">
        <v>-3.5443393717099898</v>
      </c>
      <c r="AG3341">
        <v>-1.1285124220418901</v>
      </c>
      <c r="AH3341">
        <v>10.6602317163255</v>
      </c>
      <c r="AI3341">
        <v>95.736405404542097</v>
      </c>
      <c r="AJ3341">
        <v>108.39105796651801</v>
      </c>
      <c r="AK3341">
        <v>11.2905456960374</v>
      </c>
      <c r="AL3341">
        <v>80.716524223589701</v>
      </c>
      <c r="AM3341">
        <v>106.10797889217601</v>
      </c>
      <c r="AN3341">
        <v>0.99999998067394402</v>
      </c>
    </row>
    <row r="3342" spans="1:40" x14ac:dyDescent="0.25">
      <c r="A3342" t="str">
        <f>"20190312172143437"</f>
        <v>20190312172143437</v>
      </c>
      <c r="B3342" t="str">
        <f>"1552382503433910"</f>
        <v>1552382503433910</v>
      </c>
      <c r="C3342" t="s">
        <v>40</v>
      </c>
      <c r="D3342">
        <v>3.4990269999999999</v>
      </c>
      <c r="E3342">
        <v>0.47489759999999998</v>
      </c>
      <c r="F3342" t="s">
        <v>45</v>
      </c>
      <c r="G3342">
        <v>-497.93239999999997</v>
      </c>
      <c r="H3342" s="1">
        <v>5.0048949999999898E-7</v>
      </c>
      <c r="I3342">
        <v>271.43819999999999</v>
      </c>
      <c r="J3342">
        <v>-490.44040000000001</v>
      </c>
      <c r="K3342">
        <v>1.1285430000000001</v>
      </c>
      <c r="L3342">
        <v>280.20839999999998</v>
      </c>
      <c r="M3342">
        <v>-0.85789599999999899</v>
      </c>
      <c r="N3342">
        <v>0</v>
      </c>
      <c r="O3342">
        <v>-0.51346519999999995</v>
      </c>
      <c r="P3342">
        <v>-0.67993289999999995</v>
      </c>
      <c r="Q3342">
        <v>0.15522369999999999</v>
      </c>
      <c r="R3342">
        <v>-0.7166574</v>
      </c>
      <c r="S3342">
        <v>-2.0196839999999998</v>
      </c>
      <c r="T3342">
        <v>-0.29705150000000002</v>
      </c>
      <c r="U3342">
        <v>-2.3362120000000002</v>
      </c>
      <c r="V3342">
        <v>-0.2733662</v>
      </c>
      <c r="W3342">
        <v>0.16117379999999901</v>
      </c>
      <c r="X3342">
        <v>0.94831109999999996</v>
      </c>
      <c r="Y3342">
        <v>-0.31388349999999998</v>
      </c>
      <c r="Z3342">
        <v>3.6003340000000002E-2</v>
      </c>
      <c r="AA3342">
        <v>0.94877860000000003</v>
      </c>
      <c r="AB3342">
        <v>43</v>
      </c>
      <c r="AC3342">
        <v>-7.49199999999996</v>
      </c>
      <c r="AD3342">
        <v>-1.1285424995105</v>
      </c>
      <c r="AE3342">
        <v>-8.7701999999999796</v>
      </c>
      <c r="AF3342">
        <v>-3.6428431886770398</v>
      </c>
      <c r="AG3342">
        <v>-1.1285424995105</v>
      </c>
      <c r="AH3342">
        <v>10.828899451343799</v>
      </c>
      <c r="AI3342">
        <v>95.641179814241895</v>
      </c>
      <c r="AJ3342">
        <v>108.592946139549</v>
      </c>
      <c r="AK3342">
        <v>11.480809117732401</v>
      </c>
      <c r="AL3342">
        <v>80.724965744462196</v>
      </c>
      <c r="AM3342">
        <v>106.08049257541801</v>
      </c>
      <c r="AN3342">
        <v>1.00000000774604</v>
      </c>
    </row>
    <row r="3343" spans="1:40" x14ac:dyDescent="0.25">
      <c r="A3343" t="str">
        <f>"20190312172143448"</f>
        <v>20190312172143448</v>
      </c>
      <c r="B3343" t="str">
        <f>"1552382503443669"</f>
        <v>1552382503443669</v>
      </c>
      <c r="C3343" t="s">
        <v>40</v>
      </c>
      <c r="D3343">
        <v>3.486097</v>
      </c>
      <c r="E3343">
        <v>0.47505209999999998</v>
      </c>
      <c r="F3343" t="s">
        <v>45</v>
      </c>
      <c r="G3343">
        <v>-498.07279999999997</v>
      </c>
      <c r="H3343" s="1">
        <v>4.5011590000000001E-7</v>
      </c>
      <c r="I3343">
        <v>271.22289999999998</v>
      </c>
      <c r="J3343">
        <v>-490.59429999999998</v>
      </c>
      <c r="K3343">
        <v>1.1285670000000001</v>
      </c>
      <c r="L3343">
        <v>280.1164</v>
      </c>
      <c r="M3343">
        <v>-0.85409020000000002</v>
      </c>
      <c r="N3343">
        <v>0</v>
      </c>
      <c r="O3343">
        <v>-0.51977119999999999</v>
      </c>
      <c r="P3343">
        <v>-0.6751973</v>
      </c>
      <c r="Q3343">
        <v>0.154977</v>
      </c>
      <c r="R3343">
        <v>-0.72117319999999996</v>
      </c>
      <c r="S3343">
        <v>-1.9990540000000001</v>
      </c>
      <c r="T3343">
        <v>-0.29558659999999998</v>
      </c>
      <c r="U3343">
        <v>-2.353485</v>
      </c>
      <c r="V3343">
        <v>-0.27267029999999998</v>
      </c>
      <c r="W3343">
        <v>0.16094269999999999</v>
      </c>
      <c r="X3343">
        <v>0.94855069999999997</v>
      </c>
      <c r="Y3343">
        <v>-0.31516569999999999</v>
      </c>
      <c r="Z3343">
        <v>3.6433739999999999E-2</v>
      </c>
      <c r="AA3343">
        <v>0.94833710000000004</v>
      </c>
      <c r="AB3343">
        <v>43</v>
      </c>
      <c r="AC3343">
        <v>-7.4784999999999897</v>
      </c>
      <c r="AD3343">
        <v>-1.1285665498841</v>
      </c>
      <c r="AE3343">
        <v>-8.8935000000000102</v>
      </c>
      <c r="AF3343">
        <v>-3.6747606190235902</v>
      </c>
      <c r="AG3343">
        <v>-1.1285665498841</v>
      </c>
      <c r="AH3343">
        <v>10.909019627194001</v>
      </c>
      <c r="AI3343">
        <v>95.599365940560403</v>
      </c>
      <c r="AJ3343">
        <v>108.616368799429</v>
      </c>
      <c r="AK3343">
        <v>11.566513618681601</v>
      </c>
      <c r="AL3343">
        <v>80.738382229954397</v>
      </c>
      <c r="AM3343">
        <v>106.037821725044</v>
      </c>
      <c r="AN3343">
        <v>1.0000000378279299</v>
      </c>
    </row>
    <row r="3344" spans="1:40" x14ac:dyDescent="0.25">
      <c r="A3344" t="str">
        <f>"20190312172143459"</f>
        <v>20190312172143459</v>
      </c>
      <c r="B3344" t="str">
        <f>"1552382503453430"</f>
        <v>1552382503453430</v>
      </c>
      <c r="C3344" t="s">
        <v>40</v>
      </c>
      <c r="D3344">
        <v>3.601728</v>
      </c>
      <c r="E3344">
        <v>0.4750298</v>
      </c>
      <c r="F3344" t="s">
        <v>45</v>
      </c>
      <c r="G3344">
        <v>-498.20600000000002</v>
      </c>
      <c r="H3344" s="1">
        <v>4.0493530000000002E-7</v>
      </c>
      <c r="I3344">
        <v>271.03339999999997</v>
      </c>
      <c r="J3344">
        <v>-490.77170000000001</v>
      </c>
      <c r="K3344">
        <v>1.1285849999999999</v>
      </c>
      <c r="L3344">
        <v>280.00979999999998</v>
      </c>
      <c r="M3344">
        <v>-0.84963909999999998</v>
      </c>
      <c r="N3344">
        <v>0</v>
      </c>
      <c r="O3344">
        <v>-0.52701560000000003</v>
      </c>
      <c r="P3344">
        <v>-0.66951380000000005</v>
      </c>
      <c r="Q3344">
        <v>0.15510470000000001</v>
      </c>
      <c r="R3344">
        <v>-0.72642530000000005</v>
      </c>
      <c r="S3344">
        <v>-1.983093</v>
      </c>
      <c r="T3344">
        <v>-0.2940294</v>
      </c>
      <c r="U3344">
        <v>-2.366425</v>
      </c>
      <c r="V3344">
        <v>-0.27204489999999998</v>
      </c>
      <c r="W3344">
        <v>0.1610782</v>
      </c>
      <c r="X3344">
        <v>0.94870719999999997</v>
      </c>
      <c r="Y3344">
        <v>-0.3134265</v>
      </c>
      <c r="Z3344">
        <v>3.7079069999999999E-2</v>
      </c>
      <c r="AA3344">
        <v>0.94888819999999996</v>
      </c>
      <c r="AB3344">
        <v>42</v>
      </c>
      <c r="AC3344">
        <v>-7.4342999999999497</v>
      </c>
      <c r="AD3344">
        <v>-1.1285845950647</v>
      </c>
      <c r="AE3344">
        <v>-8.9764000000000106</v>
      </c>
      <c r="AF3344">
        <v>-3.6749340101274899</v>
      </c>
      <c r="AG3344">
        <v>-1.1285845950647</v>
      </c>
      <c r="AH3344">
        <v>10.946570778025499</v>
      </c>
      <c r="AI3344">
        <v>95.582277636698606</v>
      </c>
      <c r="AJ3344">
        <v>108.557702681351</v>
      </c>
      <c r="AK3344">
        <v>11.601993577197399</v>
      </c>
      <c r="AL3344">
        <v>80.730515504109107</v>
      </c>
      <c r="AM3344">
        <v>106.000417865523</v>
      </c>
      <c r="AN3344">
        <v>0.999999982731544</v>
      </c>
    </row>
    <row r="3345" spans="1:40" x14ac:dyDescent="0.25">
      <c r="A3345" t="str">
        <f>"20190312172143470"</f>
        <v>20190312172143470</v>
      </c>
      <c r="B3345" t="str">
        <f>"1552382503464165"</f>
        <v>1552382503464165</v>
      </c>
      <c r="C3345" t="s">
        <v>40</v>
      </c>
      <c r="D3345">
        <v>3.4781810000000002</v>
      </c>
      <c r="E3345">
        <v>0.47547780000000001</v>
      </c>
      <c r="F3345" t="s">
        <v>45</v>
      </c>
      <c r="G3345">
        <v>-498.29689999999999</v>
      </c>
      <c r="H3345" s="1">
        <v>3.6962419999999999E-7</v>
      </c>
      <c r="I3345">
        <v>270.87869999999998</v>
      </c>
      <c r="J3345">
        <v>-490.92860000000002</v>
      </c>
      <c r="K3345">
        <v>1.1286069999999999</v>
      </c>
      <c r="L3345">
        <v>279.91239999999999</v>
      </c>
      <c r="M3345">
        <v>-0.8456108</v>
      </c>
      <c r="N3345">
        <v>0</v>
      </c>
      <c r="O3345">
        <v>-0.53345540000000002</v>
      </c>
      <c r="P3345">
        <v>-0.66451159999999998</v>
      </c>
      <c r="Q3345">
        <v>0.15585839999999901</v>
      </c>
      <c r="R3345">
        <v>-0.73084349999999998</v>
      </c>
      <c r="S3345">
        <v>-1.963776</v>
      </c>
      <c r="T3345">
        <v>-0.29451490000000002</v>
      </c>
      <c r="U3345">
        <v>-2.3828429999999998</v>
      </c>
      <c r="V3345">
        <v>-0.27125660000000001</v>
      </c>
      <c r="W3345">
        <v>0.16184760000000001</v>
      </c>
      <c r="X3345">
        <v>0.94880200000000003</v>
      </c>
      <c r="Y3345">
        <v>-0.31402400000000003</v>
      </c>
      <c r="Z3345">
        <v>3.7784079999999998E-2</v>
      </c>
      <c r="AA3345">
        <v>0.94866289999999998</v>
      </c>
      <c r="AB3345">
        <v>42</v>
      </c>
      <c r="AC3345">
        <v>-7.3682999999999703</v>
      </c>
      <c r="AD3345">
        <v>-1.1286066303758</v>
      </c>
      <c r="AE3345">
        <v>-9.0337000000000103</v>
      </c>
      <c r="AF3345">
        <v>-3.6745759608222901</v>
      </c>
      <c r="AG3345">
        <v>-1.1286066303758</v>
      </c>
      <c r="AH3345">
        <v>10.9491981231262</v>
      </c>
      <c r="AI3345">
        <v>95.581244347945301</v>
      </c>
      <c r="AJ3345">
        <v>108.551870536286</v>
      </c>
      <c r="AK3345">
        <v>11.604361290370599</v>
      </c>
      <c r="AL3345">
        <v>80.685846285688299</v>
      </c>
      <c r="AM3345">
        <v>105.95490408832001</v>
      </c>
      <c r="AN3345">
        <v>1.0000000119366499</v>
      </c>
    </row>
    <row r="3346" spans="1:40" x14ac:dyDescent="0.25">
      <c r="A3346" t="str">
        <f>"20190312172143480"</f>
        <v>20190312172143480</v>
      </c>
      <c r="B3346" t="str">
        <f>"1552382503473925"</f>
        <v>1552382503473925</v>
      </c>
      <c r="C3346" t="s">
        <v>40</v>
      </c>
      <c r="D3346">
        <v>3.5871010000000001</v>
      </c>
      <c r="E3346">
        <v>0.47570430000000002</v>
      </c>
      <c r="F3346" t="s">
        <v>45</v>
      </c>
      <c r="G3346">
        <v>-498.47750000000002</v>
      </c>
      <c r="H3346" s="1">
        <v>3.1268039999999999E-7</v>
      </c>
      <c r="I3346">
        <v>270.6463</v>
      </c>
      <c r="J3346">
        <v>-491.10520000000002</v>
      </c>
      <c r="K3346">
        <v>1.1286290000000001</v>
      </c>
      <c r="L3346">
        <v>279.80250000000001</v>
      </c>
      <c r="M3346">
        <v>-0.84101589999999904</v>
      </c>
      <c r="N3346">
        <v>0</v>
      </c>
      <c r="O3346">
        <v>-0.54067069999999995</v>
      </c>
      <c r="P3346">
        <v>-0.65854109999999999</v>
      </c>
      <c r="Q3346">
        <v>0.15655810000000001</v>
      </c>
      <c r="R3346">
        <v>-0.73607979999999995</v>
      </c>
      <c r="S3346">
        <v>-1.9501949999999999</v>
      </c>
      <c r="T3346">
        <v>-0.29156389999999999</v>
      </c>
      <c r="U3346">
        <v>-2.393799</v>
      </c>
      <c r="V3346">
        <v>-0.27077770000000001</v>
      </c>
      <c r="W3346">
        <v>0.16254360000000001</v>
      </c>
      <c r="X3346">
        <v>0.94881979999999999</v>
      </c>
      <c r="Y3346">
        <v>-0.31127840000000001</v>
      </c>
      <c r="Z3346">
        <v>3.8275110000000001E-2</v>
      </c>
      <c r="AA3346">
        <v>0.94954769999999999</v>
      </c>
      <c r="AB3346">
        <v>42</v>
      </c>
      <c r="AC3346">
        <v>-7.3722999999999903</v>
      </c>
      <c r="AD3346">
        <v>-1.1286286873196001</v>
      </c>
      <c r="AE3346">
        <v>-9.1562000000000108</v>
      </c>
      <c r="AF3346">
        <v>-3.6812719431863701</v>
      </c>
      <c r="AG3346">
        <v>-1.1286286873196001</v>
      </c>
      <c r="AH3346">
        <v>11.0508929422504</v>
      </c>
      <c r="AI3346">
        <v>95.534415362719201</v>
      </c>
      <c r="AJ3346">
        <v>108.423940264923</v>
      </c>
      <c r="AK3346">
        <v>11.702469852753801</v>
      </c>
      <c r="AL3346">
        <v>80.645433175265694</v>
      </c>
      <c r="AM3346">
        <v>105.92788243994499</v>
      </c>
      <c r="AN3346">
        <v>0.99999999879514501</v>
      </c>
    </row>
    <row r="3347" spans="1:40" x14ac:dyDescent="0.25">
      <c r="A3347" t="str">
        <f>"20190312172143491"</f>
        <v>20190312172143491</v>
      </c>
      <c r="B3347" t="str">
        <f>"1552382503483685"</f>
        <v>1552382503483685</v>
      </c>
      <c r="C3347" t="s">
        <v>40</v>
      </c>
      <c r="D3347">
        <v>3.6592690000000001</v>
      </c>
      <c r="E3347">
        <v>0.47591719999999998</v>
      </c>
      <c r="F3347" t="s">
        <v>45</v>
      </c>
      <c r="G3347">
        <v>-498.60899999999998</v>
      </c>
      <c r="H3347" s="1">
        <v>2.6692050000000002E-7</v>
      </c>
      <c r="I3347">
        <v>270.45269999999999</v>
      </c>
      <c r="J3347">
        <v>-491.2826</v>
      </c>
      <c r="K3347">
        <v>1.1286510000000001</v>
      </c>
      <c r="L3347">
        <v>279.6884</v>
      </c>
      <c r="M3347">
        <v>-0.83628979999999997</v>
      </c>
      <c r="N3347">
        <v>0</v>
      </c>
      <c r="O3347">
        <v>-0.54795309999999997</v>
      </c>
      <c r="P3347">
        <v>-0.6522135</v>
      </c>
      <c r="Q3347">
        <v>0.15729460000000001</v>
      </c>
      <c r="R3347">
        <v>-0.74153610000000003</v>
      </c>
      <c r="S3347">
        <v>-1.9328000000000001</v>
      </c>
      <c r="T3347">
        <v>-0.29070580000000001</v>
      </c>
      <c r="U3347">
        <v>-2.408264</v>
      </c>
      <c r="V3347">
        <v>-0.27057700000000001</v>
      </c>
      <c r="W3347">
        <v>0.16325909999999999</v>
      </c>
      <c r="X3347">
        <v>0.94875419999999999</v>
      </c>
      <c r="Y3347">
        <v>-0.31000519999999998</v>
      </c>
      <c r="Z3347">
        <v>3.8966939999999999E-2</v>
      </c>
      <c r="AA3347">
        <v>0.949936</v>
      </c>
      <c r="AB3347">
        <v>42</v>
      </c>
      <c r="AC3347">
        <v>-7.3264000000000298</v>
      </c>
      <c r="AD3347">
        <v>-1.1286507330794999</v>
      </c>
      <c r="AE3347">
        <v>-9.2356999999999996</v>
      </c>
      <c r="AF3347">
        <v>-3.6761822535372799</v>
      </c>
      <c r="AG3347">
        <v>-1.1286507330794999</v>
      </c>
      <c r="AH3347">
        <v>11.0881412358627</v>
      </c>
      <c r="AI3347">
        <v>95.518635233102799</v>
      </c>
      <c r="AJ3347">
        <v>108.34251642060499</v>
      </c>
      <c r="AK3347">
        <v>11.7360574515015</v>
      </c>
      <c r="AL3347">
        <v>80.603882942575794</v>
      </c>
      <c r="AM3347">
        <v>105.917719770715</v>
      </c>
      <c r="AN3347">
        <v>0.999999989339724</v>
      </c>
    </row>
    <row r="3348" spans="1:40" x14ac:dyDescent="0.25">
      <c r="A3348" t="str">
        <f>"20190312172143502"</f>
        <v>20190312172143502</v>
      </c>
      <c r="B3348" t="str">
        <f>"1552382503493445"</f>
        <v>1552382503493445</v>
      </c>
      <c r="C3348" t="s">
        <v>40</v>
      </c>
      <c r="D3348">
        <v>3.6425640000000001</v>
      </c>
      <c r="E3348">
        <v>0.47613290000000003</v>
      </c>
      <c r="F3348" t="s">
        <v>45</v>
      </c>
      <c r="G3348">
        <v>-498.71280000000002</v>
      </c>
      <c r="H3348" s="1">
        <v>2.2847640000000001E-7</v>
      </c>
      <c r="I3348">
        <v>270.2867</v>
      </c>
      <c r="J3348">
        <v>-491.45209999999997</v>
      </c>
      <c r="K3348">
        <v>1.1286659999999999</v>
      </c>
      <c r="L3348">
        <v>279.57859999999999</v>
      </c>
      <c r="M3348">
        <v>-0.83170560000000004</v>
      </c>
      <c r="N3348">
        <v>0</v>
      </c>
      <c r="O3348">
        <v>-0.55488709999999997</v>
      </c>
      <c r="P3348">
        <v>-0.64627869999999998</v>
      </c>
      <c r="Q3348">
        <v>0.15746949999999901</v>
      </c>
      <c r="R3348">
        <v>-0.74667759999999905</v>
      </c>
      <c r="S3348">
        <v>-1.914917</v>
      </c>
      <c r="T3348">
        <v>-0.29087790000000002</v>
      </c>
      <c r="U3348">
        <v>-2.423035</v>
      </c>
      <c r="V3348">
        <v>-0.27024110000000001</v>
      </c>
      <c r="W3348">
        <v>0.16342279999999901</v>
      </c>
      <c r="X3348">
        <v>0.94882169999999999</v>
      </c>
      <c r="Y3348">
        <v>-0.30925859999999999</v>
      </c>
      <c r="Z3348">
        <v>3.9735060000000003E-2</v>
      </c>
      <c r="AA3348">
        <v>0.95014750000000003</v>
      </c>
      <c r="AB3348">
        <v>42</v>
      </c>
      <c r="AC3348">
        <v>-7.2607000000000399</v>
      </c>
      <c r="AD3348">
        <v>-1.1286657715235999</v>
      </c>
      <c r="AE3348">
        <v>-9.2918999999999894</v>
      </c>
      <c r="AF3348">
        <v>-3.66634686121344</v>
      </c>
      <c r="AG3348">
        <v>-1.1286657715235999</v>
      </c>
      <c r="AH3348">
        <v>11.0951288831754</v>
      </c>
      <c r="AI3348">
        <v>95.517045273595699</v>
      </c>
      <c r="AJ3348">
        <v>108.28595874609</v>
      </c>
      <c r="AK3348">
        <v>11.739585625771101</v>
      </c>
      <c r="AL3348">
        <v>80.594375482873701</v>
      </c>
      <c r="AM3348">
        <v>105.897884723887</v>
      </c>
      <c r="AN3348">
        <v>0.99999994103996803</v>
      </c>
    </row>
    <row r="3349" spans="1:40" x14ac:dyDescent="0.25">
      <c r="A3349" t="str">
        <f>"20190312172143513"</f>
        <v>20190312172143513</v>
      </c>
      <c r="B3349" t="str">
        <f>"1552382503504181"</f>
        <v>1552382503504181</v>
      </c>
      <c r="C3349" t="s">
        <v>40</v>
      </c>
      <c r="D3349">
        <v>3.623586</v>
      </c>
      <c r="E3349">
        <v>0.47640890000000002</v>
      </c>
      <c r="F3349" t="s">
        <v>45</v>
      </c>
      <c r="G3349">
        <v>-498.76409999999998</v>
      </c>
      <c r="H3349" s="1">
        <v>2.0109680000000001E-7</v>
      </c>
      <c r="I3349">
        <v>270.18520000000001</v>
      </c>
      <c r="J3349">
        <v>-491.62329999999997</v>
      </c>
      <c r="K3349">
        <v>1.1286769999999999</v>
      </c>
      <c r="L3349">
        <v>279.46480000000003</v>
      </c>
      <c r="M3349">
        <v>-0.82698199999999999</v>
      </c>
      <c r="N3349">
        <v>0</v>
      </c>
      <c r="O3349">
        <v>-0.56190319999999905</v>
      </c>
      <c r="P3349">
        <v>-0.64023350000000001</v>
      </c>
      <c r="Q3349">
        <v>0.15696309999999999</v>
      </c>
      <c r="R3349">
        <v>-0.75197329999999996</v>
      </c>
      <c r="S3349">
        <v>-1.897278</v>
      </c>
      <c r="T3349">
        <v>-0.29285800000000001</v>
      </c>
      <c r="U3349">
        <v>-2.4373170000000002</v>
      </c>
      <c r="V3349">
        <v>-0.26994119999999999</v>
      </c>
      <c r="W3349">
        <v>0.16290299999999999</v>
      </c>
      <c r="X3349">
        <v>0.94899650000000002</v>
      </c>
      <c r="Y3349">
        <v>-0.30822939999999999</v>
      </c>
      <c r="Z3349">
        <v>4.0776109999999997E-2</v>
      </c>
      <c r="AA3349">
        <v>0.9504378</v>
      </c>
      <c r="AB3349">
        <v>42</v>
      </c>
      <c r="AC3349">
        <v>-7.1408000000000103</v>
      </c>
      <c r="AD3349">
        <v>-1.1286767989031901</v>
      </c>
      <c r="AE3349">
        <v>-9.2796000000000092</v>
      </c>
      <c r="AF3349">
        <v>-3.62857759012907</v>
      </c>
      <c r="AG3349">
        <v>-1.1286767989031901</v>
      </c>
      <c r="AH3349">
        <v>11.019195904425001</v>
      </c>
      <c r="AI3349">
        <v>95.556769733237502</v>
      </c>
      <c r="AJ3349">
        <v>108.226509469749</v>
      </c>
      <c r="AK3349">
        <v>11.656035562062501</v>
      </c>
      <c r="AL3349">
        <v>80.624562899565404</v>
      </c>
      <c r="AM3349">
        <v>105.878354634697</v>
      </c>
      <c r="AN3349">
        <v>0.99999999793934502</v>
      </c>
    </row>
    <row r="3350" spans="1:40" x14ac:dyDescent="0.25">
      <c r="A3350" t="str">
        <f>"20190312172143525"</f>
        <v>20190312172143525</v>
      </c>
      <c r="B3350" t="str">
        <f>"1552382503513942"</f>
        <v>1552382503513942</v>
      </c>
      <c r="C3350" t="s">
        <v>40</v>
      </c>
      <c r="D3350">
        <v>3.4714369999999999</v>
      </c>
      <c r="E3350">
        <v>0.47694219999999998</v>
      </c>
      <c r="F3350" t="s">
        <v>45</v>
      </c>
      <c r="G3350">
        <v>-498.76729999999998</v>
      </c>
      <c r="H3350" s="1">
        <v>1.8755300000000001E-7</v>
      </c>
      <c r="I3350">
        <v>270.14690000000002</v>
      </c>
      <c r="J3350">
        <v>-491.79719999999998</v>
      </c>
      <c r="K3350">
        <v>1.1286910000000001</v>
      </c>
      <c r="L3350">
        <v>279.34750000000003</v>
      </c>
      <c r="M3350">
        <v>-0.82209940000000004</v>
      </c>
      <c r="N3350">
        <v>0</v>
      </c>
      <c r="O3350">
        <v>-0.56902390000000003</v>
      </c>
      <c r="P3350">
        <v>-0.63414099999999995</v>
      </c>
      <c r="Q3350">
        <v>0.15614879999999901</v>
      </c>
      <c r="R3350">
        <v>-0.75728700000000004</v>
      </c>
      <c r="S3350">
        <v>-1.879456</v>
      </c>
      <c r="T3350">
        <v>-0.29693570000000002</v>
      </c>
      <c r="U3350">
        <v>-2.4513850000000001</v>
      </c>
      <c r="V3350">
        <v>-0.26951550000000002</v>
      </c>
      <c r="W3350">
        <v>0.16208149999999999</v>
      </c>
      <c r="X3350">
        <v>0.94925809999999999</v>
      </c>
      <c r="Y3350">
        <v>-0.30704720000000002</v>
      </c>
      <c r="Z3350">
        <v>4.2142930000000002E-2</v>
      </c>
      <c r="AA3350">
        <v>0.95076079999999996</v>
      </c>
      <c r="AB3350">
        <v>42</v>
      </c>
      <c r="AC3350">
        <v>-6.9701000000000004</v>
      </c>
      <c r="AD3350">
        <v>-1.1286908124470001</v>
      </c>
      <c r="AE3350">
        <v>-9.2005999999999997</v>
      </c>
      <c r="AF3350">
        <v>-3.5642296369462398</v>
      </c>
      <c r="AG3350">
        <v>-1.1286908124470001</v>
      </c>
      <c r="AH3350">
        <v>10.8635997038715</v>
      </c>
      <c r="AI3350">
        <v>95.637923514225506</v>
      </c>
      <c r="AJ3350">
        <v>108.16410422639299</v>
      </c>
      <c r="AK3350">
        <v>11.488928339098701</v>
      </c>
      <c r="AL3350">
        <v>80.672265179083794</v>
      </c>
      <c r="AM3350">
        <v>105.85042433316799</v>
      </c>
      <c r="AN3350">
        <v>0.99999997889905401</v>
      </c>
    </row>
    <row r="3351" spans="1:40" x14ac:dyDescent="0.25">
      <c r="A3351" t="str">
        <f>"20190312172143538"</f>
        <v>20190312172143538</v>
      </c>
      <c r="B3351" t="str">
        <f>"1552382503533461"</f>
        <v>1552382503533461</v>
      </c>
      <c r="C3351" t="s">
        <v>40</v>
      </c>
      <c r="D3351">
        <v>3.5369160000000002</v>
      </c>
      <c r="E3351">
        <v>0.47783639999999999</v>
      </c>
      <c r="F3351" t="s">
        <v>45</v>
      </c>
      <c r="G3351">
        <v>-498.78879999999998</v>
      </c>
      <c r="H3351" s="1">
        <v>1.6819060000000001E-7</v>
      </c>
      <c r="I3351">
        <v>270.09210000000002</v>
      </c>
      <c r="J3351">
        <v>-491.99</v>
      </c>
      <c r="K3351">
        <v>1.128706</v>
      </c>
      <c r="L3351">
        <v>279.21510000000001</v>
      </c>
      <c r="M3351">
        <v>-0.8165869</v>
      </c>
      <c r="N3351">
        <v>0</v>
      </c>
      <c r="O3351">
        <v>-0.57690699999999995</v>
      </c>
      <c r="P3351">
        <v>-0.62754889999999997</v>
      </c>
      <c r="Q3351">
        <v>0.1549854</v>
      </c>
      <c r="R3351">
        <v>-0.76299539999999999</v>
      </c>
      <c r="S3351">
        <v>-1.861694</v>
      </c>
      <c r="T3351">
        <v>-0.3005468</v>
      </c>
      <c r="U3351">
        <v>-2.4645079999999999</v>
      </c>
      <c r="V3351">
        <v>-0.2687618</v>
      </c>
      <c r="W3351">
        <v>0.16092429999999999</v>
      </c>
      <c r="X3351">
        <v>0.94966859999999997</v>
      </c>
      <c r="Y3351">
        <v>-0.30473810000000001</v>
      </c>
      <c r="Z3351">
        <v>4.3602790000000002E-2</v>
      </c>
      <c r="AA3351">
        <v>0.95143759999999999</v>
      </c>
      <c r="AB3351">
        <v>42</v>
      </c>
      <c r="AC3351">
        <v>-6.7987999999999698</v>
      </c>
      <c r="AD3351">
        <v>-1.1287058318093901</v>
      </c>
      <c r="AE3351">
        <v>-9.1229999999999905</v>
      </c>
      <c r="AF3351">
        <v>-3.4937069819054498</v>
      </c>
      <c r="AG3351">
        <v>-1.1287058318093901</v>
      </c>
      <c r="AH3351">
        <v>10.7114888448</v>
      </c>
      <c r="AI3351">
        <v>95.720766197707803</v>
      </c>
      <c r="AJ3351">
        <v>108.064485700256</v>
      </c>
      <c r="AK3351">
        <v>11.3232485887421</v>
      </c>
      <c r="AL3351">
        <v>80.7394499734514</v>
      </c>
      <c r="AM3351">
        <v>105.801825104402</v>
      </c>
      <c r="AN3351">
        <v>0.999999992647844</v>
      </c>
    </row>
    <row r="3352" spans="1:40" x14ac:dyDescent="0.25">
      <c r="A3352" t="str">
        <f>"20190312172143559"</f>
        <v>20190312172143559</v>
      </c>
      <c r="B3352" t="str">
        <f>"1552382503553957"</f>
        <v>1552382503553957</v>
      </c>
      <c r="C3352" t="s">
        <v>40</v>
      </c>
      <c r="D3352">
        <v>3.5182060000000002</v>
      </c>
      <c r="E3352">
        <v>0.47895650000000001</v>
      </c>
      <c r="F3352" t="s">
        <v>45</v>
      </c>
      <c r="G3352">
        <v>-498.76549999999997</v>
      </c>
      <c r="H3352" s="1">
        <v>1.7624350000000001E-7</v>
      </c>
      <c r="I3352">
        <v>270.11489999999998</v>
      </c>
      <c r="J3352">
        <v>-492.31299999999999</v>
      </c>
      <c r="K3352">
        <v>1.1287199999999999</v>
      </c>
      <c r="L3352">
        <v>278.98669999999998</v>
      </c>
      <c r="M3352">
        <v>-0.8070946</v>
      </c>
      <c r="N3352">
        <v>0</v>
      </c>
      <c r="O3352">
        <v>-0.59011499999999995</v>
      </c>
      <c r="P3352">
        <v>-0.6163689</v>
      </c>
      <c r="Q3352">
        <v>0.15318689999999999</v>
      </c>
      <c r="R3352">
        <v>-0.77241400000000004</v>
      </c>
      <c r="S3352">
        <v>-1.844452</v>
      </c>
      <c r="T3352">
        <v>-0.30726150000000002</v>
      </c>
      <c r="U3352">
        <v>-2.4772949999999998</v>
      </c>
      <c r="V3352">
        <v>-0.26735829999999999</v>
      </c>
      <c r="W3352">
        <v>0.15914510000000001</v>
      </c>
      <c r="X3352">
        <v>0.9503644</v>
      </c>
      <c r="Y3352">
        <v>-0.29595169999999998</v>
      </c>
      <c r="Z3352">
        <v>4.6404210000000001E-2</v>
      </c>
      <c r="AA3352">
        <v>0.95407500000000001</v>
      </c>
      <c r="AB3352">
        <v>42</v>
      </c>
      <c r="AC3352">
        <v>-6.4524999999999197</v>
      </c>
      <c r="AD3352">
        <v>-1.1287198237564999</v>
      </c>
      <c r="AE3352">
        <v>-8.8718000000000004</v>
      </c>
      <c r="AF3352">
        <v>-3.3181455275085399</v>
      </c>
      <c r="AG3352">
        <v>-1.1287198237564999</v>
      </c>
      <c r="AH3352">
        <v>10.335636545024901</v>
      </c>
      <c r="AI3352">
        <v>95.936259585091904</v>
      </c>
      <c r="AJ3352">
        <v>107.798671589129</v>
      </c>
      <c r="AK3352">
        <v>10.913729013179699</v>
      </c>
      <c r="AL3352">
        <v>80.842722273311793</v>
      </c>
      <c r="AM3352">
        <v>105.71245430201201</v>
      </c>
      <c r="AN3352">
        <v>1.00000005811012</v>
      </c>
    </row>
    <row r="3353" spans="1:40" x14ac:dyDescent="0.25">
      <c r="A3353" t="str">
        <f>"20190312172143571"</f>
        <v>20190312172143571</v>
      </c>
      <c r="B3353" t="str">
        <f>"1552382503563718"</f>
        <v>1552382503563718</v>
      </c>
      <c r="C3353" t="s">
        <v>40</v>
      </c>
      <c r="D3353">
        <v>3.4909219999999999</v>
      </c>
      <c r="E3353">
        <v>0.47942279999999998</v>
      </c>
      <c r="F3353" t="s">
        <v>45</v>
      </c>
      <c r="G3353">
        <v>-498.83350000000002</v>
      </c>
      <c r="H3353" s="1">
        <v>1.3356159999999999E-7</v>
      </c>
      <c r="I3353">
        <v>269.99419999999998</v>
      </c>
      <c r="J3353">
        <v>-492.48809999999997</v>
      </c>
      <c r="K3353">
        <v>1.12873</v>
      </c>
      <c r="L3353">
        <v>278.8587</v>
      </c>
      <c r="M3353">
        <v>-0.80180280000000004</v>
      </c>
      <c r="N3353">
        <v>0</v>
      </c>
      <c r="O3353">
        <v>-0.59728599999999998</v>
      </c>
      <c r="P3353">
        <v>-0.60988980000000004</v>
      </c>
      <c r="Q3353">
        <v>0.15279809999999999</v>
      </c>
      <c r="R3353">
        <v>-0.77761659999999999</v>
      </c>
      <c r="S3353">
        <v>-1.8125610000000001</v>
      </c>
      <c r="T3353">
        <v>-0.31376290000000001</v>
      </c>
      <c r="U3353">
        <v>-2.4997560000000001</v>
      </c>
      <c r="V3353">
        <v>-0.26687959999999999</v>
      </c>
      <c r="W3353">
        <v>0.15875249999999999</v>
      </c>
      <c r="X3353">
        <v>0.95056450000000003</v>
      </c>
      <c r="Y3353">
        <v>-0.29953679999999999</v>
      </c>
      <c r="Z3353">
        <v>4.804133E-2</v>
      </c>
      <c r="AA3353">
        <v>0.95287449999999996</v>
      </c>
      <c r="AB3353">
        <v>42</v>
      </c>
      <c r="AC3353">
        <v>-6.3454000000000397</v>
      </c>
      <c r="AD3353">
        <v>-1.12872986643839</v>
      </c>
      <c r="AE3353">
        <v>-8.8645000000000191</v>
      </c>
      <c r="AF3353">
        <v>-3.2829682604668098</v>
      </c>
      <c r="AG3353">
        <v>-1.12872986643839</v>
      </c>
      <c r="AH3353">
        <v>10.2741381366444</v>
      </c>
      <c r="AI3353">
        <v>95.974176851230297</v>
      </c>
      <c r="AJ3353">
        <v>107.72060955281</v>
      </c>
      <c r="AK3353">
        <v>10.844806414200001</v>
      </c>
      <c r="AL3353">
        <v>80.865505466870104</v>
      </c>
      <c r="AM3353">
        <v>105.682567886415</v>
      </c>
      <c r="AN3353">
        <v>0.99999997290632903</v>
      </c>
    </row>
    <row r="3354" spans="1:40" x14ac:dyDescent="0.25">
      <c r="A3354" t="str">
        <f>"20190312172143581"</f>
        <v>20190312172143581</v>
      </c>
      <c r="B3354" t="str">
        <f>"1552382503573478"</f>
        <v>1552382503573478</v>
      </c>
      <c r="C3354" t="s">
        <v>40</v>
      </c>
      <c r="D3354">
        <v>3.6746089999999998</v>
      </c>
      <c r="E3354">
        <v>0.48000670000000001</v>
      </c>
      <c r="F3354" t="s">
        <v>45</v>
      </c>
      <c r="G3354">
        <v>-498.90839999999997</v>
      </c>
      <c r="H3354" s="1">
        <v>8.8708709999999997E-8</v>
      </c>
      <c r="I3354">
        <v>269.8673</v>
      </c>
      <c r="J3354">
        <v>-492.63780000000003</v>
      </c>
      <c r="K3354">
        <v>1.1287370000000001</v>
      </c>
      <c r="L3354">
        <v>278.74860000000001</v>
      </c>
      <c r="M3354">
        <v>-0.79721919999999902</v>
      </c>
      <c r="N3354">
        <v>0</v>
      </c>
      <c r="O3354">
        <v>-0.60339129999999996</v>
      </c>
      <c r="P3354">
        <v>-0.60418709999999998</v>
      </c>
      <c r="Q3354">
        <v>0.1530928</v>
      </c>
      <c r="R3354">
        <v>-0.78199799999999997</v>
      </c>
      <c r="S3354">
        <v>-1.7942199999999999</v>
      </c>
      <c r="T3354">
        <v>-0.31543640000000001</v>
      </c>
      <c r="U3354">
        <v>-2.512756</v>
      </c>
      <c r="V3354">
        <v>-0.26654309999999998</v>
      </c>
      <c r="W3354">
        <v>0.15903870000000001</v>
      </c>
      <c r="X3354">
        <v>0.95061110000000004</v>
      </c>
      <c r="Y3354">
        <v>-0.29922149999999997</v>
      </c>
      <c r="Z3354">
        <v>4.9003999999999999E-2</v>
      </c>
      <c r="AA3354">
        <v>0.95292449999999995</v>
      </c>
      <c r="AB3354">
        <v>42</v>
      </c>
      <c r="AC3354">
        <v>-6.2705999999999396</v>
      </c>
      <c r="AD3354">
        <v>-1.1287369112912899</v>
      </c>
      <c r="AE3354">
        <v>-8.8813000000000102</v>
      </c>
      <c r="AF3354">
        <v>-3.2621492884135299</v>
      </c>
      <c r="AG3354">
        <v>-1.1287369112912899</v>
      </c>
      <c r="AH3354">
        <v>10.249332485766301</v>
      </c>
      <c r="AI3354">
        <v>95.990732950654305</v>
      </c>
      <c r="AJ3354">
        <v>107.65519041853899</v>
      </c>
      <c r="AK3354">
        <v>10.815011853835101</v>
      </c>
      <c r="AL3354">
        <v>80.848896632797704</v>
      </c>
      <c r="AM3354">
        <v>105.663035252825</v>
      </c>
      <c r="AN3354">
        <v>0.99999999784925497</v>
      </c>
    </row>
    <row r="3355" spans="1:40" x14ac:dyDescent="0.25">
      <c r="A3355" t="str">
        <f>"20190312172143592"</f>
        <v>20190312172143592</v>
      </c>
      <c r="B3355" t="str">
        <f>"1552382503584213"</f>
        <v>1552382503584213</v>
      </c>
      <c r="C3355" t="s">
        <v>40</v>
      </c>
      <c r="D3355">
        <v>3.4949520000000001</v>
      </c>
      <c r="E3355">
        <v>0.48054960000000002</v>
      </c>
      <c r="F3355" t="s">
        <v>45</v>
      </c>
      <c r="G3355">
        <v>-499.00990000000002</v>
      </c>
      <c r="H3355" s="1">
        <v>3.5419489999999998E-8</v>
      </c>
      <c r="I3355">
        <v>269.7165</v>
      </c>
      <c r="J3355">
        <v>-492.7989</v>
      </c>
      <c r="K3355">
        <v>1.1287389999999999</v>
      </c>
      <c r="L3355">
        <v>278.6268</v>
      </c>
      <c r="M3355">
        <v>-0.7921878</v>
      </c>
      <c r="N3355">
        <v>0</v>
      </c>
      <c r="O3355">
        <v>-0.60998229999999998</v>
      </c>
      <c r="P3355">
        <v>-0.59762720000000003</v>
      </c>
      <c r="Q3355">
        <v>0.15395909999999999</v>
      </c>
      <c r="R3355">
        <v>-0.78685329999999998</v>
      </c>
      <c r="S3355">
        <v>-1.7798769999999999</v>
      </c>
      <c r="T3355">
        <v>-0.31528129999999999</v>
      </c>
      <c r="U3355">
        <v>-2.5228579999999998</v>
      </c>
      <c r="V3355">
        <v>-0.266517</v>
      </c>
      <c r="W3355">
        <v>0.15987709999999999</v>
      </c>
      <c r="X3355">
        <v>0.95047780000000004</v>
      </c>
      <c r="Y3355">
        <v>-0.29675020000000002</v>
      </c>
      <c r="Z3355">
        <v>4.9835820000000003E-2</v>
      </c>
      <c r="AA3355">
        <v>0.95365390000000005</v>
      </c>
      <c r="AB3355">
        <v>42</v>
      </c>
      <c r="AC3355">
        <v>-6.2110000000000101</v>
      </c>
      <c r="AD3355">
        <v>-1.1287389645805099</v>
      </c>
      <c r="AE3355">
        <v>-8.9102999999999994</v>
      </c>
      <c r="AF3355">
        <v>-3.2356751561385702</v>
      </c>
      <c r="AG3355">
        <v>-1.1287389645805099</v>
      </c>
      <c r="AH3355">
        <v>10.2466073454619</v>
      </c>
      <c r="AI3355">
        <v>95.996609530672004</v>
      </c>
      <c r="AJ3355">
        <v>107.52508236057</v>
      </c>
      <c r="AK3355">
        <v>10.8044716417921</v>
      </c>
      <c r="AL3355">
        <v>80.800237476070194</v>
      </c>
      <c r="AM3355">
        <v>105.663665444221</v>
      </c>
      <c r="AN3355">
        <v>1.0000000233431201</v>
      </c>
    </row>
    <row r="3356" spans="1:40" x14ac:dyDescent="0.25">
      <c r="A3356" t="str">
        <f>"20190312172143602"</f>
        <v>20190312172143602</v>
      </c>
      <c r="B3356" t="str">
        <f>"1552382503593974"</f>
        <v>1552382503593974</v>
      </c>
      <c r="C3356" t="s">
        <v>40</v>
      </c>
      <c r="D3356">
        <v>4.1068379999999998</v>
      </c>
      <c r="E3356">
        <v>0.48054960000000002</v>
      </c>
      <c r="F3356" t="s">
        <v>42</v>
      </c>
      <c r="G3356">
        <v>-499.15100000000001</v>
      </c>
      <c r="H3356" s="1">
        <v>-5.8797400000000001E-6</v>
      </c>
      <c r="I3356">
        <v>269.4948</v>
      </c>
      <c r="J3356">
        <v>-492.95760000000001</v>
      </c>
      <c r="K3356">
        <v>1.1287480000000001</v>
      </c>
      <c r="L3356">
        <v>278.50569999999999</v>
      </c>
      <c r="M3356">
        <v>-0.78716049999999904</v>
      </c>
      <c r="N3356">
        <v>0</v>
      </c>
      <c r="O3356">
        <v>-0.61645719999999904</v>
      </c>
      <c r="P3356">
        <v>-0.59135729999999997</v>
      </c>
      <c r="Q3356">
        <v>0.1552895</v>
      </c>
      <c r="R3356">
        <v>-0.79131680000000004</v>
      </c>
      <c r="S3356">
        <v>-1.7631840000000001</v>
      </c>
      <c r="T3356">
        <v>-0.31331100000000001</v>
      </c>
      <c r="U3356">
        <v>-2.534821</v>
      </c>
      <c r="V3356">
        <v>-0.2661345</v>
      </c>
      <c r="W3356">
        <v>0.16119729999999999</v>
      </c>
      <c r="X3356">
        <v>0.95036200000000004</v>
      </c>
      <c r="Y3356">
        <v>-0.29527599999999998</v>
      </c>
      <c r="Z3356">
        <v>5.0316699999999999E-2</v>
      </c>
      <c r="AA3356">
        <v>0.95408610000000005</v>
      </c>
      <c r="AB3356">
        <v>42</v>
      </c>
      <c r="AC3356">
        <v>-6.1933999999999898</v>
      </c>
      <c r="AD3356">
        <v>-1.1287538797400001</v>
      </c>
      <c r="AE3356">
        <v>-9.0108999999999906</v>
      </c>
      <c r="AF3356">
        <v>-3.2411060701709902</v>
      </c>
      <c r="AG3356">
        <v>-1.1287538797400001</v>
      </c>
      <c r="AH3356">
        <v>10.321906100143799</v>
      </c>
      <c r="AI3356">
        <v>95.956267899165397</v>
      </c>
      <c r="AJ3356">
        <v>107.43242782662099</v>
      </c>
      <c r="AK3356">
        <v>10.8775272658501</v>
      </c>
      <c r="AL3356">
        <v>80.723601721865293</v>
      </c>
      <c r="AM3356">
        <v>105.64409914509601</v>
      </c>
      <c r="AN3356">
        <v>1.00000003633076</v>
      </c>
    </row>
    <row r="3357" spans="1:40" x14ac:dyDescent="0.25">
      <c r="A3357" t="str">
        <f>"20190312172143613"</f>
        <v>20190312172143613</v>
      </c>
      <c r="B3357" t="str">
        <f>"1552382503603734"</f>
        <v>1552382503603734</v>
      </c>
      <c r="C3357" t="s">
        <v>40</v>
      </c>
      <c r="D3357">
        <v>3.5387119999999999</v>
      </c>
      <c r="E3357">
        <v>0.49518459999999997</v>
      </c>
      <c r="F3357" t="s">
        <v>42</v>
      </c>
      <c r="G3357">
        <v>-499.3252</v>
      </c>
      <c r="H3357" s="1">
        <v>-5.8108509999999998E-6</v>
      </c>
      <c r="I3357">
        <v>269.20150000000001</v>
      </c>
      <c r="J3357">
        <v>-493.11610000000002</v>
      </c>
      <c r="K3357">
        <v>1.128755</v>
      </c>
      <c r="L3357">
        <v>278.3818</v>
      </c>
      <c r="M3357">
        <v>-0.78203979999999995</v>
      </c>
      <c r="N3357">
        <v>0</v>
      </c>
      <c r="O3357">
        <v>-0.62294099999999997</v>
      </c>
      <c r="P3357">
        <v>-0.5847019</v>
      </c>
      <c r="Q3357">
        <v>0.15644729999999901</v>
      </c>
      <c r="R3357">
        <v>-0.79602019999999996</v>
      </c>
      <c r="S3357">
        <v>-1.7441099999999901</v>
      </c>
      <c r="T3357">
        <v>-0.30916779999999999</v>
      </c>
      <c r="U3357">
        <v>-2.5484309999999999</v>
      </c>
      <c r="V3357">
        <v>-0.26612770000000002</v>
      </c>
      <c r="W3357">
        <v>0.16232569999999999</v>
      </c>
      <c r="X3357">
        <v>0.95017180000000001</v>
      </c>
      <c r="Y3357">
        <v>-0.29461510000000002</v>
      </c>
      <c r="Z3357">
        <v>5.0400699999999903E-2</v>
      </c>
      <c r="AA3357">
        <v>0.95428599999999997</v>
      </c>
      <c r="AB3357">
        <v>42</v>
      </c>
      <c r="AC3357">
        <v>-6.2090999999999701</v>
      </c>
      <c r="AD3357">
        <v>-1.1287608108510001</v>
      </c>
      <c r="AE3357">
        <v>-9.1802999999999795</v>
      </c>
      <c r="AF3357">
        <v>-3.2780477869861002</v>
      </c>
      <c r="AG3357">
        <v>-1.1287608108510001</v>
      </c>
      <c r="AH3357">
        <v>10.4678621680197</v>
      </c>
      <c r="AI3357">
        <v>95.875252936325097</v>
      </c>
      <c r="AJ3357">
        <v>107.38813042568199</v>
      </c>
      <c r="AK3357">
        <v>11.0270502234522</v>
      </c>
      <c r="AL3357">
        <v>80.658086140290905</v>
      </c>
      <c r="AM3357">
        <v>105.646697096655</v>
      </c>
      <c r="AN3357">
        <v>1.0000000175515</v>
      </c>
    </row>
    <row r="3358" spans="1:40" x14ac:dyDescent="0.25">
      <c r="A3358" t="str">
        <f>"20190312172143625"</f>
        <v>20190312172143625</v>
      </c>
      <c r="B3358" t="str">
        <f>"1552382503613494"</f>
        <v>1552382503613494</v>
      </c>
      <c r="C3358" t="s">
        <v>40</v>
      </c>
      <c r="D3358">
        <v>3.5446960000000001</v>
      </c>
      <c r="E3358">
        <v>0.49608099999999999</v>
      </c>
      <c r="F3358" t="s">
        <v>45</v>
      </c>
      <c r="G3358">
        <v>-499.47710000000001</v>
      </c>
      <c r="H3358" s="1">
        <v>1.406161E-8</v>
      </c>
      <c r="I3358">
        <v>269.65609999999998</v>
      </c>
      <c r="J3358">
        <v>-493.27319999999997</v>
      </c>
      <c r="K3358">
        <v>1.1287659999999999</v>
      </c>
      <c r="L3358">
        <v>278.25749999999999</v>
      </c>
      <c r="M3358">
        <v>-0.77689109999999995</v>
      </c>
      <c r="N3358">
        <v>0</v>
      </c>
      <c r="O3358">
        <v>-0.6293512</v>
      </c>
      <c r="P3358">
        <v>-0.57800909999999905</v>
      </c>
      <c r="Q3358">
        <v>0.15753420000000001</v>
      </c>
      <c r="R3358">
        <v>-0.80068019999999995</v>
      </c>
      <c r="S3358">
        <v>-1.8194269999999999</v>
      </c>
      <c r="T3358">
        <v>-0.32285760000000002</v>
      </c>
      <c r="U3358">
        <v>-2.495819</v>
      </c>
      <c r="V3358">
        <v>-0.2661654</v>
      </c>
      <c r="W3358">
        <v>0.16338139999999901</v>
      </c>
      <c r="X3358">
        <v>0.9499803</v>
      </c>
      <c r="Y3358">
        <v>-0.2583975</v>
      </c>
      <c r="Z3358">
        <v>5.4909649999999997E-2</v>
      </c>
      <c r="AA3358">
        <v>0.96447689999999997</v>
      </c>
      <c r="AB3358">
        <v>42</v>
      </c>
      <c r="AC3358">
        <v>-6.2039000000000302</v>
      </c>
      <c r="AD3358">
        <v>-1.1287659859383801</v>
      </c>
      <c r="AE3358">
        <v>-8.6014000000000106</v>
      </c>
      <c r="AF3358">
        <v>-2.74729364178366</v>
      </c>
      <c r="AG3358">
        <v>-1.1287659859383801</v>
      </c>
      <c r="AH3358">
        <v>10.120240358449401</v>
      </c>
      <c r="AI3358">
        <v>96.143652588731896</v>
      </c>
      <c r="AJ3358">
        <v>105.187794899739</v>
      </c>
      <c r="AK3358">
        <v>10.547084901430599</v>
      </c>
      <c r="AL3358">
        <v>80.596780746959894</v>
      </c>
      <c r="AM3358">
        <v>105.651804975666</v>
      </c>
      <c r="AN3358">
        <v>1.0000000362056001</v>
      </c>
    </row>
    <row r="3359" spans="1:40" x14ac:dyDescent="0.25">
      <c r="A3359" t="str">
        <f>"20190312172143635"</f>
        <v>20190312172143635</v>
      </c>
      <c r="B3359" t="str">
        <f>"1552382503624230"</f>
        <v>1552382503624230</v>
      </c>
      <c r="C3359" t="s">
        <v>40</v>
      </c>
      <c r="D3359">
        <v>3.5705480000000001</v>
      </c>
      <c r="E3359">
        <v>0.497722</v>
      </c>
      <c r="F3359" t="s">
        <v>42</v>
      </c>
      <c r="G3359">
        <v>-499.59429999999998</v>
      </c>
      <c r="H3359" s="1">
        <v>-5.952984E-6</v>
      </c>
      <c r="I3359">
        <v>269.47890000000001</v>
      </c>
      <c r="J3359">
        <v>-493.4341</v>
      </c>
      <c r="K3359">
        <v>1.1287700000000001</v>
      </c>
      <c r="L3359">
        <v>278.12779999999998</v>
      </c>
      <c r="M3359">
        <v>-0.77152209999999999</v>
      </c>
      <c r="N3359">
        <v>0</v>
      </c>
      <c r="O3359">
        <v>-0.63592219999999999</v>
      </c>
      <c r="P3359">
        <v>-0.57095319999999905</v>
      </c>
      <c r="Q3359">
        <v>0.15833069999999999</v>
      </c>
      <c r="R3359">
        <v>-0.80557040000000002</v>
      </c>
      <c r="S3359">
        <v>-1.8052060000000001</v>
      </c>
      <c r="T3359">
        <v>-0.32235770000000002</v>
      </c>
      <c r="U3359">
        <v>-2.5070190000000001</v>
      </c>
      <c r="V3359">
        <v>-0.266366099999999</v>
      </c>
      <c r="W3359">
        <v>0.1641388</v>
      </c>
      <c r="X3359">
        <v>0.94979349999999996</v>
      </c>
      <c r="Y3359">
        <v>-0.25587090000000001</v>
      </c>
      <c r="Z3359">
        <v>5.5674250000000002E-2</v>
      </c>
      <c r="AA3359">
        <v>0.96510640000000003</v>
      </c>
      <c r="AB3359">
        <v>42</v>
      </c>
      <c r="AC3359">
        <v>-6.1601999999999704</v>
      </c>
      <c r="AD3359">
        <v>-1.128775952984</v>
      </c>
      <c r="AE3359">
        <v>-8.6488999999999692</v>
      </c>
      <c r="AF3359">
        <v>-2.7251062466521199</v>
      </c>
      <c r="AG3359">
        <v>-1.128775952984</v>
      </c>
      <c r="AH3359">
        <v>10.1400006791051</v>
      </c>
      <c r="AI3359">
        <v>96.135988834169794</v>
      </c>
      <c r="AJ3359">
        <v>105.042700956917</v>
      </c>
      <c r="AK3359">
        <v>10.5603007996851</v>
      </c>
      <c r="AL3359">
        <v>80.552791382314496</v>
      </c>
      <c r="AM3359">
        <v>105.665957306813</v>
      </c>
      <c r="AN3359">
        <v>1.0000000687684401</v>
      </c>
    </row>
    <row r="3360" spans="1:40" x14ac:dyDescent="0.25">
      <c r="A3360" t="str">
        <f>"20190312172143648"</f>
        <v>20190312172143648</v>
      </c>
      <c r="B3360" t="str">
        <f>"1552382503643749"</f>
        <v>1552382503643749</v>
      </c>
      <c r="C3360" t="s">
        <v>40</v>
      </c>
      <c r="D3360">
        <v>3.5737359999999998</v>
      </c>
      <c r="E3360">
        <v>0.4996372</v>
      </c>
      <c r="F3360" t="s">
        <v>42</v>
      </c>
      <c r="G3360">
        <v>-499.5994</v>
      </c>
      <c r="H3360" s="1">
        <v>-5.9560460000000002E-6</v>
      </c>
      <c r="I3360">
        <v>269.4853</v>
      </c>
      <c r="J3360">
        <v>-493.59190000000001</v>
      </c>
      <c r="K3360">
        <v>1.1287739999999999</v>
      </c>
      <c r="L3360">
        <v>277.99790000000002</v>
      </c>
      <c r="M3360">
        <v>-0.76615829999999996</v>
      </c>
      <c r="N3360">
        <v>0</v>
      </c>
      <c r="O3360">
        <v>-0.64237519999999904</v>
      </c>
      <c r="P3360">
        <v>-0.56380889999999995</v>
      </c>
      <c r="Q3360">
        <v>0.159013299999999</v>
      </c>
      <c r="R3360">
        <v>-0.81045319999999899</v>
      </c>
      <c r="S3360">
        <v>-1.795166</v>
      </c>
      <c r="T3360">
        <v>-0.3286694</v>
      </c>
      <c r="U3360">
        <v>-2.5164789999999999</v>
      </c>
      <c r="V3360">
        <v>-0.26672240000000003</v>
      </c>
      <c r="W3360">
        <v>0.16477510000000001</v>
      </c>
      <c r="X3360">
        <v>0.94958319999999996</v>
      </c>
      <c r="Y3360">
        <v>-0.25211020000000001</v>
      </c>
      <c r="Z3360">
        <v>5.7638439999999999E-2</v>
      </c>
      <c r="AA3360">
        <v>0.96598050000000002</v>
      </c>
      <c r="AB3360">
        <v>42</v>
      </c>
      <c r="AC3360">
        <v>-6.0074999999999896</v>
      </c>
      <c r="AD3360">
        <v>-1.1287799560459999</v>
      </c>
      <c r="AE3360">
        <v>-8.5126000000000097</v>
      </c>
      <c r="AF3360">
        <v>-2.6325049693466598</v>
      </c>
      <c r="AG3360">
        <v>-1.1287799560459999</v>
      </c>
      <c r="AH3360">
        <v>9.9559136987360297</v>
      </c>
      <c r="AI3360">
        <v>96.255264508156799</v>
      </c>
      <c r="AJ3360">
        <v>104.81096865535601</v>
      </c>
      <c r="AK3360">
        <v>10.359751163975201</v>
      </c>
      <c r="AL3360">
        <v>80.515829821992398</v>
      </c>
      <c r="AM3360">
        <v>105.68918458831899</v>
      </c>
      <c r="AN3360">
        <v>0.999999962982004</v>
      </c>
    </row>
    <row r="3361" spans="1:40" x14ac:dyDescent="0.25">
      <c r="A3361" t="str">
        <f>"20190312172143659"</f>
        <v>20190312172143659</v>
      </c>
      <c r="B3361" t="str">
        <f>"1552382503653510"</f>
        <v>1552382503653510</v>
      </c>
      <c r="C3361" t="s">
        <v>40</v>
      </c>
      <c r="D3361">
        <v>3.570503</v>
      </c>
      <c r="E3361">
        <v>0.50043709999999997</v>
      </c>
      <c r="F3361" t="s">
        <v>42</v>
      </c>
      <c r="G3361">
        <v>-499.61739999999998</v>
      </c>
      <c r="H3361" s="1">
        <v>-5.9587630000000001E-6</v>
      </c>
      <c r="I3361">
        <v>269.48390000000001</v>
      </c>
      <c r="J3361">
        <v>-493.75650000000002</v>
      </c>
      <c r="K3361">
        <v>1.1287750000000001</v>
      </c>
      <c r="L3361">
        <v>277.86099999999999</v>
      </c>
      <c r="M3361">
        <v>-0.76048179999999999</v>
      </c>
      <c r="N3361">
        <v>0</v>
      </c>
      <c r="O3361">
        <v>-0.6490863</v>
      </c>
      <c r="P3361">
        <v>-0.5564654</v>
      </c>
      <c r="Q3361">
        <v>0.1593301</v>
      </c>
      <c r="R3361">
        <v>-0.81545109999999998</v>
      </c>
      <c r="S3361">
        <v>-1.7865599999999999</v>
      </c>
      <c r="T3361">
        <v>-0.33468199999999998</v>
      </c>
      <c r="U3361">
        <v>-2.5244140000000002</v>
      </c>
      <c r="V3361">
        <v>-0.26691979999999998</v>
      </c>
      <c r="W3361">
        <v>0.16505400000000001</v>
      </c>
      <c r="X3361">
        <v>0.94947930000000003</v>
      </c>
      <c r="Y3361">
        <v>-0.2473167</v>
      </c>
      <c r="Z3361">
        <v>5.966246E-2</v>
      </c>
      <c r="AA3361">
        <v>0.96709610000000001</v>
      </c>
      <c r="AB3361">
        <v>41</v>
      </c>
      <c r="AC3361">
        <v>-5.8608999999999503</v>
      </c>
      <c r="AD3361">
        <v>-1.128780958763</v>
      </c>
      <c r="AE3361">
        <v>-8.3770999999999791</v>
      </c>
      <c r="AF3361">
        <v>-2.5359445282242898</v>
      </c>
      <c r="AG3361">
        <v>-1.128780958763</v>
      </c>
      <c r="AH3361">
        <v>9.7771414205904996</v>
      </c>
      <c r="AI3361">
        <v>96.376523381908797</v>
      </c>
      <c r="AJ3361">
        <v>104.54066031088</v>
      </c>
      <c r="AK3361">
        <v>10.1635454178806</v>
      </c>
      <c r="AL3361">
        <v>80.499628278342598</v>
      </c>
      <c r="AM3361">
        <v>105.701857009207</v>
      </c>
      <c r="AN3361">
        <v>0.99999997183826395</v>
      </c>
    </row>
    <row r="3362" spans="1:40" x14ac:dyDescent="0.25">
      <c r="A3362" t="str">
        <f>"20190312172143671"</f>
        <v>20190312172143671</v>
      </c>
      <c r="B3362" t="str">
        <f>"1552382503664246"</f>
        <v>1552382503664246</v>
      </c>
      <c r="C3362" t="s">
        <v>40</v>
      </c>
      <c r="D3362">
        <v>3.581747</v>
      </c>
      <c r="E3362">
        <v>0.50120259999999905</v>
      </c>
      <c r="F3362" t="s">
        <v>42</v>
      </c>
      <c r="G3362">
        <v>-499.70179999999999</v>
      </c>
      <c r="H3362" s="1">
        <v>-5.92357099999999E-6</v>
      </c>
      <c r="I3362">
        <v>269.33640000000003</v>
      </c>
      <c r="J3362">
        <v>-493.9101</v>
      </c>
      <c r="K3362">
        <v>1.1287780000000001</v>
      </c>
      <c r="L3362">
        <v>277.7294</v>
      </c>
      <c r="M3362">
        <v>-0.75506470000000003</v>
      </c>
      <c r="N3362">
        <v>0</v>
      </c>
      <c r="O3362">
        <v>-0.65538069999999904</v>
      </c>
      <c r="P3362">
        <v>-0.54935129999999999</v>
      </c>
      <c r="Q3362">
        <v>0.15953310000000001</v>
      </c>
      <c r="R3362">
        <v>-0.82022129999999904</v>
      </c>
      <c r="S3362">
        <v>-1.7694399999999999</v>
      </c>
      <c r="T3362">
        <v>-0.33594679999999999</v>
      </c>
      <c r="U3362">
        <v>-2.5370789999999999</v>
      </c>
      <c r="V3362">
        <v>-0.26727199999999901</v>
      </c>
      <c r="W3362">
        <v>0.1652149</v>
      </c>
      <c r="X3362">
        <v>0.94935230000000004</v>
      </c>
      <c r="Y3362">
        <v>-0.24596290000000001</v>
      </c>
      <c r="Z3362">
        <v>6.0686799999999999E-2</v>
      </c>
      <c r="AA3362">
        <v>0.96737759999999995</v>
      </c>
      <c r="AB3362">
        <v>41</v>
      </c>
      <c r="AC3362">
        <v>-5.7916999999999899</v>
      </c>
      <c r="AD3362">
        <v>-1.128783923571</v>
      </c>
      <c r="AE3362">
        <v>-8.3929999999999705</v>
      </c>
      <c r="AF3362">
        <v>-2.5111692808696802</v>
      </c>
      <c r="AG3362">
        <v>-1.128783923571</v>
      </c>
      <c r="AH3362">
        <v>9.7559235210548891</v>
      </c>
      <c r="AI3362">
        <v>96.3933265589977</v>
      </c>
      <c r="AJ3362">
        <v>104.43456176894099</v>
      </c>
      <c r="AK3362">
        <v>10.136970358640999</v>
      </c>
      <c r="AL3362">
        <v>80.490281688476799</v>
      </c>
      <c r="AM3362">
        <v>105.72355093611</v>
      </c>
      <c r="AN3362">
        <v>1.0000000373406399</v>
      </c>
    </row>
    <row r="3363" spans="1:40" x14ac:dyDescent="0.25">
      <c r="A3363" t="str">
        <f>"20190312172143681"</f>
        <v>20190312172143681</v>
      </c>
      <c r="B3363" t="str">
        <f>"1552382503674006"</f>
        <v>1552382503674006</v>
      </c>
      <c r="C3363" t="s">
        <v>40</v>
      </c>
      <c r="D3363">
        <v>3.6641509999999999</v>
      </c>
      <c r="E3363">
        <v>0.50120259999999905</v>
      </c>
      <c r="F3363" t="s">
        <v>42</v>
      </c>
      <c r="G3363">
        <v>-499.77870000000001</v>
      </c>
      <c r="H3363" s="1">
        <v>-5.8881380000000002E-6</v>
      </c>
      <c r="I3363">
        <v>269.19229999999999</v>
      </c>
      <c r="J3363">
        <v>-494.06049999999999</v>
      </c>
      <c r="K3363">
        <v>1.1287780000000001</v>
      </c>
      <c r="L3363">
        <v>277.59989999999999</v>
      </c>
      <c r="M3363">
        <v>-0.74969659999999905</v>
      </c>
      <c r="N3363">
        <v>0</v>
      </c>
      <c r="O3363">
        <v>-0.66151510000000002</v>
      </c>
      <c r="P3363">
        <v>-0.54203080000000003</v>
      </c>
      <c r="Q3363">
        <v>0.16028149999999999</v>
      </c>
      <c r="R3363">
        <v>-0.82493169999999905</v>
      </c>
      <c r="S3363">
        <v>-1.752472</v>
      </c>
      <c r="T3363">
        <v>-0.33707819999999999</v>
      </c>
      <c r="U3363">
        <v>-2.5493769999999998</v>
      </c>
      <c r="V3363">
        <v>-0.26790629999999999</v>
      </c>
      <c r="W3363">
        <v>0.16590659999999999</v>
      </c>
      <c r="X3363">
        <v>0.94905280000000003</v>
      </c>
      <c r="Y3363">
        <v>-0.244648</v>
      </c>
      <c r="Z3363">
        <v>6.1673430000000001E-2</v>
      </c>
      <c r="AA3363">
        <v>0.96764859999999997</v>
      </c>
      <c r="AB3363">
        <v>41</v>
      </c>
      <c r="AC3363">
        <v>-5.7182000000000199</v>
      </c>
      <c r="AD3363">
        <v>-1.1287838881379999</v>
      </c>
      <c r="AE3363">
        <v>-8.4076000000000004</v>
      </c>
      <c r="AF3363">
        <v>-2.4902279130420899</v>
      </c>
      <c r="AG3363">
        <v>-1.1287838881379999</v>
      </c>
      <c r="AH3363">
        <v>9.7304858319732102</v>
      </c>
      <c r="AI3363">
        <v>96.412165609787095</v>
      </c>
      <c r="AJ3363">
        <v>104.355045654438</v>
      </c>
      <c r="AK3363">
        <v>10.107311346309899</v>
      </c>
      <c r="AL3363">
        <v>80.450095267296206</v>
      </c>
      <c r="AM3363">
        <v>105.76374101609601</v>
      </c>
      <c r="AN3363">
        <v>1.0000000013455399</v>
      </c>
    </row>
    <row r="3364" spans="1:40" x14ac:dyDescent="0.25">
      <c r="A3364" t="str">
        <f>"20190312172143692"</f>
        <v>20190312172143692</v>
      </c>
      <c r="B3364" t="str">
        <f>"1552382503683765"</f>
        <v>1552382503683765</v>
      </c>
      <c r="C3364" t="s">
        <v>40</v>
      </c>
      <c r="D3364">
        <v>3.6611570000000002</v>
      </c>
      <c r="E3364">
        <v>0.50724290000000005</v>
      </c>
      <c r="F3364" t="s">
        <v>42</v>
      </c>
      <c r="G3364">
        <v>-499.89729999999997</v>
      </c>
      <c r="H3364" s="1">
        <v>-5.8269710000000001E-6</v>
      </c>
      <c r="I3364">
        <v>268.95069999999998</v>
      </c>
      <c r="J3364">
        <v>-494.21260000000001</v>
      </c>
      <c r="K3364">
        <v>1.1287720000000001</v>
      </c>
      <c r="L3364">
        <v>277.46530000000001</v>
      </c>
      <c r="M3364">
        <v>-0.74415180000000003</v>
      </c>
      <c r="N3364">
        <v>0</v>
      </c>
      <c r="O3364">
        <v>-0.66774699999999998</v>
      </c>
      <c r="P3364">
        <v>-0.53452869999999997</v>
      </c>
      <c r="Q3364">
        <v>0.16136259999999999</v>
      </c>
      <c r="R3364">
        <v>-0.82960299999999998</v>
      </c>
      <c r="S3364">
        <v>-1.7306520000000001</v>
      </c>
      <c r="T3364">
        <v>-0.33469260000000001</v>
      </c>
      <c r="U3364">
        <v>-2.5645449999999999</v>
      </c>
      <c r="V3364">
        <v>-0.26848699999999998</v>
      </c>
      <c r="W3364">
        <v>0.16693540000000001</v>
      </c>
      <c r="X3364">
        <v>0.9487082</v>
      </c>
      <c r="Y3364">
        <v>-0.24486939999999999</v>
      </c>
      <c r="Z3364">
        <v>6.1970440000000002E-2</v>
      </c>
      <c r="AA3364">
        <v>0.96757360000000003</v>
      </c>
      <c r="AB3364">
        <v>41</v>
      </c>
      <c r="AC3364">
        <v>-5.6846999999999603</v>
      </c>
      <c r="AD3364">
        <v>-1.1287778269709901</v>
      </c>
      <c r="AE3364">
        <v>-8.5146000000000299</v>
      </c>
      <c r="AF3364">
        <v>-2.5101470254926301</v>
      </c>
      <c r="AG3364">
        <v>-1.1287778269709901</v>
      </c>
      <c r="AH3364">
        <v>9.7985118513967393</v>
      </c>
      <c r="AI3364">
        <v>96.3675935650855</v>
      </c>
      <c r="AJ3364">
        <v>104.368818929347</v>
      </c>
      <c r="AK3364">
        <v>10.1777115293278</v>
      </c>
      <c r="AL3364">
        <v>80.3903154518637</v>
      </c>
      <c r="AM3364">
        <v>105.80165729462701</v>
      </c>
      <c r="AN3364">
        <v>0.99999997284469899</v>
      </c>
    </row>
    <row r="3365" spans="1:40" x14ac:dyDescent="0.25">
      <c r="A3365" t="str">
        <f>"20190312172143703"</f>
        <v>20190312172143703</v>
      </c>
      <c r="B3365" t="str">
        <f>"1552382503693526"</f>
        <v>1552382503693526</v>
      </c>
      <c r="C3365" t="s">
        <v>40</v>
      </c>
      <c r="D3365">
        <v>3.60866</v>
      </c>
      <c r="E3365">
        <v>0.50724290000000005</v>
      </c>
      <c r="F3365" t="s">
        <v>45</v>
      </c>
      <c r="G3365">
        <v>-499.11130000000003</v>
      </c>
      <c r="H3365" s="1">
        <v>1.9977830000000001E-7</v>
      </c>
      <c r="I3365">
        <v>270.32440000000003</v>
      </c>
      <c r="J3365">
        <v>-494.35629999999998</v>
      </c>
      <c r="K3365">
        <v>1.1287720000000001</v>
      </c>
      <c r="L3365">
        <v>277.33679999999998</v>
      </c>
      <c r="M3365">
        <v>-0.73883719999999997</v>
      </c>
      <c r="N3365">
        <v>0</v>
      </c>
      <c r="O3365">
        <v>-0.67362369999999905</v>
      </c>
      <c r="P3365">
        <v>-0.52718779999999998</v>
      </c>
      <c r="Q3365">
        <v>0.162195899999999</v>
      </c>
      <c r="R3365">
        <v>-0.83412609999999998</v>
      </c>
      <c r="S3365">
        <v>-1.757843</v>
      </c>
      <c r="T3365">
        <v>-0.40504600000000002</v>
      </c>
      <c r="U3365">
        <v>-2.562408</v>
      </c>
      <c r="V3365">
        <v>-0.26925909999999997</v>
      </c>
      <c r="W3365">
        <v>0.16770869999999999</v>
      </c>
      <c r="X3365">
        <v>0.94835290000000005</v>
      </c>
      <c r="Y3365">
        <v>-0.23054749999999999</v>
      </c>
      <c r="Z3365">
        <v>7.6086360000000006E-2</v>
      </c>
      <c r="AA3365">
        <v>0.97008179999999999</v>
      </c>
      <c r="AB3365">
        <v>41</v>
      </c>
      <c r="AC3365">
        <v>-4.7550000000000496</v>
      </c>
      <c r="AD3365">
        <v>-1.1287718002217</v>
      </c>
      <c r="AE3365">
        <v>-7.0123999999999498</v>
      </c>
      <c r="AF3365">
        <v>-1.94378697768566</v>
      </c>
      <c r="AG3365">
        <v>-1.1287718002217</v>
      </c>
      <c r="AH3365">
        <v>8.09465835667263</v>
      </c>
      <c r="AI3365">
        <v>97.721754007043202</v>
      </c>
      <c r="AJ3365">
        <v>103.502887397386</v>
      </c>
      <c r="AK3365">
        <v>8.40094801214995</v>
      </c>
      <c r="AL3365">
        <v>80.345374814451802</v>
      </c>
      <c r="AM3365">
        <v>105.850458237867</v>
      </c>
      <c r="AN3365">
        <v>0.99999994696345296</v>
      </c>
    </row>
    <row r="3366" spans="1:40" x14ac:dyDescent="0.25">
      <c r="A3366" t="str">
        <f>"20190312172143714"</f>
        <v>20190312172143714</v>
      </c>
      <c r="B3366" t="str">
        <f>"1552382503704262"</f>
        <v>1552382503704262</v>
      </c>
      <c r="C3366" t="s">
        <v>40</v>
      </c>
      <c r="D3366">
        <v>3.5636100000000002</v>
      </c>
      <c r="E3366">
        <v>0.477213</v>
      </c>
      <c r="F3366" t="s">
        <v>45</v>
      </c>
      <c r="G3366">
        <v>-499.2278</v>
      </c>
      <c r="H3366" s="1">
        <v>1.5117520000000001E-7</v>
      </c>
      <c r="I3366">
        <v>270.1071</v>
      </c>
      <c r="J3366">
        <v>-494.50900000000001</v>
      </c>
      <c r="K3366">
        <v>1.1287689999999999</v>
      </c>
      <c r="L3366">
        <v>277.19740000000002</v>
      </c>
      <c r="M3366">
        <v>-0.73308609999999996</v>
      </c>
      <c r="N3366">
        <v>0</v>
      </c>
      <c r="O3366">
        <v>-0.67987830000000005</v>
      </c>
      <c r="P3366">
        <v>-0.51942730000000004</v>
      </c>
      <c r="Q3366">
        <v>0.16332260000000001</v>
      </c>
      <c r="R3366">
        <v>-0.83876170000000005</v>
      </c>
      <c r="S3366">
        <v>-1.7366029999999999</v>
      </c>
      <c r="T3366">
        <v>-0.40239059999999999</v>
      </c>
      <c r="U3366">
        <v>-2.5772710000000001</v>
      </c>
      <c r="V3366">
        <v>-0.26988800000000002</v>
      </c>
      <c r="W3366">
        <v>0.16878370000000001</v>
      </c>
      <c r="X3366">
        <v>0.94798340000000003</v>
      </c>
      <c r="Y3366">
        <v>-0.2303714</v>
      </c>
      <c r="Z3366">
        <v>7.6482610000000006E-2</v>
      </c>
      <c r="AA3366">
        <v>0.97009250000000002</v>
      </c>
      <c r="AB3366">
        <v>41</v>
      </c>
      <c r="AC3366">
        <v>-4.7187999999999803</v>
      </c>
      <c r="AD3366">
        <v>-1.1287688488248</v>
      </c>
      <c r="AE3366">
        <v>-7.0903000000000098</v>
      </c>
      <c r="AF3366">
        <v>-1.9555902150257001</v>
      </c>
      <c r="AG3366">
        <v>-1.1287688488248</v>
      </c>
      <c r="AH3366">
        <v>8.1383324773106303</v>
      </c>
      <c r="AI3366">
        <v>97.680512952877294</v>
      </c>
      <c r="AJ3366">
        <v>103.511644780079</v>
      </c>
      <c r="AK3366">
        <v>8.4457627076795401</v>
      </c>
      <c r="AL3366">
        <v>80.282891644081204</v>
      </c>
      <c r="AM3366">
        <v>105.891492532451</v>
      </c>
      <c r="AN3366">
        <v>0.99999999830262498</v>
      </c>
    </row>
    <row r="3367" spans="1:40" x14ac:dyDescent="0.25">
      <c r="A3367" t="str">
        <f>"20190312172143726"</f>
        <v>20190312172143726</v>
      </c>
      <c r="B3367" t="str">
        <f>"1552382503723782"</f>
        <v>1552382503723782</v>
      </c>
      <c r="C3367" t="s">
        <v>40</v>
      </c>
      <c r="D3367">
        <v>3.698753</v>
      </c>
      <c r="E3367">
        <v>0.46365139999999999</v>
      </c>
      <c r="F3367" t="s">
        <v>42</v>
      </c>
      <c r="G3367">
        <v>-499.76089999999999</v>
      </c>
      <c r="H3367" s="1">
        <v>-5.3813149999999998E-6</v>
      </c>
      <c r="I3367">
        <v>267.7122</v>
      </c>
      <c r="J3367">
        <v>-494.65350000000001</v>
      </c>
      <c r="K3367">
        <v>1.128768</v>
      </c>
      <c r="L3367">
        <v>277.06330000000003</v>
      </c>
      <c r="M3367">
        <v>-0.72754649999999998</v>
      </c>
      <c r="N3367">
        <v>0</v>
      </c>
      <c r="O3367">
        <v>-0.68580350000000001</v>
      </c>
      <c r="P3367">
        <v>-0.51210900000000004</v>
      </c>
      <c r="Q3367">
        <v>0.1641388</v>
      </c>
      <c r="R3367">
        <v>-0.84309120000000004</v>
      </c>
      <c r="S3367">
        <v>-1.5006409999999999</v>
      </c>
      <c r="T3367">
        <v>-0.32252839999999999</v>
      </c>
      <c r="U3367">
        <v>-2.7102360000000001</v>
      </c>
      <c r="V3367">
        <v>-0.2703663</v>
      </c>
      <c r="W3367">
        <v>0.16955919999999999</v>
      </c>
      <c r="X3367">
        <v>0.94770869999999996</v>
      </c>
      <c r="Y3367">
        <v>-0.30545600000000001</v>
      </c>
      <c r="Z3367">
        <v>5.931529E-2</v>
      </c>
      <c r="AA3367">
        <v>0.95035700000000001</v>
      </c>
      <c r="AB3367">
        <v>41</v>
      </c>
      <c r="AC3367">
        <v>-5.1073999999999797</v>
      </c>
      <c r="AD3367">
        <v>-1.128773381315</v>
      </c>
      <c r="AE3367">
        <v>-9.3511000000000202</v>
      </c>
      <c r="AF3367">
        <v>-3.2646256434387202</v>
      </c>
      <c r="AG3367">
        <v>-1.128773381315</v>
      </c>
      <c r="AH3367">
        <v>10.018225003705</v>
      </c>
      <c r="AI3367">
        <v>96.114634593296699</v>
      </c>
      <c r="AJ3367">
        <v>108.049166311199</v>
      </c>
      <c r="AK3367">
        <v>10.5970157196742</v>
      </c>
      <c r="AL3367">
        <v>80.237809179544001</v>
      </c>
      <c r="AM3367">
        <v>105.92260997437801</v>
      </c>
      <c r="AN3367">
        <v>1.0000000192680001</v>
      </c>
    </row>
    <row r="3368" spans="1:40" x14ac:dyDescent="0.25">
      <c r="A3368" t="str">
        <f>"20190312172143740"</f>
        <v>20190312172143740</v>
      </c>
      <c r="B3368" t="str">
        <f>"1552382503733541"</f>
        <v>1552382503733541</v>
      </c>
      <c r="C3368" t="s">
        <v>40</v>
      </c>
      <c r="D3368">
        <v>3.7134689999999999</v>
      </c>
      <c r="E3368">
        <v>0.46077620000000002</v>
      </c>
      <c r="F3368" t="s">
        <v>42</v>
      </c>
      <c r="G3368">
        <v>-499.9588</v>
      </c>
      <c r="H3368">
        <v>5.1004859999999999E-2</v>
      </c>
      <c r="I3368">
        <v>266.3972</v>
      </c>
      <c r="J3368">
        <v>-494.84140000000002</v>
      </c>
      <c r="K3368">
        <v>1.128763</v>
      </c>
      <c r="L3368">
        <v>276.88639999999998</v>
      </c>
      <c r="M3368">
        <v>-0.72022159999999902</v>
      </c>
      <c r="N3368">
        <v>0</v>
      </c>
      <c r="O3368">
        <v>-0.69349269999999996</v>
      </c>
      <c r="P3368">
        <v>-0.50274410000000003</v>
      </c>
      <c r="Q3368">
        <v>0.1648046</v>
      </c>
      <c r="R3368">
        <v>-0.84857969999999905</v>
      </c>
      <c r="S3368">
        <v>-1.380096</v>
      </c>
      <c r="T3368">
        <v>-0.28036549999999999</v>
      </c>
      <c r="U3368">
        <v>-2.7746279999999999</v>
      </c>
      <c r="V3368">
        <v>-0.27072600000000002</v>
      </c>
      <c r="W3368">
        <v>0.1701879</v>
      </c>
      <c r="X3368">
        <v>0.94749329999999998</v>
      </c>
      <c r="Y3368">
        <v>-0.33679350000000002</v>
      </c>
      <c r="Z3368">
        <v>5.1288050000000002E-2</v>
      </c>
      <c r="AA3368">
        <v>0.94018069999999998</v>
      </c>
      <c r="AB3368">
        <v>41</v>
      </c>
      <c r="AC3368">
        <v>-5.1173999999999698</v>
      </c>
      <c r="AD3368">
        <v>-1.07775814</v>
      </c>
      <c r="AE3368">
        <v>-10.489199999999901</v>
      </c>
      <c r="AF3368">
        <v>-3.9724914033527701</v>
      </c>
      <c r="AG3368">
        <v>-1.07775814</v>
      </c>
      <c r="AH3368">
        <v>10.869069333133501</v>
      </c>
      <c r="AI3368">
        <v>95.320770839710207</v>
      </c>
      <c r="AJ3368">
        <v>110.076644515781</v>
      </c>
      <c r="AK3368">
        <v>11.6223456636994</v>
      </c>
      <c r="AL3368">
        <v>80.201256071856903</v>
      </c>
      <c r="AM3368">
        <v>105.946157831459</v>
      </c>
      <c r="AN3368">
        <v>1.0000000209636499</v>
      </c>
    </row>
    <row r="3369" spans="1:40" x14ac:dyDescent="0.25">
      <c r="A3369" t="str">
        <f>"20190312172143752"</f>
        <v>20190312172143752</v>
      </c>
      <c r="B3369" t="str">
        <f>"1552382503744277"</f>
        <v>1552382503744277</v>
      </c>
      <c r="C3369" t="s">
        <v>40</v>
      </c>
      <c r="D3369">
        <v>3.7051829999999999</v>
      </c>
      <c r="E3369">
        <v>0.45879419999999999</v>
      </c>
      <c r="F3369" t="s">
        <v>42</v>
      </c>
      <c r="G3369">
        <v>-500.00409999999999</v>
      </c>
      <c r="H3369">
        <v>7.9986420000000003E-2</v>
      </c>
      <c r="I3369">
        <v>266.00560000000002</v>
      </c>
      <c r="J3369">
        <v>-494.99509999999998</v>
      </c>
      <c r="K3369">
        <v>1.1287560000000001</v>
      </c>
      <c r="L3369">
        <v>276.7371</v>
      </c>
      <c r="M3369">
        <v>-0.71406630000000004</v>
      </c>
      <c r="N3369">
        <v>0</v>
      </c>
      <c r="O3369">
        <v>-0.69982919999999904</v>
      </c>
      <c r="P3369">
        <v>-0.49508039999999998</v>
      </c>
      <c r="Q3369">
        <v>0.16503019999999999</v>
      </c>
      <c r="R3369">
        <v>-0.85302999999999995</v>
      </c>
      <c r="S3369">
        <v>-1.3287960000000001</v>
      </c>
      <c r="T3369">
        <v>-0.2699356</v>
      </c>
      <c r="U3369">
        <v>-2.8005070000000001</v>
      </c>
      <c r="V3369">
        <v>-0.27086399999999999</v>
      </c>
      <c r="W3369">
        <v>0.17039509999999999</v>
      </c>
      <c r="X3369">
        <v>0.94741660000000005</v>
      </c>
      <c r="Y3369">
        <v>-0.34583170000000002</v>
      </c>
      <c r="Z3369">
        <v>4.9712399999999997E-2</v>
      </c>
      <c r="AA3369">
        <v>0.9369788</v>
      </c>
      <c r="AB3369">
        <v>41</v>
      </c>
      <c r="AC3369">
        <v>-5.0090000000000101</v>
      </c>
      <c r="AD3369">
        <v>-1.0487695800000001</v>
      </c>
      <c r="AE3369">
        <v>-10.731499999999899</v>
      </c>
      <c r="AF3369">
        <v>-4.1259259058779296</v>
      </c>
      <c r="AG3369">
        <v>-1.0487695800000001</v>
      </c>
      <c r="AH3369">
        <v>11.002621640825</v>
      </c>
      <c r="AI3369">
        <v>95.100193301484495</v>
      </c>
      <c r="AJ3369">
        <v>110.55578403235199</v>
      </c>
      <c r="AK3369">
        <v>11.797494021353801</v>
      </c>
      <c r="AL3369">
        <v>80.189208259848101</v>
      </c>
      <c r="AM3369">
        <v>105.955098488665</v>
      </c>
      <c r="AN3369">
        <v>1.00000000527778</v>
      </c>
    </row>
    <row r="3370" spans="1:40" x14ac:dyDescent="0.25">
      <c r="A3370" t="str">
        <f>"20190312172143763"</f>
        <v>20190312172143763</v>
      </c>
      <c r="B3370" t="str">
        <f>"1552382503754038"</f>
        <v>1552382503754038</v>
      </c>
      <c r="C3370" t="s">
        <v>40</v>
      </c>
      <c r="D3370">
        <v>3.74295</v>
      </c>
      <c r="E3370">
        <v>0.4573335</v>
      </c>
      <c r="F3370" t="s">
        <v>42</v>
      </c>
      <c r="G3370">
        <v>-500.11540000000002</v>
      </c>
      <c r="H3370">
        <v>7.9986559999999998E-2</v>
      </c>
      <c r="I3370">
        <v>265.53300000000002</v>
      </c>
      <c r="J3370">
        <v>-495.13780000000003</v>
      </c>
      <c r="K3370">
        <v>1.128749</v>
      </c>
      <c r="L3370">
        <v>276.59719999999999</v>
      </c>
      <c r="M3370">
        <v>-0.70827289999999998</v>
      </c>
      <c r="N3370">
        <v>0</v>
      </c>
      <c r="O3370">
        <v>-0.70569269999999995</v>
      </c>
      <c r="P3370">
        <v>-0.4876586</v>
      </c>
      <c r="Q3370">
        <v>0.165428399999999</v>
      </c>
      <c r="R3370">
        <v>-0.85721789999999998</v>
      </c>
      <c r="S3370">
        <v>-1.288727</v>
      </c>
      <c r="T3370">
        <v>-0.26396330000000001</v>
      </c>
      <c r="U3370">
        <v>-2.8199459999999998</v>
      </c>
      <c r="V3370">
        <v>-0.27123609999999998</v>
      </c>
      <c r="W3370">
        <v>0.17076440000000001</v>
      </c>
      <c r="X3370">
        <v>0.94724359999999996</v>
      </c>
      <c r="Y3370">
        <v>-0.35152230000000001</v>
      </c>
      <c r="Z3370">
        <v>4.9003999999999999E-2</v>
      </c>
      <c r="AA3370">
        <v>0.93489610000000001</v>
      </c>
      <c r="AB3370">
        <v>41</v>
      </c>
      <c r="AC3370">
        <v>-4.97759999999999</v>
      </c>
      <c r="AD3370">
        <v>-1.04876244</v>
      </c>
      <c r="AE3370">
        <v>-11.0641999999999</v>
      </c>
      <c r="AF3370">
        <v>-4.2924923592415496</v>
      </c>
      <c r="AG3370">
        <v>-1.04876244</v>
      </c>
      <c r="AH3370">
        <v>11.251317308275301</v>
      </c>
      <c r="AI3370">
        <v>94.977313089200706</v>
      </c>
      <c r="AJ3370">
        <v>110.882363263904</v>
      </c>
      <c r="AK3370">
        <v>12.087908606586801</v>
      </c>
      <c r="AL3370">
        <v>80.167733851595102</v>
      </c>
      <c r="AM3370">
        <v>105.97866784296799</v>
      </c>
      <c r="AN3370">
        <v>0.99999996999576402</v>
      </c>
    </row>
    <row r="3371" spans="1:40" x14ac:dyDescent="0.25">
      <c r="A3371" t="str">
        <f>"20190312172143776"</f>
        <v>20190312172143776</v>
      </c>
      <c r="B3371" t="str">
        <f>"1552382503763797"</f>
        <v>1552382503763797</v>
      </c>
      <c r="C3371" t="s">
        <v>40</v>
      </c>
      <c r="D3371">
        <v>3.5651890000000002</v>
      </c>
      <c r="E3371">
        <v>0.4560902</v>
      </c>
      <c r="F3371" t="s">
        <v>42</v>
      </c>
      <c r="G3371">
        <v>-500.20859999999999</v>
      </c>
      <c r="H3371">
        <v>7.9986680000000004E-2</v>
      </c>
      <c r="I3371">
        <v>265.12310000000002</v>
      </c>
      <c r="J3371">
        <v>-495.29759999999999</v>
      </c>
      <c r="K3371">
        <v>1.1287400000000001</v>
      </c>
      <c r="L3371">
        <v>276.43720000000002</v>
      </c>
      <c r="M3371">
        <v>-0.70164879999999996</v>
      </c>
      <c r="N3371">
        <v>0</v>
      </c>
      <c r="O3371">
        <v>-0.71227969999999996</v>
      </c>
      <c r="P3371">
        <v>-0.47946499999999997</v>
      </c>
      <c r="Q3371">
        <v>0.16600009999999901</v>
      </c>
      <c r="R3371">
        <v>-0.86171769999999903</v>
      </c>
      <c r="S3371">
        <v>-1.253571</v>
      </c>
      <c r="T3371">
        <v>-0.25926939999999998</v>
      </c>
      <c r="U3371">
        <v>-2.8365779999999998</v>
      </c>
      <c r="V3371">
        <v>-0.27135949999999998</v>
      </c>
      <c r="W3371">
        <v>0.1713221</v>
      </c>
      <c r="X3371">
        <v>0.94710760000000005</v>
      </c>
      <c r="Y3371">
        <v>-0.3544833</v>
      </c>
      <c r="Z3371">
        <v>4.8678630000000001E-2</v>
      </c>
      <c r="AA3371">
        <v>0.93379440000000002</v>
      </c>
      <c r="AB3371">
        <v>41</v>
      </c>
      <c r="AC3371">
        <v>-4.9109999999999996</v>
      </c>
      <c r="AD3371">
        <v>-1.0487533200000001</v>
      </c>
      <c r="AE3371">
        <v>-11.3140999999999</v>
      </c>
      <c r="AF3371">
        <v>-4.4094085779175396</v>
      </c>
      <c r="AG3371">
        <v>-1.0487533200000001</v>
      </c>
      <c r="AH3371">
        <v>11.423999188347301</v>
      </c>
      <c r="AI3371">
        <v>94.8951198725197</v>
      </c>
      <c r="AJ3371">
        <v>111.105474725516</v>
      </c>
      <c r="AK3371">
        <v>12.290261388131</v>
      </c>
      <c r="AL3371">
        <v>80.135302592486298</v>
      </c>
      <c r="AM3371">
        <v>105.98774420875201</v>
      </c>
      <c r="AN3371">
        <v>1.0000000230832</v>
      </c>
    </row>
    <row r="3372" spans="1:40" x14ac:dyDescent="0.25">
      <c r="A3372" t="str">
        <f>"20190312172143790"</f>
        <v>20190312172143790</v>
      </c>
      <c r="B3372" t="str">
        <f>"1552382503784294"</f>
        <v>1552382503784294</v>
      </c>
      <c r="C3372" t="s">
        <v>40</v>
      </c>
      <c r="D3372">
        <v>3.5618560000000001</v>
      </c>
      <c r="E3372">
        <v>0.45453830000000001</v>
      </c>
      <c r="F3372" t="s">
        <v>42</v>
      </c>
      <c r="G3372">
        <v>-500.25459999999998</v>
      </c>
      <c r="H3372">
        <v>7.9986769999999999E-2</v>
      </c>
      <c r="I3372">
        <v>264.83089999999999</v>
      </c>
      <c r="J3372">
        <v>-495.46210000000002</v>
      </c>
      <c r="K3372">
        <v>1.12873</v>
      </c>
      <c r="L3372">
        <v>276.26889999999997</v>
      </c>
      <c r="M3372">
        <v>-0.69467849999999998</v>
      </c>
      <c r="N3372">
        <v>0</v>
      </c>
      <c r="O3372">
        <v>-0.71907959999999904</v>
      </c>
      <c r="P3372">
        <v>-0.47055799999999998</v>
      </c>
      <c r="Q3372">
        <v>0.16673929999999901</v>
      </c>
      <c r="R3372">
        <v>-0.86647180000000001</v>
      </c>
      <c r="S3372">
        <v>-1.2185360000000001</v>
      </c>
      <c r="T3372">
        <v>-0.25780429999999999</v>
      </c>
      <c r="U3372">
        <v>-2.8530579999999999</v>
      </c>
      <c r="V3372">
        <v>-0.27182719999999999</v>
      </c>
      <c r="W3372">
        <v>0.1720305</v>
      </c>
      <c r="X3372">
        <v>0.9468451</v>
      </c>
      <c r="Y3372">
        <v>-0.35702620000000002</v>
      </c>
      <c r="Z3372">
        <v>4.8974700000000003E-2</v>
      </c>
      <c r="AA3372">
        <v>0.93280960000000002</v>
      </c>
      <c r="AB3372">
        <v>41</v>
      </c>
      <c r="AC3372">
        <v>-4.7924999999999596</v>
      </c>
      <c r="AD3372">
        <v>-1.0487432299999999</v>
      </c>
      <c r="AE3372">
        <v>-11.437999999999899</v>
      </c>
      <c r="AF3372">
        <v>-4.4683677520730498</v>
      </c>
      <c r="AG3372">
        <v>-1.0487432299999999</v>
      </c>
      <c r="AH3372">
        <v>11.4740245316786</v>
      </c>
      <c r="AI3372">
        <v>94.868188105539105</v>
      </c>
      <c r="AJ3372">
        <v>111.277597543826</v>
      </c>
      <c r="AK3372">
        <v>12.357969561534</v>
      </c>
      <c r="AL3372">
        <v>80.094103167206796</v>
      </c>
      <c r="AM3372">
        <v>106.018100032041</v>
      </c>
      <c r="AN3372">
        <v>1.00000008149204</v>
      </c>
    </row>
    <row r="3373" spans="1:40" x14ac:dyDescent="0.25">
      <c r="A3373" t="str">
        <f>"20190312172143801"</f>
        <v>20190312172143801</v>
      </c>
      <c r="B3373" t="str">
        <f>"1552382503794054"</f>
        <v>1552382503794054</v>
      </c>
      <c r="C3373" t="s">
        <v>40</v>
      </c>
      <c r="D3373">
        <v>3.5634670000000002</v>
      </c>
      <c r="E3373">
        <v>0.45404699999999998</v>
      </c>
      <c r="F3373" t="s">
        <v>42</v>
      </c>
      <c r="G3373">
        <v>-500.28960000000001</v>
      </c>
      <c r="H3373">
        <v>7.9985379999999995E-2</v>
      </c>
      <c r="I3373">
        <v>264.51010000000002</v>
      </c>
      <c r="J3373">
        <v>-495.62139999999999</v>
      </c>
      <c r="K3373">
        <v>1.1287180000000001</v>
      </c>
      <c r="L3373">
        <v>276.10359999999997</v>
      </c>
      <c r="M3373">
        <v>-0.68780649999999999</v>
      </c>
      <c r="N3373">
        <v>0</v>
      </c>
      <c r="O3373">
        <v>-0.72565590000000002</v>
      </c>
      <c r="P3373">
        <v>-0.46179880000000001</v>
      </c>
      <c r="Q3373">
        <v>0.16769300000000001</v>
      </c>
      <c r="R3373">
        <v>-0.87098880000000001</v>
      </c>
      <c r="S3373">
        <v>-1.178833</v>
      </c>
      <c r="T3373">
        <v>-0.25609330000000002</v>
      </c>
      <c r="U3373">
        <v>-2.8713989999999998</v>
      </c>
      <c r="V3373">
        <v>-0.27227810000000002</v>
      </c>
      <c r="W3373">
        <v>0.17295579999999999</v>
      </c>
      <c r="X3373">
        <v>0.94654689999999997</v>
      </c>
      <c r="Y3373">
        <v>-0.36127120000000001</v>
      </c>
      <c r="Z3373">
        <v>4.9138319999999999E-2</v>
      </c>
      <c r="AA3373">
        <v>0.93116520000000003</v>
      </c>
      <c r="AB3373">
        <v>41</v>
      </c>
      <c r="AC3373">
        <v>-4.6682000000000103</v>
      </c>
      <c r="AD3373">
        <v>-1.04873262</v>
      </c>
      <c r="AE3373">
        <v>-11.593499999999899</v>
      </c>
      <c r="AF3373">
        <v>-4.5552962432514903</v>
      </c>
      <c r="AG3373">
        <v>-1.04873262</v>
      </c>
      <c r="AH3373">
        <v>11.544433536744201</v>
      </c>
      <c r="AI3373">
        <v>94.830162393306793</v>
      </c>
      <c r="AJ3373">
        <v>111.53360278782</v>
      </c>
      <c r="AK3373">
        <v>12.454899022326</v>
      </c>
      <c r="AL3373">
        <v>80.040280338733695</v>
      </c>
      <c r="AM3373">
        <v>106.048098362107</v>
      </c>
      <c r="AN3373">
        <v>1.0000000531964199</v>
      </c>
    </row>
    <row r="3374" spans="1:40" x14ac:dyDescent="0.25">
      <c r="A3374" t="str">
        <f>"20190312172143815"</f>
        <v>20190312172143815</v>
      </c>
      <c r="B3374" t="str">
        <f>"1552382503803814"</f>
        <v>1552382503803814</v>
      </c>
      <c r="C3374" t="s">
        <v>40</v>
      </c>
      <c r="D3374">
        <v>3.768097</v>
      </c>
      <c r="E3374">
        <v>0.45381349999999998</v>
      </c>
      <c r="F3374" t="s">
        <v>41</v>
      </c>
      <c r="G3374">
        <v>-496.07330000000002</v>
      </c>
      <c r="H3374">
        <v>1.0286010000000001</v>
      </c>
      <c r="I3374">
        <v>274.96629999999999</v>
      </c>
      <c r="J3374">
        <v>-495.79570000000001</v>
      </c>
      <c r="K3374">
        <v>1.1287149999999999</v>
      </c>
      <c r="L3374">
        <v>275.91789999999997</v>
      </c>
      <c r="M3374">
        <v>-0.68009129999999995</v>
      </c>
      <c r="N3374">
        <v>0</v>
      </c>
      <c r="O3374">
        <v>-0.73289169999999904</v>
      </c>
      <c r="P3374">
        <v>-0.45166020000000001</v>
      </c>
      <c r="Q3374">
        <v>0.16889599999999999</v>
      </c>
      <c r="R3374">
        <v>-0.87605759999999899</v>
      </c>
      <c r="S3374">
        <v>-1.146881</v>
      </c>
      <c r="T3374">
        <v>-0.25402760000000002</v>
      </c>
      <c r="U3374">
        <v>-2.8851619999999998</v>
      </c>
      <c r="V3374">
        <v>-0.27314169999999999</v>
      </c>
      <c r="W3374">
        <v>0.1741115</v>
      </c>
      <c r="X3374">
        <v>0.94608599999999998</v>
      </c>
      <c r="Y3374">
        <v>-0.36184100000000002</v>
      </c>
      <c r="Z3374">
        <v>4.942146E-2</v>
      </c>
      <c r="AA3374">
        <v>0.93092889999999995</v>
      </c>
      <c r="AB3374">
        <v>41</v>
      </c>
      <c r="AC3374">
        <v>-0.27760000000000601</v>
      </c>
      <c r="AD3374">
        <v>-0.100113999999999</v>
      </c>
      <c r="AE3374">
        <v>-0.95159999999998401</v>
      </c>
      <c r="AF3374">
        <v>-0.43931966420234803</v>
      </c>
      <c r="AG3374">
        <v>-0.100113999999999</v>
      </c>
      <c r="AH3374">
        <v>0.87741638552588197</v>
      </c>
      <c r="AI3374">
        <v>95.825529732662503</v>
      </c>
      <c r="AJ3374">
        <v>116.596985812593</v>
      </c>
      <c r="AK3374">
        <v>0.98634887029902696</v>
      </c>
      <c r="AL3374">
        <v>79.973042550808501</v>
      </c>
      <c r="AM3374">
        <v>106.103801798585</v>
      </c>
      <c r="AN3374">
        <v>0.99999996105356903</v>
      </c>
    </row>
    <row r="3375" spans="1:40" x14ac:dyDescent="0.25">
      <c r="A3375" t="str">
        <f>"20190312172143827"</f>
        <v>20190312172143827</v>
      </c>
      <c r="B3375" t="str">
        <f>"1552382503824310"</f>
        <v>1552382503824310</v>
      </c>
      <c r="C3375" t="s">
        <v>40</v>
      </c>
      <c r="D3375">
        <v>3.5508139999999999</v>
      </c>
      <c r="E3375">
        <v>0.4538083</v>
      </c>
      <c r="F3375" t="s">
        <v>42</v>
      </c>
      <c r="G3375">
        <v>-500.47219999999999</v>
      </c>
      <c r="H3375">
        <v>7.9985630000000002E-2</v>
      </c>
      <c r="I3375">
        <v>263.73930000000001</v>
      </c>
      <c r="J3375">
        <v>-495.92469999999997</v>
      </c>
      <c r="K3375">
        <v>1.128717</v>
      </c>
      <c r="L3375">
        <v>275.77760000000001</v>
      </c>
      <c r="M3375">
        <v>-0.67425219999999997</v>
      </c>
      <c r="N3375">
        <v>0</v>
      </c>
      <c r="O3375">
        <v>-0.73826740000000002</v>
      </c>
      <c r="P3375">
        <v>-0.4444516</v>
      </c>
      <c r="Q3375">
        <v>0.16943529999999901</v>
      </c>
      <c r="R3375">
        <v>-0.8796332</v>
      </c>
      <c r="S3375">
        <v>-1.1130979999999999</v>
      </c>
      <c r="T3375">
        <v>-0.2496138</v>
      </c>
      <c r="U3375">
        <v>-2.898682</v>
      </c>
      <c r="V3375">
        <v>-0.27334940000000002</v>
      </c>
      <c r="W3375">
        <v>0.17464009999999999</v>
      </c>
      <c r="X3375">
        <v>0.94592860000000001</v>
      </c>
      <c r="Y3375">
        <v>-0.36533389999999999</v>
      </c>
      <c r="Z3375">
        <v>4.8975669999999999E-2</v>
      </c>
      <c r="AA3375">
        <v>0.92958730000000001</v>
      </c>
      <c r="AB3375">
        <v>41</v>
      </c>
      <c r="AC3375">
        <v>-4.5475000000000101</v>
      </c>
      <c r="AD3375">
        <v>-1.0487313700000001</v>
      </c>
      <c r="AE3375">
        <v>-12.0382999999999</v>
      </c>
      <c r="AF3375">
        <v>-4.72899333984404</v>
      </c>
      <c r="AG3375">
        <v>-1.0487313700000001</v>
      </c>
      <c r="AH3375">
        <v>11.876830025746001</v>
      </c>
      <c r="AI3375">
        <v>94.689856620312895</v>
      </c>
      <c r="AJ3375">
        <v>111.71094650161299</v>
      </c>
      <c r="AK3375">
        <v>12.8266249245533</v>
      </c>
      <c r="AL3375">
        <v>79.942285035853402</v>
      </c>
      <c r="AM3375">
        <v>106.11795415799099</v>
      </c>
      <c r="AN3375">
        <v>0.999999987653164</v>
      </c>
    </row>
    <row r="3376" spans="1:40" x14ac:dyDescent="0.25">
      <c r="A3376" t="str">
        <f>"20190312172143840"</f>
        <v>20190312172143840</v>
      </c>
      <c r="B3376" t="str">
        <f>"1552382503834071"</f>
        <v>1552382503834071</v>
      </c>
      <c r="C3376" t="s">
        <v>40</v>
      </c>
      <c r="D3376">
        <v>3.5072939999999999</v>
      </c>
      <c r="E3376">
        <v>0.4537561</v>
      </c>
      <c r="F3376" t="s">
        <v>42</v>
      </c>
      <c r="G3376">
        <v>-500.48050000000001</v>
      </c>
      <c r="H3376">
        <v>7.998566E-2</v>
      </c>
      <c r="I3376">
        <v>263.625</v>
      </c>
      <c r="J3376">
        <v>-496.08109999999999</v>
      </c>
      <c r="K3376">
        <v>1.1287069999999999</v>
      </c>
      <c r="L3376">
        <v>275.60579999999999</v>
      </c>
      <c r="M3376">
        <v>-0.66707629999999996</v>
      </c>
      <c r="N3376">
        <v>0</v>
      </c>
      <c r="O3376">
        <v>-0.74475809999999998</v>
      </c>
      <c r="P3376">
        <v>-0.43578919999999999</v>
      </c>
      <c r="Q3376">
        <v>0.16966020000000001</v>
      </c>
      <c r="R3376">
        <v>-0.88391379999999997</v>
      </c>
      <c r="S3376">
        <v>-1.090149</v>
      </c>
      <c r="T3376">
        <v>-0.25095339999999999</v>
      </c>
      <c r="U3376">
        <v>-2.90802</v>
      </c>
      <c r="V3376">
        <v>-0.2734626</v>
      </c>
      <c r="W3376">
        <v>0.174861299999999</v>
      </c>
      <c r="X3376">
        <v>0.945855</v>
      </c>
      <c r="Y3376">
        <v>-0.36375570000000002</v>
      </c>
      <c r="Z3376">
        <v>4.9906859999999997E-2</v>
      </c>
      <c r="AA3376">
        <v>0.93015650000000005</v>
      </c>
      <c r="AB3376">
        <v>41</v>
      </c>
      <c r="AC3376">
        <v>-4.3994000000000097</v>
      </c>
      <c r="AD3376">
        <v>-1.0487213399999999</v>
      </c>
      <c r="AE3376">
        <v>-11.980799999999901</v>
      </c>
      <c r="AF3376">
        <v>-4.6848011592180603</v>
      </c>
      <c r="AG3376">
        <v>-1.0487213399999999</v>
      </c>
      <c r="AH3376">
        <v>11.7800412686209</v>
      </c>
      <c r="AI3376">
        <v>94.728947138533101</v>
      </c>
      <c r="AJ3376">
        <v>111.687206549715</v>
      </c>
      <c r="AK3376">
        <v>12.720713448576401</v>
      </c>
      <c r="AL3376">
        <v>79.929413011209803</v>
      </c>
      <c r="AM3376">
        <v>106.12547161252699</v>
      </c>
      <c r="AN3376">
        <v>0.99999997443072397</v>
      </c>
    </row>
    <row r="3377" spans="1:40" x14ac:dyDescent="0.25">
      <c r="A3377" t="str">
        <f>"20190312172143852"</f>
        <v>20190312172143852</v>
      </c>
      <c r="B3377" t="str">
        <f>"1552382503843830"</f>
        <v>1552382503843830</v>
      </c>
      <c r="C3377" t="s">
        <v>40</v>
      </c>
      <c r="D3377">
        <v>3.5330979999999998</v>
      </c>
      <c r="E3377">
        <v>0.45368799999999998</v>
      </c>
      <c r="F3377" t="s">
        <v>42</v>
      </c>
      <c r="G3377">
        <v>-500.49360000000001</v>
      </c>
      <c r="H3377">
        <v>7.9985710000000002E-2</v>
      </c>
      <c r="I3377">
        <v>263.47489999999999</v>
      </c>
      <c r="J3377">
        <v>-496.22300000000001</v>
      </c>
      <c r="K3377">
        <v>1.128698</v>
      </c>
      <c r="L3377">
        <v>275.44490000000002</v>
      </c>
      <c r="M3377">
        <v>-0.66036240000000002</v>
      </c>
      <c r="N3377">
        <v>0</v>
      </c>
      <c r="O3377">
        <v>-0.75071759999999998</v>
      </c>
      <c r="P3377">
        <v>-0.42811070000000001</v>
      </c>
      <c r="Q3377">
        <v>0.16990810000000001</v>
      </c>
      <c r="R3377">
        <v>-0.88761060000000003</v>
      </c>
      <c r="S3377">
        <v>-1.061768</v>
      </c>
      <c r="T3377">
        <v>-0.2523474</v>
      </c>
      <c r="U3377">
        <v>-2.919006</v>
      </c>
      <c r="V3377">
        <v>-0.27314080000000002</v>
      </c>
      <c r="W3377">
        <v>0.175129799999999</v>
      </c>
      <c r="X3377">
        <v>0.94589840000000003</v>
      </c>
      <c r="Y3377">
        <v>-0.3645177</v>
      </c>
      <c r="Z3377">
        <v>5.0736959999999998E-2</v>
      </c>
      <c r="AA3377">
        <v>0.92981320000000001</v>
      </c>
      <c r="AB3377">
        <v>41</v>
      </c>
      <c r="AC3377">
        <v>-4.2706</v>
      </c>
      <c r="AD3377">
        <v>-1.0487122900000001</v>
      </c>
      <c r="AE3377">
        <v>-11.97</v>
      </c>
      <c r="AF3377">
        <v>-4.6675512833584998</v>
      </c>
      <c r="AG3377">
        <v>-1.0487122900000001</v>
      </c>
      <c r="AH3377">
        <v>11.7284081645097</v>
      </c>
      <c r="AI3377">
        <v>94.749175315886106</v>
      </c>
      <c r="AJ3377">
        <v>111.701057762754</v>
      </c>
      <c r="AK3377">
        <v>12.6665461165748</v>
      </c>
      <c r="AL3377">
        <v>79.913788893425505</v>
      </c>
      <c r="AM3377">
        <v>106.10677973251801</v>
      </c>
      <c r="AN3377">
        <v>1.00000006329761</v>
      </c>
    </row>
    <row r="3378" spans="1:40" x14ac:dyDescent="0.25">
      <c r="A3378" t="str">
        <f>"20190312172143863"</f>
        <v>20190312172143863</v>
      </c>
      <c r="B3378" t="str">
        <f>"1552382503853590"</f>
        <v>1552382503853590</v>
      </c>
      <c r="C3378" t="s">
        <v>40</v>
      </c>
      <c r="D3378">
        <v>3.5752489999999999</v>
      </c>
      <c r="E3378">
        <v>0.45376309999999898</v>
      </c>
      <c r="F3378" t="s">
        <v>42</v>
      </c>
      <c r="G3378">
        <v>-500.51600000000002</v>
      </c>
      <c r="H3378">
        <v>7.9985749999999994E-2</v>
      </c>
      <c r="I3378">
        <v>263.30380000000002</v>
      </c>
      <c r="J3378">
        <v>-496.35550000000001</v>
      </c>
      <c r="K3378">
        <v>1.1286910000000001</v>
      </c>
      <c r="L3378">
        <v>275.29329999999999</v>
      </c>
      <c r="M3378">
        <v>-0.65400740000000002</v>
      </c>
      <c r="N3378">
        <v>0</v>
      </c>
      <c r="O3378">
        <v>-0.7562603</v>
      </c>
      <c r="P3378">
        <v>-0.42060069999999999</v>
      </c>
      <c r="Q3378">
        <v>0.17058719999999999</v>
      </c>
      <c r="R3378">
        <v>-0.89106379999999996</v>
      </c>
      <c r="S3378">
        <v>-1.0355829999999999</v>
      </c>
      <c r="T3378">
        <v>-0.2529768</v>
      </c>
      <c r="U3378">
        <v>-2.928741</v>
      </c>
      <c r="V3378">
        <v>-0.27308969999999999</v>
      </c>
      <c r="W3378">
        <v>0.17581659999999999</v>
      </c>
      <c r="X3378">
        <v>0.94578569999999995</v>
      </c>
      <c r="Y3378">
        <v>-0.3650349</v>
      </c>
      <c r="Z3378">
        <v>5.1389190000000001E-2</v>
      </c>
      <c r="AA3378">
        <v>0.92957449999999997</v>
      </c>
      <c r="AB3378">
        <v>40</v>
      </c>
      <c r="AC3378">
        <v>-4.1604999999999501</v>
      </c>
      <c r="AD3378">
        <v>-1.04870524999999</v>
      </c>
      <c r="AE3378">
        <v>-11.9894999999999</v>
      </c>
      <c r="AF3378">
        <v>-4.6637635723539104</v>
      </c>
      <c r="AG3378">
        <v>-1.04870524999999</v>
      </c>
      <c r="AH3378">
        <v>11.710249383751099</v>
      </c>
      <c r="AI3378">
        <v>94.755996399309893</v>
      </c>
      <c r="AJ3378">
        <v>111.71558173712801</v>
      </c>
      <c r="AK3378">
        <v>12.648336411949099</v>
      </c>
      <c r="AL3378">
        <v>79.873817588571399</v>
      </c>
      <c r="AM3378">
        <v>106.10574210223101</v>
      </c>
      <c r="AN3378">
        <v>1.0000000257030599</v>
      </c>
    </row>
    <row r="3379" spans="1:40" x14ac:dyDescent="0.25">
      <c r="A3379" t="str">
        <f>"20190312172143874"</f>
        <v>20190312172143874</v>
      </c>
      <c r="B3379" t="str">
        <f>"1552382503864326"</f>
        <v>1552382503864326</v>
      </c>
      <c r="C3379" t="s">
        <v>40</v>
      </c>
      <c r="D3379">
        <v>3.6061930000000002</v>
      </c>
      <c r="E3379">
        <v>0.4538856</v>
      </c>
      <c r="F3379" t="s">
        <v>42</v>
      </c>
      <c r="G3379">
        <v>-500.54680000000002</v>
      </c>
      <c r="H3379">
        <v>7.9985810000000004E-2</v>
      </c>
      <c r="I3379">
        <v>263.12869999999998</v>
      </c>
      <c r="J3379">
        <v>-496.48250000000002</v>
      </c>
      <c r="K3379">
        <v>1.1286799999999999</v>
      </c>
      <c r="L3379">
        <v>275.1447</v>
      </c>
      <c r="M3379">
        <v>-0.64778059999999904</v>
      </c>
      <c r="N3379">
        <v>0</v>
      </c>
      <c r="O3379">
        <v>-0.76160069999999902</v>
      </c>
      <c r="P3379">
        <v>-0.4134526</v>
      </c>
      <c r="Q3379">
        <v>0.17175689999999999</v>
      </c>
      <c r="R3379">
        <v>-0.89417930000000001</v>
      </c>
      <c r="S3379">
        <v>-1.0120849999999999</v>
      </c>
      <c r="T3379">
        <v>-0.25323519999999999</v>
      </c>
      <c r="U3379">
        <v>-2.9374389999999999</v>
      </c>
      <c r="V3379">
        <v>-0.27280500000000002</v>
      </c>
      <c r="W3379">
        <v>0.17700829999999901</v>
      </c>
      <c r="X3379">
        <v>0.94564559999999998</v>
      </c>
      <c r="Y3379">
        <v>-0.36490089999999997</v>
      </c>
      <c r="Z3379">
        <v>5.1966779999999997E-2</v>
      </c>
      <c r="AA3379">
        <v>0.92959499999999995</v>
      </c>
      <c r="AB3379">
        <v>40</v>
      </c>
      <c r="AC3379">
        <v>-4.0643000000000002</v>
      </c>
      <c r="AD3379">
        <v>-1.04869419</v>
      </c>
      <c r="AE3379">
        <v>-12.016</v>
      </c>
      <c r="AF3379">
        <v>-4.65733358239775</v>
      </c>
      <c r="AG3379">
        <v>-1.04869419</v>
      </c>
      <c r="AH3379">
        <v>11.706189045135</v>
      </c>
      <c r="AI3379">
        <v>94.758257601767198</v>
      </c>
      <c r="AJ3379">
        <v>111.695247066102</v>
      </c>
      <c r="AK3379">
        <v>12.6422061983781</v>
      </c>
      <c r="AL3379">
        <v>79.804450558523797</v>
      </c>
      <c r="AM3379">
        <v>106.09208132621499</v>
      </c>
      <c r="AN3379">
        <v>1.00000005354662</v>
      </c>
    </row>
    <row r="3380" spans="1:40" x14ac:dyDescent="0.25">
      <c r="A3380" t="str">
        <f>"20190312172143884"</f>
        <v>20190312172143884</v>
      </c>
      <c r="B3380" t="str">
        <f>"1552382503874087"</f>
        <v>1552382503874087</v>
      </c>
      <c r="C3380" t="s">
        <v>40</v>
      </c>
      <c r="D3380">
        <v>3.609728</v>
      </c>
      <c r="E3380">
        <v>0.45408759999999998</v>
      </c>
      <c r="F3380" t="s">
        <v>42</v>
      </c>
      <c r="G3380">
        <v>-500.62799999999999</v>
      </c>
      <c r="H3380">
        <v>7.9985909999999993E-2</v>
      </c>
      <c r="I3380">
        <v>262.80099999999999</v>
      </c>
      <c r="J3380">
        <v>-496.60019999999997</v>
      </c>
      <c r="K3380">
        <v>1.1286719999999999</v>
      </c>
      <c r="L3380">
        <v>275.005</v>
      </c>
      <c r="M3380">
        <v>-0.64190959999999997</v>
      </c>
      <c r="N3380">
        <v>0</v>
      </c>
      <c r="O3380">
        <v>-0.7665556</v>
      </c>
      <c r="P3380">
        <v>-0.40644930000000001</v>
      </c>
      <c r="Q3380">
        <v>0.17260989999999901</v>
      </c>
      <c r="R3380">
        <v>-0.89722080000000004</v>
      </c>
      <c r="S3380">
        <v>-0.98928830000000001</v>
      </c>
      <c r="T3380">
        <v>-0.25026150000000003</v>
      </c>
      <c r="U3380">
        <v>-2.9457089999999999</v>
      </c>
      <c r="V3380">
        <v>-0.2728603</v>
      </c>
      <c r="W3380">
        <v>0.177869</v>
      </c>
      <c r="X3380">
        <v>0.94546810000000003</v>
      </c>
      <c r="Y3380">
        <v>-0.36499599999999999</v>
      </c>
      <c r="Z3380">
        <v>5.1835550000000001E-2</v>
      </c>
      <c r="AA3380">
        <v>0.92956499999999997</v>
      </c>
      <c r="AB3380">
        <v>40</v>
      </c>
      <c r="AC3380">
        <v>-4.0278000000000604</v>
      </c>
      <c r="AD3380">
        <v>-1.0486860899999999</v>
      </c>
      <c r="AE3380">
        <v>-12.204000000000001</v>
      </c>
      <c r="AF3380">
        <v>-4.7157496905108296</v>
      </c>
      <c r="AG3380">
        <v>-1.0486860899999999</v>
      </c>
      <c r="AH3380">
        <v>11.863590667772501</v>
      </c>
      <c r="AI3380">
        <v>94.695944034437204</v>
      </c>
      <c r="AJ3380">
        <v>111.677705744935</v>
      </c>
      <c r="AK3380">
        <v>12.8094816909729</v>
      </c>
      <c r="AL3380">
        <v>79.754340653582304</v>
      </c>
      <c r="AM3380">
        <v>106.098039583665</v>
      </c>
      <c r="AN3380">
        <v>1.0000000262973401</v>
      </c>
    </row>
    <row r="3381" spans="1:40" x14ac:dyDescent="0.25">
      <c r="A3381" t="str">
        <f>"20190312172143895"</f>
        <v>20190312172143895</v>
      </c>
      <c r="B3381" t="str">
        <f>"1552382503883846"</f>
        <v>1552382503883846</v>
      </c>
      <c r="C3381" t="s">
        <v>40</v>
      </c>
      <c r="D3381">
        <v>3.6071960000000001</v>
      </c>
      <c r="E3381">
        <v>0.4542851</v>
      </c>
      <c r="F3381" t="s">
        <v>42</v>
      </c>
      <c r="G3381">
        <v>-500.6841</v>
      </c>
      <c r="H3381">
        <v>7.9985979999999998E-2</v>
      </c>
      <c r="I3381">
        <v>262.55509999999998</v>
      </c>
      <c r="J3381">
        <v>-496.72129999999999</v>
      </c>
      <c r="K3381">
        <v>1.128663</v>
      </c>
      <c r="L3381">
        <v>274.85890000000001</v>
      </c>
      <c r="M3381">
        <v>-0.63576109999999997</v>
      </c>
      <c r="N3381">
        <v>0</v>
      </c>
      <c r="O3381">
        <v>-0.77166219999999996</v>
      </c>
      <c r="P3381">
        <v>-0.3994569</v>
      </c>
      <c r="Q3381">
        <v>0.1732793</v>
      </c>
      <c r="R3381">
        <v>-0.90022679999999999</v>
      </c>
      <c r="S3381">
        <v>-0.96856690000000001</v>
      </c>
      <c r="T3381">
        <v>-0.24871670000000001</v>
      </c>
      <c r="U3381">
        <v>-2.952728</v>
      </c>
      <c r="V3381">
        <v>-0.27259939999999999</v>
      </c>
      <c r="W3381">
        <v>0.17856710000000001</v>
      </c>
      <c r="X3381">
        <v>0.94541169999999997</v>
      </c>
      <c r="Y3381">
        <v>-0.36409970000000003</v>
      </c>
      <c r="Z3381">
        <v>5.2040160000000002E-2</v>
      </c>
      <c r="AA3381">
        <v>0.92990499999999998</v>
      </c>
      <c r="AB3381">
        <v>40</v>
      </c>
      <c r="AC3381">
        <v>-3.9628000000000099</v>
      </c>
      <c r="AD3381">
        <v>-1.04867702</v>
      </c>
      <c r="AE3381">
        <v>-12.303800000000001</v>
      </c>
      <c r="AF3381">
        <v>-4.7339992577554604</v>
      </c>
      <c r="AG3381">
        <v>-1.04867702</v>
      </c>
      <c r="AH3381">
        <v>11.937278063866</v>
      </c>
      <c r="AI3381">
        <v>94.668518959778297</v>
      </c>
      <c r="AJ3381">
        <v>111.63192810644701</v>
      </c>
      <c r="AK3381">
        <v>12.884451095749601</v>
      </c>
      <c r="AL3381">
        <v>79.713691056555007</v>
      </c>
      <c r="AM3381">
        <v>106.084353325828</v>
      </c>
      <c r="AN3381">
        <v>0.99999996228982901</v>
      </c>
    </row>
    <row r="3382" spans="1:40" x14ac:dyDescent="0.25">
      <c r="A3382" t="str">
        <f>"20190312172143906"</f>
        <v>20190312172143906</v>
      </c>
      <c r="B3382" t="str">
        <f>"1552382503893606"</f>
        <v>1552382503893606</v>
      </c>
      <c r="C3382" t="s">
        <v>40</v>
      </c>
      <c r="D3382">
        <v>3.6095950000000001</v>
      </c>
      <c r="E3382">
        <v>0.45451019999999998</v>
      </c>
      <c r="F3382" t="s">
        <v>42</v>
      </c>
      <c r="G3382">
        <v>-500.72070000000002</v>
      </c>
      <c r="H3382">
        <v>7.9986039999999994E-2</v>
      </c>
      <c r="I3382">
        <v>262.3775</v>
      </c>
      <c r="J3382">
        <v>-496.83600000000001</v>
      </c>
      <c r="K3382">
        <v>1.1286529999999999</v>
      </c>
      <c r="L3382">
        <v>274.71789999999999</v>
      </c>
      <c r="M3382">
        <v>-0.62981330000000002</v>
      </c>
      <c r="N3382">
        <v>0</v>
      </c>
      <c r="O3382">
        <v>-0.77652429999999995</v>
      </c>
      <c r="P3382">
        <v>-0.3926384</v>
      </c>
      <c r="Q3382">
        <v>0.17374010000000001</v>
      </c>
      <c r="R3382">
        <v>-0.90313350000000003</v>
      </c>
      <c r="S3382">
        <v>-0.94833369999999995</v>
      </c>
      <c r="T3382">
        <v>-0.24865719999999999</v>
      </c>
      <c r="U3382">
        <v>-2.9595340000000001</v>
      </c>
      <c r="V3382">
        <v>-0.2724432</v>
      </c>
      <c r="W3382">
        <v>0.17905360000000001</v>
      </c>
      <c r="X3382">
        <v>0.94536480000000001</v>
      </c>
      <c r="Y3382">
        <v>-0.36333749999999998</v>
      </c>
      <c r="Z3382">
        <v>5.2522100000000002E-2</v>
      </c>
      <c r="AA3382">
        <v>0.930176</v>
      </c>
      <c r="AB3382">
        <v>40</v>
      </c>
      <c r="AC3382">
        <v>-3.8847000000000098</v>
      </c>
      <c r="AD3382">
        <v>-1.04866696</v>
      </c>
      <c r="AE3382">
        <v>-12.340399999999899</v>
      </c>
      <c r="AF3382">
        <v>-4.7253584450180197</v>
      </c>
      <c r="AG3382">
        <v>-1.04866696</v>
      </c>
      <c r="AH3382">
        <v>11.952800366674101</v>
      </c>
      <c r="AI3382">
        <v>94.664405776388094</v>
      </c>
      <c r="AJ3382">
        <v>111.57061371474001</v>
      </c>
      <c r="AK3382">
        <v>12.895664055505801</v>
      </c>
      <c r="AL3382">
        <v>79.6853609468683</v>
      </c>
      <c r="AM3382">
        <v>106.076369522318</v>
      </c>
      <c r="AN3382">
        <v>1.0000000469891099</v>
      </c>
    </row>
    <row r="3383" spans="1:40" x14ac:dyDescent="0.25">
      <c r="A3383" t="str">
        <f>"20190312172143916"</f>
        <v>20190312172143916</v>
      </c>
      <c r="B3383" t="str">
        <f>"1552382503904342"</f>
        <v>1552382503904342</v>
      </c>
      <c r="C3383" t="s">
        <v>40</v>
      </c>
      <c r="D3383">
        <v>3.5993520000000001</v>
      </c>
      <c r="E3383">
        <v>0.45482719999999999</v>
      </c>
      <c r="F3383" t="s">
        <v>42</v>
      </c>
      <c r="G3383">
        <v>-500.74860000000001</v>
      </c>
      <c r="H3383">
        <v>7.9986089999999996E-2</v>
      </c>
      <c r="I3383">
        <v>262.21690000000001</v>
      </c>
      <c r="J3383">
        <v>-496.95249999999999</v>
      </c>
      <c r="K3383">
        <v>1.1286449999999999</v>
      </c>
      <c r="L3383">
        <v>274.57279999999997</v>
      </c>
      <c r="M3383">
        <v>-0.62368089999999998</v>
      </c>
      <c r="N3383">
        <v>0</v>
      </c>
      <c r="O3383">
        <v>-0.78145769999999903</v>
      </c>
      <c r="P3383">
        <v>-0.38570450000000001</v>
      </c>
      <c r="Q3383">
        <v>0.17387079999999999</v>
      </c>
      <c r="R3383">
        <v>-0.90609119999999999</v>
      </c>
      <c r="S3383">
        <v>-0.92831419999999998</v>
      </c>
      <c r="T3383">
        <v>-0.24880910000000001</v>
      </c>
      <c r="U3383">
        <v>-2.9660030000000002</v>
      </c>
      <c r="V3383">
        <v>-0.27223029999999998</v>
      </c>
      <c r="W3383">
        <v>0.17921689999999901</v>
      </c>
      <c r="X3383">
        <v>0.94539510000000004</v>
      </c>
      <c r="Y3383">
        <v>-0.36230790000000002</v>
      </c>
      <c r="Z3383">
        <v>5.3065840000000003E-2</v>
      </c>
      <c r="AA3383">
        <v>0.9305466</v>
      </c>
      <c r="AB3383">
        <v>40</v>
      </c>
      <c r="AC3383">
        <v>-3.79610000000002</v>
      </c>
      <c r="AD3383">
        <v>-1.0486589100000001</v>
      </c>
      <c r="AE3383">
        <v>-12.355899999999901</v>
      </c>
      <c r="AF3383">
        <v>-4.7094704259331701</v>
      </c>
      <c r="AG3383">
        <v>-1.0486589100000001</v>
      </c>
      <c r="AH3383">
        <v>11.9466180227703</v>
      </c>
      <c r="AI3383">
        <v>94.668559363530093</v>
      </c>
      <c r="AJ3383">
        <v>111.514830436667</v>
      </c>
      <c r="AK3383">
        <v>12.8841173304283</v>
      </c>
      <c r="AL3383">
        <v>79.675849850204699</v>
      </c>
      <c r="AM3383">
        <v>106.063966728829</v>
      </c>
      <c r="AN3383">
        <v>0.99999996429385396</v>
      </c>
    </row>
    <row r="3384" spans="1:40" x14ac:dyDescent="0.25">
      <c r="A3384" t="str">
        <f>"20190312172143927"</f>
        <v>20190312172143927</v>
      </c>
      <c r="B3384" t="str">
        <f>"1552382503923861"</f>
        <v>1552382503923861</v>
      </c>
      <c r="C3384" t="s">
        <v>40</v>
      </c>
      <c r="D3384">
        <v>3.6704530000000002</v>
      </c>
      <c r="E3384">
        <v>0.45552399999999998</v>
      </c>
      <c r="F3384" t="s">
        <v>42</v>
      </c>
      <c r="G3384">
        <v>-500.76409999999998</v>
      </c>
      <c r="H3384">
        <v>7.9986130000000003E-2</v>
      </c>
      <c r="I3384">
        <v>262.10449999999997</v>
      </c>
      <c r="J3384">
        <v>-497.0745</v>
      </c>
      <c r="K3384">
        <v>1.128638</v>
      </c>
      <c r="L3384">
        <v>274.41750000000002</v>
      </c>
      <c r="M3384">
        <v>-0.61710319999999996</v>
      </c>
      <c r="N3384">
        <v>0</v>
      </c>
      <c r="O3384">
        <v>-0.78666219999999998</v>
      </c>
      <c r="P3384">
        <v>-0.37857079999999999</v>
      </c>
      <c r="Q3384">
        <v>0.17434620000000001</v>
      </c>
      <c r="R3384">
        <v>-0.90900369999999997</v>
      </c>
      <c r="S3384">
        <v>-0.90859990000000002</v>
      </c>
      <c r="T3384">
        <v>-0.24997440000000001</v>
      </c>
      <c r="U3384">
        <v>-2.972137</v>
      </c>
      <c r="V3384">
        <v>-0.27168789999999998</v>
      </c>
      <c r="W3384">
        <v>0.17974509999999999</v>
      </c>
      <c r="X3384">
        <v>0.94545089999999998</v>
      </c>
      <c r="Y3384">
        <v>-0.36068240000000001</v>
      </c>
      <c r="Z3384">
        <v>5.3872910000000003E-2</v>
      </c>
      <c r="AA3384">
        <v>0.9311315</v>
      </c>
      <c r="AB3384">
        <v>40</v>
      </c>
      <c r="AC3384">
        <v>-3.68959999999998</v>
      </c>
      <c r="AD3384">
        <v>-1.04865187</v>
      </c>
      <c r="AE3384">
        <v>-12.313000000000001</v>
      </c>
      <c r="AF3384">
        <v>-4.6656827291578002</v>
      </c>
      <c r="AG3384">
        <v>-1.04865187</v>
      </c>
      <c r="AH3384">
        <v>11.885997822574501</v>
      </c>
      <c r="AI3384">
        <v>94.694895968145303</v>
      </c>
      <c r="AJ3384">
        <v>111.431797455908</v>
      </c>
      <c r="AK3384">
        <v>12.8119167306013</v>
      </c>
      <c r="AL3384">
        <v>79.645087148197902</v>
      </c>
      <c r="AM3384">
        <v>106.032709201616</v>
      </c>
      <c r="AN3384">
        <v>1.0000000101456099</v>
      </c>
    </row>
    <row r="3385" spans="1:40" x14ac:dyDescent="0.25">
      <c r="A3385" t="str">
        <f>"20190312172143941"</f>
        <v>20190312172143941</v>
      </c>
      <c r="B3385" t="str">
        <f>"1552382503933621"</f>
        <v>1552382503933621</v>
      </c>
      <c r="C3385" t="s">
        <v>40</v>
      </c>
      <c r="D3385">
        <v>3.6580110000000001</v>
      </c>
      <c r="E3385">
        <v>0.4558526</v>
      </c>
      <c r="F3385" t="s">
        <v>42</v>
      </c>
      <c r="G3385">
        <v>-500.80099999999999</v>
      </c>
      <c r="H3385">
        <v>7.9986169999999995E-2</v>
      </c>
      <c r="I3385">
        <v>261.96390000000002</v>
      </c>
      <c r="J3385">
        <v>-497.21660000000003</v>
      </c>
      <c r="K3385">
        <v>1.1286290000000001</v>
      </c>
      <c r="L3385">
        <v>274.23439999999999</v>
      </c>
      <c r="M3385">
        <v>-0.60931299999999999</v>
      </c>
      <c r="N3385">
        <v>0</v>
      </c>
      <c r="O3385">
        <v>-0.79271099999999906</v>
      </c>
      <c r="P3385">
        <v>-0.36990400000000001</v>
      </c>
      <c r="Q3385">
        <v>0.17482899999999901</v>
      </c>
      <c r="R3385">
        <v>-0.91247250000000002</v>
      </c>
      <c r="S3385">
        <v>-0.89093020000000001</v>
      </c>
      <c r="T3385">
        <v>-0.25071070000000001</v>
      </c>
      <c r="U3385">
        <v>-2.9773860000000001</v>
      </c>
      <c r="V3385">
        <v>-0.27131480000000002</v>
      </c>
      <c r="W3385">
        <v>0.18027789999999999</v>
      </c>
      <c r="X3385">
        <v>0.94545659999999998</v>
      </c>
      <c r="Y3385">
        <v>-0.35701529999999998</v>
      </c>
      <c r="Z3385">
        <v>5.4734820000000003E-2</v>
      </c>
      <c r="AA3385">
        <v>0.93249360000000003</v>
      </c>
      <c r="AB3385">
        <v>40</v>
      </c>
      <c r="AC3385">
        <v>-3.5843999999999601</v>
      </c>
      <c r="AD3385">
        <v>-1.0486428299999999</v>
      </c>
      <c r="AE3385">
        <v>-12.270499999999901</v>
      </c>
      <c r="AF3385">
        <v>-4.6049978282350397</v>
      </c>
      <c r="AG3385">
        <v>-1.0486428299999999</v>
      </c>
      <c r="AH3385">
        <v>11.8334182340504</v>
      </c>
      <c r="AI3385">
        <v>94.7210117876092</v>
      </c>
      <c r="AJ3385">
        <v>111.263596827756</v>
      </c>
      <c r="AK3385">
        <v>12.7410927272709</v>
      </c>
      <c r="AL3385">
        <v>79.614053020241897</v>
      </c>
      <c r="AM3385">
        <v>106.011729691398</v>
      </c>
      <c r="AN3385">
        <v>1.0000000122054999</v>
      </c>
    </row>
    <row r="3386" spans="1:40" x14ac:dyDescent="0.25">
      <c r="A3386" t="str">
        <f>"20190312172143953"</f>
        <v>20190312172143953</v>
      </c>
      <c r="B3386" t="str">
        <f>"1552382503944358"</f>
        <v>1552382503944358</v>
      </c>
      <c r="C3386" t="s">
        <v>40</v>
      </c>
      <c r="D3386">
        <v>3.6569799999999999</v>
      </c>
      <c r="E3386">
        <v>0.45623340000000001</v>
      </c>
      <c r="F3386" t="s">
        <v>42</v>
      </c>
      <c r="G3386">
        <v>-500.83670000000001</v>
      </c>
      <c r="H3386">
        <v>7.9986230000000005E-2</v>
      </c>
      <c r="I3386">
        <v>261.75049999999999</v>
      </c>
      <c r="J3386">
        <v>-497.34739999999999</v>
      </c>
      <c r="K3386">
        <v>1.128619</v>
      </c>
      <c r="L3386">
        <v>274.06060000000002</v>
      </c>
      <c r="M3386">
        <v>-0.60191190000000006</v>
      </c>
      <c r="N3386">
        <v>0</v>
      </c>
      <c r="O3386">
        <v>-0.79834469999999902</v>
      </c>
      <c r="P3386">
        <v>-0.36162889999999998</v>
      </c>
      <c r="Q3386">
        <v>0.17555119999999999</v>
      </c>
      <c r="R3386">
        <v>-0.91564540000000005</v>
      </c>
      <c r="S3386">
        <v>-0.86557009999999901</v>
      </c>
      <c r="T3386">
        <v>-0.25073119999999999</v>
      </c>
      <c r="U3386">
        <v>-2.9848940000000002</v>
      </c>
      <c r="V3386">
        <v>-0.27101989999999998</v>
      </c>
      <c r="W3386">
        <v>0.18104609999999999</v>
      </c>
      <c r="X3386">
        <v>0.94539439999999997</v>
      </c>
      <c r="Y3386">
        <v>-0.35626839999999999</v>
      </c>
      <c r="Z3386">
        <v>5.5321139999999998E-2</v>
      </c>
      <c r="AA3386">
        <v>0.93274460000000003</v>
      </c>
      <c r="AB3386">
        <v>40</v>
      </c>
      <c r="AC3386">
        <v>-3.4893000000000098</v>
      </c>
      <c r="AD3386">
        <v>-1.04863277</v>
      </c>
      <c r="AE3386">
        <v>-12.3101</v>
      </c>
      <c r="AF3386">
        <v>-4.5938797256643102</v>
      </c>
      <c r="AG3386">
        <v>-1.04863277</v>
      </c>
      <c r="AH3386">
        <v>11.850432285937901</v>
      </c>
      <c r="AI3386">
        <v>94.716590690324495</v>
      </c>
      <c r="AJ3386">
        <v>111.18907219484601</v>
      </c>
      <c r="AK3386">
        <v>12.7528862217063</v>
      </c>
      <c r="AL3386">
        <v>79.569302159867505</v>
      </c>
      <c r="AM3386">
        <v>105.996215298376</v>
      </c>
      <c r="AN3386">
        <v>1.0000000240362801</v>
      </c>
    </row>
    <row r="3387" spans="1:40" x14ac:dyDescent="0.25">
      <c r="A3387" t="str">
        <f>"20190312172143964"</f>
        <v>20190312172143964</v>
      </c>
      <c r="B3387" t="str">
        <f>"1552382503954118"</f>
        <v>1552382503954118</v>
      </c>
      <c r="C3387" t="s">
        <v>40</v>
      </c>
      <c r="D3387">
        <v>3.7882790000000002</v>
      </c>
      <c r="E3387">
        <v>0.45623340000000001</v>
      </c>
      <c r="F3387" t="s">
        <v>42</v>
      </c>
      <c r="G3387">
        <v>-500.8759</v>
      </c>
      <c r="H3387">
        <v>7.9986299999999996E-2</v>
      </c>
      <c r="I3387">
        <v>261.51150000000001</v>
      </c>
      <c r="J3387">
        <v>-497.46530000000001</v>
      </c>
      <c r="K3387">
        <v>1.128609</v>
      </c>
      <c r="L3387">
        <v>273.90179999999998</v>
      </c>
      <c r="M3387">
        <v>-0.59511840000000005</v>
      </c>
      <c r="N3387">
        <v>0</v>
      </c>
      <c r="O3387">
        <v>-0.80342119999999995</v>
      </c>
      <c r="P3387">
        <v>-0.35380820000000002</v>
      </c>
      <c r="Q3387">
        <v>0.1758998</v>
      </c>
      <c r="R3387">
        <v>-0.91862880000000002</v>
      </c>
      <c r="S3387">
        <v>-0.84130859999999996</v>
      </c>
      <c r="T3387">
        <v>-0.25002489999999999</v>
      </c>
      <c r="U3387">
        <v>-2.9920650000000002</v>
      </c>
      <c r="V3387">
        <v>-0.2710322</v>
      </c>
      <c r="W3387">
        <v>0.18142359999999999</v>
      </c>
      <c r="X3387">
        <v>0.94531849999999995</v>
      </c>
      <c r="Y3387">
        <v>-0.35593859999999999</v>
      </c>
      <c r="Z3387">
        <v>5.5677699999999899E-2</v>
      </c>
      <c r="AA3387">
        <v>0.93284920000000005</v>
      </c>
      <c r="AB3387">
        <v>40</v>
      </c>
      <c r="AC3387">
        <v>-3.4105999999999801</v>
      </c>
      <c r="AD3387">
        <v>-1.0486226999999999</v>
      </c>
      <c r="AE3387">
        <v>-12.3902999999999</v>
      </c>
      <c r="AF3387">
        <v>-4.6037024237149096</v>
      </c>
      <c r="AG3387">
        <v>-1.0486226999999999</v>
      </c>
      <c r="AH3387">
        <v>11.907149202034001</v>
      </c>
      <c r="AI3387">
        <v>94.695787661072899</v>
      </c>
      <c r="AJ3387">
        <v>111.13817019013599</v>
      </c>
      <c r="AK3387">
        <v>12.8091329797364</v>
      </c>
      <c r="AL3387">
        <v>79.547308760514298</v>
      </c>
      <c r="AM3387">
        <v>105.998122805622</v>
      </c>
      <c r="AN3387">
        <v>1.00000002125802</v>
      </c>
    </row>
    <row r="3388" spans="1:40" x14ac:dyDescent="0.25">
      <c r="A3388" t="str">
        <f>"20190312172143976"</f>
        <v>20190312172143976</v>
      </c>
      <c r="B3388" t="str">
        <f>"1552382503963878"</f>
        <v>1552382503963878</v>
      </c>
      <c r="C3388" t="s">
        <v>40</v>
      </c>
      <c r="D3388">
        <v>3.62229</v>
      </c>
      <c r="E3388">
        <v>0.46847070000000002</v>
      </c>
      <c r="F3388" t="s">
        <v>42</v>
      </c>
      <c r="G3388">
        <v>-500.90219999999999</v>
      </c>
      <c r="H3388">
        <v>7.9986370000000001E-2</v>
      </c>
      <c r="I3388">
        <v>261.27769999999998</v>
      </c>
      <c r="J3388">
        <v>-497.59370000000001</v>
      </c>
      <c r="K3388">
        <v>1.128598</v>
      </c>
      <c r="L3388">
        <v>273.72559999999999</v>
      </c>
      <c r="M3388">
        <v>-0.58755609999999903</v>
      </c>
      <c r="N3388">
        <v>0</v>
      </c>
      <c r="O3388">
        <v>-0.8089674</v>
      </c>
      <c r="P3388">
        <v>-0.34492070000000002</v>
      </c>
      <c r="Q3388">
        <v>0.1760408</v>
      </c>
      <c r="R3388">
        <v>-0.92197580000000001</v>
      </c>
      <c r="S3388">
        <v>-0.81646730000000001</v>
      </c>
      <c r="T3388">
        <v>-0.24911320000000001</v>
      </c>
      <c r="U3388">
        <v>-2.998993</v>
      </c>
      <c r="V3388">
        <v>-0.27127859999999998</v>
      </c>
      <c r="W3388">
        <v>0.18158540000000001</v>
      </c>
      <c r="X3388">
        <v>0.94521670000000002</v>
      </c>
      <c r="Y3388">
        <v>-0.35491699999999998</v>
      </c>
      <c r="Z3388">
        <v>5.6055229999999998E-2</v>
      </c>
      <c r="AA3388">
        <v>0.93321580000000004</v>
      </c>
      <c r="AB3388">
        <v>40</v>
      </c>
      <c r="AC3388">
        <v>-3.30849999999998</v>
      </c>
      <c r="AD3388">
        <v>-1.0486116299999999</v>
      </c>
      <c r="AE3388">
        <v>-12.447900000000001</v>
      </c>
      <c r="AF3388">
        <v>-4.6076415561838999</v>
      </c>
      <c r="AG3388">
        <v>-1.0486116299999999</v>
      </c>
      <c r="AH3388">
        <v>11.9368557954413</v>
      </c>
      <c r="AI3388">
        <v>94.685095456313803</v>
      </c>
      <c r="AJ3388">
        <v>111.106651865693</v>
      </c>
      <c r="AK3388">
        <v>12.838164718603799</v>
      </c>
      <c r="AL3388">
        <v>79.537881212399498</v>
      </c>
      <c r="AM3388">
        <v>106.013557852864</v>
      </c>
      <c r="AN3388">
        <v>0.99999997313500399</v>
      </c>
    </row>
    <row r="3389" spans="1:40" x14ac:dyDescent="0.25">
      <c r="A3389" t="str">
        <f>"20190312172143990"</f>
        <v>20190312172143990</v>
      </c>
      <c r="B3389" t="str">
        <f>"1552382503984374"</f>
        <v>1552382503984374</v>
      </c>
      <c r="C3389" t="s">
        <v>40</v>
      </c>
      <c r="D3389">
        <v>3.5937399999999999</v>
      </c>
      <c r="E3389">
        <v>0.46826220000000002</v>
      </c>
      <c r="F3389" t="s">
        <v>42</v>
      </c>
      <c r="G3389">
        <v>-500.77390000000003</v>
      </c>
      <c r="H3389">
        <v>7.9985860000000006E-2</v>
      </c>
      <c r="I3389">
        <v>263.0102</v>
      </c>
      <c r="J3389">
        <v>-497.72609999999997</v>
      </c>
      <c r="K3389">
        <v>1.1285849999999999</v>
      </c>
      <c r="L3389">
        <v>273.5394</v>
      </c>
      <c r="M3389">
        <v>-0.57953599999999905</v>
      </c>
      <c r="N3389">
        <v>0</v>
      </c>
      <c r="O3389">
        <v>-0.8147316</v>
      </c>
      <c r="P3389">
        <v>-0.33542</v>
      </c>
      <c r="Q3389">
        <v>0.17638129999999999</v>
      </c>
      <c r="R3389">
        <v>-0.9254097</v>
      </c>
      <c r="S3389">
        <v>-0.88406369999999901</v>
      </c>
      <c r="T3389">
        <v>-0.29150690000000001</v>
      </c>
      <c r="U3389">
        <v>-2.9788209999999999</v>
      </c>
      <c r="V3389">
        <v>-0.27163490000000001</v>
      </c>
      <c r="W3389">
        <v>0.1819422</v>
      </c>
      <c r="X3389">
        <v>0.94504580000000005</v>
      </c>
      <c r="Y3389">
        <v>-0.324542</v>
      </c>
      <c r="Z3389">
        <v>6.7124660000000003E-2</v>
      </c>
      <c r="AA3389">
        <v>0.94348650000000001</v>
      </c>
      <c r="AB3389">
        <v>40</v>
      </c>
      <c r="AC3389">
        <v>-3.0478000000000498</v>
      </c>
      <c r="AD3389">
        <v>-1.0485991400000001</v>
      </c>
      <c r="AE3389">
        <v>-10.529199999999999</v>
      </c>
      <c r="AF3389">
        <v>-3.5867225058065499</v>
      </c>
      <c r="AG3389">
        <v>-1.0485991400000001</v>
      </c>
      <c r="AH3389">
        <v>10.2527685018776</v>
      </c>
      <c r="AI3389">
        <v>95.514131709953503</v>
      </c>
      <c r="AJ3389">
        <v>109.281351024949</v>
      </c>
      <c r="AK3389">
        <v>10.912534098144301</v>
      </c>
      <c r="AL3389">
        <v>79.517092306306793</v>
      </c>
      <c r="AM3389">
        <v>106.036260332944</v>
      </c>
      <c r="AN3389">
        <v>1.00000002356824</v>
      </c>
    </row>
    <row r="3390" spans="1:40" x14ac:dyDescent="0.25">
      <c r="A3390" t="str">
        <f>"20190312172144001"</f>
        <v>20190312172144001</v>
      </c>
      <c r="B3390" t="str">
        <f>"1552382503994137"</f>
        <v>1552382503994137</v>
      </c>
      <c r="C3390" t="s">
        <v>40</v>
      </c>
      <c r="D3390">
        <v>3.5265010000000001</v>
      </c>
      <c r="E3390">
        <v>0.44893119999999997</v>
      </c>
      <c r="F3390" t="s">
        <v>42</v>
      </c>
      <c r="G3390">
        <v>-500.7518</v>
      </c>
      <c r="H3390">
        <v>7.9985879999999995E-2</v>
      </c>
      <c r="I3390">
        <v>262.93450000000001</v>
      </c>
      <c r="J3390">
        <v>-497.85039999999998</v>
      </c>
      <c r="K3390">
        <v>1.128582</v>
      </c>
      <c r="L3390">
        <v>273.36200000000002</v>
      </c>
      <c r="M3390">
        <v>-0.57186340000000002</v>
      </c>
      <c r="N3390">
        <v>0</v>
      </c>
      <c r="O3390">
        <v>-0.8201349</v>
      </c>
      <c r="P3390">
        <v>-0.32610600000000001</v>
      </c>
      <c r="Q3390">
        <v>0.17653250000000001</v>
      </c>
      <c r="R3390">
        <v>-0.92870430000000004</v>
      </c>
      <c r="S3390">
        <v>-0.85284419999999905</v>
      </c>
      <c r="T3390">
        <v>-0.29555999999999999</v>
      </c>
      <c r="U3390">
        <v>-2.9891049999999999</v>
      </c>
      <c r="V3390">
        <v>-0.27224490000000001</v>
      </c>
      <c r="W3390">
        <v>0.18209510000000001</v>
      </c>
      <c r="X3390">
        <v>0.94484080000000004</v>
      </c>
      <c r="Y3390">
        <v>-0.32566200000000001</v>
      </c>
      <c r="Z3390">
        <v>6.8624550000000006E-2</v>
      </c>
      <c r="AA3390">
        <v>0.94299259999999996</v>
      </c>
      <c r="AB3390">
        <v>40</v>
      </c>
      <c r="AC3390">
        <v>-2.9014000000000202</v>
      </c>
      <c r="AD3390">
        <v>-1.04859612</v>
      </c>
      <c r="AE3390">
        <v>-10.4275</v>
      </c>
      <c r="AF3390">
        <v>-3.55086757579158</v>
      </c>
      <c r="AG3390">
        <v>-1.04859612</v>
      </c>
      <c r="AH3390">
        <v>10.1179883187231</v>
      </c>
      <c r="AI3390">
        <v>95.585173096782597</v>
      </c>
      <c r="AJ3390">
        <v>109.33831889555201</v>
      </c>
      <c r="AK3390">
        <v>10.774131147406001</v>
      </c>
      <c r="AL3390">
        <v>79.508182958268904</v>
      </c>
      <c r="AM3390">
        <v>106.073721737005</v>
      </c>
      <c r="AN3390">
        <v>1.0000000241823199</v>
      </c>
    </row>
    <row r="3391" spans="1:40" x14ac:dyDescent="0.25">
      <c r="A3391" t="str">
        <f>"20190312172144017"</f>
        <v>20190312172144017</v>
      </c>
      <c r="B3391" t="str">
        <f>"1552382504013654"</f>
        <v>1552382504013654</v>
      </c>
      <c r="C3391" t="s">
        <v>40</v>
      </c>
      <c r="D3391">
        <v>3.6289579999999999</v>
      </c>
      <c r="E3391">
        <v>0.44143690000000002</v>
      </c>
      <c r="F3391" t="s">
        <v>41</v>
      </c>
      <c r="G3391">
        <v>-498.1053</v>
      </c>
      <c r="H3391">
        <v>1.025112</v>
      </c>
      <c r="I3391">
        <v>272.21210000000002</v>
      </c>
      <c r="J3391">
        <v>-497.9991</v>
      </c>
      <c r="K3391">
        <v>1.1285750000000001</v>
      </c>
      <c r="L3391">
        <v>273.1438</v>
      </c>
      <c r="M3391">
        <v>-0.56239269999999997</v>
      </c>
      <c r="N3391">
        <v>0</v>
      </c>
      <c r="O3391">
        <v>-0.82665710000000003</v>
      </c>
      <c r="P3391">
        <v>-0.31445070000000003</v>
      </c>
      <c r="Q3391">
        <v>0.17715600000000001</v>
      </c>
      <c r="R3391">
        <v>-0.93259639999999999</v>
      </c>
      <c r="S3391">
        <v>-0.67489619999999995</v>
      </c>
      <c r="T3391">
        <v>-0.27401550000000002</v>
      </c>
      <c r="U3391">
        <v>-3.0454409999999998</v>
      </c>
      <c r="V3391">
        <v>-0.27316679999999999</v>
      </c>
      <c r="W3391">
        <v>0.18271019999999999</v>
      </c>
      <c r="X3391">
        <v>0.94445590000000001</v>
      </c>
      <c r="Y3391">
        <v>-0.37071110000000002</v>
      </c>
      <c r="Z3391">
        <v>6.2921400000000002E-2</v>
      </c>
      <c r="AA3391">
        <v>0.92661439999999995</v>
      </c>
      <c r="AB3391">
        <v>40</v>
      </c>
      <c r="AC3391">
        <v>-0.106200000000001</v>
      </c>
      <c r="AD3391">
        <v>-0.103463</v>
      </c>
      <c r="AE3391">
        <v>-0.93169999999997799</v>
      </c>
      <c r="AF3391">
        <v>-0.43102021260912499</v>
      </c>
      <c r="AG3391">
        <v>-0.103463</v>
      </c>
      <c r="AH3391">
        <v>0.82008560838188305</v>
      </c>
      <c r="AI3391">
        <v>96.372173860399798</v>
      </c>
      <c r="AJ3391">
        <v>117.72549689979</v>
      </c>
      <c r="AK3391">
        <v>0.93221425708991401</v>
      </c>
      <c r="AL3391">
        <v>79.472339091190307</v>
      </c>
      <c r="AM3391">
        <v>106.131557251244</v>
      </c>
      <c r="AN3391">
        <v>1.00000003242554</v>
      </c>
    </row>
    <row r="3392" spans="1:40" x14ac:dyDescent="0.25">
      <c r="A3392" t="str">
        <f>"20190312172144029"</f>
        <v>20190312172144029</v>
      </c>
      <c r="B3392" t="str">
        <f>"1552382504024391"</f>
        <v>1552382504024391</v>
      </c>
      <c r="C3392" t="s">
        <v>40</v>
      </c>
      <c r="D3392">
        <v>3.6449940000000001</v>
      </c>
      <c r="E3392">
        <v>0.43962479999999998</v>
      </c>
      <c r="F3392" t="s">
        <v>42</v>
      </c>
      <c r="G3392">
        <v>-500.49579999999997</v>
      </c>
      <c r="H3392">
        <v>7.9986769999999999E-2</v>
      </c>
      <c r="I3392">
        <v>259.87310000000002</v>
      </c>
      <c r="J3392">
        <v>-498.11</v>
      </c>
      <c r="K3392">
        <v>1.128571</v>
      </c>
      <c r="L3392">
        <v>272.97669999999999</v>
      </c>
      <c r="M3392">
        <v>-0.55511199999999905</v>
      </c>
      <c r="N3392">
        <v>0</v>
      </c>
      <c r="O3392">
        <v>-0.831563099999999</v>
      </c>
      <c r="P3392">
        <v>-0.30614789999999997</v>
      </c>
      <c r="Q3392">
        <v>0.1781993</v>
      </c>
      <c r="R3392">
        <v>-0.93515689999999996</v>
      </c>
      <c r="S3392">
        <v>-0.57723999999999998</v>
      </c>
      <c r="T3392">
        <v>-0.2424376</v>
      </c>
      <c r="U3392">
        <v>-3.0682369999999999</v>
      </c>
      <c r="V3392">
        <v>-0.273202</v>
      </c>
      <c r="W3392">
        <v>0.18377760000000001</v>
      </c>
      <c r="X3392">
        <v>0.94423849999999998</v>
      </c>
      <c r="Y3392">
        <v>-0.39213009999999998</v>
      </c>
      <c r="Z3392">
        <v>5.5631859999999998E-2</v>
      </c>
      <c r="AA3392">
        <v>0.91822610000000005</v>
      </c>
      <c r="AB3392">
        <v>40</v>
      </c>
      <c r="AC3392">
        <v>-2.3857999999999602</v>
      </c>
      <c r="AD3392">
        <v>-1.0485842299999999</v>
      </c>
      <c r="AE3392">
        <v>-13.103599999999901</v>
      </c>
      <c r="AF3392">
        <v>-5.2583654365427197</v>
      </c>
      <c r="AG3392">
        <v>-1.0485842299999999</v>
      </c>
      <c r="AH3392">
        <v>12.147723540825901</v>
      </c>
      <c r="AI3392">
        <v>94.529300418530596</v>
      </c>
      <c r="AJ3392">
        <v>113.40626078797899</v>
      </c>
      <c r="AK3392">
        <v>13.2784458117646</v>
      </c>
      <c r="AL3392">
        <v>79.410127218665593</v>
      </c>
      <c r="AM3392">
        <v>106.137049041301</v>
      </c>
      <c r="AN3392">
        <v>0.99999994197400299</v>
      </c>
    </row>
    <row r="3393" spans="1:40" x14ac:dyDescent="0.25">
      <c r="A3393" t="str">
        <f>"20190312172144040"</f>
        <v>20190312172144040</v>
      </c>
      <c r="B3393" t="str">
        <f>"1552382504034149"</f>
        <v>1552382504034149</v>
      </c>
      <c r="C3393" t="s">
        <v>40</v>
      </c>
      <c r="D3393">
        <v>3.6317759999999999</v>
      </c>
      <c r="E3393">
        <v>0.4385117</v>
      </c>
      <c r="F3393" t="s">
        <v>42</v>
      </c>
      <c r="G3393">
        <v>-500.5496</v>
      </c>
      <c r="H3393">
        <v>7.9985570000000006E-2</v>
      </c>
      <c r="I3393">
        <v>258.94420000000002</v>
      </c>
      <c r="J3393">
        <v>-498.21539999999999</v>
      </c>
      <c r="K3393">
        <v>1.128573</v>
      </c>
      <c r="L3393">
        <v>272.81689999999998</v>
      </c>
      <c r="M3393">
        <v>-0.54811219999999905</v>
      </c>
      <c r="N3393">
        <v>0</v>
      </c>
      <c r="O3393">
        <v>-0.83619330000000003</v>
      </c>
      <c r="P3393">
        <v>-0.29876029999999998</v>
      </c>
      <c r="Q3393">
        <v>0.17925089999999999</v>
      </c>
      <c r="R3393">
        <v>-0.93734269999999997</v>
      </c>
      <c r="S3393">
        <v>-0.53488159999999996</v>
      </c>
      <c r="T3393">
        <v>-0.22990830000000001</v>
      </c>
      <c r="U3393">
        <v>-3.076721</v>
      </c>
      <c r="V3393">
        <v>-0.27265780000000001</v>
      </c>
      <c r="W3393">
        <v>0.18488170000000001</v>
      </c>
      <c r="X3393">
        <v>0.94418029999999997</v>
      </c>
      <c r="Y3393">
        <v>-0.39707979999999998</v>
      </c>
      <c r="Z3393">
        <v>5.3088780000000002E-2</v>
      </c>
      <c r="AA3393">
        <v>0.91624740000000005</v>
      </c>
      <c r="AB3393">
        <v>40</v>
      </c>
      <c r="AC3393">
        <v>-2.3342000000000098</v>
      </c>
      <c r="AD3393">
        <v>-1.04858743</v>
      </c>
      <c r="AE3393">
        <v>-13.872699999999901</v>
      </c>
      <c r="AF3393">
        <v>-5.6217194415259897</v>
      </c>
      <c r="AG3393">
        <v>-1.04858743</v>
      </c>
      <c r="AH3393">
        <v>12.810764477923501</v>
      </c>
      <c r="AI3393">
        <v>94.286462417085104</v>
      </c>
      <c r="AJ3393">
        <v>113.69320109517101</v>
      </c>
      <c r="AK3393">
        <v>14.029217782414401</v>
      </c>
      <c r="AL3393">
        <v>79.345764442411195</v>
      </c>
      <c r="AM3393">
        <v>106.10751485660001</v>
      </c>
      <c r="AN3393">
        <v>0.99999997890190895</v>
      </c>
    </row>
    <row r="3394" spans="1:40" x14ac:dyDescent="0.25">
      <c r="A3394" t="str">
        <f>"20190312172144051"</f>
        <v>20190312172144051</v>
      </c>
      <c r="B3394" t="str">
        <f>"1552382504043910"</f>
        <v>1552382504043910</v>
      </c>
      <c r="C3394" t="s">
        <v>40</v>
      </c>
      <c r="D3394">
        <v>3.5925150000000001</v>
      </c>
      <c r="E3394">
        <v>0.43795970000000001</v>
      </c>
      <c r="F3394" t="s">
        <v>42</v>
      </c>
      <c r="G3394">
        <v>-500.58010000000002</v>
      </c>
      <c r="H3394">
        <v>7.9985790000000001E-2</v>
      </c>
      <c r="I3394">
        <v>258.22269999999997</v>
      </c>
      <c r="J3394">
        <v>-498.32530000000003</v>
      </c>
      <c r="K3394">
        <v>1.1284050000000001</v>
      </c>
      <c r="L3394">
        <v>272.6447</v>
      </c>
      <c r="M3394">
        <v>-0.54149130000000001</v>
      </c>
      <c r="N3394">
        <v>0</v>
      </c>
      <c r="O3394">
        <v>-0.84049079999999998</v>
      </c>
      <c r="P3394">
        <v>-0.29218880000000003</v>
      </c>
      <c r="Q3394">
        <v>0.179227</v>
      </c>
      <c r="R3394">
        <v>-0.9394169</v>
      </c>
      <c r="S3394">
        <v>-0.49966430000000001</v>
      </c>
      <c r="T3394">
        <v>-0.22156319999999999</v>
      </c>
      <c r="U3394">
        <v>-3.08371</v>
      </c>
      <c r="V3394">
        <v>-0.27171210000000001</v>
      </c>
      <c r="W3394">
        <v>0.18528240000000001</v>
      </c>
      <c r="X3394">
        <v>0.94437439999999995</v>
      </c>
      <c r="Y3394">
        <v>-0.40034579999999997</v>
      </c>
      <c r="Z3394">
        <v>5.148291E-2</v>
      </c>
      <c r="AA3394">
        <v>0.91491679999999997</v>
      </c>
      <c r="AB3394">
        <v>40</v>
      </c>
      <c r="AC3394">
        <v>-2.2547999999999799</v>
      </c>
      <c r="AD3394">
        <v>-1.0484192099999901</v>
      </c>
      <c r="AE3394">
        <v>-14.422000000000001</v>
      </c>
      <c r="AF3394">
        <v>-5.8849626857164496</v>
      </c>
      <c r="AG3394">
        <v>-1.0484192099999901</v>
      </c>
      <c r="AH3394">
        <v>13.2764434240811</v>
      </c>
      <c r="AI3394">
        <v>94.129237522877304</v>
      </c>
      <c r="AJ3394">
        <v>113.905961675325</v>
      </c>
      <c r="AK3394">
        <v>14.5600796235803</v>
      </c>
      <c r="AL3394">
        <v>79.322402844718397</v>
      </c>
      <c r="AM3394">
        <v>106.05140031419801</v>
      </c>
      <c r="AN3394">
        <v>1.00000002020576</v>
      </c>
    </row>
    <row r="3395" spans="1:40" x14ac:dyDescent="0.25">
      <c r="A3395" t="str">
        <f>"20190312172144062"</f>
        <v>20190312172144062</v>
      </c>
      <c r="B3395" t="str">
        <f>"1552382504053670"</f>
        <v>1552382504053670</v>
      </c>
      <c r="C3395" t="s">
        <v>40</v>
      </c>
      <c r="D3395">
        <v>3.6143360000000002</v>
      </c>
      <c r="E3395">
        <v>0.43775459999999999</v>
      </c>
      <c r="F3395" t="s">
        <v>42</v>
      </c>
      <c r="G3395">
        <v>-500.58109999999999</v>
      </c>
      <c r="H3395">
        <v>7.9985879999999995E-2</v>
      </c>
      <c r="I3395">
        <v>257.90719999999999</v>
      </c>
      <c r="J3395">
        <v>-498.42189999999999</v>
      </c>
      <c r="K3395">
        <v>1.1282430000000001</v>
      </c>
      <c r="L3395">
        <v>272.4923</v>
      </c>
      <c r="M3395">
        <v>-0.53573139999999997</v>
      </c>
      <c r="N3395">
        <v>0</v>
      </c>
      <c r="O3395">
        <v>-0.84416919999999995</v>
      </c>
      <c r="P3395">
        <v>-0.28650910000000002</v>
      </c>
      <c r="Q3395">
        <v>0.1789839</v>
      </c>
      <c r="R3395">
        <v>-0.94121080000000001</v>
      </c>
      <c r="S3395">
        <v>-0.47271730000000001</v>
      </c>
      <c r="T3395">
        <v>-0.21970239999999999</v>
      </c>
      <c r="U3395">
        <v>-3.0883479999999999</v>
      </c>
      <c r="V3395">
        <v>-0.27086650000000001</v>
      </c>
      <c r="W3395">
        <v>0.18543570000000001</v>
      </c>
      <c r="X3395">
        <v>0.94458719999999996</v>
      </c>
      <c r="Y3395">
        <v>-0.40208660000000002</v>
      </c>
      <c r="Z3395">
        <v>5.1351180000000003E-2</v>
      </c>
      <c r="AA3395">
        <v>0.91416050000000004</v>
      </c>
      <c r="AB3395">
        <v>40</v>
      </c>
      <c r="AC3395">
        <v>-2.15919999999999</v>
      </c>
      <c r="AD3395">
        <v>-1.0482571199999999</v>
      </c>
      <c r="AE3395">
        <v>-14.585100000000001</v>
      </c>
      <c r="AF3395">
        <v>-5.9619389903367104</v>
      </c>
      <c r="AG3395">
        <v>-1.0482571199999999</v>
      </c>
      <c r="AH3395">
        <v>13.403784381519801</v>
      </c>
      <c r="AI3395">
        <v>94.087197018787606</v>
      </c>
      <c r="AJ3395">
        <v>113.97926879156201</v>
      </c>
      <c r="AK3395">
        <v>14.707310945934401</v>
      </c>
      <c r="AL3395">
        <v>79.313464495514907</v>
      </c>
      <c r="AM3395">
        <v>106.000587327685</v>
      </c>
      <c r="AN3395">
        <v>1.00000001903028</v>
      </c>
    </row>
    <row r="3396" spans="1:40" x14ac:dyDescent="0.25">
      <c r="A3396" t="str">
        <f>"20190312172144073"</f>
        <v>20190312172144073</v>
      </c>
      <c r="B3396" t="str">
        <f>"1552382504064406"</f>
        <v>1552382504064406</v>
      </c>
      <c r="C3396" t="s">
        <v>40</v>
      </c>
      <c r="D3396">
        <v>3.61564</v>
      </c>
      <c r="E3396">
        <v>0.4377547</v>
      </c>
      <c r="F3396" t="s">
        <v>41</v>
      </c>
      <c r="G3396">
        <v>-498.58519999999999</v>
      </c>
      <c r="H3396">
        <v>1.0491839999999999</v>
      </c>
      <c r="I3396">
        <v>271.3784</v>
      </c>
      <c r="J3396">
        <v>-498.52300000000002</v>
      </c>
      <c r="K3396">
        <v>1.1280300000000001</v>
      </c>
      <c r="L3396">
        <v>272.32870000000003</v>
      </c>
      <c r="M3396">
        <v>-0.53002039999999995</v>
      </c>
      <c r="N3396">
        <v>0</v>
      </c>
      <c r="O3396">
        <v>-0.8477616</v>
      </c>
      <c r="P3396">
        <v>-0.2809024</v>
      </c>
      <c r="Q3396">
        <v>0.1778835</v>
      </c>
      <c r="R3396">
        <v>-0.94310720000000003</v>
      </c>
      <c r="S3396">
        <v>-0.45269779999999998</v>
      </c>
      <c r="T3396">
        <v>-0.2193515</v>
      </c>
      <c r="U3396">
        <v>-3.0912480000000002</v>
      </c>
      <c r="V3396">
        <v>-0.27000180000000001</v>
      </c>
      <c r="W3396">
        <v>0.1848292</v>
      </c>
      <c r="X3396">
        <v>0.94495359999999995</v>
      </c>
      <c r="Y3396">
        <v>-0.40182849999999998</v>
      </c>
      <c r="Z3396">
        <v>5.1612129999999999E-2</v>
      </c>
      <c r="AA3396">
        <v>0.9142593</v>
      </c>
      <c r="AB3396">
        <v>39</v>
      </c>
      <c r="AC3396">
        <v>-6.2199999999961599E-2</v>
      </c>
      <c r="AD3396">
        <v>-7.8845999999999694E-2</v>
      </c>
      <c r="AE3396">
        <v>-0.95030000000002701</v>
      </c>
      <c r="AF3396">
        <v>-0.44796241610338999</v>
      </c>
      <c r="AG3396">
        <v>-7.8845999999999694E-2</v>
      </c>
      <c r="AH3396">
        <v>0.83304375661965002</v>
      </c>
      <c r="AI3396">
        <v>94.765155657739498</v>
      </c>
      <c r="AJ3396">
        <v>118.268775508061</v>
      </c>
      <c r="AK3396">
        <v>0.94913061187602898</v>
      </c>
      <c r="AL3396">
        <v>79.348826048378498</v>
      </c>
      <c r="AM3396">
        <v>105.946239960499</v>
      </c>
      <c r="AN3396">
        <v>1.00000005566441</v>
      </c>
    </row>
    <row r="3397" spans="1:40" x14ac:dyDescent="0.25">
      <c r="A3397" t="str">
        <f>"20190312172144084"</f>
        <v>20190312172144084</v>
      </c>
      <c r="B3397" t="str">
        <f>"1552382504074166"</f>
        <v>1552382504074166</v>
      </c>
      <c r="C3397" t="s">
        <v>40</v>
      </c>
      <c r="D3397">
        <v>3.6092740000000001</v>
      </c>
      <c r="E3397">
        <v>0.43790669999999998</v>
      </c>
      <c r="F3397" t="s">
        <v>42</v>
      </c>
      <c r="G3397">
        <v>-500.56310000000002</v>
      </c>
      <c r="H3397">
        <v>7.9985890000000004E-2</v>
      </c>
      <c r="I3397">
        <v>257.85759999999999</v>
      </c>
      <c r="J3397">
        <v>-498.62139999999999</v>
      </c>
      <c r="K3397">
        <v>1.1278030000000001</v>
      </c>
      <c r="L3397">
        <v>272.1669</v>
      </c>
      <c r="M3397">
        <v>-0.52443580000000001</v>
      </c>
      <c r="N3397">
        <v>0</v>
      </c>
      <c r="O3397">
        <v>-0.85122509999999996</v>
      </c>
      <c r="P3397">
        <v>-0.27499099999999999</v>
      </c>
      <c r="Q3397">
        <v>0.175891299999999</v>
      </c>
      <c r="R3397">
        <v>-0.94522079999999997</v>
      </c>
      <c r="S3397">
        <v>-0.43609619999999999</v>
      </c>
      <c r="T3397">
        <v>-0.22402749999999999</v>
      </c>
      <c r="U3397">
        <v>-3.0932919999999999</v>
      </c>
      <c r="V3397">
        <v>-0.26961740000000001</v>
      </c>
      <c r="W3397">
        <v>0.18326809999999999</v>
      </c>
      <c r="X3397">
        <v>0.94536730000000002</v>
      </c>
      <c r="Y3397">
        <v>-0.4007134</v>
      </c>
      <c r="Z3397">
        <v>5.306831E-2</v>
      </c>
      <c r="AA3397">
        <v>0.91466530000000001</v>
      </c>
      <c r="AB3397">
        <v>39</v>
      </c>
      <c r="AC3397">
        <v>-1.94170000000002</v>
      </c>
      <c r="AD3397">
        <v>-1.04781711</v>
      </c>
      <c r="AE3397">
        <v>-14.3093</v>
      </c>
      <c r="AF3397">
        <v>-5.8219526501413403</v>
      </c>
      <c r="AG3397">
        <v>-1.04781711</v>
      </c>
      <c r="AH3397">
        <v>13.1321175942217</v>
      </c>
      <c r="AI3397">
        <v>94.1719574934028</v>
      </c>
      <c r="AJ3397">
        <v>113.909478073316</v>
      </c>
      <c r="AK3397">
        <v>14.402970730545899</v>
      </c>
      <c r="AL3397">
        <v>79.439824801506305</v>
      </c>
      <c r="AM3397">
        <v>105.918073793235</v>
      </c>
      <c r="AN3397">
        <v>1.00000003538482</v>
      </c>
    </row>
    <row r="3398" spans="1:40" x14ac:dyDescent="0.25">
      <c r="A3398" t="str">
        <f>"20190312172144094"</f>
        <v>20190312172144094</v>
      </c>
      <c r="B3398" t="str">
        <f>"1552382504083928"</f>
        <v>1552382504083928</v>
      </c>
      <c r="C3398" t="s">
        <v>40</v>
      </c>
      <c r="D3398">
        <v>3.6103399999999999</v>
      </c>
      <c r="E3398">
        <v>0.43825750000000002</v>
      </c>
      <c r="F3398" t="s">
        <v>41</v>
      </c>
      <c r="G3398">
        <v>-498.76749999999998</v>
      </c>
      <c r="H3398">
        <v>1.046978</v>
      </c>
      <c r="I3398">
        <v>271.09010000000001</v>
      </c>
      <c r="J3398">
        <v>-498.71749999999997</v>
      </c>
      <c r="K3398">
        <v>1.1275520000000001</v>
      </c>
      <c r="L3398">
        <v>272.00540000000001</v>
      </c>
      <c r="M3398">
        <v>-0.51896540000000002</v>
      </c>
      <c r="N3398">
        <v>0</v>
      </c>
      <c r="O3398">
        <v>-0.85457109999999903</v>
      </c>
      <c r="P3398">
        <v>-0.26902720000000002</v>
      </c>
      <c r="Q3398">
        <v>0.17527390000000001</v>
      </c>
      <c r="R3398">
        <v>-0.9470499</v>
      </c>
      <c r="S3398">
        <v>-0.41946410000000001</v>
      </c>
      <c r="T3398">
        <v>-0.23226559999999999</v>
      </c>
      <c r="U3398">
        <v>-3.0950319999999998</v>
      </c>
      <c r="V3398">
        <v>-0.26929890000000001</v>
      </c>
      <c r="W3398">
        <v>0.18301770000000001</v>
      </c>
      <c r="X3398">
        <v>0.94550659999999997</v>
      </c>
      <c r="Y3398">
        <v>-0.39974559999999998</v>
      </c>
      <c r="Z3398">
        <v>5.537396E-2</v>
      </c>
      <c r="AA3398">
        <v>0.91495199999999999</v>
      </c>
      <c r="AB3398">
        <v>39</v>
      </c>
      <c r="AC3398">
        <v>-5.0000000000011299E-2</v>
      </c>
      <c r="AD3398">
        <v>-8.0574000000000104E-2</v>
      </c>
      <c r="AE3398">
        <v>-0.915300000000002</v>
      </c>
      <c r="AF3398">
        <v>-0.42904837732656298</v>
      </c>
      <c r="AG3398">
        <v>-8.0574000000000104E-2</v>
      </c>
      <c r="AH3398">
        <v>0.80209487344740504</v>
      </c>
      <c r="AI3398">
        <v>95.061947616339793</v>
      </c>
      <c r="AJ3398">
        <v>118.142761319844</v>
      </c>
      <c r="AK3398">
        <v>0.91319815241445002</v>
      </c>
      <c r="AL3398">
        <v>79.454418689185999</v>
      </c>
      <c r="AM3398">
        <v>105.897996756301</v>
      </c>
      <c r="AN3398">
        <v>1.0000000533490201</v>
      </c>
    </row>
    <row r="3399" spans="1:40" x14ac:dyDescent="0.25">
      <c r="A3399" t="str">
        <f>"20190312172144107"</f>
        <v>20190312172144107</v>
      </c>
      <c r="B3399" t="str">
        <f>"1552382504104422"</f>
        <v>1552382504104422</v>
      </c>
      <c r="C3399" t="s">
        <v>40</v>
      </c>
      <c r="D3399">
        <v>3.6296789999999999</v>
      </c>
      <c r="E3399">
        <v>0.43902370000000002</v>
      </c>
      <c r="F3399" t="s">
        <v>42</v>
      </c>
      <c r="G3399">
        <v>-500.50990000000002</v>
      </c>
      <c r="H3399">
        <v>7.9985760000000003E-2</v>
      </c>
      <c r="I3399">
        <v>258.29570000000001</v>
      </c>
      <c r="J3399">
        <v>-498.81819999999999</v>
      </c>
      <c r="K3399">
        <v>1.127251</v>
      </c>
      <c r="L3399">
        <v>271.83190000000002</v>
      </c>
      <c r="M3399">
        <v>-0.51289099999999999</v>
      </c>
      <c r="N3399">
        <v>0</v>
      </c>
      <c r="O3399">
        <v>-0.85823549999999904</v>
      </c>
      <c r="P3399">
        <v>-0.26231399999999999</v>
      </c>
      <c r="Q3399">
        <v>0.17467289999999999</v>
      </c>
      <c r="R3399">
        <v>-0.94904230000000001</v>
      </c>
      <c r="S3399">
        <v>-0.4048157</v>
      </c>
      <c r="T3399">
        <v>-0.23660349999999999</v>
      </c>
      <c r="U3399">
        <v>-3.0964659999999999</v>
      </c>
      <c r="V3399">
        <v>-0.26900560000000001</v>
      </c>
      <c r="W3399">
        <v>0.1826661</v>
      </c>
      <c r="X3399">
        <v>0.945658</v>
      </c>
      <c r="Y3399">
        <v>-0.39756010000000003</v>
      </c>
      <c r="Z3399">
        <v>5.6832279999999999E-2</v>
      </c>
      <c r="AA3399">
        <v>0.91581440000000003</v>
      </c>
      <c r="AB3399">
        <v>39</v>
      </c>
      <c r="AC3399">
        <v>-1.69170000000002</v>
      </c>
      <c r="AD3399">
        <v>-1.04726524</v>
      </c>
      <c r="AE3399">
        <v>-13.536199999999999</v>
      </c>
      <c r="AF3399">
        <v>-5.4595698512998601</v>
      </c>
      <c r="AG3399">
        <v>-1.04726524</v>
      </c>
      <c r="AH3399">
        <v>12.414079433334599</v>
      </c>
      <c r="AI3399">
        <v>94.415787628981406</v>
      </c>
      <c r="AJ3399">
        <v>113.73934302368799</v>
      </c>
      <c r="AK3399">
        <v>13.6019496992628</v>
      </c>
      <c r="AL3399">
        <v>79.474908580184206</v>
      </c>
      <c r="AM3399">
        <v>105.87914124057301</v>
      </c>
      <c r="AN3399">
        <v>0.99999998494228404</v>
      </c>
    </row>
    <row r="3400" spans="1:40" x14ac:dyDescent="0.25">
      <c r="A3400" t="str">
        <f>"20190312172144119"</f>
        <v>20190312172144119</v>
      </c>
      <c r="B3400" t="str">
        <f>"1552382504114182"</f>
        <v>1552382504114182</v>
      </c>
      <c r="C3400" t="s">
        <v>40</v>
      </c>
      <c r="D3400">
        <v>3.6065990000000001</v>
      </c>
      <c r="E3400">
        <v>0.43934570000000001</v>
      </c>
      <c r="F3400" t="s">
        <v>41</v>
      </c>
      <c r="G3400">
        <v>-498.95839999999998</v>
      </c>
      <c r="H3400">
        <v>1.041039</v>
      </c>
      <c r="I3400">
        <v>270.72269999999997</v>
      </c>
      <c r="J3400">
        <v>-498.92129999999997</v>
      </c>
      <c r="K3400">
        <v>1.126916</v>
      </c>
      <c r="L3400">
        <v>271.65159999999997</v>
      </c>
      <c r="M3400">
        <v>-0.5064322</v>
      </c>
      <c r="N3400">
        <v>0</v>
      </c>
      <c r="O3400">
        <v>-0.86207029999999996</v>
      </c>
      <c r="P3400">
        <v>-0.25535289999999999</v>
      </c>
      <c r="Q3400">
        <v>0.17480229999999999</v>
      </c>
      <c r="R3400">
        <v>-0.95091519999999996</v>
      </c>
      <c r="S3400">
        <v>-0.39108280000000001</v>
      </c>
      <c r="T3400">
        <v>-0.2406604</v>
      </c>
      <c r="U3400">
        <v>-3.0972599999999999</v>
      </c>
      <c r="V3400">
        <v>-0.26846779999999998</v>
      </c>
      <c r="W3400">
        <v>0.1829723</v>
      </c>
      <c r="X3400">
        <v>0.94575169999999997</v>
      </c>
      <c r="Y3400">
        <v>-0.39469949999999998</v>
      </c>
      <c r="Z3400">
        <v>5.827951E-2</v>
      </c>
      <c r="AA3400">
        <v>0.91696009999999994</v>
      </c>
      <c r="AB3400">
        <v>39</v>
      </c>
      <c r="AC3400">
        <v>-3.7100000000009403E-2</v>
      </c>
      <c r="AD3400">
        <v>-8.5876999999999898E-2</v>
      </c>
      <c r="AE3400">
        <v>-0.92889999999999795</v>
      </c>
      <c r="AF3400">
        <v>-0.43481084450270302</v>
      </c>
      <c r="AG3400">
        <v>-8.5876999999999898E-2</v>
      </c>
      <c r="AH3400">
        <v>0.81277801662193905</v>
      </c>
      <c r="AI3400">
        <v>95.322588682756006</v>
      </c>
      <c r="AJ3400">
        <v>118.145389413049</v>
      </c>
      <c r="AK3400">
        <v>0.92576640354359696</v>
      </c>
      <c r="AL3400">
        <v>79.457064562296793</v>
      </c>
      <c r="AM3400">
        <v>105.847500328431</v>
      </c>
      <c r="AN3400">
        <v>1.0000000501285</v>
      </c>
    </row>
    <row r="3401" spans="1:40" x14ac:dyDescent="0.25">
      <c r="A3401" t="str">
        <f>"20190312172144130"</f>
        <v>20190312172144130</v>
      </c>
      <c r="B3401" t="str">
        <f>"1552382504123943"</f>
        <v>1552382504123943</v>
      </c>
      <c r="C3401" t="s">
        <v>40</v>
      </c>
      <c r="D3401">
        <v>3.6199249999999998</v>
      </c>
      <c r="E3401">
        <v>0.43968180000000001</v>
      </c>
      <c r="F3401" t="s">
        <v>42</v>
      </c>
      <c r="G3401">
        <v>-500.53530000000001</v>
      </c>
      <c r="H3401">
        <v>7.9985790000000001E-2</v>
      </c>
      <c r="I3401">
        <v>258.20190000000002</v>
      </c>
      <c r="J3401">
        <v>-499.01130000000001</v>
      </c>
      <c r="K3401">
        <v>1.1266529999999999</v>
      </c>
      <c r="L3401">
        <v>271.48790000000002</v>
      </c>
      <c r="M3401">
        <v>-0.50024449999999998</v>
      </c>
      <c r="N3401">
        <v>0</v>
      </c>
      <c r="O3401">
        <v>-0.86568799999999901</v>
      </c>
      <c r="P3401">
        <v>-0.248913</v>
      </c>
      <c r="Q3401">
        <v>0.1750804</v>
      </c>
      <c r="R3401">
        <v>-0.95256969999999996</v>
      </c>
      <c r="S3401">
        <v>-0.37194820000000001</v>
      </c>
      <c r="T3401">
        <v>-0.2412532</v>
      </c>
      <c r="U3401">
        <v>-3.099335</v>
      </c>
      <c r="V3401">
        <v>-0.26772499999999999</v>
      </c>
      <c r="W3401">
        <v>0.1832057</v>
      </c>
      <c r="X3401">
        <v>0.94591700000000001</v>
      </c>
      <c r="Y3401">
        <v>-0.39376909999999998</v>
      </c>
      <c r="Z3401">
        <v>5.88237E-2</v>
      </c>
      <c r="AA3401">
        <v>0.91732530000000001</v>
      </c>
      <c r="AB3401">
        <v>39</v>
      </c>
      <c r="AC3401">
        <v>-1.524</v>
      </c>
      <c r="AD3401">
        <v>-1.0466672100000001</v>
      </c>
      <c r="AE3401">
        <v>-13.286</v>
      </c>
      <c r="AF3401">
        <v>-5.2954072244694599</v>
      </c>
      <c r="AG3401">
        <v>-1.0466672100000001</v>
      </c>
      <c r="AH3401">
        <v>12.191307509880099</v>
      </c>
      <c r="AI3401">
        <v>94.502517554521106</v>
      </c>
      <c r="AJ3401">
        <v>113.478162387621</v>
      </c>
      <c r="AK3401">
        <v>13.3328477348956</v>
      </c>
      <c r="AL3401">
        <v>79.443461122850806</v>
      </c>
      <c r="AM3401">
        <v>105.803222883644</v>
      </c>
      <c r="AN3401">
        <v>0.99999998751324504</v>
      </c>
    </row>
    <row r="3402" spans="1:40" x14ac:dyDescent="0.25">
      <c r="A3402" t="str">
        <f>"20190312172144142"</f>
        <v>20190312172144142</v>
      </c>
      <c r="B3402" t="str">
        <f>"1552382504133701"</f>
        <v>1552382504133701</v>
      </c>
      <c r="C3402" t="s">
        <v>40</v>
      </c>
      <c r="D3402">
        <v>3.6396579999999998</v>
      </c>
      <c r="E3402">
        <v>0.44018479999999999</v>
      </c>
      <c r="F3402" t="s">
        <v>42</v>
      </c>
      <c r="G3402">
        <v>-500.54689999999999</v>
      </c>
      <c r="H3402">
        <v>7.9985829999999994E-2</v>
      </c>
      <c r="I3402">
        <v>258.05650000000003</v>
      </c>
      <c r="J3402">
        <v>-499.10989999999998</v>
      </c>
      <c r="K3402">
        <v>1.1263700000000001</v>
      </c>
      <c r="L3402">
        <v>271.30700000000002</v>
      </c>
      <c r="M3402">
        <v>-0.4932918</v>
      </c>
      <c r="N3402">
        <v>0</v>
      </c>
      <c r="O3402">
        <v>-0.86968250000000002</v>
      </c>
      <c r="P3402">
        <v>-0.24170720000000001</v>
      </c>
      <c r="Q3402">
        <v>0.17544660000000001</v>
      </c>
      <c r="R3402">
        <v>-0.95435680000000001</v>
      </c>
      <c r="S3402">
        <v>-0.35455320000000001</v>
      </c>
      <c r="T3402">
        <v>-0.24166599999999999</v>
      </c>
      <c r="U3402">
        <v>-3.1011959999999998</v>
      </c>
      <c r="V3402">
        <v>-0.26688250000000002</v>
      </c>
      <c r="W3402">
        <v>0.18348700000000001</v>
      </c>
      <c r="X3402">
        <v>0.94610050000000001</v>
      </c>
      <c r="Y3402">
        <v>-0.39154119999999998</v>
      </c>
      <c r="Z3402">
        <v>5.9392489999999999E-2</v>
      </c>
      <c r="AA3402">
        <v>0.9182418</v>
      </c>
      <c r="AB3402">
        <v>39</v>
      </c>
      <c r="AC3402">
        <v>-1.43700000000001</v>
      </c>
      <c r="AD3402">
        <v>-1.0463841700000001</v>
      </c>
      <c r="AE3402">
        <v>-13.250499999999899</v>
      </c>
      <c r="AF3402">
        <v>-5.25507296984172</v>
      </c>
      <c r="AG3402">
        <v>-1.0463841700000001</v>
      </c>
      <c r="AH3402">
        <v>12.1595710757778</v>
      </c>
      <c r="AI3402">
        <v>94.516585987093094</v>
      </c>
      <c r="AJ3402">
        <v>113.372834814296</v>
      </c>
      <c r="AK3402">
        <v>13.2878094694528</v>
      </c>
      <c r="AL3402">
        <v>79.427065514708602</v>
      </c>
      <c r="AM3402">
        <v>105.753060814294</v>
      </c>
      <c r="AN3402">
        <v>0.99999995203774805</v>
      </c>
    </row>
    <row r="3403" spans="1:40" x14ac:dyDescent="0.25">
      <c r="A3403" t="str">
        <f>"20190312172144155"</f>
        <v>20190312172144155</v>
      </c>
      <c r="B3403" t="str">
        <f>"1552382504144439"</f>
        <v>1552382504144439</v>
      </c>
      <c r="C3403" t="s">
        <v>40</v>
      </c>
      <c r="D3403">
        <v>3.7860290000000001</v>
      </c>
      <c r="E3403">
        <v>0.44039489999999998</v>
      </c>
      <c r="F3403" t="s">
        <v>41</v>
      </c>
      <c r="G3403">
        <v>-499.23070000000001</v>
      </c>
      <c r="H3403">
        <v>1.039676</v>
      </c>
      <c r="I3403">
        <v>270.19459999999998</v>
      </c>
      <c r="J3403">
        <v>-499.21350000000001</v>
      </c>
      <c r="K3403">
        <v>1.1261369999999999</v>
      </c>
      <c r="L3403">
        <v>271.11090000000002</v>
      </c>
      <c r="M3403">
        <v>-0.48546600000000001</v>
      </c>
      <c r="N3403">
        <v>0</v>
      </c>
      <c r="O3403">
        <v>-0.87409190000000003</v>
      </c>
      <c r="P3403">
        <v>-0.23355799999999999</v>
      </c>
      <c r="Q3403">
        <v>0.17561270000000001</v>
      </c>
      <c r="R3403">
        <v>-0.95635320000000001</v>
      </c>
      <c r="S3403">
        <v>-0.33581539999999999</v>
      </c>
      <c r="T3403">
        <v>-0.24172679999999999</v>
      </c>
      <c r="U3403">
        <v>-3.1029049999999998</v>
      </c>
      <c r="V3403">
        <v>-0.2660265</v>
      </c>
      <c r="W3403">
        <v>0.18343490000000001</v>
      </c>
      <c r="X3403">
        <v>0.94635170000000002</v>
      </c>
      <c r="Y3403">
        <v>-0.38881149999999998</v>
      </c>
      <c r="Z3403">
        <v>5.9934719999999997E-2</v>
      </c>
      <c r="AA3403">
        <v>0.91936580000000001</v>
      </c>
      <c r="AB3403">
        <v>39</v>
      </c>
      <c r="AC3403">
        <v>-1.7200000000002501E-2</v>
      </c>
      <c r="AD3403">
        <v>-8.6461000000000093E-2</v>
      </c>
      <c r="AE3403">
        <v>-0.91630000000003498</v>
      </c>
      <c r="AF3403">
        <v>-0.42606742050523799</v>
      </c>
      <c r="AG3403">
        <v>-8.6461000000000093E-2</v>
      </c>
      <c r="AH3403">
        <v>0.80225578064520098</v>
      </c>
      <c r="AI3403">
        <v>95.437141398030107</v>
      </c>
      <c r="AJ3403">
        <v>117.972179429223</v>
      </c>
      <c r="AK3403">
        <v>0.91248193895311103</v>
      </c>
      <c r="AL3403">
        <v>79.430102685970695</v>
      </c>
      <c r="AM3403">
        <v>105.701067998973</v>
      </c>
      <c r="AN3403">
        <v>1.0000000006665699</v>
      </c>
    </row>
    <row r="3404" spans="1:40" x14ac:dyDescent="0.25">
      <c r="A3404" t="str">
        <f>"20190312172144168"</f>
        <v>20190312172144168</v>
      </c>
      <c r="B3404" t="str">
        <f>"1552382504163958"</f>
        <v>1552382504163958</v>
      </c>
      <c r="C3404" t="s">
        <v>40</v>
      </c>
      <c r="D3404">
        <v>3.8564699999999998</v>
      </c>
      <c r="E3404">
        <v>0.4408241</v>
      </c>
      <c r="F3404" t="s">
        <v>42</v>
      </c>
      <c r="G3404">
        <v>-500.55689999999998</v>
      </c>
      <c r="H3404">
        <v>7.9985929999999997E-2</v>
      </c>
      <c r="I3404">
        <v>257.73410000000001</v>
      </c>
      <c r="J3404">
        <v>-499.31420000000003</v>
      </c>
      <c r="K3404">
        <v>1.125982</v>
      </c>
      <c r="L3404">
        <v>270.91550000000001</v>
      </c>
      <c r="M3404">
        <v>-0.47748239999999997</v>
      </c>
      <c r="N3404">
        <v>0</v>
      </c>
      <c r="O3404">
        <v>-0.87849449999999996</v>
      </c>
      <c r="P3404">
        <v>-0.22521169999999999</v>
      </c>
      <c r="Q3404">
        <v>0.17611170000000001</v>
      </c>
      <c r="R3404">
        <v>-0.95826140000000004</v>
      </c>
      <c r="S3404">
        <v>-0.3118591</v>
      </c>
      <c r="T3404">
        <v>-0.2428603</v>
      </c>
      <c r="U3404">
        <v>-3.1053769999999998</v>
      </c>
      <c r="V3404">
        <v>-0.26522089999999998</v>
      </c>
      <c r="W3404">
        <v>0.18366879999999999</v>
      </c>
      <c r="X3404">
        <v>0.94653240000000005</v>
      </c>
      <c r="Y3404">
        <v>-0.3875094</v>
      </c>
      <c r="Z3404">
        <v>6.0707549999999999E-2</v>
      </c>
      <c r="AA3404">
        <v>0.91986469999999998</v>
      </c>
      <c r="AB3404">
        <v>39</v>
      </c>
      <c r="AC3404">
        <v>-1.24269999999995</v>
      </c>
      <c r="AD3404">
        <v>-1.0459960699999999</v>
      </c>
      <c r="AE3404">
        <v>-13.181399999999901</v>
      </c>
      <c r="AF3404">
        <v>-5.1705799784226496</v>
      </c>
      <c r="AG3404">
        <v>-1.0459960699999999</v>
      </c>
      <c r="AH3404">
        <v>12.099207166823</v>
      </c>
      <c r="AI3404">
        <v>94.545268266934698</v>
      </c>
      <c r="AJ3404">
        <v>113.13937617337299</v>
      </c>
      <c r="AK3404">
        <v>13.1992355520091</v>
      </c>
      <c r="AL3404">
        <v>79.416469238740305</v>
      </c>
      <c r="AM3404">
        <v>105.653013499285</v>
      </c>
      <c r="AN3404">
        <v>0.99999996907000399</v>
      </c>
    </row>
    <row r="3405" spans="1:40" x14ac:dyDescent="0.25">
      <c r="A3405" t="str">
        <f>"20190312172144181"</f>
        <v>20190312172144181</v>
      </c>
      <c r="B3405" t="str">
        <f>"1552382504173718"</f>
        <v>1552382504173718</v>
      </c>
      <c r="C3405" t="s">
        <v>40</v>
      </c>
      <c r="D3405">
        <v>3.6477569999999999</v>
      </c>
      <c r="E3405">
        <v>0.44121840000000001</v>
      </c>
      <c r="F3405" t="s">
        <v>42</v>
      </c>
      <c r="G3405">
        <v>-500.553</v>
      </c>
      <c r="H3405">
        <v>7.9985959999999995E-2</v>
      </c>
      <c r="I3405">
        <v>257.63420000000002</v>
      </c>
      <c r="J3405">
        <v>-499.416</v>
      </c>
      <c r="K3405">
        <v>1.1258889999999999</v>
      </c>
      <c r="L3405">
        <v>270.71420000000001</v>
      </c>
      <c r="M3405">
        <v>-0.46911760000000002</v>
      </c>
      <c r="N3405">
        <v>0</v>
      </c>
      <c r="O3405">
        <v>-0.88300540000000005</v>
      </c>
      <c r="P3405">
        <v>-0.21663750000000001</v>
      </c>
      <c r="Q3405">
        <v>0.177032299999999</v>
      </c>
      <c r="R3405">
        <v>-0.96006659999999999</v>
      </c>
      <c r="S3405">
        <v>-0.289856</v>
      </c>
      <c r="T3405">
        <v>-0.24473880000000001</v>
      </c>
      <c r="U3405">
        <v>-3.107513</v>
      </c>
      <c r="V3405">
        <v>-0.26423590000000002</v>
      </c>
      <c r="W3405">
        <v>0.1842964</v>
      </c>
      <c r="X3405">
        <v>0.94668589999999997</v>
      </c>
      <c r="Y3405">
        <v>-0.38526739999999998</v>
      </c>
      <c r="Z3405">
        <v>6.1703910000000001E-2</v>
      </c>
      <c r="AA3405">
        <v>0.92073970000000005</v>
      </c>
      <c r="AB3405">
        <v>39</v>
      </c>
      <c r="AC3405">
        <v>-1.13700000000005</v>
      </c>
      <c r="AD3405">
        <v>-1.04590304</v>
      </c>
      <c r="AE3405">
        <v>-13.079999999999901</v>
      </c>
      <c r="AF3405">
        <v>-5.1003053325399597</v>
      </c>
      <c r="AG3405">
        <v>-1.04590304</v>
      </c>
      <c r="AH3405">
        <v>12.0082837730266</v>
      </c>
      <c r="AI3405">
        <v>94.583436186400803</v>
      </c>
      <c r="AJ3405">
        <v>113.012496623475</v>
      </c>
      <c r="AK3405">
        <v>13.0883882440792</v>
      </c>
      <c r="AL3405">
        <v>79.379886065885898</v>
      </c>
      <c r="AM3405">
        <v>105.59530878069</v>
      </c>
      <c r="AN3405">
        <v>0.99999998358028896</v>
      </c>
    </row>
    <row r="3406" spans="1:40" x14ac:dyDescent="0.25">
      <c r="A3406" t="str">
        <f>"20190312172144195"</f>
        <v>20190312172144195</v>
      </c>
      <c r="B3406" t="str">
        <f>"1552382504184454"</f>
        <v>1552382504184454</v>
      </c>
      <c r="C3406" t="s">
        <v>40</v>
      </c>
      <c r="D3406">
        <v>3.6062449999999999</v>
      </c>
      <c r="E3406">
        <v>0.4416408</v>
      </c>
      <c r="F3406" t="s">
        <v>41</v>
      </c>
      <c r="G3406">
        <v>-499.51319999999998</v>
      </c>
      <c r="H3406">
        <v>1.0386569999999999</v>
      </c>
      <c r="I3406">
        <v>269.58980000000003</v>
      </c>
      <c r="J3406">
        <v>-499.5222</v>
      </c>
      <c r="K3406">
        <v>1.125918</v>
      </c>
      <c r="L3406">
        <v>270.49759999999998</v>
      </c>
      <c r="M3406">
        <v>-0.45990259999999999</v>
      </c>
      <c r="N3406">
        <v>0</v>
      </c>
      <c r="O3406">
        <v>-0.88785530000000001</v>
      </c>
      <c r="P3406">
        <v>-0.20842859999999999</v>
      </c>
      <c r="Q3406">
        <v>0.1789472</v>
      </c>
      <c r="R3406">
        <v>-0.96152789999999999</v>
      </c>
      <c r="S3406">
        <v>-0.26760859999999997</v>
      </c>
      <c r="T3406">
        <v>-0.2410754</v>
      </c>
      <c r="U3406">
        <v>-3.1087950000000002</v>
      </c>
      <c r="V3406">
        <v>-0.26195829999999998</v>
      </c>
      <c r="W3406">
        <v>0.1858939</v>
      </c>
      <c r="X3406">
        <v>0.94700649999999997</v>
      </c>
      <c r="Y3406">
        <v>-0.38222669999999997</v>
      </c>
      <c r="Z3406">
        <v>6.1374239999999997E-2</v>
      </c>
      <c r="AA3406">
        <v>0.92202819999999996</v>
      </c>
      <c r="AB3406">
        <v>39</v>
      </c>
      <c r="AC3406">
        <v>9.0000000000145502E-3</v>
      </c>
      <c r="AD3406">
        <v>-8.7261000000000005E-2</v>
      </c>
      <c r="AE3406">
        <v>-0.90779999999995198</v>
      </c>
      <c r="AF3406">
        <v>-0.42163793482004702</v>
      </c>
      <c r="AG3406">
        <v>-8.7261000000000005E-2</v>
      </c>
      <c r="AH3406">
        <v>0.79459600080294401</v>
      </c>
      <c r="AI3406">
        <v>95.540749162936606</v>
      </c>
      <c r="AJ3406">
        <v>117.951844905927</v>
      </c>
      <c r="AK3406">
        <v>0.903756512946019</v>
      </c>
      <c r="AL3406">
        <v>79.286746852473001</v>
      </c>
      <c r="AM3406">
        <v>105.46236043306899</v>
      </c>
      <c r="AN3406">
        <v>1.0000000020191699</v>
      </c>
    </row>
    <row r="3407" spans="1:40" x14ac:dyDescent="0.25">
      <c r="A3407" t="str">
        <f>"20190312172144207"</f>
        <v>20190312172144207</v>
      </c>
      <c r="B3407" t="str">
        <f>"1552382504203974"</f>
        <v>1552382504203974</v>
      </c>
      <c r="C3407" t="s">
        <v>40</v>
      </c>
      <c r="D3407">
        <v>3.770915</v>
      </c>
      <c r="E3407">
        <v>0.4420907</v>
      </c>
      <c r="F3407" t="s">
        <v>42</v>
      </c>
      <c r="G3407">
        <v>-500.61700000000002</v>
      </c>
      <c r="H3407">
        <v>7.9986269999999998E-2</v>
      </c>
      <c r="I3407">
        <v>256.61649999999997</v>
      </c>
      <c r="J3407">
        <v>-499.6046</v>
      </c>
      <c r="K3407">
        <v>1.125936</v>
      </c>
      <c r="L3407">
        <v>270.32560000000001</v>
      </c>
      <c r="M3407">
        <v>-0.45246950000000002</v>
      </c>
      <c r="N3407">
        <v>0</v>
      </c>
      <c r="O3407">
        <v>-0.89167549999999995</v>
      </c>
      <c r="P3407">
        <v>-0.2018171</v>
      </c>
      <c r="Q3407">
        <v>0.17829579999999901</v>
      </c>
      <c r="R3407">
        <v>-0.96305790000000002</v>
      </c>
      <c r="S3407">
        <v>-0.24533079999999999</v>
      </c>
      <c r="T3407">
        <v>-0.23437259999999999</v>
      </c>
      <c r="U3407">
        <v>-3.110474</v>
      </c>
      <c r="V3407">
        <v>-0.26025520000000002</v>
      </c>
      <c r="W3407">
        <v>0.185169</v>
      </c>
      <c r="X3407">
        <v>0.94761790000000001</v>
      </c>
      <c r="Y3407">
        <v>-0.38110090000000002</v>
      </c>
      <c r="Z3407">
        <v>6.009714E-2</v>
      </c>
      <c r="AA3407">
        <v>0.92257820000000001</v>
      </c>
      <c r="AB3407">
        <v>39</v>
      </c>
      <c r="AC3407">
        <v>-1.01239999999995</v>
      </c>
      <c r="AD3407">
        <v>-1.04594973</v>
      </c>
      <c r="AE3407">
        <v>-13.709099999999999</v>
      </c>
      <c r="AF3407">
        <v>-5.2701988836911404</v>
      </c>
      <c r="AG3407">
        <v>-1.04594973</v>
      </c>
      <c r="AH3407">
        <v>12.6103217386314</v>
      </c>
      <c r="AI3407">
        <v>94.376277676735</v>
      </c>
      <c r="AJ3407">
        <v>112.681386117787</v>
      </c>
      <c r="AK3407">
        <v>13.7072689279501</v>
      </c>
      <c r="AL3407">
        <v>79.329014442793294</v>
      </c>
      <c r="AM3407">
        <v>105.35715304201101</v>
      </c>
      <c r="AN3407">
        <v>1.00000000604422</v>
      </c>
    </row>
    <row r="3408" spans="1:40" x14ac:dyDescent="0.25">
      <c r="A3408" t="str">
        <f>"20190312172144218"</f>
        <v>20190312172144218</v>
      </c>
      <c r="B3408" t="str">
        <f>"1552382504213734"</f>
        <v>1552382504213734</v>
      </c>
      <c r="C3408" t="s">
        <v>40</v>
      </c>
      <c r="D3408">
        <v>3.6834950000000002</v>
      </c>
      <c r="E3408">
        <v>0.45814650000000001</v>
      </c>
      <c r="F3408" t="s">
        <v>42</v>
      </c>
      <c r="G3408">
        <v>-500.62290000000002</v>
      </c>
      <c r="H3408">
        <v>7.9986290000000002E-2</v>
      </c>
      <c r="I3408">
        <v>256.5265</v>
      </c>
      <c r="J3408">
        <v>-499.68869999999998</v>
      </c>
      <c r="K3408">
        <v>1.1259459999999999</v>
      </c>
      <c r="L3408">
        <v>270.14789999999999</v>
      </c>
      <c r="M3408">
        <v>-0.4447083</v>
      </c>
      <c r="N3408">
        <v>0</v>
      </c>
      <c r="O3408">
        <v>-0.89557929999999997</v>
      </c>
      <c r="P3408">
        <v>-0.1947139</v>
      </c>
      <c r="Q3408">
        <v>0.17725079999999999</v>
      </c>
      <c r="R3408">
        <v>-0.96471209999999996</v>
      </c>
      <c r="S3408">
        <v>-0.22955320000000001</v>
      </c>
      <c r="T3408">
        <v>-0.2357795</v>
      </c>
      <c r="U3408">
        <v>-3.1106259999999999</v>
      </c>
      <c r="V3408">
        <v>-0.25871280000000002</v>
      </c>
      <c r="W3408">
        <v>0.18415210000000001</v>
      </c>
      <c r="X3408">
        <v>0.94823820000000003</v>
      </c>
      <c r="Y3408">
        <v>-0.37772600000000001</v>
      </c>
      <c r="Z3408">
        <v>6.094902E-2</v>
      </c>
      <c r="AA3408">
        <v>0.92390919999999999</v>
      </c>
      <c r="AB3408">
        <v>39</v>
      </c>
      <c r="AC3408">
        <v>-0.934200000000032</v>
      </c>
      <c r="AD3408">
        <v>-1.04595971</v>
      </c>
      <c r="AE3408">
        <v>-13.6213999999999</v>
      </c>
      <c r="AF3408">
        <v>-5.1908849473020799</v>
      </c>
      <c r="AG3408">
        <v>-1.04595971</v>
      </c>
      <c r="AH3408">
        <v>12.5419707353979</v>
      </c>
      <c r="AI3408">
        <v>94.406368253561595</v>
      </c>
      <c r="AJ3408">
        <v>112.48374019684999</v>
      </c>
      <c r="AK3408">
        <v>13.613976207509999</v>
      </c>
      <c r="AL3408">
        <v>79.3882979579964</v>
      </c>
      <c r="AM3408">
        <v>105.26087652375899</v>
      </c>
      <c r="AN3408">
        <v>0.99999999637874404</v>
      </c>
    </row>
    <row r="3409" spans="1:40" x14ac:dyDescent="0.25">
      <c r="A3409" t="str">
        <f>"20190312172144231"</f>
        <v>20190312172144231</v>
      </c>
      <c r="B3409" t="str">
        <f>"1552382504224473"</f>
        <v>1552382504224473</v>
      </c>
      <c r="C3409" t="s">
        <v>40</v>
      </c>
      <c r="D3409">
        <v>3.6627369999999999</v>
      </c>
      <c r="E3409">
        <v>0.46002110000000002</v>
      </c>
      <c r="F3409" t="s">
        <v>42</v>
      </c>
      <c r="G3409">
        <v>-501.1875</v>
      </c>
      <c r="H3409">
        <v>7.9986390000000004E-2</v>
      </c>
      <c r="I3409">
        <v>256.24059999999997</v>
      </c>
      <c r="J3409">
        <v>-499.7706</v>
      </c>
      <c r="K3409">
        <v>1.1261139999999901</v>
      </c>
      <c r="L3409">
        <v>269.96890000000002</v>
      </c>
      <c r="M3409">
        <v>-0.43689489999999997</v>
      </c>
      <c r="N3409">
        <v>0</v>
      </c>
      <c r="O3409">
        <v>-0.89941939999999998</v>
      </c>
      <c r="P3409">
        <v>-0.18751509999999999</v>
      </c>
      <c r="Q3409">
        <v>0.1757446</v>
      </c>
      <c r="R3409">
        <v>-0.96641180000000004</v>
      </c>
      <c r="S3409">
        <v>-0.33248899999999998</v>
      </c>
      <c r="T3409">
        <v>-0.23203860000000001</v>
      </c>
      <c r="U3409">
        <v>-3.0852360000000001</v>
      </c>
      <c r="V3409">
        <v>-0.25725340000000002</v>
      </c>
      <c r="W3409">
        <v>0.18299289999999999</v>
      </c>
      <c r="X3409">
        <v>0.94885949999999997</v>
      </c>
      <c r="Y3409">
        <v>-0.33822390000000002</v>
      </c>
      <c r="Z3409">
        <v>6.1408020000000001E-2</v>
      </c>
      <c r="AA3409">
        <v>0.93906000000000001</v>
      </c>
      <c r="AB3409">
        <v>39</v>
      </c>
      <c r="AC3409">
        <v>-1.4168999999999901</v>
      </c>
      <c r="AD3409">
        <v>-1.0461276100000001</v>
      </c>
      <c r="AE3409">
        <v>-13.728300000000001</v>
      </c>
      <c r="AF3409">
        <v>-4.6968466390130397</v>
      </c>
      <c r="AG3409">
        <v>-1.0461276100000001</v>
      </c>
      <c r="AH3409">
        <v>12.8935414963808</v>
      </c>
      <c r="AI3409">
        <v>94.359518699408099</v>
      </c>
      <c r="AJ3409">
        <v>110.015620899054</v>
      </c>
      <c r="AK3409">
        <v>13.762200537911999</v>
      </c>
      <c r="AL3409">
        <v>79.455863805849404</v>
      </c>
      <c r="AM3409">
        <v>105.16929124149701</v>
      </c>
      <c r="AN3409">
        <v>1.0000000320011</v>
      </c>
    </row>
    <row r="3410" spans="1:40" x14ac:dyDescent="0.25">
      <c r="A3410" t="str">
        <f>"20190312172144243"</f>
        <v>20190312172144243</v>
      </c>
      <c r="B3410" t="str">
        <f>"1552382504234230"</f>
        <v>1552382504234230</v>
      </c>
      <c r="C3410" t="s">
        <v>40</v>
      </c>
      <c r="D3410">
        <v>3.6878860000000002</v>
      </c>
      <c r="E3410">
        <v>0.46116400000000002</v>
      </c>
      <c r="F3410" t="s">
        <v>42</v>
      </c>
      <c r="G3410">
        <v>-501.15440000000001</v>
      </c>
      <c r="H3410">
        <v>7.9986199999999993E-2</v>
      </c>
      <c r="I3410">
        <v>256.90089999999998</v>
      </c>
      <c r="J3410">
        <v>-499.85210000000001</v>
      </c>
      <c r="K3410">
        <v>1.126295</v>
      </c>
      <c r="L3410">
        <v>269.78890000000001</v>
      </c>
      <c r="M3410">
        <v>-0.42902210000000002</v>
      </c>
      <c r="N3410">
        <v>0</v>
      </c>
      <c r="O3410">
        <v>-0.90320230000000001</v>
      </c>
      <c r="P3410">
        <v>-0.1800995</v>
      </c>
      <c r="Q3410">
        <v>0.17317160000000001</v>
      </c>
      <c r="R3410">
        <v>-0.96828510000000001</v>
      </c>
      <c r="S3410">
        <v>-0.32675169999999998</v>
      </c>
      <c r="T3410">
        <v>-0.24703049999999999</v>
      </c>
      <c r="U3410">
        <v>-3.0858460000000001</v>
      </c>
      <c r="V3410">
        <v>-0.25600499999999998</v>
      </c>
      <c r="W3410">
        <v>0.18092520000000001</v>
      </c>
      <c r="X3410">
        <v>0.94959340000000003</v>
      </c>
      <c r="Y3410">
        <v>-0.33177069999999997</v>
      </c>
      <c r="Z3410">
        <v>6.5881659999999995E-2</v>
      </c>
      <c r="AA3410">
        <v>0.94105669999999997</v>
      </c>
      <c r="AB3410">
        <v>38</v>
      </c>
      <c r="AC3410">
        <v>-1.3023</v>
      </c>
      <c r="AD3410">
        <v>-1.0463088</v>
      </c>
      <c r="AE3410">
        <v>-12.888</v>
      </c>
      <c r="AF3410">
        <v>-4.3251383500173404</v>
      </c>
      <c r="AG3410">
        <v>-1.0463088</v>
      </c>
      <c r="AH3410">
        <v>12.121114892979399</v>
      </c>
      <c r="AI3410">
        <v>94.647947094329894</v>
      </c>
      <c r="AJ3410">
        <v>109.637760995584</v>
      </c>
      <c r="AK3410">
        <v>12.9121264747738</v>
      </c>
      <c r="AL3410">
        <v>79.5763458795887</v>
      </c>
      <c r="AM3410">
        <v>105.08790922956599</v>
      </c>
      <c r="AN3410">
        <v>1.0000000566717899</v>
      </c>
    </row>
    <row r="3411" spans="1:40" x14ac:dyDescent="0.25">
      <c r="A3411" t="str">
        <f>"20190312172144253"</f>
        <v>20190312172144253</v>
      </c>
      <c r="B3411" t="str">
        <f>"1552382504243990"</f>
        <v>1552382504243990</v>
      </c>
      <c r="C3411" t="s">
        <v>40</v>
      </c>
      <c r="D3411">
        <v>3.7139850000000001</v>
      </c>
      <c r="E3411">
        <v>0.45933350000000001</v>
      </c>
      <c r="F3411" t="s">
        <v>42</v>
      </c>
      <c r="G3411">
        <v>-501.10399999999998</v>
      </c>
      <c r="H3411">
        <v>7.998603E-2</v>
      </c>
      <c r="I3411">
        <v>257.47320000000002</v>
      </c>
      <c r="J3411">
        <v>-499.93040000000002</v>
      </c>
      <c r="K3411">
        <v>1.126447</v>
      </c>
      <c r="L3411">
        <v>269.6103</v>
      </c>
      <c r="M3411">
        <v>-0.42123119999999997</v>
      </c>
      <c r="N3411">
        <v>0</v>
      </c>
      <c r="O3411">
        <v>-0.90685830000000001</v>
      </c>
      <c r="P3411">
        <v>-0.1727361</v>
      </c>
      <c r="Q3411">
        <v>0.17028740000000001</v>
      </c>
      <c r="R3411">
        <v>-0.97013680000000002</v>
      </c>
      <c r="S3411">
        <v>-0.3137817</v>
      </c>
      <c r="T3411">
        <v>-0.26224320000000001</v>
      </c>
      <c r="U3411">
        <v>-3.0867610000000001</v>
      </c>
      <c r="V3411">
        <v>-0.25474160000000001</v>
      </c>
      <c r="W3411">
        <v>0.17898800000000001</v>
      </c>
      <c r="X3411">
        <v>0.95030000000000003</v>
      </c>
      <c r="Y3411">
        <v>-0.3276193</v>
      </c>
      <c r="Z3411">
        <v>7.0422109999999996E-2</v>
      </c>
      <c r="AA3411">
        <v>0.94218170000000001</v>
      </c>
      <c r="AB3411">
        <v>38</v>
      </c>
      <c r="AC3411">
        <v>-1.17360000000002</v>
      </c>
      <c r="AD3411">
        <v>-1.04646097</v>
      </c>
      <c r="AE3411">
        <v>-12.137099999999901</v>
      </c>
      <c r="AF3411">
        <v>-4.0189851566243897</v>
      </c>
      <c r="AG3411">
        <v>-1.04646097</v>
      </c>
      <c r="AH3411">
        <v>11.417884699881</v>
      </c>
      <c r="AI3411">
        <v>94.941038609195402</v>
      </c>
      <c r="AJ3411">
        <v>109.391576224042</v>
      </c>
      <c r="AK3411">
        <v>12.149708361548299</v>
      </c>
      <c r="AL3411">
        <v>79.689181177040396</v>
      </c>
      <c r="AM3411">
        <v>105.006158591356</v>
      </c>
      <c r="AN3411">
        <v>1.00000003845727</v>
      </c>
    </row>
    <row r="3412" spans="1:40" x14ac:dyDescent="0.25">
      <c r="A3412" t="str">
        <f>"20190312172144265"</f>
        <v>20190312172144265</v>
      </c>
      <c r="B3412" t="str">
        <f>"1552382504253750"</f>
        <v>1552382504253750</v>
      </c>
      <c r="C3412" t="s">
        <v>40</v>
      </c>
      <c r="D3412">
        <v>3.9593880000000001</v>
      </c>
      <c r="E3412">
        <v>0.45877509999999999</v>
      </c>
      <c r="F3412" t="s">
        <v>42</v>
      </c>
      <c r="G3412">
        <v>-501.0797</v>
      </c>
      <c r="H3412">
        <v>7.998624E-2</v>
      </c>
      <c r="I3412">
        <v>256.73439999999999</v>
      </c>
      <c r="J3412">
        <v>-500.00110000000001</v>
      </c>
      <c r="K3412">
        <v>1.1267450000000001</v>
      </c>
      <c r="L3412">
        <v>269.44619999999998</v>
      </c>
      <c r="M3412">
        <v>-0.41375279999999998</v>
      </c>
      <c r="N3412">
        <v>0</v>
      </c>
      <c r="O3412">
        <v>-0.91029110000000002</v>
      </c>
      <c r="P3412">
        <v>-0.1653152</v>
      </c>
      <c r="Q3412">
        <v>0.1684937</v>
      </c>
      <c r="R3412">
        <v>-0.97174119999999997</v>
      </c>
      <c r="S3412">
        <v>-0.27557369999999998</v>
      </c>
      <c r="T3412">
        <v>-0.25091770000000002</v>
      </c>
      <c r="U3412">
        <v>-3.0873409999999999</v>
      </c>
      <c r="V3412">
        <v>-0.25388060000000001</v>
      </c>
      <c r="W3412">
        <v>0.17800969999999999</v>
      </c>
      <c r="X3412">
        <v>0.95071410000000001</v>
      </c>
      <c r="Y3412">
        <v>-0.33139780000000002</v>
      </c>
      <c r="Z3412">
        <v>6.7775249999999995E-2</v>
      </c>
      <c r="AA3412">
        <v>0.94105369999999999</v>
      </c>
      <c r="AB3412">
        <v>38</v>
      </c>
      <c r="AC3412">
        <v>-1.07859999999999</v>
      </c>
      <c r="AD3412">
        <v>-1.0467587599999999</v>
      </c>
      <c r="AE3412">
        <v>-12.711799999999901</v>
      </c>
      <c r="AF3412">
        <v>-4.24947644114682</v>
      </c>
      <c r="AG3412">
        <v>-1.0467587599999999</v>
      </c>
      <c r="AH3412">
        <v>11.938413303816899</v>
      </c>
      <c r="AI3412">
        <v>94.722082422857099</v>
      </c>
      <c r="AJ3412">
        <v>109.593179344178</v>
      </c>
      <c r="AK3412">
        <v>12.7153240673704</v>
      </c>
      <c r="AL3412">
        <v>79.746148710557904</v>
      </c>
      <c r="AM3412">
        <v>104.951492896988</v>
      </c>
      <c r="AN3412">
        <v>1.0000000561446201</v>
      </c>
    </row>
    <row r="3413" spans="1:40" x14ac:dyDescent="0.25">
      <c r="A3413" t="str">
        <f>"20190312172144276"</f>
        <v>20190312172144276</v>
      </c>
      <c r="B3413" t="str">
        <f>"1552382504264487"</f>
        <v>1552382504264487</v>
      </c>
      <c r="C3413" t="s">
        <v>40</v>
      </c>
      <c r="D3413">
        <v>3.713063</v>
      </c>
      <c r="E3413">
        <v>0.45837909999999998</v>
      </c>
      <c r="F3413" t="s">
        <v>42</v>
      </c>
      <c r="G3413">
        <v>-501.07799999999997</v>
      </c>
      <c r="H3413">
        <v>7.9986450000000001E-2</v>
      </c>
      <c r="I3413">
        <v>256.04610000000002</v>
      </c>
      <c r="J3413">
        <v>-500.07350000000002</v>
      </c>
      <c r="K3413">
        <v>1.1272439999999999</v>
      </c>
      <c r="L3413">
        <v>269.27460000000002</v>
      </c>
      <c r="M3413">
        <v>-0.4055532</v>
      </c>
      <c r="N3413">
        <v>0</v>
      </c>
      <c r="O3413">
        <v>-0.91397059999999997</v>
      </c>
      <c r="P3413">
        <v>-0.15680060000000001</v>
      </c>
      <c r="Q3413">
        <v>0.16828290000000001</v>
      </c>
      <c r="R3413">
        <v>-0.97318789999999999</v>
      </c>
      <c r="S3413">
        <v>-0.2480774</v>
      </c>
      <c r="T3413">
        <v>-0.24113570000000001</v>
      </c>
      <c r="U3413">
        <v>-3.086884</v>
      </c>
      <c r="V3413">
        <v>-0.25327169999999999</v>
      </c>
      <c r="W3413">
        <v>0.17858309999999999</v>
      </c>
      <c r="X3413">
        <v>0.95076890000000003</v>
      </c>
      <c r="Y3413">
        <v>-0.33121729999999999</v>
      </c>
      <c r="Z3413">
        <v>6.5603419999999996E-2</v>
      </c>
      <c r="AA3413">
        <v>0.94127110000000003</v>
      </c>
      <c r="AB3413">
        <v>38</v>
      </c>
      <c r="AC3413">
        <v>-1.0044999999999999</v>
      </c>
      <c r="AD3413">
        <v>-1.0472575500000001</v>
      </c>
      <c r="AE3413">
        <v>-13.228499999999899</v>
      </c>
      <c r="AF3413">
        <v>-4.4196461784836503</v>
      </c>
      <c r="AG3413">
        <v>-1.0472575500000001</v>
      </c>
      <c r="AH3413">
        <v>12.421585943642</v>
      </c>
      <c r="AI3413">
        <v>94.541549427419497</v>
      </c>
      <c r="AJ3413">
        <v>109.58574655927001</v>
      </c>
      <c r="AK3413">
        <v>13.2259524448828</v>
      </c>
      <c r="AL3413">
        <v>79.712759630129597</v>
      </c>
      <c r="AM3413">
        <v>104.916412625625</v>
      </c>
      <c r="AN3413">
        <v>0.99999998941685497</v>
      </c>
    </row>
    <row r="3414" spans="1:40" x14ac:dyDescent="0.25">
      <c r="A3414" t="str">
        <f>"20190312172144286"</f>
        <v>20190312172144286</v>
      </c>
      <c r="B3414" t="str">
        <f>"1552382504274246"</f>
        <v>1552382504274246</v>
      </c>
      <c r="C3414" t="s">
        <v>40</v>
      </c>
      <c r="D3414">
        <v>3.877443</v>
      </c>
      <c r="E3414">
        <v>0.45848430000000001</v>
      </c>
      <c r="F3414" t="s">
        <v>42</v>
      </c>
      <c r="G3414">
        <v>-501.06950000000001</v>
      </c>
      <c r="H3414">
        <v>7.9986710000000003E-2</v>
      </c>
      <c r="I3414">
        <v>255.197</v>
      </c>
      <c r="J3414">
        <v>-500.13580000000002</v>
      </c>
      <c r="K3414">
        <v>1.128001</v>
      </c>
      <c r="L3414">
        <v>269.12369999999999</v>
      </c>
      <c r="M3414">
        <v>-0.39778659999999999</v>
      </c>
      <c r="N3414">
        <v>0</v>
      </c>
      <c r="O3414">
        <v>-0.91737639999999998</v>
      </c>
      <c r="P3414">
        <v>-0.1487598</v>
      </c>
      <c r="Q3414">
        <v>0.16923569999999999</v>
      </c>
      <c r="R3414">
        <v>-0.97428440000000005</v>
      </c>
      <c r="S3414">
        <v>-0.21841430000000001</v>
      </c>
      <c r="T3414">
        <v>-0.22966020000000001</v>
      </c>
      <c r="U3414">
        <v>-3.087189</v>
      </c>
      <c r="V3414">
        <v>-0.25274580000000002</v>
      </c>
      <c r="W3414">
        <v>0.17995810000000001</v>
      </c>
      <c r="X3414">
        <v>0.95064959999999998</v>
      </c>
      <c r="Y3414">
        <v>-0.33220379999999999</v>
      </c>
      <c r="Z3414">
        <v>6.2870469999999998E-2</v>
      </c>
      <c r="AA3414">
        <v>0.94111</v>
      </c>
      <c r="AB3414">
        <v>38</v>
      </c>
      <c r="AC3414">
        <v>-0.93369999999998698</v>
      </c>
      <c r="AD3414">
        <v>-1.04801429</v>
      </c>
      <c r="AE3414">
        <v>-13.926699999999901</v>
      </c>
      <c r="AF3414">
        <v>-4.6574799859693696</v>
      </c>
      <c r="AG3414">
        <v>-1.04801429</v>
      </c>
      <c r="AH3414">
        <v>13.074953840658999</v>
      </c>
      <c r="AI3414">
        <v>94.318032614505299</v>
      </c>
      <c r="AJ3414">
        <v>109.606604595052</v>
      </c>
      <c r="AK3414">
        <v>13.919226692137499</v>
      </c>
      <c r="AL3414">
        <v>79.632680841103905</v>
      </c>
      <c r="AM3414">
        <v>104.88860160504299</v>
      </c>
      <c r="AN3414">
        <v>1.0000000095767001</v>
      </c>
    </row>
    <row r="3415" spans="1:40" x14ac:dyDescent="0.25">
      <c r="A3415" t="str">
        <f>"20190312172144297"</f>
        <v>20190312172144297</v>
      </c>
      <c r="B3415" t="str">
        <f>"1552382504293766"</f>
        <v>1552382504293766</v>
      </c>
      <c r="C3415" t="s">
        <v>40</v>
      </c>
      <c r="D3415">
        <v>3.7363749999999998</v>
      </c>
      <c r="E3415">
        <v>0.45913150000000003</v>
      </c>
      <c r="F3415" t="s">
        <v>42</v>
      </c>
      <c r="G3415">
        <v>-501.05919999999998</v>
      </c>
      <c r="H3415">
        <v>7.998545E-2</v>
      </c>
      <c r="I3415">
        <v>254.42150000000001</v>
      </c>
      <c r="J3415">
        <v>-500.20499999999998</v>
      </c>
      <c r="K3415">
        <v>1.1290659999999999</v>
      </c>
      <c r="L3415">
        <v>268.9538</v>
      </c>
      <c r="M3415">
        <v>-0.38866230000000002</v>
      </c>
      <c r="N3415">
        <v>0</v>
      </c>
      <c r="O3415">
        <v>-0.92127959999999998</v>
      </c>
      <c r="P3415">
        <v>-0.13939489999999999</v>
      </c>
      <c r="Q3415">
        <v>0.17017309999999999</v>
      </c>
      <c r="R3415">
        <v>-0.97550539999999997</v>
      </c>
      <c r="S3415">
        <v>-0.19393920000000001</v>
      </c>
      <c r="T3415">
        <v>-0.2201061</v>
      </c>
      <c r="U3415">
        <v>-3.0877690000000002</v>
      </c>
      <c r="V3415">
        <v>-0.25216080000000002</v>
      </c>
      <c r="W3415">
        <v>0.18119569999999999</v>
      </c>
      <c r="X3415">
        <v>0.95056989999999997</v>
      </c>
      <c r="Y3415">
        <v>-0.33027440000000002</v>
      </c>
      <c r="Z3415">
        <v>6.070445E-2</v>
      </c>
      <c r="AA3415">
        <v>0.94193090000000002</v>
      </c>
      <c r="AB3415">
        <v>38</v>
      </c>
      <c r="AC3415">
        <v>-0.85419999999999097</v>
      </c>
      <c r="AD3415">
        <v>-1.04908055</v>
      </c>
      <c r="AE3415">
        <v>-14.5322999999999</v>
      </c>
      <c r="AF3415">
        <v>-4.8365330748166002</v>
      </c>
      <c r="AG3415">
        <v>-1.04908055</v>
      </c>
      <c r="AH3415">
        <v>13.650686350817301</v>
      </c>
      <c r="AI3415">
        <v>94.143237750603404</v>
      </c>
      <c r="AJ3415">
        <v>109.509590113624</v>
      </c>
      <c r="AK3415">
        <v>14.520119146638301</v>
      </c>
      <c r="AL3415">
        <v>79.560586760551004</v>
      </c>
      <c r="AM3415">
        <v>104.856856708284</v>
      </c>
      <c r="AN3415">
        <v>1.00000004277056</v>
      </c>
    </row>
    <row r="3416" spans="1:40" x14ac:dyDescent="0.25">
      <c r="A3416" t="str">
        <f>"20190312172144308"</f>
        <v>20190312172144308</v>
      </c>
      <c r="B3416" t="str">
        <f>"1552382504304502"</f>
        <v>1552382504304502</v>
      </c>
      <c r="C3416" t="s">
        <v>40</v>
      </c>
      <c r="D3416">
        <v>3.9049320000000001</v>
      </c>
      <c r="E3416">
        <v>0.45941470000000001</v>
      </c>
      <c r="F3416" t="s">
        <v>42</v>
      </c>
      <c r="G3416">
        <v>-501.07</v>
      </c>
      <c r="H3416">
        <v>7.9985840000000002E-2</v>
      </c>
      <c r="I3416">
        <v>253.10230000000001</v>
      </c>
      <c r="J3416">
        <v>-500.27120000000002</v>
      </c>
      <c r="K3416">
        <v>1.130476</v>
      </c>
      <c r="L3416">
        <v>268.78620000000001</v>
      </c>
      <c r="M3416">
        <v>-0.37910559999999899</v>
      </c>
      <c r="N3416">
        <v>0</v>
      </c>
      <c r="O3416">
        <v>-0.92525659999999998</v>
      </c>
      <c r="P3416">
        <v>-0.12950510000000001</v>
      </c>
      <c r="Q3416">
        <v>0.1712273</v>
      </c>
      <c r="R3416">
        <v>-0.97668299999999997</v>
      </c>
      <c r="S3416">
        <v>-0.168457</v>
      </c>
      <c r="T3416">
        <v>-0.20429749999999999</v>
      </c>
      <c r="U3416">
        <v>-3.0869140000000002</v>
      </c>
      <c r="V3416">
        <v>-0.25179499999999999</v>
      </c>
      <c r="W3416">
        <v>0.1821518</v>
      </c>
      <c r="X3416">
        <v>0.95048410000000005</v>
      </c>
      <c r="Y3416">
        <v>-0.3282254</v>
      </c>
      <c r="Z3416">
        <v>5.6802510000000001E-2</v>
      </c>
      <c r="AA3416">
        <v>0.94289000000000001</v>
      </c>
      <c r="AB3416">
        <v>38</v>
      </c>
      <c r="AC3416">
        <v>-0.79879999999997098</v>
      </c>
      <c r="AD3416">
        <v>-1.0504901600000001</v>
      </c>
      <c r="AE3416">
        <v>-15.6838999999999</v>
      </c>
      <c r="AF3416">
        <v>-5.18402957968918</v>
      </c>
      <c r="AG3416">
        <v>-1.0504901600000001</v>
      </c>
      <c r="AH3416">
        <v>14.7497899771455</v>
      </c>
      <c r="AI3416">
        <v>93.844011320836401</v>
      </c>
      <c r="AJ3416">
        <v>109.364771531762</v>
      </c>
      <c r="AK3416">
        <v>15.669524454470499</v>
      </c>
      <c r="AL3416">
        <v>79.504878905694298</v>
      </c>
      <c r="AM3416">
        <v>104.837535827992</v>
      </c>
      <c r="AN3416">
        <v>1.0000000123105199</v>
      </c>
    </row>
    <row r="3417" spans="1:40" x14ac:dyDescent="0.25">
      <c r="A3417" t="str">
        <f>"20190312172144320"</f>
        <v>20190312172144320</v>
      </c>
      <c r="B3417" t="str">
        <f>"1552382504314262"</f>
        <v>1552382504314262</v>
      </c>
      <c r="C3417" t="s">
        <v>40</v>
      </c>
      <c r="D3417">
        <v>3.9065430000000001</v>
      </c>
      <c r="E3417">
        <v>0.45981620000000001</v>
      </c>
      <c r="F3417" t="s">
        <v>42</v>
      </c>
      <c r="G3417">
        <v>-501.02159999999998</v>
      </c>
      <c r="H3417">
        <v>7.9986130000000003E-2</v>
      </c>
      <c r="I3417">
        <v>252.12960000000001</v>
      </c>
      <c r="J3417">
        <v>-500.34230000000002</v>
      </c>
      <c r="K3417">
        <v>1.1321380000000001</v>
      </c>
      <c r="L3417">
        <v>268.6046</v>
      </c>
      <c r="M3417">
        <v>-0.36851440000000002</v>
      </c>
      <c r="N3417">
        <v>0</v>
      </c>
      <c r="O3417">
        <v>-0.92953030000000003</v>
      </c>
      <c r="P3417">
        <v>-0.1183352</v>
      </c>
      <c r="Q3417">
        <v>0.1727832</v>
      </c>
      <c r="R3417">
        <v>-0.97782559999999996</v>
      </c>
      <c r="S3417">
        <v>-0.1390991</v>
      </c>
      <c r="T3417">
        <v>-0.19470850000000001</v>
      </c>
      <c r="U3417">
        <v>-3.0873110000000001</v>
      </c>
      <c r="V3417">
        <v>-0.25165579999999999</v>
      </c>
      <c r="W3417">
        <v>0.18345739999999999</v>
      </c>
      <c r="X3417">
        <v>0.95026980000000005</v>
      </c>
      <c r="Y3417">
        <v>-0.32638240000000002</v>
      </c>
      <c r="Z3417">
        <v>5.4569109999999997E-2</v>
      </c>
      <c r="AA3417">
        <v>0.94366139999999998</v>
      </c>
      <c r="AB3417">
        <v>38</v>
      </c>
      <c r="AC3417">
        <v>-0.67929999999995505</v>
      </c>
      <c r="AD3417">
        <v>-1.0521518700000001</v>
      </c>
      <c r="AE3417">
        <v>-16.474999999999898</v>
      </c>
      <c r="AF3417">
        <v>-5.4182476724833002</v>
      </c>
      <c r="AG3417">
        <v>-1.0521518700000001</v>
      </c>
      <c r="AH3417">
        <v>15.502550360103101</v>
      </c>
      <c r="AI3417">
        <v>93.665880433750502</v>
      </c>
      <c r="AJ3417">
        <v>109.26487091429399</v>
      </c>
      <c r="AK3417">
        <v>16.4558044186678</v>
      </c>
      <c r="AL3417">
        <v>79.428791012665997</v>
      </c>
      <c r="AM3417">
        <v>104.832891634802</v>
      </c>
      <c r="AN3417">
        <v>0.99999997604021895</v>
      </c>
    </row>
    <row r="3418" spans="1:40" x14ac:dyDescent="0.25">
      <c r="A3418" t="str">
        <f>"20190312172144332"</f>
        <v>20190312172144332</v>
      </c>
      <c r="B3418" t="str">
        <f>"1552382504324022"</f>
        <v>1552382504324022</v>
      </c>
      <c r="C3418" t="s">
        <v>40</v>
      </c>
      <c r="D3418">
        <v>3.981465</v>
      </c>
      <c r="E3418">
        <v>0.4603138</v>
      </c>
      <c r="F3418" t="s">
        <v>42</v>
      </c>
      <c r="G3418">
        <v>-500.94589999999999</v>
      </c>
      <c r="H3418">
        <v>7.9986409999999994E-2</v>
      </c>
      <c r="I3418">
        <v>251.15899999999999</v>
      </c>
      <c r="J3418">
        <v>-500.41719999999998</v>
      </c>
      <c r="K3418">
        <v>1.1343350000000001</v>
      </c>
      <c r="L3418">
        <v>268.40390000000002</v>
      </c>
      <c r="M3418">
        <v>-0.35651939999999999</v>
      </c>
      <c r="N3418">
        <v>0</v>
      </c>
      <c r="O3418">
        <v>-0.9342047</v>
      </c>
      <c r="P3418">
        <v>-0.10602640000000001</v>
      </c>
      <c r="Q3418">
        <v>0.17493429999999999</v>
      </c>
      <c r="R3418">
        <v>-0.97885440000000001</v>
      </c>
      <c r="S3418">
        <v>-0.10684200000000001</v>
      </c>
      <c r="T3418">
        <v>-0.18624180000000001</v>
      </c>
      <c r="U3418">
        <v>-3.0880429999999999</v>
      </c>
      <c r="V3418">
        <v>-0.25132450000000001</v>
      </c>
      <c r="W3418">
        <v>0.18493470000000001</v>
      </c>
      <c r="X3418">
        <v>0.9500712</v>
      </c>
      <c r="Y3418">
        <v>-0.32406170000000001</v>
      </c>
      <c r="Z3418">
        <v>5.2642609999999999E-2</v>
      </c>
      <c r="AA3418">
        <v>0.94457009999999997</v>
      </c>
      <c r="AB3418">
        <v>38</v>
      </c>
      <c r="AC3418">
        <v>-0.52870000000001405</v>
      </c>
      <c r="AD3418">
        <v>-1.05434859</v>
      </c>
      <c r="AE3418">
        <v>-17.244900000000001</v>
      </c>
      <c r="AF3418">
        <v>-5.6336279287449598</v>
      </c>
      <c r="AG3418">
        <v>-1.05434859</v>
      </c>
      <c r="AH3418">
        <v>16.2393788983617</v>
      </c>
      <c r="AI3418">
        <v>93.510081899727197</v>
      </c>
      <c r="AJ3418">
        <v>109.13225032182299</v>
      </c>
      <c r="AK3418">
        <v>17.2211161541093</v>
      </c>
      <c r="AL3418">
        <v>79.342675424634095</v>
      </c>
      <c r="AM3418">
        <v>104.817184168455</v>
      </c>
      <c r="AN3418">
        <v>1.00000006631688</v>
      </c>
    </row>
    <row r="3419" spans="1:40" x14ac:dyDescent="0.25">
      <c r="A3419" t="str">
        <f>"20190312172144345"</f>
        <v>20190312172144345</v>
      </c>
      <c r="B3419" t="str">
        <f>"1552382504333782"</f>
        <v>1552382504333782</v>
      </c>
      <c r="C3419" t="s">
        <v>40</v>
      </c>
      <c r="D3419">
        <v>3.7891689999999998</v>
      </c>
      <c r="E3419">
        <v>0.4607173</v>
      </c>
      <c r="F3419" t="s">
        <v>42</v>
      </c>
      <c r="G3419">
        <v>-500.8424</v>
      </c>
      <c r="H3419">
        <v>7.9986769999999999E-2</v>
      </c>
      <c r="I3419">
        <v>249.9246</v>
      </c>
      <c r="J3419">
        <v>-500.48390000000001</v>
      </c>
      <c r="K3419">
        <v>1.136388</v>
      </c>
      <c r="L3419">
        <v>268.22129999999999</v>
      </c>
      <c r="M3419">
        <v>-0.34557969999999999</v>
      </c>
      <c r="N3419">
        <v>0</v>
      </c>
      <c r="O3419">
        <v>-0.93831439999999999</v>
      </c>
      <c r="P3419">
        <v>-9.4833920000000002E-2</v>
      </c>
      <c r="Q3419">
        <v>0.1771122</v>
      </c>
      <c r="R3419">
        <v>-0.97961129999999996</v>
      </c>
      <c r="S3419">
        <v>-7.1075440000000004E-2</v>
      </c>
      <c r="T3419">
        <v>-0.17622189999999999</v>
      </c>
      <c r="U3419">
        <v>-3.0885929999999999</v>
      </c>
      <c r="V3419">
        <v>-0.25104369999999998</v>
      </c>
      <c r="W3419">
        <v>0.18643309999999999</v>
      </c>
      <c r="X3419">
        <v>0.94985249999999999</v>
      </c>
      <c r="Y3419">
        <v>-0.32393919999999998</v>
      </c>
      <c r="Z3419">
        <v>5.0165719999999997E-2</v>
      </c>
      <c r="AA3419">
        <v>0.944747</v>
      </c>
      <c r="AB3419">
        <v>38</v>
      </c>
      <c r="AC3419">
        <v>-0.35849999999999199</v>
      </c>
      <c r="AD3419">
        <v>-1.0564012300000001</v>
      </c>
      <c r="AE3419">
        <v>-18.296699999999898</v>
      </c>
      <c r="AF3419">
        <v>-5.9671194584092104</v>
      </c>
      <c r="AG3419">
        <v>-1.0564012300000001</v>
      </c>
      <c r="AH3419">
        <v>17.2357297043717</v>
      </c>
      <c r="AI3419">
        <v>93.314784464781297</v>
      </c>
      <c r="AJ3419">
        <v>109.096179470462</v>
      </c>
      <c r="AK3419">
        <v>18.269999360477101</v>
      </c>
      <c r="AL3419">
        <v>79.255303338458504</v>
      </c>
      <c r="AM3419">
        <v>104.80461465961299</v>
      </c>
      <c r="AN3419">
        <v>1.0000000059207701</v>
      </c>
    </row>
    <row r="3420" spans="1:40" x14ac:dyDescent="0.25">
      <c r="A3420" t="str">
        <f>"20190312172144358"</f>
        <v>20190312172144358</v>
      </c>
      <c r="B3420" t="str">
        <f>"1552382504354279"</f>
        <v>1552382504354279</v>
      </c>
      <c r="C3420" t="s">
        <v>40</v>
      </c>
      <c r="D3420">
        <v>3.7160669999999998</v>
      </c>
      <c r="E3420">
        <v>0.46164860000000002</v>
      </c>
      <c r="F3420" t="s">
        <v>42</v>
      </c>
      <c r="G3420">
        <v>-500.72239999999999</v>
      </c>
      <c r="H3420">
        <v>7.9985639999999997E-2</v>
      </c>
      <c r="I3420">
        <v>248.74029999999999</v>
      </c>
      <c r="J3420">
        <v>-500.55459999999999</v>
      </c>
      <c r="K3420">
        <v>1.1387039999999999</v>
      </c>
      <c r="L3420">
        <v>268.0222</v>
      </c>
      <c r="M3420">
        <v>-0.33362920000000001</v>
      </c>
      <c r="N3420">
        <v>0</v>
      </c>
      <c r="O3420">
        <v>-0.94263819999999998</v>
      </c>
      <c r="P3420">
        <v>-8.3039429999999997E-2</v>
      </c>
      <c r="Q3420">
        <v>0.17871379999999901</v>
      </c>
      <c r="R3420">
        <v>-0.98039100000000001</v>
      </c>
      <c r="S3420">
        <v>-3.7811280000000003E-2</v>
      </c>
      <c r="T3420">
        <v>-0.1675112</v>
      </c>
      <c r="U3420">
        <v>-3.0890499999999999</v>
      </c>
      <c r="V3420">
        <v>-0.2504382</v>
      </c>
      <c r="W3420">
        <v>0.1872065</v>
      </c>
      <c r="X3420">
        <v>0.94986020000000004</v>
      </c>
      <c r="Y3420">
        <v>-0.3220884</v>
      </c>
      <c r="Z3420">
        <v>4.8054550000000001E-2</v>
      </c>
      <c r="AA3420">
        <v>0.94548920000000003</v>
      </c>
      <c r="AB3420">
        <v>38</v>
      </c>
      <c r="AC3420">
        <v>-0.16779999999999901</v>
      </c>
      <c r="AD3420">
        <v>-1.0587183600000001</v>
      </c>
      <c r="AE3420">
        <v>-19.2819</v>
      </c>
      <c r="AF3420">
        <v>-6.2563613389644503</v>
      </c>
      <c r="AG3420">
        <v>-1.0587183600000001</v>
      </c>
      <c r="AH3420">
        <v>18.178176326209901</v>
      </c>
      <c r="AI3420">
        <v>93.152140673937495</v>
      </c>
      <c r="AJ3420">
        <v>108.991865333471</v>
      </c>
      <c r="AK3420">
        <v>19.253805761881701</v>
      </c>
      <c r="AL3420">
        <v>79.210196387454602</v>
      </c>
      <c r="AM3420">
        <v>104.770355343058</v>
      </c>
      <c r="AN3420">
        <v>0.99999998260276401</v>
      </c>
    </row>
    <row r="3421" spans="1:40" x14ac:dyDescent="0.25">
      <c r="A3421" t="str">
        <f>"20190312172144370"</f>
        <v>20190312172144370</v>
      </c>
      <c r="B3421" t="str">
        <f>"1552382504364038"</f>
        <v>1552382504364038</v>
      </c>
      <c r="C3421" t="s">
        <v>40</v>
      </c>
      <c r="D3421">
        <v>3.7657539999999998</v>
      </c>
      <c r="E3421">
        <v>0.4621577</v>
      </c>
      <c r="F3421" t="s">
        <v>42</v>
      </c>
      <c r="G3421">
        <v>-500.59930000000003</v>
      </c>
      <c r="H3421">
        <v>7.9985799999999996E-2</v>
      </c>
      <c r="I3421">
        <v>248.1568</v>
      </c>
      <c r="J3421">
        <v>-500.62180000000001</v>
      </c>
      <c r="K3421">
        <v>1.1410100000000001</v>
      </c>
      <c r="L3421">
        <v>267.82389999999998</v>
      </c>
      <c r="M3421">
        <v>-0.32180799999999998</v>
      </c>
      <c r="N3421">
        <v>0</v>
      </c>
      <c r="O3421">
        <v>-0.94674709999999995</v>
      </c>
      <c r="P3421">
        <v>-7.2141040000000003E-2</v>
      </c>
      <c r="Q3421">
        <v>0.1793516</v>
      </c>
      <c r="R3421">
        <v>-0.98113649999999997</v>
      </c>
      <c r="S3421">
        <v>-6.9580079999999999E-3</v>
      </c>
      <c r="T3421">
        <v>-0.16464529999999999</v>
      </c>
      <c r="U3421">
        <v>-3.0893549999999999</v>
      </c>
      <c r="V3421">
        <v>-0.24919359999999999</v>
      </c>
      <c r="W3421">
        <v>0.18701400000000001</v>
      </c>
      <c r="X3421">
        <v>0.9502254</v>
      </c>
      <c r="Y3421">
        <v>-0.31968279999999999</v>
      </c>
      <c r="Z3421">
        <v>4.7578009999999997E-2</v>
      </c>
      <c r="AA3421">
        <v>0.94632939999999999</v>
      </c>
      <c r="AB3421">
        <v>38</v>
      </c>
      <c r="AC3421">
        <v>2.2499999999979502E-2</v>
      </c>
      <c r="AD3421">
        <v>-1.0610242000000001</v>
      </c>
      <c r="AE3421">
        <v>-19.667099999999898</v>
      </c>
      <c r="AF3421">
        <v>-6.3322496749504298</v>
      </c>
      <c r="AG3421">
        <v>-1.0610242000000001</v>
      </c>
      <c r="AH3421">
        <v>18.559530967171799</v>
      </c>
      <c r="AI3421">
        <v>93.097035871844497</v>
      </c>
      <c r="AJ3421">
        <v>108.838915827661</v>
      </c>
      <c r="AK3421">
        <v>19.638720630944999</v>
      </c>
      <c r="AL3421">
        <v>79.221424294031095</v>
      </c>
      <c r="AM3421">
        <v>104.694732634715</v>
      </c>
      <c r="AN3421">
        <v>0.99999999864105904</v>
      </c>
    </row>
    <row r="3422" spans="1:40" x14ac:dyDescent="0.25">
      <c r="A3422" t="str">
        <f>"20190312172144386"</f>
        <v>20190312172144386</v>
      </c>
      <c r="B3422" t="str">
        <f>"1552382504383558"</f>
        <v>1552382504383558</v>
      </c>
      <c r="C3422" t="s">
        <v>40</v>
      </c>
      <c r="D3422">
        <v>4.1755899999999997</v>
      </c>
      <c r="E3422">
        <v>0.46320850000000002</v>
      </c>
      <c r="F3422" t="s">
        <v>42</v>
      </c>
      <c r="G3422">
        <v>-500.46120000000002</v>
      </c>
      <c r="H3422">
        <v>7.9985979999999998E-2</v>
      </c>
      <c r="I3422">
        <v>247.5496</v>
      </c>
      <c r="J3422">
        <v>-500.70060000000001</v>
      </c>
      <c r="K3422">
        <v>1.1437469999999901</v>
      </c>
      <c r="L3422">
        <v>267.58390000000003</v>
      </c>
      <c r="M3422">
        <v>-0.30756209999999901</v>
      </c>
      <c r="N3422">
        <v>0</v>
      </c>
      <c r="O3422">
        <v>-0.95147930000000003</v>
      </c>
      <c r="P3422">
        <v>-6.0625650000000003E-2</v>
      </c>
      <c r="Q3422">
        <v>0.17911740000000001</v>
      </c>
      <c r="R3422">
        <v>-0.981958</v>
      </c>
      <c r="S3422">
        <v>2.44751E-2</v>
      </c>
      <c r="T3422">
        <v>-0.1616609</v>
      </c>
      <c r="U3422">
        <v>-3.0890499999999999</v>
      </c>
      <c r="V3422">
        <v>-0.2462193</v>
      </c>
      <c r="W3422">
        <v>0.1858175</v>
      </c>
      <c r="X3422">
        <v>0.95123489999999999</v>
      </c>
      <c r="Y3422">
        <v>-0.31508540000000002</v>
      </c>
      <c r="Z3422">
        <v>4.7130089999999999E-2</v>
      </c>
      <c r="AA3422">
        <v>0.94789239999999997</v>
      </c>
      <c r="AB3422">
        <v>38</v>
      </c>
      <c r="AC3422">
        <v>0.23939999999998901</v>
      </c>
      <c r="AD3422">
        <v>-1.0637610199999901</v>
      </c>
      <c r="AE3422">
        <v>-20.034300000000002</v>
      </c>
      <c r="AF3422">
        <v>-6.3719099907560404</v>
      </c>
      <c r="AG3422">
        <v>-1.0637610199999901</v>
      </c>
      <c r="AH3422">
        <v>18.936092799687302</v>
      </c>
      <c r="AI3422">
        <v>93.047713622032305</v>
      </c>
      <c r="AJ3422">
        <v>108.597854701489</v>
      </c>
      <c r="AK3422">
        <v>20.0077093880418</v>
      </c>
      <c r="AL3422">
        <v>79.291201424981296</v>
      </c>
      <c r="AM3422">
        <v>104.512037566039</v>
      </c>
      <c r="AN3422">
        <v>0.99999996098837396</v>
      </c>
    </row>
    <row r="3423" spans="1:40" x14ac:dyDescent="0.25">
      <c r="A3423" t="str">
        <f>"20190312172144398"</f>
        <v>20190312172144398</v>
      </c>
      <c r="B3423" t="str">
        <f>"1552382504394295"</f>
        <v>1552382504394295</v>
      </c>
      <c r="C3423" t="s">
        <v>40</v>
      </c>
      <c r="D3423">
        <v>5.5038169999999997</v>
      </c>
      <c r="E3423">
        <v>0.46320850000000002</v>
      </c>
      <c r="F3423" t="s">
        <v>42</v>
      </c>
      <c r="G3423">
        <v>-500.32929999999999</v>
      </c>
      <c r="H3423">
        <v>7.9986130000000003E-2</v>
      </c>
      <c r="I3423">
        <v>247.02099999999999</v>
      </c>
      <c r="J3423">
        <v>-500.75779999999997</v>
      </c>
      <c r="K3423">
        <v>1.145742</v>
      </c>
      <c r="L3423">
        <v>267.404</v>
      </c>
      <c r="M3423">
        <v>-0.29693360000000002</v>
      </c>
      <c r="N3423">
        <v>0</v>
      </c>
      <c r="O3423">
        <v>-0.95485569999999997</v>
      </c>
      <c r="P3423">
        <v>-5.1758640000000002E-2</v>
      </c>
      <c r="Q3423">
        <v>0.17952699999999999</v>
      </c>
      <c r="R3423">
        <v>-0.9823906</v>
      </c>
      <c r="S3423">
        <v>5.5755619999999999E-2</v>
      </c>
      <c r="T3423">
        <v>-0.15973409999999999</v>
      </c>
      <c r="U3423">
        <v>-3.0877080000000001</v>
      </c>
      <c r="V3423">
        <v>-0.24426829999999999</v>
      </c>
      <c r="W3423">
        <v>0.18552940000000001</v>
      </c>
      <c r="X3423">
        <v>0.95179400000000003</v>
      </c>
      <c r="Y3423">
        <v>-0.3141062</v>
      </c>
      <c r="Z3423">
        <v>4.6854760000000002E-2</v>
      </c>
      <c r="AA3423">
        <v>0.94823089999999999</v>
      </c>
      <c r="AB3423">
        <v>38</v>
      </c>
      <c r="AC3423">
        <v>0.428499999999985</v>
      </c>
      <c r="AD3423">
        <v>-1.06575587</v>
      </c>
      <c r="AE3423">
        <v>-20.382999999999999</v>
      </c>
      <c r="AF3423">
        <v>-6.4442051466511003</v>
      </c>
      <c r="AG3423">
        <v>-1.06575587</v>
      </c>
      <c r="AH3423">
        <v>19.283675166117899</v>
      </c>
      <c r="AI3423">
        <v>93.000572982139502</v>
      </c>
      <c r="AJ3423">
        <v>108.478561242837</v>
      </c>
      <c r="AK3423">
        <v>20.359856174809199</v>
      </c>
      <c r="AL3423">
        <v>79.308000758440301</v>
      </c>
      <c r="AM3423">
        <v>104.39373886126999</v>
      </c>
      <c r="AN3423">
        <v>0.99999998954262503</v>
      </c>
    </row>
    <row r="3424" spans="1:40" x14ac:dyDescent="0.25">
      <c r="A3424" t="str">
        <f>"20190312172144409"</f>
        <v>20190312172144409</v>
      </c>
      <c r="B3424" t="str">
        <f>"1552382504404054"</f>
        <v>1552382504404054</v>
      </c>
      <c r="C3424" t="s">
        <v>40</v>
      </c>
      <c r="D3424">
        <v>3.724183</v>
      </c>
      <c r="E3424">
        <v>0.47551460000000001</v>
      </c>
      <c r="F3424" t="s">
        <v>42</v>
      </c>
      <c r="G3424">
        <v>-500.18650000000002</v>
      </c>
      <c r="H3424">
        <v>7.9986249999999995E-2</v>
      </c>
      <c r="I3424">
        <v>246.58690000000001</v>
      </c>
      <c r="J3424">
        <v>-500.81360000000001</v>
      </c>
      <c r="K3424">
        <v>1.147651</v>
      </c>
      <c r="L3424">
        <v>267.21960000000001</v>
      </c>
      <c r="M3424">
        <v>-0.28593200000000002</v>
      </c>
      <c r="N3424">
        <v>0</v>
      </c>
      <c r="O3424">
        <v>-0.95821279999999998</v>
      </c>
      <c r="P3424">
        <v>-4.2710770000000002E-2</v>
      </c>
      <c r="Q3424">
        <v>0.17987829999999999</v>
      </c>
      <c r="R3424">
        <v>-0.9827612</v>
      </c>
      <c r="S3424">
        <v>8.4716799999999995E-2</v>
      </c>
      <c r="T3424">
        <v>-0.15804789999999999</v>
      </c>
      <c r="U3424">
        <v>-3.087097</v>
      </c>
      <c r="V3424">
        <v>-0.24212359999999999</v>
      </c>
      <c r="W3424">
        <v>0.18529789999999999</v>
      </c>
      <c r="X3424">
        <v>0.95238690000000004</v>
      </c>
      <c r="Y3424">
        <v>-0.31208039999999998</v>
      </c>
      <c r="Z3424">
        <v>4.6638499999999999E-2</v>
      </c>
      <c r="AA3424">
        <v>0.94891020000000004</v>
      </c>
      <c r="AB3424">
        <v>38</v>
      </c>
      <c r="AC3424">
        <v>0.627099999999984</v>
      </c>
      <c r="AD3424">
        <v>-1.0676647500000001</v>
      </c>
      <c r="AE3424">
        <v>-20.6327</v>
      </c>
      <c r="AF3424">
        <v>-6.4833313705639597</v>
      </c>
      <c r="AG3424">
        <v>-1.0676647500000001</v>
      </c>
      <c r="AH3424">
        <v>19.5396335158628</v>
      </c>
      <c r="AI3424">
        <v>92.968741271580996</v>
      </c>
      <c r="AJ3424">
        <v>108.356058189835</v>
      </c>
      <c r="AK3424">
        <v>20.614819223392701</v>
      </c>
      <c r="AL3424">
        <v>79.321498658835793</v>
      </c>
      <c r="AM3424">
        <v>104.264022786871</v>
      </c>
      <c r="AN3424">
        <v>0.99999997835648902</v>
      </c>
    </row>
    <row r="3425" spans="1:40" x14ac:dyDescent="0.25">
      <c r="A3425" t="str">
        <f>"20190312172144421"</f>
        <v>20190312172144421</v>
      </c>
      <c r="B3425" t="str">
        <f>"1552382504413814"</f>
        <v>1552382504413814</v>
      </c>
      <c r="C3425" t="s">
        <v>40</v>
      </c>
      <c r="D3425">
        <v>3.7840669999999998</v>
      </c>
      <c r="E3425">
        <v>0.4759372</v>
      </c>
      <c r="F3425" t="s">
        <v>42</v>
      </c>
      <c r="G3425">
        <v>-500.67540000000002</v>
      </c>
      <c r="H3425">
        <v>7.998595E-2</v>
      </c>
      <c r="I3425">
        <v>242.68559999999999</v>
      </c>
      <c r="J3425">
        <v>-500.87029999999999</v>
      </c>
      <c r="K3425">
        <v>1.14964</v>
      </c>
      <c r="L3425">
        <v>267.02890000000002</v>
      </c>
      <c r="M3425">
        <v>-0.27447440000000001</v>
      </c>
      <c r="N3425">
        <v>0</v>
      </c>
      <c r="O3425">
        <v>-0.96156169999999996</v>
      </c>
      <c r="P3425">
        <v>-3.3784509999999997E-2</v>
      </c>
      <c r="Q3425">
        <v>0.17948539999999999</v>
      </c>
      <c r="R3425">
        <v>-0.98318059999999996</v>
      </c>
      <c r="S3425">
        <v>1.7333979999999999E-2</v>
      </c>
      <c r="T3425">
        <v>-0.1339436</v>
      </c>
      <c r="U3425">
        <v>-3.0779109999999998</v>
      </c>
      <c r="V3425">
        <v>-0.23947750000000001</v>
      </c>
      <c r="W3425">
        <v>0.18437239999999999</v>
      </c>
      <c r="X3425">
        <v>0.95323519999999995</v>
      </c>
      <c r="Y3425">
        <v>-0.27988410000000002</v>
      </c>
      <c r="Z3425">
        <v>4.010275E-2</v>
      </c>
      <c r="AA3425">
        <v>0.95919589999999999</v>
      </c>
      <c r="AB3425">
        <v>37</v>
      </c>
      <c r="AC3425">
        <v>0.19489999999996099</v>
      </c>
      <c r="AD3425">
        <v>-1.06965405</v>
      </c>
      <c r="AE3425">
        <v>-24.343299999999999</v>
      </c>
      <c r="AF3425">
        <v>-6.8560006529943402</v>
      </c>
      <c r="AG3425">
        <v>-1.06965405</v>
      </c>
      <c r="AH3425">
        <v>23.3098216684796</v>
      </c>
      <c r="AI3425">
        <v>92.520750863864507</v>
      </c>
      <c r="AJ3425">
        <v>106.38992662362</v>
      </c>
      <c r="AK3425">
        <v>24.320704984783202</v>
      </c>
      <c r="AL3425">
        <v>79.3754558494321</v>
      </c>
      <c r="AM3425">
        <v>104.102338863669</v>
      </c>
      <c r="AN3425">
        <v>1.0000000007035199</v>
      </c>
    </row>
    <row r="3426" spans="1:40" x14ac:dyDescent="0.25">
      <c r="A3426" t="str">
        <f>"20190312172144433"</f>
        <v>20190312172144433</v>
      </c>
      <c r="B3426" t="str">
        <f>"1552382504423575"</f>
        <v>1552382504423575</v>
      </c>
      <c r="C3426" t="s">
        <v>40</v>
      </c>
      <c r="D3426">
        <v>3.7951800000000002</v>
      </c>
      <c r="E3426">
        <v>0.47660049999999998</v>
      </c>
      <c r="F3426" t="s">
        <v>42</v>
      </c>
      <c r="G3426">
        <v>-500.55259999999998</v>
      </c>
      <c r="H3426">
        <v>7.9985539999999994E-2</v>
      </c>
      <c r="I3426">
        <v>244.03870000000001</v>
      </c>
      <c r="J3426">
        <v>-500.9203</v>
      </c>
      <c r="K3426">
        <v>1.151697</v>
      </c>
      <c r="L3426">
        <v>266.8528</v>
      </c>
      <c r="M3426">
        <v>-0.26373619999999998</v>
      </c>
      <c r="N3426">
        <v>0</v>
      </c>
      <c r="O3426">
        <v>-0.96456390000000003</v>
      </c>
      <c r="P3426">
        <v>-2.542941E-2</v>
      </c>
      <c r="Q3426">
        <v>0.17877599999999999</v>
      </c>
      <c r="R3426">
        <v>-0.98356120000000002</v>
      </c>
      <c r="S3426">
        <v>4.2541500000000003E-2</v>
      </c>
      <c r="T3426">
        <v>-0.1432486</v>
      </c>
      <c r="U3426">
        <v>-3.0788570000000002</v>
      </c>
      <c r="V3426">
        <v>-0.23708750000000001</v>
      </c>
      <c r="W3426">
        <v>0.18333840000000001</v>
      </c>
      <c r="X3426">
        <v>0.95403179999999999</v>
      </c>
      <c r="Y3426">
        <v>-0.27702670000000001</v>
      </c>
      <c r="Z3426">
        <v>4.3095620000000001E-2</v>
      </c>
      <c r="AA3426">
        <v>0.95989530000000001</v>
      </c>
      <c r="AB3426">
        <v>37</v>
      </c>
      <c r="AC3426">
        <v>0.36770000000001302</v>
      </c>
      <c r="AD3426">
        <v>-1.0717114599999999</v>
      </c>
      <c r="AE3426">
        <v>-22.8141</v>
      </c>
      <c r="AF3426">
        <v>-6.3577382213513296</v>
      </c>
      <c r="AG3426">
        <v>-1.0717114599999999</v>
      </c>
      <c r="AH3426">
        <v>21.861106452944899</v>
      </c>
      <c r="AI3426">
        <v>92.695115337610005</v>
      </c>
      <c r="AJ3426">
        <v>106.215707820802</v>
      </c>
      <c r="AK3426">
        <v>22.7920463340113</v>
      </c>
      <c r="AL3426">
        <v>79.435727785464593</v>
      </c>
      <c r="AM3426">
        <v>103.95592624545</v>
      </c>
      <c r="AN3426">
        <v>1.00000006349102</v>
      </c>
    </row>
    <row r="3427" spans="1:40" x14ac:dyDescent="0.25">
      <c r="A3427" t="str">
        <f>"20190312172144444"</f>
        <v>20190312172144444</v>
      </c>
      <c r="B3427" t="str">
        <f>"1552382504434311"</f>
        <v>1552382504434311</v>
      </c>
      <c r="C3427" t="s">
        <v>40</v>
      </c>
      <c r="D3427">
        <v>3.7644259999999998</v>
      </c>
      <c r="E3427">
        <v>0.47685699999999998</v>
      </c>
      <c r="F3427" t="s">
        <v>42</v>
      </c>
      <c r="G3427">
        <v>-500.45679999999999</v>
      </c>
      <c r="H3427">
        <v>7.9985390000000003E-2</v>
      </c>
      <c r="I3427">
        <v>244.54490000000001</v>
      </c>
      <c r="J3427">
        <v>-500.9665</v>
      </c>
      <c r="K3427">
        <v>1.1537900000000001</v>
      </c>
      <c r="L3427">
        <v>266.68650000000002</v>
      </c>
      <c r="M3427">
        <v>-0.25353769999999998</v>
      </c>
      <c r="N3427">
        <v>0</v>
      </c>
      <c r="O3427">
        <v>-0.96729549999999997</v>
      </c>
      <c r="P3427">
        <v>-1.842359E-2</v>
      </c>
      <c r="Q3427">
        <v>0.1767435</v>
      </c>
      <c r="R3427">
        <v>-0.98408479999999998</v>
      </c>
      <c r="S3427">
        <v>6.3964839999999995E-2</v>
      </c>
      <c r="T3427">
        <v>-0.14790510000000001</v>
      </c>
      <c r="U3427">
        <v>-3.0786739999999999</v>
      </c>
      <c r="V3427">
        <v>-0.23403489999999999</v>
      </c>
      <c r="W3427">
        <v>0.18104190000000001</v>
      </c>
      <c r="X3427">
        <v>0.9552233</v>
      </c>
      <c r="Y3427">
        <v>-0.27355669999999999</v>
      </c>
      <c r="Z3427">
        <v>4.4713139999999998E-2</v>
      </c>
      <c r="AA3427">
        <v>0.960816</v>
      </c>
      <c r="AB3427">
        <v>37</v>
      </c>
      <c r="AC3427">
        <v>0.50970000000000903</v>
      </c>
      <c r="AD3427">
        <v>-1.0738046099999901</v>
      </c>
      <c r="AE3427">
        <v>-22.1416</v>
      </c>
      <c r="AF3427">
        <v>-6.0926160269657901</v>
      </c>
      <c r="AG3427">
        <v>-1.0738046099999901</v>
      </c>
      <c r="AH3427">
        <v>21.2389328374008</v>
      </c>
      <c r="AI3427">
        <v>92.782287537655904</v>
      </c>
      <c r="AJ3427">
        <v>106.006107066559</v>
      </c>
      <c r="AK3427">
        <v>22.121602438885802</v>
      </c>
      <c r="AL3427">
        <v>79.569546891784896</v>
      </c>
      <c r="AM3427">
        <v>103.766594446325</v>
      </c>
      <c r="AN3427">
        <v>1.00000002841825</v>
      </c>
    </row>
    <row r="3428" spans="1:40" x14ac:dyDescent="0.25">
      <c r="A3428" t="str">
        <f>"20190312172144455"</f>
        <v>20190312172144455</v>
      </c>
      <c r="B3428" t="str">
        <f>"1552382504444070"</f>
        <v>1552382504444070</v>
      </c>
      <c r="C3428" t="s">
        <v>40</v>
      </c>
      <c r="D3428">
        <v>3.8246069999999999</v>
      </c>
      <c r="E3428">
        <v>0.47707620000000001</v>
      </c>
      <c r="F3428" t="s">
        <v>42</v>
      </c>
      <c r="G3428">
        <v>-500.34859999999998</v>
      </c>
      <c r="H3428">
        <v>7.998537E-2</v>
      </c>
      <c r="I3428">
        <v>244.57130000000001</v>
      </c>
      <c r="J3428">
        <v>-501.01479999999998</v>
      </c>
      <c r="K3428">
        <v>1.1563479999999999</v>
      </c>
      <c r="L3428">
        <v>266.50630000000001</v>
      </c>
      <c r="M3428">
        <v>-0.24239930000000001</v>
      </c>
      <c r="N3428">
        <v>0</v>
      </c>
      <c r="O3428">
        <v>-0.97014630000000002</v>
      </c>
      <c r="P3428">
        <v>-1.029588E-2</v>
      </c>
      <c r="Q3428">
        <v>0.175206</v>
      </c>
      <c r="R3428">
        <v>-0.98447810000000002</v>
      </c>
      <c r="S3428">
        <v>8.5968020000000006E-2</v>
      </c>
      <c r="T3428">
        <v>-0.149400799999999</v>
      </c>
      <c r="U3428">
        <v>-3.0769350000000002</v>
      </c>
      <c r="V3428">
        <v>-0.2312526</v>
      </c>
      <c r="W3428">
        <v>0.1792638</v>
      </c>
      <c r="X3428">
        <v>0.95623570000000002</v>
      </c>
      <c r="Y3428">
        <v>-0.26937240000000001</v>
      </c>
      <c r="Z3428">
        <v>4.5421349999999999E-2</v>
      </c>
      <c r="AA3428">
        <v>0.96196429999999999</v>
      </c>
      <c r="AB3428">
        <v>37</v>
      </c>
      <c r="AC3428">
        <v>0.66620000000000301</v>
      </c>
      <c r="AD3428">
        <v>-1.07636263</v>
      </c>
      <c r="AE3428">
        <v>-21.934999999999999</v>
      </c>
      <c r="AF3428">
        <v>-5.9492032494608296</v>
      </c>
      <c r="AG3428">
        <v>-1.07636263</v>
      </c>
      <c r="AH3428">
        <v>21.068608159858499</v>
      </c>
      <c r="AI3428">
        <v>92.814733934640103</v>
      </c>
      <c r="AJ3428">
        <v>105.76823980415401</v>
      </c>
      <c r="AK3428">
        <v>21.918891979484599</v>
      </c>
      <c r="AL3428">
        <v>79.673118758883604</v>
      </c>
      <c r="AM3428">
        <v>103.59517927168299</v>
      </c>
      <c r="AN3428">
        <v>0.99999999447584498</v>
      </c>
    </row>
    <row r="3429" spans="1:40" x14ac:dyDescent="0.25">
      <c r="A3429" t="str">
        <f>"20190312172144467"</f>
        <v>20190312172144467</v>
      </c>
      <c r="B3429" t="str">
        <f>"1552382504463591"</f>
        <v>1552382504463591</v>
      </c>
      <c r="C3429" t="s">
        <v>40</v>
      </c>
      <c r="D3429">
        <v>3.8491599999999999</v>
      </c>
      <c r="E3429">
        <v>0.47816950000000003</v>
      </c>
      <c r="F3429" t="s">
        <v>42</v>
      </c>
      <c r="G3429">
        <v>-500.25940000000003</v>
      </c>
      <c r="H3429">
        <v>7.9986539999999995E-2</v>
      </c>
      <c r="I3429">
        <v>245.63980000000001</v>
      </c>
      <c r="J3429">
        <v>-501.06240000000003</v>
      </c>
      <c r="K3429">
        <v>1.1591689999999999</v>
      </c>
      <c r="L3429">
        <v>266.32150000000001</v>
      </c>
      <c r="M3429">
        <v>-0.23112450000000001</v>
      </c>
      <c r="N3429">
        <v>0</v>
      </c>
      <c r="O3429">
        <v>-0.9728926</v>
      </c>
      <c r="P3429">
        <v>-1.9822379999999999E-3</v>
      </c>
      <c r="Q3429">
        <v>0.17462639999999999</v>
      </c>
      <c r="R3429">
        <v>-0.98463299999999998</v>
      </c>
      <c r="S3429">
        <v>0.11138919999999999</v>
      </c>
      <c r="T3429">
        <v>-0.1587073</v>
      </c>
      <c r="U3429">
        <v>-3.076721</v>
      </c>
      <c r="V3429">
        <v>-0.22859499999999999</v>
      </c>
      <c r="W3429">
        <v>0.17842729999999901</v>
      </c>
      <c r="X3429">
        <v>0.95703079999999996</v>
      </c>
      <c r="Y3429">
        <v>-0.26613150000000002</v>
      </c>
      <c r="Z3429">
        <v>4.8475530000000003E-2</v>
      </c>
      <c r="AA3429">
        <v>0.96271709999999999</v>
      </c>
      <c r="AB3429">
        <v>37</v>
      </c>
      <c r="AC3429">
        <v>0.80299999999999705</v>
      </c>
      <c r="AD3429">
        <v>-1.07918246</v>
      </c>
      <c r="AE3429">
        <v>-20.681699999999999</v>
      </c>
      <c r="AF3429">
        <v>-5.5463722353577101</v>
      </c>
      <c r="AG3429">
        <v>-1.07918246</v>
      </c>
      <c r="AH3429">
        <v>19.8820389787723</v>
      </c>
      <c r="AI3429">
        <v>92.992871308366603</v>
      </c>
      <c r="AJ3429">
        <v>105.587186242046</v>
      </c>
      <c r="AK3429">
        <v>20.669357844609898</v>
      </c>
      <c r="AL3429">
        <v>79.721831758332499</v>
      </c>
      <c r="AM3429">
        <v>103.433879517851</v>
      </c>
      <c r="AN3429">
        <v>0.99999996377946399</v>
      </c>
    </row>
    <row r="3430" spans="1:40" x14ac:dyDescent="0.25">
      <c r="A3430" t="str">
        <f>"20190312172144481"</f>
        <v>20190312172144481</v>
      </c>
      <c r="B3430" t="str">
        <f>"1552382504474326"</f>
        <v>1552382504474326</v>
      </c>
      <c r="C3430" t="s">
        <v>40</v>
      </c>
      <c r="D3430">
        <v>3.847156</v>
      </c>
      <c r="E3430">
        <v>0.47883399999999998</v>
      </c>
      <c r="F3430" t="s">
        <v>42</v>
      </c>
      <c r="G3430">
        <v>-500.18740000000003</v>
      </c>
      <c r="H3430">
        <v>7.9986500000000002E-2</v>
      </c>
      <c r="I3430">
        <v>245.76089999999999</v>
      </c>
      <c r="J3430">
        <v>-501.11369999999999</v>
      </c>
      <c r="K3430">
        <v>1.162444</v>
      </c>
      <c r="L3430">
        <v>266.1164</v>
      </c>
      <c r="M3430">
        <v>-0.2187133</v>
      </c>
      <c r="N3430">
        <v>0</v>
      </c>
      <c r="O3430">
        <v>-0.97575590000000001</v>
      </c>
      <c r="P3430">
        <v>6.8560629999999999E-3</v>
      </c>
      <c r="Q3430">
        <v>0.174548799999999</v>
      </c>
      <c r="R3430">
        <v>-0.98462490000000003</v>
      </c>
      <c r="S3430">
        <v>0.130889899999999</v>
      </c>
      <c r="T3430">
        <v>-0.16143750000000001</v>
      </c>
      <c r="U3430">
        <v>-3.0757140000000001</v>
      </c>
      <c r="V3430">
        <v>-0.22543830000000001</v>
      </c>
      <c r="W3430">
        <v>0.178059</v>
      </c>
      <c r="X3430">
        <v>0.95784789999999997</v>
      </c>
      <c r="Y3430">
        <v>-0.25995180000000001</v>
      </c>
      <c r="Z3430">
        <v>4.958634E-2</v>
      </c>
      <c r="AA3430">
        <v>0.96434759999999997</v>
      </c>
      <c r="AB3430">
        <v>37</v>
      </c>
      <c r="AC3430">
        <v>0.92629999999996904</v>
      </c>
      <c r="AD3430">
        <v>-1.0824575000000001</v>
      </c>
      <c r="AE3430">
        <v>-20.355499999999999</v>
      </c>
      <c r="AF3430">
        <v>-5.3409628252397896</v>
      </c>
      <c r="AG3430">
        <v>-1.0824575000000001</v>
      </c>
      <c r="AH3430">
        <v>19.6047183647763</v>
      </c>
      <c r="AI3430">
        <v>93.049411498563998</v>
      </c>
      <c r="AJ3430">
        <v>105.239398607719</v>
      </c>
      <c r="AK3430">
        <v>20.348036276311699</v>
      </c>
      <c r="AL3430">
        <v>79.743277764610596</v>
      </c>
      <c r="AM3430">
        <v>103.24405231475799</v>
      </c>
      <c r="AN3430">
        <v>1.0000000170611401</v>
      </c>
    </row>
    <row r="3431" spans="1:40" x14ac:dyDescent="0.25">
      <c r="A3431" t="str">
        <f>"20190312172144491"</f>
        <v>20190312172144491</v>
      </c>
      <c r="B3431" t="str">
        <f>"1552382504484086"</f>
        <v>1552382504484086</v>
      </c>
      <c r="C3431" t="s">
        <v>40</v>
      </c>
      <c r="D3431">
        <v>3.8837220000000001</v>
      </c>
      <c r="E3431">
        <v>0.47924889999999998</v>
      </c>
      <c r="F3431" t="s">
        <v>42</v>
      </c>
      <c r="G3431">
        <v>-500.05020000000002</v>
      </c>
      <c r="H3431">
        <v>7.9986619999999994E-2</v>
      </c>
      <c r="I3431">
        <v>245.29480000000001</v>
      </c>
      <c r="J3431">
        <v>-501.15859999999998</v>
      </c>
      <c r="K3431">
        <v>1.1656759999999999</v>
      </c>
      <c r="L3431">
        <v>265.92360000000002</v>
      </c>
      <c r="M3431">
        <v>-0.20747840000000001</v>
      </c>
      <c r="N3431">
        <v>0</v>
      </c>
      <c r="O3431">
        <v>-0.97820410000000002</v>
      </c>
      <c r="P3431">
        <v>1.4327899999999999E-2</v>
      </c>
      <c r="Q3431">
        <v>0.17696020000000001</v>
      </c>
      <c r="R3431">
        <v>-0.98411369999999998</v>
      </c>
      <c r="S3431">
        <v>0.15701289999999901</v>
      </c>
      <c r="T3431">
        <v>-0.15981329999999999</v>
      </c>
      <c r="U3431">
        <v>-3.0740970000000001</v>
      </c>
      <c r="V3431">
        <v>-0.2221273</v>
      </c>
      <c r="W3431">
        <v>0.1802301</v>
      </c>
      <c r="X3431">
        <v>0.95821529999999999</v>
      </c>
      <c r="Y3431">
        <v>-0.25704690000000002</v>
      </c>
      <c r="Z3431">
        <v>4.9315499999999998E-2</v>
      </c>
      <c r="AA3431">
        <v>0.96513979999999999</v>
      </c>
      <c r="AB3431">
        <v>37</v>
      </c>
      <c r="AC3431">
        <v>1.1083999999999601</v>
      </c>
      <c r="AD3431">
        <v>-1.08568938</v>
      </c>
      <c r="AE3431">
        <v>-20.628799999999998</v>
      </c>
      <c r="AF3431">
        <v>-5.3496827314445996</v>
      </c>
      <c r="AG3431">
        <v>-1.08568938</v>
      </c>
      <c r="AH3431">
        <v>19.894952188362399</v>
      </c>
      <c r="AI3431">
        <v>93.016647285671098</v>
      </c>
      <c r="AJ3431">
        <v>105.050628119815</v>
      </c>
      <c r="AK3431">
        <v>20.6302435597398</v>
      </c>
      <c r="AL3431">
        <v>79.616837172053906</v>
      </c>
      <c r="AM3431">
        <v>103.051414039694</v>
      </c>
      <c r="AN3431">
        <v>0.99999999375269499</v>
      </c>
    </row>
    <row r="3432" spans="1:40" x14ac:dyDescent="0.25">
      <c r="A3432" t="str">
        <f>"20190312172144503"</f>
        <v>20190312172144503</v>
      </c>
      <c r="B3432" t="str">
        <f>"1552382504493847"</f>
        <v>1552382504493847</v>
      </c>
      <c r="C3432" t="s">
        <v>40</v>
      </c>
      <c r="D3432">
        <v>3.8494999999999999</v>
      </c>
      <c r="E3432">
        <v>0.47982920000000001</v>
      </c>
      <c r="F3432" t="s">
        <v>42</v>
      </c>
      <c r="G3432">
        <v>-499.79379999999998</v>
      </c>
      <c r="H3432" s="1">
        <v>-3.659412E-6</v>
      </c>
      <c r="I3432">
        <v>242.63509999999999</v>
      </c>
      <c r="J3432">
        <v>-501.19819999999999</v>
      </c>
      <c r="K3432">
        <v>1.168609</v>
      </c>
      <c r="L3432">
        <v>265.7482</v>
      </c>
      <c r="M3432">
        <v>-0.1973917</v>
      </c>
      <c r="N3432">
        <v>0</v>
      </c>
      <c r="O3432">
        <v>-0.98028700000000002</v>
      </c>
      <c r="P3432">
        <v>1.981598E-2</v>
      </c>
      <c r="Q3432">
        <v>0.17922299999999999</v>
      </c>
      <c r="R3432">
        <v>-0.98360899999999996</v>
      </c>
      <c r="S3432">
        <v>0.18011469999999999</v>
      </c>
      <c r="T3432">
        <v>-0.1538388</v>
      </c>
      <c r="U3432">
        <v>-3.0734560000000002</v>
      </c>
      <c r="V3432">
        <v>-0.21800520000000001</v>
      </c>
      <c r="W3432">
        <v>0.18232719999999999</v>
      </c>
      <c r="X3432">
        <v>0.95876510000000004</v>
      </c>
      <c r="Y3432">
        <v>-0.25434089999999998</v>
      </c>
      <c r="Z3432">
        <v>4.7650709999999999E-2</v>
      </c>
      <c r="AA3432">
        <v>0.96594000000000002</v>
      </c>
      <c r="AB3432">
        <v>37</v>
      </c>
      <c r="AC3432">
        <v>1.4044000000000001</v>
      </c>
      <c r="AD3432">
        <v>-1.1686126594120001</v>
      </c>
      <c r="AE3432">
        <v>-23.113099999999999</v>
      </c>
      <c r="AF3432">
        <v>-5.9241799419051002</v>
      </c>
      <c r="AG3432">
        <v>-1.1686126594120001</v>
      </c>
      <c r="AH3432">
        <v>22.324222526864698</v>
      </c>
      <c r="AI3432">
        <v>92.896471974169103</v>
      </c>
      <c r="AJ3432">
        <v>104.862036058013</v>
      </c>
      <c r="AK3432">
        <v>23.126445359388502</v>
      </c>
      <c r="AL3432">
        <v>79.494657896759307</v>
      </c>
      <c r="AM3432">
        <v>102.81017803154801</v>
      </c>
      <c r="AN3432">
        <v>0.99999999603244405</v>
      </c>
    </row>
    <row r="3433" spans="1:40" x14ac:dyDescent="0.25">
      <c r="A3433" t="str">
        <f>"20190312172144514"</f>
        <v>20190312172144514</v>
      </c>
      <c r="B3433" t="str">
        <f>"1552382504504583"</f>
        <v>1552382504504583</v>
      </c>
      <c r="C3433" t="s">
        <v>40</v>
      </c>
      <c r="D3433">
        <v>3.9723199999999999</v>
      </c>
      <c r="E3433">
        <v>0.480097</v>
      </c>
      <c r="F3433" t="s">
        <v>42</v>
      </c>
      <c r="G3433">
        <v>-499.6635</v>
      </c>
      <c r="H3433" s="1">
        <v>-3.2342790000000002E-6</v>
      </c>
      <c r="I3433">
        <v>241.4537</v>
      </c>
      <c r="J3433">
        <v>-501.23500000000001</v>
      </c>
      <c r="K3433">
        <v>1.171478</v>
      </c>
      <c r="L3433">
        <v>265.5761</v>
      </c>
      <c r="M3433">
        <v>-0.1877422</v>
      </c>
      <c r="N3433">
        <v>0</v>
      </c>
      <c r="O3433">
        <v>-0.982178</v>
      </c>
      <c r="P3433">
        <v>2.45195E-2</v>
      </c>
      <c r="Q3433">
        <v>0.18060760000000001</v>
      </c>
      <c r="R3433">
        <v>-0.9832495</v>
      </c>
      <c r="S3433">
        <v>0.1941223</v>
      </c>
      <c r="T3433">
        <v>-0.14781739999999999</v>
      </c>
      <c r="U3433">
        <v>-3.0729980000000001</v>
      </c>
      <c r="V3433">
        <v>-0.2135736</v>
      </c>
      <c r="W3433">
        <v>0.1836187</v>
      </c>
      <c r="X3433">
        <v>0.95951580000000003</v>
      </c>
      <c r="Y3433">
        <v>-0.24922839999999999</v>
      </c>
      <c r="Z3433">
        <v>4.5958850000000002E-2</v>
      </c>
      <c r="AA3433">
        <v>0.96735360000000004</v>
      </c>
      <c r="AB3433">
        <v>37</v>
      </c>
      <c r="AC3433">
        <v>1.5715000000000101</v>
      </c>
      <c r="AD3433">
        <v>-1.171481234279</v>
      </c>
      <c r="AE3433">
        <v>-24.122399999999999</v>
      </c>
      <c r="AF3433">
        <v>-6.0582978732191499</v>
      </c>
      <c r="AG3433">
        <v>-1.171481234279</v>
      </c>
      <c r="AH3433">
        <v>23.343558493777</v>
      </c>
      <c r="AI3433">
        <v>92.780963694032195</v>
      </c>
      <c r="AJ3433">
        <v>104.54886097009</v>
      </c>
      <c r="AK3433">
        <v>24.145332148374099</v>
      </c>
      <c r="AL3433">
        <v>79.419390180757603</v>
      </c>
      <c r="AM3433">
        <v>102.54860091094</v>
      </c>
      <c r="AN3433">
        <v>1.0000000400281399</v>
      </c>
    </row>
    <row r="3434" spans="1:40" x14ac:dyDescent="0.25">
      <c r="A3434" t="str">
        <f>"20190312172144526"</f>
        <v>20190312172144526</v>
      </c>
      <c r="B3434" t="str">
        <f>"1552382504514343"</f>
        <v>1552382504514343</v>
      </c>
      <c r="C3434" t="s">
        <v>40</v>
      </c>
      <c r="D3434">
        <v>3.8821870000000001</v>
      </c>
      <c r="E3434">
        <v>0.48062779999999999</v>
      </c>
      <c r="F3434" t="s">
        <v>42</v>
      </c>
      <c r="G3434">
        <v>-499.58390000000003</v>
      </c>
      <c r="H3434" s="1">
        <v>-3.1616360000000001E-6</v>
      </c>
      <c r="I3434">
        <v>241.2818</v>
      </c>
      <c r="J3434">
        <v>-501.27010000000001</v>
      </c>
      <c r="K3434">
        <v>1.1742509999999999</v>
      </c>
      <c r="L3434">
        <v>265.40379999999999</v>
      </c>
      <c r="M3434">
        <v>-0.17825299999999999</v>
      </c>
      <c r="N3434">
        <v>0</v>
      </c>
      <c r="O3434">
        <v>-0.98394170000000003</v>
      </c>
      <c r="P3434">
        <v>2.7658479999999999E-2</v>
      </c>
      <c r="Q3434">
        <v>0.18224029999999999</v>
      </c>
      <c r="R3434">
        <v>-0.98286499999999999</v>
      </c>
      <c r="S3434">
        <v>0.2088623</v>
      </c>
      <c r="T3434">
        <v>-0.14818870000000001</v>
      </c>
      <c r="U3434">
        <v>-3.0731510000000002</v>
      </c>
      <c r="V3434">
        <v>-0.20775950000000001</v>
      </c>
      <c r="W3434">
        <v>0.18527160000000001</v>
      </c>
      <c r="X3434">
        <v>0.9604741</v>
      </c>
      <c r="Y3434">
        <v>-0.24449460000000001</v>
      </c>
      <c r="Z3434">
        <v>4.6221190000000002E-2</v>
      </c>
      <c r="AA3434">
        <v>0.96854839999999998</v>
      </c>
      <c r="AB3434">
        <v>37</v>
      </c>
      <c r="AC3434">
        <v>1.6861999999999799</v>
      </c>
      <c r="AD3434">
        <v>-1.1742541616359901</v>
      </c>
      <c r="AE3434">
        <v>-24.1219999999999</v>
      </c>
      <c r="AF3434">
        <v>-5.9451735293764401</v>
      </c>
      <c r="AG3434">
        <v>-1.1742541616359901</v>
      </c>
      <c r="AH3434">
        <v>23.3799282476329</v>
      </c>
      <c r="AI3434">
        <v>92.786719391234001</v>
      </c>
      <c r="AJ3434">
        <v>104.26709949622401</v>
      </c>
      <c r="AK3434">
        <v>24.152536222827202</v>
      </c>
      <c r="AL3434">
        <v>79.323032714136502</v>
      </c>
      <c r="AM3434">
        <v>102.205564869677</v>
      </c>
      <c r="AN3434">
        <v>1.0000000361888</v>
      </c>
    </row>
    <row r="3435" spans="1:40" x14ac:dyDescent="0.25">
      <c r="A3435" t="str">
        <f>"20190312172144536"</f>
        <v>20190312172144536</v>
      </c>
      <c r="B3435" t="str">
        <f>"1552382504533862"</f>
        <v>1552382504533862</v>
      </c>
      <c r="C3435" t="s">
        <v>40</v>
      </c>
      <c r="D3435">
        <v>3.8858009999999998</v>
      </c>
      <c r="E3435">
        <v>0.48156110000000002</v>
      </c>
      <c r="F3435" t="s">
        <v>42</v>
      </c>
      <c r="G3435">
        <v>-499.4744</v>
      </c>
      <c r="H3435" s="1">
        <v>-2.7492470000000001E-6</v>
      </c>
      <c r="I3435">
        <v>240.12710000000001</v>
      </c>
      <c r="J3435">
        <v>-501.30430000000001</v>
      </c>
      <c r="K3435">
        <v>1.176979</v>
      </c>
      <c r="L3435">
        <v>265.22840000000002</v>
      </c>
      <c r="M3435">
        <v>-0.16874229999999901</v>
      </c>
      <c r="N3435">
        <v>0</v>
      </c>
      <c r="O3435">
        <v>-0.9856144</v>
      </c>
      <c r="P3435">
        <v>3.0610769999999999E-2</v>
      </c>
      <c r="Q3435">
        <v>0.18424599999999999</v>
      </c>
      <c r="R3435">
        <v>-0.98240360000000004</v>
      </c>
      <c r="S3435">
        <v>0.21829219999999999</v>
      </c>
      <c r="T3435">
        <v>-0.1427418</v>
      </c>
      <c r="U3435">
        <v>-3.072632</v>
      </c>
      <c r="V3435">
        <v>-0.20174049999999999</v>
      </c>
      <c r="W3435">
        <v>0.18737229999999999</v>
      </c>
      <c r="X3435">
        <v>0.96134920000000001</v>
      </c>
      <c r="Y3435">
        <v>-0.23810049999999999</v>
      </c>
      <c r="Z3435">
        <v>4.4682270000000003E-2</v>
      </c>
      <c r="AA3435">
        <v>0.97021219999999997</v>
      </c>
      <c r="AB3435">
        <v>37</v>
      </c>
      <c r="AC3435">
        <v>1.8299000000000001</v>
      </c>
      <c r="AD3435">
        <v>-1.1769817492470001</v>
      </c>
      <c r="AE3435">
        <v>-25.101299999999998</v>
      </c>
      <c r="AF3435">
        <v>-6.0263200972767397</v>
      </c>
      <c r="AG3435">
        <v>-1.1769817492470001</v>
      </c>
      <c r="AH3435">
        <v>24.3792073715058</v>
      </c>
      <c r="AI3435">
        <v>92.6833433609618</v>
      </c>
      <c r="AJ3435">
        <v>103.88466585575</v>
      </c>
      <c r="AK3435">
        <v>25.140556318741002</v>
      </c>
      <c r="AL3435">
        <v>79.200525223309498</v>
      </c>
      <c r="AM3435">
        <v>101.85162573763699</v>
      </c>
      <c r="AN3435">
        <v>0.99999994624408794</v>
      </c>
    </row>
    <row r="3436" spans="1:40" x14ac:dyDescent="0.25">
      <c r="A3436" t="str">
        <f>"20190312172144557"</f>
        <v>20190312172144557</v>
      </c>
      <c r="B3436" t="str">
        <f>"1552382504554359"</f>
        <v>1552382504554359</v>
      </c>
      <c r="C3436" t="s">
        <v>40</v>
      </c>
      <c r="D3436">
        <v>3.8811260000000001</v>
      </c>
      <c r="E3436">
        <v>0.4918979</v>
      </c>
      <c r="F3436" t="s">
        <v>42</v>
      </c>
      <c r="G3436">
        <v>-499.40969999999999</v>
      </c>
      <c r="H3436" s="1">
        <v>-5.8238640000000001E-6</v>
      </c>
      <c r="I3436">
        <v>239.19569999999999</v>
      </c>
      <c r="J3436">
        <v>-501.35890000000001</v>
      </c>
      <c r="K3436">
        <v>1.1812119999999999</v>
      </c>
      <c r="L3436">
        <v>264.92340000000002</v>
      </c>
      <c r="M3436">
        <v>-0.15254229999999899</v>
      </c>
      <c r="N3436">
        <v>0</v>
      </c>
      <c r="O3436">
        <v>-0.98824540000000005</v>
      </c>
      <c r="P3436">
        <v>3.5357350000000003E-2</v>
      </c>
      <c r="Q3436">
        <v>0.1846651</v>
      </c>
      <c r="R3436">
        <v>-0.98216550000000002</v>
      </c>
      <c r="S3436">
        <v>0.22363279999999999</v>
      </c>
      <c r="T3436">
        <v>-0.13892869999999999</v>
      </c>
      <c r="U3436">
        <v>-3.072845</v>
      </c>
      <c r="V3436">
        <v>-0.19111829999999999</v>
      </c>
      <c r="W3436">
        <v>0.18818299999999999</v>
      </c>
      <c r="X3436">
        <v>0.96335919999999997</v>
      </c>
      <c r="Y3436">
        <v>-0.22381100000000001</v>
      </c>
      <c r="Z3436">
        <v>4.3740719999999997E-2</v>
      </c>
      <c r="AA3436">
        <v>0.97365049999999997</v>
      </c>
      <c r="AB3436">
        <v>37</v>
      </c>
      <c r="AC3436">
        <v>1.94920000000001</v>
      </c>
      <c r="AD3436">
        <v>-1.1812178238640001</v>
      </c>
      <c r="AE3436">
        <v>-25.727699999999999</v>
      </c>
      <c r="AF3436">
        <v>-5.8389106958980603</v>
      </c>
      <c r="AG3436">
        <v>-1.1812178238640001</v>
      </c>
      <c r="AH3436">
        <v>25.0766673897825</v>
      </c>
      <c r="AI3436">
        <v>92.626719401163697</v>
      </c>
      <c r="AJ3436">
        <v>103.10734179719699</v>
      </c>
      <c r="AK3436">
        <v>25.774549482772098</v>
      </c>
      <c r="AL3436">
        <v>79.153234858077994</v>
      </c>
      <c r="AM3436">
        <v>101.22106192972799</v>
      </c>
      <c r="AN3436">
        <v>0.99999999715426402</v>
      </c>
    </row>
    <row r="3437" spans="1:40" x14ac:dyDescent="0.25">
      <c r="A3437" t="str">
        <f>"20190312172144570"</f>
        <v>20190312172144570</v>
      </c>
      <c r="B3437" t="str">
        <f>"1552382504564119"</f>
        <v>1552382504564119</v>
      </c>
      <c r="C3437" t="s">
        <v>40</v>
      </c>
      <c r="D3437">
        <v>3.911762</v>
      </c>
      <c r="E3437">
        <v>0.49172060000000001</v>
      </c>
      <c r="F3437" t="s">
        <v>42</v>
      </c>
      <c r="G3437">
        <v>-500.1164</v>
      </c>
      <c r="H3437">
        <v>7.9986360000000006E-2</v>
      </c>
      <c r="I3437">
        <v>241.18870000000001</v>
      </c>
      <c r="J3437">
        <v>-501.39580000000001</v>
      </c>
      <c r="K3437">
        <v>1.1839059999999999</v>
      </c>
      <c r="L3437">
        <v>264.6968</v>
      </c>
      <c r="M3437">
        <v>-0.14064260000000001</v>
      </c>
      <c r="N3437">
        <v>0</v>
      </c>
      <c r="O3437">
        <v>-0.99000500000000002</v>
      </c>
      <c r="P3437">
        <v>4.2579539999999999E-2</v>
      </c>
      <c r="Q3437">
        <v>0.1833427</v>
      </c>
      <c r="R3437">
        <v>-0.98212670000000002</v>
      </c>
      <c r="S3437">
        <v>0.16101070000000001</v>
      </c>
      <c r="T3437">
        <v>-0.14269780000000001</v>
      </c>
      <c r="U3437">
        <v>-3.0755620000000001</v>
      </c>
      <c r="V3437">
        <v>-0.186885</v>
      </c>
      <c r="W3437">
        <v>0.18712780000000001</v>
      </c>
      <c r="X3437">
        <v>0.96439470000000005</v>
      </c>
      <c r="Y3437">
        <v>-0.192163</v>
      </c>
      <c r="Z3437">
        <v>4.5192910000000003E-2</v>
      </c>
      <c r="AA3437">
        <v>0.98032189999999997</v>
      </c>
      <c r="AB3437">
        <v>37</v>
      </c>
      <c r="AC3437">
        <v>1.2794000000000001</v>
      </c>
      <c r="AD3437">
        <v>-1.10391964</v>
      </c>
      <c r="AE3437">
        <v>-23.508099999999899</v>
      </c>
      <c r="AF3437">
        <v>-4.5630710984903304</v>
      </c>
      <c r="AG3437">
        <v>-1.10391964</v>
      </c>
      <c r="AH3437">
        <v>23.043800674887301</v>
      </c>
      <c r="AI3437">
        <v>92.690510950765599</v>
      </c>
      <c r="AJ3437">
        <v>101.200659621702</v>
      </c>
      <c r="AK3437">
        <v>23.517164071490299</v>
      </c>
      <c r="AL3437">
        <v>79.214786624393994</v>
      </c>
      <c r="AM3437">
        <v>100.967116474658</v>
      </c>
      <c r="AN3437">
        <v>0.99999997707296395</v>
      </c>
    </row>
    <row r="3438" spans="1:40" x14ac:dyDescent="0.25">
      <c r="A3438" t="str">
        <f>"20190312172144583"</f>
        <v>20190312172144583</v>
      </c>
      <c r="B3438" t="str">
        <f>"1552382504573878"</f>
        <v>1552382504573878</v>
      </c>
      <c r="C3438" t="s">
        <v>40</v>
      </c>
      <c r="D3438">
        <v>3.8987409999999998</v>
      </c>
      <c r="E3438">
        <v>0.49180970000000002</v>
      </c>
      <c r="F3438" t="s">
        <v>42</v>
      </c>
      <c r="G3438">
        <v>-500.04579999999999</v>
      </c>
      <c r="H3438">
        <v>7.9985929999999997E-2</v>
      </c>
      <c r="I3438">
        <v>242.6103</v>
      </c>
      <c r="J3438">
        <v>-501.42860000000002</v>
      </c>
      <c r="K3438">
        <v>1.186221</v>
      </c>
      <c r="L3438">
        <v>264.48140000000001</v>
      </c>
      <c r="M3438">
        <v>-0.12939320000000001</v>
      </c>
      <c r="N3438">
        <v>0</v>
      </c>
      <c r="O3438">
        <v>-0.99153409999999997</v>
      </c>
      <c r="P3438">
        <v>4.9805049999999997E-2</v>
      </c>
      <c r="Q3438">
        <v>0.18022489999999999</v>
      </c>
      <c r="R3438">
        <v>-0.98236380000000001</v>
      </c>
      <c r="S3438">
        <v>0.18795780000000001</v>
      </c>
      <c r="T3438">
        <v>-0.153699</v>
      </c>
      <c r="U3438">
        <v>-3.0751040000000001</v>
      </c>
      <c r="V3438">
        <v>-0.1832097</v>
      </c>
      <c r="W3438">
        <v>0.18428369999999999</v>
      </c>
      <c r="X3438">
        <v>0.96564680000000003</v>
      </c>
      <c r="Y3438">
        <v>-0.18958069999999999</v>
      </c>
      <c r="Z3438">
        <v>4.8791130000000002E-2</v>
      </c>
      <c r="AA3438">
        <v>0.98065219999999997</v>
      </c>
      <c r="AB3438">
        <v>37</v>
      </c>
      <c r="AC3438">
        <v>1.38280000000003</v>
      </c>
      <c r="AD3438">
        <v>-1.1062350700000001</v>
      </c>
      <c r="AE3438">
        <v>-21.871099999999998</v>
      </c>
      <c r="AF3438">
        <v>-4.1906335988204404</v>
      </c>
      <c r="AG3438">
        <v>-1.1062350700000001</v>
      </c>
      <c r="AH3438">
        <v>21.453613966042301</v>
      </c>
      <c r="AI3438">
        <v>92.897130204239602</v>
      </c>
      <c r="AJ3438">
        <v>101.05267800664301</v>
      </c>
      <c r="AK3438">
        <v>21.8870445285248</v>
      </c>
      <c r="AL3438">
        <v>79.380626679213805</v>
      </c>
      <c r="AM3438">
        <v>100.74289418087299</v>
      </c>
      <c r="AN3438">
        <v>1.0000000093050001</v>
      </c>
    </row>
    <row r="3439" spans="1:40" x14ac:dyDescent="0.25">
      <c r="A3439" t="str">
        <f>"20190312172144600"</f>
        <v>20190312172144600</v>
      </c>
      <c r="B3439" t="str">
        <f>"1552382504594375"</f>
        <v>1552382504594375</v>
      </c>
      <c r="C3439" t="s">
        <v>40</v>
      </c>
      <c r="D3439">
        <v>3.9159039999999998</v>
      </c>
      <c r="E3439">
        <v>0.4924964</v>
      </c>
      <c r="F3439" t="s">
        <v>42</v>
      </c>
      <c r="G3439">
        <v>-500.01080000000002</v>
      </c>
      <c r="H3439">
        <v>7.9985559999999997E-2</v>
      </c>
      <c r="I3439">
        <v>243.8862</v>
      </c>
      <c r="J3439">
        <v>-501.46379999999999</v>
      </c>
      <c r="K3439">
        <v>1.1886159999999999</v>
      </c>
      <c r="L3439">
        <v>264.22969999999998</v>
      </c>
      <c r="M3439">
        <v>-0.1163349</v>
      </c>
      <c r="N3439">
        <v>0</v>
      </c>
      <c r="O3439">
        <v>-0.9931468</v>
      </c>
      <c r="P3439">
        <v>5.6539699999999901E-2</v>
      </c>
      <c r="Q3439">
        <v>0.17280989999999999</v>
      </c>
      <c r="R3439">
        <v>-0.98333119999999996</v>
      </c>
      <c r="S3439">
        <v>0.2115784</v>
      </c>
      <c r="T3439">
        <v>-0.1650826</v>
      </c>
      <c r="U3439">
        <v>-3.0733950000000001</v>
      </c>
      <c r="V3439">
        <v>-0.17719470000000001</v>
      </c>
      <c r="W3439">
        <v>0.17728279999999999</v>
      </c>
      <c r="X3439">
        <v>0.96807690000000002</v>
      </c>
      <c r="Y3439">
        <v>-0.1841835</v>
      </c>
      <c r="Z3439">
        <v>5.256831E-2</v>
      </c>
      <c r="AA3439">
        <v>0.9814851</v>
      </c>
      <c r="AB3439">
        <v>37</v>
      </c>
      <c r="AC3439">
        <v>1.4529999999999701</v>
      </c>
      <c r="AD3439">
        <v>-1.10863044</v>
      </c>
      <c r="AE3439">
        <v>-20.343499999999899</v>
      </c>
      <c r="AF3439">
        <v>-3.7987166144768798</v>
      </c>
      <c r="AG3439">
        <v>-1.10863044</v>
      </c>
      <c r="AH3439">
        <v>19.977279148204001</v>
      </c>
      <c r="AI3439">
        <v>93.120544961457099</v>
      </c>
      <c r="AJ3439">
        <v>100.76636415212</v>
      </c>
      <c r="AK3439">
        <v>20.365436198001401</v>
      </c>
      <c r="AL3439">
        <v>79.788469771359004</v>
      </c>
      <c r="AM3439">
        <v>100.372476714675</v>
      </c>
      <c r="AN3439">
        <v>1.0000000185987601</v>
      </c>
    </row>
    <row r="3440" spans="1:40" x14ac:dyDescent="0.25">
      <c r="A3440" t="str">
        <f>"20190312172144611"</f>
        <v>20190312172144611</v>
      </c>
      <c r="B3440" t="str">
        <f>"1552382504604134"</f>
        <v>1552382504604134</v>
      </c>
      <c r="C3440" t="s">
        <v>40</v>
      </c>
      <c r="D3440">
        <v>3.937713</v>
      </c>
      <c r="E3440">
        <v>0.49307430000000002</v>
      </c>
      <c r="F3440" t="s">
        <v>42</v>
      </c>
      <c r="G3440">
        <v>-500.1506</v>
      </c>
      <c r="H3440">
        <v>7.9986269999999998E-2</v>
      </c>
      <c r="I3440">
        <v>246.5035</v>
      </c>
      <c r="J3440">
        <v>-501.4864</v>
      </c>
      <c r="K3440">
        <v>1.1901409999999999</v>
      </c>
      <c r="L3440">
        <v>264.04520000000002</v>
      </c>
      <c r="M3440">
        <v>-0.1068726</v>
      </c>
      <c r="N3440">
        <v>0</v>
      </c>
      <c r="O3440">
        <v>-0.99420699999999995</v>
      </c>
      <c r="P3440">
        <v>6.3344750000000005E-2</v>
      </c>
      <c r="Q3440">
        <v>0.16941929999999999</v>
      </c>
      <c r="R3440">
        <v>-0.98350660000000001</v>
      </c>
      <c r="S3440">
        <v>0.22753909999999999</v>
      </c>
      <c r="T3440">
        <v>-0.1920972</v>
      </c>
      <c r="U3440">
        <v>-3.0715029999999999</v>
      </c>
      <c r="V3440">
        <v>-0.17472289999999999</v>
      </c>
      <c r="W3440">
        <v>0.1741251</v>
      </c>
      <c r="X3440">
        <v>0.96909869999999998</v>
      </c>
      <c r="Y3440">
        <v>-0.17990129999999999</v>
      </c>
      <c r="Z3440">
        <v>6.1290049999999999E-2</v>
      </c>
      <c r="AA3440">
        <v>0.98177340000000002</v>
      </c>
      <c r="AB3440">
        <v>37</v>
      </c>
      <c r="AC3440">
        <v>1.3358000000000001</v>
      </c>
      <c r="AD3440">
        <v>-1.1101547300000001</v>
      </c>
      <c r="AE3440">
        <v>-17.541699999999999</v>
      </c>
      <c r="AF3440">
        <v>-3.1902940213039699</v>
      </c>
      <c r="AG3440">
        <v>-1.1101547300000001</v>
      </c>
      <c r="AH3440">
        <v>17.229839897886201</v>
      </c>
      <c r="AI3440">
        <v>93.6251402800672</v>
      </c>
      <c r="AJ3440">
        <v>100.490136072345</v>
      </c>
      <c r="AK3440">
        <v>17.5578416205894</v>
      </c>
      <c r="AL3440">
        <v>79.972251293742602</v>
      </c>
      <c r="AM3440">
        <v>100.220301734912</v>
      </c>
      <c r="AN3440">
        <v>0.99999996628805399</v>
      </c>
    </row>
    <row r="3441" spans="1:40" x14ac:dyDescent="0.25">
      <c r="A3441" t="str">
        <f>"20190312172144623"</f>
        <v>20190312172144623</v>
      </c>
      <c r="B3441" t="str">
        <f>"1552382504613895"</f>
        <v>1552382504613895</v>
      </c>
      <c r="C3441" t="s">
        <v>40</v>
      </c>
      <c r="D3441">
        <v>3.8787500000000001</v>
      </c>
      <c r="E3441">
        <v>0.49307430000000002</v>
      </c>
      <c r="F3441" t="s">
        <v>42</v>
      </c>
      <c r="G3441">
        <v>-500.14490000000001</v>
      </c>
      <c r="H3441">
        <v>7.9986080000000001E-2</v>
      </c>
      <c r="I3441">
        <v>247.12219999999999</v>
      </c>
      <c r="J3441">
        <v>-501.50869999999998</v>
      </c>
      <c r="K3441">
        <v>1.1916580000000001</v>
      </c>
      <c r="L3441">
        <v>263.8544</v>
      </c>
      <c r="M3441">
        <v>-9.713165E-2</v>
      </c>
      <c r="N3441">
        <v>0</v>
      </c>
      <c r="O3441">
        <v>-0.99520299999999995</v>
      </c>
      <c r="P3441">
        <v>7.0405159999999994E-2</v>
      </c>
      <c r="Q3441">
        <v>0.16552</v>
      </c>
      <c r="R3441">
        <v>-0.98369030000000002</v>
      </c>
      <c r="S3441">
        <v>0.2433167</v>
      </c>
      <c r="T3441">
        <v>-0.2013498</v>
      </c>
      <c r="U3441">
        <v>-3.0693359999999998</v>
      </c>
      <c r="V3441">
        <v>-0.17221589999999901</v>
      </c>
      <c r="W3441">
        <v>0.17046510000000001</v>
      </c>
      <c r="X3441">
        <v>0.97019759999999999</v>
      </c>
      <c r="Y3441">
        <v>-0.175319899999999</v>
      </c>
      <c r="Z3441">
        <v>6.4387360000000005E-2</v>
      </c>
      <c r="AA3441">
        <v>0.98240380000000005</v>
      </c>
      <c r="AB3441">
        <v>37</v>
      </c>
      <c r="AC3441">
        <v>1.3637999999999599</v>
      </c>
      <c r="AD3441">
        <v>-1.11167191999999</v>
      </c>
      <c r="AE3441">
        <v>-16.732199999999999</v>
      </c>
      <c r="AF3441">
        <v>-2.9696654785159802</v>
      </c>
      <c r="AG3441">
        <v>-1.11167191999999</v>
      </c>
      <c r="AH3441">
        <v>16.448467648624799</v>
      </c>
      <c r="AI3441">
        <v>93.805129612446606</v>
      </c>
      <c r="AJ3441">
        <v>100.23413909785999</v>
      </c>
      <c r="AK3441">
        <v>16.751322798509399</v>
      </c>
      <c r="AL3441">
        <v>80.185138199944106</v>
      </c>
      <c r="AM3441">
        <v>100.065502902498</v>
      </c>
      <c r="AN3441">
        <v>1.0000000247882801</v>
      </c>
    </row>
    <row r="3442" spans="1:40" x14ac:dyDescent="0.25">
      <c r="A3442" t="str">
        <f>"20190312172144635"</f>
        <v>20190312172144635</v>
      </c>
      <c r="B3442" t="str">
        <f>"1552382504623655"</f>
        <v>1552382504623655</v>
      </c>
      <c r="C3442" t="s">
        <v>40</v>
      </c>
      <c r="D3442">
        <v>3.9366699999999999</v>
      </c>
      <c r="E3442">
        <v>0.49892160000000002</v>
      </c>
      <c r="F3442" t="s">
        <v>42</v>
      </c>
      <c r="G3442">
        <v>-500.12630000000001</v>
      </c>
      <c r="H3442">
        <v>7.9985860000000006E-2</v>
      </c>
      <c r="I3442">
        <v>247.89070000000001</v>
      </c>
      <c r="J3442">
        <v>-501.52820000000003</v>
      </c>
      <c r="K3442">
        <v>1.1930099999999999</v>
      </c>
      <c r="L3442">
        <v>263.6687</v>
      </c>
      <c r="M3442">
        <v>-8.774411E-2</v>
      </c>
      <c r="N3442">
        <v>0</v>
      </c>
      <c r="O3442">
        <v>-0.99607199999999996</v>
      </c>
      <c r="P3442">
        <v>7.6784359999999996E-2</v>
      </c>
      <c r="Q3442">
        <v>0.16207820000000001</v>
      </c>
      <c r="R3442">
        <v>-0.9837861</v>
      </c>
      <c r="S3442">
        <v>0.26556400000000002</v>
      </c>
      <c r="T3442">
        <v>-0.21355070000000001</v>
      </c>
      <c r="U3442">
        <v>-3.0666199999999999</v>
      </c>
      <c r="V3442">
        <v>-0.16937279999999999</v>
      </c>
      <c r="W3442">
        <v>0.16727339999999999</v>
      </c>
      <c r="X3442">
        <v>0.97125300000000003</v>
      </c>
      <c r="Y3442">
        <v>-0.17316119999999999</v>
      </c>
      <c r="Z3442">
        <v>6.8414329999999995E-2</v>
      </c>
      <c r="AA3442">
        <v>0.98251440000000001</v>
      </c>
      <c r="AB3442">
        <v>36</v>
      </c>
      <c r="AC3442">
        <v>1.4019000000000099</v>
      </c>
      <c r="AD3442">
        <v>-1.1130241400000001</v>
      </c>
      <c r="AE3442">
        <v>-15.777999999999899</v>
      </c>
      <c r="AF3442">
        <v>-2.76735345266647</v>
      </c>
      <c r="AG3442">
        <v>-1.1130241400000001</v>
      </c>
      <c r="AH3442">
        <v>15.517504512536499</v>
      </c>
      <c r="AI3442">
        <v>94.039116739465896</v>
      </c>
      <c r="AJ3442">
        <v>100.111683957233</v>
      </c>
      <c r="AK3442">
        <v>15.8015826474692</v>
      </c>
      <c r="AL3442">
        <v>80.370673196434495</v>
      </c>
      <c r="AM3442">
        <v>99.892100510288898</v>
      </c>
      <c r="AN3442">
        <v>0.99999996286819903</v>
      </c>
    </row>
    <row r="3443" spans="1:40" x14ac:dyDescent="0.25">
      <c r="A3443" t="str">
        <f>"20190312172144647"</f>
        <v>20190312172144647</v>
      </c>
      <c r="B3443" t="str">
        <f>"1552382504644151"</f>
        <v>1552382504644151</v>
      </c>
      <c r="C3443" t="s">
        <v>40</v>
      </c>
      <c r="D3443">
        <v>3.928963</v>
      </c>
      <c r="E3443">
        <v>0.50019539999999996</v>
      </c>
      <c r="F3443" t="s">
        <v>42</v>
      </c>
      <c r="G3443">
        <v>-500.34339999999997</v>
      </c>
      <c r="H3443">
        <v>7.9985689999999998E-2</v>
      </c>
      <c r="I3443">
        <v>248.46629999999999</v>
      </c>
      <c r="J3443">
        <v>-501.54559999999998</v>
      </c>
      <c r="K3443">
        <v>1.1942489999999999</v>
      </c>
      <c r="L3443">
        <v>263.48579999999998</v>
      </c>
      <c r="M3443">
        <v>-7.8578729999999999E-2</v>
      </c>
      <c r="N3443">
        <v>0</v>
      </c>
      <c r="O3443">
        <v>-0.9968342</v>
      </c>
      <c r="P3443">
        <v>8.3295159999999993E-2</v>
      </c>
      <c r="Q3443">
        <v>0.15998850000000001</v>
      </c>
      <c r="R3443">
        <v>-0.98359850000000004</v>
      </c>
      <c r="S3443">
        <v>0.23910519999999999</v>
      </c>
      <c r="T3443">
        <v>-0.224605</v>
      </c>
      <c r="U3443">
        <v>-3.0678100000000001</v>
      </c>
      <c r="V3443">
        <v>-0.1669011</v>
      </c>
      <c r="W3443">
        <v>0.1654176</v>
      </c>
      <c r="X3443">
        <v>0.97199849999999999</v>
      </c>
      <c r="Y3443">
        <v>-0.15560669999999999</v>
      </c>
      <c r="Z3443">
        <v>7.2125469999999997E-2</v>
      </c>
      <c r="AA3443">
        <v>0.98518249999999996</v>
      </c>
      <c r="AB3443">
        <v>36</v>
      </c>
      <c r="AC3443">
        <v>1.2021999999999999</v>
      </c>
      <c r="AD3443">
        <v>-1.1142633099999999</v>
      </c>
      <c r="AE3443">
        <v>-15.019499999999899</v>
      </c>
      <c r="AF3443">
        <v>-2.36584381110241</v>
      </c>
      <c r="AG3443">
        <v>-1.1142633099999999</v>
      </c>
      <c r="AH3443">
        <v>14.797652011093399</v>
      </c>
      <c r="AI3443">
        <v>94.252441385378901</v>
      </c>
      <c r="AJ3443">
        <v>99.083554827433105</v>
      </c>
      <c r="AK3443">
        <v>15.026952608694801</v>
      </c>
      <c r="AL3443">
        <v>80.478505655929297</v>
      </c>
      <c r="AM3443">
        <v>99.743198491161394</v>
      </c>
      <c r="AN3443">
        <v>1.0000000217866001</v>
      </c>
    </row>
    <row r="3444" spans="1:40" x14ac:dyDescent="0.25">
      <c r="A3444" t="str">
        <f>"20190312172144658"</f>
        <v>20190312172144658</v>
      </c>
      <c r="B3444" t="str">
        <f>"1552382504653911"</f>
        <v>1552382504653911</v>
      </c>
      <c r="C3444" t="s">
        <v>40</v>
      </c>
      <c r="D3444">
        <v>3.9498500000000001</v>
      </c>
      <c r="E3444">
        <v>0.50086520000000001</v>
      </c>
      <c r="F3444" t="s">
        <v>42</v>
      </c>
      <c r="G3444">
        <v>-500.3426</v>
      </c>
      <c r="H3444">
        <v>7.9985630000000002E-2</v>
      </c>
      <c r="I3444">
        <v>248.6848</v>
      </c>
      <c r="J3444">
        <v>-501.56189999999998</v>
      </c>
      <c r="K3444">
        <v>1.195462</v>
      </c>
      <c r="L3444">
        <v>263.29930000000002</v>
      </c>
      <c r="M3444">
        <v>-6.9288989999999995E-2</v>
      </c>
      <c r="N3444">
        <v>0</v>
      </c>
      <c r="O3444">
        <v>-0.99752030000000003</v>
      </c>
      <c r="P3444">
        <v>9.0005169999999995E-2</v>
      </c>
      <c r="Q3444">
        <v>0.16060289999999999</v>
      </c>
      <c r="R3444">
        <v>-0.98290679999999997</v>
      </c>
      <c r="S3444">
        <v>0.24923709999999999</v>
      </c>
      <c r="T3444">
        <v>-0.23085240000000001</v>
      </c>
      <c r="U3444">
        <v>-3.0664669999999998</v>
      </c>
      <c r="V3444">
        <v>-0.16458139999999999</v>
      </c>
      <c r="W3444">
        <v>0.166259299999999</v>
      </c>
      <c r="X3444">
        <v>0.97225039999999996</v>
      </c>
      <c r="Y3444">
        <v>-0.1496576</v>
      </c>
      <c r="Z3444">
        <v>7.4254990000000007E-2</v>
      </c>
      <c r="AA3444">
        <v>0.98594559999999998</v>
      </c>
      <c r="AB3444">
        <v>36</v>
      </c>
      <c r="AC3444">
        <v>1.2192999999999701</v>
      </c>
      <c r="AD3444">
        <v>-1.1154763700000001</v>
      </c>
      <c r="AE3444">
        <v>-14.6145</v>
      </c>
      <c r="AF3444">
        <v>-2.2162480959650002</v>
      </c>
      <c r="AG3444">
        <v>-1.1154763700000001</v>
      </c>
      <c r="AH3444">
        <v>14.411502458167201</v>
      </c>
      <c r="AI3444">
        <v>94.374747956393804</v>
      </c>
      <c r="AJ3444">
        <v>98.7426430313146</v>
      </c>
      <c r="AK3444">
        <v>14.6235237291378</v>
      </c>
      <c r="AL3444">
        <v>80.429602580271293</v>
      </c>
      <c r="AM3444">
        <v>99.607880562836797</v>
      </c>
      <c r="AN3444">
        <v>1.0000000161813001</v>
      </c>
    </row>
    <row r="3445" spans="1:40" x14ac:dyDescent="0.25">
      <c r="A3445" t="str">
        <f>"20190312172144671"</f>
        <v>20190312172144671</v>
      </c>
      <c r="B3445" t="str">
        <f>"1552382504663671"</f>
        <v>1552382504663671</v>
      </c>
      <c r="C3445" t="s">
        <v>40</v>
      </c>
      <c r="D3445">
        <v>3.9594040000000001</v>
      </c>
      <c r="E3445">
        <v>0.50141670000000005</v>
      </c>
      <c r="F3445" t="s">
        <v>42</v>
      </c>
      <c r="G3445">
        <v>-500.25869999999998</v>
      </c>
      <c r="H3445">
        <v>7.9985749999999994E-2</v>
      </c>
      <c r="I3445">
        <v>248.24289999999999</v>
      </c>
      <c r="J3445">
        <v>-501.57659999999998</v>
      </c>
      <c r="K3445">
        <v>1.1966490000000001</v>
      </c>
      <c r="L3445">
        <v>263.0958</v>
      </c>
      <c r="M3445">
        <v>-5.9282969999999997E-2</v>
      </c>
      <c r="N3445">
        <v>0</v>
      </c>
      <c r="O3445">
        <v>-0.99816190000000005</v>
      </c>
      <c r="P3445">
        <v>9.7594269999999997E-2</v>
      </c>
      <c r="Q3445">
        <v>0.16217500000000001</v>
      </c>
      <c r="R3445">
        <v>-0.98192389999999996</v>
      </c>
      <c r="S3445">
        <v>0.26528930000000001</v>
      </c>
      <c r="T3445">
        <v>-0.22707260000000001</v>
      </c>
      <c r="U3445">
        <v>-3.064972</v>
      </c>
      <c r="V3445">
        <v>-0.16247729999999999</v>
      </c>
      <c r="W3445">
        <v>0.16806460000000001</v>
      </c>
      <c r="X3445">
        <v>0.97229390000000004</v>
      </c>
      <c r="Y3445">
        <v>-0.14491560000000001</v>
      </c>
      <c r="Z3445">
        <v>7.3162699999999997E-2</v>
      </c>
      <c r="AA3445">
        <v>0.98673529999999998</v>
      </c>
      <c r="AB3445">
        <v>36</v>
      </c>
      <c r="AC3445">
        <v>1.3179000000000001</v>
      </c>
      <c r="AD3445">
        <v>-1.11666325</v>
      </c>
      <c r="AE3445">
        <v>-14.8529</v>
      </c>
      <c r="AF3445">
        <v>-2.18392778767736</v>
      </c>
      <c r="AG3445">
        <v>-1.11666325</v>
      </c>
      <c r="AH3445">
        <v>14.6663870019215</v>
      </c>
      <c r="AI3445">
        <v>94.306658868881897</v>
      </c>
      <c r="AJ3445">
        <v>98.469509940889097</v>
      </c>
      <c r="AK3445">
        <v>14.8700835601493</v>
      </c>
      <c r="AL3445">
        <v>80.324690217001503</v>
      </c>
      <c r="AM3445">
        <v>99.486878329456005</v>
      </c>
      <c r="AN3445">
        <v>1.00000000538283</v>
      </c>
    </row>
    <row r="3446" spans="1:40" x14ac:dyDescent="0.25">
      <c r="A3446" t="str">
        <f>"20190312172144683"</f>
        <v>20190312172144683</v>
      </c>
      <c r="B3446" t="str">
        <f>"1552382504674407"</f>
        <v>1552382504674407</v>
      </c>
      <c r="C3446" t="s">
        <v>40</v>
      </c>
      <c r="D3446">
        <v>3.980264</v>
      </c>
      <c r="E3446">
        <v>0.50203520000000001</v>
      </c>
      <c r="F3446" t="s">
        <v>42</v>
      </c>
      <c r="G3446">
        <v>-500.15879999999999</v>
      </c>
      <c r="H3446">
        <v>7.9985879999999995E-2</v>
      </c>
      <c r="I3446">
        <v>247.81049999999999</v>
      </c>
      <c r="J3446">
        <v>-501.58909999999997</v>
      </c>
      <c r="K3446">
        <v>1.1977100000000001</v>
      </c>
      <c r="L3446">
        <v>262.90530000000001</v>
      </c>
      <c r="M3446">
        <v>-4.9966219999999999E-2</v>
      </c>
      <c r="N3446">
        <v>0</v>
      </c>
      <c r="O3446">
        <v>-0.99866920000000003</v>
      </c>
      <c r="P3446">
        <v>0.1045505</v>
      </c>
      <c r="Q3446">
        <v>0.16311030000000001</v>
      </c>
      <c r="R3446">
        <v>-0.98105290000000001</v>
      </c>
      <c r="S3446">
        <v>0.28421020000000002</v>
      </c>
      <c r="T3446">
        <v>-0.22383510000000001</v>
      </c>
      <c r="U3446">
        <v>-3.0639340000000002</v>
      </c>
      <c r="V3446">
        <v>-0.16040660000000001</v>
      </c>
      <c r="W3446">
        <v>0.1692227</v>
      </c>
      <c r="X3446">
        <v>0.97243679999999999</v>
      </c>
      <c r="Y3446">
        <v>-0.14176259999999999</v>
      </c>
      <c r="Z3446">
        <v>7.2201799999999997E-2</v>
      </c>
      <c r="AA3446">
        <v>0.98726400000000003</v>
      </c>
      <c r="AB3446">
        <v>36</v>
      </c>
      <c r="AC3446">
        <v>1.4302999999999799</v>
      </c>
      <c r="AD3446">
        <v>-1.1177241200000001</v>
      </c>
      <c r="AE3446">
        <v>-15.094799999999999</v>
      </c>
      <c r="AF3446">
        <v>-2.1710071784712599</v>
      </c>
      <c r="AG3446">
        <v>-1.1177241200000001</v>
      </c>
      <c r="AH3446">
        <v>14.923373572605501</v>
      </c>
      <c r="AI3446">
        <v>94.238861538091697</v>
      </c>
      <c r="AJ3446">
        <v>98.277151068501894</v>
      </c>
      <c r="AK3446">
        <v>15.121827209862699</v>
      </c>
      <c r="AL3446">
        <v>80.257371375087601</v>
      </c>
      <c r="AM3446">
        <v>99.366776883912706</v>
      </c>
      <c r="AN3446">
        <v>0.99999996475654396</v>
      </c>
    </row>
    <row r="3447" spans="1:40" x14ac:dyDescent="0.25">
      <c r="A3447" t="str">
        <f>"20190312172144701"</f>
        <v>20190312172144701</v>
      </c>
      <c r="B3447" t="str">
        <f>"1552382504693926"</f>
        <v>1552382504693926</v>
      </c>
      <c r="C3447" t="s">
        <v>40</v>
      </c>
      <c r="D3447">
        <v>3.8987880000000001</v>
      </c>
      <c r="E3447">
        <v>0.50258459999999905</v>
      </c>
      <c r="F3447" t="s">
        <v>42</v>
      </c>
      <c r="G3447">
        <v>-500.06099999999998</v>
      </c>
      <c r="H3447">
        <v>7.9986039999999994E-2</v>
      </c>
      <c r="I3447">
        <v>247.28389999999999</v>
      </c>
      <c r="J3447">
        <v>-501.60359999999997</v>
      </c>
      <c r="K3447">
        <v>1.1991270000000001</v>
      </c>
      <c r="L3447">
        <v>262.6266</v>
      </c>
      <c r="M3447">
        <v>-3.6469290000000001E-2</v>
      </c>
      <c r="N3447">
        <v>0</v>
      </c>
      <c r="O3447">
        <v>-0.9992491</v>
      </c>
      <c r="P3447">
        <v>0.1137348</v>
      </c>
      <c r="Q3447">
        <v>0.16439899999999999</v>
      </c>
      <c r="R3447">
        <v>-0.97981510000000005</v>
      </c>
      <c r="S3447">
        <v>0.29956050000000001</v>
      </c>
      <c r="T3447">
        <v>-0.21911990000000001</v>
      </c>
      <c r="U3447">
        <v>-3.0624389999999999</v>
      </c>
      <c r="V3447">
        <v>-0.15653220000000001</v>
      </c>
      <c r="W3447">
        <v>0.17087579999999999</v>
      </c>
      <c r="X3447">
        <v>0.97277910000000001</v>
      </c>
      <c r="Y3447">
        <v>-0.1333424</v>
      </c>
      <c r="Z3447">
        <v>7.081018E-2</v>
      </c>
      <c r="AA3447">
        <v>0.98853709999999995</v>
      </c>
      <c r="AB3447">
        <v>36</v>
      </c>
      <c r="AC3447">
        <v>1.54259999999999</v>
      </c>
      <c r="AD3447">
        <v>-1.11914096</v>
      </c>
      <c r="AE3447">
        <v>-15.342700000000001</v>
      </c>
      <c r="AF3447">
        <v>-2.0901492423358401</v>
      </c>
      <c r="AG3447">
        <v>-1.11914096</v>
      </c>
      <c r="AH3447">
        <v>15.196184885584101</v>
      </c>
      <c r="AI3447">
        <v>94.172864885783795</v>
      </c>
      <c r="AJ3447">
        <v>97.831569930422205</v>
      </c>
      <c r="AK3447">
        <v>15.380027159288201</v>
      </c>
      <c r="AL3447">
        <v>80.161256416973004</v>
      </c>
      <c r="AM3447">
        <v>99.141240316249096</v>
      </c>
      <c r="AN3447">
        <v>1.00000002302964</v>
      </c>
    </row>
    <row r="3448" spans="1:40" x14ac:dyDescent="0.25">
      <c r="A3448" t="str">
        <f>"20190312172144712"</f>
        <v>20190312172144712</v>
      </c>
      <c r="B3448" t="str">
        <f>"1552382504703687"</f>
        <v>1552382504703687</v>
      </c>
      <c r="C3448" t="s">
        <v>40</v>
      </c>
      <c r="D3448">
        <v>3.9863080000000002</v>
      </c>
      <c r="E3448">
        <v>0.5115478</v>
      </c>
      <c r="F3448" t="s">
        <v>42</v>
      </c>
      <c r="G3448">
        <v>-499.82589999999999</v>
      </c>
      <c r="H3448" s="1">
        <v>-4.6772739999999998E-6</v>
      </c>
      <c r="I3448">
        <v>245.6095</v>
      </c>
      <c r="J3448">
        <v>-501.61009999999999</v>
      </c>
      <c r="K3448">
        <v>1.199967</v>
      </c>
      <c r="L3448">
        <v>262.43920000000003</v>
      </c>
      <c r="M3448">
        <v>-2.7492010000000001E-2</v>
      </c>
      <c r="N3448">
        <v>0</v>
      </c>
      <c r="O3448">
        <v>-0.99953389999999998</v>
      </c>
      <c r="P3448">
        <v>0.1205126</v>
      </c>
      <c r="Q3448">
        <v>0.16422030000000001</v>
      </c>
      <c r="R3448">
        <v>-0.97903479999999998</v>
      </c>
      <c r="S3448">
        <v>0.31976320000000003</v>
      </c>
      <c r="T3448">
        <v>-0.21569060000000001</v>
      </c>
      <c r="U3448">
        <v>-3.0609130000000002</v>
      </c>
      <c r="V3448">
        <v>-0.15459000000000001</v>
      </c>
      <c r="W3448">
        <v>0.17091709999999999</v>
      </c>
      <c r="X3448">
        <v>0.97308240000000001</v>
      </c>
      <c r="Y3448">
        <v>-0.13095399999999999</v>
      </c>
      <c r="Z3448">
        <v>6.9760279999999994E-2</v>
      </c>
      <c r="AA3448">
        <v>0.988931</v>
      </c>
      <c r="AB3448">
        <v>36</v>
      </c>
      <c r="AC3448">
        <v>1.78419999999999</v>
      </c>
      <c r="AD3448">
        <v>-1.1999716772739999</v>
      </c>
      <c r="AE3448">
        <v>-16.829699999999999</v>
      </c>
      <c r="AF3448">
        <v>-2.2350124445561601</v>
      </c>
      <c r="AG3448">
        <v>-1.1999716772739999</v>
      </c>
      <c r="AH3448">
        <v>16.690374451395499</v>
      </c>
      <c r="AI3448">
        <v>94.0760046657103</v>
      </c>
      <c r="AJ3448">
        <v>97.627119195703003</v>
      </c>
      <c r="AK3448">
        <v>16.882055916901098</v>
      </c>
      <c r="AL3448">
        <v>80.1588549411739</v>
      </c>
      <c r="AM3448">
        <v>99.026930862234707</v>
      </c>
      <c r="AN3448">
        <v>1.00000004018108</v>
      </c>
    </row>
    <row r="3449" spans="1:40" x14ac:dyDescent="0.25">
      <c r="A3449" t="str">
        <f>"20190312172144725"</f>
        <v>20190312172144725</v>
      </c>
      <c r="B3449" t="str">
        <f>"1552382504714423"</f>
        <v>1552382504714423</v>
      </c>
      <c r="C3449" t="s">
        <v>40</v>
      </c>
      <c r="D3449">
        <v>3.999171</v>
      </c>
      <c r="E3449">
        <v>0.5121019</v>
      </c>
      <c r="F3449" t="s">
        <v>42</v>
      </c>
      <c r="G3449">
        <v>-500.0677</v>
      </c>
      <c r="H3449">
        <v>7.9986760000000004E-2</v>
      </c>
      <c r="I3449">
        <v>244.8398</v>
      </c>
      <c r="J3449">
        <v>-501.6155</v>
      </c>
      <c r="K3449">
        <v>1.200758</v>
      </c>
      <c r="L3449">
        <v>262.25310000000002</v>
      </c>
      <c r="M3449">
        <v>-1.8608759999999998E-2</v>
      </c>
      <c r="N3449">
        <v>0</v>
      </c>
      <c r="O3449">
        <v>-0.99973610000000002</v>
      </c>
      <c r="P3449">
        <v>0.12659319999999999</v>
      </c>
      <c r="Q3449">
        <v>0.16324729999999901</v>
      </c>
      <c r="R3449">
        <v>-0.97842969999999896</v>
      </c>
      <c r="S3449">
        <v>0.26852419999999999</v>
      </c>
      <c r="T3449">
        <v>-0.1949784</v>
      </c>
      <c r="U3449">
        <v>-3.063904</v>
      </c>
      <c r="V3449">
        <v>-0.1520165</v>
      </c>
      <c r="W3449">
        <v>0.1701926</v>
      </c>
      <c r="X3449">
        <v>0.9736146</v>
      </c>
      <c r="Y3449">
        <v>-0.10565620000000001</v>
      </c>
      <c r="Z3449">
        <v>6.3193869999999999E-2</v>
      </c>
      <c r="AA3449">
        <v>0.99239270000000002</v>
      </c>
      <c r="AB3449">
        <v>36</v>
      </c>
      <c r="AC3449">
        <v>1.5477999999999901</v>
      </c>
      <c r="AD3449">
        <v>-1.1207712400000001</v>
      </c>
      <c r="AE3449">
        <v>-17.4133</v>
      </c>
      <c r="AF3449">
        <v>-1.8639402498133399</v>
      </c>
      <c r="AG3449">
        <v>-1.1207712400000001</v>
      </c>
      <c r="AH3449">
        <v>17.310331486734398</v>
      </c>
      <c r="AI3449">
        <v>93.6832581856454</v>
      </c>
      <c r="AJ3449">
        <v>96.145809972678506</v>
      </c>
      <c r="AK3449">
        <v>17.446431658305201</v>
      </c>
      <c r="AL3449">
        <v>80.200982224796903</v>
      </c>
      <c r="AM3449">
        <v>98.874295097052993</v>
      </c>
      <c r="AN3449">
        <v>0.99999996335008401</v>
      </c>
    </row>
    <row r="3450" spans="1:40" x14ac:dyDescent="0.25">
      <c r="A3450" t="str">
        <f>"20190312172144735"</f>
        <v>20190312172144735</v>
      </c>
      <c r="B3450" t="str">
        <f>"1552382504724183"</f>
        <v>1552382504724183</v>
      </c>
      <c r="C3450" t="s">
        <v>40</v>
      </c>
      <c r="D3450">
        <v>3.992029</v>
      </c>
      <c r="E3450">
        <v>0.51228899999999999</v>
      </c>
      <c r="F3450" t="s">
        <v>42</v>
      </c>
      <c r="G3450">
        <v>-500.05279999999999</v>
      </c>
      <c r="H3450">
        <v>7.998661E-2</v>
      </c>
      <c r="I3450">
        <v>245.31139999999999</v>
      </c>
      <c r="J3450">
        <v>-501.6189</v>
      </c>
      <c r="K3450">
        <v>1.2014929999999999</v>
      </c>
      <c r="L3450">
        <v>262.06549999999999</v>
      </c>
      <c r="M3450">
        <v>-9.6984359999999995E-3</v>
      </c>
      <c r="N3450">
        <v>0</v>
      </c>
      <c r="O3450">
        <v>-0.99985950000000001</v>
      </c>
      <c r="P3450">
        <v>0.13220609999999999</v>
      </c>
      <c r="Q3450">
        <v>0.16289629999999999</v>
      </c>
      <c r="R3450">
        <v>-0.97774550000000005</v>
      </c>
      <c r="S3450">
        <v>0.28256229999999999</v>
      </c>
      <c r="T3450">
        <v>-0.20265449999999999</v>
      </c>
      <c r="U3450">
        <v>-3.0633539999999999</v>
      </c>
      <c r="V3450">
        <v>-0.1489732</v>
      </c>
      <c r="W3450">
        <v>0.17011219999999999</v>
      </c>
      <c r="X3450">
        <v>0.97409900000000005</v>
      </c>
      <c r="Y3450">
        <v>-0.1013051</v>
      </c>
      <c r="Z3450">
        <v>6.5696829999999998E-2</v>
      </c>
      <c r="AA3450">
        <v>0.99268380000000001</v>
      </c>
      <c r="AB3450">
        <v>36</v>
      </c>
      <c r="AC3450">
        <v>1.5661</v>
      </c>
      <c r="AD3450">
        <v>-1.12150639</v>
      </c>
      <c r="AE3450">
        <v>-16.754099999999902</v>
      </c>
      <c r="AF3450">
        <v>-1.7208858320440801</v>
      </c>
      <c r="AG3450">
        <v>-1.12150639</v>
      </c>
      <c r="AH3450">
        <v>16.664099057174202</v>
      </c>
      <c r="AI3450">
        <v>93.829936026954499</v>
      </c>
      <c r="AJ3450">
        <v>95.895981292930998</v>
      </c>
      <c r="AK3450">
        <v>16.790218045548301</v>
      </c>
      <c r="AL3450">
        <v>80.205657517998702</v>
      </c>
      <c r="AM3450">
        <v>98.695120838243994</v>
      </c>
      <c r="AN3450">
        <v>1.0000000183540301</v>
      </c>
    </row>
    <row r="3451" spans="1:40" x14ac:dyDescent="0.25">
      <c r="A3451" t="str">
        <f>"20190312172144748"</f>
        <v>20190312172144748</v>
      </c>
      <c r="B3451" t="str">
        <f>"1552382504744209"</f>
        <v>1552382504744209</v>
      </c>
      <c r="C3451" t="s">
        <v>40</v>
      </c>
      <c r="D3451">
        <v>4.0623069999999997</v>
      </c>
      <c r="E3451">
        <v>0.51333430000000002</v>
      </c>
      <c r="F3451" t="s">
        <v>42</v>
      </c>
      <c r="G3451">
        <v>-499.84480000000002</v>
      </c>
      <c r="H3451" s="1">
        <v>-4.09395E-6</v>
      </c>
      <c r="I3451">
        <v>243.88550000000001</v>
      </c>
      <c r="J3451">
        <v>-501.61989999999997</v>
      </c>
      <c r="K3451">
        <v>1.2021489999999999</v>
      </c>
      <c r="L3451">
        <v>261.87909999999999</v>
      </c>
      <c r="M3451">
        <v>-8.9159539999999896E-4</v>
      </c>
      <c r="N3451">
        <v>0</v>
      </c>
      <c r="O3451">
        <v>-0.99990369999999995</v>
      </c>
      <c r="P3451">
        <v>0.13701629999999901</v>
      </c>
      <c r="Q3451">
        <v>0.1629369</v>
      </c>
      <c r="R3451">
        <v>-0.97707639999999996</v>
      </c>
      <c r="S3451">
        <v>0.29876710000000001</v>
      </c>
      <c r="T3451">
        <v>-0.2023385</v>
      </c>
      <c r="U3451">
        <v>-3.0616150000000002</v>
      </c>
      <c r="V3451">
        <v>-0.14524239999999999</v>
      </c>
      <c r="W3451">
        <v>0.17045379999999999</v>
      </c>
      <c r="X3451">
        <v>0.97460250000000004</v>
      </c>
      <c r="Y3451">
        <v>-9.7801470000000001E-2</v>
      </c>
      <c r="Z3451">
        <v>6.5631629999999996E-2</v>
      </c>
      <c r="AA3451">
        <v>0.99303940000000002</v>
      </c>
      <c r="AB3451">
        <v>36</v>
      </c>
      <c r="AC3451">
        <v>1.7750999999999499</v>
      </c>
      <c r="AD3451">
        <v>-1.20215309394999</v>
      </c>
      <c r="AE3451">
        <v>-17.993599999999901</v>
      </c>
      <c r="AF3451">
        <v>-1.7832608333725</v>
      </c>
      <c r="AG3451">
        <v>-1.20215309394999</v>
      </c>
      <c r="AH3451">
        <v>17.9128253135388</v>
      </c>
      <c r="AI3451">
        <v>93.820607989098406</v>
      </c>
      <c r="AJ3451">
        <v>95.685187932565</v>
      </c>
      <c r="AK3451">
        <v>18.041466181396899</v>
      </c>
      <c r="AL3451">
        <v>80.185794446365307</v>
      </c>
      <c r="AM3451">
        <v>98.476253810011301</v>
      </c>
      <c r="AN3451">
        <v>0.999999942849223</v>
      </c>
    </row>
    <row r="3452" spans="1:40" x14ac:dyDescent="0.25">
      <c r="A3452" t="str">
        <f>"20190312172144761"</f>
        <v>20190312172144761</v>
      </c>
      <c r="B3452" t="str">
        <f>"1552382504753969"</f>
        <v>1552382504753969</v>
      </c>
      <c r="C3452" t="s">
        <v>40</v>
      </c>
      <c r="D3452">
        <v>4.07721</v>
      </c>
      <c r="E3452">
        <v>0.51370629999999995</v>
      </c>
      <c r="F3452" t="s">
        <v>42</v>
      </c>
      <c r="G3452">
        <v>-499.85039999999998</v>
      </c>
      <c r="H3452" s="1">
        <v>-4.1734109999999998E-6</v>
      </c>
      <c r="I3452">
        <v>244.11600000000001</v>
      </c>
      <c r="J3452">
        <v>-501.61950000000002</v>
      </c>
      <c r="K3452">
        <v>1.2028650000000001</v>
      </c>
      <c r="L3452">
        <v>261.66460000000001</v>
      </c>
      <c r="M3452">
        <v>9.2149689999999999E-3</v>
      </c>
      <c r="N3452">
        <v>0</v>
      </c>
      <c r="O3452">
        <v>-0.99985880000000005</v>
      </c>
      <c r="P3452">
        <v>0.14262649999999999</v>
      </c>
      <c r="Q3452">
        <v>0.1636368</v>
      </c>
      <c r="R3452">
        <v>-0.97615629999999998</v>
      </c>
      <c r="S3452">
        <v>0.30505369999999998</v>
      </c>
      <c r="T3452">
        <v>-0.20723659999999999</v>
      </c>
      <c r="U3452">
        <v>-3.0621339999999999</v>
      </c>
      <c r="V3452">
        <v>-0.141077799999999</v>
      </c>
      <c r="W3452">
        <v>0.17149539999999999</v>
      </c>
      <c r="X3452">
        <v>0.97503150000000005</v>
      </c>
      <c r="Y3452">
        <v>-8.9731749999999999E-2</v>
      </c>
      <c r="Z3452">
        <v>6.7216689999999996E-2</v>
      </c>
      <c r="AA3452">
        <v>0.9936952</v>
      </c>
      <c r="AB3452">
        <v>36</v>
      </c>
      <c r="AC3452">
        <v>1.7691000000000301</v>
      </c>
      <c r="AD3452">
        <v>-1.202869173411</v>
      </c>
      <c r="AE3452">
        <v>-17.5486</v>
      </c>
      <c r="AF3452">
        <v>-1.5998579179424499</v>
      </c>
      <c r="AG3452">
        <v>-1.202869173411</v>
      </c>
      <c r="AH3452">
        <v>17.482843235728499</v>
      </c>
      <c r="AI3452">
        <v>93.919583295909405</v>
      </c>
      <c r="AJ3452">
        <v>95.228583932797406</v>
      </c>
      <c r="AK3452">
        <v>17.597052230728899</v>
      </c>
      <c r="AL3452">
        <v>80.125224060547495</v>
      </c>
      <c r="AM3452">
        <v>98.233018855385893</v>
      </c>
      <c r="AN3452">
        <v>1.00000002193312</v>
      </c>
    </row>
    <row r="3453" spans="1:40" x14ac:dyDescent="0.25">
      <c r="A3453" t="str">
        <f>"20190312172144779"</f>
        <v>20190312172144779</v>
      </c>
      <c r="B3453" t="str">
        <f>"1552382504774465"</f>
        <v>1552382504774465</v>
      </c>
      <c r="C3453" t="s">
        <v>40</v>
      </c>
      <c r="D3453">
        <v>3.9892910000000001</v>
      </c>
      <c r="E3453">
        <v>0.51556440000000003</v>
      </c>
      <c r="F3453" t="s">
        <v>42</v>
      </c>
      <c r="G3453">
        <v>-499.77449999999999</v>
      </c>
      <c r="H3453" s="1">
        <v>-4.1495909999999996E-6</v>
      </c>
      <c r="I3453">
        <v>244.0856</v>
      </c>
      <c r="J3453">
        <v>-501.6148</v>
      </c>
      <c r="K3453">
        <v>1.203678</v>
      </c>
      <c r="L3453">
        <v>261.38420000000002</v>
      </c>
      <c r="M3453">
        <v>2.237745E-2</v>
      </c>
      <c r="N3453">
        <v>0</v>
      </c>
      <c r="O3453">
        <v>-0.99964699999999995</v>
      </c>
      <c r="P3453">
        <v>0.14594689999999999</v>
      </c>
      <c r="Q3453">
        <v>0.16700799999999999</v>
      </c>
      <c r="R3453">
        <v>-0.97509369999999995</v>
      </c>
      <c r="S3453">
        <v>0.32131959999999998</v>
      </c>
      <c r="T3453">
        <v>-0.2094867</v>
      </c>
      <c r="U3453">
        <v>-3.061493</v>
      </c>
      <c r="V3453">
        <v>-0.13176959999999999</v>
      </c>
      <c r="W3453">
        <v>0.17548659999999999</v>
      </c>
      <c r="X3453">
        <v>0.97562349999999998</v>
      </c>
      <c r="Y3453">
        <v>-8.1857059999999995E-2</v>
      </c>
      <c r="Z3453">
        <v>6.7940899999999999E-2</v>
      </c>
      <c r="AA3453">
        <v>0.99432560000000003</v>
      </c>
      <c r="AB3453">
        <v>36</v>
      </c>
      <c r="AC3453">
        <v>1.84030000000001</v>
      </c>
      <c r="AD3453">
        <v>-1.203682149591</v>
      </c>
      <c r="AE3453">
        <v>-17.2986</v>
      </c>
      <c r="AF3453">
        <v>-1.44577906512892</v>
      </c>
      <c r="AG3453">
        <v>-1.203682149591</v>
      </c>
      <c r="AH3453">
        <v>17.252853817306601</v>
      </c>
      <c r="AI3453">
        <v>93.977000960325597</v>
      </c>
      <c r="AJ3453">
        <v>94.790161036182894</v>
      </c>
      <c r="AK3453">
        <v>17.355117189571502</v>
      </c>
      <c r="AL3453">
        <v>79.893023482409504</v>
      </c>
      <c r="AM3453">
        <v>97.691932969731397</v>
      </c>
      <c r="AN3453">
        <v>0.99999999400798401</v>
      </c>
    </row>
    <row r="3454" spans="1:40" x14ac:dyDescent="0.25">
      <c r="A3454" t="str">
        <f>"20190312172144794"</f>
        <v>20190312172144794</v>
      </c>
      <c r="B3454" t="str">
        <f>"1552382504784225"</f>
        <v>1552382504784225</v>
      </c>
      <c r="C3454" t="s">
        <v>40</v>
      </c>
      <c r="D3454">
        <v>4.0076869999999998</v>
      </c>
      <c r="E3454">
        <v>0.51647739999999998</v>
      </c>
      <c r="F3454" t="s">
        <v>42</v>
      </c>
      <c r="G3454">
        <v>-499.63819999999998</v>
      </c>
      <c r="H3454" s="1">
        <v>-3.5745700000000001E-6</v>
      </c>
      <c r="I3454">
        <v>242.46690000000001</v>
      </c>
      <c r="J3454">
        <v>-501.6069</v>
      </c>
      <c r="K3454">
        <v>1.2042569999999999</v>
      </c>
      <c r="L3454">
        <v>261.15359999999998</v>
      </c>
      <c r="M3454">
        <v>3.318865E-2</v>
      </c>
      <c r="N3454">
        <v>0</v>
      </c>
      <c r="O3454">
        <v>-0.9993436</v>
      </c>
      <c r="P3454">
        <v>0.15149869999999999</v>
      </c>
      <c r="Q3454">
        <v>0.1691695</v>
      </c>
      <c r="R3454">
        <v>-0.97387369999999995</v>
      </c>
      <c r="S3454">
        <v>0.31994630000000002</v>
      </c>
      <c r="T3454">
        <v>-0.19483710000000001</v>
      </c>
      <c r="U3454">
        <v>-3.062103</v>
      </c>
      <c r="V3454">
        <v>-0.1269219</v>
      </c>
      <c r="W3454">
        <v>0.17803649999999999</v>
      </c>
      <c r="X3454">
        <v>0.97580420000000001</v>
      </c>
      <c r="Y3454">
        <v>-7.0642629999999998E-2</v>
      </c>
      <c r="Z3454">
        <v>6.3197169999999997E-2</v>
      </c>
      <c r="AA3454">
        <v>0.99549779999999999</v>
      </c>
      <c r="AB3454">
        <v>36</v>
      </c>
      <c r="AC3454">
        <v>1.9687000000000101</v>
      </c>
      <c r="AD3454">
        <v>-1.2042605745699999</v>
      </c>
      <c r="AE3454">
        <v>-18.686699999999899</v>
      </c>
      <c r="AF3454">
        <v>-1.3418517633536799</v>
      </c>
      <c r="AG3454">
        <v>-1.2042605745699999</v>
      </c>
      <c r="AH3454">
        <v>18.665081215834601</v>
      </c>
      <c r="AI3454">
        <v>93.682098241771797</v>
      </c>
      <c r="AJ3454">
        <v>94.111977874970194</v>
      </c>
      <c r="AK3454">
        <v>18.751961670182201</v>
      </c>
      <c r="AL3454">
        <v>79.744587679534504</v>
      </c>
      <c r="AM3454">
        <v>97.410801158212493</v>
      </c>
      <c r="AN3454">
        <v>1.00000000038475</v>
      </c>
    </row>
    <row r="3455" spans="1:40" x14ac:dyDescent="0.25">
      <c r="A3455" t="str">
        <f>"20190312172144814"</f>
        <v>20190312172144814</v>
      </c>
      <c r="B3455" t="str">
        <f>"1552382504803745"</f>
        <v>1552382504803745</v>
      </c>
      <c r="C3455" t="s">
        <v>40</v>
      </c>
      <c r="D3455">
        <v>3.9954649999999998</v>
      </c>
      <c r="E3455">
        <v>0.51715540000000004</v>
      </c>
      <c r="F3455" t="s">
        <v>42</v>
      </c>
      <c r="G3455">
        <v>-499.45940000000002</v>
      </c>
      <c r="H3455" s="1">
        <v>-3.178501E-6</v>
      </c>
      <c r="I3455">
        <v>241.3963</v>
      </c>
      <c r="J3455">
        <v>-501.59280000000001</v>
      </c>
      <c r="K3455">
        <v>1.2049350000000001</v>
      </c>
      <c r="L3455">
        <v>260.85149999999999</v>
      </c>
      <c r="M3455">
        <v>4.7353180000000002E-2</v>
      </c>
      <c r="N3455">
        <v>0</v>
      </c>
      <c r="O3455">
        <v>-0.99876860000000001</v>
      </c>
      <c r="P3455">
        <v>0.15634600000000001</v>
      </c>
      <c r="Q3455">
        <v>0.1754792</v>
      </c>
      <c r="R3455">
        <v>-0.9719894</v>
      </c>
      <c r="S3455">
        <v>0.33273320000000001</v>
      </c>
      <c r="T3455">
        <v>-0.18658379999999999</v>
      </c>
      <c r="U3455">
        <v>-3.0611269999999999</v>
      </c>
      <c r="V3455">
        <v>-0.1183123</v>
      </c>
      <c r="W3455">
        <v>0.18495249999999999</v>
      </c>
      <c r="X3455">
        <v>0.97559969999999996</v>
      </c>
      <c r="Y3455">
        <v>-6.0659400000000002E-2</v>
      </c>
      <c r="Z3455">
        <v>6.0504080000000002E-2</v>
      </c>
      <c r="AA3455">
        <v>0.99632310000000002</v>
      </c>
      <c r="AB3455">
        <v>36</v>
      </c>
      <c r="AC3455">
        <v>2.1333999999999902</v>
      </c>
      <c r="AD3455">
        <v>-1.204938178501</v>
      </c>
      <c r="AE3455">
        <v>-19.455199999999898</v>
      </c>
      <c r="AF3455">
        <v>-1.2050722658367801</v>
      </c>
      <c r="AG3455">
        <v>-1.204938178501</v>
      </c>
      <c r="AH3455">
        <v>19.460644317625899</v>
      </c>
      <c r="AI3455">
        <v>93.5362842740563</v>
      </c>
      <c r="AJ3455">
        <v>93.543433807527407</v>
      </c>
      <c r="AK3455">
        <v>19.535115879795601</v>
      </c>
      <c r="AL3455">
        <v>79.341636954361604</v>
      </c>
      <c r="AM3455">
        <v>96.914571941160503</v>
      </c>
      <c r="AN3455">
        <v>1.0000000011138099</v>
      </c>
    </row>
    <row r="3456" spans="1:40" x14ac:dyDescent="0.25">
      <c r="A3456" t="str">
        <f>"20190312172144828"</f>
        <v>20190312172144828</v>
      </c>
      <c r="B3456" t="str">
        <f>"1552382504824241"</f>
        <v>1552382504824241</v>
      </c>
      <c r="C3456" t="s">
        <v>40</v>
      </c>
      <c r="D3456">
        <v>4.0060890000000002</v>
      </c>
      <c r="E3456">
        <v>0.52838509999999905</v>
      </c>
      <c r="F3456" t="s">
        <v>42</v>
      </c>
      <c r="G3456">
        <v>-499.13490000000002</v>
      </c>
      <c r="H3456" s="1">
        <v>-5.7486299999999999E-6</v>
      </c>
      <c r="I3456">
        <v>239.11789999999999</v>
      </c>
      <c r="J3456">
        <v>-501.5797</v>
      </c>
      <c r="K3456">
        <v>1.205333</v>
      </c>
      <c r="L3456">
        <v>260.63850000000002</v>
      </c>
      <c r="M3456">
        <v>5.735436E-2</v>
      </c>
      <c r="N3456">
        <v>0</v>
      </c>
      <c r="O3456">
        <v>-0.99824170000000001</v>
      </c>
      <c r="P3456">
        <v>0.1616901</v>
      </c>
      <c r="Q3456">
        <v>0.1777743</v>
      </c>
      <c r="R3456">
        <v>-0.97069720000000004</v>
      </c>
      <c r="S3456">
        <v>0.34622190000000003</v>
      </c>
      <c r="T3456">
        <v>-0.1697283</v>
      </c>
      <c r="U3456">
        <v>-3.061401</v>
      </c>
      <c r="V3456">
        <v>-0.1140564</v>
      </c>
      <c r="W3456">
        <v>0.1875976</v>
      </c>
      <c r="X3456">
        <v>0.97560150000000001</v>
      </c>
      <c r="Y3456">
        <v>-5.5023469999999998E-2</v>
      </c>
      <c r="Z3456">
        <v>5.5003290000000003E-2</v>
      </c>
      <c r="AA3456">
        <v>0.99696890000000005</v>
      </c>
      <c r="AB3456">
        <v>36</v>
      </c>
      <c r="AC3456">
        <v>2.4447999999999799</v>
      </c>
      <c r="AD3456">
        <v>-1.20533874863</v>
      </c>
      <c r="AE3456">
        <v>-21.520600000000002</v>
      </c>
      <c r="AF3456">
        <v>-1.2026116944639</v>
      </c>
      <c r="AG3456">
        <v>-1.20533874863</v>
      </c>
      <c r="AH3456">
        <v>21.558635307444298</v>
      </c>
      <c r="AI3456">
        <v>93.195106296854505</v>
      </c>
      <c r="AJ3456">
        <v>93.192838265787501</v>
      </c>
      <c r="AK3456">
        <v>21.625768719423402</v>
      </c>
      <c r="AL3456">
        <v>79.187384082449299</v>
      </c>
      <c r="AM3456">
        <v>96.668111550881704</v>
      </c>
      <c r="AN3456">
        <v>1.0000000043544801</v>
      </c>
    </row>
    <row r="3457" spans="1:40" x14ac:dyDescent="0.25">
      <c r="A3457" t="str">
        <f>"20190312172144841"</f>
        <v>20190312172144841</v>
      </c>
      <c r="B3457" t="str">
        <f>"1552382504834002"</f>
        <v>1552382504834002</v>
      </c>
      <c r="C3457" t="s">
        <v>40</v>
      </c>
      <c r="D3457">
        <v>4.0043220000000002</v>
      </c>
      <c r="E3457">
        <v>0.52927080000000004</v>
      </c>
      <c r="F3457" t="s">
        <v>42</v>
      </c>
      <c r="G3457">
        <v>-499.45609999999999</v>
      </c>
      <c r="H3457" s="1">
        <v>-5.0774260000000002E-6</v>
      </c>
      <c r="I3457">
        <v>236.97810000000001</v>
      </c>
      <c r="J3457">
        <v>-501.56529999999998</v>
      </c>
      <c r="K3457">
        <v>1.2056849999999999</v>
      </c>
      <c r="L3457">
        <v>260.4325</v>
      </c>
      <c r="M3457">
        <v>6.7051139999999995E-2</v>
      </c>
      <c r="N3457">
        <v>0</v>
      </c>
      <c r="O3457">
        <v>-0.99763449999999998</v>
      </c>
      <c r="P3457">
        <v>0.16696549999999999</v>
      </c>
      <c r="Q3457">
        <v>0.17651910000000001</v>
      </c>
      <c r="R3457">
        <v>-0.97003300000000003</v>
      </c>
      <c r="S3457">
        <v>0.27584839999999999</v>
      </c>
      <c r="T3457">
        <v>-0.15656510000000001</v>
      </c>
      <c r="U3457">
        <v>-3.073334</v>
      </c>
      <c r="V3457">
        <v>-0.1098315</v>
      </c>
      <c r="W3457">
        <v>0.1866922</v>
      </c>
      <c r="X3457">
        <v>0.97625969999999995</v>
      </c>
      <c r="Y3457">
        <v>-2.2289739999999999E-2</v>
      </c>
      <c r="Z3457">
        <v>5.0597910000000003E-2</v>
      </c>
      <c r="AA3457">
        <v>0.99847039999999998</v>
      </c>
      <c r="AB3457">
        <v>36</v>
      </c>
      <c r="AC3457">
        <v>2.10919999999998</v>
      </c>
      <c r="AD3457">
        <v>-1.205690077426</v>
      </c>
      <c r="AE3457">
        <v>-23.4544</v>
      </c>
      <c r="AF3457">
        <v>-0.530237513033192</v>
      </c>
      <c r="AG3457">
        <v>-1.205690077426</v>
      </c>
      <c r="AH3457">
        <v>23.481492011802999</v>
      </c>
      <c r="AI3457">
        <v>92.9386028683207</v>
      </c>
      <c r="AJ3457">
        <v>91.293580897506004</v>
      </c>
      <c r="AK3457">
        <v>23.5184035913027</v>
      </c>
      <c r="AL3457">
        <v>79.240192302434394</v>
      </c>
      <c r="AM3457">
        <v>96.4189190862499</v>
      </c>
      <c r="AN3457">
        <v>0.999999968888589</v>
      </c>
    </row>
    <row r="3458" spans="1:40" x14ac:dyDescent="0.25">
      <c r="A3458" t="str">
        <f>"20190312172144857"</f>
        <v>20190312172144857</v>
      </c>
      <c r="B3458" t="str">
        <f>"1552382504854029"</f>
        <v>1552382504854029</v>
      </c>
      <c r="C3458" t="s">
        <v>40</v>
      </c>
      <c r="D3458">
        <v>3.9945979999999999</v>
      </c>
      <c r="E3458">
        <v>0.52973689999999996</v>
      </c>
      <c r="F3458" t="s">
        <v>42</v>
      </c>
      <c r="G3458">
        <v>-499.45530000000002</v>
      </c>
      <c r="H3458" s="1">
        <v>-5.3609629999999996E-6</v>
      </c>
      <c r="I3458">
        <v>237.8117</v>
      </c>
      <c r="J3458">
        <v>-501.54129999999998</v>
      </c>
      <c r="K3458">
        <v>1.2060820000000001</v>
      </c>
      <c r="L3458">
        <v>260.15690000000001</v>
      </c>
      <c r="M3458">
        <v>8.0094579999999999E-2</v>
      </c>
      <c r="N3458">
        <v>0</v>
      </c>
      <c r="O3458">
        <v>-0.99666869999999996</v>
      </c>
      <c r="P3458">
        <v>0.1711675</v>
      </c>
      <c r="Q3458">
        <v>0.17518439999999999</v>
      </c>
      <c r="R3458">
        <v>-0.96954209999999996</v>
      </c>
      <c r="S3458">
        <v>0.28665159999999901</v>
      </c>
      <c r="T3458">
        <v>-0.1637989</v>
      </c>
      <c r="U3458">
        <v>-3.0731510000000002</v>
      </c>
      <c r="V3458">
        <v>-0.1012222</v>
      </c>
      <c r="W3458">
        <v>0.18595990000000001</v>
      </c>
      <c r="X3458">
        <v>0.97732949999999996</v>
      </c>
      <c r="Y3458">
        <v>-1.26865E-2</v>
      </c>
      <c r="Z3458">
        <v>5.2851950000000002E-2</v>
      </c>
      <c r="AA3458">
        <v>0.99852169999999896</v>
      </c>
      <c r="AB3458">
        <v>36</v>
      </c>
      <c r="AC3458">
        <v>2.0859999999999501</v>
      </c>
      <c r="AD3458">
        <v>-1.2060873609629901</v>
      </c>
      <c r="AE3458">
        <v>-22.345199999999998</v>
      </c>
      <c r="AF3458">
        <v>-0.28852239970625199</v>
      </c>
      <c r="AG3458">
        <v>-1.2060873609629901</v>
      </c>
      <c r="AH3458">
        <v>22.3758659228826</v>
      </c>
      <c r="AI3458">
        <v>93.085073059434393</v>
      </c>
      <c r="AJ3458">
        <v>90.7387512853186</v>
      </c>
      <c r="AK3458">
        <v>22.410204543828399</v>
      </c>
      <c r="AL3458">
        <v>79.2828980388378</v>
      </c>
      <c r="AM3458">
        <v>95.913052116041598</v>
      </c>
      <c r="AN3458">
        <v>0.99999998487554898</v>
      </c>
    </row>
    <row r="3459" spans="1:40" x14ac:dyDescent="0.25">
      <c r="A3459" t="str">
        <f>"20190312172144881"</f>
        <v>20190312172144881</v>
      </c>
      <c r="B3459" t="str">
        <f>"1552382504874524"</f>
        <v>1552382504874524</v>
      </c>
      <c r="C3459" t="s">
        <v>40</v>
      </c>
      <c r="D3459">
        <v>4.0103759999999999</v>
      </c>
      <c r="E3459">
        <v>0.53390269999999995</v>
      </c>
      <c r="F3459" t="s">
        <v>42</v>
      </c>
      <c r="G3459">
        <v>-499.46260000000001</v>
      </c>
      <c r="H3459" s="1">
        <v>-5.6565549999999996E-6</v>
      </c>
      <c r="I3459">
        <v>238.6764</v>
      </c>
      <c r="J3459">
        <v>-501.5052</v>
      </c>
      <c r="K3459">
        <v>1.206502</v>
      </c>
      <c r="L3459">
        <v>259.80799999999999</v>
      </c>
      <c r="M3459">
        <v>9.6736509999999998E-2</v>
      </c>
      <c r="N3459">
        <v>0</v>
      </c>
      <c r="O3459">
        <v>-0.99518700000000004</v>
      </c>
      <c r="P3459">
        <v>0.1780504</v>
      </c>
      <c r="Q3459">
        <v>0.17486559999999901</v>
      </c>
      <c r="R3459">
        <v>-0.96835950000000004</v>
      </c>
      <c r="S3459">
        <v>0.2973633</v>
      </c>
      <c r="T3459">
        <v>-0.17253599999999999</v>
      </c>
      <c r="U3459">
        <v>-3.0728759999999999</v>
      </c>
      <c r="V3459">
        <v>-9.1814980000000004E-2</v>
      </c>
      <c r="W3459">
        <v>0.18633240000000001</v>
      </c>
      <c r="X3459">
        <v>0.97818720000000003</v>
      </c>
      <c r="Y3459">
        <v>5.7930969999999999E-4</v>
      </c>
      <c r="Z3459">
        <v>5.5536990000000001E-2</v>
      </c>
      <c r="AA3459">
        <v>0.99845649999999997</v>
      </c>
      <c r="AB3459">
        <v>36</v>
      </c>
      <c r="AC3459">
        <v>2.04259999999999</v>
      </c>
      <c r="AD3459">
        <v>-1.2065076565549999</v>
      </c>
      <c r="AE3459">
        <v>-21.131599999999899</v>
      </c>
      <c r="AF3459">
        <v>1.13928729865944E-2</v>
      </c>
      <c r="AG3459">
        <v>-1.2065076565549999</v>
      </c>
      <c r="AH3459">
        <v>21.161742022788498</v>
      </c>
      <c r="AI3459">
        <v>93.263107127554605</v>
      </c>
      <c r="AJ3459">
        <v>89.969153603947603</v>
      </c>
      <c r="AK3459">
        <v>21.196110868787599</v>
      </c>
      <c r="AL3459">
        <v>79.261175602898703</v>
      </c>
      <c r="AM3459">
        <v>95.3622078538192</v>
      </c>
      <c r="AN3459">
        <v>0.99999997604299995</v>
      </c>
    </row>
    <row r="3460" spans="1:40" x14ac:dyDescent="0.25">
      <c r="A3460" t="str">
        <f>"20190312172144893"</f>
        <v>20190312172144893</v>
      </c>
      <c r="B3460" t="str">
        <f>"1552382504884284"</f>
        <v>1552382504884284</v>
      </c>
      <c r="C3460" t="s">
        <v>40</v>
      </c>
      <c r="D3460">
        <v>4.0210369999999998</v>
      </c>
      <c r="E3460">
        <v>0.53454399999999902</v>
      </c>
      <c r="F3460" t="s">
        <v>41</v>
      </c>
      <c r="G3460">
        <v>-501.40910000000002</v>
      </c>
      <c r="H3460">
        <v>1.1334139999999999</v>
      </c>
      <c r="I3460">
        <v>258.78379999999999</v>
      </c>
      <c r="J3460">
        <v>-501.48169999999999</v>
      </c>
      <c r="K3460">
        <v>1.2066779999999999</v>
      </c>
      <c r="L3460">
        <v>259.61470000000003</v>
      </c>
      <c r="M3460">
        <v>0.1060569</v>
      </c>
      <c r="N3460">
        <v>0</v>
      </c>
      <c r="O3460">
        <v>-0.99423470000000003</v>
      </c>
      <c r="P3460">
        <v>0.1822164</v>
      </c>
      <c r="Q3460">
        <v>0.1755591</v>
      </c>
      <c r="R3460">
        <v>-0.96745879999999995</v>
      </c>
      <c r="S3460">
        <v>0.28939819999999999</v>
      </c>
      <c r="T3460">
        <v>-0.22057650000000001</v>
      </c>
      <c r="U3460">
        <v>-3.084625</v>
      </c>
      <c r="V3460">
        <v>-8.6897459999999996E-2</v>
      </c>
      <c r="W3460">
        <v>0.1873957</v>
      </c>
      <c r="X3460">
        <v>0.97843329999999995</v>
      </c>
      <c r="Y3460">
        <v>1.295808E-2</v>
      </c>
      <c r="Z3460">
        <v>7.0567469999999993E-2</v>
      </c>
      <c r="AA3460">
        <v>0.99742280000000005</v>
      </c>
      <c r="AB3460">
        <v>35</v>
      </c>
      <c r="AC3460">
        <v>7.2599999999965803E-2</v>
      </c>
      <c r="AD3460">
        <v>-7.3264000000000204E-2</v>
      </c>
      <c r="AE3460">
        <v>-0.83090000000004205</v>
      </c>
      <c r="AF3460">
        <v>1.5821153604071402E-2</v>
      </c>
      <c r="AG3460">
        <v>-7.3264000000000204E-2</v>
      </c>
      <c r="AH3460">
        <v>0.82752825567990995</v>
      </c>
      <c r="AI3460">
        <v>95.058486831011805</v>
      </c>
      <c r="AJ3460">
        <v>88.904720291428703</v>
      </c>
      <c r="AK3460">
        <v>0.83091572168662098</v>
      </c>
      <c r="AL3460">
        <v>79.199161128563105</v>
      </c>
      <c r="AM3460">
        <v>95.075285863490393</v>
      </c>
      <c r="AN3460">
        <v>1.00000001974091</v>
      </c>
    </row>
    <row r="3461" spans="1:40" x14ac:dyDescent="0.25">
      <c r="A3461" t="str">
        <f>"20190312172144904"</f>
        <v>20190312172144904</v>
      </c>
      <c r="B3461" t="str">
        <f>"1552382504894044"</f>
        <v>1552382504894044</v>
      </c>
      <c r="C3461" t="s">
        <v>40</v>
      </c>
      <c r="D3461">
        <v>4.0195999999999996</v>
      </c>
      <c r="E3461">
        <v>0.53543059999999998</v>
      </c>
      <c r="F3461" t="s">
        <v>41</v>
      </c>
      <c r="G3461">
        <v>-501.39940000000001</v>
      </c>
      <c r="H3461">
        <v>1.1450959999999999</v>
      </c>
      <c r="I3461">
        <v>258.76749999999998</v>
      </c>
      <c r="J3461">
        <v>-501.45890000000003</v>
      </c>
      <c r="K3461">
        <v>1.2068209999999999</v>
      </c>
      <c r="L3461">
        <v>259.43740000000003</v>
      </c>
      <c r="M3461">
        <v>0.11464439999999999</v>
      </c>
      <c r="N3461">
        <v>0</v>
      </c>
      <c r="O3461">
        <v>-0.99327900000000002</v>
      </c>
      <c r="P3461">
        <v>0.1857693</v>
      </c>
      <c r="Q3461">
        <v>0.1759906</v>
      </c>
      <c r="R3461">
        <v>-0.96670449999999997</v>
      </c>
      <c r="S3461">
        <v>0.29980469999999998</v>
      </c>
      <c r="T3461">
        <v>-0.22483310000000001</v>
      </c>
      <c r="U3461">
        <v>-3.0852360000000001</v>
      </c>
      <c r="V3461">
        <v>-8.2056900000000002E-2</v>
      </c>
      <c r="W3461">
        <v>0.18818119999999999</v>
      </c>
      <c r="X3461">
        <v>0.97870040000000003</v>
      </c>
      <c r="Y3461">
        <v>1.8292059999999999E-2</v>
      </c>
      <c r="Z3461">
        <v>7.1790380000000001E-2</v>
      </c>
      <c r="AA3461">
        <v>0.99725200000000003</v>
      </c>
      <c r="AB3461">
        <v>35</v>
      </c>
      <c r="AC3461">
        <v>5.9500000000014097E-2</v>
      </c>
      <c r="AD3461">
        <v>-6.1725000000000002E-2</v>
      </c>
      <c r="AE3461">
        <v>-0.66990000000004102</v>
      </c>
      <c r="AF3461">
        <v>1.7554557097148399E-2</v>
      </c>
      <c r="AG3461">
        <v>-6.1725000000000002E-2</v>
      </c>
      <c r="AH3461">
        <v>0.666688349633619</v>
      </c>
      <c r="AI3461">
        <v>95.287798478030297</v>
      </c>
      <c r="AJ3461">
        <v>88.491694534069495</v>
      </c>
      <c r="AK3461">
        <v>0.66976973180121802</v>
      </c>
      <c r="AL3461">
        <v>79.153339743167095</v>
      </c>
      <c r="AM3461">
        <v>94.792624682496495</v>
      </c>
      <c r="AN3461">
        <v>0.99999998591560402</v>
      </c>
    </row>
    <row r="3462" spans="1:40" x14ac:dyDescent="0.25">
      <c r="A3462" t="str">
        <f>"20190312172144916"</f>
        <v>20190312172144916</v>
      </c>
      <c r="B3462" t="str">
        <f>"1552382504914541"</f>
        <v>1552382504914541</v>
      </c>
      <c r="C3462" t="s">
        <v>40</v>
      </c>
      <c r="D3462">
        <v>3.9558599999999999</v>
      </c>
      <c r="E3462">
        <v>0.53652979999999995</v>
      </c>
      <c r="F3462" t="s">
        <v>41</v>
      </c>
      <c r="G3462">
        <v>-501.36320000000001</v>
      </c>
      <c r="H3462">
        <v>1.1384970000000001</v>
      </c>
      <c r="I3462">
        <v>258.4744</v>
      </c>
      <c r="J3462">
        <v>-501.43369999999999</v>
      </c>
      <c r="K3462">
        <v>1.206936</v>
      </c>
      <c r="L3462">
        <v>259.25599999999997</v>
      </c>
      <c r="M3462">
        <v>0.12349300000000001</v>
      </c>
      <c r="N3462">
        <v>0</v>
      </c>
      <c r="O3462">
        <v>-0.99221519999999996</v>
      </c>
      <c r="P3462">
        <v>0.18846389999999999</v>
      </c>
      <c r="Q3462">
        <v>0.17502980000000001</v>
      </c>
      <c r="R3462">
        <v>-0.96635680000000002</v>
      </c>
      <c r="S3462">
        <v>0.3058167</v>
      </c>
      <c r="T3462">
        <v>-0.22071750000000001</v>
      </c>
      <c r="U3462">
        <v>-3.0847470000000001</v>
      </c>
      <c r="V3462">
        <v>-7.5985369999999997E-2</v>
      </c>
      <c r="W3462">
        <v>0.18763650000000001</v>
      </c>
      <c r="X3462">
        <v>0.97929500000000003</v>
      </c>
      <c r="Y3462">
        <v>2.525355E-2</v>
      </c>
      <c r="Z3462">
        <v>7.0369059999999997E-2</v>
      </c>
      <c r="AA3462">
        <v>0.99720129999999996</v>
      </c>
      <c r="AB3462">
        <v>35</v>
      </c>
      <c r="AC3462">
        <v>7.04999999999813E-2</v>
      </c>
      <c r="AD3462">
        <v>-6.8439000000000097E-2</v>
      </c>
      <c r="AE3462">
        <v>-0.78159999999996899</v>
      </c>
      <c r="AF3462">
        <v>2.6373809834994599E-2</v>
      </c>
      <c r="AG3462">
        <v>-6.8439000000000097E-2</v>
      </c>
      <c r="AH3462">
        <v>0.77840300180991695</v>
      </c>
      <c r="AI3462">
        <v>95.021790278086698</v>
      </c>
      <c r="AJ3462">
        <v>88.059449740202794</v>
      </c>
      <c r="AK3462">
        <v>0.78185082195576305</v>
      </c>
      <c r="AL3462">
        <v>79.185114549663396</v>
      </c>
      <c r="AM3462">
        <v>94.436799322926305</v>
      </c>
      <c r="AN3462">
        <v>0.99999996480564202</v>
      </c>
    </row>
    <row r="3463" spans="1:40" x14ac:dyDescent="0.25">
      <c r="A3463" t="str">
        <f>"20190312172144928"</f>
        <v>20190312172144928</v>
      </c>
      <c r="B3463" t="str">
        <f>"1552382504924300"</f>
        <v>1552382504924300</v>
      </c>
      <c r="C3463" t="s">
        <v>40</v>
      </c>
      <c r="D3463">
        <v>4.0026760000000001</v>
      </c>
      <c r="E3463">
        <v>0.53718759999999999</v>
      </c>
      <c r="F3463" t="s">
        <v>42</v>
      </c>
      <c r="G3463">
        <v>-499.75439999999998</v>
      </c>
      <c r="H3463" s="1">
        <v>-3.5687470000000001E-6</v>
      </c>
      <c r="I3463">
        <v>242.38919999999999</v>
      </c>
      <c r="J3463">
        <v>-501.40780000000001</v>
      </c>
      <c r="K3463">
        <v>1.2070289999999999</v>
      </c>
      <c r="L3463">
        <v>259.08510000000001</v>
      </c>
      <c r="M3463">
        <v>0.13191149999999999</v>
      </c>
      <c r="N3463">
        <v>0</v>
      </c>
      <c r="O3463">
        <v>-0.99112920000000004</v>
      </c>
      <c r="P3463">
        <v>0.1909004</v>
      </c>
      <c r="Q3463">
        <v>0.17401920000000001</v>
      </c>
      <c r="R3463">
        <v>-0.96606119999999995</v>
      </c>
      <c r="S3463">
        <v>0.30709839999999999</v>
      </c>
      <c r="T3463">
        <v>-0.22072079999999999</v>
      </c>
      <c r="U3463">
        <v>-3.0845340000000001</v>
      </c>
      <c r="V3463">
        <v>-7.0057670000000002E-2</v>
      </c>
      <c r="W3463">
        <v>0.1870252</v>
      </c>
      <c r="X3463">
        <v>0.9798538</v>
      </c>
      <c r="Y3463">
        <v>3.33216E-2</v>
      </c>
      <c r="Z3463">
        <v>7.0249770000000003E-2</v>
      </c>
      <c r="AA3463">
        <v>0.99697270000000004</v>
      </c>
      <c r="AB3463">
        <v>35</v>
      </c>
      <c r="AC3463">
        <v>1.65340000000003</v>
      </c>
      <c r="AD3463">
        <v>-1.207032568747</v>
      </c>
      <c r="AE3463">
        <v>-16.695900000000002</v>
      </c>
      <c r="AF3463">
        <v>0.56081941526429702</v>
      </c>
      <c r="AG3463">
        <v>-1.207032568747</v>
      </c>
      <c r="AH3463">
        <v>16.681753565461399</v>
      </c>
      <c r="AI3463">
        <v>94.136178665395306</v>
      </c>
      <c r="AJ3463">
        <v>88.074513688352098</v>
      </c>
      <c r="AK3463">
        <v>16.734764654973102</v>
      </c>
      <c r="AL3463">
        <v>79.220770917436994</v>
      </c>
      <c r="AM3463">
        <v>94.089579360934195</v>
      </c>
      <c r="AN3463">
        <v>0.99999998596765405</v>
      </c>
    </row>
    <row r="3464" spans="1:40" x14ac:dyDescent="0.25">
      <c r="A3464" t="str">
        <f>"20190312172144946"</f>
        <v>20190312172144946</v>
      </c>
      <c r="B3464" t="str">
        <f>"1552382504944326"</f>
        <v>1552382504944326</v>
      </c>
      <c r="C3464" t="s">
        <v>40</v>
      </c>
      <c r="D3464">
        <v>3.980944</v>
      </c>
      <c r="E3464">
        <v>0.53803959999999995</v>
      </c>
      <c r="F3464" t="s">
        <v>41</v>
      </c>
      <c r="G3464">
        <v>-501.3152</v>
      </c>
      <c r="H3464">
        <v>1.1414249999999999</v>
      </c>
      <c r="I3464">
        <v>258.1671</v>
      </c>
      <c r="J3464">
        <v>-501.36309999999997</v>
      </c>
      <c r="K3464">
        <v>1.207141</v>
      </c>
      <c r="L3464">
        <v>258.80900000000003</v>
      </c>
      <c r="M3464">
        <v>0.14563029999999999</v>
      </c>
      <c r="N3464">
        <v>0</v>
      </c>
      <c r="O3464">
        <v>-0.9892029</v>
      </c>
      <c r="P3464">
        <v>0.19144079999999999</v>
      </c>
      <c r="Q3464">
        <v>0.17005689999999901</v>
      </c>
      <c r="R3464">
        <v>-0.96665979999999996</v>
      </c>
      <c r="S3464">
        <v>0.31097409999999998</v>
      </c>
      <c r="T3464">
        <v>-0.22004070000000001</v>
      </c>
      <c r="U3464">
        <v>-3.0836489999999999</v>
      </c>
      <c r="V3464">
        <v>-5.671557E-2</v>
      </c>
      <c r="W3464">
        <v>0.18387790000000001</v>
      </c>
      <c r="X3464">
        <v>0.9813115</v>
      </c>
      <c r="Y3464">
        <v>4.5895039999999998E-2</v>
      </c>
      <c r="Z3464">
        <v>6.9828440000000006E-2</v>
      </c>
      <c r="AA3464">
        <v>0.99650269999999996</v>
      </c>
      <c r="AB3464">
        <v>35</v>
      </c>
      <c r="AC3464">
        <v>4.7899999999970001E-2</v>
      </c>
      <c r="AD3464">
        <v>-6.5716000000000094E-2</v>
      </c>
      <c r="AE3464">
        <v>-0.64190000000002101</v>
      </c>
      <c r="AF3464">
        <v>4.5627899111008799E-2</v>
      </c>
      <c r="AG3464">
        <v>-6.5716000000000094E-2</v>
      </c>
      <c r="AH3464">
        <v>0.63540862128434505</v>
      </c>
      <c r="AI3464">
        <v>95.889661742627197</v>
      </c>
      <c r="AJ3464">
        <v>85.892711725801405</v>
      </c>
      <c r="AK3464">
        <v>0.64042533822121495</v>
      </c>
      <c r="AL3464">
        <v>79.404281431397195</v>
      </c>
      <c r="AM3464">
        <v>93.307769053909098</v>
      </c>
      <c r="AN3464">
        <v>0.99999999901054204</v>
      </c>
    </row>
    <row r="3465" spans="1:40" x14ac:dyDescent="0.25">
      <c r="A3465" t="str">
        <f>"20190312172144958"</f>
        <v>20190312172144958</v>
      </c>
      <c r="B3465" t="str">
        <f>"1552382504954086"</f>
        <v>1552382504954086</v>
      </c>
      <c r="C3465" t="s">
        <v>40</v>
      </c>
      <c r="D3465">
        <v>3.99614</v>
      </c>
      <c r="E3465">
        <v>0.53848399999999996</v>
      </c>
      <c r="F3465" t="s">
        <v>41</v>
      </c>
      <c r="G3465">
        <v>-501.26909999999998</v>
      </c>
      <c r="H3465">
        <v>1.136182</v>
      </c>
      <c r="I3465">
        <v>257.8646</v>
      </c>
      <c r="J3465">
        <v>-501.32929999999999</v>
      </c>
      <c r="K3465">
        <v>1.207217</v>
      </c>
      <c r="L3465">
        <v>258.61439999999999</v>
      </c>
      <c r="M3465">
        <v>0.15540019999999999</v>
      </c>
      <c r="N3465">
        <v>0</v>
      </c>
      <c r="O3465">
        <v>-0.98771310000000001</v>
      </c>
      <c r="P3465">
        <v>0.1952285</v>
      </c>
      <c r="Q3465">
        <v>0.16855690000000001</v>
      </c>
      <c r="R3465">
        <v>-0.96616500000000005</v>
      </c>
      <c r="S3465">
        <v>0.306427</v>
      </c>
      <c r="T3465">
        <v>-0.23343159999999999</v>
      </c>
      <c r="U3465">
        <v>-3.0838779999999999</v>
      </c>
      <c r="V3465">
        <v>-5.0737909999999997E-2</v>
      </c>
      <c r="W3465">
        <v>0.18278939999999999</v>
      </c>
      <c r="X3465">
        <v>0.98184199999999999</v>
      </c>
      <c r="Y3465">
        <v>5.7257210000000003E-2</v>
      </c>
      <c r="Z3465">
        <v>7.3865379999999994E-2</v>
      </c>
      <c r="AA3465">
        <v>0.99562320000000004</v>
      </c>
      <c r="AB3465">
        <v>35</v>
      </c>
      <c r="AC3465">
        <v>6.0200000000008899E-2</v>
      </c>
      <c r="AD3465">
        <v>-7.1034999999999904E-2</v>
      </c>
      <c r="AE3465">
        <v>-0.74979999999999303</v>
      </c>
      <c r="AF3465">
        <v>5.6562132553468099E-2</v>
      </c>
      <c r="AG3465">
        <v>-7.1034999999999904E-2</v>
      </c>
      <c r="AH3465">
        <v>0.74341527683992203</v>
      </c>
      <c r="AI3465">
        <v>95.442533985379995</v>
      </c>
      <c r="AJ3465">
        <v>85.649080919545398</v>
      </c>
      <c r="AK3465">
        <v>0.74894026457587004</v>
      </c>
      <c r="AL3465">
        <v>79.467723262189494</v>
      </c>
      <c r="AM3465">
        <v>92.958199517767795</v>
      </c>
      <c r="AN3465">
        <v>1.00000000661376</v>
      </c>
    </row>
    <row r="3466" spans="1:40" x14ac:dyDescent="0.25">
      <c r="A3466" t="str">
        <f>"20190312172144973"</f>
        <v>20190312172144973</v>
      </c>
      <c r="B3466" t="str">
        <f>"1552382504963848"</f>
        <v>1552382504963848</v>
      </c>
      <c r="C3466" t="s">
        <v>40</v>
      </c>
      <c r="D3466">
        <v>3.9556789999999999</v>
      </c>
      <c r="E3466">
        <v>0.53894509999999995</v>
      </c>
      <c r="F3466" t="s">
        <v>41</v>
      </c>
      <c r="G3466">
        <v>-501.25170000000003</v>
      </c>
      <c r="H3466">
        <v>1.1492719999999901</v>
      </c>
      <c r="I3466">
        <v>257.85739999999998</v>
      </c>
      <c r="J3466">
        <v>-501.28719999999998</v>
      </c>
      <c r="K3466">
        <v>1.2072929999999999</v>
      </c>
      <c r="L3466">
        <v>258.39280000000002</v>
      </c>
      <c r="M3466">
        <v>0.16669059999999999</v>
      </c>
      <c r="N3466">
        <v>0</v>
      </c>
      <c r="O3466">
        <v>-0.98586790000000002</v>
      </c>
      <c r="P3466">
        <v>0.20056959999999999</v>
      </c>
      <c r="Q3466">
        <v>0.16808339999999999</v>
      </c>
      <c r="R3466">
        <v>-0.96515300000000004</v>
      </c>
      <c r="S3466">
        <v>0.31503300000000001</v>
      </c>
      <c r="T3466">
        <v>-0.2381983</v>
      </c>
      <c r="U3466">
        <v>-3.0829620000000002</v>
      </c>
      <c r="V3466">
        <v>-4.4879250000000002E-2</v>
      </c>
      <c r="W3466">
        <v>0.18272849999999999</v>
      </c>
      <c r="X3466">
        <v>0.98213859999999997</v>
      </c>
      <c r="Y3466">
        <v>6.5908019999999998E-2</v>
      </c>
      <c r="Z3466">
        <v>7.5145009999999998E-2</v>
      </c>
      <c r="AA3466">
        <v>0.99499210000000005</v>
      </c>
      <c r="AB3466">
        <v>35</v>
      </c>
      <c r="AC3466">
        <v>3.5499999999956303E-2</v>
      </c>
      <c r="AD3466">
        <v>-5.80210000000001E-2</v>
      </c>
      <c r="AE3466">
        <v>-0.53540000000003796</v>
      </c>
      <c r="AF3466">
        <v>5.3628347446818901E-2</v>
      </c>
      <c r="AG3466">
        <v>-5.80210000000001E-2</v>
      </c>
      <c r="AH3466">
        <v>0.52765595752898298</v>
      </c>
      <c r="AI3466">
        <v>96.243122787709893</v>
      </c>
      <c r="AJ3466">
        <v>84.196667191072507</v>
      </c>
      <c r="AK3466">
        <v>0.533538419991199</v>
      </c>
      <c r="AL3466">
        <v>79.471272712744195</v>
      </c>
      <c r="AM3466">
        <v>92.6163355159361</v>
      </c>
      <c r="AN3466">
        <v>1.00000004070138</v>
      </c>
    </row>
    <row r="3467" spans="1:40" x14ac:dyDescent="0.25">
      <c r="A3467" t="str">
        <f>"20190312172144990"</f>
        <v>20190312172144990</v>
      </c>
      <c r="B3467" t="str">
        <f>"1552382504984342"</f>
        <v>1552382504984342</v>
      </c>
      <c r="C3467" t="s">
        <v>40</v>
      </c>
      <c r="D3467">
        <v>3.959022</v>
      </c>
      <c r="E3467">
        <v>0.53961550000000003</v>
      </c>
      <c r="F3467" t="s">
        <v>41</v>
      </c>
      <c r="G3467">
        <v>-501.19880000000001</v>
      </c>
      <c r="H3467">
        <v>1.1417409999999999</v>
      </c>
      <c r="I3467">
        <v>257.56060000000002</v>
      </c>
      <c r="J3467">
        <v>-501.23939999999999</v>
      </c>
      <c r="K3467">
        <v>1.207362</v>
      </c>
      <c r="L3467">
        <v>258.15620000000001</v>
      </c>
      <c r="M3467">
        <v>0.17887700000000001</v>
      </c>
      <c r="N3467">
        <v>0</v>
      </c>
      <c r="O3467">
        <v>-0.98372709999999997</v>
      </c>
      <c r="P3467">
        <v>0.2072917</v>
      </c>
      <c r="Q3467">
        <v>0.16773679999999999</v>
      </c>
      <c r="R3467">
        <v>-0.96379159999999997</v>
      </c>
      <c r="S3467">
        <v>0.32730100000000001</v>
      </c>
      <c r="T3467">
        <v>-0.24259030000000001</v>
      </c>
      <c r="U3467">
        <v>-3.0825809999999998</v>
      </c>
      <c r="V3467">
        <v>-3.9523969999999999E-2</v>
      </c>
      <c r="W3467">
        <v>0.1827725</v>
      </c>
      <c r="X3467">
        <v>0.98236040000000002</v>
      </c>
      <c r="Y3467">
        <v>7.4333350000000006E-2</v>
      </c>
      <c r="Z3467">
        <v>7.6243560000000002E-2</v>
      </c>
      <c r="AA3467">
        <v>0.99431460000000005</v>
      </c>
      <c r="AB3467">
        <v>35</v>
      </c>
      <c r="AC3467">
        <v>4.0599999999983503E-2</v>
      </c>
      <c r="AD3467">
        <v>-6.5621000000000096E-2</v>
      </c>
      <c r="AE3467">
        <v>-0.59559999999999003</v>
      </c>
      <c r="AF3467">
        <v>6.5814070738608302E-2</v>
      </c>
      <c r="AG3467">
        <v>-6.5621000000000096E-2</v>
      </c>
      <c r="AH3467">
        <v>0.58617199504043105</v>
      </c>
      <c r="AI3467">
        <v>96.3480153302567</v>
      </c>
      <c r="AJ3467">
        <v>83.593788607657004</v>
      </c>
      <c r="AK3467">
        <v>0.59349407353221795</v>
      </c>
      <c r="AL3467">
        <v>79.468707477461805</v>
      </c>
      <c r="AM3467">
        <v>92.303977175764999</v>
      </c>
      <c r="AN3467">
        <v>0.99999994322448305</v>
      </c>
    </row>
    <row r="3468" spans="1:40" x14ac:dyDescent="0.25">
      <c r="A3468" t="str">
        <f>"20190312172145005"</f>
        <v>20190312172145005</v>
      </c>
      <c r="B3468" t="str">
        <f>"1552382504994103"</f>
        <v>1552382504994103</v>
      </c>
      <c r="C3468" t="s">
        <v>40</v>
      </c>
      <c r="D3468">
        <v>3.954358</v>
      </c>
      <c r="E3468">
        <v>0.53996350000000004</v>
      </c>
      <c r="F3468" t="s">
        <v>41</v>
      </c>
      <c r="G3468">
        <v>-501.1395</v>
      </c>
      <c r="H3468">
        <v>1.1371819999999999</v>
      </c>
      <c r="I3468">
        <v>257.26119999999997</v>
      </c>
      <c r="J3468">
        <v>-501.18759999999997</v>
      </c>
      <c r="K3468">
        <v>1.207435</v>
      </c>
      <c r="L3468">
        <v>257.91489999999999</v>
      </c>
      <c r="M3468">
        <v>0.19145180000000001</v>
      </c>
      <c r="N3468">
        <v>0</v>
      </c>
      <c r="O3468">
        <v>-0.98135479999999997</v>
      </c>
      <c r="P3468">
        <v>0.21083370000000001</v>
      </c>
      <c r="Q3468">
        <v>0.16827690000000001</v>
      </c>
      <c r="R3468">
        <v>-0.96292909999999998</v>
      </c>
      <c r="S3468">
        <v>0.3435974</v>
      </c>
      <c r="T3468">
        <v>-0.24379960000000001</v>
      </c>
      <c r="U3468">
        <v>-3.081223</v>
      </c>
      <c r="V3468">
        <v>-3.0575829999999998E-2</v>
      </c>
      <c r="W3468">
        <v>0.18384980000000001</v>
      </c>
      <c r="X3468">
        <v>0.98247870000000004</v>
      </c>
      <c r="Y3468">
        <v>8.1852690000000006E-2</v>
      </c>
      <c r="Z3468">
        <v>7.6332349999999993E-2</v>
      </c>
      <c r="AA3468">
        <v>0.99371699999999996</v>
      </c>
      <c r="AB3468">
        <v>35</v>
      </c>
      <c r="AC3468">
        <v>4.8099999999976703E-2</v>
      </c>
      <c r="AD3468">
        <v>-7.0253000000000093E-2</v>
      </c>
      <c r="AE3468">
        <v>-0.65370000000001405</v>
      </c>
      <c r="AF3468">
        <v>7.7074739809154802E-2</v>
      </c>
      <c r="AG3468">
        <v>-7.0253000000000093E-2</v>
      </c>
      <c r="AH3468">
        <v>0.64342314081649099</v>
      </c>
      <c r="AI3468">
        <v>96.187343755228</v>
      </c>
      <c r="AJ3468">
        <v>83.169168802792996</v>
      </c>
      <c r="AK3468">
        <v>0.65182001937943501</v>
      </c>
      <c r="AL3468">
        <v>79.405919518276306</v>
      </c>
      <c r="AM3468">
        <v>91.7825330645843</v>
      </c>
      <c r="AN3468">
        <v>1.00000001314695</v>
      </c>
    </row>
    <row r="3469" spans="1:40" x14ac:dyDescent="0.25">
      <c r="A3469" t="str">
        <f>"20190312172145019"</f>
        <v>20190312172145019</v>
      </c>
      <c r="B3469" t="str">
        <f>"1552382505013623"</f>
        <v>1552382505013623</v>
      </c>
      <c r="C3469" t="s">
        <v>40</v>
      </c>
      <c r="D3469">
        <v>3.9566300000000001</v>
      </c>
      <c r="E3469">
        <v>0.54060819999999998</v>
      </c>
      <c r="F3469" t="s">
        <v>41</v>
      </c>
      <c r="G3469">
        <v>-501.0795</v>
      </c>
      <c r="H3469">
        <v>1.1322760000000001</v>
      </c>
      <c r="I3469">
        <v>256.96249999999998</v>
      </c>
      <c r="J3469">
        <v>-501.13889999999998</v>
      </c>
      <c r="K3469">
        <v>1.207487</v>
      </c>
      <c r="L3469">
        <v>257.69990000000001</v>
      </c>
      <c r="M3469">
        <v>0.2027687</v>
      </c>
      <c r="N3469">
        <v>0</v>
      </c>
      <c r="O3469">
        <v>-0.97907710000000003</v>
      </c>
      <c r="P3469">
        <v>0.21781819999999999</v>
      </c>
      <c r="Q3469">
        <v>0.1689312</v>
      </c>
      <c r="R3469">
        <v>-0.96125879999999997</v>
      </c>
      <c r="S3469">
        <v>0.34988399999999997</v>
      </c>
      <c r="T3469">
        <v>-0.2426459</v>
      </c>
      <c r="U3469">
        <v>-3.0813139999999999</v>
      </c>
      <c r="V3469">
        <v>-2.6398910000000001E-2</v>
      </c>
      <c r="W3469">
        <v>0.18480579999999999</v>
      </c>
      <c r="X3469">
        <v>0.98242039999999997</v>
      </c>
      <c r="Y3469">
        <v>9.1351730000000006E-2</v>
      </c>
      <c r="Z3469">
        <v>7.5665010000000005E-2</v>
      </c>
      <c r="AA3469">
        <v>0.99293989999999999</v>
      </c>
      <c r="AB3469">
        <v>35</v>
      </c>
      <c r="AC3469">
        <v>5.93999999999823E-2</v>
      </c>
      <c r="AD3469">
        <v>-7.5210999999999903E-2</v>
      </c>
      <c r="AE3469">
        <v>-0.73740000000003603</v>
      </c>
      <c r="AF3469">
        <v>9.0443033859493899E-2</v>
      </c>
      <c r="AG3469">
        <v>-7.5210999999999903E-2</v>
      </c>
      <c r="AH3469">
        <v>0.72661324166767705</v>
      </c>
      <c r="AI3469">
        <v>95.864645078349895</v>
      </c>
      <c r="AJ3469">
        <v>82.904769973904195</v>
      </c>
      <c r="AK3469">
        <v>0.73607298541756006</v>
      </c>
      <c r="AL3469">
        <v>79.350189286280695</v>
      </c>
      <c r="AM3469">
        <v>91.539241480919998</v>
      </c>
      <c r="AN3469">
        <v>0.999999964249493</v>
      </c>
    </row>
    <row r="3470" spans="1:40" x14ac:dyDescent="0.25">
      <c r="A3470" t="str">
        <f>"20190312172145036"</f>
        <v>20190312172145036</v>
      </c>
      <c r="B3470" t="str">
        <f>"1552382505034119"</f>
        <v>1552382505034119</v>
      </c>
      <c r="C3470" t="s">
        <v>40</v>
      </c>
      <c r="D3470">
        <v>3.9594429999999998</v>
      </c>
      <c r="E3470">
        <v>0.54118630000000001</v>
      </c>
      <c r="F3470" t="s">
        <v>41</v>
      </c>
      <c r="G3470">
        <v>-501.0505</v>
      </c>
      <c r="H3470">
        <v>1.1489560000000001</v>
      </c>
      <c r="I3470">
        <v>256.95740000000001</v>
      </c>
      <c r="J3470">
        <v>-501.08069999999998</v>
      </c>
      <c r="K3470">
        <v>1.207551</v>
      </c>
      <c r="L3470">
        <v>257.46179999999998</v>
      </c>
      <c r="M3470">
        <v>0.21549969999999999</v>
      </c>
      <c r="N3470">
        <v>0</v>
      </c>
      <c r="O3470">
        <v>-0.97635170000000004</v>
      </c>
      <c r="P3470">
        <v>0.22250539999999999</v>
      </c>
      <c r="Q3470">
        <v>0.17158229999999999</v>
      </c>
      <c r="R3470">
        <v>-0.95971399999999996</v>
      </c>
      <c r="S3470">
        <v>0.36691279999999998</v>
      </c>
      <c r="T3470">
        <v>-0.2421286</v>
      </c>
      <c r="U3470">
        <v>-3.0803530000000001</v>
      </c>
      <c r="V3470">
        <v>-1.8590519999999999E-2</v>
      </c>
      <c r="W3470">
        <v>0.18791050000000001</v>
      </c>
      <c r="X3470">
        <v>0.98201020000000006</v>
      </c>
      <c r="Y3470">
        <v>9.8861889999999994E-2</v>
      </c>
      <c r="Z3470">
        <v>7.5159889999999993E-2</v>
      </c>
      <c r="AA3470">
        <v>0.99225870000000005</v>
      </c>
      <c r="AB3470">
        <v>35</v>
      </c>
      <c r="AC3470">
        <v>3.0199999999979299E-2</v>
      </c>
      <c r="AD3470">
        <v>-5.8595000000000098E-2</v>
      </c>
      <c r="AE3470">
        <v>-0.50439999999997498</v>
      </c>
      <c r="AF3470">
        <v>7.8172832899694997E-2</v>
      </c>
      <c r="AG3470">
        <v>-5.8595000000000098E-2</v>
      </c>
      <c r="AH3470">
        <v>0.49243245326669699</v>
      </c>
      <c r="AI3470">
        <v>96.702619311784304</v>
      </c>
      <c r="AJ3470">
        <v>80.979661646271694</v>
      </c>
      <c r="AK3470">
        <v>0.50202996609646899</v>
      </c>
      <c r="AL3470">
        <v>79.1691315650814</v>
      </c>
      <c r="AM3470">
        <v>91.084541806542504</v>
      </c>
      <c r="AN3470">
        <v>0.99999999817408003</v>
      </c>
    </row>
    <row r="3471" spans="1:40" x14ac:dyDescent="0.25">
      <c r="A3471" t="str">
        <f>"20190312172145048"</f>
        <v>20190312172145048</v>
      </c>
      <c r="B3471" t="str">
        <f>"1552382505044386"</f>
        <v>1552382505044386</v>
      </c>
      <c r="C3471" t="s">
        <v>40</v>
      </c>
      <c r="D3471">
        <v>3.964035</v>
      </c>
      <c r="E3471">
        <v>0.54147889999999999</v>
      </c>
      <c r="F3471" t="s">
        <v>41</v>
      </c>
      <c r="G3471">
        <v>-500.98250000000002</v>
      </c>
      <c r="H3471">
        <v>1.146981</v>
      </c>
      <c r="I3471">
        <v>256.6601</v>
      </c>
      <c r="J3471">
        <v>-501.03579999999999</v>
      </c>
      <c r="K3471">
        <v>1.207589</v>
      </c>
      <c r="L3471">
        <v>257.28660000000002</v>
      </c>
      <c r="M3471">
        <v>0.22494980000000001</v>
      </c>
      <c r="N3471">
        <v>0</v>
      </c>
      <c r="O3471">
        <v>-0.97421650000000004</v>
      </c>
      <c r="P3471">
        <v>0.22808410000000001</v>
      </c>
      <c r="Q3471">
        <v>0.17400499999999999</v>
      </c>
      <c r="R3471">
        <v>-0.9579666</v>
      </c>
      <c r="S3471">
        <v>0.37747190000000003</v>
      </c>
      <c r="T3471">
        <v>-0.23383799999999999</v>
      </c>
      <c r="U3471">
        <v>-3.0802309999999999</v>
      </c>
      <c r="V3471">
        <v>-1.4976079999999999E-2</v>
      </c>
      <c r="W3471">
        <v>0.19056429999999999</v>
      </c>
      <c r="X3471">
        <v>0.98156049999999995</v>
      </c>
      <c r="Y3471">
        <v>0.1051199</v>
      </c>
      <c r="Z3471">
        <v>7.2325680000000003E-2</v>
      </c>
      <c r="AA3471">
        <v>0.99182599999999999</v>
      </c>
      <c r="AB3471">
        <v>35</v>
      </c>
      <c r="AC3471">
        <v>5.3299999999978802E-2</v>
      </c>
      <c r="AD3471">
        <v>-6.0608000000000002E-2</v>
      </c>
      <c r="AE3471">
        <v>-0.62650000000002104</v>
      </c>
      <c r="AF3471">
        <v>8.8199152905654402E-2</v>
      </c>
      <c r="AG3471">
        <v>-6.0608000000000002E-2</v>
      </c>
      <c r="AH3471">
        <v>0.61669970679671904</v>
      </c>
      <c r="AI3471">
        <v>95.556706904143397</v>
      </c>
      <c r="AJ3471">
        <v>81.860866267144104</v>
      </c>
      <c r="AK3471">
        <v>0.625916087507291</v>
      </c>
      <c r="AL3471">
        <v>79.014282355991</v>
      </c>
      <c r="AM3471">
        <v>90.8741179012451</v>
      </c>
      <c r="AN3471">
        <v>1.00000002528345</v>
      </c>
    </row>
    <row r="3472" spans="1:40" x14ac:dyDescent="0.25">
      <c r="A3472" t="str">
        <f>"20190312172145070"</f>
        <v>20190312172145070</v>
      </c>
      <c r="B3472" t="str">
        <f>"1552382505063907"</f>
        <v>1552382505063907</v>
      </c>
      <c r="C3472" t="s">
        <v>40</v>
      </c>
      <c r="D3472">
        <v>4.0569699999999997</v>
      </c>
      <c r="E3472">
        <v>0.54145299999999996</v>
      </c>
      <c r="F3472" t="s">
        <v>41</v>
      </c>
      <c r="G3472">
        <v>-500.91829999999999</v>
      </c>
      <c r="H3472">
        <v>1.140619</v>
      </c>
      <c r="I3472">
        <v>256.36540000000002</v>
      </c>
      <c r="J3472">
        <v>-500.94740000000002</v>
      </c>
      <c r="K3472">
        <v>1.207649</v>
      </c>
      <c r="L3472">
        <v>256.95979999999997</v>
      </c>
      <c r="M3472">
        <v>0.24275769999999999</v>
      </c>
      <c r="N3472">
        <v>0</v>
      </c>
      <c r="O3472">
        <v>-0.96992999999999996</v>
      </c>
      <c r="P3472">
        <v>0.23944850000000001</v>
      </c>
      <c r="Q3472">
        <v>0.1774346</v>
      </c>
      <c r="R3472">
        <v>-0.95455869999999998</v>
      </c>
      <c r="S3472">
        <v>0.39279170000000002</v>
      </c>
      <c r="T3472">
        <v>-0.22486909999999999</v>
      </c>
      <c r="U3472">
        <v>-3.0789339999999998</v>
      </c>
      <c r="V3472">
        <v>-8.9335819999999903E-3</v>
      </c>
      <c r="W3472">
        <v>0.19437840000000001</v>
      </c>
      <c r="X3472">
        <v>0.98088589999999998</v>
      </c>
      <c r="Y3472">
        <v>0.1183902</v>
      </c>
      <c r="Z3472">
        <v>6.905799E-2</v>
      </c>
      <c r="AA3472">
        <v>0.99056290000000002</v>
      </c>
      <c r="AB3472">
        <v>35</v>
      </c>
      <c r="AC3472">
        <v>2.91000000000281E-2</v>
      </c>
      <c r="AD3472">
        <v>-6.7029999999999895E-2</v>
      </c>
      <c r="AE3472">
        <v>-0.59439999999994997</v>
      </c>
      <c r="AF3472">
        <v>0.11463359237616499</v>
      </c>
      <c r="AG3472">
        <v>-6.7029999999999895E-2</v>
      </c>
      <c r="AH3472">
        <v>0.57636743680119096</v>
      </c>
      <c r="AI3472">
        <v>96.507217390480506</v>
      </c>
      <c r="AJ3472">
        <v>78.7512449422169</v>
      </c>
      <c r="AK3472">
        <v>0.59146707736427695</v>
      </c>
      <c r="AL3472">
        <v>78.791585800741899</v>
      </c>
      <c r="AM3472">
        <v>90.521816444169403</v>
      </c>
      <c r="AN3472">
        <v>0.99999996004635905</v>
      </c>
    </row>
    <row r="3473" spans="1:40" x14ac:dyDescent="0.25">
      <c r="A3473" t="str">
        <f>"20190312172145083"</f>
        <v>20190312172145083</v>
      </c>
      <c r="B3473" t="str">
        <f>"1552382505073666"</f>
        <v>1552382505073666</v>
      </c>
      <c r="C3473" t="s">
        <v>40</v>
      </c>
      <c r="D3473">
        <v>3.9370609999999999</v>
      </c>
      <c r="E3473">
        <v>0.5184571</v>
      </c>
      <c r="F3473" t="s">
        <v>41</v>
      </c>
      <c r="G3473">
        <v>-500.82319999999999</v>
      </c>
      <c r="H3473">
        <v>1.1460399999999999</v>
      </c>
      <c r="I3473">
        <v>256.06869999999998</v>
      </c>
      <c r="J3473">
        <v>-500.8904</v>
      </c>
      <c r="K3473">
        <v>1.207676</v>
      </c>
      <c r="L3473">
        <v>256.76049999999998</v>
      </c>
      <c r="M3473">
        <v>0.25372509999999998</v>
      </c>
      <c r="N3473">
        <v>0</v>
      </c>
      <c r="O3473">
        <v>-0.96711760000000002</v>
      </c>
      <c r="P3473">
        <v>0.24775240000000001</v>
      </c>
      <c r="Q3473">
        <v>0.17811279999999999</v>
      </c>
      <c r="R3473">
        <v>-0.95231010000000005</v>
      </c>
      <c r="S3473">
        <v>0.42852780000000001</v>
      </c>
      <c r="T3473">
        <v>-0.21349179999999901</v>
      </c>
      <c r="U3473">
        <v>-3.0749970000000002</v>
      </c>
      <c r="V3473">
        <v>-6.4189039999999996E-3</v>
      </c>
      <c r="W3473">
        <v>0.19523199999999999</v>
      </c>
      <c r="X3473">
        <v>0.9807361</v>
      </c>
      <c r="Y3473">
        <v>0.118131</v>
      </c>
      <c r="Z3473">
        <v>6.5328209999999998E-2</v>
      </c>
      <c r="AA3473">
        <v>0.99084680000000003</v>
      </c>
      <c r="AB3473">
        <v>35</v>
      </c>
      <c r="AC3473">
        <v>6.7200000000013901E-2</v>
      </c>
      <c r="AD3473">
        <v>-6.1636000000000003E-2</v>
      </c>
      <c r="AE3473">
        <v>-0.69179999999999997</v>
      </c>
      <c r="AF3473">
        <v>0.109691117159192</v>
      </c>
      <c r="AG3473">
        <v>-6.1636000000000003E-2</v>
      </c>
      <c r="AH3473">
        <v>0.68085360998490696</v>
      </c>
      <c r="AI3473">
        <v>95.107244060688998</v>
      </c>
      <c r="AJ3473">
        <v>80.847822082257693</v>
      </c>
      <c r="AK3473">
        <v>0.69238195810485403</v>
      </c>
      <c r="AL3473">
        <v>78.741723492185699</v>
      </c>
      <c r="AM3473">
        <v>90.374994717721705</v>
      </c>
      <c r="AN3473">
        <v>1.00000001699788</v>
      </c>
    </row>
    <row r="3474" spans="1:40" x14ac:dyDescent="0.25">
      <c r="A3474" t="str">
        <f>"20190312172145095"</f>
        <v>20190312172145095</v>
      </c>
      <c r="B3474" t="str">
        <f>"1552382505084402"</f>
        <v>1552382505084402</v>
      </c>
      <c r="C3474" t="s">
        <v>40</v>
      </c>
      <c r="D3474">
        <v>3.914561</v>
      </c>
      <c r="E3474">
        <v>0.51329499999999995</v>
      </c>
      <c r="F3474" t="s">
        <v>41</v>
      </c>
      <c r="G3474">
        <v>-500.68830000000003</v>
      </c>
      <c r="H3474">
        <v>1.1422079999999999</v>
      </c>
      <c r="I3474">
        <v>255.7953</v>
      </c>
      <c r="J3474">
        <v>-500.83940000000001</v>
      </c>
      <c r="K3474">
        <v>1.2076960000000001</v>
      </c>
      <c r="L3474">
        <v>256.58999999999997</v>
      </c>
      <c r="M3474">
        <v>0.26318399999999997</v>
      </c>
      <c r="N3474">
        <v>0</v>
      </c>
      <c r="O3474">
        <v>-0.96458580000000005</v>
      </c>
      <c r="P3474">
        <v>0.25479030000000003</v>
      </c>
      <c r="Q3474">
        <v>0.17769279999999901</v>
      </c>
      <c r="R3474">
        <v>-0.95053019999999999</v>
      </c>
      <c r="S3474">
        <v>0.63317869999999998</v>
      </c>
      <c r="T3474">
        <v>-0.2059309</v>
      </c>
      <c r="U3474">
        <v>-3.0240480000000001</v>
      </c>
      <c r="V3474">
        <v>-4.0214559999999996E-3</v>
      </c>
      <c r="W3474">
        <v>0.1949649</v>
      </c>
      <c r="X3474">
        <v>0.98080199999999995</v>
      </c>
      <c r="Y3474">
        <v>6.0357760000000003E-2</v>
      </c>
      <c r="Z3474">
        <v>6.3635109999999995E-2</v>
      </c>
      <c r="AA3474">
        <v>0.99614630000000004</v>
      </c>
      <c r="AB3474">
        <v>35</v>
      </c>
      <c r="AC3474">
        <v>0.151099999999985</v>
      </c>
      <c r="AD3474">
        <v>-6.5487999999999894E-2</v>
      </c>
      <c r="AE3474">
        <v>-0.79469999999997698</v>
      </c>
      <c r="AF3474">
        <v>6.3000297978528394E-2</v>
      </c>
      <c r="AG3474">
        <v>-6.5487999999999894E-2</v>
      </c>
      <c r="AH3474">
        <v>0.80119691516813496</v>
      </c>
      <c r="AI3474">
        <v>94.658521425852499</v>
      </c>
      <c r="AJ3474">
        <v>85.503927967721594</v>
      </c>
      <c r="AK3474">
        <v>0.806333809637373</v>
      </c>
      <c r="AL3474">
        <v>78.757327114808703</v>
      </c>
      <c r="AM3474">
        <v>90.234921181976603</v>
      </c>
      <c r="AN3474">
        <v>1.00000002377218</v>
      </c>
    </row>
    <row r="3475" spans="1:40" x14ac:dyDescent="0.25">
      <c r="A3475" t="str">
        <f>"20190312172145107"</f>
        <v>20190312172145107</v>
      </c>
      <c r="B3475" t="str">
        <f>"1552382505103923"</f>
        <v>1552382505103923</v>
      </c>
      <c r="C3475" t="s">
        <v>40</v>
      </c>
      <c r="D3475">
        <v>4.0586549999999999</v>
      </c>
      <c r="E3475">
        <v>0.50838700000000003</v>
      </c>
      <c r="F3475" t="s">
        <v>42</v>
      </c>
      <c r="G3475">
        <v>-495.59829999999999</v>
      </c>
      <c r="H3475" s="1">
        <v>-3.3521110000000002E-6</v>
      </c>
      <c r="I3475">
        <v>233.9308</v>
      </c>
      <c r="J3475">
        <v>-500.78199999999998</v>
      </c>
      <c r="K3475">
        <v>1.2071179999999999</v>
      </c>
      <c r="L3475">
        <v>256.40679999999998</v>
      </c>
      <c r="M3475">
        <v>0.27314929999999998</v>
      </c>
      <c r="N3475">
        <v>0</v>
      </c>
      <c r="O3475">
        <v>-0.96180650000000001</v>
      </c>
      <c r="P3475">
        <v>0.26257009999999997</v>
      </c>
      <c r="Q3475">
        <v>0.1768392</v>
      </c>
      <c r="R3475">
        <v>-0.94857029999999998</v>
      </c>
      <c r="S3475">
        <v>0.69390869999999905</v>
      </c>
      <c r="T3475">
        <v>-0.15989690000000001</v>
      </c>
      <c r="U3475">
        <v>-3.0000309999999999</v>
      </c>
      <c r="V3475">
        <v>-1.6462499999999999E-3</v>
      </c>
      <c r="W3475">
        <v>0.19446869999999999</v>
      </c>
      <c r="X3475">
        <v>0.98090730000000004</v>
      </c>
      <c r="Y3475">
        <v>4.9674450000000002E-2</v>
      </c>
      <c r="Z3475">
        <v>4.953507E-2</v>
      </c>
      <c r="AA3475">
        <v>0.99753630000000004</v>
      </c>
      <c r="AB3475">
        <v>35</v>
      </c>
      <c r="AC3475">
        <v>5.1836999999999804</v>
      </c>
      <c r="AD3475">
        <v>-1.207121352111</v>
      </c>
      <c r="AE3475">
        <v>-22.4759999999999</v>
      </c>
      <c r="AF3475">
        <v>1.1506193247758001</v>
      </c>
      <c r="AG3475">
        <v>-1.207121352111</v>
      </c>
      <c r="AH3475">
        <v>22.974225595819998</v>
      </c>
      <c r="AI3475">
        <v>93.003934880677207</v>
      </c>
      <c r="AJ3475">
        <v>87.132848157007103</v>
      </c>
      <c r="AK3475">
        <v>23.034671877778099</v>
      </c>
      <c r="AL3475">
        <v>78.786311322938701</v>
      </c>
      <c r="AM3475">
        <v>90.0961590238593</v>
      </c>
      <c r="AN3475">
        <v>0.99999995830601995</v>
      </c>
    </row>
    <row r="3476" spans="1:40" x14ac:dyDescent="0.25">
      <c r="A3476" t="str">
        <f>"20190312172145126"</f>
        <v>20190312172145126</v>
      </c>
      <c r="B3476" t="str">
        <f>"1552382505113683"</f>
        <v>1552382505113683</v>
      </c>
      <c r="C3476" t="s">
        <v>40</v>
      </c>
      <c r="D3476">
        <v>3.9325000000000001</v>
      </c>
      <c r="E3476">
        <v>0.50779759999999996</v>
      </c>
      <c r="F3476" t="s">
        <v>42</v>
      </c>
      <c r="G3476">
        <v>-494.95549999999997</v>
      </c>
      <c r="H3476" s="1">
        <v>-2.9666760000000001E-6</v>
      </c>
      <c r="I3476">
        <v>233.43090000000001</v>
      </c>
      <c r="J3476">
        <v>-500.69690000000003</v>
      </c>
      <c r="K3476">
        <v>1.205975</v>
      </c>
      <c r="L3476">
        <v>256.14580000000001</v>
      </c>
      <c r="M3476">
        <v>0.28714580000000001</v>
      </c>
      <c r="N3476">
        <v>0</v>
      </c>
      <c r="O3476">
        <v>-0.95771249999999997</v>
      </c>
      <c r="P3476">
        <v>0.272623</v>
      </c>
      <c r="Q3476">
        <v>0.17682020000000001</v>
      </c>
      <c r="R3476">
        <v>-0.94573320000000005</v>
      </c>
      <c r="S3476">
        <v>0.75634769999999996</v>
      </c>
      <c r="T3476">
        <v>-0.1566989</v>
      </c>
      <c r="U3476">
        <v>-2.9825439999999999</v>
      </c>
      <c r="V3476">
        <v>2.5748400000000001E-3</v>
      </c>
      <c r="W3476">
        <v>0.1950538</v>
      </c>
      <c r="X3476">
        <v>0.98078920000000003</v>
      </c>
      <c r="Y3476">
        <v>4.3227370000000001E-2</v>
      </c>
      <c r="Z3476">
        <v>4.840469E-2</v>
      </c>
      <c r="AA3476">
        <v>0.997892</v>
      </c>
      <c r="AB3476">
        <v>35</v>
      </c>
      <c r="AC3476">
        <v>5.7414000000000502</v>
      </c>
      <c r="AD3476">
        <v>-1.205977966676</v>
      </c>
      <c r="AE3476">
        <v>-22.7149</v>
      </c>
      <c r="AF3476">
        <v>1.0213426123183</v>
      </c>
      <c r="AG3476">
        <v>-1.205977966676</v>
      </c>
      <c r="AH3476">
        <v>23.3450202167549</v>
      </c>
      <c r="AI3476">
        <v>92.954386932789205</v>
      </c>
      <c r="AJ3476">
        <v>87.494912086284501</v>
      </c>
      <c r="AK3476">
        <v>23.398450643334101</v>
      </c>
      <c r="AL3476">
        <v>78.752133941251103</v>
      </c>
      <c r="AM3476">
        <v>89.849583247857794</v>
      </c>
      <c r="AN3476">
        <v>1.00000003476605</v>
      </c>
    </row>
    <row r="3477" spans="1:40" x14ac:dyDescent="0.25">
      <c r="A3477" t="str">
        <f>"20190312172145139"</f>
        <v>20190312172145139</v>
      </c>
      <c r="B3477" t="str">
        <f>"1552382505134179"</f>
        <v>1552382505134179</v>
      </c>
      <c r="C3477" t="s">
        <v>40</v>
      </c>
      <c r="D3477">
        <v>3.938396</v>
      </c>
      <c r="E3477">
        <v>0.50777539999999999</v>
      </c>
      <c r="F3477" t="s">
        <v>42</v>
      </c>
      <c r="G3477">
        <v>-494.25229999999999</v>
      </c>
      <c r="H3477" s="1">
        <v>-2.1548070000000001E-6</v>
      </c>
      <c r="I3477">
        <v>231.97460000000001</v>
      </c>
      <c r="J3477">
        <v>-500.63389999999998</v>
      </c>
      <c r="K3477">
        <v>1.205416</v>
      </c>
      <c r="L3477">
        <v>255.9588</v>
      </c>
      <c r="M3477">
        <v>0.2971259</v>
      </c>
      <c r="N3477">
        <v>0</v>
      </c>
      <c r="O3477">
        <v>-0.95466030000000002</v>
      </c>
      <c r="P3477">
        <v>0.28084870000000001</v>
      </c>
      <c r="Q3477">
        <v>0.1762657</v>
      </c>
      <c r="R3477">
        <v>-0.94342709999999996</v>
      </c>
      <c r="S3477">
        <v>0.79226680000000005</v>
      </c>
      <c r="T3477">
        <v>-0.14825749999999999</v>
      </c>
      <c r="U3477">
        <v>-2.9714969999999998</v>
      </c>
      <c r="V3477">
        <v>4.434042E-3</v>
      </c>
      <c r="W3477">
        <v>0.19472449999999999</v>
      </c>
      <c r="X3477">
        <v>0.98084800000000005</v>
      </c>
      <c r="Y3477">
        <v>4.1443239999999999E-2</v>
      </c>
      <c r="Z3477">
        <v>4.5683260000000003E-2</v>
      </c>
      <c r="AA3477">
        <v>0.99809590000000004</v>
      </c>
      <c r="AB3477">
        <v>35</v>
      </c>
      <c r="AC3477">
        <v>6.3815999999999899</v>
      </c>
      <c r="AD3477">
        <v>-1.205418154807</v>
      </c>
      <c r="AE3477">
        <v>-23.984199999999898</v>
      </c>
      <c r="AF3477">
        <v>1.0318086482851201</v>
      </c>
      <c r="AG3477">
        <v>-1.205418154807</v>
      </c>
      <c r="AH3477">
        <v>24.7387595464002</v>
      </c>
      <c r="AI3477">
        <v>92.787162384859897</v>
      </c>
      <c r="AJ3477">
        <v>87.611681529085601</v>
      </c>
      <c r="AK3477">
        <v>24.789592290096699</v>
      </c>
      <c r="AL3477">
        <v>78.7713704131924</v>
      </c>
      <c r="AM3477">
        <v>89.740989264185302</v>
      </c>
      <c r="AN3477">
        <v>1.00000004536635</v>
      </c>
    </row>
    <row r="3478" spans="1:40" x14ac:dyDescent="0.25">
      <c r="A3478" t="str">
        <f>"20190312172145159"</f>
        <v>20190312172145159</v>
      </c>
      <c r="B3478" t="str">
        <f>"1552382505153698"</f>
        <v>1552382505153698</v>
      </c>
      <c r="C3478" t="s">
        <v>40</v>
      </c>
      <c r="D3478">
        <v>3.8892370000000001</v>
      </c>
      <c r="E3478">
        <v>0.50831490000000001</v>
      </c>
      <c r="F3478" t="s">
        <v>42</v>
      </c>
      <c r="G3478">
        <v>-493.63869999999997</v>
      </c>
      <c r="H3478" s="1">
        <v>-1.3893800000000001E-6</v>
      </c>
      <c r="I3478">
        <v>230.57089999999999</v>
      </c>
      <c r="J3478">
        <v>-500.53089999999997</v>
      </c>
      <c r="K3478">
        <v>1.2048840000000001</v>
      </c>
      <c r="L3478">
        <v>255.66890000000001</v>
      </c>
      <c r="M3478">
        <v>0.31230180000000002</v>
      </c>
      <c r="N3478">
        <v>0</v>
      </c>
      <c r="O3478">
        <v>-0.9497987</v>
      </c>
      <c r="P3478">
        <v>0.28982249999999998</v>
      </c>
      <c r="Q3478">
        <v>0.17499709999999999</v>
      </c>
      <c r="R3478">
        <v>-0.9409459</v>
      </c>
      <c r="S3478">
        <v>0.81643679999999996</v>
      </c>
      <c r="T3478">
        <v>-0.1406907</v>
      </c>
      <c r="U3478">
        <v>-2.9631500000000002</v>
      </c>
      <c r="V3478">
        <v>1.0907699999999999E-2</v>
      </c>
      <c r="W3478">
        <v>0.19397700000000001</v>
      </c>
      <c r="X3478">
        <v>0.98094539999999997</v>
      </c>
      <c r="Y3478">
        <v>4.9053909999999999E-2</v>
      </c>
      <c r="Z3478">
        <v>4.3090080000000003E-2</v>
      </c>
      <c r="AA3478">
        <v>0.99786620000000004</v>
      </c>
      <c r="AB3478">
        <v>35</v>
      </c>
      <c r="AC3478">
        <v>6.8921999999999999</v>
      </c>
      <c r="AD3478">
        <v>-1.20488538938</v>
      </c>
      <c r="AE3478">
        <v>-25.097999999999999</v>
      </c>
      <c r="AF3478">
        <v>1.2894108245759099</v>
      </c>
      <c r="AG3478">
        <v>-1.20488538938</v>
      </c>
      <c r="AH3478">
        <v>25.939453618163899</v>
      </c>
      <c r="AI3478">
        <v>92.656197528869598</v>
      </c>
      <c r="AJ3478">
        <v>87.154256199227603</v>
      </c>
      <c r="AK3478">
        <v>25.999415052745899</v>
      </c>
      <c r="AL3478">
        <v>78.815030635503405</v>
      </c>
      <c r="AM3478">
        <v>89.362921302085098</v>
      </c>
      <c r="AN3478">
        <v>0.99999996611472397</v>
      </c>
    </row>
    <row r="3479" spans="1:40" x14ac:dyDescent="0.25">
      <c r="A3479" t="str">
        <f>"20190312172145175"</f>
        <v>20190312172145175</v>
      </c>
      <c r="B3479" t="str">
        <f>"1552382505164435"</f>
        <v>1552382505164435</v>
      </c>
      <c r="C3479" t="s">
        <v>40</v>
      </c>
      <c r="D3479">
        <v>4.10107</v>
      </c>
      <c r="E3479">
        <v>0.50846449999999999</v>
      </c>
      <c r="F3479" t="s">
        <v>42</v>
      </c>
      <c r="G3479">
        <v>-493.5025</v>
      </c>
      <c r="H3479" s="1">
        <v>-1.5087489999999999E-6</v>
      </c>
      <c r="I3479">
        <v>230.93369999999999</v>
      </c>
      <c r="J3479">
        <v>-500.4511</v>
      </c>
      <c r="K3479">
        <v>1.204494</v>
      </c>
      <c r="L3479">
        <v>255.45590000000001</v>
      </c>
      <c r="M3479">
        <v>0.32339800000000002</v>
      </c>
      <c r="N3479">
        <v>0</v>
      </c>
      <c r="O3479">
        <v>-0.94607249999999998</v>
      </c>
      <c r="P3479">
        <v>0.296429</v>
      </c>
      <c r="Q3479">
        <v>0.17465559999999999</v>
      </c>
      <c r="R3479">
        <v>-0.93894920000000004</v>
      </c>
      <c r="S3479">
        <v>0.84002690000000002</v>
      </c>
      <c r="T3479">
        <v>-0.14400660000000001</v>
      </c>
      <c r="U3479">
        <v>-2.9563290000000002</v>
      </c>
      <c r="V3479">
        <v>1.560192E-2</v>
      </c>
      <c r="W3479">
        <v>0.19408139999999999</v>
      </c>
      <c r="X3479">
        <v>0.98086139999999999</v>
      </c>
      <c r="Y3479">
        <v>5.2785440000000003E-2</v>
      </c>
      <c r="Z3479">
        <v>4.3891479999999997E-2</v>
      </c>
      <c r="AA3479">
        <v>0.99764079999999999</v>
      </c>
      <c r="AB3479">
        <v>35</v>
      </c>
      <c r="AC3479">
        <v>6.9485999999999901</v>
      </c>
      <c r="AD3479">
        <v>-1.2044955087489999</v>
      </c>
      <c r="AE3479">
        <v>-24.522200000000002</v>
      </c>
      <c r="AF3479">
        <v>1.3537722854519201</v>
      </c>
      <c r="AG3479">
        <v>-1.2044955087489999</v>
      </c>
      <c r="AH3479">
        <v>25.394816558099699</v>
      </c>
      <c r="AI3479">
        <v>92.711702720374106</v>
      </c>
      <c r="AJ3479">
        <v>86.948507708339804</v>
      </c>
      <c r="AK3479">
        <v>25.4593836698964</v>
      </c>
      <c r="AL3479">
        <v>78.808934003160104</v>
      </c>
      <c r="AM3479">
        <v>89.088710404326605</v>
      </c>
      <c r="AN3479">
        <v>1.0000000478718001</v>
      </c>
    </row>
    <row r="3480" spans="1:40" x14ac:dyDescent="0.25">
      <c r="A3480" t="str">
        <f>"20190312172145195"</f>
        <v>20190312172145195</v>
      </c>
      <c r="B3480" t="str">
        <f>"1552382505183954"</f>
        <v>1552382505183954</v>
      </c>
      <c r="C3480" t="s">
        <v>40</v>
      </c>
      <c r="D3480">
        <v>4.0877470000000002</v>
      </c>
      <c r="E3480">
        <v>0.50827770000000005</v>
      </c>
      <c r="F3480" t="s">
        <v>45</v>
      </c>
      <c r="G3480">
        <v>-492.846</v>
      </c>
      <c r="H3480" s="1">
        <v>5.809783E-6</v>
      </c>
      <c r="I3480">
        <v>229.36940000000001</v>
      </c>
      <c r="J3480">
        <v>-500.34</v>
      </c>
      <c r="K3480">
        <v>1.20387</v>
      </c>
      <c r="L3480">
        <v>255.17019999999999</v>
      </c>
      <c r="M3480">
        <v>0.33828380000000002</v>
      </c>
      <c r="N3480">
        <v>0</v>
      </c>
      <c r="O3480">
        <v>-0.94084500000000004</v>
      </c>
      <c r="P3480">
        <v>0.30227009999999899</v>
      </c>
      <c r="Q3480">
        <v>0.172338299999999</v>
      </c>
      <c r="R3480">
        <v>-0.93751399999999996</v>
      </c>
      <c r="S3480">
        <v>0.85974119999999998</v>
      </c>
      <c r="T3480">
        <v>-0.1361637</v>
      </c>
      <c r="U3480">
        <v>-2.9489899999999998</v>
      </c>
      <c r="V3480">
        <v>2.5360529999999999E-2</v>
      </c>
      <c r="W3480">
        <v>0.19249260000000001</v>
      </c>
      <c r="X3480">
        <v>0.98097069999999997</v>
      </c>
      <c r="Y3480">
        <v>6.169848E-2</v>
      </c>
      <c r="Z3480">
        <v>4.1211770000000002E-2</v>
      </c>
      <c r="AA3480">
        <v>0.99724360000000001</v>
      </c>
      <c r="AB3480">
        <v>35</v>
      </c>
      <c r="AC3480">
        <v>7.4939999999999696</v>
      </c>
      <c r="AD3480">
        <v>-1.203864190217</v>
      </c>
      <c r="AE3480">
        <v>-25.800799999999899</v>
      </c>
      <c r="AF3480">
        <v>1.6742531053959799</v>
      </c>
      <c r="AG3480">
        <v>-1.203864190217</v>
      </c>
      <c r="AH3480">
        <v>26.7609476923786</v>
      </c>
      <c r="AI3480">
        <v>92.570743702146999</v>
      </c>
      <c r="AJ3480">
        <v>86.420053127673</v>
      </c>
      <c r="AK3480">
        <v>26.840281925561701</v>
      </c>
      <c r="AL3480">
        <v>78.901715053040107</v>
      </c>
      <c r="AM3480">
        <v>88.519091600921996</v>
      </c>
      <c r="AN3480">
        <v>1.00000003589756</v>
      </c>
    </row>
    <row r="3481" spans="1:40" x14ac:dyDescent="0.25">
      <c r="A3481" t="str">
        <f>"20190312172145216"</f>
        <v>20190312172145216</v>
      </c>
      <c r="B3481" t="str">
        <f>"1552382505204450"</f>
        <v>1552382505204450</v>
      </c>
      <c r="C3481" t="s">
        <v>40</v>
      </c>
      <c r="D3481">
        <v>4.0004289999999996</v>
      </c>
      <c r="E3481">
        <v>0.50899890000000003</v>
      </c>
      <c r="F3481" t="s">
        <v>42</v>
      </c>
      <c r="G3481">
        <v>-493.1694</v>
      </c>
      <c r="H3481" s="1">
        <v>-1.5448079999999901E-6</v>
      </c>
      <c r="I3481">
        <v>231.2243</v>
      </c>
      <c r="J3481">
        <v>-500.22219999999999</v>
      </c>
      <c r="K3481">
        <v>1.2030609999999999</v>
      </c>
      <c r="L3481">
        <v>254.8817</v>
      </c>
      <c r="M3481">
        <v>0.35333229999999999</v>
      </c>
      <c r="N3481">
        <v>0</v>
      </c>
      <c r="O3481">
        <v>-0.93529019999999996</v>
      </c>
      <c r="P3481">
        <v>0.30859109999999901</v>
      </c>
      <c r="Q3481">
        <v>0.1685054</v>
      </c>
      <c r="R3481">
        <v>-0.93615029999999999</v>
      </c>
      <c r="S3481">
        <v>0.88128660000000003</v>
      </c>
      <c r="T3481">
        <v>-0.14795820000000001</v>
      </c>
      <c r="U3481">
        <v>-2.942993</v>
      </c>
      <c r="V3481">
        <v>3.5096870000000002E-2</v>
      </c>
      <c r="W3481">
        <v>0.18932979999999999</v>
      </c>
      <c r="X3481">
        <v>0.98128610000000005</v>
      </c>
      <c r="Y3481">
        <v>7.0493990000000006E-2</v>
      </c>
      <c r="Z3481">
        <v>4.4404720000000002E-2</v>
      </c>
      <c r="AA3481">
        <v>0.99652339999999995</v>
      </c>
      <c r="AB3481">
        <v>34</v>
      </c>
      <c r="AC3481">
        <v>7.0527999999999897</v>
      </c>
      <c r="AD3481">
        <v>-1.2030625448079999</v>
      </c>
      <c r="AE3481">
        <v>-23.657399999999999</v>
      </c>
      <c r="AF3481">
        <v>1.7586744713098801</v>
      </c>
      <c r="AG3481">
        <v>-1.2030625448079999</v>
      </c>
      <c r="AH3481">
        <v>24.5649585305325</v>
      </c>
      <c r="AI3481">
        <v>92.796659260925694</v>
      </c>
      <c r="AJ3481">
        <v>85.905020774594504</v>
      </c>
      <c r="AK3481">
        <v>24.657199414968801</v>
      </c>
      <c r="AL3481">
        <v>79.0863251684397</v>
      </c>
      <c r="AM3481">
        <v>87.951621122592002</v>
      </c>
      <c r="AN3481">
        <v>0.999999986752523</v>
      </c>
    </row>
    <row r="3482" spans="1:40" x14ac:dyDescent="0.25">
      <c r="A3482" t="str">
        <f>"20190312172145231"</f>
        <v>20190312172145231</v>
      </c>
      <c r="B3482" t="str">
        <f>"1552382505223970"</f>
        <v>1552382505223970</v>
      </c>
      <c r="C3482" t="s">
        <v>40</v>
      </c>
      <c r="D3482">
        <v>4.1948019999999904</v>
      </c>
      <c r="E3482">
        <v>0.50986409999999904</v>
      </c>
      <c r="F3482" t="s">
        <v>42</v>
      </c>
      <c r="G3482">
        <v>-493.51409999999998</v>
      </c>
      <c r="H3482" s="1">
        <v>-2.3017790000000002E-6</v>
      </c>
      <c r="I3482">
        <v>232.77510000000001</v>
      </c>
      <c r="J3482">
        <v>-500.12619999999998</v>
      </c>
      <c r="K3482">
        <v>1.2022809999999999</v>
      </c>
      <c r="L3482">
        <v>254.65649999999999</v>
      </c>
      <c r="M3482">
        <v>0.3649945</v>
      </c>
      <c r="N3482">
        <v>0</v>
      </c>
      <c r="O3482">
        <v>-0.93079579999999995</v>
      </c>
      <c r="P3482">
        <v>0.31581419999999999</v>
      </c>
      <c r="Q3482">
        <v>0.166736299999999</v>
      </c>
      <c r="R3482">
        <v>-0.934056</v>
      </c>
      <c r="S3482">
        <v>0.89193729999999904</v>
      </c>
      <c r="T3482">
        <v>-0.15996359999999901</v>
      </c>
      <c r="U3482">
        <v>-2.9393769999999999</v>
      </c>
      <c r="V3482">
        <v>4.0189889999999999E-2</v>
      </c>
      <c r="W3482">
        <v>0.1879372</v>
      </c>
      <c r="X3482">
        <v>0.98135850000000002</v>
      </c>
      <c r="Y3482">
        <v>7.9362530000000001E-2</v>
      </c>
      <c r="Z3482">
        <v>4.7665649999999997E-2</v>
      </c>
      <c r="AA3482">
        <v>0.99570550000000002</v>
      </c>
      <c r="AB3482">
        <v>34</v>
      </c>
      <c r="AC3482">
        <v>6.6120999999999901</v>
      </c>
      <c r="AD3482">
        <v>-1.202283301779</v>
      </c>
      <c r="AE3482">
        <v>-21.8813999999999</v>
      </c>
      <c r="AF3482">
        <v>1.82738534017252</v>
      </c>
      <c r="AG3482">
        <v>-1.202283301779</v>
      </c>
      <c r="AH3482">
        <v>22.7221736894099</v>
      </c>
      <c r="AI3482">
        <v>93.019099360322201</v>
      </c>
      <c r="AJ3482">
        <v>85.4019976475563</v>
      </c>
      <c r="AK3482">
        <v>22.827220581816899</v>
      </c>
      <c r="AL3482">
        <v>79.167574717215302</v>
      </c>
      <c r="AM3482">
        <v>87.654858015132803</v>
      </c>
      <c r="AN3482">
        <v>1.0000000619621401</v>
      </c>
    </row>
    <row r="3483" spans="1:40" x14ac:dyDescent="0.25">
      <c r="A3483" t="str">
        <f>"20190312172145249"</f>
        <v>20190312172145249</v>
      </c>
      <c r="B3483" t="str">
        <f>"1552382505244466"</f>
        <v>1552382505244466</v>
      </c>
      <c r="C3483" t="s">
        <v>40</v>
      </c>
      <c r="D3483">
        <v>4.333304</v>
      </c>
      <c r="E3483">
        <v>0.51051689999999905</v>
      </c>
      <c r="F3483" t="s">
        <v>42</v>
      </c>
      <c r="G3483">
        <v>-493.87849999999997</v>
      </c>
      <c r="H3483" s="1">
        <v>-3.0994509999999998E-6</v>
      </c>
      <c r="I3483">
        <v>234.4084</v>
      </c>
      <c r="J3483">
        <v>-500.02280000000002</v>
      </c>
      <c r="K3483">
        <v>1.201333</v>
      </c>
      <c r="L3483">
        <v>254.42179999999999</v>
      </c>
      <c r="M3483">
        <v>0.37697239999999999</v>
      </c>
      <c r="N3483">
        <v>0</v>
      </c>
      <c r="O3483">
        <v>-0.9260041</v>
      </c>
      <c r="P3483">
        <v>0.31820330000000002</v>
      </c>
      <c r="Q3483">
        <v>0.16427720000000001</v>
      </c>
      <c r="R3483">
        <v>-0.93368079999999998</v>
      </c>
      <c r="S3483">
        <v>0.90609740000000005</v>
      </c>
      <c r="T3483">
        <v>-0.17436660000000001</v>
      </c>
      <c r="U3483">
        <v>-2.936569</v>
      </c>
      <c r="V3483">
        <v>5.0889150000000001E-2</v>
      </c>
      <c r="W3483">
        <v>0.1860251</v>
      </c>
      <c r="X3483">
        <v>0.9812263</v>
      </c>
      <c r="Y3483">
        <v>8.763116E-2</v>
      </c>
      <c r="Z3483">
        <v>5.1533710000000003E-2</v>
      </c>
      <c r="AA3483">
        <v>0.99481909999999896</v>
      </c>
      <c r="AB3483">
        <v>34</v>
      </c>
      <c r="AC3483">
        <v>6.1443000000000403</v>
      </c>
      <c r="AD3483">
        <v>-1.2013360994509901</v>
      </c>
      <c r="AE3483">
        <v>-20.013399999999901</v>
      </c>
      <c r="AF3483">
        <v>1.84914224009803</v>
      </c>
      <c r="AG3483">
        <v>-1.2013360994509901</v>
      </c>
      <c r="AH3483">
        <v>20.784538786018</v>
      </c>
      <c r="AI3483">
        <v>93.295001651645293</v>
      </c>
      <c r="AJ3483">
        <v>84.915940391209006</v>
      </c>
      <c r="AK3483">
        <v>20.901186282013899</v>
      </c>
      <c r="AL3483">
        <v>79.279096693611606</v>
      </c>
      <c r="AM3483">
        <v>87.031139982629398</v>
      </c>
      <c r="AN3483">
        <v>1.00000004761471</v>
      </c>
    </row>
    <row r="3484" spans="1:40" x14ac:dyDescent="0.25">
      <c r="A3484" t="str">
        <f>"20190312172145262"</f>
        <v>20190312172145262</v>
      </c>
      <c r="B3484" t="str">
        <f>"1552382505254226"</f>
        <v>1552382505254226</v>
      </c>
      <c r="C3484" t="s">
        <v>40</v>
      </c>
      <c r="D3484">
        <v>3.9996309999999999</v>
      </c>
      <c r="E3484">
        <v>0.52510269999999903</v>
      </c>
      <c r="F3484" t="s">
        <v>42</v>
      </c>
      <c r="G3484">
        <v>-494.0145</v>
      </c>
      <c r="H3484" s="1">
        <v>-3.414197E-6</v>
      </c>
      <c r="I3484">
        <v>235.05779999999999</v>
      </c>
      <c r="J3484">
        <v>-499.9409</v>
      </c>
      <c r="K3484">
        <v>1.2003600000000001</v>
      </c>
      <c r="L3484">
        <v>254.2407</v>
      </c>
      <c r="M3484">
        <v>0.38611600000000001</v>
      </c>
      <c r="N3484">
        <v>0</v>
      </c>
      <c r="O3484">
        <v>-0.92222599999999999</v>
      </c>
      <c r="P3484">
        <v>0.32259490000000002</v>
      </c>
      <c r="Q3484">
        <v>0.1628724</v>
      </c>
      <c r="R3484">
        <v>-0.9324192</v>
      </c>
      <c r="S3484">
        <v>0.91061400000000003</v>
      </c>
      <c r="T3484">
        <v>-0.18207400000000001</v>
      </c>
      <c r="U3484">
        <v>-2.9347989999999999</v>
      </c>
      <c r="V3484">
        <v>5.6414209999999999E-2</v>
      </c>
      <c r="W3484">
        <v>0.1848457</v>
      </c>
      <c r="X3484">
        <v>0.98114710000000005</v>
      </c>
      <c r="Y3484">
        <v>9.5953659999999996E-2</v>
      </c>
      <c r="Z3484">
        <v>5.346795E-2</v>
      </c>
      <c r="AA3484">
        <v>0.99394870000000002</v>
      </c>
      <c r="AB3484">
        <v>34</v>
      </c>
      <c r="AC3484">
        <v>5.9264000000000001</v>
      </c>
      <c r="AD3484">
        <v>-1.2003634141969901</v>
      </c>
      <c r="AE3484">
        <v>-19.1829</v>
      </c>
      <c r="AF3484">
        <v>1.93483017457953</v>
      </c>
      <c r="AG3484">
        <v>-1.2003634141969901</v>
      </c>
      <c r="AH3484">
        <v>19.912205665883199</v>
      </c>
      <c r="AI3484">
        <v>93.433642389279299</v>
      </c>
      <c r="AJ3484">
        <v>84.450103819777297</v>
      </c>
      <c r="AK3484">
        <v>20.041965338036</v>
      </c>
      <c r="AL3484">
        <v>79.347864181126596</v>
      </c>
      <c r="AM3484">
        <v>86.709218069591699</v>
      </c>
      <c r="AN3484">
        <v>1.0000000638684099</v>
      </c>
    </row>
    <row r="3485" spans="1:40" x14ac:dyDescent="0.25">
      <c r="A3485" t="str">
        <f>"20190312172145274"</f>
        <v>20190312172145274</v>
      </c>
      <c r="B3485" t="str">
        <f>"1552382505263986"</f>
        <v>1552382505263986</v>
      </c>
      <c r="C3485" t="s">
        <v>40</v>
      </c>
      <c r="D3485">
        <v>4.3455779999999997</v>
      </c>
      <c r="E3485">
        <v>0.52445399999999998</v>
      </c>
      <c r="F3485" t="s">
        <v>50</v>
      </c>
      <c r="G3485">
        <v>-463.11040000000003</v>
      </c>
      <c r="H3485">
        <v>2.7043379999999999</v>
      </c>
      <c r="I3485">
        <v>119.8177</v>
      </c>
      <c r="J3485">
        <v>-499.86040000000003</v>
      </c>
      <c r="K3485">
        <v>1.1984809999999999</v>
      </c>
      <c r="L3485">
        <v>254.0686</v>
      </c>
      <c r="M3485">
        <v>0.39485049999999999</v>
      </c>
      <c r="N3485">
        <v>0</v>
      </c>
      <c r="O3485">
        <v>-0.91852520000000004</v>
      </c>
      <c r="P3485">
        <v>0.32699020000000001</v>
      </c>
      <c r="Q3485">
        <v>0.16239979999999901</v>
      </c>
      <c r="R3485">
        <v>-0.93096939999999995</v>
      </c>
      <c r="S3485">
        <v>0.80377200000000004</v>
      </c>
      <c r="T3485">
        <v>3.2822850000000001E-2</v>
      </c>
      <c r="U3485">
        <v>-2.9335939999999998</v>
      </c>
      <c r="V3485">
        <v>6.1677330000000002E-2</v>
      </c>
      <c r="W3485">
        <v>0.184139</v>
      </c>
      <c r="X3485">
        <v>0.98096320000000004</v>
      </c>
      <c r="Y3485">
        <v>0.13813629999999999</v>
      </c>
      <c r="Z3485">
        <v>-9.6174390000000002E-3</v>
      </c>
      <c r="AA3485">
        <v>0.99036650000000004</v>
      </c>
      <c r="AB3485">
        <v>34</v>
      </c>
      <c r="AC3485">
        <v>36.75</v>
      </c>
      <c r="AD3485">
        <v>1.505857</v>
      </c>
      <c r="AE3485">
        <v>-134.2509</v>
      </c>
      <c r="AF3485">
        <v>19.254875742253599</v>
      </c>
      <c r="AG3485">
        <v>1.505857</v>
      </c>
      <c r="AH3485">
        <v>137.83534378547299</v>
      </c>
      <c r="AI3485">
        <v>89.380085073979004</v>
      </c>
      <c r="AJ3485">
        <v>82.047542900861103</v>
      </c>
      <c r="AK3485">
        <v>139.181894805372</v>
      </c>
      <c r="AL3485">
        <v>79.389061974573096</v>
      </c>
      <c r="AM3485">
        <v>86.402306350648701</v>
      </c>
      <c r="AN3485">
        <v>1.00000003205558</v>
      </c>
    </row>
    <row r="3486" spans="1:40" x14ac:dyDescent="0.25">
      <c r="A3486" t="str">
        <f>"20190312172145294"</f>
        <v>20190312172145294</v>
      </c>
      <c r="B3486" t="str">
        <f>"1552382505284486"</f>
        <v>1552382505284486</v>
      </c>
      <c r="C3486" t="s">
        <v>40</v>
      </c>
      <c r="D3486">
        <v>4.2103270000000004</v>
      </c>
      <c r="E3486">
        <v>0.52461759999999902</v>
      </c>
      <c r="F3486" t="s">
        <v>51</v>
      </c>
      <c r="G3486">
        <v>-474.17140000000001</v>
      </c>
      <c r="H3486">
        <v>2.7106520000000001</v>
      </c>
      <c r="I3486">
        <v>162.62</v>
      </c>
      <c r="J3486">
        <v>-499.7321</v>
      </c>
      <c r="K3486">
        <v>1.1960189999999999</v>
      </c>
      <c r="L3486">
        <v>253.80009999999999</v>
      </c>
      <c r="M3486">
        <v>0.40739259999999999</v>
      </c>
      <c r="N3486">
        <v>0</v>
      </c>
      <c r="O3486">
        <v>-0.91304030000000003</v>
      </c>
      <c r="P3486">
        <v>0.33051839999999999</v>
      </c>
      <c r="Q3486">
        <v>0.16315470000000001</v>
      </c>
      <c r="R3486">
        <v>-0.92959040000000004</v>
      </c>
      <c r="S3486">
        <v>0.82177730000000004</v>
      </c>
      <c r="T3486">
        <v>4.837346E-2</v>
      </c>
      <c r="U3486">
        <v>-2.9253849999999999</v>
      </c>
      <c r="V3486">
        <v>7.1948979999999996E-2</v>
      </c>
      <c r="W3486">
        <v>0.1845453</v>
      </c>
      <c r="X3486">
        <v>0.98018689999999997</v>
      </c>
      <c r="Y3486">
        <v>0.1453419</v>
      </c>
      <c r="Z3486">
        <v>-1.4062460000000001E-2</v>
      </c>
      <c r="AA3486">
        <v>0.98928150000000004</v>
      </c>
      <c r="AB3486">
        <v>34</v>
      </c>
      <c r="AC3486">
        <v>25.560700000000001</v>
      </c>
      <c r="AD3486">
        <v>1.5146329999999999</v>
      </c>
      <c r="AE3486">
        <v>-91.180099999999896</v>
      </c>
      <c r="AF3486">
        <v>13.8073006791174</v>
      </c>
      <c r="AG3486">
        <v>1.5146329999999999</v>
      </c>
      <c r="AH3486">
        <v>93.658592784376793</v>
      </c>
      <c r="AI3486">
        <v>89.083406802111298</v>
      </c>
      <c r="AJ3486">
        <v>81.613768732811906</v>
      </c>
      <c r="AK3486">
        <v>94.682985100375703</v>
      </c>
      <c r="AL3486">
        <v>79.365376346824505</v>
      </c>
      <c r="AM3486">
        <v>85.801828315014404</v>
      </c>
      <c r="AN3486">
        <v>0.99999999120337002</v>
      </c>
    </row>
    <row r="3487" spans="1:40" x14ac:dyDescent="0.25">
      <c r="A3487" t="str">
        <f>"20190312172145307"</f>
        <v>20190312172145307</v>
      </c>
      <c r="B3487" t="str">
        <f>"1552382505304004"</f>
        <v>1552382505304004</v>
      </c>
      <c r="C3487" t="s">
        <v>40</v>
      </c>
      <c r="D3487">
        <v>4.0076929999999997</v>
      </c>
      <c r="E3487">
        <v>0.52529130000000002</v>
      </c>
      <c r="F3487" t="s">
        <v>51</v>
      </c>
      <c r="G3487">
        <v>-474.17140000000001</v>
      </c>
      <c r="H3487">
        <v>2.5434600000000001</v>
      </c>
      <c r="I3487">
        <v>163.69069999999999</v>
      </c>
      <c r="J3487">
        <v>-499.6447</v>
      </c>
      <c r="K3487">
        <v>1.194569</v>
      </c>
      <c r="L3487">
        <v>253.62209999999999</v>
      </c>
      <c r="M3487">
        <v>0.41498629999999997</v>
      </c>
      <c r="N3487">
        <v>0</v>
      </c>
      <c r="O3487">
        <v>-0.90961760000000003</v>
      </c>
      <c r="P3487">
        <v>0.3329319</v>
      </c>
      <c r="Q3487">
        <v>0.16360369999999999</v>
      </c>
      <c r="R3487">
        <v>-0.92864970000000002</v>
      </c>
      <c r="S3487">
        <v>0.82958980000000004</v>
      </c>
      <c r="T3487">
        <v>4.3732050000000001E-2</v>
      </c>
      <c r="U3487">
        <v>-2.9245610000000002</v>
      </c>
      <c r="V3487">
        <v>7.7890520000000005E-2</v>
      </c>
      <c r="W3487">
        <v>0.18482699999999999</v>
      </c>
      <c r="X3487">
        <v>0.97967959999999998</v>
      </c>
      <c r="Y3487">
        <v>0.1510562</v>
      </c>
      <c r="Z3487">
        <v>-1.263328E-2</v>
      </c>
      <c r="AA3487">
        <v>0.9884444</v>
      </c>
      <c r="AB3487">
        <v>34</v>
      </c>
      <c r="AC3487">
        <v>25.473299999999899</v>
      </c>
      <c r="AD3487">
        <v>1.3488910000000001</v>
      </c>
      <c r="AE3487">
        <v>-89.931399999999996</v>
      </c>
      <c r="AF3487">
        <v>14.1490948454275</v>
      </c>
      <c r="AG3487">
        <v>1.3488910000000001</v>
      </c>
      <c r="AH3487">
        <v>92.372674295716195</v>
      </c>
      <c r="AI3487">
        <v>89.173029739462905</v>
      </c>
      <c r="AJ3487">
        <v>81.291460953405405</v>
      </c>
      <c r="AK3487">
        <v>93.459763258940697</v>
      </c>
      <c r="AL3487">
        <v>79.348954095346301</v>
      </c>
      <c r="AM3487">
        <v>85.454197353801803</v>
      </c>
      <c r="AN3487">
        <v>1.0000000358455099</v>
      </c>
    </row>
    <row r="3488" spans="1:40" x14ac:dyDescent="0.25">
      <c r="A3488" t="str">
        <f>"20190312172145326"</f>
        <v>20190312172145326</v>
      </c>
      <c r="B3488" t="str">
        <f>"1552382505323522"</f>
        <v>1552382505323522</v>
      </c>
      <c r="C3488" t="s">
        <v>40</v>
      </c>
      <c r="D3488">
        <v>3.9740690000000001</v>
      </c>
      <c r="E3488">
        <v>0.52934040000000004</v>
      </c>
      <c r="F3488" t="s">
        <v>51</v>
      </c>
      <c r="G3488">
        <v>-473.67779999999999</v>
      </c>
      <c r="H3488">
        <v>3.2736139999999998</v>
      </c>
      <c r="I3488">
        <v>162.0564</v>
      </c>
      <c r="J3488">
        <v>-499.51440000000002</v>
      </c>
      <c r="K3488">
        <v>1.1924650000000001</v>
      </c>
      <c r="L3488">
        <v>253.3629</v>
      </c>
      <c r="M3488">
        <v>0.42529909999999999</v>
      </c>
      <c r="N3488">
        <v>0</v>
      </c>
      <c r="O3488">
        <v>-0.90484260000000005</v>
      </c>
      <c r="P3488">
        <v>0.33195089999999999</v>
      </c>
      <c r="Q3488">
        <v>0.16400979999999901</v>
      </c>
      <c r="R3488">
        <v>-0.92892929999999996</v>
      </c>
      <c r="S3488">
        <v>0.82858279999999995</v>
      </c>
      <c r="T3488">
        <v>6.6340919999999998E-2</v>
      </c>
      <c r="U3488">
        <v>-2.921799</v>
      </c>
      <c r="V3488">
        <v>9.0589630000000004E-2</v>
      </c>
      <c r="W3488">
        <v>0.18521399999999999</v>
      </c>
      <c r="X3488">
        <v>0.97851379999999999</v>
      </c>
      <c r="Y3488">
        <v>0.16238259999999999</v>
      </c>
      <c r="Z3488">
        <v>-1.9005589999999999E-2</v>
      </c>
      <c r="AA3488">
        <v>0.9865448</v>
      </c>
      <c r="AB3488">
        <v>34</v>
      </c>
      <c r="AC3488">
        <v>25.836600000000001</v>
      </c>
      <c r="AD3488">
        <v>2.0811489999999999</v>
      </c>
      <c r="AE3488">
        <v>-91.3065</v>
      </c>
      <c r="AF3488">
        <v>15.450025794208299</v>
      </c>
      <c r="AG3488">
        <v>2.0811489999999999</v>
      </c>
      <c r="AH3488">
        <v>93.579097176800303</v>
      </c>
      <c r="AI3488">
        <v>88.742993812462998</v>
      </c>
      <c r="AJ3488">
        <v>80.624967623057501</v>
      </c>
      <c r="AK3488">
        <v>94.868761489896897</v>
      </c>
      <c r="AL3488">
        <v>79.326390487726002</v>
      </c>
      <c r="AM3488">
        <v>84.710702532036606</v>
      </c>
      <c r="AN3488">
        <v>0.99999998182498795</v>
      </c>
    </row>
    <row r="3489" spans="1:40" x14ac:dyDescent="0.25">
      <c r="A3489" t="str">
        <f>"20190312172145341"</f>
        <v>20190312172145341</v>
      </c>
      <c r="B3489" t="str">
        <f>"1552382505334258"</f>
        <v>1552382505334258</v>
      </c>
      <c r="C3489" t="s">
        <v>40</v>
      </c>
      <c r="D3489">
        <v>3.983457</v>
      </c>
      <c r="E3489">
        <v>0.52870790000000001</v>
      </c>
      <c r="F3489" t="s">
        <v>42</v>
      </c>
      <c r="G3489">
        <v>-493.3193</v>
      </c>
      <c r="H3489" s="1">
        <v>-1.2482749999999999E-6</v>
      </c>
      <c r="I3489">
        <v>230.4402</v>
      </c>
      <c r="J3489">
        <v>-499.41899999999998</v>
      </c>
      <c r="K3489">
        <v>1.190858</v>
      </c>
      <c r="L3489">
        <v>253.17670000000001</v>
      </c>
      <c r="M3489">
        <v>0.43240689999999998</v>
      </c>
      <c r="N3489">
        <v>0</v>
      </c>
      <c r="O3489">
        <v>-0.90146649999999995</v>
      </c>
      <c r="P3489">
        <v>0.3344838</v>
      </c>
      <c r="Q3489">
        <v>0.16324029999999901</v>
      </c>
      <c r="R3489">
        <v>-0.92815610000000004</v>
      </c>
      <c r="S3489">
        <v>0.80267330000000003</v>
      </c>
      <c r="T3489">
        <v>-0.154502</v>
      </c>
      <c r="U3489">
        <v>-2.969986</v>
      </c>
      <c r="V3489">
        <v>9.6143740000000005E-2</v>
      </c>
      <c r="W3489">
        <v>0.18437980000000001</v>
      </c>
      <c r="X3489">
        <v>0.97814129999999999</v>
      </c>
      <c r="Y3489">
        <v>0.18253730000000001</v>
      </c>
      <c r="Z3489">
        <v>4.323043E-2</v>
      </c>
      <c r="AA3489">
        <v>0.98224809999999996</v>
      </c>
      <c r="AB3489">
        <v>34</v>
      </c>
      <c r="AC3489">
        <v>6.0997000000000403</v>
      </c>
      <c r="AD3489">
        <v>-1.190859248275</v>
      </c>
      <c r="AE3489">
        <v>-22.736499999999999</v>
      </c>
      <c r="AF3489">
        <v>4.3225111754477403</v>
      </c>
      <c r="AG3489">
        <v>-1.190859248275</v>
      </c>
      <c r="AH3489">
        <v>23.079108053430598</v>
      </c>
      <c r="AI3489">
        <v>92.903391246441402</v>
      </c>
      <c r="AJ3489">
        <v>79.391908613014806</v>
      </c>
      <c r="AK3489">
        <v>23.510582237643501</v>
      </c>
      <c r="AL3489">
        <v>79.375024092729006</v>
      </c>
      <c r="AM3489">
        <v>84.386299452871</v>
      </c>
      <c r="AN3489">
        <v>0.999999966077458</v>
      </c>
    </row>
    <row r="3490" spans="1:40" x14ac:dyDescent="0.25">
      <c r="A3490" t="str">
        <f>"20190312172145361"</f>
        <v>20190312172145361</v>
      </c>
      <c r="B3490" t="str">
        <f>"1552382505353779"</f>
        <v>1552382505353779</v>
      </c>
      <c r="C3490" t="s">
        <v>40</v>
      </c>
      <c r="D3490">
        <v>4.0013610000000002</v>
      </c>
      <c r="E3490">
        <v>0.53144340000000001</v>
      </c>
      <c r="F3490" t="s">
        <v>42</v>
      </c>
      <c r="G3490">
        <v>-493.09899999999999</v>
      </c>
      <c r="H3490" s="1">
        <v>-1.075448E-6</v>
      </c>
      <c r="I3490">
        <v>230.1739</v>
      </c>
      <c r="J3490">
        <v>-499.27100000000002</v>
      </c>
      <c r="K3490">
        <v>1.1878489999999999</v>
      </c>
      <c r="L3490">
        <v>252.89400000000001</v>
      </c>
      <c r="M3490">
        <v>0.44386209999999998</v>
      </c>
      <c r="N3490">
        <v>0</v>
      </c>
      <c r="O3490">
        <v>-0.8958914</v>
      </c>
      <c r="P3490">
        <v>0.34017940000000002</v>
      </c>
      <c r="Q3490">
        <v>0.16180799999999901</v>
      </c>
      <c r="R3490">
        <v>-0.92633500000000002</v>
      </c>
      <c r="S3490">
        <v>0.81478879999999998</v>
      </c>
      <c r="T3490">
        <v>-0.15352929999999901</v>
      </c>
      <c r="U3490">
        <v>-2.9655909999999999</v>
      </c>
      <c r="V3490">
        <v>0.103575</v>
      </c>
      <c r="W3490">
        <v>0.18217149999999999</v>
      </c>
      <c r="X3490">
        <v>0.97779640000000001</v>
      </c>
      <c r="Y3490">
        <v>0.19095019999999999</v>
      </c>
      <c r="Z3490">
        <v>4.2547160000000001E-2</v>
      </c>
      <c r="AA3490">
        <v>0.98067720000000003</v>
      </c>
      <c r="AB3490">
        <v>34</v>
      </c>
      <c r="AC3490">
        <v>6.1719999999999597</v>
      </c>
      <c r="AD3490">
        <v>-1.1878500754479999</v>
      </c>
      <c r="AE3490">
        <v>-22.720099999999999</v>
      </c>
      <c r="AF3490">
        <v>4.5444131841147399</v>
      </c>
      <c r="AG3490">
        <v>-1.1878500754479999</v>
      </c>
      <c r="AH3490">
        <v>23.0398263875766</v>
      </c>
      <c r="AI3490">
        <v>92.895658360417499</v>
      </c>
      <c r="AJ3490">
        <v>78.842111553912204</v>
      </c>
      <c r="AK3490">
        <v>23.513746595542099</v>
      </c>
      <c r="AL3490">
        <v>79.503731032128599</v>
      </c>
      <c r="AM3490">
        <v>83.953380397650307</v>
      </c>
      <c r="AN3490">
        <v>1.0000000179451001</v>
      </c>
    </row>
    <row r="3491" spans="1:40" x14ac:dyDescent="0.25">
      <c r="A3491" t="str">
        <f>"20190312172145385"</f>
        <v>20190312172145385</v>
      </c>
      <c r="B3491" t="str">
        <f>"1552382505374274"</f>
        <v>1552382505374274</v>
      </c>
      <c r="C3491" t="s">
        <v>40</v>
      </c>
      <c r="D3491">
        <v>4.0434809999999999</v>
      </c>
      <c r="E3491">
        <v>0.53100530000000001</v>
      </c>
      <c r="F3491" t="s">
        <v>50</v>
      </c>
      <c r="G3491">
        <v>-462.85849999999999</v>
      </c>
      <c r="H3491">
        <v>5.3924240000000001</v>
      </c>
      <c r="I3491">
        <v>119.8177</v>
      </c>
      <c r="J3491">
        <v>-499.1019</v>
      </c>
      <c r="K3491">
        <v>1.1844870000000001</v>
      </c>
      <c r="L3491">
        <v>252.5778</v>
      </c>
      <c r="M3491">
        <v>0.45603399999999999</v>
      </c>
      <c r="N3491">
        <v>0</v>
      </c>
      <c r="O3491">
        <v>-0.88975629999999994</v>
      </c>
      <c r="P3491">
        <v>0.34896739999999998</v>
      </c>
      <c r="Q3491">
        <v>0.1611969</v>
      </c>
      <c r="R3491">
        <v>-0.92316699999999996</v>
      </c>
      <c r="S3491">
        <v>0.80120849999999999</v>
      </c>
      <c r="T3491">
        <v>9.2517020000000005E-2</v>
      </c>
      <c r="U3491">
        <v>-2.9281769999999998</v>
      </c>
      <c r="V3491">
        <v>0.1085421</v>
      </c>
      <c r="W3491">
        <v>0.181146</v>
      </c>
      <c r="X3491">
        <v>0.97744799999999998</v>
      </c>
      <c r="Y3491">
        <v>0.20517450000000001</v>
      </c>
      <c r="Z3491">
        <v>-2.566827E-2</v>
      </c>
      <c r="AA3491">
        <v>0.97838879999999995</v>
      </c>
      <c r="AB3491">
        <v>35</v>
      </c>
      <c r="AC3491">
        <v>36.243400000000001</v>
      </c>
      <c r="AD3491">
        <v>4.2079370000000003</v>
      </c>
      <c r="AE3491">
        <v>-132.76009999999999</v>
      </c>
      <c r="AF3491">
        <v>28.274080914930899</v>
      </c>
      <c r="AG3491">
        <v>4.2079370000000003</v>
      </c>
      <c r="AH3491">
        <v>134.55125669773801</v>
      </c>
      <c r="AI3491">
        <v>88.246985068442996</v>
      </c>
      <c r="AJ3491">
        <v>78.132750624008494</v>
      </c>
      <c r="AK3491">
        <v>137.554247714567</v>
      </c>
      <c r="AL3491">
        <v>79.563481052255995</v>
      </c>
      <c r="AM3491">
        <v>83.663469671951503</v>
      </c>
      <c r="AN3491">
        <v>0.99999992674620197</v>
      </c>
    </row>
    <row r="3492" spans="1:40" x14ac:dyDescent="0.25">
      <c r="A3492" t="str">
        <f>"20190312172145408"</f>
        <v>20190312172145408</v>
      </c>
      <c r="B3492" t="str">
        <f>"1552382505404530"</f>
        <v>1552382505404530</v>
      </c>
      <c r="C3492" t="s">
        <v>40</v>
      </c>
      <c r="D3492">
        <v>4.0459949999999996</v>
      </c>
      <c r="E3492">
        <v>0.53164599999999995</v>
      </c>
      <c r="F3492" t="s">
        <v>51</v>
      </c>
      <c r="G3492">
        <v>-473.52499999999998</v>
      </c>
      <c r="H3492">
        <v>4.8790829999999996</v>
      </c>
      <c r="I3492">
        <v>162.65719999999999</v>
      </c>
      <c r="J3492">
        <v>-498.94060000000002</v>
      </c>
      <c r="K3492">
        <v>1.1813400000000001</v>
      </c>
      <c r="L3492">
        <v>252.28149999999999</v>
      </c>
      <c r="M3492">
        <v>0.46629720000000002</v>
      </c>
      <c r="N3492">
        <v>0</v>
      </c>
      <c r="O3492">
        <v>-0.88440719999999995</v>
      </c>
      <c r="P3492">
        <v>0.35282780000000002</v>
      </c>
      <c r="Q3492">
        <v>0.15995290000000001</v>
      </c>
      <c r="R3492">
        <v>-0.9219157</v>
      </c>
      <c r="S3492">
        <v>0.82922359999999995</v>
      </c>
      <c r="T3492">
        <v>0.1197819</v>
      </c>
      <c r="U3492">
        <v>-2.9152979999999999</v>
      </c>
      <c r="V3492">
        <v>0.1166172</v>
      </c>
      <c r="W3492">
        <v>0.1801171</v>
      </c>
      <c r="X3492">
        <v>0.97670789999999996</v>
      </c>
      <c r="Y3492">
        <v>0.2067493</v>
      </c>
      <c r="Z3492">
        <v>-3.3008780000000001E-2</v>
      </c>
      <c r="AA3492">
        <v>0.97783699999999996</v>
      </c>
      <c r="AB3492">
        <v>35</v>
      </c>
      <c r="AC3492">
        <v>25.415600000000001</v>
      </c>
      <c r="AD3492">
        <v>3.697743</v>
      </c>
      <c r="AE3492">
        <v>-89.624300000000005</v>
      </c>
      <c r="AF3492">
        <v>19.287207952206899</v>
      </c>
      <c r="AG3492">
        <v>3.697743</v>
      </c>
      <c r="AH3492">
        <v>90.990050938664794</v>
      </c>
      <c r="AI3492">
        <v>87.723367709719597</v>
      </c>
      <c r="AJ3492">
        <v>78.032130344573702</v>
      </c>
      <c r="AK3492">
        <v>93.085224733609195</v>
      </c>
      <c r="AL3492">
        <v>79.623419708930896</v>
      </c>
      <c r="AM3492">
        <v>83.191218117708203</v>
      </c>
      <c r="AN3492">
        <v>1.0000000314853199</v>
      </c>
    </row>
    <row r="3493" spans="1:40" x14ac:dyDescent="0.25">
      <c r="A3493" t="str">
        <f>"20190312172145427"</f>
        <v>20190312172145427</v>
      </c>
      <c r="B3493" t="str">
        <f>"1552382505424051"</f>
        <v>1552382505424051</v>
      </c>
      <c r="C3493" t="s">
        <v>40</v>
      </c>
      <c r="D3493">
        <v>4.2379699999999998</v>
      </c>
      <c r="E3493">
        <v>0.53198639999999997</v>
      </c>
      <c r="F3493" t="s">
        <v>51</v>
      </c>
      <c r="G3493">
        <v>-473.52499999999998</v>
      </c>
      <c r="H3493">
        <v>5.430053</v>
      </c>
      <c r="I3493">
        <v>163.5257</v>
      </c>
      <c r="J3493">
        <v>-498.7919</v>
      </c>
      <c r="K3493">
        <v>1.1784159999999999</v>
      </c>
      <c r="L3493">
        <v>252.01230000000001</v>
      </c>
      <c r="M3493">
        <v>0.4747615</v>
      </c>
      <c r="N3493">
        <v>0</v>
      </c>
      <c r="O3493">
        <v>-0.87987510000000002</v>
      </c>
      <c r="P3493">
        <v>0.3545662</v>
      </c>
      <c r="Q3493">
        <v>0.15752099999999999</v>
      </c>
      <c r="R3493">
        <v>-0.92166749999999997</v>
      </c>
      <c r="S3493">
        <v>0.83355709999999905</v>
      </c>
      <c r="T3493">
        <v>0.13934549999999901</v>
      </c>
      <c r="U3493">
        <v>-2.9109340000000001</v>
      </c>
      <c r="V3493">
        <v>0.124957</v>
      </c>
      <c r="W3493">
        <v>0.1780736</v>
      </c>
      <c r="X3493">
        <v>0.976051</v>
      </c>
      <c r="Y3493">
        <v>0.2144626</v>
      </c>
      <c r="Z3493">
        <v>-3.8092969999999997E-2</v>
      </c>
      <c r="AA3493">
        <v>0.97598910000000005</v>
      </c>
      <c r="AB3493">
        <v>34</v>
      </c>
      <c r="AC3493">
        <v>25.2669</v>
      </c>
      <c r="AD3493">
        <v>4.2516369999999997</v>
      </c>
      <c r="AE3493">
        <v>-88.486599999999996</v>
      </c>
      <c r="AF3493">
        <v>19.740344933241101</v>
      </c>
      <c r="AG3493">
        <v>4.2516369999999997</v>
      </c>
      <c r="AH3493">
        <v>89.680410301657204</v>
      </c>
      <c r="AI3493">
        <v>87.349078668150398</v>
      </c>
      <c r="AJ3493">
        <v>77.586088746527906</v>
      </c>
      <c r="AK3493">
        <v>91.925696228729706</v>
      </c>
      <c r="AL3493">
        <v>79.742427553212295</v>
      </c>
      <c r="AM3493">
        <v>82.704505816752601</v>
      </c>
      <c r="AN3493">
        <v>1.00000000673347</v>
      </c>
    </row>
    <row r="3494" spans="1:40" x14ac:dyDescent="0.25">
      <c r="A3494" t="str">
        <f>"20190312172145451"</f>
        <v>20190312172145451</v>
      </c>
      <c r="B3494" t="str">
        <f>"1552382505443571"</f>
        <v>1552382505443571</v>
      </c>
      <c r="C3494" t="s">
        <v>40</v>
      </c>
      <c r="D3494">
        <v>3.898819</v>
      </c>
      <c r="E3494">
        <v>0.50013679999999905</v>
      </c>
      <c r="F3494" t="s">
        <v>51</v>
      </c>
      <c r="G3494">
        <v>-473.52499999999998</v>
      </c>
      <c r="H3494">
        <v>5.1262369999999997</v>
      </c>
      <c r="I3494">
        <v>163.95070000000001</v>
      </c>
      <c r="J3494">
        <v>-498.6189</v>
      </c>
      <c r="K3494">
        <v>1.1749750000000001</v>
      </c>
      <c r="L3494">
        <v>251.70330000000001</v>
      </c>
      <c r="M3494">
        <v>0.48329329999999998</v>
      </c>
      <c r="N3494">
        <v>0</v>
      </c>
      <c r="O3494">
        <v>-0.87519439999999904</v>
      </c>
      <c r="P3494">
        <v>0.36124849999999997</v>
      </c>
      <c r="Q3494">
        <v>0.1548225</v>
      </c>
      <c r="R3494">
        <v>-0.91952690000000004</v>
      </c>
      <c r="S3494">
        <v>0.83532709999999999</v>
      </c>
      <c r="T3494">
        <v>0.13051559999999901</v>
      </c>
      <c r="U3494">
        <v>-2.9113310000000001</v>
      </c>
      <c r="V3494">
        <v>0.12815019999999999</v>
      </c>
      <c r="W3494">
        <v>0.17594470000000001</v>
      </c>
      <c r="X3494">
        <v>0.97602299999999997</v>
      </c>
      <c r="Y3494">
        <v>0.22341730000000001</v>
      </c>
      <c r="Z3494">
        <v>-3.5335819999999997E-2</v>
      </c>
      <c r="AA3494">
        <v>0.97408220000000001</v>
      </c>
      <c r="AB3494">
        <v>34</v>
      </c>
      <c r="AC3494">
        <v>25.093900000000001</v>
      </c>
      <c r="AD3494">
        <v>3.9512619999999998</v>
      </c>
      <c r="AE3494">
        <v>-87.752600000000001</v>
      </c>
      <c r="AF3494">
        <v>20.414670522561401</v>
      </c>
      <c r="AG3494">
        <v>3.9512619999999998</v>
      </c>
      <c r="AH3494">
        <v>88.782467144662803</v>
      </c>
      <c r="AI3494">
        <v>87.5164595744547</v>
      </c>
      <c r="AJ3494">
        <v>77.050482151249994</v>
      </c>
      <c r="AK3494">
        <v>91.184964310079707</v>
      </c>
      <c r="AL3494">
        <v>79.866361038849107</v>
      </c>
      <c r="AM3494">
        <v>82.519946919169897</v>
      </c>
      <c r="AN3494">
        <v>0.999999953873563</v>
      </c>
    </row>
    <row r="3495" spans="1:40" x14ac:dyDescent="0.25">
      <c r="A3495" t="str">
        <f>"20190312172145464"</f>
        <v>20190312172145464</v>
      </c>
      <c r="B3495" t="str">
        <f>"1552382505454306"</f>
        <v>1552382505454306</v>
      </c>
      <c r="C3495" t="s">
        <v>40</v>
      </c>
      <c r="D3495">
        <v>3.96672</v>
      </c>
      <c r="E3495">
        <v>0.49386940000000001</v>
      </c>
      <c r="F3495" t="s">
        <v>51</v>
      </c>
      <c r="G3495">
        <v>-470.95479999999998</v>
      </c>
      <c r="H3495">
        <v>6.3839499999999996</v>
      </c>
      <c r="I3495">
        <v>180.59209999999999</v>
      </c>
      <c r="J3495">
        <v>-498.52179999999998</v>
      </c>
      <c r="K3495">
        <v>1.173038</v>
      </c>
      <c r="L3495">
        <v>251.5316</v>
      </c>
      <c r="M3495">
        <v>0.48746070000000002</v>
      </c>
      <c r="N3495">
        <v>0</v>
      </c>
      <c r="O3495">
        <v>-0.87286569999999997</v>
      </c>
      <c r="P3495">
        <v>0.36651980000000001</v>
      </c>
      <c r="Q3495">
        <v>0.15359979999999901</v>
      </c>
      <c r="R3495">
        <v>-0.91764409999999996</v>
      </c>
      <c r="S3495">
        <v>1.089294</v>
      </c>
      <c r="T3495">
        <v>0.2051077</v>
      </c>
      <c r="U3495">
        <v>-2.8000639999999999</v>
      </c>
      <c r="V3495">
        <v>0.1275656</v>
      </c>
      <c r="W3495">
        <v>0.1751035</v>
      </c>
      <c r="X3495">
        <v>0.97625090000000003</v>
      </c>
      <c r="Y3495">
        <v>0.13853859999999901</v>
      </c>
      <c r="Z3495">
        <v>-5.716678E-2</v>
      </c>
      <c r="AA3495">
        <v>0.98870579999999997</v>
      </c>
      <c r="AB3495">
        <v>34</v>
      </c>
      <c r="AC3495">
        <v>27.567</v>
      </c>
      <c r="AD3495">
        <v>5.2109120000000004</v>
      </c>
      <c r="AE3495">
        <v>-70.939499999999995</v>
      </c>
      <c r="AF3495">
        <v>10.4714061993157</v>
      </c>
      <c r="AG3495">
        <v>5.2109120000000004</v>
      </c>
      <c r="AH3495">
        <v>75.025156419405107</v>
      </c>
      <c r="AI3495">
        <v>86.064894080291793</v>
      </c>
      <c r="AJ3495">
        <v>82.054445902970201</v>
      </c>
      <c r="AK3495">
        <v>75.931403565448605</v>
      </c>
      <c r="AL3495">
        <v>79.915318969946199</v>
      </c>
      <c r="AM3495">
        <v>82.555404685321705</v>
      </c>
      <c r="AN3495">
        <v>1.0000000188831999</v>
      </c>
    </row>
    <row r="3496" spans="1:40" x14ac:dyDescent="0.25">
      <c r="A3496" t="str">
        <f>"20190312172145477"</f>
        <v>20190312172145477</v>
      </c>
      <c r="B3496" t="str">
        <f>"1552382505473826"</f>
        <v>1552382505473826</v>
      </c>
      <c r="C3496" t="s">
        <v>40</v>
      </c>
      <c r="D3496">
        <v>4.058306</v>
      </c>
      <c r="E3496">
        <v>0.48518099999999997</v>
      </c>
      <c r="F3496" t="s">
        <v>51</v>
      </c>
      <c r="G3496">
        <v>-469.09199999999998</v>
      </c>
      <c r="H3496">
        <v>6.7361519999999997</v>
      </c>
      <c r="I3496">
        <v>180.59219999999999</v>
      </c>
      <c r="J3496">
        <v>-498.4178</v>
      </c>
      <c r="K3496">
        <v>1.170952</v>
      </c>
      <c r="L3496">
        <v>251.34909999999999</v>
      </c>
      <c r="M3496">
        <v>0.49135659999999998</v>
      </c>
      <c r="N3496">
        <v>0</v>
      </c>
      <c r="O3496">
        <v>-0.87066200000000005</v>
      </c>
      <c r="P3496">
        <v>0.37219720000000001</v>
      </c>
      <c r="Q3496">
        <v>0.15427489999999999</v>
      </c>
      <c r="R3496">
        <v>-0.91524260000000002</v>
      </c>
      <c r="S3496">
        <v>1.1505129999999999</v>
      </c>
      <c r="T3496">
        <v>0.21748149999999999</v>
      </c>
      <c r="U3496">
        <v>-2.7732700000000001</v>
      </c>
      <c r="V3496">
        <v>0.12607189999999999</v>
      </c>
      <c r="W3496">
        <v>0.1762311</v>
      </c>
      <c r="X3496">
        <v>0.97624200000000005</v>
      </c>
      <c r="Y3496">
        <v>0.1210601</v>
      </c>
      <c r="Z3496">
        <v>-6.07776999999999E-2</v>
      </c>
      <c r="AA3496">
        <v>0.99078279999999996</v>
      </c>
      <c r="AB3496">
        <v>34</v>
      </c>
      <c r="AC3496">
        <v>29.325800000000001</v>
      </c>
      <c r="AD3496">
        <v>5.5651999999999999</v>
      </c>
      <c r="AE3496">
        <v>-70.756900000000002</v>
      </c>
      <c r="AF3496">
        <v>9.1878891871623605</v>
      </c>
      <c r="AG3496">
        <v>5.5651999999999999</v>
      </c>
      <c r="AH3496">
        <v>75.635099850768398</v>
      </c>
      <c r="AI3496">
        <v>85.822383978947499</v>
      </c>
      <c r="AJ3496">
        <v>83.073843420325801</v>
      </c>
      <c r="AK3496">
        <v>76.394090662768406</v>
      </c>
      <c r="AL3496">
        <v>79.849691353563202</v>
      </c>
      <c r="AM3496">
        <v>82.641548191967999</v>
      </c>
      <c r="AN3496">
        <v>0.99999998357040898</v>
      </c>
    </row>
    <row r="3497" spans="1:40" x14ac:dyDescent="0.25">
      <c r="A3497" t="str">
        <f>"20190312172145495"</f>
        <v>20190312172145495</v>
      </c>
      <c r="B3497" t="str">
        <f>"1552382505483590"</f>
        <v>1552382505483590</v>
      </c>
      <c r="C3497" t="s">
        <v>40</v>
      </c>
      <c r="D3497">
        <v>4.0280269999999998</v>
      </c>
      <c r="E3497">
        <v>0.48428690000000002</v>
      </c>
      <c r="F3497" t="s">
        <v>52</v>
      </c>
      <c r="G3497">
        <v>-470.15</v>
      </c>
      <c r="H3497">
        <v>6.3409490000000002</v>
      </c>
      <c r="I3497">
        <v>188.4059</v>
      </c>
      <c r="J3497">
        <v>-498.28879999999998</v>
      </c>
      <c r="K3497">
        <v>1.1683600000000001</v>
      </c>
      <c r="L3497">
        <v>251.12450000000001</v>
      </c>
      <c r="M3497">
        <v>0.4951026</v>
      </c>
      <c r="N3497">
        <v>0</v>
      </c>
      <c r="O3497">
        <v>-0.86851319999999999</v>
      </c>
      <c r="P3497">
        <v>0.37736700000000001</v>
      </c>
      <c r="Q3497">
        <v>0.15618850000000001</v>
      </c>
      <c r="R3497">
        <v>-0.91279779999999999</v>
      </c>
      <c r="S3497">
        <v>1.2303470000000001</v>
      </c>
      <c r="T3497">
        <v>0.22502269999999999</v>
      </c>
      <c r="U3497">
        <v>-2.739563</v>
      </c>
      <c r="V3497">
        <v>0.1248732</v>
      </c>
      <c r="W3497">
        <v>0.17884529999999901</v>
      </c>
      <c r="X3497">
        <v>0.97592060000000003</v>
      </c>
      <c r="Y3497">
        <v>9.6794169999999999E-2</v>
      </c>
      <c r="Z3497">
        <v>-6.3137639999999995E-2</v>
      </c>
      <c r="AA3497">
        <v>0.99329979999999995</v>
      </c>
      <c r="AB3497">
        <v>34</v>
      </c>
      <c r="AC3497">
        <v>28.1388</v>
      </c>
      <c r="AD3497">
        <v>5.1725890000000003</v>
      </c>
      <c r="AE3497">
        <v>-62.718600000000002</v>
      </c>
      <c r="AF3497">
        <v>6.5778251694577303</v>
      </c>
      <c r="AG3497">
        <v>5.1725890000000003</v>
      </c>
      <c r="AH3497">
        <v>68.037392549449194</v>
      </c>
      <c r="AI3497">
        <v>85.672512923731404</v>
      </c>
      <c r="AJ3497">
        <v>84.477831696633203</v>
      </c>
      <c r="AK3497">
        <v>68.550056497793804</v>
      </c>
      <c r="AL3497">
        <v>79.697490844713599</v>
      </c>
      <c r="AM3497">
        <v>82.708382065269703</v>
      </c>
      <c r="AN3497">
        <v>0.99999998745734497</v>
      </c>
    </row>
    <row r="3498" spans="1:40" x14ac:dyDescent="0.25">
      <c r="A3498" t="str">
        <f>"20190312172145508"</f>
        <v>20190312172145508</v>
      </c>
      <c r="B3498" t="str">
        <f>"1552382505504083"</f>
        <v>1552382505504083</v>
      </c>
      <c r="C3498" t="s">
        <v>40</v>
      </c>
      <c r="D3498">
        <v>4.0299719999999999</v>
      </c>
      <c r="E3498">
        <v>0.48197069999999997</v>
      </c>
      <c r="F3498" t="s">
        <v>52</v>
      </c>
      <c r="G3498">
        <v>-470.15</v>
      </c>
      <c r="H3498">
        <v>5.8983679999999996</v>
      </c>
      <c r="I3498">
        <v>189.6919</v>
      </c>
      <c r="J3498">
        <v>-498.18259999999998</v>
      </c>
      <c r="K3498">
        <v>1.1660759999999999</v>
      </c>
      <c r="L3498">
        <v>250.94030000000001</v>
      </c>
      <c r="M3498">
        <v>0.49770239999999999</v>
      </c>
      <c r="N3498">
        <v>0</v>
      </c>
      <c r="O3498">
        <v>-0.86700669999999902</v>
      </c>
      <c r="P3498">
        <v>0.38058779999999998</v>
      </c>
      <c r="Q3498">
        <v>0.15563270000000001</v>
      </c>
      <c r="R3498">
        <v>-0.91155459999999999</v>
      </c>
      <c r="S3498">
        <v>1.251862</v>
      </c>
      <c r="T3498">
        <v>0.21043300000000001</v>
      </c>
      <c r="U3498">
        <v>-2.733047</v>
      </c>
      <c r="V3498">
        <v>0.1246477</v>
      </c>
      <c r="W3498">
        <v>0.17880119999999999</v>
      </c>
      <c r="X3498">
        <v>0.97595750000000003</v>
      </c>
      <c r="Y3498">
        <v>9.2297729999999994E-2</v>
      </c>
      <c r="Z3498">
        <v>-5.8970439999999999E-2</v>
      </c>
      <c r="AA3498">
        <v>0.99398370000000003</v>
      </c>
      <c r="AB3498">
        <v>34</v>
      </c>
      <c r="AC3498">
        <v>28.032599999999999</v>
      </c>
      <c r="AD3498">
        <v>4.7322919999999904</v>
      </c>
      <c r="AE3498">
        <v>-61.248399999999997</v>
      </c>
      <c r="AF3498">
        <v>6.1504950525349402</v>
      </c>
      <c r="AG3498">
        <v>4.7322919999999904</v>
      </c>
      <c r="AH3498">
        <v>66.745073497171006</v>
      </c>
      <c r="AI3498">
        <v>85.961511996850106</v>
      </c>
      <c r="AJ3498">
        <v>84.735116966306194</v>
      </c>
      <c r="AK3498">
        <v>67.194702269652794</v>
      </c>
      <c r="AL3498">
        <v>79.7000589064819</v>
      </c>
      <c r="AM3498">
        <v>82.721680413501304</v>
      </c>
      <c r="AN3498">
        <v>0.99999998002148904</v>
      </c>
    </row>
    <row r="3499" spans="1:40" x14ac:dyDescent="0.25">
      <c r="A3499" t="str">
        <f>"20190312172145521"</f>
        <v>20190312172145521</v>
      </c>
      <c r="B3499" t="str">
        <f>"1552382505513843"</f>
        <v>1552382505513843</v>
      </c>
      <c r="C3499" t="s">
        <v>40</v>
      </c>
      <c r="D3499">
        <v>4.082389</v>
      </c>
      <c r="E3499">
        <v>0.481518</v>
      </c>
      <c r="F3499" t="s">
        <v>52</v>
      </c>
      <c r="G3499">
        <v>-470.34609999999998</v>
      </c>
      <c r="H3499">
        <v>5.8831989999999896</v>
      </c>
      <c r="I3499">
        <v>191.69900000000001</v>
      </c>
      <c r="J3499">
        <v>-498.08100000000002</v>
      </c>
      <c r="K3499">
        <v>1.1637980000000001</v>
      </c>
      <c r="L3499">
        <v>250.76480000000001</v>
      </c>
      <c r="M3499">
        <v>0.49989319999999998</v>
      </c>
      <c r="N3499">
        <v>0</v>
      </c>
      <c r="O3499">
        <v>-0.86572839999999995</v>
      </c>
      <c r="P3499">
        <v>0.383743</v>
      </c>
      <c r="Q3499">
        <v>0.1537742</v>
      </c>
      <c r="R3499">
        <v>-0.91054639999999998</v>
      </c>
      <c r="S3499">
        <v>1.2782899999999999</v>
      </c>
      <c r="T3499">
        <v>0.21661730000000001</v>
      </c>
      <c r="U3499">
        <v>-2.7204280000000001</v>
      </c>
      <c r="V3499">
        <v>0.1241336</v>
      </c>
      <c r="W3499">
        <v>0.1773729</v>
      </c>
      <c r="X3499">
        <v>0.97628360000000003</v>
      </c>
      <c r="Y3499">
        <v>8.5191699999999995E-2</v>
      </c>
      <c r="Z3499">
        <v>-6.0732660000000001E-2</v>
      </c>
      <c r="AA3499">
        <v>0.9945119</v>
      </c>
      <c r="AB3499">
        <v>34</v>
      </c>
      <c r="AC3499">
        <v>27.7348999999999</v>
      </c>
      <c r="AD3499">
        <v>4.7194010000000004</v>
      </c>
      <c r="AE3499">
        <v>-59.065800000000003</v>
      </c>
      <c r="AF3499">
        <v>5.4887045829624199</v>
      </c>
      <c r="AG3499">
        <v>4.7194010000000004</v>
      </c>
      <c r="AH3499">
        <v>64.681288867883893</v>
      </c>
      <c r="AI3499">
        <v>85.841761665709896</v>
      </c>
      <c r="AJ3499">
        <v>85.149632607468604</v>
      </c>
      <c r="AK3499">
        <v>65.085080881938495</v>
      </c>
      <c r="AL3499">
        <v>79.783223912188504</v>
      </c>
      <c r="AM3499">
        <v>82.753774814549203</v>
      </c>
      <c r="AN3499">
        <v>0.99999998196616402</v>
      </c>
    </row>
    <row r="3500" spans="1:40" x14ac:dyDescent="0.25">
      <c r="A3500" t="str">
        <f>"20190312172145539"</f>
        <v>20190312172145539</v>
      </c>
      <c r="B3500" t="str">
        <f>"1552382505534339"</f>
        <v>1552382505534339</v>
      </c>
      <c r="C3500" t="s">
        <v>40</v>
      </c>
      <c r="D3500">
        <v>4.1466750000000001</v>
      </c>
      <c r="E3500">
        <v>0.48132599999999998</v>
      </c>
      <c r="F3500" t="s">
        <v>52</v>
      </c>
      <c r="G3500">
        <v>-470.15</v>
      </c>
      <c r="H3500">
        <v>5.8211079999999997</v>
      </c>
      <c r="I3500">
        <v>192.05179999999999</v>
      </c>
      <c r="J3500">
        <v>-497.94529999999997</v>
      </c>
      <c r="K3500">
        <v>1.1606609999999999</v>
      </c>
      <c r="L3500">
        <v>250.5309</v>
      </c>
      <c r="M3500">
        <v>0.50213969999999997</v>
      </c>
      <c r="N3500">
        <v>0</v>
      </c>
      <c r="O3500">
        <v>-0.86440819999999996</v>
      </c>
      <c r="P3500">
        <v>0.3874261</v>
      </c>
      <c r="Q3500">
        <v>0.14968110000000001</v>
      </c>
      <c r="R3500">
        <v>-0.90966860000000005</v>
      </c>
      <c r="S3500">
        <v>1.291199</v>
      </c>
      <c r="T3500">
        <v>0.21529980000000001</v>
      </c>
      <c r="U3500">
        <v>-2.714188</v>
      </c>
      <c r="V3500">
        <v>0.1233413</v>
      </c>
      <c r="W3500">
        <v>0.1737358</v>
      </c>
      <c r="X3500">
        <v>0.97703779999999996</v>
      </c>
      <c r="Y3500">
        <v>8.3033389999999999E-2</v>
      </c>
      <c r="Z3500">
        <v>-6.030634E-2</v>
      </c>
      <c r="AA3500">
        <v>0.9947203</v>
      </c>
      <c r="AB3500">
        <v>34</v>
      </c>
      <c r="AC3500">
        <v>27.795300000000001</v>
      </c>
      <c r="AD3500">
        <v>4.6604469999999996</v>
      </c>
      <c r="AE3500">
        <v>-58.479100000000003</v>
      </c>
      <c r="AF3500">
        <v>5.3124170320340998</v>
      </c>
      <c r="AG3500">
        <v>4.6604469999999996</v>
      </c>
      <c r="AH3500">
        <v>64.195465494245994</v>
      </c>
      <c r="AI3500">
        <v>85.861835158802805</v>
      </c>
      <c r="AJ3500">
        <v>85.269337192219197</v>
      </c>
      <c r="AK3500">
        <v>64.583274390394394</v>
      </c>
      <c r="AL3500">
        <v>79.994902461728401</v>
      </c>
      <c r="AM3500">
        <v>82.805037842745506</v>
      </c>
      <c r="AN3500">
        <v>1.0000000335580801</v>
      </c>
    </row>
    <row r="3501" spans="1:40" x14ac:dyDescent="0.25">
      <c r="A3501" t="str">
        <f>"20190312172145562"</f>
        <v>20190312172145562</v>
      </c>
      <c r="B3501" t="str">
        <f>"1552382505553858"</f>
        <v>1552382505553858</v>
      </c>
      <c r="C3501" t="s">
        <v>40</v>
      </c>
      <c r="D3501">
        <v>4.0981100000000001</v>
      </c>
      <c r="E3501">
        <v>0.48138229999999999</v>
      </c>
      <c r="F3501" t="s">
        <v>48</v>
      </c>
      <c r="G3501">
        <v>-476.41860000000003</v>
      </c>
      <c r="H3501">
        <v>4.584276</v>
      </c>
      <c r="I3501">
        <v>205.8073</v>
      </c>
      <c r="J3501">
        <v>-497.7704</v>
      </c>
      <c r="K3501">
        <v>1.156685</v>
      </c>
      <c r="L3501">
        <v>250.2304</v>
      </c>
      <c r="M3501">
        <v>0.50369449999999905</v>
      </c>
      <c r="N3501">
        <v>0</v>
      </c>
      <c r="O3501">
        <v>-0.86348440000000004</v>
      </c>
      <c r="P3501">
        <v>0.38949070000000002</v>
      </c>
      <c r="Q3501">
        <v>0.1464829</v>
      </c>
      <c r="R3501">
        <v>-0.90930739999999999</v>
      </c>
      <c r="S3501">
        <v>1.3037110000000001</v>
      </c>
      <c r="T3501">
        <v>0.20734240000000001</v>
      </c>
      <c r="U3501">
        <v>-2.7085720000000002</v>
      </c>
      <c r="V3501">
        <v>0.123415899999999</v>
      </c>
      <c r="W3501">
        <v>0.170958</v>
      </c>
      <c r="X3501">
        <v>0.97751829999999995</v>
      </c>
      <c r="Y3501">
        <v>8.0233369999999998E-2</v>
      </c>
      <c r="Z3501">
        <v>-5.8062280000000001E-2</v>
      </c>
      <c r="AA3501">
        <v>0.99508359999999996</v>
      </c>
      <c r="AB3501">
        <v>34</v>
      </c>
      <c r="AC3501">
        <v>21.351799999999901</v>
      </c>
      <c r="AD3501">
        <v>3.4275910000000001</v>
      </c>
      <c r="AE3501">
        <v>-44.423099999999998</v>
      </c>
      <c r="AF3501">
        <v>3.9211147925843601</v>
      </c>
      <c r="AG3501">
        <v>3.4275910000000001</v>
      </c>
      <c r="AH3501">
        <v>48.893850655160399</v>
      </c>
      <c r="AI3501">
        <v>86.002763115644598</v>
      </c>
      <c r="AJ3501">
        <v>85.414892940900003</v>
      </c>
      <c r="AK3501">
        <v>49.170439830949597</v>
      </c>
      <c r="AL3501">
        <v>80.156476879275402</v>
      </c>
      <c r="AM3501">
        <v>82.804233493323494</v>
      </c>
      <c r="AN3501">
        <v>1.0000000744858399</v>
      </c>
    </row>
    <row r="3502" spans="1:40" x14ac:dyDescent="0.25">
      <c r="A3502" t="str">
        <f>"20190312172145576"</f>
        <v>20190312172145576</v>
      </c>
      <c r="B3502" t="str">
        <f>"1552382505574354"</f>
        <v>1552382505574354</v>
      </c>
      <c r="C3502" t="s">
        <v>40</v>
      </c>
      <c r="D3502">
        <v>4.1237719999999998</v>
      </c>
      <c r="E3502">
        <v>0.47833419999999999</v>
      </c>
      <c r="F3502" t="s">
        <v>52</v>
      </c>
      <c r="G3502">
        <v>-470.15</v>
      </c>
      <c r="H3502">
        <v>5.3675269999999999</v>
      </c>
      <c r="I3502">
        <v>193.0943</v>
      </c>
      <c r="J3502">
        <v>-497.6619</v>
      </c>
      <c r="K3502">
        <v>1.1542110000000001</v>
      </c>
      <c r="L3502">
        <v>250.04390000000001</v>
      </c>
      <c r="M3502">
        <v>0.5039439</v>
      </c>
      <c r="N3502">
        <v>0</v>
      </c>
      <c r="O3502">
        <v>-0.86332989999999998</v>
      </c>
      <c r="P3502">
        <v>0.38957029999999998</v>
      </c>
      <c r="Q3502">
        <v>0.1459627</v>
      </c>
      <c r="R3502">
        <v>-0.90935679999999997</v>
      </c>
      <c r="S3502">
        <v>1.308441</v>
      </c>
      <c r="T3502">
        <v>0.19947790000000001</v>
      </c>
      <c r="U3502">
        <v>-2.7066499999999998</v>
      </c>
      <c r="V3502">
        <v>0.12381109999999999</v>
      </c>
      <c r="W3502">
        <v>0.17060980000000001</v>
      </c>
      <c r="X3502">
        <v>0.97752899999999998</v>
      </c>
      <c r="Y3502">
        <v>7.8776440000000003E-2</v>
      </c>
      <c r="Z3502">
        <v>-5.5876679999999998E-2</v>
      </c>
      <c r="AA3502">
        <v>0.99532509999999996</v>
      </c>
      <c r="AB3502">
        <v>34</v>
      </c>
      <c r="AC3502">
        <v>27.511900000000001</v>
      </c>
      <c r="AD3502">
        <v>4.2133159999999998</v>
      </c>
      <c r="AE3502">
        <v>-56.949599999999997</v>
      </c>
      <c r="AF3502">
        <v>4.9274281501996997</v>
      </c>
      <c r="AG3502">
        <v>4.2133159999999998</v>
      </c>
      <c r="AH3502">
        <v>62.774301436558098</v>
      </c>
      <c r="AI3502">
        <v>86.171893107400805</v>
      </c>
      <c r="AJ3502">
        <v>85.511807579690299</v>
      </c>
      <c r="AK3502">
        <v>63.108196779333603</v>
      </c>
      <c r="AL3502">
        <v>80.176723197894603</v>
      </c>
      <c r="AM3502">
        <v>82.781512206488799</v>
      </c>
      <c r="AN3502">
        <v>0.99999991909012098</v>
      </c>
    </row>
    <row r="3503" spans="1:40" x14ac:dyDescent="0.25">
      <c r="A3503" t="str">
        <f>"20190312172145597"</f>
        <v>20190312172145597</v>
      </c>
      <c r="B3503" t="str">
        <f>"1552382505593876"</f>
        <v>1552382505593876</v>
      </c>
      <c r="C3503" t="s">
        <v>40</v>
      </c>
      <c r="D3503">
        <v>4.4052769999999999</v>
      </c>
      <c r="E3503">
        <v>0.4872243</v>
      </c>
      <c r="F3503" t="s">
        <v>42</v>
      </c>
      <c r="G3503">
        <v>-490.61540000000002</v>
      </c>
      <c r="H3503" s="1">
        <v>-2.6823979999999999E-6</v>
      </c>
      <c r="I3503">
        <v>235.46019999999999</v>
      </c>
      <c r="J3503">
        <v>-497.50889999999998</v>
      </c>
      <c r="K3503">
        <v>1.1506940000000001</v>
      </c>
      <c r="L3503">
        <v>249.7809</v>
      </c>
      <c r="M3503">
        <v>0.5036292</v>
      </c>
      <c r="N3503">
        <v>0</v>
      </c>
      <c r="O3503">
        <v>-0.86350389999999999</v>
      </c>
      <c r="P3503">
        <v>0.38765959999999999</v>
      </c>
      <c r="Q3503">
        <v>0.1469982</v>
      </c>
      <c r="R3503">
        <v>-0.91000669999999995</v>
      </c>
      <c r="S3503">
        <v>1.334686</v>
      </c>
      <c r="T3503">
        <v>-0.21862110000000001</v>
      </c>
      <c r="U3503">
        <v>-2.7623139999999999</v>
      </c>
      <c r="V3503">
        <v>0.12565390000000001</v>
      </c>
      <c r="W3503">
        <v>0.17178060000000001</v>
      </c>
      <c r="X3503">
        <v>0.97708879999999998</v>
      </c>
      <c r="Y3503">
        <v>7.8732129999999997E-2</v>
      </c>
      <c r="Z3503">
        <v>6.0007350000000001E-2</v>
      </c>
      <c r="AA3503">
        <v>0.99508810000000003</v>
      </c>
      <c r="AB3503">
        <v>34</v>
      </c>
      <c r="AC3503">
        <v>6.8934999999999498</v>
      </c>
      <c r="AD3503">
        <v>-1.150696682398</v>
      </c>
      <c r="AE3503">
        <v>-14.3207</v>
      </c>
      <c r="AF3503">
        <v>1.2536400746950001</v>
      </c>
      <c r="AG3503">
        <v>-1.150696682398</v>
      </c>
      <c r="AH3503">
        <v>15.760826412638499</v>
      </c>
      <c r="AI3503">
        <v>94.162650236274601</v>
      </c>
      <c r="AJ3503">
        <v>85.452181659163301</v>
      </c>
      <c r="AK3503">
        <v>15.8524245937675</v>
      </c>
      <c r="AL3503">
        <v>80.108636938225501</v>
      </c>
      <c r="AM3503">
        <v>82.671966773962097</v>
      </c>
      <c r="AN3503">
        <v>1.0000000001035001</v>
      </c>
    </row>
    <row r="3504" spans="1:40" x14ac:dyDescent="0.25">
      <c r="A3504" t="str">
        <f>"20190312172145618"</f>
        <v>20190312172145618</v>
      </c>
      <c r="B3504" t="str">
        <f>"1552382505614371"</f>
        <v>1552382505614371</v>
      </c>
      <c r="C3504" t="s">
        <v>40</v>
      </c>
      <c r="D3504">
        <v>3.9038490000000001</v>
      </c>
      <c r="E3504">
        <v>0.48717480000000002</v>
      </c>
      <c r="F3504" t="s">
        <v>52</v>
      </c>
      <c r="G3504">
        <v>-470.15</v>
      </c>
      <c r="H3504">
        <v>5.9809869999999998</v>
      </c>
      <c r="I3504">
        <v>190.5598</v>
      </c>
      <c r="J3504">
        <v>-497.3449</v>
      </c>
      <c r="K3504">
        <v>1.1468320000000001</v>
      </c>
      <c r="L3504">
        <v>249.49780000000001</v>
      </c>
      <c r="M3504">
        <v>0.50255660000000002</v>
      </c>
      <c r="N3504">
        <v>0</v>
      </c>
      <c r="O3504">
        <v>-0.8641221</v>
      </c>
      <c r="P3504">
        <v>0.3847178</v>
      </c>
      <c r="Q3504">
        <v>0.14875279999999999</v>
      </c>
      <c r="R3504">
        <v>-0.91096929999999998</v>
      </c>
      <c r="S3504">
        <v>1.2586980000000001</v>
      </c>
      <c r="T3504">
        <v>0.22222720000000001</v>
      </c>
      <c r="U3504">
        <v>-2.724564</v>
      </c>
      <c r="V3504">
        <v>0.12772539999999999</v>
      </c>
      <c r="W3504">
        <v>0.17352629999999999</v>
      </c>
      <c r="X3504">
        <v>0.97651149999999998</v>
      </c>
      <c r="Y3504">
        <v>9.4787399999999994E-2</v>
      </c>
      <c r="Z3504">
        <v>-6.2088659999999997E-2</v>
      </c>
      <c r="AA3504">
        <v>0.99355939999999998</v>
      </c>
      <c r="AB3504">
        <v>34</v>
      </c>
      <c r="AC3504">
        <v>27.194900000000001</v>
      </c>
      <c r="AD3504">
        <v>4.834155</v>
      </c>
      <c r="AE3504">
        <v>-58.938000000000002</v>
      </c>
      <c r="AF3504">
        <v>6.0884315139029699</v>
      </c>
      <c r="AG3504">
        <v>4.834155</v>
      </c>
      <c r="AH3504">
        <v>64.263748104050705</v>
      </c>
      <c r="AI3504">
        <v>85.717209411725804</v>
      </c>
      <c r="AJ3504">
        <v>84.587877280936596</v>
      </c>
      <c r="AK3504">
        <v>64.732274587290604</v>
      </c>
      <c r="AL3504">
        <v>80.0070900384504</v>
      </c>
      <c r="AM3504">
        <v>82.548150554123396</v>
      </c>
      <c r="AN3504">
        <v>0.99999993211454696</v>
      </c>
    </row>
    <row r="3505" spans="1:40" x14ac:dyDescent="0.25">
      <c r="A3505" t="str">
        <f>"20190312172145641"</f>
        <v>20190312172145641</v>
      </c>
      <c r="B3505" t="str">
        <f>"1552382505633891"</f>
        <v>1552382505633891</v>
      </c>
      <c r="C3505" t="s">
        <v>40</v>
      </c>
      <c r="D3505">
        <v>4.2418269999999998</v>
      </c>
      <c r="E3505">
        <v>0.48679489999999997</v>
      </c>
      <c r="F3505" t="s">
        <v>45</v>
      </c>
      <c r="G3505">
        <v>-486.37560000000002</v>
      </c>
      <c r="H3505" s="1">
        <v>4.4049090000000004E-6</v>
      </c>
      <c r="I3505">
        <v>225.1377</v>
      </c>
      <c r="J3505">
        <v>-497.16890000000001</v>
      </c>
      <c r="K3505">
        <v>1.142631</v>
      </c>
      <c r="L3505">
        <v>249.1917</v>
      </c>
      <c r="M3505">
        <v>0.50069180000000002</v>
      </c>
      <c r="N3505">
        <v>0</v>
      </c>
      <c r="O3505">
        <v>-0.86520249999999999</v>
      </c>
      <c r="P3505">
        <v>0.37986560000000003</v>
      </c>
      <c r="Q3505">
        <v>0.1479335</v>
      </c>
      <c r="R3505">
        <v>-0.91313650000000002</v>
      </c>
      <c r="S3505">
        <v>1.254059</v>
      </c>
      <c r="T3505">
        <v>-0.13111</v>
      </c>
      <c r="U3505">
        <v>-2.7849430000000002</v>
      </c>
      <c r="V3505">
        <v>0.13115270000000001</v>
      </c>
      <c r="W3505">
        <v>0.1724945</v>
      </c>
      <c r="X3505">
        <v>0.97624</v>
      </c>
      <c r="Y3505">
        <v>0.10163899999999999</v>
      </c>
      <c r="Z3505">
        <v>3.602909E-2</v>
      </c>
      <c r="AA3505">
        <v>0.99416870000000002</v>
      </c>
      <c r="AB3505">
        <v>34</v>
      </c>
      <c r="AC3505">
        <v>10.793299999999901</v>
      </c>
      <c r="AD3505">
        <v>-1.142626595091</v>
      </c>
      <c r="AE3505">
        <v>-24.053999999999998</v>
      </c>
      <c r="AF3505">
        <v>2.7011679277648799</v>
      </c>
      <c r="AG3505">
        <v>-1.142626595091</v>
      </c>
      <c r="AH3505">
        <v>26.1761357003946</v>
      </c>
      <c r="AI3505">
        <v>92.486271930765</v>
      </c>
      <c r="AJ3505">
        <v>84.108387032555697</v>
      </c>
      <c r="AK3505">
        <v>26.3399313574517</v>
      </c>
      <c r="AL3505">
        <v>80.067113260947707</v>
      </c>
      <c r="AM3505">
        <v>82.348427592852602</v>
      </c>
      <c r="AN3505">
        <v>0.99999996042376904</v>
      </c>
    </row>
    <row r="3506" spans="1:40" x14ac:dyDescent="0.25">
      <c r="A3506" t="str">
        <f>"20190312172145654"</f>
        <v>20190312172145654</v>
      </c>
      <c r="B3506" t="str">
        <f>"1552382505643651"</f>
        <v>1552382505643651</v>
      </c>
      <c r="C3506" t="s">
        <v>40</v>
      </c>
      <c r="D3506">
        <v>3.9109289999999999</v>
      </c>
      <c r="E3506">
        <v>0.48836610000000003</v>
      </c>
      <c r="F3506" t="s">
        <v>42</v>
      </c>
      <c r="G3506">
        <v>-489.67970000000003</v>
      </c>
      <c r="H3506" s="1">
        <v>-1.2331019999999999E-6</v>
      </c>
      <c r="I3506">
        <v>232.37469999999999</v>
      </c>
      <c r="J3506">
        <v>-497.06810000000002</v>
      </c>
      <c r="K3506">
        <v>1.1402490000000001</v>
      </c>
      <c r="L3506">
        <v>249.01480000000001</v>
      </c>
      <c r="M3506">
        <v>0.49930760000000002</v>
      </c>
      <c r="N3506">
        <v>0</v>
      </c>
      <c r="O3506">
        <v>-0.86600449999999995</v>
      </c>
      <c r="P3506">
        <v>0.3768319</v>
      </c>
      <c r="Q3506">
        <v>0.14710200000000001</v>
      </c>
      <c r="R3506">
        <v>-0.91452659999999997</v>
      </c>
      <c r="S3506">
        <v>1.2459720000000001</v>
      </c>
      <c r="T3506">
        <v>-0.19009980000000001</v>
      </c>
      <c r="U3506">
        <v>-2.7978360000000002</v>
      </c>
      <c r="V3506">
        <v>0.1330374</v>
      </c>
      <c r="W3506">
        <v>0.1714475</v>
      </c>
      <c r="X3506">
        <v>0.97616950000000002</v>
      </c>
      <c r="Y3506">
        <v>0.10448880000000001</v>
      </c>
      <c r="Z3506">
        <v>5.2058449999999999E-2</v>
      </c>
      <c r="AA3506">
        <v>0.99316260000000001</v>
      </c>
      <c r="AB3506">
        <v>34</v>
      </c>
      <c r="AC3506">
        <v>7.3883999999999901</v>
      </c>
      <c r="AD3506">
        <v>-1.1402502331019999</v>
      </c>
      <c r="AE3506">
        <v>-16.6401</v>
      </c>
      <c r="AF3506">
        <v>1.90337094051684</v>
      </c>
      <c r="AG3506">
        <v>-1.1402502331019999</v>
      </c>
      <c r="AH3506">
        <v>18.035338638806799</v>
      </c>
      <c r="AI3506">
        <v>93.5976759044039</v>
      </c>
      <c r="AJ3506">
        <v>83.9755537028107</v>
      </c>
      <c r="AK3506">
        <v>18.1713079151648</v>
      </c>
      <c r="AL3506">
        <v>80.128010006432007</v>
      </c>
      <c r="AM3506">
        <v>82.239249259128002</v>
      </c>
      <c r="AN3506">
        <v>1.00000004389262</v>
      </c>
    </row>
    <row r="3507" spans="1:40" x14ac:dyDescent="0.25">
      <c r="A3507" t="str">
        <f>"20190312172145674"</f>
        <v>20190312172145674</v>
      </c>
      <c r="B3507" t="str">
        <f>"1552382505664146"</f>
        <v>1552382505664146</v>
      </c>
      <c r="C3507" t="s">
        <v>40</v>
      </c>
      <c r="D3507">
        <v>3.990516</v>
      </c>
      <c r="E3507">
        <v>0.49017159999999899</v>
      </c>
      <c r="F3507" t="s">
        <v>42</v>
      </c>
      <c r="G3507">
        <v>-489.02949999999998</v>
      </c>
      <c r="H3507" s="1">
        <v>-5.9809130000000003E-7</v>
      </c>
      <c r="I3507">
        <v>230.62569999999999</v>
      </c>
      <c r="J3507">
        <v>-496.9196</v>
      </c>
      <c r="K3507">
        <v>1.1368670000000001</v>
      </c>
      <c r="L3507">
        <v>248.75200000000001</v>
      </c>
      <c r="M3507">
        <v>0.49697380000000002</v>
      </c>
      <c r="N3507">
        <v>0</v>
      </c>
      <c r="O3507">
        <v>-0.86735309999999899</v>
      </c>
      <c r="P3507">
        <v>0.37006060000000002</v>
      </c>
      <c r="Q3507">
        <v>0.1471905</v>
      </c>
      <c r="R3507">
        <v>-0.91727380000000003</v>
      </c>
      <c r="S3507">
        <v>1.2254640000000001</v>
      </c>
      <c r="T3507">
        <v>-0.17382810000000001</v>
      </c>
      <c r="U3507">
        <v>-2.803375</v>
      </c>
      <c r="V3507">
        <v>0.13780390000000001</v>
      </c>
      <c r="W3507">
        <v>0.17108289999999901</v>
      </c>
      <c r="X3507">
        <v>0.97557199999999999</v>
      </c>
      <c r="Y3507">
        <v>0.1085175</v>
      </c>
      <c r="Z3507">
        <v>4.769135E-2</v>
      </c>
      <c r="AA3507">
        <v>0.99294990000000005</v>
      </c>
      <c r="AB3507">
        <v>34</v>
      </c>
      <c r="AC3507">
        <v>7.8901000000000101</v>
      </c>
      <c r="AD3507">
        <v>-1.1368675980912999</v>
      </c>
      <c r="AE3507">
        <v>-18.126300000000001</v>
      </c>
      <c r="AF3507">
        <v>2.1584303820884201</v>
      </c>
      <c r="AG3507">
        <v>-1.1368675980912999</v>
      </c>
      <c r="AH3507">
        <v>19.5853373408886</v>
      </c>
      <c r="AI3507">
        <v>93.3021649987638</v>
      </c>
      <c r="AJ3507">
        <v>83.711014817352705</v>
      </c>
      <c r="AK3507">
        <v>19.736684838298402</v>
      </c>
      <c r="AL3507">
        <v>80.149212893481803</v>
      </c>
      <c r="AM3507">
        <v>81.9599079649403</v>
      </c>
      <c r="AN3507">
        <v>1.0000000003558001</v>
      </c>
    </row>
    <row r="3508" spans="1:40" x14ac:dyDescent="0.25">
      <c r="A3508" t="str">
        <f>"20190312172145688"</f>
        <v>20190312172145688</v>
      </c>
      <c r="B3508" t="str">
        <f>"1552382505683667"</f>
        <v>1552382505683667</v>
      </c>
      <c r="C3508" t="s">
        <v>40</v>
      </c>
      <c r="D3508">
        <v>4.0106129999999904</v>
      </c>
      <c r="E3508">
        <v>0.4915505</v>
      </c>
      <c r="F3508" t="s">
        <v>45</v>
      </c>
      <c r="G3508">
        <v>-488.52390000000003</v>
      </c>
      <c r="H3508" s="1">
        <v>6.0377319999999998E-6</v>
      </c>
      <c r="I3508">
        <v>228.92689999999999</v>
      </c>
      <c r="J3508">
        <v>-496.8177</v>
      </c>
      <c r="K3508">
        <v>1.1346639999999999</v>
      </c>
      <c r="L3508">
        <v>248.56960000000001</v>
      </c>
      <c r="M3508">
        <v>0.49512040000000002</v>
      </c>
      <c r="N3508">
        <v>0</v>
      </c>
      <c r="O3508">
        <v>-0.86842019999999998</v>
      </c>
      <c r="P3508">
        <v>0.36532409999999998</v>
      </c>
      <c r="Q3508">
        <v>0.14806720000000001</v>
      </c>
      <c r="R3508">
        <v>-0.91902910000000004</v>
      </c>
      <c r="S3508">
        <v>1.1923220000000001</v>
      </c>
      <c r="T3508">
        <v>-0.1614505</v>
      </c>
      <c r="U3508">
        <v>-2.815445</v>
      </c>
      <c r="V3508">
        <v>0.14078209999999999</v>
      </c>
      <c r="W3508">
        <v>0.17158370000000001</v>
      </c>
      <c r="X3508">
        <v>0.97505869999999994</v>
      </c>
      <c r="Y3508">
        <v>0.11774660000000001</v>
      </c>
      <c r="Z3508">
        <v>4.4272720000000002E-2</v>
      </c>
      <c r="AA3508">
        <v>0.9920563</v>
      </c>
      <c r="AB3508">
        <v>34</v>
      </c>
      <c r="AC3508">
        <v>8.2937999999999708</v>
      </c>
      <c r="AD3508">
        <v>-1.134657962268</v>
      </c>
      <c r="AE3508">
        <v>-19.642700000000001</v>
      </c>
      <c r="AF3508">
        <v>2.5167570314717702</v>
      </c>
      <c r="AG3508">
        <v>-1.134657962268</v>
      </c>
      <c r="AH3508">
        <v>21.112193515510299</v>
      </c>
      <c r="AI3508">
        <v>93.054768932355202</v>
      </c>
      <c r="AJ3508">
        <v>83.201925610074099</v>
      </c>
      <c r="AK3508">
        <v>21.291928745023402</v>
      </c>
      <c r="AL3508">
        <v>80.120088675358303</v>
      </c>
      <c r="AM3508">
        <v>81.784227841022101</v>
      </c>
      <c r="AN3508">
        <v>1.00000001711589</v>
      </c>
    </row>
    <row r="3509" spans="1:40" x14ac:dyDescent="0.25">
      <c r="A3509" t="str">
        <f>"20190312172145707"</f>
        <v>20190312172145707</v>
      </c>
      <c r="B3509" t="str">
        <f>"1552382505704163"</f>
        <v>1552382505704163</v>
      </c>
      <c r="C3509" t="s">
        <v>40</v>
      </c>
      <c r="D3509">
        <v>4.3762819999999998</v>
      </c>
      <c r="E3509">
        <v>0.49240200000000001</v>
      </c>
      <c r="F3509" t="s">
        <v>45</v>
      </c>
      <c r="G3509">
        <v>-488.42700000000002</v>
      </c>
      <c r="H3509" s="1">
        <v>5.8147569999999997E-6</v>
      </c>
      <c r="I3509">
        <v>228.2903</v>
      </c>
      <c r="J3509">
        <v>-496.68310000000002</v>
      </c>
      <c r="K3509">
        <v>1.1319109999999999</v>
      </c>
      <c r="L3509">
        <v>248.327</v>
      </c>
      <c r="M3509">
        <v>0.49239250000000001</v>
      </c>
      <c r="N3509">
        <v>0</v>
      </c>
      <c r="O3509">
        <v>-0.86998310000000001</v>
      </c>
      <c r="P3509">
        <v>0.3581744</v>
      </c>
      <c r="Q3509">
        <v>0.15236549999999999</v>
      </c>
      <c r="R3509">
        <v>-0.92113849999999997</v>
      </c>
      <c r="S3509">
        <v>1.168884</v>
      </c>
      <c r="T3509">
        <v>-0.15806689999999901</v>
      </c>
      <c r="U3509">
        <v>-2.8250730000000002</v>
      </c>
      <c r="V3509">
        <v>0.1450891</v>
      </c>
      <c r="W3509">
        <v>0.17530019999999999</v>
      </c>
      <c r="X3509">
        <v>0.9737654</v>
      </c>
      <c r="Y3509">
        <v>0.12282510000000001</v>
      </c>
      <c r="Z3509">
        <v>4.3372639999999997E-2</v>
      </c>
      <c r="AA3509">
        <v>0.99148009999999998</v>
      </c>
      <c r="AB3509">
        <v>34</v>
      </c>
      <c r="AC3509">
        <v>8.2561000000000604</v>
      </c>
      <c r="AD3509">
        <v>-1.131905185243</v>
      </c>
      <c r="AE3509">
        <v>-20.0367</v>
      </c>
      <c r="AF3509">
        <v>2.6768620291901</v>
      </c>
      <c r="AG3509">
        <v>-1.131905185243</v>
      </c>
      <c r="AH3509">
        <v>21.445628293634599</v>
      </c>
      <c r="AI3509">
        <v>92.998058916943407</v>
      </c>
      <c r="AJ3509">
        <v>82.8850892424596</v>
      </c>
      <c r="AK3509">
        <v>21.641667509238701</v>
      </c>
      <c r="AL3509">
        <v>79.9038719521307</v>
      </c>
      <c r="AM3509">
        <v>81.525389519962701</v>
      </c>
      <c r="AN3509">
        <v>1.0000000306479999</v>
      </c>
    </row>
    <row r="3510" spans="1:40" x14ac:dyDescent="0.25">
      <c r="A3510" t="str">
        <f>"20190312172145720"</f>
        <v>20190312172145720</v>
      </c>
      <c r="B3510" t="str">
        <f>"1552382505713923"</f>
        <v>1552382505713923</v>
      </c>
      <c r="C3510" t="s">
        <v>40</v>
      </c>
      <c r="D3510">
        <v>3.9562200000000001</v>
      </c>
      <c r="E3510">
        <v>0.49958170000000002</v>
      </c>
      <c r="F3510" t="s">
        <v>45</v>
      </c>
      <c r="G3510">
        <v>-486.77519999999998</v>
      </c>
      <c r="H3510" s="1">
        <v>4.1220539999999999E-6</v>
      </c>
      <c r="I3510">
        <v>223.7894</v>
      </c>
      <c r="J3510">
        <v>-496.58390000000003</v>
      </c>
      <c r="K3510">
        <v>1.1299840000000001</v>
      </c>
      <c r="L3510">
        <v>248.14660000000001</v>
      </c>
      <c r="M3510">
        <v>0.49020419999999998</v>
      </c>
      <c r="N3510">
        <v>0</v>
      </c>
      <c r="O3510">
        <v>-0.87122900000000003</v>
      </c>
      <c r="P3510">
        <v>0.35434349999999998</v>
      </c>
      <c r="Q3510">
        <v>0.1547606</v>
      </c>
      <c r="R3510">
        <v>-0.92222020000000005</v>
      </c>
      <c r="S3510">
        <v>1.1441650000000001</v>
      </c>
      <c r="T3510">
        <v>-0.13071189999999999</v>
      </c>
      <c r="U3510">
        <v>-2.8335880000000002</v>
      </c>
      <c r="V3510">
        <v>0.1465428</v>
      </c>
      <c r="W3510">
        <v>0.17727299999999999</v>
      </c>
      <c r="X3510">
        <v>0.97319040000000001</v>
      </c>
      <c r="Y3510">
        <v>0.12866250000000001</v>
      </c>
      <c r="Z3510">
        <v>3.5894040000000002E-2</v>
      </c>
      <c r="AA3510">
        <v>0.99103859999999999</v>
      </c>
      <c r="AB3510">
        <v>34</v>
      </c>
      <c r="AC3510">
        <v>9.8087000000000408</v>
      </c>
      <c r="AD3510">
        <v>-1.129979877946</v>
      </c>
      <c r="AE3510">
        <v>-24.357199999999999</v>
      </c>
      <c r="AF3510">
        <v>3.3892218322699001</v>
      </c>
      <c r="AG3510">
        <v>-1.129979877946</v>
      </c>
      <c r="AH3510">
        <v>25.989427277160999</v>
      </c>
      <c r="AI3510">
        <v>92.468686667254502</v>
      </c>
      <c r="AJ3510">
        <v>82.5701169351603</v>
      </c>
      <c r="AK3510">
        <v>26.233833294959801</v>
      </c>
      <c r="AL3510">
        <v>79.789040442070899</v>
      </c>
      <c r="AM3510">
        <v>81.436748977464205</v>
      </c>
      <c r="AN3510">
        <v>1.0000000317064901</v>
      </c>
    </row>
    <row r="3511" spans="1:40" x14ac:dyDescent="0.25">
      <c r="A3511" t="str">
        <f>"20190312172145741"</f>
        <v>20190312172145741</v>
      </c>
      <c r="B3511" t="str">
        <f>"1552382505734419"</f>
        <v>1552382505734419</v>
      </c>
      <c r="C3511" t="s">
        <v>40</v>
      </c>
      <c r="D3511">
        <v>3.998129</v>
      </c>
      <c r="E3511">
        <v>0.49994699999999997</v>
      </c>
      <c r="F3511" t="s">
        <v>51</v>
      </c>
      <c r="G3511">
        <v>-470.7253</v>
      </c>
      <c r="H3511">
        <v>7.1350160000000002</v>
      </c>
      <c r="I3511">
        <v>180.59229999999999</v>
      </c>
      <c r="J3511">
        <v>-496.43740000000003</v>
      </c>
      <c r="K3511">
        <v>1.127386</v>
      </c>
      <c r="L3511">
        <v>247.87710000000001</v>
      </c>
      <c r="M3511">
        <v>0.48654029999999998</v>
      </c>
      <c r="N3511">
        <v>0</v>
      </c>
      <c r="O3511">
        <v>-0.87329859999999904</v>
      </c>
      <c r="P3511">
        <v>0.34840670000000001</v>
      </c>
      <c r="Q3511">
        <v>0.15706700000000001</v>
      </c>
      <c r="R3511">
        <v>-0.92409030000000003</v>
      </c>
      <c r="S3511">
        <v>1.0715939999999999</v>
      </c>
      <c r="T3511">
        <v>0.24885180000000001</v>
      </c>
      <c r="U3511">
        <v>-2.7994840000000001</v>
      </c>
      <c r="V3511">
        <v>0.1485042</v>
      </c>
      <c r="W3511">
        <v>0.1789617</v>
      </c>
      <c r="X3511">
        <v>0.9725838</v>
      </c>
      <c r="Y3511">
        <v>0.14321729999999899</v>
      </c>
      <c r="Z3511">
        <v>-6.9400149999999994E-2</v>
      </c>
      <c r="AA3511">
        <v>0.98725499999999999</v>
      </c>
      <c r="AB3511">
        <v>34</v>
      </c>
      <c r="AC3511">
        <v>25.7121</v>
      </c>
      <c r="AD3511">
        <v>6.0076299999999998</v>
      </c>
      <c r="AE3511">
        <v>-67.284800000000004</v>
      </c>
      <c r="AF3511">
        <v>10.214600977028001</v>
      </c>
      <c r="AG3511">
        <v>6.0076299999999998</v>
      </c>
      <c r="AH3511">
        <v>70.799585815326495</v>
      </c>
      <c r="AI3511">
        <v>85.199311294674899</v>
      </c>
      <c r="AJ3511">
        <v>81.790308357502894</v>
      </c>
      <c r="AK3511">
        <v>71.784476336869602</v>
      </c>
      <c r="AL3511">
        <v>79.690712570100303</v>
      </c>
      <c r="AM3511">
        <v>81.318538215975906</v>
      </c>
      <c r="AN3511">
        <v>1.00000001775348</v>
      </c>
    </row>
    <row r="3512" spans="1:40" x14ac:dyDescent="0.25">
      <c r="A3512" t="str">
        <f>"20190312172145752"</f>
        <v>20190312172145752</v>
      </c>
      <c r="B3512" t="str">
        <f>"1552382505744179"</f>
        <v>1552382505744179</v>
      </c>
      <c r="C3512" t="s">
        <v>40</v>
      </c>
      <c r="D3512">
        <v>4.1553440000000004</v>
      </c>
      <c r="E3512">
        <v>0.49974619999999997</v>
      </c>
      <c r="F3512" t="s">
        <v>51</v>
      </c>
      <c r="G3512">
        <v>-471.23</v>
      </c>
      <c r="H3512">
        <v>7.2263869999999999</v>
      </c>
      <c r="I3512">
        <v>180.5924</v>
      </c>
      <c r="J3512">
        <v>-496.34809999999999</v>
      </c>
      <c r="K3512">
        <v>1.125939</v>
      </c>
      <c r="L3512">
        <v>247.71080000000001</v>
      </c>
      <c r="M3512">
        <v>0.48404160000000002</v>
      </c>
      <c r="N3512">
        <v>0</v>
      </c>
      <c r="O3512">
        <v>-0.87469730000000001</v>
      </c>
      <c r="P3512">
        <v>0.34522009999999997</v>
      </c>
      <c r="Q3512">
        <v>0.15748679999999901</v>
      </c>
      <c r="R3512">
        <v>-0.92521439999999999</v>
      </c>
      <c r="S3512">
        <v>1.0515139999999901</v>
      </c>
      <c r="T3512">
        <v>0.25441649999999999</v>
      </c>
      <c r="U3512">
        <v>-2.8067470000000001</v>
      </c>
      <c r="V3512">
        <v>0.14897869999999999</v>
      </c>
      <c r="W3512">
        <v>0.17903669999999999</v>
      </c>
      <c r="X3512">
        <v>0.97249739999999996</v>
      </c>
      <c r="Y3512">
        <v>0.14745559999999999</v>
      </c>
      <c r="Z3512">
        <v>-7.0994009999999996E-2</v>
      </c>
      <c r="AA3512">
        <v>0.98651739999999999</v>
      </c>
      <c r="AB3512">
        <v>34</v>
      </c>
      <c r="AC3512">
        <v>25.118099999999899</v>
      </c>
      <c r="AD3512">
        <v>6.1004480000000001</v>
      </c>
      <c r="AE3512">
        <v>-67.118399999999994</v>
      </c>
      <c r="AF3512">
        <v>10.4448775502314</v>
      </c>
      <c r="AG3512">
        <v>6.1004480000000001</v>
      </c>
      <c r="AH3512">
        <v>70.378075015738901</v>
      </c>
      <c r="AI3512">
        <v>85.099333421564907</v>
      </c>
      <c r="AJ3512">
        <v>81.558297023993305</v>
      </c>
      <c r="AK3512">
        <v>71.409973923542395</v>
      </c>
      <c r="AL3512">
        <v>79.686344586482704</v>
      </c>
      <c r="AM3512">
        <v>81.290461997167597</v>
      </c>
      <c r="AN3512">
        <v>0.99999999300366904</v>
      </c>
    </row>
    <row r="3513" spans="1:40" x14ac:dyDescent="0.25">
      <c r="A3513" t="str">
        <f>"20190312172145765"</f>
        <v>20190312172145765</v>
      </c>
      <c r="B3513" t="str">
        <f>"1552382505753939"</f>
        <v>1552382505753939</v>
      </c>
      <c r="C3513" t="s">
        <v>40</v>
      </c>
      <c r="D3513">
        <v>3.9932720000000002</v>
      </c>
      <c r="E3513">
        <v>0.49972759999999999</v>
      </c>
      <c r="F3513" t="s">
        <v>51</v>
      </c>
      <c r="G3513">
        <v>-471.41860000000003</v>
      </c>
      <c r="H3513">
        <v>7.2251300000000001</v>
      </c>
      <c r="I3513">
        <v>180.5924</v>
      </c>
      <c r="J3513">
        <v>-496.25970000000001</v>
      </c>
      <c r="K3513">
        <v>1.124565</v>
      </c>
      <c r="L3513">
        <v>247.5454</v>
      </c>
      <c r="M3513">
        <v>0.48148580000000002</v>
      </c>
      <c r="N3513">
        <v>0</v>
      </c>
      <c r="O3513">
        <v>-0.8761177</v>
      </c>
      <c r="P3513">
        <v>0.34181440000000002</v>
      </c>
      <c r="Q3513">
        <v>0.15800600000000001</v>
      </c>
      <c r="R3513">
        <v>-0.92638929999999997</v>
      </c>
      <c r="S3513">
        <v>1.043579</v>
      </c>
      <c r="T3513">
        <v>0.25531969999999998</v>
      </c>
      <c r="U3513">
        <v>-2.8096619999999999</v>
      </c>
      <c r="V3513">
        <v>0.149611299999999</v>
      </c>
      <c r="W3513">
        <v>0.17920990000000001</v>
      </c>
      <c r="X3513">
        <v>0.97236840000000002</v>
      </c>
      <c r="Y3513">
        <v>0.14735390000000001</v>
      </c>
      <c r="Z3513">
        <v>-7.1383299999999997E-2</v>
      </c>
      <c r="AA3513">
        <v>0.98650459999999995</v>
      </c>
      <c r="AB3513">
        <v>34</v>
      </c>
      <c r="AC3513">
        <v>24.841099999999901</v>
      </c>
      <c r="AD3513">
        <v>6.1005649999999996</v>
      </c>
      <c r="AE3513">
        <v>-66.953000000000003</v>
      </c>
      <c r="AF3513">
        <v>10.400378891653499</v>
      </c>
      <c r="AG3513">
        <v>6.1005649999999996</v>
      </c>
      <c r="AH3513">
        <v>70.128380356330993</v>
      </c>
      <c r="AI3513">
        <v>85.081800606435394</v>
      </c>
      <c r="AJ3513">
        <v>81.564245677379901</v>
      </c>
      <c r="AK3513">
        <v>71.157392488844096</v>
      </c>
      <c r="AL3513">
        <v>79.676258074328203</v>
      </c>
      <c r="AM3513">
        <v>81.252907456741696</v>
      </c>
      <c r="AN3513">
        <v>1.00000001733213</v>
      </c>
    </row>
    <row r="3514" spans="1:40" x14ac:dyDescent="0.25">
      <c r="A3514" t="str">
        <f>"20190312172145780"</f>
        <v>20190312172145780</v>
      </c>
      <c r="B3514" t="str">
        <f>"1552382505774434"</f>
        <v>1552382505774434</v>
      </c>
      <c r="C3514" t="s">
        <v>40</v>
      </c>
      <c r="D3514">
        <v>4.3756180000000002</v>
      </c>
      <c r="E3514">
        <v>0.50004680000000001</v>
      </c>
      <c r="F3514" t="s">
        <v>51</v>
      </c>
      <c r="G3514">
        <v>-471.65159999999997</v>
      </c>
      <c r="H3514">
        <v>7.2405390000000001</v>
      </c>
      <c r="I3514">
        <v>180.5924</v>
      </c>
      <c r="J3514">
        <v>-496.1576</v>
      </c>
      <c r="K3514">
        <v>1.123041</v>
      </c>
      <c r="L3514">
        <v>247.35300000000001</v>
      </c>
      <c r="M3514">
        <v>0.47840769999999999</v>
      </c>
      <c r="N3514">
        <v>0</v>
      </c>
      <c r="O3514">
        <v>-0.87781489999999995</v>
      </c>
      <c r="P3514">
        <v>0.3379047</v>
      </c>
      <c r="Q3514">
        <v>0.16030039999999901</v>
      </c>
      <c r="R3514">
        <v>-0.92742899999999995</v>
      </c>
      <c r="S3514">
        <v>1.0339050000000001</v>
      </c>
      <c r="T3514">
        <v>0.2569613</v>
      </c>
      <c r="U3514">
        <v>-2.8130190000000002</v>
      </c>
      <c r="V3514">
        <v>0.15005829999999901</v>
      </c>
      <c r="W3514">
        <v>0.18110100000000001</v>
      </c>
      <c r="X3514">
        <v>0.97194899999999995</v>
      </c>
      <c r="Y3514">
        <v>0.14726149999999999</v>
      </c>
      <c r="Z3514">
        <v>-7.2009470000000006E-2</v>
      </c>
      <c r="AA3514">
        <v>0.98647280000000004</v>
      </c>
      <c r="AB3514">
        <v>34</v>
      </c>
      <c r="AC3514">
        <v>24.506</v>
      </c>
      <c r="AD3514">
        <v>6.1174980000000003</v>
      </c>
      <c r="AE3514">
        <v>-66.760599999999897</v>
      </c>
      <c r="AF3514">
        <v>10.3533995602904</v>
      </c>
      <c r="AG3514">
        <v>6.1174980000000003</v>
      </c>
      <c r="AH3514">
        <v>69.830537354723901</v>
      </c>
      <c r="AI3514">
        <v>85.047257156860695</v>
      </c>
      <c r="AJ3514">
        <v>81.566499879232197</v>
      </c>
      <c r="AK3514">
        <v>70.858454763595503</v>
      </c>
      <c r="AL3514">
        <v>79.566103097054693</v>
      </c>
      <c r="AM3514">
        <v>81.223452774289299</v>
      </c>
      <c r="AN3514">
        <v>0.99999996210044395</v>
      </c>
    </row>
    <row r="3515" spans="1:40" x14ac:dyDescent="0.25">
      <c r="A3515" t="str">
        <f>"20190312172145799"</f>
        <v>20190312172145799</v>
      </c>
      <c r="B3515" t="str">
        <f>"1552382505793955"</f>
        <v>1552382505793955</v>
      </c>
      <c r="C3515" t="s">
        <v>40</v>
      </c>
      <c r="D3515">
        <v>4.1184450000000004</v>
      </c>
      <c r="E3515">
        <v>0.49764409999999998</v>
      </c>
      <c r="F3515" t="s">
        <v>51</v>
      </c>
      <c r="G3515">
        <v>-471.9821</v>
      </c>
      <c r="H3515">
        <v>7.3041499999999999</v>
      </c>
      <c r="I3515">
        <v>180.5924</v>
      </c>
      <c r="J3515">
        <v>-496.0215</v>
      </c>
      <c r="K3515">
        <v>1.1211450000000001</v>
      </c>
      <c r="L3515">
        <v>247.09360000000001</v>
      </c>
      <c r="M3515">
        <v>0.47416239999999998</v>
      </c>
      <c r="N3515">
        <v>0</v>
      </c>
      <c r="O3515">
        <v>-0.88013240000000004</v>
      </c>
      <c r="P3515">
        <v>0.33308690000000002</v>
      </c>
      <c r="Q3515">
        <v>0.17022509999999999</v>
      </c>
      <c r="R3515">
        <v>-0.92740359999999999</v>
      </c>
      <c r="S3515">
        <v>1.020416</v>
      </c>
      <c r="T3515">
        <v>0.2608973</v>
      </c>
      <c r="U3515">
        <v>-2.8178860000000001</v>
      </c>
      <c r="V3515">
        <v>0.14961849999999999</v>
      </c>
      <c r="W3515">
        <v>0.19044829999999999</v>
      </c>
      <c r="X3515">
        <v>0.97022870000000005</v>
      </c>
      <c r="Y3515">
        <v>0.14723</v>
      </c>
      <c r="Z3515">
        <v>-7.3333679999999998E-2</v>
      </c>
      <c r="AA3515">
        <v>0.98638000000000003</v>
      </c>
      <c r="AB3515">
        <v>34</v>
      </c>
      <c r="AC3515">
        <v>24.039400000000001</v>
      </c>
      <c r="AD3515">
        <v>6.1830049999999996</v>
      </c>
      <c r="AE3515">
        <v>-66.501199999999997</v>
      </c>
      <c r="AF3515">
        <v>10.2985632098667</v>
      </c>
      <c r="AG3515">
        <v>6.1830049999999996</v>
      </c>
      <c r="AH3515">
        <v>69.416502650316005</v>
      </c>
      <c r="AI3515">
        <v>84.964856800110596</v>
      </c>
      <c r="AJ3515">
        <v>81.5612096380612</v>
      </c>
      <c r="AK3515">
        <v>70.448142595947701</v>
      </c>
      <c r="AL3515">
        <v>79.021052270096902</v>
      </c>
      <c r="AM3515">
        <v>81.233500996172296</v>
      </c>
      <c r="AN3515">
        <v>0.99999999040941501</v>
      </c>
    </row>
    <row r="3516" spans="1:40" x14ac:dyDescent="0.25">
      <c r="A3516" t="str">
        <f>"20190312172145821"</f>
        <v>20190312172145821</v>
      </c>
      <c r="B3516" t="str">
        <f>"1552382505814452"</f>
        <v>1552382505814452</v>
      </c>
      <c r="C3516" t="s">
        <v>40</v>
      </c>
      <c r="D3516">
        <v>4.1023899999999998</v>
      </c>
      <c r="E3516">
        <v>0.49813000000000002</v>
      </c>
      <c r="F3516" t="s">
        <v>42</v>
      </c>
      <c r="G3516">
        <v>-489.73480000000001</v>
      </c>
      <c r="H3516" s="1">
        <v>-6.2128750000000006E-8</v>
      </c>
      <c r="I3516">
        <v>229.6233</v>
      </c>
      <c r="J3516">
        <v>-495.8775</v>
      </c>
      <c r="K3516">
        <v>1.119224</v>
      </c>
      <c r="L3516">
        <v>246.81549999999999</v>
      </c>
      <c r="M3516">
        <v>0.4696012</v>
      </c>
      <c r="N3516">
        <v>0</v>
      </c>
      <c r="O3516">
        <v>-0.88259209999999999</v>
      </c>
      <c r="P3516">
        <v>0.32892840000000001</v>
      </c>
      <c r="Q3516">
        <v>0.1803044</v>
      </c>
      <c r="R3516">
        <v>-0.92698239999999998</v>
      </c>
      <c r="S3516">
        <v>1.041687</v>
      </c>
      <c r="T3516">
        <v>-0.18577099999999999</v>
      </c>
      <c r="U3516">
        <v>-2.8947910000000001</v>
      </c>
      <c r="V3516">
        <v>0.14810809999999999</v>
      </c>
      <c r="W3516">
        <v>0.1998984</v>
      </c>
      <c r="X3516">
        <v>0.96855800000000003</v>
      </c>
      <c r="Y3516">
        <v>0.14355709999999999</v>
      </c>
      <c r="Z3516">
        <v>5.1176949999999999E-2</v>
      </c>
      <c r="AA3516">
        <v>0.98831789999999997</v>
      </c>
      <c r="AB3516">
        <v>34</v>
      </c>
      <c r="AC3516">
        <v>6.1426999999999898</v>
      </c>
      <c r="AD3516">
        <v>-1.1192240621287499</v>
      </c>
      <c r="AE3516">
        <v>-17.1921999999999</v>
      </c>
      <c r="AF3516">
        <v>2.64271816721303</v>
      </c>
      <c r="AG3516">
        <v>-1.1192240621287499</v>
      </c>
      <c r="AH3516">
        <v>17.9952569602045</v>
      </c>
      <c r="AI3516">
        <v>93.521283268189904</v>
      </c>
      <c r="AJ3516">
        <v>81.645468225914897</v>
      </c>
      <c r="AK3516">
        <v>18.222675294159099</v>
      </c>
      <c r="AL3516">
        <v>78.4689820710433</v>
      </c>
      <c r="AM3516">
        <v>81.305901756996604</v>
      </c>
      <c r="AN3516">
        <v>0.99999998948608504</v>
      </c>
    </row>
    <row r="3517" spans="1:40" x14ac:dyDescent="0.25">
      <c r="A3517" t="str">
        <f>"20190312172145842"</f>
        <v>20190312172145842</v>
      </c>
      <c r="B3517" t="str">
        <f>"1552382505833972"</f>
        <v>1552382505833972</v>
      </c>
      <c r="C3517" t="s">
        <v>40</v>
      </c>
      <c r="D3517">
        <v>4.0739879999999999</v>
      </c>
      <c r="E3517">
        <v>0.49820379999999997</v>
      </c>
      <c r="F3517" t="s">
        <v>45</v>
      </c>
      <c r="G3517">
        <v>-488.1927</v>
      </c>
      <c r="H3517" s="1">
        <v>4.8034240000000003E-6</v>
      </c>
      <c r="I3517">
        <v>225.11779999999999</v>
      </c>
      <c r="J3517">
        <v>-495.72590000000002</v>
      </c>
      <c r="K3517">
        <v>1.117324</v>
      </c>
      <c r="L3517">
        <v>246.51859999999999</v>
      </c>
      <c r="M3517">
        <v>0.46473399999999998</v>
      </c>
      <c r="N3517">
        <v>0</v>
      </c>
      <c r="O3517">
        <v>-0.88518330000000001</v>
      </c>
      <c r="P3517">
        <v>0.32628570000000001</v>
      </c>
      <c r="Q3517">
        <v>0.18581700000000001</v>
      </c>
      <c r="R3517">
        <v>-0.92682799999999999</v>
      </c>
      <c r="S3517">
        <v>1.0274049999999999</v>
      </c>
      <c r="T3517">
        <v>-0.1496326</v>
      </c>
      <c r="U3517">
        <v>-2.9008479999999999</v>
      </c>
      <c r="V3517">
        <v>0.1450254</v>
      </c>
      <c r="W3517">
        <v>0.2047689</v>
      </c>
      <c r="X3517">
        <v>0.9680069</v>
      </c>
      <c r="Y3517">
        <v>0.14290229999999901</v>
      </c>
      <c r="Z3517">
        <v>4.1382750000000003E-2</v>
      </c>
      <c r="AA3517">
        <v>0.98887130000000001</v>
      </c>
      <c r="AB3517">
        <v>33</v>
      </c>
      <c r="AC3517">
        <v>7.5332000000000203</v>
      </c>
      <c r="AD3517">
        <v>-1.1173191965760001</v>
      </c>
      <c r="AE3517">
        <v>-21.4008</v>
      </c>
      <c r="AF3517">
        <v>3.2702603329515099</v>
      </c>
      <c r="AG3517">
        <v>-1.1173191965760001</v>
      </c>
      <c r="AH3517">
        <v>22.395557367279299</v>
      </c>
      <c r="AI3517">
        <v>92.826207917893498</v>
      </c>
      <c r="AJ3517">
        <v>81.692229902222493</v>
      </c>
      <c r="AK3517">
        <v>22.6606265276009</v>
      </c>
      <c r="AL3517">
        <v>78.184029152303694</v>
      </c>
      <c r="AM3517">
        <v>81.479401639597597</v>
      </c>
      <c r="AN3517">
        <v>1.00000001374999</v>
      </c>
    </row>
    <row r="3518" spans="1:40" x14ac:dyDescent="0.25">
      <c r="A3518" t="str">
        <f>"20190312172145864"</f>
        <v>20190312172145864</v>
      </c>
      <c r="B3518" t="str">
        <f>"1552382505854467"</f>
        <v>1552382505854467</v>
      </c>
      <c r="C3518" t="s">
        <v>40</v>
      </c>
      <c r="D3518">
        <v>4.27189</v>
      </c>
      <c r="E3518">
        <v>0.49880760000000002</v>
      </c>
      <c r="F3518" t="s">
        <v>45</v>
      </c>
      <c r="G3518">
        <v>-487.17700000000002</v>
      </c>
      <c r="H3518" s="1">
        <v>3.7127399999999999E-6</v>
      </c>
      <c r="I3518">
        <v>222.18049999999999</v>
      </c>
      <c r="J3518">
        <v>-495.5772</v>
      </c>
      <c r="K3518">
        <v>1.115637</v>
      </c>
      <c r="L3518">
        <v>246.22309999999999</v>
      </c>
      <c r="M3518">
        <v>0.45987129999999998</v>
      </c>
      <c r="N3518">
        <v>0</v>
      </c>
      <c r="O3518">
        <v>-0.88773639999999998</v>
      </c>
      <c r="P3518">
        <v>0.32603549999999998</v>
      </c>
      <c r="Q3518">
        <v>0.18792590000000001</v>
      </c>
      <c r="R3518">
        <v>-0.92649060000000005</v>
      </c>
      <c r="S3518">
        <v>1.0201720000000001</v>
      </c>
      <c r="T3518">
        <v>-0.13333449999999999</v>
      </c>
      <c r="U3518">
        <v>-2.9043730000000001</v>
      </c>
      <c r="V3518">
        <v>0.13971979999999901</v>
      </c>
      <c r="W3518">
        <v>0.20630509999999999</v>
      </c>
      <c r="X3518">
        <v>0.96846089999999996</v>
      </c>
      <c r="Y3518">
        <v>0.1399685</v>
      </c>
      <c r="Z3518">
        <v>3.7027089999999999E-2</v>
      </c>
      <c r="AA3518">
        <v>0.98946339999999999</v>
      </c>
      <c r="AB3518">
        <v>33</v>
      </c>
      <c r="AC3518">
        <v>8.4002000000000407</v>
      </c>
      <c r="AD3518">
        <v>-1.1156332872600001</v>
      </c>
      <c r="AE3518">
        <v>-24.0426</v>
      </c>
      <c r="AF3518">
        <v>3.5932397985023399</v>
      </c>
      <c r="AG3518">
        <v>-1.1156332872600001</v>
      </c>
      <c r="AH3518">
        <v>25.1637929199646</v>
      </c>
      <c r="AI3518">
        <v>92.5130795652004</v>
      </c>
      <c r="AJ3518">
        <v>81.873440568783494</v>
      </c>
      <c r="AK3518">
        <v>25.443515558979701</v>
      </c>
      <c r="AL3518">
        <v>78.094090552153901</v>
      </c>
      <c r="AM3518">
        <v>81.790584780994706</v>
      </c>
      <c r="AN3518">
        <v>0.99999996581342898</v>
      </c>
    </row>
    <row r="3519" spans="1:40" x14ac:dyDescent="0.25">
      <c r="A3519" t="str">
        <f>"20190312172145885"</f>
        <v>20190312172145885</v>
      </c>
      <c r="B3519" t="str">
        <f>"1552382505873987"</f>
        <v>1552382505873987</v>
      </c>
      <c r="C3519" t="s">
        <v>40</v>
      </c>
      <c r="D3519">
        <v>4.0325559999999996</v>
      </c>
      <c r="E3519">
        <v>0.49950070000000002</v>
      </c>
      <c r="F3519" t="s">
        <v>45</v>
      </c>
      <c r="G3519">
        <v>-487.98610000000002</v>
      </c>
      <c r="H3519" s="1">
        <v>4.5783489999999997E-6</v>
      </c>
      <c r="I3519">
        <v>224.3955</v>
      </c>
      <c r="J3519">
        <v>-495.43700000000001</v>
      </c>
      <c r="K3519">
        <v>1.1142019999999999</v>
      </c>
      <c r="L3519">
        <v>245.94030000000001</v>
      </c>
      <c r="M3519">
        <v>0.45514719999999997</v>
      </c>
      <c r="N3519">
        <v>0</v>
      </c>
      <c r="O3519">
        <v>-0.8901831</v>
      </c>
      <c r="P3519">
        <v>0.32906390000000002</v>
      </c>
      <c r="Q3519">
        <v>0.1877962</v>
      </c>
      <c r="R3519">
        <v>-0.92544599999999999</v>
      </c>
      <c r="S3519">
        <v>1.0126649999999999</v>
      </c>
      <c r="T3519">
        <v>-0.14882719999999999</v>
      </c>
      <c r="U3519">
        <v>-2.911835</v>
      </c>
      <c r="V3519">
        <v>0.1313125</v>
      </c>
      <c r="W3519">
        <v>0.20571909999999999</v>
      </c>
      <c r="X3519">
        <v>0.96976110000000004</v>
      </c>
      <c r="Y3519">
        <v>0.1378286</v>
      </c>
      <c r="Z3519">
        <v>4.1416950000000001E-2</v>
      </c>
      <c r="AA3519">
        <v>0.98958979999999996</v>
      </c>
      <c r="AB3519">
        <v>33</v>
      </c>
      <c r="AC3519">
        <v>7.4508999999999297</v>
      </c>
      <c r="AD3519">
        <v>-1.114197421651</v>
      </c>
      <c r="AE3519">
        <v>-21.544799999999999</v>
      </c>
      <c r="AF3519">
        <v>3.1664848981618499</v>
      </c>
      <c r="AG3519">
        <v>-1.114197421651</v>
      </c>
      <c r="AH3519">
        <v>22.520961075288501</v>
      </c>
      <c r="AI3519">
        <v>92.804787026136196</v>
      </c>
      <c r="AJ3519">
        <v>81.996581534502596</v>
      </c>
      <c r="AK3519">
        <v>22.769755164677498</v>
      </c>
      <c r="AL3519">
        <v>78.128401758525499</v>
      </c>
      <c r="AM3519">
        <v>82.288648066080199</v>
      </c>
      <c r="AN3519">
        <v>0.99999995591713398</v>
      </c>
    </row>
    <row r="3520" spans="1:40" x14ac:dyDescent="0.25">
      <c r="A3520" t="str">
        <f>"20190312172145898"</f>
        <v>20190312172145898</v>
      </c>
      <c r="B3520" t="str">
        <f>"1552382505894483"</f>
        <v>1552382505894483</v>
      </c>
      <c r="C3520" t="s">
        <v>40</v>
      </c>
      <c r="D3520">
        <v>4.1495230000000003</v>
      </c>
      <c r="E3520">
        <v>0.49974089999999999</v>
      </c>
      <c r="F3520" t="s">
        <v>45</v>
      </c>
      <c r="G3520">
        <v>-487.24180000000001</v>
      </c>
      <c r="H3520" s="1">
        <v>3.7959930000000002E-6</v>
      </c>
      <c r="I3520">
        <v>222.40289999999999</v>
      </c>
      <c r="J3520">
        <v>-495.35329999999999</v>
      </c>
      <c r="K3520">
        <v>1.113416</v>
      </c>
      <c r="L3520">
        <v>245.77019999999999</v>
      </c>
      <c r="M3520">
        <v>0.45226240000000001</v>
      </c>
      <c r="N3520">
        <v>0</v>
      </c>
      <c r="O3520">
        <v>-0.89166049999999997</v>
      </c>
      <c r="P3520">
        <v>0.32924690000000001</v>
      </c>
      <c r="Q3520">
        <v>0.18850430000000001</v>
      </c>
      <c r="R3520">
        <v>-0.92523659999999996</v>
      </c>
      <c r="S3520">
        <v>1.0129999999999999</v>
      </c>
      <c r="T3520">
        <v>-0.13772490000000001</v>
      </c>
      <c r="U3520">
        <v>-2.9094389999999999</v>
      </c>
      <c r="V3520">
        <v>0.1278754</v>
      </c>
      <c r="W3520">
        <v>0.20613339999999999</v>
      </c>
      <c r="X3520">
        <v>0.97013240000000001</v>
      </c>
      <c r="Y3520">
        <v>0.1342187</v>
      </c>
      <c r="Z3520">
        <v>3.8471430000000001E-2</v>
      </c>
      <c r="AA3520">
        <v>0.99020469999999905</v>
      </c>
      <c r="AB3520">
        <v>33</v>
      </c>
      <c r="AC3520">
        <v>8.1114999999999693</v>
      </c>
      <c r="AD3520">
        <v>-1.113412204007</v>
      </c>
      <c r="AE3520">
        <v>-23.3673</v>
      </c>
      <c r="AF3520">
        <v>3.3293687999661499</v>
      </c>
      <c r="AG3520">
        <v>-1.113412204007</v>
      </c>
      <c r="AH3520">
        <v>24.459570452698401</v>
      </c>
      <c r="AI3520">
        <v>92.582551944502399</v>
      </c>
      <c r="AJ3520">
        <v>82.248695157328399</v>
      </c>
      <c r="AK3520">
        <v>24.710219951929599</v>
      </c>
      <c r="AL3520">
        <v>78.1041445676764</v>
      </c>
      <c r="AM3520">
        <v>82.490999184165801</v>
      </c>
      <c r="AN3520">
        <v>0.99999998502523901</v>
      </c>
    </row>
    <row r="3521" spans="1:40" x14ac:dyDescent="0.25">
      <c r="A3521" t="str">
        <f>"20190312172145911"</f>
        <v>20190312172145911</v>
      </c>
      <c r="B3521" t="str">
        <f>"1552382505904243"</f>
        <v>1552382505904243</v>
      </c>
      <c r="C3521" t="s">
        <v>40</v>
      </c>
      <c r="D3521">
        <v>4.03979</v>
      </c>
      <c r="E3521">
        <v>0.50006059999999997</v>
      </c>
      <c r="F3521" t="s">
        <v>45</v>
      </c>
      <c r="G3521">
        <v>-487.7285</v>
      </c>
      <c r="H3521" s="1">
        <v>4.3452310000000001E-6</v>
      </c>
      <c r="I3521">
        <v>223.82740000000001</v>
      </c>
      <c r="J3521">
        <v>-495.26949999999999</v>
      </c>
      <c r="K3521">
        <v>1.1126940000000001</v>
      </c>
      <c r="L3521">
        <v>245.5975</v>
      </c>
      <c r="M3521">
        <v>0.4492814</v>
      </c>
      <c r="N3521">
        <v>0</v>
      </c>
      <c r="O3521">
        <v>-0.89317449999999998</v>
      </c>
      <c r="P3521">
        <v>0.3294781</v>
      </c>
      <c r="Q3521">
        <v>0.18929070000000001</v>
      </c>
      <c r="R3521">
        <v>-0.92499390000000004</v>
      </c>
      <c r="S3521">
        <v>1.012024</v>
      </c>
      <c r="T3521">
        <v>-0.14778139999999901</v>
      </c>
      <c r="U3521">
        <v>-2.9124300000000001</v>
      </c>
      <c r="V3521">
        <v>0.1242853</v>
      </c>
      <c r="W3521">
        <v>0.20664009999999999</v>
      </c>
      <c r="X3521">
        <v>0.97049110000000005</v>
      </c>
      <c r="Y3521">
        <v>0.13155790000000001</v>
      </c>
      <c r="Z3521">
        <v>4.1352229999999997E-2</v>
      </c>
      <c r="AA3521">
        <v>0.99044560000000004</v>
      </c>
      <c r="AB3521">
        <v>33</v>
      </c>
      <c r="AC3521">
        <v>7.5409999999999897</v>
      </c>
      <c r="AD3521">
        <v>-1.1126896547689999</v>
      </c>
      <c r="AE3521">
        <v>-21.7700999999999</v>
      </c>
      <c r="AF3521">
        <v>3.0389710666924401</v>
      </c>
      <c r="AG3521">
        <v>-1.1126896547689999</v>
      </c>
      <c r="AH3521">
        <v>22.7837896269575</v>
      </c>
      <c r="AI3521">
        <v>92.771421100476005</v>
      </c>
      <c r="AJ3521">
        <v>82.402558553362894</v>
      </c>
      <c r="AK3521">
        <v>23.012485593205199</v>
      </c>
      <c r="AL3521">
        <v>78.074473832496693</v>
      </c>
      <c r="AM3521">
        <v>82.702176862570795</v>
      </c>
      <c r="AN3521">
        <v>0.99999997095165405</v>
      </c>
    </row>
    <row r="3522" spans="1:40" x14ac:dyDescent="0.25">
      <c r="A3522" t="str">
        <f>"20190312172145930"</f>
        <v>20190312172145930</v>
      </c>
      <c r="B3522" t="str">
        <f>"1552382505923763"</f>
        <v>1552382505923763</v>
      </c>
      <c r="C3522" t="s">
        <v>40</v>
      </c>
      <c r="D3522">
        <v>4.1798659999999996</v>
      </c>
      <c r="E3522">
        <v>0.50048040000000005</v>
      </c>
      <c r="F3522" t="s">
        <v>45</v>
      </c>
      <c r="G3522">
        <v>-487.51310000000001</v>
      </c>
      <c r="H3522" s="1">
        <v>4.1165429999999996E-6</v>
      </c>
      <c r="I3522">
        <v>223.24340000000001</v>
      </c>
      <c r="J3522">
        <v>-495.14159999999998</v>
      </c>
      <c r="K3522">
        <v>1.111659</v>
      </c>
      <c r="L3522">
        <v>245.33160000000001</v>
      </c>
      <c r="M3522">
        <v>0.44462170000000001</v>
      </c>
      <c r="N3522">
        <v>0</v>
      </c>
      <c r="O3522">
        <v>-0.89551480000000006</v>
      </c>
      <c r="P3522">
        <v>0.331065</v>
      </c>
      <c r="Q3522">
        <v>0.191943</v>
      </c>
      <c r="R3522">
        <v>-0.92388000000000003</v>
      </c>
      <c r="S3522">
        <v>1.0107120000000001</v>
      </c>
      <c r="T3522">
        <v>-0.14499219999999999</v>
      </c>
      <c r="U3522">
        <v>-2.9129179999999999</v>
      </c>
      <c r="V3522">
        <v>0.11728909999999999</v>
      </c>
      <c r="W3522">
        <v>0.20890329999999999</v>
      </c>
      <c r="X3522">
        <v>0.97087730000000005</v>
      </c>
      <c r="Y3522">
        <v>0.1268262</v>
      </c>
      <c r="Z3522">
        <v>4.0746930000000001E-2</v>
      </c>
      <c r="AA3522">
        <v>0.99108770000000002</v>
      </c>
      <c r="AB3522">
        <v>33</v>
      </c>
      <c r="AC3522">
        <v>7.6284999999999696</v>
      </c>
      <c r="AD3522">
        <v>-1.1116548834569999</v>
      </c>
      <c r="AE3522">
        <v>-22.088200000000001</v>
      </c>
      <c r="AF3522">
        <v>2.98325273348732</v>
      </c>
      <c r="AG3522">
        <v>-1.1116548834569999</v>
      </c>
      <c r="AH3522">
        <v>23.1240049698634</v>
      </c>
      <c r="AI3522">
        <v>92.729709157985795</v>
      </c>
      <c r="AJ3522">
        <v>82.648814481726305</v>
      </c>
      <c r="AK3522">
        <v>23.342133135128002</v>
      </c>
      <c r="AL3522">
        <v>77.941909754902596</v>
      </c>
      <c r="AM3522">
        <v>83.111630661917403</v>
      </c>
      <c r="AN3522">
        <v>1.00000002669249</v>
      </c>
    </row>
    <row r="3523" spans="1:40" x14ac:dyDescent="0.25">
      <c r="A3523" t="str">
        <f>"20190312172145943"</f>
        <v>20190312172145943</v>
      </c>
      <c r="B3523" t="str">
        <f>"1552382505933523"</f>
        <v>1552382505933523</v>
      </c>
      <c r="C3523" t="s">
        <v>40</v>
      </c>
      <c r="D3523">
        <v>3.96183</v>
      </c>
      <c r="E3523">
        <v>0.50087789999999999</v>
      </c>
      <c r="F3523" t="s">
        <v>45</v>
      </c>
      <c r="G3523">
        <v>-486.65730000000002</v>
      </c>
      <c r="H3523" s="1">
        <v>3.2411120000000001E-6</v>
      </c>
      <c r="I3523">
        <v>220.93510000000001</v>
      </c>
      <c r="J3523">
        <v>-495.05680000000001</v>
      </c>
      <c r="K3523">
        <v>1.111029</v>
      </c>
      <c r="L3523">
        <v>245.15350000000001</v>
      </c>
      <c r="M3523">
        <v>0.44145380000000001</v>
      </c>
      <c r="N3523">
        <v>0</v>
      </c>
      <c r="O3523">
        <v>-0.89708750000000004</v>
      </c>
      <c r="P3523">
        <v>0.33096520000000001</v>
      </c>
      <c r="Q3523">
        <v>0.19355420000000001</v>
      </c>
      <c r="R3523">
        <v>-0.92357959999999995</v>
      </c>
      <c r="S3523">
        <v>1.0126649999999999</v>
      </c>
      <c r="T3523">
        <v>-0.132684</v>
      </c>
      <c r="U3523">
        <v>-2.911896</v>
      </c>
      <c r="V3523">
        <v>0.11380319999999999</v>
      </c>
      <c r="W3523">
        <v>0.21024979999999999</v>
      </c>
      <c r="X3523">
        <v>0.97100149999999996</v>
      </c>
      <c r="Y3523">
        <v>0.12256740000000001</v>
      </c>
      <c r="Z3523">
        <v>3.7414959999999997E-2</v>
      </c>
      <c r="AA3523">
        <v>0.99175469999999999</v>
      </c>
      <c r="AB3523">
        <v>33</v>
      </c>
      <c r="AC3523">
        <v>8.3994999999999802</v>
      </c>
      <c r="AD3523">
        <v>-1.1110257588879999</v>
      </c>
      <c r="AE3523">
        <v>-24.218399999999999</v>
      </c>
      <c r="AF3523">
        <v>3.1508556624925701</v>
      </c>
      <c r="AG3523">
        <v>-1.1110257588879999</v>
      </c>
      <c r="AH3523">
        <v>25.3908012902275</v>
      </c>
      <c r="AI3523">
        <v>92.486446666091695</v>
      </c>
      <c r="AJ3523">
        <v>82.926079437224701</v>
      </c>
      <c r="AK3523">
        <v>25.6096673114391</v>
      </c>
      <c r="AL3523">
        <v>77.863008808160501</v>
      </c>
      <c r="AM3523">
        <v>83.315323216125407</v>
      </c>
      <c r="AN3523">
        <v>1.0000000298662599</v>
      </c>
    </row>
    <row r="3524" spans="1:40" x14ac:dyDescent="0.25">
      <c r="A3524" t="str">
        <f>"20190312172145954"</f>
        <v>20190312172145954</v>
      </c>
      <c r="B3524" t="str">
        <f>"1552382505944260"</f>
        <v>1552382505944260</v>
      </c>
      <c r="C3524" t="s">
        <v>40</v>
      </c>
      <c r="D3524">
        <v>4.0527470000000001</v>
      </c>
      <c r="E3524">
        <v>0.50103729999999902</v>
      </c>
      <c r="F3524" t="s">
        <v>45</v>
      </c>
      <c r="G3524">
        <v>-486.05739999999997</v>
      </c>
      <c r="H3524" s="1">
        <v>2.8237819999999999E-6</v>
      </c>
      <c r="I3524">
        <v>219.1738</v>
      </c>
      <c r="J3524">
        <v>-494.98099999999999</v>
      </c>
      <c r="K3524">
        <v>1.1105050000000001</v>
      </c>
      <c r="L3524">
        <v>244.99250000000001</v>
      </c>
      <c r="M3524">
        <v>0.43855739999999999</v>
      </c>
      <c r="N3524">
        <v>0</v>
      </c>
      <c r="O3524">
        <v>-0.8985128</v>
      </c>
      <c r="P3524">
        <v>0.33152910000000002</v>
      </c>
      <c r="Q3524">
        <v>0.19475049999999999</v>
      </c>
      <c r="R3524">
        <v>-0.923126</v>
      </c>
      <c r="S3524">
        <v>1.008972</v>
      </c>
      <c r="T3524">
        <v>-0.12456349999999999</v>
      </c>
      <c r="U3524">
        <v>-2.9127350000000001</v>
      </c>
      <c r="V3524">
        <v>0.10995580000000001</v>
      </c>
      <c r="W3524">
        <v>0.21123430000000001</v>
      </c>
      <c r="X3524">
        <v>0.97123110000000001</v>
      </c>
      <c r="Y3524">
        <v>0.12054429999999999</v>
      </c>
      <c r="Z3524">
        <v>3.5216030000000002E-2</v>
      </c>
      <c r="AA3524">
        <v>0.9920831</v>
      </c>
      <c r="AB3524">
        <v>33</v>
      </c>
      <c r="AC3524">
        <v>8.92360000000002</v>
      </c>
      <c r="AD3524">
        <v>-1.1105021762179901</v>
      </c>
      <c r="AE3524">
        <v>-25.8187</v>
      </c>
      <c r="AF3524">
        <v>3.3001249571231499</v>
      </c>
      <c r="AG3524">
        <v>-1.1105021762179901</v>
      </c>
      <c r="AH3524">
        <v>27.071844271661401</v>
      </c>
      <c r="AI3524">
        <v>92.331745970608196</v>
      </c>
      <c r="AJ3524">
        <v>83.0497941888772</v>
      </c>
      <c r="AK3524">
        <v>27.294849185974599</v>
      </c>
      <c r="AL3524">
        <v>77.805305170876196</v>
      </c>
      <c r="AM3524">
        <v>83.540886015026004</v>
      </c>
      <c r="AN3524">
        <v>1.0000000285286601</v>
      </c>
    </row>
    <row r="3525" spans="1:40" x14ac:dyDescent="0.25">
      <c r="A3525" t="str">
        <f>"20190312172145975"</f>
        <v>20190312172145975</v>
      </c>
      <c r="B3525" t="str">
        <f>"1552382505963779"</f>
        <v>1552382505963779</v>
      </c>
      <c r="C3525" t="s">
        <v>40</v>
      </c>
      <c r="D3525">
        <v>4.1765089999999896</v>
      </c>
      <c r="E3525">
        <v>0.50194989999999995</v>
      </c>
      <c r="F3525" t="s">
        <v>45</v>
      </c>
      <c r="G3525">
        <v>-485.66879999999998</v>
      </c>
      <c r="H3525" s="1">
        <v>2.7073450000000001E-6</v>
      </c>
      <c r="I3525">
        <v>218.0872</v>
      </c>
      <c r="J3525">
        <v>-494.8587</v>
      </c>
      <c r="K3525">
        <v>1.1097269999999999</v>
      </c>
      <c r="L3525">
        <v>244.73</v>
      </c>
      <c r="M3525">
        <v>0.43379240000000002</v>
      </c>
      <c r="N3525">
        <v>0</v>
      </c>
      <c r="O3525">
        <v>-0.90083179999999996</v>
      </c>
      <c r="P3525">
        <v>0.33254470000000003</v>
      </c>
      <c r="Q3525">
        <v>0.19606489999999999</v>
      </c>
      <c r="R3525">
        <v>-0.92248200000000002</v>
      </c>
      <c r="S3525">
        <v>1.00824</v>
      </c>
      <c r="T3525">
        <v>-0.12023540000000001</v>
      </c>
      <c r="U3525">
        <v>-2.913071</v>
      </c>
      <c r="V3525">
        <v>0.1035977</v>
      </c>
      <c r="W3525">
        <v>0.21223339999999999</v>
      </c>
      <c r="X3525">
        <v>0.97171209999999997</v>
      </c>
      <c r="Y3525">
        <v>0.11552519999999999</v>
      </c>
      <c r="Z3525">
        <v>3.4137519999999998E-2</v>
      </c>
      <c r="AA3525">
        <v>0.99271770000000004</v>
      </c>
      <c r="AB3525">
        <v>33</v>
      </c>
      <c r="AC3525">
        <v>9.1899000000000193</v>
      </c>
      <c r="AD3525">
        <v>-1.1097242926549999</v>
      </c>
      <c r="AE3525">
        <v>-26.642799999999902</v>
      </c>
      <c r="AF3525">
        <v>3.2743483336641401</v>
      </c>
      <c r="AG3525">
        <v>-1.1097242926549999</v>
      </c>
      <c r="AH3525">
        <v>27.9484245885522</v>
      </c>
      <c r="AI3525">
        <v>92.258370382036901</v>
      </c>
      <c r="AJ3525">
        <v>83.317870354549001</v>
      </c>
      <c r="AK3525">
        <v>28.1614502822185</v>
      </c>
      <c r="AL3525">
        <v>77.7467320229905</v>
      </c>
      <c r="AM3525">
        <v>83.914479619702703</v>
      </c>
      <c r="AN3525">
        <v>0.99999995240362805</v>
      </c>
    </row>
    <row r="3526" spans="1:40" x14ac:dyDescent="0.25">
      <c r="A3526" t="str">
        <f>"20190312172145998"</f>
        <v>20190312172145998</v>
      </c>
      <c r="B3526" t="str">
        <f>"1552382505994035"</f>
        <v>1552382505994035</v>
      </c>
      <c r="C3526" t="s">
        <v>40</v>
      </c>
      <c r="D3526">
        <v>4.2290449999999904</v>
      </c>
      <c r="E3526">
        <v>0.5025771</v>
      </c>
      <c r="F3526" t="s">
        <v>45</v>
      </c>
      <c r="G3526">
        <v>-486.08710000000002</v>
      </c>
      <c r="H3526" s="1">
        <v>2.8298489999999999E-6</v>
      </c>
      <c r="I3526">
        <v>219.19220000000001</v>
      </c>
      <c r="J3526">
        <v>-494.71339999999998</v>
      </c>
      <c r="K3526">
        <v>1.108922</v>
      </c>
      <c r="L3526">
        <v>244.4135</v>
      </c>
      <c r="M3526">
        <v>0.42798890000000001</v>
      </c>
      <c r="N3526">
        <v>0</v>
      </c>
      <c r="O3526">
        <v>-0.90361270000000005</v>
      </c>
      <c r="P3526">
        <v>0.33058189999999998</v>
      </c>
      <c r="Q3526">
        <v>0.19279060000000001</v>
      </c>
      <c r="R3526">
        <v>-0.9238767</v>
      </c>
      <c r="S3526">
        <v>1.002167</v>
      </c>
      <c r="T3526">
        <v>-0.12678789999999901</v>
      </c>
      <c r="U3526">
        <v>-2.9177399999999998</v>
      </c>
      <c r="V3526">
        <v>9.9629200000000001E-2</v>
      </c>
      <c r="W3526">
        <v>0.2085796</v>
      </c>
      <c r="X3526">
        <v>0.97291760000000005</v>
      </c>
      <c r="Y3526">
        <v>0.11149340000000001</v>
      </c>
      <c r="Z3526">
        <v>3.6130200000000001E-2</v>
      </c>
      <c r="AA3526">
        <v>0.9931082</v>
      </c>
      <c r="AB3526">
        <v>33</v>
      </c>
      <c r="AC3526">
        <v>8.6262999999999508</v>
      </c>
      <c r="AD3526">
        <v>-1.1089191701509999</v>
      </c>
      <c r="AE3526">
        <v>-25.2212999999999</v>
      </c>
      <c r="AF3526">
        <v>2.9948834270683</v>
      </c>
      <c r="AG3526">
        <v>-1.1089191701509999</v>
      </c>
      <c r="AH3526">
        <v>26.440587459073399</v>
      </c>
      <c r="AI3526">
        <v>92.386338128527399</v>
      </c>
      <c r="AJ3526">
        <v>83.537740317633705</v>
      </c>
      <c r="AK3526">
        <v>26.632756028029899</v>
      </c>
      <c r="AL3526">
        <v>77.960874351478594</v>
      </c>
      <c r="AM3526">
        <v>84.153149004435093</v>
      </c>
      <c r="AN3526">
        <v>1.00000004170927</v>
      </c>
    </row>
    <row r="3527" spans="1:40" x14ac:dyDescent="0.25">
      <c r="A3527" t="str">
        <f>"20190312172146022"</f>
        <v>20190312172146022</v>
      </c>
      <c r="B3527" t="str">
        <f>"1552382506013556"</f>
        <v>1552382506013556</v>
      </c>
      <c r="C3527" t="s">
        <v>40</v>
      </c>
      <c r="D3527">
        <v>4.033118</v>
      </c>
      <c r="E3527">
        <v>0.50312190000000001</v>
      </c>
      <c r="F3527" t="s">
        <v>45</v>
      </c>
      <c r="G3527">
        <v>-487.08030000000002</v>
      </c>
      <c r="H3527" s="1">
        <v>3.6050810000000001E-6</v>
      </c>
      <c r="I3527">
        <v>221.90209999999999</v>
      </c>
      <c r="J3527">
        <v>-494.57229999999998</v>
      </c>
      <c r="K3527">
        <v>1.1082809999999901</v>
      </c>
      <c r="L3527">
        <v>244.10050000000001</v>
      </c>
      <c r="M3527">
        <v>0.42220730000000001</v>
      </c>
      <c r="N3527">
        <v>0</v>
      </c>
      <c r="O3527">
        <v>-0.90633649999999999</v>
      </c>
      <c r="P3527">
        <v>0.32851330000000001</v>
      </c>
      <c r="Q3527">
        <v>0.1928492</v>
      </c>
      <c r="R3527">
        <v>-0.92460189999999998</v>
      </c>
      <c r="S3527">
        <v>0.99099729999999997</v>
      </c>
      <c r="T3527">
        <v>-0.1439704</v>
      </c>
      <c r="U3527">
        <v>-2.9226380000000001</v>
      </c>
      <c r="V3527">
        <v>9.5552890000000001E-2</v>
      </c>
      <c r="W3527">
        <v>0.2083026</v>
      </c>
      <c r="X3527">
        <v>0.97338570000000002</v>
      </c>
      <c r="Y3527">
        <v>0.1091203</v>
      </c>
      <c r="Z3527">
        <v>4.1168990000000003E-2</v>
      </c>
      <c r="AA3527">
        <v>0.99317560000000005</v>
      </c>
      <c r="AB3527">
        <v>33</v>
      </c>
      <c r="AC3527">
        <v>7.49199999999996</v>
      </c>
      <c r="AD3527">
        <v>-1.1082773949189999</v>
      </c>
      <c r="AE3527">
        <v>-22.198399999999999</v>
      </c>
      <c r="AF3527">
        <v>2.5766687477032399</v>
      </c>
      <c r="AG3527">
        <v>-1.1082773949189999</v>
      </c>
      <c r="AH3527">
        <v>23.233843165337799</v>
      </c>
      <c r="AI3527">
        <v>92.714379340202001</v>
      </c>
      <c r="AJ3527">
        <v>83.671670216834201</v>
      </c>
      <c r="AK3527">
        <v>23.402541931401299</v>
      </c>
      <c r="AL3527">
        <v>77.977101506637695</v>
      </c>
      <c r="AM3527">
        <v>84.393494306358093</v>
      </c>
      <c r="AN3527">
        <v>1.0000000244592999</v>
      </c>
    </row>
    <row r="3528" spans="1:40" x14ac:dyDescent="0.25">
      <c r="A3528" t="str">
        <f>"20190312172146041"</f>
        <v>20190312172146041</v>
      </c>
      <c r="B3528" t="str">
        <f>"1552382506034063"</f>
        <v>1552382506034063</v>
      </c>
      <c r="C3528" t="s">
        <v>40</v>
      </c>
      <c r="D3528">
        <v>3.9781270000000002</v>
      </c>
      <c r="E3528">
        <v>0.51121280000000002</v>
      </c>
      <c r="F3528" t="s">
        <v>45</v>
      </c>
      <c r="G3528">
        <v>-487.20280000000002</v>
      </c>
      <c r="H3528" s="1">
        <v>3.6971670000000001E-6</v>
      </c>
      <c r="I3528">
        <v>222.11170000000001</v>
      </c>
      <c r="J3528">
        <v>-494.44589999999999</v>
      </c>
      <c r="K3528">
        <v>1.1078300000000001</v>
      </c>
      <c r="L3528">
        <v>243.81569999999999</v>
      </c>
      <c r="M3528">
        <v>0.41693010000000003</v>
      </c>
      <c r="N3528">
        <v>0</v>
      </c>
      <c r="O3528">
        <v>-0.90878239999999999</v>
      </c>
      <c r="P3528">
        <v>0.32744529999999999</v>
      </c>
      <c r="Q3528">
        <v>0.19777110000000001</v>
      </c>
      <c r="R3528">
        <v>-0.92394069999999995</v>
      </c>
      <c r="S3528">
        <v>0.98092650000000003</v>
      </c>
      <c r="T3528">
        <v>-0.1475197</v>
      </c>
      <c r="U3528">
        <v>-2.9268649999999998</v>
      </c>
      <c r="V3528">
        <v>9.0615379999999995E-2</v>
      </c>
      <c r="W3528">
        <v>0.21295929999999999</v>
      </c>
      <c r="X3528">
        <v>0.97284999999999999</v>
      </c>
      <c r="Y3528">
        <v>0.1068587</v>
      </c>
      <c r="Z3528">
        <v>4.232404E-2</v>
      </c>
      <c r="AA3528">
        <v>0.99337299999999995</v>
      </c>
      <c r="AB3528">
        <v>33</v>
      </c>
      <c r="AC3528">
        <v>7.2430999999999699</v>
      </c>
      <c r="AD3528">
        <v>-1.10782630283299</v>
      </c>
      <c r="AE3528">
        <v>-21.703999999999901</v>
      </c>
      <c r="AF3528">
        <v>2.4612294803425101</v>
      </c>
      <c r="AG3528">
        <v>-1.10782630283299</v>
      </c>
      <c r="AH3528">
        <v>22.6941073649018</v>
      </c>
      <c r="AI3528">
        <v>92.778442571440195</v>
      </c>
      <c r="AJ3528">
        <v>83.810329356557801</v>
      </c>
      <c r="AK3528">
        <v>22.854046441754001</v>
      </c>
      <c r="AL3528">
        <v>77.704168180985903</v>
      </c>
      <c r="AM3528">
        <v>84.678581635657395</v>
      </c>
      <c r="AN3528">
        <v>0.99999996652451595</v>
      </c>
    </row>
    <row r="3529" spans="1:40" x14ac:dyDescent="0.25">
      <c r="A3529" t="str">
        <f>"20190312172146054"</f>
        <v>20190312172146054</v>
      </c>
      <c r="B3529" t="str">
        <f>"1552382506043811"</f>
        <v>1552382506043811</v>
      </c>
      <c r="C3529" t="s">
        <v>40</v>
      </c>
      <c r="D3529">
        <v>3.9856699999999998</v>
      </c>
      <c r="E3529">
        <v>0.51142600000000005</v>
      </c>
      <c r="F3529" t="s">
        <v>51</v>
      </c>
      <c r="G3529">
        <v>-473.52499999999998</v>
      </c>
      <c r="H3529">
        <v>7.0943880000000004</v>
      </c>
      <c r="I3529">
        <v>177.667</v>
      </c>
      <c r="J3529">
        <v>-494.36989999999997</v>
      </c>
      <c r="K3529">
        <v>1.107594</v>
      </c>
      <c r="L3529">
        <v>243.6422</v>
      </c>
      <c r="M3529">
        <v>0.41371340000000001</v>
      </c>
      <c r="N3529">
        <v>0</v>
      </c>
      <c r="O3529">
        <v>-0.91025469999999997</v>
      </c>
      <c r="P3529">
        <v>0.32605220000000001</v>
      </c>
      <c r="Q3529">
        <v>0.2005015</v>
      </c>
      <c r="R3529">
        <v>-0.92384489999999997</v>
      </c>
      <c r="S3529">
        <v>0.90759279999999998</v>
      </c>
      <c r="T3529">
        <v>0.25970979999999999</v>
      </c>
      <c r="U3529">
        <v>-2.869675</v>
      </c>
      <c r="V3529">
        <v>8.8415350000000004E-2</v>
      </c>
      <c r="W3529">
        <v>0.21553410000000001</v>
      </c>
      <c r="X3529">
        <v>0.97248540000000006</v>
      </c>
      <c r="Y3529">
        <v>0.1209418</v>
      </c>
      <c r="Z3529">
        <v>-7.6127E-2</v>
      </c>
      <c r="AA3529">
        <v>0.98973619999999995</v>
      </c>
      <c r="AB3529">
        <v>33</v>
      </c>
      <c r="AC3529">
        <v>20.844899999999999</v>
      </c>
      <c r="AD3529">
        <v>5.9867939999999997</v>
      </c>
      <c r="AE3529">
        <v>-65.975200000000001</v>
      </c>
      <c r="AF3529">
        <v>8.25996947030489</v>
      </c>
      <c r="AG3529">
        <v>5.9867939999999997</v>
      </c>
      <c r="AH3529">
        <v>68.177147503274995</v>
      </c>
      <c r="AI3529">
        <v>85.017843321013501</v>
      </c>
      <c r="AJ3529">
        <v>83.092025513917307</v>
      </c>
      <c r="AK3529">
        <v>68.936146104435807</v>
      </c>
      <c r="AL3529">
        <v>77.553136822955594</v>
      </c>
      <c r="AM3529">
        <v>84.805127791549396</v>
      </c>
      <c r="AN3529">
        <v>1.0000000377957901</v>
      </c>
    </row>
    <row r="3530" spans="1:40" x14ac:dyDescent="0.25">
      <c r="A3530" t="str">
        <f>"20190312172146068"</f>
        <v>20190312172146068</v>
      </c>
      <c r="B3530" t="str">
        <f>"1552382506064307"</f>
        <v>1552382506064307</v>
      </c>
      <c r="C3530" t="s">
        <v>40</v>
      </c>
      <c r="D3530">
        <v>4.2702210000000003</v>
      </c>
      <c r="E3530">
        <v>0.51174960000000003</v>
      </c>
      <c r="F3530" t="s">
        <v>51</v>
      </c>
      <c r="G3530">
        <v>-473.52499999999998</v>
      </c>
      <c r="H3530">
        <v>7.2863789999999904</v>
      </c>
      <c r="I3530">
        <v>177.30449999999999</v>
      </c>
      <c r="J3530">
        <v>-494.2919</v>
      </c>
      <c r="K3530">
        <v>1.1073729999999999</v>
      </c>
      <c r="L3530">
        <v>243.4622</v>
      </c>
      <c r="M3530">
        <v>0.41038160000000001</v>
      </c>
      <c r="N3530">
        <v>0</v>
      </c>
      <c r="O3530">
        <v>-0.91176520000000005</v>
      </c>
      <c r="P3530">
        <v>0.32469140000000002</v>
      </c>
      <c r="Q3530">
        <v>0.2023412</v>
      </c>
      <c r="R3530">
        <v>-0.92392339999999995</v>
      </c>
      <c r="S3530">
        <v>0.9020996</v>
      </c>
      <c r="T3530">
        <v>0.26739790000000002</v>
      </c>
      <c r="U3530">
        <v>-2.8708800000000001</v>
      </c>
      <c r="V3530">
        <v>8.6129639999999993E-2</v>
      </c>
      <c r="W3530">
        <v>0.2172277</v>
      </c>
      <c r="X3530">
        <v>0.9723136</v>
      </c>
      <c r="Y3530">
        <v>0.11921180000000001</v>
      </c>
      <c r="Z3530">
        <v>-7.8560249999999998E-2</v>
      </c>
      <c r="AA3530">
        <v>0.98975590000000002</v>
      </c>
      <c r="AB3530">
        <v>33</v>
      </c>
      <c r="AC3530">
        <v>20.7669</v>
      </c>
      <c r="AD3530">
        <v>6.1790059999999896</v>
      </c>
      <c r="AE3530">
        <v>-66.157700000000006</v>
      </c>
      <c r="AF3530">
        <v>8.1517488646490897</v>
      </c>
      <c r="AG3530">
        <v>6.1790059999999896</v>
      </c>
      <c r="AH3530">
        <v>68.309546694917501</v>
      </c>
      <c r="AI3530">
        <v>84.867541287861798</v>
      </c>
      <c r="AJ3530">
        <v>83.194766281111697</v>
      </c>
      <c r="AK3530">
        <v>69.071161090323798</v>
      </c>
      <c r="AL3530">
        <v>77.453745056906897</v>
      </c>
      <c r="AM3530">
        <v>84.937829046869595</v>
      </c>
      <c r="AN3530">
        <v>0.99999996263938895</v>
      </c>
    </row>
    <row r="3531" spans="1:40" x14ac:dyDescent="0.25">
      <c r="A3531" t="str">
        <f>"20190312172146086"</f>
        <v>20190312172146086</v>
      </c>
      <c r="B3531" t="str">
        <f>"1552382506083827"</f>
        <v>1552382506083827</v>
      </c>
      <c r="C3531" t="s">
        <v>40</v>
      </c>
      <c r="D3531">
        <v>4.0380129999999896</v>
      </c>
      <c r="E3531">
        <v>0.51112999999999997</v>
      </c>
      <c r="F3531" t="s">
        <v>51</v>
      </c>
      <c r="G3531">
        <v>-473.52499999999998</v>
      </c>
      <c r="H3531">
        <v>7.4354559999999896</v>
      </c>
      <c r="I3531">
        <v>176.89670000000001</v>
      </c>
      <c r="J3531">
        <v>-494.18560000000002</v>
      </c>
      <c r="K3531">
        <v>1.107111</v>
      </c>
      <c r="L3531">
        <v>243.21449999999999</v>
      </c>
      <c r="M3531">
        <v>0.4058117</v>
      </c>
      <c r="N3531">
        <v>0</v>
      </c>
      <c r="O3531">
        <v>-0.91381250000000003</v>
      </c>
      <c r="P3531">
        <v>0.32435160000000002</v>
      </c>
      <c r="Q3531">
        <v>0.20365440000000001</v>
      </c>
      <c r="R3531">
        <v>-0.92375390000000002</v>
      </c>
      <c r="S3531">
        <v>0.89608759999999998</v>
      </c>
      <c r="T3531">
        <v>0.27305639999999998</v>
      </c>
      <c r="U3531">
        <v>-2.8722989999999999</v>
      </c>
      <c r="V3531">
        <v>8.1481899999999996E-2</v>
      </c>
      <c r="W3531">
        <v>0.2183851</v>
      </c>
      <c r="X3531">
        <v>0.97245499999999996</v>
      </c>
      <c r="Y3531">
        <v>0.11631279999999999</v>
      </c>
      <c r="Z3531">
        <v>-8.0484719999999996E-2</v>
      </c>
      <c r="AA3531">
        <v>0.9899462</v>
      </c>
      <c r="AB3531">
        <v>33</v>
      </c>
      <c r="AC3531">
        <v>20.660599999999999</v>
      </c>
      <c r="AD3531">
        <v>6.3283449999999997</v>
      </c>
      <c r="AE3531">
        <v>-66.317799999999906</v>
      </c>
      <c r="AF3531">
        <v>7.9675508100671504</v>
      </c>
      <c r="AG3531">
        <v>6.3283449999999997</v>
      </c>
      <c r="AH3531">
        <v>68.427476375327601</v>
      </c>
      <c r="AI3531">
        <v>84.751431967016799</v>
      </c>
      <c r="AJ3531">
        <v>83.358507343748698</v>
      </c>
      <c r="AK3531">
        <v>69.179833329128797</v>
      </c>
      <c r="AL3531">
        <v>77.385800666864696</v>
      </c>
      <c r="AM3531">
        <v>85.210380780342902</v>
      </c>
      <c r="AN3531">
        <v>1.0000000394773001</v>
      </c>
    </row>
    <row r="3532" spans="1:40" x14ac:dyDescent="0.25">
      <c r="A3532" t="str">
        <f>"20190312172146097"</f>
        <v>20190312172146097</v>
      </c>
      <c r="B3532" t="str">
        <f>"1552382506093588"</f>
        <v>1552382506093588</v>
      </c>
      <c r="C3532" t="s">
        <v>40</v>
      </c>
      <c r="D3532">
        <v>4.2048959999999997</v>
      </c>
      <c r="E3532">
        <v>0.51112999999999997</v>
      </c>
      <c r="F3532" t="s">
        <v>51</v>
      </c>
      <c r="G3532">
        <v>-473.52499999999998</v>
      </c>
      <c r="H3532">
        <v>7.3009570000000004</v>
      </c>
      <c r="I3532">
        <v>177.30930000000001</v>
      </c>
      <c r="J3532">
        <v>-494.11779999999999</v>
      </c>
      <c r="K3532">
        <v>1.106957</v>
      </c>
      <c r="L3532">
        <v>243.0548</v>
      </c>
      <c r="M3532">
        <v>0.4028776</v>
      </c>
      <c r="N3532">
        <v>0</v>
      </c>
      <c r="O3532">
        <v>-0.91511220000000004</v>
      </c>
      <c r="P3532">
        <v>0.32377990000000001</v>
      </c>
      <c r="Q3532">
        <v>0.2031251</v>
      </c>
      <c r="R3532">
        <v>-0.92407110000000003</v>
      </c>
      <c r="S3532">
        <v>0.90032959999999995</v>
      </c>
      <c r="T3532">
        <v>0.26991009999999999</v>
      </c>
      <c r="U3532">
        <v>-2.8719640000000002</v>
      </c>
      <c r="V3532">
        <v>7.8978640000000003E-2</v>
      </c>
      <c r="W3532">
        <v>0.2177625</v>
      </c>
      <c r="X3532">
        <v>0.97280100000000003</v>
      </c>
      <c r="Y3532">
        <v>0.11173859999999999</v>
      </c>
      <c r="Z3532">
        <v>-7.9753569999999996E-2</v>
      </c>
      <c r="AA3532">
        <v>0.99053210000000003</v>
      </c>
      <c r="AB3532">
        <v>33</v>
      </c>
      <c r="AC3532">
        <v>20.5928</v>
      </c>
      <c r="AD3532">
        <v>6.194</v>
      </c>
      <c r="AE3532">
        <v>-65.745499999999893</v>
      </c>
      <c r="AF3532">
        <v>7.5823704639775</v>
      </c>
      <c r="AG3532">
        <v>6.194</v>
      </c>
      <c r="AH3532">
        <v>67.920769696625996</v>
      </c>
      <c r="AI3532">
        <v>84.821346342037899</v>
      </c>
      <c r="AJ3532">
        <v>83.630129951833098</v>
      </c>
      <c r="AK3532">
        <v>68.6228018521184</v>
      </c>
      <c r="AL3532">
        <v>77.422351712047103</v>
      </c>
      <c r="AM3532">
        <v>85.358516610408998</v>
      </c>
      <c r="AN3532">
        <v>0.99999995879174897</v>
      </c>
    </row>
    <row r="3533" spans="1:40" x14ac:dyDescent="0.25">
      <c r="A3533" t="str">
        <f>"20190312172146112"</f>
        <v>20190312172146112</v>
      </c>
      <c r="B3533" t="str">
        <f>"1552382506104323"</f>
        <v>1552382506104323</v>
      </c>
      <c r="C3533" t="s">
        <v>40</v>
      </c>
      <c r="D3533">
        <v>4.3245639999999996</v>
      </c>
      <c r="E3533">
        <v>0.50855479999999997</v>
      </c>
      <c r="F3533" t="s">
        <v>51</v>
      </c>
      <c r="G3533">
        <v>-473.52499999999998</v>
      </c>
      <c r="H3533">
        <v>7.2598310000000001</v>
      </c>
      <c r="I3533">
        <v>177.18049999999999</v>
      </c>
      <c r="J3533">
        <v>-494.03980000000001</v>
      </c>
      <c r="K3533">
        <v>1.1068070000000001</v>
      </c>
      <c r="L3533">
        <v>242.8689</v>
      </c>
      <c r="M3533">
        <v>0.39948899999999998</v>
      </c>
      <c r="N3533">
        <v>0</v>
      </c>
      <c r="O3533">
        <v>-0.91659919999999995</v>
      </c>
      <c r="P3533">
        <v>0.32323790000000002</v>
      </c>
      <c r="Q3533">
        <v>0.2021223</v>
      </c>
      <c r="R3533">
        <v>-0.92448059999999999</v>
      </c>
      <c r="S3533">
        <v>0.89807130000000002</v>
      </c>
      <c r="T3533">
        <v>0.26833319999999999</v>
      </c>
      <c r="U3533">
        <v>-2.872849</v>
      </c>
      <c r="V3533">
        <v>7.5993099999999994E-2</v>
      </c>
      <c r="W3533">
        <v>0.21666589999999999</v>
      </c>
      <c r="X3533">
        <v>0.97328360000000003</v>
      </c>
      <c r="Y3533">
        <v>0.108848</v>
      </c>
      <c r="Z3533">
        <v>-7.948682E-2</v>
      </c>
      <c r="AA3533">
        <v>0.99087539999999996</v>
      </c>
      <c r="AB3533">
        <v>33</v>
      </c>
      <c r="AC3533">
        <v>20.514800000000001</v>
      </c>
      <c r="AD3533">
        <v>6.1530239999999896</v>
      </c>
      <c r="AE3533">
        <v>-65.688400000000001</v>
      </c>
      <c r="AF3533">
        <v>7.3798931560989498</v>
      </c>
      <c r="AG3533">
        <v>6.1530239999999896</v>
      </c>
      <c r="AH3533">
        <v>67.871489505098907</v>
      </c>
      <c r="AI3533">
        <v>84.850087563753902</v>
      </c>
      <c r="AJ3533">
        <v>83.794418458933805</v>
      </c>
      <c r="AK3533">
        <v>68.548242975154096</v>
      </c>
      <c r="AL3533">
        <v>77.486719820278907</v>
      </c>
      <c r="AM3533">
        <v>85.535455310845805</v>
      </c>
      <c r="AN3533">
        <v>1.0000000147496899</v>
      </c>
    </row>
    <row r="3534" spans="1:40" x14ac:dyDescent="0.25">
      <c r="A3534" t="str">
        <f>"20190312172146124"</f>
        <v>20190312172146124</v>
      </c>
      <c r="B3534" t="str">
        <f>"1552382506114084"</f>
        <v>1552382506114084</v>
      </c>
      <c r="C3534" t="s">
        <v>40</v>
      </c>
      <c r="D3534">
        <v>3.9961799999999998</v>
      </c>
      <c r="E3534">
        <v>0.50855479999999997</v>
      </c>
      <c r="F3534" t="s">
        <v>41</v>
      </c>
      <c r="G3534">
        <v>-493.78339999999997</v>
      </c>
      <c r="H3534">
        <v>1.0342480000000001</v>
      </c>
      <c r="I3534">
        <v>242.04759999999999</v>
      </c>
      <c r="J3534">
        <v>-493.96559999999999</v>
      </c>
      <c r="K3534">
        <v>1.10667</v>
      </c>
      <c r="L3534">
        <v>242.69059999999999</v>
      </c>
      <c r="M3534">
        <v>0.39625589999999999</v>
      </c>
      <c r="N3534">
        <v>0</v>
      </c>
      <c r="O3534">
        <v>-0.91800389999999998</v>
      </c>
      <c r="P3534">
        <v>0.32278899999999999</v>
      </c>
      <c r="Q3534">
        <v>0.200848</v>
      </c>
      <c r="R3534">
        <v>-0.92491489999999998</v>
      </c>
      <c r="S3534">
        <v>0.93136600000000003</v>
      </c>
      <c r="T3534">
        <v>-0.26260719999999999</v>
      </c>
      <c r="U3534">
        <v>-2.9768680000000001</v>
      </c>
      <c r="V3534">
        <v>7.3097079999999995E-2</v>
      </c>
      <c r="W3534">
        <v>0.2153101</v>
      </c>
      <c r="X3534">
        <v>0.97380610000000001</v>
      </c>
      <c r="Y3534">
        <v>0.1049998</v>
      </c>
      <c r="Z3534">
        <v>7.5293440000000003E-2</v>
      </c>
      <c r="AA3534">
        <v>0.99161790000000005</v>
      </c>
      <c r="AB3534">
        <v>33</v>
      </c>
      <c r="AC3534">
        <v>0.18220000000002301</v>
      </c>
      <c r="AD3534">
        <v>-7.2421999999999903E-2</v>
      </c>
      <c r="AE3534">
        <v>-0.64300000000000002</v>
      </c>
      <c r="AF3534">
        <v>8.6527096544088106E-2</v>
      </c>
      <c r="AG3534">
        <v>-7.2421999999999903E-2</v>
      </c>
      <c r="AH3534">
        <v>0.65486711007604603</v>
      </c>
      <c r="AI3534">
        <v>96.256775360299201</v>
      </c>
      <c r="AJ3534">
        <v>82.473151446827202</v>
      </c>
      <c r="AK3534">
        <v>0.66451697975273905</v>
      </c>
      <c r="AL3534">
        <v>77.56627881771</v>
      </c>
      <c r="AM3534">
        <v>85.707241288704395</v>
      </c>
      <c r="AN3534">
        <v>0.99999997133187202</v>
      </c>
    </row>
    <row r="3535" spans="1:40" x14ac:dyDescent="0.25">
      <c r="A3535" t="str">
        <f>"20190312172146143"</f>
        <v>20190312172146143</v>
      </c>
      <c r="B3535" t="str">
        <f>"1552382506133603"</f>
        <v>1552382506133603</v>
      </c>
      <c r="C3535" t="s">
        <v>40</v>
      </c>
      <c r="D3535">
        <v>4.0213850000000004</v>
      </c>
      <c r="E3535">
        <v>0.48798550000000002</v>
      </c>
      <c r="F3535" t="s">
        <v>41</v>
      </c>
      <c r="G3535">
        <v>-493.68</v>
      </c>
      <c r="H3535">
        <v>1.0246470000000001</v>
      </c>
      <c r="I3535">
        <v>241.77440000000001</v>
      </c>
      <c r="J3535">
        <v>-493.85829999999999</v>
      </c>
      <c r="K3535">
        <v>1.106487</v>
      </c>
      <c r="L3535">
        <v>242.42959999999999</v>
      </c>
      <c r="M3535">
        <v>0.391569</v>
      </c>
      <c r="N3535">
        <v>0</v>
      </c>
      <c r="O3535">
        <v>-0.92001619999999995</v>
      </c>
      <c r="P3535">
        <v>0.32496219999999998</v>
      </c>
      <c r="Q3535">
        <v>0.19635620000000001</v>
      </c>
      <c r="R3535">
        <v>-0.92511860000000001</v>
      </c>
      <c r="S3535">
        <v>0.92800899999999997</v>
      </c>
      <c r="T3535">
        <v>-0.26658110000000002</v>
      </c>
      <c r="U3535">
        <v>-2.977554</v>
      </c>
      <c r="V3535">
        <v>6.6100690000000004E-2</v>
      </c>
      <c r="W3535">
        <v>0.21076349999999999</v>
      </c>
      <c r="X3535">
        <v>0.97529969999999999</v>
      </c>
      <c r="Y3535">
        <v>0.1010421</v>
      </c>
      <c r="Z3535">
        <v>7.6691960000000003E-2</v>
      </c>
      <c r="AA3535">
        <v>0.99192179999999996</v>
      </c>
      <c r="AB3535">
        <v>33</v>
      </c>
      <c r="AC3535">
        <v>0.178299999999978</v>
      </c>
      <c r="AD3535">
        <v>-8.1840000000000093E-2</v>
      </c>
      <c r="AE3535">
        <v>-0.65519999999997902</v>
      </c>
      <c r="AF3535">
        <v>9.1203549419979199E-2</v>
      </c>
      <c r="AG3535">
        <v>-8.1840000000000093E-2</v>
      </c>
      <c r="AH3535">
        <v>0.66306153736412299</v>
      </c>
      <c r="AI3535">
        <v>96.971301624960603</v>
      </c>
      <c r="AJ3535">
        <v>82.168159796747901</v>
      </c>
      <c r="AK3535">
        <v>0.67428960792709602</v>
      </c>
      <c r="AL3535">
        <v>77.832901326520002</v>
      </c>
      <c r="AM3535">
        <v>86.122722459305095</v>
      </c>
      <c r="AN3535">
        <v>1.0000000294853999</v>
      </c>
    </row>
    <row r="3536" spans="1:40" x14ac:dyDescent="0.25">
      <c r="A3536" t="str">
        <f>"20190312172146156"</f>
        <v>20190312172146156</v>
      </c>
      <c r="B3536" t="str">
        <f>"1552382506144339"</f>
        <v>1552382506144339</v>
      </c>
      <c r="C3536" t="s">
        <v>40</v>
      </c>
      <c r="D3536">
        <v>4.0794499999999996</v>
      </c>
      <c r="E3536">
        <v>0.48528280000000001</v>
      </c>
      <c r="F3536" t="s">
        <v>51</v>
      </c>
      <c r="G3536">
        <v>-470.21050000000002</v>
      </c>
      <c r="H3536">
        <v>7.2146939999999997</v>
      </c>
      <c r="I3536">
        <v>180.5924</v>
      </c>
      <c r="J3536">
        <v>-493.7867</v>
      </c>
      <c r="K3536">
        <v>1.1063879999999999</v>
      </c>
      <c r="L3536">
        <v>242.2535</v>
      </c>
      <c r="M3536">
        <v>0.388436</v>
      </c>
      <c r="N3536">
        <v>0</v>
      </c>
      <c r="O3536">
        <v>-0.92134519999999998</v>
      </c>
      <c r="P3536">
        <v>0.3259589</v>
      </c>
      <c r="Q3536">
        <v>0.1925646</v>
      </c>
      <c r="R3536">
        <v>-0.92556459999999996</v>
      </c>
      <c r="S3536">
        <v>1.0734250000000001</v>
      </c>
      <c r="T3536">
        <v>0.27726509999999999</v>
      </c>
      <c r="U3536">
        <v>-2.8069310000000001</v>
      </c>
      <c r="V3536">
        <v>6.1952489999999999E-2</v>
      </c>
      <c r="W3536">
        <v>0.20693729999999999</v>
      </c>
      <c r="X3536">
        <v>0.97639069999999994</v>
      </c>
      <c r="Y3536">
        <v>3.5090160000000002E-2</v>
      </c>
      <c r="Z3536">
        <v>-8.4055610000000003E-2</v>
      </c>
      <c r="AA3536">
        <v>0.99584309999999998</v>
      </c>
      <c r="AB3536">
        <v>33</v>
      </c>
      <c r="AC3536">
        <v>23.576199999999901</v>
      </c>
      <c r="AD3536">
        <v>6.1083059999999998</v>
      </c>
      <c r="AE3536">
        <v>-61.661099999999998</v>
      </c>
      <c r="AF3536">
        <v>2.2109112627908099</v>
      </c>
      <c r="AG3536">
        <v>6.1083059999999998</v>
      </c>
      <c r="AH3536">
        <v>65.4168560288973</v>
      </c>
      <c r="AI3536">
        <v>84.668494827831793</v>
      </c>
      <c r="AJ3536">
        <v>88.0642957660571</v>
      </c>
      <c r="AK3536">
        <v>65.738608013153495</v>
      </c>
      <c r="AL3536">
        <v>78.0570694256064</v>
      </c>
      <c r="AM3536">
        <v>86.369420423013906</v>
      </c>
      <c r="AN3536">
        <v>0.99999997809748897</v>
      </c>
    </row>
    <row r="3537" spans="1:40" x14ac:dyDescent="0.25">
      <c r="A3537" t="str">
        <f>"20190312172146168"</f>
        <v>20190312172146168</v>
      </c>
      <c r="B3537" t="str">
        <f>"1552382506163860"</f>
        <v>1552382506163860</v>
      </c>
      <c r="C3537" t="s">
        <v>40</v>
      </c>
      <c r="D3537">
        <v>4.0406079999999998</v>
      </c>
      <c r="E3537">
        <v>0.48219319999999999</v>
      </c>
      <c r="F3537" t="s">
        <v>51</v>
      </c>
      <c r="G3537">
        <v>-469.64609999999999</v>
      </c>
      <c r="H3537">
        <v>7.1111089999999999</v>
      </c>
      <c r="I3537">
        <v>180.59229999999999</v>
      </c>
      <c r="J3537">
        <v>-493.71859999999998</v>
      </c>
      <c r="K3537">
        <v>1.1063080000000001</v>
      </c>
      <c r="L3537">
        <v>242.08410000000001</v>
      </c>
      <c r="M3537">
        <v>0.3854477</v>
      </c>
      <c r="N3537">
        <v>0</v>
      </c>
      <c r="O3537">
        <v>-0.922601</v>
      </c>
      <c r="P3537">
        <v>0.32756299999999999</v>
      </c>
      <c r="Q3537">
        <v>0.18876419999999999</v>
      </c>
      <c r="R3537">
        <v>-0.92578130000000003</v>
      </c>
      <c r="S3537">
        <v>1.0957030000000001</v>
      </c>
      <c r="T3537">
        <v>0.27254519999999999</v>
      </c>
      <c r="U3537">
        <v>-2.7987060000000001</v>
      </c>
      <c r="V3537">
        <v>5.7309609999999997E-2</v>
      </c>
      <c r="W3537">
        <v>0.20311969999999999</v>
      </c>
      <c r="X3537">
        <v>0.97747530000000005</v>
      </c>
      <c r="Y3537">
        <v>2.394162E-2</v>
      </c>
      <c r="Z3537">
        <v>-8.2937839999999999E-2</v>
      </c>
      <c r="AA3537">
        <v>0.99626709999999996</v>
      </c>
      <c r="AB3537">
        <v>33</v>
      </c>
      <c r="AC3537">
        <v>24.072499999999899</v>
      </c>
      <c r="AD3537">
        <v>6.0048009999999996</v>
      </c>
      <c r="AE3537">
        <v>-61.491799999999998</v>
      </c>
      <c r="AF3537">
        <v>1.4804957465263</v>
      </c>
      <c r="AG3537">
        <v>6.0048009999999996</v>
      </c>
      <c r="AH3537">
        <v>65.477509703684106</v>
      </c>
      <c r="AI3537">
        <v>84.761515981211502</v>
      </c>
      <c r="AJ3537">
        <v>88.7047200329052</v>
      </c>
      <c r="AK3537">
        <v>65.768942364167003</v>
      </c>
      <c r="AL3537">
        <v>78.280549625229995</v>
      </c>
      <c r="AM3537">
        <v>86.644576024210096</v>
      </c>
      <c r="AN3537">
        <v>0.99999998301826598</v>
      </c>
    </row>
    <row r="3538" spans="1:40" x14ac:dyDescent="0.25">
      <c r="A3538" t="str">
        <f>"20190312172146187"</f>
        <v>20190312172146187</v>
      </c>
      <c r="B3538" t="str">
        <f>"1552382506184355"</f>
        <v>1552382506184355</v>
      </c>
      <c r="C3538" t="s">
        <v>40</v>
      </c>
      <c r="D3538">
        <v>5.3815749999999998</v>
      </c>
      <c r="E3538">
        <v>0.48110530000000001</v>
      </c>
      <c r="F3538" t="s">
        <v>51</v>
      </c>
      <c r="G3538">
        <v>-468.95549999999997</v>
      </c>
      <c r="H3538">
        <v>7.0089129999999997</v>
      </c>
      <c r="I3538">
        <v>180.59229999999999</v>
      </c>
      <c r="J3538">
        <v>-493.61759999999998</v>
      </c>
      <c r="K3538">
        <v>1.1061840000000001</v>
      </c>
      <c r="L3538">
        <v>241.8306</v>
      </c>
      <c r="M3538">
        <v>0.38101170000000001</v>
      </c>
      <c r="N3538">
        <v>0</v>
      </c>
      <c r="O3538">
        <v>-0.9244443</v>
      </c>
      <c r="P3538">
        <v>0.33229890000000001</v>
      </c>
      <c r="Q3538">
        <v>0.1837096</v>
      </c>
      <c r="R3538">
        <v>-0.92511019999999999</v>
      </c>
      <c r="S3538">
        <v>1.122986</v>
      </c>
      <c r="T3538">
        <v>0.26767849999999999</v>
      </c>
      <c r="U3538">
        <v>-2.788605</v>
      </c>
      <c r="V3538">
        <v>4.7868010000000003E-2</v>
      </c>
      <c r="W3538">
        <v>0.19807920000000001</v>
      </c>
      <c r="X3538">
        <v>0.97901649999999996</v>
      </c>
      <c r="Y3538">
        <v>9.4582780000000005E-3</v>
      </c>
      <c r="Z3538">
        <v>-8.1862240000000003E-2</v>
      </c>
      <c r="AA3538">
        <v>0.99659880000000001</v>
      </c>
      <c r="AB3538">
        <v>33</v>
      </c>
      <c r="AC3538">
        <v>24.662099999999999</v>
      </c>
      <c r="AD3538">
        <v>5.9027289999999999</v>
      </c>
      <c r="AE3538">
        <v>-61.238300000000002</v>
      </c>
      <c r="AF3538">
        <v>0.52959935621256404</v>
      </c>
      <c r="AG3538">
        <v>5.9027289999999999</v>
      </c>
      <c r="AH3538">
        <v>65.492064200242993</v>
      </c>
      <c r="AI3538">
        <v>84.850075789021304</v>
      </c>
      <c r="AJ3538">
        <v>89.536689720548594</v>
      </c>
      <c r="AK3538">
        <v>65.759662091089695</v>
      </c>
      <c r="AL3538">
        <v>78.575341829140498</v>
      </c>
      <c r="AM3538">
        <v>87.200810667968</v>
      </c>
      <c r="AN3538">
        <v>1.00000001156312</v>
      </c>
    </row>
    <row r="3539" spans="1:40" x14ac:dyDescent="0.25">
      <c r="A3539" t="str">
        <f>"20190312172146211"</f>
        <v>20190312172146211</v>
      </c>
      <c r="B3539" t="str">
        <f>"1552382506203875"</f>
        <v>1552382506203875</v>
      </c>
      <c r="C3539" t="s">
        <v>40</v>
      </c>
      <c r="D3539">
        <v>4.1034610000000002</v>
      </c>
      <c r="E3539">
        <v>0.48014040000000002</v>
      </c>
      <c r="F3539" t="s">
        <v>51</v>
      </c>
      <c r="G3539">
        <v>-468.41309999999999</v>
      </c>
      <c r="H3539">
        <v>6.7541359999999999</v>
      </c>
      <c r="I3539">
        <v>180.59219999999999</v>
      </c>
      <c r="J3539">
        <v>-493.48899999999998</v>
      </c>
      <c r="K3539">
        <v>1.106077</v>
      </c>
      <c r="L3539">
        <v>241.50219999999999</v>
      </c>
      <c r="M3539">
        <v>0.37534600000000001</v>
      </c>
      <c r="N3539">
        <v>0</v>
      </c>
      <c r="O3539">
        <v>-0.92676179999999997</v>
      </c>
      <c r="P3539">
        <v>0.33569070000000001</v>
      </c>
      <c r="Q3539">
        <v>0.1816846</v>
      </c>
      <c r="R3539">
        <v>-0.92428509999999997</v>
      </c>
      <c r="S3539">
        <v>1.144531</v>
      </c>
      <c r="T3539">
        <v>0.25647219999999998</v>
      </c>
      <c r="U3539">
        <v>-2.7808229999999998</v>
      </c>
      <c r="V3539">
        <v>3.8336559999999999E-2</v>
      </c>
      <c r="W3539">
        <v>0.19603619999999999</v>
      </c>
      <c r="X3539">
        <v>0.97984700000000002</v>
      </c>
      <c r="Y3539">
        <v>-4.3539370000000004E-3</v>
      </c>
      <c r="Z3539">
        <v>-7.8854019999999997E-2</v>
      </c>
      <c r="AA3539">
        <v>0.99687669999999995</v>
      </c>
      <c r="AB3539">
        <v>33</v>
      </c>
      <c r="AC3539">
        <v>25.075900000000001</v>
      </c>
      <c r="AD3539">
        <v>5.6480589999999999</v>
      </c>
      <c r="AE3539">
        <v>-60.91</v>
      </c>
      <c r="AF3539">
        <v>-0.37435197763017303</v>
      </c>
      <c r="AG3539">
        <v>5.6480589999999999</v>
      </c>
      <c r="AH3539">
        <v>65.387952847589901</v>
      </c>
      <c r="AI3539">
        <v>85.063258291440903</v>
      </c>
      <c r="AJ3539">
        <v>90.328019965470702</v>
      </c>
      <c r="AK3539">
        <v>65.632500237833995</v>
      </c>
      <c r="AL3539">
        <v>78.694738289128694</v>
      </c>
      <c r="AM3539">
        <v>87.759442721889101</v>
      </c>
      <c r="AN3539">
        <v>1.0000000134760301</v>
      </c>
    </row>
    <row r="3540" spans="1:40" x14ac:dyDescent="0.25">
      <c r="A3540" t="str">
        <f>"20190312172146225"</f>
        <v>20190312172146225</v>
      </c>
      <c r="B3540" t="str">
        <f>"1552382506214611"</f>
        <v>1552382506214611</v>
      </c>
      <c r="C3540" t="s">
        <v>40</v>
      </c>
      <c r="D3540">
        <v>4.0447920000000002</v>
      </c>
      <c r="E3540">
        <v>0.47995409999999999</v>
      </c>
      <c r="F3540" t="s">
        <v>52</v>
      </c>
      <c r="G3540">
        <v>-470.34609999999998</v>
      </c>
      <c r="H3540">
        <v>6.1090299999999997</v>
      </c>
      <c r="I3540">
        <v>186.25219999999999</v>
      </c>
      <c r="J3540">
        <v>-493.41180000000003</v>
      </c>
      <c r="K3540">
        <v>1.1060350000000001</v>
      </c>
      <c r="L3540">
        <v>241.30279999999999</v>
      </c>
      <c r="M3540">
        <v>0.37194870000000002</v>
      </c>
      <c r="N3540">
        <v>0</v>
      </c>
      <c r="O3540">
        <v>-0.92813210000000002</v>
      </c>
      <c r="P3540">
        <v>0.3366673</v>
      </c>
      <c r="Q3540">
        <v>0.18216740000000001</v>
      </c>
      <c r="R3540">
        <v>-0.92383479999999996</v>
      </c>
      <c r="S3540">
        <v>1.1621090000000001</v>
      </c>
      <c r="T3540">
        <v>0.25122129999999998</v>
      </c>
      <c r="U3540">
        <v>-2.7743380000000002</v>
      </c>
      <c r="V3540">
        <v>3.3643350000000002E-2</v>
      </c>
      <c r="W3540">
        <v>0.19649539999999999</v>
      </c>
      <c r="X3540">
        <v>0.9799274</v>
      </c>
      <c r="Y3540">
        <v>-1.426878E-2</v>
      </c>
      <c r="Z3540">
        <v>-7.7497709999999997E-2</v>
      </c>
      <c r="AA3540">
        <v>0.99689039999999995</v>
      </c>
      <c r="AB3540">
        <v>33</v>
      </c>
      <c r="AC3540">
        <v>23.0657</v>
      </c>
      <c r="AD3540">
        <v>5.0029949999999896</v>
      </c>
      <c r="AE3540">
        <v>-55.050600000000003</v>
      </c>
      <c r="AF3540">
        <v>-0.92561914677498702</v>
      </c>
      <c r="AG3540">
        <v>5.0029949999999896</v>
      </c>
      <c r="AH3540">
        <v>59.263825838248302</v>
      </c>
      <c r="AI3540">
        <v>85.175172429030994</v>
      </c>
      <c r="AJ3540">
        <v>90.894808224546793</v>
      </c>
      <c r="AK3540">
        <v>59.481827332061101</v>
      </c>
      <c r="AL3540">
        <v>78.667906200160402</v>
      </c>
      <c r="AM3540">
        <v>88.033665429368199</v>
      </c>
      <c r="AN3540">
        <v>1.00000001324557</v>
      </c>
    </row>
    <row r="3541" spans="1:40" x14ac:dyDescent="0.25">
      <c r="A3541" t="str">
        <f>"20190312172146244"</f>
        <v>20190312172146244</v>
      </c>
      <c r="B3541" t="str">
        <f>"1552382506234131"</f>
        <v>1552382506234131</v>
      </c>
      <c r="C3541" t="s">
        <v>40</v>
      </c>
      <c r="D3541">
        <v>4.26044</v>
      </c>
      <c r="E3541">
        <v>0.47970740000000001</v>
      </c>
      <c r="F3541" t="s">
        <v>52</v>
      </c>
      <c r="G3541">
        <v>-470.34390000000002</v>
      </c>
      <c r="H3541">
        <v>6.0936659999999998</v>
      </c>
      <c r="I3541">
        <v>186.46729999999999</v>
      </c>
      <c r="J3541">
        <v>-493.31099999999998</v>
      </c>
      <c r="K3541">
        <v>1.106006</v>
      </c>
      <c r="L3541">
        <v>241.03880000000001</v>
      </c>
      <c r="M3541">
        <v>0.36751479999999997</v>
      </c>
      <c r="N3541">
        <v>0</v>
      </c>
      <c r="O3541">
        <v>-0.92989820000000001</v>
      </c>
      <c r="P3541">
        <v>0.34128509999999901</v>
      </c>
      <c r="Q3541">
        <v>0.18597269999999999</v>
      </c>
      <c r="R3541">
        <v>-0.92137860000000005</v>
      </c>
      <c r="S3541">
        <v>1.1663509999999999</v>
      </c>
      <c r="T3541">
        <v>0.25218269999999998</v>
      </c>
      <c r="U3541">
        <v>-2.7725520000000001</v>
      </c>
      <c r="V3541">
        <v>2.3766309999999999E-2</v>
      </c>
      <c r="W3541">
        <v>0.20031560000000001</v>
      </c>
      <c r="X3541">
        <v>0.97944310000000001</v>
      </c>
      <c r="Y3541">
        <v>-2.0551460000000001E-2</v>
      </c>
      <c r="Z3541">
        <v>-7.8033539999999998E-2</v>
      </c>
      <c r="AA3541">
        <v>0.99673889999999998</v>
      </c>
      <c r="AB3541">
        <v>33</v>
      </c>
      <c r="AC3541">
        <v>22.967099999999899</v>
      </c>
      <c r="AD3541">
        <v>4.98766</v>
      </c>
      <c r="AE3541">
        <v>-54.5715</v>
      </c>
      <c r="AF3541">
        <v>-1.29220560636833</v>
      </c>
      <c r="AG3541">
        <v>4.98766</v>
      </c>
      <c r="AH3541">
        <v>58.776165537523902</v>
      </c>
      <c r="AI3541">
        <v>85.150749914735499</v>
      </c>
      <c r="AJ3541">
        <v>91.259456134508994</v>
      </c>
      <c r="AK3541">
        <v>59.001560851380397</v>
      </c>
      <c r="AL3541">
        <v>78.444584721455399</v>
      </c>
      <c r="AM3541">
        <v>88.609983473766604</v>
      </c>
      <c r="AN3541">
        <v>0.99999998161599202</v>
      </c>
    </row>
    <row r="3542" spans="1:40" x14ac:dyDescent="0.25">
      <c r="A3542" t="str">
        <f>"20190312172146257"</f>
        <v>20190312172146257</v>
      </c>
      <c r="B3542" t="str">
        <f>"1552382506254628"</f>
        <v>1552382506254628</v>
      </c>
      <c r="C3542" t="s">
        <v>40</v>
      </c>
      <c r="D3542">
        <v>4.1214959999999996</v>
      </c>
      <c r="E3542">
        <v>0.47959550000000001</v>
      </c>
      <c r="F3542" t="s">
        <v>52</v>
      </c>
      <c r="G3542">
        <v>-470.15</v>
      </c>
      <c r="H3542">
        <v>6.2197559999999896</v>
      </c>
      <c r="I3542">
        <v>186.79689999999999</v>
      </c>
      <c r="J3542">
        <v>-493.24149999999997</v>
      </c>
      <c r="K3542">
        <v>1.106012</v>
      </c>
      <c r="L3542">
        <v>240.85499999999999</v>
      </c>
      <c r="M3542">
        <v>0.364477</v>
      </c>
      <c r="N3542">
        <v>0</v>
      </c>
      <c r="O3542">
        <v>-0.93109419999999998</v>
      </c>
      <c r="P3542">
        <v>0.34299950000000001</v>
      </c>
      <c r="Q3542">
        <v>0.1871148</v>
      </c>
      <c r="R3542">
        <v>-0.92051039999999995</v>
      </c>
      <c r="S3542">
        <v>1.18103</v>
      </c>
      <c r="T3542">
        <v>0.26076199999999999</v>
      </c>
      <c r="U3542">
        <v>-2.7658999999999998</v>
      </c>
      <c r="V3542">
        <v>1.8630279999999999E-2</v>
      </c>
      <c r="W3542">
        <v>0.20145440000000001</v>
      </c>
      <c r="X3542">
        <v>0.97932070000000004</v>
      </c>
      <c r="Y3542">
        <v>-2.9058960000000002E-2</v>
      </c>
      <c r="Z3542">
        <v>-8.0915199999999896E-2</v>
      </c>
      <c r="AA3542">
        <v>0.99629730000000005</v>
      </c>
      <c r="AB3542">
        <v>33</v>
      </c>
      <c r="AC3542">
        <v>23.0915</v>
      </c>
      <c r="AD3542">
        <v>5.1137439999999996</v>
      </c>
      <c r="AE3542">
        <v>-54.058100000000003</v>
      </c>
      <c r="AF3542">
        <v>-1.78412362361584</v>
      </c>
      <c r="AG3542">
        <v>5.1137439999999996</v>
      </c>
      <c r="AH3542">
        <v>58.314659054191601</v>
      </c>
      <c r="AI3542">
        <v>84.990755778278597</v>
      </c>
      <c r="AJ3542">
        <v>91.7524046004756</v>
      </c>
      <c r="AK3542">
        <v>58.565629300883302</v>
      </c>
      <c r="AL3542">
        <v>78.377978696762398</v>
      </c>
      <c r="AM3542">
        <v>88.910155095674895</v>
      </c>
      <c r="AN3542">
        <v>0.99999999803036399</v>
      </c>
    </row>
    <row r="3543" spans="1:40" x14ac:dyDescent="0.25">
      <c r="A3543" t="str">
        <f>"20190312172146276"</f>
        <v>20190312172146276</v>
      </c>
      <c r="B3543" t="str">
        <f>"1552382506264391"</f>
        <v>1552382506264391</v>
      </c>
      <c r="C3543" t="s">
        <v>40</v>
      </c>
      <c r="D3543">
        <v>4.0842000000000001</v>
      </c>
      <c r="E3543">
        <v>0.4796279</v>
      </c>
      <c r="F3543" t="s">
        <v>52</v>
      </c>
      <c r="G3543">
        <v>-470.15</v>
      </c>
      <c r="H3543">
        <v>6.1754470000000001</v>
      </c>
      <c r="I3543">
        <v>187.0504</v>
      </c>
      <c r="J3543">
        <v>-493.14769999999999</v>
      </c>
      <c r="K3543">
        <v>1.106066</v>
      </c>
      <c r="L3543">
        <v>240.6036</v>
      </c>
      <c r="M3543">
        <v>0.36041139999999999</v>
      </c>
      <c r="N3543">
        <v>0</v>
      </c>
      <c r="O3543">
        <v>-0.93267690000000003</v>
      </c>
      <c r="P3543">
        <v>0.34920400000000001</v>
      </c>
      <c r="Q3543">
        <v>0.19112119999999999</v>
      </c>
      <c r="R3543">
        <v>-0.91734899999999997</v>
      </c>
      <c r="S3543">
        <v>1.1862790000000001</v>
      </c>
      <c r="T3543">
        <v>0.260432</v>
      </c>
      <c r="U3543">
        <v>-2.764084</v>
      </c>
      <c r="V3543">
        <v>7.4173939999999999E-3</v>
      </c>
      <c r="W3543">
        <v>0.20550299999999999</v>
      </c>
      <c r="X3543">
        <v>0.97862839999999995</v>
      </c>
      <c r="Y3543">
        <v>-3.525329E-2</v>
      </c>
      <c r="Z3543">
        <v>-8.1030400000000002E-2</v>
      </c>
      <c r="AA3543">
        <v>0.99608799999999997</v>
      </c>
      <c r="AB3543">
        <v>33</v>
      </c>
      <c r="AC3543">
        <v>22.997699999999998</v>
      </c>
      <c r="AD3543">
        <v>5.0693809999999999</v>
      </c>
      <c r="AE3543">
        <v>-53.553199999999997</v>
      </c>
      <c r="AF3543">
        <v>-2.1323412092344798</v>
      </c>
      <c r="AG3543">
        <v>5.0693809999999999</v>
      </c>
      <c r="AH3543">
        <v>57.805473319630202</v>
      </c>
      <c r="AI3543">
        <v>84.991529030247307</v>
      </c>
      <c r="AJ3543">
        <v>92.112581632234097</v>
      </c>
      <c r="AK3543">
        <v>58.066498503545397</v>
      </c>
      <c r="AL3543">
        <v>78.141054508398199</v>
      </c>
      <c r="AM3543">
        <v>89.565741977826605</v>
      </c>
      <c r="AN3543">
        <v>1.00000002301465</v>
      </c>
    </row>
    <row r="3544" spans="1:40" x14ac:dyDescent="0.25">
      <c r="A3544" t="str">
        <f>"20190312172146288"</f>
        <v>20190312172146288</v>
      </c>
      <c r="B3544" t="str">
        <f>"1552382506283907"</f>
        <v>1552382506283907</v>
      </c>
      <c r="C3544" t="s">
        <v>40</v>
      </c>
      <c r="D3544">
        <v>4.1163150000000002</v>
      </c>
      <c r="E3544">
        <v>0.47970970000000002</v>
      </c>
      <c r="F3544" t="s">
        <v>52</v>
      </c>
      <c r="G3544">
        <v>-470.15</v>
      </c>
      <c r="H3544">
        <v>6.2457330000000004</v>
      </c>
      <c r="I3544">
        <v>187.97239999999999</v>
      </c>
      <c r="J3544">
        <v>-493.0831</v>
      </c>
      <c r="K3544">
        <v>1.106136</v>
      </c>
      <c r="L3544">
        <v>240.42859999999999</v>
      </c>
      <c r="M3544">
        <v>0.35766500000000001</v>
      </c>
      <c r="N3544">
        <v>0</v>
      </c>
      <c r="O3544">
        <v>-0.93373470000000003</v>
      </c>
      <c r="P3544">
        <v>0.35152290000000003</v>
      </c>
      <c r="Q3544">
        <v>0.19444739999999999</v>
      </c>
      <c r="R3544">
        <v>-0.91576340000000001</v>
      </c>
      <c r="S3544">
        <v>1.2041930000000001</v>
      </c>
      <c r="T3544">
        <v>0.26912049999999998</v>
      </c>
      <c r="U3544">
        <v>-2.7558289999999999</v>
      </c>
      <c r="V3544">
        <v>1.790575E-3</v>
      </c>
      <c r="W3544">
        <v>0.20883099999999999</v>
      </c>
      <c r="X3544">
        <v>0.97795010000000004</v>
      </c>
      <c r="Y3544">
        <v>-4.462137E-2</v>
      </c>
      <c r="Z3544">
        <v>-8.3966029999999997E-2</v>
      </c>
      <c r="AA3544">
        <v>0.99546900000000005</v>
      </c>
      <c r="AB3544">
        <v>33</v>
      </c>
      <c r="AC3544">
        <v>22.9331</v>
      </c>
      <c r="AD3544">
        <v>5.1395970000000002</v>
      </c>
      <c r="AE3544">
        <v>-52.456200000000003</v>
      </c>
      <c r="AF3544">
        <v>-2.6307674090311601</v>
      </c>
      <c r="AG3544">
        <v>5.1395970000000002</v>
      </c>
      <c r="AH3544">
        <v>56.731473000782501</v>
      </c>
      <c r="AI3544">
        <v>84.828937686486299</v>
      </c>
      <c r="AJ3544">
        <v>92.655033558063806</v>
      </c>
      <c r="AK3544">
        <v>57.024524753138898</v>
      </c>
      <c r="AL3544">
        <v>77.946145284019195</v>
      </c>
      <c r="AM3544">
        <v>89.8950945699996</v>
      </c>
      <c r="AN3544">
        <v>0.99999999540492002</v>
      </c>
    </row>
    <row r="3545" spans="1:40" x14ac:dyDescent="0.25">
      <c r="A3545" t="str">
        <f>"20190312172146311"</f>
        <v>20190312172146311</v>
      </c>
      <c r="B3545" t="str">
        <f>"1552382506304403"</f>
        <v>1552382506304403</v>
      </c>
      <c r="C3545" t="s">
        <v>40</v>
      </c>
      <c r="D3545">
        <v>4.047688</v>
      </c>
      <c r="E3545">
        <v>0.47401720000000003</v>
      </c>
      <c r="F3545" t="s">
        <v>52</v>
      </c>
      <c r="G3545">
        <v>-470.15</v>
      </c>
      <c r="H3545">
        <v>6.343089</v>
      </c>
      <c r="I3545">
        <v>188.26079999999999</v>
      </c>
      <c r="J3545">
        <v>-492.96859999999998</v>
      </c>
      <c r="K3545">
        <v>1.1063400000000001</v>
      </c>
      <c r="L3545">
        <v>240.11510000000001</v>
      </c>
      <c r="M3545">
        <v>0.35293190000000002</v>
      </c>
      <c r="N3545">
        <v>0</v>
      </c>
      <c r="O3545">
        <v>-0.93553520000000001</v>
      </c>
      <c r="P3545">
        <v>0.3562959</v>
      </c>
      <c r="Q3545">
        <v>0.20439879999999999</v>
      </c>
      <c r="R3545">
        <v>-0.91174239999999995</v>
      </c>
      <c r="S3545">
        <v>1.2101440000000001</v>
      </c>
      <c r="T3545">
        <v>0.27634570000000003</v>
      </c>
      <c r="U3545">
        <v>-2.7527919999999999</v>
      </c>
      <c r="V3545">
        <v>-9.0513639999999992E-3</v>
      </c>
      <c r="W3545">
        <v>0.21877969999999999</v>
      </c>
      <c r="X3545">
        <v>0.9757323</v>
      </c>
      <c r="Y3545">
        <v>-5.1797370000000002E-2</v>
      </c>
      <c r="Z3545">
        <v>-8.6484920000000007E-2</v>
      </c>
      <c r="AA3545">
        <v>0.9949057</v>
      </c>
      <c r="AB3545">
        <v>33</v>
      </c>
      <c r="AC3545">
        <v>22.8186</v>
      </c>
      <c r="AD3545">
        <v>5.2367489999999997</v>
      </c>
      <c r="AE3545">
        <v>-51.854300000000002</v>
      </c>
      <c r="AF3545">
        <v>-3.02107823386581</v>
      </c>
      <c r="AG3545">
        <v>5.2367489999999997</v>
      </c>
      <c r="AH3545">
        <v>56.091692477118698</v>
      </c>
      <c r="AI3545">
        <v>84.673972427097496</v>
      </c>
      <c r="AJ3545">
        <v>93.082951157424503</v>
      </c>
      <c r="AK3545">
        <v>56.416561564241</v>
      </c>
      <c r="AL3545">
        <v>77.362631016128105</v>
      </c>
      <c r="AM3545">
        <v>90.531488074079206</v>
      </c>
      <c r="AN3545">
        <v>1.00000000279282</v>
      </c>
    </row>
    <row r="3546" spans="1:40" x14ac:dyDescent="0.25">
      <c r="A3546" t="str">
        <f>"20190312172146323"</f>
        <v>20190312172146323</v>
      </c>
      <c r="B3546" t="str">
        <f>"1552382506314164"</f>
        <v>1552382506314164</v>
      </c>
      <c r="C3546" t="s">
        <v>40</v>
      </c>
      <c r="D3546">
        <v>3.986173</v>
      </c>
      <c r="E3546">
        <v>0.4753985</v>
      </c>
      <c r="F3546" t="s">
        <v>45</v>
      </c>
      <c r="G3546">
        <v>-485.32040000000001</v>
      </c>
      <c r="H3546" s="1">
        <v>3.6000959999999999E-6</v>
      </c>
      <c r="I3546">
        <v>223.14570000000001</v>
      </c>
      <c r="J3546">
        <v>-492.90449999999998</v>
      </c>
      <c r="K3546">
        <v>1.1064879999999999</v>
      </c>
      <c r="L3546">
        <v>239.93790000000001</v>
      </c>
      <c r="M3546">
        <v>0.3503734</v>
      </c>
      <c r="N3546">
        <v>0</v>
      </c>
      <c r="O3546">
        <v>-0.93649740000000004</v>
      </c>
      <c r="P3546">
        <v>0.35823349999999998</v>
      </c>
      <c r="Q3546">
        <v>0.21048839999999999</v>
      </c>
      <c r="R3546">
        <v>-0.90959540000000005</v>
      </c>
      <c r="S3546">
        <v>1.276794</v>
      </c>
      <c r="T3546">
        <v>-0.1846922</v>
      </c>
      <c r="U3546">
        <v>-2.8328859999999998</v>
      </c>
      <c r="V3546">
        <v>-1.4300530000000001E-2</v>
      </c>
      <c r="W3546">
        <v>0.22485250000000001</v>
      </c>
      <c r="X3546">
        <v>0.97428789999999998</v>
      </c>
      <c r="Y3546">
        <v>-6.4689759999999999E-2</v>
      </c>
      <c r="Z3546">
        <v>5.6250929999999998E-2</v>
      </c>
      <c r="AA3546">
        <v>0.99631879999999995</v>
      </c>
      <c r="AB3546">
        <v>33</v>
      </c>
      <c r="AC3546">
        <v>7.5840999999999701</v>
      </c>
      <c r="AD3546">
        <v>-1.1064843999039999</v>
      </c>
      <c r="AE3546">
        <v>-16.792200000000001</v>
      </c>
      <c r="AF3546">
        <v>-1.2146979064267101</v>
      </c>
      <c r="AG3546">
        <v>-1.1064843999039999</v>
      </c>
      <c r="AH3546">
        <v>18.3189964039966</v>
      </c>
      <c r="AI3546">
        <v>93.448963466006404</v>
      </c>
      <c r="AJ3546">
        <v>93.793621085803593</v>
      </c>
      <c r="AK3546">
        <v>18.3925372904542</v>
      </c>
      <c r="AL3546">
        <v>77.005795636069706</v>
      </c>
      <c r="AM3546">
        <v>90.8409230782637</v>
      </c>
      <c r="AN3546">
        <v>1.0000000320004601</v>
      </c>
    </row>
    <row r="3547" spans="1:40" x14ac:dyDescent="0.25">
      <c r="A3547" t="str">
        <f>"20190312172146344"</f>
        <v>20190312172146344</v>
      </c>
      <c r="B3547" t="str">
        <f>"1552382506333686"</f>
        <v>1552382506333686</v>
      </c>
      <c r="C3547" t="s">
        <v>40</v>
      </c>
      <c r="D3547">
        <v>4.0390889999999997</v>
      </c>
      <c r="E3547">
        <v>0.47695369999999998</v>
      </c>
      <c r="F3547" t="s">
        <v>45</v>
      </c>
      <c r="G3547">
        <v>-483.0249</v>
      </c>
      <c r="H3547" s="1">
        <v>2.2345119999999999E-6</v>
      </c>
      <c r="I3547">
        <v>217.99889999999999</v>
      </c>
      <c r="J3547">
        <v>-492.80369999999999</v>
      </c>
      <c r="K3547">
        <v>1.1067629999999999</v>
      </c>
      <c r="L3547">
        <v>239.6568</v>
      </c>
      <c r="M3547">
        <v>0.346553</v>
      </c>
      <c r="N3547">
        <v>0</v>
      </c>
      <c r="O3547">
        <v>-0.93791899999999995</v>
      </c>
      <c r="P3547">
        <v>0.36438409999999999</v>
      </c>
      <c r="Q3547">
        <v>0.21859210000000001</v>
      </c>
      <c r="R3547">
        <v>-0.90523050000000005</v>
      </c>
      <c r="S3547">
        <v>1.2741389999999999</v>
      </c>
      <c r="T3547">
        <v>-0.14270079999999999</v>
      </c>
      <c r="U3547">
        <v>-2.8294220000000001</v>
      </c>
      <c r="V3547">
        <v>-2.562145E-2</v>
      </c>
      <c r="W3547">
        <v>0.2329589</v>
      </c>
      <c r="X3547">
        <v>0.97214900000000004</v>
      </c>
      <c r="Y3547">
        <v>-6.8714010000000006E-2</v>
      </c>
      <c r="Z3547">
        <v>4.3641689999999997E-2</v>
      </c>
      <c r="AA3547">
        <v>0.99668140000000005</v>
      </c>
      <c r="AB3547">
        <v>33</v>
      </c>
      <c r="AC3547">
        <v>9.7787999999999897</v>
      </c>
      <c r="AD3547">
        <v>-1.1067607654879901</v>
      </c>
      <c r="AE3547">
        <v>-21.657900000000001</v>
      </c>
      <c r="AF3547">
        <v>-1.6626795384086399</v>
      </c>
      <c r="AG3547">
        <v>-1.1067607654879901</v>
      </c>
      <c r="AH3547">
        <v>23.653396544207599</v>
      </c>
      <c r="AI3547">
        <v>92.672375402965798</v>
      </c>
      <c r="AJ3547">
        <v>94.020905726380704</v>
      </c>
      <c r="AK3547">
        <v>23.737577608445999</v>
      </c>
      <c r="AL3547">
        <v>76.528662507213994</v>
      </c>
      <c r="AM3547">
        <v>91.509708074575798</v>
      </c>
      <c r="AN3547">
        <v>0.99999999299515596</v>
      </c>
    </row>
    <row r="3548" spans="1:40" x14ac:dyDescent="0.25">
      <c r="A3548" t="str">
        <f>"20190312172146357"</f>
        <v>20190312172146357</v>
      </c>
      <c r="B3548" t="str">
        <f>"1552382506354179"</f>
        <v>1552382506354179</v>
      </c>
      <c r="C3548" t="s">
        <v>40</v>
      </c>
      <c r="D3548">
        <v>3.990345</v>
      </c>
      <c r="E3548">
        <v>0.48612379999999999</v>
      </c>
      <c r="F3548" t="s">
        <v>45</v>
      </c>
      <c r="G3548">
        <v>-479.41149999999999</v>
      </c>
      <c r="H3548" s="1">
        <v>1.5929239999999901E-6</v>
      </c>
      <c r="I3548">
        <v>210.226</v>
      </c>
      <c r="J3548">
        <v>-492.73790000000002</v>
      </c>
      <c r="K3548">
        <v>1.1069659999999999</v>
      </c>
      <c r="L3548">
        <v>239.47190000000001</v>
      </c>
      <c r="M3548">
        <v>0.34420640000000002</v>
      </c>
      <c r="N3548">
        <v>0</v>
      </c>
      <c r="O3548">
        <v>-0.93878329999999999</v>
      </c>
      <c r="P3548">
        <v>0.36695549999999999</v>
      </c>
      <c r="Q3548">
        <v>0.21990290000000001</v>
      </c>
      <c r="R3548">
        <v>-0.90387329999999999</v>
      </c>
      <c r="S3548">
        <v>1.284424</v>
      </c>
      <c r="T3548">
        <v>-0.10614759999999999</v>
      </c>
      <c r="U3548">
        <v>-2.8226619999999998</v>
      </c>
      <c r="V3548">
        <v>-3.1037909999999998E-2</v>
      </c>
      <c r="W3548">
        <v>0.23425799999999999</v>
      </c>
      <c r="X3548">
        <v>0.97167890000000001</v>
      </c>
      <c r="Y3548">
        <v>-7.5300019999999995E-2</v>
      </c>
      <c r="Z3548">
        <v>3.2562840000000003E-2</v>
      </c>
      <c r="AA3548">
        <v>0.99662910000000005</v>
      </c>
      <c r="AB3548">
        <v>33</v>
      </c>
      <c r="AC3548">
        <v>13.3264</v>
      </c>
      <c r="AD3548">
        <v>-1.1069644070760001</v>
      </c>
      <c r="AE3548">
        <v>-29.245899999999999</v>
      </c>
      <c r="AF3548">
        <v>-2.4413336622905599</v>
      </c>
      <c r="AG3548">
        <v>-1.1069644070760001</v>
      </c>
      <c r="AH3548">
        <v>32.007953815952597</v>
      </c>
      <c r="AI3548">
        <v>91.974998277389801</v>
      </c>
      <c r="AJ3548">
        <v>94.361659937651595</v>
      </c>
      <c r="AK3548">
        <v>32.120002922374098</v>
      </c>
      <c r="AL3548">
        <v>76.452111864670599</v>
      </c>
      <c r="AM3548">
        <v>91.829551704813795</v>
      </c>
      <c r="AN3548">
        <v>1.0000000235631801</v>
      </c>
    </row>
    <row r="3549" spans="1:40" x14ac:dyDescent="0.25">
      <c r="A3549" t="str">
        <f>"20190312172146377"</f>
        <v>20190312172146377</v>
      </c>
      <c r="B3549" t="str">
        <f>"1552382506374676"</f>
        <v>1552382506374676</v>
      </c>
      <c r="C3549" t="s">
        <v>40</v>
      </c>
      <c r="D3549">
        <v>3.993404</v>
      </c>
      <c r="E3549">
        <v>0.48641220000000002</v>
      </c>
      <c r="F3549" t="s">
        <v>52</v>
      </c>
      <c r="G3549">
        <v>-474.08330000000001</v>
      </c>
      <c r="H3549">
        <v>4.2887149999999998</v>
      </c>
      <c r="I3549">
        <v>196.90129999999999</v>
      </c>
      <c r="J3549">
        <v>-492.6431</v>
      </c>
      <c r="K3549">
        <v>1.1072820000000001</v>
      </c>
      <c r="L3549">
        <v>239.20320000000001</v>
      </c>
      <c r="M3549">
        <v>0.34109099999999998</v>
      </c>
      <c r="N3549">
        <v>0</v>
      </c>
      <c r="O3549">
        <v>-0.9399208</v>
      </c>
      <c r="P3549">
        <v>0.37270750000000002</v>
      </c>
      <c r="Q3549">
        <v>0.21986790000000001</v>
      </c>
      <c r="R3549">
        <v>-0.90152540000000003</v>
      </c>
      <c r="S3549">
        <v>1.2160029999999999</v>
      </c>
      <c r="T3549">
        <v>0.20740339999999999</v>
      </c>
      <c r="U3549">
        <v>-2.7749480000000002</v>
      </c>
      <c r="V3549">
        <v>-4.0656820000000003E-2</v>
      </c>
      <c r="W3549">
        <v>0.23421819999999999</v>
      </c>
      <c r="X3549">
        <v>0.97133360000000002</v>
      </c>
      <c r="Y3549">
        <v>-6.3943159999999999E-2</v>
      </c>
      <c r="Z3549">
        <v>-6.4955849999999996E-2</v>
      </c>
      <c r="AA3549">
        <v>0.99583730000000004</v>
      </c>
      <c r="AB3549">
        <v>33</v>
      </c>
      <c r="AC3549">
        <v>18.559799999999999</v>
      </c>
      <c r="AD3549">
        <v>3.1814330000000002</v>
      </c>
      <c r="AE3549">
        <v>-42.301900000000003</v>
      </c>
      <c r="AF3549">
        <v>-3.0020160571855299</v>
      </c>
      <c r="AG3549">
        <v>3.1814330000000002</v>
      </c>
      <c r="AH3549">
        <v>45.878152817086203</v>
      </c>
      <c r="AI3549">
        <v>86.041597229826806</v>
      </c>
      <c r="AJ3549">
        <v>93.743786121716496</v>
      </c>
      <c r="AK3549">
        <v>46.086207505597699</v>
      </c>
      <c r="AL3549">
        <v>76.454457891228898</v>
      </c>
      <c r="AM3549">
        <v>92.396813235389899</v>
      </c>
      <c r="AN3549">
        <v>1.0000000523563499</v>
      </c>
    </row>
    <row r="3550" spans="1:40" x14ac:dyDescent="0.25">
      <c r="A3550" t="str">
        <f>"20190312172146391"</f>
        <v>20190312172146391</v>
      </c>
      <c r="B3550" t="str">
        <f>"1552382506384436"</f>
        <v>1552382506384436</v>
      </c>
      <c r="C3550" t="s">
        <v>40</v>
      </c>
      <c r="D3550">
        <v>3.8217859999999999</v>
      </c>
      <c r="E3550">
        <v>0.48636430000000003</v>
      </c>
      <c r="F3550" t="s">
        <v>52</v>
      </c>
      <c r="G3550">
        <v>-473.69589999999999</v>
      </c>
      <c r="H3550">
        <v>4.0678599999999996</v>
      </c>
      <c r="I3550">
        <v>196.565</v>
      </c>
      <c r="J3550">
        <v>-492.5763</v>
      </c>
      <c r="K3550">
        <v>1.1075299999999999</v>
      </c>
      <c r="L3550">
        <v>239.01320000000001</v>
      </c>
      <c r="M3550">
        <v>0.3391825</v>
      </c>
      <c r="N3550">
        <v>0</v>
      </c>
      <c r="O3550">
        <v>-0.9406118</v>
      </c>
      <c r="P3550">
        <v>0.37442259999999999</v>
      </c>
      <c r="Q3550">
        <v>0.21847259999999999</v>
      </c>
      <c r="R3550">
        <v>-0.90115369999999995</v>
      </c>
      <c r="S3550">
        <v>1.2316279999999999</v>
      </c>
      <c r="T3550">
        <v>0.19244839999999999</v>
      </c>
      <c r="U3550">
        <v>-2.7716059999999998</v>
      </c>
      <c r="V3550">
        <v>-4.4539189999999999E-2</v>
      </c>
      <c r="W3550">
        <v>0.2327883</v>
      </c>
      <c r="X3550">
        <v>0.97150700000000001</v>
      </c>
      <c r="Y3550">
        <v>-7.1232180000000006E-2</v>
      </c>
      <c r="Z3550">
        <v>-6.0344500000000002E-2</v>
      </c>
      <c r="AA3550">
        <v>0.99563270000000004</v>
      </c>
      <c r="AB3550">
        <v>33</v>
      </c>
      <c r="AC3550">
        <v>18.880400000000002</v>
      </c>
      <c r="AD3550">
        <v>2.9603299999999999</v>
      </c>
      <c r="AE3550">
        <v>-42.4482</v>
      </c>
      <c r="AF3550">
        <v>-3.3481896272500702</v>
      </c>
      <c r="AG3550">
        <v>2.9603299999999999</v>
      </c>
      <c r="AH3550">
        <v>46.148541480285601</v>
      </c>
      <c r="AI3550">
        <v>86.339223517592899</v>
      </c>
      <c r="AJ3550">
        <v>94.149678115463004</v>
      </c>
      <c r="AK3550">
        <v>46.364445518592902</v>
      </c>
      <c r="AL3550">
        <v>76.538713479356204</v>
      </c>
      <c r="AM3550">
        <v>92.624913653822802</v>
      </c>
      <c r="AN3550">
        <v>0.99999999155587205</v>
      </c>
    </row>
    <row r="3551" spans="1:40" x14ac:dyDescent="0.25">
      <c r="A3551" t="str">
        <f>"20190312172146405"</f>
        <v>20190312172146405</v>
      </c>
      <c r="B3551" t="str">
        <f>"1552382506394196"</f>
        <v>1552382506394196</v>
      </c>
      <c r="C3551" t="s">
        <v>40</v>
      </c>
      <c r="D3551">
        <v>4.1338869999999996</v>
      </c>
      <c r="E3551">
        <v>0.48590329999999898</v>
      </c>
      <c r="F3551" t="s">
        <v>45</v>
      </c>
      <c r="G3551">
        <v>-483.66219999999998</v>
      </c>
      <c r="H3551" s="1">
        <v>2.3771800000000002E-6</v>
      </c>
      <c r="I3551">
        <v>218.67670000000001</v>
      </c>
      <c r="J3551">
        <v>-492.50639999999999</v>
      </c>
      <c r="K3551">
        <v>1.107815</v>
      </c>
      <c r="L3551">
        <v>238.81360000000001</v>
      </c>
      <c r="M3551">
        <v>0.33740219999999999</v>
      </c>
      <c r="N3551">
        <v>0</v>
      </c>
      <c r="O3551">
        <v>-0.94125259999999999</v>
      </c>
      <c r="P3551">
        <v>0.37598019999999999</v>
      </c>
      <c r="Q3551">
        <v>0.21385689999999999</v>
      </c>
      <c r="R3551">
        <v>-0.90161219999999997</v>
      </c>
      <c r="S3551">
        <v>1.2483519999999999</v>
      </c>
      <c r="T3551">
        <v>-0.15510090000000001</v>
      </c>
      <c r="U3551">
        <v>-2.8479610000000002</v>
      </c>
      <c r="V3551">
        <v>-4.7910519999999998E-2</v>
      </c>
      <c r="W3551">
        <v>0.22813339999999999</v>
      </c>
      <c r="X3551">
        <v>0.97245040000000005</v>
      </c>
      <c r="Y3551">
        <v>-6.8381140000000007E-2</v>
      </c>
      <c r="Z3551">
        <v>4.747432E-2</v>
      </c>
      <c r="AA3551">
        <v>0.99652909999999995</v>
      </c>
      <c r="AB3551">
        <v>33</v>
      </c>
      <c r="AC3551">
        <v>8.8442000000000007</v>
      </c>
      <c r="AD3551">
        <v>-1.10781262282</v>
      </c>
      <c r="AE3551">
        <v>-20.136900000000001</v>
      </c>
      <c r="AF3551">
        <v>-1.5266740938118399</v>
      </c>
      <c r="AG3551">
        <v>-1.10781262282</v>
      </c>
      <c r="AH3551">
        <v>21.8846679991107</v>
      </c>
      <c r="AI3551">
        <v>92.890853332263703</v>
      </c>
      <c r="AJ3551">
        <v>93.990487875435704</v>
      </c>
      <c r="AK3551">
        <v>21.965806974188201</v>
      </c>
      <c r="AL3551">
        <v>76.8127982412297</v>
      </c>
      <c r="AM3551">
        <v>92.820558010391295</v>
      </c>
      <c r="AN3551">
        <v>1.0000000232911901</v>
      </c>
    </row>
    <row r="3552" spans="1:40" x14ac:dyDescent="0.25">
      <c r="A3552" t="str">
        <f>"20190312172146424"</f>
        <v>20190312172146424</v>
      </c>
      <c r="B3552" t="str">
        <f>"1552382506414692"</f>
        <v>1552382506414692</v>
      </c>
      <c r="C3552" t="s">
        <v>40</v>
      </c>
      <c r="D3552">
        <v>3.97017</v>
      </c>
      <c r="E3552">
        <v>0.48753099999999999</v>
      </c>
      <c r="F3552" t="s">
        <v>45</v>
      </c>
      <c r="G3552">
        <v>-485.97989999999999</v>
      </c>
      <c r="H3552" s="1">
        <v>4.0193349999999997E-6</v>
      </c>
      <c r="I3552">
        <v>224.02699999999999</v>
      </c>
      <c r="J3552">
        <v>-492.41669999999999</v>
      </c>
      <c r="K3552">
        <v>1.1082129999999999</v>
      </c>
      <c r="L3552">
        <v>238.55690000000001</v>
      </c>
      <c r="M3552">
        <v>0.33555570000000001</v>
      </c>
      <c r="N3552">
        <v>0</v>
      </c>
      <c r="O3552">
        <v>-0.94191340000000001</v>
      </c>
      <c r="P3552">
        <v>0.38083090000000003</v>
      </c>
      <c r="Q3552">
        <v>0.20136809999999999</v>
      </c>
      <c r="R3552">
        <v>-0.90245189999999997</v>
      </c>
      <c r="S3552">
        <v>1.259247</v>
      </c>
      <c r="T3552">
        <v>-0.21374399999999999</v>
      </c>
      <c r="U3552">
        <v>-2.8529659999999999</v>
      </c>
      <c r="V3552">
        <v>-5.4455770000000001E-2</v>
      </c>
      <c r="W3552">
        <v>0.21561459999999999</v>
      </c>
      <c r="X3552">
        <v>0.97495889999999996</v>
      </c>
      <c r="Y3552">
        <v>-7.2454180000000007E-2</v>
      </c>
      <c r="Z3552">
        <v>6.5256419999999996E-2</v>
      </c>
      <c r="AA3552">
        <v>0.99523470000000003</v>
      </c>
      <c r="AB3552">
        <v>33</v>
      </c>
      <c r="AC3552">
        <v>6.4367999999999999</v>
      </c>
      <c r="AD3552">
        <v>-1.108208980665</v>
      </c>
      <c r="AE3552">
        <v>-14.5298999999999</v>
      </c>
      <c r="AF3552">
        <v>-1.18169061668759</v>
      </c>
      <c r="AG3552">
        <v>-1.108208980665</v>
      </c>
      <c r="AH3552">
        <v>15.7707178833216</v>
      </c>
      <c r="AI3552">
        <v>94.008369576304204</v>
      </c>
      <c r="AJ3552">
        <v>94.285131531562598</v>
      </c>
      <c r="AK3552">
        <v>15.8537081597244</v>
      </c>
      <c r="AL3552">
        <v>77.548412617566697</v>
      </c>
      <c r="AM3552">
        <v>93.196901178232494</v>
      </c>
      <c r="AN3552">
        <v>0.99999997165433097</v>
      </c>
    </row>
    <row r="3553" spans="1:40" x14ac:dyDescent="0.25">
      <c r="A3553" t="str">
        <f>"20190312172146444"</f>
        <v>20190312172146444</v>
      </c>
      <c r="B3553" t="str">
        <f>"1552382506434211"</f>
        <v>1552382506434211</v>
      </c>
      <c r="C3553" t="s">
        <v>40</v>
      </c>
      <c r="D3553">
        <v>4.0677510000000003</v>
      </c>
      <c r="E3553">
        <v>0.48801250000000002</v>
      </c>
      <c r="F3553" t="s">
        <v>45</v>
      </c>
      <c r="G3553">
        <v>-486.96429999999998</v>
      </c>
      <c r="H3553" s="1">
        <v>4.7877169999999998E-6</v>
      </c>
      <c r="I3553">
        <v>226.2313</v>
      </c>
      <c r="J3553">
        <v>-492.31369999999998</v>
      </c>
      <c r="K3553">
        <v>1.108695</v>
      </c>
      <c r="L3553">
        <v>238.26249999999999</v>
      </c>
      <c r="M3553">
        <v>0.33405869999999999</v>
      </c>
      <c r="N3553">
        <v>0</v>
      </c>
      <c r="O3553">
        <v>-0.94244600000000001</v>
      </c>
      <c r="P3553">
        <v>0.38730720000000002</v>
      </c>
      <c r="Q3553">
        <v>0.1879412</v>
      </c>
      <c r="R3553">
        <v>-0.90259149999999999</v>
      </c>
      <c r="S3553">
        <v>1.260529</v>
      </c>
      <c r="T3553">
        <v>-0.25620409999999999</v>
      </c>
      <c r="U3553">
        <v>-2.8495330000000001</v>
      </c>
      <c r="V3553">
        <v>-6.2445500000000001E-2</v>
      </c>
      <c r="W3553">
        <v>0.20213210000000001</v>
      </c>
      <c r="X3553">
        <v>0.97736540000000005</v>
      </c>
      <c r="Y3553">
        <v>-7.4454909999999999E-2</v>
      </c>
      <c r="Z3553">
        <v>7.8276689999999996E-2</v>
      </c>
      <c r="AA3553">
        <v>0.99414749999999996</v>
      </c>
      <c r="AB3553">
        <v>33</v>
      </c>
      <c r="AC3553">
        <v>5.3494000000000002</v>
      </c>
      <c r="AD3553">
        <v>-1.108690212283</v>
      </c>
      <c r="AE3553">
        <v>-12.031199999999901</v>
      </c>
      <c r="AF3553">
        <v>-1.0152973856885901</v>
      </c>
      <c r="AG3553">
        <v>-1.108690212283</v>
      </c>
      <c r="AH3553">
        <v>13.0346667638263</v>
      </c>
      <c r="AI3553">
        <v>94.847096192368099</v>
      </c>
      <c r="AJ3553">
        <v>94.453894794742894</v>
      </c>
      <c r="AK3553">
        <v>13.1210731425519</v>
      </c>
      <c r="AL3553">
        <v>78.338333512495794</v>
      </c>
      <c r="AM3553">
        <v>93.655753556538301</v>
      </c>
      <c r="AN3553">
        <v>0.99999997571890897</v>
      </c>
    </row>
    <row r="3554" spans="1:40" x14ac:dyDescent="0.25">
      <c r="A3554" t="str">
        <f>"20190312172146466"</f>
        <v>20190312172146466</v>
      </c>
      <c r="B3554" t="str">
        <f>"1552382506463999"</f>
        <v>1552382506463999</v>
      </c>
      <c r="C3554" t="s">
        <v>40</v>
      </c>
      <c r="D3554">
        <v>3.9937749999999999</v>
      </c>
      <c r="E3554">
        <v>0.49413600000000002</v>
      </c>
      <c r="F3554" t="s">
        <v>45</v>
      </c>
      <c r="G3554">
        <v>-487.55399999999997</v>
      </c>
      <c r="H3554" s="1">
        <v>5.37984799999999E-6</v>
      </c>
      <c r="I3554">
        <v>227.6362</v>
      </c>
      <c r="J3554">
        <v>-492.21080000000001</v>
      </c>
      <c r="K3554">
        <v>1.1091850000000001</v>
      </c>
      <c r="L3554">
        <v>237.96870000000001</v>
      </c>
      <c r="M3554">
        <v>0.33319919999999997</v>
      </c>
      <c r="N3554">
        <v>0</v>
      </c>
      <c r="O3554">
        <v>-0.94275100000000001</v>
      </c>
      <c r="P3554">
        <v>0.3942581</v>
      </c>
      <c r="Q3554">
        <v>0.17671049999999999</v>
      </c>
      <c r="R3554">
        <v>-0.90185059999999995</v>
      </c>
      <c r="S3554">
        <v>1.2719419999999999</v>
      </c>
      <c r="T3554">
        <v>-0.29627310000000001</v>
      </c>
      <c r="U3554">
        <v>-2.8396300000000001</v>
      </c>
      <c r="V3554">
        <v>-7.0474819999999994E-2</v>
      </c>
      <c r="W3554">
        <v>0.1908204</v>
      </c>
      <c r="X3554">
        <v>0.97909190000000001</v>
      </c>
      <c r="Y3554">
        <v>-7.9524490000000003E-2</v>
      </c>
      <c r="Z3554">
        <v>9.0656059999999997E-2</v>
      </c>
      <c r="AA3554">
        <v>0.99270199999999997</v>
      </c>
      <c r="AB3554">
        <v>33</v>
      </c>
      <c r="AC3554">
        <v>4.6567999999999703</v>
      </c>
      <c r="AD3554">
        <v>-1.1091796201519999</v>
      </c>
      <c r="AE3554">
        <v>-10.3325</v>
      </c>
      <c r="AF3554">
        <v>-0.93852697186962997</v>
      </c>
      <c r="AG3554">
        <v>-1.1091796201519999</v>
      </c>
      <c r="AH3554">
        <v>11.1865926922707</v>
      </c>
      <c r="AI3554">
        <v>95.642820854756494</v>
      </c>
      <c r="AJ3554">
        <v>94.795740672022603</v>
      </c>
      <c r="AK3554">
        <v>11.280557094818199</v>
      </c>
      <c r="AL3554">
        <v>78.999334744134998</v>
      </c>
      <c r="AM3554">
        <v>94.117037181967703</v>
      </c>
      <c r="AN3554">
        <v>1.0000000369779001</v>
      </c>
    </row>
    <row r="3555" spans="1:40" x14ac:dyDescent="0.25">
      <c r="A3555" t="str">
        <f>"20190312172146489"</f>
        <v>20190312172146489</v>
      </c>
      <c r="B3555" t="str">
        <f>"1552382506484495"</f>
        <v>1552382506484495</v>
      </c>
      <c r="C3555" t="s">
        <v>40</v>
      </c>
      <c r="D3555">
        <v>4.0947469999999999</v>
      </c>
      <c r="E3555">
        <v>0.49112800000000001</v>
      </c>
      <c r="F3555" t="s">
        <v>52</v>
      </c>
      <c r="G3555">
        <v>-473.8048</v>
      </c>
      <c r="H3555">
        <v>1.859065</v>
      </c>
      <c r="I3555">
        <v>196.6301</v>
      </c>
      <c r="J3555">
        <v>-492.10079999999999</v>
      </c>
      <c r="K3555">
        <v>1.109729</v>
      </c>
      <c r="L3555">
        <v>237.65620000000001</v>
      </c>
      <c r="M3555">
        <v>0.33304489999999998</v>
      </c>
      <c r="N3555">
        <v>0</v>
      </c>
      <c r="O3555">
        <v>-0.94280609999999998</v>
      </c>
      <c r="P3555">
        <v>0.40029140000000002</v>
      </c>
      <c r="Q3555">
        <v>0.1699059</v>
      </c>
      <c r="R3555">
        <v>-0.90049950000000001</v>
      </c>
      <c r="S3555">
        <v>1.2361150000000001</v>
      </c>
      <c r="T3555">
        <v>5.0362469999999999E-2</v>
      </c>
      <c r="U3555">
        <v>-2.7761990000000001</v>
      </c>
      <c r="V3555">
        <v>-7.7086849999999998E-2</v>
      </c>
      <c r="W3555">
        <v>0.18389150000000001</v>
      </c>
      <c r="X3555">
        <v>0.97991910000000004</v>
      </c>
      <c r="Y3555">
        <v>-7.9197139999999999E-2</v>
      </c>
      <c r="Z3555">
        <v>-1.584288E-2</v>
      </c>
      <c r="AA3555">
        <v>0.99673310000000004</v>
      </c>
      <c r="AB3555">
        <v>33</v>
      </c>
      <c r="AC3555">
        <v>18.2959999999999</v>
      </c>
      <c r="AD3555">
        <v>0.749336</v>
      </c>
      <c r="AE3555">
        <v>-41.0261</v>
      </c>
      <c r="AF3555">
        <v>-3.58540397243971</v>
      </c>
      <c r="AG3555">
        <v>0.749336</v>
      </c>
      <c r="AH3555">
        <v>44.765017985565898</v>
      </c>
      <c r="AI3555">
        <v>89.044057853763306</v>
      </c>
      <c r="AJ3555">
        <v>94.579265933558005</v>
      </c>
      <c r="AK3555">
        <v>44.914624136627502</v>
      </c>
      <c r="AL3555">
        <v>79.403488212445396</v>
      </c>
      <c r="AM3555">
        <v>94.497997773391702</v>
      </c>
      <c r="AN3555">
        <v>0.99999995437999001</v>
      </c>
    </row>
    <row r="3556" spans="1:40" x14ac:dyDescent="0.25">
      <c r="A3556" t="str">
        <f>"20190312172146511"</f>
        <v>20190312172146511</v>
      </c>
      <c r="B3556" t="str">
        <f>"1552382506504015"</f>
        <v>1552382506504015</v>
      </c>
      <c r="C3556" t="s">
        <v>40</v>
      </c>
      <c r="D3556">
        <v>4.2069850000000004</v>
      </c>
      <c r="E3556">
        <v>0.49275790000000003</v>
      </c>
      <c r="F3556" t="s">
        <v>45</v>
      </c>
      <c r="G3556">
        <v>-487.81909999999999</v>
      </c>
      <c r="H3556" s="1">
        <v>5.6374579999999999E-6</v>
      </c>
      <c r="I3556">
        <v>228.24010000000001</v>
      </c>
      <c r="J3556">
        <v>-491.99270000000001</v>
      </c>
      <c r="K3556">
        <v>1.110325</v>
      </c>
      <c r="L3556">
        <v>237.35079999999999</v>
      </c>
      <c r="M3556">
        <v>0.33368809999999999</v>
      </c>
      <c r="N3556">
        <v>0</v>
      </c>
      <c r="O3556">
        <v>-0.9425789</v>
      </c>
      <c r="P3556">
        <v>0.40718949999999998</v>
      </c>
      <c r="Q3556">
        <v>0.16453609999999999</v>
      </c>
      <c r="R3556">
        <v>-0.89840109999999995</v>
      </c>
      <c r="S3556">
        <v>1.283936</v>
      </c>
      <c r="T3556">
        <v>-0.3327678</v>
      </c>
      <c r="U3556">
        <v>-2.823563</v>
      </c>
      <c r="V3556">
        <v>-8.391324E-2</v>
      </c>
      <c r="W3556">
        <v>0.1783776</v>
      </c>
      <c r="X3556">
        <v>0.98037750000000001</v>
      </c>
      <c r="Y3556">
        <v>-8.4126210000000007E-2</v>
      </c>
      <c r="Z3556">
        <v>0.1020924</v>
      </c>
      <c r="AA3556">
        <v>0.99121139999999996</v>
      </c>
      <c r="AB3556">
        <v>33</v>
      </c>
      <c r="AC3556">
        <v>4.17360000000002</v>
      </c>
      <c r="AD3556">
        <v>-1.110319362542</v>
      </c>
      <c r="AE3556">
        <v>-9.11069999999998</v>
      </c>
      <c r="AF3556">
        <v>-0.88306276180764198</v>
      </c>
      <c r="AG3556">
        <v>-1.110319362542</v>
      </c>
      <c r="AH3556">
        <v>9.8601746264379901</v>
      </c>
      <c r="AI3556">
        <v>96.3994111720273</v>
      </c>
      <c r="AJ3556">
        <v>95.117672537286893</v>
      </c>
      <c r="AK3556">
        <v>9.9617093207932204</v>
      </c>
      <c r="AL3556">
        <v>79.724726382939195</v>
      </c>
      <c r="AM3556">
        <v>94.892181643331796</v>
      </c>
      <c r="AN3556">
        <v>1.0000000212676501</v>
      </c>
    </row>
    <row r="3557" spans="1:40" x14ac:dyDescent="0.25">
      <c r="A3557" t="str">
        <f>"20190312172146525"</f>
        <v>20190312172146525</v>
      </c>
      <c r="B3557" t="str">
        <f>"1552382506513776"</f>
        <v>1552382506513776</v>
      </c>
      <c r="C3557" t="s">
        <v>40</v>
      </c>
      <c r="D3557">
        <v>3.8932959999999999</v>
      </c>
      <c r="E3557">
        <v>0.49378620000000001</v>
      </c>
      <c r="F3557" t="s">
        <v>45</v>
      </c>
      <c r="G3557">
        <v>-487.88720000000001</v>
      </c>
      <c r="H3557" s="1">
        <v>5.7074580000000001E-6</v>
      </c>
      <c r="I3557">
        <v>228.4075</v>
      </c>
      <c r="J3557">
        <v>-491.92439999999999</v>
      </c>
      <c r="K3557">
        <v>1.1107260000000001</v>
      </c>
      <c r="L3557">
        <v>237.15940000000001</v>
      </c>
      <c r="M3557">
        <v>0.33447909999999997</v>
      </c>
      <c r="N3557">
        <v>0</v>
      </c>
      <c r="O3557">
        <v>-0.94229890000000005</v>
      </c>
      <c r="P3557">
        <v>0.41184929999999997</v>
      </c>
      <c r="Q3557">
        <v>0.16203719999999999</v>
      </c>
      <c r="R3557">
        <v>-0.89672989999999997</v>
      </c>
      <c r="S3557">
        <v>1.2932429999999999</v>
      </c>
      <c r="T3557">
        <v>-0.34975840000000002</v>
      </c>
      <c r="U3557">
        <v>-2.8171840000000001</v>
      </c>
      <c r="V3557">
        <v>-8.8221069999999999E-2</v>
      </c>
      <c r="W3557">
        <v>0.17577619999999999</v>
      </c>
      <c r="X3557">
        <v>0.98046920000000004</v>
      </c>
      <c r="Y3557">
        <v>-8.6599129999999996E-2</v>
      </c>
      <c r="Z3557">
        <v>0.1073305</v>
      </c>
      <c r="AA3557">
        <v>0.99044469999999996</v>
      </c>
      <c r="AB3557">
        <v>33</v>
      </c>
      <c r="AC3557">
        <v>4.0371999999999799</v>
      </c>
      <c r="AD3557">
        <v>-1.1107202925419899</v>
      </c>
      <c r="AE3557">
        <v>-8.7518999999999991</v>
      </c>
      <c r="AF3557">
        <v>-0.86551311105194295</v>
      </c>
      <c r="AG3557">
        <v>-1.1107202925419899</v>
      </c>
      <c r="AH3557">
        <v>9.4724084633167394</v>
      </c>
      <c r="AI3557">
        <v>96.660381636459405</v>
      </c>
      <c r="AJ3557">
        <v>95.220734375098104</v>
      </c>
      <c r="AK3557">
        <v>9.5764990789735904</v>
      </c>
      <c r="AL3557">
        <v>79.876169112538705</v>
      </c>
      <c r="AM3557">
        <v>95.141538077768502</v>
      </c>
      <c r="AN3557">
        <v>1.0000000409135099</v>
      </c>
    </row>
    <row r="3558" spans="1:40" x14ac:dyDescent="0.25">
      <c r="A3558" t="str">
        <f>"20190312172146539"</f>
        <v>20190312172146539</v>
      </c>
      <c r="B3558" t="str">
        <f>"1552382506534272"</f>
        <v>1552382506534272</v>
      </c>
      <c r="C3558" t="s">
        <v>40</v>
      </c>
      <c r="D3558">
        <v>3.9522240000000002</v>
      </c>
      <c r="E3558">
        <v>0.48956699999999997</v>
      </c>
      <c r="F3558" t="s">
        <v>45</v>
      </c>
      <c r="G3558">
        <v>-487.67360000000002</v>
      </c>
      <c r="H3558" s="1">
        <v>5.5101669999999999E-6</v>
      </c>
      <c r="I3558">
        <v>227.95419999999999</v>
      </c>
      <c r="J3558">
        <v>-491.85840000000002</v>
      </c>
      <c r="K3558">
        <v>1.111132</v>
      </c>
      <c r="L3558">
        <v>236.97550000000001</v>
      </c>
      <c r="M3558">
        <v>0.33549040000000002</v>
      </c>
      <c r="N3558">
        <v>0</v>
      </c>
      <c r="O3558">
        <v>-0.94193930000000003</v>
      </c>
      <c r="P3558">
        <v>0.41717949999999998</v>
      </c>
      <c r="Q3558">
        <v>0.15971070000000001</v>
      </c>
      <c r="R3558">
        <v>-0.8946809</v>
      </c>
      <c r="S3558">
        <v>1.2979130000000001</v>
      </c>
      <c r="T3558">
        <v>-0.3391382</v>
      </c>
      <c r="U3558">
        <v>-2.810654</v>
      </c>
      <c r="V3558">
        <v>-9.3048210000000006E-2</v>
      </c>
      <c r="W3558">
        <v>0.17334179999999999</v>
      </c>
      <c r="X3558">
        <v>0.98045640000000001</v>
      </c>
      <c r="Y3558">
        <v>-8.7904850000000007E-2</v>
      </c>
      <c r="Z3558">
        <v>0.1042304</v>
      </c>
      <c r="AA3558">
        <v>0.99066080000000001</v>
      </c>
      <c r="AB3558">
        <v>32</v>
      </c>
      <c r="AC3558">
        <v>4.1847999999999903</v>
      </c>
      <c r="AD3558">
        <v>-1.111126489833</v>
      </c>
      <c r="AE3558">
        <v>-9.0213000000000196</v>
      </c>
      <c r="AF3558">
        <v>-0.90407175371377801</v>
      </c>
      <c r="AG3558">
        <v>-1.111126489833</v>
      </c>
      <c r="AH3558">
        <v>9.7803545227821491</v>
      </c>
      <c r="AI3558">
        <v>96.454186909205006</v>
      </c>
      <c r="AJ3558">
        <v>95.281271816402395</v>
      </c>
      <c r="AK3558">
        <v>9.8846994088630193</v>
      </c>
      <c r="AL3558">
        <v>80.017824970518205</v>
      </c>
      <c r="AM3558">
        <v>95.421301934572895</v>
      </c>
      <c r="AN3558">
        <v>1.0000000506561999</v>
      </c>
    </row>
    <row r="3559" spans="1:40" x14ac:dyDescent="0.25">
      <c r="A3559" t="str">
        <f>"20190312172146557"</f>
        <v>20190312172146557</v>
      </c>
      <c r="B3559" t="str">
        <f>"1552382506554299"</f>
        <v>1552382506554299</v>
      </c>
      <c r="C3559" t="s">
        <v>40</v>
      </c>
      <c r="D3559">
        <v>4.3267790000000002</v>
      </c>
      <c r="E3559">
        <v>0.44778810000000002</v>
      </c>
      <c r="F3559" t="s">
        <v>45</v>
      </c>
      <c r="G3559">
        <v>-487.3596</v>
      </c>
      <c r="H3559" s="1">
        <v>5.3263379999999999E-6</v>
      </c>
      <c r="I3559">
        <v>227.63050000000001</v>
      </c>
      <c r="J3559">
        <v>-491.7706</v>
      </c>
      <c r="K3559">
        <v>1.1116839999999999</v>
      </c>
      <c r="L3559">
        <v>236.7338</v>
      </c>
      <c r="M3559">
        <v>0.33729740000000002</v>
      </c>
      <c r="N3559">
        <v>0</v>
      </c>
      <c r="O3559">
        <v>-0.94129430000000003</v>
      </c>
      <c r="P3559">
        <v>0.42799350000000003</v>
      </c>
      <c r="Q3559">
        <v>0.1581138</v>
      </c>
      <c r="R3559">
        <v>-0.88984390000000002</v>
      </c>
      <c r="S3559">
        <v>1.341583</v>
      </c>
      <c r="T3559">
        <v>-0.331345099999999</v>
      </c>
      <c r="U3559">
        <v>-2.786743</v>
      </c>
      <c r="V3559">
        <v>-0.1031977</v>
      </c>
      <c r="W3559">
        <v>0.171575799999999</v>
      </c>
      <c r="X3559">
        <v>0.97975100000000004</v>
      </c>
      <c r="Y3559">
        <v>-0.1019944</v>
      </c>
      <c r="Z3559">
        <v>0.1021545</v>
      </c>
      <c r="AA3559">
        <v>0.98952589999999996</v>
      </c>
      <c r="AB3559">
        <v>32</v>
      </c>
      <c r="AC3559">
        <v>4.4109999999999996</v>
      </c>
      <c r="AD3559">
        <v>-1.1116786736619999</v>
      </c>
      <c r="AE3559">
        <v>-9.1032999999999902</v>
      </c>
      <c r="AF3559">
        <v>-1.06872816774892</v>
      </c>
      <c r="AG3559">
        <v>-1.1116786736619999</v>
      </c>
      <c r="AH3559">
        <v>9.9376666797010405</v>
      </c>
      <c r="AI3559">
        <v>96.346571089041106</v>
      </c>
      <c r="AJ3559">
        <v>96.138178476893401</v>
      </c>
      <c r="AK3559">
        <v>10.0566012353506</v>
      </c>
      <c r="AL3559">
        <v>80.120548166460097</v>
      </c>
      <c r="AM3559">
        <v>96.012824222160702</v>
      </c>
      <c r="AN3559">
        <v>1.0000000212159601</v>
      </c>
    </row>
    <row r="3560" spans="1:40" x14ac:dyDescent="0.25">
      <c r="A3560" t="str">
        <f>"20190312172146578"</f>
        <v>20190312172146578</v>
      </c>
      <c r="B3560" t="str">
        <f>"1552382506573819"</f>
        <v>1552382506573819</v>
      </c>
      <c r="C3560" t="s">
        <v>40</v>
      </c>
      <c r="D3560">
        <v>4.1694750000000003</v>
      </c>
      <c r="E3560">
        <v>0.44690809999999997</v>
      </c>
      <c r="F3560" t="s">
        <v>52</v>
      </c>
      <c r="G3560">
        <v>-466.35930000000002</v>
      </c>
      <c r="H3560">
        <v>2.5145590000000002</v>
      </c>
      <c r="I3560">
        <v>197.7544</v>
      </c>
      <c r="J3560">
        <v>-491.66390000000001</v>
      </c>
      <c r="K3560">
        <v>1.1123559999999999</v>
      </c>
      <c r="L3560">
        <v>236.44319999999999</v>
      </c>
      <c r="M3560">
        <v>0.33997909999999998</v>
      </c>
      <c r="N3560">
        <v>0</v>
      </c>
      <c r="O3560">
        <v>-0.94032879999999996</v>
      </c>
      <c r="P3560">
        <v>0.43965300000000002</v>
      </c>
      <c r="Q3560">
        <v>0.16247600000000001</v>
      </c>
      <c r="R3560">
        <v>-0.88334999999999997</v>
      </c>
      <c r="S3560">
        <v>1.6651</v>
      </c>
      <c r="T3560">
        <v>9.1926690000000005E-2</v>
      </c>
      <c r="U3560">
        <v>-2.5541529999999999</v>
      </c>
      <c r="V3560">
        <v>-0.11385000000000001</v>
      </c>
      <c r="W3560">
        <v>0.17570259999999999</v>
      </c>
      <c r="X3560">
        <v>0.97783779999999998</v>
      </c>
      <c r="Y3560">
        <v>-0.22849820000000001</v>
      </c>
      <c r="Z3560">
        <v>-2.9528269999999999E-2</v>
      </c>
      <c r="AA3560">
        <v>0.97309639999999997</v>
      </c>
      <c r="AB3560">
        <v>32</v>
      </c>
      <c r="AC3560">
        <v>25.304599999999901</v>
      </c>
      <c r="AD3560">
        <v>1.4022030000000001</v>
      </c>
      <c r="AE3560">
        <v>-38.688799999999901</v>
      </c>
      <c r="AF3560">
        <v>-10.632521615024601</v>
      </c>
      <c r="AG3560">
        <v>1.4022030000000001</v>
      </c>
      <c r="AH3560">
        <v>44.946285543810603</v>
      </c>
      <c r="AI3560">
        <v>88.261068730243295</v>
      </c>
      <c r="AJ3560">
        <v>103.30925954224099</v>
      </c>
      <c r="AK3560">
        <v>46.208065024765197</v>
      </c>
      <c r="AL3560">
        <v>79.880452275831004</v>
      </c>
      <c r="AM3560">
        <v>96.641066710490605</v>
      </c>
      <c r="AN3560">
        <v>0.99999999462779998</v>
      </c>
    </row>
    <row r="3561" spans="1:40" x14ac:dyDescent="0.25">
      <c r="A3561" t="str">
        <f>"20190312172146603"</f>
        <v>20190312172146603</v>
      </c>
      <c r="B3561" t="str">
        <f>"1552382506594315"</f>
        <v>1552382506594315</v>
      </c>
      <c r="C3561" t="s">
        <v>40</v>
      </c>
      <c r="D3561">
        <v>4.1397810000000002</v>
      </c>
      <c r="E3561">
        <v>0.44225579999999998</v>
      </c>
      <c r="F3561" t="s">
        <v>52</v>
      </c>
      <c r="G3561">
        <v>-465.5976</v>
      </c>
      <c r="H3561">
        <v>2.7046929999999998</v>
      </c>
      <c r="I3561">
        <v>197.7544</v>
      </c>
      <c r="J3561">
        <v>-491.54509999999999</v>
      </c>
      <c r="K3561">
        <v>1.1130329999999999</v>
      </c>
      <c r="L3561">
        <v>236.12479999999999</v>
      </c>
      <c r="M3561">
        <v>0.34355049999999998</v>
      </c>
      <c r="N3561">
        <v>0</v>
      </c>
      <c r="O3561">
        <v>-0.93903009999999998</v>
      </c>
      <c r="P3561">
        <v>0.45082070000000002</v>
      </c>
      <c r="Q3561">
        <v>0.1707051</v>
      </c>
      <c r="R3561">
        <v>-0.87613960000000002</v>
      </c>
      <c r="S3561">
        <v>1.7038880000000001</v>
      </c>
      <c r="T3561">
        <v>0.1040888</v>
      </c>
      <c r="U3561">
        <v>-2.5289760000000001</v>
      </c>
      <c r="V3561">
        <v>-0.1234005</v>
      </c>
      <c r="W3561">
        <v>0.18366460000000001</v>
      </c>
      <c r="X3561">
        <v>0.97521259999999999</v>
      </c>
      <c r="Y3561">
        <v>-0.23946719999999999</v>
      </c>
      <c r="Z3561">
        <v>-3.3463029999999998E-2</v>
      </c>
      <c r="AA3561">
        <v>0.97032759999999996</v>
      </c>
      <c r="AB3561">
        <v>32</v>
      </c>
      <c r="AC3561">
        <v>25.947499999999899</v>
      </c>
      <c r="AD3561">
        <v>1.5916600000000001</v>
      </c>
      <c r="AE3561">
        <v>-38.370399999999897</v>
      </c>
      <c r="AF3561">
        <v>-11.1712164130085</v>
      </c>
      <c r="AG3561">
        <v>1.5916600000000001</v>
      </c>
      <c r="AH3561">
        <v>44.896619838866897</v>
      </c>
      <c r="AI3561">
        <v>88.029648032114096</v>
      </c>
      <c r="AJ3561">
        <v>103.972641230714</v>
      </c>
      <c r="AK3561">
        <v>46.292936077306798</v>
      </c>
      <c r="AL3561">
        <v>79.416714290429397</v>
      </c>
      <c r="AM3561">
        <v>97.211710015029098</v>
      </c>
      <c r="AN3561">
        <v>0.99999999194608502</v>
      </c>
    </row>
    <row r="3562" spans="1:40" x14ac:dyDescent="0.25">
      <c r="A3562" t="str">
        <f>"20190312172146624"</f>
        <v>20190312172146624</v>
      </c>
      <c r="B3562" t="str">
        <f>"1552382506613834"</f>
        <v>1552382506613834</v>
      </c>
      <c r="C3562" t="s">
        <v>40</v>
      </c>
      <c r="D3562">
        <v>4.0695180000000004</v>
      </c>
      <c r="E3562">
        <v>0.44235259999999998</v>
      </c>
      <c r="F3562" t="s">
        <v>45</v>
      </c>
      <c r="G3562">
        <v>-482.3707</v>
      </c>
      <c r="H3562" s="1">
        <v>2.9244220000000001E-6</v>
      </c>
      <c r="I3562">
        <v>222.9419</v>
      </c>
      <c r="J3562">
        <v>-491.43009999999998</v>
      </c>
      <c r="K3562">
        <v>1.113591</v>
      </c>
      <c r="L3562">
        <v>235.8219</v>
      </c>
      <c r="M3562">
        <v>0.34748309999999999</v>
      </c>
      <c r="N3562">
        <v>0</v>
      </c>
      <c r="O3562">
        <v>-0.93758209999999997</v>
      </c>
      <c r="P3562">
        <v>0.46138849999999998</v>
      </c>
      <c r="Q3562">
        <v>0.17974789999999999</v>
      </c>
      <c r="R3562">
        <v>-0.86879889999999904</v>
      </c>
      <c r="S3562">
        <v>1.7761229999999999</v>
      </c>
      <c r="T3562">
        <v>-0.21547839999999999</v>
      </c>
      <c r="U3562">
        <v>-2.5521699999999998</v>
      </c>
      <c r="V3562">
        <v>-0.13205259999999999</v>
      </c>
      <c r="W3562">
        <v>0.19245229999999999</v>
      </c>
      <c r="X3562">
        <v>0.97238069999999999</v>
      </c>
      <c r="Y3562">
        <v>-0.24898139999999999</v>
      </c>
      <c r="Z3562">
        <v>6.7877590000000002E-2</v>
      </c>
      <c r="AA3562">
        <v>0.9661267</v>
      </c>
      <c r="AB3562">
        <v>32</v>
      </c>
      <c r="AC3562">
        <v>9.0593999999999806</v>
      </c>
      <c r="AD3562">
        <v>-1.1135880755779901</v>
      </c>
      <c r="AE3562">
        <v>-12.8799999999999</v>
      </c>
      <c r="AF3562">
        <v>-3.9987437663480798</v>
      </c>
      <c r="AG3562">
        <v>-1.1135880755779901</v>
      </c>
      <c r="AH3562">
        <v>15.1497690206673</v>
      </c>
      <c r="AI3562">
        <v>94.0652476111064</v>
      </c>
      <c r="AJ3562">
        <v>104.78586591829701</v>
      </c>
      <c r="AK3562">
        <v>15.7081358375381</v>
      </c>
      <c r="AL3562">
        <v>78.904067680320907</v>
      </c>
      <c r="AM3562">
        <v>97.733650169591897</v>
      </c>
      <c r="AN3562">
        <v>1.0000000013372601</v>
      </c>
    </row>
    <row r="3563" spans="1:40" x14ac:dyDescent="0.25">
      <c r="A3563" t="str">
        <f>"20190312172146647"</f>
        <v>20190312172146647</v>
      </c>
      <c r="B3563" t="str">
        <f>"1552382506644091"</f>
        <v>1552382506644091</v>
      </c>
      <c r="C3563" t="s">
        <v>40</v>
      </c>
      <c r="D3563">
        <v>3.9455079999999998</v>
      </c>
      <c r="E3563">
        <v>0.44381130000000002</v>
      </c>
      <c r="F3563" t="s">
        <v>45</v>
      </c>
      <c r="G3563">
        <v>-479.9101</v>
      </c>
      <c r="H3563" s="1">
        <v>1.794289E-6</v>
      </c>
      <c r="I3563">
        <v>219.68969999999999</v>
      </c>
      <c r="J3563">
        <v>-491.31650000000002</v>
      </c>
      <c r="K3563">
        <v>1.114045</v>
      </c>
      <c r="L3563">
        <v>235.52770000000001</v>
      </c>
      <c r="M3563">
        <v>0.3516783</v>
      </c>
      <c r="N3563">
        <v>0</v>
      </c>
      <c r="O3563">
        <v>-0.93601670000000003</v>
      </c>
      <c r="P3563">
        <v>0.4722635</v>
      </c>
      <c r="Q3563">
        <v>0.1854046</v>
      </c>
      <c r="R3563">
        <v>-0.86173809999999995</v>
      </c>
      <c r="S3563">
        <v>1.806549</v>
      </c>
      <c r="T3563">
        <v>-0.1746318</v>
      </c>
      <c r="U3563">
        <v>-2.5298310000000002</v>
      </c>
      <c r="V3563">
        <v>-0.14058760000000001</v>
      </c>
      <c r="W3563">
        <v>0.19787350000000001</v>
      </c>
      <c r="X3563">
        <v>0.97009339999999999</v>
      </c>
      <c r="Y3563">
        <v>-0.25684879999999999</v>
      </c>
      <c r="Z3563">
        <v>5.5088459999999999E-2</v>
      </c>
      <c r="AA3563">
        <v>0.96488030000000002</v>
      </c>
      <c r="AB3563">
        <v>32</v>
      </c>
      <c r="AC3563">
        <v>11.4064</v>
      </c>
      <c r="AD3563">
        <v>-1.1140432057109999</v>
      </c>
      <c r="AE3563">
        <v>-15.837999999999999</v>
      </c>
      <c r="AF3563">
        <v>-5.0906135055817003</v>
      </c>
      <c r="AG3563">
        <v>-1.1140432057109999</v>
      </c>
      <c r="AH3563">
        <v>18.776681074273</v>
      </c>
      <c r="AI3563">
        <v>93.2774060858886</v>
      </c>
      <c r="AJ3563">
        <v>105.16902743578</v>
      </c>
      <c r="AK3563">
        <v>19.4863847414641</v>
      </c>
      <c r="AL3563">
        <v>78.587365425253296</v>
      </c>
      <c r="AM3563">
        <v>98.2459941876361</v>
      </c>
      <c r="AN3563">
        <v>0.99999999999978495</v>
      </c>
    </row>
    <row r="3564" spans="1:40" x14ac:dyDescent="0.25">
      <c r="A3564" t="str">
        <f>"20190312172146668"</f>
        <v>20190312172146668</v>
      </c>
      <c r="B3564" t="str">
        <f>"1552382506664118"</f>
        <v>1552382506664118</v>
      </c>
      <c r="C3564" t="s">
        <v>40</v>
      </c>
      <c r="D3564">
        <v>3.9095460000000002</v>
      </c>
      <c r="E3564">
        <v>0.44497320000000001</v>
      </c>
      <c r="F3564" t="s">
        <v>45</v>
      </c>
      <c r="G3564">
        <v>-477.26609999999999</v>
      </c>
      <c r="H3564" s="1">
        <v>2.8062490000000002E-6</v>
      </c>
      <c r="I3564">
        <v>216.21860000000001</v>
      </c>
      <c r="J3564">
        <v>-491.20359999999999</v>
      </c>
      <c r="K3564">
        <v>1.1144339999999999</v>
      </c>
      <c r="L3564">
        <v>235.24010000000001</v>
      </c>
      <c r="M3564">
        <v>0.35611910000000002</v>
      </c>
      <c r="N3564">
        <v>0</v>
      </c>
      <c r="O3564">
        <v>-0.93433619999999995</v>
      </c>
      <c r="P3564">
        <v>0.48344740000000003</v>
      </c>
      <c r="Q3564">
        <v>0.1892963</v>
      </c>
      <c r="R3564">
        <v>-0.85466089999999995</v>
      </c>
      <c r="S3564">
        <v>1.82724</v>
      </c>
      <c r="T3564">
        <v>-0.1448808</v>
      </c>
      <c r="U3564">
        <v>-2.511139</v>
      </c>
      <c r="V3564">
        <v>-0.14914520000000001</v>
      </c>
      <c r="W3564">
        <v>0.2015361</v>
      </c>
      <c r="X3564">
        <v>0.96805940000000001</v>
      </c>
      <c r="Y3564">
        <v>-0.26115739999999998</v>
      </c>
      <c r="Z3564">
        <v>4.5755329999999997E-2</v>
      </c>
      <c r="AA3564">
        <v>0.96421120000000005</v>
      </c>
      <c r="AB3564">
        <v>32</v>
      </c>
      <c r="AC3564">
        <v>13.9375</v>
      </c>
      <c r="AD3564">
        <v>-1.1144311937510001</v>
      </c>
      <c r="AE3564">
        <v>-19.0215</v>
      </c>
      <c r="AF3564">
        <v>-6.2350750761338798</v>
      </c>
      <c r="AG3564">
        <v>-1.1144311937510001</v>
      </c>
      <c r="AH3564">
        <v>22.6874324319176</v>
      </c>
      <c r="AI3564">
        <v>92.711783803600397</v>
      </c>
      <c r="AJ3564">
        <v>105.366932455144</v>
      </c>
      <c r="AK3564">
        <v>23.554993280480002</v>
      </c>
      <c r="AL3564">
        <v>78.373200176849593</v>
      </c>
      <c r="AM3564">
        <v>98.758476147599396</v>
      </c>
      <c r="AN3564">
        <v>1.0000000461073</v>
      </c>
    </row>
    <row r="3565" spans="1:40" x14ac:dyDescent="0.25">
      <c r="A3565" t="str">
        <f>"20190312172146690"</f>
        <v>20190312172146690</v>
      </c>
      <c r="B3565" t="str">
        <f>"1552382506684614"</f>
        <v>1552382506684614</v>
      </c>
      <c r="C3565" t="s">
        <v>40</v>
      </c>
      <c r="D3565">
        <v>4.0439480000000003</v>
      </c>
      <c r="E3565">
        <v>0.4460402</v>
      </c>
      <c r="F3565" t="s">
        <v>45</v>
      </c>
      <c r="G3565">
        <v>-475.86689999999999</v>
      </c>
      <c r="H3565" s="1">
        <v>3.3551350000000002E-6</v>
      </c>
      <c r="I3565">
        <v>214.5796</v>
      </c>
      <c r="J3565">
        <v>-491.08339999999998</v>
      </c>
      <c r="K3565">
        <v>1.114811</v>
      </c>
      <c r="L3565">
        <v>234.9391</v>
      </c>
      <c r="M3565">
        <v>0.36111710000000002</v>
      </c>
      <c r="N3565">
        <v>0</v>
      </c>
      <c r="O3565">
        <v>-0.93241580000000002</v>
      </c>
      <c r="P3565">
        <v>0.49488260000000001</v>
      </c>
      <c r="Q3565">
        <v>0.1920056</v>
      </c>
      <c r="R3565">
        <v>-0.84748199999999996</v>
      </c>
      <c r="S3565">
        <v>1.8506469999999999</v>
      </c>
      <c r="T3565">
        <v>-0.13447539999999999</v>
      </c>
      <c r="U3565">
        <v>-2.4930569999999999</v>
      </c>
      <c r="V3565">
        <v>-0.1574016</v>
      </c>
      <c r="W3565">
        <v>0.20401269999999999</v>
      </c>
      <c r="X3565">
        <v>0.96623159999999997</v>
      </c>
      <c r="Y3565">
        <v>-0.26525959999999899</v>
      </c>
      <c r="Z3565">
        <v>4.2464189999999999E-2</v>
      </c>
      <c r="AA3565">
        <v>0.96324149999999997</v>
      </c>
      <c r="AB3565">
        <v>32</v>
      </c>
      <c r="AC3565">
        <v>15.2164999999999</v>
      </c>
      <c r="AD3565">
        <v>-1.1148076448649999</v>
      </c>
      <c r="AE3565">
        <v>-20.359500000000001</v>
      </c>
      <c r="AF3565">
        <v>-6.82348256150794</v>
      </c>
      <c r="AG3565">
        <v>-1.1148076448649999</v>
      </c>
      <c r="AH3565">
        <v>24.433844559123699</v>
      </c>
      <c r="AI3565">
        <v>92.516195913107893</v>
      </c>
      <c r="AJ3565">
        <v>105.60311197478499</v>
      </c>
      <c r="AK3565">
        <v>25.3932170134402</v>
      </c>
      <c r="AL3565">
        <v>78.228290147548506</v>
      </c>
      <c r="AM3565">
        <v>99.252356339932206</v>
      </c>
      <c r="AN3565">
        <v>0.99999997514120398</v>
      </c>
    </row>
    <row r="3566" spans="1:40" x14ac:dyDescent="0.25">
      <c r="A3566" t="str">
        <f>"20190312172146704"</f>
        <v>20190312172146704</v>
      </c>
      <c r="B3566" t="str">
        <f>"1552382506694375"</f>
        <v>1552382506694375</v>
      </c>
      <c r="C3566" t="s">
        <v>40</v>
      </c>
      <c r="D3566">
        <v>4.0766669999999996</v>
      </c>
      <c r="E3566">
        <v>0.44690649999999998</v>
      </c>
      <c r="F3566" t="s">
        <v>45</v>
      </c>
      <c r="G3566">
        <v>-473.65929999999997</v>
      </c>
      <c r="H3566" s="1">
        <v>4.2204289999999996E-6</v>
      </c>
      <c r="I3566">
        <v>211.97919999999999</v>
      </c>
      <c r="J3566">
        <v>-491.0104</v>
      </c>
      <c r="K3566">
        <v>1.1150420000000001</v>
      </c>
      <c r="L3566">
        <v>234.75899999999999</v>
      </c>
      <c r="M3566">
        <v>0.36426259999999999</v>
      </c>
      <c r="N3566">
        <v>0</v>
      </c>
      <c r="O3566">
        <v>-0.9311914</v>
      </c>
      <c r="P3566">
        <v>0.50446340000000001</v>
      </c>
      <c r="Q3566">
        <v>0.19395290000000001</v>
      </c>
      <c r="R3566">
        <v>-0.84136759999999999</v>
      </c>
      <c r="S3566">
        <v>1.8757630000000001</v>
      </c>
      <c r="T3566">
        <v>-0.12001240000000001</v>
      </c>
      <c r="U3566">
        <v>-2.4717099999999999</v>
      </c>
      <c r="V3566">
        <v>-0.1654042</v>
      </c>
      <c r="W3566">
        <v>0.2057774</v>
      </c>
      <c r="X3566">
        <v>0.96451909999999996</v>
      </c>
      <c r="Y3566">
        <v>-0.27232519999999999</v>
      </c>
      <c r="Z3566">
        <v>3.7949799999999999E-2</v>
      </c>
      <c r="AA3566">
        <v>0.96145659999999999</v>
      </c>
      <c r="AB3566">
        <v>32</v>
      </c>
      <c r="AC3566">
        <v>17.351099999999999</v>
      </c>
      <c r="AD3566">
        <v>-1.115037779571</v>
      </c>
      <c r="AE3566">
        <v>-22.779800000000002</v>
      </c>
      <c r="AF3566">
        <v>-7.8482336170842704</v>
      </c>
      <c r="AG3566">
        <v>-1.115037779571</v>
      </c>
      <c r="AH3566">
        <v>27.493712262975301</v>
      </c>
      <c r="AI3566">
        <v>92.233307787371203</v>
      </c>
      <c r="AJ3566">
        <v>105.931690987561</v>
      </c>
      <c r="AK3566">
        <v>28.613673202814699</v>
      </c>
      <c r="AL3566">
        <v>78.124988807786096</v>
      </c>
      <c r="AM3566">
        <v>99.730929514068706</v>
      </c>
      <c r="AN3566">
        <v>0.99999999099660497</v>
      </c>
    </row>
    <row r="3567" spans="1:40" x14ac:dyDescent="0.25">
      <c r="A3567" t="str">
        <f>"20190312172146735"</f>
        <v>20190312172146735</v>
      </c>
      <c r="B3567" t="str">
        <f>"1552382506724633"</f>
        <v>1552382506724633</v>
      </c>
      <c r="C3567" t="s">
        <v>40</v>
      </c>
      <c r="D3567">
        <v>3.9032809999999998</v>
      </c>
      <c r="E3567">
        <v>0.44858730000000002</v>
      </c>
      <c r="F3567" t="s">
        <v>45</v>
      </c>
      <c r="G3567">
        <v>-471.56569999999999</v>
      </c>
      <c r="H3567">
        <v>9.9143210000000002E-3</v>
      </c>
      <c r="I3567">
        <v>209.6163</v>
      </c>
      <c r="J3567">
        <v>-490.83909999999997</v>
      </c>
      <c r="K3567">
        <v>1.1155299999999999</v>
      </c>
      <c r="L3567">
        <v>234.3443</v>
      </c>
      <c r="M3567">
        <v>0.37201289999999998</v>
      </c>
      <c r="N3567">
        <v>0</v>
      </c>
      <c r="O3567">
        <v>-0.92812220000000001</v>
      </c>
      <c r="P3567">
        <v>0.52176040000000001</v>
      </c>
      <c r="Q3567">
        <v>0.18983420000000001</v>
      </c>
      <c r="R3567">
        <v>-0.83170239999999995</v>
      </c>
      <c r="S3567">
        <v>1.897125</v>
      </c>
      <c r="T3567">
        <v>-0.1078218</v>
      </c>
      <c r="U3567">
        <v>-2.453049</v>
      </c>
      <c r="V3567">
        <v>-0.17718429999999999</v>
      </c>
      <c r="W3567">
        <v>0.201326</v>
      </c>
      <c r="X3567">
        <v>0.96336569999999999</v>
      </c>
      <c r="Y3567">
        <v>-0.27316839999999998</v>
      </c>
      <c r="Z3567">
        <v>3.4055969999999998E-2</v>
      </c>
      <c r="AA3567">
        <v>0.96136319999999997</v>
      </c>
      <c r="AB3567">
        <v>32</v>
      </c>
      <c r="AC3567">
        <v>19.273399999999899</v>
      </c>
      <c r="AD3567">
        <v>-1.105615679</v>
      </c>
      <c r="AE3567">
        <v>-24.728000000000002</v>
      </c>
      <c r="AF3567">
        <v>-8.6789920182696108</v>
      </c>
      <c r="AG3567">
        <v>-1.105615679</v>
      </c>
      <c r="AH3567">
        <v>30.0860899751296</v>
      </c>
      <c r="AI3567">
        <v>92.022195539576998</v>
      </c>
      <c r="AJ3567">
        <v>106.091365258152</v>
      </c>
      <c r="AK3567">
        <v>31.332412905399298</v>
      </c>
      <c r="AL3567">
        <v>78.385488832075296</v>
      </c>
      <c r="AM3567">
        <v>100.42149458867</v>
      </c>
      <c r="AN3567">
        <v>0.99999995318948898</v>
      </c>
    </row>
    <row r="3568" spans="1:40" x14ac:dyDescent="0.25">
      <c r="A3568" t="str">
        <f>"20190312172146757"</f>
        <v>20190312172146757</v>
      </c>
      <c r="B3568" t="str">
        <f>"1552382506754284"</f>
        <v>1552382506754284</v>
      </c>
      <c r="C3568" t="s">
        <v>40</v>
      </c>
      <c r="D3568">
        <v>3.917805</v>
      </c>
      <c r="E3568">
        <v>0.45029209999999897</v>
      </c>
      <c r="F3568" t="s">
        <v>45</v>
      </c>
      <c r="G3568">
        <v>-474.68990000000002</v>
      </c>
      <c r="H3568" s="1">
        <v>3.8566259999999999E-6</v>
      </c>
      <c r="I3568">
        <v>214.11189999999999</v>
      </c>
      <c r="J3568">
        <v>-490.72160000000002</v>
      </c>
      <c r="K3568">
        <v>1.1158060000000001</v>
      </c>
      <c r="L3568">
        <v>234.0667</v>
      </c>
      <c r="M3568">
        <v>0.37757610000000003</v>
      </c>
      <c r="N3568">
        <v>0</v>
      </c>
      <c r="O3568">
        <v>-0.92587269999999999</v>
      </c>
      <c r="P3568">
        <v>0.53015469999999998</v>
      </c>
      <c r="Q3568">
        <v>0.17454520000000001</v>
      </c>
      <c r="R3568">
        <v>-0.82974099999999995</v>
      </c>
      <c r="S3568">
        <v>1.9346920000000001</v>
      </c>
      <c r="T3568">
        <v>-0.1336416</v>
      </c>
      <c r="U3568">
        <v>-2.4238740000000001</v>
      </c>
      <c r="V3568">
        <v>-0.1798698</v>
      </c>
      <c r="W3568">
        <v>0.185914</v>
      </c>
      <c r="X3568">
        <v>0.96596210000000005</v>
      </c>
      <c r="Y3568">
        <v>-0.28192149999999999</v>
      </c>
      <c r="Z3568">
        <v>4.2207509999999997E-2</v>
      </c>
      <c r="AA3568">
        <v>0.95850860000000004</v>
      </c>
      <c r="AB3568">
        <v>32</v>
      </c>
      <c r="AC3568">
        <v>16.031700000000001</v>
      </c>
      <c r="AD3568">
        <v>-1.11580214337399</v>
      </c>
      <c r="AE3568">
        <v>-19.954799999999999</v>
      </c>
      <c r="AF3568">
        <v>-7.2957111469501301</v>
      </c>
      <c r="AG3568">
        <v>-1.11580214337399</v>
      </c>
      <c r="AH3568">
        <v>24.484670658421201</v>
      </c>
      <c r="AI3568">
        <v>92.500738639019403</v>
      </c>
      <c r="AJ3568">
        <v>106.59250761264499</v>
      </c>
      <c r="AK3568">
        <v>25.5728667304674</v>
      </c>
      <c r="AL3568">
        <v>79.285574422943597</v>
      </c>
      <c r="AM3568">
        <v>100.548122468408</v>
      </c>
      <c r="AN3568">
        <v>0.99999996949222403</v>
      </c>
    </row>
    <row r="3569" spans="1:40" x14ac:dyDescent="0.25">
      <c r="A3569" t="str">
        <f>"20190312172146779"</f>
        <v>20190312172146779</v>
      </c>
      <c r="B3569" t="str">
        <f>"1552382506773804"</f>
        <v>1552382506773804</v>
      </c>
      <c r="C3569" t="s">
        <v>40</v>
      </c>
      <c r="D3569">
        <v>4.0650320000000004</v>
      </c>
      <c r="E3569">
        <v>0.45129950000000002</v>
      </c>
      <c r="F3569" t="s">
        <v>45</v>
      </c>
      <c r="G3569">
        <v>-479.2817</v>
      </c>
      <c r="H3569" s="1">
        <v>2.093585E-6</v>
      </c>
      <c r="I3569">
        <v>219.8629</v>
      </c>
      <c r="J3569">
        <v>-490.59309999999999</v>
      </c>
      <c r="K3569">
        <v>1.1160600000000001</v>
      </c>
      <c r="L3569">
        <v>233.76910000000001</v>
      </c>
      <c r="M3569">
        <v>0.38391380000000003</v>
      </c>
      <c r="N3569">
        <v>0</v>
      </c>
      <c r="O3569">
        <v>-0.92326249999999999</v>
      </c>
      <c r="P3569">
        <v>0.53841779999999995</v>
      </c>
      <c r="Q3569">
        <v>0.15137590000000001</v>
      </c>
      <c r="R3569">
        <v>-0.8289704</v>
      </c>
      <c r="S3569">
        <v>1.943848</v>
      </c>
      <c r="T3569">
        <v>-0.1895964</v>
      </c>
      <c r="U3569">
        <v>-2.4134980000000001</v>
      </c>
      <c r="V3569">
        <v>-0.1810119</v>
      </c>
      <c r="W3569">
        <v>0.16264519999999999</v>
      </c>
      <c r="X3569">
        <v>0.96993879999999999</v>
      </c>
      <c r="Y3569">
        <v>-0.2789584</v>
      </c>
      <c r="Z3569">
        <v>5.9734309999999999E-2</v>
      </c>
      <c r="AA3569">
        <v>0.9584435</v>
      </c>
      <c r="AB3569">
        <v>32</v>
      </c>
      <c r="AC3569">
        <v>11.3113999999999</v>
      </c>
      <c r="AD3569">
        <v>-1.116057906415</v>
      </c>
      <c r="AE3569">
        <v>-13.9062</v>
      </c>
      <c r="AF3569">
        <v>-5.0853983498180897</v>
      </c>
      <c r="AG3569">
        <v>-1.116057906415</v>
      </c>
      <c r="AH3569">
        <v>17.117012939117799</v>
      </c>
      <c r="AI3569">
        <v>93.576426196520401</v>
      </c>
      <c r="AJ3569">
        <v>106.54648091274601</v>
      </c>
      <c r="AK3569">
        <v>17.891310560848499</v>
      </c>
      <c r="AL3569">
        <v>80.639533638712294</v>
      </c>
      <c r="AM3569">
        <v>100.57104928947</v>
      </c>
      <c r="AN3569">
        <v>1.00000002238504</v>
      </c>
    </row>
    <row r="3570" spans="1:40" x14ac:dyDescent="0.25">
      <c r="A3570" t="str">
        <f>"20190312172146804"</f>
        <v>20190312172146804</v>
      </c>
      <c r="B3570" t="str">
        <f>"1552382506794300"</f>
        <v>1552382506794300</v>
      </c>
      <c r="C3570" t="s">
        <v>40</v>
      </c>
      <c r="D3570">
        <v>3.8874520000000001</v>
      </c>
      <c r="E3570">
        <v>0.4522929</v>
      </c>
      <c r="F3570" t="s">
        <v>45</v>
      </c>
      <c r="G3570">
        <v>-482.51920000000001</v>
      </c>
      <c r="H3570" s="1">
        <v>3.200089E-6</v>
      </c>
      <c r="I3570">
        <v>223.85939999999999</v>
      </c>
      <c r="J3570">
        <v>-490.45510000000002</v>
      </c>
      <c r="K3570">
        <v>1.116341</v>
      </c>
      <c r="L3570">
        <v>233.4573</v>
      </c>
      <c r="M3570">
        <v>0.39108300000000001</v>
      </c>
      <c r="N3570">
        <v>0</v>
      </c>
      <c r="O3570">
        <v>-0.92024799999999995</v>
      </c>
      <c r="P3570">
        <v>0.54647639999999997</v>
      </c>
      <c r="Q3570">
        <v>0.13279589999999999</v>
      </c>
      <c r="R3570">
        <v>-0.82687909999999998</v>
      </c>
      <c r="S3570">
        <v>1.9544980000000001</v>
      </c>
      <c r="T3570">
        <v>-0.27016879999999999</v>
      </c>
      <c r="U3570">
        <v>-2.3988800000000001</v>
      </c>
      <c r="V3570">
        <v>-0.18157780000000001</v>
      </c>
      <c r="W3570">
        <v>0.14394960000000001</v>
      </c>
      <c r="X3570">
        <v>0.97278359999999997</v>
      </c>
      <c r="Y3570">
        <v>-0.2756615</v>
      </c>
      <c r="Z3570">
        <v>8.4868349999999995E-2</v>
      </c>
      <c r="AA3570">
        <v>0.95750089999999999</v>
      </c>
      <c r="AB3570">
        <v>32</v>
      </c>
      <c r="AC3570">
        <v>7.9359000000000002</v>
      </c>
      <c r="AD3570">
        <v>-1.116337799911</v>
      </c>
      <c r="AE3570">
        <v>-9.5979000000000099</v>
      </c>
      <c r="AF3570">
        <v>-3.5214765243633201</v>
      </c>
      <c r="AG3570">
        <v>-1.116337799911</v>
      </c>
      <c r="AH3570">
        <v>11.8420731849401</v>
      </c>
      <c r="AI3570">
        <v>95.163125791357004</v>
      </c>
      <c r="AJ3570">
        <v>106.560895119541</v>
      </c>
      <c r="AK3570">
        <v>12.404906461260801</v>
      </c>
      <c r="AL3570">
        <v>81.723542066980499</v>
      </c>
      <c r="AM3570">
        <v>100.573041228839</v>
      </c>
      <c r="AN3570">
        <v>0.99999995861097901</v>
      </c>
    </row>
    <row r="3571" spans="1:40" x14ac:dyDescent="0.25">
      <c r="A3571" t="str">
        <f>"20190312172146827"</f>
        <v>20190312172146827</v>
      </c>
      <c r="B3571" t="str">
        <f>"1552382506824557"</f>
        <v>1552382506824557</v>
      </c>
      <c r="C3571" t="s">
        <v>40</v>
      </c>
      <c r="D3571">
        <v>4.1157190000000003</v>
      </c>
      <c r="E3571">
        <v>0.45362740000000001</v>
      </c>
      <c r="F3571" t="s">
        <v>45</v>
      </c>
      <c r="G3571">
        <v>-483.81549999999999</v>
      </c>
      <c r="H3571" s="1">
        <v>3.8984499999999999E-6</v>
      </c>
      <c r="I3571">
        <v>225.4144</v>
      </c>
      <c r="J3571">
        <v>-490.32060000000001</v>
      </c>
      <c r="K3571">
        <v>1.116636</v>
      </c>
      <c r="L3571">
        <v>233.16079999999999</v>
      </c>
      <c r="M3571">
        <v>0.39836569999999999</v>
      </c>
      <c r="N3571">
        <v>0</v>
      </c>
      <c r="O3571">
        <v>-0.91711830000000005</v>
      </c>
      <c r="P3571">
        <v>0.55302050000000003</v>
      </c>
      <c r="Q3571">
        <v>0.12583259999999999</v>
      </c>
      <c r="R3571">
        <v>-0.82361079999999998</v>
      </c>
      <c r="S3571">
        <v>1.9662170000000001</v>
      </c>
      <c r="T3571">
        <v>-0.33058650000000001</v>
      </c>
      <c r="U3571">
        <v>-2.3817750000000002</v>
      </c>
      <c r="V3571">
        <v>-0.1811825</v>
      </c>
      <c r="W3571">
        <v>0.13687170000000001</v>
      </c>
      <c r="X3571">
        <v>0.97387840000000003</v>
      </c>
      <c r="Y3571">
        <v>-0.27298990000000001</v>
      </c>
      <c r="Z3571">
        <v>0.1035837</v>
      </c>
      <c r="AA3571">
        <v>0.9564241</v>
      </c>
      <c r="AB3571">
        <v>32</v>
      </c>
      <c r="AC3571">
        <v>6.5051000000000201</v>
      </c>
      <c r="AD3571">
        <v>-1.11663210155</v>
      </c>
      <c r="AE3571">
        <v>-7.7463999999999897</v>
      </c>
      <c r="AF3571">
        <v>-2.84565648261191</v>
      </c>
      <c r="AG3571">
        <v>-1.11663210155</v>
      </c>
      <c r="AH3571">
        <v>9.5799997729866408</v>
      </c>
      <c r="AI3571">
        <v>96.375416804669499</v>
      </c>
      <c r="AJ3571">
        <v>106.543598917661</v>
      </c>
      <c r="AK3571">
        <v>10.055894973480299</v>
      </c>
      <c r="AL3571">
        <v>82.133135202459201</v>
      </c>
      <c r="AM3571">
        <v>100.538946088489</v>
      </c>
      <c r="AN3571">
        <v>1.0000000492768399</v>
      </c>
    </row>
    <row r="3572" spans="1:40" x14ac:dyDescent="0.25">
      <c r="A3572" t="str">
        <f>"20190312172146849"</f>
        <v>20190312172146849</v>
      </c>
      <c r="B3572" t="str">
        <f>"1552382506844077"</f>
        <v>1552382506844077</v>
      </c>
      <c r="C3572" t="s">
        <v>40</v>
      </c>
      <c r="D3572">
        <v>3.9218899999999999</v>
      </c>
      <c r="E3572">
        <v>0.45461810000000002</v>
      </c>
      <c r="F3572" t="s">
        <v>45</v>
      </c>
      <c r="G3572">
        <v>-484.22300000000001</v>
      </c>
      <c r="H3572" s="1">
        <v>4.0798969999999998E-6</v>
      </c>
      <c r="I3572">
        <v>225.82650000000001</v>
      </c>
      <c r="J3572">
        <v>-490.18689999999998</v>
      </c>
      <c r="K3572">
        <v>1.1169639999999901</v>
      </c>
      <c r="L3572">
        <v>232.87289999999999</v>
      </c>
      <c r="M3572">
        <v>0.40583190000000002</v>
      </c>
      <c r="N3572">
        <v>0</v>
      </c>
      <c r="O3572">
        <v>-0.91383840000000005</v>
      </c>
      <c r="P3572">
        <v>0.55940819999999902</v>
      </c>
      <c r="Q3572">
        <v>0.12657269999999901</v>
      </c>
      <c r="R3572">
        <v>-0.81917180000000001</v>
      </c>
      <c r="S3572">
        <v>1.972839</v>
      </c>
      <c r="T3572">
        <v>-0.36127500000000001</v>
      </c>
      <c r="U3572">
        <v>-2.3729399999999998</v>
      </c>
      <c r="V3572">
        <v>-0.18099309999999999</v>
      </c>
      <c r="W3572">
        <v>0.1374928</v>
      </c>
      <c r="X3572">
        <v>0.97382610000000003</v>
      </c>
      <c r="Y3572">
        <v>-0.26776879999999997</v>
      </c>
      <c r="Z3572">
        <v>0.11279309999999999</v>
      </c>
      <c r="AA3572">
        <v>0.95685819999999999</v>
      </c>
      <c r="AB3572">
        <v>32</v>
      </c>
      <c r="AC3572">
        <v>5.9638999999999598</v>
      </c>
      <c r="AD3572">
        <v>-1.1169599201029901</v>
      </c>
      <c r="AE3572">
        <v>-7.04639999999997</v>
      </c>
      <c r="AF3572">
        <v>-2.5532665673835799</v>
      </c>
      <c r="AG3572">
        <v>-1.1169599201029901</v>
      </c>
      <c r="AH3572">
        <v>8.7326531180944897</v>
      </c>
      <c r="AI3572">
        <v>96.998967780237507</v>
      </c>
      <c r="AJ3572">
        <v>106.297945474914</v>
      </c>
      <c r="AK3572">
        <v>9.1665697023587196</v>
      </c>
      <c r="AL3572">
        <v>82.0972089320978</v>
      </c>
      <c r="AM3572">
        <v>100.528728373468</v>
      </c>
      <c r="AN3572">
        <v>1.0000000226703201</v>
      </c>
    </row>
    <row r="3573" spans="1:40" x14ac:dyDescent="0.25">
      <c r="A3573" t="str">
        <f>"20190312172146869"</f>
        <v>20190312172146869</v>
      </c>
      <c r="B3573" t="str">
        <f>"1552382506864103"</f>
        <v>1552382506864103</v>
      </c>
      <c r="C3573" t="s">
        <v>40</v>
      </c>
      <c r="D3573">
        <v>3.8504160000000001</v>
      </c>
      <c r="E3573">
        <v>0.45507130000000001</v>
      </c>
      <c r="F3573" t="s">
        <v>45</v>
      </c>
      <c r="G3573">
        <v>-484.0686</v>
      </c>
      <c r="H3573" s="1">
        <v>3.990648E-6</v>
      </c>
      <c r="I3573">
        <v>225.57759999999999</v>
      </c>
      <c r="J3573">
        <v>-490.05959999999999</v>
      </c>
      <c r="K3573">
        <v>1.117302</v>
      </c>
      <c r="L3573">
        <v>232.6053</v>
      </c>
      <c r="M3573">
        <v>0.41315410000000002</v>
      </c>
      <c r="N3573">
        <v>0</v>
      </c>
      <c r="O3573">
        <v>-0.91055079999999999</v>
      </c>
      <c r="P3573">
        <v>0.56576409999999999</v>
      </c>
      <c r="Q3573">
        <v>0.1302237</v>
      </c>
      <c r="R3573">
        <v>-0.81421940000000004</v>
      </c>
      <c r="S3573">
        <v>1.982758</v>
      </c>
      <c r="T3573">
        <v>-0.3619714</v>
      </c>
      <c r="U3573">
        <v>-2.364182</v>
      </c>
      <c r="V3573">
        <v>-0.18116360000000001</v>
      </c>
      <c r="W3573">
        <v>0.14102429999999999</v>
      </c>
      <c r="X3573">
        <v>0.97328919999999997</v>
      </c>
      <c r="Y3573">
        <v>-0.26413829999999999</v>
      </c>
      <c r="Z3573">
        <v>0.11266420000000001</v>
      </c>
      <c r="AA3573">
        <v>0.95788189999999995</v>
      </c>
      <c r="AB3573">
        <v>32</v>
      </c>
      <c r="AC3573">
        <v>5.9909999999999801</v>
      </c>
      <c r="AD3573">
        <v>-1.117298009352</v>
      </c>
      <c r="AE3573">
        <v>-7.0277000000000003</v>
      </c>
      <c r="AF3573">
        <v>-2.5150276901933499</v>
      </c>
      <c r="AG3573">
        <v>-1.117298009352</v>
      </c>
      <c r="AH3573">
        <v>8.7471335063966809</v>
      </c>
      <c r="AI3573">
        <v>96.998583440448002</v>
      </c>
      <c r="AJ3573">
        <v>106.041315514069</v>
      </c>
      <c r="AK3573">
        <v>9.1698453478163202</v>
      </c>
      <c r="AL3573">
        <v>81.892877479094807</v>
      </c>
      <c r="AM3573">
        <v>100.54410764060999</v>
      </c>
      <c r="AN3573">
        <v>0.99999998499604403</v>
      </c>
    </row>
    <row r="3574" spans="1:40" x14ac:dyDescent="0.25">
      <c r="A3574" t="str">
        <f>"20190312172146892"</f>
        <v>20190312172146892</v>
      </c>
      <c r="B3574" t="str">
        <f>"1552382506884599"</f>
        <v>1552382506884599</v>
      </c>
      <c r="C3574" t="s">
        <v>40</v>
      </c>
      <c r="D3574">
        <v>3.6972939999999999</v>
      </c>
      <c r="E3574">
        <v>0.47323660000000001</v>
      </c>
      <c r="F3574" t="s">
        <v>45</v>
      </c>
      <c r="G3574">
        <v>-483.7011</v>
      </c>
      <c r="H3574" s="1">
        <v>3.8090759999999998E-6</v>
      </c>
      <c r="I3574">
        <v>225.1249</v>
      </c>
      <c r="J3574">
        <v>-489.92059999999998</v>
      </c>
      <c r="K3574">
        <v>1.1177060000000001</v>
      </c>
      <c r="L3574">
        <v>232.3203</v>
      </c>
      <c r="M3574">
        <v>0.42139179999999998</v>
      </c>
      <c r="N3574">
        <v>0</v>
      </c>
      <c r="O3574">
        <v>-0.90676699999999999</v>
      </c>
      <c r="P3574">
        <v>0.57408729999999997</v>
      </c>
      <c r="Q3574">
        <v>0.13788149999999999</v>
      </c>
      <c r="R3574">
        <v>-0.80710139999999997</v>
      </c>
      <c r="S3574">
        <v>1.998993</v>
      </c>
      <c r="T3574">
        <v>-0.3512557</v>
      </c>
      <c r="U3574">
        <v>-2.3516849999999998</v>
      </c>
      <c r="V3574">
        <v>-0.18312490000000001</v>
      </c>
      <c r="W3574">
        <v>0.14851110000000001</v>
      </c>
      <c r="X3574">
        <v>0.97180750000000005</v>
      </c>
      <c r="Y3574">
        <v>-0.26202930000000002</v>
      </c>
      <c r="Z3574">
        <v>0.1089815</v>
      </c>
      <c r="AA3574">
        <v>0.95888669999999998</v>
      </c>
      <c r="AB3574">
        <v>32</v>
      </c>
      <c r="AC3574">
        <v>6.2194999999999796</v>
      </c>
      <c r="AD3574">
        <v>-1.1177021909239999</v>
      </c>
      <c r="AE3574">
        <v>-7.1954000000000002</v>
      </c>
      <c r="AF3574">
        <v>-2.57229380784293</v>
      </c>
      <c r="AG3574">
        <v>-1.1177021909239999</v>
      </c>
      <c r="AH3574">
        <v>9.0217277717295996</v>
      </c>
      <c r="AI3574">
        <v>96.794298524747902</v>
      </c>
      <c r="AJ3574">
        <v>105.91402104938599</v>
      </c>
      <c r="AK3574">
        <v>9.4476201028968401</v>
      </c>
      <c r="AL3574">
        <v>81.459347921348595</v>
      </c>
      <c r="AM3574">
        <v>100.67153265447</v>
      </c>
      <c r="AN3574">
        <v>1.0000000464397301</v>
      </c>
    </row>
    <row r="3575" spans="1:40" x14ac:dyDescent="0.25">
      <c r="A3575" t="str">
        <f>"20190312172146914"</f>
        <v>20190312172146914</v>
      </c>
      <c r="B3575" t="str">
        <f>"1552382506904119"</f>
        <v>1552382506904119</v>
      </c>
      <c r="C3575" t="s">
        <v>40</v>
      </c>
      <c r="D3575">
        <v>3.9528370000000002</v>
      </c>
      <c r="E3575">
        <v>0.47330290000000003</v>
      </c>
      <c r="F3575" t="s">
        <v>43</v>
      </c>
      <c r="G3575">
        <v>-464.38479999999998</v>
      </c>
      <c r="H3575">
        <v>-0.05</v>
      </c>
      <c r="I3575">
        <v>200.4273</v>
      </c>
      <c r="J3575">
        <v>-489.77980000000002</v>
      </c>
      <c r="K3575">
        <v>1.1181680000000001</v>
      </c>
      <c r="L3575">
        <v>232.03899999999999</v>
      </c>
      <c r="M3575">
        <v>0.42997970000000002</v>
      </c>
      <c r="N3575">
        <v>0</v>
      </c>
      <c r="O3575">
        <v>-0.90272569999999996</v>
      </c>
      <c r="P3575">
        <v>0.58274049999999999</v>
      </c>
      <c r="Q3575">
        <v>0.1526875</v>
      </c>
      <c r="R3575">
        <v>-0.7981857</v>
      </c>
      <c r="S3575">
        <v>1.9038090000000001</v>
      </c>
      <c r="T3575">
        <v>-8.7057709999999996E-2</v>
      </c>
      <c r="U3575">
        <v>-2.3777620000000002</v>
      </c>
      <c r="V3575">
        <v>-0.18593270000000001</v>
      </c>
      <c r="W3575">
        <v>0.16311039999999999</v>
      </c>
      <c r="X3575">
        <v>0.96892929999999999</v>
      </c>
      <c r="Y3575">
        <v>-0.22833899999999999</v>
      </c>
      <c r="Z3575">
        <v>2.721544E-2</v>
      </c>
      <c r="AA3575">
        <v>0.97320119999999999</v>
      </c>
      <c r="AB3575">
        <v>32</v>
      </c>
      <c r="AC3575">
        <v>25.395</v>
      </c>
      <c r="AD3575">
        <v>-1.1681680000000001</v>
      </c>
      <c r="AE3575">
        <v>-31.611699999999999</v>
      </c>
      <c r="AF3575">
        <v>-9.3255410517489707</v>
      </c>
      <c r="AG3575">
        <v>-1.1681680000000001</v>
      </c>
      <c r="AH3575">
        <v>39.4273261455048</v>
      </c>
      <c r="AI3575">
        <v>91.651542928642499</v>
      </c>
      <c r="AJ3575">
        <v>103.30731627871801</v>
      </c>
      <c r="AK3575">
        <v>40.532016719725199</v>
      </c>
      <c r="AL3575">
        <v>80.612518492394102</v>
      </c>
      <c r="AM3575">
        <v>100.862723744619</v>
      </c>
      <c r="AN3575">
        <v>0.99999997995796897</v>
      </c>
    </row>
    <row r="3576" spans="1:40" x14ac:dyDescent="0.25">
      <c r="A3576" t="str">
        <f>"20190312172146936"</f>
        <v>20190312172146936</v>
      </c>
      <c r="B3576" t="str">
        <f>"1552382506924618"</f>
        <v>1552382506924618</v>
      </c>
      <c r="C3576" t="s">
        <v>40</v>
      </c>
      <c r="D3576">
        <v>3.8413810000000002</v>
      </c>
      <c r="E3576">
        <v>0.46970309999999998</v>
      </c>
      <c r="F3576" t="s">
        <v>52</v>
      </c>
      <c r="G3576">
        <v>-461.32350000000002</v>
      </c>
      <c r="H3576">
        <v>0.52645540000000002</v>
      </c>
      <c r="I3576">
        <v>197.345</v>
      </c>
      <c r="J3576">
        <v>-489.64499999999998</v>
      </c>
      <c r="K3576">
        <v>1.1186449999999999</v>
      </c>
      <c r="L3576">
        <v>231.7766</v>
      </c>
      <c r="M3576">
        <v>0.43842389999999998</v>
      </c>
      <c r="N3576">
        <v>0</v>
      </c>
      <c r="O3576">
        <v>-0.89865399999999995</v>
      </c>
      <c r="P3576">
        <v>0.59195109999999995</v>
      </c>
      <c r="Q3576">
        <v>0.168879799999999</v>
      </c>
      <c r="R3576">
        <v>-0.78808250000000002</v>
      </c>
      <c r="S3576">
        <v>1.9320980000000001</v>
      </c>
      <c r="T3576">
        <v>-4.0172819999999998E-2</v>
      </c>
      <c r="U3576">
        <v>-2.3556059999999999</v>
      </c>
      <c r="V3576">
        <v>-0.1899913</v>
      </c>
      <c r="W3576">
        <v>0.179064</v>
      </c>
      <c r="X3576">
        <v>0.96531829999999996</v>
      </c>
      <c r="Y3576">
        <v>-0.23089180000000001</v>
      </c>
      <c r="Z3576">
        <v>1.2526560000000001E-2</v>
      </c>
      <c r="AA3576">
        <v>0.97289879999999995</v>
      </c>
      <c r="AB3576">
        <v>32</v>
      </c>
      <c r="AC3576">
        <v>28.321499999999901</v>
      </c>
      <c r="AD3576">
        <v>-0.59218959999999998</v>
      </c>
      <c r="AE3576">
        <v>-34.431600000000003</v>
      </c>
      <c r="AF3576">
        <v>-10.3548300145998</v>
      </c>
      <c r="AG3576">
        <v>-0.59218959999999998</v>
      </c>
      <c r="AH3576">
        <v>43.355723321275001</v>
      </c>
      <c r="AI3576">
        <v>90.761141403917406</v>
      </c>
      <c r="AJ3576">
        <v>103.432559698045</v>
      </c>
      <c r="AK3576">
        <v>44.579052680205699</v>
      </c>
      <c r="AL3576">
        <v>79.684754951214998</v>
      </c>
      <c r="AM3576">
        <v>101.13448165626301</v>
      </c>
      <c r="AN3576">
        <v>1.00000001524328</v>
      </c>
    </row>
    <row r="3577" spans="1:40" x14ac:dyDescent="0.25">
      <c r="A3577" t="str">
        <f>"20190312172146957"</f>
        <v>20190312172146957</v>
      </c>
      <c r="B3577" t="str">
        <f>"1552382506953895"</f>
        <v>1552382506953895</v>
      </c>
      <c r="C3577" t="s">
        <v>40</v>
      </c>
      <c r="D3577">
        <v>3.8788580000000001</v>
      </c>
      <c r="E3577">
        <v>0.47053859999999997</v>
      </c>
      <c r="F3577" t="s">
        <v>45</v>
      </c>
      <c r="G3577">
        <v>-478.58280000000002</v>
      </c>
      <c r="H3577" s="1">
        <v>2.3311150000000002E-6</v>
      </c>
      <c r="I3577">
        <v>218.70670000000001</v>
      </c>
      <c r="J3577">
        <v>-489.49990000000003</v>
      </c>
      <c r="K3577">
        <v>1.1191390000000001</v>
      </c>
      <c r="L3577">
        <v>231.5018</v>
      </c>
      <c r="M3577">
        <v>0.4477218</v>
      </c>
      <c r="N3577">
        <v>0</v>
      </c>
      <c r="O3577">
        <v>-0.89405689999999904</v>
      </c>
      <c r="P3577">
        <v>0.60292209999999902</v>
      </c>
      <c r="Q3577">
        <v>0.18033669999999999</v>
      </c>
      <c r="R3577">
        <v>-0.77715089999999998</v>
      </c>
      <c r="S3577">
        <v>1.992065</v>
      </c>
      <c r="T3577">
        <v>-0.2014436</v>
      </c>
      <c r="U3577">
        <v>-2.3536069999999998</v>
      </c>
      <c r="V3577">
        <v>-0.1950596</v>
      </c>
      <c r="W3577">
        <v>0.19025259999999999</v>
      </c>
      <c r="X3577">
        <v>0.96216199999999996</v>
      </c>
      <c r="Y3577">
        <v>-0.2345159</v>
      </c>
      <c r="Z3577">
        <v>6.1778920000000001E-2</v>
      </c>
      <c r="AA3577">
        <v>0.97014730000000005</v>
      </c>
      <c r="AB3577">
        <v>32</v>
      </c>
      <c r="AC3577">
        <v>10.9171</v>
      </c>
      <c r="AD3577">
        <v>-1.119136668885</v>
      </c>
      <c r="AE3577">
        <v>-12.7950999999999</v>
      </c>
      <c r="AF3577">
        <v>-4.0145082999211299</v>
      </c>
      <c r="AG3577">
        <v>-1.119136668885</v>
      </c>
      <c r="AH3577">
        <v>16.257090242940901</v>
      </c>
      <c r="AI3577">
        <v>93.823527593230907</v>
      </c>
      <c r="AJ3577">
        <v>103.87105483974899</v>
      </c>
      <c r="AK3577">
        <v>16.782780667723198</v>
      </c>
      <c r="AL3577">
        <v>79.032474066755</v>
      </c>
      <c r="AM3577">
        <v>101.46028310083901</v>
      </c>
      <c r="AN3577">
        <v>1.0000000068014501</v>
      </c>
    </row>
    <row r="3578" spans="1:40" x14ac:dyDescent="0.25">
      <c r="A3578" t="str">
        <f>"20190312172146983"</f>
        <v>20190312172146983</v>
      </c>
      <c r="B3578" t="str">
        <f>"1552382506974393"</f>
        <v>1552382506974393</v>
      </c>
      <c r="C3578" t="s">
        <v>40</v>
      </c>
      <c r="D3578">
        <v>3.7615530000000001</v>
      </c>
      <c r="E3578">
        <v>0.47183979999999998</v>
      </c>
      <c r="F3578" t="s">
        <v>45</v>
      </c>
      <c r="G3578">
        <v>-477.06970000000001</v>
      </c>
      <c r="H3578" s="1">
        <v>2.9362739999999999E-6</v>
      </c>
      <c r="I3578">
        <v>217.20070000000001</v>
      </c>
      <c r="J3578">
        <v>-489.33730000000003</v>
      </c>
      <c r="K3578">
        <v>1.1196440000000001</v>
      </c>
      <c r="L3578">
        <v>231.2029</v>
      </c>
      <c r="M3578">
        <v>0.45839170000000001</v>
      </c>
      <c r="N3578">
        <v>0</v>
      </c>
      <c r="O3578">
        <v>-0.88863239999999999</v>
      </c>
      <c r="P3578">
        <v>0.61600639999999995</v>
      </c>
      <c r="Q3578">
        <v>0.1859393</v>
      </c>
      <c r="R3578">
        <v>-0.765482</v>
      </c>
      <c r="S3578">
        <v>2.025909</v>
      </c>
      <c r="T3578">
        <v>-0.18240000000000001</v>
      </c>
      <c r="U3578">
        <v>-2.3308260000000001</v>
      </c>
      <c r="V3578">
        <v>-0.2008035</v>
      </c>
      <c r="W3578">
        <v>0.19556580000000001</v>
      </c>
      <c r="X3578">
        <v>0.95991249999999995</v>
      </c>
      <c r="Y3578">
        <v>-0.23587759999999999</v>
      </c>
      <c r="Z3578">
        <v>5.5646319999999999E-2</v>
      </c>
      <c r="AA3578">
        <v>0.9701883</v>
      </c>
      <c r="AB3578">
        <v>32</v>
      </c>
      <c r="AC3578">
        <v>12.2676</v>
      </c>
      <c r="AD3578">
        <v>-1.1196410637259999</v>
      </c>
      <c r="AE3578">
        <v>-14.002199999999901</v>
      </c>
      <c r="AF3578">
        <v>-4.4672050143155602</v>
      </c>
      <c r="AG3578">
        <v>-1.1196410637259999</v>
      </c>
      <c r="AH3578">
        <v>18.002945323603701</v>
      </c>
      <c r="AI3578">
        <v>93.454271727981705</v>
      </c>
      <c r="AJ3578">
        <v>103.93576091474699</v>
      </c>
      <c r="AK3578">
        <v>18.582668190444899</v>
      </c>
      <c r="AL3578">
        <v>78.722222260406298</v>
      </c>
      <c r="AM3578">
        <v>101.815288447022</v>
      </c>
      <c r="AN3578">
        <v>1.00000001769906</v>
      </c>
    </row>
    <row r="3579" spans="1:40" x14ac:dyDescent="0.25">
      <c r="A3579" t="str">
        <f>"20190312172147003"</f>
        <v>20190312172147003</v>
      </c>
      <c r="B3579" t="str">
        <f>"1552382506993911"</f>
        <v>1552382506993911</v>
      </c>
      <c r="C3579" t="s">
        <v>40</v>
      </c>
      <c r="D3579">
        <v>3.8379300000000001</v>
      </c>
      <c r="E3579">
        <v>0.45905980000000002</v>
      </c>
      <c r="F3579" t="s">
        <v>45</v>
      </c>
      <c r="G3579">
        <v>-475.55200000000002</v>
      </c>
      <c r="H3579" s="1">
        <v>3.5486440000000002E-6</v>
      </c>
      <c r="I3579">
        <v>215.8125</v>
      </c>
      <c r="J3579">
        <v>-489.19040000000001</v>
      </c>
      <c r="K3579">
        <v>1.1200429999999999</v>
      </c>
      <c r="L3579">
        <v>230.94120000000001</v>
      </c>
      <c r="M3579">
        <v>0.46820289999999998</v>
      </c>
      <c r="N3579">
        <v>0</v>
      </c>
      <c r="O3579">
        <v>-0.88350119999999899</v>
      </c>
      <c r="P3579">
        <v>0.62938309999999997</v>
      </c>
      <c r="Q3579">
        <v>0.18701329999999999</v>
      </c>
      <c r="R3579">
        <v>-0.75425640000000005</v>
      </c>
      <c r="S3579">
        <v>2.0611269999999999</v>
      </c>
      <c r="T3579">
        <v>-0.16740439999999901</v>
      </c>
      <c r="U3579">
        <v>-2.3011170000000001</v>
      </c>
      <c r="V3579">
        <v>-0.20741599999999999</v>
      </c>
      <c r="W3579">
        <v>0.19635369999999999</v>
      </c>
      <c r="X3579">
        <v>0.95834430000000004</v>
      </c>
      <c r="Y3579">
        <v>-0.23977029999999999</v>
      </c>
      <c r="Z3579">
        <v>5.0904520000000002E-2</v>
      </c>
      <c r="AA3579">
        <v>0.96949419999999997</v>
      </c>
      <c r="AB3579">
        <v>32</v>
      </c>
      <c r="AC3579">
        <v>13.638400000000001</v>
      </c>
      <c r="AD3579">
        <v>-1.1200394513559999</v>
      </c>
      <c r="AE3579">
        <v>-15.1287</v>
      </c>
      <c r="AF3579">
        <v>-4.9517944470078801</v>
      </c>
      <c r="AG3579">
        <v>-1.1200394513559999</v>
      </c>
      <c r="AH3579">
        <v>19.694303927516501</v>
      </c>
      <c r="AI3579">
        <v>93.156924988380595</v>
      </c>
      <c r="AJ3579">
        <v>104.11348302796701</v>
      </c>
      <c r="AK3579">
        <v>20.338150451980699</v>
      </c>
      <c r="AL3579">
        <v>78.676185992817196</v>
      </c>
      <c r="AM3579">
        <v>102.21225819471</v>
      </c>
      <c r="AN3579">
        <v>0.99999998495108899</v>
      </c>
    </row>
    <row r="3580" spans="1:40" x14ac:dyDescent="0.25">
      <c r="A3580" t="str">
        <f>"20190312172147028"</f>
        <v>20190312172147028</v>
      </c>
      <c r="B3580" t="str">
        <f>"1552382507024167"</f>
        <v>1552382507024167</v>
      </c>
      <c r="C3580" t="s">
        <v>40</v>
      </c>
      <c r="D3580">
        <v>3.781183</v>
      </c>
      <c r="E3580">
        <v>0.45598470000000002</v>
      </c>
      <c r="F3580" t="s">
        <v>53</v>
      </c>
      <c r="G3580">
        <v>-456.5059</v>
      </c>
      <c r="H3580">
        <v>2.7056260000000001</v>
      </c>
      <c r="I3580">
        <v>198.58529999999999</v>
      </c>
      <c r="J3580">
        <v>-489.02120000000002</v>
      </c>
      <c r="K3580">
        <v>1.120404</v>
      </c>
      <c r="L3580">
        <v>230.649</v>
      </c>
      <c r="M3580">
        <v>0.47960979999999998</v>
      </c>
      <c r="N3580">
        <v>0</v>
      </c>
      <c r="O3580">
        <v>-0.87736000000000003</v>
      </c>
      <c r="P3580">
        <v>0.64314879999999996</v>
      </c>
      <c r="Q3580">
        <v>0.18278030000000001</v>
      </c>
      <c r="R3580">
        <v>-0.74360700000000002</v>
      </c>
      <c r="S3580">
        <v>2.1658629999999999</v>
      </c>
      <c r="T3580">
        <v>0.1050711</v>
      </c>
      <c r="U3580">
        <v>-2.1440890000000001</v>
      </c>
      <c r="V3580">
        <v>-0.2122243</v>
      </c>
      <c r="W3580">
        <v>0.191887</v>
      </c>
      <c r="X3580">
        <v>0.9581963</v>
      </c>
      <c r="Y3580">
        <v>-0.28570129999999999</v>
      </c>
      <c r="Z3580">
        <v>-3.2647540000000003E-2</v>
      </c>
      <c r="AA3580">
        <v>0.95776240000000001</v>
      </c>
      <c r="AB3580">
        <v>32</v>
      </c>
      <c r="AC3580">
        <v>32.515300000000003</v>
      </c>
      <c r="AD3580">
        <v>1.5852219999999899</v>
      </c>
      <c r="AE3580">
        <v>-32.063699999999997</v>
      </c>
      <c r="AF3580">
        <v>-13.135136696620901</v>
      </c>
      <c r="AG3580">
        <v>1.5852219999999899</v>
      </c>
      <c r="AH3580">
        <v>43.678106509191998</v>
      </c>
      <c r="AI3580">
        <v>88.009445644659706</v>
      </c>
      <c r="AJ3580">
        <v>106.73739205717099</v>
      </c>
      <c r="AK3580">
        <v>45.637941814421502</v>
      </c>
      <c r="AL3580">
        <v>78.937071688284902</v>
      </c>
      <c r="AM3580">
        <v>102.488446433858</v>
      </c>
      <c r="AN3580">
        <v>0.99999996180658901</v>
      </c>
    </row>
    <row r="3581" spans="1:40" x14ac:dyDescent="0.25">
      <c r="A3581" t="str">
        <f>"20190312172147050"</f>
        <v>20190312172147050</v>
      </c>
      <c r="B3581" t="str">
        <f>"1552382507044663"</f>
        <v>1552382507044663</v>
      </c>
      <c r="C3581" t="s">
        <v>40</v>
      </c>
      <c r="D3581">
        <v>3.6789770000000002</v>
      </c>
      <c r="E3581">
        <v>0.45577889999999999</v>
      </c>
      <c r="F3581" t="s">
        <v>53</v>
      </c>
      <c r="G3581">
        <v>-456.7672</v>
      </c>
      <c r="H3581">
        <v>2.3945460000000001</v>
      </c>
      <c r="I3581">
        <v>200.32140000000001</v>
      </c>
      <c r="J3581">
        <v>-488.86380000000003</v>
      </c>
      <c r="K3581">
        <v>1.120649</v>
      </c>
      <c r="L3581">
        <v>230.3854</v>
      </c>
      <c r="M3581">
        <v>0.49028549999999899</v>
      </c>
      <c r="N3581">
        <v>0</v>
      </c>
      <c r="O3581">
        <v>-0.87143799999999905</v>
      </c>
      <c r="P3581">
        <v>0.65397709999999998</v>
      </c>
      <c r="Q3581">
        <v>0.1701027</v>
      </c>
      <c r="R3581">
        <v>-0.73714269999999904</v>
      </c>
      <c r="S3581">
        <v>2.2229610000000002</v>
      </c>
      <c r="T3581">
        <v>8.7815999999999894E-2</v>
      </c>
      <c r="U3581">
        <v>-2.090195</v>
      </c>
      <c r="V3581">
        <v>-0.2129318</v>
      </c>
      <c r="W3581">
        <v>0.17912120000000001</v>
      </c>
      <c r="X3581">
        <v>0.96050800000000003</v>
      </c>
      <c r="Y3581">
        <v>-0.29874070000000003</v>
      </c>
      <c r="Z3581">
        <v>-2.7230239999999999E-2</v>
      </c>
      <c r="AA3581">
        <v>0.95394579999999995</v>
      </c>
      <c r="AB3581">
        <v>32</v>
      </c>
      <c r="AC3581">
        <v>32.096600000000002</v>
      </c>
      <c r="AD3581">
        <v>1.2738969999999901</v>
      </c>
      <c r="AE3581">
        <v>-30.064</v>
      </c>
      <c r="AF3581">
        <v>-13.2205891939336</v>
      </c>
      <c r="AG3581">
        <v>1.2738969999999901</v>
      </c>
      <c r="AH3581">
        <v>41.904776604163203</v>
      </c>
      <c r="AI3581">
        <v>88.339391271714007</v>
      </c>
      <c r="AJ3581">
        <v>107.510028092233</v>
      </c>
      <c r="AK3581">
        <v>43.959266309234401</v>
      </c>
      <c r="AL3581">
        <v>79.681423479317701</v>
      </c>
      <c r="AM3581">
        <v>102.49956236872301</v>
      </c>
      <c r="AN3581">
        <v>0.99999998690233904</v>
      </c>
    </row>
    <row r="3582" spans="1:40" x14ac:dyDescent="0.25">
      <c r="A3582" t="str">
        <f>"20190312172147071"</f>
        <v>20190312172147071</v>
      </c>
      <c r="B3582" t="str">
        <f>"1552382507064184"</f>
        <v>1552382507064184</v>
      </c>
      <c r="C3582" t="s">
        <v>40</v>
      </c>
      <c r="D3582">
        <v>3.7745190000000002</v>
      </c>
      <c r="E3582">
        <v>0.45637119999999998</v>
      </c>
      <c r="F3582" t="s">
        <v>53</v>
      </c>
      <c r="G3582">
        <v>-455.73320000000001</v>
      </c>
      <c r="H3582">
        <v>1.8075909999999999</v>
      </c>
      <c r="I3582">
        <v>200.0762</v>
      </c>
      <c r="J3582">
        <v>-488.709</v>
      </c>
      <c r="K3582">
        <v>1.120833</v>
      </c>
      <c r="L3582">
        <v>230.1335</v>
      </c>
      <c r="M3582">
        <v>0.50081529999999996</v>
      </c>
      <c r="N3582">
        <v>0</v>
      </c>
      <c r="O3582">
        <v>-0.86542830000000004</v>
      </c>
      <c r="P3582">
        <v>0.66246490000000002</v>
      </c>
      <c r="Q3582">
        <v>0.1503939</v>
      </c>
      <c r="R3582">
        <v>-0.73384059999999995</v>
      </c>
      <c r="S3582">
        <v>2.2525019999999998</v>
      </c>
      <c r="T3582">
        <v>4.6705370000000003E-2</v>
      </c>
      <c r="U3582">
        <v>-2.0606689999999999</v>
      </c>
      <c r="V3582">
        <v>-0.2098795</v>
      </c>
      <c r="W3582">
        <v>0.15945490000000001</v>
      </c>
      <c r="X3582">
        <v>0.96463710000000003</v>
      </c>
      <c r="Y3582">
        <v>-0.3004365</v>
      </c>
      <c r="Z3582">
        <v>-1.441831E-2</v>
      </c>
      <c r="AA3582">
        <v>0.95369289999999995</v>
      </c>
      <c r="AB3582">
        <v>32</v>
      </c>
      <c r="AC3582">
        <v>32.9757999999999</v>
      </c>
      <c r="AD3582">
        <v>0.68675799999999998</v>
      </c>
      <c r="AE3582">
        <v>-30.057300000000001</v>
      </c>
      <c r="AF3582">
        <v>-13.4833099718487</v>
      </c>
      <c r="AG3582">
        <v>0.68675799999999998</v>
      </c>
      <c r="AH3582">
        <v>42.521783630534998</v>
      </c>
      <c r="AI3582">
        <v>89.117984460256096</v>
      </c>
      <c r="AJ3582">
        <v>107.59339572827</v>
      </c>
      <c r="AK3582">
        <v>44.613600700566103</v>
      </c>
      <c r="AL3582">
        <v>80.824741925701503</v>
      </c>
      <c r="AM3582">
        <v>102.27474301381901</v>
      </c>
      <c r="AN3582">
        <v>1.0000000021753299</v>
      </c>
    </row>
    <row r="3583" spans="1:40" x14ac:dyDescent="0.25">
      <c r="A3583" t="str">
        <f>"20190312172147093"</f>
        <v>20190312172147093</v>
      </c>
      <c r="B3583" t="str">
        <f>"1552382507083707"</f>
        <v>1552382507083707</v>
      </c>
      <c r="C3583" t="s">
        <v>40</v>
      </c>
      <c r="D3583">
        <v>3.7905129999999998</v>
      </c>
      <c r="E3583">
        <v>0.4574743</v>
      </c>
      <c r="F3583" t="s">
        <v>53</v>
      </c>
      <c r="G3583">
        <v>-455.34269999999998</v>
      </c>
      <c r="H3583">
        <v>0.92538549999999997</v>
      </c>
      <c r="I3583">
        <v>200.07660000000001</v>
      </c>
      <c r="J3583">
        <v>-488.54430000000002</v>
      </c>
      <c r="K3583">
        <v>1.121014</v>
      </c>
      <c r="L3583">
        <v>229.8734</v>
      </c>
      <c r="M3583">
        <v>0.51201300000000005</v>
      </c>
      <c r="N3583">
        <v>0</v>
      </c>
      <c r="O3583">
        <v>-0.8588498</v>
      </c>
      <c r="P3583">
        <v>0.6698113</v>
      </c>
      <c r="Q3583">
        <v>0.13434170000000001</v>
      </c>
      <c r="R3583">
        <v>-0.73027799999999998</v>
      </c>
      <c r="S3583">
        <v>2.2681879999999999</v>
      </c>
      <c r="T3583">
        <v>-1.328504E-2</v>
      </c>
      <c r="U3583">
        <v>-2.043228</v>
      </c>
      <c r="V3583">
        <v>-0.20514250000000001</v>
      </c>
      <c r="W3583">
        <v>0.14349139999999999</v>
      </c>
      <c r="X3583">
        <v>0.96815640000000003</v>
      </c>
      <c r="Y3583">
        <v>-0.29545260000000001</v>
      </c>
      <c r="Z3583">
        <v>4.0746209999999996E-3</v>
      </c>
      <c r="AA3583">
        <v>0.95534870000000005</v>
      </c>
      <c r="AB3583">
        <v>32</v>
      </c>
      <c r="AC3583">
        <v>33.201599999999999</v>
      </c>
      <c r="AD3583">
        <v>-0.19562850000000001</v>
      </c>
      <c r="AE3583">
        <v>-29.796799999999902</v>
      </c>
      <c r="AF3583">
        <v>-13.260040359314599</v>
      </c>
      <c r="AG3583">
        <v>-0.19562850000000001</v>
      </c>
      <c r="AH3583">
        <v>42.594487010140597</v>
      </c>
      <c r="AI3583">
        <v>90.2512536914397</v>
      </c>
      <c r="AJ3583">
        <v>107.291827074648</v>
      </c>
      <c r="AK3583">
        <v>44.611178694332899</v>
      </c>
      <c r="AL3583">
        <v>81.750070921691702</v>
      </c>
      <c r="AM3583">
        <v>101.963445741474</v>
      </c>
      <c r="AN3583">
        <v>1.0000000210205799</v>
      </c>
    </row>
    <row r="3584" spans="1:40" x14ac:dyDescent="0.25">
      <c r="A3584" t="str">
        <f>"20190312172147114"</f>
        <v>20190312172147114</v>
      </c>
      <c r="B3584" t="str">
        <f>"1552382507104203"</f>
        <v>1552382507104203</v>
      </c>
      <c r="C3584" t="s">
        <v>40</v>
      </c>
      <c r="D3584">
        <v>3.9938310000000001</v>
      </c>
      <c r="E3584">
        <v>0.45711859999999999</v>
      </c>
      <c r="F3584" t="s">
        <v>45</v>
      </c>
      <c r="G3584">
        <v>-481.20650000000001</v>
      </c>
      <c r="H3584" s="1">
        <v>2.7825809999999999E-6</v>
      </c>
      <c r="I3584">
        <v>223.23429999999999</v>
      </c>
      <c r="J3584">
        <v>-488.38040000000001</v>
      </c>
      <c r="K3584">
        <v>1.121219</v>
      </c>
      <c r="L3584">
        <v>229.62219999999999</v>
      </c>
      <c r="M3584">
        <v>0.52312150000000002</v>
      </c>
      <c r="N3584">
        <v>0</v>
      </c>
      <c r="O3584">
        <v>-0.85212770000000004</v>
      </c>
      <c r="P3584">
        <v>0.67634340000000004</v>
      </c>
      <c r="Q3584">
        <v>0.127958399999999</v>
      </c>
      <c r="R3584">
        <v>-0.72538719999999901</v>
      </c>
      <c r="S3584">
        <v>2.2900700000000001</v>
      </c>
      <c r="T3584">
        <v>-0.34985840000000001</v>
      </c>
      <c r="U3584">
        <v>-2.072006</v>
      </c>
      <c r="V3584">
        <v>-0.20058119999999999</v>
      </c>
      <c r="W3584">
        <v>0.13718910000000001</v>
      </c>
      <c r="X3584">
        <v>0.97002390000000005</v>
      </c>
      <c r="Y3584">
        <v>-0.27625899999999998</v>
      </c>
      <c r="Z3584">
        <v>0.1043453</v>
      </c>
      <c r="AA3584">
        <v>0.95540199999999997</v>
      </c>
      <c r="AB3584">
        <v>32</v>
      </c>
      <c r="AC3584">
        <v>7.1738999999999997</v>
      </c>
      <c r="AD3584">
        <v>-1.1212162174189999</v>
      </c>
      <c r="AE3584">
        <v>-6.3879000000000001</v>
      </c>
      <c r="AF3584">
        <v>-2.73448342006375</v>
      </c>
      <c r="AG3584">
        <v>-1.1212162174189999</v>
      </c>
      <c r="AH3584">
        <v>9.0735286109321702</v>
      </c>
      <c r="AI3584">
        <v>96.747521745361794</v>
      </c>
      <c r="AJ3584">
        <v>106.771196874663</v>
      </c>
      <c r="AK3584">
        <v>9.5427169524308795</v>
      </c>
      <c r="AL3584">
        <v>82.114776082819702</v>
      </c>
      <c r="AM3584">
        <v>101.68294585296</v>
      </c>
      <c r="AN3584">
        <v>1.00000001676173</v>
      </c>
    </row>
    <row r="3585" spans="1:40" x14ac:dyDescent="0.25">
      <c r="A3585" t="str">
        <f>"20190312172147137"</f>
        <v>20190312172147137</v>
      </c>
      <c r="B3585" t="str">
        <f>"1552382507134455"</f>
        <v>1552382507134455</v>
      </c>
      <c r="C3585" t="s">
        <v>40</v>
      </c>
      <c r="D3585">
        <v>3.8031389999999998</v>
      </c>
      <c r="E3585">
        <v>0.45729379999999997</v>
      </c>
      <c r="F3585" t="s">
        <v>45</v>
      </c>
      <c r="G3585">
        <v>-481.44650000000001</v>
      </c>
      <c r="H3585" s="1">
        <v>2.877615E-6</v>
      </c>
      <c r="I3585">
        <v>223.4717</v>
      </c>
      <c r="J3585">
        <v>-488.209</v>
      </c>
      <c r="K3585">
        <v>1.1214649999999999</v>
      </c>
      <c r="L3585">
        <v>229.3673</v>
      </c>
      <c r="M3585">
        <v>0.53465739999999995</v>
      </c>
      <c r="N3585">
        <v>0</v>
      </c>
      <c r="O3585">
        <v>-0.84493619999999903</v>
      </c>
      <c r="P3585">
        <v>0.68321319999999996</v>
      </c>
      <c r="Q3585">
        <v>0.13253489999999901</v>
      </c>
      <c r="R3585">
        <v>-0.71809069999999997</v>
      </c>
      <c r="S3585">
        <v>2.309326</v>
      </c>
      <c r="T3585">
        <v>-0.37341859999999999</v>
      </c>
      <c r="U3585">
        <v>-2.048416</v>
      </c>
      <c r="V3585">
        <v>-0.19726750000000001</v>
      </c>
      <c r="W3585">
        <v>0.14180129999999999</v>
      </c>
      <c r="X3585">
        <v>0.97004020000000002</v>
      </c>
      <c r="Y3585">
        <v>-0.2719992</v>
      </c>
      <c r="Z3585">
        <v>0.1105317</v>
      </c>
      <c r="AA3585">
        <v>0.95592840000000001</v>
      </c>
      <c r="AB3585">
        <v>32</v>
      </c>
      <c r="AC3585">
        <v>6.7624999999999797</v>
      </c>
      <c r="AD3585">
        <v>-1.1214621223850001</v>
      </c>
      <c r="AE3585">
        <v>-5.8956</v>
      </c>
      <c r="AF3585">
        <v>-2.5226252901185502</v>
      </c>
      <c r="AG3585">
        <v>-1.1214621223850001</v>
      </c>
      <c r="AH3585">
        <v>8.4657110117699599</v>
      </c>
      <c r="AI3585">
        <v>97.235258312862001</v>
      </c>
      <c r="AJ3585">
        <v>106.593083206383</v>
      </c>
      <c r="AK3585">
        <v>8.9044695844891901</v>
      </c>
      <c r="AL3585">
        <v>81.847907122006205</v>
      </c>
      <c r="AM3585">
        <v>101.494928826663</v>
      </c>
      <c r="AN3585">
        <v>1.00000003242698</v>
      </c>
    </row>
    <row r="3586" spans="1:40" x14ac:dyDescent="0.25">
      <c r="A3586" t="str">
        <f>"20190312172147160"</f>
        <v>20190312172147160</v>
      </c>
      <c r="B3586" t="str">
        <f>"1552382507153975"</f>
        <v>1552382507153975</v>
      </c>
      <c r="C3586" t="s">
        <v>40</v>
      </c>
      <c r="D3586">
        <v>3.8140360000000002</v>
      </c>
      <c r="E3586">
        <v>0.45767639999999998</v>
      </c>
      <c r="F3586" t="s">
        <v>45</v>
      </c>
      <c r="G3586">
        <v>-481.03469999999999</v>
      </c>
      <c r="H3586" s="1">
        <v>2.7286839999999998E-6</v>
      </c>
      <c r="I3586">
        <v>223.1284</v>
      </c>
      <c r="J3586">
        <v>-488.02679999999998</v>
      </c>
      <c r="K3586">
        <v>1.1217429999999999</v>
      </c>
      <c r="L3586">
        <v>229.10470000000001</v>
      </c>
      <c r="M3586">
        <v>0.5468113</v>
      </c>
      <c r="N3586">
        <v>0</v>
      </c>
      <c r="O3586">
        <v>-0.83712070000000005</v>
      </c>
      <c r="P3586">
        <v>0.69127629999999995</v>
      </c>
      <c r="Q3586">
        <v>0.141904799999999</v>
      </c>
      <c r="R3586">
        <v>-0.70851989999999998</v>
      </c>
      <c r="S3586">
        <v>2.3311160000000002</v>
      </c>
      <c r="T3586">
        <v>-0.36438880000000001</v>
      </c>
      <c r="U3586">
        <v>-2.027161</v>
      </c>
      <c r="V3586">
        <v>-0.1955296</v>
      </c>
      <c r="W3586">
        <v>0.15115970000000001</v>
      </c>
      <c r="X3586">
        <v>0.96897829999999996</v>
      </c>
      <c r="Y3586">
        <v>-0.26780470000000001</v>
      </c>
      <c r="Z3586">
        <v>0.10695159999999999</v>
      </c>
      <c r="AA3586">
        <v>0.95751869999999994</v>
      </c>
      <c r="AB3586">
        <v>31</v>
      </c>
      <c r="AC3586">
        <v>6.99209999999999</v>
      </c>
      <c r="AD3586">
        <v>-1.1217402713159901</v>
      </c>
      <c r="AE3586">
        <v>-5.9763000000000002</v>
      </c>
      <c r="AF3586">
        <v>-2.5477247401748202</v>
      </c>
      <c r="AG3586">
        <v>-1.1217402713159901</v>
      </c>
      <c r="AH3586">
        <v>8.6978830608149504</v>
      </c>
      <c r="AI3586">
        <v>97.055436308920704</v>
      </c>
      <c r="AJ3586">
        <v>106.326004193152</v>
      </c>
      <c r="AK3586">
        <v>9.1324899303312996</v>
      </c>
      <c r="AL3586">
        <v>81.305861267809703</v>
      </c>
      <c r="AM3586">
        <v>101.408483114913</v>
      </c>
      <c r="AN3586">
        <v>1.0000000126255699</v>
      </c>
    </row>
    <row r="3587" spans="1:40" x14ac:dyDescent="0.25">
      <c r="A3587" t="str">
        <f>"20190312172147182"</f>
        <v>20190312172147182</v>
      </c>
      <c r="B3587" t="str">
        <f>"1552382507174472"</f>
        <v>1552382507174472</v>
      </c>
      <c r="C3587" t="s">
        <v>40</v>
      </c>
      <c r="D3587">
        <v>4.0101709999999997</v>
      </c>
      <c r="E3587">
        <v>0.45776359999999999</v>
      </c>
      <c r="F3587" t="s">
        <v>45</v>
      </c>
      <c r="G3587">
        <v>-480.07889999999998</v>
      </c>
      <c r="H3587" s="1">
        <v>2.389409E-6</v>
      </c>
      <c r="I3587">
        <v>222.36070000000001</v>
      </c>
      <c r="J3587">
        <v>-487.84910000000002</v>
      </c>
      <c r="K3587">
        <v>1.1219859999999999</v>
      </c>
      <c r="L3587">
        <v>228.8571</v>
      </c>
      <c r="M3587">
        <v>0.55851329999999999</v>
      </c>
      <c r="N3587">
        <v>0</v>
      </c>
      <c r="O3587">
        <v>-0.82935809999999999</v>
      </c>
      <c r="P3587">
        <v>0.69925660000000001</v>
      </c>
      <c r="Q3587">
        <v>0.15064520000000001</v>
      </c>
      <c r="R3587">
        <v>-0.69881780000000004</v>
      </c>
      <c r="S3587">
        <v>2.357666</v>
      </c>
      <c r="T3587">
        <v>-0.332754299999999</v>
      </c>
      <c r="U3587">
        <v>-2.000534</v>
      </c>
      <c r="V3587">
        <v>-0.1942343</v>
      </c>
      <c r="W3587">
        <v>0.1598879</v>
      </c>
      <c r="X3587">
        <v>0.96783719999999995</v>
      </c>
      <c r="Y3587">
        <v>-0.26679059999999999</v>
      </c>
      <c r="Z3587">
        <v>9.6980670000000005E-2</v>
      </c>
      <c r="AA3587">
        <v>0.95886260000000001</v>
      </c>
      <c r="AB3587">
        <v>31</v>
      </c>
      <c r="AC3587">
        <v>7.77020000000004</v>
      </c>
      <c r="AD3587">
        <v>-1.1219836105909999</v>
      </c>
      <c r="AE3587">
        <v>-6.4963999999999897</v>
      </c>
      <c r="AF3587">
        <v>-2.7821314481267998</v>
      </c>
      <c r="AG3587">
        <v>-1.1219836105909999</v>
      </c>
      <c r="AH3587">
        <v>9.6107684306146801</v>
      </c>
      <c r="AI3587">
        <v>96.398321765407701</v>
      </c>
      <c r="AJ3587">
        <v>106.144706789255</v>
      </c>
      <c r="AK3587">
        <v>10.0680669666024</v>
      </c>
      <c r="AL3587">
        <v>80.799610167145701</v>
      </c>
      <c r="AM3587">
        <v>101.347887041352</v>
      </c>
      <c r="AN3587">
        <v>0.99999997478336899</v>
      </c>
    </row>
    <row r="3588" spans="1:40" x14ac:dyDescent="0.25">
      <c r="A3588" t="str">
        <f>"20190312172147205"</f>
        <v>20190312172147205</v>
      </c>
      <c r="B3588" t="str">
        <f>"1552382507193991"</f>
        <v>1552382507193991</v>
      </c>
      <c r="C3588" t="s">
        <v>40</v>
      </c>
      <c r="D3588">
        <v>3.9697719999999999</v>
      </c>
      <c r="E3588">
        <v>0.45774179999999998</v>
      </c>
      <c r="F3588" t="s">
        <v>45</v>
      </c>
      <c r="G3588">
        <v>-479.79070000000002</v>
      </c>
      <c r="H3588">
        <v>8.0000360000000006E-2</v>
      </c>
      <c r="I3588">
        <v>222.19069999999999</v>
      </c>
      <c r="J3588">
        <v>-487.66210000000001</v>
      </c>
      <c r="K3588">
        <v>1.122236</v>
      </c>
      <c r="L3588">
        <v>228.6045</v>
      </c>
      <c r="M3588">
        <v>0.57063560000000002</v>
      </c>
      <c r="N3588">
        <v>0</v>
      </c>
      <c r="O3588">
        <v>-0.82106349999999995</v>
      </c>
      <c r="P3588">
        <v>0.70774049999999999</v>
      </c>
      <c r="Q3588">
        <v>0.16245799999999999</v>
      </c>
      <c r="R3588">
        <v>-0.68754009999999999</v>
      </c>
      <c r="S3588">
        <v>2.384979</v>
      </c>
      <c r="T3588">
        <v>-0.3083864</v>
      </c>
      <c r="U3588">
        <v>-1.972977</v>
      </c>
      <c r="V3588">
        <v>-0.19377430000000001</v>
      </c>
      <c r="W3588">
        <v>0.17166409999999999</v>
      </c>
      <c r="X3588">
        <v>0.96591039999999995</v>
      </c>
      <c r="Y3588">
        <v>-0.26526939999999999</v>
      </c>
      <c r="Z3588">
        <v>8.9141570000000003E-2</v>
      </c>
      <c r="AA3588">
        <v>0.96004469999999997</v>
      </c>
      <c r="AB3588">
        <v>31</v>
      </c>
      <c r="AC3588">
        <v>7.8713999999999897</v>
      </c>
      <c r="AD3588">
        <v>-1.0422356399999999</v>
      </c>
      <c r="AE3588">
        <v>-6.4138000000000002</v>
      </c>
      <c r="AF3588">
        <v>-2.7740700300271799</v>
      </c>
      <c r="AG3588">
        <v>-1.0422356399999999</v>
      </c>
      <c r="AH3588">
        <v>9.6572073125492892</v>
      </c>
      <c r="AI3588">
        <v>95.922017531166702</v>
      </c>
      <c r="AJ3588">
        <v>106.026916100431</v>
      </c>
      <c r="AK3588">
        <v>10.1016519806582</v>
      </c>
      <c r="AL3588">
        <v>80.115412261975194</v>
      </c>
      <c r="AM3588">
        <v>101.3437066115</v>
      </c>
      <c r="AN3588">
        <v>0.99999997169872901</v>
      </c>
    </row>
    <row r="3589" spans="1:40" x14ac:dyDescent="0.25">
      <c r="A3589" t="str">
        <f>"20190312172147229"</f>
        <v>20190312172147229</v>
      </c>
      <c r="B3589" t="str">
        <f>"1552382507224247"</f>
        <v>1552382507224247</v>
      </c>
      <c r="C3589" t="s">
        <v>40</v>
      </c>
      <c r="D3589">
        <v>3.961859</v>
      </c>
      <c r="E3589">
        <v>0.4583605</v>
      </c>
      <c r="F3589" t="s">
        <v>45</v>
      </c>
      <c r="G3589">
        <v>-478.67829999999998</v>
      </c>
      <c r="H3589">
        <v>8.0000470000000004E-2</v>
      </c>
      <c r="I3589">
        <v>221.37620000000001</v>
      </c>
      <c r="J3589">
        <v>-487.47559999999999</v>
      </c>
      <c r="K3589">
        <v>1.1224499999999999</v>
      </c>
      <c r="L3589">
        <v>228.3603</v>
      </c>
      <c r="M3589">
        <v>0.5825108</v>
      </c>
      <c r="N3589">
        <v>0</v>
      </c>
      <c r="O3589">
        <v>-0.81268039999999997</v>
      </c>
      <c r="P3589">
        <v>0.71743449999999998</v>
      </c>
      <c r="Q3589">
        <v>0.17020469999999999</v>
      </c>
      <c r="R3589">
        <v>-0.67551359999999905</v>
      </c>
      <c r="S3589">
        <v>2.4152830000000001</v>
      </c>
      <c r="T3589">
        <v>-0.28020390000000001</v>
      </c>
      <c r="U3589">
        <v>-1.9433290000000001</v>
      </c>
      <c r="V3589">
        <v>-0.1948484</v>
      </c>
      <c r="W3589">
        <v>0.17934029999999901</v>
      </c>
      <c r="X3589">
        <v>0.96429819999999999</v>
      </c>
      <c r="Y3589">
        <v>-0.26499669999999997</v>
      </c>
      <c r="Z3589">
        <v>8.0311439999999998E-2</v>
      </c>
      <c r="AA3589">
        <v>0.9608989</v>
      </c>
      <c r="AB3589">
        <v>31</v>
      </c>
      <c r="AC3589">
        <v>8.7972999999999999</v>
      </c>
      <c r="AD3589">
        <v>-1.0424495299999901</v>
      </c>
      <c r="AE3589">
        <v>-6.9840999999999802</v>
      </c>
      <c r="AF3589">
        <v>-3.0551229482303301</v>
      </c>
      <c r="AG3589">
        <v>-1.0424495299999901</v>
      </c>
      <c r="AH3589">
        <v>10.709375425632199</v>
      </c>
      <c r="AI3589">
        <v>95.347616981776497</v>
      </c>
      <c r="AJ3589">
        <v>105.922152607497</v>
      </c>
      <c r="AK3589">
        <v>11.1853117640295</v>
      </c>
      <c r="AL3589">
        <v>79.668662759236994</v>
      </c>
      <c r="AM3589">
        <v>101.423508725673</v>
      </c>
      <c r="AN3589">
        <v>0.99999993035494195</v>
      </c>
    </row>
    <row r="3590" spans="1:40" x14ac:dyDescent="0.25">
      <c r="A3590" t="str">
        <f>"20190312172147251"</f>
        <v>20190312172147251</v>
      </c>
      <c r="B3590" t="str">
        <f>"1552382507243768"</f>
        <v>1552382507243768</v>
      </c>
      <c r="C3590" t="s">
        <v>40</v>
      </c>
      <c r="D3590">
        <v>3.8596940000000002</v>
      </c>
      <c r="E3590">
        <v>0.45929569999999997</v>
      </c>
      <c r="F3590" t="s">
        <v>45</v>
      </c>
      <c r="G3590">
        <v>-477.66890000000001</v>
      </c>
      <c r="H3590">
        <v>8.0000329999999995E-2</v>
      </c>
      <c r="I3590">
        <v>220.68369999999999</v>
      </c>
      <c r="J3590">
        <v>-487.28199999999998</v>
      </c>
      <c r="K3590">
        <v>1.12263</v>
      </c>
      <c r="L3590">
        <v>228.11439999999999</v>
      </c>
      <c r="M3590">
        <v>0.59460059999999904</v>
      </c>
      <c r="N3590">
        <v>0</v>
      </c>
      <c r="O3590">
        <v>-0.80387640000000005</v>
      </c>
      <c r="P3590">
        <v>0.72778299999999996</v>
      </c>
      <c r="Q3590">
        <v>0.1774954</v>
      </c>
      <c r="R3590">
        <v>-0.66244080000000005</v>
      </c>
      <c r="S3590">
        <v>2.4427490000000001</v>
      </c>
      <c r="T3590">
        <v>-0.25966549999999999</v>
      </c>
      <c r="U3590">
        <v>-1.912155</v>
      </c>
      <c r="V3590">
        <v>-0.19672700000000001</v>
      </c>
      <c r="W3590">
        <v>0.18653990000000001</v>
      </c>
      <c r="X3590">
        <v>0.9625494</v>
      </c>
      <c r="Y3590">
        <v>-0.26389759999999901</v>
      </c>
      <c r="Z3590">
        <v>7.378171E-2</v>
      </c>
      <c r="AA3590">
        <v>0.96172460000000004</v>
      </c>
      <c r="AB3590">
        <v>31</v>
      </c>
      <c r="AC3590">
        <v>9.6130999999999691</v>
      </c>
      <c r="AD3590">
        <v>-1.04262967</v>
      </c>
      <c r="AE3590">
        <v>-7.4306999999999999</v>
      </c>
      <c r="AF3590">
        <v>-3.2856365813649302</v>
      </c>
      <c r="AG3590">
        <v>-1.04262967</v>
      </c>
      <c r="AH3590">
        <v>11.6052235692423</v>
      </c>
      <c r="AI3590">
        <v>94.940578876232607</v>
      </c>
      <c r="AJ3590">
        <v>105.807721693773</v>
      </c>
      <c r="AK3590">
        <v>12.106349510305099</v>
      </c>
      <c r="AL3590">
        <v>79.249074791146299</v>
      </c>
      <c r="AM3590">
        <v>101.55109726575</v>
      </c>
      <c r="AN3590">
        <v>0.99999999713068399</v>
      </c>
    </row>
    <row r="3591" spans="1:40" x14ac:dyDescent="0.25">
      <c r="A3591" t="str">
        <f>"20190312172147273"</f>
        <v>20190312172147273</v>
      </c>
      <c r="B3591" t="str">
        <f>"1552382507264264"</f>
        <v>1552382507264264</v>
      </c>
      <c r="C3591" t="s">
        <v>40</v>
      </c>
      <c r="D3591">
        <v>3.9793189999999998</v>
      </c>
      <c r="E3591">
        <v>0.46966239999999998</v>
      </c>
      <c r="F3591" t="s">
        <v>45</v>
      </c>
      <c r="G3591">
        <v>-476.27969999999999</v>
      </c>
      <c r="H3591">
        <v>8.0000440000000006E-2</v>
      </c>
      <c r="I3591">
        <v>219.75399999999999</v>
      </c>
      <c r="J3591">
        <v>-487.09030000000001</v>
      </c>
      <c r="K3591">
        <v>1.122763</v>
      </c>
      <c r="L3591">
        <v>227.87819999999999</v>
      </c>
      <c r="M3591">
        <v>0.60631939999999995</v>
      </c>
      <c r="N3591">
        <v>0</v>
      </c>
      <c r="O3591">
        <v>-0.7950739</v>
      </c>
      <c r="P3591">
        <v>0.73827019999999899</v>
      </c>
      <c r="Q3591">
        <v>0.1810089</v>
      </c>
      <c r="R3591">
        <v>-0.64976400000000001</v>
      </c>
      <c r="S3591">
        <v>2.4704899999999999</v>
      </c>
      <c r="T3591">
        <v>-0.2341155</v>
      </c>
      <c r="U3591">
        <v>-1.8772580000000001</v>
      </c>
      <c r="V3591">
        <v>-0.1987332</v>
      </c>
      <c r="W3591">
        <v>0.18997130000000001</v>
      </c>
      <c r="X3591">
        <v>0.96146560000000003</v>
      </c>
      <c r="Y3591">
        <v>-0.26409629999999901</v>
      </c>
      <c r="Z3591">
        <v>6.6003729999999997E-2</v>
      </c>
      <c r="AA3591">
        <v>0.96223519999999896</v>
      </c>
      <c r="AB3591">
        <v>31</v>
      </c>
      <c r="AC3591">
        <v>10.810600000000001</v>
      </c>
      <c r="AD3591">
        <v>-1.0427625599999999</v>
      </c>
      <c r="AE3591">
        <v>-8.1241999999999699</v>
      </c>
      <c r="AF3591">
        <v>-3.6481041364995499</v>
      </c>
      <c r="AG3591">
        <v>-1.0427625599999999</v>
      </c>
      <c r="AH3591">
        <v>12.9386077400248</v>
      </c>
      <c r="AI3591">
        <v>94.435480799554895</v>
      </c>
      <c r="AJ3591">
        <v>105.746059359692</v>
      </c>
      <c r="AK3591">
        <v>13.483456077634999</v>
      </c>
      <c r="AL3591">
        <v>79.048891136227496</v>
      </c>
      <c r="AM3591">
        <v>101.67847003301399</v>
      </c>
      <c r="AN3591">
        <v>1.00000003979464</v>
      </c>
    </row>
    <row r="3592" spans="1:40" x14ac:dyDescent="0.25">
      <c r="A3592" t="str">
        <f>"20190312172147295"</f>
        <v>20190312172147295</v>
      </c>
      <c r="B3592" t="str">
        <f>"1552382507283783"</f>
        <v>1552382507283783</v>
      </c>
      <c r="C3592" t="s">
        <v>40</v>
      </c>
      <c r="D3592">
        <v>3.779188</v>
      </c>
      <c r="E3592">
        <v>0.47068460000000001</v>
      </c>
      <c r="F3592" t="s">
        <v>53</v>
      </c>
      <c r="G3592">
        <v>-450.79739999999998</v>
      </c>
      <c r="H3592">
        <v>1.054983</v>
      </c>
      <c r="I3592">
        <v>200.07650000000001</v>
      </c>
      <c r="J3592">
        <v>-486.8974</v>
      </c>
      <c r="K3592">
        <v>1.1228400000000001</v>
      </c>
      <c r="L3592">
        <v>227.64769999999999</v>
      </c>
      <c r="M3592">
        <v>0.61784539999999999</v>
      </c>
      <c r="N3592">
        <v>0</v>
      </c>
      <c r="O3592">
        <v>-0.78614969999999995</v>
      </c>
      <c r="P3592">
        <v>0.74802360000000001</v>
      </c>
      <c r="Q3592">
        <v>0.179359299999999</v>
      </c>
      <c r="R3592">
        <v>-0.63897660000000001</v>
      </c>
      <c r="S3592">
        <v>2.427826</v>
      </c>
      <c r="T3592">
        <v>-4.5329330000000003E-3</v>
      </c>
      <c r="U3592">
        <v>-1.859802</v>
      </c>
      <c r="V3592">
        <v>-0.1989794</v>
      </c>
      <c r="W3592">
        <v>0.1883137</v>
      </c>
      <c r="X3592">
        <v>0.9617407</v>
      </c>
      <c r="Y3592">
        <v>-0.2483901</v>
      </c>
      <c r="Z3592">
        <v>1.2809029999999999E-3</v>
      </c>
      <c r="AA3592">
        <v>0.96865919999999905</v>
      </c>
      <c r="AB3592">
        <v>31</v>
      </c>
      <c r="AC3592">
        <v>36.1</v>
      </c>
      <c r="AD3592">
        <v>-6.7857000000000001E-2</v>
      </c>
      <c r="AE3592">
        <v>-27.571199999999902</v>
      </c>
      <c r="AF3592">
        <v>-11.346577094557301</v>
      </c>
      <c r="AG3592">
        <v>-6.7857000000000001E-2</v>
      </c>
      <c r="AH3592">
        <v>43.9843955120812</v>
      </c>
      <c r="AI3592">
        <v>90.085591022162902</v>
      </c>
      <c r="AJ3592">
        <v>104.465122187022</v>
      </c>
      <c r="AK3592">
        <v>45.424403847473599</v>
      </c>
      <c r="AL3592">
        <v>79.145610147994603</v>
      </c>
      <c r="AM3592">
        <v>101.689287224015</v>
      </c>
      <c r="AN3592">
        <v>1.0000000126342601</v>
      </c>
    </row>
    <row r="3593" spans="1:40" x14ac:dyDescent="0.25">
      <c r="A3593" t="str">
        <f>"20190312172147316"</f>
        <v>20190312172147316</v>
      </c>
      <c r="B3593" t="str">
        <f>"1552382507314039"</f>
        <v>1552382507314039</v>
      </c>
      <c r="C3593" t="s">
        <v>40</v>
      </c>
      <c r="D3593">
        <v>3.7420360000000001</v>
      </c>
      <c r="E3593">
        <v>0.47048489999999998</v>
      </c>
      <c r="F3593" t="s">
        <v>53</v>
      </c>
      <c r="G3593">
        <v>-449.88310000000001</v>
      </c>
      <c r="H3593">
        <v>1.2130369999999999</v>
      </c>
      <c r="I3593">
        <v>200.07640000000001</v>
      </c>
      <c r="J3593">
        <v>-486.7022</v>
      </c>
      <c r="K3593">
        <v>1.12286</v>
      </c>
      <c r="L3593">
        <v>227.4212</v>
      </c>
      <c r="M3593">
        <v>0.62922840000000002</v>
      </c>
      <c r="N3593">
        <v>0</v>
      </c>
      <c r="O3593">
        <v>-0.77706819999999999</v>
      </c>
      <c r="P3593">
        <v>0.7570751</v>
      </c>
      <c r="Q3593">
        <v>0.17121739999999999</v>
      </c>
      <c r="R3593">
        <v>-0.63049330000000003</v>
      </c>
      <c r="S3593">
        <v>2.4501650000000001</v>
      </c>
      <c r="T3593">
        <v>5.9717889999999999E-3</v>
      </c>
      <c r="U3593">
        <v>-1.8250729999999999</v>
      </c>
      <c r="V3593">
        <v>-0.197073</v>
      </c>
      <c r="W3593">
        <v>0.1802549</v>
      </c>
      <c r="X3593">
        <v>0.96367539999999996</v>
      </c>
      <c r="Y3593">
        <v>-0.24733050000000001</v>
      </c>
      <c r="Z3593">
        <v>-1.6735789999999999E-3</v>
      </c>
      <c r="AA3593">
        <v>0.9689297</v>
      </c>
      <c r="AB3593">
        <v>31</v>
      </c>
      <c r="AC3593">
        <v>36.819099999999899</v>
      </c>
      <c r="AD3593">
        <v>9.0177000000000104E-2</v>
      </c>
      <c r="AE3593">
        <v>-27.3447999999999</v>
      </c>
      <c r="AF3593">
        <v>-11.406132532846099</v>
      </c>
      <c r="AG3593">
        <v>9.0177000000000104E-2</v>
      </c>
      <c r="AH3593">
        <v>44.421482289594998</v>
      </c>
      <c r="AI3593">
        <v>89.887342468739206</v>
      </c>
      <c r="AJ3593">
        <v>104.40076767507099</v>
      </c>
      <c r="AK3593">
        <v>45.8625782098323</v>
      </c>
      <c r="AL3593">
        <v>79.615391975601696</v>
      </c>
      <c r="AM3593">
        <v>101.55770980055399</v>
      </c>
      <c r="AN3593">
        <v>0.99999993643408203</v>
      </c>
    </row>
    <row r="3594" spans="1:40" x14ac:dyDescent="0.25">
      <c r="A3594" t="str">
        <f>"20190312172147338"</f>
        <v>20190312172147338</v>
      </c>
      <c r="B3594" t="str">
        <f>"1552382507334535"</f>
        <v>1552382507334535</v>
      </c>
      <c r="C3594" t="s">
        <v>40</v>
      </c>
      <c r="D3594">
        <v>4.0092889999999999</v>
      </c>
      <c r="E3594">
        <v>0.47870669999999999</v>
      </c>
      <c r="F3594" t="s">
        <v>45</v>
      </c>
      <c r="G3594">
        <v>-478.12479999999999</v>
      </c>
      <c r="H3594">
        <v>8.0000310000000005E-2</v>
      </c>
      <c r="I3594">
        <v>221.1438</v>
      </c>
      <c r="J3594">
        <v>-486.50619999999998</v>
      </c>
      <c r="K3594">
        <v>1.12283</v>
      </c>
      <c r="L3594">
        <v>227.2003</v>
      </c>
      <c r="M3594">
        <v>0.64036729999999997</v>
      </c>
      <c r="N3594">
        <v>0</v>
      </c>
      <c r="O3594">
        <v>-0.76791430000000005</v>
      </c>
      <c r="P3594">
        <v>0.76640850000000005</v>
      </c>
      <c r="Q3594">
        <v>0.15899250000000001</v>
      </c>
      <c r="R3594">
        <v>-0.62236599999999997</v>
      </c>
      <c r="S3594">
        <v>2.5048219999999999</v>
      </c>
      <c r="T3594">
        <v>-0.30453970000000002</v>
      </c>
      <c r="U3594">
        <v>-1.8331599999999999</v>
      </c>
      <c r="V3594">
        <v>-0.19514529999999999</v>
      </c>
      <c r="W3594">
        <v>0.16812759999999999</v>
      </c>
      <c r="X3594">
        <v>0.96625640000000002</v>
      </c>
      <c r="Y3594">
        <v>-0.2379839</v>
      </c>
      <c r="Z3594">
        <v>8.2638050000000005E-2</v>
      </c>
      <c r="AA3594">
        <v>0.96774720000000003</v>
      </c>
      <c r="AB3594">
        <v>31</v>
      </c>
      <c r="AC3594">
        <v>8.3813999999999798</v>
      </c>
      <c r="AD3594">
        <v>-1.04282969</v>
      </c>
      <c r="AE3594">
        <v>-6.0564999999999998</v>
      </c>
      <c r="AF3594">
        <v>-2.5323612509697102</v>
      </c>
      <c r="AG3594">
        <v>-1.04282969</v>
      </c>
      <c r="AH3594">
        <v>9.9183644368210402</v>
      </c>
      <c r="AI3594">
        <v>95.816838940998196</v>
      </c>
      <c r="AJ3594">
        <v>104.322789851469</v>
      </c>
      <c r="AK3594">
        <v>10.289523816453</v>
      </c>
      <c r="AL3594">
        <v>80.321028467718406</v>
      </c>
      <c r="AM3594">
        <v>101.417881139576</v>
      </c>
      <c r="AN3594">
        <v>1.0000000042674</v>
      </c>
    </row>
    <row r="3595" spans="1:40" x14ac:dyDescent="0.25">
      <c r="A3595" t="str">
        <f>"20190312172147362"</f>
        <v>20190312172147362</v>
      </c>
      <c r="B3595" t="str">
        <f>"1552382507354055"</f>
        <v>1552382507354055</v>
      </c>
      <c r="C3595" t="s">
        <v>40</v>
      </c>
      <c r="D3595">
        <v>3.8395830000000002</v>
      </c>
      <c r="E3595">
        <v>0.47962890000000002</v>
      </c>
      <c r="F3595" t="s">
        <v>53</v>
      </c>
      <c r="G3595">
        <v>-449.62380000000002</v>
      </c>
      <c r="H3595">
        <v>0.56821250000000001</v>
      </c>
      <c r="I3595">
        <v>200.07669999999999</v>
      </c>
      <c r="J3595">
        <v>-486.28879999999998</v>
      </c>
      <c r="K3595">
        <v>1.1227609999999999</v>
      </c>
      <c r="L3595">
        <v>226.96289999999999</v>
      </c>
      <c r="M3595">
        <v>0.65234320000000001</v>
      </c>
      <c r="N3595">
        <v>0</v>
      </c>
      <c r="O3595">
        <v>-0.75776690000000002</v>
      </c>
      <c r="P3595">
        <v>0.77567129999999995</v>
      </c>
      <c r="Q3595">
        <v>0.1483671</v>
      </c>
      <c r="R3595">
        <v>-0.61345050000000001</v>
      </c>
      <c r="S3595">
        <v>2.4555660000000001</v>
      </c>
      <c r="T3595">
        <v>-3.6924360000000003E-2</v>
      </c>
      <c r="U3595">
        <v>-1.805847</v>
      </c>
      <c r="V3595">
        <v>-0.19243750000000001</v>
      </c>
      <c r="W3595">
        <v>0.15762860000000001</v>
      </c>
      <c r="X3595">
        <v>0.9685665</v>
      </c>
      <c r="Y3595">
        <v>-0.22395409999999999</v>
      </c>
      <c r="Z3595">
        <v>1.0076440000000001E-2</v>
      </c>
      <c r="AA3595">
        <v>0.97454759999999996</v>
      </c>
      <c r="AB3595">
        <v>31</v>
      </c>
      <c r="AC3595">
        <v>36.6649999999999</v>
      </c>
      <c r="AD3595">
        <v>-0.5545485</v>
      </c>
      <c r="AE3595">
        <v>-26.886199999999999</v>
      </c>
      <c r="AF3595">
        <v>-10.2441873208786</v>
      </c>
      <c r="AG3595">
        <v>-0.5545485</v>
      </c>
      <c r="AH3595">
        <v>44.290311476841097</v>
      </c>
      <c r="AI3595">
        <v>90.698899989628899</v>
      </c>
      <c r="AJ3595">
        <v>103.02328805412699</v>
      </c>
      <c r="AK3595">
        <v>45.462980419454503</v>
      </c>
      <c r="AL3595">
        <v>80.930721751670802</v>
      </c>
      <c r="AM3595">
        <v>101.23734657852999</v>
      </c>
      <c r="AN3595">
        <v>1.0000000159332201</v>
      </c>
    </row>
    <row r="3596" spans="1:40" x14ac:dyDescent="0.25">
      <c r="A3596" t="str">
        <f>"20190312172147384"</f>
        <v>20190312172147384</v>
      </c>
      <c r="B3596" t="str">
        <f>"1552382507373579"</f>
        <v>1552382507373579</v>
      </c>
      <c r="C3596" t="s">
        <v>40</v>
      </c>
      <c r="D3596">
        <v>3.7145169999999998</v>
      </c>
      <c r="E3596">
        <v>0.4810217</v>
      </c>
      <c r="F3596" t="s">
        <v>43</v>
      </c>
      <c r="G3596">
        <v>-450.29430000000002</v>
      </c>
      <c r="H3596">
        <v>-0.05</v>
      </c>
      <c r="I3596">
        <v>201.0608</v>
      </c>
      <c r="J3596">
        <v>-486.08170000000001</v>
      </c>
      <c r="K3596">
        <v>1.122676</v>
      </c>
      <c r="L3596">
        <v>226.74369999999999</v>
      </c>
      <c r="M3596">
        <v>0.66336319999999904</v>
      </c>
      <c r="N3596">
        <v>0</v>
      </c>
      <c r="O3596">
        <v>-0.74813819999999998</v>
      </c>
      <c r="P3596">
        <v>0.78340149999999997</v>
      </c>
      <c r="Q3596">
        <v>0.14441960000000001</v>
      </c>
      <c r="R3596">
        <v>-0.60450389999999998</v>
      </c>
      <c r="S3596">
        <v>2.4746700000000001</v>
      </c>
      <c r="T3596">
        <v>-8.0628870000000005E-2</v>
      </c>
      <c r="U3596">
        <v>-1.780807</v>
      </c>
      <c r="V3596">
        <v>-0.18979869999999999</v>
      </c>
      <c r="W3596">
        <v>0.1537983</v>
      </c>
      <c r="X3596">
        <v>0.96970230000000002</v>
      </c>
      <c r="Y3596">
        <v>-0.21955530000000001</v>
      </c>
      <c r="Z3596">
        <v>2.1731839999999999E-2</v>
      </c>
      <c r="AA3596">
        <v>0.97535799999999995</v>
      </c>
      <c r="AB3596">
        <v>31</v>
      </c>
      <c r="AC3596">
        <v>35.787399999999899</v>
      </c>
      <c r="AD3596">
        <v>-1.1726760000000001</v>
      </c>
      <c r="AE3596">
        <v>-25.682899999999901</v>
      </c>
      <c r="AF3596">
        <v>-9.7310949625286103</v>
      </c>
      <c r="AG3596">
        <v>-1.1726760000000001</v>
      </c>
      <c r="AH3596">
        <v>42.929101144526001</v>
      </c>
      <c r="AI3596">
        <v>91.526039158098996</v>
      </c>
      <c r="AJ3596">
        <v>102.771875636785</v>
      </c>
      <c r="AK3596">
        <v>44.033817722832801</v>
      </c>
      <c r="AL3596">
        <v>81.152891813188603</v>
      </c>
      <c r="AM3596">
        <v>101.074432850157</v>
      </c>
      <c r="AN3596">
        <v>1.00000000711493</v>
      </c>
    </row>
    <row r="3597" spans="1:40" x14ac:dyDescent="0.25">
      <c r="A3597" t="str">
        <f>"20190312172147405"</f>
        <v>20190312172147405</v>
      </c>
      <c r="B3597" t="str">
        <f>"1552382507394075"</f>
        <v>1552382507394075</v>
      </c>
      <c r="C3597" t="s">
        <v>40</v>
      </c>
      <c r="D3597">
        <v>3.6764209999999999</v>
      </c>
      <c r="E3597">
        <v>0.48150080000000001</v>
      </c>
      <c r="F3597" t="s">
        <v>46</v>
      </c>
      <c r="G3597">
        <v>-457.98680000000002</v>
      </c>
      <c r="H3597">
        <v>8.0000929999999998E-2</v>
      </c>
      <c r="I3597">
        <v>206.84620000000001</v>
      </c>
      <c r="J3597">
        <v>-485.87889999999999</v>
      </c>
      <c r="K3597">
        <v>1.12259</v>
      </c>
      <c r="L3597">
        <v>226.53489999999999</v>
      </c>
      <c r="M3597">
        <v>0.67380909999999905</v>
      </c>
      <c r="N3597">
        <v>0</v>
      </c>
      <c r="O3597">
        <v>-0.73874430000000002</v>
      </c>
      <c r="P3597">
        <v>0.79001049999999995</v>
      </c>
      <c r="Q3597">
        <v>0.14540220000000001</v>
      </c>
      <c r="R3597">
        <v>-0.59560219999999997</v>
      </c>
      <c r="S3597">
        <v>2.4871829999999999</v>
      </c>
      <c r="T3597">
        <v>-9.2305780000000004E-2</v>
      </c>
      <c r="U3597">
        <v>-1.76149</v>
      </c>
      <c r="V3597">
        <v>-0.18701470000000001</v>
      </c>
      <c r="W3597">
        <v>0.15489600000000001</v>
      </c>
      <c r="X3597">
        <v>0.97006840000000005</v>
      </c>
      <c r="Y3597">
        <v>-0.21312610000000001</v>
      </c>
      <c r="Z3597">
        <v>2.4568380000000001E-2</v>
      </c>
      <c r="AA3597">
        <v>0.97671569999999996</v>
      </c>
      <c r="AB3597">
        <v>31</v>
      </c>
      <c r="AC3597">
        <v>27.8920999999999</v>
      </c>
      <c r="AD3597">
        <v>-1.04258907</v>
      </c>
      <c r="AE3597">
        <v>-19.688699999999901</v>
      </c>
      <c r="AF3597">
        <v>-7.3327405594318202</v>
      </c>
      <c r="AG3597">
        <v>-1.04258907</v>
      </c>
      <c r="AH3597">
        <v>33.311771482350899</v>
      </c>
      <c r="AI3597">
        <v>91.750765617911696</v>
      </c>
      <c r="AJ3597">
        <v>102.414228130938</v>
      </c>
      <c r="AK3597">
        <v>34.125213484653599</v>
      </c>
      <c r="AL3597">
        <v>81.089235217100594</v>
      </c>
      <c r="AM3597">
        <v>100.911900740544</v>
      </c>
      <c r="AN3597">
        <v>0.99999998475532503</v>
      </c>
    </row>
    <row r="3598" spans="1:40" x14ac:dyDescent="0.25">
      <c r="A3598" t="str">
        <f>"20190312172147430"</f>
        <v>20190312172147430</v>
      </c>
      <c r="B3598" t="str">
        <f>"1552382507424327"</f>
        <v>1552382507424327</v>
      </c>
      <c r="C3598" t="s">
        <v>40</v>
      </c>
      <c r="D3598">
        <v>3.692723</v>
      </c>
      <c r="E3598">
        <v>0.48452200000000001</v>
      </c>
      <c r="F3598" t="s">
        <v>46</v>
      </c>
      <c r="G3598">
        <v>-458.53309999999999</v>
      </c>
      <c r="H3598">
        <v>8.0000730000000006E-2</v>
      </c>
      <c r="I3598">
        <v>207.56309999999999</v>
      </c>
      <c r="J3598">
        <v>-485.65120000000002</v>
      </c>
      <c r="K3598">
        <v>1.1224689999999999</v>
      </c>
      <c r="L3598">
        <v>226.30719999999999</v>
      </c>
      <c r="M3598">
        <v>0.68509069999999905</v>
      </c>
      <c r="N3598">
        <v>0</v>
      </c>
      <c r="O3598">
        <v>-0.72829440000000001</v>
      </c>
      <c r="P3598">
        <v>0.7979463</v>
      </c>
      <c r="Q3598">
        <v>0.14550879999999999</v>
      </c>
      <c r="R3598">
        <v>-0.584901</v>
      </c>
      <c r="S3598">
        <v>2.504791</v>
      </c>
      <c r="T3598">
        <v>-9.5497970000000001E-2</v>
      </c>
      <c r="U3598">
        <v>-1.73776199999999</v>
      </c>
      <c r="V3598">
        <v>-0.1851159</v>
      </c>
      <c r="W3598">
        <v>0.15510280000000001</v>
      </c>
      <c r="X3598">
        <v>0.97039949999999997</v>
      </c>
      <c r="Y3598">
        <v>-0.20754339999999999</v>
      </c>
      <c r="Z3598">
        <v>2.5059700000000001E-2</v>
      </c>
      <c r="AA3598">
        <v>0.97790480000000002</v>
      </c>
      <c r="AB3598">
        <v>31</v>
      </c>
      <c r="AC3598">
        <v>27.118099999999998</v>
      </c>
      <c r="AD3598">
        <v>-1.0424682700000001</v>
      </c>
      <c r="AE3598">
        <v>-18.7441</v>
      </c>
      <c r="AF3598">
        <v>-6.9024715232637499</v>
      </c>
      <c r="AG3598">
        <v>-1.0424682700000001</v>
      </c>
      <c r="AH3598">
        <v>32.201215737976298</v>
      </c>
      <c r="AI3598">
        <v>91.813064319630101</v>
      </c>
      <c r="AJ3598">
        <v>102.098518366626</v>
      </c>
      <c r="AK3598">
        <v>32.949190403212</v>
      </c>
      <c r="AL3598">
        <v>81.077241478311706</v>
      </c>
      <c r="AM3598">
        <v>100.800130755341</v>
      </c>
      <c r="AN3598">
        <v>0.99999998230044995</v>
      </c>
    </row>
    <row r="3599" spans="1:40" x14ac:dyDescent="0.25">
      <c r="A3599" t="str">
        <f>"20190312172147452"</f>
        <v>20190312172147452</v>
      </c>
      <c r="B3599" t="str">
        <f>"1552382507443849"</f>
        <v>1552382507443849</v>
      </c>
      <c r="C3599" t="s">
        <v>40</v>
      </c>
      <c r="D3599">
        <v>3.720167</v>
      </c>
      <c r="E3599">
        <v>0.48485479999999997</v>
      </c>
      <c r="F3599" t="s">
        <v>45</v>
      </c>
      <c r="G3599">
        <v>-478.0598</v>
      </c>
      <c r="H3599">
        <v>8.000032E-2</v>
      </c>
      <c r="I3599">
        <v>221.05709999999999</v>
      </c>
      <c r="J3599">
        <v>-485.4316</v>
      </c>
      <c r="K3599">
        <v>1.122339</v>
      </c>
      <c r="L3599">
        <v>226.09370000000001</v>
      </c>
      <c r="M3599">
        <v>0.69550190000000001</v>
      </c>
      <c r="N3599">
        <v>0</v>
      </c>
      <c r="O3599">
        <v>-0.71835899999999997</v>
      </c>
      <c r="P3599">
        <v>0.80575359999999996</v>
      </c>
      <c r="Q3599">
        <v>0.14813680000000001</v>
      </c>
      <c r="R3599">
        <v>-0.57342579999999999</v>
      </c>
      <c r="S3599">
        <v>2.5370789999999999</v>
      </c>
      <c r="T3599">
        <v>-0.34839870000000001</v>
      </c>
      <c r="U3599">
        <v>-1.7545930000000001</v>
      </c>
      <c r="V3599">
        <v>-0.1847097</v>
      </c>
      <c r="W3599">
        <v>0.15778589999999901</v>
      </c>
      <c r="X3599">
        <v>0.97004429999999997</v>
      </c>
      <c r="Y3599">
        <v>-0.19082689999999999</v>
      </c>
      <c r="Z3599">
        <v>8.8301999999999894E-2</v>
      </c>
      <c r="AA3599">
        <v>0.97764399999999996</v>
      </c>
      <c r="AB3599">
        <v>31</v>
      </c>
      <c r="AC3599">
        <v>7.3718000000000004</v>
      </c>
      <c r="AD3599">
        <v>-1.0423386800000001</v>
      </c>
      <c r="AE3599">
        <v>-5.0366000000000204</v>
      </c>
      <c r="AF3599">
        <v>-1.7687387026271699</v>
      </c>
      <c r="AG3599">
        <v>-1.0423386800000001</v>
      </c>
      <c r="AH3599">
        <v>8.6286169665309096</v>
      </c>
      <c r="AI3599">
        <v>96.748967984670998</v>
      </c>
      <c r="AJ3599">
        <v>101.584311985298</v>
      </c>
      <c r="AK3599">
        <v>8.8694947588405793</v>
      </c>
      <c r="AL3599">
        <v>80.921594799944302</v>
      </c>
      <c r="AM3599">
        <v>100.78084135533</v>
      </c>
      <c r="AN3599">
        <v>1.0000000037376899</v>
      </c>
    </row>
    <row r="3600" spans="1:40" x14ac:dyDescent="0.25">
      <c r="A3600" t="str">
        <f>"20190312172147474"</f>
        <v>20190312172147474</v>
      </c>
      <c r="B3600" t="str">
        <f>"1552382507464343"</f>
        <v>1552382507464343</v>
      </c>
      <c r="C3600" t="s">
        <v>40</v>
      </c>
      <c r="D3600">
        <v>3.8469890000000002</v>
      </c>
      <c r="E3600">
        <v>0.45211309999999899</v>
      </c>
      <c r="F3600" t="s">
        <v>45</v>
      </c>
      <c r="G3600">
        <v>-477.84649999999999</v>
      </c>
      <c r="H3600">
        <v>8.0000329999999995E-2</v>
      </c>
      <c r="I3600">
        <v>220.99270000000001</v>
      </c>
      <c r="J3600">
        <v>-485.21719999999999</v>
      </c>
      <c r="K3600">
        <v>1.122217</v>
      </c>
      <c r="L3600">
        <v>225.89080000000001</v>
      </c>
      <c r="M3600">
        <v>0.70521069999999997</v>
      </c>
      <c r="N3600">
        <v>0</v>
      </c>
      <c r="O3600">
        <v>-0.70883069999999904</v>
      </c>
      <c r="P3600">
        <v>0.81283349999999999</v>
      </c>
      <c r="Q3600">
        <v>0.16084789999999999</v>
      </c>
      <c r="R3600">
        <v>-0.55984820000000002</v>
      </c>
      <c r="S3600">
        <v>2.5618590000000001</v>
      </c>
      <c r="T3600">
        <v>-0.35204800000000003</v>
      </c>
      <c r="U3600">
        <v>-1.722855</v>
      </c>
      <c r="V3600">
        <v>-0.18635090000000001</v>
      </c>
      <c r="W3600">
        <v>0.1704727</v>
      </c>
      <c r="X3600">
        <v>0.96758069999999896</v>
      </c>
      <c r="Y3600">
        <v>-0.1901719</v>
      </c>
      <c r="Z3600">
        <v>8.8145650000000006E-2</v>
      </c>
      <c r="AA3600">
        <v>0.97778580000000004</v>
      </c>
      <c r="AB3600">
        <v>31</v>
      </c>
      <c r="AC3600">
        <v>7.3706999999999896</v>
      </c>
      <c r="AD3600">
        <v>-1.04221667</v>
      </c>
      <c r="AE3600">
        <v>-4.8981000000000003</v>
      </c>
      <c r="AF3600">
        <v>-1.74637485185218</v>
      </c>
      <c r="AG3600">
        <v>-1.04221667</v>
      </c>
      <c r="AH3600">
        <v>8.5522347425815806</v>
      </c>
      <c r="AI3600">
        <v>96.8089304845615</v>
      </c>
      <c r="AJ3600">
        <v>101.541186060911</v>
      </c>
      <c r="AK3600">
        <v>8.7907200957957308</v>
      </c>
      <c r="AL3600">
        <v>80.184696089503802</v>
      </c>
      <c r="AM3600">
        <v>100.901383243993</v>
      </c>
      <c r="AN3600">
        <v>1.0000000051942901</v>
      </c>
    </row>
    <row r="3601" spans="1:40" x14ac:dyDescent="0.25">
      <c r="A3601" t="str">
        <f>"20190312172147495"</f>
        <v>20190312172147495</v>
      </c>
      <c r="B3601" t="str">
        <f>"1552382507483864"</f>
        <v>1552382507483864</v>
      </c>
      <c r="C3601" t="s">
        <v>40</v>
      </c>
      <c r="D3601">
        <v>3.7607179999999998</v>
      </c>
      <c r="E3601">
        <v>0.44519170000000002</v>
      </c>
      <c r="F3601" t="s">
        <v>45</v>
      </c>
      <c r="G3601">
        <v>-474.95089999999999</v>
      </c>
      <c r="H3601">
        <v>8.0000500000000002E-2</v>
      </c>
      <c r="I3601">
        <v>220.3835</v>
      </c>
      <c r="J3601">
        <v>-484.99930000000001</v>
      </c>
      <c r="K3601">
        <v>1.122099</v>
      </c>
      <c r="L3601">
        <v>225.68969999999999</v>
      </c>
      <c r="M3601">
        <v>0.71460900000000005</v>
      </c>
      <c r="N3601">
        <v>0</v>
      </c>
      <c r="O3601">
        <v>-0.69935570000000002</v>
      </c>
      <c r="P3601">
        <v>0.81874389999999997</v>
      </c>
      <c r="Q3601">
        <v>0.17966760000000001</v>
      </c>
      <c r="R3601">
        <v>-0.54532380000000003</v>
      </c>
      <c r="S3601">
        <v>2.7351070000000002</v>
      </c>
      <c r="T3601">
        <v>-0.2776613</v>
      </c>
      <c r="U3601">
        <v>-1.467209</v>
      </c>
      <c r="V3601">
        <v>-0.18833349999999999</v>
      </c>
      <c r="W3601">
        <v>0.18925120000000001</v>
      </c>
      <c r="X3601">
        <v>0.96369830000000001</v>
      </c>
      <c r="Y3601">
        <v>-0.27537299999999998</v>
      </c>
      <c r="Z3601">
        <v>7.1350490000000003E-2</v>
      </c>
      <c r="AA3601">
        <v>0.95868600000000004</v>
      </c>
      <c r="AB3601">
        <v>31</v>
      </c>
      <c r="AC3601">
        <v>10.048400000000001</v>
      </c>
      <c r="AD3601">
        <v>-1.0420985</v>
      </c>
      <c r="AE3601">
        <v>-5.3061999999999898</v>
      </c>
      <c r="AF3601">
        <v>-3.2089410648865999</v>
      </c>
      <c r="AG3601">
        <v>-1.0420985</v>
      </c>
      <c r="AH3601">
        <v>10.8020347669445</v>
      </c>
      <c r="AI3601">
        <v>95.283577682648797</v>
      </c>
      <c r="AJ3601">
        <v>106.545010471339</v>
      </c>
      <c r="AK3601">
        <v>11.3166791572393</v>
      </c>
      <c r="AL3601">
        <v>79.090911333413501</v>
      </c>
      <c r="AM3601">
        <v>101.057823859686</v>
      </c>
      <c r="AN3601">
        <v>0.999999968673289</v>
      </c>
    </row>
    <row r="3602" spans="1:40" x14ac:dyDescent="0.25">
      <c r="A3602" t="str">
        <f>"20190312172147519"</f>
        <v>20190312172147519</v>
      </c>
      <c r="B3602" t="str">
        <f>"1552382507514121"</f>
        <v>1552382507514121</v>
      </c>
      <c r="C3602" t="s">
        <v>40</v>
      </c>
      <c r="D3602">
        <v>3.757015</v>
      </c>
      <c r="E3602">
        <v>0.44199630000000001</v>
      </c>
      <c r="F3602" t="s">
        <v>46</v>
      </c>
      <c r="G3602">
        <v>-466.16800000000001</v>
      </c>
      <c r="H3602" s="1">
        <v>1.6674999999999999E-6</v>
      </c>
      <c r="I3602">
        <v>216.4016</v>
      </c>
      <c r="J3602">
        <v>-484.76589999999999</v>
      </c>
      <c r="K3602">
        <v>1.121923</v>
      </c>
      <c r="L3602">
        <v>225.4796</v>
      </c>
      <c r="M3602">
        <v>0.72418459999999996</v>
      </c>
      <c r="N3602">
        <v>0</v>
      </c>
      <c r="O3602">
        <v>-0.68943650000000001</v>
      </c>
      <c r="P3602">
        <v>0.82462049999999998</v>
      </c>
      <c r="Q3602">
        <v>0.1937574</v>
      </c>
      <c r="R3602">
        <v>-0.53146930000000003</v>
      </c>
      <c r="S3602">
        <v>2.7854920000000001</v>
      </c>
      <c r="T3602">
        <v>-0.16597870000000001</v>
      </c>
      <c r="U3602">
        <v>-1.3738859999999999</v>
      </c>
      <c r="V3602">
        <v>-0.1893369</v>
      </c>
      <c r="W3602">
        <v>0.2033489</v>
      </c>
      <c r="X3602">
        <v>0.96062519999999996</v>
      </c>
      <c r="Y3602">
        <v>-0.29685600000000001</v>
      </c>
      <c r="Z3602">
        <v>4.2683909999999999E-2</v>
      </c>
      <c r="AA3602">
        <v>0.95396780000000003</v>
      </c>
      <c r="AB3602">
        <v>31</v>
      </c>
      <c r="AC3602">
        <v>18.5978999999999</v>
      </c>
      <c r="AD3602">
        <v>-1.1219213324999999</v>
      </c>
      <c r="AE3602">
        <v>-9.0779999999999994</v>
      </c>
      <c r="AF3602">
        <v>-6.2303439888514003</v>
      </c>
      <c r="AG3602">
        <v>-1.1219213324999999</v>
      </c>
      <c r="AH3602">
        <v>19.671512945340101</v>
      </c>
      <c r="AI3602">
        <v>93.112161622761107</v>
      </c>
      <c r="AJ3602">
        <v>107.57398944600099</v>
      </c>
      <c r="AK3602">
        <v>20.665050574688198</v>
      </c>
      <c r="AL3602">
        <v>78.2671377952706</v>
      </c>
      <c r="AM3602">
        <v>101.149943063287</v>
      </c>
      <c r="AN3602">
        <v>1.00000000585393</v>
      </c>
    </row>
    <row r="3603" spans="1:40" x14ac:dyDescent="0.25">
      <c r="A3603" t="str">
        <f>"20190312172147540"</f>
        <v>20190312172147540</v>
      </c>
      <c r="B3603" t="str">
        <f>"1552382507534616"</f>
        <v>1552382507534616</v>
      </c>
      <c r="C3603" t="s">
        <v>40</v>
      </c>
      <c r="D3603">
        <v>3.7068080000000001</v>
      </c>
      <c r="E3603">
        <v>0.44171890000000003</v>
      </c>
      <c r="F3603" t="s">
        <v>46</v>
      </c>
      <c r="G3603">
        <v>-455.86430000000001</v>
      </c>
      <c r="H3603" s="1">
        <v>1.695403E-6</v>
      </c>
      <c r="I3603">
        <v>212.06489999999999</v>
      </c>
      <c r="J3603">
        <v>-484.54860000000002</v>
      </c>
      <c r="K3603">
        <v>1.1217269999999999</v>
      </c>
      <c r="L3603">
        <v>225.28899999999999</v>
      </c>
      <c r="M3603">
        <v>0.7326376</v>
      </c>
      <c r="N3603">
        <v>0</v>
      </c>
      <c r="O3603">
        <v>-0.68044799999999905</v>
      </c>
      <c r="P3603">
        <v>0.83063069999999894</v>
      </c>
      <c r="Q3603">
        <v>0.19861760000000001</v>
      </c>
      <c r="R3603">
        <v>-0.52019609999999905</v>
      </c>
      <c r="S3603">
        <v>2.82016</v>
      </c>
      <c r="T3603">
        <v>-0.1094748</v>
      </c>
      <c r="U3603">
        <v>-1.308975</v>
      </c>
      <c r="V3603">
        <v>-0.1897818</v>
      </c>
      <c r="W3603">
        <v>0.2082532</v>
      </c>
      <c r="X3603">
        <v>0.95948610000000001</v>
      </c>
      <c r="Y3603">
        <v>-0.30828529999999998</v>
      </c>
      <c r="Z3603">
        <v>2.802632E-2</v>
      </c>
      <c r="AA3603">
        <v>0.95088099999999998</v>
      </c>
      <c r="AB3603">
        <v>31</v>
      </c>
      <c r="AC3603">
        <v>28.6843</v>
      </c>
      <c r="AD3603">
        <v>-1.1217253045969999</v>
      </c>
      <c r="AE3603">
        <v>-13.2241</v>
      </c>
      <c r="AF3603">
        <v>-9.8184622431028696</v>
      </c>
      <c r="AG3603">
        <v>-1.1217253045969999</v>
      </c>
      <c r="AH3603">
        <v>29.979191183124801</v>
      </c>
      <c r="AI3603">
        <v>92.036484178748793</v>
      </c>
      <c r="AJ3603">
        <v>108.134099772166</v>
      </c>
      <c r="AK3603">
        <v>31.5660002609225</v>
      </c>
      <c r="AL3603">
        <v>77.979995711625605</v>
      </c>
      <c r="AM3603">
        <v>101.18841723777</v>
      </c>
      <c r="AN3603">
        <v>1.0000000515073399</v>
      </c>
    </row>
    <row r="3604" spans="1:40" x14ac:dyDescent="0.25">
      <c r="A3604" t="str">
        <f>"20190312172147562"</f>
        <v>20190312172147562</v>
      </c>
      <c r="B3604" t="str">
        <f>"1552382507554137"</f>
        <v>1552382507554137</v>
      </c>
      <c r="C3604" t="s">
        <v>40</v>
      </c>
      <c r="D3604">
        <v>3.6619160000000002</v>
      </c>
      <c r="E3604">
        <v>0.44261099999999998</v>
      </c>
      <c r="F3604" t="s">
        <v>46</v>
      </c>
      <c r="G3604">
        <v>-451.32810000000001</v>
      </c>
      <c r="H3604" s="1">
        <v>-6.4665769999999996E-7</v>
      </c>
      <c r="I3604">
        <v>210.42140000000001</v>
      </c>
      <c r="J3604">
        <v>-484.31549999999999</v>
      </c>
      <c r="K3604">
        <v>1.1214729999999999</v>
      </c>
      <c r="L3604">
        <v>225.08959999999999</v>
      </c>
      <c r="M3604">
        <v>0.74124209999999902</v>
      </c>
      <c r="N3604">
        <v>0</v>
      </c>
      <c r="O3604">
        <v>-0.67106560000000004</v>
      </c>
      <c r="P3604">
        <v>0.8368331</v>
      </c>
      <c r="Q3604">
        <v>0.19711619999999999</v>
      </c>
      <c r="R3604">
        <v>-0.51074059999999999</v>
      </c>
      <c r="S3604">
        <v>2.8389280000000001</v>
      </c>
      <c r="T3604">
        <v>-9.5859769999999997E-2</v>
      </c>
      <c r="U3604">
        <v>-1.2705379999999999</v>
      </c>
      <c r="V3604">
        <v>-0.18850749999999999</v>
      </c>
      <c r="W3604">
        <v>0.20686360000000001</v>
      </c>
      <c r="X3604">
        <v>0.96003769999999999</v>
      </c>
      <c r="Y3604">
        <v>-0.30937239999999999</v>
      </c>
      <c r="Z3604">
        <v>2.430042E-2</v>
      </c>
      <c r="AA3604">
        <v>0.95063039999999999</v>
      </c>
      <c r="AB3604">
        <v>31</v>
      </c>
      <c r="AC3604">
        <v>32.987399999999901</v>
      </c>
      <c r="AD3604">
        <v>-1.1214736466577</v>
      </c>
      <c r="AE3604">
        <v>-14.668199999999899</v>
      </c>
      <c r="AF3604">
        <v>-11.254463327494101</v>
      </c>
      <c r="AG3604">
        <v>-1.1214736466577</v>
      </c>
      <c r="AH3604">
        <v>34.265871290342901</v>
      </c>
      <c r="AI3604">
        <v>91.781001897519403</v>
      </c>
      <c r="AJ3604">
        <v>108.182521399775</v>
      </c>
      <c r="AK3604">
        <v>36.084215153116503</v>
      </c>
      <c r="AL3604">
        <v>78.061385854138905</v>
      </c>
      <c r="AM3604">
        <v>101.10894137580701</v>
      </c>
      <c r="AN3604">
        <v>1.0000000059912499</v>
      </c>
    </row>
    <row r="3605" spans="1:40" x14ac:dyDescent="0.25">
      <c r="A3605" t="str">
        <f>"20190312172147585"</f>
        <v>20190312172147585</v>
      </c>
      <c r="B3605" t="str">
        <f>"1552382507573655"</f>
        <v>1552382507573655</v>
      </c>
      <c r="C3605" t="s">
        <v>40</v>
      </c>
      <c r="D3605">
        <v>3.8775029999999999</v>
      </c>
      <c r="E3605">
        <v>0.44350079999999997</v>
      </c>
      <c r="F3605" t="s">
        <v>46</v>
      </c>
      <c r="G3605">
        <v>-452.75909999999999</v>
      </c>
      <c r="H3605" s="1">
        <v>7.51747799999999E-8</v>
      </c>
      <c r="I3605">
        <v>211.32810000000001</v>
      </c>
      <c r="J3605">
        <v>-484.08089999999999</v>
      </c>
      <c r="K3605">
        <v>1.1212340000000001</v>
      </c>
      <c r="L3605">
        <v>224.89359999999999</v>
      </c>
      <c r="M3605">
        <v>0.7495039</v>
      </c>
      <c r="N3605">
        <v>0</v>
      </c>
      <c r="O3605">
        <v>-0.66182659999999904</v>
      </c>
      <c r="P3605">
        <v>0.84230360000000004</v>
      </c>
      <c r="Q3605">
        <v>0.19680349999999999</v>
      </c>
      <c r="R3605">
        <v>-0.50178990000000001</v>
      </c>
      <c r="S3605">
        <v>2.8502200000000002</v>
      </c>
      <c r="T3605">
        <v>-0.10129299999999999</v>
      </c>
      <c r="U3605">
        <v>-1.24295</v>
      </c>
      <c r="V3605">
        <v>-0.1867579</v>
      </c>
      <c r="W3605">
        <v>0.20665929999999999</v>
      </c>
      <c r="X3605">
        <v>0.96042360000000004</v>
      </c>
      <c r="Y3605">
        <v>-0.30665219999999999</v>
      </c>
      <c r="Z3605">
        <v>2.5389620000000002E-2</v>
      </c>
      <c r="AA3605">
        <v>0.95148299999999997</v>
      </c>
      <c r="AB3605">
        <v>31</v>
      </c>
      <c r="AC3605">
        <v>31.3218</v>
      </c>
      <c r="AD3605">
        <v>-1.1212339248252099</v>
      </c>
      <c r="AE3605">
        <v>-13.565499999999901</v>
      </c>
      <c r="AF3605">
        <v>-10.552031168639999</v>
      </c>
      <c r="AG3605">
        <v>-1.1212339248252099</v>
      </c>
      <c r="AH3605">
        <v>32.422558758148199</v>
      </c>
      <c r="AI3605">
        <v>91.883446414751106</v>
      </c>
      <c r="AJ3605">
        <v>108.027653297695</v>
      </c>
      <c r="AK3605">
        <v>34.114877161199097</v>
      </c>
      <c r="AL3605">
        <v>78.073350265149898</v>
      </c>
      <c r="AM3605">
        <v>101.004050537106</v>
      </c>
      <c r="AN3605">
        <v>1.0000000354629199</v>
      </c>
    </row>
    <row r="3606" spans="1:40" x14ac:dyDescent="0.25">
      <c r="A3606" t="str">
        <f>"20190312172147606"</f>
        <v>20190312172147606</v>
      </c>
      <c r="B3606" t="str">
        <f>"1552382507603912"</f>
        <v>1552382507603912</v>
      </c>
      <c r="C3606" t="s">
        <v>40</v>
      </c>
      <c r="D3606">
        <v>4.0106890000000002</v>
      </c>
      <c r="E3606">
        <v>0.444996</v>
      </c>
      <c r="F3606" t="s">
        <v>46</v>
      </c>
      <c r="G3606">
        <v>-456.53980000000001</v>
      </c>
      <c r="H3606" s="1">
        <v>2.0064200000000001E-6</v>
      </c>
      <c r="I3606">
        <v>213.17420000000001</v>
      </c>
      <c r="J3606">
        <v>-483.85809999999998</v>
      </c>
      <c r="K3606">
        <v>1.1210199999999999</v>
      </c>
      <c r="L3606">
        <v>224.71170000000001</v>
      </c>
      <c r="M3606">
        <v>0.75701870000000004</v>
      </c>
      <c r="N3606">
        <v>0</v>
      </c>
      <c r="O3606">
        <v>-0.65321830000000003</v>
      </c>
      <c r="P3606">
        <v>0.8469757</v>
      </c>
      <c r="Q3606">
        <v>0.1963164</v>
      </c>
      <c r="R3606">
        <v>-0.49405680000000002</v>
      </c>
      <c r="S3606">
        <v>2.8630680000000002</v>
      </c>
      <c r="T3606">
        <v>-0.116559</v>
      </c>
      <c r="U3606">
        <v>-1.218307</v>
      </c>
      <c r="V3606">
        <v>-0.18453030000000001</v>
      </c>
      <c r="W3606">
        <v>0.20628179999999999</v>
      </c>
      <c r="X3606">
        <v>0.96093519999999999</v>
      </c>
      <c r="Y3606">
        <v>-0.30411890000000003</v>
      </c>
      <c r="Z3606">
        <v>2.887694E-2</v>
      </c>
      <c r="AA3606">
        <v>0.9521963</v>
      </c>
      <c r="AB3606">
        <v>31</v>
      </c>
      <c r="AC3606">
        <v>27.318299999999901</v>
      </c>
      <c r="AD3606">
        <v>-1.12101799358</v>
      </c>
      <c r="AE3606">
        <v>-11.5374999999999</v>
      </c>
      <c r="AF3606">
        <v>-9.0987492387871605</v>
      </c>
      <c r="AG3606">
        <v>-1.12101799358</v>
      </c>
      <c r="AH3606">
        <v>28.179925442616199</v>
      </c>
      <c r="AI3606">
        <v>92.167973538410394</v>
      </c>
      <c r="AJ3606">
        <v>107.894257895911</v>
      </c>
      <c r="AK3606">
        <v>29.633631518996602</v>
      </c>
      <c r="AL3606">
        <v>78.095455733665105</v>
      </c>
      <c r="AM3606">
        <v>100.870293129988</v>
      </c>
      <c r="AN3606">
        <v>1.00000003561418</v>
      </c>
    </row>
    <row r="3607" spans="1:40" x14ac:dyDescent="0.25">
      <c r="A3607" t="str">
        <f>"20190312172147630"</f>
        <v>20190312172147630</v>
      </c>
      <c r="B3607" t="str">
        <f>"1552382507624409"</f>
        <v>1552382507624409</v>
      </c>
      <c r="C3607" t="s">
        <v>40</v>
      </c>
      <c r="D3607">
        <v>3.907683</v>
      </c>
      <c r="E3607">
        <v>0.44625350000000003</v>
      </c>
      <c r="F3607" t="s">
        <v>46</v>
      </c>
      <c r="G3607">
        <v>-459.95139999999998</v>
      </c>
      <c r="H3607" s="1">
        <v>3.7556749999999998E-6</v>
      </c>
      <c r="I3607">
        <v>214.68879999999999</v>
      </c>
      <c r="J3607">
        <v>-483.61250000000001</v>
      </c>
      <c r="K3607">
        <v>1.120806</v>
      </c>
      <c r="L3607">
        <v>224.51580000000001</v>
      </c>
      <c r="M3607">
        <v>0.76494969999999995</v>
      </c>
      <c r="N3607">
        <v>0</v>
      </c>
      <c r="O3607">
        <v>-0.64391390000000004</v>
      </c>
      <c r="P3607">
        <v>0.85176890000000005</v>
      </c>
      <c r="Q3607">
        <v>0.19756389999999999</v>
      </c>
      <c r="R3607">
        <v>-0.48524080000000003</v>
      </c>
      <c r="S3607">
        <v>2.871124</v>
      </c>
      <c r="T3607">
        <v>-0.13463069999999999</v>
      </c>
      <c r="U3607">
        <v>-1.2037199999999999</v>
      </c>
      <c r="V3607">
        <v>-0.18249099999999999</v>
      </c>
      <c r="W3607">
        <v>0.20762539999999999</v>
      </c>
      <c r="X3607">
        <v>0.96103530000000004</v>
      </c>
      <c r="Y3607">
        <v>-0.29735679999999998</v>
      </c>
      <c r="Z3607">
        <v>3.2861679999999997E-2</v>
      </c>
      <c r="AA3607">
        <v>0.95420070000000001</v>
      </c>
      <c r="AB3607">
        <v>31</v>
      </c>
      <c r="AC3607">
        <v>23.661100000000001</v>
      </c>
      <c r="AD3607">
        <v>-1.1208022443250001</v>
      </c>
      <c r="AE3607">
        <v>-9.8270000000000195</v>
      </c>
      <c r="AF3607">
        <v>-7.7046815048184998</v>
      </c>
      <c r="AG3607">
        <v>-1.1208022443250001</v>
      </c>
      <c r="AH3607">
        <v>24.3834013919444</v>
      </c>
      <c r="AI3607">
        <v>92.509654721252005</v>
      </c>
      <c r="AJ3607">
        <v>107.535524910345</v>
      </c>
      <c r="AK3607">
        <v>25.596261019966398</v>
      </c>
      <c r="AL3607">
        <v>78.016769920236698</v>
      </c>
      <c r="AM3607">
        <v>100.751884420224</v>
      </c>
      <c r="AN3607">
        <v>1.0000000598261201</v>
      </c>
    </row>
    <row r="3608" spans="1:40" x14ac:dyDescent="0.25">
      <c r="A3608" t="str">
        <f>"20190312172147654"</f>
        <v>20190312172147654</v>
      </c>
      <c r="B3608" t="str">
        <f>"1552382507643927"</f>
        <v>1552382507643927</v>
      </c>
      <c r="C3608" t="s">
        <v>40</v>
      </c>
      <c r="D3608">
        <v>3.504499</v>
      </c>
      <c r="E3608">
        <v>0.447239</v>
      </c>
      <c r="F3608" t="s">
        <v>46</v>
      </c>
      <c r="G3608">
        <v>-459.89319999999998</v>
      </c>
      <c r="H3608" s="1">
        <v>3.720862E-6</v>
      </c>
      <c r="I3608">
        <v>214.7773</v>
      </c>
      <c r="J3608">
        <v>-483.3596</v>
      </c>
      <c r="K3608">
        <v>1.1205719999999999</v>
      </c>
      <c r="L3608">
        <v>224.31899999999999</v>
      </c>
      <c r="M3608">
        <v>0.77276239999999996</v>
      </c>
      <c r="N3608">
        <v>0</v>
      </c>
      <c r="O3608">
        <v>-0.63451769999999996</v>
      </c>
      <c r="P3608">
        <v>0.85686589999999996</v>
      </c>
      <c r="Q3608">
        <v>0.1974226</v>
      </c>
      <c r="R3608">
        <v>-0.47624129999999998</v>
      </c>
      <c r="S3608">
        <v>2.8800050000000001</v>
      </c>
      <c r="T3608">
        <v>-0.13608870000000001</v>
      </c>
      <c r="U3608">
        <v>-1.1824650000000001</v>
      </c>
      <c r="V3608">
        <v>-0.18077789999999999</v>
      </c>
      <c r="W3608">
        <v>0.20757310000000001</v>
      </c>
      <c r="X3608">
        <v>0.96137019999999995</v>
      </c>
      <c r="Y3608">
        <v>-0.29274119999999998</v>
      </c>
      <c r="Z3608">
        <v>3.2774650000000002E-2</v>
      </c>
      <c r="AA3608">
        <v>0.95562979999999997</v>
      </c>
      <c r="AB3608">
        <v>31</v>
      </c>
      <c r="AC3608">
        <v>23.4664</v>
      </c>
      <c r="AD3608">
        <v>-1.1205682791379901</v>
      </c>
      <c r="AE3608">
        <v>-9.5417000000000094</v>
      </c>
      <c r="AF3608">
        <v>-7.50254645391193</v>
      </c>
      <c r="AG3608">
        <v>-1.1205682791379901</v>
      </c>
      <c r="AH3608">
        <v>24.143814320155901</v>
      </c>
      <c r="AI3608">
        <v>92.537782339082298</v>
      </c>
      <c r="AJ3608">
        <v>107.262320870938</v>
      </c>
      <c r="AK3608">
        <v>25.3074622688147</v>
      </c>
      <c r="AL3608">
        <v>78.019831906094197</v>
      </c>
      <c r="AM3608">
        <v>100.649647640523</v>
      </c>
      <c r="AN3608">
        <v>0.99999995121002805</v>
      </c>
    </row>
    <row r="3609" spans="1:40" x14ac:dyDescent="0.25">
      <c r="A3609" t="str">
        <f>"20190312172147676"</f>
        <v>20190312172147676</v>
      </c>
      <c r="B3609" t="str">
        <f>"1552382507664424"</f>
        <v>1552382507664424</v>
      </c>
      <c r="C3609" t="s">
        <v>40</v>
      </c>
      <c r="D3609">
        <v>3.8009550000000001</v>
      </c>
      <c r="E3609">
        <v>0.44549919999999998</v>
      </c>
      <c r="F3609" t="s">
        <v>46</v>
      </c>
      <c r="G3609">
        <v>-459.01459999999997</v>
      </c>
      <c r="H3609" s="1">
        <v>3.2621340000000002E-6</v>
      </c>
      <c r="I3609">
        <v>214.57570000000001</v>
      </c>
      <c r="J3609">
        <v>-483.1232</v>
      </c>
      <c r="K3609">
        <v>1.120322</v>
      </c>
      <c r="L3609">
        <v>224.13919999999999</v>
      </c>
      <c r="M3609">
        <v>0.77975909999999904</v>
      </c>
      <c r="N3609">
        <v>0</v>
      </c>
      <c r="O3609">
        <v>-0.62590059999999903</v>
      </c>
      <c r="P3609">
        <v>0.862311099999999</v>
      </c>
      <c r="Q3609">
        <v>0.19224759999999999</v>
      </c>
      <c r="R3609">
        <v>-0.46846640000000001</v>
      </c>
      <c r="S3609">
        <v>2.8891300000000002</v>
      </c>
      <c r="T3609">
        <v>-0.13298289999999999</v>
      </c>
      <c r="U3609">
        <v>-1.1562809999999999</v>
      </c>
      <c r="V3609">
        <v>-0.17930750000000001</v>
      </c>
      <c r="W3609">
        <v>0.20249490000000001</v>
      </c>
      <c r="X3609">
        <v>0.96272769999999996</v>
      </c>
      <c r="Y3609">
        <v>-0.29067140000000002</v>
      </c>
      <c r="Z3609">
        <v>3.1681679999999997E-2</v>
      </c>
      <c r="AA3609">
        <v>0.95629830000000005</v>
      </c>
      <c r="AB3609">
        <v>31</v>
      </c>
      <c r="AC3609">
        <v>24.108599999999999</v>
      </c>
      <c r="AD3609">
        <v>-1.120318737866</v>
      </c>
      <c r="AE3609">
        <v>-9.5634999999999692</v>
      </c>
      <c r="AF3609">
        <v>-7.6190009883879197</v>
      </c>
      <c r="AG3609">
        <v>-1.120318737866</v>
      </c>
      <c r="AH3609">
        <v>24.741316255208101</v>
      </c>
      <c r="AI3609">
        <v>92.4779753839412</v>
      </c>
      <c r="AJ3609">
        <v>107.11603095995601</v>
      </c>
      <c r="AK3609">
        <v>25.912101809303199</v>
      </c>
      <c r="AL3609">
        <v>78.317107888911494</v>
      </c>
      <c r="AM3609">
        <v>100.55042156260799</v>
      </c>
      <c r="AN3609">
        <v>0.99999999421477404</v>
      </c>
    </row>
    <row r="3610" spans="1:40" x14ac:dyDescent="0.25">
      <c r="A3610" t="str">
        <f>"20190312172147696"</f>
        <v>20190312172147696</v>
      </c>
      <c r="B3610" t="str">
        <f>"1552382507693703"</f>
        <v>1552382507693703</v>
      </c>
      <c r="C3610" t="s">
        <v>40</v>
      </c>
      <c r="D3610">
        <v>3.3850519999999902</v>
      </c>
      <c r="E3610">
        <v>0.43025780000000002</v>
      </c>
      <c r="F3610" t="s">
        <v>46</v>
      </c>
      <c r="G3610">
        <v>-461.14030000000002</v>
      </c>
      <c r="H3610" s="1">
        <v>-9.778479000000001E-7</v>
      </c>
      <c r="I3610">
        <v>215.71190000000001</v>
      </c>
      <c r="J3610">
        <v>-482.89879999999999</v>
      </c>
      <c r="K3610">
        <v>1.12008</v>
      </c>
      <c r="L3610">
        <v>223.97210000000001</v>
      </c>
      <c r="M3610">
        <v>0.78612380000000004</v>
      </c>
      <c r="N3610">
        <v>0</v>
      </c>
      <c r="O3610">
        <v>-0.61788859999999901</v>
      </c>
      <c r="P3610">
        <v>0.86789179999999999</v>
      </c>
      <c r="Q3610">
        <v>0.18521019999999999</v>
      </c>
      <c r="R3610">
        <v>-0.46093509999999999</v>
      </c>
      <c r="S3610">
        <v>2.906647</v>
      </c>
      <c r="T3610">
        <v>-0.1481326</v>
      </c>
      <c r="U3610">
        <v>-1.1142879999999999</v>
      </c>
      <c r="V3610">
        <v>-0.17851620000000001</v>
      </c>
      <c r="W3610">
        <v>0.1955462</v>
      </c>
      <c r="X3610">
        <v>0.96430990000000005</v>
      </c>
      <c r="Y3610">
        <v>-0.29468509999999998</v>
      </c>
      <c r="Z3610">
        <v>3.5019170000000002E-2</v>
      </c>
      <c r="AA3610">
        <v>0.95495249999999998</v>
      </c>
      <c r="AB3610">
        <v>31</v>
      </c>
      <c r="AC3610">
        <v>21.758499999999898</v>
      </c>
      <c r="AD3610">
        <v>-1.1200809778479</v>
      </c>
      <c r="AE3610">
        <v>-8.2601999999999904</v>
      </c>
      <c r="AF3610">
        <v>-6.9355008393843498</v>
      </c>
      <c r="AG3610">
        <v>-1.1200809778479</v>
      </c>
      <c r="AH3610">
        <v>22.159909345749501</v>
      </c>
      <c r="AI3610">
        <v>92.761694261669604</v>
      </c>
      <c r="AJ3610">
        <v>107.378823033746</v>
      </c>
      <c r="AK3610">
        <v>23.246877973221999</v>
      </c>
      <c r="AL3610">
        <v>78.723366783179998</v>
      </c>
      <c r="AM3610">
        <v>100.488047003665</v>
      </c>
      <c r="AN3610">
        <v>0.99999996661744395</v>
      </c>
    </row>
    <row r="3611" spans="1:40" x14ac:dyDescent="0.25">
      <c r="A3611" t="str">
        <f>"20190312172147719"</f>
        <v>20190312172147719</v>
      </c>
      <c r="B3611" t="str">
        <f>"1552382507714200"</f>
        <v>1552382507714200</v>
      </c>
      <c r="C3611" t="s">
        <v>40</v>
      </c>
      <c r="D3611">
        <v>3.3615949999999999</v>
      </c>
      <c r="E3611">
        <v>0.42772529999999997</v>
      </c>
      <c r="F3611" t="s">
        <v>54</v>
      </c>
      <c r="G3611">
        <v>-164.7543</v>
      </c>
      <c r="H3611">
        <v>5.3921449999999904</v>
      </c>
      <c r="I3611">
        <v>120.8788</v>
      </c>
      <c r="J3611">
        <v>-482.6592</v>
      </c>
      <c r="K3611">
        <v>1.119823</v>
      </c>
      <c r="L3611">
        <v>223.79730000000001</v>
      </c>
      <c r="M3611">
        <v>0.79261239999999999</v>
      </c>
      <c r="N3611">
        <v>0</v>
      </c>
      <c r="O3611">
        <v>-0.60954419999999898</v>
      </c>
      <c r="P3611">
        <v>0.87275079999999905</v>
      </c>
      <c r="Q3611">
        <v>0.1855955</v>
      </c>
      <c r="R3611">
        <v>-0.4515092</v>
      </c>
      <c r="S3611">
        <v>2.9418950000000001</v>
      </c>
      <c r="T3611">
        <v>3.9503690000000001E-2</v>
      </c>
      <c r="U3611">
        <v>-0.95330809999999999</v>
      </c>
      <c r="V3611">
        <v>-0.1785989</v>
      </c>
      <c r="W3611">
        <v>0.1959909</v>
      </c>
      <c r="X3611">
        <v>0.96420430000000001</v>
      </c>
      <c r="Y3611">
        <v>-0.33549440000000003</v>
      </c>
      <c r="Z3611">
        <v>-9.5360289999999997E-3</v>
      </c>
      <c r="AA3611">
        <v>0.941994</v>
      </c>
      <c r="AB3611">
        <v>31</v>
      </c>
      <c r="AC3611">
        <v>317.9049</v>
      </c>
      <c r="AD3611">
        <v>4.2723219999999902</v>
      </c>
      <c r="AE3611">
        <v>-102.91849999999999</v>
      </c>
      <c r="AF3611">
        <v>-112.196693279116</v>
      </c>
      <c r="AG3611">
        <v>4.2723219999999902</v>
      </c>
      <c r="AH3611">
        <v>314.69214890508999</v>
      </c>
      <c r="AI3611">
        <v>89.267355328496606</v>
      </c>
      <c r="AJ3611">
        <v>109.622595536422</v>
      </c>
      <c r="AK3611">
        <v>334.12198266582698</v>
      </c>
      <c r="AL3611">
        <v>78.697384590456906</v>
      </c>
      <c r="AM3611">
        <v>100.49392149511</v>
      </c>
      <c r="AN3611">
        <v>0.99999996605125396</v>
      </c>
    </row>
    <row r="3612" spans="1:40" x14ac:dyDescent="0.25">
      <c r="A3612" t="str">
        <f>"20190312172147742"</f>
        <v>20190312172147742</v>
      </c>
      <c r="B3612" t="str">
        <f>"1552382507734696"</f>
        <v>1552382507734696</v>
      </c>
      <c r="C3612" t="s">
        <v>40</v>
      </c>
      <c r="D3612">
        <v>3.7608160000000002</v>
      </c>
      <c r="E3612">
        <v>0.42740040000000001</v>
      </c>
      <c r="F3612" t="s">
        <v>55</v>
      </c>
      <c r="G3612">
        <v>-389.2355</v>
      </c>
      <c r="H3612">
        <v>0.3183338</v>
      </c>
      <c r="I3612">
        <v>195.10390000000001</v>
      </c>
      <c r="J3612">
        <v>-482.40769999999998</v>
      </c>
      <c r="K3612">
        <v>1.1195349999999999</v>
      </c>
      <c r="L3612">
        <v>223.61770000000001</v>
      </c>
      <c r="M3612">
        <v>0.79905369999999998</v>
      </c>
      <c r="N3612">
        <v>0</v>
      </c>
      <c r="O3612">
        <v>-0.60107670000000002</v>
      </c>
      <c r="P3612">
        <v>0.87686160000000002</v>
      </c>
      <c r="Q3612">
        <v>0.19144659999999999</v>
      </c>
      <c r="R3612">
        <v>-0.44097839999999999</v>
      </c>
      <c r="S3612">
        <v>2.9708559999999999</v>
      </c>
      <c r="T3612">
        <v>-2.5487180000000002E-2</v>
      </c>
      <c r="U3612">
        <v>-0.91244510000000001</v>
      </c>
      <c r="V3612">
        <v>-0.17916079999999901</v>
      </c>
      <c r="W3612">
        <v>0.20189199999999999</v>
      </c>
      <c r="X3612">
        <v>0.9628816</v>
      </c>
      <c r="Y3612">
        <v>-0.33999679999999999</v>
      </c>
      <c r="Z3612">
        <v>6.0781730000000001E-3</v>
      </c>
      <c r="AA3612">
        <v>0.94040690000000005</v>
      </c>
      <c r="AB3612">
        <v>31</v>
      </c>
      <c r="AC3612">
        <v>93.172199999999904</v>
      </c>
      <c r="AD3612">
        <v>-0.80120119999999995</v>
      </c>
      <c r="AE3612">
        <v>-28.5138</v>
      </c>
      <c r="AF3612">
        <v>-33.220989460777197</v>
      </c>
      <c r="AG3612">
        <v>-0.80120119999999995</v>
      </c>
      <c r="AH3612">
        <v>91.592454852986194</v>
      </c>
      <c r="AI3612">
        <v>90.471147614083094</v>
      </c>
      <c r="AJ3612">
        <v>109.93593274523199</v>
      </c>
      <c r="AK3612">
        <v>97.434356620815606</v>
      </c>
      <c r="AL3612">
        <v>78.352379798770997</v>
      </c>
      <c r="AM3612">
        <v>100.54033613936301</v>
      </c>
      <c r="AN3612">
        <v>0.99999997376959904</v>
      </c>
    </row>
    <row r="3613" spans="1:40" x14ac:dyDescent="0.25">
      <c r="A3613" t="str">
        <f>"20190312172147775"</f>
        <v>20190312172147775</v>
      </c>
      <c r="B3613" t="str">
        <f>"1552382507763975"</f>
        <v>1552382507763975</v>
      </c>
      <c r="C3613" t="s">
        <v>40</v>
      </c>
      <c r="D3613">
        <v>3.7266520000000001</v>
      </c>
      <c r="E3613">
        <v>0.42873080000000002</v>
      </c>
      <c r="F3613" t="s">
        <v>43</v>
      </c>
      <c r="G3613">
        <v>-382.46199999999999</v>
      </c>
      <c r="H3613">
        <v>-0.05</v>
      </c>
      <c r="I3613">
        <v>194.15010000000001</v>
      </c>
      <c r="J3613">
        <v>-482.0351</v>
      </c>
      <c r="K3613">
        <v>1.119081</v>
      </c>
      <c r="L3613">
        <v>223.35820000000001</v>
      </c>
      <c r="M3613">
        <v>0.80791099999999905</v>
      </c>
      <c r="N3613">
        <v>0</v>
      </c>
      <c r="O3613">
        <v>-0.58912010000000004</v>
      </c>
      <c r="P3613">
        <v>0.88289430000000002</v>
      </c>
      <c r="Q3613">
        <v>0.19742560000000001</v>
      </c>
      <c r="R3613">
        <v>-0.42605280000000001</v>
      </c>
      <c r="S3613">
        <v>2.9861759999999999</v>
      </c>
      <c r="T3613">
        <v>-3.4943340000000003E-2</v>
      </c>
      <c r="U3613">
        <v>-0.88043209999999905</v>
      </c>
      <c r="V3613">
        <v>-0.18024879999999999</v>
      </c>
      <c r="W3613">
        <v>0.2079617</v>
      </c>
      <c r="X3613">
        <v>0.96138559999999995</v>
      </c>
      <c r="Y3613">
        <v>-0.3365784</v>
      </c>
      <c r="Z3613">
        <v>8.1847859999999995E-3</v>
      </c>
      <c r="AA3613">
        <v>0.94161989999999995</v>
      </c>
      <c r="AB3613">
        <v>31</v>
      </c>
      <c r="AC3613">
        <v>99.573099999999997</v>
      </c>
      <c r="AD3613">
        <v>-1.169081</v>
      </c>
      <c r="AE3613">
        <v>-29.208100000000002</v>
      </c>
      <c r="AF3613">
        <v>-35.062329588406001</v>
      </c>
      <c r="AG3613">
        <v>-1.169081</v>
      </c>
      <c r="AH3613">
        <v>97.651499797154301</v>
      </c>
      <c r="AI3613">
        <v>90.645562300714502</v>
      </c>
      <c r="AJ3613">
        <v>109.75096601350999</v>
      </c>
      <c r="AK3613">
        <v>103.761983014899</v>
      </c>
      <c r="AL3613">
        <v>77.9970704762097</v>
      </c>
      <c r="AM3613">
        <v>100.619021971476</v>
      </c>
      <c r="AN3613">
        <v>0.99999998522784495</v>
      </c>
    </row>
    <row r="3614" spans="1:40" x14ac:dyDescent="0.25">
      <c r="A3614" t="str">
        <f>"20190312172147799"</f>
        <v>20190312172147799</v>
      </c>
      <c r="B3614" t="str">
        <f>"1552382507794233"</f>
        <v>1552382507794233</v>
      </c>
      <c r="C3614" t="s">
        <v>40</v>
      </c>
      <c r="D3614">
        <v>3.6352850000000001</v>
      </c>
      <c r="E3614">
        <v>0.43017090000000002</v>
      </c>
      <c r="F3614" t="s">
        <v>47</v>
      </c>
      <c r="G3614">
        <v>-409.95389999999998</v>
      </c>
      <c r="H3614">
        <v>5.383491E-2</v>
      </c>
      <c r="I3614">
        <v>203.08670000000001</v>
      </c>
      <c r="J3614">
        <v>-481.7783</v>
      </c>
      <c r="K3614">
        <v>1.1187560000000001</v>
      </c>
      <c r="L3614">
        <v>223.1831</v>
      </c>
      <c r="M3614">
        <v>0.81359740000000003</v>
      </c>
      <c r="N3614">
        <v>0</v>
      </c>
      <c r="O3614">
        <v>-0.58124319999999996</v>
      </c>
      <c r="P3614">
        <v>0.88703889999999996</v>
      </c>
      <c r="Q3614">
        <v>0.19862150000000001</v>
      </c>
      <c r="R3614">
        <v>-0.41678690000000002</v>
      </c>
      <c r="S3614">
        <v>3.0005799999999998</v>
      </c>
      <c r="T3614">
        <v>-4.4343830000000001E-2</v>
      </c>
      <c r="U3614">
        <v>-0.84385679999999996</v>
      </c>
      <c r="V3614">
        <v>-0.18066570000000001</v>
      </c>
      <c r="W3614">
        <v>0.2092367</v>
      </c>
      <c r="X3614">
        <v>0.96103070000000002</v>
      </c>
      <c r="Y3614">
        <v>-0.33922570000000002</v>
      </c>
      <c r="Z3614">
        <v>1.029276E-2</v>
      </c>
      <c r="AA3614">
        <v>0.9406487</v>
      </c>
      <c r="AB3614">
        <v>30</v>
      </c>
      <c r="AC3614">
        <v>71.824399999999997</v>
      </c>
      <c r="AD3614">
        <v>-1.0649210899999999</v>
      </c>
      <c r="AE3614">
        <v>-20.0963999999999</v>
      </c>
      <c r="AF3614">
        <v>-25.3946264808243</v>
      </c>
      <c r="AG3614">
        <v>-1.0649210899999999</v>
      </c>
      <c r="AH3614">
        <v>70.110307756993294</v>
      </c>
      <c r="AI3614">
        <v>90.818200561660504</v>
      </c>
      <c r="AJ3614">
        <v>109.910873048719</v>
      </c>
      <c r="AK3614">
        <v>74.575306669224204</v>
      </c>
      <c r="AL3614">
        <v>77.922375926257502</v>
      </c>
      <c r="AM3614">
        <v>100.646862915863</v>
      </c>
      <c r="AN3614">
        <v>1.0000000490629299</v>
      </c>
    </row>
    <row r="3615" spans="1:40" x14ac:dyDescent="0.25">
      <c r="A3615" t="str">
        <f>"20190312172147821"</f>
        <v>20190312172147821</v>
      </c>
      <c r="B3615" t="str">
        <f>"1552382507813752"</f>
        <v>1552382507813752</v>
      </c>
      <c r="C3615" t="s">
        <v>40</v>
      </c>
      <c r="D3615">
        <v>3.724402</v>
      </c>
      <c r="E3615">
        <v>0.4313168</v>
      </c>
      <c r="F3615" t="s">
        <v>47</v>
      </c>
      <c r="G3615">
        <v>-409.95780000000002</v>
      </c>
      <c r="H3615">
        <v>1.0879069999999999E-2</v>
      </c>
      <c r="I3615">
        <v>203.49</v>
      </c>
      <c r="J3615">
        <v>-481.524</v>
      </c>
      <c r="K3615">
        <v>1.11839</v>
      </c>
      <c r="L3615">
        <v>223.01300000000001</v>
      </c>
      <c r="M3615">
        <v>0.81880559999999902</v>
      </c>
      <c r="N3615">
        <v>0</v>
      </c>
      <c r="O3615">
        <v>-0.57388470000000003</v>
      </c>
      <c r="P3615">
        <v>0.89055069999999903</v>
      </c>
      <c r="Q3615">
        <v>0.19962350000000001</v>
      </c>
      <c r="R3615">
        <v>-0.40874199999999999</v>
      </c>
      <c r="S3615">
        <v>3.0052490000000001</v>
      </c>
      <c r="T3615">
        <v>-4.6357870000000002E-2</v>
      </c>
      <c r="U3615">
        <v>-0.82403559999999998</v>
      </c>
      <c r="V3615">
        <v>-0.1803949</v>
      </c>
      <c r="W3615">
        <v>0.21034530000000001</v>
      </c>
      <c r="X3615">
        <v>0.96083949999999996</v>
      </c>
      <c r="Y3615">
        <v>-0.33687780000000001</v>
      </c>
      <c r="Z3615">
        <v>1.065138E-2</v>
      </c>
      <c r="AA3615">
        <v>0.94148810000000005</v>
      </c>
      <c r="AB3615">
        <v>30</v>
      </c>
      <c r="AC3615">
        <v>71.566199999999895</v>
      </c>
      <c r="AD3615">
        <v>-1.1075109299999999</v>
      </c>
      <c r="AE3615">
        <v>-19.523</v>
      </c>
      <c r="AF3615">
        <v>-25.082295977472601</v>
      </c>
      <c r="AG3615">
        <v>-1.1075109299999999</v>
      </c>
      <c r="AH3615">
        <v>69.794660246920003</v>
      </c>
      <c r="AI3615">
        <v>90.855540551140095</v>
      </c>
      <c r="AJ3615">
        <v>109.767052317441</v>
      </c>
      <c r="AK3615">
        <v>74.173059468681799</v>
      </c>
      <c r="AL3615">
        <v>77.857411593202201</v>
      </c>
      <c r="AM3615">
        <v>100.633335670256</v>
      </c>
      <c r="AN3615">
        <v>1.00000000496917</v>
      </c>
    </row>
    <row r="3616" spans="1:40" x14ac:dyDescent="0.25">
      <c r="A3616" t="str">
        <f>"20190312172147844"</f>
        <v>20190312172147844</v>
      </c>
      <c r="B3616" t="str">
        <f>"1552382507834248"</f>
        <v>1552382507834248</v>
      </c>
      <c r="C3616" t="s">
        <v>40</v>
      </c>
      <c r="D3616">
        <v>3.743366</v>
      </c>
      <c r="E3616">
        <v>0.43232579999999998</v>
      </c>
      <c r="F3616" t="s">
        <v>55</v>
      </c>
      <c r="G3616">
        <v>-389.2355</v>
      </c>
      <c r="H3616">
        <v>0.28754439999999998</v>
      </c>
      <c r="I3616">
        <v>198.34440000000001</v>
      </c>
      <c r="J3616">
        <v>-481.26490000000001</v>
      </c>
      <c r="K3616">
        <v>1.1179650000000001</v>
      </c>
      <c r="L3616">
        <v>222.8426</v>
      </c>
      <c r="M3616">
        <v>0.82367420000000002</v>
      </c>
      <c r="N3616">
        <v>0</v>
      </c>
      <c r="O3616">
        <v>-0.56687650000000001</v>
      </c>
      <c r="P3616">
        <v>0.89420859999999902</v>
      </c>
      <c r="Q3616">
        <v>0.1977391</v>
      </c>
      <c r="R3616">
        <v>-0.40161010000000003</v>
      </c>
      <c r="S3616">
        <v>3.0059809999999998</v>
      </c>
      <c r="T3616">
        <v>-2.706194E-2</v>
      </c>
      <c r="U3616">
        <v>-0.80349729999999997</v>
      </c>
      <c r="V3616">
        <v>-0.1798563</v>
      </c>
      <c r="W3616">
        <v>0.2085959</v>
      </c>
      <c r="X3616">
        <v>0.96132169999999895</v>
      </c>
      <c r="Y3616">
        <v>-0.33495399999999997</v>
      </c>
      <c r="Z3616">
        <v>6.166291E-3</v>
      </c>
      <c r="AA3616">
        <v>0.94221429999999995</v>
      </c>
      <c r="AB3616">
        <v>30</v>
      </c>
      <c r="AC3616">
        <v>92.029399999999995</v>
      </c>
      <c r="AD3616">
        <v>-0.83042059999999895</v>
      </c>
      <c r="AE3616">
        <v>-24.498200000000001</v>
      </c>
      <c r="AF3616">
        <v>-31.991725511661201</v>
      </c>
      <c r="AG3616">
        <v>-0.83042059999999895</v>
      </c>
      <c r="AH3616">
        <v>89.692378310111096</v>
      </c>
      <c r="AI3616">
        <v>90.499630975330902</v>
      </c>
      <c r="AJ3616">
        <v>109.630441375011</v>
      </c>
      <c r="AK3616">
        <v>95.230682169721305</v>
      </c>
      <c r="AL3616">
        <v>77.959918604329104</v>
      </c>
      <c r="AM3616">
        <v>100.597111193914</v>
      </c>
      <c r="AN3616">
        <v>0.99999997451869405</v>
      </c>
    </row>
    <row r="3617" spans="1:40" x14ac:dyDescent="0.25">
      <c r="A3617" t="str">
        <f>"20190312172147868"</f>
        <v>20190312172147868</v>
      </c>
      <c r="B3617" t="str">
        <f>"1552382507864505"</f>
        <v>1552382507864505</v>
      </c>
      <c r="C3617" t="s">
        <v>40</v>
      </c>
      <c r="D3617">
        <v>3.6196899999999999</v>
      </c>
      <c r="E3617">
        <v>0.43382169999999998</v>
      </c>
      <c r="F3617" t="s">
        <v>55</v>
      </c>
      <c r="G3617">
        <v>-389.2355</v>
      </c>
      <c r="H3617">
        <v>0.4361043</v>
      </c>
      <c r="I3617">
        <v>198.7945</v>
      </c>
      <c r="J3617">
        <v>-481.00200000000001</v>
      </c>
      <c r="K3617">
        <v>1.117513</v>
      </c>
      <c r="L3617">
        <v>222.6721</v>
      </c>
      <c r="M3617">
        <v>0.82842859999999996</v>
      </c>
      <c r="N3617">
        <v>0</v>
      </c>
      <c r="O3617">
        <v>-0.55990309999999999</v>
      </c>
      <c r="P3617">
        <v>0.89805299999999999</v>
      </c>
      <c r="Q3617">
        <v>0.19556780000000001</v>
      </c>
      <c r="R3617">
        <v>-0.39402290000000001</v>
      </c>
      <c r="S3617">
        <v>3.0069270000000001</v>
      </c>
      <c r="T3617">
        <v>-2.227879E-2</v>
      </c>
      <c r="U3617">
        <v>-0.78573609999999905</v>
      </c>
      <c r="V3617">
        <v>-0.1798642</v>
      </c>
      <c r="W3617">
        <v>0.20672460000000001</v>
      </c>
      <c r="X3617">
        <v>0.96172440000000003</v>
      </c>
      <c r="Y3617">
        <v>-0.33228570000000002</v>
      </c>
      <c r="Z3617">
        <v>5.0296050000000004E-3</v>
      </c>
      <c r="AA3617">
        <v>0.94316540000000004</v>
      </c>
      <c r="AB3617">
        <v>30</v>
      </c>
      <c r="AC3617">
        <v>91.766499999999894</v>
      </c>
      <c r="AD3617">
        <v>-0.68140869999999998</v>
      </c>
      <c r="AE3617">
        <v>-23.877600000000001</v>
      </c>
      <c r="AF3617">
        <v>-31.601219908445401</v>
      </c>
      <c r="AG3617">
        <v>-0.68140869999999998</v>
      </c>
      <c r="AH3617">
        <v>89.396110880753696</v>
      </c>
      <c r="AI3617">
        <v>90.411751979858906</v>
      </c>
      <c r="AJ3617">
        <v>109.46832749763099</v>
      </c>
      <c r="AK3617">
        <v>94.819650168740694</v>
      </c>
      <c r="AL3617">
        <v>78.069525920719101</v>
      </c>
      <c r="AM3617">
        <v>100.59322908600799</v>
      </c>
      <c r="AN3617">
        <v>1.0000000061210701</v>
      </c>
    </row>
    <row r="3618" spans="1:40" x14ac:dyDescent="0.25">
      <c r="A3618" t="str">
        <f>"20190312172147887"</f>
        <v>20190312172147887</v>
      </c>
      <c r="B3618" t="str">
        <f>"1552382507884024"</f>
        <v>1552382507884024</v>
      </c>
      <c r="C3618" t="s">
        <v>40</v>
      </c>
      <c r="D3618">
        <v>3.639913</v>
      </c>
      <c r="E3618">
        <v>0.43490450000000003</v>
      </c>
      <c r="F3618" t="s">
        <v>55</v>
      </c>
      <c r="G3618">
        <v>-389.2355</v>
      </c>
      <c r="H3618">
        <v>0.51851239999999998</v>
      </c>
      <c r="I3618">
        <v>199.16419999999999</v>
      </c>
      <c r="J3618">
        <v>-480.78449999999998</v>
      </c>
      <c r="K3618">
        <v>1.1172839999999999</v>
      </c>
      <c r="L3618">
        <v>222.53229999999999</v>
      </c>
      <c r="M3618">
        <v>0.83264910000000003</v>
      </c>
      <c r="N3618">
        <v>0</v>
      </c>
      <c r="O3618">
        <v>-0.55359939999999996</v>
      </c>
      <c r="P3618">
        <v>0.90132330000000005</v>
      </c>
      <c r="Q3618">
        <v>0.19297159999999999</v>
      </c>
      <c r="R3618">
        <v>-0.38778689999999999</v>
      </c>
      <c r="S3618">
        <v>3.0068969999999999</v>
      </c>
      <c r="T3618">
        <v>-1.9627329999999998E-2</v>
      </c>
      <c r="U3618">
        <v>-0.77027889999999999</v>
      </c>
      <c r="V3618">
        <v>-0.17930209999999999</v>
      </c>
      <c r="W3618">
        <v>0.20462610000000001</v>
      </c>
      <c r="X3618">
        <v>0.96227799999999997</v>
      </c>
      <c r="Y3618">
        <v>-0.3296752</v>
      </c>
      <c r="Z3618">
        <v>4.3938270000000003E-3</v>
      </c>
      <c r="AA3618">
        <v>0.94408419999999904</v>
      </c>
      <c r="AB3618">
        <v>30</v>
      </c>
      <c r="AC3618">
        <v>91.548999999999893</v>
      </c>
      <c r="AD3618">
        <v>-0.59877159999999996</v>
      </c>
      <c r="AE3618">
        <v>-23.368099999999998</v>
      </c>
      <c r="AF3618">
        <v>-31.226274846834301</v>
      </c>
      <c r="AG3618">
        <v>-0.59877159999999996</v>
      </c>
      <c r="AH3618">
        <v>89.171128994400405</v>
      </c>
      <c r="AI3618">
        <v>90.363107895337393</v>
      </c>
      <c r="AJ3618">
        <v>109.299421689252</v>
      </c>
      <c r="AK3618">
        <v>94.482427013572206</v>
      </c>
      <c r="AL3618">
        <v>78.192388019274603</v>
      </c>
      <c r="AM3618">
        <v>100.55493056303401</v>
      </c>
      <c r="AN3618">
        <v>1.00000001657481</v>
      </c>
    </row>
    <row r="3619" spans="1:40" x14ac:dyDescent="0.25">
      <c r="A3619" t="str">
        <f>"20190312172147910"</f>
        <v>20190312172147910</v>
      </c>
      <c r="B3619" t="str">
        <f>"1552382507904520"</f>
        <v>1552382507904520</v>
      </c>
      <c r="C3619" t="s">
        <v>40</v>
      </c>
      <c r="D3619">
        <v>3.9062039999999998</v>
      </c>
      <c r="E3619">
        <v>0.44966800000000001</v>
      </c>
      <c r="F3619" t="s">
        <v>55</v>
      </c>
      <c r="G3619">
        <v>-389.2355</v>
      </c>
      <c r="H3619">
        <v>0.36357020000000001</v>
      </c>
      <c r="I3619">
        <v>199.5138</v>
      </c>
      <c r="J3619">
        <v>-480.53640000000001</v>
      </c>
      <c r="K3619">
        <v>1.1178509999999999</v>
      </c>
      <c r="L3619">
        <v>222.37370000000001</v>
      </c>
      <c r="M3619">
        <v>0.83780789999999905</v>
      </c>
      <c r="N3619">
        <v>0</v>
      </c>
      <c r="O3619">
        <v>-0.54575649999999998</v>
      </c>
      <c r="P3619">
        <v>0.90482669999999998</v>
      </c>
      <c r="Q3619">
        <v>0.1920123</v>
      </c>
      <c r="R3619">
        <v>-0.38002659999999999</v>
      </c>
      <c r="S3619">
        <v>3.0083310000000001</v>
      </c>
      <c r="T3619">
        <v>-2.4767279999999999E-2</v>
      </c>
      <c r="U3619">
        <v>-0.75639339999999999</v>
      </c>
      <c r="V3619">
        <v>-0.17868580000000001</v>
      </c>
      <c r="W3619">
        <v>0.20376859999999999</v>
      </c>
      <c r="X3619">
        <v>0.9625745</v>
      </c>
      <c r="Y3619">
        <v>-0.32500040000000002</v>
      </c>
      <c r="Z3619">
        <v>5.4754060000000004E-3</v>
      </c>
      <c r="AA3619">
        <v>0.94569800000000004</v>
      </c>
      <c r="AB3619">
        <v>30</v>
      </c>
      <c r="AC3619">
        <v>91.300899999999999</v>
      </c>
      <c r="AD3619">
        <v>-0.75428079999999897</v>
      </c>
      <c r="AE3619">
        <v>-22.8599</v>
      </c>
      <c r="AF3619">
        <v>-30.677378585240302</v>
      </c>
      <c r="AG3619">
        <v>-0.75428079999999897</v>
      </c>
      <c r="AH3619">
        <v>88.972973663465396</v>
      </c>
      <c r="AI3619">
        <v>90.459193694127904</v>
      </c>
      <c r="AJ3619">
        <v>109.023904073899</v>
      </c>
      <c r="AK3619">
        <v>94.116207631348601</v>
      </c>
      <c r="AL3619">
        <v>78.242575996449602</v>
      </c>
      <c r="AM3619">
        <v>100.516294154061</v>
      </c>
      <c r="AN3619">
        <v>0.999999962758924</v>
      </c>
    </row>
    <row r="3620" spans="1:40" x14ac:dyDescent="0.25">
      <c r="A3620" t="str">
        <f>"20190312172147932"</f>
        <v>20190312172147932</v>
      </c>
      <c r="B3620" t="str">
        <f>"1552382507924040"</f>
        <v>1552382507924040</v>
      </c>
      <c r="C3620" t="s">
        <v>40</v>
      </c>
      <c r="D3620">
        <v>3.8249919999999999</v>
      </c>
      <c r="E3620">
        <v>0.45189380000000001</v>
      </c>
      <c r="F3620" t="s">
        <v>56</v>
      </c>
      <c r="G3620">
        <v>-101.5994</v>
      </c>
      <c r="H3620">
        <v>2.0732970000000002</v>
      </c>
      <c r="I3620">
        <v>115.5645</v>
      </c>
      <c r="J3620">
        <v>-480.27839999999998</v>
      </c>
      <c r="K3620">
        <v>1.1195379999999999</v>
      </c>
      <c r="L3620">
        <v>222.2105</v>
      </c>
      <c r="M3620">
        <v>0.84236420000000001</v>
      </c>
      <c r="N3620">
        <v>0</v>
      </c>
      <c r="O3620">
        <v>-0.53872010000000004</v>
      </c>
      <c r="P3620">
        <v>0.90752169999999999</v>
      </c>
      <c r="Q3620">
        <v>0.19209390000000001</v>
      </c>
      <c r="R3620">
        <v>-0.37350280000000002</v>
      </c>
      <c r="S3620">
        <v>2.9631349999999999</v>
      </c>
      <c r="T3620">
        <v>7.4712040000000004E-3</v>
      </c>
      <c r="U3620">
        <v>-0.83520509999999903</v>
      </c>
      <c r="V3620">
        <v>-0.17806459999999999</v>
      </c>
      <c r="W3620">
        <v>0.20259340000000001</v>
      </c>
      <c r="X3620">
        <v>0.96293770000000001</v>
      </c>
      <c r="Y3620">
        <v>-0.29001490000000002</v>
      </c>
      <c r="Z3620">
        <v>-1.6104839999999999E-3</v>
      </c>
      <c r="AA3620">
        <v>0.9570208</v>
      </c>
      <c r="AB3620">
        <v>30</v>
      </c>
      <c r="AC3620">
        <v>378.67899999999997</v>
      </c>
      <c r="AD3620">
        <v>0.95375900000000002</v>
      </c>
      <c r="AE3620">
        <v>-106.646</v>
      </c>
      <c r="AF3620">
        <v>-114.178146838614</v>
      </c>
      <c r="AG3620">
        <v>0.95375900000000002</v>
      </c>
      <c r="AH3620">
        <v>376.47401749002398</v>
      </c>
      <c r="AI3620">
        <v>89.861094970087905</v>
      </c>
      <c r="AJ3620">
        <v>106.871655455094</v>
      </c>
      <c r="AK3620">
        <v>393.40849598961199</v>
      </c>
      <c r="AL3620">
        <v>78.311345474496605</v>
      </c>
      <c r="AM3620">
        <v>100.476680270556</v>
      </c>
      <c r="AN3620">
        <v>1.0000000507889999</v>
      </c>
    </row>
    <row r="3621" spans="1:40" x14ac:dyDescent="0.25">
      <c r="A3621" t="str">
        <f>"20190312172147955"</f>
        <v>20190312172147955</v>
      </c>
      <c r="B3621" t="str">
        <f>"1552382507944539"</f>
        <v>1552382507944539</v>
      </c>
      <c r="C3621" t="s">
        <v>40</v>
      </c>
      <c r="D3621">
        <v>3.646417</v>
      </c>
      <c r="E3621">
        <v>0.45089190000000001</v>
      </c>
      <c r="F3621" t="s">
        <v>56</v>
      </c>
      <c r="G3621">
        <v>-101.59950000000001</v>
      </c>
      <c r="H3621">
        <v>1.814316</v>
      </c>
      <c r="I3621">
        <v>116.35120000000001</v>
      </c>
      <c r="J3621">
        <v>-480.02460000000002</v>
      </c>
      <c r="K3621">
        <v>1.1218429999999999</v>
      </c>
      <c r="L3621">
        <v>222.05260000000001</v>
      </c>
      <c r="M3621">
        <v>0.84514539999999905</v>
      </c>
      <c r="N3621">
        <v>0</v>
      </c>
      <c r="O3621">
        <v>-0.53438399999999997</v>
      </c>
      <c r="P3621">
        <v>0.90889640000000005</v>
      </c>
      <c r="Q3621">
        <v>0.19398879999999999</v>
      </c>
      <c r="R3621">
        <v>-0.36915569999999998</v>
      </c>
      <c r="S3621">
        <v>2.963562</v>
      </c>
      <c r="T3621">
        <v>5.437374E-3</v>
      </c>
      <c r="U3621">
        <v>-0.82846070000000005</v>
      </c>
      <c r="V3621">
        <v>-0.178281299999999</v>
      </c>
      <c r="W3621">
        <v>0.20238610000000001</v>
      </c>
      <c r="X3621">
        <v>0.96294109999999999</v>
      </c>
      <c r="Y3621">
        <v>-0.28713889999999997</v>
      </c>
      <c r="Z3621">
        <v>-1.1633629999999999E-3</v>
      </c>
      <c r="AA3621">
        <v>0.95788819999999997</v>
      </c>
      <c r="AB3621">
        <v>30</v>
      </c>
      <c r="AC3621">
        <v>378.42509999999999</v>
      </c>
      <c r="AD3621">
        <v>0.69247300000000001</v>
      </c>
      <c r="AE3621">
        <v>-105.70140000000001</v>
      </c>
      <c r="AF3621">
        <v>-112.900117363341</v>
      </c>
      <c r="AG3621">
        <v>0.69247300000000001</v>
      </c>
      <c r="AH3621">
        <v>376.33887221235898</v>
      </c>
      <c r="AI3621">
        <v>89.899020506085606</v>
      </c>
      <c r="AJ3621">
        <v>106.699028534403</v>
      </c>
      <c r="AK3621">
        <v>392.909484178713</v>
      </c>
      <c r="AL3621">
        <v>78.323473051832494</v>
      </c>
      <c r="AM3621">
        <v>100.489111102979</v>
      </c>
      <c r="AN3621">
        <v>0.99999995873605396</v>
      </c>
    </row>
    <row r="3622" spans="1:40" x14ac:dyDescent="0.25">
      <c r="A3622" t="str">
        <f>"20190312172147976"</f>
        <v>20190312172147976</v>
      </c>
      <c r="B3622" t="str">
        <f>"1552382507973817"</f>
        <v>1552382507973817</v>
      </c>
      <c r="C3622" t="s">
        <v>40</v>
      </c>
      <c r="D3622">
        <v>3.6414770000000001</v>
      </c>
      <c r="E3622">
        <v>0.4366429</v>
      </c>
      <c r="F3622" t="s">
        <v>56</v>
      </c>
      <c r="G3622">
        <v>-98.300150000000002</v>
      </c>
      <c r="H3622">
        <v>3.255522</v>
      </c>
      <c r="I3622">
        <v>118.675</v>
      </c>
      <c r="J3622">
        <v>-479.77859999999998</v>
      </c>
      <c r="K3622">
        <v>1.1241000000000001</v>
      </c>
      <c r="L3622">
        <v>221.90209999999999</v>
      </c>
      <c r="M3622">
        <v>0.846962199999999</v>
      </c>
      <c r="N3622">
        <v>0</v>
      </c>
      <c r="O3622">
        <v>-0.53153030000000001</v>
      </c>
      <c r="P3622">
        <v>0.90998040000000002</v>
      </c>
      <c r="Q3622">
        <v>0.19576650000000001</v>
      </c>
      <c r="R3622">
        <v>-0.36552869999999998</v>
      </c>
      <c r="S3622">
        <v>2.9704280000000001</v>
      </c>
      <c r="T3622">
        <v>1.6603469999999999E-2</v>
      </c>
      <c r="U3622">
        <v>-0.80444340000000003</v>
      </c>
      <c r="V3622">
        <v>-0.1792984</v>
      </c>
      <c r="W3622">
        <v>0.2022969</v>
      </c>
      <c r="X3622">
        <v>0.96277100000000004</v>
      </c>
      <c r="Y3622">
        <v>-0.29166039999999999</v>
      </c>
      <c r="Z3622">
        <v>-3.5491239999999999E-3</v>
      </c>
      <c r="AA3622">
        <v>0.95651540000000002</v>
      </c>
      <c r="AB3622">
        <v>30</v>
      </c>
      <c r="AC3622">
        <v>381.47845000000001</v>
      </c>
      <c r="AD3622">
        <v>2.1314220000000001</v>
      </c>
      <c r="AE3622">
        <v>-103.22709999999999</v>
      </c>
      <c r="AF3622">
        <v>-115.34207890944801</v>
      </c>
      <c r="AG3622">
        <v>2.1314220000000001</v>
      </c>
      <c r="AH3622">
        <v>377.97984245008502</v>
      </c>
      <c r="AI3622">
        <v>89.690980770225096</v>
      </c>
      <c r="AJ3622">
        <v>106.969780641624</v>
      </c>
      <c r="AK3622">
        <v>395.19248401947999</v>
      </c>
      <c r="AL3622">
        <v>78.328691980008003</v>
      </c>
      <c r="AM3622">
        <v>100.549434317555</v>
      </c>
      <c r="AN3622">
        <v>0.99999997521658401</v>
      </c>
    </row>
    <row r="3623" spans="1:40" x14ac:dyDescent="0.25">
      <c r="A3623" t="str">
        <f>"20190312172147999"</f>
        <v>20190312172147999</v>
      </c>
      <c r="B3623" t="str">
        <f>"1552382507994312"</f>
        <v>1552382507994312</v>
      </c>
      <c r="C3623" t="s">
        <v>40</v>
      </c>
      <c r="D3623">
        <v>3.608012</v>
      </c>
      <c r="E3623">
        <v>0.43728349999999999</v>
      </c>
      <c r="F3623" t="s">
        <v>48</v>
      </c>
      <c r="G3623">
        <v>-408.60680000000002</v>
      </c>
      <c r="H3623">
        <v>2.0590540000000002</v>
      </c>
      <c r="I3623">
        <v>205.72720000000001</v>
      </c>
      <c r="J3623">
        <v>-479.5204</v>
      </c>
      <c r="K3623">
        <v>1.1260920000000001</v>
      </c>
      <c r="L3623">
        <v>221.74600000000001</v>
      </c>
      <c r="M3623">
        <v>0.84894809999999998</v>
      </c>
      <c r="N3623">
        <v>0</v>
      </c>
      <c r="O3623">
        <v>-0.52838189999999996</v>
      </c>
      <c r="P3623">
        <v>0.91117429999999999</v>
      </c>
      <c r="Q3623">
        <v>0.1979524</v>
      </c>
      <c r="R3623">
        <v>-0.36135430000000002</v>
      </c>
      <c r="S3623">
        <v>3.013153</v>
      </c>
      <c r="T3623">
        <v>3.9582489999999998E-2</v>
      </c>
      <c r="U3623">
        <v>-0.6847839</v>
      </c>
      <c r="V3623">
        <v>-0.180289</v>
      </c>
      <c r="W3623">
        <v>0.20274519999999999</v>
      </c>
      <c r="X3623">
        <v>0.96249169999999995</v>
      </c>
      <c r="Y3623">
        <v>-0.32705640000000002</v>
      </c>
      <c r="Z3623">
        <v>-8.5972040000000007E-3</v>
      </c>
      <c r="AA3623">
        <v>0.94496570000000002</v>
      </c>
      <c r="AB3623">
        <v>30</v>
      </c>
      <c r="AC3623">
        <v>70.913599999999903</v>
      </c>
      <c r="AD3623">
        <v>0.93296199999999996</v>
      </c>
      <c r="AE3623">
        <v>-16.018799999999899</v>
      </c>
      <c r="AF3623">
        <v>-23.867592157871101</v>
      </c>
      <c r="AG3623">
        <v>0.93296199999999996</v>
      </c>
      <c r="AH3623">
        <v>68.6581259337852</v>
      </c>
      <c r="AI3623">
        <v>89.264643786814304</v>
      </c>
      <c r="AJ3623">
        <v>109.168961057994</v>
      </c>
      <c r="AK3623">
        <v>72.694364501297002</v>
      </c>
      <c r="AL3623">
        <v>78.302463123243001</v>
      </c>
      <c r="AM3623">
        <v>100.609407567788</v>
      </c>
      <c r="AN3623">
        <v>1.00000000610646</v>
      </c>
    </row>
    <row r="3624" spans="1:40" x14ac:dyDescent="0.25">
      <c r="A3624" t="str">
        <f>"20190312172148023"</f>
        <v>20190312172148023</v>
      </c>
      <c r="B3624" t="str">
        <f>"1552382508013832"</f>
        <v>1552382508013832</v>
      </c>
      <c r="C3624" t="s">
        <v>40</v>
      </c>
      <c r="D3624">
        <v>3.5590700000000002</v>
      </c>
      <c r="E3624">
        <v>0.43912380000000001</v>
      </c>
      <c r="F3624" t="s">
        <v>57</v>
      </c>
      <c r="G3624">
        <v>-363.50189999999998</v>
      </c>
      <c r="H3624">
        <v>2.979101</v>
      </c>
      <c r="I3624">
        <v>195.77019999999999</v>
      </c>
      <c r="J3624">
        <v>-479.24970000000002</v>
      </c>
      <c r="K3624">
        <v>1.1277779999999999</v>
      </c>
      <c r="L3624">
        <v>221.5839</v>
      </c>
      <c r="M3624">
        <v>0.85148849999999998</v>
      </c>
      <c r="N3624">
        <v>0</v>
      </c>
      <c r="O3624">
        <v>-0.5243042</v>
      </c>
      <c r="P3624">
        <v>0.91267659999999995</v>
      </c>
      <c r="Q3624">
        <v>0.19922280000000001</v>
      </c>
      <c r="R3624">
        <v>-0.35683540000000002</v>
      </c>
      <c r="S3624">
        <v>3.0144350000000002</v>
      </c>
      <c r="T3624">
        <v>4.8147919999999997E-2</v>
      </c>
      <c r="U3624">
        <v>-0.6749115</v>
      </c>
      <c r="V3624">
        <v>-0.1804521</v>
      </c>
      <c r="W3624">
        <v>0.20242669999999999</v>
      </c>
      <c r="X3624">
        <v>0.96252819999999994</v>
      </c>
      <c r="Y3624">
        <v>-0.325517</v>
      </c>
      <c r="Z3624">
        <v>-1.039233E-2</v>
      </c>
      <c r="AA3624">
        <v>0.94547910000000002</v>
      </c>
      <c r="AB3624">
        <v>30</v>
      </c>
      <c r="AC3624">
        <v>115.7478</v>
      </c>
      <c r="AD3624">
        <v>1.8513230000000001</v>
      </c>
      <c r="AE3624">
        <v>-25.813700000000001</v>
      </c>
      <c r="AF3624">
        <v>-38.6989600325319</v>
      </c>
      <c r="AG3624">
        <v>1.8513230000000001</v>
      </c>
      <c r="AH3624">
        <v>112.06890075397099</v>
      </c>
      <c r="AI3624">
        <v>89.105413228446196</v>
      </c>
      <c r="AJ3624">
        <v>109.050509909498</v>
      </c>
      <c r="AK3624">
        <v>118.576875572994</v>
      </c>
      <c r="AL3624">
        <v>78.321098550634204</v>
      </c>
      <c r="AM3624">
        <v>100.618393761825</v>
      </c>
      <c r="AN3624">
        <v>1.0000000325312599</v>
      </c>
    </row>
    <row r="3625" spans="1:40" x14ac:dyDescent="0.25">
      <c r="A3625" t="str">
        <f>"20190312172148045"</f>
        <v>20190312172148045</v>
      </c>
      <c r="B3625" t="str">
        <f>"1552382508034328"</f>
        <v>1552382508034328</v>
      </c>
      <c r="C3625" t="s">
        <v>40</v>
      </c>
      <c r="D3625">
        <v>3.6567289999999999</v>
      </c>
      <c r="E3625">
        <v>0.44015530000000003</v>
      </c>
      <c r="F3625" t="s">
        <v>48</v>
      </c>
      <c r="G3625">
        <v>-408.589</v>
      </c>
      <c r="H3625">
        <v>1.657287</v>
      </c>
      <c r="I3625">
        <v>205.74950000000001</v>
      </c>
      <c r="J3625">
        <v>-478.99220000000003</v>
      </c>
      <c r="K3625">
        <v>1.129254</v>
      </c>
      <c r="L3625">
        <v>221.43090000000001</v>
      </c>
      <c r="M3625">
        <v>0.85421460000000005</v>
      </c>
      <c r="N3625">
        <v>0</v>
      </c>
      <c r="O3625">
        <v>-0.51987019999999995</v>
      </c>
      <c r="P3625">
        <v>0.91415919999999895</v>
      </c>
      <c r="Q3625">
        <v>0.20115710000000001</v>
      </c>
      <c r="R3625">
        <v>-0.35192210000000002</v>
      </c>
      <c r="S3625">
        <v>3.0177</v>
      </c>
      <c r="T3625">
        <v>2.2613640000000001E-2</v>
      </c>
      <c r="U3625">
        <v>-0.67623900000000003</v>
      </c>
      <c r="V3625">
        <v>-0.18049709999999999</v>
      </c>
      <c r="W3625">
        <v>0.20308699999999999</v>
      </c>
      <c r="X3625">
        <v>0.96238060000000003</v>
      </c>
      <c r="Y3625">
        <v>-0.32048759999999998</v>
      </c>
      <c r="Z3625">
        <v>-4.829552E-3</v>
      </c>
      <c r="AA3625">
        <v>0.94724039999999998</v>
      </c>
      <c r="AB3625">
        <v>30</v>
      </c>
      <c r="AC3625">
        <v>70.403199999999998</v>
      </c>
      <c r="AD3625">
        <v>0.52803299999999997</v>
      </c>
      <c r="AE3625">
        <v>-15.681399999999901</v>
      </c>
      <c r="AF3625">
        <v>-23.2046091419151</v>
      </c>
      <c r="AG3625">
        <v>0.52803299999999997</v>
      </c>
      <c r="AH3625">
        <v>68.289863068378196</v>
      </c>
      <c r="AI3625">
        <v>89.580538153635203</v>
      </c>
      <c r="AJ3625">
        <v>108.767545488369</v>
      </c>
      <c r="AK3625">
        <v>72.126542286290004</v>
      </c>
      <c r="AL3625">
        <v>78.282462994984499</v>
      </c>
      <c r="AM3625">
        <v>100.622573339939</v>
      </c>
      <c r="AN3625">
        <v>0.99999997596688395</v>
      </c>
    </row>
    <row r="3626" spans="1:40" x14ac:dyDescent="0.25">
      <c r="A3626" t="str">
        <f>"20190312172148067"</f>
        <v>20190312172148067</v>
      </c>
      <c r="B3626" t="str">
        <f>"1552382508064584"</f>
        <v>1552382508064584</v>
      </c>
      <c r="C3626" t="s">
        <v>40</v>
      </c>
      <c r="D3626">
        <v>3.7170589999999999</v>
      </c>
      <c r="E3626">
        <v>0.44176260000000001</v>
      </c>
      <c r="F3626" t="s">
        <v>58</v>
      </c>
      <c r="G3626">
        <v>-350.11739999999998</v>
      </c>
      <c r="H3626">
        <v>2.0847069999999999</v>
      </c>
      <c r="I3626">
        <v>192.92359999999999</v>
      </c>
      <c r="J3626">
        <v>-478.73649999999998</v>
      </c>
      <c r="K3626">
        <v>1.1309689999999999</v>
      </c>
      <c r="L3626">
        <v>221.28</v>
      </c>
      <c r="M3626">
        <v>0.85735659999999903</v>
      </c>
      <c r="N3626">
        <v>0</v>
      </c>
      <c r="O3626">
        <v>-0.51468219999999998</v>
      </c>
      <c r="P3626">
        <v>0.9162264</v>
      </c>
      <c r="Q3626">
        <v>0.20215920000000001</v>
      </c>
      <c r="R3626">
        <v>-0.34592109999999998</v>
      </c>
      <c r="S3626">
        <v>3.0195919999999998</v>
      </c>
      <c r="T3626">
        <v>2.238631E-2</v>
      </c>
      <c r="U3626">
        <v>-0.66793819999999904</v>
      </c>
      <c r="V3626">
        <v>-0.18097969999999999</v>
      </c>
      <c r="W3626">
        <v>0.2032359</v>
      </c>
      <c r="X3626">
        <v>0.96225859999999996</v>
      </c>
      <c r="Y3626">
        <v>-0.31734859999999998</v>
      </c>
      <c r="Z3626">
        <v>-4.7365460000000003E-3</v>
      </c>
      <c r="AA3626">
        <v>0.9482971</v>
      </c>
      <c r="AB3626">
        <v>30</v>
      </c>
      <c r="AC3626">
        <v>128.6191</v>
      </c>
      <c r="AD3626">
        <v>0.95373799999999898</v>
      </c>
      <c r="AE3626">
        <v>-28.356400000000001</v>
      </c>
      <c r="AF3626">
        <v>-41.885095754737002</v>
      </c>
      <c r="AG3626">
        <v>0.95373799999999898</v>
      </c>
      <c r="AH3626">
        <v>124.863036844867</v>
      </c>
      <c r="AI3626">
        <v>89.585088729027206</v>
      </c>
      <c r="AJ3626">
        <v>108.543941288498</v>
      </c>
      <c r="AK3626">
        <v>131.70439944314299</v>
      </c>
      <c r="AL3626">
        <v>78.2737508022024</v>
      </c>
      <c r="AM3626">
        <v>100.651645711787</v>
      </c>
      <c r="AN3626">
        <v>1.00000004806742</v>
      </c>
    </row>
    <row r="3627" spans="1:40" x14ac:dyDescent="0.25">
      <c r="A3627" t="str">
        <f>"20190312172148088"</f>
        <v>20190312172148088</v>
      </c>
      <c r="B3627" t="str">
        <f>"1552382508084104"</f>
        <v>1552382508084104</v>
      </c>
      <c r="C3627" t="s">
        <v>40</v>
      </c>
      <c r="D3627">
        <v>3.5737899999999998</v>
      </c>
      <c r="E3627">
        <v>0.44311590000000001</v>
      </c>
      <c r="F3627" t="s">
        <v>58</v>
      </c>
      <c r="G3627">
        <v>-350.11739999999998</v>
      </c>
      <c r="H3627">
        <v>2.343499</v>
      </c>
      <c r="I3627">
        <v>193.18129999999999</v>
      </c>
      <c r="J3627">
        <v>-478.50479999999999</v>
      </c>
      <c r="K3627">
        <v>1.1333599999999999</v>
      </c>
      <c r="L3627">
        <v>221.1437</v>
      </c>
      <c r="M3627">
        <v>0.86049200000000003</v>
      </c>
      <c r="N3627">
        <v>0</v>
      </c>
      <c r="O3627">
        <v>-0.50942429999999905</v>
      </c>
      <c r="P3627">
        <v>0.91861029999999999</v>
      </c>
      <c r="Q3627">
        <v>0.20275889999999999</v>
      </c>
      <c r="R3627">
        <v>-0.33918110000000001</v>
      </c>
      <c r="S3627">
        <v>3.019012</v>
      </c>
      <c r="T3627">
        <v>2.8460740000000002E-2</v>
      </c>
      <c r="U3627">
        <v>-0.65954590000000002</v>
      </c>
      <c r="V3627">
        <v>-0.1824479</v>
      </c>
      <c r="W3627">
        <v>0.20336290000000001</v>
      </c>
      <c r="X3627">
        <v>0.96195439999999999</v>
      </c>
      <c r="Y3627">
        <v>-0.31400509999999998</v>
      </c>
      <c r="Z3627">
        <v>-5.9682939999999999E-3</v>
      </c>
      <c r="AA3627">
        <v>0.94940250000000004</v>
      </c>
      <c r="AB3627">
        <v>30</v>
      </c>
      <c r="AC3627">
        <v>128.38740000000001</v>
      </c>
      <c r="AD3627">
        <v>1.2101390000000001</v>
      </c>
      <c r="AE3627">
        <v>-27.962399999999999</v>
      </c>
      <c r="AF3627">
        <v>-41.3395685988202</v>
      </c>
      <c r="AG3627">
        <v>1.2101390000000001</v>
      </c>
      <c r="AH3627">
        <v>124.712997960851</v>
      </c>
      <c r="AI3627">
        <v>89.4722887137643</v>
      </c>
      <c r="AJ3627">
        <v>108.33920387400499</v>
      </c>
      <c r="AK3627">
        <v>131.39161399693299</v>
      </c>
      <c r="AL3627">
        <v>78.266318305463003</v>
      </c>
      <c r="AM3627">
        <v>100.73937271302999</v>
      </c>
      <c r="AN3627">
        <v>0.99999998649508903</v>
      </c>
    </row>
    <row r="3628" spans="1:40" x14ac:dyDescent="0.25">
      <c r="A3628" t="str">
        <f>"20190312172148110"</f>
        <v>20190312172148110</v>
      </c>
      <c r="B3628" t="str">
        <f>"1552382508104600"</f>
        <v>1552382508104600</v>
      </c>
      <c r="C3628" t="s">
        <v>40</v>
      </c>
      <c r="D3628">
        <v>3.7425470000000001</v>
      </c>
      <c r="E3628">
        <v>0.44447629999999999</v>
      </c>
      <c r="F3628" t="s">
        <v>58</v>
      </c>
      <c r="G3628">
        <v>-350.11739999999998</v>
      </c>
      <c r="H3628">
        <v>2.4742139999999999</v>
      </c>
      <c r="I3628">
        <v>193.61879999999999</v>
      </c>
      <c r="J3628">
        <v>-478.25259999999997</v>
      </c>
      <c r="K3628">
        <v>1.136968</v>
      </c>
      <c r="L3628">
        <v>220.99619999999999</v>
      </c>
      <c r="M3628">
        <v>0.86373960000000005</v>
      </c>
      <c r="N3628">
        <v>0</v>
      </c>
      <c r="O3628">
        <v>-0.50389589999999995</v>
      </c>
      <c r="P3628">
        <v>0.92089920000000003</v>
      </c>
      <c r="Q3628">
        <v>0.20380960000000001</v>
      </c>
      <c r="R3628">
        <v>-0.33227489999999998</v>
      </c>
      <c r="S3628">
        <v>3.019806</v>
      </c>
      <c r="T3628">
        <v>3.1537889999999999E-2</v>
      </c>
      <c r="U3628">
        <v>-0.64741519999999997</v>
      </c>
      <c r="V3628">
        <v>-0.1841546</v>
      </c>
      <c r="W3628">
        <v>0.20390730000000001</v>
      </c>
      <c r="X3628">
        <v>0.96151390000000003</v>
      </c>
      <c r="Y3628">
        <v>-0.31160480000000002</v>
      </c>
      <c r="Z3628">
        <v>-6.5548430000000003E-3</v>
      </c>
      <c r="AA3628">
        <v>0.95018919999999996</v>
      </c>
      <c r="AB3628">
        <v>30</v>
      </c>
      <c r="AC3628">
        <v>128.1352</v>
      </c>
      <c r="AD3628">
        <v>1.3372459999999999</v>
      </c>
      <c r="AE3628">
        <v>-27.377399999999898</v>
      </c>
      <c r="AF3628">
        <v>-40.9164717913742</v>
      </c>
      <c r="AG3628">
        <v>1.3372459999999999</v>
      </c>
      <c r="AH3628">
        <v>124.460507595468</v>
      </c>
      <c r="AI3628">
        <v>89.415206786900001</v>
      </c>
      <c r="AJ3628">
        <v>108.198312859213</v>
      </c>
      <c r="AK3628">
        <v>131.02047107853201</v>
      </c>
      <c r="AL3628">
        <v>78.234459587998899</v>
      </c>
      <c r="AM3628">
        <v>100.84231251995701</v>
      </c>
      <c r="AN3628">
        <v>1.00000004179382</v>
      </c>
    </row>
    <row r="3629" spans="1:40" x14ac:dyDescent="0.25">
      <c r="A3629" t="str">
        <f>"20190312172148132"</f>
        <v>20190312172148132</v>
      </c>
      <c r="B3629" t="str">
        <f>"1552382508124120"</f>
        <v>1552382508124120</v>
      </c>
      <c r="C3629" t="s">
        <v>40</v>
      </c>
      <c r="D3629">
        <v>3.6487479999999999</v>
      </c>
      <c r="E3629">
        <v>0.44554709999999997</v>
      </c>
      <c r="F3629" t="s">
        <v>58</v>
      </c>
      <c r="G3629">
        <v>-349.98500000000001</v>
      </c>
      <c r="H3629">
        <v>2.6222650000000001</v>
      </c>
      <c r="I3629">
        <v>194.0779</v>
      </c>
      <c r="J3629">
        <v>-477.98950000000002</v>
      </c>
      <c r="K3629">
        <v>1.141276</v>
      </c>
      <c r="L3629">
        <v>220.8443</v>
      </c>
      <c r="M3629">
        <v>0.86640550000000005</v>
      </c>
      <c r="N3629">
        <v>0</v>
      </c>
      <c r="O3629">
        <v>-0.49929560000000001</v>
      </c>
      <c r="P3629">
        <v>0.92159279999999999</v>
      </c>
      <c r="Q3629">
        <v>0.20849129999999999</v>
      </c>
      <c r="R3629">
        <v>-0.32741239999999999</v>
      </c>
      <c r="S3629">
        <v>3.02121</v>
      </c>
      <c r="T3629">
        <v>3.4984229999999998E-2</v>
      </c>
      <c r="U3629">
        <v>-0.63403319999999996</v>
      </c>
      <c r="V3629">
        <v>-0.18475929999999999</v>
      </c>
      <c r="W3629">
        <v>0.2079211</v>
      </c>
      <c r="X3629">
        <v>0.9605378</v>
      </c>
      <c r="Y3629">
        <v>-0.31066149999999998</v>
      </c>
      <c r="Z3629">
        <v>-7.2220950000000004E-3</v>
      </c>
      <c r="AA3629">
        <v>0.95049320000000004</v>
      </c>
      <c r="AB3629">
        <v>30</v>
      </c>
      <c r="AC3629">
        <v>128.00450000000001</v>
      </c>
      <c r="AD3629">
        <v>1.4809889999999899</v>
      </c>
      <c r="AE3629">
        <v>-26.766400000000001</v>
      </c>
      <c r="AF3629">
        <v>-40.717230035866798</v>
      </c>
      <c r="AG3629">
        <v>1.4809889999999899</v>
      </c>
      <c r="AH3629">
        <v>124.255034321905</v>
      </c>
      <c r="AI3629">
        <v>89.351076774786804</v>
      </c>
      <c r="AJ3629">
        <v>108.143493306555</v>
      </c>
      <c r="AK3629">
        <v>130.764672999054</v>
      </c>
      <c r="AL3629">
        <v>77.999449141289503</v>
      </c>
      <c r="AM3629">
        <v>100.887856250376</v>
      </c>
      <c r="AN3629">
        <v>1.00000002399526</v>
      </c>
    </row>
    <row r="3630" spans="1:40" x14ac:dyDescent="0.25">
      <c r="A3630" t="str">
        <f>"20190312172148155"</f>
        <v>20190312172148155</v>
      </c>
      <c r="B3630" t="str">
        <f>"1552382508144619"</f>
        <v>1552382508144619</v>
      </c>
      <c r="C3630" t="s">
        <v>40</v>
      </c>
      <c r="D3630">
        <v>3.8036449999999999</v>
      </c>
      <c r="E3630">
        <v>0.44699109999999997</v>
      </c>
      <c r="F3630" t="s">
        <v>58</v>
      </c>
      <c r="G3630">
        <v>-349.98500000000001</v>
      </c>
      <c r="H3630">
        <v>2.8043459999999998</v>
      </c>
      <c r="I3630">
        <v>194.3329</v>
      </c>
      <c r="J3630">
        <v>-477.73079999999999</v>
      </c>
      <c r="K3630">
        <v>1.1454580000000001</v>
      </c>
      <c r="L3630">
        <v>220.69739999999999</v>
      </c>
      <c r="M3630">
        <v>0.86848939999999997</v>
      </c>
      <c r="N3630">
        <v>0</v>
      </c>
      <c r="O3630">
        <v>-0.49565910000000002</v>
      </c>
      <c r="P3630">
        <v>0.92190649999999996</v>
      </c>
      <c r="Q3630">
        <v>0.2124249</v>
      </c>
      <c r="R3630">
        <v>-0.3239823</v>
      </c>
      <c r="S3630">
        <v>3.0238649999999998</v>
      </c>
      <c r="T3630">
        <v>3.928649E-2</v>
      </c>
      <c r="U3630">
        <v>-0.62628169999999905</v>
      </c>
      <c r="V3630">
        <v>-0.1849797</v>
      </c>
      <c r="W3630">
        <v>0.21125099999999999</v>
      </c>
      <c r="X3630">
        <v>0.95976850000000002</v>
      </c>
      <c r="Y3630">
        <v>-0.30916779999999999</v>
      </c>
      <c r="Z3630">
        <v>-8.0565749999999998E-3</v>
      </c>
      <c r="AA3630">
        <v>0.95097339999999997</v>
      </c>
      <c r="AB3630">
        <v>30</v>
      </c>
      <c r="AC3630">
        <v>127.74579999999899</v>
      </c>
      <c r="AD3630">
        <v>1.6588879999999899</v>
      </c>
      <c r="AE3630">
        <v>-26.3644999999999</v>
      </c>
      <c r="AF3630">
        <v>-40.415517100248998</v>
      </c>
      <c r="AG3630">
        <v>1.6588879999999899</v>
      </c>
      <c r="AH3630">
        <v>123.996611936115</v>
      </c>
      <c r="AI3630">
        <v>89.271243690202695</v>
      </c>
      <c r="AJ3630">
        <v>108.05288653574701</v>
      </c>
      <c r="AK3630">
        <v>130.42747296299399</v>
      </c>
      <c r="AL3630">
        <v>77.804326184456102</v>
      </c>
      <c r="AM3630">
        <v>100.90906118461299</v>
      </c>
      <c r="AN3630">
        <v>1.0000000240026601</v>
      </c>
    </row>
    <row r="3631" spans="1:40" x14ac:dyDescent="0.25">
      <c r="A3631" t="str">
        <f>"20190312172148178"</f>
        <v>20190312172148178</v>
      </c>
      <c r="B3631" t="str">
        <f>"1552382508173896"</f>
        <v>1552382508173896</v>
      </c>
      <c r="C3631" t="s">
        <v>40</v>
      </c>
      <c r="D3631">
        <v>3.7162769999999998</v>
      </c>
      <c r="E3631">
        <v>0.4482952</v>
      </c>
      <c r="F3631" t="s">
        <v>57</v>
      </c>
      <c r="G3631">
        <v>-362.7056</v>
      </c>
      <c r="H3631">
        <v>3.2626219999999999</v>
      </c>
      <c r="I3631">
        <v>196.9769</v>
      </c>
      <c r="J3631">
        <v>-477.4699</v>
      </c>
      <c r="K3631">
        <v>1.149305</v>
      </c>
      <c r="L3631">
        <v>220.55160000000001</v>
      </c>
      <c r="M3631">
        <v>0.87042520000000001</v>
      </c>
      <c r="N3631">
        <v>0</v>
      </c>
      <c r="O3631">
        <v>-0.4922475</v>
      </c>
      <c r="P3631">
        <v>0.92221620000000004</v>
      </c>
      <c r="Q3631">
        <v>0.2170078</v>
      </c>
      <c r="R3631">
        <v>-0.3200384</v>
      </c>
      <c r="S3631">
        <v>3.0222470000000001</v>
      </c>
      <c r="T3631">
        <v>5.563009E-2</v>
      </c>
      <c r="U3631">
        <v>-0.62324519999999906</v>
      </c>
      <c r="V3631">
        <v>-0.1857994</v>
      </c>
      <c r="W3631">
        <v>0.21538930000000001</v>
      </c>
      <c r="X3631">
        <v>0.95868969999999998</v>
      </c>
      <c r="Y3631">
        <v>-0.30619099999999999</v>
      </c>
      <c r="Z3631">
        <v>-1.133471E-2</v>
      </c>
      <c r="AA3631">
        <v>0.95190260000000004</v>
      </c>
      <c r="AB3631">
        <v>30</v>
      </c>
      <c r="AC3631">
        <v>114.76430000000001</v>
      </c>
      <c r="AD3631">
        <v>2.1133169999999999</v>
      </c>
      <c r="AE3631">
        <v>-23.5747</v>
      </c>
      <c r="AF3631">
        <v>-35.961668238836502</v>
      </c>
      <c r="AG3631">
        <v>2.1133169999999999</v>
      </c>
      <c r="AH3631">
        <v>111.464979217609</v>
      </c>
      <c r="AI3631">
        <v>88.966287494906695</v>
      </c>
      <c r="AJ3631">
        <v>107.881128428626</v>
      </c>
      <c r="AK3631">
        <v>117.141577944147</v>
      </c>
      <c r="AL3631">
        <v>77.561631746668297</v>
      </c>
      <c r="AM3631">
        <v>100.96826516586501</v>
      </c>
      <c r="AN3631">
        <v>0.99999995424046895</v>
      </c>
    </row>
    <row r="3632" spans="1:40" x14ac:dyDescent="0.25">
      <c r="A3632" t="str">
        <f>"20190312172148199"</f>
        <v>20190312172148199</v>
      </c>
      <c r="B3632" t="str">
        <f>"1552382508194392"</f>
        <v>1552382508194392</v>
      </c>
      <c r="C3632" t="s">
        <v>40</v>
      </c>
      <c r="D3632">
        <v>3.636091</v>
      </c>
      <c r="E3632">
        <v>0.46067970000000003</v>
      </c>
      <c r="F3632" t="s">
        <v>57</v>
      </c>
      <c r="G3632">
        <v>-362.76010000000002</v>
      </c>
      <c r="H3632">
        <v>3.9176440000000001</v>
      </c>
      <c r="I3632">
        <v>197.0428</v>
      </c>
      <c r="J3632">
        <v>-477.22669999999999</v>
      </c>
      <c r="K3632">
        <v>1.1524639999999999</v>
      </c>
      <c r="L3632">
        <v>220.41759999999999</v>
      </c>
      <c r="M3632">
        <v>0.87230390000000002</v>
      </c>
      <c r="N3632">
        <v>0</v>
      </c>
      <c r="O3632">
        <v>-0.48890620000000001</v>
      </c>
      <c r="P3632">
        <v>0.92220679999999999</v>
      </c>
      <c r="Q3632">
        <v>0.22566910000000001</v>
      </c>
      <c r="R3632">
        <v>-0.31401990000000002</v>
      </c>
      <c r="S3632">
        <v>3.0209959999999998</v>
      </c>
      <c r="T3632">
        <v>7.2909360000000006E-2</v>
      </c>
      <c r="U3632">
        <v>-0.61912539999999905</v>
      </c>
      <c r="V3632">
        <v>-0.18833920000000001</v>
      </c>
      <c r="W3632">
        <v>0.22377910000000001</v>
      </c>
      <c r="X3632">
        <v>0.95626940000000005</v>
      </c>
      <c r="Y3632">
        <v>-0.30362250000000002</v>
      </c>
      <c r="Z3632">
        <v>-1.476384E-2</v>
      </c>
      <c r="AA3632">
        <v>0.95267800000000002</v>
      </c>
      <c r="AB3632">
        <v>30</v>
      </c>
      <c r="AC3632">
        <v>114.466599999999</v>
      </c>
      <c r="AD3632">
        <v>2.76518</v>
      </c>
      <c r="AE3632">
        <v>-23.3748</v>
      </c>
      <c r="AF3632">
        <v>-35.554590765238203</v>
      </c>
      <c r="AG3632">
        <v>2.76518</v>
      </c>
      <c r="AH3632">
        <v>111.218592267652</v>
      </c>
      <c r="AI3632">
        <v>88.643380869692905</v>
      </c>
      <c r="AJ3632">
        <v>107.72814656167</v>
      </c>
      <c r="AK3632">
        <v>116.79619176545999</v>
      </c>
      <c r="AL3632">
        <v>77.068904134607195</v>
      </c>
      <c r="AM3632">
        <v>101.141915443144</v>
      </c>
      <c r="AN3632">
        <v>0.99999995261490304</v>
      </c>
    </row>
    <row r="3633" spans="1:40" x14ac:dyDescent="0.25">
      <c r="A3633" t="str">
        <f>"20190312172148222"</f>
        <v>20190312172148222</v>
      </c>
      <c r="B3633" t="str">
        <f>"1552382508213913"</f>
        <v>1552382508213913</v>
      </c>
      <c r="C3633" t="s">
        <v>40</v>
      </c>
      <c r="D3633">
        <v>3.693835</v>
      </c>
      <c r="E3633">
        <v>0.46262959999999897</v>
      </c>
      <c r="F3633" t="s">
        <v>43</v>
      </c>
      <c r="G3633">
        <v>-383.47239999999999</v>
      </c>
      <c r="H3633">
        <v>-0.05</v>
      </c>
      <c r="I3633">
        <v>198.52010000000001</v>
      </c>
      <c r="J3633">
        <v>-476.95030000000003</v>
      </c>
      <c r="K3633">
        <v>1.155527</v>
      </c>
      <c r="L3633">
        <v>220.26750000000001</v>
      </c>
      <c r="M3633">
        <v>0.87460819999999995</v>
      </c>
      <c r="N3633">
        <v>0</v>
      </c>
      <c r="O3633">
        <v>-0.4847651</v>
      </c>
      <c r="P3633">
        <v>0.923041</v>
      </c>
      <c r="Q3633">
        <v>0.23182140000000001</v>
      </c>
      <c r="R3633">
        <v>-0.30700850000000002</v>
      </c>
      <c r="S3633">
        <v>3.022186</v>
      </c>
      <c r="T3633">
        <v>-3.8761619999999997E-2</v>
      </c>
      <c r="U3633">
        <v>-0.70587159999999904</v>
      </c>
      <c r="V3633">
        <v>-0.19109490000000001</v>
      </c>
      <c r="W3633">
        <v>0.2298675</v>
      </c>
      <c r="X3633">
        <v>0.95427660000000003</v>
      </c>
      <c r="Y3633">
        <v>-0.27309129999999998</v>
      </c>
      <c r="Z3633">
        <v>7.5748530000000003E-3</v>
      </c>
      <c r="AA3633">
        <v>0.96195830000000004</v>
      </c>
      <c r="AB3633">
        <v>30</v>
      </c>
      <c r="AC3633">
        <v>93.477900000000005</v>
      </c>
      <c r="AD3633">
        <v>-1.205527</v>
      </c>
      <c r="AE3633">
        <v>-21.747399999999999</v>
      </c>
      <c r="AF3633">
        <v>-26.291053228368298</v>
      </c>
      <c r="AG3633">
        <v>-1.205527</v>
      </c>
      <c r="AH3633">
        <v>92.287278713607506</v>
      </c>
      <c r="AI3633">
        <v>90.719764245082402</v>
      </c>
      <c r="AJ3633">
        <v>105.901338180759</v>
      </c>
      <c r="AK3633">
        <v>95.966736880899006</v>
      </c>
      <c r="AL3633">
        <v>76.710730020199307</v>
      </c>
      <c r="AM3633">
        <v>101.323763188096</v>
      </c>
      <c r="AN3633">
        <v>1.0000000788348999</v>
      </c>
    </row>
    <row r="3634" spans="1:40" x14ac:dyDescent="0.25">
      <c r="A3634" t="str">
        <f>"20190312172148247"</f>
        <v>20190312172148247</v>
      </c>
      <c r="B3634" t="str">
        <f>"1552382508234408"</f>
        <v>1552382508234408</v>
      </c>
      <c r="C3634" t="s">
        <v>40</v>
      </c>
      <c r="D3634">
        <v>3.5646019999999998</v>
      </c>
      <c r="E3634">
        <v>0.46435979999999999</v>
      </c>
      <c r="F3634" t="s">
        <v>55</v>
      </c>
      <c r="G3634">
        <v>-387.68450000000001</v>
      </c>
      <c r="H3634">
        <v>0.4019084</v>
      </c>
      <c r="I3634">
        <v>199.57599999999999</v>
      </c>
      <c r="J3634">
        <v>-476.66989999999998</v>
      </c>
      <c r="K3634">
        <v>1.1581790000000001</v>
      </c>
      <c r="L3634">
        <v>220.11709999999999</v>
      </c>
      <c r="M3634">
        <v>0.87706019999999896</v>
      </c>
      <c r="N3634">
        <v>0</v>
      </c>
      <c r="O3634">
        <v>-0.4803057</v>
      </c>
      <c r="P3634">
        <v>0.92588130000000002</v>
      </c>
      <c r="Q3634">
        <v>0.22765589999999999</v>
      </c>
      <c r="R3634">
        <v>-0.30152390000000001</v>
      </c>
      <c r="S3634">
        <v>3.0234380000000001</v>
      </c>
      <c r="T3634">
        <v>-2.552509E-2</v>
      </c>
      <c r="U3634">
        <v>-0.70082089999999997</v>
      </c>
      <c r="V3634">
        <v>-0.19251299999999999</v>
      </c>
      <c r="W3634">
        <v>0.22586390000000001</v>
      </c>
      <c r="X3634">
        <v>0.9549472</v>
      </c>
      <c r="Y3634">
        <v>-0.26983800000000002</v>
      </c>
      <c r="Z3634">
        <v>4.9418839999999997E-3</v>
      </c>
      <c r="AA3634">
        <v>0.96289309999999995</v>
      </c>
      <c r="AB3634">
        <v>30</v>
      </c>
      <c r="AC3634">
        <v>88.985399999999899</v>
      </c>
      <c r="AD3634">
        <v>-0.75627060000000002</v>
      </c>
      <c r="AE3634">
        <v>-20.5411</v>
      </c>
      <c r="AF3634">
        <v>-24.723606272223499</v>
      </c>
      <c r="AG3634">
        <v>-0.75627060000000002</v>
      </c>
      <c r="AH3634">
        <v>87.908689686965701</v>
      </c>
      <c r="AI3634">
        <v>90.474490882488894</v>
      </c>
      <c r="AJ3634">
        <v>105.708207364315</v>
      </c>
      <c r="AK3634">
        <v>91.322321339328496</v>
      </c>
      <c r="AL3634">
        <v>76.946315630336699</v>
      </c>
      <c r="AM3634">
        <v>101.397801523265</v>
      </c>
      <c r="AN3634">
        <v>0.99999995564002397</v>
      </c>
    </row>
    <row r="3635" spans="1:40" x14ac:dyDescent="0.25">
      <c r="A3635" t="str">
        <f>"20190312172148268"</f>
        <v>20190312172148268</v>
      </c>
      <c r="B3635" t="str">
        <f>"1552382508263688"</f>
        <v>1552382508263688</v>
      </c>
      <c r="C3635" t="s">
        <v>40</v>
      </c>
      <c r="D3635">
        <v>3.4345599999999998</v>
      </c>
      <c r="E3635">
        <v>0.46534500000000001</v>
      </c>
      <c r="F3635" t="s">
        <v>43</v>
      </c>
      <c r="G3635">
        <v>-386.61590000000001</v>
      </c>
      <c r="H3635">
        <v>-0.05</v>
      </c>
      <c r="I3635">
        <v>199.39250000000001</v>
      </c>
      <c r="J3635">
        <v>-476.41980000000001</v>
      </c>
      <c r="K3635">
        <v>1.1602709999999901</v>
      </c>
      <c r="L3635">
        <v>219.9847</v>
      </c>
      <c r="M3635">
        <v>0.87926229999999905</v>
      </c>
      <c r="N3635">
        <v>0</v>
      </c>
      <c r="O3635">
        <v>-0.47625450000000003</v>
      </c>
      <c r="P3635">
        <v>0.92739289999999996</v>
      </c>
      <c r="Q3635">
        <v>0.2267586</v>
      </c>
      <c r="R3635">
        <v>-0.29752849999999997</v>
      </c>
      <c r="S3635">
        <v>3.0234990000000002</v>
      </c>
      <c r="T3635">
        <v>-4.0563700000000001E-2</v>
      </c>
      <c r="U3635">
        <v>-0.69581599999999999</v>
      </c>
      <c r="V3635">
        <v>-0.19252420000000001</v>
      </c>
      <c r="W3635">
        <v>0.22523029999999999</v>
      </c>
      <c r="X3635">
        <v>0.95509460000000002</v>
      </c>
      <c r="Y3635">
        <v>-0.26687850000000002</v>
      </c>
      <c r="Z3635">
        <v>7.7889969999999998E-3</v>
      </c>
      <c r="AA3635">
        <v>0.96369870000000002</v>
      </c>
      <c r="AB3635">
        <v>30</v>
      </c>
      <c r="AC3635">
        <v>89.803899999999999</v>
      </c>
      <c r="AD3635">
        <v>-1.2102710000000001</v>
      </c>
      <c r="AE3635">
        <v>-20.592199999999899</v>
      </c>
      <c r="AF3635">
        <v>-24.6602911056377</v>
      </c>
      <c r="AG3635">
        <v>-1.2102710000000001</v>
      </c>
      <c r="AH3635">
        <v>88.756523393571598</v>
      </c>
      <c r="AI3635">
        <v>90.752718495684306</v>
      </c>
      <c r="AJ3635">
        <v>105.527527695269</v>
      </c>
      <c r="AK3635">
        <v>92.126625674784407</v>
      </c>
      <c r="AL3635">
        <v>76.983578676496606</v>
      </c>
      <c r="AM3635">
        <v>101.39673417854</v>
      </c>
      <c r="AN3635">
        <v>0.99999997528644402</v>
      </c>
    </row>
    <row r="3636" spans="1:40" x14ac:dyDescent="0.25">
      <c r="A3636" t="str">
        <f>"20190312172148289"</f>
        <v>20190312172148289</v>
      </c>
      <c r="B3636" t="str">
        <f>"1552382508284185"</f>
        <v>1552382508284185</v>
      </c>
      <c r="C3636" t="s">
        <v>40</v>
      </c>
      <c r="D3636">
        <v>3.5413519999999998</v>
      </c>
      <c r="E3636">
        <v>0.46679120000000002</v>
      </c>
      <c r="F3636" t="s">
        <v>43</v>
      </c>
      <c r="G3636">
        <v>-386.66480000000001</v>
      </c>
      <c r="H3636">
        <v>-0.05</v>
      </c>
      <c r="I3636">
        <v>199.5573</v>
      </c>
      <c r="J3636">
        <v>-476.17610000000002</v>
      </c>
      <c r="K3636">
        <v>1.162088</v>
      </c>
      <c r="L3636">
        <v>219.85730000000001</v>
      </c>
      <c r="M3636">
        <v>0.88138340000000004</v>
      </c>
      <c r="N3636">
        <v>0</v>
      </c>
      <c r="O3636">
        <v>-0.47230879999999997</v>
      </c>
      <c r="P3636">
        <v>0.9298959</v>
      </c>
      <c r="Q3636">
        <v>0.22266620000000001</v>
      </c>
      <c r="R3636">
        <v>-0.29276829999999998</v>
      </c>
      <c r="S3636">
        <v>3.0240480000000001</v>
      </c>
      <c r="T3636">
        <v>-4.0776729999999997E-2</v>
      </c>
      <c r="U3636">
        <v>-0.68824770000000002</v>
      </c>
      <c r="V3636">
        <v>-0.19359080000000001</v>
      </c>
      <c r="W3636">
        <v>0.22135340000000001</v>
      </c>
      <c r="X3636">
        <v>0.9557852</v>
      </c>
      <c r="Y3636">
        <v>-0.26489049999999997</v>
      </c>
      <c r="Z3636">
        <v>7.7725869999999897E-3</v>
      </c>
      <c r="AA3636">
        <v>0.96424719999999997</v>
      </c>
      <c r="AB3636">
        <v>30</v>
      </c>
      <c r="AC3636">
        <v>89.511300000000006</v>
      </c>
      <c r="AD3636">
        <v>-1.2120879999999901</v>
      </c>
      <c r="AE3636">
        <v>-20.3</v>
      </c>
      <c r="AF3636">
        <v>-24.381708992140702</v>
      </c>
      <c r="AG3636">
        <v>-1.2120879999999901</v>
      </c>
      <c r="AH3636">
        <v>88.470094089079097</v>
      </c>
      <c r="AI3636">
        <v>90.756726131038604</v>
      </c>
      <c r="AJ3636">
        <v>105.40781619783201</v>
      </c>
      <c r="AK3636">
        <v>91.776328314155705</v>
      </c>
      <c r="AL3636">
        <v>77.211463357777404</v>
      </c>
      <c r="AM3636">
        <v>101.450147081217</v>
      </c>
      <c r="AN3636">
        <v>1.0000000370376101</v>
      </c>
    </row>
    <row r="3637" spans="1:40" x14ac:dyDescent="0.25">
      <c r="A3637" t="str">
        <f>"20190312172148312"</f>
        <v>20190312172148312</v>
      </c>
      <c r="B3637" t="str">
        <f>"1552382508303705"</f>
        <v>1552382508303705</v>
      </c>
      <c r="C3637" t="s">
        <v>40</v>
      </c>
      <c r="D3637">
        <v>3.5449989999999998</v>
      </c>
      <c r="E3637">
        <v>0.46826200000000001</v>
      </c>
      <c r="F3637" t="s">
        <v>47</v>
      </c>
      <c r="G3637">
        <v>-412.50889999999998</v>
      </c>
      <c r="H3637" s="1">
        <v>4.3010750000000002E-6</v>
      </c>
      <c r="I3637">
        <v>205.4622</v>
      </c>
      <c r="J3637">
        <v>-475.90370000000001</v>
      </c>
      <c r="K3637">
        <v>1.163834</v>
      </c>
      <c r="L3637">
        <v>219.7166</v>
      </c>
      <c r="M3637">
        <v>0.88350450000000003</v>
      </c>
      <c r="N3637">
        <v>0</v>
      </c>
      <c r="O3637">
        <v>-0.46832279999999998</v>
      </c>
      <c r="P3637">
        <v>0.93303440000000004</v>
      </c>
      <c r="Q3637">
        <v>0.21459790000000001</v>
      </c>
      <c r="R3637">
        <v>-0.28878130000000002</v>
      </c>
      <c r="S3637">
        <v>3.0241090000000002</v>
      </c>
      <c r="T3637">
        <v>-5.519748E-2</v>
      </c>
      <c r="U3637">
        <v>-0.68374630000000003</v>
      </c>
      <c r="V3637">
        <v>-0.1940035</v>
      </c>
      <c r="W3637">
        <v>0.21342330000000001</v>
      </c>
      <c r="X3637">
        <v>0.95750360000000001</v>
      </c>
      <c r="Y3637">
        <v>-0.26185580000000003</v>
      </c>
      <c r="Z3637">
        <v>1.0433110000000001E-2</v>
      </c>
      <c r="AA3637">
        <v>0.96505059999999998</v>
      </c>
      <c r="AB3637">
        <v>30</v>
      </c>
      <c r="AC3637">
        <v>63.394799999999996</v>
      </c>
      <c r="AD3637">
        <v>-1.1638296989249901</v>
      </c>
      <c r="AE3637">
        <v>-14.2544</v>
      </c>
      <c r="AF3637">
        <v>-17.090720500104801</v>
      </c>
      <c r="AG3637">
        <v>-1.1638296989249901</v>
      </c>
      <c r="AH3637">
        <v>62.668079299717</v>
      </c>
      <c r="AI3637">
        <v>91.026458123958506</v>
      </c>
      <c r="AJ3637">
        <v>105.254630364558</v>
      </c>
      <c r="AK3637">
        <v>64.967187024654393</v>
      </c>
      <c r="AL3637">
        <v>77.676957837438096</v>
      </c>
      <c r="AM3637">
        <v>101.45386282683801</v>
      </c>
      <c r="AN3637">
        <v>1.0000000035040499</v>
      </c>
    </row>
    <row r="3638" spans="1:40" x14ac:dyDescent="0.25">
      <c r="A3638" t="str">
        <f>"20190312172148333"</f>
        <v>20190312172148333</v>
      </c>
      <c r="B3638" t="str">
        <f>"1552382508324204"</f>
        <v>1552382508324204</v>
      </c>
      <c r="C3638" t="s">
        <v>40</v>
      </c>
      <c r="D3638">
        <v>3.595917</v>
      </c>
      <c r="E3638">
        <v>0.46826200000000001</v>
      </c>
      <c r="F3638" t="s">
        <v>47</v>
      </c>
      <c r="G3638">
        <v>-434.94600000000003</v>
      </c>
      <c r="H3638" s="1">
        <v>4.7692479999999996E-6</v>
      </c>
      <c r="I3638">
        <v>210.5111</v>
      </c>
      <c r="J3638">
        <v>-475.64420000000001</v>
      </c>
      <c r="K3638">
        <v>1.165143</v>
      </c>
      <c r="L3638">
        <v>219.58449999999999</v>
      </c>
      <c r="M3638">
        <v>0.88517389999999996</v>
      </c>
      <c r="N3638">
        <v>0</v>
      </c>
      <c r="O3638">
        <v>-0.46515390000000001</v>
      </c>
      <c r="P3638">
        <v>0.93653770000000003</v>
      </c>
      <c r="Q3638">
        <v>0.20224210000000001</v>
      </c>
      <c r="R3638">
        <v>-0.28634850000000001</v>
      </c>
      <c r="S3638">
        <v>3.024689</v>
      </c>
      <c r="T3638">
        <v>-8.5947869999999996E-2</v>
      </c>
      <c r="U3638">
        <v>-0.67982480000000001</v>
      </c>
      <c r="V3638">
        <v>-0.19377079999999999</v>
      </c>
      <c r="W3638">
        <v>0.20126479999999999</v>
      </c>
      <c r="X3638">
        <v>0.96017989999999998</v>
      </c>
      <c r="Y3638">
        <v>-0.25947619999999999</v>
      </c>
      <c r="Z3638">
        <v>1.6132480000000001E-2</v>
      </c>
      <c r="AA3638">
        <v>0.96561470000000005</v>
      </c>
      <c r="AB3638">
        <v>30</v>
      </c>
      <c r="AC3638">
        <v>40.6982</v>
      </c>
      <c r="AD3638">
        <v>-1.165138230752</v>
      </c>
      <c r="AE3638">
        <v>-9.0733999999999906</v>
      </c>
      <c r="AF3638">
        <v>-10.891425252022801</v>
      </c>
      <c r="AG3638">
        <v>-1.165138230752</v>
      </c>
      <c r="AH3638">
        <v>40.216103853828699</v>
      </c>
      <c r="AI3638">
        <v>91.601833193782696</v>
      </c>
      <c r="AJ3638">
        <v>105.153489053464</v>
      </c>
      <c r="AK3638">
        <v>41.681119230403297</v>
      </c>
      <c r="AL3638">
        <v>78.389069649650907</v>
      </c>
      <c r="AM3638">
        <v>101.409436303418</v>
      </c>
      <c r="AN3638">
        <v>1.0000000415078401</v>
      </c>
    </row>
    <row r="3639" spans="1:40" x14ac:dyDescent="0.25">
      <c r="A3639" t="str">
        <f>"20190312172148557"</f>
        <v>20190312172148557</v>
      </c>
      <c r="B3639" t="str">
        <f>"1552382508554537"</f>
        <v>1552382508554537</v>
      </c>
      <c r="C3639" t="s">
        <v>40</v>
      </c>
      <c r="D3639">
        <v>3.3400409999999998</v>
      </c>
      <c r="E3639">
        <v>0.47477780000000003</v>
      </c>
      <c r="F3639" t="s">
        <v>46</v>
      </c>
      <c r="G3639">
        <v>-447.34359999999998</v>
      </c>
      <c r="H3639" s="1">
        <v>2.4269220000000002E-6</v>
      </c>
      <c r="I3639">
        <v>213.33930000000001</v>
      </c>
      <c r="J3639">
        <v>-472.98360000000002</v>
      </c>
      <c r="K3639">
        <v>1.160045</v>
      </c>
      <c r="L3639">
        <v>218.32159999999999</v>
      </c>
      <c r="M3639">
        <v>0.90522460000000005</v>
      </c>
      <c r="N3639">
        <v>0</v>
      </c>
      <c r="O3639">
        <v>-0.42454310000000001</v>
      </c>
      <c r="P3639">
        <v>0.95683759999999995</v>
      </c>
      <c r="Q3639">
        <v>0.17852279999999901</v>
      </c>
      <c r="R3639">
        <v>-0.22932920000000001</v>
      </c>
      <c r="S3639">
        <v>3.0260310000000001</v>
      </c>
      <c r="T3639">
        <v>-0.1245821</v>
      </c>
      <c r="U3639">
        <v>-0.66777039999999999</v>
      </c>
      <c r="V3639">
        <v>-0.20696909999999999</v>
      </c>
      <c r="W3639">
        <v>0.1872529</v>
      </c>
      <c r="X3639">
        <v>0.96026049999999996</v>
      </c>
      <c r="Y3639">
        <v>-0.2190464</v>
      </c>
      <c r="Z3639">
        <v>2.1096759999999999E-2</v>
      </c>
      <c r="AA3639">
        <v>0.97548630000000003</v>
      </c>
      <c r="AB3639">
        <v>30</v>
      </c>
      <c r="AC3639">
        <v>25.64</v>
      </c>
      <c r="AD3639">
        <v>-1.160042573078</v>
      </c>
      <c r="AE3639">
        <v>-4.98229999999998</v>
      </c>
      <c r="AF3639">
        <v>-6.3636894388243697</v>
      </c>
      <c r="AG3639">
        <v>-1.160042573078</v>
      </c>
      <c r="AH3639">
        <v>25.279495934869399</v>
      </c>
      <c r="AI3639">
        <v>92.548001010135394</v>
      </c>
      <c r="AJ3639">
        <v>104.129671058168</v>
      </c>
      <c r="AK3639">
        <v>26.093967823354099</v>
      </c>
      <c r="AL3639">
        <v>79.207490656946504</v>
      </c>
      <c r="AM3639">
        <v>102.163138964426</v>
      </c>
      <c r="AN3639">
        <v>1.0000000423867299</v>
      </c>
    </row>
    <row r="3640" spans="1:40" x14ac:dyDescent="0.25">
      <c r="A3640" t="str">
        <f>"20190312172148579"</f>
        <v>20190312172148579</v>
      </c>
      <c r="B3640" t="str">
        <f>"1552382508574563"</f>
        <v>1552382508574563</v>
      </c>
      <c r="C3640" t="s">
        <v>40</v>
      </c>
      <c r="D3640">
        <v>3.26355</v>
      </c>
      <c r="E3640">
        <v>0.4658524</v>
      </c>
      <c r="F3640" t="s">
        <v>46</v>
      </c>
      <c r="G3640">
        <v>-463.00319999999999</v>
      </c>
      <c r="H3640" s="1">
        <v>-2.0184520000000001E-8</v>
      </c>
      <c r="I3640">
        <v>216.482</v>
      </c>
      <c r="J3640">
        <v>-472.72089999999997</v>
      </c>
      <c r="K3640">
        <v>1.1579379999999999</v>
      </c>
      <c r="L3640">
        <v>218.2064</v>
      </c>
      <c r="M3640">
        <v>0.90743260000000003</v>
      </c>
      <c r="N3640">
        <v>0</v>
      </c>
      <c r="O3640">
        <v>-0.4197612</v>
      </c>
      <c r="P3640">
        <v>0.96077840000000003</v>
      </c>
      <c r="Q3640">
        <v>0.161552799999999</v>
      </c>
      <c r="R3640">
        <v>-0.2254013</v>
      </c>
      <c r="S3640">
        <v>3.0663450000000001</v>
      </c>
      <c r="T3640">
        <v>-0.35640919999999998</v>
      </c>
      <c r="U3640">
        <v>-0.5652161</v>
      </c>
      <c r="V3640">
        <v>-0.20598820000000001</v>
      </c>
      <c r="W3640">
        <v>0.17175379999999901</v>
      </c>
      <c r="X3640">
        <v>0.96336359999999999</v>
      </c>
      <c r="Y3640">
        <v>-0.2442463</v>
      </c>
      <c r="Z3640">
        <v>6.0640310000000003E-2</v>
      </c>
      <c r="AA3640">
        <v>0.96781530000000004</v>
      </c>
      <c r="AB3640">
        <v>30</v>
      </c>
      <c r="AC3640">
        <v>9.7176999999999794</v>
      </c>
      <c r="AD3640">
        <v>-1.15793802018452</v>
      </c>
      <c r="AE3640">
        <v>-1.7243999999999999</v>
      </c>
      <c r="AF3640">
        <v>-2.4806512459004599</v>
      </c>
      <c r="AG3640">
        <v>-1.15793802018452</v>
      </c>
      <c r="AH3640">
        <v>9.4141567698443094</v>
      </c>
      <c r="AI3640">
        <v>96.782880271665903</v>
      </c>
      <c r="AJ3640">
        <v>104.762012125742</v>
      </c>
      <c r="AK3640">
        <v>9.8041215185034201</v>
      </c>
      <c r="AL3640">
        <v>80.110195291207305</v>
      </c>
      <c r="AM3640">
        <v>102.06934474270101</v>
      </c>
      <c r="AN3640">
        <v>0.99999996607931896</v>
      </c>
    </row>
    <row r="3641" spans="1:40" x14ac:dyDescent="0.25">
      <c r="A3641" t="str">
        <f>"20190312172148602"</f>
        <v>20190312172148602</v>
      </c>
      <c r="B3641" t="str">
        <f>"1552382508594083"</f>
        <v>1552382508594083</v>
      </c>
      <c r="C3641" t="s">
        <v>40</v>
      </c>
      <c r="D3641">
        <v>3.2994370000000002</v>
      </c>
      <c r="E3641">
        <v>0.46639989999999998</v>
      </c>
      <c r="F3641" t="s">
        <v>47</v>
      </c>
      <c r="G3641">
        <v>-419.59300000000002</v>
      </c>
      <c r="H3641" s="1">
        <v>4.288742E-6</v>
      </c>
      <c r="I3641">
        <v>210.25409999999999</v>
      </c>
      <c r="J3641">
        <v>-472.4402</v>
      </c>
      <c r="K3641">
        <v>1.1554390000000001</v>
      </c>
      <c r="L3641">
        <v>218.08500000000001</v>
      </c>
      <c r="M3641">
        <v>0.91002669999999997</v>
      </c>
      <c r="N3641">
        <v>0</v>
      </c>
      <c r="O3641">
        <v>-0.41406579999999898</v>
      </c>
      <c r="P3641">
        <v>0.96434120000000001</v>
      </c>
      <c r="Q3641">
        <v>0.14556450000000001</v>
      </c>
      <c r="R3641">
        <v>-0.2210357</v>
      </c>
      <c r="S3641">
        <v>3.0272519999999998</v>
      </c>
      <c r="T3641">
        <v>-6.5979479999999993E-2</v>
      </c>
      <c r="U3641">
        <v>-0.453125</v>
      </c>
      <c r="V3641">
        <v>-0.20436199999999999</v>
      </c>
      <c r="W3641">
        <v>0.1572307</v>
      </c>
      <c r="X3641">
        <v>0.96618559999999998</v>
      </c>
      <c r="Y3641">
        <v>-0.27469199999999999</v>
      </c>
      <c r="Z3641">
        <v>1.1673070000000001E-2</v>
      </c>
      <c r="AA3641">
        <v>0.96146140000000002</v>
      </c>
      <c r="AB3641">
        <v>30</v>
      </c>
      <c r="AC3641">
        <v>52.847200000000001</v>
      </c>
      <c r="AD3641">
        <v>-1.1554347112579999</v>
      </c>
      <c r="AE3641">
        <v>-7.8309000000000104</v>
      </c>
      <c r="AF3641">
        <v>-14.751948676763901</v>
      </c>
      <c r="AG3641">
        <v>-1.1554347112579999</v>
      </c>
      <c r="AH3641">
        <v>51.321159051191898</v>
      </c>
      <c r="AI3641">
        <v>91.239552744235198</v>
      </c>
      <c r="AJ3641">
        <v>106.036968763331</v>
      </c>
      <c r="AK3641">
        <v>53.411762613600303</v>
      </c>
      <c r="AL3641">
        <v>80.9538071704809</v>
      </c>
      <c r="AM3641">
        <v>101.942848100455</v>
      </c>
      <c r="AN3641">
        <v>0.99999996685692405</v>
      </c>
    </row>
    <row r="3642" spans="1:40" x14ac:dyDescent="0.25">
      <c r="A3642" t="str">
        <f>"20190312172148625"</f>
        <v>20190312172148625</v>
      </c>
      <c r="B3642" t="str">
        <f>"1552382508614578"</f>
        <v>1552382508614578</v>
      </c>
      <c r="C3642" t="s">
        <v>40</v>
      </c>
      <c r="D3642">
        <v>3.2748159999999999</v>
      </c>
      <c r="E3642">
        <v>0.4679507</v>
      </c>
      <c r="F3642" t="s">
        <v>47</v>
      </c>
      <c r="G3642">
        <v>-427.65350000000001</v>
      </c>
      <c r="H3642" s="1">
        <v>2.870704E-6</v>
      </c>
      <c r="I3642">
        <v>211.59989999999999</v>
      </c>
      <c r="J3642">
        <v>-472.16469999999998</v>
      </c>
      <c r="K3642">
        <v>1.152903</v>
      </c>
      <c r="L3642">
        <v>217.9682</v>
      </c>
      <c r="M3642">
        <v>0.91258620000000001</v>
      </c>
      <c r="N3642">
        <v>0</v>
      </c>
      <c r="O3642">
        <v>-0.40836070000000002</v>
      </c>
      <c r="P3642">
        <v>0.96672360000000002</v>
      </c>
      <c r="Q3642">
        <v>0.13463889999999901</v>
      </c>
      <c r="R3642">
        <v>-0.21752779999999999</v>
      </c>
      <c r="S3642">
        <v>3.0224609999999998</v>
      </c>
      <c r="T3642">
        <v>-7.7975390000000006E-2</v>
      </c>
      <c r="U3642">
        <v>-0.4376526</v>
      </c>
      <c r="V3642">
        <v>-0.20175979999999999</v>
      </c>
      <c r="W3642">
        <v>0.14752399999999999</v>
      </c>
      <c r="X3642">
        <v>0.96826120000000004</v>
      </c>
      <c r="Y3642">
        <v>-0.27321279999999998</v>
      </c>
      <c r="Z3642">
        <v>1.36717E-2</v>
      </c>
      <c r="AA3642">
        <v>0.96185639999999994</v>
      </c>
      <c r="AB3642">
        <v>30</v>
      </c>
      <c r="AC3642">
        <v>44.511199999999903</v>
      </c>
      <c r="AD3642">
        <v>-1.1529001292959999</v>
      </c>
      <c r="AE3642">
        <v>-6.3682999999999996</v>
      </c>
      <c r="AF3642">
        <v>-12.3595234121735</v>
      </c>
      <c r="AG3642">
        <v>-1.1529001292959999</v>
      </c>
      <c r="AH3642">
        <v>43.201720025232099</v>
      </c>
      <c r="AI3642">
        <v>91.4697218225255</v>
      </c>
      <c r="AJ3642">
        <v>105.96522662894</v>
      </c>
      <c r="AK3642">
        <v>44.949700898034202</v>
      </c>
      <c r="AL3642">
        <v>81.516534536309806</v>
      </c>
      <c r="AM3642">
        <v>101.770484630021</v>
      </c>
      <c r="AN3642">
        <v>1.00000004944873</v>
      </c>
    </row>
    <row r="3643" spans="1:40" x14ac:dyDescent="0.25">
      <c r="A3643" t="str">
        <f>"20190312172148648"</f>
        <v>20190312172148648</v>
      </c>
      <c r="B3643" t="str">
        <f>"1552382508643858"</f>
        <v>1552382508643858</v>
      </c>
      <c r="C3643" t="s">
        <v>40</v>
      </c>
      <c r="D3643">
        <v>3.3334009999999998</v>
      </c>
      <c r="E3643">
        <v>0.46946510000000002</v>
      </c>
      <c r="F3643" t="s">
        <v>46</v>
      </c>
      <c r="G3643">
        <v>-440.88</v>
      </c>
      <c r="H3643" s="1">
        <v>-1.0169909999999999E-6</v>
      </c>
      <c r="I3643">
        <v>213.43770000000001</v>
      </c>
      <c r="J3643">
        <v>-471.88650000000001</v>
      </c>
      <c r="K3643">
        <v>1.1502969999999999</v>
      </c>
      <c r="L3643">
        <v>217.85249999999999</v>
      </c>
      <c r="M3643">
        <v>0.91510179999999997</v>
      </c>
      <c r="N3643">
        <v>0</v>
      </c>
      <c r="O3643">
        <v>-0.40266619999999997</v>
      </c>
      <c r="P3643">
        <v>0.96896420000000005</v>
      </c>
      <c r="Q3643">
        <v>0.12423530000000001</v>
      </c>
      <c r="R3643">
        <v>-0.21371570000000001</v>
      </c>
      <c r="S3643">
        <v>3.0203549999999999</v>
      </c>
      <c r="T3643">
        <v>-0.111306</v>
      </c>
      <c r="U3643">
        <v>-0.43739319999999998</v>
      </c>
      <c r="V3643">
        <v>-0.1994677</v>
      </c>
      <c r="W3643">
        <v>0.13809830000000001</v>
      </c>
      <c r="X3643">
        <v>0.97012449999999995</v>
      </c>
      <c r="Y3643">
        <v>-0.26698959999999999</v>
      </c>
      <c r="Z3643">
        <v>1.9221140000000001E-2</v>
      </c>
      <c r="AA3643">
        <v>0.96350769999999997</v>
      </c>
      <c r="AB3643">
        <v>29</v>
      </c>
      <c r="AC3643">
        <v>31.006499999999999</v>
      </c>
      <c r="AD3643">
        <v>-1.150298016991</v>
      </c>
      <c r="AE3643">
        <v>-4.4147999999999801</v>
      </c>
      <c r="AF3643">
        <v>-8.43579358803483</v>
      </c>
      <c r="AG3643">
        <v>-1.150298016991</v>
      </c>
      <c r="AH3643">
        <v>30.117932564007099</v>
      </c>
      <c r="AI3643">
        <v>92.106259278343401</v>
      </c>
      <c r="AJ3643">
        <v>105.64713719172499</v>
      </c>
      <c r="AK3643">
        <v>31.298173443795498</v>
      </c>
      <c r="AL3643">
        <v>82.062182223027605</v>
      </c>
      <c r="AM3643">
        <v>101.61868582079499</v>
      </c>
      <c r="AN3643">
        <v>1.0000000246532099</v>
      </c>
    </row>
    <row r="3644" spans="1:40" x14ac:dyDescent="0.25">
      <c r="A3644" t="str">
        <f>"20190312172148671"</f>
        <v>20190312172148671</v>
      </c>
      <c r="B3644" t="str">
        <f>"1552382508664355"</f>
        <v>1552382508664355</v>
      </c>
      <c r="C3644" t="s">
        <v>40</v>
      </c>
      <c r="D3644">
        <v>3.3516900000000001</v>
      </c>
      <c r="E3644">
        <v>0.46995209999999998</v>
      </c>
      <c r="F3644" t="s">
        <v>46</v>
      </c>
      <c r="G3644">
        <v>-447.72460000000001</v>
      </c>
      <c r="H3644" s="1">
        <v>2.5855719999999999E-6</v>
      </c>
      <c r="I3644">
        <v>214.34790000000001</v>
      </c>
      <c r="J3644">
        <v>-471.61189999999999</v>
      </c>
      <c r="K3644">
        <v>1.1476729999999999</v>
      </c>
      <c r="L3644">
        <v>217.7406</v>
      </c>
      <c r="M3644">
        <v>0.91755189999999998</v>
      </c>
      <c r="N3644">
        <v>0</v>
      </c>
      <c r="O3644">
        <v>-0.39703569999999999</v>
      </c>
      <c r="P3644">
        <v>0.97108950000000005</v>
      </c>
      <c r="Q3644">
        <v>0.1151615</v>
      </c>
      <c r="R3644">
        <v>-0.20910049999999999</v>
      </c>
      <c r="S3644">
        <v>3.0179749999999999</v>
      </c>
      <c r="T3644">
        <v>-0.14367869999999999</v>
      </c>
      <c r="U3644">
        <v>-0.43774410000000002</v>
      </c>
      <c r="V3644">
        <v>-0.19801469999999999</v>
      </c>
      <c r="W3644">
        <v>0.1297603</v>
      </c>
      <c r="X3644">
        <v>0.9715722</v>
      </c>
      <c r="Y3644">
        <v>-0.2605751</v>
      </c>
      <c r="Z3644">
        <v>2.4428789999999999E-2</v>
      </c>
      <c r="AA3644">
        <v>0.96514449999999996</v>
      </c>
      <c r="AB3644">
        <v>29</v>
      </c>
      <c r="AC3644">
        <v>23.8872999999999</v>
      </c>
      <c r="AD3644">
        <v>-1.1476704144280001</v>
      </c>
      <c r="AE3644">
        <v>-3.3926999999999898</v>
      </c>
      <c r="AF3644">
        <v>-6.3582153969327004</v>
      </c>
      <c r="AG3644">
        <v>-1.1476704144280001</v>
      </c>
      <c r="AH3644">
        <v>23.217692193886698</v>
      </c>
      <c r="AI3644">
        <v>92.729535992308598</v>
      </c>
      <c r="AJ3644">
        <v>105.315091386378</v>
      </c>
      <c r="AK3644">
        <v>24.0999020998844</v>
      </c>
      <c r="AL3644">
        <v>82.544259167595101</v>
      </c>
      <c r="AM3644">
        <v>101.519597769759</v>
      </c>
      <c r="AN3644">
        <v>1.0000000483425</v>
      </c>
    </row>
    <row r="3645" spans="1:40" x14ac:dyDescent="0.25">
      <c r="A3645" t="str">
        <f>"20190312172148693"</f>
        <v>20190312172148693</v>
      </c>
      <c r="B3645" t="str">
        <f>"1552382508683875"</f>
        <v>1552382508683875</v>
      </c>
      <c r="C3645" t="s">
        <v>40</v>
      </c>
      <c r="D3645">
        <v>3.4147500000000002</v>
      </c>
      <c r="E3645">
        <v>0.4699914</v>
      </c>
      <c r="F3645" t="s">
        <v>46</v>
      </c>
      <c r="G3645">
        <v>-450.48320000000001</v>
      </c>
      <c r="H3645" s="1">
        <v>-1.2852359999999999E-6</v>
      </c>
      <c r="I3645">
        <v>214.74420000000001</v>
      </c>
      <c r="J3645">
        <v>-471.33629999999999</v>
      </c>
      <c r="K3645">
        <v>1.1450039999999999</v>
      </c>
      <c r="L3645">
        <v>217.63050000000001</v>
      </c>
      <c r="M3645">
        <v>0.92002419999999996</v>
      </c>
      <c r="N3645">
        <v>0</v>
      </c>
      <c r="O3645">
        <v>-0.39126630000000001</v>
      </c>
      <c r="P3645">
        <v>0.97301760000000004</v>
      </c>
      <c r="Q3645">
        <v>0.10831109999999999</v>
      </c>
      <c r="R3645">
        <v>-0.20372860000000001</v>
      </c>
      <c r="S3645">
        <v>3.0166019999999998</v>
      </c>
      <c r="T3645">
        <v>-0.16385669999999999</v>
      </c>
      <c r="U3645">
        <v>-0.42781069999999999</v>
      </c>
      <c r="V3645">
        <v>-0.19712499999999999</v>
      </c>
      <c r="W3645">
        <v>0.1234595</v>
      </c>
      <c r="X3645">
        <v>0.97257360000000004</v>
      </c>
      <c r="Y3645">
        <v>-0.25736479999999901</v>
      </c>
      <c r="Z3645">
        <v>2.7503920000000001E-2</v>
      </c>
      <c r="AA3645">
        <v>0.96592279999999997</v>
      </c>
      <c r="AB3645">
        <v>29</v>
      </c>
      <c r="AC3645">
        <v>20.853099999999898</v>
      </c>
      <c r="AD3645">
        <v>-1.145005285236</v>
      </c>
      <c r="AE3645">
        <v>-2.8862999999999999</v>
      </c>
      <c r="AF3645">
        <v>-5.4886958136432602</v>
      </c>
      <c r="AG3645">
        <v>-1.145005285236</v>
      </c>
      <c r="AH3645">
        <v>20.259472863211499</v>
      </c>
      <c r="AI3645">
        <v>93.122420828573993</v>
      </c>
      <c r="AJ3645">
        <v>105.15869272806199</v>
      </c>
      <c r="AK3645">
        <v>21.021014712261799</v>
      </c>
      <c r="AL3645">
        <v>82.908197173236601</v>
      </c>
      <c r="AM3645">
        <v>101.45771696273501</v>
      </c>
      <c r="AN3645">
        <v>0.99999996059110396</v>
      </c>
    </row>
    <row r="3646" spans="1:40" x14ac:dyDescent="0.25">
      <c r="A3646" t="str">
        <f>"20190312172148714"</f>
        <v>20190312172148714</v>
      </c>
      <c r="B3646" t="str">
        <f>"1552382508704371"</f>
        <v>1552382508704371</v>
      </c>
      <c r="C3646" t="s">
        <v>40</v>
      </c>
      <c r="D3646">
        <v>3.3846259999999999</v>
      </c>
      <c r="E3646">
        <v>0.47042390000000001</v>
      </c>
      <c r="F3646" t="s">
        <v>46</v>
      </c>
      <c r="G3646">
        <v>-453.14150000000001</v>
      </c>
      <c r="H3646" s="1">
        <v>1.118583E-7</v>
      </c>
      <c r="I3646">
        <v>215.14490000000001</v>
      </c>
      <c r="J3646">
        <v>-471.08949999999999</v>
      </c>
      <c r="K3646">
        <v>1.142617</v>
      </c>
      <c r="L3646">
        <v>217.53370000000001</v>
      </c>
      <c r="M3646">
        <v>0.92226940000000002</v>
      </c>
      <c r="N3646">
        <v>0</v>
      </c>
      <c r="O3646">
        <v>-0.38594679999999998</v>
      </c>
      <c r="P3646">
        <v>0.97450789999999998</v>
      </c>
      <c r="Q3646">
        <v>0.1054783</v>
      </c>
      <c r="R3646">
        <v>-0.19801199999999999</v>
      </c>
      <c r="S3646">
        <v>3.018005</v>
      </c>
      <c r="T3646">
        <v>-0.1899236</v>
      </c>
      <c r="U3646">
        <v>-0.41229250000000001</v>
      </c>
      <c r="V3646">
        <v>-0.19702710000000001</v>
      </c>
      <c r="W3646">
        <v>0.12095640000000001</v>
      </c>
      <c r="X3646">
        <v>0.972908</v>
      </c>
      <c r="Y3646">
        <v>-0.25642100000000001</v>
      </c>
      <c r="Z3646">
        <v>3.1537229999999999E-2</v>
      </c>
      <c r="AA3646">
        <v>0.96605059999999998</v>
      </c>
      <c r="AB3646">
        <v>29</v>
      </c>
      <c r="AC3646">
        <v>17.947999999999901</v>
      </c>
      <c r="AD3646">
        <v>-1.14261688814169</v>
      </c>
      <c r="AE3646">
        <v>-2.3887999999999998</v>
      </c>
      <c r="AF3646">
        <v>-4.70621092038615</v>
      </c>
      <c r="AG3646">
        <v>-1.14261688814169</v>
      </c>
      <c r="AH3646">
        <v>17.4095668234729</v>
      </c>
      <c r="AI3646">
        <v>93.625268963059298</v>
      </c>
      <c r="AJ3646">
        <v>105.126836869776</v>
      </c>
      <c r="AK3646">
        <v>18.070611820334101</v>
      </c>
      <c r="AL3646">
        <v>83.052698025939605</v>
      </c>
      <c r="AM3646">
        <v>101.448344702352</v>
      </c>
      <c r="AN3646">
        <v>1.0000000526496799</v>
      </c>
    </row>
    <row r="3647" spans="1:40" x14ac:dyDescent="0.25">
      <c r="A3647" t="str">
        <f>"20190312172148737"</f>
        <v>20190312172148737</v>
      </c>
      <c r="B3647" t="str">
        <f>"1552382508734627"</f>
        <v>1552382508734627</v>
      </c>
      <c r="C3647" t="s">
        <v>40</v>
      </c>
      <c r="D3647">
        <v>3.405923</v>
      </c>
      <c r="E3647">
        <v>0.47122789999999998</v>
      </c>
      <c r="F3647" t="s">
        <v>46</v>
      </c>
      <c r="G3647">
        <v>-453.43819999999999</v>
      </c>
      <c r="H3647" s="1">
        <v>2.670655E-7</v>
      </c>
      <c r="I3647">
        <v>215.20679999999999</v>
      </c>
      <c r="J3647">
        <v>-470.815</v>
      </c>
      <c r="K3647">
        <v>1.140001</v>
      </c>
      <c r="L3647">
        <v>217.4281</v>
      </c>
      <c r="M3647">
        <v>0.92479279999999997</v>
      </c>
      <c r="N3647">
        <v>0</v>
      </c>
      <c r="O3647">
        <v>-0.3798706</v>
      </c>
      <c r="P3647">
        <v>0.97589400000000004</v>
      </c>
      <c r="Q3647">
        <v>0.1074809</v>
      </c>
      <c r="R3647">
        <v>-0.18994459999999999</v>
      </c>
      <c r="S3647">
        <v>3.0187680000000001</v>
      </c>
      <c r="T3647">
        <v>-0.19541310000000001</v>
      </c>
      <c r="U3647">
        <v>-0.3979645</v>
      </c>
      <c r="V3647">
        <v>-0.19839300000000001</v>
      </c>
      <c r="W3647">
        <v>0.12313159999999999</v>
      </c>
      <c r="X3647">
        <v>0.97235740000000004</v>
      </c>
      <c r="Y3647">
        <v>-0.25454179999999998</v>
      </c>
      <c r="Z3647">
        <v>3.2031900000000002E-2</v>
      </c>
      <c r="AA3647">
        <v>0.96653120000000003</v>
      </c>
      <c r="AB3647">
        <v>29</v>
      </c>
      <c r="AC3647">
        <v>17.376799999999999</v>
      </c>
      <c r="AD3647">
        <v>-1.1400007329344899</v>
      </c>
      <c r="AE3647">
        <v>-2.22130000000001</v>
      </c>
      <c r="AF3647">
        <v>-4.5285541220510401</v>
      </c>
      <c r="AG3647">
        <v>-1.1400007329344899</v>
      </c>
      <c r="AH3647">
        <v>16.846268548695299</v>
      </c>
      <c r="AI3647">
        <v>93.739008206492898</v>
      </c>
      <c r="AJ3647">
        <v>105.04635157423699</v>
      </c>
      <c r="AK3647">
        <v>17.4815379221108</v>
      </c>
      <c r="AL3647">
        <v>82.927129497761101</v>
      </c>
      <c r="AM3647">
        <v>101.53194574306499</v>
      </c>
      <c r="AN3647">
        <v>1.00000004335115</v>
      </c>
    </row>
    <row r="3648" spans="1:40" x14ac:dyDescent="0.25">
      <c r="A3648" t="str">
        <f>"20190312172148758"</f>
        <v>20190312172148758</v>
      </c>
      <c r="B3648" t="str">
        <f>"1552382508754147"</f>
        <v>1552382508754147</v>
      </c>
      <c r="C3648" t="s">
        <v>40</v>
      </c>
      <c r="D3648">
        <v>3.4862120000000001</v>
      </c>
      <c r="E3648">
        <v>0.47158299999999997</v>
      </c>
      <c r="F3648" t="s">
        <v>46</v>
      </c>
      <c r="G3648">
        <v>-452.25099999999998</v>
      </c>
      <c r="H3648" s="1">
        <v>-3.5944219999999998E-7</v>
      </c>
      <c r="I3648">
        <v>215.0864</v>
      </c>
      <c r="J3648">
        <v>-470.5582</v>
      </c>
      <c r="K3648">
        <v>1.137586</v>
      </c>
      <c r="L3648">
        <v>217.3312</v>
      </c>
      <c r="M3648">
        <v>0.92718599999999995</v>
      </c>
      <c r="N3648">
        <v>0</v>
      </c>
      <c r="O3648">
        <v>-0.37400689999999998</v>
      </c>
      <c r="P3648">
        <v>0.977186</v>
      </c>
      <c r="Q3648">
        <v>0.11013539999999999</v>
      </c>
      <c r="R3648">
        <v>-0.1815978</v>
      </c>
      <c r="S3648">
        <v>3.0203859999999998</v>
      </c>
      <c r="T3648">
        <v>-0.18548039999999999</v>
      </c>
      <c r="U3648">
        <v>-0.38099670000000002</v>
      </c>
      <c r="V3648">
        <v>-0.20026859999999999</v>
      </c>
      <c r="W3648">
        <v>0.1258223</v>
      </c>
      <c r="X3648">
        <v>0.97162809999999999</v>
      </c>
      <c r="Y3648">
        <v>-0.25396089999999999</v>
      </c>
      <c r="Z3648">
        <v>3.0057210000000001E-2</v>
      </c>
      <c r="AA3648">
        <v>0.96674729999999998</v>
      </c>
      <c r="AB3648">
        <v>29</v>
      </c>
      <c r="AC3648">
        <v>18.307200000000002</v>
      </c>
      <c r="AD3648">
        <v>-1.1375863594422</v>
      </c>
      <c r="AE3648">
        <v>-2.2447999999999899</v>
      </c>
      <c r="AF3648">
        <v>-4.7486685374225202</v>
      </c>
      <c r="AG3648">
        <v>-1.1375863594422</v>
      </c>
      <c r="AH3648">
        <v>17.7501925175733</v>
      </c>
      <c r="AI3648">
        <v>93.542741629189194</v>
      </c>
      <c r="AJ3648">
        <v>104.97746669523001</v>
      </c>
      <c r="AK3648">
        <v>18.409597768946799</v>
      </c>
      <c r="AL3648">
        <v>82.771754701593593</v>
      </c>
      <c r="AM3648">
        <v>101.64650445577</v>
      </c>
      <c r="AN3648">
        <v>0.99999996401642899</v>
      </c>
    </row>
    <row r="3649" spans="1:40" x14ac:dyDescent="0.25">
      <c r="A3649" t="str">
        <f>"20190312172148781"</f>
        <v>20190312172148781</v>
      </c>
      <c r="B3649" t="str">
        <f>"1552382508774643"</f>
        <v>1552382508774643</v>
      </c>
      <c r="C3649" t="s">
        <v>40</v>
      </c>
      <c r="D3649">
        <v>4.371003</v>
      </c>
      <c r="E3649">
        <v>0.47805310000000001</v>
      </c>
      <c r="F3649" t="s">
        <v>46</v>
      </c>
      <c r="G3649">
        <v>-451.108</v>
      </c>
      <c r="H3649" s="1">
        <v>-9.6454059999999993E-7</v>
      </c>
      <c r="I3649">
        <v>215.01390000000001</v>
      </c>
      <c r="J3649">
        <v>-470.27640000000002</v>
      </c>
      <c r="K3649">
        <v>1.1350020000000001</v>
      </c>
      <c r="L3649">
        <v>217.22710000000001</v>
      </c>
      <c r="M3649">
        <v>0.92989739999999999</v>
      </c>
      <c r="N3649">
        <v>0</v>
      </c>
      <c r="O3649">
        <v>-0.36723250000000002</v>
      </c>
      <c r="P3649">
        <v>0.97888819999999999</v>
      </c>
      <c r="Q3649">
        <v>0.1097337</v>
      </c>
      <c r="R3649">
        <v>-0.1724425</v>
      </c>
      <c r="S3649">
        <v>3.0230100000000002</v>
      </c>
      <c r="T3649">
        <v>-0.17680760000000001</v>
      </c>
      <c r="U3649">
        <v>-0.36015320000000001</v>
      </c>
      <c r="V3649">
        <v>-0.20203579999999999</v>
      </c>
      <c r="W3649">
        <v>0.12542400000000001</v>
      </c>
      <c r="X3649">
        <v>0.97131369999999895</v>
      </c>
      <c r="Y3649">
        <v>-0.25368839999999998</v>
      </c>
      <c r="Z3649">
        <v>2.8273E-2</v>
      </c>
      <c r="AA3649">
        <v>0.96687270000000003</v>
      </c>
      <c r="AB3649">
        <v>29</v>
      </c>
      <c r="AC3649">
        <v>19.168399999999998</v>
      </c>
      <c r="AD3649">
        <v>-1.1350029645405999</v>
      </c>
      <c r="AE3649">
        <v>-2.2132000000000001</v>
      </c>
      <c r="AF3649">
        <v>-4.9651055580140904</v>
      </c>
      <c r="AG3649">
        <v>-1.1350029645405999</v>
      </c>
      <c r="AH3649">
        <v>18.5771468853738</v>
      </c>
      <c r="AI3649">
        <v>93.377960056474095</v>
      </c>
      <c r="AJ3649">
        <v>104.96366134103501</v>
      </c>
      <c r="AK3649">
        <v>19.2626813121251</v>
      </c>
      <c r="AL3649">
        <v>82.794757914230303</v>
      </c>
      <c r="AM3649">
        <v>101.750127775664</v>
      </c>
      <c r="AN3649">
        <v>0.99999997403266405</v>
      </c>
    </row>
    <row r="3650" spans="1:40" x14ac:dyDescent="0.25">
      <c r="A3650" t="str">
        <f>"20190312172148816"</f>
        <v>20190312172148816</v>
      </c>
      <c r="B3650" t="str">
        <f>"1552382508803923"</f>
        <v>1552382508803923</v>
      </c>
      <c r="C3650" t="s">
        <v>40</v>
      </c>
      <c r="D3650">
        <v>3.4359299999999999</v>
      </c>
      <c r="E3650">
        <v>0.4781629</v>
      </c>
      <c r="F3650" t="s">
        <v>46</v>
      </c>
      <c r="G3650">
        <v>-386.83839999999998</v>
      </c>
      <c r="H3650">
        <v>8.0001260000000005E-2</v>
      </c>
      <c r="I3650">
        <v>206.87360000000001</v>
      </c>
      <c r="J3650">
        <v>-469.85989999999998</v>
      </c>
      <c r="K3650">
        <v>1.131416</v>
      </c>
      <c r="L3650">
        <v>217.07749999999999</v>
      </c>
      <c r="M3650">
        <v>0.93400070000000002</v>
      </c>
      <c r="N3650">
        <v>0</v>
      </c>
      <c r="O3650">
        <v>-0.35669990000000001</v>
      </c>
      <c r="P3650">
        <v>0.98261350000000003</v>
      </c>
      <c r="Q3650">
        <v>9.1221999999999998E-2</v>
      </c>
      <c r="R3650">
        <v>-0.161707399999999</v>
      </c>
      <c r="S3650">
        <v>3.0032649999999999</v>
      </c>
      <c r="T3650">
        <v>-3.7973640000000003E-2</v>
      </c>
      <c r="U3650">
        <v>-0.37266539999999998</v>
      </c>
      <c r="V3650">
        <v>-0.2016964</v>
      </c>
      <c r="W3650">
        <v>0.1068701</v>
      </c>
      <c r="X3650">
        <v>0.97360020000000003</v>
      </c>
      <c r="Y3650">
        <v>-0.2389733</v>
      </c>
      <c r="Z3650">
        <v>5.8977259999999998E-3</v>
      </c>
      <c r="AA3650">
        <v>0.97100819999999999</v>
      </c>
      <c r="AB3650">
        <v>29</v>
      </c>
      <c r="AC3650">
        <v>83.021500000000003</v>
      </c>
      <c r="AD3650">
        <v>-1.05141474</v>
      </c>
      <c r="AE3650">
        <v>-10.2038999999999</v>
      </c>
      <c r="AF3650">
        <v>-20.0842346881814</v>
      </c>
      <c r="AG3650">
        <v>-1.05141474</v>
      </c>
      <c r="AH3650">
        <v>81.185602987358706</v>
      </c>
      <c r="AI3650">
        <v>90.720271352461907</v>
      </c>
      <c r="AJ3650">
        <v>103.895231219696</v>
      </c>
      <c r="AK3650">
        <v>83.6396083705948</v>
      </c>
      <c r="AL3650">
        <v>83.865078270263695</v>
      </c>
      <c r="AM3650">
        <v>101.70414700539</v>
      </c>
      <c r="AN3650">
        <v>1.0000000027435001</v>
      </c>
    </row>
    <row r="3651" spans="1:40" x14ac:dyDescent="0.25">
      <c r="A3651" t="str">
        <f>"20190312172148839"</f>
        <v>20190312172148839</v>
      </c>
      <c r="B3651" t="str">
        <f>"1552382508834179"</f>
        <v>1552382508834179</v>
      </c>
      <c r="C3651" t="s">
        <v>40</v>
      </c>
      <c r="D3651">
        <v>3.3606470000000002</v>
      </c>
      <c r="E3651">
        <v>0.4785413</v>
      </c>
      <c r="F3651" t="s">
        <v>47</v>
      </c>
      <c r="G3651">
        <v>-430.54969999999997</v>
      </c>
      <c r="H3651" s="1">
        <v>2.6320590000000001E-6</v>
      </c>
      <c r="I3651">
        <v>212.65690000000001</v>
      </c>
      <c r="J3651">
        <v>-469.58319999999998</v>
      </c>
      <c r="K3651">
        <v>1.129256</v>
      </c>
      <c r="L3651">
        <v>216.98089999999999</v>
      </c>
      <c r="M3651">
        <v>0.9366757</v>
      </c>
      <c r="N3651">
        <v>0</v>
      </c>
      <c r="O3651">
        <v>-0.3496397</v>
      </c>
      <c r="P3651">
        <v>0.98538890000000001</v>
      </c>
      <c r="Q3651">
        <v>6.6518510000000003E-2</v>
      </c>
      <c r="R3651">
        <v>-0.15679299999999999</v>
      </c>
      <c r="S3651">
        <v>3.005493</v>
      </c>
      <c r="T3651">
        <v>-8.6503269999999993E-2</v>
      </c>
      <c r="U3651">
        <v>-0.33798220000000001</v>
      </c>
      <c r="V3651">
        <v>-0.19930039999999999</v>
      </c>
      <c r="W3651">
        <v>8.2072660000000006E-2</v>
      </c>
      <c r="X3651">
        <v>0.97649549999999996</v>
      </c>
      <c r="Y3651">
        <v>-0.242588</v>
      </c>
      <c r="Z3651">
        <v>1.329874E-2</v>
      </c>
      <c r="AA3651">
        <v>0.97003819999999996</v>
      </c>
      <c r="AB3651">
        <v>29</v>
      </c>
      <c r="AC3651">
        <v>39.033499999999997</v>
      </c>
      <c r="AD3651">
        <v>-1.129253367941</v>
      </c>
      <c r="AE3651">
        <v>-4.3239999999999803</v>
      </c>
      <c r="AF3651">
        <v>-9.5914206076768593</v>
      </c>
      <c r="AG3651">
        <v>-1.129253367941</v>
      </c>
      <c r="AH3651">
        <v>38.0495529838282</v>
      </c>
      <c r="AI3651">
        <v>91.648417135755395</v>
      </c>
      <c r="AJ3651">
        <v>104.148196624318</v>
      </c>
      <c r="AK3651">
        <v>39.2560701638807</v>
      </c>
      <c r="AL3651">
        <v>85.292287793331596</v>
      </c>
      <c r="AM3651">
        <v>101.535499610805</v>
      </c>
      <c r="AN3651">
        <v>1.0000000162399401</v>
      </c>
    </row>
    <row r="3652" spans="1:40" x14ac:dyDescent="0.25">
      <c r="A3652" t="str">
        <f>"20190312172148861"</f>
        <v>20190312172148861</v>
      </c>
      <c r="B3652" t="str">
        <f>"1552382508854675"</f>
        <v>1552382508854675</v>
      </c>
      <c r="C3652" t="s">
        <v>40</v>
      </c>
      <c r="D3652">
        <v>3.5178099999999999</v>
      </c>
      <c r="E3652">
        <v>0.48207539999999999</v>
      </c>
      <c r="F3652" t="s">
        <v>46</v>
      </c>
      <c r="G3652">
        <v>-447.69209999999998</v>
      </c>
      <c r="H3652" s="1">
        <v>2.5560709999999998E-6</v>
      </c>
      <c r="I3652">
        <v>214.62819999999999</v>
      </c>
      <c r="J3652">
        <v>-469.31319999999999</v>
      </c>
      <c r="K3652">
        <v>1.1273439999999999</v>
      </c>
      <c r="L3652">
        <v>216.88900000000001</v>
      </c>
      <c r="M3652">
        <v>0.93922689999999998</v>
      </c>
      <c r="N3652">
        <v>0</v>
      </c>
      <c r="O3652">
        <v>-0.34275309999999998</v>
      </c>
      <c r="P3652">
        <v>0.98733199999999999</v>
      </c>
      <c r="Q3652">
        <v>4.3262109999999999E-2</v>
      </c>
      <c r="R3652">
        <v>-0.15265719999999999</v>
      </c>
      <c r="S3652">
        <v>3.0036010000000002</v>
      </c>
      <c r="T3652">
        <v>-0.1549411</v>
      </c>
      <c r="U3652">
        <v>-0.32281490000000002</v>
      </c>
      <c r="V3652">
        <v>-0.19616620000000001</v>
      </c>
      <c r="W3652">
        <v>5.8634800000000001E-2</v>
      </c>
      <c r="X3652">
        <v>0.97881600000000002</v>
      </c>
      <c r="Y3652">
        <v>-0.2397243</v>
      </c>
      <c r="Z3652">
        <v>2.342764E-2</v>
      </c>
      <c r="AA3652">
        <v>0.97055829999999998</v>
      </c>
      <c r="AB3652">
        <v>29</v>
      </c>
      <c r="AC3652">
        <v>21.621099999999998</v>
      </c>
      <c r="AD3652">
        <v>-1.1273414439289999</v>
      </c>
      <c r="AE3652">
        <v>-2.2608000000000099</v>
      </c>
      <c r="AF3652">
        <v>-5.27409819116557</v>
      </c>
      <c r="AG3652">
        <v>-1.1273414439289999</v>
      </c>
      <c r="AH3652">
        <v>21.029395838787199</v>
      </c>
      <c r="AI3652">
        <v>92.976558265897395</v>
      </c>
      <c r="AJ3652">
        <v>104.07918527535</v>
      </c>
      <c r="AK3652">
        <v>21.7099631461146</v>
      </c>
      <c r="AL3652">
        <v>86.638545377809507</v>
      </c>
      <c r="AM3652">
        <v>101.332613300281</v>
      </c>
      <c r="AN3652">
        <v>0.99999998982473903</v>
      </c>
    </row>
    <row r="3653" spans="1:40" x14ac:dyDescent="0.25">
      <c r="A3653" t="str">
        <f>"20190312172148883"</f>
        <v>20190312172148883</v>
      </c>
      <c r="B3653" t="str">
        <f>"1552382508874195"</f>
        <v>1552382508874195</v>
      </c>
      <c r="C3653" t="s">
        <v>40</v>
      </c>
      <c r="D3653">
        <v>3.3805580000000002</v>
      </c>
      <c r="E3653">
        <v>0.48282059999999999</v>
      </c>
      <c r="F3653" t="s">
        <v>46</v>
      </c>
      <c r="G3653">
        <v>-450.85640000000001</v>
      </c>
      <c r="H3653" s="1">
        <v>-1.090707E-6</v>
      </c>
      <c r="I3653">
        <v>214.8374</v>
      </c>
      <c r="J3653">
        <v>-469.0385</v>
      </c>
      <c r="K3653">
        <v>1.125656</v>
      </c>
      <c r="L3653">
        <v>216.7979</v>
      </c>
      <c r="M3653">
        <v>0.94177630000000001</v>
      </c>
      <c r="N3653">
        <v>0</v>
      </c>
      <c r="O3653">
        <v>-0.33571089999999998</v>
      </c>
      <c r="P3653">
        <v>0.98854730000000002</v>
      </c>
      <c r="Q3653">
        <v>2.663217E-2</v>
      </c>
      <c r="R3653">
        <v>-0.14854319999999999</v>
      </c>
      <c r="S3653">
        <v>2.9950260000000002</v>
      </c>
      <c r="T3653">
        <v>-0.1829373</v>
      </c>
      <c r="U3653">
        <v>-0.3329163</v>
      </c>
      <c r="V3653">
        <v>-0.19276779999999999</v>
      </c>
      <c r="W3653">
        <v>4.1757669999999997E-2</v>
      </c>
      <c r="X3653">
        <v>0.98035550000000005</v>
      </c>
      <c r="Y3653">
        <v>-0.22864209999999999</v>
      </c>
      <c r="Z3653">
        <v>2.6982530000000001E-2</v>
      </c>
      <c r="AA3653">
        <v>0.97313649999999996</v>
      </c>
      <c r="AB3653">
        <v>29</v>
      </c>
      <c r="AC3653">
        <v>18.182099999999899</v>
      </c>
      <c r="AD3653">
        <v>-1.125657090707</v>
      </c>
      <c r="AE3653">
        <v>-1.9604999999999899</v>
      </c>
      <c r="AF3653">
        <v>-4.2422607390048004</v>
      </c>
      <c r="AG3653">
        <v>-1.125657090707</v>
      </c>
      <c r="AH3653">
        <v>17.717665387447902</v>
      </c>
      <c r="AI3653">
        <v>93.535617191956007</v>
      </c>
      <c r="AJ3653">
        <v>103.46521674827299</v>
      </c>
      <c r="AK3653">
        <v>18.253206481194699</v>
      </c>
      <c r="AL3653">
        <v>87.606765928684098</v>
      </c>
      <c r="AM3653">
        <v>101.12418038602</v>
      </c>
      <c r="AN3653">
        <v>1.0000000170504499</v>
      </c>
    </row>
    <row r="3654" spans="1:40" x14ac:dyDescent="0.25">
      <c r="A3654" t="str">
        <f>"20190312172148903"</f>
        <v>20190312172148903</v>
      </c>
      <c r="B3654" t="str">
        <f>"1552382508894692"</f>
        <v>1552382508894692</v>
      </c>
      <c r="C3654" t="s">
        <v>40</v>
      </c>
      <c r="D3654">
        <v>3.4506879999999902</v>
      </c>
      <c r="E3654">
        <v>0.48478270000000001</v>
      </c>
      <c r="F3654" t="s">
        <v>46</v>
      </c>
      <c r="G3654">
        <v>-454.46699999999998</v>
      </c>
      <c r="H3654" s="1">
        <v>8.1393680000000003E-7</v>
      </c>
      <c r="I3654">
        <v>215.2199</v>
      </c>
      <c r="J3654">
        <v>-468.78910000000002</v>
      </c>
      <c r="K3654">
        <v>1.124296</v>
      </c>
      <c r="L3654">
        <v>216.71709999999999</v>
      </c>
      <c r="M3654">
        <v>0.94406029999999996</v>
      </c>
      <c r="N3654">
        <v>0</v>
      </c>
      <c r="O3654">
        <v>-0.32925680000000002</v>
      </c>
      <c r="P3654">
        <v>0.98936250000000003</v>
      </c>
      <c r="Q3654">
        <v>1.512844E-2</v>
      </c>
      <c r="R3654">
        <v>-0.1446819</v>
      </c>
      <c r="S3654">
        <v>2.9922490000000002</v>
      </c>
      <c r="T3654">
        <v>-0.2311523</v>
      </c>
      <c r="U3654">
        <v>-0.32403559999999998</v>
      </c>
      <c r="V3654">
        <v>-0.18973680000000001</v>
      </c>
      <c r="W3654">
        <v>3.0010309999999998E-2</v>
      </c>
      <c r="X3654">
        <v>0.98137620000000003</v>
      </c>
      <c r="Y3654">
        <v>-0.22415399999999999</v>
      </c>
      <c r="Z3654">
        <v>3.3472880000000003E-2</v>
      </c>
      <c r="AA3654">
        <v>0.97397869999999998</v>
      </c>
      <c r="AB3654">
        <v>29</v>
      </c>
      <c r="AC3654">
        <v>14.322100000000001</v>
      </c>
      <c r="AD3654">
        <v>-1.1242951860632</v>
      </c>
      <c r="AE3654">
        <v>-1.4971999999999901</v>
      </c>
      <c r="AF3654">
        <v>-3.2827525997032998</v>
      </c>
      <c r="AG3654">
        <v>-1.1242951860632</v>
      </c>
      <c r="AH3654">
        <v>13.931351034062001</v>
      </c>
      <c r="AI3654">
        <v>94.491429539307603</v>
      </c>
      <c r="AJ3654">
        <v>103.25917583005599</v>
      </c>
      <c r="AK3654">
        <v>14.3569859626081</v>
      </c>
      <c r="AL3654">
        <v>88.280277622930697</v>
      </c>
      <c r="AM3654">
        <v>100.942414353806</v>
      </c>
      <c r="AN3654">
        <v>0.99999995895348703</v>
      </c>
    </row>
    <row r="3655" spans="1:40" x14ac:dyDescent="0.25">
      <c r="A3655" t="str">
        <f>"20190312172148926"</f>
        <v>20190312172148926</v>
      </c>
      <c r="B3655" t="str">
        <f>"1552382508914211"</f>
        <v>1552382508914211</v>
      </c>
      <c r="C3655" t="s">
        <v>40</v>
      </c>
      <c r="D3655">
        <v>3.4507989999999999</v>
      </c>
      <c r="E3655">
        <v>0.48583510000000002</v>
      </c>
      <c r="F3655" t="s">
        <v>46</v>
      </c>
      <c r="G3655">
        <v>-456.28050000000002</v>
      </c>
      <c r="H3655" s="1">
        <v>1.773369E-6</v>
      </c>
      <c r="I3655">
        <v>215.3493</v>
      </c>
      <c r="J3655">
        <v>-468.51729999999998</v>
      </c>
      <c r="K3655">
        <v>1.1230180000000001</v>
      </c>
      <c r="L3655">
        <v>216.63130000000001</v>
      </c>
      <c r="M3655">
        <v>0.94652250000000004</v>
      </c>
      <c r="N3655">
        <v>0</v>
      </c>
      <c r="O3655">
        <v>-0.3221347</v>
      </c>
      <c r="P3655">
        <v>0.98991410000000002</v>
      </c>
      <c r="Q3655">
        <v>7.637128E-3</v>
      </c>
      <c r="R3655">
        <v>-0.1414637</v>
      </c>
      <c r="S3655">
        <v>2.988556</v>
      </c>
      <c r="T3655">
        <v>-0.2686171</v>
      </c>
      <c r="U3655">
        <v>-0.32681270000000001</v>
      </c>
      <c r="V3655">
        <v>-0.1854112</v>
      </c>
      <c r="W3655">
        <v>2.227295E-2</v>
      </c>
      <c r="X3655">
        <v>0.98240859999999997</v>
      </c>
      <c r="Y3655">
        <v>-0.21528030000000001</v>
      </c>
      <c r="Z3655">
        <v>3.7921620000000003E-2</v>
      </c>
      <c r="AA3655">
        <v>0.97581569999999995</v>
      </c>
      <c r="AB3655">
        <v>29</v>
      </c>
      <c r="AC3655">
        <v>12.236799999999899</v>
      </c>
      <c r="AD3655">
        <v>-1.123016226631</v>
      </c>
      <c r="AE3655">
        <v>-1.28200000000001</v>
      </c>
      <c r="AF3655">
        <v>-2.7063521675497202</v>
      </c>
      <c r="AG3655">
        <v>-1.123016226631</v>
      </c>
      <c r="AH3655">
        <v>11.898205703864701</v>
      </c>
      <c r="AI3655">
        <v>95.258377649429406</v>
      </c>
      <c r="AJ3655">
        <v>102.81440584306699</v>
      </c>
      <c r="AK3655">
        <v>12.2536854240492</v>
      </c>
      <c r="AL3655">
        <v>88.723748466401304</v>
      </c>
      <c r="AM3655">
        <v>100.68778942089401</v>
      </c>
      <c r="AN3655">
        <v>1.00000002737055</v>
      </c>
    </row>
    <row r="3656" spans="1:40" x14ac:dyDescent="0.25">
      <c r="A3656" t="str">
        <f>"20190312172148947"</f>
        <v>20190312172148947</v>
      </c>
      <c r="B3656" t="str">
        <f>"1552382508944467"</f>
        <v>1552382508944467</v>
      </c>
      <c r="C3656" t="s">
        <v>40</v>
      </c>
      <c r="D3656">
        <v>3.3956849999999998</v>
      </c>
      <c r="E3656">
        <v>0.48680489999999998</v>
      </c>
      <c r="F3656" t="s">
        <v>46</v>
      </c>
      <c r="G3656">
        <v>-456.94740000000002</v>
      </c>
      <c r="H3656" s="1">
        <v>2.127196E-6</v>
      </c>
      <c r="I3656">
        <v>215.3725</v>
      </c>
      <c r="J3656">
        <v>-468.25729999999999</v>
      </c>
      <c r="K3656">
        <v>1.1220000000000001</v>
      </c>
      <c r="L3656">
        <v>216.5513</v>
      </c>
      <c r="M3656">
        <v>0.94884820000000003</v>
      </c>
      <c r="N3656">
        <v>0</v>
      </c>
      <c r="O3656">
        <v>-0.31524029999999997</v>
      </c>
      <c r="P3656">
        <v>0.99037160000000002</v>
      </c>
      <c r="Q3656">
        <v>5.695889E-3</v>
      </c>
      <c r="R3656">
        <v>-0.13831669999999999</v>
      </c>
      <c r="S3656">
        <v>2.986389</v>
      </c>
      <c r="T3656">
        <v>-0.2898694</v>
      </c>
      <c r="U3656">
        <v>-0.32490540000000001</v>
      </c>
      <c r="V3656">
        <v>-0.1813401</v>
      </c>
      <c r="W3656">
        <v>2.0100969999999999E-2</v>
      </c>
      <c r="X3656">
        <v>0.98321499999999995</v>
      </c>
      <c r="Y3656">
        <v>-0.20842550000000001</v>
      </c>
      <c r="Z3656">
        <v>3.9976379999999999E-2</v>
      </c>
      <c r="AA3656">
        <v>0.97722089999999995</v>
      </c>
      <c r="AB3656">
        <v>29</v>
      </c>
      <c r="AC3656">
        <v>11.309899999999899</v>
      </c>
      <c r="AD3656">
        <v>-1.1219978728039901</v>
      </c>
      <c r="AE3656">
        <v>-1.1787999999999901</v>
      </c>
      <c r="AF3656">
        <v>-2.42361815478524</v>
      </c>
      <c r="AG3656">
        <v>-1.1219978728039901</v>
      </c>
      <c r="AH3656">
        <v>10.9976370768525</v>
      </c>
      <c r="AI3656">
        <v>95.689663949570999</v>
      </c>
      <c r="AJ3656">
        <v>102.42797990422299</v>
      </c>
      <c r="AK3656">
        <v>11.317279949746901</v>
      </c>
      <c r="AL3656">
        <v>88.8482216933632</v>
      </c>
      <c r="AM3656">
        <v>100.449961562315</v>
      </c>
      <c r="AN3656">
        <v>1.00000000854397</v>
      </c>
    </row>
    <row r="3657" spans="1:40" x14ac:dyDescent="0.25">
      <c r="A3657" t="str">
        <f>"20190312172148971"</f>
        <v>20190312172148971</v>
      </c>
      <c r="B3657" t="str">
        <f>"1552382508963988"</f>
        <v>1552382508963988</v>
      </c>
      <c r="C3657" t="s">
        <v>40</v>
      </c>
      <c r="D3657">
        <v>3.3532839999999902</v>
      </c>
      <c r="E3657">
        <v>0.48699310000000001</v>
      </c>
      <c r="F3657" t="s">
        <v>46</v>
      </c>
      <c r="G3657">
        <v>-456.40879999999999</v>
      </c>
      <c r="H3657" s="1">
        <v>1.8446939999999999E-6</v>
      </c>
      <c r="I3657">
        <v>215.2782</v>
      </c>
      <c r="J3657">
        <v>-467.96319999999997</v>
      </c>
      <c r="K3657">
        <v>1.121051</v>
      </c>
      <c r="L3657">
        <v>216.4632</v>
      </c>
      <c r="M3657">
        <v>0.95143840000000002</v>
      </c>
      <c r="N3657">
        <v>0</v>
      </c>
      <c r="O3657">
        <v>-0.30735780000000001</v>
      </c>
      <c r="P3657">
        <v>0.99074620000000002</v>
      </c>
      <c r="Q3657">
        <v>1.192668E-2</v>
      </c>
      <c r="R3657">
        <v>-0.1352033</v>
      </c>
      <c r="S3657">
        <v>2.9859619999999998</v>
      </c>
      <c r="T3657">
        <v>-0.28275630000000002</v>
      </c>
      <c r="U3657">
        <v>-0.32081599999999999</v>
      </c>
      <c r="V3657">
        <v>-0.17633670000000001</v>
      </c>
      <c r="W3657">
        <v>2.6088440000000001E-2</v>
      </c>
      <c r="X3657">
        <v>0.98398410000000003</v>
      </c>
      <c r="Y3657">
        <v>-0.20179050000000001</v>
      </c>
      <c r="Z3657">
        <v>3.7989740000000001E-2</v>
      </c>
      <c r="AA3657">
        <v>0.97869170000000005</v>
      </c>
      <c r="AB3657">
        <v>29</v>
      </c>
      <c r="AC3657">
        <v>11.5543999999999</v>
      </c>
      <c r="AD3657">
        <v>-1.121049155306</v>
      </c>
      <c r="AE3657">
        <v>-1.1850000000000001</v>
      </c>
      <c r="AF3657">
        <v>-2.4018646739890501</v>
      </c>
      <c r="AG3657">
        <v>-1.121049155306</v>
      </c>
      <c r="AH3657">
        <v>11.254359997220099</v>
      </c>
      <c r="AI3657">
        <v>95.563993368377297</v>
      </c>
      <c r="AJ3657">
        <v>102.047125697095</v>
      </c>
      <c r="AK3657">
        <v>11.562280227870099</v>
      </c>
      <c r="AL3657">
        <v>88.505072845737104</v>
      </c>
      <c r="AM3657">
        <v>100.159950184145</v>
      </c>
      <c r="AN3657">
        <v>0.99999997376066596</v>
      </c>
    </row>
    <row r="3658" spans="1:40" x14ac:dyDescent="0.25">
      <c r="A3658" t="str">
        <f>"20190312172148995"</f>
        <v>20190312172148995</v>
      </c>
      <c r="B3658" t="str">
        <f>"1552382508984483"</f>
        <v>1552382508984483</v>
      </c>
      <c r="C3658" t="s">
        <v>40</v>
      </c>
      <c r="D3658">
        <v>3.4044590000000001</v>
      </c>
      <c r="E3658">
        <v>0.48691770000000001</v>
      </c>
      <c r="F3658" t="s">
        <v>46</v>
      </c>
      <c r="G3658">
        <v>-454.6558</v>
      </c>
      <c r="H3658" s="1">
        <v>9.2073220000000005E-7</v>
      </c>
      <c r="I3658">
        <v>215.07470000000001</v>
      </c>
      <c r="J3658">
        <v>-467.68400000000003</v>
      </c>
      <c r="K3658">
        <v>1.120298</v>
      </c>
      <c r="L3658">
        <v>216.38200000000001</v>
      </c>
      <c r="M3658">
        <v>0.95384970000000002</v>
      </c>
      <c r="N3658">
        <v>0</v>
      </c>
      <c r="O3658">
        <v>-0.29981079999999999</v>
      </c>
      <c r="P3658">
        <v>0.99100339999999998</v>
      </c>
      <c r="Q3658">
        <v>1.8083780000000001E-2</v>
      </c>
      <c r="R3658">
        <v>-0.13260999999999901</v>
      </c>
      <c r="S3658">
        <v>2.988464</v>
      </c>
      <c r="T3658">
        <v>-0.25175500000000001</v>
      </c>
      <c r="U3658">
        <v>-0.31182860000000001</v>
      </c>
      <c r="V3658">
        <v>-0.1711674</v>
      </c>
      <c r="W3658">
        <v>3.2034939999999998E-2</v>
      </c>
      <c r="X3658">
        <v>0.98472099999999996</v>
      </c>
      <c r="Y3658">
        <v>-0.19752439999999999</v>
      </c>
      <c r="Z3658">
        <v>3.3036950000000002E-2</v>
      </c>
      <c r="AA3658">
        <v>0.97974110000000003</v>
      </c>
      <c r="AB3658">
        <v>29</v>
      </c>
      <c r="AC3658">
        <v>13.0282</v>
      </c>
      <c r="AD3658">
        <v>-1.1202970792678</v>
      </c>
      <c r="AE3658">
        <v>-1.3072999999999899</v>
      </c>
      <c r="AF3658">
        <v>-2.6400783720518799</v>
      </c>
      <c r="AG3658">
        <v>-1.1202970792678</v>
      </c>
      <c r="AH3658">
        <v>12.7275363098586</v>
      </c>
      <c r="AI3658">
        <v>94.9259697833171</v>
      </c>
      <c r="AJ3658">
        <v>101.71869957369501</v>
      </c>
      <c r="AK3658">
        <v>13.046657038305201</v>
      </c>
      <c r="AL3658">
        <v>88.164219025513304</v>
      </c>
      <c r="AM3658">
        <v>99.860812861972903</v>
      </c>
      <c r="AN3658">
        <v>0.99999998202228102</v>
      </c>
    </row>
    <row r="3659" spans="1:40" x14ac:dyDescent="0.25">
      <c r="A3659" t="str">
        <f>"20190312172149017"</f>
        <v>20190312172149017</v>
      </c>
      <c r="B3659" t="str">
        <f>"1552382509014739"</f>
        <v>1552382509014739</v>
      </c>
      <c r="C3659" t="s">
        <v>40</v>
      </c>
      <c r="D3659">
        <v>3.3166069999999999</v>
      </c>
      <c r="E3659">
        <v>0.48717949999999999</v>
      </c>
      <c r="F3659" t="s">
        <v>46</v>
      </c>
      <c r="G3659">
        <v>-452.62209999999999</v>
      </c>
      <c r="H3659" s="1">
        <v>-1.519362E-7</v>
      </c>
      <c r="I3659">
        <v>214.8569</v>
      </c>
      <c r="J3659">
        <v>-467.41579999999999</v>
      </c>
      <c r="K3659">
        <v>1.119702</v>
      </c>
      <c r="L3659">
        <v>216.30619999999999</v>
      </c>
      <c r="M3659">
        <v>0.95611889999999999</v>
      </c>
      <c r="N3659">
        <v>0</v>
      </c>
      <c r="O3659">
        <v>-0.29251070000000001</v>
      </c>
      <c r="P3659">
        <v>0.99107000000000001</v>
      </c>
      <c r="Q3659">
        <v>2.5702280000000001E-2</v>
      </c>
      <c r="R3659">
        <v>-0.13084280000000001</v>
      </c>
      <c r="S3659">
        <v>2.9907840000000001</v>
      </c>
      <c r="T3659">
        <v>-0.22245409999999999</v>
      </c>
      <c r="U3659">
        <v>-0.30282589999999998</v>
      </c>
      <c r="V3659">
        <v>-0.1654484</v>
      </c>
      <c r="W3659">
        <v>3.947788E-2</v>
      </c>
      <c r="X3659">
        <v>0.98542799999999997</v>
      </c>
      <c r="Y3659">
        <v>-0.19343060000000001</v>
      </c>
      <c r="Z3659">
        <v>2.8518209999999999E-2</v>
      </c>
      <c r="AA3659">
        <v>0.9806994</v>
      </c>
      <c r="AB3659">
        <v>29</v>
      </c>
      <c r="AC3659">
        <v>14.793699999999999</v>
      </c>
      <c r="AD3659">
        <v>-1.1197021519362</v>
      </c>
      <c r="AE3659">
        <v>-1.44929999999999</v>
      </c>
      <c r="AF3659">
        <v>-2.9254163710746899</v>
      </c>
      <c r="AG3659">
        <v>-1.1197021519362</v>
      </c>
      <c r="AH3659">
        <v>14.488260241000701</v>
      </c>
      <c r="AI3659">
        <v>94.332142865497801</v>
      </c>
      <c r="AJ3659">
        <v>101.415468231305</v>
      </c>
      <c r="AK3659">
        <v>14.823005048375499</v>
      </c>
      <c r="AL3659">
        <v>87.737496167443396</v>
      </c>
      <c r="AM3659">
        <v>99.530782811572493</v>
      </c>
      <c r="AN3659">
        <v>1.00000000962792</v>
      </c>
    </row>
    <row r="3660" spans="1:40" x14ac:dyDescent="0.25">
      <c r="A3660" t="str">
        <f>"20190312172149037"</f>
        <v>20190312172149037</v>
      </c>
      <c r="B3660" t="str">
        <f>"1552382509034259"</f>
        <v>1552382509034259</v>
      </c>
      <c r="C3660" t="s">
        <v>40</v>
      </c>
      <c r="D3660">
        <v>3.398012</v>
      </c>
      <c r="E3660">
        <v>0.4880253</v>
      </c>
      <c r="F3660" t="s">
        <v>46</v>
      </c>
      <c r="G3660">
        <v>-449.21640000000002</v>
      </c>
      <c r="H3660" s="1">
        <v>3.3731610000000001E-6</v>
      </c>
      <c r="I3660">
        <v>214.49170000000001</v>
      </c>
      <c r="J3660">
        <v>-467.16390000000001</v>
      </c>
      <c r="K3660">
        <v>1.119221</v>
      </c>
      <c r="L3660">
        <v>216.2371</v>
      </c>
      <c r="M3660">
        <v>0.95820720000000004</v>
      </c>
      <c r="N3660">
        <v>0</v>
      </c>
      <c r="O3660">
        <v>-0.28561039999999999</v>
      </c>
      <c r="P3660">
        <v>0.99094179999999998</v>
      </c>
      <c r="Q3660">
        <v>3.4588710000000002E-2</v>
      </c>
      <c r="R3660">
        <v>-0.1297624</v>
      </c>
      <c r="S3660">
        <v>2.9924010000000001</v>
      </c>
      <c r="T3660">
        <v>-0.18410380000000001</v>
      </c>
      <c r="U3660">
        <v>-0.29835509999999998</v>
      </c>
      <c r="V3660">
        <v>-0.15946399999999999</v>
      </c>
      <c r="W3660">
        <v>4.8225589999999999E-2</v>
      </c>
      <c r="X3660">
        <v>0.98602509999999999</v>
      </c>
      <c r="Y3660">
        <v>-0.18829070000000001</v>
      </c>
      <c r="Z3660">
        <v>2.3038550000000001E-2</v>
      </c>
      <c r="AA3660">
        <v>0.98184309999999997</v>
      </c>
      <c r="AB3660">
        <v>29</v>
      </c>
      <c r="AC3660">
        <v>17.947499999999899</v>
      </c>
      <c r="AD3660">
        <v>-1.1192176268389999</v>
      </c>
      <c r="AE3660">
        <v>-1.7453999999999801</v>
      </c>
      <c r="AF3660">
        <v>-3.4407414700881001</v>
      </c>
      <c r="AG3660">
        <v>-1.1192176268389999</v>
      </c>
      <c r="AH3660">
        <v>17.6303596817617</v>
      </c>
      <c r="AI3660">
        <v>93.56531558476</v>
      </c>
      <c r="AJ3660">
        <v>101.04304173018799</v>
      </c>
      <c r="AK3660">
        <v>17.9978035456691</v>
      </c>
      <c r="AL3660">
        <v>87.235805032278506</v>
      </c>
      <c r="AM3660">
        <v>99.186567606599993</v>
      </c>
      <c r="AN3660">
        <v>0.99999998632842801</v>
      </c>
    </row>
    <row r="3661" spans="1:40" x14ac:dyDescent="0.25">
      <c r="A3661" t="str">
        <f>"20190312172149061"</f>
        <v>20190312172149061</v>
      </c>
      <c r="B3661" t="str">
        <f>"1552382509054755"</f>
        <v>1552382509054755</v>
      </c>
      <c r="C3661" t="s">
        <v>40</v>
      </c>
      <c r="D3661">
        <v>3.4705840000000001</v>
      </c>
      <c r="E3661">
        <v>0.48765930000000002</v>
      </c>
      <c r="F3661" t="s">
        <v>47</v>
      </c>
      <c r="G3661">
        <v>-415.25450000000001</v>
      </c>
      <c r="H3661" s="1">
        <v>3.4489140000000001E-6</v>
      </c>
      <c r="I3661">
        <v>211.05789999999999</v>
      </c>
      <c r="J3661">
        <v>-466.87520000000001</v>
      </c>
      <c r="K3661">
        <v>1.1187389999999999</v>
      </c>
      <c r="L3661">
        <v>216.1602</v>
      </c>
      <c r="M3661">
        <v>0.96054919999999999</v>
      </c>
      <c r="N3661">
        <v>0</v>
      </c>
      <c r="O3661">
        <v>-0.2776477</v>
      </c>
      <c r="P3661">
        <v>0.99090909999999999</v>
      </c>
      <c r="Q3661">
        <v>4.1134259999999999E-2</v>
      </c>
      <c r="R3661">
        <v>-0.1280897</v>
      </c>
      <c r="S3661">
        <v>2.9906009999999998</v>
      </c>
      <c r="T3661">
        <v>-6.4480300000000004E-2</v>
      </c>
      <c r="U3661">
        <v>-0.29838559999999997</v>
      </c>
      <c r="V3661">
        <v>-0.15295929999999999</v>
      </c>
      <c r="W3661">
        <v>5.4626260000000003E-2</v>
      </c>
      <c r="X3661">
        <v>0.98672159999999998</v>
      </c>
      <c r="Y3661">
        <v>-0.18083089999999999</v>
      </c>
      <c r="Z3661">
        <v>7.8356369999999995E-3</v>
      </c>
      <c r="AA3661">
        <v>0.983483</v>
      </c>
      <c r="AB3661">
        <v>29</v>
      </c>
      <c r="AC3661">
        <v>51.620699999999999</v>
      </c>
      <c r="AD3661">
        <v>-1.118735551086</v>
      </c>
      <c r="AE3661">
        <v>-5.1023000000000103</v>
      </c>
      <c r="AF3661">
        <v>-9.4281851192450894</v>
      </c>
      <c r="AG3661">
        <v>-1.118735551086</v>
      </c>
      <c r="AH3661">
        <v>50.983703926422997</v>
      </c>
      <c r="AI3661">
        <v>91.236088530166001</v>
      </c>
      <c r="AJ3661">
        <v>100.47708883070101</v>
      </c>
      <c r="AK3661">
        <v>51.860199671165702</v>
      </c>
      <c r="AL3661">
        <v>86.868587305561306</v>
      </c>
      <c r="AM3661">
        <v>98.811722590069706</v>
      </c>
      <c r="AN3661">
        <v>1.0000000458223099</v>
      </c>
    </row>
    <row r="3662" spans="1:40" x14ac:dyDescent="0.25">
      <c r="A3662" t="str">
        <f>"20190312172149084"</f>
        <v>20190312172149084</v>
      </c>
      <c r="B3662" t="str">
        <f>"1552382509074274"</f>
        <v>1552382509074274</v>
      </c>
      <c r="C3662" t="s">
        <v>40</v>
      </c>
      <c r="D3662">
        <v>3.3325909999999999</v>
      </c>
      <c r="E3662">
        <v>0.48816330000000002</v>
      </c>
      <c r="F3662" t="s">
        <v>47</v>
      </c>
      <c r="G3662">
        <v>-407.61579999999998</v>
      </c>
      <c r="H3662" s="1">
        <v>5.892111E-6</v>
      </c>
      <c r="I3662">
        <v>210.41980000000001</v>
      </c>
      <c r="J3662">
        <v>-466.59140000000002</v>
      </c>
      <c r="K3662">
        <v>1.1183320000000001</v>
      </c>
      <c r="L3662">
        <v>216.0874</v>
      </c>
      <c r="M3662">
        <v>0.96279669999999895</v>
      </c>
      <c r="N3662">
        <v>0</v>
      </c>
      <c r="O3662">
        <v>-0.26976509999999998</v>
      </c>
      <c r="P3662">
        <v>0.99101300000000003</v>
      </c>
      <c r="Q3662">
        <v>4.2115409999999999E-2</v>
      </c>
      <c r="R3662">
        <v>-0.1269633</v>
      </c>
      <c r="S3662">
        <v>2.9924010000000001</v>
      </c>
      <c r="T3662">
        <v>-5.6492210000000001E-2</v>
      </c>
      <c r="U3662">
        <v>-0.2898712</v>
      </c>
      <c r="V3662">
        <v>-0.14598320000000001</v>
      </c>
      <c r="W3662">
        <v>5.5502790000000003E-2</v>
      </c>
      <c r="X3662">
        <v>0.98772890000000002</v>
      </c>
      <c r="Y3662">
        <v>-0.17562220000000001</v>
      </c>
      <c r="Z3662">
        <v>6.6703539999999999E-3</v>
      </c>
      <c r="AA3662">
        <v>0.98443499999999995</v>
      </c>
      <c r="AB3662">
        <v>29</v>
      </c>
      <c r="AC3662">
        <v>58.9756</v>
      </c>
      <c r="AD3662">
        <v>-1.1183261078890001</v>
      </c>
      <c r="AE3662">
        <v>-5.6675999999999904</v>
      </c>
      <c r="AF3662">
        <v>-10.4503919322719</v>
      </c>
      <c r="AG3662">
        <v>-1.1183261078890001</v>
      </c>
      <c r="AH3662">
        <v>58.296933222543998</v>
      </c>
      <c r="AI3662">
        <v>91.081746750431506</v>
      </c>
      <c r="AJ3662">
        <v>100.16297984946701</v>
      </c>
      <c r="AK3662">
        <v>59.236760275823997</v>
      </c>
      <c r="AL3662">
        <v>86.818289433376293</v>
      </c>
      <c r="AM3662">
        <v>98.407271255461097</v>
      </c>
      <c r="AN3662">
        <v>1.00000001713761</v>
      </c>
    </row>
    <row r="3663" spans="1:40" x14ac:dyDescent="0.25">
      <c r="A3663" t="str">
        <f>"20190312172149105"</f>
        <v>20190312172149105</v>
      </c>
      <c r="B3663" t="str">
        <f>"1552382509093795"</f>
        <v>1552382509093795</v>
      </c>
      <c r="C3663" t="s">
        <v>40</v>
      </c>
      <c r="D3663">
        <v>3.3684159999999999</v>
      </c>
      <c r="E3663">
        <v>0.48848970000000003</v>
      </c>
      <c r="F3663" t="s">
        <v>47</v>
      </c>
      <c r="G3663">
        <v>-410.22770000000003</v>
      </c>
      <c r="H3663" s="1">
        <v>2.594306E-6</v>
      </c>
      <c r="I3663">
        <v>210.6337</v>
      </c>
      <c r="J3663">
        <v>-466.32560000000001</v>
      </c>
      <c r="K3663">
        <v>1.117993</v>
      </c>
      <c r="L3663">
        <v>216.0214</v>
      </c>
      <c r="M3663">
        <v>0.96484789999999998</v>
      </c>
      <c r="N3663">
        <v>0</v>
      </c>
      <c r="O3663">
        <v>-0.26234580000000002</v>
      </c>
      <c r="P3663">
        <v>0.99121190000000003</v>
      </c>
      <c r="Q3663">
        <v>3.9951170000000001E-2</v>
      </c>
      <c r="R3663">
        <v>-0.12610660000000001</v>
      </c>
      <c r="S3663">
        <v>2.992645</v>
      </c>
      <c r="T3663">
        <v>-5.9377909999999999E-2</v>
      </c>
      <c r="U3663">
        <v>-0.28956599999999999</v>
      </c>
      <c r="V3663">
        <v>-0.13921169999999999</v>
      </c>
      <c r="W3663">
        <v>5.326782E-2</v>
      </c>
      <c r="X3663">
        <v>0.98882890000000001</v>
      </c>
      <c r="Y3663">
        <v>-0.16814029999999999</v>
      </c>
      <c r="Z3663">
        <v>6.7946519999999896E-3</v>
      </c>
      <c r="AA3663">
        <v>0.98573960000000005</v>
      </c>
      <c r="AB3663">
        <v>29</v>
      </c>
      <c r="AC3663">
        <v>56.097899999999903</v>
      </c>
      <c r="AD3663">
        <v>-1.117990405694</v>
      </c>
      <c r="AE3663">
        <v>-5.3876999999999899</v>
      </c>
      <c r="AF3663">
        <v>-9.5161501232495294</v>
      </c>
      <c r="AG3663">
        <v>-1.117990405694</v>
      </c>
      <c r="AH3663">
        <v>55.524285248398797</v>
      </c>
      <c r="AI3663">
        <v>91.136931294104002</v>
      </c>
      <c r="AJ3663">
        <v>99.725274137979</v>
      </c>
      <c r="AK3663">
        <v>56.344948913465203</v>
      </c>
      <c r="AL3663">
        <v>86.946533478325904</v>
      </c>
      <c r="AM3663">
        <v>98.013685446124299</v>
      </c>
      <c r="AN3663">
        <v>0.99999997576982502</v>
      </c>
    </row>
    <row r="3664" spans="1:40" x14ac:dyDescent="0.25">
      <c r="A3664" t="str">
        <f>"20190312172149126"</f>
        <v>20190312172149126</v>
      </c>
      <c r="B3664" t="str">
        <f>"1552382509114291"</f>
        <v>1552382509114291</v>
      </c>
      <c r="C3664" t="s">
        <v>40</v>
      </c>
      <c r="D3664">
        <v>3.3735919999999999</v>
      </c>
      <c r="E3664">
        <v>0.4891433</v>
      </c>
      <c r="F3664" t="s">
        <v>47</v>
      </c>
      <c r="G3664">
        <v>-419.43369999999999</v>
      </c>
      <c r="H3664" s="1">
        <v>4.151946E-6</v>
      </c>
      <c r="I3664">
        <v>211.4957</v>
      </c>
      <c r="J3664">
        <v>-466.06650000000002</v>
      </c>
      <c r="K3664">
        <v>1.1176980000000001</v>
      </c>
      <c r="L3664">
        <v>215.95910000000001</v>
      </c>
      <c r="M3664">
        <v>0.96679440000000005</v>
      </c>
      <c r="N3664">
        <v>0</v>
      </c>
      <c r="O3664">
        <v>-0.25508960000000003</v>
      </c>
      <c r="P3664">
        <v>0.99159379999999997</v>
      </c>
      <c r="Q3664">
        <v>3.4954399999999997E-2</v>
      </c>
      <c r="R3664">
        <v>-0.1245795</v>
      </c>
      <c r="S3664">
        <v>2.9927060000000001</v>
      </c>
      <c r="T3664">
        <v>-7.1351650000000003E-2</v>
      </c>
      <c r="U3664">
        <v>-0.28883360000000002</v>
      </c>
      <c r="V3664">
        <v>-0.1332671</v>
      </c>
      <c r="W3664">
        <v>4.8210830000000003E-2</v>
      </c>
      <c r="X3664">
        <v>0.98990679999999998</v>
      </c>
      <c r="Y3664">
        <v>-0.16093750000000001</v>
      </c>
      <c r="Z3664">
        <v>7.9118260000000003E-3</v>
      </c>
      <c r="AA3664">
        <v>0.9869329</v>
      </c>
      <c r="AB3664">
        <v>29</v>
      </c>
      <c r="AC3664">
        <v>46.632800000000003</v>
      </c>
      <c r="AD3664">
        <v>-1.117693848054</v>
      </c>
      <c r="AE3664">
        <v>-4.4634</v>
      </c>
      <c r="AF3664">
        <v>-7.5769407919860097</v>
      </c>
      <c r="AG3664">
        <v>-1.117693848054</v>
      </c>
      <c r="AH3664">
        <v>46.202095150821002</v>
      </c>
      <c r="AI3664">
        <v>91.367534890255598</v>
      </c>
      <c r="AJ3664">
        <v>99.313353986031402</v>
      </c>
      <c r="AK3664">
        <v>46.832604749562599</v>
      </c>
      <c r="AL3664">
        <v>87.236651570217305</v>
      </c>
      <c r="AM3664">
        <v>97.667396373331201</v>
      </c>
      <c r="AN3664">
        <v>0.99999993837896695</v>
      </c>
    </row>
    <row r="3665" spans="1:40" x14ac:dyDescent="0.25">
      <c r="A3665" t="str">
        <f>"20190312172149148"</f>
        <v>20190312172149148</v>
      </c>
      <c r="B3665" t="str">
        <f>"1552382509144547"</f>
        <v>1552382509144547</v>
      </c>
      <c r="C3665" t="s">
        <v>40</v>
      </c>
      <c r="D3665">
        <v>3.4566970000000001</v>
      </c>
      <c r="E3665">
        <v>0.4893323</v>
      </c>
      <c r="F3665" t="s">
        <v>47</v>
      </c>
      <c r="G3665">
        <v>-429.0077</v>
      </c>
      <c r="H3665" s="1">
        <v>2.5622819999999999E-6</v>
      </c>
      <c r="I3665">
        <v>212.3801</v>
      </c>
      <c r="J3665">
        <v>-465.7962</v>
      </c>
      <c r="K3665">
        <v>1.117442</v>
      </c>
      <c r="L3665">
        <v>215.8964</v>
      </c>
      <c r="M3665">
        <v>0.9687675</v>
      </c>
      <c r="N3665">
        <v>0</v>
      </c>
      <c r="O3665">
        <v>-0.24750050000000001</v>
      </c>
      <c r="P3665">
        <v>0.99186439999999998</v>
      </c>
      <c r="Q3665">
        <v>2.7829309999999999E-2</v>
      </c>
      <c r="R3665">
        <v>-0.12422030000000001</v>
      </c>
      <c r="S3665">
        <v>2.9923099999999998</v>
      </c>
      <c r="T3665">
        <v>-9.0248110000000006E-2</v>
      </c>
      <c r="U3665">
        <v>-0.28898620000000003</v>
      </c>
      <c r="V3665">
        <v>-0.12579889999999999</v>
      </c>
      <c r="W3665">
        <v>4.1062559999999998E-2</v>
      </c>
      <c r="X3665">
        <v>0.99120560000000002</v>
      </c>
      <c r="Y3665">
        <v>-0.153067799999999</v>
      </c>
      <c r="Z3665">
        <v>9.6679520000000005E-3</v>
      </c>
      <c r="AA3665">
        <v>0.98816839999999995</v>
      </c>
      <c r="AB3665">
        <v>29</v>
      </c>
      <c r="AC3665">
        <v>36.788499999999999</v>
      </c>
      <c r="AD3665">
        <v>-1.1174394377179999</v>
      </c>
      <c r="AE3665">
        <v>-3.5163000000000002</v>
      </c>
      <c r="AF3665">
        <v>-5.6941531031376202</v>
      </c>
      <c r="AG3665">
        <v>-1.1174394377179999</v>
      </c>
      <c r="AH3665">
        <v>36.480690745636899</v>
      </c>
      <c r="AI3665">
        <v>91.733500903315502</v>
      </c>
      <c r="AJ3665">
        <v>98.871529294610198</v>
      </c>
      <c r="AK3665">
        <v>36.939313038248798</v>
      </c>
      <c r="AL3665">
        <v>87.646626994832801</v>
      </c>
      <c r="AM3665">
        <v>97.233026508380505</v>
      </c>
      <c r="AN3665">
        <v>1.00000001927316</v>
      </c>
    </row>
    <row r="3666" spans="1:40" x14ac:dyDescent="0.25">
      <c r="A3666" t="str">
        <f>"20190312172149171"</f>
        <v>20190312172149171</v>
      </c>
      <c r="B3666" t="str">
        <f>"1552382509164067"</f>
        <v>1552382509164067</v>
      </c>
      <c r="C3666" t="s">
        <v>40</v>
      </c>
      <c r="D3666">
        <v>3.3992089999999902</v>
      </c>
      <c r="E3666">
        <v>0.48918270000000003</v>
      </c>
      <c r="F3666" t="s">
        <v>47</v>
      </c>
      <c r="G3666">
        <v>-437.04579999999999</v>
      </c>
      <c r="H3666" s="1">
        <v>5.4722650000000002E-6</v>
      </c>
      <c r="I3666">
        <v>213.1207</v>
      </c>
      <c r="J3666">
        <v>-465.51010000000002</v>
      </c>
      <c r="K3666">
        <v>1.1172089999999999</v>
      </c>
      <c r="L3666">
        <v>215.83240000000001</v>
      </c>
      <c r="M3666">
        <v>0.97079029999999999</v>
      </c>
      <c r="N3666">
        <v>0</v>
      </c>
      <c r="O3666">
        <v>-0.2394532</v>
      </c>
      <c r="P3666">
        <v>0.99192480000000005</v>
      </c>
      <c r="Q3666">
        <v>2.1378330000000001E-2</v>
      </c>
      <c r="R3666">
        <v>-0.12501189999999901</v>
      </c>
      <c r="S3666">
        <v>2.9916990000000001</v>
      </c>
      <c r="T3666">
        <v>-0.1162778</v>
      </c>
      <c r="U3666">
        <v>-0.28883360000000002</v>
      </c>
      <c r="V3666">
        <v>-0.11670999999999999</v>
      </c>
      <c r="W3666">
        <v>3.4623210000000001E-2</v>
      </c>
      <c r="X3666">
        <v>0.99256239999999996</v>
      </c>
      <c r="Y3666">
        <v>-0.1447872</v>
      </c>
      <c r="Z3666">
        <v>1.1993759999999999E-2</v>
      </c>
      <c r="AA3666">
        <v>0.98939010000000005</v>
      </c>
      <c r="AB3666">
        <v>29</v>
      </c>
      <c r="AC3666">
        <v>28.464300000000001</v>
      </c>
      <c r="AD3666">
        <v>-1.1172035277349901</v>
      </c>
      <c r="AE3666">
        <v>-2.7117</v>
      </c>
      <c r="AF3666">
        <v>-4.1774758522546396</v>
      </c>
      <c r="AG3666">
        <v>-1.1172035277349901</v>
      </c>
      <c r="AH3666">
        <v>28.242305222226801</v>
      </c>
      <c r="AI3666">
        <v>92.240956962963693</v>
      </c>
      <c r="AJ3666">
        <v>98.413927392774497</v>
      </c>
      <c r="AK3666">
        <v>28.571441204180999</v>
      </c>
      <c r="AL3666">
        <v>88.015839742703903</v>
      </c>
      <c r="AM3666">
        <v>96.706304005045496</v>
      </c>
      <c r="AN3666">
        <v>1.00000005433223</v>
      </c>
    </row>
    <row r="3667" spans="1:40" x14ac:dyDescent="0.25">
      <c r="A3667" t="str">
        <f>"20190312172149194"</f>
        <v>20190312172149194</v>
      </c>
      <c r="B3667" t="str">
        <f>"1552382509184563"</f>
        <v>1552382509184563</v>
      </c>
      <c r="C3667" t="s">
        <v>40</v>
      </c>
      <c r="D3667">
        <v>3.219414</v>
      </c>
      <c r="E3667">
        <v>0.52037259999999996</v>
      </c>
      <c r="F3667" t="s">
        <v>46</v>
      </c>
      <c r="G3667">
        <v>-441.71289999999999</v>
      </c>
      <c r="H3667" s="1">
        <v>-5.7786090000000005E-7</v>
      </c>
      <c r="I3667">
        <v>213.5317</v>
      </c>
      <c r="J3667">
        <v>-465.2319</v>
      </c>
      <c r="K3667">
        <v>1.117008</v>
      </c>
      <c r="L3667">
        <v>215.77250000000001</v>
      </c>
      <c r="M3667">
        <v>0.97268980000000005</v>
      </c>
      <c r="N3667">
        <v>0</v>
      </c>
      <c r="O3667">
        <v>-0.23162489999999999</v>
      </c>
      <c r="P3667">
        <v>0.99191370000000001</v>
      </c>
      <c r="Q3667">
        <v>1.432521E-2</v>
      </c>
      <c r="R3667">
        <v>-0.1261042</v>
      </c>
      <c r="S3667">
        <v>2.991028</v>
      </c>
      <c r="T3667">
        <v>-0.1404202</v>
      </c>
      <c r="U3667">
        <v>-0.28916930000000002</v>
      </c>
      <c r="V3667">
        <v>-0.10753310000000001</v>
      </c>
      <c r="W3667">
        <v>2.7601379999999998E-2</v>
      </c>
      <c r="X3667">
        <v>0.99381830000000004</v>
      </c>
      <c r="Y3667">
        <v>-0.1365671</v>
      </c>
      <c r="Z3667">
        <v>1.393574E-2</v>
      </c>
      <c r="AA3667">
        <v>0.99053279999999999</v>
      </c>
      <c r="AB3667">
        <v>29</v>
      </c>
      <c r="AC3667">
        <v>23.518999999999998</v>
      </c>
      <c r="AD3667">
        <v>-1.11700857786089</v>
      </c>
      <c r="AE3667">
        <v>-2.2408000000000001</v>
      </c>
      <c r="AF3667">
        <v>-3.26105984651783</v>
      </c>
      <c r="AG3667">
        <v>-1.11700857786089</v>
      </c>
      <c r="AH3667">
        <v>23.3461551527522</v>
      </c>
      <c r="AI3667">
        <v>92.712957617384504</v>
      </c>
      <c r="AJ3667">
        <v>97.951793251148402</v>
      </c>
      <c r="AK3667">
        <v>23.599262274528101</v>
      </c>
      <c r="AL3667">
        <v>88.418356561959996</v>
      </c>
      <c r="AM3667">
        <v>96.175490925399401</v>
      </c>
      <c r="AN3667">
        <v>1.0000000085942</v>
      </c>
    </row>
    <row r="3668" spans="1:40" x14ac:dyDescent="0.25">
      <c r="A3668" t="str">
        <f>"20190312172149216"</f>
        <v>20190312172149216</v>
      </c>
      <c r="B3668" t="str">
        <f>"1552382509204083"</f>
        <v>1552382509204083</v>
      </c>
      <c r="C3668" t="s">
        <v>40</v>
      </c>
      <c r="D3668">
        <v>3.3604219999999998</v>
      </c>
      <c r="E3668">
        <v>0.52921989999999997</v>
      </c>
      <c r="F3668" t="s">
        <v>46</v>
      </c>
      <c r="G3668">
        <v>-453.0933</v>
      </c>
      <c r="H3668" s="1">
        <v>1.551687E-7</v>
      </c>
      <c r="I3668">
        <v>213.5677</v>
      </c>
      <c r="J3668">
        <v>-464.96170000000001</v>
      </c>
      <c r="K3668">
        <v>1.1168359999999999</v>
      </c>
      <c r="L3668">
        <v>215.7166</v>
      </c>
      <c r="M3668">
        <v>0.97447130000000004</v>
      </c>
      <c r="N3668">
        <v>0</v>
      </c>
      <c r="O3668">
        <v>-0.22401889999999999</v>
      </c>
      <c r="P3668">
        <v>0.99168089999999998</v>
      </c>
      <c r="Q3668">
        <v>6.1629700000000003E-3</v>
      </c>
      <c r="R3668">
        <v>-0.1285734</v>
      </c>
      <c r="S3668">
        <v>2.960083</v>
      </c>
      <c r="T3668">
        <v>-0.27239029999999997</v>
      </c>
      <c r="U3668">
        <v>-0.53767399999999999</v>
      </c>
      <c r="V3668">
        <v>-9.7179669999999996E-2</v>
      </c>
      <c r="W3668">
        <v>1.9505040000000001E-2</v>
      </c>
      <c r="X3668">
        <v>0.99507570000000001</v>
      </c>
      <c r="Y3668">
        <v>-4.5184210000000002E-2</v>
      </c>
      <c r="Z3668">
        <v>2.2231890000000001E-2</v>
      </c>
      <c r="AA3668">
        <v>0.99873129999999999</v>
      </c>
      <c r="AB3668">
        <v>29</v>
      </c>
      <c r="AC3668">
        <v>11.868399999999999</v>
      </c>
      <c r="AD3668">
        <v>-1.1168358448313001</v>
      </c>
      <c r="AE3668">
        <v>-2.14889999999999</v>
      </c>
      <c r="AF3668">
        <v>-0.55996584093048396</v>
      </c>
      <c r="AG3668">
        <v>-1.1168358448313001</v>
      </c>
      <c r="AH3668">
        <v>11.945719077708301</v>
      </c>
      <c r="AI3668">
        <v>95.335378163128695</v>
      </c>
      <c r="AJ3668">
        <v>92.683824258060099</v>
      </c>
      <c r="AK3668">
        <v>12.010873753846299</v>
      </c>
      <c r="AL3668">
        <v>88.882372645696094</v>
      </c>
      <c r="AM3668">
        <v>95.577850853316093</v>
      </c>
      <c r="AN3668">
        <v>0.9999999917886</v>
      </c>
    </row>
    <row r="3669" spans="1:40" x14ac:dyDescent="0.25">
      <c r="A3669" t="str">
        <f>"20190312172149238"</f>
        <v>20190312172149238</v>
      </c>
      <c r="B3669" t="str">
        <f>"1552382509234339"</f>
        <v>1552382509234339</v>
      </c>
      <c r="C3669" t="s">
        <v>40</v>
      </c>
      <c r="D3669">
        <v>3.4414280000000002</v>
      </c>
      <c r="E3669">
        <v>0.54341349999999999</v>
      </c>
      <c r="F3669" t="s">
        <v>46</v>
      </c>
      <c r="G3669">
        <v>-453.71539999999999</v>
      </c>
      <c r="H3669" s="1">
        <v>4.9463659999999999E-7</v>
      </c>
      <c r="I3669">
        <v>213.3749</v>
      </c>
      <c r="J3669">
        <v>-464.69760000000002</v>
      </c>
      <c r="K3669">
        <v>1.116689</v>
      </c>
      <c r="L3669">
        <v>215.66409999999999</v>
      </c>
      <c r="M3669">
        <v>0.97615209999999997</v>
      </c>
      <c r="N3669">
        <v>0</v>
      </c>
      <c r="O3669">
        <v>-0.216585</v>
      </c>
      <c r="P3669">
        <v>0.99146800000000002</v>
      </c>
      <c r="Q3669">
        <v>6.8844019999999998E-4</v>
      </c>
      <c r="R3669">
        <v>-0.13034879999999999</v>
      </c>
      <c r="S3669">
        <v>2.9473569999999998</v>
      </c>
      <c r="T3669">
        <v>-0.29269279999999998</v>
      </c>
      <c r="U3669">
        <v>-0.61369319999999905</v>
      </c>
      <c r="V3669">
        <v>-8.7728249999999994E-2</v>
      </c>
      <c r="W3669">
        <v>1.4091329999999999E-2</v>
      </c>
      <c r="X3669">
        <v>0.99604479999999995</v>
      </c>
      <c r="Y3669">
        <v>-1.2000230000000001E-2</v>
      </c>
      <c r="Z3669">
        <v>2.1575400000000002E-2</v>
      </c>
      <c r="AA3669">
        <v>0.99969520000000001</v>
      </c>
      <c r="AB3669">
        <v>29</v>
      </c>
      <c r="AC3669">
        <v>10.982200000000001</v>
      </c>
      <c r="AD3669">
        <v>-1.1166885053633999</v>
      </c>
      <c r="AE3669">
        <v>-2.2891999999999899</v>
      </c>
      <c r="AF3669">
        <v>-0.14257536917988001</v>
      </c>
      <c r="AG3669">
        <v>-1.1166885053633999</v>
      </c>
      <c r="AH3669">
        <v>11.107268952212699</v>
      </c>
      <c r="AI3669">
        <v>95.740569676141206</v>
      </c>
      <c r="AJ3669">
        <v>90.735420951176906</v>
      </c>
      <c r="AK3669">
        <v>11.1641723621008</v>
      </c>
      <c r="AL3669">
        <v>89.192599563666505</v>
      </c>
      <c r="AM3669">
        <v>95.033429286470195</v>
      </c>
      <c r="AN3669">
        <v>1.00000002751813</v>
      </c>
    </row>
    <row r="3670" spans="1:40" x14ac:dyDescent="0.25">
      <c r="A3670" t="str">
        <f>"20190312172149261"</f>
        <v>20190312172149261</v>
      </c>
      <c r="B3670" t="str">
        <f>"1552382509253859"</f>
        <v>1552382509253859</v>
      </c>
      <c r="C3670" t="s">
        <v>40</v>
      </c>
      <c r="D3670">
        <v>3.3958629999999999</v>
      </c>
      <c r="E3670">
        <v>0.54555629999999999</v>
      </c>
      <c r="F3670" t="s">
        <v>41</v>
      </c>
      <c r="G3670">
        <v>-463.97239999999999</v>
      </c>
      <c r="H3670">
        <v>1.0147839999999999</v>
      </c>
      <c r="I3670">
        <v>215.48320000000001</v>
      </c>
      <c r="J3670">
        <v>-464.40690000000001</v>
      </c>
      <c r="K3670">
        <v>1.1165929999999999</v>
      </c>
      <c r="L3670">
        <v>215.6087</v>
      </c>
      <c r="M3670">
        <v>0.97793229999999998</v>
      </c>
      <c r="N3670">
        <v>0</v>
      </c>
      <c r="O3670">
        <v>-0.20840610000000001</v>
      </c>
      <c r="P3670">
        <v>0.99166489999999996</v>
      </c>
      <c r="Q3670">
        <v>-8.3379679999999901E-4</v>
      </c>
      <c r="R3670">
        <v>-0.12884129999999999</v>
      </c>
      <c r="S3670">
        <v>2.9302670000000002</v>
      </c>
      <c r="T3670">
        <v>-0.41318110000000002</v>
      </c>
      <c r="U3670">
        <v>-0.72917180000000004</v>
      </c>
      <c r="V3670">
        <v>-8.0877640000000001E-2</v>
      </c>
      <c r="W3670">
        <v>1.258942E-2</v>
      </c>
      <c r="X3670">
        <v>0.99664459999999999</v>
      </c>
      <c r="Y3670">
        <v>3.5482819999999998E-2</v>
      </c>
      <c r="Z3670">
        <v>2.6017829999999999E-2</v>
      </c>
      <c r="AA3670">
        <v>0.99903149999999996</v>
      </c>
      <c r="AB3670">
        <v>28</v>
      </c>
      <c r="AC3670">
        <v>0.43450000000001399</v>
      </c>
      <c r="AD3670">
        <v>-0.101809</v>
      </c>
      <c r="AE3670">
        <v>-0.12549999999998801</v>
      </c>
      <c r="AF3670">
        <v>3.06293768794971E-2</v>
      </c>
      <c r="AG3670">
        <v>-0.101809</v>
      </c>
      <c r="AH3670">
        <v>0.42935746512558298</v>
      </c>
      <c r="AI3670">
        <v>103.30696657012599</v>
      </c>
      <c r="AJ3670">
        <v>85.919562996600803</v>
      </c>
      <c r="AK3670">
        <v>0.44232461390713101</v>
      </c>
      <c r="AL3670">
        <v>89.278660364266798</v>
      </c>
      <c r="AM3670">
        <v>94.639382420790199</v>
      </c>
      <c r="AN3670">
        <v>1.0000000724285301</v>
      </c>
    </row>
    <row r="3671" spans="1:40" x14ac:dyDescent="0.25">
      <c r="A3671" t="str">
        <f>"20190312172149285"</f>
        <v>20190312172149285</v>
      </c>
      <c r="B3671" t="str">
        <f>"1552382509274355"</f>
        <v>1552382509274355</v>
      </c>
      <c r="C3671" t="s">
        <v>40</v>
      </c>
      <c r="D3671">
        <v>3.4167480000000001</v>
      </c>
      <c r="E3671">
        <v>0.54677959999999903</v>
      </c>
      <c r="F3671" t="s">
        <v>41</v>
      </c>
      <c r="G3671">
        <v>-463.49459999999999</v>
      </c>
      <c r="H3671">
        <v>0.98743239999999999</v>
      </c>
      <c r="I3671">
        <v>215.37739999999999</v>
      </c>
      <c r="J3671">
        <v>-464.11849999999998</v>
      </c>
      <c r="K3671">
        <v>1.1165099999999999</v>
      </c>
      <c r="L3671">
        <v>215.5565</v>
      </c>
      <c r="M3671">
        <v>0.9796279</v>
      </c>
      <c r="N3671">
        <v>0</v>
      </c>
      <c r="O3671">
        <v>-0.2002902</v>
      </c>
      <c r="P3671">
        <v>0.99204550000000002</v>
      </c>
      <c r="Q3671">
        <v>1.1301480000000001E-3</v>
      </c>
      <c r="R3671">
        <v>-0.12587470000000001</v>
      </c>
      <c r="S3671">
        <v>2.928528</v>
      </c>
      <c r="T3671">
        <v>-0.41543089999999999</v>
      </c>
      <c r="U3671">
        <v>-0.74147030000000003</v>
      </c>
      <c r="V3671">
        <v>-7.5620779999999999E-2</v>
      </c>
      <c r="W3671">
        <v>1.455858E-2</v>
      </c>
      <c r="X3671">
        <v>0.99703039999999998</v>
      </c>
      <c r="Y3671">
        <v>4.768435E-2</v>
      </c>
      <c r="Z3671">
        <v>2.421336E-2</v>
      </c>
      <c r="AA3671">
        <v>0.99856900000000004</v>
      </c>
      <c r="AB3671">
        <v>28</v>
      </c>
      <c r="AC3671">
        <v>0.62389999999999102</v>
      </c>
      <c r="AD3671">
        <v>-0.12907759999999999</v>
      </c>
      <c r="AE3671">
        <v>-0.17910000000000501</v>
      </c>
      <c r="AF3671">
        <v>4.8574832695606598E-2</v>
      </c>
      <c r="AG3671">
        <v>-0.12907759999999999</v>
      </c>
      <c r="AH3671">
        <v>0.62251400840154503</v>
      </c>
      <c r="AI3671">
        <v>101.67969774291799</v>
      </c>
      <c r="AJ3671">
        <v>85.5382451454674</v>
      </c>
      <c r="AK3671">
        <v>0.63760821187412997</v>
      </c>
      <c r="AL3671">
        <v>89.165825371503104</v>
      </c>
      <c r="AM3671">
        <v>94.337352076422306</v>
      </c>
      <c r="AN3671">
        <v>1.00000003657179</v>
      </c>
    </row>
    <row r="3672" spans="1:40" x14ac:dyDescent="0.25">
      <c r="A3672" t="str">
        <f>"20190312172149305"</f>
        <v>20190312172149305</v>
      </c>
      <c r="B3672" t="str">
        <f>"1552382509293875"</f>
        <v>1552382509293875</v>
      </c>
      <c r="C3672" t="s">
        <v>40</v>
      </c>
      <c r="D3672">
        <v>3.3597079999999999</v>
      </c>
      <c r="E3672">
        <v>0.54763119999999998</v>
      </c>
      <c r="F3672" t="s">
        <v>41</v>
      </c>
      <c r="G3672">
        <v>-463.24299999999999</v>
      </c>
      <c r="H3672">
        <v>0.99522980000000005</v>
      </c>
      <c r="I3672">
        <v>215.3347</v>
      </c>
      <c r="J3672">
        <v>-463.85599999999999</v>
      </c>
      <c r="K3672">
        <v>1.116458</v>
      </c>
      <c r="L3672">
        <v>215.511</v>
      </c>
      <c r="M3672">
        <v>0.9811105</v>
      </c>
      <c r="N3672">
        <v>0</v>
      </c>
      <c r="O3672">
        <v>-0.19290160000000001</v>
      </c>
      <c r="P3672">
        <v>0.99294629999999995</v>
      </c>
      <c r="Q3672">
        <v>6.2040259999999996E-3</v>
      </c>
      <c r="R3672">
        <v>-0.1184011</v>
      </c>
      <c r="S3672">
        <v>2.9303889999999999</v>
      </c>
      <c r="T3672">
        <v>-0.40628740000000002</v>
      </c>
      <c r="U3672">
        <v>-0.74176030000000004</v>
      </c>
      <c r="V3672">
        <v>-7.5684169999999995E-2</v>
      </c>
      <c r="W3672">
        <v>1.9567500000000002E-2</v>
      </c>
      <c r="X3672">
        <v>0.99693980000000004</v>
      </c>
      <c r="Y3672">
        <v>5.4963520000000002E-2</v>
      </c>
      <c r="Z3672">
        <v>2.2199170000000001E-2</v>
      </c>
      <c r="AA3672">
        <v>0.9982415</v>
      </c>
      <c r="AB3672">
        <v>28</v>
      </c>
      <c r="AC3672">
        <v>0.61299999999994204</v>
      </c>
      <c r="AD3672">
        <v>-0.121228199999999</v>
      </c>
      <c r="AE3672">
        <v>-0.17629999999999699</v>
      </c>
      <c r="AF3672">
        <v>5.2818950517009799E-2</v>
      </c>
      <c r="AG3672">
        <v>-0.121228199999999</v>
      </c>
      <c r="AH3672">
        <v>0.61334125110584303</v>
      </c>
      <c r="AI3672">
        <v>101.140329141157</v>
      </c>
      <c r="AJ3672">
        <v>85.078017440465302</v>
      </c>
      <c r="AK3672">
        <v>0.62743414659790298</v>
      </c>
      <c r="AL3672">
        <v>88.878793246783005</v>
      </c>
      <c r="AM3672">
        <v>94.341367011749995</v>
      </c>
      <c r="AN3672">
        <v>0.99999997273443897</v>
      </c>
    </row>
    <row r="3673" spans="1:40" x14ac:dyDescent="0.25">
      <c r="A3673" t="str">
        <f>"20190312172149327"</f>
        <v>20190312172149327</v>
      </c>
      <c r="B3673" t="str">
        <f>"1552382509324131"</f>
        <v>1552382509324131</v>
      </c>
      <c r="C3673" t="s">
        <v>40</v>
      </c>
      <c r="D3673">
        <v>3.3688370000000001</v>
      </c>
      <c r="E3673">
        <v>0.54792859999999999</v>
      </c>
      <c r="F3673" t="s">
        <v>41</v>
      </c>
      <c r="G3673">
        <v>-462.99149999999997</v>
      </c>
      <c r="H3673">
        <v>1.001188</v>
      </c>
      <c r="I3673">
        <v>215.29689999999999</v>
      </c>
      <c r="J3673">
        <v>-463.58670000000001</v>
      </c>
      <c r="K3673">
        <v>1.116414</v>
      </c>
      <c r="L3673">
        <v>215.46639999999999</v>
      </c>
      <c r="M3673">
        <v>0.98257099999999997</v>
      </c>
      <c r="N3673">
        <v>0</v>
      </c>
      <c r="O3673">
        <v>-0.18532460000000001</v>
      </c>
      <c r="P3673">
        <v>0.99358930000000001</v>
      </c>
      <c r="Q3673">
        <v>9.688159E-3</v>
      </c>
      <c r="R3673">
        <v>-0.1126369</v>
      </c>
      <c r="S3673">
        <v>2.9371640000000001</v>
      </c>
      <c r="T3673">
        <v>-0.39264189999999999</v>
      </c>
      <c r="U3673">
        <v>-0.72599789999999997</v>
      </c>
      <c r="V3673">
        <v>-7.3820839999999999E-2</v>
      </c>
      <c r="W3673">
        <v>2.3023310000000002E-2</v>
      </c>
      <c r="X3673">
        <v>0.99700569999999999</v>
      </c>
      <c r="Y3673">
        <v>5.6919690000000002E-2</v>
      </c>
      <c r="Z3673">
        <v>2.033227E-2</v>
      </c>
      <c r="AA3673">
        <v>0.9981717</v>
      </c>
      <c r="AB3673">
        <v>28</v>
      </c>
      <c r="AC3673">
        <v>0.59520000000003304</v>
      </c>
      <c r="AD3673">
        <v>-0.115226</v>
      </c>
      <c r="AE3673">
        <v>-0.16949999999999901</v>
      </c>
      <c r="AF3673">
        <v>5.4361924448836703E-2</v>
      </c>
      <c r="AG3673">
        <v>-0.115226</v>
      </c>
      <c r="AH3673">
        <v>0.59565396381445401</v>
      </c>
      <c r="AI3673">
        <v>100.90410274860299</v>
      </c>
      <c r="AJ3673">
        <v>84.785388256361202</v>
      </c>
      <c r="AK3673">
        <v>0.60912715791832195</v>
      </c>
      <c r="AL3673">
        <v>88.680744909211995</v>
      </c>
      <c r="AM3673">
        <v>94.234598203897406</v>
      </c>
      <c r="AN3673">
        <v>0.99999997752707503</v>
      </c>
    </row>
    <row r="3674" spans="1:40" x14ac:dyDescent="0.25">
      <c r="A3674" t="str">
        <f>"20190312172149350"</f>
        <v>20190312172149350</v>
      </c>
      <c r="B3674" t="str">
        <f>"1552382509344627"</f>
        <v>1552382509344627</v>
      </c>
      <c r="C3674" t="s">
        <v>40</v>
      </c>
      <c r="D3674">
        <v>3.362638</v>
      </c>
      <c r="E3674">
        <v>0.54790280000000002</v>
      </c>
      <c r="F3674" t="s">
        <v>41</v>
      </c>
      <c r="G3674">
        <v>-462.7405</v>
      </c>
      <c r="H3674">
        <v>1.005792</v>
      </c>
      <c r="I3674">
        <v>215.26169999999999</v>
      </c>
      <c r="J3674">
        <v>-463.30770000000001</v>
      </c>
      <c r="K3674">
        <v>1.1163700000000001</v>
      </c>
      <c r="L3674">
        <v>215.42250000000001</v>
      </c>
      <c r="M3674">
        <v>0.98402049999999996</v>
      </c>
      <c r="N3674">
        <v>0</v>
      </c>
      <c r="O3674">
        <v>-0.17747089999999999</v>
      </c>
      <c r="P3674">
        <v>0.99441930000000001</v>
      </c>
      <c r="Q3674">
        <v>1.285588E-2</v>
      </c>
      <c r="R3674">
        <v>-0.104715</v>
      </c>
      <c r="S3674">
        <v>2.9425349999999999</v>
      </c>
      <c r="T3674">
        <v>-0.38525870000000001</v>
      </c>
      <c r="U3674">
        <v>-0.71080019999999999</v>
      </c>
      <c r="V3674">
        <v>-7.3842279999999996E-2</v>
      </c>
      <c r="W3674">
        <v>2.6137540000000001E-2</v>
      </c>
      <c r="X3674">
        <v>0.99692740000000002</v>
      </c>
      <c r="Y3674">
        <v>5.9482010000000002E-2</v>
      </c>
      <c r="Z3674">
        <v>1.878196E-2</v>
      </c>
      <c r="AA3674">
        <v>0.99805270000000001</v>
      </c>
      <c r="AB3674">
        <v>28</v>
      </c>
      <c r="AC3674">
        <v>0.56720000000001303</v>
      </c>
      <c r="AD3674">
        <v>-0.110578</v>
      </c>
      <c r="AE3674">
        <v>-0.16080000000002301</v>
      </c>
      <c r="AF3674">
        <v>5.5618345921341801E-2</v>
      </c>
      <c r="AG3674">
        <v>-0.110578</v>
      </c>
      <c r="AH3674">
        <v>0.56679501795714704</v>
      </c>
      <c r="AI3674">
        <v>100.987886174948</v>
      </c>
      <c r="AJ3674">
        <v>84.395633743637404</v>
      </c>
      <c r="AK3674">
        <v>0.58015298574433705</v>
      </c>
      <c r="AL3674">
        <v>88.502258773102398</v>
      </c>
      <c r="AM3674">
        <v>94.236155070991202</v>
      </c>
      <c r="AN3674">
        <v>1.0000000470918</v>
      </c>
    </row>
    <row r="3675" spans="1:40" x14ac:dyDescent="0.25">
      <c r="A3675" t="str">
        <f>"20190312172149372"</f>
        <v>20190312172149372</v>
      </c>
      <c r="B3675" t="str">
        <f>"1552382509364147"</f>
        <v>1552382509364147</v>
      </c>
      <c r="C3675" t="s">
        <v>40</v>
      </c>
      <c r="D3675">
        <v>3.329167</v>
      </c>
      <c r="E3675">
        <v>0.54783559999999998</v>
      </c>
      <c r="F3675" t="s">
        <v>41</v>
      </c>
      <c r="G3675">
        <v>-462.48950000000002</v>
      </c>
      <c r="H3675">
        <v>1.0090490000000001</v>
      </c>
      <c r="I3675">
        <v>215.23179999999999</v>
      </c>
      <c r="J3675">
        <v>-463.02170000000001</v>
      </c>
      <c r="K3675">
        <v>1.116331</v>
      </c>
      <c r="L3675">
        <v>215.37979999999999</v>
      </c>
      <c r="M3675">
        <v>0.98543999999999998</v>
      </c>
      <c r="N3675">
        <v>0</v>
      </c>
      <c r="O3675">
        <v>-0.16941539999999999</v>
      </c>
      <c r="P3675">
        <v>0.99528799999999995</v>
      </c>
      <c r="Q3675">
        <v>1.6420520000000001E-2</v>
      </c>
      <c r="R3675">
        <v>-9.5561729999999998E-2</v>
      </c>
      <c r="S3675">
        <v>2.949554</v>
      </c>
      <c r="T3675">
        <v>-0.38725910000000002</v>
      </c>
      <c r="U3675">
        <v>-0.68664550000000002</v>
      </c>
      <c r="V3675">
        <v>-7.4901179999999998E-2</v>
      </c>
      <c r="W3675">
        <v>2.9637110000000001E-2</v>
      </c>
      <c r="X3675">
        <v>0.99675049999999998</v>
      </c>
      <c r="Y3675">
        <v>5.931297E-2</v>
      </c>
      <c r="Z3675">
        <v>1.7850479999999998E-2</v>
      </c>
      <c r="AA3675">
        <v>0.99807979999999996</v>
      </c>
      <c r="AB3675">
        <v>28</v>
      </c>
      <c r="AC3675">
        <v>0.53219999999998802</v>
      </c>
      <c r="AD3675">
        <v>-0.107281999999999</v>
      </c>
      <c r="AE3675">
        <v>-0.147999999999996</v>
      </c>
      <c r="AF3675">
        <v>5.3663876096696102E-2</v>
      </c>
      <c r="AG3675">
        <v>-0.107281999999999</v>
      </c>
      <c r="AH3675">
        <v>0.52960549714679594</v>
      </c>
      <c r="AI3675">
        <v>101.39462034773101</v>
      </c>
      <c r="AJ3675">
        <v>84.214080268260901</v>
      </c>
      <c r="AK3675">
        <v>0.54302046161247597</v>
      </c>
      <c r="AL3675">
        <v>88.301670083024106</v>
      </c>
      <c r="AM3675">
        <v>94.297435444710899</v>
      </c>
      <c r="AN3675">
        <v>1.00000005215239</v>
      </c>
    </row>
    <row r="3676" spans="1:40" x14ac:dyDescent="0.25">
      <c r="A3676" t="str">
        <f>"20190312172149395"</f>
        <v>20190312172149395</v>
      </c>
      <c r="B3676" t="str">
        <f>"1552382509384647"</f>
        <v>1552382509384647</v>
      </c>
      <c r="C3676" t="s">
        <v>40</v>
      </c>
      <c r="D3676">
        <v>3.4802930000000001</v>
      </c>
      <c r="E3676">
        <v>0.54767279999999996</v>
      </c>
      <c r="F3676" t="s">
        <v>41</v>
      </c>
      <c r="G3676">
        <v>-462.23809999999997</v>
      </c>
      <c r="H3676">
        <v>1.012831</v>
      </c>
      <c r="I3676">
        <v>215.20500000000001</v>
      </c>
      <c r="J3676">
        <v>-462.7484</v>
      </c>
      <c r="K3676">
        <v>1.1163000000000001</v>
      </c>
      <c r="L3676">
        <v>215.34129999999999</v>
      </c>
      <c r="M3676">
        <v>0.98673339999999998</v>
      </c>
      <c r="N3676">
        <v>0</v>
      </c>
      <c r="O3676">
        <v>-0.161717</v>
      </c>
      <c r="P3676">
        <v>0.99611490000000003</v>
      </c>
      <c r="Q3676">
        <v>1.8537370000000001E-2</v>
      </c>
      <c r="R3676">
        <v>-8.6090449999999999E-2</v>
      </c>
      <c r="S3676">
        <v>2.9573969999999998</v>
      </c>
      <c r="T3676">
        <v>-0.39159860000000002</v>
      </c>
      <c r="U3676">
        <v>-0.65861510000000001</v>
      </c>
      <c r="V3676">
        <v>-7.6624390000000001E-2</v>
      </c>
      <c r="W3676">
        <v>3.1686550000000001E-2</v>
      </c>
      <c r="X3676">
        <v>0.99655640000000001</v>
      </c>
      <c r="Y3676">
        <v>5.7498E-2</v>
      </c>
      <c r="Z3676">
        <v>1.7160350000000001E-2</v>
      </c>
      <c r="AA3676">
        <v>0.99819820000000004</v>
      </c>
      <c r="AB3676">
        <v>28</v>
      </c>
      <c r="AC3676">
        <v>0.51030000000002895</v>
      </c>
      <c r="AD3676">
        <v>-0.10346900000000001</v>
      </c>
      <c r="AE3676">
        <v>-0.136299999999977</v>
      </c>
      <c r="AF3676">
        <v>5.0052177782756897E-2</v>
      </c>
      <c r="AG3676">
        <v>-0.10346900000000001</v>
      </c>
      <c r="AH3676">
        <v>0.50620076206174802</v>
      </c>
      <c r="AI3676">
        <v>101.49773575341599</v>
      </c>
      <c r="AJ3676">
        <v>84.353056684200496</v>
      </c>
      <c r="AK3676">
        <v>0.51908599092413499</v>
      </c>
      <c r="AL3676">
        <v>88.184190468009703</v>
      </c>
      <c r="AM3676">
        <v>94.396773799602897</v>
      </c>
      <c r="AN3676">
        <v>0.99999999648736704</v>
      </c>
    </row>
    <row r="3677" spans="1:40" x14ac:dyDescent="0.25">
      <c r="A3677" t="str">
        <f>"20190312172149416"</f>
        <v>20190312172149416</v>
      </c>
      <c r="B3677" t="str">
        <f>"1552382509413924"</f>
        <v>1552382509413924</v>
      </c>
      <c r="C3677" t="s">
        <v>40</v>
      </c>
      <c r="D3677">
        <v>3.2499250000000002</v>
      </c>
      <c r="E3677">
        <v>0.50856699999999999</v>
      </c>
      <c r="F3677" t="s">
        <v>41</v>
      </c>
      <c r="G3677">
        <v>-461.98759999999999</v>
      </c>
      <c r="H3677">
        <v>1.0148629999999901</v>
      </c>
      <c r="I3677">
        <v>215.1797</v>
      </c>
      <c r="J3677">
        <v>-462.47829999999999</v>
      </c>
      <c r="K3677">
        <v>1.1162609999999999</v>
      </c>
      <c r="L3677">
        <v>215.30529999999999</v>
      </c>
      <c r="M3677">
        <v>0.98795089999999997</v>
      </c>
      <c r="N3677">
        <v>0</v>
      </c>
      <c r="O3677">
        <v>-0.15410779999999999</v>
      </c>
      <c r="P3677">
        <v>0.99689130000000004</v>
      </c>
      <c r="Q3677">
        <v>1.9607099999999999E-2</v>
      </c>
      <c r="R3677">
        <v>-7.6314870000000007E-2</v>
      </c>
      <c r="S3677">
        <v>2.9647220000000001</v>
      </c>
      <c r="T3677">
        <v>-0.39626060000000002</v>
      </c>
      <c r="U3677">
        <v>-0.62853999999999999</v>
      </c>
      <c r="V3677">
        <v>-7.8731540000000003E-2</v>
      </c>
      <c r="W3677">
        <v>3.2688340000000003E-2</v>
      </c>
      <c r="X3677">
        <v>0.99635980000000002</v>
      </c>
      <c r="Y3677">
        <v>5.4975509999999998E-2</v>
      </c>
      <c r="Z3677">
        <v>1.652605E-2</v>
      </c>
      <c r="AA3677">
        <v>0.99835090000000004</v>
      </c>
      <c r="AB3677">
        <v>28</v>
      </c>
      <c r="AC3677">
        <v>0.49070000000000302</v>
      </c>
      <c r="AD3677">
        <v>-0.101398</v>
      </c>
      <c r="AE3677">
        <v>-0.125599999999991</v>
      </c>
      <c r="AF3677">
        <v>4.6603278145794201E-2</v>
      </c>
      <c r="AG3677">
        <v>-0.101398</v>
      </c>
      <c r="AH3677">
        <v>0.48476805353292302</v>
      </c>
      <c r="AI3677">
        <v>101.761415129787</v>
      </c>
      <c r="AJ3677">
        <v>84.508733492422294</v>
      </c>
      <c r="AK3677">
        <v>0.49744696769005797</v>
      </c>
      <c r="AL3677">
        <v>88.126762408524002</v>
      </c>
      <c r="AM3677">
        <v>94.518077770918495</v>
      </c>
      <c r="AN3677">
        <v>1.0000000170093799</v>
      </c>
    </row>
    <row r="3678" spans="1:40" x14ac:dyDescent="0.25">
      <c r="A3678" t="str">
        <f>"20190312172149439"</f>
        <v>20190312172149439</v>
      </c>
      <c r="B3678" t="str">
        <f>"1552382509434420"</f>
        <v>1552382509434420</v>
      </c>
      <c r="C3678" t="s">
        <v>40</v>
      </c>
      <c r="D3678">
        <v>3.3296869999999998</v>
      </c>
      <c r="E3678">
        <v>0.49601230000000002</v>
      </c>
      <c r="F3678" t="s">
        <v>46</v>
      </c>
      <c r="G3678">
        <v>-449.02690000000001</v>
      </c>
      <c r="H3678" s="1">
        <v>3.2940050000000001E-6</v>
      </c>
      <c r="I3678">
        <v>213.9957</v>
      </c>
      <c r="J3678">
        <v>-462.20179999999999</v>
      </c>
      <c r="K3678">
        <v>1.11622</v>
      </c>
      <c r="L3678">
        <v>215.2706</v>
      </c>
      <c r="M3678">
        <v>0.98913470000000003</v>
      </c>
      <c r="N3678">
        <v>0</v>
      </c>
      <c r="O3678">
        <v>-0.14632010000000001</v>
      </c>
      <c r="P3678">
        <v>0.99756579999999995</v>
      </c>
      <c r="Q3678">
        <v>2.047274E-2</v>
      </c>
      <c r="R3678">
        <v>-6.6658709999999996E-2</v>
      </c>
      <c r="S3678">
        <v>2.991943</v>
      </c>
      <c r="T3678">
        <v>-0.2482848</v>
      </c>
      <c r="U3678">
        <v>-0.2912903</v>
      </c>
      <c r="V3678">
        <v>-8.0538449999999998E-2</v>
      </c>
      <c r="W3678">
        <v>3.349423E-2</v>
      </c>
      <c r="X3678">
        <v>0.99618859999999998</v>
      </c>
      <c r="Y3678">
        <v>-4.9128819999999997E-2</v>
      </c>
      <c r="Z3678">
        <v>1.4070279999999999E-2</v>
      </c>
      <c r="AA3678">
        <v>0.99869330000000001</v>
      </c>
      <c r="AB3678">
        <v>28</v>
      </c>
      <c r="AC3678">
        <v>13.1748999999999</v>
      </c>
      <c r="AD3678">
        <v>-1.1162167059949999</v>
      </c>
      <c r="AE3678">
        <v>-1.2748999999999999</v>
      </c>
      <c r="AF3678">
        <v>-0.66206432966802398</v>
      </c>
      <c r="AG3678">
        <v>-1.1162167059949999</v>
      </c>
      <c r="AH3678">
        <v>13.126289752020901</v>
      </c>
      <c r="AI3678">
        <v>94.854410733998606</v>
      </c>
      <c r="AJ3678">
        <v>92.8874399418564</v>
      </c>
      <c r="AK3678">
        <v>13.1902900485687</v>
      </c>
      <c r="AL3678">
        <v>88.080563008636801</v>
      </c>
      <c r="AM3678">
        <v>94.622115500081094</v>
      </c>
      <c r="AN3678">
        <v>1.00000001607082</v>
      </c>
    </row>
    <row r="3679" spans="1:40" x14ac:dyDescent="0.25">
      <c r="A3679" t="str">
        <f>"20190312172149462"</f>
        <v>20190312172149462</v>
      </c>
      <c r="B3679" t="str">
        <f>"1552382509453940"</f>
        <v>1552382509453940</v>
      </c>
      <c r="C3679" t="s">
        <v>40</v>
      </c>
      <c r="D3679">
        <v>3.3071139999999999</v>
      </c>
      <c r="E3679">
        <v>0.49161850000000001</v>
      </c>
      <c r="F3679" t="s">
        <v>46</v>
      </c>
      <c r="G3679">
        <v>-444.4966</v>
      </c>
      <c r="H3679" s="1">
        <v>8.6968439999999996E-7</v>
      </c>
      <c r="I3679">
        <v>214.30430000000001</v>
      </c>
      <c r="J3679">
        <v>-461.91890000000001</v>
      </c>
      <c r="K3679">
        <v>1.116179</v>
      </c>
      <c r="L3679">
        <v>215.23750000000001</v>
      </c>
      <c r="M3679">
        <v>0.99027679999999996</v>
      </c>
      <c r="N3679">
        <v>0</v>
      </c>
      <c r="O3679">
        <v>-0.13838239999999999</v>
      </c>
      <c r="P3679">
        <v>0.99807380000000001</v>
      </c>
      <c r="Q3679">
        <v>2.0676859999999998E-2</v>
      </c>
      <c r="R3679">
        <v>-5.848863E-2</v>
      </c>
      <c r="S3679">
        <v>3.000305</v>
      </c>
      <c r="T3679">
        <v>-0.18915299999999999</v>
      </c>
      <c r="U3679">
        <v>-0.1637421</v>
      </c>
      <c r="V3679">
        <v>-8.0704700000000004E-2</v>
      </c>
      <c r="W3679">
        <v>3.367009E-2</v>
      </c>
      <c r="X3679">
        <v>0.99616919999999998</v>
      </c>
      <c r="Y3679">
        <v>-8.3783510000000005E-2</v>
      </c>
      <c r="Z3679">
        <v>1.1317229999999999E-2</v>
      </c>
      <c r="AA3679">
        <v>0.99641970000000002</v>
      </c>
      <c r="AB3679">
        <v>28</v>
      </c>
      <c r="AC3679">
        <v>17.4223</v>
      </c>
      <c r="AD3679">
        <v>-1.1161781303156</v>
      </c>
      <c r="AE3679">
        <v>-0.93319999999999903</v>
      </c>
      <c r="AF3679">
        <v>-1.48090277830572</v>
      </c>
      <c r="AG3679">
        <v>-1.1161781303156</v>
      </c>
      <c r="AH3679">
        <v>17.3129383117763</v>
      </c>
      <c r="AI3679">
        <v>93.675412435561697</v>
      </c>
      <c r="AJ3679">
        <v>94.889028289106705</v>
      </c>
      <c r="AK3679">
        <v>17.411971733401099</v>
      </c>
      <c r="AL3679">
        <v>88.070481254127799</v>
      </c>
      <c r="AM3679">
        <v>94.631704954372907</v>
      </c>
      <c r="AN3679">
        <v>0.99999999929566896</v>
      </c>
    </row>
    <row r="3680" spans="1:40" x14ac:dyDescent="0.25">
      <c r="A3680" t="str">
        <f>"20190312172149486"</f>
        <v>20190312172149486</v>
      </c>
      <c r="B3680" t="str">
        <f>"1552382509474435"</f>
        <v>1552382509474435</v>
      </c>
      <c r="C3680" t="s">
        <v>40</v>
      </c>
      <c r="D3680">
        <v>3.2293599999999998</v>
      </c>
      <c r="E3680">
        <v>0.48999039999999999</v>
      </c>
      <c r="F3680" t="s">
        <v>46</v>
      </c>
      <c r="G3680">
        <v>-442.62939999999998</v>
      </c>
      <c r="H3680" s="1">
        <v>-1.3529580000000001E-7</v>
      </c>
      <c r="I3680">
        <v>214.56489999999999</v>
      </c>
      <c r="J3680">
        <v>-461.62079999999997</v>
      </c>
      <c r="K3680">
        <v>1.116115</v>
      </c>
      <c r="L3680">
        <v>215.20519999999999</v>
      </c>
      <c r="M3680">
        <v>0.99140329999999999</v>
      </c>
      <c r="N3680">
        <v>0</v>
      </c>
      <c r="O3680">
        <v>-0.13007069999999901</v>
      </c>
      <c r="P3680">
        <v>0.99848159999999997</v>
      </c>
      <c r="Q3680">
        <v>1.9662889999999999E-2</v>
      </c>
      <c r="R3680">
        <v>-5.1460239999999997E-2</v>
      </c>
      <c r="S3680">
        <v>3.0032960000000002</v>
      </c>
      <c r="T3680">
        <v>-0.173784299999999</v>
      </c>
      <c r="U3680">
        <v>-0.1047211</v>
      </c>
      <c r="V3680">
        <v>-7.9345460000000007E-2</v>
      </c>
      <c r="W3680">
        <v>3.2655459999999997E-2</v>
      </c>
      <c r="X3680">
        <v>0.99631210000000003</v>
      </c>
      <c r="Y3680">
        <v>-9.5078499999999996E-2</v>
      </c>
      <c r="Z3680">
        <v>1.0246069999999999E-2</v>
      </c>
      <c r="AA3680">
        <v>0.99541710000000005</v>
      </c>
      <c r="AB3680">
        <v>28</v>
      </c>
      <c r="AC3680">
        <v>18.991399999999999</v>
      </c>
      <c r="AD3680">
        <v>-1.1161151352958001</v>
      </c>
      <c r="AE3680">
        <v>-0.64029999999999598</v>
      </c>
      <c r="AF3680">
        <v>-1.8293027764330501</v>
      </c>
      <c r="AG3680">
        <v>-1.1161151352958001</v>
      </c>
      <c r="AH3680">
        <v>18.848297462605</v>
      </c>
      <c r="AI3680">
        <v>93.373040349811703</v>
      </c>
      <c r="AJ3680">
        <v>95.543423050735996</v>
      </c>
      <c r="AK3680">
        <v>18.969722688588298</v>
      </c>
      <c r="AL3680">
        <v>88.128647157432795</v>
      </c>
      <c r="AM3680">
        <v>94.553377610382995</v>
      </c>
      <c r="AN3680">
        <v>0.99999994084841404</v>
      </c>
    </row>
    <row r="3681" spans="1:40" x14ac:dyDescent="0.25">
      <c r="A3681" t="str">
        <f>"20190312172149507"</f>
        <v>20190312172149507</v>
      </c>
      <c r="B3681" t="str">
        <f>"1552382509504692"</f>
        <v>1552382509504692</v>
      </c>
      <c r="C3681" t="s">
        <v>40</v>
      </c>
      <c r="D3681">
        <v>3.2452709999999998</v>
      </c>
      <c r="E3681">
        <v>0.48934919999999998</v>
      </c>
      <c r="F3681" t="s">
        <v>46</v>
      </c>
      <c r="G3681">
        <v>-441.6379</v>
      </c>
      <c r="H3681" s="1">
        <v>-6.7039900000000005E-7</v>
      </c>
      <c r="I3681">
        <v>214.73560000000001</v>
      </c>
      <c r="J3681">
        <v>-461.35410000000002</v>
      </c>
      <c r="K3681">
        <v>1.116044</v>
      </c>
      <c r="L3681">
        <v>215.17830000000001</v>
      </c>
      <c r="M3681">
        <v>0.992344</v>
      </c>
      <c r="N3681">
        <v>0</v>
      </c>
      <c r="O3681">
        <v>-0.1226913</v>
      </c>
      <c r="P3681">
        <v>0.99872399999999995</v>
      </c>
      <c r="Q3681">
        <v>1.904631E-2</v>
      </c>
      <c r="R3681">
        <v>-4.6774120000000002E-2</v>
      </c>
      <c r="S3681">
        <v>3.0042420000000001</v>
      </c>
      <c r="T3681">
        <v>-0.1677978</v>
      </c>
      <c r="U3681">
        <v>-7.0602419999999999E-2</v>
      </c>
      <c r="V3681">
        <v>-7.6594949999999995E-2</v>
      </c>
      <c r="W3681">
        <v>3.2065440000000001E-2</v>
      </c>
      <c r="X3681">
        <v>0.99654659999999995</v>
      </c>
      <c r="Y3681">
        <v>-9.9008429999999994E-2</v>
      </c>
      <c r="Z3681">
        <v>9.5941570000000007E-3</v>
      </c>
      <c r="AA3681">
        <v>0.99504040000000005</v>
      </c>
      <c r="AB3681">
        <v>28</v>
      </c>
      <c r="AC3681">
        <v>19.716200000000001</v>
      </c>
      <c r="AD3681">
        <v>-1.1160446703989999</v>
      </c>
      <c r="AE3681">
        <v>-0.44270000000000198</v>
      </c>
      <c r="AF3681">
        <v>-1.9735732530477501</v>
      </c>
      <c r="AG3681">
        <v>-1.1160446703989999</v>
      </c>
      <c r="AH3681">
        <v>19.558894113728201</v>
      </c>
      <c r="AI3681">
        <v>93.249333109221396</v>
      </c>
      <c r="AJ3681">
        <v>95.761878636982203</v>
      </c>
      <c r="AK3681">
        <v>19.6898675984249</v>
      </c>
      <c r="AL3681">
        <v>88.162470735321406</v>
      </c>
      <c r="AM3681">
        <v>94.395134179003804</v>
      </c>
      <c r="AN3681">
        <v>1.0000000523897199</v>
      </c>
    </row>
    <row r="3682" spans="1:40" x14ac:dyDescent="0.25">
      <c r="A3682" t="str">
        <f>"20190312172149528"</f>
        <v>20190312172149528</v>
      </c>
      <c r="B3682" t="str">
        <f>"1552382509524212"</f>
        <v>1552382509524212</v>
      </c>
      <c r="C3682" t="s">
        <v>40</v>
      </c>
      <c r="D3682">
        <v>3.200167</v>
      </c>
      <c r="E3682">
        <v>0.48927120000000002</v>
      </c>
      <c r="F3682" t="s">
        <v>46</v>
      </c>
      <c r="G3682">
        <v>-441.15460000000002</v>
      </c>
      <c r="H3682" s="1">
        <v>-9.3163290000000002E-7</v>
      </c>
      <c r="I3682">
        <v>214.82810000000001</v>
      </c>
      <c r="J3682">
        <v>-461.10750000000002</v>
      </c>
      <c r="K3682">
        <v>1.1159669999999999</v>
      </c>
      <c r="L3682">
        <v>215.1551</v>
      </c>
      <c r="M3682">
        <v>0.99315520000000002</v>
      </c>
      <c r="N3682">
        <v>0</v>
      </c>
      <c r="O3682">
        <v>-0.11594550000000001</v>
      </c>
      <c r="P3682">
        <v>0.99890029999999996</v>
      </c>
      <c r="Q3682">
        <v>1.9240759999999999E-2</v>
      </c>
      <c r="R3682">
        <v>-4.2760010000000001E-2</v>
      </c>
      <c r="S3682">
        <v>3.0045470000000001</v>
      </c>
      <c r="T3682">
        <v>-0.16600419999999999</v>
      </c>
      <c r="U3682">
        <v>-5.2093510000000003E-2</v>
      </c>
      <c r="V3682">
        <v>-7.3824249999999994E-2</v>
      </c>
      <c r="W3682">
        <v>3.2291350000000003E-2</v>
      </c>
      <c r="X3682">
        <v>0.99674830000000003</v>
      </c>
      <c r="Y3682">
        <v>-9.8394889999999999E-2</v>
      </c>
      <c r="Z3682">
        <v>9.1048640000000007E-3</v>
      </c>
      <c r="AA3682">
        <v>0.99510580000000004</v>
      </c>
      <c r="AB3682">
        <v>28</v>
      </c>
      <c r="AC3682">
        <v>19.9529</v>
      </c>
      <c r="AD3682">
        <v>-1.1159679316329001</v>
      </c>
      <c r="AE3682">
        <v>-0.32699999999999801</v>
      </c>
      <c r="AF3682">
        <v>-1.9826849830836699</v>
      </c>
      <c r="AG3682">
        <v>-1.1159679316329001</v>
      </c>
      <c r="AH3682">
        <v>19.794316722236701</v>
      </c>
      <c r="AI3682">
        <v>93.210784280241796</v>
      </c>
      <c r="AJ3682">
        <v>95.719916643090301</v>
      </c>
      <c r="AK3682">
        <v>19.924642999732701</v>
      </c>
      <c r="AL3682">
        <v>88.149520173297802</v>
      </c>
      <c r="AM3682">
        <v>94.235882712593295</v>
      </c>
      <c r="AN3682">
        <v>0.99999996236288602</v>
      </c>
    </row>
    <row r="3683" spans="1:40" x14ac:dyDescent="0.25">
      <c r="A3683" t="str">
        <f>"20190312172149551"</f>
        <v>20190312172149551</v>
      </c>
      <c r="B3683" t="str">
        <f>"1552382509544708"</f>
        <v>1552382509544708</v>
      </c>
      <c r="C3683" t="s">
        <v>40</v>
      </c>
      <c r="D3683">
        <v>3.2616969999999998</v>
      </c>
      <c r="E3683">
        <v>0.48957699999999998</v>
      </c>
      <c r="F3683" t="s">
        <v>46</v>
      </c>
      <c r="G3683">
        <v>-440.41910000000001</v>
      </c>
      <c r="H3683" s="1">
        <v>-1.3251330000000001E-6</v>
      </c>
      <c r="I3683">
        <v>214.87649999999999</v>
      </c>
      <c r="J3683">
        <v>-460.81659999999999</v>
      </c>
      <c r="K3683">
        <v>1.1158410000000001</v>
      </c>
      <c r="L3683">
        <v>215.12979999999999</v>
      </c>
      <c r="M3683">
        <v>0.99403450000000004</v>
      </c>
      <c r="N3683">
        <v>0</v>
      </c>
      <c r="O3683">
        <v>-0.1081496</v>
      </c>
      <c r="P3683">
        <v>0.99908580000000002</v>
      </c>
      <c r="Q3683">
        <v>1.9934110000000001E-2</v>
      </c>
      <c r="R3683">
        <v>-3.7817829999999997E-2</v>
      </c>
      <c r="S3683">
        <v>3.0047000000000001</v>
      </c>
      <c r="T3683">
        <v>-0.1620789</v>
      </c>
      <c r="U3683">
        <v>-4.0466309999999998E-2</v>
      </c>
      <c r="V3683">
        <v>-7.0932510000000004E-2</v>
      </c>
      <c r="W3683">
        <v>3.3018619999999999E-2</v>
      </c>
      <c r="X3683">
        <v>0.99693449999999995</v>
      </c>
      <c r="Y3683">
        <v>-9.4469170000000005E-2</v>
      </c>
      <c r="Z3683">
        <v>8.3661719999999998E-3</v>
      </c>
      <c r="AA3683">
        <v>0.99549259999999995</v>
      </c>
      <c r="AB3683">
        <v>28</v>
      </c>
      <c r="AC3683">
        <v>20.397499999999901</v>
      </c>
      <c r="AD3683">
        <v>-1.1158423251330001</v>
      </c>
      <c r="AE3683">
        <v>-0.25329999999999497</v>
      </c>
      <c r="AF3683">
        <v>-1.9485566801106</v>
      </c>
      <c r="AG3683">
        <v>-1.1158423251330001</v>
      </c>
      <c r="AH3683">
        <v>20.244659000427799</v>
      </c>
      <c r="AI3683">
        <v>93.140345179563298</v>
      </c>
      <c r="AJ3683">
        <v>95.497806385811501</v>
      </c>
      <c r="AK3683">
        <v>20.368804463536001</v>
      </c>
      <c r="AL3683">
        <v>88.107828550585197</v>
      </c>
      <c r="AM3683">
        <v>94.069771990711004</v>
      </c>
      <c r="AN3683">
        <v>1.0000000237659199</v>
      </c>
    </row>
    <row r="3684" spans="1:40" x14ac:dyDescent="0.25">
      <c r="A3684" t="str">
        <f>"20190312172149573"</f>
        <v>20190312172149573</v>
      </c>
      <c r="B3684" t="str">
        <f>"1552382509564227"</f>
        <v>1552382509564227</v>
      </c>
      <c r="C3684" t="s">
        <v>40</v>
      </c>
      <c r="D3684">
        <v>3.4199519999999999</v>
      </c>
      <c r="E3684">
        <v>0.48981039999999998</v>
      </c>
      <c r="F3684" t="s">
        <v>47</v>
      </c>
      <c r="G3684">
        <v>-439.2921</v>
      </c>
      <c r="H3684" s="1">
        <v>6.3108249999999998E-6</v>
      </c>
      <c r="I3684">
        <v>214.923</v>
      </c>
      <c r="J3684">
        <v>-460.54109999999997</v>
      </c>
      <c r="K3684">
        <v>1.1156900000000001</v>
      </c>
      <c r="L3684">
        <v>215.10769999999999</v>
      </c>
      <c r="M3684">
        <v>0.99478880000000003</v>
      </c>
      <c r="N3684">
        <v>0</v>
      </c>
      <c r="O3684">
        <v>-0.1009801</v>
      </c>
      <c r="P3684">
        <v>0.99922290000000002</v>
      </c>
      <c r="Q3684">
        <v>2.0564470000000001E-2</v>
      </c>
      <c r="R3684">
        <v>-3.362656E-2</v>
      </c>
      <c r="S3684">
        <v>3.0047609999999998</v>
      </c>
      <c r="T3684">
        <v>-0.15576699999999999</v>
      </c>
      <c r="U3684">
        <v>-2.886963E-2</v>
      </c>
      <c r="V3684">
        <v>-6.7919649999999998E-2</v>
      </c>
      <c r="W3684">
        <v>3.3689150000000001E-2</v>
      </c>
      <c r="X3684">
        <v>0.99712179999999995</v>
      </c>
      <c r="Y3684">
        <v>-9.1169470000000002E-2</v>
      </c>
      <c r="Z3684">
        <v>7.5858369999999998E-3</v>
      </c>
      <c r="AA3684">
        <v>0.99580650000000004</v>
      </c>
      <c r="AB3684">
        <v>28</v>
      </c>
      <c r="AC3684">
        <v>21.248999999999899</v>
      </c>
      <c r="AD3684">
        <v>-1.1156836891749999</v>
      </c>
      <c r="AE3684">
        <v>-0.18469999999999201</v>
      </c>
      <c r="AF3684">
        <v>-1.95678910953123</v>
      </c>
      <c r="AG3684">
        <v>-1.1156836891749999</v>
      </c>
      <c r="AH3684">
        <v>21.1008494468633</v>
      </c>
      <c r="AI3684">
        <v>93.013724578451203</v>
      </c>
      <c r="AJ3684">
        <v>95.298176027432405</v>
      </c>
      <c r="AK3684">
        <v>21.220735639761902</v>
      </c>
      <c r="AL3684">
        <v>88.069388502439196</v>
      </c>
      <c r="AM3684">
        <v>93.896722996835194</v>
      </c>
      <c r="AN3684">
        <v>0.99999996085954101</v>
      </c>
    </row>
    <row r="3685" spans="1:40" x14ac:dyDescent="0.25">
      <c r="A3685" t="str">
        <f>"20190312172149595"</f>
        <v>20190312172149595</v>
      </c>
      <c r="B3685" t="str">
        <f>"1552382509584731"</f>
        <v>1552382509584731</v>
      </c>
      <c r="C3685" t="s">
        <v>40</v>
      </c>
      <c r="D3685">
        <v>3.4136899999999999</v>
      </c>
      <c r="E3685">
        <v>0.4901606</v>
      </c>
      <c r="F3685" t="s">
        <v>47</v>
      </c>
      <c r="G3685">
        <v>-437.96870000000001</v>
      </c>
      <c r="H3685" s="1">
        <v>5.7199680000000003E-6</v>
      </c>
      <c r="I3685">
        <v>214.96889999999999</v>
      </c>
      <c r="J3685">
        <v>-460.26499999999999</v>
      </c>
      <c r="K3685">
        <v>1.1154900000000001</v>
      </c>
      <c r="L3685">
        <v>215.0873</v>
      </c>
      <c r="M3685">
        <v>0.99546619999999997</v>
      </c>
      <c r="N3685">
        <v>0</v>
      </c>
      <c r="O3685">
        <v>-9.4074030000000003E-2</v>
      </c>
      <c r="P3685">
        <v>0.99935759999999996</v>
      </c>
      <c r="Q3685">
        <v>2.082527E-2</v>
      </c>
      <c r="R3685">
        <v>-2.917057E-2</v>
      </c>
      <c r="S3685">
        <v>3.004791</v>
      </c>
      <c r="T3685">
        <v>-0.14851800000000001</v>
      </c>
      <c r="U3685">
        <v>-1.8478390000000001E-2</v>
      </c>
      <c r="V3685">
        <v>-6.5430669999999996E-2</v>
      </c>
      <c r="W3685">
        <v>3.398557E-2</v>
      </c>
      <c r="X3685">
        <v>0.9972782</v>
      </c>
      <c r="Y3685">
        <v>-8.7737609999999994E-2</v>
      </c>
      <c r="Z3685">
        <v>6.8088389999999997E-3</v>
      </c>
      <c r="AA3685">
        <v>0.99612029999999996</v>
      </c>
      <c r="AB3685">
        <v>28</v>
      </c>
      <c r="AC3685">
        <v>22.296299999999899</v>
      </c>
      <c r="AD3685">
        <v>-1.115484280032</v>
      </c>
      <c r="AE3685">
        <v>-0.118400000000008</v>
      </c>
      <c r="AF3685">
        <v>-1.9748917208291299</v>
      </c>
      <c r="AG3685">
        <v>-1.115484280032</v>
      </c>
      <c r="AH3685">
        <v>22.1530927126135</v>
      </c>
      <c r="AI3685">
        <v>92.871237116237594</v>
      </c>
      <c r="AJ3685">
        <v>95.094305839472398</v>
      </c>
      <c r="AK3685">
        <v>22.268902514979199</v>
      </c>
      <c r="AL3685">
        <v>88.052395231557895</v>
      </c>
      <c r="AM3685">
        <v>93.753752917003695</v>
      </c>
      <c r="AN3685">
        <v>0.99999999987005594</v>
      </c>
    </row>
    <row r="3686" spans="1:40" x14ac:dyDescent="0.25">
      <c r="A3686" t="str">
        <f>"20190312172149616"</f>
        <v>20190312172149616</v>
      </c>
      <c r="B3686" t="str">
        <f>"1552382509614004"</f>
        <v>1552382509614004</v>
      </c>
      <c r="C3686" t="s">
        <v>40</v>
      </c>
      <c r="D3686">
        <v>3.46556</v>
      </c>
      <c r="E3686">
        <v>0.49072519999999997</v>
      </c>
      <c r="F3686" t="s">
        <v>47</v>
      </c>
      <c r="G3686">
        <v>-437.03820000000002</v>
      </c>
      <c r="H3686" s="1">
        <v>5.3024289999999996E-6</v>
      </c>
      <c r="I3686">
        <v>215.02459999999999</v>
      </c>
      <c r="J3686">
        <v>-460.00279999999998</v>
      </c>
      <c r="K3686">
        <v>1.1152409999999999</v>
      </c>
      <c r="L3686">
        <v>215.0694</v>
      </c>
      <c r="M3686">
        <v>0.99603569999999997</v>
      </c>
      <c r="N3686">
        <v>0</v>
      </c>
      <c r="O3686">
        <v>-8.7843690000000002E-2</v>
      </c>
      <c r="P3686">
        <v>0.99946760000000001</v>
      </c>
      <c r="Q3686">
        <v>2.0902319999999999E-2</v>
      </c>
      <c r="R3686">
        <v>-2.505814E-2</v>
      </c>
      <c r="S3686">
        <v>3.0047299999999999</v>
      </c>
      <c r="T3686">
        <v>-0.1443044</v>
      </c>
      <c r="U3686">
        <v>-8.1024169999999902E-3</v>
      </c>
      <c r="V3686">
        <v>-6.3274189999999994E-2</v>
      </c>
      <c r="W3686">
        <v>3.4096609999999999E-2</v>
      </c>
      <c r="X3686">
        <v>0.99741360000000001</v>
      </c>
      <c r="Y3686">
        <v>-8.4966910000000007E-2</v>
      </c>
      <c r="Z3686">
        <v>6.2516450000000001E-3</v>
      </c>
      <c r="AA3686">
        <v>0.99636420000000003</v>
      </c>
      <c r="AB3686">
        <v>28</v>
      </c>
      <c r="AC3686">
        <v>22.964599999999901</v>
      </c>
      <c r="AD3686">
        <v>-1.1152356975709901</v>
      </c>
      <c r="AE3686">
        <v>-4.4800000000009201E-2</v>
      </c>
      <c r="AF3686">
        <v>-1.9682246968470001</v>
      </c>
      <c r="AG3686">
        <v>-1.1152356975709901</v>
      </c>
      <c r="AH3686">
        <v>22.825911209488901</v>
      </c>
      <c r="AI3686">
        <v>92.786826539774694</v>
      </c>
      <c r="AJ3686">
        <v>94.928290294139799</v>
      </c>
      <c r="AK3686">
        <v>22.937739244787998</v>
      </c>
      <c r="AL3686">
        <v>88.046029508372698</v>
      </c>
      <c r="AM3686">
        <v>93.629880777523795</v>
      </c>
      <c r="AN3686">
        <v>1.0000000456992999</v>
      </c>
    </row>
    <row r="3687" spans="1:40" x14ac:dyDescent="0.25">
      <c r="A3687" t="str">
        <f>"20190312172149640"</f>
        <v>20190312172149640</v>
      </c>
      <c r="B3687" t="str">
        <f>"1552382509634500"</f>
        <v>1552382509634500</v>
      </c>
      <c r="C3687" t="s">
        <v>40</v>
      </c>
      <c r="D3687">
        <v>3.297221</v>
      </c>
      <c r="E3687">
        <v>0.49111729999999998</v>
      </c>
      <c r="F3687" t="s">
        <v>47</v>
      </c>
      <c r="G3687">
        <v>-436.33350000000002</v>
      </c>
      <c r="H3687" s="1">
        <v>4.9864680000000004E-6</v>
      </c>
      <c r="I3687">
        <v>215.0643</v>
      </c>
      <c r="J3687">
        <v>-459.7176</v>
      </c>
      <c r="K3687">
        <v>1.114924</v>
      </c>
      <c r="L3687">
        <v>215.0513</v>
      </c>
      <c r="M3687">
        <v>0.99657759999999995</v>
      </c>
      <c r="N3687">
        <v>0</v>
      </c>
      <c r="O3687">
        <v>-8.1475399999999906E-2</v>
      </c>
      <c r="P3687">
        <v>0.99959489999999995</v>
      </c>
      <c r="Q3687">
        <v>2.0095749999999999E-2</v>
      </c>
      <c r="R3687">
        <v>-2.016252E-2</v>
      </c>
      <c r="S3687">
        <v>3.0045470000000001</v>
      </c>
      <c r="T3687">
        <v>-0.14156649999999901</v>
      </c>
      <c r="U3687">
        <v>-6.408691E-4</v>
      </c>
      <c r="V3687">
        <v>-6.1748560000000001E-2</v>
      </c>
      <c r="W3687">
        <v>3.3319799999999997E-2</v>
      </c>
      <c r="X3687">
        <v>0.99753539999999996</v>
      </c>
      <c r="Y3687">
        <v>-8.1090529999999994E-2</v>
      </c>
      <c r="Z3687">
        <v>5.7432799999999999E-3</v>
      </c>
      <c r="AA3687">
        <v>0.99669019999999997</v>
      </c>
      <c r="AB3687">
        <v>28</v>
      </c>
      <c r="AC3687">
        <v>23.384099999999901</v>
      </c>
      <c r="AD3687">
        <v>-1.114919013532</v>
      </c>
      <c r="AE3687">
        <v>1.30000000000052E-2</v>
      </c>
      <c r="AF3687">
        <v>-1.91402028640644</v>
      </c>
      <c r="AG3687">
        <v>-1.114919013532</v>
      </c>
      <c r="AH3687">
        <v>23.252423334592901</v>
      </c>
      <c r="AI3687">
        <v>92.735905586311702</v>
      </c>
      <c r="AJ3687">
        <v>94.705685815707696</v>
      </c>
      <c r="AK3687">
        <v>23.357690574939799</v>
      </c>
      <c r="AL3687">
        <v>88.090562631561795</v>
      </c>
      <c r="AM3687">
        <v>93.542153408818194</v>
      </c>
      <c r="AN3687">
        <v>0.99999998399363599</v>
      </c>
    </row>
    <row r="3688" spans="1:40" x14ac:dyDescent="0.25">
      <c r="A3688" t="str">
        <f>"20190312172149662"</f>
        <v>20190312172149662</v>
      </c>
      <c r="B3688" t="str">
        <f>"1552382509654019"</f>
        <v>1552382509654019</v>
      </c>
      <c r="C3688" t="s">
        <v>40</v>
      </c>
      <c r="D3688">
        <v>3.4044379999999999</v>
      </c>
      <c r="E3688">
        <v>0.49164980000000003</v>
      </c>
      <c r="F3688" t="s">
        <v>47</v>
      </c>
      <c r="G3688">
        <v>-436.56079999999997</v>
      </c>
      <c r="H3688" s="1">
        <v>5.0812319999999998E-6</v>
      </c>
      <c r="I3688">
        <v>215.13339999999999</v>
      </c>
      <c r="J3688">
        <v>-459.43400000000003</v>
      </c>
      <c r="K3688">
        <v>1.114563</v>
      </c>
      <c r="L3688">
        <v>215.03469999999999</v>
      </c>
      <c r="M3688">
        <v>0.99703470000000005</v>
      </c>
      <c r="N3688">
        <v>0</v>
      </c>
      <c r="O3688">
        <v>-7.5681070000000003E-2</v>
      </c>
      <c r="P3688">
        <v>0.99969350000000001</v>
      </c>
      <c r="Q3688">
        <v>1.9342959999999999E-2</v>
      </c>
      <c r="R3688">
        <v>-1.54632E-2</v>
      </c>
      <c r="S3688">
        <v>3.0043329999999999</v>
      </c>
      <c r="T3688">
        <v>-0.14464850000000001</v>
      </c>
      <c r="U3688">
        <v>1.0650629999999999E-2</v>
      </c>
      <c r="V3688">
        <v>-6.0603150000000001E-2</v>
      </c>
      <c r="W3688">
        <v>3.2593499999999997E-2</v>
      </c>
      <c r="X3688">
        <v>0.99762960000000001</v>
      </c>
      <c r="Y3688">
        <v>-7.9043719999999998E-2</v>
      </c>
      <c r="Z3688">
        <v>5.5412619999999999E-3</v>
      </c>
      <c r="AA3688">
        <v>0.99685570000000001</v>
      </c>
      <c r="AB3688">
        <v>28</v>
      </c>
      <c r="AC3688">
        <v>22.873200000000001</v>
      </c>
      <c r="AD3688">
        <v>-1.1145579187679999</v>
      </c>
      <c r="AE3688">
        <v>9.8700000000008004E-2</v>
      </c>
      <c r="AF3688">
        <v>-1.8253192943480601</v>
      </c>
      <c r="AG3688">
        <v>-1.1145579187679999</v>
      </c>
      <c r="AH3688">
        <v>22.7461111241041</v>
      </c>
      <c r="AI3688">
        <v>92.796270919706203</v>
      </c>
      <c r="AJ3688">
        <v>94.588013365342107</v>
      </c>
      <c r="AK3688">
        <v>22.846435195686499</v>
      </c>
      <c r="AL3688">
        <v>88.132199109046098</v>
      </c>
      <c r="AM3688">
        <v>93.476283149491593</v>
      </c>
      <c r="AN3688">
        <v>0.99999994841416495</v>
      </c>
    </row>
    <row r="3689" spans="1:40" x14ac:dyDescent="0.25">
      <c r="A3689" t="str">
        <f>"20190312172149686"</f>
        <v>20190312172149686</v>
      </c>
      <c r="B3689" t="str">
        <f>"1552382509674515"</f>
        <v>1552382509674515</v>
      </c>
      <c r="C3689" t="s">
        <v>40</v>
      </c>
      <c r="D3689">
        <v>3.2923339999999999</v>
      </c>
      <c r="E3689">
        <v>0.4922165</v>
      </c>
      <c r="F3689" t="s">
        <v>47</v>
      </c>
      <c r="G3689">
        <v>-436.49079999999998</v>
      </c>
      <c r="H3689" s="1">
        <v>5.0453760000000002E-6</v>
      </c>
      <c r="I3689">
        <v>215.18870000000001</v>
      </c>
      <c r="J3689">
        <v>-459.14839999999998</v>
      </c>
      <c r="K3689">
        <v>1.114198</v>
      </c>
      <c r="L3689">
        <v>215.01920000000001</v>
      </c>
      <c r="M3689">
        <v>0.99742589999999998</v>
      </c>
      <c r="N3689">
        <v>0</v>
      </c>
      <c r="O3689">
        <v>-7.034675E-2</v>
      </c>
      <c r="P3689">
        <v>0.99976690000000001</v>
      </c>
      <c r="Q3689">
        <v>1.8449E-2</v>
      </c>
      <c r="R3689">
        <v>-1.122606E-2</v>
      </c>
      <c r="S3689">
        <v>3.004089</v>
      </c>
      <c r="T3689">
        <v>-0.14593589999999901</v>
      </c>
      <c r="U3689">
        <v>2.0156859999999999E-2</v>
      </c>
      <c r="V3689">
        <v>-5.9457370000000002E-2</v>
      </c>
      <c r="W3689">
        <v>3.1726579999999997E-2</v>
      </c>
      <c r="X3689">
        <v>0.99772660000000002</v>
      </c>
      <c r="Y3689">
        <v>-7.6871449999999994E-2</v>
      </c>
      <c r="Z3689">
        <v>5.2797909999999998E-3</v>
      </c>
      <c r="AA3689">
        <v>0.997027</v>
      </c>
      <c r="AB3689">
        <v>28</v>
      </c>
      <c r="AC3689">
        <v>22.657599999999999</v>
      </c>
      <c r="AD3689">
        <v>-1.1141929546239999</v>
      </c>
      <c r="AE3689">
        <v>0.16949999999999901</v>
      </c>
      <c r="AF3689">
        <v>-1.7588692146968401</v>
      </c>
      <c r="AG3689">
        <v>-1.1141929546239999</v>
      </c>
      <c r="AH3689">
        <v>22.535040976866402</v>
      </c>
      <c r="AI3689">
        <v>92.821983646612793</v>
      </c>
      <c r="AJ3689">
        <v>94.462911339354207</v>
      </c>
      <c r="AK3689">
        <v>22.631021158657202</v>
      </c>
      <c r="AL3689">
        <v>88.181895882523705</v>
      </c>
      <c r="AM3689">
        <v>93.410385408350507</v>
      </c>
      <c r="AN3689">
        <v>1.00000006153668</v>
      </c>
    </row>
    <row r="3690" spans="1:40" x14ac:dyDescent="0.25">
      <c r="A3690" t="str">
        <f>"20190312172149708"</f>
        <v>20190312172149708</v>
      </c>
      <c r="B3690" t="str">
        <f>"1552382509703795"</f>
        <v>1552382509703795</v>
      </c>
      <c r="C3690" t="s">
        <v>40</v>
      </c>
      <c r="D3690">
        <v>3.4570470000000002</v>
      </c>
      <c r="E3690">
        <v>0.49274129999999999</v>
      </c>
      <c r="F3690" t="s">
        <v>47</v>
      </c>
      <c r="G3690">
        <v>-436.49869999999999</v>
      </c>
      <c r="H3690" s="1">
        <v>5.0451939999999998E-6</v>
      </c>
      <c r="I3690">
        <v>215.23079999999999</v>
      </c>
      <c r="J3690">
        <v>-458.86669999999998</v>
      </c>
      <c r="K3690">
        <v>1.1138760000000001</v>
      </c>
      <c r="L3690">
        <v>215.00479999999999</v>
      </c>
      <c r="M3690">
        <v>0.99775619999999998</v>
      </c>
      <c r="N3690">
        <v>0</v>
      </c>
      <c r="O3690">
        <v>-6.5502489999999997E-2</v>
      </c>
      <c r="P3690">
        <v>0.99982230000000005</v>
      </c>
      <c r="Q3690">
        <v>1.712843E-2</v>
      </c>
      <c r="R3690">
        <v>-7.8899499999999997E-3</v>
      </c>
      <c r="S3690">
        <v>3.0037539999999998</v>
      </c>
      <c r="T3690">
        <v>-0.14776210000000001</v>
      </c>
      <c r="U3690">
        <v>2.8060910000000001E-2</v>
      </c>
      <c r="V3690">
        <v>-5.790534E-2</v>
      </c>
      <c r="W3690">
        <v>3.043212E-2</v>
      </c>
      <c r="X3690">
        <v>0.99785809999999997</v>
      </c>
      <c r="Y3690">
        <v>-7.4657970000000004E-2</v>
      </c>
      <c r="Z3690">
        <v>5.0541919999999999E-3</v>
      </c>
      <c r="AA3690">
        <v>0.99719639999999998</v>
      </c>
      <c r="AB3690">
        <v>28</v>
      </c>
      <c r="AC3690">
        <v>22.367999999999899</v>
      </c>
      <c r="AD3690">
        <v>-1.113870954806</v>
      </c>
      <c r="AE3690">
        <v>0.22599999999999901</v>
      </c>
      <c r="AF3690">
        <v>-1.6866328407956701</v>
      </c>
      <c r="AG3690">
        <v>-1.113870954806</v>
      </c>
      <c r="AH3690">
        <v>22.2499786829943</v>
      </c>
      <c r="AI3690">
        <v>92.857744289603005</v>
      </c>
      <c r="AJ3690">
        <v>94.334947075854799</v>
      </c>
      <c r="AK3690">
        <v>22.341597754800599</v>
      </c>
      <c r="AL3690">
        <v>88.256098655488401</v>
      </c>
      <c r="AM3690">
        <v>93.321128539242395</v>
      </c>
      <c r="AN3690">
        <v>0.99999996503190902</v>
      </c>
    </row>
    <row r="3691" spans="1:40" x14ac:dyDescent="0.25">
      <c r="A3691" t="str">
        <f>"20190312172149730"</f>
        <v>20190312172149730</v>
      </c>
      <c r="B3691" t="str">
        <f>"1552382509724293"</f>
        <v>1552382509724293</v>
      </c>
      <c r="C3691" t="s">
        <v>40</v>
      </c>
      <c r="D3691">
        <v>3.2347380000000001</v>
      </c>
      <c r="E3691">
        <v>0.47289949999999997</v>
      </c>
      <c r="F3691" t="s">
        <v>47</v>
      </c>
      <c r="G3691">
        <v>-436.8492</v>
      </c>
      <c r="H3691" s="1">
        <v>5.1984089999999997E-6</v>
      </c>
      <c r="I3691">
        <v>215.2561</v>
      </c>
      <c r="J3691">
        <v>-458.60980000000001</v>
      </c>
      <c r="K3691">
        <v>1.113612</v>
      </c>
      <c r="L3691">
        <v>214.99260000000001</v>
      </c>
      <c r="M3691">
        <v>0.99801490000000004</v>
      </c>
      <c r="N3691">
        <v>0</v>
      </c>
      <c r="O3691">
        <v>-6.1443110000000002E-2</v>
      </c>
      <c r="P3691">
        <v>0.99985329999999994</v>
      </c>
      <c r="Q3691">
        <v>1.6172849999999999E-2</v>
      </c>
      <c r="R3691">
        <v>-5.6539049999999999E-3</v>
      </c>
      <c r="S3691">
        <v>3.0034179999999999</v>
      </c>
      <c r="T3691">
        <v>-0.15194389999999999</v>
      </c>
      <c r="U3691">
        <v>3.4271240000000001E-2</v>
      </c>
      <c r="V3691">
        <v>-5.6049219999999997E-2</v>
      </c>
      <c r="W3691">
        <v>2.950032E-2</v>
      </c>
      <c r="X3691">
        <v>0.99799210000000005</v>
      </c>
      <c r="Y3691">
        <v>-7.2661970000000006E-2</v>
      </c>
      <c r="Z3691">
        <v>4.9421990000000004E-3</v>
      </c>
      <c r="AA3691">
        <v>0.99734440000000002</v>
      </c>
      <c r="AB3691">
        <v>28</v>
      </c>
      <c r="AC3691">
        <v>21.7606</v>
      </c>
      <c r="AD3691">
        <v>-1.1136068015909999</v>
      </c>
      <c r="AE3691">
        <v>0.26349999999999302</v>
      </c>
      <c r="AF3691">
        <v>-1.5959895378412201</v>
      </c>
      <c r="AG3691">
        <v>-1.1136068015909999</v>
      </c>
      <c r="AH3691">
        <v>21.6466031926292</v>
      </c>
      <c r="AI3691">
        <v>92.937020020083907</v>
      </c>
      <c r="AJ3691">
        <v>94.216749677240998</v>
      </c>
      <c r="AK3691">
        <v>21.733907437287801</v>
      </c>
      <c r="AL3691">
        <v>88.309510925747702</v>
      </c>
      <c r="AM3691">
        <v>93.214468041351495</v>
      </c>
      <c r="AN3691">
        <v>1.0000000078025599</v>
      </c>
    </row>
    <row r="3692" spans="1:40" x14ac:dyDescent="0.25">
      <c r="A3692" t="str">
        <f>"20190312172149752"</f>
        <v>20190312172149752</v>
      </c>
      <c r="B3692" t="str">
        <f>"1552382509743812"</f>
        <v>1552382509743812</v>
      </c>
      <c r="C3692" t="s">
        <v>40</v>
      </c>
      <c r="D3692">
        <v>3.25101</v>
      </c>
      <c r="E3692">
        <v>0.47063529999999998</v>
      </c>
      <c r="F3692" t="s">
        <v>47</v>
      </c>
      <c r="G3692">
        <v>-424.42759999999998</v>
      </c>
      <c r="H3692" s="1">
        <v>2.94837E-6</v>
      </c>
      <c r="I3692">
        <v>217.2569</v>
      </c>
      <c r="J3692">
        <v>-458.31950000000001</v>
      </c>
      <c r="K3692">
        <v>1.113335</v>
      </c>
      <c r="L3692">
        <v>214.9796</v>
      </c>
      <c r="M3692">
        <v>0.99826409999999999</v>
      </c>
      <c r="N3692">
        <v>0</v>
      </c>
      <c r="O3692">
        <v>-5.7259009999999999E-2</v>
      </c>
      <c r="P3692">
        <v>0.99984790000000001</v>
      </c>
      <c r="Q3692">
        <v>1.714212E-2</v>
      </c>
      <c r="R3692">
        <v>-3.1970039999999998E-3</v>
      </c>
      <c r="S3692">
        <v>3.0031129999999999</v>
      </c>
      <c r="T3692">
        <v>-9.7837209999999994E-2</v>
      </c>
      <c r="U3692">
        <v>0.19892879999999999</v>
      </c>
      <c r="V3692">
        <v>-5.4303909999999997E-2</v>
      </c>
      <c r="W3692">
        <v>3.048884E-2</v>
      </c>
      <c r="X3692">
        <v>0.99805889999999997</v>
      </c>
      <c r="Y3692">
        <v>-0.1230315</v>
      </c>
      <c r="Z3692">
        <v>3.8645530000000002E-3</v>
      </c>
      <c r="AA3692">
        <v>0.99239520000000003</v>
      </c>
      <c r="AB3692">
        <v>28</v>
      </c>
      <c r="AC3692">
        <v>33.8919</v>
      </c>
      <c r="AD3692">
        <v>-1.11333205162999</v>
      </c>
      <c r="AE3692">
        <v>2.2772999999999901</v>
      </c>
      <c r="AF3692">
        <v>-4.2098418857196496</v>
      </c>
      <c r="AG3692">
        <v>-1.11333205162999</v>
      </c>
      <c r="AH3692">
        <v>33.669707224091198</v>
      </c>
      <c r="AI3692">
        <v>91.879246489823402</v>
      </c>
      <c r="AJ3692">
        <v>97.126907137726803</v>
      </c>
      <c r="AK3692">
        <v>33.950131980832801</v>
      </c>
      <c r="AL3692">
        <v>88.252847436498399</v>
      </c>
      <c r="AM3692">
        <v>93.1143652798239</v>
      </c>
      <c r="AN3692">
        <v>1.0000000259375199</v>
      </c>
    </row>
    <row r="3693" spans="1:40" x14ac:dyDescent="0.25">
      <c r="A3693" t="str">
        <f>"20190312172149774"</f>
        <v>20190312172149774</v>
      </c>
      <c r="B3693" t="str">
        <f>"1552382509764311"</f>
        <v>1552382509764311</v>
      </c>
      <c r="C3693" t="s">
        <v>40</v>
      </c>
      <c r="D3693">
        <v>3.2217820000000001</v>
      </c>
      <c r="E3693">
        <v>0.46982940000000001</v>
      </c>
      <c r="F3693" t="s">
        <v>47</v>
      </c>
      <c r="G3693">
        <v>-417.20370000000003</v>
      </c>
      <c r="H3693" s="1">
        <v>3.1832190000000002E-6</v>
      </c>
      <c r="I3693">
        <v>218.05199999999999</v>
      </c>
      <c r="J3693">
        <v>-458.05770000000001</v>
      </c>
      <c r="K3693">
        <v>1.113083</v>
      </c>
      <c r="L3693">
        <v>214.96870000000001</v>
      </c>
      <c r="M3693">
        <v>0.9984556</v>
      </c>
      <c r="N3693">
        <v>0</v>
      </c>
      <c r="O3693">
        <v>-5.382344E-2</v>
      </c>
      <c r="P3693">
        <v>0.99978860000000003</v>
      </c>
      <c r="Q3693">
        <v>2.0472520000000001E-2</v>
      </c>
      <c r="R3693">
        <v>-1.9086610000000001E-3</v>
      </c>
      <c r="S3693">
        <v>3.0025940000000002</v>
      </c>
      <c r="T3693">
        <v>-8.1304070000000006E-2</v>
      </c>
      <c r="U3693">
        <v>0.22436519999999999</v>
      </c>
      <c r="V3693">
        <v>-5.2155600000000003E-2</v>
      </c>
      <c r="W3693">
        <v>3.3838790000000001E-2</v>
      </c>
      <c r="X3693">
        <v>0.99806550000000005</v>
      </c>
      <c r="Y3693">
        <v>-0.12802060000000001</v>
      </c>
      <c r="Z3693">
        <v>3.1860130000000001E-3</v>
      </c>
      <c r="AA3693">
        <v>0.99176640000000005</v>
      </c>
      <c r="AB3693">
        <v>28</v>
      </c>
      <c r="AC3693">
        <v>40.8539999999999</v>
      </c>
      <c r="AD3693">
        <v>-1.1130798167810001</v>
      </c>
      <c r="AE3693">
        <v>3.0832999999999999</v>
      </c>
      <c r="AF3693">
        <v>-5.27404816256856</v>
      </c>
      <c r="AG3693">
        <v>-1.1130798167810001</v>
      </c>
      <c r="AH3693">
        <v>40.598833951530501</v>
      </c>
      <c r="AI3693">
        <v>91.557379582121598</v>
      </c>
      <c r="AJ3693">
        <v>97.401638029012602</v>
      </c>
      <c r="AK3693">
        <v>40.955095518428003</v>
      </c>
      <c r="AL3693">
        <v>88.060809958571198</v>
      </c>
      <c r="AM3693">
        <v>92.991366897463607</v>
      </c>
      <c r="AN3693">
        <v>1.00000000630513</v>
      </c>
    </row>
    <row r="3694" spans="1:40" x14ac:dyDescent="0.25">
      <c r="A3694" t="str">
        <f>"20190312172149797"</f>
        <v>20190312172149797</v>
      </c>
      <c r="B3694" t="str">
        <f>"1552382509794564"</f>
        <v>1552382509794564</v>
      </c>
      <c r="C3694" t="s">
        <v>40</v>
      </c>
      <c r="D3694">
        <v>3.276246</v>
      </c>
      <c r="E3694">
        <v>0.46978219999999998</v>
      </c>
      <c r="F3694" t="s">
        <v>47</v>
      </c>
      <c r="G3694">
        <v>-411.76119999999997</v>
      </c>
      <c r="H3694" s="1">
        <v>2.170685E-6</v>
      </c>
      <c r="I3694">
        <v>218.59100000000001</v>
      </c>
      <c r="J3694">
        <v>-457.76799999999997</v>
      </c>
      <c r="K3694">
        <v>1.1128049999999901</v>
      </c>
      <c r="L3694">
        <v>214.9572</v>
      </c>
      <c r="M3694">
        <v>0.99863679999999999</v>
      </c>
      <c r="N3694">
        <v>0</v>
      </c>
      <c r="O3694">
        <v>-5.0358050000000001E-2</v>
      </c>
      <c r="P3694">
        <v>0.99976290000000001</v>
      </c>
      <c r="Q3694">
        <v>2.1768329999999999E-2</v>
      </c>
      <c r="R3694">
        <v>-5.4973489999999995E-4</v>
      </c>
      <c r="S3694">
        <v>3.0025330000000001</v>
      </c>
      <c r="T3694">
        <v>-7.2188260000000004E-2</v>
      </c>
      <c r="U3694">
        <v>0.2349243</v>
      </c>
      <c r="V3694">
        <v>-5.0031109999999997E-2</v>
      </c>
      <c r="W3694">
        <v>3.51536E-2</v>
      </c>
      <c r="X3694">
        <v>0.99812880000000004</v>
      </c>
      <c r="Y3694">
        <v>-0.1280628</v>
      </c>
      <c r="Z3694">
        <v>2.745936E-3</v>
      </c>
      <c r="AA3694">
        <v>0.99176229999999999</v>
      </c>
      <c r="AB3694">
        <v>28</v>
      </c>
      <c r="AC3694">
        <v>46.006799999999998</v>
      </c>
      <c r="AD3694">
        <v>-1.1128028293150001</v>
      </c>
      <c r="AE3694">
        <v>3.6337999999999799</v>
      </c>
      <c r="AF3694">
        <v>-5.9427646645844998</v>
      </c>
      <c r="AG3694">
        <v>-1.1128028293150001</v>
      </c>
      <c r="AH3694">
        <v>45.7388149699077</v>
      </c>
      <c r="AI3694">
        <v>91.382090740243996</v>
      </c>
      <c r="AJ3694">
        <v>97.402870029465603</v>
      </c>
      <c r="AK3694">
        <v>46.136687970063697</v>
      </c>
      <c r="AL3694">
        <v>87.985432003143202</v>
      </c>
      <c r="AM3694">
        <v>92.869543791072999</v>
      </c>
      <c r="AN3694">
        <v>0.99999999447511601</v>
      </c>
    </row>
    <row r="3695" spans="1:40" x14ac:dyDescent="0.25">
      <c r="A3695" t="str">
        <f>"20190312172149819"</f>
        <v>20190312172149819</v>
      </c>
      <c r="B3695" t="str">
        <f>"1552382509814085"</f>
        <v>1552382509814085</v>
      </c>
      <c r="C3695" t="s">
        <v>40</v>
      </c>
      <c r="D3695">
        <v>3.1707839999999998</v>
      </c>
      <c r="E3695">
        <v>0.47018140000000003</v>
      </c>
      <c r="F3695" t="s">
        <v>47</v>
      </c>
      <c r="G3695">
        <v>-407.66730000000001</v>
      </c>
      <c r="H3695" s="1">
        <v>4.1072689999999998E-6</v>
      </c>
      <c r="I3695">
        <v>218.947</v>
      </c>
      <c r="J3695">
        <v>-457.4914</v>
      </c>
      <c r="K3695">
        <v>1.112528</v>
      </c>
      <c r="L3695">
        <v>214.9468</v>
      </c>
      <c r="M3695">
        <v>0.99878350000000005</v>
      </c>
      <c r="N3695">
        <v>0</v>
      </c>
      <c r="O3695">
        <v>-4.7366720000000001E-2</v>
      </c>
      <c r="P3695">
        <v>0.99986889999999995</v>
      </c>
      <c r="Q3695">
        <v>1.6191259999999999E-2</v>
      </c>
      <c r="R3695">
        <v>-2.353419E-4</v>
      </c>
      <c r="S3695">
        <v>3.002319</v>
      </c>
      <c r="T3695">
        <v>-6.6685439999999999E-2</v>
      </c>
      <c r="U3695">
        <v>0.23909</v>
      </c>
      <c r="V3695">
        <v>-4.7303709999999999E-2</v>
      </c>
      <c r="W3695">
        <v>2.9599940000000002E-2</v>
      </c>
      <c r="X3695">
        <v>0.99844189999999999</v>
      </c>
      <c r="Y3695">
        <v>-0.12647369999999999</v>
      </c>
      <c r="Z3695">
        <v>2.452765E-3</v>
      </c>
      <c r="AA3695">
        <v>0.99196689999999998</v>
      </c>
      <c r="AB3695">
        <v>28</v>
      </c>
      <c r="AC3695">
        <v>49.824099999999902</v>
      </c>
      <c r="AD3695">
        <v>-1.1125238927309999</v>
      </c>
      <c r="AE3695">
        <v>4.0002000000000004</v>
      </c>
      <c r="AF3695">
        <v>-6.3527880403699504</v>
      </c>
      <c r="AG3695">
        <v>-1.1125238927309999</v>
      </c>
      <c r="AH3695">
        <v>49.554122375252902</v>
      </c>
      <c r="AI3695">
        <v>91.275676684461999</v>
      </c>
      <c r="AJ3695">
        <v>97.305413073667097</v>
      </c>
      <c r="AK3695">
        <v>49.972058889736601</v>
      </c>
      <c r="AL3695">
        <v>88.303800634602396</v>
      </c>
      <c r="AM3695">
        <v>92.712504141756995</v>
      </c>
      <c r="AN3695">
        <v>1.0000000125516799</v>
      </c>
    </row>
    <row r="3696" spans="1:40" x14ac:dyDescent="0.25">
      <c r="A3696" t="str">
        <f>"20190312172149854"</f>
        <v>20190312172149854</v>
      </c>
      <c r="B3696" t="str">
        <f>"1552382509844340"</f>
        <v>1552382509844340</v>
      </c>
      <c r="C3696" t="s">
        <v>40</v>
      </c>
      <c r="D3696">
        <v>3.2337220000000002</v>
      </c>
      <c r="E3696">
        <v>0.47080699999999998</v>
      </c>
      <c r="F3696" t="s">
        <v>47</v>
      </c>
      <c r="G3696">
        <v>-417.99930000000001</v>
      </c>
      <c r="H3696" s="1">
        <v>3.3235710000000001E-6</v>
      </c>
      <c r="I3696">
        <v>218.0607</v>
      </c>
      <c r="J3696">
        <v>-457.08030000000002</v>
      </c>
      <c r="K3696">
        <v>1.1121049999999999</v>
      </c>
      <c r="L3696">
        <v>214.93219999999999</v>
      </c>
      <c r="M3696">
        <v>0.99895840000000002</v>
      </c>
      <c r="N3696">
        <v>0</v>
      </c>
      <c r="O3696">
        <v>-4.3537050000000001E-2</v>
      </c>
      <c r="P3696">
        <v>0.99999610000000005</v>
      </c>
      <c r="Q3696">
        <v>2.7152669999999999E-3</v>
      </c>
      <c r="R3696">
        <v>6.7385320000000004E-4</v>
      </c>
      <c r="S3696">
        <v>3.0018310000000001</v>
      </c>
      <c r="T3696">
        <v>-8.4563970000000002E-2</v>
      </c>
      <c r="U3696">
        <v>0.2366943</v>
      </c>
      <c r="V3696">
        <v>-4.4293930000000002E-2</v>
      </c>
      <c r="W3696">
        <v>1.6148639999999999E-2</v>
      </c>
      <c r="X3696">
        <v>0.998888</v>
      </c>
      <c r="Y3696">
        <v>-0.1218726</v>
      </c>
      <c r="Z3696">
        <v>2.938305E-3</v>
      </c>
      <c r="AA3696">
        <v>0.99254140000000002</v>
      </c>
      <c r="AB3696">
        <v>28</v>
      </c>
      <c r="AC3696">
        <v>39.081000000000003</v>
      </c>
      <c r="AD3696">
        <v>-1.1121016764289999</v>
      </c>
      <c r="AE3696">
        <v>3.1284999999999998</v>
      </c>
      <c r="AF3696">
        <v>-4.8232824544838602</v>
      </c>
      <c r="AG3696">
        <v>-1.1121016764289999</v>
      </c>
      <c r="AH3696">
        <v>38.876438384665398</v>
      </c>
      <c r="AI3696">
        <v>91.626099180945701</v>
      </c>
      <c r="AJ3696">
        <v>97.072374862013106</v>
      </c>
      <c r="AK3696">
        <v>39.190283046325803</v>
      </c>
      <c r="AL3696">
        <v>89.0747108491164</v>
      </c>
      <c r="AM3696">
        <v>92.539017179584107</v>
      </c>
      <c r="AN3696">
        <v>0.99999998367634702</v>
      </c>
    </row>
    <row r="3697" spans="1:40" x14ac:dyDescent="0.25">
      <c r="A3697" t="str">
        <f>"20190312172149875"</f>
        <v>20190312172149875</v>
      </c>
      <c r="B3697" t="str">
        <f>"1552382509863860"</f>
        <v>1552382509863860</v>
      </c>
      <c r="C3697" t="s">
        <v>40</v>
      </c>
      <c r="D3697">
        <v>3.2179160000000002</v>
      </c>
      <c r="E3697">
        <v>0.47128389999999998</v>
      </c>
      <c r="F3697" t="s">
        <v>47</v>
      </c>
      <c r="G3697">
        <v>-430.53739999999999</v>
      </c>
      <c r="H3697" s="1">
        <v>2.246429E-6</v>
      </c>
      <c r="I3697">
        <v>217.00559999999999</v>
      </c>
      <c r="J3697">
        <v>-456.80849999999998</v>
      </c>
      <c r="K3697">
        <v>1.111853</v>
      </c>
      <c r="L3697">
        <v>214.923</v>
      </c>
      <c r="M3697">
        <v>0.99905290000000002</v>
      </c>
      <c r="N3697">
        <v>0</v>
      </c>
      <c r="O3697">
        <v>-4.1319399999999999E-2</v>
      </c>
      <c r="P3697">
        <v>0.9999884</v>
      </c>
      <c r="Q3697">
        <v>-4.7987150000000003E-3</v>
      </c>
      <c r="R3697">
        <v>4.9022289999999999E-4</v>
      </c>
      <c r="S3697">
        <v>3.0001530000000001</v>
      </c>
      <c r="T3697">
        <v>-0.12570139999999999</v>
      </c>
      <c r="U3697">
        <v>0.2343597</v>
      </c>
      <c r="V3697">
        <v>-4.1850430000000001E-2</v>
      </c>
      <c r="W3697">
        <v>8.6481130000000007E-3</v>
      </c>
      <c r="X3697">
        <v>0.99908640000000004</v>
      </c>
      <c r="Y3697">
        <v>-0.11887010000000001</v>
      </c>
      <c r="Z3697">
        <v>4.2136719999999999E-3</v>
      </c>
      <c r="AA3697">
        <v>0.99290080000000003</v>
      </c>
      <c r="AB3697">
        <v>28</v>
      </c>
      <c r="AC3697">
        <v>26.271099999999901</v>
      </c>
      <c r="AD3697">
        <v>-1.1118507535710001</v>
      </c>
      <c r="AE3697">
        <v>2.0825999999999798</v>
      </c>
      <c r="AF3697">
        <v>-3.16080199356673</v>
      </c>
      <c r="AG3697">
        <v>-1.1118507535710001</v>
      </c>
      <c r="AH3697">
        <v>26.116113995145</v>
      </c>
      <c r="AI3697">
        <v>92.420162229889996</v>
      </c>
      <c r="AJ3697">
        <v>96.900875569271506</v>
      </c>
      <c r="AK3697">
        <v>26.3301783425058</v>
      </c>
      <c r="AL3697">
        <v>89.504493418755104</v>
      </c>
      <c r="AM3697">
        <v>92.398643410332198</v>
      </c>
      <c r="AN3697">
        <v>0.99999994150730098</v>
      </c>
    </row>
    <row r="3698" spans="1:40" x14ac:dyDescent="0.25">
      <c r="A3698" t="str">
        <f>"20190312172149899"</f>
        <v>20190312172149899</v>
      </c>
      <c r="B3698" t="str">
        <f>"1552382509894116"</f>
        <v>1552382509894116</v>
      </c>
      <c r="C3698" t="s">
        <v>40</v>
      </c>
      <c r="D3698">
        <v>3.1850480000000001</v>
      </c>
      <c r="E3698">
        <v>0.4717846</v>
      </c>
      <c r="F3698" t="s">
        <v>47</v>
      </c>
      <c r="G3698">
        <v>-434.27019999999999</v>
      </c>
      <c r="H3698" s="1">
        <v>3.9327599999999996E-6</v>
      </c>
      <c r="I3698">
        <v>216.65129999999999</v>
      </c>
      <c r="J3698">
        <v>-456.52879999999999</v>
      </c>
      <c r="K3698">
        <v>1.1116140000000001</v>
      </c>
      <c r="L3698">
        <v>214.91390000000001</v>
      </c>
      <c r="M3698">
        <v>0.99913439999999998</v>
      </c>
      <c r="N3698">
        <v>0</v>
      </c>
      <c r="O3698">
        <v>-3.9305840000000002E-2</v>
      </c>
      <c r="P3698">
        <v>0.99997689999999995</v>
      </c>
      <c r="Q3698">
        <v>-6.7935729999999998E-3</v>
      </c>
      <c r="R3698">
        <v>2.5531929999999999E-4</v>
      </c>
      <c r="S3698">
        <v>2.9991759999999998</v>
      </c>
      <c r="T3698">
        <v>-0.147954</v>
      </c>
      <c r="U3698">
        <v>0.2299805</v>
      </c>
      <c r="V3698">
        <v>-3.9589449999999998E-2</v>
      </c>
      <c r="W3698">
        <v>6.6630989999999996E-3</v>
      </c>
      <c r="X3698">
        <v>0.99919380000000002</v>
      </c>
      <c r="Y3698">
        <v>-0.1154049</v>
      </c>
      <c r="Z3698">
        <v>4.7761970000000003E-3</v>
      </c>
      <c r="AA3698">
        <v>0.9933071</v>
      </c>
      <c r="AB3698">
        <v>28</v>
      </c>
      <c r="AC3698">
        <v>22.258600000000001</v>
      </c>
      <c r="AD3698">
        <v>-1.11161006723999</v>
      </c>
      <c r="AE3698">
        <v>1.7373999999999701</v>
      </c>
      <c r="AF3698">
        <v>-2.6045746007757802</v>
      </c>
      <c r="AG3698">
        <v>-1.11161006723999</v>
      </c>
      <c r="AH3698">
        <v>22.118269130379002</v>
      </c>
      <c r="AI3698">
        <v>92.857414787182094</v>
      </c>
      <c r="AJ3698">
        <v>96.716033502479803</v>
      </c>
      <c r="AK3698">
        <v>22.298818693295601</v>
      </c>
      <c r="AL3698">
        <v>89.6182297184248</v>
      </c>
      <c r="AM3698">
        <v>92.268951772352395</v>
      </c>
      <c r="AN3698">
        <v>0.99999998569901305</v>
      </c>
    </row>
    <row r="3699" spans="1:40" x14ac:dyDescent="0.25">
      <c r="A3699" t="str">
        <f>"20190312172149920"</f>
        <v>20190312172149920</v>
      </c>
      <c r="B3699" t="str">
        <f>"1552382509914612"</f>
        <v>1552382509914612</v>
      </c>
      <c r="C3699" t="s">
        <v>40</v>
      </c>
      <c r="D3699">
        <v>3.1598359999999999</v>
      </c>
      <c r="E3699">
        <v>0.47202539999999998</v>
      </c>
      <c r="F3699" t="s">
        <v>47</v>
      </c>
      <c r="G3699">
        <v>-434.48</v>
      </c>
      <c r="H3699" s="1">
        <v>4.0327229999999999E-6</v>
      </c>
      <c r="I3699">
        <v>216.572</v>
      </c>
      <c r="J3699">
        <v>-456.25670000000002</v>
      </c>
      <c r="K3699">
        <v>1.1113980000000001</v>
      </c>
      <c r="L3699">
        <v>214.90520000000001</v>
      </c>
      <c r="M3699">
        <v>0.99919860000000005</v>
      </c>
      <c r="N3699">
        <v>0</v>
      </c>
      <c r="O3699">
        <v>-3.764634E-2</v>
      </c>
      <c r="P3699">
        <v>0.99998929999999997</v>
      </c>
      <c r="Q3699">
        <v>-4.3595609999999996E-3</v>
      </c>
      <c r="R3699">
        <v>-1.476616E-3</v>
      </c>
      <c r="S3699">
        <v>2.9989620000000001</v>
      </c>
      <c r="T3699">
        <v>-0.15119560000000001</v>
      </c>
      <c r="U3699">
        <v>0.2255249</v>
      </c>
      <c r="V3699">
        <v>-3.620429E-2</v>
      </c>
      <c r="W3699">
        <v>9.1106280000000008E-3</v>
      </c>
      <c r="X3699">
        <v>0.99930289999999999</v>
      </c>
      <c r="Y3699">
        <v>-0.1122904</v>
      </c>
      <c r="Z3699">
        <v>4.7194480000000002E-3</v>
      </c>
      <c r="AA3699">
        <v>0.9936642</v>
      </c>
      <c r="AB3699">
        <v>28</v>
      </c>
      <c r="AC3699">
        <v>21.776700000000002</v>
      </c>
      <c r="AD3699">
        <v>-1.1113939672769999</v>
      </c>
      <c r="AE3699">
        <v>1.6667999999999901</v>
      </c>
      <c r="AF3699">
        <v>-2.4790875034769</v>
      </c>
      <c r="AG3699">
        <v>-1.1113939672769999</v>
      </c>
      <c r="AH3699">
        <v>21.642462423699499</v>
      </c>
      <c r="AI3699">
        <v>92.920632589706202</v>
      </c>
      <c r="AJ3699">
        <v>96.534600717503096</v>
      </c>
      <c r="AK3699">
        <v>21.812318793783501</v>
      </c>
      <c r="AL3699">
        <v>89.477992255768896</v>
      </c>
      <c r="AM3699">
        <v>92.07489255422</v>
      </c>
      <c r="AN3699">
        <v>1.00000002005268</v>
      </c>
    </row>
    <row r="3700" spans="1:40" x14ac:dyDescent="0.25">
      <c r="A3700" t="str">
        <f>"20190312172149942"</f>
        <v>20190312172149942</v>
      </c>
      <c r="B3700" t="str">
        <f>"1552382509934132"</f>
        <v>1552382509934132</v>
      </c>
      <c r="C3700" t="s">
        <v>40</v>
      </c>
      <c r="D3700">
        <v>3.2007720000000002</v>
      </c>
      <c r="E3700">
        <v>0.47263699999999997</v>
      </c>
      <c r="F3700" t="s">
        <v>47</v>
      </c>
      <c r="G3700">
        <v>-432.89859999999999</v>
      </c>
      <c r="H3700" s="1">
        <v>3.3283419999999999E-6</v>
      </c>
      <c r="I3700">
        <v>216.60740000000001</v>
      </c>
      <c r="J3700">
        <v>-455.98439999999999</v>
      </c>
      <c r="K3700">
        <v>1.1111899999999999</v>
      </c>
      <c r="L3700">
        <v>214.89670000000001</v>
      </c>
      <c r="M3700">
        <v>0.99924800000000003</v>
      </c>
      <c r="N3700">
        <v>0</v>
      </c>
      <c r="O3700">
        <v>-3.6320369999999998E-2</v>
      </c>
      <c r="P3700">
        <v>0.99998929999999997</v>
      </c>
      <c r="Q3700">
        <v>1.408617E-3</v>
      </c>
      <c r="R3700">
        <v>-4.4217409999999999E-3</v>
      </c>
      <c r="S3700">
        <v>2.9997560000000001</v>
      </c>
      <c r="T3700">
        <v>-0.14273039999999901</v>
      </c>
      <c r="U3700">
        <v>0.2185974</v>
      </c>
      <c r="V3700">
        <v>-3.1945609999999999E-2</v>
      </c>
      <c r="W3700">
        <v>1.489471E-2</v>
      </c>
      <c r="X3700">
        <v>0.99937860000000001</v>
      </c>
      <c r="Y3700">
        <v>-0.1086954</v>
      </c>
      <c r="Z3700">
        <v>4.3063540000000001E-3</v>
      </c>
      <c r="AA3700">
        <v>0.9940658</v>
      </c>
      <c r="AB3700">
        <v>28</v>
      </c>
      <c r="AC3700">
        <v>23.085799999999999</v>
      </c>
      <c r="AD3700">
        <v>-1.1111866716579999</v>
      </c>
      <c r="AE3700">
        <v>1.7107000000000001</v>
      </c>
      <c r="AF3700">
        <v>-2.54227540892688</v>
      </c>
      <c r="AG3700">
        <v>-1.1111866716579999</v>
      </c>
      <c r="AH3700">
        <v>22.955533734739799</v>
      </c>
      <c r="AI3700">
        <v>92.754484759817601</v>
      </c>
      <c r="AJ3700">
        <v>96.319629945608199</v>
      </c>
      <c r="AK3700">
        <v>23.1225956397823</v>
      </c>
      <c r="AL3700">
        <v>89.146564404977894</v>
      </c>
      <c r="AM3700">
        <v>91.830863295794202</v>
      </c>
      <c r="AN3700">
        <v>0.99999998026110704</v>
      </c>
    </row>
    <row r="3701" spans="1:40" x14ac:dyDescent="0.25">
      <c r="A3701" t="str">
        <f>"20190312172149964"</f>
        <v>20190312172149964</v>
      </c>
      <c r="B3701" t="str">
        <f>"1552382509954631"</f>
        <v>1552382509954631</v>
      </c>
      <c r="C3701" t="s">
        <v>40</v>
      </c>
      <c r="D3701">
        <v>3.194534</v>
      </c>
      <c r="E3701">
        <v>0.47299790000000003</v>
      </c>
      <c r="F3701" t="s">
        <v>47</v>
      </c>
      <c r="G3701">
        <v>-428.3399</v>
      </c>
      <c r="H3701" s="1">
        <v>2.2957619999999999E-6</v>
      </c>
      <c r="I3701">
        <v>216.78380000000001</v>
      </c>
      <c r="J3701">
        <v>-455.7122</v>
      </c>
      <c r="K3701">
        <v>1.110973</v>
      </c>
      <c r="L3701">
        <v>214.88810000000001</v>
      </c>
      <c r="M3701">
        <v>0.99928419999999896</v>
      </c>
      <c r="N3701">
        <v>0</v>
      </c>
      <c r="O3701">
        <v>-3.531434E-2</v>
      </c>
      <c r="P3701">
        <v>0.99996790000000002</v>
      </c>
      <c r="Q3701">
        <v>4.3055799999999998E-3</v>
      </c>
      <c r="R3701">
        <v>-6.7748230000000001E-3</v>
      </c>
      <c r="S3701">
        <v>3.001099</v>
      </c>
      <c r="T3701">
        <v>-0.1206309</v>
      </c>
      <c r="U3701">
        <v>0.2048645</v>
      </c>
      <c r="V3701">
        <v>-2.8583979999999998E-2</v>
      </c>
      <c r="W3701">
        <v>1.7803039999999999E-2</v>
      </c>
      <c r="X3701">
        <v>0.99943289999999996</v>
      </c>
      <c r="Y3701">
        <v>-0.1031864</v>
      </c>
      <c r="Z3701">
        <v>3.4881719999999999E-3</v>
      </c>
      <c r="AA3701">
        <v>0.99465590000000004</v>
      </c>
      <c r="AB3701">
        <v>28</v>
      </c>
      <c r="AC3701">
        <v>27.372299999999999</v>
      </c>
      <c r="AD3701">
        <v>-1.1109707042379999</v>
      </c>
      <c r="AE3701">
        <v>1.8956999999999999</v>
      </c>
      <c r="AF3701">
        <v>-2.8565577391971599</v>
      </c>
      <c r="AG3701">
        <v>-1.1109707042379999</v>
      </c>
      <c r="AH3701">
        <v>27.243606758283999</v>
      </c>
      <c r="AI3701">
        <v>92.322460808523005</v>
      </c>
      <c r="AJ3701">
        <v>95.985728570795999</v>
      </c>
      <c r="AK3701">
        <v>27.415475323675501</v>
      </c>
      <c r="AL3701">
        <v>88.979907112571098</v>
      </c>
      <c r="AM3701">
        <v>91.638224129741801</v>
      </c>
      <c r="AN3701">
        <v>1.0000000568741401</v>
      </c>
    </row>
    <row r="3702" spans="1:40" x14ac:dyDescent="0.25">
      <c r="A3702" t="str">
        <f>"20190312172149987"</f>
        <v>20190312172149987</v>
      </c>
      <c r="B3702" t="str">
        <f>"1552382509983908"</f>
        <v>1552382509983908</v>
      </c>
      <c r="C3702" t="s">
        <v>40</v>
      </c>
      <c r="D3702">
        <v>3.2770510000000002</v>
      </c>
      <c r="E3702">
        <v>0.47348430000000002</v>
      </c>
      <c r="F3702" t="s">
        <v>47</v>
      </c>
      <c r="G3702">
        <v>-425.35149999999999</v>
      </c>
      <c r="H3702" s="1">
        <v>2.8193080000000001E-6</v>
      </c>
      <c r="I3702">
        <v>216.8586</v>
      </c>
      <c r="J3702">
        <v>-455.42399999999998</v>
      </c>
      <c r="K3702">
        <v>1.110741</v>
      </c>
      <c r="L3702">
        <v>214.87899999999999</v>
      </c>
      <c r="M3702">
        <v>0.99931099999999995</v>
      </c>
      <c r="N3702">
        <v>0</v>
      </c>
      <c r="O3702">
        <v>-3.4553390000000003E-2</v>
      </c>
      <c r="P3702">
        <v>0.99995259999999997</v>
      </c>
      <c r="Q3702">
        <v>3.7482280000000001E-3</v>
      </c>
      <c r="R3702">
        <v>-8.9844850000000004E-3</v>
      </c>
      <c r="S3702">
        <v>3.001862</v>
      </c>
      <c r="T3702">
        <v>-0.1098454</v>
      </c>
      <c r="U3702">
        <v>0.1948242</v>
      </c>
      <c r="V3702">
        <v>-2.560175E-2</v>
      </c>
      <c r="W3702">
        <v>1.7254269999999999E-2</v>
      </c>
      <c r="X3702">
        <v>0.9995233</v>
      </c>
      <c r="Y3702">
        <v>-9.9121059999999997E-2</v>
      </c>
      <c r="Z3702">
        <v>3.0739539999999998E-3</v>
      </c>
      <c r="AA3702">
        <v>0.99507060000000003</v>
      </c>
      <c r="AB3702">
        <v>28</v>
      </c>
      <c r="AC3702">
        <v>30.072500000000002</v>
      </c>
      <c r="AD3702">
        <v>-1.110738180692</v>
      </c>
      <c r="AE3702">
        <v>1.9795999999999701</v>
      </c>
      <c r="AF3702">
        <v>-3.0135265145697101</v>
      </c>
      <c r="AG3702">
        <v>-1.110738180692</v>
      </c>
      <c r="AH3702">
        <v>29.9454549162826</v>
      </c>
      <c r="AI3702">
        <v>92.113578263237699</v>
      </c>
      <c r="AJ3702">
        <v>95.746548415100193</v>
      </c>
      <c r="AK3702">
        <v>30.1171936193128</v>
      </c>
      <c r="AL3702">
        <v>89.011354084762104</v>
      </c>
      <c r="AM3702">
        <v>91.467250995208104</v>
      </c>
      <c r="AN3702">
        <v>0.999999993339592</v>
      </c>
    </row>
    <row r="3703" spans="1:40" x14ac:dyDescent="0.25">
      <c r="A3703" t="str">
        <f>"20190312172150008"</f>
        <v>20190312172150008</v>
      </c>
      <c r="B3703" t="str">
        <f>"1552382510004404"</f>
        <v>1552382510004404</v>
      </c>
      <c r="C3703" t="s">
        <v>40</v>
      </c>
      <c r="D3703">
        <v>3.2013560000000001</v>
      </c>
      <c r="E3703">
        <v>0.47375040000000002</v>
      </c>
      <c r="F3703" t="s">
        <v>47</v>
      </c>
      <c r="G3703">
        <v>-424.55160000000001</v>
      </c>
      <c r="H3703" s="1">
        <v>2.968008E-6</v>
      </c>
      <c r="I3703">
        <v>216.78059999999999</v>
      </c>
      <c r="J3703">
        <v>-455.17419999999998</v>
      </c>
      <c r="K3703">
        <v>1.110536</v>
      </c>
      <c r="L3703">
        <v>214.87100000000001</v>
      </c>
      <c r="M3703">
        <v>0.9993244</v>
      </c>
      <c r="N3703">
        <v>0</v>
      </c>
      <c r="O3703">
        <v>-3.4167339999999997E-2</v>
      </c>
      <c r="P3703">
        <v>0.99992639999999999</v>
      </c>
      <c r="Q3703">
        <v>5.3221799999999999E-4</v>
      </c>
      <c r="R3703">
        <v>-1.2124090000000001E-2</v>
      </c>
      <c r="S3703">
        <v>3.0022280000000001</v>
      </c>
      <c r="T3703">
        <v>-0.10801529999999999</v>
      </c>
      <c r="U3703">
        <v>0.18492130000000001</v>
      </c>
      <c r="V3703">
        <v>-2.2064839999999999E-2</v>
      </c>
      <c r="W3703">
        <v>1.4044600000000001E-2</v>
      </c>
      <c r="X3703">
        <v>0.99965789999999999</v>
      </c>
      <c r="Y3703">
        <v>-9.5464510000000002E-2</v>
      </c>
      <c r="Z3703">
        <v>2.9431320000000002E-3</v>
      </c>
      <c r="AA3703">
        <v>0.99542850000000005</v>
      </c>
      <c r="AB3703">
        <v>28</v>
      </c>
      <c r="AC3703">
        <v>30.622599999999899</v>
      </c>
      <c r="AD3703">
        <v>-1.1105330319919999</v>
      </c>
      <c r="AE3703">
        <v>1.90960000000001</v>
      </c>
      <c r="AF3703">
        <v>-2.9510075249212</v>
      </c>
      <c r="AG3703">
        <v>-1.1105330319919999</v>
      </c>
      <c r="AH3703">
        <v>30.499508666121901</v>
      </c>
      <c r="AI3703">
        <v>92.075619861187405</v>
      </c>
      <c r="AJ3703">
        <v>95.526501944624897</v>
      </c>
      <c r="AK3703">
        <v>30.6620573005487</v>
      </c>
      <c r="AL3703">
        <v>89.195277248259202</v>
      </c>
      <c r="AM3703">
        <v>91.264449530149506</v>
      </c>
      <c r="AN3703">
        <v>1.0000000124928901</v>
      </c>
    </row>
    <row r="3704" spans="1:40" x14ac:dyDescent="0.25">
      <c r="A3704" t="str">
        <f>"20190312172150030"</f>
        <v>20190312172150030</v>
      </c>
      <c r="B3704" t="str">
        <f>"1552382510023925"</f>
        <v>1552382510023925</v>
      </c>
      <c r="C3704" t="s">
        <v>40</v>
      </c>
      <c r="D3704">
        <v>3.2331470000000002</v>
      </c>
      <c r="E3704">
        <v>0.47399799999999997</v>
      </c>
      <c r="F3704" t="s">
        <v>47</v>
      </c>
      <c r="G3704">
        <v>-426.15</v>
      </c>
      <c r="H3704" s="1">
        <v>2.7047819999999998E-6</v>
      </c>
      <c r="I3704">
        <v>216.54839999999999</v>
      </c>
      <c r="J3704">
        <v>-454.8897</v>
      </c>
      <c r="K3704">
        <v>1.1102799999999999</v>
      </c>
      <c r="L3704">
        <v>214.86160000000001</v>
      </c>
      <c r="M3704">
        <v>0.99932770000000004</v>
      </c>
      <c r="N3704">
        <v>0</v>
      </c>
      <c r="O3704">
        <v>-3.4078730000000002E-2</v>
      </c>
      <c r="P3704">
        <v>0.99988540000000004</v>
      </c>
      <c r="Q3704">
        <v>-1.3208149999999999E-3</v>
      </c>
      <c r="R3704">
        <v>-1.508986E-2</v>
      </c>
      <c r="S3704">
        <v>3.00238</v>
      </c>
      <c r="T3704">
        <v>-0.1148781</v>
      </c>
      <c r="U3704">
        <v>0.17352290000000001</v>
      </c>
      <c r="V3704">
        <v>-1.900114E-2</v>
      </c>
      <c r="W3704">
        <v>1.219511E-2</v>
      </c>
      <c r="X3704">
        <v>0.99974510000000005</v>
      </c>
      <c r="Y3704">
        <v>-9.1598680000000002E-2</v>
      </c>
      <c r="Z3704">
        <v>3.0529089999999999E-3</v>
      </c>
      <c r="AA3704">
        <v>0.99579130000000005</v>
      </c>
      <c r="AB3704">
        <v>28</v>
      </c>
      <c r="AC3704">
        <v>28.739699999999999</v>
      </c>
      <c r="AD3704">
        <v>-1.110277295218</v>
      </c>
      <c r="AE3704">
        <v>1.6867999999999701</v>
      </c>
      <c r="AF3704">
        <v>-2.6613637421570102</v>
      </c>
      <c r="AG3704">
        <v>-1.110277295218</v>
      </c>
      <c r="AH3704">
        <v>28.622942746422801</v>
      </c>
      <c r="AI3704">
        <v>92.211845369034904</v>
      </c>
      <c r="AJ3704">
        <v>95.312093559027801</v>
      </c>
      <c r="AK3704">
        <v>28.767836625393699</v>
      </c>
      <c r="AL3704">
        <v>89.301254356047707</v>
      </c>
      <c r="AM3704">
        <v>91.088831611867704</v>
      </c>
      <c r="AN3704">
        <v>1.0000000145016099</v>
      </c>
    </row>
    <row r="3705" spans="1:40" x14ac:dyDescent="0.25">
      <c r="A3705" t="str">
        <f>"20190312172150054"</f>
        <v>20190312172150054</v>
      </c>
      <c r="B3705" t="str">
        <f>"1552382510044423"</f>
        <v>1552382510044423</v>
      </c>
      <c r="C3705" t="s">
        <v>40</v>
      </c>
      <c r="D3705">
        <v>3.2848380000000001</v>
      </c>
      <c r="E3705">
        <v>0.47418909999999997</v>
      </c>
      <c r="F3705" t="s">
        <v>47</v>
      </c>
      <c r="G3705">
        <v>-426.73610000000002</v>
      </c>
      <c r="H3705" s="1">
        <v>2.6150150000000002E-6</v>
      </c>
      <c r="I3705">
        <v>216.3862</v>
      </c>
      <c r="J3705">
        <v>-454.60930000000002</v>
      </c>
      <c r="K3705">
        <v>1.1100019999999999</v>
      </c>
      <c r="L3705">
        <v>214.852</v>
      </c>
      <c r="M3705">
        <v>0.99931769999999998</v>
      </c>
      <c r="N3705">
        <v>0</v>
      </c>
      <c r="O3705">
        <v>-3.4374080000000001E-2</v>
      </c>
      <c r="P3705">
        <v>0.99982859999999996</v>
      </c>
      <c r="Q3705">
        <v>-3.79839E-3</v>
      </c>
      <c r="R3705">
        <v>-1.8117299999999999E-2</v>
      </c>
      <c r="S3705">
        <v>3.0026549999999999</v>
      </c>
      <c r="T3705">
        <v>-0.1184137</v>
      </c>
      <c r="U3705">
        <v>0.16259770000000001</v>
      </c>
      <c r="V3705">
        <v>-1.6261830000000001E-2</v>
      </c>
      <c r="W3705">
        <v>9.7199980000000005E-3</v>
      </c>
      <c r="X3705">
        <v>0.9998205</v>
      </c>
      <c r="Y3705">
        <v>-8.8271950000000002E-2</v>
      </c>
      <c r="Z3705">
        <v>3.0929199999999999E-3</v>
      </c>
      <c r="AA3705">
        <v>0.99609159999999997</v>
      </c>
      <c r="AB3705">
        <v>28</v>
      </c>
      <c r="AC3705">
        <v>27.873200000000001</v>
      </c>
      <c r="AD3705">
        <v>-1.1099993849849901</v>
      </c>
      <c r="AE3705">
        <v>1.53419999999999</v>
      </c>
      <c r="AF3705">
        <v>-2.4875631780628602</v>
      </c>
      <c r="AG3705">
        <v>-1.1099993849849901</v>
      </c>
      <c r="AH3705">
        <v>27.760092073801101</v>
      </c>
      <c r="AI3705">
        <v>92.280648324164602</v>
      </c>
      <c r="AJ3705">
        <v>95.120559743572201</v>
      </c>
      <c r="AK3705">
        <v>27.893418240607101</v>
      </c>
      <c r="AL3705">
        <v>89.443076356170593</v>
      </c>
      <c r="AM3705">
        <v>90.9318193398001</v>
      </c>
      <c r="AN3705">
        <v>0.99999997884815905</v>
      </c>
    </row>
    <row r="3706" spans="1:40" x14ac:dyDescent="0.25">
      <c r="A3706" t="str">
        <f>"20190312172150076"</f>
        <v>20190312172150076</v>
      </c>
      <c r="B3706" t="str">
        <f>"1552382510063940"</f>
        <v>1552382510063940</v>
      </c>
      <c r="C3706" t="s">
        <v>40</v>
      </c>
      <c r="D3706">
        <v>3.164237</v>
      </c>
      <c r="E3706">
        <v>0.47428530000000002</v>
      </c>
      <c r="F3706" t="s">
        <v>47</v>
      </c>
      <c r="G3706">
        <v>-428.09739999999999</v>
      </c>
      <c r="H3706" s="1">
        <v>2.3902220000000002E-6</v>
      </c>
      <c r="I3706">
        <v>216.1953</v>
      </c>
      <c r="J3706">
        <v>-454.33870000000002</v>
      </c>
      <c r="K3706">
        <v>1.1097060000000001</v>
      </c>
      <c r="L3706">
        <v>214.84229999999999</v>
      </c>
      <c r="M3706">
        <v>0.99929489999999999</v>
      </c>
      <c r="N3706">
        <v>0</v>
      </c>
      <c r="O3706">
        <v>-3.5033410000000001E-2</v>
      </c>
      <c r="P3706">
        <v>0.99976549999999997</v>
      </c>
      <c r="Q3706">
        <v>-3.5156900000000001E-3</v>
      </c>
      <c r="R3706">
        <v>-2.13764E-2</v>
      </c>
      <c r="S3706">
        <v>3.0028079999999999</v>
      </c>
      <c r="T3706">
        <v>-0.12572130000000001</v>
      </c>
      <c r="U3706">
        <v>0.15214539999999999</v>
      </c>
      <c r="V3706">
        <v>-1.3655810000000001E-2</v>
      </c>
      <c r="W3706">
        <v>1.000466E-2</v>
      </c>
      <c r="X3706">
        <v>0.99985670000000004</v>
      </c>
      <c r="Y3706">
        <v>-8.5458119999999999E-2</v>
      </c>
      <c r="Z3706">
        <v>3.2524770000000001E-3</v>
      </c>
      <c r="AA3706">
        <v>0.99633649999999996</v>
      </c>
      <c r="AB3706">
        <v>28</v>
      </c>
      <c r="AC3706">
        <v>26.241299999999999</v>
      </c>
      <c r="AD3706">
        <v>-1.10970360977799</v>
      </c>
      <c r="AE3706">
        <v>1.353</v>
      </c>
      <c r="AF3706">
        <v>-2.2675310550017</v>
      </c>
      <c r="AG3706">
        <v>-1.10970360977799</v>
      </c>
      <c r="AH3706">
        <v>26.131177295684999</v>
      </c>
      <c r="AI3706">
        <v>92.422605874943898</v>
      </c>
      <c r="AJ3706">
        <v>94.959414152422397</v>
      </c>
      <c r="AK3706">
        <v>26.252839199703299</v>
      </c>
      <c r="AL3706">
        <v>89.426765641992304</v>
      </c>
      <c r="AM3706">
        <v>90.782483764714598</v>
      </c>
      <c r="AN3706">
        <v>0.99999999745168</v>
      </c>
    </row>
    <row r="3707" spans="1:40" x14ac:dyDescent="0.25">
      <c r="A3707" t="str">
        <f>"20190312172150100"</f>
        <v>20190312172150100</v>
      </c>
      <c r="B3707" t="str">
        <f>"1552382510094702"</f>
        <v>1552382510094702</v>
      </c>
      <c r="C3707" t="s">
        <v>40</v>
      </c>
      <c r="D3707">
        <v>3.2147640000000002</v>
      </c>
      <c r="E3707">
        <v>0.47441689999999997</v>
      </c>
      <c r="F3707" t="s">
        <v>47</v>
      </c>
      <c r="G3707">
        <v>-427.39280000000002</v>
      </c>
      <c r="H3707" s="1">
        <v>2.522502E-6</v>
      </c>
      <c r="I3707">
        <v>216.11179999999999</v>
      </c>
      <c r="J3707">
        <v>-454.0428</v>
      </c>
      <c r="K3707">
        <v>1.109378</v>
      </c>
      <c r="L3707">
        <v>214.83090000000001</v>
      </c>
      <c r="M3707">
        <v>0.99925430000000004</v>
      </c>
      <c r="N3707">
        <v>0</v>
      </c>
      <c r="O3707">
        <v>-3.6170830000000001E-2</v>
      </c>
      <c r="P3707">
        <v>0.99974620000000003</v>
      </c>
      <c r="Q3707">
        <v>8.7157679999999896E-4</v>
      </c>
      <c r="R3707">
        <v>-2.2512190000000001E-2</v>
      </c>
      <c r="S3707">
        <v>3.0033569999999998</v>
      </c>
      <c r="T3707">
        <v>-0.12368609999999999</v>
      </c>
      <c r="U3707">
        <v>0.141494799999999</v>
      </c>
      <c r="V3707">
        <v>-1.364221E-2</v>
      </c>
      <c r="W3707">
        <v>1.4398380000000001E-2</v>
      </c>
      <c r="X3707">
        <v>0.9998032</v>
      </c>
      <c r="Y3707">
        <v>-8.3062369999999996E-2</v>
      </c>
      <c r="Z3707">
        <v>3.1970560000000002E-3</v>
      </c>
      <c r="AA3707">
        <v>0.99653919999999996</v>
      </c>
      <c r="AB3707">
        <v>28</v>
      </c>
      <c r="AC3707">
        <v>26.649999999999899</v>
      </c>
      <c r="AD3707">
        <v>-1.109375477498</v>
      </c>
      <c r="AE3707">
        <v>1.28089999999997</v>
      </c>
      <c r="AF3707">
        <v>-2.24022920350051</v>
      </c>
      <c r="AG3707">
        <v>-1.109375477498</v>
      </c>
      <c r="AH3707">
        <v>26.540337574162798</v>
      </c>
      <c r="AI3707">
        <v>92.385075617225098</v>
      </c>
      <c r="AJ3707">
        <v>94.824812004113994</v>
      </c>
      <c r="AK3707">
        <v>26.657810476196399</v>
      </c>
      <c r="AL3707">
        <v>89.175005030149705</v>
      </c>
      <c r="AM3707">
        <v>90.781746399871494</v>
      </c>
      <c r="AN3707">
        <v>0.99999993098527096</v>
      </c>
    </row>
    <row r="3708" spans="1:40" x14ac:dyDescent="0.25">
      <c r="A3708" t="str">
        <f>"20190312172150123"</f>
        <v>20190312172150123</v>
      </c>
      <c r="B3708" t="str">
        <f>"1552382510114223"</f>
        <v>1552382510114223</v>
      </c>
      <c r="C3708" t="s">
        <v>40</v>
      </c>
      <c r="D3708">
        <v>3.192151</v>
      </c>
      <c r="E3708">
        <v>0.4744428</v>
      </c>
      <c r="F3708" t="s">
        <v>47</v>
      </c>
      <c r="G3708">
        <v>-423.73970000000003</v>
      </c>
      <c r="H3708" s="1">
        <v>3.1618419999999998E-6</v>
      </c>
      <c r="I3708">
        <v>216.21080000000001</v>
      </c>
      <c r="J3708">
        <v>-453.77109999999999</v>
      </c>
      <c r="K3708">
        <v>1.1090880000000001</v>
      </c>
      <c r="L3708">
        <v>214.81970000000001</v>
      </c>
      <c r="M3708">
        <v>0.99919999999999998</v>
      </c>
      <c r="N3708">
        <v>0</v>
      </c>
      <c r="O3708">
        <v>-3.7646119999999998E-2</v>
      </c>
      <c r="P3708">
        <v>0.99972190000000005</v>
      </c>
      <c r="Q3708">
        <v>6.6115890000000002E-3</v>
      </c>
      <c r="R3708">
        <v>-2.2652309999999998E-2</v>
      </c>
      <c r="S3708">
        <v>3.003876</v>
      </c>
      <c r="T3708">
        <v>-0.1099697</v>
      </c>
      <c r="U3708">
        <v>0.13677979999999901</v>
      </c>
      <c r="V3708">
        <v>-1.4952709999999999E-2</v>
      </c>
      <c r="W3708">
        <v>2.0148650000000001E-2</v>
      </c>
      <c r="X3708">
        <v>0.99968520000000005</v>
      </c>
      <c r="Y3708">
        <v>-8.2984959999999997E-2</v>
      </c>
      <c r="Z3708">
        <v>2.8949150000000001E-3</v>
      </c>
      <c r="AA3708">
        <v>0.99654659999999995</v>
      </c>
      <c r="AB3708">
        <v>27</v>
      </c>
      <c r="AC3708">
        <v>30.031399999999898</v>
      </c>
      <c r="AD3708">
        <v>-1.1090848381580001</v>
      </c>
      <c r="AE3708">
        <v>1.39109999999999</v>
      </c>
      <c r="AF3708">
        <v>-2.5173563349204402</v>
      </c>
      <c r="AG3708">
        <v>-1.1090848381580001</v>
      </c>
      <c r="AH3708">
        <v>29.9170175159284</v>
      </c>
      <c r="AI3708">
        <v>92.115629483024094</v>
      </c>
      <c r="AJ3708">
        <v>94.809801812031594</v>
      </c>
      <c r="AK3708">
        <v>30.043220352411701</v>
      </c>
      <c r="AL3708">
        <v>88.845489296661896</v>
      </c>
      <c r="AM3708">
        <v>90.856933056134494</v>
      </c>
      <c r="AN3708">
        <v>1.0000000253661001</v>
      </c>
    </row>
    <row r="3709" spans="1:40" x14ac:dyDescent="0.25">
      <c r="A3709" t="str">
        <f>"20190312172150142"</f>
        <v>20190312172150142</v>
      </c>
      <c r="B3709" t="str">
        <f>"1552382510134719"</f>
        <v>1552382510134719</v>
      </c>
      <c r="C3709" t="s">
        <v>40</v>
      </c>
      <c r="D3709">
        <v>3.227427</v>
      </c>
      <c r="E3709">
        <v>0.47462549999999998</v>
      </c>
      <c r="F3709" t="s">
        <v>47</v>
      </c>
      <c r="G3709">
        <v>-417.78089999999997</v>
      </c>
      <c r="H3709" s="1">
        <v>3.425599E-6</v>
      </c>
      <c r="I3709">
        <v>216.45070000000001</v>
      </c>
      <c r="J3709">
        <v>-453.51389999999998</v>
      </c>
      <c r="K3709">
        <v>1.1088439999999999</v>
      </c>
      <c r="L3709">
        <v>214.8083</v>
      </c>
      <c r="M3709">
        <v>0.99913379999999996</v>
      </c>
      <c r="N3709">
        <v>0</v>
      </c>
      <c r="O3709">
        <v>-3.9364679999999999E-2</v>
      </c>
      <c r="P3709">
        <v>0.99968060000000003</v>
      </c>
      <c r="Q3709">
        <v>1.161906E-2</v>
      </c>
      <c r="R3709">
        <v>-2.2443689999999999E-2</v>
      </c>
      <c r="S3709">
        <v>3.0045169999999999</v>
      </c>
      <c r="T3709">
        <v>-9.2588190000000001E-2</v>
      </c>
      <c r="U3709">
        <v>0.1361542</v>
      </c>
      <c r="V3709">
        <v>-1.6850830000000001E-2</v>
      </c>
      <c r="W3709">
        <v>2.5170350000000001E-2</v>
      </c>
      <c r="X3709">
        <v>0.99954120000000002</v>
      </c>
      <c r="Y3709">
        <v>-8.4504159999999995E-2</v>
      </c>
      <c r="Z3709">
        <v>2.5133899999999999E-3</v>
      </c>
      <c r="AA3709">
        <v>0.99641999999999997</v>
      </c>
      <c r="AB3709">
        <v>27</v>
      </c>
      <c r="AC3709">
        <v>35.732999999999997</v>
      </c>
      <c r="AD3709">
        <v>-1.1088405744009999</v>
      </c>
      <c r="AE3709">
        <v>1.6424000000000001</v>
      </c>
      <c r="AF3709">
        <v>-3.0449470216633601</v>
      </c>
      <c r="AG3709">
        <v>-1.1088405744009999</v>
      </c>
      <c r="AH3709">
        <v>35.606425675943001</v>
      </c>
      <c r="AI3709">
        <v>91.777222493701601</v>
      </c>
      <c r="AJ3709">
        <v>94.887858795157499</v>
      </c>
      <c r="AK3709">
        <v>35.753584144818603</v>
      </c>
      <c r="AL3709">
        <v>88.557692931539506</v>
      </c>
      <c r="AM3709">
        <v>90.965833113238304</v>
      </c>
      <c r="AN3709">
        <v>1.00000005374412</v>
      </c>
    </row>
    <row r="3710" spans="1:40" x14ac:dyDescent="0.25">
      <c r="A3710" t="str">
        <f>"20190312172150165"</f>
        <v>20190312172150165</v>
      </c>
      <c r="B3710" t="str">
        <f>"1552382510154241"</f>
        <v>1552382510154241</v>
      </c>
      <c r="C3710" t="s">
        <v>40</v>
      </c>
      <c r="D3710">
        <v>3.2770700000000001</v>
      </c>
      <c r="E3710">
        <v>0.50286149999999996</v>
      </c>
      <c r="F3710" t="s">
        <v>47</v>
      </c>
      <c r="G3710">
        <v>-409.68900000000002</v>
      </c>
      <c r="H3710" s="1">
        <v>3.6582730000000001E-6</v>
      </c>
      <c r="I3710">
        <v>216.78120000000001</v>
      </c>
      <c r="J3710">
        <v>-453.24029999999999</v>
      </c>
      <c r="K3710">
        <v>1.1086290000000001</v>
      </c>
      <c r="L3710">
        <v>214.7954</v>
      </c>
      <c r="M3710">
        <v>0.99904859999999895</v>
      </c>
      <c r="N3710">
        <v>0</v>
      </c>
      <c r="O3710">
        <v>-4.1469619999999999E-2</v>
      </c>
      <c r="P3710">
        <v>0.99960329999999997</v>
      </c>
      <c r="Q3710">
        <v>1.4253750000000001E-2</v>
      </c>
      <c r="R3710">
        <v>-2.4296559999999998E-2</v>
      </c>
      <c r="S3710">
        <v>3.004883</v>
      </c>
      <c r="T3710">
        <v>-7.6028349999999995E-2</v>
      </c>
      <c r="U3710">
        <v>0.13526920000000001</v>
      </c>
      <c r="V3710">
        <v>-1.7078889999999999E-2</v>
      </c>
      <c r="W3710">
        <v>2.7814439999999999E-2</v>
      </c>
      <c r="X3710">
        <v>0.9994672</v>
      </c>
      <c r="Y3710">
        <v>-8.6322839999999998E-2</v>
      </c>
      <c r="Z3710">
        <v>2.13999E-3</v>
      </c>
      <c r="AA3710">
        <v>0.99626490000000001</v>
      </c>
      <c r="AB3710">
        <v>27</v>
      </c>
      <c r="AC3710">
        <v>43.551299999999898</v>
      </c>
      <c r="AD3710">
        <v>-1.108625341727</v>
      </c>
      <c r="AE3710">
        <v>1.98580000000001</v>
      </c>
      <c r="AF3710">
        <v>-3.7878624198967401</v>
      </c>
      <c r="AG3710">
        <v>-1.108625341727</v>
      </c>
      <c r="AH3710">
        <v>43.4034044003646</v>
      </c>
      <c r="AI3710">
        <v>91.457613402174701</v>
      </c>
      <c r="AJ3710">
        <v>94.98762842603</v>
      </c>
      <c r="AK3710">
        <v>43.582478880875598</v>
      </c>
      <c r="AL3710">
        <v>88.406144433160904</v>
      </c>
      <c r="AM3710">
        <v>90.978974684939303</v>
      </c>
      <c r="AN3710">
        <v>1.0000000077159901</v>
      </c>
    </row>
    <row r="3711" spans="1:40" x14ac:dyDescent="0.25">
      <c r="A3711" t="str">
        <f>"20190312172150186"</f>
        <v>20190312172150186</v>
      </c>
      <c r="B3711" t="str">
        <f>"1552382510184010"</f>
        <v>1552382510184010</v>
      </c>
      <c r="C3711" t="s">
        <v>40</v>
      </c>
      <c r="D3711">
        <v>3.3897620000000002</v>
      </c>
      <c r="E3711">
        <v>0.53029950000000003</v>
      </c>
      <c r="F3711" t="s">
        <v>46</v>
      </c>
      <c r="G3711">
        <v>-388.9742</v>
      </c>
      <c r="H3711" s="1">
        <v>3.320283E-6</v>
      </c>
      <c r="I3711">
        <v>212.7535</v>
      </c>
      <c r="J3711">
        <v>-452.97730000000001</v>
      </c>
      <c r="K3711">
        <v>1.108465</v>
      </c>
      <c r="L3711">
        <v>214.78219999999999</v>
      </c>
      <c r="M3711">
        <v>0.99895350000000005</v>
      </c>
      <c r="N3711">
        <v>0</v>
      </c>
      <c r="O3711">
        <v>-4.370454E-2</v>
      </c>
      <c r="P3711">
        <v>0.99947109999999995</v>
      </c>
      <c r="Q3711">
        <v>1.4799799999999899E-2</v>
      </c>
      <c r="R3711">
        <v>-2.89623E-2</v>
      </c>
      <c r="S3711">
        <v>2.999603</v>
      </c>
      <c r="T3711">
        <v>-5.1744819999999997E-2</v>
      </c>
      <c r="U3711">
        <v>-9.5306399999999999E-2</v>
      </c>
      <c r="V3711">
        <v>-1.4635179999999999E-2</v>
      </c>
      <c r="W3711">
        <v>2.8356389999999999E-2</v>
      </c>
      <c r="X3711">
        <v>0.99949069999999995</v>
      </c>
      <c r="Y3711">
        <v>-1.195157E-2</v>
      </c>
      <c r="Z3711">
        <v>8.5649100000000002E-4</v>
      </c>
      <c r="AA3711">
        <v>0.99992820000000004</v>
      </c>
      <c r="AB3711">
        <v>27</v>
      </c>
      <c r="AC3711">
        <v>64.003100000000003</v>
      </c>
      <c r="AD3711">
        <v>-1.1084616797169999</v>
      </c>
      <c r="AE3711">
        <v>-2.0286999999999802</v>
      </c>
      <c r="AF3711">
        <v>-0.77048827618509497</v>
      </c>
      <c r="AG3711">
        <v>-1.1084616797169999</v>
      </c>
      <c r="AH3711">
        <v>64.011424844200207</v>
      </c>
      <c r="AI3711">
        <v>90.991998385255499</v>
      </c>
      <c r="AJ3711">
        <v>90.689620559076104</v>
      </c>
      <c r="AK3711">
        <v>64.025657747998494</v>
      </c>
      <c r="AL3711">
        <v>88.375080664311696</v>
      </c>
      <c r="AM3711">
        <v>90.838901377451094</v>
      </c>
      <c r="AN3711">
        <v>0.99999996636697597</v>
      </c>
    </row>
    <row r="3712" spans="1:40" x14ac:dyDescent="0.25">
      <c r="A3712" t="str">
        <f>"20190312172150209"</f>
        <v>20190312172150209</v>
      </c>
      <c r="B3712" t="str">
        <f>"1552382510204505"</f>
        <v>1552382510204505</v>
      </c>
      <c r="C3712" t="s">
        <v>40</v>
      </c>
      <c r="D3712">
        <v>3.319601</v>
      </c>
      <c r="E3712">
        <v>0.53813820000000001</v>
      </c>
      <c r="F3712" t="s">
        <v>46</v>
      </c>
      <c r="G3712">
        <v>-398.15859999999998</v>
      </c>
      <c r="H3712">
        <v>8.000053E-2</v>
      </c>
      <c r="I3712">
        <v>208.7748</v>
      </c>
      <c r="J3712">
        <v>-452.69920000000002</v>
      </c>
      <c r="K3712">
        <v>1.1083379999999901</v>
      </c>
      <c r="L3712">
        <v>214.76730000000001</v>
      </c>
      <c r="M3712">
        <v>0.99883949999999999</v>
      </c>
      <c r="N3712">
        <v>0</v>
      </c>
      <c r="O3712">
        <v>-4.6233330000000003E-2</v>
      </c>
      <c r="P3712">
        <v>0.99923989999999996</v>
      </c>
      <c r="Q3712">
        <v>1.2591440000000001E-2</v>
      </c>
      <c r="R3712">
        <v>-3.6894240000000002E-2</v>
      </c>
      <c r="S3712">
        <v>2.99295</v>
      </c>
      <c r="T3712">
        <v>-5.6151390000000002E-2</v>
      </c>
      <c r="U3712">
        <v>-0.32798769999999999</v>
      </c>
      <c r="V3712">
        <v>-9.2333520000000002E-3</v>
      </c>
      <c r="W3712">
        <v>2.6128479999999999E-2</v>
      </c>
      <c r="X3712">
        <v>0.99961599999999995</v>
      </c>
      <c r="Y3712">
        <v>6.2852809999999995E-2</v>
      </c>
      <c r="Z3712">
        <v>2.762447E-4</v>
      </c>
      <c r="AA3712">
        <v>0.99802279999999999</v>
      </c>
      <c r="AB3712">
        <v>27</v>
      </c>
      <c r="AC3712">
        <v>54.540599999999998</v>
      </c>
      <c r="AD3712">
        <v>-1.0283374700000001</v>
      </c>
      <c r="AE3712">
        <v>-5.9924999999999997</v>
      </c>
      <c r="AF3712">
        <v>3.46305123030759</v>
      </c>
      <c r="AG3712">
        <v>-1.0283374700000001</v>
      </c>
      <c r="AH3712">
        <v>54.7401181829864</v>
      </c>
      <c r="AI3712">
        <v>91.074074331849403</v>
      </c>
      <c r="AJ3712">
        <v>86.3800928385985</v>
      </c>
      <c r="AK3712">
        <v>54.859190118550401</v>
      </c>
      <c r="AL3712">
        <v>88.502778054326399</v>
      </c>
      <c r="AM3712">
        <v>90.529220275988493</v>
      </c>
      <c r="AN3712">
        <v>1.0000000498561299</v>
      </c>
    </row>
    <row r="3713" spans="1:40" x14ac:dyDescent="0.25">
      <c r="A3713" t="str">
        <f>"20190312172150232"</f>
        <v>20190312172150232</v>
      </c>
      <c r="B3713" t="str">
        <f>"1552382510224026"</f>
        <v>1552382510224026</v>
      </c>
      <c r="C3713" t="s">
        <v>40</v>
      </c>
      <c r="D3713">
        <v>3.3281710000000002</v>
      </c>
      <c r="E3713">
        <v>0.54285909999999904</v>
      </c>
      <c r="F3713" t="s">
        <v>47</v>
      </c>
      <c r="G3713">
        <v>-411.2944</v>
      </c>
      <c r="H3713" s="1">
        <v>3.078423E-6</v>
      </c>
      <c r="I3713">
        <v>209.03370000000001</v>
      </c>
      <c r="J3713">
        <v>-452.41340000000002</v>
      </c>
      <c r="K3713">
        <v>1.108257</v>
      </c>
      <c r="L3713">
        <v>214.75120000000001</v>
      </c>
      <c r="M3713">
        <v>0.99871089999999996</v>
      </c>
      <c r="N3713">
        <v>0</v>
      </c>
      <c r="O3713">
        <v>-4.8935770000000003E-2</v>
      </c>
      <c r="P3713">
        <v>0.99883630000000001</v>
      </c>
      <c r="Q3713">
        <v>1.162653E-2</v>
      </c>
      <c r="R3713">
        <v>-4.6811850000000002E-2</v>
      </c>
      <c r="S3713">
        <v>2.9880369999999998</v>
      </c>
      <c r="T3713">
        <v>-7.9984780000000005E-2</v>
      </c>
      <c r="U3713">
        <v>-0.41377259999999999</v>
      </c>
      <c r="V3713">
        <v>-2.0123950000000002E-3</v>
      </c>
      <c r="W3713">
        <v>2.5131270000000001E-2</v>
      </c>
      <c r="X3713">
        <v>0.99968210000000002</v>
      </c>
      <c r="Y3713">
        <v>8.8511619999999999E-2</v>
      </c>
      <c r="Z3713">
        <v>1.2328870000000001E-4</v>
      </c>
      <c r="AA3713">
        <v>0.99607520000000005</v>
      </c>
      <c r="AB3713">
        <v>27</v>
      </c>
      <c r="AC3713">
        <v>41.119</v>
      </c>
      <c r="AD3713">
        <v>-1.108253921577</v>
      </c>
      <c r="AE3713">
        <v>-5.7175000000000002</v>
      </c>
      <c r="AF3713">
        <v>3.6956421828370201</v>
      </c>
      <c r="AG3713">
        <v>-1.108253921577</v>
      </c>
      <c r="AH3713">
        <v>41.320096393824201</v>
      </c>
      <c r="AI3713">
        <v>91.530266832559604</v>
      </c>
      <c r="AJ3713">
        <v>84.889102331467797</v>
      </c>
      <c r="AK3713">
        <v>41.499835709231199</v>
      </c>
      <c r="AL3713">
        <v>88.559932632285495</v>
      </c>
      <c r="AM3713">
        <v>90.115338250497302</v>
      </c>
      <c r="AN3713">
        <v>0.99999996576292804</v>
      </c>
    </row>
    <row r="3714" spans="1:40" x14ac:dyDescent="0.25">
      <c r="A3714" t="str">
        <f>"20190312172150255"</f>
        <v>20190312172150255</v>
      </c>
      <c r="B3714" t="str">
        <f>"1552382510244521"</f>
        <v>1552382510244521</v>
      </c>
      <c r="C3714" t="s">
        <v>40</v>
      </c>
      <c r="D3714">
        <v>3.3182499999999999</v>
      </c>
      <c r="E3714">
        <v>0.54593309999999995</v>
      </c>
      <c r="F3714" t="s">
        <v>47</v>
      </c>
      <c r="G3714">
        <v>-413.90800000000002</v>
      </c>
      <c r="H3714" s="1">
        <v>3.714892E-6</v>
      </c>
      <c r="I3714">
        <v>208.54470000000001</v>
      </c>
      <c r="J3714">
        <v>-452.14139999999998</v>
      </c>
      <c r="K3714">
        <v>1.108225</v>
      </c>
      <c r="L3714">
        <v>214.73509999999999</v>
      </c>
      <c r="M3714">
        <v>0.99857949999999995</v>
      </c>
      <c r="N3714">
        <v>0</v>
      </c>
      <c r="O3714">
        <v>-5.1547469999999998E-2</v>
      </c>
      <c r="P3714">
        <v>0.99822120000000003</v>
      </c>
      <c r="Q3714">
        <v>1.258802E-2</v>
      </c>
      <c r="R3714">
        <v>-5.8277610000000001E-2</v>
      </c>
      <c r="S3714">
        <v>2.981995</v>
      </c>
      <c r="T3714">
        <v>-8.5827109999999998E-2</v>
      </c>
      <c r="U3714">
        <v>-0.48065190000000002</v>
      </c>
      <c r="V3714">
        <v>6.8624480000000002E-3</v>
      </c>
      <c r="W3714">
        <v>2.604888E-2</v>
      </c>
      <c r="X3714">
        <v>0.99963709999999995</v>
      </c>
      <c r="Y3714">
        <v>0.10800120000000001</v>
      </c>
      <c r="Z3714" s="1">
        <v>-7.2012659999999898E-5</v>
      </c>
      <c r="AA3714">
        <v>0.9941508</v>
      </c>
      <c r="AB3714">
        <v>27</v>
      </c>
      <c r="AC3714">
        <v>38.233399999999897</v>
      </c>
      <c r="AD3714">
        <v>-1.108221285108</v>
      </c>
      <c r="AE3714">
        <v>-6.1903999999999799</v>
      </c>
      <c r="AF3714">
        <v>4.20770951091892</v>
      </c>
      <c r="AG3714">
        <v>-1.108221285108</v>
      </c>
      <c r="AH3714">
        <v>38.470193822830502</v>
      </c>
      <c r="AI3714">
        <v>91.640301721208502</v>
      </c>
      <c r="AJ3714">
        <v>83.758038466048205</v>
      </c>
      <c r="AK3714">
        <v>38.715485099778697</v>
      </c>
      <c r="AL3714">
        <v>88.507340253459006</v>
      </c>
      <c r="AM3714">
        <v>89.606674131001597</v>
      </c>
      <c r="AN3714">
        <v>0.99999998451910799</v>
      </c>
    </row>
    <row r="3715" spans="1:40" x14ac:dyDescent="0.25">
      <c r="A3715" t="str">
        <f>"20190312172150275"</f>
        <v>20190312172150275</v>
      </c>
      <c r="B3715" t="str">
        <f>"1552382510264041"</f>
        <v>1552382510264041</v>
      </c>
      <c r="C3715" t="s">
        <v>40</v>
      </c>
      <c r="D3715">
        <v>3.3497119999999998</v>
      </c>
      <c r="E3715">
        <v>0.54793239999999999</v>
      </c>
      <c r="F3715" t="s">
        <v>47</v>
      </c>
      <c r="G3715">
        <v>-413.5378</v>
      </c>
      <c r="H3715" s="1">
        <v>3.9267619999999996E-6</v>
      </c>
      <c r="I3715">
        <v>207.7372</v>
      </c>
      <c r="J3715">
        <v>-451.88670000000002</v>
      </c>
      <c r="K3715">
        <v>1.108225</v>
      </c>
      <c r="L3715">
        <v>214.7193</v>
      </c>
      <c r="M3715">
        <v>0.9984499</v>
      </c>
      <c r="N3715">
        <v>0</v>
      </c>
      <c r="O3715">
        <v>-5.3997870000000003E-2</v>
      </c>
      <c r="P3715">
        <v>0.99753809999999998</v>
      </c>
      <c r="Q3715">
        <v>1.6102479999999999E-2</v>
      </c>
      <c r="R3715">
        <v>-6.8253069999999999E-2</v>
      </c>
      <c r="S3715">
        <v>2.9749150000000002</v>
      </c>
      <c r="T3715">
        <v>-8.5402850000000002E-2</v>
      </c>
      <c r="U3715">
        <v>-0.53927609999999904</v>
      </c>
      <c r="V3715">
        <v>1.442417E-2</v>
      </c>
      <c r="W3715">
        <v>2.9522719999999999E-2</v>
      </c>
      <c r="X3715">
        <v>0.99946000000000002</v>
      </c>
      <c r="Y3715">
        <v>0.12494230000000001</v>
      </c>
      <c r="Z3715">
        <v>-2.435157E-4</v>
      </c>
      <c r="AA3715">
        <v>0.99216400000000005</v>
      </c>
      <c r="AB3715">
        <v>27</v>
      </c>
      <c r="AC3715">
        <v>38.3489</v>
      </c>
      <c r="AD3715">
        <v>-1.108221073238</v>
      </c>
      <c r="AE3715">
        <v>-6.9821</v>
      </c>
      <c r="AF3715">
        <v>4.8970058493344197</v>
      </c>
      <c r="AG3715">
        <v>-1.108221073238</v>
      </c>
      <c r="AH3715">
        <v>38.638761010940499</v>
      </c>
      <c r="AI3715">
        <v>91.629853070036404</v>
      </c>
      <c r="AJ3715">
        <v>82.776947083287496</v>
      </c>
      <c r="AK3715">
        <v>38.963607028818103</v>
      </c>
      <c r="AL3715">
        <v>88.308226876460296</v>
      </c>
      <c r="AM3715">
        <v>89.173166816619599</v>
      </c>
      <c r="AN3715">
        <v>0.99999996963819304</v>
      </c>
    </row>
    <row r="3716" spans="1:40" x14ac:dyDescent="0.25">
      <c r="A3716" t="str">
        <f>"20190312172150299"</f>
        <v>20190312172150299</v>
      </c>
      <c r="B3716" t="str">
        <f>"1552382510294297"</f>
        <v>1552382510294297</v>
      </c>
      <c r="C3716" t="s">
        <v>40</v>
      </c>
      <c r="D3716">
        <v>3.3809779999999998</v>
      </c>
      <c r="E3716">
        <v>0.54984929999999999</v>
      </c>
      <c r="F3716" t="s">
        <v>47</v>
      </c>
      <c r="G3716">
        <v>-409.9008</v>
      </c>
      <c r="H3716">
        <v>6.0255830000000003E-2</v>
      </c>
      <c r="I3716">
        <v>206.446</v>
      </c>
      <c r="J3716">
        <v>-451.6078</v>
      </c>
      <c r="K3716">
        <v>1.1082369999999999</v>
      </c>
      <c r="L3716">
        <v>214.7013</v>
      </c>
      <c r="M3716">
        <v>0.99830209999999997</v>
      </c>
      <c r="N3716">
        <v>0</v>
      </c>
      <c r="O3716">
        <v>-5.6664470000000002E-2</v>
      </c>
      <c r="P3716">
        <v>0.99696459999999998</v>
      </c>
      <c r="Q3716">
        <v>1.867719E-2</v>
      </c>
      <c r="R3716">
        <v>-7.5583600000000001E-2</v>
      </c>
      <c r="S3716">
        <v>2.9685969999999999</v>
      </c>
      <c r="T3716">
        <v>-7.409644E-2</v>
      </c>
      <c r="U3716">
        <v>-0.58496090000000001</v>
      </c>
      <c r="V3716">
        <v>1.9117200000000001E-2</v>
      </c>
      <c r="W3716">
        <v>3.2071160000000001E-2</v>
      </c>
      <c r="X3716">
        <v>0.99930269999999999</v>
      </c>
      <c r="Y3716">
        <v>0.13739660000000001</v>
      </c>
      <c r="Z3716">
        <v>-2.9982730000000001E-4</v>
      </c>
      <c r="AA3716">
        <v>0.99051610000000001</v>
      </c>
      <c r="AB3716">
        <v>27</v>
      </c>
      <c r="AC3716">
        <v>41.707000000000001</v>
      </c>
      <c r="AD3716">
        <v>-1.0479811699999999</v>
      </c>
      <c r="AE3716">
        <v>-8.2553000000000001</v>
      </c>
      <c r="AF3716">
        <v>5.8749439456063604</v>
      </c>
      <c r="AG3716">
        <v>-1.0479811699999999</v>
      </c>
      <c r="AH3716">
        <v>42.082232971526402</v>
      </c>
      <c r="AI3716">
        <v>91.412855770891397</v>
      </c>
      <c r="AJ3716">
        <v>82.052515719680002</v>
      </c>
      <c r="AK3716">
        <v>42.503265318872998</v>
      </c>
      <c r="AL3716">
        <v>88.162142658419398</v>
      </c>
      <c r="AM3716">
        <v>88.904034500473799</v>
      </c>
      <c r="AN3716">
        <v>0.99999995643343598</v>
      </c>
    </row>
    <row r="3717" spans="1:40" x14ac:dyDescent="0.25">
      <c r="A3717" t="str">
        <f>"20190312172150323"</f>
        <v>20190312172150323</v>
      </c>
      <c r="B3717" t="str">
        <f>"1552382510313817"</f>
        <v>1552382510313817</v>
      </c>
      <c r="C3717" t="s">
        <v>40</v>
      </c>
      <c r="D3717">
        <v>3.3988830000000001</v>
      </c>
      <c r="E3717">
        <v>0.55059609999999903</v>
      </c>
      <c r="F3717" t="s">
        <v>48</v>
      </c>
      <c r="G3717">
        <v>-409.05759999999998</v>
      </c>
      <c r="H3717">
        <v>0.12912080000000001</v>
      </c>
      <c r="I3717">
        <v>205.7749</v>
      </c>
      <c r="J3717">
        <v>-451.31400000000002</v>
      </c>
      <c r="K3717">
        <v>1.108263</v>
      </c>
      <c r="L3717">
        <v>214.6814</v>
      </c>
      <c r="M3717">
        <v>0.99814099999999994</v>
      </c>
      <c r="N3717">
        <v>0</v>
      </c>
      <c r="O3717">
        <v>-5.9437860000000002E-2</v>
      </c>
      <c r="P3717">
        <v>0.99655450000000001</v>
      </c>
      <c r="Q3717">
        <v>1.9509350000000002E-2</v>
      </c>
      <c r="R3717">
        <v>-8.0615569999999998E-2</v>
      </c>
      <c r="S3717">
        <v>2.963257</v>
      </c>
      <c r="T3717">
        <v>-6.8186880000000005E-2</v>
      </c>
      <c r="U3717">
        <v>-0.6216431</v>
      </c>
      <c r="V3717">
        <v>2.1389829999999999E-2</v>
      </c>
      <c r="W3717">
        <v>3.2889939999999999E-2</v>
      </c>
      <c r="X3717">
        <v>0.99923010000000001</v>
      </c>
      <c r="Y3717">
        <v>0.14675250000000001</v>
      </c>
      <c r="Z3717">
        <v>-3.1979460000000002E-4</v>
      </c>
      <c r="AA3717">
        <v>0.98917319999999997</v>
      </c>
      <c r="AB3717">
        <v>27</v>
      </c>
      <c r="AC3717">
        <v>42.256399999999999</v>
      </c>
      <c r="AD3717">
        <v>-0.97914219999999896</v>
      </c>
      <c r="AE3717">
        <v>-8.9064999999999905</v>
      </c>
      <c r="AF3717">
        <v>6.3756147650096704</v>
      </c>
      <c r="AG3717">
        <v>-0.97914219999999896</v>
      </c>
      <c r="AH3717">
        <v>42.689163241273903</v>
      </c>
      <c r="AI3717">
        <v>91.299528964622695</v>
      </c>
      <c r="AJ3717">
        <v>81.505676049578199</v>
      </c>
      <c r="AK3717">
        <v>43.1737401821959</v>
      </c>
      <c r="AL3717">
        <v>88.115205395123994</v>
      </c>
      <c r="AM3717">
        <v>88.773696027807503</v>
      </c>
      <c r="AN3717">
        <v>1.0000000328633201</v>
      </c>
    </row>
    <row r="3718" spans="1:40" x14ac:dyDescent="0.25">
      <c r="A3718" t="str">
        <f>"20190312172150344"</f>
        <v>20190312172150344</v>
      </c>
      <c r="B3718" t="str">
        <f>"1552382510334317"</f>
        <v>1552382510334317</v>
      </c>
      <c r="C3718" t="s">
        <v>40</v>
      </c>
      <c r="D3718">
        <v>3.3412489999999999</v>
      </c>
      <c r="E3718">
        <v>0.55094460000000001</v>
      </c>
      <c r="F3718" t="s">
        <v>48</v>
      </c>
      <c r="G3718">
        <v>-409.05759999999998</v>
      </c>
      <c r="H3718">
        <v>0.15714620000000001</v>
      </c>
      <c r="I3718">
        <v>205.5078</v>
      </c>
      <c r="J3718">
        <v>-451.05250000000001</v>
      </c>
      <c r="K3718">
        <v>1.1082939999999999</v>
      </c>
      <c r="L3718">
        <v>214.66309999999999</v>
      </c>
      <c r="M3718">
        <v>0.99799340000000003</v>
      </c>
      <c r="N3718">
        <v>0</v>
      </c>
      <c r="O3718">
        <v>-6.1866089999999999E-2</v>
      </c>
      <c r="P3718">
        <v>0.99640289999999998</v>
      </c>
      <c r="Q3718">
        <v>2.0294E-2</v>
      </c>
      <c r="R3718">
        <v>-8.2276550000000004E-2</v>
      </c>
      <c r="S3718">
        <v>2.959686</v>
      </c>
      <c r="T3718">
        <v>-6.6617250000000003E-2</v>
      </c>
      <c r="U3718">
        <v>-0.64253229999999995</v>
      </c>
      <c r="V3718">
        <v>2.062686E-2</v>
      </c>
      <c r="W3718">
        <v>3.3677239999999997E-2</v>
      </c>
      <c r="X3718">
        <v>0.99921990000000005</v>
      </c>
      <c r="Y3718">
        <v>0.1512616</v>
      </c>
      <c r="Z3718">
        <v>-3.0902609999999999E-4</v>
      </c>
      <c r="AA3718">
        <v>0.98849370000000003</v>
      </c>
      <c r="AB3718">
        <v>27</v>
      </c>
      <c r="AC3718">
        <v>41.994900000000001</v>
      </c>
      <c r="AD3718">
        <v>-0.95114779999999999</v>
      </c>
      <c r="AE3718">
        <v>-9.1552999999999791</v>
      </c>
      <c r="AF3718">
        <v>6.5362621874248097</v>
      </c>
      <c r="AG3718">
        <v>-0.95114779999999999</v>
      </c>
      <c r="AH3718">
        <v>42.460103446237298</v>
      </c>
      <c r="AI3718">
        <v>91.268331825159393</v>
      </c>
      <c r="AJ3718">
        <v>81.248645962765394</v>
      </c>
      <c r="AK3718">
        <v>42.970778328829198</v>
      </c>
      <c r="AL3718">
        <v>88.070071389483502</v>
      </c>
      <c r="AM3718">
        <v>88.817413270703099</v>
      </c>
      <c r="AN3718">
        <v>1.0000000162017399</v>
      </c>
    </row>
    <row r="3719" spans="1:40" x14ac:dyDescent="0.25">
      <c r="A3719" t="str">
        <f>"20190312172150366"</f>
        <v>20190312172150366</v>
      </c>
      <c r="B3719" t="str">
        <f>"1552382510354809"</f>
        <v>1552382510354809</v>
      </c>
      <c r="C3719" t="s">
        <v>40</v>
      </c>
      <c r="D3719">
        <v>3.3605779999999998</v>
      </c>
      <c r="E3719">
        <v>0.55107810000000002</v>
      </c>
      <c r="F3719" t="s">
        <v>48</v>
      </c>
      <c r="G3719">
        <v>-408.84230000000002</v>
      </c>
      <c r="H3719">
        <v>0.21225169999999999</v>
      </c>
      <c r="I3719">
        <v>205.38419999999999</v>
      </c>
      <c r="J3719">
        <v>-450.78519999999997</v>
      </c>
      <c r="K3719">
        <v>1.1083339999999999</v>
      </c>
      <c r="L3719">
        <v>214.6438</v>
      </c>
      <c r="M3719">
        <v>0.99783900000000003</v>
      </c>
      <c r="N3719">
        <v>0</v>
      </c>
      <c r="O3719">
        <v>-6.431038E-2</v>
      </c>
      <c r="P3719">
        <v>0.99619349999999995</v>
      </c>
      <c r="Q3719">
        <v>2.29292E-2</v>
      </c>
      <c r="R3719">
        <v>-8.4101889999999999E-2</v>
      </c>
      <c r="S3719">
        <v>2.9584350000000001</v>
      </c>
      <c r="T3719">
        <v>-6.2801960000000004E-2</v>
      </c>
      <c r="U3719">
        <v>-0.65034479999999995</v>
      </c>
      <c r="V3719">
        <v>2.002309E-2</v>
      </c>
      <c r="W3719">
        <v>3.6313959999999999E-2</v>
      </c>
      <c r="X3719">
        <v>0.99913980000000002</v>
      </c>
      <c r="Y3719">
        <v>0.15142139999999901</v>
      </c>
      <c r="Z3719">
        <v>-2.4204989999999999E-4</v>
      </c>
      <c r="AA3719">
        <v>0.9884693</v>
      </c>
      <c r="AB3719">
        <v>27</v>
      </c>
      <c r="AC3719">
        <v>41.942899999999902</v>
      </c>
      <c r="AD3719">
        <v>-0.896082299999999</v>
      </c>
      <c r="AE3719">
        <v>-9.2596000000000007</v>
      </c>
      <c r="AF3719">
        <v>6.5399736243654596</v>
      </c>
      <c r="AG3719">
        <v>-0.896082299999999</v>
      </c>
      <c r="AH3719">
        <v>42.433134675421499</v>
      </c>
      <c r="AI3719">
        <v>91.195651199134005</v>
      </c>
      <c r="AJ3719">
        <v>81.238274952057495</v>
      </c>
      <c r="AK3719">
        <v>42.9435109984992</v>
      </c>
      <c r="AL3719">
        <v>87.918905758925206</v>
      </c>
      <c r="AM3719">
        <v>88.851927423811603</v>
      </c>
      <c r="AN3719">
        <v>0.99999998388403399</v>
      </c>
    </row>
    <row r="3720" spans="1:40" x14ac:dyDescent="0.25">
      <c r="A3720" t="str">
        <f>"20190312172150388"</f>
        <v>20190312172150388</v>
      </c>
      <c r="B3720" t="str">
        <f>"1552382510384090"</f>
        <v>1552382510384090</v>
      </c>
      <c r="C3720" t="s">
        <v>40</v>
      </c>
      <c r="D3720">
        <v>3.4228299999999998</v>
      </c>
      <c r="E3720">
        <v>0.55104699999999995</v>
      </c>
      <c r="F3720" t="s">
        <v>43</v>
      </c>
      <c r="G3720">
        <v>-387.93389999999999</v>
      </c>
      <c r="H3720">
        <v>-0.05</v>
      </c>
      <c r="I3720">
        <v>200.6799</v>
      </c>
      <c r="J3720">
        <v>-450.52</v>
      </c>
      <c r="K3720">
        <v>1.1083750000000001</v>
      </c>
      <c r="L3720">
        <v>214.624</v>
      </c>
      <c r="M3720">
        <v>0.99768299999999999</v>
      </c>
      <c r="N3720">
        <v>0</v>
      </c>
      <c r="O3720">
        <v>-6.6685830000000001E-2</v>
      </c>
      <c r="P3720">
        <v>0.996035</v>
      </c>
      <c r="Q3720">
        <v>2.5142330000000001E-2</v>
      </c>
      <c r="R3720">
        <v>-8.5336899999999993E-2</v>
      </c>
      <c r="S3720">
        <v>2.957214</v>
      </c>
      <c r="T3720">
        <v>-5.4500699999999902E-2</v>
      </c>
      <c r="U3720">
        <v>-0.65701290000000001</v>
      </c>
      <c r="V3720">
        <v>1.8892599999999999E-2</v>
      </c>
      <c r="W3720">
        <v>3.8530660000000001E-2</v>
      </c>
      <c r="X3720">
        <v>0.99907880000000004</v>
      </c>
      <c r="Y3720">
        <v>0.15128359999999999</v>
      </c>
      <c r="Z3720">
        <v>-1.6583489999999999E-4</v>
      </c>
      <c r="AA3720">
        <v>0.98849039999999999</v>
      </c>
      <c r="AB3720">
        <v>27</v>
      </c>
      <c r="AC3720">
        <v>62.586099999999902</v>
      </c>
      <c r="AD3720">
        <v>-1.1583749999999999</v>
      </c>
      <c r="AE3720">
        <v>-13.944100000000001</v>
      </c>
      <c r="AF3720">
        <v>9.7358925501121991</v>
      </c>
      <c r="AG3720">
        <v>-1.1583749999999999</v>
      </c>
      <c r="AH3720">
        <v>63.356040613333398</v>
      </c>
      <c r="AI3720">
        <v>91.035305050814799</v>
      </c>
      <c r="AJ3720">
        <v>81.263724199956002</v>
      </c>
      <c r="AK3720">
        <v>64.110196681856394</v>
      </c>
      <c r="AL3720">
        <v>87.791809175529394</v>
      </c>
      <c r="AM3720">
        <v>88.916664785850202</v>
      </c>
      <c r="AN3720">
        <v>0.99999999535211703</v>
      </c>
    </row>
    <row r="3721" spans="1:40" x14ac:dyDescent="0.25">
      <c r="A3721" t="str">
        <f>"20190312172150411"</f>
        <v>20190312172150411</v>
      </c>
      <c r="B3721" t="str">
        <f>"1552382510404585"</f>
        <v>1552382510404585</v>
      </c>
      <c r="C3721" t="s">
        <v>40</v>
      </c>
      <c r="D3721">
        <v>3.3163800000000001</v>
      </c>
      <c r="E3721">
        <v>0.55097030000000002</v>
      </c>
      <c r="F3721" t="s">
        <v>43</v>
      </c>
      <c r="G3721">
        <v>-383.15809999999999</v>
      </c>
      <c r="H3721">
        <v>-0.05</v>
      </c>
      <c r="I3721">
        <v>199.5744</v>
      </c>
      <c r="J3721">
        <v>-450.24700000000001</v>
      </c>
      <c r="K3721">
        <v>1.108439</v>
      </c>
      <c r="L3721">
        <v>214.60300000000001</v>
      </c>
      <c r="M3721">
        <v>0.99752180000000001</v>
      </c>
      <c r="N3721">
        <v>0</v>
      </c>
      <c r="O3721">
        <v>-6.9056149999999997E-2</v>
      </c>
      <c r="P3721">
        <v>0.99602120000000005</v>
      </c>
      <c r="Q3721">
        <v>2.6719E-2</v>
      </c>
      <c r="R3721">
        <v>-8.5018869999999996E-2</v>
      </c>
      <c r="S3721">
        <v>2.9566349999999999</v>
      </c>
      <c r="T3721">
        <v>-5.0843239999999998E-2</v>
      </c>
      <c r="U3721">
        <v>-0.66055299999999995</v>
      </c>
      <c r="V3721">
        <v>1.6203100000000002E-2</v>
      </c>
      <c r="W3721">
        <v>4.0118719999999997E-2</v>
      </c>
      <c r="X3721">
        <v>0.99906360000000005</v>
      </c>
      <c r="Y3721">
        <v>0.15010570000000001</v>
      </c>
      <c r="Z3721">
        <v>-1.0467940000000001E-4</v>
      </c>
      <c r="AA3721">
        <v>0.98866989999999999</v>
      </c>
      <c r="AB3721">
        <v>27</v>
      </c>
      <c r="AC3721">
        <v>67.088899999999896</v>
      </c>
      <c r="AD3721">
        <v>-1.158439</v>
      </c>
      <c r="AE3721">
        <v>-15.0285999999999</v>
      </c>
      <c r="AF3721">
        <v>10.356454870787701</v>
      </c>
      <c r="AG3721">
        <v>-1.158439</v>
      </c>
      <c r="AH3721">
        <v>67.947335079601302</v>
      </c>
      <c r="AI3721">
        <v>90.965595656802407</v>
      </c>
      <c r="AJ3721">
        <v>81.333742317609605</v>
      </c>
      <c r="AK3721">
        <v>68.741824843591402</v>
      </c>
      <c r="AL3721">
        <v>87.700749753000196</v>
      </c>
      <c r="AM3721">
        <v>89.070842075843302</v>
      </c>
      <c r="AN3721">
        <v>1.0000000644945</v>
      </c>
    </row>
    <row r="3722" spans="1:40" x14ac:dyDescent="0.25">
      <c r="A3722" t="str">
        <f>"20190312172150432"</f>
        <v>20190312172150432</v>
      </c>
      <c r="B3722" t="str">
        <f>"1552382510424105"</f>
        <v>1552382510424105</v>
      </c>
      <c r="C3722" t="s">
        <v>40</v>
      </c>
      <c r="D3722">
        <v>3.307026</v>
      </c>
      <c r="E3722">
        <v>0.550871</v>
      </c>
      <c r="F3722" t="s">
        <v>43</v>
      </c>
      <c r="G3722">
        <v>-381.80880000000002</v>
      </c>
      <c r="H3722">
        <v>-0.05</v>
      </c>
      <c r="I3722">
        <v>199.34979999999999</v>
      </c>
      <c r="J3722">
        <v>-449.97829999999999</v>
      </c>
      <c r="K3722">
        <v>1.108517</v>
      </c>
      <c r="L3722">
        <v>214.58189999999999</v>
      </c>
      <c r="M3722">
        <v>0.9973649</v>
      </c>
      <c r="N3722">
        <v>0</v>
      </c>
      <c r="O3722">
        <v>-7.1285340000000003E-2</v>
      </c>
      <c r="P3722">
        <v>0.9959363</v>
      </c>
      <c r="Q3722">
        <v>2.9613420000000001E-2</v>
      </c>
      <c r="R3722">
        <v>-8.5052420000000004E-2</v>
      </c>
      <c r="S3722">
        <v>2.9570620000000001</v>
      </c>
      <c r="T3722">
        <v>-5.0053599999999997E-2</v>
      </c>
      <c r="U3722">
        <v>-0.65905760000000002</v>
      </c>
      <c r="V3722">
        <v>1.4013400000000001E-2</v>
      </c>
      <c r="W3722">
        <v>4.3020620000000002E-2</v>
      </c>
      <c r="X3722">
        <v>0.99897590000000003</v>
      </c>
      <c r="Y3722">
        <v>0.14738999999999999</v>
      </c>
      <c r="Z3722" s="1">
        <v>-4.3271340000000003E-5</v>
      </c>
      <c r="AA3722">
        <v>0.98907849999999997</v>
      </c>
      <c r="AB3722">
        <v>27</v>
      </c>
      <c r="AC3722">
        <v>68.1694999999999</v>
      </c>
      <c r="AD3722">
        <v>-1.158517</v>
      </c>
      <c r="AE3722">
        <v>-15.232100000000001</v>
      </c>
      <c r="AF3722">
        <v>10.330572741821999</v>
      </c>
      <c r="AG3722">
        <v>-1.158517</v>
      </c>
      <c r="AH3722">
        <v>69.0629687417415</v>
      </c>
      <c r="AI3722">
        <v>90.950462314452594</v>
      </c>
      <c r="AJ3722">
        <v>81.492661899345293</v>
      </c>
      <c r="AK3722">
        <v>69.840937466761801</v>
      </c>
      <c r="AL3722">
        <v>87.534339076755501</v>
      </c>
      <c r="AM3722">
        <v>89.196320934401697</v>
      </c>
      <c r="AN3722">
        <v>0.99999999895277702</v>
      </c>
    </row>
    <row r="3723" spans="1:40" x14ac:dyDescent="0.25">
      <c r="A3723" t="str">
        <f>"20190312172150455"</f>
        <v>20190312172150455</v>
      </c>
      <c r="B3723" t="str">
        <f>"1552382510444605"</f>
        <v>1552382510444605</v>
      </c>
      <c r="C3723" t="s">
        <v>40</v>
      </c>
      <c r="D3723">
        <v>3.2968589999999902</v>
      </c>
      <c r="E3723">
        <v>0.5507358</v>
      </c>
      <c r="F3723" t="s">
        <v>55</v>
      </c>
      <c r="G3723">
        <v>-382.57240000000002</v>
      </c>
      <c r="H3723">
        <v>0.1434732</v>
      </c>
      <c r="I3723">
        <v>199.57599999999999</v>
      </c>
      <c r="J3723">
        <v>-449.70409999999998</v>
      </c>
      <c r="K3723">
        <v>1.1086229999999999</v>
      </c>
      <c r="L3723">
        <v>214.5598</v>
      </c>
      <c r="M3723">
        <v>0.99721029999999999</v>
      </c>
      <c r="N3723">
        <v>0</v>
      </c>
      <c r="O3723">
        <v>-7.3418639999999993E-2</v>
      </c>
      <c r="P3723">
        <v>0.99596799999999996</v>
      </c>
      <c r="Q3723">
        <v>3.098275E-2</v>
      </c>
      <c r="R3723">
        <v>-8.4190520000000005E-2</v>
      </c>
      <c r="S3723">
        <v>2.9572449999999999</v>
      </c>
      <c r="T3723">
        <v>-4.2338609999999999E-2</v>
      </c>
      <c r="U3723">
        <v>-0.6583405</v>
      </c>
      <c r="V3723">
        <v>1.1007609999999999E-2</v>
      </c>
      <c r="W3723">
        <v>4.4400700000000001E-2</v>
      </c>
      <c r="X3723">
        <v>0.99895319999999999</v>
      </c>
      <c r="Y3723">
        <v>0.14503569999999999</v>
      </c>
      <c r="Z3723" s="1">
        <v>1.0044899999999999E-5</v>
      </c>
      <c r="AA3723">
        <v>0.98942640000000004</v>
      </c>
      <c r="AB3723">
        <v>27</v>
      </c>
      <c r="AC3723">
        <v>67.131699999999896</v>
      </c>
      <c r="AD3723">
        <v>-0.96514979999999895</v>
      </c>
      <c r="AE3723">
        <v>-14.9838</v>
      </c>
      <c r="AF3723">
        <v>10.012218221022501</v>
      </c>
      <c r="AG3723">
        <v>-0.96514979999999895</v>
      </c>
      <c r="AH3723">
        <v>68.0372869492912</v>
      </c>
      <c r="AI3723">
        <v>90.804062183213006</v>
      </c>
      <c r="AJ3723">
        <v>81.628562443389299</v>
      </c>
      <c r="AK3723">
        <v>68.776801635885903</v>
      </c>
      <c r="AL3723">
        <v>87.455190774904395</v>
      </c>
      <c r="AM3723">
        <v>89.368675058101999</v>
      </c>
      <c r="AN3723">
        <v>1.0000000427143201</v>
      </c>
    </row>
    <row r="3724" spans="1:40" x14ac:dyDescent="0.25">
      <c r="A3724" t="str">
        <f>"20190312172150476"</f>
        <v>20190312172150476</v>
      </c>
      <c r="B3724" t="str">
        <f>"1552382510473881"</f>
        <v>1552382510473881</v>
      </c>
      <c r="C3724" t="s">
        <v>40</v>
      </c>
      <c r="D3724">
        <v>3.2472020000000001</v>
      </c>
      <c r="E3724">
        <v>0.55061499999999997</v>
      </c>
      <c r="F3724" t="s">
        <v>48</v>
      </c>
      <c r="G3724">
        <v>-408.76220000000001</v>
      </c>
      <c r="H3724">
        <v>0.56971879999999997</v>
      </c>
      <c r="I3724">
        <v>205.49549999999999</v>
      </c>
      <c r="J3724">
        <v>-449.45139999999998</v>
      </c>
      <c r="K3724">
        <v>1.1087480000000001</v>
      </c>
      <c r="L3724">
        <v>214.53909999999999</v>
      </c>
      <c r="M3724">
        <v>0.99707650000000003</v>
      </c>
      <c r="N3724">
        <v>0</v>
      </c>
      <c r="O3724">
        <v>-7.5216110000000003E-2</v>
      </c>
      <c r="P3724">
        <v>0.99609420000000004</v>
      </c>
      <c r="Q3724">
        <v>3.1292449999999999E-2</v>
      </c>
      <c r="R3724">
        <v>-8.2568260000000004E-2</v>
      </c>
      <c r="S3724">
        <v>2.9580380000000002</v>
      </c>
      <c r="T3724">
        <v>-3.8935659999999997E-2</v>
      </c>
      <c r="U3724">
        <v>-0.65489200000000003</v>
      </c>
      <c r="V3724">
        <v>7.566138E-3</v>
      </c>
      <c r="W3724">
        <v>4.4721770000000001E-2</v>
      </c>
      <c r="X3724">
        <v>0.99897080000000005</v>
      </c>
      <c r="Y3724">
        <v>0.14209739999999901</v>
      </c>
      <c r="Z3724" s="1">
        <v>5.1586709999999898E-5</v>
      </c>
      <c r="AA3724">
        <v>0.98985270000000003</v>
      </c>
      <c r="AB3724">
        <v>27</v>
      </c>
      <c r="AC3724">
        <v>40.6891999999999</v>
      </c>
      <c r="AD3724">
        <v>-0.53902919999999999</v>
      </c>
      <c r="AE3724">
        <v>-9.0435999999999908</v>
      </c>
      <c r="AF3724">
        <v>5.9562207305800099</v>
      </c>
      <c r="AG3724">
        <v>-0.53902919999999999</v>
      </c>
      <c r="AH3724">
        <v>41.24730503912</v>
      </c>
      <c r="AI3724">
        <v>90.741026451366196</v>
      </c>
      <c r="AJ3724">
        <v>81.783135683105996</v>
      </c>
      <c r="AK3724">
        <v>41.6786191093234</v>
      </c>
      <c r="AL3724">
        <v>87.436776344561693</v>
      </c>
      <c r="AM3724">
        <v>89.566053897085496</v>
      </c>
      <c r="AN3724">
        <v>0.99999997120440298</v>
      </c>
    </row>
    <row r="3725" spans="1:40" x14ac:dyDescent="0.25">
      <c r="A3725" t="str">
        <f>"20190312172150491"</f>
        <v>20190312172150491</v>
      </c>
      <c r="B3725" t="str">
        <f>"1552382510484617"</f>
        <v>1552382510484617</v>
      </c>
      <c r="C3725" t="s">
        <v>40</v>
      </c>
      <c r="D3725">
        <v>3.2522829999999998</v>
      </c>
      <c r="E3725">
        <v>0.55025400000000002</v>
      </c>
      <c r="F3725" t="s">
        <v>48</v>
      </c>
      <c r="G3725">
        <v>-408.77109999999999</v>
      </c>
      <c r="H3725">
        <v>0.53033909999999995</v>
      </c>
      <c r="I3725">
        <v>205.6139</v>
      </c>
      <c r="J3725">
        <v>-449.27679999999998</v>
      </c>
      <c r="K3725">
        <v>1.1088519999999999</v>
      </c>
      <c r="L3725">
        <v>214.52459999999999</v>
      </c>
      <c r="M3725">
        <v>0.99699130000000002</v>
      </c>
      <c r="N3725">
        <v>0</v>
      </c>
      <c r="O3725">
        <v>-7.6335620000000007E-2</v>
      </c>
      <c r="P3725">
        <v>0.99610580000000004</v>
      </c>
      <c r="Q3725">
        <v>3.1872879999999999E-2</v>
      </c>
      <c r="R3725">
        <v>-8.2203100000000001E-2</v>
      </c>
      <c r="S3725">
        <v>2.9592290000000001</v>
      </c>
      <c r="T3725">
        <v>-4.2075510000000003E-2</v>
      </c>
      <c r="U3725">
        <v>-0.6492462</v>
      </c>
      <c r="V3725">
        <v>6.0694130000000001E-3</v>
      </c>
      <c r="W3725">
        <v>4.5305779999999997E-2</v>
      </c>
      <c r="X3725">
        <v>0.99895469999999997</v>
      </c>
      <c r="Y3725">
        <v>0.13909969999999999</v>
      </c>
      <c r="Z3725" s="1">
        <v>9.2447560000000003E-5</v>
      </c>
      <c r="AA3725">
        <v>0.9902784</v>
      </c>
      <c r="AB3725">
        <v>27</v>
      </c>
      <c r="AC3725">
        <v>40.505699999999898</v>
      </c>
      <c r="AD3725">
        <v>-0.5785129</v>
      </c>
      <c r="AE3725">
        <v>-8.9106999999999896</v>
      </c>
      <c r="AF3725">
        <v>5.7912607398215998</v>
      </c>
      <c r="AG3725">
        <v>-0.5785129</v>
      </c>
      <c r="AH3725">
        <v>41.059766767155999</v>
      </c>
      <c r="AI3725">
        <v>90.799306959774597</v>
      </c>
      <c r="AJ3725">
        <v>81.971694176793306</v>
      </c>
      <c r="AK3725">
        <v>41.4702040639459</v>
      </c>
      <c r="AL3725">
        <v>87.403281085230802</v>
      </c>
      <c r="AM3725">
        <v>89.651888649162899</v>
      </c>
      <c r="AN3725">
        <v>0.99999997206383096</v>
      </c>
    </row>
    <row r="3726" spans="1:40" x14ac:dyDescent="0.25">
      <c r="A3726" t="str">
        <f>"20190312172150512"</f>
        <v>20190312172150512</v>
      </c>
      <c r="B3726" t="str">
        <f>"1552382510504138"</f>
        <v>1552382510504138</v>
      </c>
      <c r="C3726" t="s">
        <v>40</v>
      </c>
      <c r="D3726">
        <v>3.5259649999999998</v>
      </c>
      <c r="E3726">
        <v>0.51609340000000004</v>
      </c>
      <c r="F3726" t="s">
        <v>48</v>
      </c>
      <c r="G3726">
        <v>-408.76609999999999</v>
      </c>
      <c r="H3726">
        <v>0.55265869999999995</v>
      </c>
      <c r="I3726">
        <v>205.6909</v>
      </c>
      <c r="J3726">
        <v>-449.01560000000001</v>
      </c>
      <c r="K3726">
        <v>1.1090249999999999</v>
      </c>
      <c r="L3726">
        <v>214.50280000000001</v>
      </c>
      <c r="M3726">
        <v>0.99687499999999996</v>
      </c>
      <c r="N3726">
        <v>0</v>
      </c>
      <c r="O3726">
        <v>-7.7841489999999999E-2</v>
      </c>
      <c r="P3726">
        <v>0.99624179999999996</v>
      </c>
      <c r="Q3726">
        <v>3.2118710000000002E-2</v>
      </c>
      <c r="R3726">
        <v>-8.0443580000000001E-2</v>
      </c>
      <c r="S3726">
        <v>2.959778</v>
      </c>
      <c r="T3726">
        <v>-4.0636419999999999E-2</v>
      </c>
      <c r="U3726">
        <v>-0.645401</v>
      </c>
      <c r="V3726">
        <v>2.7770469999999999E-3</v>
      </c>
      <c r="W3726">
        <v>4.555824E-2</v>
      </c>
      <c r="X3726">
        <v>0.99895780000000001</v>
      </c>
      <c r="Y3726">
        <v>0.13633789999999901</v>
      </c>
      <c r="Z3726">
        <v>1.283384E-4</v>
      </c>
      <c r="AA3726">
        <v>0.99066240000000005</v>
      </c>
      <c r="AB3726">
        <v>27</v>
      </c>
      <c r="AC3726">
        <v>40.249499999999998</v>
      </c>
      <c r="AD3726">
        <v>-0.55636629999999998</v>
      </c>
      <c r="AE3726">
        <v>-8.8118999999999996</v>
      </c>
      <c r="AF3726">
        <v>5.6507627658570403</v>
      </c>
      <c r="AG3726">
        <v>-0.55636629999999998</v>
      </c>
      <c r="AH3726">
        <v>40.805903915785002</v>
      </c>
      <c r="AI3726">
        <v>90.773765485240503</v>
      </c>
      <c r="AJ3726">
        <v>82.115876281058206</v>
      </c>
      <c r="AK3726">
        <v>41.199058941680299</v>
      </c>
      <c r="AL3726">
        <v>87.388801250388795</v>
      </c>
      <c r="AM3726">
        <v>89.840721337046105</v>
      </c>
      <c r="AN3726">
        <v>0.99999997570138799</v>
      </c>
    </row>
    <row r="3727" spans="1:40" x14ac:dyDescent="0.25">
      <c r="A3727" t="str">
        <f>"20190312172150535"</f>
        <v>20190312172150535</v>
      </c>
      <c r="B3727" t="str">
        <f>"1552382510524633"</f>
        <v>1552382510524633</v>
      </c>
      <c r="C3727" t="s">
        <v>40</v>
      </c>
      <c r="D3727">
        <v>3.5570360000000001</v>
      </c>
      <c r="E3727">
        <v>0.51189099999999998</v>
      </c>
      <c r="F3727" t="s">
        <v>46</v>
      </c>
      <c r="G3727">
        <v>-397.52080000000001</v>
      </c>
      <c r="H3727">
        <v>8.0000719999999997E-2</v>
      </c>
      <c r="I3727">
        <v>208.1396</v>
      </c>
      <c r="J3727">
        <v>-448.74189999999999</v>
      </c>
      <c r="K3727">
        <v>1.109226</v>
      </c>
      <c r="L3727">
        <v>214.47980000000001</v>
      </c>
      <c r="M3727">
        <v>0.99677000000000004</v>
      </c>
      <c r="N3727">
        <v>0</v>
      </c>
      <c r="O3727">
        <v>-7.9175960000000004E-2</v>
      </c>
      <c r="P3727">
        <v>0.99635830000000003</v>
      </c>
      <c r="Q3727">
        <v>3.400682E-2</v>
      </c>
      <c r="R3727">
        <v>-7.8191499999999997E-2</v>
      </c>
      <c r="S3727">
        <v>2.9834589999999999</v>
      </c>
      <c r="T3727">
        <v>-5.9618709999999998E-2</v>
      </c>
      <c r="U3727">
        <v>-0.36866759999999998</v>
      </c>
      <c r="V3727">
        <v>-8.3096889999999897E-4</v>
      </c>
      <c r="W3727">
        <v>4.7450190000000003E-2</v>
      </c>
      <c r="X3727">
        <v>0.99887320000000002</v>
      </c>
      <c r="Y3727">
        <v>4.3674209999999998E-2</v>
      </c>
      <c r="Z3727">
        <v>1.138341E-3</v>
      </c>
      <c r="AA3727">
        <v>0.99904519999999997</v>
      </c>
      <c r="AB3727">
        <v>27</v>
      </c>
      <c r="AC3727">
        <v>51.2210999999999</v>
      </c>
      <c r="AD3727">
        <v>-1.0292252799999999</v>
      </c>
      <c r="AE3727">
        <v>-6.3402000000000003</v>
      </c>
      <c r="AF3727">
        <v>2.2635458930119099</v>
      </c>
      <c r="AG3727">
        <v>-1.0292252799999999</v>
      </c>
      <c r="AH3727">
        <v>51.541810551896603</v>
      </c>
      <c r="AI3727">
        <v>91.142871491764893</v>
      </c>
      <c r="AJ3727">
        <v>87.485374617986395</v>
      </c>
      <c r="AK3727">
        <v>51.601755586940698</v>
      </c>
      <c r="AL3727">
        <v>87.280282978704605</v>
      </c>
      <c r="AM3727">
        <v>90.047664708486806</v>
      </c>
      <c r="AN3727">
        <v>0.99999994035929196</v>
      </c>
    </row>
    <row r="3728" spans="1:40" x14ac:dyDescent="0.25">
      <c r="A3728" t="str">
        <f>"20190312172150555"</f>
        <v>20190312172150555</v>
      </c>
      <c r="B3728" t="str">
        <f>"1552382510544157"</f>
        <v>1552382510544157</v>
      </c>
      <c r="C3728" t="s">
        <v>40</v>
      </c>
      <c r="D3728">
        <v>3.4341710000000001</v>
      </c>
      <c r="E3728">
        <v>0.51047659999999995</v>
      </c>
      <c r="F3728" t="s">
        <v>46</v>
      </c>
      <c r="G3728">
        <v>-386.65109999999999</v>
      </c>
      <c r="H3728">
        <v>8.0001279999999994E-2</v>
      </c>
      <c r="I3728">
        <v>207.64400000000001</v>
      </c>
      <c r="J3728">
        <v>-448.4966</v>
      </c>
      <c r="K3728">
        <v>1.1094189999999999</v>
      </c>
      <c r="L3728">
        <v>214.45910000000001</v>
      </c>
      <c r="M3728">
        <v>0.99669249999999998</v>
      </c>
      <c r="N3728">
        <v>0</v>
      </c>
      <c r="O3728">
        <v>-8.0147010000000005E-2</v>
      </c>
      <c r="P3728">
        <v>0.99642220000000004</v>
      </c>
      <c r="Q3728">
        <v>3.7708699999999998E-2</v>
      </c>
      <c r="R3728">
        <v>-7.5638979999999995E-2</v>
      </c>
      <c r="S3728">
        <v>2.9868160000000001</v>
      </c>
      <c r="T3728">
        <v>-4.9509879999999999E-2</v>
      </c>
      <c r="U3728">
        <v>-0.32882689999999998</v>
      </c>
      <c r="V3728">
        <v>-4.3652550000000002E-3</v>
      </c>
      <c r="W3728">
        <v>5.1152610000000001E-2</v>
      </c>
      <c r="X3728">
        <v>0.99868129999999999</v>
      </c>
      <c r="Y3728">
        <v>2.941349E-2</v>
      </c>
      <c r="Z3728">
        <v>1.0790050000000001E-3</v>
      </c>
      <c r="AA3728">
        <v>0.99956670000000003</v>
      </c>
      <c r="AB3728">
        <v>27</v>
      </c>
      <c r="AC3728">
        <v>61.845500000000001</v>
      </c>
      <c r="AD3728">
        <v>-1.0294177200000001</v>
      </c>
      <c r="AE3728">
        <v>-6.8151000000000002</v>
      </c>
      <c r="AF3728">
        <v>1.83549043944807</v>
      </c>
      <c r="AG3728">
        <v>-1.0294177200000001</v>
      </c>
      <c r="AH3728">
        <v>62.175750106661098</v>
      </c>
      <c r="AI3728">
        <v>90.948122462636107</v>
      </c>
      <c r="AJ3728">
        <v>88.3090622793232</v>
      </c>
      <c r="AK3728">
        <v>62.211354488722797</v>
      </c>
      <c r="AL3728">
        <v>87.067891675785006</v>
      </c>
      <c r="AM3728">
        <v>90.250439349531305</v>
      </c>
      <c r="AN3728">
        <v>0.99999999196535805</v>
      </c>
    </row>
    <row r="3729" spans="1:40" x14ac:dyDescent="0.25">
      <c r="A3729" t="str">
        <f>"20190312172150578"</f>
        <v>20190312172150578</v>
      </c>
      <c r="B3729" t="str">
        <f>"1552382510574410"</f>
        <v>1552382510574410</v>
      </c>
      <c r="C3729" t="s">
        <v>40</v>
      </c>
      <c r="D3729">
        <v>3.2154319999999998</v>
      </c>
      <c r="E3729">
        <v>0.51006339999999994</v>
      </c>
      <c r="F3729" t="s">
        <v>46</v>
      </c>
      <c r="G3729">
        <v>-371.3021</v>
      </c>
      <c r="H3729">
        <v>8.0001080000000002E-2</v>
      </c>
      <c r="I3729">
        <v>206.4452</v>
      </c>
      <c r="J3729">
        <v>-448.22859999999997</v>
      </c>
      <c r="K3729">
        <v>1.1096159999999999</v>
      </c>
      <c r="L3729">
        <v>214.43639999999999</v>
      </c>
      <c r="M3729">
        <v>0.99662589999999995</v>
      </c>
      <c r="N3729">
        <v>0</v>
      </c>
      <c r="O3729">
        <v>-8.0971139999999997E-2</v>
      </c>
      <c r="P3729">
        <v>0.99643190000000004</v>
      </c>
      <c r="Q3729">
        <v>4.1366930000000003E-2</v>
      </c>
      <c r="R3729">
        <v>-7.3569629999999997E-2</v>
      </c>
      <c r="S3729">
        <v>2.9887389999999998</v>
      </c>
      <c r="T3729">
        <v>-3.9855960000000003E-2</v>
      </c>
      <c r="U3729">
        <v>-0.3102722</v>
      </c>
      <c r="V3729">
        <v>-7.2710730000000003E-3</v>
      </c>
      <c r="W3729">
        <v>5.4806720000000003E-2</v>
      </c>
      <c r="X3729">
        <v>0.99847050000000004</v>
      </c>
      <c r="Y3729">
        <v>2.2379240000000002E-2</v>
      </c>
      <c r="Z3729">
        <v>9.2611349999999995E-4</v>
      </c>
      <c r="AA3729">
        <v>0.99974909999999995</v>
      </c>
      <c r="AB3729">
        <v>27</v>
      </c>
      <c r="AC3729">
        <v>76.926499999999905</v>
      </c>
      <c r="AD3729">
        <v>-1.02961492</v>
      </c>
      <c r="AE3729">
        <v>-7.9911999999999903</v>
      </c>
      <c r="AF3729">
        <v>1.7352595847944901</v>
      </c>
      <c r="AG3729">
        <v>-1.02961492</v>
      </c>
      <c r="AH3729">
        <v>77.307275877566397</v>
      </c>
      <c r="AI3729">
        <v>90.762855087823397</v>
      </c>
      <c r="AJ3729">
        <v>88.714139686231306</v>
      </c>
      <c r="AK3729">
        <v>77.333602892405494</v>
      </c>
      <c r="AL3729">
        <v>86.858232028390901</v>
      </c>
      <c r="AM3729">
        <v>90.417232588695995</v>
      </c>
      <c r="AN3729">
        <v>0.99999999221498903</v>
      </c>
    </row>
    <row r="3730" spans="1:40" x14ac:dyDescent="0.25">
      <c r="A3730" t="str">
        <f>"20190312172150600"</f>
        <v>20190312172150600</v>
      </c>
      <c r="B3730" t="str">
        <f>"1552382510593930"</f>
        <v>1552382510593930</v>
      </c>
      <c r="C3730" t="s">
        <v>40</v>
      </c>
      <c r="D3730">
        <v>3.2202120000000001</v>
      </c>
      <c r="E3730">
        <v>0.50690389999999996</v>
      </c>
      <c r="F3730" t="s">
        <v>46</v>
      </c>
      <c r="G3730">
        <v>-350.9522</v>
      </c>
      <c r="H3730">
        <v>8.0001619999999996E-2</v>
      </c>
      <c r="I3730">
        <v>204.64349999999999</v>
      </c>
      <c r="J3730">
        <v>-447.96379999999999</v>
      </c>
      <c r="K3730">
        <v>1.109807</v>
      </c>
      <c r="L3730">
        <v>214.41409999999999</v>
      </c>
      <c r="M3730">
        <v>0.99657929999999995</v>
      </c>
      <c r="N3730">
        <v>0</v>
      </c>
      <c r="O3730">
        <v>-8.1541810000000006E-2</v>
      </c>
      <c r="P3730">
        <v>0.99647649999999999</v>
      </c>
      <c r="Q3730">
        <v>4.2379220000000002E-2</v>
      </c>
      <c r="R3730">
        <v>-7.2377410000000003E-2</v>
      </c>
      <c r="S3730">
        <v>2.989868</v>
      </c>
      <c r="T3730">
        <v>-3.1646010000000002E-2</v>
      </c>
      <c r="U3730">
        <v>-0.30099490000000001</v>
      </c>
      <c r="V3730">
        <v>-9.0569120000000003E-3</v>
      </c>
      <c r="W3730">
        <v>5.5812250000000001E-2</v>
      </c>
      <c r="X3730">
        <v>0.99840019999999996</v>
      </c>
      <c r="Y3730">
        <v>1.8696129999999998E-2</v>
      </c>
      <c r="Z3730">
        <v>7.6066139999999996E-4</v>
      </c>
      <c r="AA3730">
        <v>0.99982490000000002</v>
      </c>
      <c r="AB3730">
        <v>27</v>
      </c>
      <c r="AC3730">
        <v>97.011600000000001</v>
      </c>
      <c r="AD3730">
        <v>-1.02980538</v>
      </c>
      <c r="AE3730">
        <v>-9.7706</v>
      </c>
      <c r="AF3730">
        <v>1.8266374878367699</v>
      </c>
      <c r="AG3730">
        <v>-1.02980538</v>
      </c>
      <c r="AH3730">
        <v>97.474396181860499</v>
      </c>
      <c r="AI3730">
        <v>90.6051943156166</v>
      </c>
      <c r="AJ3730">
        <v>88.926421970601695</v>
      </c>
      <c r="AK3730">
        <v>97.496948745337406</v>
      </c>
      <c r="AL3730">
        <v>86.8005310908365</v>
      </c>
      <c r="AM3730">
        <v>90.519740079721998</v>
      </c>
      <c r="AN3730">
        <v>0.99999999713253895</v>
      </c>
    </row>
    <row r="3731" spans="1:40" x14ac:dyDescent="0.25">
      <c r="A3731" t="str">
        <f>"20190312172150623"</f>
        <v>20190312172150623</v>
      </c>
      <c r="B3731" t="str">
        <f>"1552382510614426"</f>
        <v>1552382510614426</v>
      </c>
      <c r="C3731" t="s">
        <v>40</v>
      </c>
      <c r="D3731">
        <v>3.2392859999999999</v>
      </c>
      <c r="E3731">
        <v>0.50845739999999995</v>
      </c>
      <c r="F3731" t="s">
        <v>47</v>
      </c>
      <c r="G3731">
        <v>-417.0566</v>
      </c>
      <c r="H3731" s="1">
        <v>3.7207400000000001E-6</v>
      </c>
      <c r="I3731">
        <v>211.60489999999999</v>
      </c>
      <c r="J3731">
        <v>-447.68889999999999</v>
      </c>
      <c r="K3731">
        <v>1.109979</v>
      </c>
      <c r="L3731">
        <v>214.39099999999999</v>
      </c>
      <c r="M3731">
        <v>0.99655159999999998</v>
      </c>
      <c r="N3731">
        <v>0</v>
      </c>
      <c r="O3731">
        <v>-8.1882369999999996E-2</v>
      </c>
      <c r="P3731">
        <v>0.99659229999999999</v>
      </c>
      <c r="Q3731">
        <v>4.18006E-2</v>
      </c>
      <c r="R3731">
        <v>-7.111075E-2</v>
      </c>
      <c r="S3731">
        <v>2.995422</v>
      </c>
      <c r="T3731">
        <v>-0.1075583</v>
      </c>
      <c r="U3731">
        <v>-0.27226260000000002</v>
      </c>
      <c r="V3731">
        <v>-1.069494E-2</v>
      </c>
      <c r="W3731">
        <v>5.5227119999999998E-2</v>
      </c>
      <c r="X3731">
        <v>0.99841650000000004</v>
      </c>
      <c r="Y3731">
        <v>8.7087569999999993E-3</v>
      </c>
      <c r="Z3731">
        <v>2.7723029999999998E-3</v>
      </c>
      <c r="AA3731">
        <v>0.99995820000000002</v>
      </c>
      <c r="AB3731">
        <v>27</v>
      </c>
      <c r="AC3731">
        <v>30.632299999999901</v>
      </c>
      <c r="AD3731">
        <v>-1.1099752792599999</v>
      </c>
      <c r="AE3731">
        <v>-2.7860999999999998</v>
      </c>
      <c r="AF3731">
        <v>0.26792236267680503</v>
      </c>
      <c r="AG3731">
        <v>-1.1099752792599999</v>
      </c>
      <c r="AH3731">
        <v>30.717569707922198</v>
      </c>
      <c r="AI3731">
        <v>92.069396285314298</v>
      </c>
      <c r="AJ3731">
        <v>89.500271945045498</v>
      </c>
      <c r="AK3731">
        <v>30.738785211423799</v>
      </c>
      <c r="AL3731">
        <v>86.834108249363794</v>
      </c>
      <c r="AM3731">
        <v>90.613723319045704</v>
      </c>
      <c r="AN3731">
        <v>0.99999996199867303</v>
      </c>
    </row>
    <row r="3732" spans="1:40" x14ac:dyDescent="0.25">
      <c r="A3732" t="str">
        <f>"20190312172150635"</f>
        <v>20190312172150635</v>
      </c>
      <c r="B3732" t="str">
        <f>"1552382510624186"</f>
        <v>1552382510624186</v>
      </c>
      <c r="C3732" t="s">
        <v>40</v>
      </c>
      <c r="D3732">
        <v>3.6451730000000002</v>
      </c>
      <c r="E3732">
        <v>0.50897199999999998</v>
      </c>
      <c r="F3732" t="s">
        <v>47</v>
      </c>
      <c r="G3732">
        <v>-413.9239</v>
      </c>
      <c r="H3732" s="1">
        <v>3.1980749999999999E-6</v>
      </c>
      <c r="I3732">
        <v>211.22720000000001</v>
      </c>
      <c r="J3732">
        <v>-447.53269999999998</v>
      </c>
      <c r="K3732">
        <v>1.110061</v>
      </c>
      <c r="L3732">
        <v>214.37790000000001</v>
      </c>
      <c r="M3732">
        <v>0.99654229999999999</v>
      </c>
      <c r="N3732">
        <v>0</v>
      </c>
      <c r="O3732">
        <v>-8.1995960000000007E-2</v>
      </c>
      <c r="P3732">
        <v>0.99670669999999995</v>
      </c>
      <c r="Q3732">
        <v>4.0549019999999998E-2</v>
      </c>
      <c r="R3732">
        <v>-7.0227990000000004E-2</v>
      </c>
      <c r="S3732">
        <v>2.9943849999999999</v>
      </c>
      <c r="T3732">
        <v>-9.8436120000000002E-2</v>
      </c>
      <c r="U3732">
        <v>-0.28057860000000001</v>
      </c>
      <c r="V3732">
        <v>-1.171027E-2</v>
      </c>
      <c r="W3732">
        <v>5.3972060000000002E-2</v>
      </c>
      <c r="X3732">
        <v>0.99847379999999997</v>
      </c>
      <c r="Y3732">
        <v>1.1370689999999999E-2</v>
      </c>
      <c r="Z3732">
        <v>2.4978499999999998E-3</v>
      </c>
      <c r="AA3732">
        <v>0.99993220000000005</v>
      </c>
      <c r="AB3732">
        <v>27</v>
      </c>
      <c r="AC3732">
        <v>33.608799999999903</v>
      </c>
      <c r="AD3732">
        <v>-1.110057801925</v>
      </c>
      <c r="AE3732">
        <v>-3.1507000000000001</v>
      </c>
      <c r="AF3732">
        <v>0.38363972435285898</v>
      </c>
      <c r="AG3732">
        <v>-1.110057801925</v>
      </c>
      <c r="AH3732">
        <v>33.717513307953901</v>
      </c>
      <c r="AI3732">
        <v>91.885505332196999</v>
      </c>
      <c r="AJ3732">
        <v>89.348113593663001</v>
      </c>
      <c r="AK3732">
        <v>33.737962467134302</v>
      </c>
      <c r="AL3732">
        <v>86.906125507859997</v>
      </c>
      <c r="AM3732">
        <v>90.671943808132198</v>
      </c>
      <c r="AN3732">
        <v>1.00000002148527</v>
      </c>
    </row>
    <row r="3733" spans="1:40" x14ac:dyDescent="0.25">
      <c r="A3733" t="str">
        <f>"20190312172150656"</f>
        <v>20190312172150656</v>
      </c>
      <c r="B3733" t="str">
        <f>"1552382510644685"</f>
        <v>1552382510644685</v>
      </c>
      <c r="C3733" t="s">
        <v>40</v>
      </c>
      <c r="D3733">
        <v>3.23217</v>
      </c>
      <c r="E3733">
        <v>0.5096041</v>
      </c>
      <c r="F3733" t="s">
        <v>47</v>
      </c>
      <c r="G3733">
        <v>-412.06880000000001</v>
      </c>
      <c r="H3733" s="1">
        <v>2.885779E-6</v>
      </c>
      <c r="I3733">
        <v>211.03530000000001</v>
      </c>
      <c r="J3733">
        <v>-447.29610000000002</v>
      </c>
      <c r="K3733">
        <v>1.11016</v>
      </c>
      <c r="L3733">
        <v>214.35820000000001</v>
      </c>
      <c r="M3733">
        <v>0.99653570000000002</v>
      </c>
      <c r="N3733">
        <v>0</v>
      </c>
      <c r="O3733">
        <v>-8.2075899999999993E-2</v>
      </c>
      <c r="P3733">
        <v>0.99692179999999997</v>
      </c>
      <c r="Q3733">
        <v>3.8201180000000001E-2</v>
      </c>
      <c r="R3733">
        <v>-6.8467730000000004E-2</v>
      </c>
      <c r="S3733">
        <v>2.9938349999999998</v>
      </c>
      <c r="T3733">
        <v>-9.3710299999999996E-2</v>
      </c>
      <c r="U3733">
        <v>-0.28218080000000001</v>
      </c>
      <c r="V3733">
        <v>-1.357877E-2</v>
      </c>
      <c r="W3733">
        <v>5.1618820000000003E-2</v>
      </c>
      <c r="X3733">
        <v>0.99857459999999998</v>
      </c>
      <c r="Y3733">
        <v>1.1834239999999999E-2</v>
      </c>
      <c r="Z3733">
        <v>2.3736E-3</v>
      </c>
      <c r="AA3733">
        <v>0.99992720000000002</v>
      </c>
      <c r="AB3733">
        <v>27</v>
      </c>
      <c r="AC3733">
        <v>35.2273</v>
      </c>
      <c r="AD3733">
        <v>-1.1101571142209901</v>
      </c>
      <c r="AE3733">
        <v>-3.3229000000000002</v>
      </c>
      <c r="AF3733">
        <v>0.41970082257272101</v>
      </c>
      <c r="AG3733">
        <v>-1.1101571142209901</v>
      </c>
      <c r="AH3733">
        <v>35.346384795451797</v>
      </c>
      <c r="AI3733">
        <v>91.798824279507102</v>
      </c>
      <c r="AJ3733">
        <v>89.319705370435997</v>
      </c>
      <c r="AK3733">
        <v>35.366304807074101</v>
      </c>
      <c r="AL3733">
        <v>87.041144671276498</v>
      </c>
      <c r="AM3733">
        <v>90.779068748244896</v>
      </c>
      <c r="AN3733">
        <v>1.0000000586690301</v>
      </c>
    </row>
    <row r="3734" spans="1:40" x14ac:dyDescent="0.25">
      <c r="A3734" t="str">
        <f>"20190312172150678"</f>
        <v>20190312172150678</v>
      </c>
      <c r="B3734" t="str">
        <f>"1552382510673962"</f>
        <v>1552382510673962</v>
      </c>
      <c r="C3734" t="s">
        <v>40</v>
      </c>
      <c r="D3734">
        <v>3.2329340000000002</v>
      </c>
      <c r="E3734">
        <v>0.51031740000000003</v>
      </c>
      <c r="F3734" t="s">
        <v>47</v>
      </c>
      <c r="G3734">
        <v>-411.56060000000002</v>
      </c>
      <c r="H3734" s="1">
        <v>2.7997629999999999E-6</v>
      </c>
      <c r="I3734">
        <v>210.9881</v>
      </c>
      <c r="J3734">
        <v>-447.02569999999997</v>
      </c>
      <c r="K3734">
        <v>1.1102620000000001</v>
      </c>
      <c r="L3734">
        <v>214.33590000000001</v>
      </c>
      <c r="M3734">
        <v>0.99654010000000004</v>
      </c>
      <c r="N3734">
        <v>0</v>
      </c>
      <c r="O3734">
        <v>-8.2024040000000006E-2</v>
      </c>
      <c r="P3734">
        <v>0.99718980000000002</v>
      </c>
      <c r="Q3734">
        <v>3.482387E-2</v>
      </c>
      <c r="R3734">
        <v>-6.6333719999999999E-2</v>
      </c>
      <c r="S3734">
        <v>2.993439</v>
      </c>
      <c r="T3734">
        <v>-9.2993969999999995E-2</v>
      </c>
      <c r="U3734">
        <v>-0.28230290000000002</v>
      </c>
      <c r="V3734">
        <v>-1.568934E-2</v>
      </c>
      <c r="W3734">
        <v>4.8235599999999997E-2</v>
      </c>
      <c r="X3734">
        <v>0.99871279999999996</v>
      </c>
      <c r="Y3734">
        <v>1.1938519999999999E-2</v>
      </c>
      <c r="Z3734">
        <v>2.3525529999999998E-3</v>
      </c>
      <c r="AA3734">
        <v>0.99992599999999998</v>
      </c>
      <c r="AB3734">
        <v>27</v>
      </c>
      <c r="AC3734">
        <v>35.4650999999999</v>
      </c>
      <c r="AD3734">
        <v>-1.110259200237</v>
      </c>
      <c r="AE3734">
        <v>-3.3477999999999999</v>
      </c>
      <c r="AF3734">
        <v>0.42684995918662</v>
      </c>
      <c r="AG3734">
        <v>-1.110259200237</v>
      </c>
      <c r="AH3734">
        <v>35.585630787689702</v>
      </c>
      <c r="AI3734">
        <v>91.786900073059201</v>
      </c>
      <c r="AJ3734">
        <v>89.312769571275993</v>
      </c>
      <c r="AK3734">
        <v>35.605505121218798</v>
      </c>
      <c r="AL3734">
        <v>87.235230989229706</v>
      </c>
      <c r="AM3734">
        <v>90.900017529540406</v>
      </c>
      <c r="AN3734">
        <v>1.0000000426904101</v>
      </c>
    </row>
    <row r="3735" spans="1:40" x14ac:dyDescent="0.25">
      <c r="A3735" t="str">
        <f>"20190312172150703"</f>
        <v>20190312172150703</v>
      </c>
      <c r="B3735" t="str">
        <f>"1552382510694458"</f>
        <v>1552382510694458</v>
      </c>
      <c r="C3735" t="s">
        <v>40</v>
      </c>
      <c r="D3735">
        <v>3.4219710000000001</v>
      </c>
      <c r="E3735">
        <v>0.51069979999999904</v>
      </c>
      <c r="F3735" t="s">
        <v>47</v>
      </c>
      <c r="G3735">
        <v>-412.05189999999999</v>
      </c>
      <c r="H3735" s="1">
        <v>2.8817910000000001E-6</v>
      </c>
      <c r="I3735">
        <v>211.04660000000001</v>
      </c>
      <c r="J3735">
        <v>-446.74939999999998</v>
      </c>
      <c r="K3735">
        <v>1.1103540000000001</v>
      </c>
      <c r="L3735">
        <v>214.31319999999999</v>
      </c>
      <c r="M3735">
        <v>0.99655839999999996</v>
      </c>
      <c r="N3735">
        <v>0</v>
      </c>
      <c r="O3735">
        <v>-8.1799430000000006E-2</v>
      </c>
      <c r="P3735">
        <v>0.99747750000000002</v>
      </c>
      <c r="Q3735">
        <v>3.0607849999999999E-2</v>
      </c>
      <c r="R3735">
        <v>-6.404688E-2</v>
      </c>
      <c r="S3735">
        <v>2.9930729999999999</v>
      </c>
      <c r="T3735">
        <v>-9.5016359999999994E-2</v>
      </c>
      <c r="U3735">
        <v>-0.28149410000000002</v>
      </c>
      <c r="V3735">
        <v>-1.7779110000000001E-2</v>
      </c>
      <c r="W3735">
        <v>4.4013410000000003E-2</v>
      </c>
      <c r="X3735">
        <v>0.99887269999999995</v>
      </c>
      <c r="Y3735">
        <v>1.190889E-2</v>
      </c>
      <c r="Z3735">
        <v>2.3974069999999998E-3</v>
      </c>
      <c r="AA3735">
        <v>0.99992619999999999</v>
      </c>
      <c r="AB3735">
        <v>27</v>
      </c>
      <c r="AC3735">
        <v>34.697499999999899</v>
      </c>
      <c r="AD3735">
        <v>-1.110351118209</v>
      </c>
      <c r="AE3735">
        <v>-3.26659999999998</v>
      </c>
      <c r="AF3735">
        <v>0.41673652375513098</v>
      </c>
      <c r="AG3735">
        <v>-1.110351118209</v>
      </c>
      <c r="AH3735">
        <v>34.813093837465502</v>
      </c>
      <c r="AI3735">
        <v>91.826678229710893</v>
      </c>
      <c r="AJ3735">
        <v>89.314163122786695</v>
      </c>
      <c r="AK3735">
        <v>34.8332894150426</v>
      </c>
      <c r="AL3735">
        <v>87.477402397328802</v>
      </c>
      <c r="AM3735">
        <v>91.019709931000804</v>
      </c>
      <c r="AN3735">
        <v>0.99999997390875395</v>
      </c>
    </row>
    <row r="3736" spans="1:40" x14ac:dyDescent="0.25">
      <c r="A3736" t="str">
        <f>"20190312172150725"</f>
        <v>20190312172150725</v>
      </c>
      <c r="B3736" t="str">
        <f>"1552382510713979"</f>
        <v>1552382510713979</v>
      </c>
      <c r="C3736" t="s">
        <v>40</v>
      </c>
      <c r="D3736">
        <v>3.7378740000000001</v>
      </c>
      <c r="E3736">
        <v>0.51095409999999997</v>
      </c>
      <c r="F3736" t="s">
        <v>47</v>
      </c>
      <c r="G3736">
        <v>-415.44260000000003</v>
      </c>
      <c r="H3736" s="1">
        <v>3.4519630000000002E-6</v>
      </c>
      <c r="I3736">
        <v>211.40450000000001</v>
      </c>
      <c r="J3736">
        <v>-446.47210000000001</v>
      </c>
      <c r="K3736">
        <v>1.110452</v>
      </c>
      <c r="L3736">
        <v>214.29079999999999</v>
      </c>
      <c r="M3736">
        <v>0.99658849999999999</v>
      </c>
      <c r="N3736">
        <v>0</v>
      </c>
      <c r="O3736">
        <v>-8.1433080000000005E-2</v>
      </c>
      <c r="P3736">
        <v>0.99771949999999998</v>
      </c>
      <c r="Q3736">
        <v>2.8544259999999998E-2</v>
      </c>
      <c r="R3736">
        <v>-6.1164589999999998E-2</v>
      </c>
      <c r="S3736">
        <v>2.9929809999999999</v>
      </c>
      <c r="T3736">
        <v>-0.1061513</v>
      </c>
      <c r="U3736">
        <v>-0.2780762</v>
      </c>
      <c r="V3736">
        <v>-2.031525E-2</v>
      </c>
      <c r="W3736">
        <v>4.1941079999999999E-2</v>
      </c>
      <c r="X3736">
        <v>0.99891350000000001</v>
      </c>
      <c r="Y3736">
        <v>1.115619E-2</v>
      </c>
      <c r="Z3736">
        <v>2.6788599999999999E-3</v>
      </c>
      <c r="AA3736">
        <v>0.9999342</v>
      </c>
      <c r="AB3736">
        <v>27</v>
      </c>
      <c r="AC3736">
        <v>31.029499999999899</v>
      </c>
      <c r="AD3736">
        <v>-1.1104485480370001</v>
      </c>
      <c r="AE3736">
        <v>-2.8862999999999701</v>
      </c>
      <c r="AF3736">
        <v>0.34921370344875902</v>
      </c>
      <c r="AG3736">
        <v>-1.1104485480370001</v>
      </c>
      <c r="AH3736">
        <v>31.121972059482299</v>
      </c>
      <c r="AI3736">
        <v>92.043348534031395</v>
      </c>
      <c r="AJ3736">
        <v>89.357121982875</v>
      </c>
      <c r="AK3736">
        <v>31.1437343788395</v>
      </c>
      <c r="AL3736">
        <v>87.596247987296493</v>
      </c>
      <c r="AM3736">
        <v>91.165083511048607</v>
      </c>
      <c r="AN3736">
        <v>0.99999997202818902</v>
      </c>
    </row>
    <row r="3737" spans="1:40" x14ac:dyDescent="0.25">
      <c r="A3737" t="str">
        <f>"20190312172150748"</f>
        <v>20190312172150748</v>
      </c>
      <c r="B3737" t="str">
        <f>"1552382510744234"</f>
        <v>1552382510744234</v>
      </c>
      <c r="C3737" t="s">
        <v>40</v>
      </c>
      <c r="D3737">
        <v>3.2368380000000001</v>
      </c>
      <c r="E3737">
        <v>0.51111770000000001</v>
      </c>
      <c r="F3737" t="s">
        <v>47</v>
      </c>
      <c r="G3737">
        <v>-416.25</v>
      </c>
      <c r="H3737" s="1">
        <v>3.5827769999999998E-6</v>
      </c>
      <c r="I3737">
        <v>211.54650000000001</v>
      </c>
      <c r="J3737">
        <v>-446.21679999999998</v>
      </c>
      <c r="K3737">
        <v>1.1105609999999999</v>
      </c>
      <c r="L3737">
        <v>214.27029999999999</v>
      </c>
      <c r="M3737">
        <v>0.99662289999999998</v>
      </c>
      <c r="N3737">
        <v>0</v>
      </c>
      <c r="O3737">
        <v>-8.1011730000000004E-2</v>
      </c>
      <c r="P3737">
        <v>0.99786799999999998</v>
      </c>
      <c r="Q3737">
        <v>2.8175749999999999E-2</v>
      </c>
      <c r="R3737">
        <v>-5.887191E-2</v>
      </c>
      <c r="S3737">
        <v>2.9933169999999998</v>
      </c>
      <c r="T3737">
        <v>-0.109983399999999</v>
      </c>
      <c r="U3737">
        <v>-0.27180480000000001</v>
      </c>
      <c r="V3737">
        <v>-2.2199880000000002E-2</v>
      </c>
      <c r="W3737">
        <v>4.1563280000000001E-2</v>
      </c>
      <c r="X3737">
        <v>0.99888920000000003</v>
      </c>
      <c r="Y3737">
        <v>9.4951859999999992E-3</v>
      </c>
      <c r="Z3737">
        <v>2.7905859999999998E-3</v>
      </c>
      <c r="AA3737">
        <v>0.99995100000000003</v>
      </c>
      <c r="AB3737">
        <v>27</v>
      </c>
      <c r="AC3737">
        <v>29.9667999999999</v>
      </c>
      <c r="AD3737">
        <v>-1.1105574172229999</v>
      </c>
      <c r="AE3737">
        <v>-2.7237999999999798</v>
      </c>
      <c r="AF3737">
        <v>0.28657459700546101</v>
      </c>
      <c r="AG3737">
        <v>-1.1105574172229999</v>
      </c>
      <c r="AH3737">
        <v>30.048035193624202</v>
      </c>
      <c r="AI3737">
        <v>92.116558157485201</v>
      </c>
      <c r="AJ3737">
        <v>89.453574351399794</v>
      </c>
      <c r="AK3737">
        <v>30.0699165574811</v>
      </c>
      <c r="AL3737">
        <v>87.617913262303702</v>
      </c>
      <c r="AM3737">
        <v>91.2731643024199</v>
      </c>
      <c r="AN3737">
        <v>0.99999998739650597</v>
      </c>
    </row>
    <row r="3738" spans="1:40" x14ac:dyDescent="0.25">
      <c r="A3738" t="str">
        <f>"20190312172150767"</f>
        <v>20190312172150767</v>
      </c>
      <c r="B3738" t="str">
        <f>"1552382510764731"</f>
        <v>1552382510764731</v>
      </c>
      <c r="C3738" t="s">
        <v>40</v>
      </c>
      <c r="D3738">
        <v>3.2488090000000001</v>
      </c>
      <c r="E3738">
        <v>0.49022159999999898</v>
      </c>
      <c r="F3738" t="s">
        <v>47</v>
      </c>
      <c r="G3738">
        <v>-415.64109999999999</v>
      </c>
      <c r="H3738" s="1">
        <v>3.4744659999999998E-6</v>
      </c>
      <c r="I3738">
        <v>211.55</v>
      </c>
      <c r="J3738">
        <v>-445.96859999999998</v>
      </c>
      <c r="K3738">
        <v>1.1106480000000001</v>
      </c>
      <c r="L3738">
        <v>214.25069999999999</v>
      </c>
      <c r="M3738">
        <v>0.99666330000000003</v>
      </c>
      <c r="N3738">
        <v>0</v>
      </c>
      <c r="O3738">
        <v>-8.0515059999999999E-2</v>
      </c>
      <c r="P3738">
        <v>0.99802049999999998</v>
      </c>
      <c r="Q3738">
        <v>2.8287909999999999E-2</v>
      </c>
      <c r="R3738">
        <v>-5.6170360000000003E-2</v>
      </c>
      <c r="S3738">
        <v>2.9937740000000002</v>
      </c>
      <c r="T3738">
        <v>-0.1087388</v>
      </c>
      <c r="U3738">
        <v>-0.26635740000000002</v>
      </c>
      <c r="V3738">
        <v>-2.4415030000000001E-2</v>
      </c>
      <c r="W3738">
        <v>4.1665710000000002E-2</v>
      </c>
      <c r="X3738">
        <v>0.99883319999999998</v>
      </c>
      <c r="Y3738">
        <v>8.1743040000000003E-3</v>
      </c>
      <c r="Z3738">
        <v>2.764893E-3</v>
      </c>
      <c r="AA3738">
        <v>0.99996269999999998</v>
      </c>
      <c r="AB3738">
        <v>27</v>
      </c>
      <c r="AC3738">
        <v>30.327499999999901</v>
      </c>
      <c r="AD3738">
        <v>-1.1106445255339901</v>
      </c>
      <c r="AE3738">
        <v>-2.7006999999999799</v>
      </c>
      <c r="AF3738">
        <v>0.249558470546689</v>
      </c>
      <c r="AG3738">
        <v>-1.1106445255339901</v>
      </c>
      <c r="AH3738">
        <v>30.406029172896002</v>
      </c>
      <c r="AI3738">
        <v>92.091849099628902</v>
      </c>
      <c r="AJ3738">
        <v>89.529753590436101</v>
      </c>
      <c r="AK3738">
        <v>30.427330161473598</v>
      </c>
      <c r="AL3738">
        <v>87.612039261742297</v>
      </c>
      <c r="AM3738">
        <v>91.400233464003804</v>
      </c>
      <c r="AN3738">
        <v>0.99999994325096997</v>
      </c>
    </row>
    <row r="3739" spans="1:40" x14ac:dyDescent="0.25">
      <c r="A3739" t="str">
        <f>"20190312172150790"</f>
        <v>20190312172150790</v>
      </c>
      <c r="B3739" t="str">
        <f>"1552382510784250"</f>
        <v>1552382510784250</v>
      </c>
      <c r="C3739" t="s">
        <v>40</v>
      </c>
      <c r="D3739">
        <v>3.2517320000000001</v>
      </c>
      <c r="E3739">
        <v>0.48955789999999999</v>
      </c>
      <c r="F3739" t="s">
        <v>47</v>
      </c>
      <c r="G3739">
        <v>-413.42349999999999</v>
      </c>
      <c r="H3739" s="1">
        <v>2.9324430000000002E-6</v>
      </c>
      <c r="I3739">
        <v>213.25020000000001</v>
      </c>
      <c r="J3739">
        <v>-445.70370000000003</v>
      </c>
      <c r="K3739">
        <v>1.110733</v>
      </c>
      <c r="L3739">
        <v>214.22989999999999</v>
      </c>
      <c r="M3739">
        <v>0.99671509999999996</v>
      </c>
      <c r="N3739">
        <v>0</v>
      </c>
      <c r="O3739">
        <v>-7.9870319999999995E-2</v>
      </c>
      <c r="P3739">
        <v>0.99820869999999995</v>
      </c>
      <c r="Q3739">
        <v>2.7253869999999999E-2</v>
      </c>
      <c r="R3739">
        <v>-5.3260740000000001E-2</v>
      </c>
      <c r="S3739">
        <v>3.0036619999999998</v>
      </c>
      <c r="T3739">
        <v>-0.10250380000000001</v>
      </c>
      <c r="U3739">
        <v>-9.2330930000000005E-2</v>
      </c>
      <c r="V3739">
        <v>-2.669036E-2</v>
      </c>
      <c r="W3739">
        <v>4.0621850000000001E-2</v>
      </c>
      <c r="X3739">
        <v>0.99881799999999998</v>
      </c>
      <c r="Y3739">
        <v>-4.913812E-2</v>
      </c>
      <c r="Z3739">
        <v>3.559478E-3</v>
      </c>
      <c r="AA3739">
        <v>0.9987857</v>
      </c>
      <c r="AB3739">
        <v>27</v>
      </c>
      <c r="AC3739">
        <v>32.280200000000001</v>
      </c>
      <c r="AD3739">
        <v>-1.110730067557</v>
      </c>
      <c r="AE3739">
        <v>-0.97969999999997903</v>
      </c>
      <c r="AF3739">
        <v>-1.5999994646775899</v>
      </c>
      <c r="AG3739">
        <v>-1.110730067557</v>
      </c>
      <c r="AH3739">
        <v>32.2172012200949</v>
      </c>
      <c r="AI3739">
        <v>91.972136085431202</v>
      </c>
      <c r="AJ3739">
        <v>92.843138345821899</v>
      </c>
      <c r="AK3739">
        <v>32.276024755629798</v>
      </c>
      <c r="AL3739">
        <v>87.671898751143203</v>
      </c>
      <c r="AM3739">
        <v>91.530690421536406</v>
      </c>
      <c r="AN3739">
        <v>0.99999995356917404</v>
      </c>
    </row>
    <row r="3740" spans="1:40" x14ac:dyDescent="0.25">
      <c r="A3740" t="str">
        <f>"20190312172150814"</f>
        <v>20190312172150814</v>
      </c>
      <c r="B3740" t="str">
        <f>"1552382510804746"</f>
        <v>1552382510804746</v>
      </c>
      <c r="C3740" t="s">
        <v>40</v>
      </c>
      <c r="D3740">
        <v>3.2485360000000001</v>
      </c>
      <c r="E3740">
        <v>0.48964859999999999</v>
      </c>
      <c r="F3740" t="s">
        <v>47</v>
      </c>
      <c r="G3740">
        <v>-415.63200000000001</v>
      </c>
      <c r="H3740" s="1">
        <v>3.3074490000000002E-6</v>
      </c>
      <c r="I3740">
        <v>213.44200000000001</v>
      </c>
      <c r="J3740">
        <v>-445.42</v>
      </c>
      <c r="K3740">
        <v>1.110819</v>
      </c>
      <c r="L3740">
        <v>214.2081</v>
      </c>
      <c r="M3740">
        <v>0.99678069999999996</v>
      </c>
      <c r="N3740">
        <v>0</v>
      </c>
      <c r="O3740">
        <v>-7.9048450000000006E-2</v>
      </c>
      <c r="P3740">
        <v>0.99839169999999999</v>
      </c>
      <c r="Q3740">
        <v>2.7539790000000001E-2</v>
      </c>
      <c r="R3740">
        <v>-4.9553859999999998E-2</v>
      </c>
      <c r="S3740">
        <v>3.0042420000000001</v>
      </c>
      <c r="T3740">
        <v>-0.11096490000000001</v>
      </c>
      <c r="U3740">
        <v>-7.8720090000000006E-2</v>
      </c>
      <c r="V3740">
        <v>-2.9584220000000001E-2</v>
      </c>
      <c r="W3740">
        <v>4.0895800000000003E-2</v>
      </c>
      <c r="X3740">
        <v>0.99872539999999999</v>
      </c>
      <c r="Y3740">
        <v>-5.2826669999999999E-2</v>
      </c>
      <c r="Z3740">
        <v>3.8905680000000001E-3</v>
      </c>
      <c r="AA3740">
        <v>0.99859609999999999</v>
      </c>
      <c r="AB3740">
        <v>27</v>
      </c>
      <c r="AC3740">
        <v>29.788</v>
      </c>
      <c r="AD3740">
        <v>-1.110815692551</v>
      </c>
      <c r="AE3740">
        <v>-0.76609999999999401</v>
      </c>
      <c r="AF3740">
        <v>-1.5889962209500601</v>
      </c>
      <c r="AG3740">
        <v>-1.110815692551</v>
      </c>
      <c r="AH3740">
        <v>29.714041393214998</v>
      </c>
      <c r="AI3740">
        <v>92.137869582456901</v>
      </c>
      <c r="AJ3740">
        <v>93.061049123327294</v>
      </c>
      <c r="AK3740">
        <v>29.777224121981298</v>
      </c>
      <c r="AL3740">
        <v>87.656189763644505</v>
      </c>
      <c r="AM3740">
        <v>91.696718063250501</v>
      </c>
      <c r="AN3740">
        <v>1.0000000585679001</v>
      </c>
    </row>
    <row r="3741" spans="1:40" x14ac:dyDescent="0.25">
      <c r="A3741" t="str">
        <f>"20190312172150835"</f>
        <v>20190312172150835</v>
      </c>
      <c r="B3741" t="str">
        <f>"1552382510824265"</f>
        <v>1552382510824265</v>
      </c>
      <c r="C3741" t="s">
        <v>40</v>
      </c>
      <c r="D3741">
        <v>3.2471359999999998</v>
      </c>
      <c r="E3741">
        <v>0.4896586</v>
      </c>
      <c r="F3741" t="s">
        <v>47</v>
      </c>
      <c r="G3741">
        <v>-413.2715</v>
      </c>
      <c r="H3741" s="1">
        <v>2.8860439999999999E-6</v>
      </c>
      <c r="I3741">
        <v>213.4727</v>
      </c>
      <c r="J3741">
        <v>-445.1601</v>
      </c>
      <c r="K3741">
        <v>1.11091299999999</v>
      </c>
      <c r="L3741">
        <v>214.1884</v>
      </c>
      <c r="M3741">
        <v>0.99684910000000004</v>
      </c>
      <c r="N3741">
        <v>0</v>
      </c>
      <c r="O3741">
        <v>-7.8180159999999999E-2</v>
      </c>
      <c r="P3741">
        <v>0.99856140000000004</v>
      </c>
      <c r="Q3741">
        <v>2.91358E-2</v>
      </c>
      <c r="R3741">
        <v>-4.5014209999999999E-2</v>
      </c>
      <c r="S3741">
        <v>3.0042719999999998</v>
      </c>
      <c r="T3741">
        <v>-0.1038057</v>
      </c>
      <c r="U3741">
        <v>-6.8725590000000003E-2</v>
      </c>
      <c r="V3741">
        <v>-3.3263069999999999E-2</v>
      </c>
      <c r="W3741">
        <v>4.2477519999999998E-2</v>
      </c>
      <c r="X3741">
        <v>0.99854359999999998</v>
      </c>
      <c r="Y3741">
        <v>-5.5287290000000003E-2</v>
      </c>
      <c r="Z3741">
        <v>3.6524970000000002E-3</v>
      </c>
      <c r="AA3741">
        <v>0.99846380000000001</v>
      </c>
      <c r="AB3741">
        <v>27</v>
      </c>
      <c r="AC3741">
        <v>31.8886</v>
      </c>
      <c r="AD3741">
        <v>-1.11091011395599</v>
      </c>
      <c r="AE3741">
        <v>-0.715699999999998</v>
      </c>
      <c r="AF3741">
        <v>-1.7776146161317601</v>
      </c>
      <c r="AG3741">
        <v>-1.11091011395599</v>
      </c>
      <c r="AH3741">
        <v>31.808353681940599</v>
      </c>
      <c r="AI3741">
        <v>91.997134428293506</v>
      </c>
      <c r="AJ3741">
        <v>93.198656039248505</v>
      </c>
      <c r="AK3741">
        <v>31.877349308877601</v>
      </c>
      <c r="AL3741">
        <v>87.565485002636507</v>
      </c>
      <c r="AM3741">
        <v>91.907907726952999</v>
      </c>
      <c r="AN3741">
        <v>1.0000000463160601</v>
      </c>
    </row>
    <row r="3742" spans="1:40" x14ac:dyDescent="0.25">
      <c r="A3742" t="str">
        <f>"20190312172150869"</f>
        <v>20190312172150869</v>
      </c>
      <c r="B3742" t="str">
        <f>"1552382510864282"</f>
        <v>1552382510864282</v>
      </c>
      <c r="C3742" t="s">
        <v>40</v>
      </c>
      <c r="D3742">
        <v>3.132425</v>
      </c>
      <c r="E3742">
        <v>0.49011729999999998</v>
      </c>
      <c r="F3742" t="s">
        <v>47</v>
      </c>
      <c r="G3742">
        <v>-412.64690000000002</v>
      </c>
      <c r="H3742" s="1">
        <v>2.765353E-6</v>
      </c>
      <c r="I3742">
        <v>213.58590000000001</v>
      </c>
      <c r="J3742">
        <v>-444.77269999999999</v>
      </c>
      <c r="K3742">
        <v>1.111054</v>
      </c>
      <c r="L3742">
        <v>214.15979999999999</v>
      </c>
      <c r="M3742">
        <v>0.9969673</v>
      </c>
      <c r="N3742">
        <v>0</v>
      </c>
      <c r="O3742">
        <v>-7.6659140000000001E-2</v>
      </c>
      <c r="P3742">
        <v>0.99868179999999995</v>
      </c>
      <c r="Q3742">
        <v>3.195137E-2</v>
      </c>
      <c r="R3742">
        <v>-4.0174139999999997E-2</v>
      </c>
      <c r="S3742">
        <v>3.004791</v>
      </c>
      <c r="T3742">
        <v>-0.1026678</v>
      </c>
      <c r="U3742">
        <v>-5.5679319999999997E-2</v>
      </c>
      <c r="V3742">
        <v>-3.659138E-2</v>
      </c>
      <c r="W3742">
        <v>4.527291E-2</v>
      </c>
      <c r="X3742">
        <v>0.99830430000000003</v>
      </c>
      <c r="Y3742">
        <v>-5.810187E-2</v>
      </c>
      <c r="Z3742">
        <v>3.6083830000000002E-3</v>
      </c>
      <c r="AA3742">
        <v>0.99830410000000003</v>
      </c>
      <c r="AB3742">
        <v>27</v>
      </c>
      <c r="AC3742">
        <v>32.125799999999899</v>
      </c>
      <c r="AD3742">
        <v>-1.1110512346470001</v>
      </c>
      <c r="AE3742">
        <v>-0.57389999999997998</v>
      </c>
      <c r="AF3742">
        <v>-1.8884883803407899</v>
      </c>
      <c r="AG3742">
        <v>-1.1110512346470001</v>
      </c>
      <c r="AH3742">
        <v>32.036940393585802</v>
      </c>
      <c r="AI3742">
        <v>91.982800576897404</v>
      </c>
      <c r="AJ3742">
        <v>93.373522778833902</v>
      </c>
      <c r="AK3742">
        <v>32.111779349498299</v>
      </c>
      <c r="AL3742">
        <v>87.405166457586105</v>
      </c>
      <c r="AM3742">
        <v>92.099153046647203</v>
      </c>
      <c r="AN3742">
        <v>1.00000002043433</v>
      </c>
    </row>
    <row r="3743" spans="1:40" x14ac:dyDescent="0.25">
      <c r="A3743" t="str">
        <f>"20190312172150891"</f>
        <v>20190312172150891</v>
      </c>
      <c r="B3743" t="str">
        <f>"1552382510884779"</f>
        <v>1552382510884779</v>
      </c>
      <c r="C3743" t="s">
        <v>40</v>
      </c>
      <c r="D3743">
        <v>3.2354530000000001</v>
      </c>
      <c r="E3743">
        <v>0.49045889999999998</v>
      </c>
      <c r="F3743" t="s">
        <v>47</v>
      </c>
      <c r="G3743">
        <v>-410.33269999999999</v>
      </c>
      <c r="H3743" s="1">
        <v>2.3499280000000001E-6</v>
      </c>
      <c r="I3743">
        <v>213.6422</v>
      </c>
      <c r="J3743">
        <v>-444.5052</v>
      </c>
      <c r="K3743">
        <v>1.1111500000000001</v>
      </c>
      <c r="L3743">
        <v>214.1405</v>
      </c>
      <c r="M3743">
        <v>0.99705920000000003</v>
      </c>
      <c r="N3743">
        <v>0</v>
      </c>
      <c r="O3743">
        <v>-7.5454400000000005E-2</v>
      </c>
      <c r="P3743">
        <v>0.99874169999999995</v>
      </c>
      <c r="Q3743">
        <v>3.2928029999999997E-2</v>
      </c>
      <c r="R3743">
        <v>-3.782319E-2</v>
      </c>
      <c r="S3743">
        <v>3.0052189999999999</v>
      </c>
      <c r="T3743">
        <v>-9.6949820000000006E-2</v>
      </c>
      <c r="U3743">
        <v>-4.5166020000000001E-2</v>
      </c>
      <c r="V3743">
        <v>-3.7745010000000002E-2</v>
      </c>
      <c r="W3743">
        <v>4.6237960000000002E-2</v>
      </c>
      <c r="X3743">
        <v>0.99821709999999997</v>
      </c>
      <c r="Y3743">
        <v>-6.039742E-2</v>
      </c>
      <c r="Z3743">
        <v>3.405478E-3</v>
      </c>
      <c r="AA3743">
        <v>0.99816859999999996</v>
      </c>
      <c r="AB3743">
        <v>27</v>
      </c>
      <c r="AC3743">
        <v>34.172499999999999</v>
      </c>
      <c r="AD3743">
        <v>-1.1111476500719999</v>
      </c>
      <c r="AE3743">
        <v>-0.49830000000000002</v>
      </c>
      <c r="AF3743">
        <v>-2.0796195520319101</v>
      </c>
      <c r="AG3743">
        <v>-1.1111476500719999</v>
      </c>
      <c r="AH3743">
        <v>34.076646742665901</v>
      </c>
      <c r="AI3743">
        <v>91.864133614841194</v>
      </c>
      <c r="AJ3743">
        <v>93.492298689511998</v>
      </c>
      <c r="AK3743">
        <v>34.158122310892601</v>
      </c>
      <c r="AL3743">
        <v>87.349815157238197</v>
      </c>
      <c r="AM3743">
        <v>92.165460759362901</v>
      </c>
      <c r="AN3743">
        <v>1.0000000067286301</v>
      </c>
    </row>
    <row r="3744" spans="1:40" x14ac:dyDescent="0.25">
      <c r="A3744" t="str">
        <f>"20190312172150915"</f>
        <v>20190312172150915</v>
      </c>
      <c r="B3744" t="str">
        <f>"1552382510904299"</f>
        <v>1552382510904299</v>
      </c>
      <c r="C3744" t="s">
        <v>40</v>
      </c>
      <c r="D3744">
        <v>3.2345350000000002</v>
      </c>
      <c r="E3744">
        <v>0.49088670000000001</v>
      </c>
      <c r="F3744" t="s">
        <v>47</v>
      </c>
      <c r="G3744">
        <v>-407.81709999999998</v>
      </c>
      <c r="H3744" s="1">
        <v>5.1363040000000004E-6</v>
      </c>
      <c r="I3744">
        <v>213.6454</v>
      </c>
      <c r="J3744">
        <v>-444.23140000000001</v>
      </c>
      <c r="K3744">
        <v>1.1112420000000001</v>
      </c>
      <c r="L3744">
        <v>214.12119999999999</v>
      </c>
      <c r="M3744">
        <v>0.99716110000000002</v>
      </c>
      <c r="N3744">
        <v>0</v>
      </c>
      <c r="O3744">
        <v>-7.4093060000000002E-2</v>
      </c>
      <c r="P3744">
        <v>0.99876750000000003</v>
      </c>
      <c r="Q3744">
        <v>3.466793E-2</v>
      </c>
      <c r="R3744">
        <v>-3.5518420000000002E-2</v>
      </c>
      <c r="S3744">
        <v>3.0052490000000001</v>
      </c>
      <c r="T3744">
        <v>-9.1017719999999996E-2</v>
      </c>
      <c r="U3744">
        <v>-4.0557860000000001E-2</v>
      </c>
      <c r="V3744">
        <v>-3.8696179999999997E-2</v>
      </c>
      <c r="W3744">
        <v>4.7966010000000003E-2</v>
      </c>
      <c r="X3744">
        <v>0.99809910000000002</v>
      </c>
      <c r="Y3744">
        <v>-6.0573950000000001E-2</v>
      </c>
      <c r="Z3744">
        <v>3.158789E-3</v>
      </c>
      <c r="AA3744">
        <v>0.99815869999999995</v>
      </c>
      <c r="AB3744">
        <v>27</v>
      </c>
      <c r="AC3744">
        <v>36.414299999999997</v>
      </c>
      <c r="AD3744">
        <v>-1.1112368636959999</v>
      </c>
      <c r="AE3744">
        <v>-0.47579999999999201</v>
      </c>
      <c r="AF3744">
        <v>-2.2217291220512898</v>
      </c>
      <c r="AG3744">
        <v>-1.1112368636959999</v>
      </c>
      <c r="AH3744">
        <v>36.315634375800698</v>
      </c>
      <c r="AI3744">
        <v>91.749401249335705</v>
      </c>
      <c r="AJ3744">
        <v>93.5008955863578</v>
      </c>
      <c r="AK3744">
        <v>36.400497630882001</v>
      </c>
      <c r="AL3744">
        <v>87.250695066008106</v>
      </c>
      <c r="AM3744">
        <v>92.220238391749504</v>
      </c>
      <c r="AN3744">
        <v>0.99999997294136</v>
      </c>
    </row>
    <row r="3745" spans="1:40" x14ac:dyDescent="0.25">
      <c r="A3745" t="str">
        <f>"20190312172150937"</f>
        <v>20190312172150937</v>
      </c>
      <c r="B3745" t="str">
        <f>"1552382510924794"</f>
        <v>1552382510924794</v>
      </c>
      <c r="C3745" t="s">
        <v>40</v>
      </c>
      <c r="D3745">
        <v>3.2899639999999999</v>
      </c>
      <c r="E3745">
        <v>0.49104819999999999</v>
      </c>
      <c r="F3745" t="s">
        <v>47</v>
      </c>
      <c r="G3745">
        <v>-404.47519999999997</v>
      </c>
      <c r="H3745" s="1">
        <v>6.6205399999999998E-6</v>
      </c>
      <c r="I3745">
        <v>213.63460000000001</v>
      </c>
      <c r="J3745">
        <v>-443.96949999999998</v>
      </c>
      <c r="K3745">
        <v>1.111335</v>
      </c>
      <c r="L3745">
        <v>214.10329999999999</v>
      </c>
      <c r="M3745">
        <v>0.99726749999999997</v>
      </c>
      <c r="N3745">
        <v>0</v>
      </c>
      <c r="O3745">
        <v>-7.265046E-2</v>
      </c>
      <c r="P3745">
        <v>0.9987857</v>
      </c>
      <c r="Q3745">
        <v>3.6261509999999997E-2</v>
      </c>
      <c r="R3745">
        <v>-3.3356980000000001E-2</v>
      </c>
      <c r="S3745">
        <v>3.005341</v>
      </c>
      <c r="T3745">
        <v>-8.4003090000000002E-2</v>
      </c>
      <c r="U3745">
        <v>-3.6788939999999999E-2</v>
      </c>
      <c r="V3745">
        <v>-3.9423199999999999E-2</v>
      </c>
      <c r="W3745">
        <v>4.9548189999999999E-2</v>
      </c>
      <c r="X3745">
        <v>0.99799340000000003</v>
      </c>
      <c r="Y3745">
        <v>-6.0391720000000003E-2</v>
      </c>
      <c r="Z3745">
        <v>2.8726300000000001E-3</v>
      </c>
      <c r="AA3745">
        <v>0.99817060000000002</v>
      </c>
      <c r="AB3745">
        <v>27</v>
      </c>
      <c r="AC3745">
        <v>39.494300000000003</v>
      </c>
      <c r="AD3745">
        <v>-1.11132837946</v>
      </c>
      <c r="AE3745">
        <v>-0.46869999999998402</v>
      </c>
      <c r="AF3745">
        <v>-2.40017512082472</v>
      </c>
      <c r="AG3745">
        <v>-1.11132837946</v>
      </c>
      <c r="AH3745">
        <v>39.392783606540299</v>
      </c>
      <c r="AI3745">
        <v>91.612979973868093</v>
      </c>
      <c r="AJ3745">
        <v>93.486681939533099</v>
      </c>
      <c r="AK3745">
        <v>39.481480362941497</v>
      </c>
      <c r="AL3745">
        <v>87.159935004637205</v>
      </c>
      <c r="AM3745">
        <v>92.2621483986307</v>
      </c>
      <c r="AN3745">
        <v>1.00000001913703</v>
      </c>
    </row>
    <row r="3746" spans="1:40" x14ac:dyDescent="0.25">
      <c r="A3746" t="str">
        <f>"20190312172150957"</f>
        <v>20190312172150957</v>
      </c>
      <c r="B3746" t="str">
        <f>"1552382510954074"</f>
        <v>1552382510954074</v>
      </c>
      <c r="C3746" t="s">
        <v>40</v>
      </c>
      <c r="D3746">
        <v>3.2304430000000002</v>
      </c>
      <c r="E3746">
        <v>0.49152410000000002</v>
      </c>
      <c r="F3746" t="s">
        <v>47</v>
      </c>
      <c r="G3746">
        <v>-404.4171</v>
      </c>
      <c r="H3746" s="1">
        <v>6.634388E-6</v>
      </c>
      <c r="I3746">
        <v>213.69229999999999</v>
      </c>
      <c r="J3746">
        <v>-443.72019999999998</v>
      </c>
      <c r="K3746">
        <v>1.111426</v>
      </c>
      <c r="L3746">
        <v>214.08670000000001</v>
      </c>
      <c r="M3746">
        <v>0.99737620000000005</v>
      </c>
      <c r="N3746">
        <v>0</v>
      </c>
      <c r="O3746">
        <v>-7.1140289999999995E-2</v>
      </c>
      <c r="P3746">
        <v>0.99878869999999997</v>
      </c>
      <c r="Q3746">
        <v>3.8012419999999998E-2</v>
      </c>
      <c r="R3746">
        <v>-3.124675E-2</v>
      </c>
      <c r="S3746">
        <v>3.005646</v>
      </c>
      <c r="T3746">
        <v>-8.4451440000000003E-2</v>
      </c>
      <c r="U3746">
        <v>-3.123474E-2</v>
      </c>
      <c r="V3746">
        <v>-4.0032129999999999E-2</v>
      </c>
      <c r="W3746">
        <v>5.128833E-2</v>
      </c>
      <c r="X3746">
        <v>0.99788120000000002</v>
      </c>
      <c r="Y3746">
        <v>-6.0725729999999999E-2</v>
      </c>
      <c r="Z3746">
        <v>2.8500829999999998E-3</v>
      </c>
      <c r="AA3746">
        <v>0.99815039999999999</v>
      </c>
      <c r="AB3746">
        <v>27</v>
      </c>
      <c r="AC3746">
        <v>39.303099999999901</v>
      </c>
      <c r="AD3746">
        <v>-1.1114193656119999</v>
      </c>
      <c r="AE3746">
        <v>-0.39440000000001801</v>
      </c>
      <c r="AF3746">
        <v>-2.40096500859448</v>
      </c>
      <c r="AG3746">
        <v>-1.1114193656119999</v>
      </c>
      <c r="AH3746">
        <v>39.2002173700252</v>
      </c>
      <c r="AI3746">
        <v>91.6210004569744</v>
      </c>
      <c r="AJ3746">
        <v>93.504917471099205</v>
      </c>
      <c r="AK3746">
        <v>39.289399687905401</v>
      </c>
      <c r="AL3746">
        <v>87.060105227143197</v>
      </c>
      <c r="AM3746">
        <v>92.297310355420095</v>
      </c>
      <c r="AN3746">
        <v>0.99999997676998198</v>
      </c>
    </row>
    <row r="3747" spans="1:40" x14ac:dyDescent="0.25">
      <c r="A3747" t="str">
        <f>"20190312172150981"</f>
        <v>20190312172150981</v>
      </c>
      <c r="B3747" t="str">
        <f>"1552382510974569"</f>
        <v>1552382510974569</v>
      </c>
      <c r="C3747" t="s">
        <v>40</v>
      </c>
      <c r="D3747">
        <v>3.2335020000000001</v>
      </c>
      <c r="E3747">
        <v>0.49192059999999999</v>
      </c>
      <c r="F3747" t="s">
        <v>47</v>
      </c>
      <c r="G3747">
        <v>-400.72039999999998</v>
      </c>
      <c r="H3747" s="1">
        <v>8.2764629999999999E-6</v>
      </c>
      <c r="I3747">
        <v>213.679</v>
      </c>
      <c r="J3747">
        <v>-443.4529</v>
      </c>
      <c r="K3747">
        <v>1.1115200000000001</v>
      </c>
      <c r="L3747">
        <v>214.06950000000001</v>
      </c>
      <c r="M3747">
        <v>0.99750019999999995</v>
      </c>
      <c r="N3747">
        <v>0</v>
      </c>
      <c r="O3747">
        <v>-6.9380029999999995E-2</v>
      </c>
      <c r="P3747">
        <v>0.99882269999999895</v>
      </c>
      <c r="Q3747">
        <v>3.8189630000000002E-2</v>
      </c>
      <c r="R3747">
        <v>-2.9915310000000001E-2</v>
      </c>
      <c r="S3747">
        <v>3.0057070000000001</v>
      </c>
      <c r="T3747">
        <v>-7.7688690000000005E-2</v>
      </c>
      <c r="U3747">
        <v>-2.8503420000000002E-2</v>
      </c>
      <c r="V3747">
        <v>-3.9613530000000001E-2</v>
      </c>
      <c r="W3747">
        <v>5.1458339999999998E-2</v>
      </c>
      <c r="X3747">
        <v>0.99788920000000003</v>
      </c>
      <c r="Y3747">
        <v>-5.988019E-2</v>
      </c>
      <c r="Z3747">
        <v>2.5655790000000001E-3</v>
      </c>
      <c r="AA3747">
        <v>0.99820229999999999</v>
      </c>
      <c r="AB3747">
        <v>26</v>
      </c>
      <c r="AC3747">
        <v>42.732500000000002</v>
      </c>
      <c r="AD3747">
        <v>-1.111511723537</v>
      </c>
      <c r="AE3747">
        <v>-0.39050000000000201</v>
      </c>
      <c r="AF3747">
        <v>-2.57374863171728</v>
      </c>
      <c r="AG3747">
        <v>-1.111511723537</v>
      </c>
      <c r="AH3747">
        <v>42.627766221130102</v>
      </c>
      <c r="AI3747">
        <v>91.490925398619297</v>
      </c>
      <c r="AJ3747">
        <v>93.455168960277405</v>
      </c>
      <c r="AK3747">
        <v>42.7198559610651</v>
      </c>
      <c r="AL3747">
        <v>87.050351631223506</v>
      </c>
      <c r="AM3747">
        <v>92.273295428544699</v>
      </c>
      <c r="AN3747">
        <v>1.0000000239956199</v>
      </c>
    </row>
    <row r="3748" spans="1:40" x14ac:dyDescent="0.25">
      <c r="A3748" t="str">
        <f>"20190312172151003"</f>
        <v>20190312172151003</v>
      </c>
      <c r="B3748" t="str">
        <f>"1552382510994090"</f>
        <v>1552382510994090</v>
      </c>
      <c r="C3748" t="s">
        <v>40</v>
      </c>
      <c r="D3748">
        <v>3.2162820000000001</v>
      </c>
      <c r="E3748">
        <v>0.49220900000000001</v>
      </c>
      <c r="F3748" t="s">
        <v>47</v>
      </c>
      <c r="G3748">
        <v>-400.18259999999998</v>
      </c>
      <c r="H3748" s="1">
        <v>8.5162669999999998E-6</v>
      </c>
      <c r="I3748">
        <v>213.67259999999999</v>
      </c>
      <c r="J3748">
        <v>-443.18650000000002</v>
      </c>
      <c r="K3748">
        <v>1.111604</v>
      </c>
      <c r="L3748">
        <v>214.0531</v>
      </c>
      <c r="M3748">
        <v>0.99762989999999996</v>
      </c>
      <c r="N3748">
        <v>0</v>
      </c>
      <c r="O3748">
        <v>-6.748875E-2</v>
      </c>
      <c r="P3748">
        <v>0.99888239999999995</v>
      </c>
      <c r="Q3748">
        <v>3.7606210000000001E-2</v>
      </c>
      <c r="R3748">
        <v>-2.8632049999999999E-2</v>
      </c>
      <c r="S3748">
        <v>3.0056759999999998</v>
      </c>
      <c r="T3748">
        <v>-7.7208760000000001E-2</v>
      </c>
      <c r="U3748">
        <v>-2.7572630000000001E-2</v>
      </c>
      <c r="V3748">
        <v>-3.901516E-2</v>
      </c>
      <c r="W3748">
        <v>5.0869259999999999E-2</v>
      </c>
      <c r="X3748">
        <v>0.99794289999999997</v>
      </c>
      <c r="Y3748">
        <v>-5.8298309999999999E-2</v>
      </c>
      <c r="Z3748">
        <v>2.4809720000000001E-3</v>
      </c>
      <c r="AA3748">
        <v>0.99829610000000002</v>
      </c>
      <c r="AB3748">
        <v>26</v>
      </c>
      <c r="AC3748">
        <v>43.003900000000002</v>
      </c>
      <c r="AD3748">
        <v>-1.111595483733</v>
      </c>
      <c r="AE3748">
        <v>-0.380500000000012</v>
      </c>
      <c r="AF3748">
        <v>-2.5212237246280802</v>
      </c>
      <c r="AG3748">
        <v>-1.111595483733</v>
      </c>
      <c r="AH3748">
        <v>42.902853189071998</v>
      </c>
      <c r="AI3748">
        <v>91.481623307069697</v>
      </c>
      <c r="AJ3748">
        <v>93.363168711313094</v>
      </c>
      <c r="AK3748">
        <v>42.991243589272301</v>
      </c>
      <c r="AL3748">
        <v>87.0841474704349</v>
      </c>
      <c r="AM3748">
        <v>92.238871719373705</v>
      </c>
      <c r="AN3748">
        <v>0.99999994799158998</v>
      </c>
    </row>
    <row r="3749" spans="1:40" x14ac:dyDescent="0.25">
      <c r="A3749" t="str">
        <f>"20190312172151026"</f>
        <v>20190312172151026</v>
      </c>
      <c r="B3749" t="str">
        <f>"1552382511014587"</f>
        <v>1552382511014587</v>
      </c>
      <c r="C3749" t="s">
        <v>40</v>
      </c>
      <c r="D3749">
        <v>3.232326</v>
      </c>
      <c r="E3749">
        <v>0.49254160000000002</v>
      </c>
      <c r="F3749" t="s">
        <v>47</v>
      </c>
      <c r="G3749">
        <v>-401.56990000000002</v>
      </c>
      <c r="H3749" s="1">
        <v>7.8960989999999994E-6</v>
      </c>
      <c r="I3749">
        <v>213.69659999999999</v>
      </c>
      <c r="J3749">
        <v>-442.92399999999998</v>
      </c>
      <c r="K3749">
        <v>1.1116790000000001</v>
      </c>
      <c r="L3749">
        <v>214.03749999999999</v>
      </c>
      <c r="M3749">
        <v>0.9977606</v>
      </c>
      <c r="N3749">
        <v>0</v>
      </c>
      <c r="O3749">
        <v>-6.5529320000000002E-2</v>
      </c>
      <c r="P3749">
        <v>0.99892939999999997</v>
      </c>
      <c r="Q3749">
        <v>3.6895949999999997E-2</v>
      </c>
      <c r="R3749">
        <v>-2.790948E-2</v>
      </c>
      <c r="S3749">
        <v>3.0056759999999998</v>
      </c>
      <c r="T3749">
        <v>-8.0282809999999996E-2</v>
      </c>
      <c r="U3749">
        <v>-2.574158E-2</v>
      </c>
      <c r="V3749">
        <v>-3.7784980000000003E-2</v>
      </c>
      <c r="W3749">
        <v>5.0158250000000001E-2</v>
      </c>
      <c r="X3749">
        <v>0.99802630000000003</v>
      </c>
      <c r="Y3749">
        <v>-5.6943569999999999E-2</v>
      </c>
      <c r="Z3749">
        <v>2.509407E-3</v>
      </c>
      <c r="AA3749">
        <v>0.99837419999999999</v>
      </c>
      <c r="AB3749">
        <v>26</v>
      </c>
      <c r="AC3749">
        <v>41.354100000000003</v>
      </c>
      <c r="AD3749">
        <v>-1.1116711039010001</v>
      </c>
      <c r="AE3749">
        <v>-0.34090000000000398</v>
      </c>
      <c r="AF3749">
        <v>-2.3682711427122598</v>
      </c>
      <c r="AG3749">
        <v>-1.1116711039010001</v>
      </c>
      <c r="AH3749">
        <v>41.257728275684102</v>
      </c>
      <c r="AI3749">
        <v>91.540900502849297</v>
      </c>
      <c r="AJ3749">
        <v>93.285280284334704</v>
      </c>
      <c r="AK3749">
        <v>41.340593407918597</v>
      </c>
      <c r="AL3749">
        <v>87.124937641426001</v>
      </c>
      <c r="AM3749">
        <v>92.168165712506394</v>
      </c>
      <c r="AN3749">
        <v>1.0000000251241701</v>
      </c>
    </row>
    <row r="3750" spans="1:40" x14ac:dyDescent="0.25">
      <c r="A3750" t="str">
        <f>"20190312172151046"</f>
        <v>20190312172151046</v>
      </c>
      <c r="B3750" t="str">
        <f>"1552382511034106"</f>
        <v>1552382511034106</v>
      </c>
      <c r="C3750" t="s">
        <v>40</v>
      </c>
      <c r="D3750">
        <v>3.221854</v>
      </c>
      <c r="E3750">
        <v>0.4927994</v>
      </c>
      <c r="F3750" t="s">
        <v>47</v>
      </c>
      <c r="G3750">
        <v>-402.47989999999999</v>
      </c>
      <c r="H3750" s="1">
        <v>7.4947889999999997E-6</v>
      </c>
      <c r="I3750">
        <v>213.6859</v>
      </c>
      <c r="J3750">
        <v>-442.67860000000002</v>
      </c>
      <c r="K3750">
        <v>1.1117440000000001</v>
      </c>
      <c r="L3750">
        <v>214.02340000000001</v>
      </c>
      <c r="M3750">
        <v>0.99788359999999998</v>
      </c>
      <c r="N3750">
        <v>0</v>
      </c>
      <c r="O3750">
        <v>-6.3627879999999998E-2</v>
      </c>
      <c r="P3750">
        <v>0.9988496</v>
      </c>
      <c r="Q3750">
        <v>3.8793599999999998E-2</v>
      </c>
      <c r="R3750">
        <v>-2.8184810000000001E-2</v>
      </c>
      <c r="S3750">
        <v>3.0055239999999999</v>
      </c>
      <c r="T3750">
        <v>-8.2611680000000007E-2</v>
      </c>
      <c r="U3750">
        <v>-2.6123049999999998E-2</v>
      </c>
      <c r="V3750">
        <v>-3.5615140000000003E-2</v>
      </c>
      <c r="W3750">
        <v>5.2059300000000003E-2</v>
      </c>
      <c r="X3750">
        <v>0.99800869999999997</v>
      </c>
      <c r="Y3750">
        <v>-5.4912719999999998E-2</v>
      </c>
      <c r="Z3750">
        <v>2.5022270000000001E-3</v>
      </c>
      <c r="AA3750">
        <v>0.99848800000000004</v>
      </c>
      <c r="AB3750">
        <v>26</v>
      </c>
      <c r="AC3750">
        <v>40.198700000000002</v>
      </c>
      <c r="AD3750">
        <v>-1.111736505211</v>
      </c>
      <c r="AE3750">
        <v>-0.33750000000000502</v>
      </c>
      <c r="AF3750">
        <v>-2.2194745934029099</v>
      </c>
      <c r="AG3750">
        <v>-1.111736505211</v>
      </c>
      <c r="AH3750">
        <v>40.1080320790782</v>
      </c>
      <c r="AI3750">
        <v>91.585325180077604</v>
      </c>
      <c r="AJ3750">
        <v>93.167369576364294</v>
      </c>
      <c r="AK3750">
        <v>40.184776505340203</v>
      </c>
      <c r="AL3750">
        <v>87.015872834905807</v>
      </c>
      <c r="AM3750">
        <v>92.043801454975707</v>
      </c>
      <c r="AN3750">
        <v>0.99999998709469895</v>
      </c>
    </row>
    <row r="3751" spans="1:40" x14ac:dyDescent="0.25">
      <c r="A3751" t="str">
        <f>"20190312172151069"</f>
        <v>20190312172151069</v>
      </c>
      <c r="B3751" t="str">
        <f>"1552382511064362"</f>
        <v>1552382511064362</v>
      </c>
      <c r="C3751" t="s">
        <v>40</v>
      </c>
      <c r="D3751">
        <v>3.2282510000000002</v>
      </c>
      <c r="E3751">
        <v>0.49313439999999997</v>
      </c>
      <c r="F3751" t="s">
        <v>47</v>
      </c>
      <c r="G3751">
        <v>-400.2509</v>
      </c>
      <c r="H3751" s="1">
        <v>8.49615E-6</v>
      </c>
      <c r="I3751">
        <v>213.6234</v>
      </c>
      <c r="J3751">
        <v>-442.41219999999998</v>
      </c>
      <c r="K3751">
        <v>1.1117999999999999</v>
      </c>
      <c r="L3751">
        <v>214.00880000000001</v>
      </c>
      <c r="M3751">
        <v>0.99801700000000004</v>
      </c>
      <c r="N3751">
        <v>0</v>
      </c>
      <c r="O3751">
        <v>-6.1501889999999997E-2</v>
      </c>
      <c r="P3751">
        <v>0.99871650000000001</v>
      </c>
      <c r="Q3751">
        <v>4.2048250000000002E-2</v>
      </c>
      <c r="R3751">
        <v>-2.8243770000000001E-2</v>
      </c>
      <c r="S3751">
        <v>3.0057070000000001</v>
      </c>
      <c r="T3751">
        <v>-7.8758599999999998E-2</v>
      </c>
      <c r="U3751">
        <v>-2.8335570000000001E-2</v>
      </c>
      <c r="V3751">
        <v>-3.343724E-2</v>
      </c>
      <c r="W3751">
        <v>5.531759E-2</v>
      </c>
      <c r="X3751">
        <v>0.99790880000000004</v>
      </c>
      <c r="Y3751">
        <v>-5.2056739999999997E-2</v>
      </c>
      <c r="Z3751">
        <v>2.292377E-3</v>
      </c>
      <c r="AA3751">
        <v>0.99864149999999996</v>
      </c>
      <c r="AB3751">
        <v>26</v>
      </c>
      <c r="AC3751">
        <v>42.161299999999898</v>
      </c>
      <c r="AD3751">
        <v>-1.1117915038499999</v>
      </c>
      <c r="AE3751">
        <v>-0.38540000000000402</v>
      </c>
      <c r="AF3751">
        <v>-2.2070276222063998</v>
      </c>
      <c r="AG3751">
        <v>-1.1117915038499999</v>
      </c>
      <c r="AH3751">
        <v>42.075921799064098</v>
      </c>
      <c r="AI3751">
        <v>91.511523647677393</v>
      </c>
      <c r="AJ3751">
        <v>93.002610057188804</v>
      </c>
      <c r="AK3751">
        <v>42.148431127554097</v>
      </c>
      <c r="AL3751">
        <v>86.828916976370294</v>
      </c>
      <c r="AM3751">
        <v>91.919109468456497</v>
      </c>
      <c r="AN3751">
        <v>1.0000000289498301</v>
      </c>
    </row>
    <row r="3752" spans="1:40" x14ac:dyDescent="0.25">
      <c r="A3752" t="str">
        <f>"20190312172151091"</f>
        <v>20190312172151091</v>
      </c>
      <c r="B3752" t="str">
        <f>"1552382511084858"</f>
        <v>1552382511084858</v>
      </c>
      <c r="C3752" t="s">
        <v>40</v>
      </c>
      <c r="D3752">
        <v>3.231455</v>
      </c>
      <c r="E3752">
        <v>0.49332280000000001</v>
      </c>
      <c r="F3752" t="s">
        <v>46</v>
      </c>
      <c r="G3752">
        <v>-395.32040000000001</v>
      </c>
      <c r="H3752" s="1">
        <v>1.294452E-6</v>
      </c>
      <c r="I3752">
        <v>213.52420000000001</v>
      </c>
      <c r="J3752">
        <v>-442.1454</v>
      </c>
      <c r="K3752">
        <v>1.111842</v>
      </c>
      <c r="L3752">
        <v>213.99469999999999</v>
      </c>
      <c r="M3752">
        <v>0.99814809999999998</v>
      </c>
      <c r="N3752">
        <v>0</v>
      </c>
      <c r="O3752">
        <v>-5.9333869999999997E-2</v>
      </c>
      <c r="P3752">
        <v>0.99859980000000004</v>
      </c>
      <c r="Q3752">
        <v>4.5238229999999997E-2</v>
      </c>
      <c r="R3752">
        <v>-2.7422249999999999E-2</v>
      </c>
      <c r="S3752">
        <v>3.005951</v>
      </c>
      <c r="T3752">
        <v>-7.0968030000000001E-2</v>
      </c>
      <c r="U3752">
        <v>-3.092957E-2</v>
      </c>
      <c r="V3752">
        <v>-3.2096149999999997E-2</v>
      </c>
      <c r="W3752">
        <v>5.8509119999999998E-2</v>
      </c>
      <c r="X3752">
        <v>0.99777079999999996</v>
      </c>
      <c r="Y3752">
        <v>-4.9035120000000001E-2</v>
      </c>
      <c r="Z3752">
        <v>1.9787369999999999E-3</v>
      </c>
      <c r="AA3752">
        <v>0.99879510000000005</v>
      </c>
      <c r="AB3752">
        <v>26</v>
      </c>
      <c r="AC3752">
        <v>46.824999999999903</v>
      </c>
      <c r="AD3752">
        <v>-1.111840705548</v>
      </c>
      <c r="AE3752">
        <v>-0.47049999999998698</v>
      </c>
      <c r="AF3752">
        <v>-2.3075865325691298</v>
      </c>
      <c r="AG3752">
        <v>-1.111840705548</v>
      </c>
      <c r="AH3752">
        <v>46.744055763991902</v>
      </c>
      <c r="AI3752">
        <v>91.360907396502498</v>
      </c>
      <c r="AJ3752">
        <v>92.826192962276593</v>
      </c>
      <c r="AK3752">
        <v>46.814184758756497</v>
      </c>
      <c r="AL3752">
        <v>86.645758812306795</v>
      </c>
      <c r="AM3752">
        <v>91.842447204744005</v>
      </c>
      <c r="AN3752">
        <v>1.00000002465031</v>
      </c>
    </row>
    <row r="3753" spans="1:40" x14ac:dyDescent="0.25">
      <c r="A3753" t="str">
        <f>"20190312172151115"</f>
        <v>20190312172151115</v>
      </c>
      <c r="B3753" t="str">
        <f>"1552382511104381"</f>
        <v>1552382511104381</v>
      </c>
      <c r="C3753" t="s">
        <v>40</v>
      </c>
      <c r="D3753">
        <v>3.228688</v>
      </c>
      <c r="E3753">
        <v>0.49350050000000001</v>
      </c>
      <c r="F3753" t="s">
        <v>46</v>
      </c>
      <c r="G3753">
        <v>-388.85449999999997</v>
      </c>
      <c r="H3753" s="1">
        <v>3.2254859999999999E-6</v>
      </c>
      <c r="I3753">
        <v>213.4648</v>
      </c>
      <c r="J3753">
        <v>-441.8777</v>
      </c>
      <c r="K3753">
        <v>1.1118709999999901</v>
      </c>
      <c r="L3753">
        <v>213.9812</v>
      </c>
      <c r="M3753">
        <v>0.9982761</v>
      </c>
      <c r="N3753">
        <v>0</v>
      </c>
      <c r="O3753">
        <v>-5.7140219999999999E-2</v>
      </c>
      <c r="P3753">
        <v>0.998502</v>
      </c>
      <c r="Q3753">
        <v>4.8007420000000002E-2</v>
      </c>
      <c r="R3753">
        <v>-2.625185E-2</v>
      </c>
      <c r="S3753">
        <v>3.006256</v>
      </c>
      <c r="T3753">
        <v>-6.2721250000000006E-2</v>
      </c>
      <c r="U3753">
        <v>-2.989197E-2</v>
      </c>
      <c r="V3753">
        <v>-3.1077090000000002E-2</v>
      </c>
      <c r="W3753">
        <v>6.1279340000000002E-2</v>
      </c>
      <c r="X3753">
        <v>0.99763670000000004</v>
      </c>
      <c r="Y3753">
        <v>-4.7193329999999999E-2</v>
      </c>
      <c r="Z3753">
        <v>1.68377E-3</v>
      </c>
      <c r="AA3753">
        <v>0.99888440000000001</v>
      </c>
      <c r="AB3753">
        <v>26</v>
      </c>
      <c r="AC3753">
        <v>53.023200000000003</v>
      </c>
      <c r="AD3753">
        <v>-1.11186777451399</v>
      </c>
      <c r="AE3753">
        <v>-0.51640000000000397</v>
      </c>
      <c r="AF3753">
        <v>-2.5133685568401298</v>
      </c>
      <c r="AG3753">
        <v>-1.11186777451399</v>
      </c>
      <c r="AH3753">
        <v>52.942785301645301</v>
      </c>
      <c r="AI3753">
        <v>91.201756443253203</v>
      </c>
      <c r="AJ3753">
        <v>92.717978919469999</v>
      </c>
      <c r="AK3753">
        <v>53.014071593744099</v>
      </c>
      <c r="AL3753">
        <v>86.486751176067798</v>
      </c>
      <c r="AM3753">
        <v>91.784227155227796</v>
      </c>
      <c r="AN3753">
        <v>0.99999996411029601</v>
      </c>
    </row>
    <row r="3754" spans="1:40" x14ac:dyDescent="0.25">
      <c r="A3754" t="str">
        <f>"20190312172151137"</f>
        <v>20190312172151137</v>
      </c>
      <c r="B3754" t="str">
        <f>"1552382511134639"</f>
        <v>1552382511134639</v>
      </c>
      <c r="C3754" t="s">
        <v>40</v>
      </c>
      <c r="D3754">
        <v>3.235744</v>
      </c>
      <c r="E3754">
        <v>0.49311169999999999</v>
      </c>
      <c r="F3754" t="s">
        <v>46</v>
      </c>
      <c r="G3754">
        <v>-381.55700000000002</v>
      </c>
      <c r="H3754" s="1">
        <v>-6.5614970000000003E-7</v>
      </c>
      <c r="I3754">
        <v>213.4247</v>
      </c>
      <c r="J3754">
        <v>-441.61880000000002</v>
      </c>
      <c r="K3754">
        <v>1.111888</v>
      </c>
      <c r="L3754">
        <v>213.96879999999999</v>
      </c>
      <c r="M3754">
        <v>0.99839549999999999</v>
      </c>
      <c r="N3754">
        <v>0</v>
      </c>
      <c r="O3754">
        <v>-5.501735E-2</v>
      </c>
      <c r="P3754">
        <v>0.99845470000000003</v>
      </c>
      <c r="Q3754">
        <v>4.9803100000000003E-2</v>
      </c>
      <c r="R3754">
        <v>-2.4665200000000002E-2</v>
      </c>
      <c r="S3754">
        <v>3.0064389999999999</v>
      </c>
      <c r="T3754">
        <v>-5.5416699999999902E-2</v>
      </c>
      <c r="U3754">
        <v>-2.7740480000000001E-2</v>
      </c>
      <c r="V3754">
        <v>-3.0543239999999999E-2</v>
      </c>
      <c r="W3754">
        <v>6.3074950000000005E-2</v>
      </c>
      <c r="X3754">
        <v>0.99754129999999996</v>
      </c>
      <c r="Y3754">
        <v>-4.5790190000000001E-2</v>
      </c>
      <c r="Z3754">
        <v>1.4356239999999999E-3</v>
      </c>
      <c r="AA3754">
        <v>0.99895009999999995</v>
      </c>
      <c r="AB3754">
        <v>26</v>
      </c>
      <c r="AC3754">
        <v>60.061799999999998</v>
      </c>
      <c r="AD3754">
        <v>-1.1118886561496999</v>
      </c>
      <c r="AE3754">
        <v>-0.54409999999998604</v>
      </c>
      <c r="AF3754">
        <v>-2.7605159792677298</v>
      </c>
      <c r="AG3754">
        <v>-1.1118886561496999</v>
      </c>
      <c r="AH3754">
        <v>59.980197508819202</v>
      </c>
      <c r="AI3754">
        <v>91.060881639061407</v>
      </c>
      <c r="AJ3754">
        <v>92.635109387089699</v>
      </c>
      <c r="AK3754">
        <v>60.053982699338398</v>
      </c>
      <c r="AL3754">
        <v>86.383670937612905</v>
      </c>
      <c r="AM3754">
        <v>91.753764160970206</v>
      </c>
      <c r="AN3754">
        <v>0.99999999201644496</v>
      </c>
    </row>
    <row r="3755" spans="1:40" x14ac:dyDescent="0.25">
      <c r="A3755" t="str">
        <f>"20190312172151158"</f>
        <v>20190312172151158</v>
      </c>
      <c r="B3755" t="str">
        <f>"1552382511154154"</f>
        <v>1552382511154154</v>
      </c>
      <c r="C3755" t="s">
        <v>40</v>
      </c>
      <c r="D3755">
        <v>3.175049</v>
      </c>
      <c r="E3755">
        <v>0.49285639999999997</v>
      </c>
      <c r="F3755" t="s">
        <v>46</v>
      </c>
      <c r="G3755">
        <v>-372.73590000000002</v>
      </c>
      <c r="H3755" s="1">
        <v>-8.0882050000000005E-8</v>
      </c>
      <c r="I3755">
        <v>213.52340000000001</v>
      </c>
      <c r="J3755">
        <v>-441.375</v>
      </c>
      <c r="K3755">
        <v>1.111888</v>
      </c>
      <c r="L3755">
        <v>213.95760000000001</v>
      </c>
      <c r="M3755">
        <v>0.99850340000000004</v>
      </c>
      <c r="N3755">
        <v>0</v>
      </c>
      <c r="O3755">
        <v>-5.3021270000000002E-2</v>
      </c>
      <c r="P3755">
        <v>0.99842489999999995</v>
      </c>
      <c r="Q3755">
        <v>5.0792049999999998E-2</v>
      </c>
      <c r="R3755">
        <v>-2.3836079999999999E-2</v>
      </c>
      <c r="S3755">
        <v>3.006561</v>
      </c>
      <c r="T3755">
        <v>-4.8531060000000001E-2</v>
      </c>
      <c r="U3755">
        <v>-1.9439700000000001E-2</v>
      </c>
      <c r="V3755">
        <v>-2.9376929999999999E-2</v>
      </c>
      <c r="W3755">
        <v>6.4068109999999998E-2</v>
      </c>
      <c r="X3755">
        <v>0.99751310000000004</v>
      </c>
      <c r="Y3755">
        <v>-4.6555439999999997E-2</v>
      </c>
      <c r="Z3755">
        <v>1.2312429999999999E-3</v>
      </c>
      <c r="AA3755">
        <v>0.998915</v>
      </c>
      <c r="AB3755">
        <v>26</v>
      </c>
      <c r="AC3755">
        <v>68.6390999999999</v>
      </c>
      <c r="AD3755">
        <v>-1.1118880808820499</v>
      </c>
      <c r="AE3755">
        <v>-0.43420000000000403</v>
      </c>
      <c r="AF3755">
        <v>-3.2052291161056998</v>
      </c>
      <c r="AG3755">
        <v>-1.1118880808820499</v>
      </c>
      <c r="AH3755">
        <v>68.547570835300903</v>
      </c>
      <c r="AI3755">
        <v>90.928280824139307</v>
      </c>
      <c r="AJ3755">
        <v>92.677154436875099</v>
      </c>
      <c r="AK3755">
        <v>68.631474238950602</v>
      </c>
      <c r="AL3755">
        <v>86.326651959024105</v>
      </c>
      <c r="AM3755">
        <v>91.686882853448097</v>
      </c>
      <c r="AN3755">
        <v>1.0000000557033999</v>
      </c>
    </row>
    <row r="3756" spans="1:40" x14ac:dyDescent="0.25">
      <c r="A3756" t="str">
        <f>"20190312172151181"</f>
        <v>20190312172151181</v>
      </c>
      <c r="B3756" t="str">
        <f>"1552382511174650"</f>
        <v>1552382511174650</v>
      </c>
      <c r="C3756" t="s">
        <v>40</v>
      </c>
      <c r="D3756">
        <v>3.1936559999999998</v>
      </c>
      <c r="E3756">
        <v>0.49256290000000003</v>
      </c>
      <c r="F3756" t="s">
        <v>46</v>
      </c>
      <c r="G3756">
        <v>-368.02589999999998</v>
      </c>
      <c r="H3756" s="1">
        <v>2.7342119999999999E-6</v>
      </c>
      <c r="I3756">
        <v>213.6121</v>
      </c>
      <c r="J3756">
        <v>-441.10210000000001</v>
      </c>
      <c r="K3756">
        <v>1.11188</v>
      </c>
      <c r="L3756">
        <v>213.94560000000001</v>
      </c>
      <c r="M3756">
        <v>0.99861929999999999</v>
      </c>
      <c r="N3756">
        <v>0</v>
      </c>
      <c r="O3756">
        <v>-5.0793400000000002E-2</v>
      </c>
      <c r="P3756">
        <v>0.99842980000000003</v>
      </c>
      <c r="Q3756">
        <v>5.101725E-2</v>
      </c>
      <c r="R3756">
        <v>-2.3143810000000001E-2</v>
      </c>
      <c r="S3756">
        <v>3.0066830000000002</v>
      </c>
      <c r="T3756">
        <v>-4.5577760000000002E-2</v>
      </c>
      <c r="U3756">
        <v>-1.416016E-2</v>
      </c>
      <c r="V3756">
        <v>-2.784155E-2</v>
      </c>
      <c r="W3756">
        <v>6.4298910000000001E-2</v>
      </c>
      <c r="X3756">
        <v>0.99754219999999905</v>
      </c>
      <c r="Y3756">
        <v>-4.6082850000000002E-2</v>
      </c>
      <c r="Z3756">
        <v>1.118976E-3</v>
      </c>
      <c r="AA3756">
        <v>0.99893699999999996</v>
      </c>
      <c r="AB3756">
        <v>26</v>
      </c>
      <c r="AC3756">
        <v>73.0762</v>
      </c>
      <c r="AD3756">
        <v>-1.1118772657879901</v>
      </c>
      <c r="AE3756">
        <v>-0.33350000000001501</v>
      </c>
      <c r="AF3756">
        <v>-3.37827037222003</v>
      </c>
      <c r="AG3756">
        <v>-1.1118772657879901</v>
      </c>
      <c r="AH3756">
        <v>72.981900730267299</v>
      </c>
      <c r="AI3756">
        <v>90.871898653751501</v>
      </c>
      <c r="AJ3756">
        <v>92.650281280329295</v>
      </c>
      <c r="AK3756">
        <v>73.068507689459395</v>
      </c>
      <c r="AL3756">
        <v>86.313400459619004</v>
      </c>
      <c r="AM3756">
        <v>91.598718625684498</v>
      </c>
      <c r="AN3756">
        <v>0.99999997125721396</v>
      </c>
    </row>
    <row r="3757" spans="1:40" x14ac:dyDescent="0.25">
      <c r="A3757" t="str">
        <f>"20190312172151203"</f>
        <v>20190312172151203</v>
      </c>
      <c r="B3757" t="str">
        <f>"1552382511194170"</f>
        <v>1552382511194170</v>
      </c>
      <c r="C3757" t="s">
        <v>40</v>
      </c>
      <c r="D3757">
        <v>3.2323729999999999</v>
      </c>
      <c r="E3757">
        <v>0.49240479999999998</v>
      </c>
      <c r="F3757" t="s">
        <v>46</v>
      </c>
      <c r="G3757">
        <v>-367.78429999999997</v>
      </c>
      <c r="H3757" s="1">
        <v>2.605612E-6</v>
      </c>
      <c r="I3757">
        <v>213.70779999999999</v>
      </c>
      <c r="J3757">
        <v>-440.83859999999999</v>
      </c>
      <c r="K3757">
        <v>1.1118650000000001</v>
      </c>
      <c r="L3757">
        <v>213.93459999999999</v>
      </c>
      <c r="M3757">
        <v>0.998726</v>
      </c>
      <c r="N3757">
        <v>0</v>
      </c>
      <c r="O3757">
        <v>-4.8650430000000001E-2</v>
      </c>
      <c r="P3757">
        <v>0.99847529999999995</v>
      </c>
      <c r="Q3757">
        <v>5.0497489999999999E-2</v>
      </c>
      <c r="R3757">
        <v>-2.2294810000000002E-2</v>
      </c>
      <c r="S3757">
        <v>3.0068359999999998</v>
      </c>
      <c r="T3757">
        <v>-4.5599220000000003E-2</v>
      </c>
      <c r="U3757">
        <v>-9.7503659999999999E-3</v>
      </c>
      <c r="V3757">
        <v>-2.6546219999999999E-2</v>
      </c>
      <c r="W3757">
        <v>6.3784480000000005E-2</v>
      </c>
      <c r="X3757">
        <v>0.99761060000000001</v>
      </c>
      <c r="Y3757">
        <v>-4.5404859999999998E-2</v>
      </c>
      <c r="Z3757">
        <v>1.0818469999999999E-3</v>
      </c>
      <c r="AA3757">
        <v>0.99896810000000003</v>
      </c>
      <c r="AB3757">
        <v>26</v>
      </c>
      <c r="AC3757">
        <v>73.054299999999998</v>
      </c>
      <c r="AD3757">
        <v>-1.1118623943879999</v>
      </c>
      <c r="AE3757">
        <v>-0.226799999999997</v>
      </c>
      <c r="AF3757">
        <v>-3.3271400799824198</v>
      </c>
      <c r="AG3757">
        <v>-1.1118623943879999</v>
      </c>
      <c r="AH3757">
        <v>72.961912724770499</v>
      </c>
      <c r="AI3757">
        <v>90.872153321689197</v>
      </c>
      <c r="AJ3757">
        <v>92.610939127197099</v>
      </c>
      <c r="AK3757">
        <v>73.046196393466701</v>
      </c>
      <c r="AL3757">
        <v>86.342935993123902</v>
      </c>
      <c r="AM3757">
        <v>91.5242696161677</v>
      </c>
      <c r="AN3757">
        <v>1.0000000354587499</v>
      </c>
    </row>
    <row r="3758" spans="1:40" x14ac:dyDescent="0.25">
      <c r="A3758" t="str">
        <f>"20190312172151226"</f>
        <v>20190312172151226</v>
      </c>
      <c r="B3758" t="str">
        <f>"1552382511214670"</f>
        <v>1552382511214670</v>
      </c>
      <c r="C3758" t="s">
        <v>40</v>
      </c>
      <c r="D3758">
        <v>3.1706150000000002</v>
      </c>
      <c r="E3758">
        <v>0.49226180000000003</v>
      </c>
      <c r="F3758" t="s">
        <v>46</v>
      </c>
      <c r="G3758">
        <v>-368.72329999999999</v>
      </c>
      <c r="H3758" s="1">
        <v>3.1053250000000002E-6</v>
      </c>
      <c r="I3758">
        <v>213.7912</v>
      </c>
      <c r="J3758">
        <v>-440.58269999999999</v>
      </c>
      <c r="K3758">
        <v>1.11185</v>
      </c>
      <c r="L3758">
        <v>213.92449999999999</v>
      </c>
      <c r="M3758">
        <v>0.99882479999999996</v>
      </c>
      <c r="N3758">
        <v>0</v>
      </c>
      <c r="O3758">
        <v>-4.6575289999999998E-2</v>
      </c>
      <c r="P3758">
        <v>0.99847410000000003</v>
      </c>
      <c r="Q3758">
        <v>5.077081E-2</v>
      </c>
      <c r="R3758">
        <v>-2.172601E-2</v>
      </c>
      <c r="S3758">
        <v>3.0067750000000002</v>
      </c>
      <c r="T3758">
        <v>-4.6357990000000002E-2</v>
      </c>
      <c r="U3758">
        <v>-5.9814450000000002E-3</v>
      </c>
      <c r="V3758">
        <v>-2.5039680000000002E-2</v>
      </c>
      <c r="W3758">
        <v>6.4063339999999996E-2</v>
      </c>
      <c r="X3758">
        <v>0.99763170000000001</v>
      </c>
      <c r="Y3758">
        <v>-4.45814E-2</v>
      </c>
      <c r="Z3758">
        <v>1.0615620000000001E-3</v>
      </c>
      <c r="AA3758">
        <v>0.99900520000000004</v>
      </c>
      <c r="AB3758">
        <v>26</v>
      </c>
      <c r="AC3758">
        <v>71.859399999999994</v>
      </c>
      <c r="AD3758">
        <v>-1.111846894675</v>
      </c>
      <c r="AE3758">
        <v>-0.13329999999999101</v>
      </c>
      <c r="AF3758">
        <v>-3.2132486926284498</v>
      </c>
      <c r="AG3758">
        <v>-1.111846894675</v>
      </c>
      <c r="AH3758">
        <v>71.770430196614896</v>
      </c>
      <c r="AI3758">
        <v>90.886650724884902</v>
      </c>
      <c r="AJ3758">
        <v>92.563489239577294</v>
      </c>
      <c r="AK3758">
        <v>71.850927769132099</v>
      </c>
      <c r="AL3758">
        <v>86.326925812447101</v>
      </c>
      <c r="AM3758">
        <v>91.437771909404205</v>
      </c>
      <c r="AN3758">
        <v>1.0000000529756701</v>
      </c>
    </row>
    <row r="3759" spans="1:40" x14ac:dyDescent="0.25">
      <c r="A3759" t="str">
        <f>"20190312172151248"</f>
        <v>20190312172151248</v>
      </c>
      <c r="B3759" t="str">
        <f>"1552382511244922"</f>
        <v>1552382511244922</v>
      </c>
      <c r="C3759" t="s">
        <v>40</v>
      </c>
      <c r="D3759">
        <v>3.2305600000000001</v>
      </c>
      <c r="E3759">
        <v>0.49204910000000002</v>
      </c>
      <c r="F3759" t="s">
        <v>46</v>
      </c>
      <c r="G3759">
        <v>-367.2978</v>
      </c>
      <c r="H3759" s="1">
        <v>2.346718E-6</v>
      </c>
      <c r="I3759">
        <v>213.852</v>
      </c>
      <c r="J3759">
        <v>-440.32600000000002</v>
      </c>
      <c r="K3759">
        <v>1.1118380000000001</v>
      </c>
      <c r="L3759">
        <v>213.91489999999999</v>
      </c>
      <c r="M3759">
        <v>0.99891949999999996</v>
      </c>
      <c r="N3759">
        <v>0</v>
      </c>
      <c r="O3759">
        <v>-4.4497759999999997E-2</v>
      </c>
      <c r="P3759">
        <v>0.99850360000000005</v>
      </c>
      <c r="Q3759">
        <v>5.0606289999999998E-2</v>
      </c>
      <c r="R3759">
        <v>-2.0733689999999999E-2</v>
      </c>
      <c r="S3759">
        <v>3.0068359999999998</v>
      </c>
      <c r="T3759">
        <v>-4.5618409999999998E-2</v>
      </c>
      <c r="U3759">
        <v>-2.9754640000000001E-3</v>
      </c>
      <c r="V3759">
        <v>-2.3953869999999999E-2</v>
      </c>
      <c r="W3759">
        <v>6.3902479999999998E-2</v>
      </c>
      <c r="X3759">
        <v>0.99766860000000002</v>
      </c>
      <c r="Y3759">
        <v>-4.3503029999999998E-2</v>
      </c>
      <c r="Z3759">
        <v>1.004937E-3</v>
      </c>
      <c r="AA3759">
        <v>0.99905279999999996</v>
      </c>
      <c r="AB3759">
        <v>26</v>
      </c>
      <c r="AC3759">
        <v>73.028199999999899</v>
      </c>
      <c r="AD3759">
        <v>-1.111835653282</v>
      </c>
      <c r="AE3759">
        <v>-6.2899999999984801E-2</v>
      </c>
      <c r="AF3759">
        <v>-3.1863072170686002</v>
      </c>
      <c r="AG3759">
        <v>-1.111835653282</v>
      </c>
      <c r="AH3759">
        <v>72.941743194650599</v>
      </c>
      <c r="AI3759">
        <v>90.872448014258794</v>
      </c>
      <c r="AJ3759">
        <v>92.501255922969406</v>
      </c>
      <c r="AK3759">
        <v>73.019768778569897</v>
      </c>
      <c r="AL3759">
        <v>86.336161049100298</v>
      </c>
      <c r="AM3759">
        <v>91.375398621780107</v>
      </c>
      <c r="AN3759">
        <v>0.99999997513204297</v>
      </c>
    </row>
    <row r="3760" spans="1:40" x14ac:dyDescent="0.25">
      <c r="A3760" t="str">
        <f>"20190312172151271"</f>
        <v>20190312172151271</v>
      </c>
      <c r="B3760" t="str">
        <f>"1552382511264443"</f>
        <v>1552382511264443</v>
      </c>
      <c r="C3760" t="s">
        <v>40</v>
      </c>
      <c r="D3760">
        <v>3.2346330000000001</v>
      </c>
      <c r="E3760">
        <v>0.4919501</v>
      </c>
      <c r="F3760" t="s">
        <v>46</v>
      </c>
      <c r="G3760">
        <v>-368.54880000000003</v>
      </c>
      <c r="H3760" s="1">
        <v>3.0124390000000002E-6</v>
      </c>
      <c r="I3760">
        <v>213.9503</v>
      </c>
      <c r="J3760">
        <v>-440.05970000000002</v>
      </c>
      <c r="K3760">
        <v>1.1118209999999999</v>
      </c>
      <c r="L3760">
        <v>213.90549999999999</v>
      </c>
      <c r="M3760">
        <v>0.99901309999999999</v>
      </c>
      <c r="N3760">
        <v>0</v>
      </c>
      <c r="O3760">
        <v>-4.2346920000000003E-2</v>
      </c>
      <c r="P3760">
        <v>0.99856480000000003</v>
      </c>
      <c r="Q3760">
        <v>4.9770559999999998E-2</v>
      </c>
      <c r="R3760">
        <v>-1.9781509999999999E-2</v>
      </c>
      <c r="S3760">
        <v>3.0068359999999998</v>
      </c>
      <c r="T3760">
        <v>-4.6576140000000002E-2</v>
      </c>
      <c r="U3760">
        <v>1.480103E-3</v>
      </c>
      <c r="V3760">
        <v>-2.275433E-2</v>
      </c>
      <c r="W3760">
        <v>6.3071150000000006E-2</v>
      </c>
      <c r="X3760">
        <v>0.99774960000000001</v>
      </c>
      <c r="Y3760">
        <v>-4.2832309999999998E-2</v>
      </c>
      <c r="Z3760">
        <v>9.8754950000000006E-4</v>
      </c>
      <c r="AA3760">
        <v>0.99908180000000002</v>
      </c>
      <c r="AB3760">
        <v>26</v>
      </c>
      <c r="AC3760">
        <v>71.510899999999907</v>
      </c>
      <c r="AD3760">
        <v>-1.1118179875609999</v>
      </c>
      <c r="AE3760">
        <v>4.4800000000009201E-2</v>
      </c>
      <c r="AF3760">
        <v>-3.0725553727119901</v>
      </c>
      <c r="AG3760">
        <v>-1.1118179875609999</v>
      </c>
      <c r="AH3760">
        <v>71.427577636284994</v>
      </c>
      <c r="AI3760">
        <v>90.890951288197499</v>
      </c>
      <c r="AJ3760">
        <v>92.463138141905901</v>
      </c>
      <c r="AK3760">
        <v>71.502276766151795</v>
      </c>
      <c r="AL3760">
        <v>86.383889113625102</v>
      </c>
      <c r="AM3760">
        <v>91.306441138449799</v>
      </c>
      <c r="AN3760">
        <v>0.99999999689811503</v>
      </c>
    </row>
    <row r="3761" spans="1:40" x14ac:dyDescent="0.25">
      <c r="A3761" t="str">
        <f>"20190312172151293"</f>
        <v>20190312172151293</v>
      </c>
      <c r="B3761" t="str">
        <f>"1552382511284297"</f>
        <v>1552382511284297</v>
      </c>
      <c r="C3761" t="s">
        <v>40</v>
      </c>
      <c r="D3761">
        <v>3.1612589999999998</v>
      </c>
      <c r="E3761">
        <v>0.4918652</v>
      </c>
      <c r="F3761" t="s">
        <v>46</v>
      </c>
      <c r="G3761">
        <v>-370.72980000000001</v>
      </c>
      <c r="H3761" s="1">
        <v>-1.148442E-6</v>
      </c>
      <c r="I3761">
        <v>214.02590000000001</v>
      </c>
      <c r="J3761">
        <v>-439.80189999999999</v>
      </c>
      <c r="K3761">
        <v>1.111809</v>
      </c>
      <c r="L3761">
        <v>213.89699999999999</v>
      </c>
      <c r="M3761">
        <v>0.99909890000000001</v>
      </c>
      <c r="N3761">
        <v>0</v>
      </c>
      <c r="O3761">
        <v>-4.0271189999999998E-2</v>
      </c>
      <c r="P3761">
        <v>0.99859339999999996</v>
      </c>
      <c r="Q3761">
        <v>4.9605469999999999E-2</v>
      </c>
      <c r="R3761">
        <v>-1.8727170000000001E-2</v>
      </c>
      <c r="S3761">
        <v>3.0068359999999998</v>
      </c>
      <c r="T3761">
        <v>-4.8219680000000001E-2</v>
      </c>
      <c r="U3761">
        <v>5.2185060000000004E-3</v>
      </c>
      <c r="V3761">
        <v>-2.1731650000000002E-2</v>
      </c>
      <c r="W3761">
        <v>6.2909339999999994E-2</v>
      </c>
      <c r="X3761">
        <v>0.99778259999999996</v>
      </c>
      <c r="Y3761">
        <v>-4.1998300000000002E-2</v>
      </c>
      <c r="Z3761">
        <v>9.8244210000000007E-4</v>
      </c>
      <c r="AA3761">
        <v>0.99911719999999904</v>
      </c>
      <c r="AB3761">
        <v>26</v>
      </c>
      <c r="AC3761">
        <v>69.072099999999907</v>
      </c>
      <c r="AD3761">
        <v>-1.111810148442</v>
      </c>
      <c r="AE3761">
        <v>0.128899999999987</v>
      </c>
      <c r="AF3761">
        <v>-2.90990699377857</v>
      </c>
      <c r="AG3761">
        <v>-1.111810148442</v>
      </c>
      <c r="AH3761">
        <v>68.992990743786095</v>
      </c>
      <c r="AI3761">
        <v>90.922411768239201</v>
      </c>
      <c r="AJ3761">
        <v>92.415124076391194</v>
      </c>
      <c r="AK3761">
        <v>69.063278609480804</v>
      </c>
      <c r="AL3761">
        <v>86.393178542093807</v>
      </c>
      <c r="AM3761">
        <v>91.247701653786507</v>
      </c>
      <c r="AN3761">
        <v>0.99999998326685802</v>
      </c>
    </row>
    <row r="3762" spans="1:40" x14ac:dyDescent="0.25">
      <c r="A3762" t="str">
        <f>"20190312172151316"</f>
        <v>20190312172151316</v>
      </c>
      <c r="B3762" t="str">
        <f>"1552382511304796"</f>
        <v>1552382511304796</v>
      </c>
      <c r="C3762" t="s">
        <v>40</v>
      </c>
      <c r="D3762">
        <v>3.1679870000000001</v>
      </c>
      <c r="E3762">
        <v>0.49179630000000002</v>
      </c>
      <c r="F3762" t="s">
        <v>46</v>
      </c>
      <c r="G3762">
        <v>-370.32639999999998</v>
      </c>
      <c r="H3762" s="1">
        <v>-1.3631159999999999E-6</v>
      </c>
      <c r="I3762">
        <v>214.10599999999999</v>
      </c>
      <c r="J3762">
        <v>-439.53460000000001</v>
      </c>
      <c r="K3762">
        <v>1.111801</v>
      </c>
      <c r="L3762">
        <v>213.8886</v>
      </c>
      <c r="M3762">
        <v>0.99918260000000003</v>
      </c>
      <c r="N3762">
        <v>0</v>
      </c>
      <c r="O3762">
        <v>-3.8136400000000001E-2</v>
      </c>
      <c r="P3762">
        <v>0.99853230000000004</v>
      </c>
      <c r="Q3762">
        <v>5.1285409999999997E-2</v>
      </c>
      <c r="R3762">
        <v>-1.7411380000000001E-2</v>
      </c>
      <c r="S3762">
        <v>3.0067750000000002</v>
      </c>
      <c r="T3762">
        <v>-4.8117159999999999E-2</v>
      </c>
      <c r="U3762">
        <v>9.0484620000000002E-3</v>
      </c>
      <c r="V3762">
        <v>-2.091486E-2</v>
      </c>
      <c r="W3762">
        <v>6.4590120000000001E-2</v>
      </c>
      <c r="X3762">
        <v>0.99769269999999999</v>
      </c>
      <c r="Y3762">
        <v>-4.1136659999999999E-2</v>
      </c>
      <c r="Z3762">
        <v>9.3933700000000005E-4</v>
      </c>
      <c r="AA3762">
        <v>0.99915310000000002</v>
      </c>
      <c r="AB3762">
        <v>26</v>
      </c>
      <c r="AC3762">
        <v>69.208200000000005</v>
      </c>
      <c r="AD3762">
        <v>-1.1118023631159999</v>
      </c>
      <c r="AE3762">
        <v>0.21739999999999701</v>
      </c>
      <c r="AF3762">
        <v>-2.8560935912804899</v>
      </c>
      <c r="AG3762">
        <v>-1.1118023631159999</v>
      </c>
      <c r="AH3762">
        <v>69.131712600513893</v>
      </c>
      <c r="AI3762">
        <v>90.920587805047802</v>
      </c>
      <c r="AJ3762">
        <v>92.365760874028993</v>
      </c>
      <c r="AK3762">
        <v>69.199617500220498</v>
      </c>
      <c r="AL3762">
        <v>86.296680777586602</v>
      </c>
      <c r="AM3762">
        <v>91.200928617358599</v>
      </c>
      <c r="AN3762">
        <v>1.0000000193018601</v>
      </c>
    </row>
    <row r="3763" spans="1:40" x14ac:dyDescent="0.25">
      <c r="A3763" t="str">
        <f>"20190312172151338"</f>
        <v>20190312172151338</v>
      </c>
      <c r="B3763" t="str">
        <f>"1552382511334073"</f>
        <v>1552382511334073</v>
      </c>
      <c r="C3763" t="s">
        <v>40</v>
      </c>
      <c r="D3763">
        <v>3.2966340000000001</v>
      </c>
      <c r="E3763">
        <v>0.4917203</v>
      </c>
      <c r="F3763" t="s">
        <v>46</v>
      </c>
      <c r="G3763">
        <v>-361.05799999999999</v>
      </c>
      <c r="H3763" s="1">
        <v>-9.7378059999999898E-7</v>
      </c>
      <c r="I3763">
        <v>214.24430000000001</v>
      </c>
      <c r="J3763">
        <v>-439.27339999999998</v>
      </c>
      <c r="K3763">
        <v>1.1117950000000001</v>
      </c>
      <c r="L3763">
        <v>213.881</v>
      </c>
      <c r="M3763">
        <v>0.99925920000000001</v>
      </c>
      <c r="N3763">
        <v>0</v>
      </c>
      <c r="O3763">
        <v>-3.6077169999999999E-2</v>
      </c>
      <c r="P3763">
        <v>0.99843599999999999</v>
      </c>
      <c r="Q3763">
        <v>5.386063E-2</v>
      </c>
      <c r="R3763">
        <v>-1.499578E-2</v>
      </c>
      <c r="S3763">
        <v>3.0068359999999998</v>
      </c>
      <c r="T3763">
        <v>-4.259872E-2</v>
      </c>
      <c r="U3763">
        <v>1.36261E-2</v>
      </c>
      <c r="V3763">
        <v>-2.127327E-2</v>
      </c>
      <c r="W3763">
        <v>6.716134E-2</v>
      </c>
      <c r="X3763">
        <v>0.99751529999999999</v>
      </c>
      <c r="Y3763">
        <v>-4.0601060000000001E-2</v>
      </c>
      <c r="Z3763">
        <v>7.986483E-4</v>
      </c>
      <c r="AA3763">
        <v>0.99917509999999998</v>
      </c>
      <c r="AB3763">
        <v>26</v>
      </c>
      <c r="AC3763">
        <v>78.215399999999903</v>
      </c>
      <c r="AD3763">
        <v>-1.1117959737806</v>
      </c>
      <c r="AE3763">
        <v>0.36330000000003698</v>
      </c>
      <c r="AF3763">
        <v>-3.1844635914153998</v>
      </c>
      <c r="AG3763">
        <v>-1.1117959737806</v>
      </c>
      <c r="AH3763">
        <v>78.135577966507697</v>
      </c>
      <c r="AI3763">
        <v>90.814534070640704</v>
      </c>
      <c r="AJ3763">
        <v>92.333833164003394</v>
      </c>
      <c r="AK3763">
        <v>78.208346375643004</v>
      </c>
      <c r="AL3763">
        <v>86.149039855072999</v>
      </c>
      <c r="AM3763">
        <v>91.221719459921005</v>
      </c>
      <c r="AN3763">
        <v>0.99999998567058901</v>
      </c>
    </row>
    <row r="3764" spans="1:40" x14ac:dyDescent="0.25">
      <c r="A3764" t="str">
        <f>"20190312172151360"</f>
        <v>20190312172151360</v>
      </c>
      <c r="B3764" t="str">
        <f>"1552382511354570"</f>
        <v>1552382511354570</v>
      </c>
      <c r="C3764" t="s">
        <v>40</v>
      </c>
      <c r="D3764">
        <v>3.20743</v>
      </c>
      <c r="E3764">
        <v>0.49168909999999899</v>
      </c>
      <c r="F3764" t="s">
        <v>46</v>
      </c>
      <c r="G3764">
        <v>-342.56709999999998</v>
      </c>
      <c r="H3764" s="1">
        <v>-1.70717399999999E-7</v>
      </c>
      <c r="I3764">
        <v>214.5538</v>
      </c>
      <c r="J3764">
        <v>-439.03019999999998</v>
      </c>
      <c r="K3764">
        <v>1.1117790000000001</v>
      </c>
      <c r="L3764">
        <v>213.87440000000001</v>
      </c>
      <c r="M3764">
        <v>0.99932529999999997</v>
      </c>
      <c r="N3764">
        <v>0</v>
      </c>
      <c r="O3764">
        <v>-3.4198989999999999E-2</v>
      </c>
      <c r="P3764">
        <v>0.99833850000000002</v>
      </c>
      <c r="Q3764">
        <v>5.627033E-2</v>
      </c>
      <c r="R3764">
        <v>-1.2415280000000001E-2</v>
      </c>
      <c r="S3764">
        <v>3.006866</v>
      </c>
      <c r="T3764">
        <v>-3.4568790000000002E-2</v>
      </c>
      <c r="U3764">
        <v>2.0919799999999999E-2</v>
      </c>
      <c r="V3764">
        <v>-2.197551E-2</v>
      </c>
      <c r="W3764">
        <v>6.9565619999999995E-2</v>
      </c>
      <c r="X3764">
        <v>0.99733530000000004</v>
      </c>
      <c r="Y3764">
        <v>-4.1149360000000003E-2</v>
      </c>
      <c r="Z3764">
        <v>6.2967280000000001E-4</v>
      </c>
      <c r="AA3764">
        <v>0.99915279999999995</v>
      </c>
      <c r="AB3764">
        <v>26</v>
      </c>
      <c r="AC3764">
        <v>96.463099999999997</v>
      </c>
      <c r="AD3764">
        <v>-1.1117791707173901</v>
      </c>
      <c r="AE3764">
        <v>0.67939999999998602</v>
      </c>
      <c r="AF3764">
        <v>-3.9777106575782102</v>
      </c>
      <c r="AG3764">
        <v>-1.1117791707173901</v>
      </c>
      <c r="AH3764">
        <v>96.370625454594403</v>
      </c>
      <c r="AI3764">
        <v>90.6604008594486</v>
      </c>
      <c r="AJ3764">
        <v>92.3635494822651</v>
      </c>
      <c r="AK3764">
        <v>96.459088143676595</v>
      </c>
      <c r="AL3764">
        <v>86.010961741524298</v>
      </c>
      <c r="AM3764">
        <v>91.262263821436505</v>
      </c>
      <c r="AN3764">
        <v>0.99999999957591701</v>
      </c>
    </row>
    <row r="3765" spans="1:40" x14ac:dyDescent="0.25">
      <c r="A3765" t="str">
        <f>"20190312172151382"</f>
        <v>20190312172151382</v>
      </c>
      <c r="B3765" t="str">
        <f>"1552382511374090"</f>
        <v>1552382511374090</v>
      </c>
      <c r="C3765" t="s">
        <v>40</v>
      </c>
      <c r="D3765">
        <v>3.23461</v>
      </c>
      <c r="E3765">
        <v>0.49167870000000002</v>
      </c>
      <c r="F3765" t="s">
        <v>47</v>
      </c>
      <c r="G3765">
        <v>-316.82130000000001</v>
      </c>
      <c r="H3765" s="1">
        <v>3.9306089999999997E-6</v>
      </c>
      <c r="I3765">
        <v>215.036</v>
      </c>
      <c r="J3765">
        <v>-438.7663</v>
      </c>
      <c r="K3765">
        <v>1.1117520000000001</v>
      </c>
      <c r="L3765">
        <v>213.86760000000001</v>
      </c>
      <c r="M3765">
        <v>0.99939089999999997</v>
      </c>
      <c r="N3765">
        <v>0</v>
      </c>
      <c r="O3765">
        <v>-3.2225879999999998E-2</v>
      </c>
      <c r="P3765">
        <v>0.99817769999999995</v>
      </c>
      <c r="Q3765">
        <v>5.9608830000000002E-2</v>
      </c>
      <c r="R3765">
        <v>-9.3986820000000002E-3</v>
      </c>
      <c r="S3765">
        <v>3.006866</v>
      </c>
      <c r="T3765">
        <v>-2.735448E-2</v>
      </c>
      <c r="U3765">
        <v>2.8579710000000001E-2</v>
      </c>
      <c r="V3765">
        <v>-2.3017679999999999E-2</v>
      </c>
      <c r="W3765">
        <v>7.2897870000000003E-2</v>
      </c>
      <c r="X3765">
        <v>0.99707380000000001</v>
      </c>
      <c r="Y3765">
        <v>-4.1723700000000002E-2</v>
      </c>
      <c r="Z3765">
        <v>4.8293549999999999E-4</v>
      </c>
      <c r="AA3765">
        <v>0.99912909999999999</v>
      </c>
      <c r="AB3765">
        <v>26</v>
      </c>
      <c r="AC3765">
        <v>121.94499999999999</v>
      </c>
      <c r="AD3765">
        <v>-1.111748069391</v>
      </c>
      <c r="AE3765">
        <v>1.1683999999999599</v>
      </c>
      <c r="AF3765">
        <v>-5.0975067236984701</v>
      </c>
      <c r="AG3765">
        <v>-1.111748069391</v>
      </c>
      <c r="AH3765">
        <v>121.833870287986</v>
      </c>
      <c r="AI3765">
        <v>90.522359074613206</v>
      </c>
      <c r="AJ3765">
        <v>92.395847495245405</v>
      </c>
      <c r="AK3765">
        <v>121.945530905884</v>
      </c>
      <c r="AL3765">
        <v>85.819551728808406</v>
      </c>
      <c r="AM3765">
        <v>91.322451472616507</v>
      </c>
      <c r="AN3765">
        <v>1.00000003784477</v>
      </c>
    </row>
    <row r="3766" spans="1:40" x14ac:dyDescent="0.25">
      <c r="A3766" t="str">
        <f>"20190312172151405"</f>
        <v>20190312172151405</v>
      </c>
      <c r="B3766" t="str">
        <f>"1552382511394585"</f>
        <v>1552382511394585</v>
      </c>
      <c r="C3766" t="s">
        <v>40</v>
      </c>
      <c r="D3766">
        <v>3.2140499999999999</v>
      </c>
      <c r="E3766">
        <v>0.49162640000000002</v>
      </c>
      <c r="F3766" t="s">
        <v>46</v>
      </c>
      <c r="G3766">
        <v>-244.97389999999999</v>
      </c>
      <c r="H3766" s="1">
        <v>1.0373279999999999E-6</v>
      </c>
      <c r="I3766">
        <v>216.28</v>
      </c>
      <c r="J3766">
        <v>-438.50880000000001</v>
      </c>
      <c r="K3766">
        <v>1.111712</v>
      </c>
      <c r="L3766">
        <v>213.86150000000001</v>
      </c>
      <c r="M3766">
        <v>0.99944900000000003</v>
      </c>
      <c r="N3766">
        <v>0</v>
      </c>
      <c r="O3766">
        <v>-3.037362E-2</v>
      </c>
      <c r="P3766">
        <v>0.99800540000000004</v>
      </c>
      <c r="Q3766">
        <v>6.2776819999999997E-2</v>
      </c>
      <c r="R3766">
        <v>-6.6855129999999997E-3</v>
      </c>
      <c r="S3766">
        <v>3.006866</v>
      </c>
      <c r="T3766">
        <v>-1.7249819999999999E-2</v>
      </c>
      <c r="U3766">
        <v>3.7429810000000001E-2</v>
      </c>
      <c r="V3766">
        <v>-2.3874940000000001E-2</v>
      </c>
      <c r="W3766">
        <v>7.6060500000000003E-2</v>
      </c>
      <c r="X3766">
        <v>0.99681739999999996</v>
      </c>
      <c r="Y3766">
        <v>-4.2814190000000002E-2</v>
      </c>
      <c r="Z3766">
        <v>2.9704589999999999E-4</v>
      </c>
      <c r="AA3766">
        <v>0.99908300000000005</v>
      </c>
      <c r="AB3766">
        <v>26</v>
      </c>
      <c r="AC3766">
        <v>193.53489999999999</v>
      </c>
      <c r="AD3766">
        <v>-1.1117109626719901</v>
      </c>
      <c r="AE3766">
        <v>2.4184999999999901</v>
      </c>
      <c r="AF3766">
        <v>-8.2959923497608692</v>
      </c>
      <c r="AG3766">
        <v>-1.1117109626719901</v>
      </c>
      <c r="AH3766">
        <v>193.365745391937</v>
      </c>
      <c r="AI3766">
        <v>90.329102265826293</v>
      </c>
      <c r="AJ3766">
        <v>92.456660713409804</v>
      </c>
      <c r="AK3766">
        <v>193.54681831875001</v>
      </c>
      <c r="AL3766">
        <v>85.637841763456507</v>
      </c>
      <c r="AM3766">
        <v>91.372038462258502</v>
      </c>
      <c r="AN3766">
        <v>1.0000000706815</v>
      </c>
    </row>
    <row r="3767" spans="1:40" x14ac:dyDescent="0.25">
      <c r="A3767" t="str">
        <f>"20190312172151418"</f>
        <v>20190312172151418</v>
      </c>
      <c r="B3767" t="str">
        <f>"1552382511414105"</f>
        <v>1552382511414105</v>
      </c>
      <c r="C3767" t="s">
        <v>40</v>
      </c>
      <c r="D3767">
        <v>3.388998</v>
      </c>
      <c r="E3767">
        <v>0.49163479999999998</v>
      </c>
      <c r="F3767" t="s">
        <v>59</v>
      </c>
      <c r="G3767">
        <v>-107.39749999999999</v>
      </c>
      <c r="H3767">
        <v>0.1934295</v>
      </c>
      <c r="I3767">
        <v>218.92080000000001</v>
      </c>
      <c r="J3767">
        <v>-438.34350000000001</v>
      </c>
      <c r="K3767">
        <v>1.1116839999999999</v>
      </c>
      <c r="L3767">
        <v>213.8578</v>
      </c>
      <c r="M3767">
        <v>0.99948340000000002</v>
      </c>
      <c r="N3767">
        <v>0</v>
      </c>
      <c r="O3767">
        <v>-2.9215020000000001E-2</v>
      </c>
      <c r="P3767">
        <v>0.99794579999999999</v>
      </c>
      <c r="Q3767">
        <v>6.3870460000000004E-2</v>
      </c>
      <c r="R3767">
        <v>-5.0014530000000003E-3</v>
      </c>
      <c r="S3767">
        <v>3.006866</v>
      </c>
      <c r="T3767">
        <v>-8.3385709999999995E-3</v>
      </c>
      <c r="U3767">
        <v>4.5944209999999999E-2</v>
      </c>
      <c r="V3767">
        <v>-2.4397160000000001E-2</v>
      </c>
      <c r="W3767">
        <v>7.7151159999999996E-2</v>
      </c>
      <c r="X3767">
        <v>0.99672090000000002</v>
      </c>
      <c r="Y3767">
        <v>-4.4485410000000003E-2</v>
      </c>
      <c r="Z3767">
        <v>1.4269590000000001E-4</v>
      </c>
      <c r="AA3767">
        <v>0.99900999999999995</v>
      </c>
      <c r="AB3767">
        <v>26</v>
      </c>
      <c r="AC3767">
        <v>330.945999999999</v>
      </c>
      <c r="AD3767">
        <v>-0.91825449999999997</v>
      </c>
      <c r="AE3767">
        <v>5.0630000000000104</v>
      </c>
      <c r="AF3767">
        <v>-14.7301865708554</v>
      </c>
      <c r="AG3767">
        <v>-0.91825449999999997</v>
      </c>
      <c r="AH3767">
        <v>330.65423651512998</v>
      </c>
      <c r="AI3767">
        <v>90.158957115501806</v>
      </c>
      <c r="AJ3767">
        <v>92.550760823314306</v>
      </c>
      <c r="AK3767">
        <v>330.98345232525202</v>
      </c>
      <c r="AL3767">
        <v>85.575167232176099</v>
      </c>
      <c r="AM3767">
        <v>91.4021730940769</v>
      </c>
      <c r="AN3767">
        <v>1.00000003770111</v>
      </c>
    </row>
    <row r="3768" spans="1:40" x14ac:dyDescent="0.25">
      <c r="A3768" t="str">
        <f>"20190312172151437"</f>
        <v>20190312172151437</v>
      </c>
      <c r="B3768" t="str">
        <f>"1552382511434602"</f>
        <v>1552382511434602</v>
      </c>
      <c r="C3768" t="s">
        <v>40</v>
      </c>
      <c r="D3768">
        <v>3.3622139999999998</v>
      </c>
      <c r="E3768">
        <v>0.49163279999999898</v>
      </c>
      <c r="F3768" t="s">
        <v>60</v>
      </c>
      <c r="G3768">
        <v>-140.05709999999999</v>
      </c>
      <c r="H3768">
        <v>0.60112189999999999</v>
      </c>
      <c r="I3768">
        <v>218.89709999999999</v>
      </c>
      <c r="J3768">
        <v>-438.12970000000001</v>
      </c>
      <c r="K3768">
        <v>1.1116549999999901</v>
      </c>
      <c r="L3768">
        <v>213.85319999999999</v>
      </c>
      <c r="M3768">
        <v>0.99952479999999999</v>
      </c>
      <c r="N3768">
        <v>0</v>
      </c>
      <c r="O3768">
        <v>-2.7769269999999999E-2</v>
      </c>
      <c r="P3768">
        <v>0.99781050000000004</v>
      </c>
      <c r="Q3768">
        <v>6.6051769999999996E-2</v>
      </c>
      <c r="R3768">
        <v>-3.3818709999999998E-3</v>
      </c>
      <c r="S3768">
        <v>3.0067439999999999</v>
      </c>
      <c r="T3768">
        <v>-5.1459069999999999E-3</v>
      </c>
      <c r="U3768">
        <v>5.0796510000000003E-2</v>
      </c>
      <c r="V3768">
        <v>-2.4566890000000001E-2</v>
      </c>
      <c r="W3768">
        <v>7.9330269999999994E-2</v>
      </c>
      <c r="X3768">
        <v>0.99654560000000003</v>
      </c>
      <c r="Y3768">
        <v>-4.4652959999999998E-2</v>
      </c>
      <c r="Z3768" s="1">
        <v>8.5732899999999994E-5</v>
      </c>
      <c r="AA3768">
        <v>0.99900259999999996</v>
      </c>
      <c r="AB3768">
        <v>26</v>
      </c>
      <c r="AC3768">
        <v>298.07260000000002</v>
      </c>
      <c r="AD3768">
        <v>-0.51053309999999896</v>
      </c>
      <c r="AE3768">
        <v>5.0438999999999998</v>
      </c>
      <c r="AF3768">
        <v>-13.3199150512019</v>
      </c>
      <c r="AG3768">
        <v>-0.51053309999999896</v>
      </c>
      <c r="AH3768">
        <v>297.81667914205099</v>
      </c>
      <c r="AI3768">
        <v>90.098121269875406</v>
      </c>
      <c r="AJ3768">
        <v>92.560859442034797</v>
      </c>
      <c r="AK3768">
        <v>298.11483551849102</v>
      </c>
      <c r="AL3768">
        <v>85.449929218158601</v>
      </c>
      <c r="AM3768">
        <v>91.412172285007998</v>
      </c>
      <c r="AN3768">
        <v>0.999999978350952</v>
      </c>
    </row>
    <row r="3769" spans="1:40" x14ac:dyDescent="0.25">
      <c r="A3769" t="str">
        <f>"20190312172151461"</f>
        <v>20190312172151461</v>
      </c>
      <c r="B3769" t="str">
        <f>"1552382511454122"</f>
        <v>1552382511454122</v>
      </c>
      <c r="C3769" t="s">
        <v>40</v>
      </c>
      <c r="D3769">
        <v>3.225352</v>
      </c>
      <c r="E3769">
        <v>0.49163780000000001</v>
      </c>
      <c r="F3769" t="s">
        <v>60</v>
      </c>
      <c r="G3769">
        <v>-157.8382</v>
      </c>
      <c r="H3769">
        <v>1.2174049999999901</v>
      </c>
      <c r="I3769">
        <v>219.05799999999999</v>
      </c>
      <c r="J3769">
        <v>-437.86059999999998</v>
      </c>
      <c r="K3769">
        <v>1.1115969999999999</v>
      </c>
      <c r="L3769">
        <v>213.8477</v>
      </c>
      <c r="M3769">
        <v>0.99957130000000005</v>
      </c>
      <c r="N3769">
        <v>0</v>
      </c>
      <c r="O3769">
        <v>-2.604387E-2</v>
      </c>
      <c r="P3769">
        <v>0.99773920000000005</v>
      </c>
      <c r="Q3769">
        <v>6.7163589999999995E-2</v>
      </c>
      <c r="R3769">
        <v>-2.4142819999999998E-3</v>
      </c>
      <c r="S3769">
        <v>3.0066830000000002</v>
      </c>
      <c r="T3769">
        <v>1.134992E-3</v>
      </c>
      <c r="U3769">
        <v>5.5831909999999998E-2</v>
      </c>
      <c r="V3769">
        <v>-2.380113E-2</v>
      </c>
      <c r="W3769">
        <v>8.0443929999999997E-2</v>
      </c>
      <c r="X3769">
        <v>0.99647490000000005</v>
      </c>
      <c r="Y3769">
        <v>-4.4601490000000001E-2</v>
      </c>
      <c r="Z3769" s="1">
        <v>-1.8248660000000001E-5</v>
      </c>
      <c r="AA3769">
        <v>0.99900480000000003</v>
      </c>
      <c r="AB3769">
        <v>26</v>
      </c>
      <c r="AC3769">
        <v>280.02239999999898</v>
      </c>
      <c r="AD3769">
        <v>0.105807999999999</v>
      </c>
      <c r="AE3769">
        <v>5.2102999999999797</v>
      </c>
      <c r="AF3769">
        <v>-12.502050107906699</v>
      </c>
      <c r="AG3769">
        <v>0.105807999999999</v>
      </c>
      <c r="AH3769">
        <v>279.79165119832999</v>
      </c>
      <c r="AI3769">
        <v>89.978354220006196</v>
      </c>
      <c r="AJ3769">
        <v>92.558469991059098</v>
      </c>
      <c r="AK3769">
        <v>280.07084913021799</v>
      </c>
      <c r="AL3769">
        <v>85.385916581266898</v>
      </c>
      <c r="AM3769">
        <v>91.368268332931393</v>
      </c>
      <c r="AN3769">
        <v>0.99999997299656496</v>
      </c>
    </row>
    <row r="3770" spans="1:40" x14ac:dyDescent="0.25">
      <c r="A3770" t="str">
        <f>"20190312172151483"</f>
        <v>20190312172151483</v>
      </c>
      <c r="B3770" t="str">
        <f>"1552382511474618"</f>
        <v>1552382511474618</v>
      </c>
      <c r="C3770" t="s">
        <v>40</v>
      </c>
      <c r="D3770">
        <v>3.2781039999999999</v>
      </c>
      <c r="E3770">
        <v>0.49086370000000001</v>
      </c>
      <c r="F3770" t="s">
        <v>60</v>
      </c>
      <c r="G3770">
        <v>-157.8382</v>
      </c>
      <c r="H3770">
        <v>1.4573020000000001</v>
      </c>
      <c r="I3770">
        <v>219.32749999999999</v>
      </c>
      <c r="J3770">
        <v>-437.60270000000003</v>
      </c>
      <c r="K3770">
        <v>1.1115299999999999</v>
      </c>
      <c r="L3770">
        <v>213.84280000000001</v>
      </c>
      <c r="M3770">
        <v>0.99961040000000001</v>
      </c>
      <c r="N3770">
        <v>0</v>
      </c>
      <c r="O3770">
        <v>-2.449699E-2</v>
      </c>
      <c r="P3770">
        <v>0.99763650000000004</v>
      </c>
      <c r="Q3770">
        <v>6.8683069999999999E-2</v>
      </c>
      <c r="R3770">
        <v>-2.1090710000000001E-3</v>
      </c>
      <c r="S3770">
        <v>3.0066830000000002</v>
      </c>
      <c r="T3770">
        <v>3.7125349999999999E-3</v>
      </c>
      <c r="U3770">
        <v>5.8837889999999997E-2</v>
      </c>
      <c r="V3770">
        <v>-2.2550549999999999E-2</v>
      </c>
      <c r="W3770">
        <v>8.1966199999999906E-2</v>
      </c>
      <c r="X3770">
        <v>0.99638000000000004</v>
      </c>
      <c r="Y3770">
        <v>-4.405386E-2</v>
      </c>
      <c r="Z3770" s="1">
        <v>-5.7442660000000002E-5</v>
      </c>
      <c r="AA3770">
        <v>0.99902919999999995</v>
      </c>
      <c r="AB3770">
        <v>26</v>
      </c>
      <c r="AC3770">
        <v>279.7645</v>
      </c>
      <c r="AD3770">
        <v>0.34577200000000002</v>
      </c>
      <c r="AE3770">
        <v>5.4846999999999699</v>
      </c>
      <c r="AF3770">
        <v>-12.337036362409499</v>
      </c>
      <c r="AG3770">
        <v>0.34577200000000002</v>
      </c>
      <c r="AH3770">
        <v>279.54573116420198</v>
      </c>
      <c r="AI3770">
        <v>89.929199414658001</v>
      </c>
      <c r="AJ3770">
        <v>92.5269630738578</v>
      </c>
      <c r="AK3770">
        <v>279.81804415836302</v>
      </c>
      <c r="AL3770">
        <v>85.298408257653804</v>
      </c>
      <c r="AM3770">
        <v>91.296524217363299</v>
      </c>
      <c r="AN3770">
        <v>1.0000000448238699</v>
      </c>
    </row>
    <row r="3771" spans="1:40" x14ac:dyDescent="0.25">
      <c r="A3771" t="str">
        <f>"20190312172151504"</f>
        <v>20190312172151504</v>
      </c>
      <c r="B3771" t="str">
        <f>"1552382511494137"</f>
        <v>1552382511494137</v>
      </c>
      <c r="C3771" t="s">
        <v>40</v>
      </c>
      <c r="D3771">
        <v>3.6934</v>
      </c>
      <c r="E3771">
        <v>0.49156420000000001</v>
      </c>
      <c r="F3771" t="s">
        <v>46</v>
      </c>
      <c r="G3771">
        <v>-394.12259999999998</v>
      </c>
      <c r="H3771" s="1">
        <v>6.5705079999999996E-7</v>
      </c>
      <c r="I3771">
        <v>214.7936</v>
      </c>
      <c r="J3771">
        <v>-437.34949999999998</v>
      </c>
      <c r="K3771">
        <v>1.111475</v>
      </c>
      <c r="L3771">
        <v>213.8383</v>
      </c>
      <c r="M3771">
        <v>0.99964489999999995</v>
      </c>
      <c r="N3771">
        <v>0</v>
      </c>
      <c r="O3771">
        <v>-2.305341E-2</v>
      </c>
      <c r="P3771">
        <v>0.99761250000000001</v>
      </c>
      <c r="Q3771">
        <v>6.9011699999999995E-2</v>
      </c>
      <c r="R3771">
        <v>-2.655447E-3</v>
      </c>
      <c r="S3771">
        <v>3.0125730000000002</v>
      </c>
      <c r="T3771">
        <v>-7.7013730000000002E-2</v>
      </c>
      <c r="U3771">
        <v>6.5872189999999997E-2</v>
      </c>
      <c r="V3771">
        <v>-2.0551610000000001E-2</v>
      </c>
      <c r="W3771">
        <v>8.2300750000000006E-2</v>
      </c>
      <c r="X3771">
        <v>0.99639560000000005</v>
      </c>
      <c r="Y3771">
        <v>-4.4882499999999999E-2</v>
      </c>
      <c r="Z3771">
        <v>1.162752E-3</v>
      </c>
      <c r="AA3771">
        <v>0.99899159999999998</v>
      </c>
      <c r="AB3771">
        <v>26</v>
      </c>
      <c r="AC3771">
        <v>43.226900000000001</v>
      </c>
      <c r="AD3771">
        <v>-1.1114743429492</v>
      </c>
      <c r="AE3771">
        <v>0.95529999999999404</v>
      </c>
      <c r="AF3771">
        <v>-1.9503736943024199</v>
      </c>
      <c r="AG3771">
        <v>-1.1114743429492</v>
      </c>
      <c r="AH3771">
        <v>43.164860947567597</v>
      </c>
      <c r="AI3771">
        <v>91.473509996169398</v>
      </c>
      <c r="AJ3771">
        <v>92.587109575022794</v>
      </c>
      <c r="AK3771">
        <v>43.223194622624803</v>
      </c>
      <c r="AL3771">
        <v>85.279174698617297</v>
      </c>
      <c r="AM3771">
        <v>91.181612578007204</v>
      </c>
      <c r="AN3771">
        <v>0.99999998691175696</v>
      </c>
    </row>
    <row r="3772" spans="1:40" x14ac:dyDescent="0.25">
      <c r="A3772" t="str">
        <f>"20190312172151528"</f>
        <v>20190312172151528</v>
      </c>
      <c r="B3772" t="str">
        <f>"1552382511524393"</f>
        <v>1552382511524393</v>
      </c>
      <c r="C3772" t="s">
        <v>40</v>
      </c>
      <c r="D3772">
        <v>3.2387950000000001</v>
      </c>
      <c r="E3772">
        <v>0.51359639999999995</v>
      </c>
      <c r="F3772" t="s">
        <v>46</v>
      </c>
      <c r="G3772">
        <v>-392.7242</v>
      </c>
      <c r="H3772" s="1">
        <v>-8.7083089999999995E-8</v>
      </c>
      <c r="I3772">
        <v>214.7072</v>
      </c>
      <c r="J3772">
        <v>-437.0865</v>
      </c>
      <c r="K3772">
        <v>1.1114189999999999</v>
      </c>
      <c r="L3772">
        <v>213.834</v>
      </c>
      <c r="M3772">
        <v>0.99967660000000003</v>
      </c>
      <c r="N3772">
        <v>0</v>
      </c>
      <c r="O3772">
        <v>-2.1627420000000001E-2</v>
      </c>
      <c r="P3772">
        <v>0.99760289999999996</v>
      </c>
      <c r="Q3772">
        <v>6.9112290000000007E-2</v>
      </c>
      <c r="R3772">
        <v>-3.5200499999999998E-3</v>
      </c>
      <c r="S3772">
        <v>3.0125730000000002</v>
      </c>
      <c r="T3772">
        <v>-7.5033779999999994E-2</v>
      </c>
      <c r="U3772">
        <v>5.8654789999999998E-2</v>
      </c>
      <c r="V3772">
        <v>-1.8252299999999999E-2</v>
      </c>
      <c r="W3772">
        <v>8.2406729999999997E-2</v>
      </c>
      <c r="X3772">
        <v>0.99643159999999997</v>
      </c>
      <c r="Y3772">
        <v>-4.1067569999999998E-2</v>
      </c>
      <c r="Z3772">
        <v>1.0498860000000001E-3</v>
      </c>
      <c r="AA3772">
        <v>0.99915580000000004</v>
      </c>
      <c r="AB3772">
        <v>26</v>
      </c>
      <c r="AC3772">
        <v>44.362299999999998</v>
      </c>
      <c r="AD3772">
        <v>-1.11141908708309</v>
      </c>
      <c r="AE3772">
        <v>0.87319999999999698</v>
      </c>
      <c r="AF3772">
        <v>-1.83137463015219</v>
      </c>
      <c r="AG3772">
        <v>-1.11141908708309</v>
      </c>
      <c r="AH3772">
        <v>44.305236991215502</v>
      </c>
      <c r="AI3772">
        <v>91.4357664376152</v>
      </c>
      <c r="AJ3772">
        <v>92.366996401406496</v>
      </c>
      <c r="AK3772">
        <v>44.356997309002601</v>
      </c>
      <c r="AL3772">
        <v>85.273081736606798</v>
      </c>
      <c r="AM3772">
        <v>91.049407519863706</v>
      </c>
      <c r="AN3772">
        <v>0.99999997454157097</v>
      </c>
    </row>
    <row r="3773" spans="1:40" x14ac:dyDescent="0.25">
      <c r="A3773" t="str">
        <f>"20190312172151550"</f>
        <v>20190312172151550</v>
      </c>
      <c r="B3773" t="str">
        <f>"1552382511544890"</f>
        <v>1552382511544890</v>
      </c>
      <c r="C3773" t="s">
        <v>40</v>
      </c>
      <c r="D3773">
        <v>3.232739</v>
      </c>
      <c r="E3773">
        <v>0.51548720000000003</v>
      </c>
      <c r="F3773" t="s">
        <v>41</v>
      </c>
      <c r="G3773">
        <v>-436.23129999999998</v>
      </c>
      <c r="H3773">
        <v>1.018797</v>
      </c>
      <c r="I3773">
        <v>213.80009999999999</v>
      </c>
      <c r="J3773">
        <v>-436.82859999999999</v>
      </c>
      <c r="K3773">
        <v>1.1113740000000001</v>
      </c>
      <c r="L3773">
        <v>213.83</v>
      </c>
      <c r="M3773">
        <v>0.99970460000000005</v>
      </c>
      <c r="N3773">
        <v>0</v>
      </c>
      <c r="O3773">
        <v>-2.029632E-2</v>
      </c>
      <c r="P3773">
        <v>0.99757799999999996</v>
      </c>
      <c r="Q3773">
        <v>6.9416169999999999E-2</v>
      </c>
      <c r="R3773">
        <v>-4.4709349999999997E-3</v>
      </c>
      <c r="S3773">
        <v>3.0295100000000001</v>
      </c>
      <c r="T3773">
        <v>-0.32810879999999998</v>
      </c>
      <c r="U3773">
        <v>-0.1200562</v>
      </c>
      <c r="V3773">
        <v>-1.5964550000000001E-2</v>
      </c>
      <c r="W3773">
        <v>8.2715150000000001E-2</v>
      </c>
      <c r="X3773">
        <v>0.99644540000000004</v>
      </c>
      <c r="Y3773">
        <v>1.9313179999999999E-2</v>
      </c>
      <c r="Z3773">
        <v>1.1483839999999999E-3</v>
      </c>
      <c r="AA3773">
        <v>0.99981279999999995</v>
      </c>
      <c r="AB3773">
        <v>26</v>
      </c>
      <c r="AC3773">
        <v>0.59730000000001804</v>
      </c>
      <c r="AD3773">
        <v>-9.2577000000000104E-2</v>
      </c>
      <c r="AE3773">
        <v>-2.9900000000026201E-2</v>
      </c>
      <c r="AF3773">
        <v>1.7353918727614898E-2</v>
      </c>
      <c r="AG3773">
        <v>-9.2577000000000104E-2</v>
      </c>
      <c r="AH3773">
        <v>0.58379460662249405</v>
      </c>
      <c r="AI3773">
        <v>99.006906955083295</v>
      </c>
      <c r="AJ3773">
        <v>88.297323107009305</v>
      </c>
      <c r="AK3773">
        <v>0.59134406409950302</v>
      </c>
      <c r="AL3773">
        <v>85.255350390330094</v>
      </c>
      <c r="AM3773">
        <v>90.917885801319699</v>
      </c>
      <c r="AN3773">
        <v>1.00000004903869</v>
      </c>
    </row>
    <row r="3774" spans="1:40" x14ac:dyDescent="0.25">
      <c r="A3774" t="str">
        <f>"20190312172151573"</f>
        <v>20190312172151573</v>
      </c>
      <c r="B3774" t="str">
        <f>"1552382511564410"</f>
        <v>1552382511564410</v>
      </c>
      <c r="C3774" t="s">
        <v>40</v>
      </c>
      <c r="D3774">
        <v>3.203792</v>
      </c>
      <c r="E3774">
        <v>0.51660220000000001</v>
      </c>
      <c r="F3774" t="s">
        <v>41</v>
      </c>
      <c r="G3774">
        <v>-436.00479999999999</v>
      </c>
      <c r="H3774">
        <v>1.012135</v>
      </c>
      <c r="I3774">
        <v>213.79259999999999</v>
      </c>
      <c r="J3774">
        <v>-436.57380000000001</v>
      </c>
      <c r="K3774">
        <v>1.111335</v>
      </c>
      <c r="L3774">
        <v>213.8263</v>
      </c>
      <c r="M3774">
        <v>0.99972939999999999</v>
      </c>
      <c r="N3774">
        <v>0</v>
      </c>
      <c r="O3774">
        <v>-1.9034100000000002E-2</v>
      </c>
      <c r="P3774">
        <v>0.99751500000000004</v>
      </c>
      <c r="Q3774">
        <v>7.0275399999999905E-2</v>
      </c>
      <c r="R3774">
        <v>-5.0119789999999997E-3</v>
      </c>
      <c r="S3774">
        <v>3.0321039999999999</v>
      </c>
      <c r="T3774">
        <v>-0.36539759999999999</v>
      </c>
      <c r="U3774">
        <v>-0.1373596</v>
      </c>
      <c r="V3774">
        <v>-1.415606E-2</v>
      </c>
      <c r="W3774">
        <v>8.3576650000000002E-2</v>
      </c>
      <c r="X3774">
        <v>0.99640079999999998</v>
      </c>
      <c r="Y3774">
        <v>2.6179259999999999E-2</v>
      </c>
      <c r="Z3774">
        <v>7.132776E-4</v>
      </c>
      <c r="AA3774">
        <v>0.99965700000000002</v>
      </c>
      <c r="AB3774">
        <v>26</v>
      </c>
      <c r="AC3774">
        <v>0.56900000000001605</v>
      </c>
      <c r="AD3774">
        <v>-9.9199999999999899E-2</v>
      </c>
      <c r="AE3774">
        <v>-3.3700000000010201E-2</v>
      </c>
      <c r="AF3774">
        <v>2.2190407609693701E-2</v>
      </c>
      <c r="AG3774">
        <v>-9.9199999999999899E-2</v>
      </c>
      <c r="AH3774">
        <v>0.55279506083219099</v>
      </c>
      <c r="AI3774">
        <v>100.16552399196701</v>
      </c>
      <c r="AJ3774">
        <v>87.701255794940096</v>
      </c>
      <c r="AK3774">
        <v>0.56206354931657898</v>
      </c>
      <c r="AL3774">
        <v>85.205818343148906</v>
      </c>
      <c r="AM3774">
        <v>90.813957524249801</v>
      </c>
      <c r="AN3774">
        <v>1.00000000235029</v>
      </c>
    </row>
    <row r="3775" spans="1:40" x14ac:dyDescent="0.25">
      <c r="A3775" t="str">
        <f>"20190312172151594"</f>
        <v>20190312172151594</v>
      </c>
      <c r="B3775" t="str">
        <f>"1552382511583929"</f>
        <v>1552382511583929</v>
      </c>
      <c r="C3775" t="s">
        <v>40</v>
      </c>
      <c r="D3775">
        <v>3.2307890000000001</v>
      </c>
      <c r="E3775">
        <v>0.51736519999999997</v>
      </c>
      <c r="F3775" t="s">
        <v>41</v>
      </c>
      <c r="G3775">
        <v>-435.7756</v>
      </c>
      <c r="H3775">
        <v>1.011004</v>
      </c>
      <c r="I3775">
        <v>213.78720000000001</v>
      </c>
      <c r="J3775">
        <v>-436.32100000000003</v>
      </c>
      <c r="K3775">
        <v>1.11131</v>
      </c>
      <c r="L3775">
        <v>213.8229</v>
      </c>
      <c r="M3775">
        <v>0.99975199999999997</v>
      </c>
      <c r="N3775">
        <v>0</v>
      </c>
      <c r="O3775">
        <v>-1.781454E-2</v>
      </c>
      <c r="P3775">
        <v>0.99743970000000004</v>
      </c>
      <c r="Q3775">
        <v>7.1292389999999997E-2</v>
      </c>
      <c r="R3775">
        <v>-5.6123379999999997E-3</v>
      </c>
      <c r="S3775">
        <v>3.03363</v>
      </c>
      <c r="T3775">
        <v>-0.3814688</v>
      </c>
      <c r="U3775">
        <v>-0.1478729</v>
      </c>
      <c r="V3775">
        <v>-1.2334309999999999E-2</v>
      </c>
      <c r="W3775">
        <v>8.4595390000000006E-2</v>
      </c>
      <c r="X3775">
        <v>0.99633899999999997</v>
      </c>
      <c r="Y3775">
        <v>3.0782150000000001E-2</v>
      </c>
      <c r="Z3775">
        <v>3.0323930000000001E-4</v>
      </c>
      <c r="AA3775">
        <v>0.99952609999999997</v>
      </c>
      <c r="AB3775">
        <v>26</v>
      </c>
      <c r="AC3775">
        <v>0.54539999999997202</v>
      </c>
      <c r="AD3775">
        <v>-0.10030599999999899</v>
      </c>
      <c r="AE3775">
        <v>-3.5699999999991398E-2</v>
      </c>
      <c r="AF3775">
        <v>2.5131013729239201E-2</v>
      </c>
      <c r="AG3775">
        <v>-0.10030599999999899</v>
      </c>
      <c r="AH3775">
        <v>0.52816121780883396</v>
      </c>
      <c r="AI3775">
        <v>100.74142453223099</v>
      </c>
      <c r="AJ3775">
        <v>87.275801828914993</v>
      </c>
      <c r="AK3775">
        <v>0.53818875265502297</v>
      </c>
      <c r="AL3775">
        <v>85.147241177405505</v>
      </c>
      <c r="AM3775">
        <v>90.709264424547598</v>
      </c>
      <c r="AN3775">
        <v>0.99999995906671302</v>
      </c>
    </row>
    <row r="3776" spans="1:40" x14ac:dyDescent="0.25">
      <c r="A3776" t="str">
        <f>"20190312172151608"</f>
        <v>20190312172151608</v>
      </c>
      <c r="B3776" t="str">
        <f>"1552382511604426"</f>
        <v>1552382511604426</v>
      </c>
      <c r="C3776" t="s">
        <v>40</v>
      </c>
      <c r="D3776">
        <v>3.2459180000000001</v>
      </c>
      <c r="E3776">
        <v>0.5177503</v>
      </c>
      <c r="F3776" t="s">
        <v>41</v>
      </c>
      <c r="G3776">
        <v>-435.54570000000001</v>
      </c>
      <c r="H3776">
        <v>1.011544</v>
      </c>
      <c r="I3776">
        <v>213.7825</v>
      </c>
      <c r="J3776">
        <v>-436.17160000000001</v>
      </c>
      <c r="K3776">
        <v>1.111299</v>
      </c>
      <c r="L3776">
        <v>213.8211</v>
      </c>
      <c r="M3776">
        <v>0.9997644</v>
      </c>
      <c r="N3776">
        <v>0</v>
      </c>
      <c r="O3776">
        <v>-1.7102570000000001E-2</v>
      </c>
      <c r="P3776">
        <v>0.99739630000000001</v>
      </c>
      <c r="Q3776">
        <v>7.1893380000000007E-2</v>
      </c>
      <c r="R3776">
        <v>-5.6443429999999996E-3</v>
      </c>
      <c r="S3776">
        <v>3.0347599999999999</v>
      </c>
      <c r="T3776">
        <v>-0.39103500000000002</v>
      </c>
      <c r="U3776">
        <v>-0.15557860000000001</v>
      </c>
      <c r="V3776">
        <v>-1.159019E-2</v>
      </c>
      <c r="W3776">
        <v>8.519591E-2</v>
      </c>
      <c r="X3776">
        <v>0.99629679999999998</v>
      </c>
      <c r="Y3776">
        <v>3.3970109999999998E-2</v>
      </c>
      <c r="Z3776" s="1">
        <v>1.4945399999999999E-5</v>
      </c>
      <c r="AA3776">
        <v>0.99942279999999994</v>
      </c>
      <c r="AB3776">
        <v>26</v>
      </c>
      <c r="AC3776">
        <v>0.62590000000000101</v>
      </c>
      <c r="AD3776">
        <v>-9.9754999999999996E-2</v>
      </c>
      <c r="AE3776">
        <v>-3.8600000000002403E-2</v>
      </c>
      <c r="AF3776">
        <v>2.7200580742032299E-2</v>
      </c>
      <c r="AG3776">
        <v>-9.9754999999999996E-2</v>
      </c>
      <c r="AH3776">
        <v>0.611006967578823</v>
      </c>
      <c r="AI3776">
        <v>99.263473114457099</v>
      </c>
      <c r="AJ3776">
        <v>87.451010804939898</v>
      </c>
      <c r="AK3776">
        <v>0.61969383250729004</v>
      </c>
      <c r="AL3776">
        <v>85.112709422687004</v>
      </c>
      <c r="AM3776">
        <v>90.666507225935405</v>
      </c>
      <c r="AN3776">
        <v>0.99999999463760203</v>
      </c>
    </row>
    <row r="3777" spans="1:40" x14ac:dyDescent="0.25">
      <c r="A3777" t="str">
        <f>"20190312172151626"</f>
        <v>20190312172151626</v>
      </c>
      <c r="B3777" t="str">
        <f>"1552382511623946"</f>
        <v>1552382511623946</v>
      </c>
      <c r="C3777" t="s">
        <v>40</v>
      </c>
      <c r="D3777">
        <v>3.217187</v>
      </c>
      <c r="E3777">
        <v>0.51820710000000003</v>
      </c>
      <c r="F3777" t="s">
        <v>41</v>
      </c>
      <c r="G3777">
        <v>-435.32170000000002</v>
      </c>
      <c r="H3777">
        <v>1.0007490000000001</v>
      </c>
      <c r="I3777">
        <v>213.7764</v>
      </c>
      <c r="J3777">
        <v>-435.95150000000001</v>
      </c>
      <c r="K3777">
        <v>1.111278</v>
      </c>
      <c r="L3777">
        <v>213.8185</v>
      </c>
      <c r="M3777">
        <v>0.9997817</v>
      </c>
      <c r="N3777">
        <v>0</v>
      </c>
      <c r="O3777">
        <v>-1.6059799999999999E-2</v>
      </c>
      <c r="P3777">
        <v>0.99728519999999998</v>
      </c>
      <c r="Q3777">
        <v>7.3410619999999996E-2</v>
      </c>
      <c r="R3777">
        <v>-5.7747320000000003E-3</v>
      </c>
      <c r="S3777">
        <v>3.0354000000000001</v>
      </c>
      <c r="T3777">
        <v>-0.39491340000000003</v>
      </c>
      <c r="U3777">
        <v>-0.1588898</v>
      </c>
      <c r="V3777">
        <v>-1.0418709999999999E-2</v>
      </c>
      <c r="W3777">
        <v>8.6712360000000002E-2</v>
      </c>
      <c r="X3777">
        <v>0.99617889999999998</v>
      </c>
      <c r="Y3777">
        <v>3.6059929999999997E-2</v>
      </c>
      <c r="Z3777">
        <v>-2.5517470000000002E-4</v>
      </c>
      <c r="AA3777">
        <v>0.99934959999999995</v>
      </c>
      <c r="AB3777">
        <v>26</v>
      </c>
      <c r="AC3777">
        <v>0.62979999999998804</v>
      </c>
      <c r="AD3777">
        <v>-0.110529</v>
      </c>
      <c r="AE3777">
        <v>-4.2100000000004897E-2</v>
      </c>
      <c r="AF3777">
        <v>3.10278066160301E-2</v>
      </c>
      <c r="AG3777">
        <v>-0.110529</v>
      </c>
      <c r="AH3777">
        <v>0.61164037466764998</v>
      </c>
      <c r="AI3777">
        <v>100.230447120714</v>
      </c>
      <c r="AJ3777">
        <v>87.095940985967502</v>
      </c>
      <c r="AK3777">
        <v>0.62232092408016104</v>
      </c>
      <c r="AL3777">
        <v>85.025500462873893</v>
      </c>
      <c r="AM3777">
        <v>90.599216011204405</v>
      </c>
      <c r="AN3777">
        <v>0.99999999185002098</v>
      </c>
    </row>
    <row r="3778" spans="1:40" x14ac:dyDescent="0.25">
      <c r="A3778" t="str">
        <f>"20190312172151649"</f>
        <v>20190312172151649</v>
      </c>
      <c r="B3778" t="str">
        <f>"1552382511644442"</f>
        <v>1552382511644442</v>
      </c>
      <c r="C3778" t="s">
        <v>40</v>
      </c>
      <c r="D3778">
        <v>3.2014239999999998</v>
      </c>
      <c r="E3778">
        <v>0.51845379999999996</v>
      </c>
      <c r="F3778" t="s">
        <v>41</v>
      </c>
      <c r="G3778">
        <v>-435.09350000000001</v>
      </c>
      <c r="H3778">
        <v>0.99871220000000005</v>
      </c>
      <c r="I3778">
        <v>213.77209999999999</v>
      </c>
      <c r="J3778">
        <v>-435.6925</v>
      </c>
      <c r="K3778">
        <v>1.1112709999999999</v>
      </c>
      <c r="L3778">
        <v>213.8158</v>
      </c>
      <c r="M3778">
        <v>0.99980069999999999</v>
      </c>
      <c r="N3778">
        <v>0</v>
      </c>
      <c r="O3778">
        <v>-1.483421E-2</v>
      </c>
      <c r="P3778">
        <v>0.99714309999999995</v>
      </c>
      <c r="Q3778">
        <v>7.5344939999999999E-2</v>
      </c>
      <c r="R3778">
        <v>-5.3941519999999897E-3</v>
      </c>
      <c r="S3778">
        <v>3.036591</v>
      </c>
      <c r="T3778">
        <v>-0.39844689999999999</v>
      </c>
      <c r="U3778">
        <v>-0.16346739999999901</v>
      </c>
      <c r="V3778">
        <v>-9.577248E-3</v>
      </c>
      <c r="W3778">
        <v>8.8644650000000005E-2</v>
      </c>
      <c r="X3778">
        <v>0.99601729999999999</v>
      </c>
      <c r="Y3778">
        <v>3.8730510000000003E-2</v>
      </c>
      <c r="Z3778">
        <v>-5.9165490000000003E-4</v>
      </c>
      <c r="AA3778">
        <v>0.99924950000000001</v>
      </c>
      <c r="AB3778">
        <v>26</v>
      </c>
      <c r="AC3778">
        <v>0.59899999999998899</v>
      </c>
      <c r="AD3778">
        <v>-0.112558799999999</v>
      </c>
      <c r="AE3778">
        <v>-4.3700000000001099E-2</v>
      </c>
      <c r="AF3778">
        <v>3.3627581628464097E-2</v>
      </c>
      <c r="AG3778">
        <v>-0.112558799999999</v>
      </c>
      <c r="AH3778">
        <v>0.57923744608496397</v>
      </c>
      <c r="AI3778">
        <v>100.978766367538</v>
      </c>
      <c r="AJ3778">
        <v>86.677427719104102</v>
      </c>
      <c r="AK3778">
        <v>0.59102987796781603</v>
      </c>
      <c r="AL3778">
        <v>84.914360555718602</v>
      </c>
      <c r="AM3778">
        <v>90.550913100494299</v>
      </c>
      <c r="AN3778">
        <v>1.00000002977608</v>
      </c>
    </row>
    <row r="3779" spans="1:40" x14ac:dyDescent="0.25">
      <c r="A3779" t="str">
        <f>"20190312172151662"</f>
        <v>20190312172151662</v>
      </c>
      <c r="B3779" t="str">
        <f>"1552382511654202"</f>
        <v>1552382511654202</v>
      </c>
      <c r="C3779" t="s">
        <v>40</v>
      </c>
      <c r="D3779">
        <v>3.1858710000000001</v>
      </c>
      <c r="E3779">
        <v>0.51854690000000003</v>
      </c>
      <c r="F3779" t="s">
        <v>41</v>
      </c>
      <c r="G3779">
        <v>-434.86250000000001</v>
      </c>
      <c r="H3779">
        <v>1.002402</v>
      </c>
      <c r="I3779">
        <v>213.7706</v>
      </c>
      <c r="J3779">
        <v>-435.53559999999999</v>
      </c>
      <c r="K3779">
        <v>1.111272</v>
      </c>
      <c r="L3779">
        <v>213.8143</v>
      </c>
      <c r="M3779">
        <v>0.99981149999999996</v>
      </c>
      <c r="N3779">
        <v>0</v>
      </c>
      <c r="O3779">
        <v>-1.409063E-2</v>
      </c>
      <c r="P3779">
        <v>0.99708509999999995</v>
      </c>
      <c r="Q3779">
        <v>7.6125789999999999E-2</v>
      </c>
      <c r="R3779">
        <v>-5.1366709999999998E-3</v>
      </c>
      <c r="S3779">
        <v>3.037811</v>
      </c>
      <c r="T3779">
        <v>-0.39863779999999999</v>
      </c>
      <c r="U3779">
        <v>-0.1647034</v>
      </c>
      <c r="V3779">
        <v>-9.0931239999999993E-3</v>
      </c>
      <c r="W3779">
        <v>8.9424519999999993E-2</v>
      </c>
      <c r="X3779">
        <v>0.99595210000000001</v>
      </c>
      <c r="Y3779">
        <v>3.9841599999999998E-2</v>
      </c>
      <c r="Z3779">
        <v>-7.6130419999999896E-4</v>
      </c>
      <c r="AA3779">
        <v>0.99920569999999997</v>
      </c>
      <c r="AB3779">
        <v>26</v>
      </c>
      <c r="AC3779">
        <v>0.67309999999997605</v>
      </c>
      <c r="AD3779">
        <v>-0.10886999999999999</v>
      </c>
      <c r="AE3779">
        <v>-4.3700000000001099E-2</v>
      </c>
      <c r="AF3779">
        <v>3.3341811711258003E-2</v>
      </c>
      <c r="AG3779">
        <v>-0.10886999999999999</v>
      </c>
      <c r="AH3779">
        <v>0.65654508203422501</v>
      </c>
      <c r="AI3779">
        <v>99.403359392902999</v>
      </c>
      <c r="AJ3779">
        <v>87.092803786173405</v>
      </c>
      <c r="AK3779">
        <v>0.66634510432021399</v>
      </c>
      <c r="AL3779">
        <v>84.869499016604195</v>
      </c>
      <c r="AM3779">
        <v>90.5231006109682</v>
      </c>
      <c r="AN3779">
        <v>1.0000000075878499</v>
      </c>
    </row>
    <row r="3780" spans="1:40" x14ac:dyDescent="0.25">
      <c r="A3780" t="str">
        <f>"20190312172151683"</f>
        <v>20190312172151683</v>
      </c>
      <c r="B3780" t="str">
        <f>"1552382511674701"</f>
        <v>1552382511674701</v>
      </c>
      <c r="C3780" t="s">
        <v>40</v>
      </c>
      <c r="D3780">
        <v>3.1805810000000001</v>
      </c>
      <c r="E3780">
        <v>0.51881060000000001</v>
      </c>
      <c r="F3780" t="s">
        <v>41</v>
      </c>
      <c r="G3780">
        <v>-434.63810000000001</v>
      </c>
      <c r="H3780">
        <v>0.99355170000000004</v>
      </c>
      <c r="I3780">
        <v>213.76519999999999</v>
      </c>
      <c r="J3780">
        <v>-435.29860000000002</v>
      </c>
      <c r="K3780">
        <v>1.1112740000000001</v>
      </c>
      <c r="L3780">
        <v>213.81229999999999</v>
      </c>
      <c r="M3780">
        <v>0.99982669999999996</v>
      </c>
      <c r="N3780">
        <v>0</v>
      </c>
      <c r="O3780">
        <v>-1.296222E-2</v>
      </c>
      <c r="P3780">
        <v>0.99703470000000005</v>
      </c>
      <c r="Q3780">
        <v>7.6806869999999999E-2</v>
      </c>
      <c r="R3780">
        <v>-4.7416200000000002E-3</v>
      </c>
      <c r="S3780">
        <v>3.0383909999999998</v>
      </c>
      <c r="T3780">
        <v>-0.39894760000000001</v>
      </c>
      <c r="U3780">
        <v>-0.1647797</v>
      </c>
      <c r="V3780">
        <v>-8.3636249999999995E-3</v>
      </c>
      <c r="W3780">
        <v>9.0104119999999996E-2</v>
      </c>
      <c r="X3780">
        <v>0.99589720000000004</v>
      </c>
      <c r="Y3780">
        <v>4.0964460000000001E-2</v>
      </c>
      <c r="Z3780">
        <v>-9.8249439999999991E-4</v>
      </c>
      <c r="AA3780">
        <v>0.9991601</v>
      </c>
      <c r="AB3780">
        <v>26</v>
      </c>
      <c r="AC3780">
        <v>0.66050000000001297</v>
      </c>
      <c r="AD3780">
        <v>-0.117722299999999</v>
      </c>
      <c r="AE3780">
        <v>-4.7100000000000301E-2</v>
      </c>
      <c r="AF3780">
        <v>3.7353149306305303E-2</v>
      </c>
      <c r="AG3780">
        <v>-0.117722299999999</v>
      </c>
      <c r="AH3780">
        <v>0.64080191350622695</v>
      </c>
      <c r="AI3780">
        <v>100.392530333989</v>
      </c>
      <c r="AJ3780">
        <v>86.6639320578916</v>
      </c>
      <c r="AK3780">
        <v>0.65259550261523502</v>
      </c>
      <c r="AL3780">
        <v>84.830402768850703</v>
      </c>
      <c r="AM3780">
        <v>90.481163265408398</v>
      </c>
      <c r="AN3780">
        <v>0.999999967815977</v>
      </c>
    </row>
    <row r="3781" spans="1:40" x14ac:dyDescent="0.25">
      <c r="A3781" t="str">
        <f>"20190312172151705"</f>
        <v>20190312172151705</v>
      </c>
      <c r="B3781" t="str">
        <f>"1552382511694217"</f>
        <v>1552382511694217</v>
      </c>
      <c r="C3781" t="s">
        <v>40</v>
      </c>
      <c r="D3781">
        <v>3.1887789999999998</v>
      </c>
      <c r="E3781">
        <v>0.52857670000000001</v>
      </c>
      <c r="F3781" t="s">
        <v>41</v>
      </c>
      <c r="G3781">
        <v>-434.40929999999997</v>
      </c>
      <c r="H3781">
        <v>0.99380199999999996</v>
      </c>
      <c r="I3781">
        <v>213.76339999999999</v>
      </c>
      <c r="J3781">
        <v>-435.05009999999999</v>
      </c>
      <c r="K3781">
        <v>1.111278</v>
      </c>
      <c r="L3781">
        <v>213.81039999999999</v>
      </c>
      <c r="M3781">
        <v>0.99984150000000005</v>
      </c>
      <c r="N3781">
        <v>0</v>
      </c>
      <c r="O3781">
        <v>-1.177216E-2</v>
      </c>
      <c r="P3781">
        <v>0.99709040000000004</v>
      </c>
      <c r="Q3781">
        <v>7.6110040000000004E-2</v>
      </c>
      <c r="R3781">
        <v>-4.2166950000000003E-3</v>
      </c>
      <c r="S3781">
        <v>3.0390929999999998</v>
      </c>
      <c r="T3781">
        <v>-0.40165289999999998</v>
      </c>
      <c r="U3781">
        <v>-0.166290299999999</v>
      </c>
      <c r="V3781">
        <v>-7.7016480000000002E-3</v>
      </c>
      <c r="W3781">
        <v>8.9407410000000007E-2</v>
      </c>
      <c r="X3781">
        <v>0.9959654</v>
      </c>
      <c r="Y3781">
        <v>4.2608640000000003E-2</v>
      </c>
      <c r="Z3781">
        <v>-1.2534239999999999E-3</v>
      </c>
      <c r="AA3781">
        <v>0.99909099999999995</v>
      </c>
      <c r="AB3781">
        <v>26</v>
      </c>
      <c r="AC3781">
        <v>0.64080000000001203</v>
      </c>
      <c r="AD3781">
        <v>-0.117475999999999</v>
      </c>
      <c r="AE3781">
        <v>-4.6999999999997003E-2</v>
      </c>
      <c r="AF3781">
        <v>3.8176275286252698E-2</v>
      </c>
      <c r="AG3781">
        <v>-0.117475999999999</v>
      </c>
      <c r="AH3781">
        <v>0.62056409967433002</v>
      </c>
      <c r="AI3781">
        <v>100.699779666019</v>
      </c>
      <c r="AJ3781">
        <v>86.479676573231004</v>
      </c>
      <c r="AK3781">
        <v>0.63273836644804704</v>
      </c>
      <c r="AL3781">
        <v>84.870483452459695</v>
      </c>
      <c r="AM3781">
        <v>90.443050662646797</v>
      </c>
      <c r="AN3781">
        <v>1.00000003917099</v>
      </c>
    </row>
    <row r="3782" spans="1:40" x14ac:dyDescent="0.25">
      <c r="A3782" t="str">
        <f>"20190312172151730"</f>
        <v>20190312172151730</v>
      </c>
      <c r="B3782" t="str">
        <f>"1552382511724473"</f>
        <v>1552382511724473</v>
      </c>
      <c r="C3782" t="s">
        <v>40</v>
      </c>
      <c r="D3782">
        <v>3.2186880000000002</v>
      </c>
      <c r="E3782">
        <v>0.53505159999999996</v>
      </c>
      <c r="F3782" t="s">
        <v>41</v>
      </c>
      <c r="G3782">
        <v>-434.20150000000001</v>
      </c>
      <c r="H3782">
        <v>0.95274999999999999</v>
      </c>
      <c r="I3782">
        <v>213.7422</v>
      </c>
      <c r="J3782">
        <v>-434.77440000000001</v>
      </c>
      <c r="K3782">
        <v>1.1112789999999999</v>
      </c>
      <c r="L3782">
        <v>213.80869999999999</v>
      </c>
      <c r="M3782">
        <v>0.99985619999999997</v>
      </c>
      <c r="N3782">
        <v>0</v>
      </c>
      <c r="O3782">
        <v>-1.04431E-2</v>
      </c>
      <c r="P3782">
        <v>0.99718660000000003</v>
      </c>
      <c r="Q3782">
        <v>7.4848460000000006E-2</v>
      </c>
      <c r="R3782">
        <v>-4.1175819999999998E-3</v>
      </c>
      <c r="S3782">
        <v>3.0512389999999998</v>
      </c>
      <c r="T3782">
        <v>-0.57024509999999995</v>
      </c>
      <c r="U3782">
        <v>-0.24342349999999999</v>
      </c>
      <c r="V3782">
        <v>-6.4747219999999996E-3</v>
      </c>
      <c r="W3782">
        <v>8.8147829999999996E-2</v>
      </c>
      <c r="X3782">
        <v>0.99608640000000004</v>
      </c>
      <c r="Y3782">
        <v>6.8118499999999998E-2</v>
      </c>
      <c r="Z3782">
        <v>-4.3690229999999997E-3</v>
      </c>
      <c r="AA3782">
        <v>0.99766770000000005</v>
      </c>
      <c r="AB3782">
        <v>26</v>
      </c>
      <c r="AC3782">
        <v>0.57290000000000396</v>
      </c>
      <c r="AD3782">
        <v>-0.158529</v>
      </c>
      <c r="AE3782">
        <v>-6.6499999999990594E-2</v>
      </c>
      <c r="AF3782">
        <v>5.6262248244723798E-2</v>
      </c>
      <c r="AG3782">
        <v>-0.158529</v>
      </c>
      <c r="AH3782">
        <v>0.53327329172200899</v>
      </c>
      <c r="AI3782">
        <v>106.469499288911</v>
      </c>
      <c r="AJ3782">
        <v>83.977369444787897</v>
      </c>
      <c r="AK3782">
        <v>0.55917554317278395</v>
      </c>
      <c r="AL3782">
        <v>84.942938161666802</v>
      </c>
      <c r="AM3782">
        <v>90.372426547978307</v>
      </c>
      <c r="AN3782">
        <v>1.00000003911182</v>
      </c>
    </row>
    <row r="3783" spans="1:40" x14ac:dyDescent="0.25">
      <c r="A3783" t="str">
        <f>"20190312172151751"</f>
        <v>20190312172151751</v>
      </c>
      <c r="B3783" t="str">
        <f>"1552382511743994"</f>
        <v>1552382511743994</v>
      </c>
      <c r="C3783" t="s">
        <v>40</v>
      </c>
      <c r="D3783">
        <v>3.2241629999999999</v>
      </c>
      <c r="E3783">
        <v>0.53654999999999997</v>
      </c>
      <c r="F3783" t="s">
        <v>41</v>
      </c>
      <c r="G3783">
        <v>-433.9821</v>
      </c>
      <c r="H3783">
        <v>0.93502399999999997</v>
      </c>
      <c r="I3783">
        <v>213.7321</v>
      </c>
      <c r="J3783">
        <v>-434.52969999999999</v>
      </c>
      <c r="K3783">
        <v>1.111281</v>
      </c>
      <c r="L3783">
        <v>213.8075</v>
      </c>
      <c r="M3783">
        <v>0.99986799999999998</v>
      </c>
      <c r="N3783">
        <v>0</v>
      </c>
      <c r="O3783">
        <v>-9.2584060000000003E-3</v>
      </c>
      <c r="P3783">
        <v>0.99721349999999997</v>
      </c>
      <c r="Q3783">
        <v>7.4487910000000004E-2</v>
      </c>
      <c r="R3783">
        <v>-4.1230009999999899E-3</v>
      </c>
      <c r="S3783">
        <v>3.058319</v>
      </c>
      <c r="T3783">
        <v>-0.68025859999999905</v>
      </c>
      <c r="U3783">
        <v>-0.29563899999999999</v>
      </c>
      <c r="V3783">
        <v>-5.2879329999999999E-3</v>
      </c>
      <c r="W3783">
        <v>8.7788749999999999E-2</v>
      </c>
      <c r="X3783">
        <v>0.99612509999999999</v>
      </c>
      <c r="Y3783">
        <v>8.5160719999999995E-2</v>
      </c>
      <c r="Z3783">
        <v>-7.3059329999999997E-3</v>
      </c>
      <c r="AA3783">
        <v>0.99634049999999996</v>
      </c>
      <c r="AB3783">
        <v>26</v>
      </c>
      <c r="AC3783">
        <v>0.54759999999998799</v>
      </c>
      <c r="AD3783">
        <v>-0.176257</v>
      </c>
      <c r="AE3783">
        <v>-7.5400000000001896E-2</v>
      </c>
      <c r="AF3783">
        <v>6.3835966017742496E-2</v>
      </c>
      <c r="AG3783">
        <v>-0.176257</v>
      </c>
      <c r="AH3783">
        <v>0.49767423031605501</v>
      </c>
      <c r="AI3783">
        <v>109.355527702741</v>
      </c>
      <c r="AJ3783">
        <v>82.690663855863804</v>
      </c>
      <c r="AK3783">
        <v>0.53180936445976201</v>
      </c>
      <c r="AL3783">
        <v>84.963591906532599</v>
      </c>
      <c r="AM3783">
        <v>90.304151955731896</v>
      </c>
      <c r="AN3783">
        <v>1.00000002085599</v>
      </c>
    </row>
    <row r="3784" spans="1:40" x14ac:dyDescent="0.25">
      <c r="A3784" t="str">
        <f>"20190312172151773"</f>
        <v>20190312172151773</v>
      </c>
      <c r="B3784" t="str">
        <f>"1552382511764493"</f>
        <v>1552382511764493</v>
      </c>
      <c r="C3784" t="s">
        <v>40</v>
      </c>
      <c r="D3784">
        <v>3.2346729999999999</v>
      </c>
      <c r="E3784">
        <v>0.53739510000000001</v>
      </c>
      <c r="F3784" t="s">
        <v>41</v>
      </c>
      <c r="G3784">
        <v>-433.7552</v>
      </c>
      <c r="H3784">
        <v>0.93248059999999999</v>
      </c>
      <c r="I3784">
        <v>213.72989999999999</v>
      </c>
      <c r="J3784">
        <v>-434.2765</v>
      </c>
      <c r="K3784">
        <v>1.111283</v>
      </c>
      <c r="L3784">
        <v>213.8065</v>
      </c>
      <c r="M3784">
        <v>0.99987870000000001</v>
      </c>
      <c r="N3784">
        <v>0</v>
      </c>
      <c r="O3784">
        <v>-8.0292550000000008E-3</v>
      </c>
      <c r="P3784">
        <v>0.9973088</v>
      </c>
      <c r="Q3784">
        <v>7.3206549999999995E-2</v>
      </c>
      <c r="R3784">
        <v>-4.0366719999999998E-3</v>
      </c>
      <c r="S3784">
        <v>3.0599370000000001</v>
      </c>
      <c r="T3784">
        <v>-0.70653739999999998</v>
      </c>
      <c r="U3784">
        <v>-0.3056488</v>
      </c>
      <c r="V3784">
        <v>-4.146996E-3</v>
      </c>
      <c r="W3784">
        <v>8.6509500000000003E-2</v>
      </c>
      <c r="X3784">
        <v>0.99624239999999997</v>
      </c>
      <c r="Y3784">
        <v>8.9282710000000001E-2</v>
      </c>
      <c r="Z3784">
        <v>-8.3240539999999991E-3</v>
      </c>
      <c r="AA3784">
        <v>0.99597159999999996</v>
      </c>
      <c r="AB3784">
        <v>26</v>
      </c>
      <c r="AC3784">
        <v>0.52129999999999599</v>
      </c>
      <c r="AD3784">
        <v>-0.178802399999999</v>
      </c>
      <c r="AE3784">
        <v>-7.6600000000013296E-2</v>
      </c>
      <c r="AF3784">
        <v>6.4933856164050896E-2</v>
      </c>
      <c r="AG3784">
        <v>-0.178802399999999</v>
      </c>
      <c r="AH3784">
        <v>0.46800391057546498</v>
      </c>
      <c r="AI3784">
        <v>110.728051081888</v>
      </c>
      <c r="AJ3784">
        <v>82.100847153961993</v>
      </c>
      <c r="AK3784">
        <v>0.50518745455129999</v>
      </c>
      <c r="AL3784">
        <v>85.037167393636395</v>
      </c>
      <c r="AM3784">
        <v>90.238500184391697</v>
      </c>
      <c r="AN3784">
        <v>1.00000000536191</v>
      </c>
    </row>
    <row r="3785" spans="1:40" x14ac:dyDescent="0.25">
      <c r="A3785" t="str">
        <f>"20190312172151795"</f>
        <v>20190312172151795</v>
      </c>
      <c r="B3785" t="str">
        <f>"1552382511784280"</f>
        <v>1552382511784280</v>
      </c>
      <c r="C3785" t="s">
        <v>40</v>
      </c>
      <c r="D3785">
        <v>3.2087880000000002</v>
      </c>
      <c r="E3785">
        <v>0.53770830000000003</v>
      </c>
      <c r="F3785" t="s">
        <v>41</v>
      </c>
      <c r="G3785">
        <v>-433.52659999999997</v>
      </c>
      <c r="H3785">
        <v>0.93392940000000002</v>
      </c>
      <c r="I3785">
        <v>213.7304</v>
      </c>
      <c r="J3785">
        <v>-434.0204</v>
      </c>
      <c r="K3785">
        <v>1.1112759999999999</v>
      </c>
      <c r="L3785">
        <v>213.80590000000001</v>
      </c>
      <c r="M3785">
        <v>0.99988790000000005</v>
      </c>
      <c r="N3785">
        <v>0</v>
      </c>
      <c r="O3785">
        <v>-6.7871299999999997E-3</v>
      </c>
      <c r="P3785">
        <v>0.99741069999999998</v>
      </c>
      <c r="Q3785">
        <v>7.1831149999999996E-2</v>
      </c>
      <c r="R3785">
        <v>-3.5094710000000001E-3</v>
      </c>
      <c r="S3785">
        <v>3.0599980000000002</v>
      </c>
      <c r="T3785">
        <v>-0.72378599999999904</v>
      </c>
      <c r="U3785">
        <v>-0.31019590000000002</v>
      </c>
      <c r="V3785">
        <v>-3.4329349999999998E-3</v>
      </c>
      <c r="W3785">
        <v>8.5135580000000002E-2</v>
      </c>
      <c r="X3785">
        <v>0.99636349999999996</v>
      </c>
      <c r="Y3785">
        <v>9.1777800000000007E-2</v>
      </c>
      <c r="Z3785">
        <v>-9.1005519999999996E-3</v>
      </c>
      <c r="AA3785">
        <v>0.99573789999999995</v>
      </c>
      <c r="AB3785">
        <v>26</v>
      </c>
      <c r="AC3785">
        <v>0.493800000000021</v>
      </c>
      <c r="AD3785">
        <v>-0.17734659999999899</v>
      </c>
      <c r="AE3785">
        <v>-7.5500000000005202E-2</v>
      </c>
      <c r="AF3785">
        <v>6.4070981181329603E-2</v>
      </c>
      <c r="AG3785">
        <v>-0.17734659999999899</v>
      </c>
      <c r="AH3785">
        <v>0.43897301037975001</v>
      </c>
      <c r="AI3785">
        <v>111.789933511356</v>
      </c>
      <c r="AJ3785">
        <v>81.695943006892705</v>
      </c>
      <c r="AK3785">
        <v>0.47775957447544498</v>
      </c>
      <c r="AL3785">
        <v>85.116178894275805</v>
      </c>
      <c r="AM3785">
        <v>90.197409789218995</v>
      </c>
      <c r="AN3785">
        <v>1.00000003807844</v>
      </c>
    </row>
    <row r="3786" spans="1:40" x14ac:dyDescent="0.25">
      <c r="A3786" t="str">
        <f>"20190312172151818"</f>
        <v>20190312172151818</v>
      </c>
      <c r="B3786" t="str">
        <f>"1552382511814538"</f>
        <v>1552382511814538</v>
      </c>
      <c r="C3786" t="s">
        <v>40</v>
      </c>
      <c r="D3786">
        <v>3.2144509999999999</v>
      </c>
      <c r="E3786">
        <v>0.5380566</v>
      </c>
      <c r="F3786" t="s">
        <v>41</v>
      </c>
      <c r="G3786">
        <v>-433.2971</v>
      </c>
      <c r="H3786">
        <v>0.93740140000000005</v>
      </c>
      <c r="I3786">
        <v>213.7319</v>
      </c>
      <c r="J3786">
        <v>-433.76479999999998</v>
      </c>
      <c r="K3786">
        <v>1.111264</v>
      </c>
      <c r="L3786">
        <v>213.8056</v>
      </c>
      <c r="M3786">
        <v>0.99989550000000005</v>
      </c>
      <c r="N3786">
        <v>0</v>
      </c>
      <c r="O3786">
        <v>-5.5544770000000004E-3</v>
      </c>
      <c r="P3786">
        <v>0.99742339999999996</v>
      </c>
      <c r="Q3786">
        <v>7.167026E-2</v>
      </c>
      <c r="R3786">
        <v>-3.1900349999999999E-3</v>
      </c>
      <c r="S3786">
        <v>3.059723</v>
      </c>
      <c r="T3786">
        <v>-0.73580089999999998</v>
      </c>
      <c r="U3786">
        <v>-0.31051640000000003</v>
      </c>
      <c r="V3786">
        <v>-2.5226699999999999E-3</v>
      </c>
      <c r="W3786">
        <v>8.4974999999999995E-2</v>
      </c>
      <c r="X3786">
        <v>0.99637989999999999</v>
      </c>
      <c r="Y3786">
        <v>9.2971639999999994E-2</v>
      </c>
      <c r="Z3786">
        <v>-9.6809579999999999E-3</v>
      </c>
      <c r="AA3786">
        <v>0.99562169999999905</v>
      </c>
      <c r="AB3786">
        <v>26</v>
      </c>
      <c r="AC3786">
        <v>0.46769999999997902</v>
      </c>
      <c r="AD3786">
        <v>-0.17386259999999901</v>
      </c>
      <c r="AE3786">
        <v>-7.3700000000002305E-2</v>
      </c>
      <c r="AF3786">
        <v>6.2652600352784305E-2</v>
      </c>
      <c r="AG3786">
        <v>-0.17386259999999901</v>
      </c>
      <c r="AH3786">
        <v>0.41248225162850899</v>
      </c>
      <c r="AI3786">
        <v>112.62263998124099</v>
      </c>
      <c r="AJ3786">
        <v>81.363266606814506</v>
      </c>
      <c r="AK3786">
        <v>0.45199022104272402</v>
      </c>
      <c r="AL3786">
        <v>85.125412773988998</v>
      </c>
      <c r="AM3786">
        <v>90.145063178478395</v>
      </c>
      <c r="AN3786">
        <v>1.0000000098064601</v>
      </c>
    </row>
    <row r="3787" spans="1:40" x14ac:dyDescent="0.25">
      <c r="A3787" t="str">
        <f>"20190312172151840"</f>
        <v>20190312172151840</v>
      </c>
      <c r="B3787" t="str">
        <f>"1552382511834057"</f>
        <v>1552382511834057</v>
      </c>
      <c r="C3787" t="s">
        <v>40</v>
      </c>
      <c r="D3787">
        <v>3.2244079999999999</v>
      </c>
      <c r="E3787">
        <v>0.53795809999999999</v>
      </c>
      <c r="F3787" t="s">
        <v>41</v>
      </c>
      <c r="G3787">
        <v>-433.06729999999999</v>
      </c>
      <c r="H3787">
        <v>0.94195949999999995</v>
      </c>
      <c r="I3787">
        <v>213.73439999999999</v>
      </c>
      <c r="J3787">
        <v>-433.51400000000001</v>
      </c>
      <c r="K3787">
        <v>1.1112439999999999</v>
      </c>
      <c r="L3787">
        <v>213.80549999999999</v>
      </c>
      <c r="M3787">
        <v>0.9999015</v>
      </c>
      <c r="N3787">
        <v>0</v>
      </c>
      <c r="O3787">
        <v>-4.3655589999999998E-3</v>
      </c>
      <c r="P3787">
        <v>0.99732050000000005</v>
      </c>
      <c r="Q3787">
        <v>7.3059589999999994E-2</v>
      </c>
      <c r="R3787">
        <v>-3.7588270000000002E-3</v>
      </c>
      <c r="S3787">
        <v>3.0600890000000001</v>
      </c>
      <c r="T3787">
        <v>-0.74280170000000001</v>
      </c>
      <c r="U3787">
        <v>-0.31227110000000002</v>
      </c>
      <c r="V3787">
        <v>-7.6751539999999902E-4</v>
      </c>
      <c r="W3787">
        <v>8.6364609999999994E-2</v>
      </c>
      <c r="X3787">
        <v>0.99626329999999996</v>
      </c>
      <c r="Y3787">
        <v>9.4581940000000003E-2</v>
      </c>
      <c r="Z3787">
        <v>-1.0245010000000001E-2</v>
      </c>
      <c r="AA3787">
        <v>0.99546440000000003</v>
      </c>
      <c r="AB3787">
        <v>26</v>
      </c>
      <c r="AC3787">
        <v>0.44670000000002102</v>
      </c>
      <c r="AD3787">
        <v>-0.1692845</v>
      </c>
      <c r="AE3787">
        <v>-7.1100000000001204E-2</v>
      </c>
      <c r="AF3787">
        <v>6.0653479070004401E-2</v>
      </c>
      <c r="AG3787">
        <v>-0.1692845</v>
      </c>
      <c r="AH3787">
        <v>0.392087489719879</v>
      </c>
      <c r="AI3787">
        <v>113.106818714019</v>
      </c>
      <c r="AJ3787">
        <v>81.206403687783194</v>
      </c>
      <c r="AK3787">
        <v>0.43135679669895299</v>
      </c>
      <c r="AL3787">
        <v>85.0455001341155</v>
      </c>
      <c r="AM3787">
        <v>90.044140323578503</v>
      </c>
      <c r="AN3787">
        <v>0.99999999893361502</v>
      </c>
    </row>
    <row r="3788" spans="1:40" x14ac:dyDescent="0.25">
      <c r="A3788" t="str">
        <f>"20190312172151874"</f>
        <v>20190312172151874</v>
      </c>
      <c r="B3788" t="str">
        <f>"1552382511864312"</f>
        <v>1552382511864312</v>
      </c>
      <c r="C3788" t="s">
        <v>40</v>
      </c>
      <c r="D3788">
        <v>3.220005</v>
      </c>
      <c r="E3788">
        <v>0.53808149999999999</v>
      </c>
      <c r="F3788" t="s">
        <v>41</v>
      </c>
      <c r="G3788">
        <v>-432.63279999999997</v>
      </c>
      <c r="H3788">
        <v>0.89903770000000005</v>
      </c>
      <c r="I3788">
        <v>213.71600000000001</v>
      </c>
      <c r="J3788">
        <v>-433.13319999999999</v>
      </c>
      <c r="K3788">
        <v>1.1111979999999999</v>
      </c>
      <c r="L3788">
        <v>213.80600000000001</v>
      </c>
      <c r="M3788">
        <v>0.99990760000000001</v>
      </c>
      <c r="N3788">
        <v>0</v>
      </c>
      <c r="O3788">
        <v>-2.6273329999999999E-3</v>
      </c>
      <c r="P3788">
        <v>0.99729610000000002</v>
      </c>
      <c r="Q3788">
        <v>7.3352810000000004E-2</v>
      </c>
      <c r="R3788">
        <v>-4.4688499999999999E-3</v>
      </c>
      <c r="S3788">
        <v>3.0609130000000002</v>
      </c>
      <c r="T3788">
        <v>-0.73720069999999904</v>
      </c>
      <c r="U3788">
        <v>-0.31077579999999999</v>
      </c>
      <c r="V3788">
        <v>1.6836139999999999E-3</v>
      </c>
      <c r="W3788">
        <v>8.6659630000000001E-2</v>
      </c>
      <c r="X3788">
        <v>0.99623660000000003</v>
      </c>
      <c r="Y3788">
        <v>9.5760570000000003E-2</v>
      </c>
      <c r="Z3788">
        <v>-1.0718800000000001E-2</v>
      </c>
      <c r="AA3788">
        <v>0.99534670000000003</v>
      </c>
      <c r="AB3788">
        <v>25</v>
      </c>
      <c r="AC3788">
        <v>0.50040000000001295</v>
      </c>
      <c r="AD3788">
        <v>-0.212160299999999</v>
      </c>
      <c r="AE3788">
        <v>-9.0000000000003397E-2</v>
      </c>
      <c r="AF3788">
        <v>7.5532557658853097E-2</v>
      </c>
      <c r="AG3788">
        <v>-0.212160299999999</v>
      </c>
      <c r="AH3788">
        <v>0.42638873821284501</v>
      </c>
      <c r="AI3788">
        <v>116.10239891497601</v>
      </c>
      <c r="AJ3788">
        <v>79.954560409246596</v>
      </c>
      <c r="AK3788">
        <v>0.48220795953335299</v>
      </c>
      <c r="AL3788">
        <v>85.028533348024197</v>
      </c>
      <c r="AM3788">
        <v>89.903171711724696</v>
      </c>
      <c r="AN3788">
        <v>1.0000000446036901</v>
      </c>
    </row>
    <row r="3789" spans="1:40" x14ac:dyDescent="0.25">
      <c r="A3789" t="str">
        <f>"20190312172151895"</f>
        <v>20190312172151895</v>
      </c>
      <c r="B3789" t="str">
        <f>"1552382511884811"</f>
        <v>1552382511884811</v>
      </c>
      <c r="C3789" t="s">
        <v>40</v>
      </c>
      <c r="D3789">
        <v>3.2119110000000002</v>
      </c>
      <c r="E3789">
        <v>0.53839550000000003</v>
      </c>
      <c r="F3789" t="s">
        <v>41</v>
      </c>
      <c r="G3789">
        <v>-432.39089999999999</v>
      </c>
      <c r="H3789">
        <v>0.93161190000000005</v>
      </c>
      <c r="I3789">
        <v>213.7295</v>
      </c>
      <c r="J3789">
        <v>-432.88959999999997</v>
      </c>
      <c r="K3789">
        <v>1.1111580000000001</v>
      </c>
      <c r="L3789">
        <v>213.8066</v>
      </c>
      <c r="M3789">
        <v>0.99990979999999996</v>
      </c>
      <c r="N3789">
        <v>0</v>
      </c>
      <c r="O3789">
        <v>-1.561235E-3</v>
      </c>
      <c r="P3789">
        <v>0.99734469999999997</v>
      </c>
      <c r="Q3789">
        <v>7.2638560000000005E-2</v>
      </c>
      <c r="R3789">
        <v>-5.2381119999999996E-3</v>
      </c>
      <c r="S3789">
        <v>3.0612490000000001</v>
      </c>
      <c r="T3789">
        <v>-0.74082930000000002</v>
      </c>
      <c r="U3789">
        <v>-0.31379699999999999</v>
      </c>
      <c r="V3789">
        <v>3.5237860000000001E-3</v>
      </c>
      <c r="W3789">
        <v>8.5947519999999999E-2</v>
      </c>
      <c r="X3789">
        <v>0.9962934</v>
      </c>
      <c r="Y3789">
        <v>9.7672720000000005E-2</v>
      </c>
      <c r="Z3789">
        <v>-1.124965E-2</v>
      </c>
      <c r="AA3789">
        <v>0.99515500000000001</v>
      </c>
      <c r="AB3789">
        <v>25</v>
      </c>
      <c r="AC3789">
        <v>0.49869999999998499</v>
      </c>
      <c r="AD3789">
        <v>-0.17954609999999999</v>
      </c>
      <c r="AE3789">
        <v>-7.7100000000001501E-2</v>
      </c>
      <c r="AF3789">
        <v>6.77450912089477E-2</v>
      </c>
      <c r="AG3789">
        <v>-0.17954609999999999</v>
      </c>
      <c r="AH3789">
        <v>0.44276779538292799</v>
      </c>
      <c r="AI3789">
        <v>111.84307177634</v>
      </c>
      <c r="AJ3789">
        <v>81.300999194252398</v>
      </c>
      <c r="AK3789">
        <v>0.48256556035048498</v>
      </c>
      <c r="AL3789">
        <v>85.069486659398507</v>
      </c>
      <c r="AM3789">
        <v>89.7973516397645</v>
      </c>
      <c r="AN3789">
        <v>0.999999966072741</v>
      </c>
    </row>
    <row r="3790" spans="1:40" x14ac:dyDescent="0.25">
      <c r="A3790" t="str">
        <f>"20190312172151917"</f>
        <v>20190312172151917</v>
      </c>
      <c r="B3790" t="str">
        <f>"1552382511914088"</f>
        <v>1552382511914088</v>
      </c>
      <c r="C3790" t="s">
        <v>40</v>
      </c>
      <c r="D3790">
        <v>3.1932399999999999</v>
      </c>
      <c r="E3790">
        <v>0.55707240000000002</v>
      </c>
      <c r="F3790" t="s">
        <v>41</v>
      </c>
      <c r="G3790">
        <v>-432.16269999999997</v>
      </c>
      <c r="H3790">
        <v>0.93454289999999995</v>
      </c>
      <c r="I3790">
        <v>213.73070000000001</v>
      </c>
      <c r="J3790">
        <v>-432.64159999999998</v>
      </c>
      <c r="K3790">
        <v>1.1111150000000001</v>
      </c>
      <c r="L3790">
        <v>213.8074</v>
      </c>
      <c r="M3790">
        <v>0.99991099999999999</v>
      </c>
      <c r="N3790">
        <v>0</v>
      </c>
      <c r="O3790">
        <v>-5.4516410000000003E-4</v>
      </c>
      <c r="P3790">
        <v>0.99734780000000001</v>
      </c>
      <c r="Q3790">
        <v>7.2464089999999995E-2</v>
      </c>
      <c r="R3790">
        <v>-6.848893E-3</v>
      </c>
      <c r="S3790">
        <v>3.060486</v>
      </c>
      <c r="T3790">
        <v>-0.74364140000000001</v>
      </c>
      <c r="U3790">
        <v>-0.31910709999999998</v>
      </c>
      <c r="V3790">
        <v>6.1576950000000004E-3</v>
      </c>
      <c r="W3790">
        <v>8.5775069999999995E-2</v>
      </c>
      <c r="X3790">
        <v>0.9962955</v>
      </c>
      <c r="Y3790">
        <v>0.1002909</v>
      </c>
      <c r="Z3790">
        <v>-1.1848350000000001E-2</v>
      </c>
      <c r="AA3790">
        <v>0.99488759999999998</v>
      </c>
      <c r="AB3790">
        <v>25</v>
      </c>
      <c r="AC3790">
        <v>0.47890000000000998</v>
      </c>
      <c r="AD3790">
        <v>-0.17657209999999901</v>
      </c>
      <c r="AE3790">
        <v>-7.6699999999988194E-2</v>
      </c>
      <c r="AF3790">
        <v>6.7493176030774898E-2</v>
      </c>
      <c r="AG3790">
        <v>-0.17657209999999901</v>
      </c>
      <c r="AH3790">
        <v>0.42289077160073002</v>
      </c>
      <c r="AI3790">
        <v>112.407220213203</v>
      </c>
      <c r="AJ3790">
        <v>80.932095970908904</v>
      </c>
      <c r="AK3790">
        <v>0.46321662320580798</v>
      </c>
      <c r="AL3790">
        <v>85.079404115601804</v>
      </c>
      <c r="AM3790">
        <v>89.645882729852701</v>
      </c>
      <c r="AN3790">
        <v>1.00000000158073</v>
      </c>
    </row>
    <row r="3791" spans="1:40" x14ac:dyDescent="0.25">
      <c r="A3791" t="str">
        <f>"20190312172151942"</f>
        <v>20190312172151942</v>
      </c>
      <c r="B3791" t="str">
        <f>"1552382511934584"</f>
        <v>1552382511934584</v>
      </c>
      <c r="C3791" t="s">
        <v>40</v>
      </c>
      <c r="D3791">
        <v>3.21943</v>
      </c>
      <c r="E3791">
        <v>0.55687330000000002</v>
      </c>
      <c r="F3791" t="s">
        <v>41</v>
      </c>
      <c r="G3791">
        <v>-431.93029999999999</v>
      </c>
      <c r="H3791">
        <v>0.94455750000000005</v>
      </c>
      <c r="I3791">
        <v>213.6969</v>
      </c>
      <c r="J3791">
        <v>-432.3707</v>
      </c>
      <c r="K3791">
        <v>1.1110439999999999</v>
      </c>
      <c r="L3791">
        <v>213.80850000000001</v>
      </c>
      <c r="M3791">
        <v>0.99991099999999999</v>
      </c>
      <c r="N3791">
        <v>0</v>
      </c>
      <c r="O3791">
        <v>4.512187E-4</v>
      </c>
      <c r="P3791">
        <v>0.99737419999999999</v>
      </c>
      <c r="Q3791">
        <v>7.1995110000000001E-2</v>
      </c>
      <c r="R3791">
        <v>-7.8625750000000001E-3</v>
      </c>
      <c r="S3791">
        <v>3.0567319999999998</v>
      </c>
      <c r="T3791">
        <v>-0.71599080000000004</v>
      </c>
      <c r="U3791">
        <v>-0.47314450000000002</v>
      </c>
      <c r="V3791">
        <v>8.1807700000000004E-3</v>
      </c>
      <c r="W3791">
        <v>8.5306149999999997E-2</v>
      </c>
      <c r="X3791">
        <v>0.99632120000000002</v>
      </c>
      <c r="Y3791">
        <v>0.14944839999999901</v>
      </c>
      <c r="Z3791">
        <v>-1.7274689999999999E-2</v>
      </c>
      <c r="AA3791">
        <v>0.98861860000000001</v>
      </c>
      <c r="AB3791">
        <v>25</v>
      </c>
      <c r="AC3791">
        <v>0.44040000000001001</v>
      </c>
      <c r="AD3791">
        <v>-0.16648650000000001</v>
      </c>
      <c r="AE3791">
        <v>-0.111600000000009</v>
      </c>
      <c r="AF3791">
        <v>9.8562987701418706E-2</v>
      </c>
      <c r="AG3791">
        <v>-0.16648650000000001</v>
      </c>
      <c r="AH3791">
        <v>0.38821706108991899</v>
      </c>
      <c r="AI3791">
        <v>112.570788689718</v>
      </c>
      <c r="AJ3791">
        <v>75.754379256978595</v>
      </c>
      <c r="AK3791">
        <v>0.43375673337502602</v>
      </c>
      <c r="AL3791">
        <v>85.1063700783819</v>
      </c>
      <c r="AM3791">
        <v>89.529556270818503</v>
      </c>
      <c r="AN3791">
        <v>0.999999998897527</v>
      </c>
    </row>
    <row r="3792" spans="1:40" x14ac:dyDescent="0.25">
      <c r="A3792" t="str">
        <f>"20190312172151963"</f>
        <v>20190312172151963</v>
      </c>
      <c r="B3792" t="str">
        <f>"1552382511954104"</f>
        <v>1552382511954104</v>
      </c>
      <c r="C3792" t="s">
        <v>40</v>
      </c>
      <c r="D3792">
        <v>3.5692529999999998</v>
      </c>
      <c r="E3792">
        <v>0.55666499999999997</v>
      </c>
      <c r="F3792" t="s">
        <v>41</v>
      </c>
      <c r="G3792">
        <v>-431.49340000000001</v>
      </c>
      <c r="H3792">
        <v>0.90675519999999998</v>
      </c>
      <c r="I3792">
        <v>213.67189999999999</v>
      </c>
      <c r="J3792">
        <v>-432.11930000000001</v>
      </c>
      <c r="K3792">
        <v>1.1109629999999999</v>
      </c>
      <c r="L3792">
        <v>213.80959999999999</v>
      </c>
      <c r="M3792">
        <v>0.99991039999999998</v>
      </c>
      <c r="N3792">
        <v>0</v>
      </c>
      <c r="O3792">
        <v>1.251437E-3</v>
      </c>
      <c r="P3792">
        <v>0.99738590000000005</v>
      </c>
      <c r="Q3792">
        <v>7.1737869999999995E-2</v>
      </c>
      <c r="R3792">
        <v>-8.6972009999999999E-3</v>
      </c>
      <c r="S3792">
        <v>3.055542</v>
      </c>
      <c r="T3792">
        <v>-0.71152969999999904</v>
      </c>
      <c r="U3792">
        <v>-0.47491460000000002</v>
      </c>
      <c r="V3792">
        <v>9.8312220000000006E-3</v>
      </c>
      <c r="W3792">
        <v>8.5047220000000007E-2</v>
      </c>
      <c r="X3792">
        <v>0.9963284</v>
      </c>
      <c r="Y3792">
        <v>0.15084500000000001</v>
      </c>
      <c r="Z3792">
        <v>-1.7517930000000001E-2</v>
      </c>
      <c r="AA3792">
        <v>0.98840220000000001</v>
      </c>
      <c r="AB3792">
        <v>25</v>
      </c>
      <c r="AC3792">
        <v>0.62590000000000101</v>
      </c>
      <c r="AD3792">
        <v>-0.204207799999999</v>
      </c>
      <c r="AE3792">
        <v>-0.13769999999999499</v>
      </c>
      <c r="AF3792">
        <v>0.12571864665444299</v>
      </c>
      <c r="AG3792">
        <v>-0.204207799999999</v>
      </c>
      <c r="AH3792">
        <v>0.56805123406672497</v>
      </c>
      <c r="AI3792">
        <v>109.340824611686</v>
      </c>
      <c r="AJ3792">
        <v>77.520698395923006</v>
      </c>
      <c r="AK3792">
        <v>0.61659403842576499</v>
      </c>
      <c r="AL3792">
        <v>85.121259701282796</v>
      </c>
      <c r="AM3792">
        <v>89.434655032088003</v>
      </c>
      <c r="AN3792">
        <v>0.99999998160115</v>
      </c>
    </row>
    <row r="3793" spans="1:40" x14ac:dyDescent="0.25">
      <c r="A3793" t="str">
        <f>"20190312172151987"</f>
        <v>20190312172151987</v>
      </c>
      <c r="B3793" t="str">
        <f>"1552382511984361"</f>
        <v>1552382511984361</v>
      </c>
      <c r="C3793" t="s">
        <v>40</v>
      </c>
      <c r="D3793">
        <v>3.2565629999999999</v>
      </c>
      <c r="E3793">
        <v>0.55435140000000005</v>
      </c>
      <c r="F3793" t="s">
        <v>41</v>
      </c>
      <c r="G3793">
        <v>-431.2654</v>
      </c>
      <c r="H3793">
        <v>0.91147449999999997</v>
      </c>
      <c r="I3793">
        <v>213.6763</v>
      </c>
      <c r="J3793">
        <v>-431.85629999999998</v>
      </c>
      <c r="K3793">
        <v>1.1108739999999999</v>
      </c>
      <c r="L3793">
        <v>213.8108</v>
      </c>
      <c r="M3793">
        <v>0.99990919999999905</v>
      </c>
      <c r="N3793">
        <v>0</v>
      </c>
      <c r="O3793">
        <v>1.9789819999999998E-3</v>
      </c>
      <c r="P3793">
        <v>0.99750729999999999</v>
      </c>
      <c r="Q3793">
        <v>6.9985850000000002E-2</v>
      </c>
      <c r="R3793">
        <v>-9.0123909999999998E-3</v>
      </c>
      <c r="S3793">
        <v>3.0550229999999998</v>
      </c>
      <c r="T3793">
        <v>-0.71370119999999904</v>
      </c>
      <c r="U3793">
        <v>-0.47615049999999998</v>
      </c>
      <c r="V3793">
        <v>1.0892550000000001E-2</v>
      </c>
      <c r="W3793">
        <v>8.3293450000000005E-2</v>
      </c>
      <c r="X3793">
        <v>0.9964655</v>
      </c>
      <c r="Y3793">
        <v>0.1519074</v>
      </c>
      <c r="Z3793">
        <v>-1.7860870000000001E-2</v>
      </c>
      <c r="AA3793">
        <v>0.98823329999999998</v>
      </c>
      <c r="AB3793">
        <v>25</v>
      </c>
      <c r="AC3793">
        <v>0.590899999999976</v>
      </c>
      <c r="AD3793">
        <v>-0.19939949999999901</v>
      </c>
      <c r="AE3793">
        <v>-0.13450000000000201</v>
      </c>
      <c r="AF3793">
        <v>0.12241601504853</v>
      </c>
      <c r="AG3793">
        <v>-0.19939949999999901</v>
      </c>
      <c r="AH3793">
        <v>0.53293513721677099</v>
      </c>
      <c r="AI3793">
        <v>110.034733579858</v>
      </c>
      <c r="AJ3793">
        <v>77.063478560260407</v>
      </c>
      <c r="AK3793">
        <v>0.58203582520397301</v>
      </c>
      <c r="AL3793">
        <v>85.222101126031703</v>
      </c>
      <c r="AM3793">
        <v>89.3737141055514</v>
      </c>
      <c r="AN3793">
        <v>0.99999996957432702</v>
      </c>
    </row>
    <row r="3794" spans="1:40" x14ac:dyDescent="0.25">
      <c r="A3794" t="str">
        <f>"20190312172152006"</f>
        <v>20190312172152006</v>
      </c>
      <c r="B3794" t="str">
        <f>"1552382512004857"</f>
        <v>1552382512004857</v>
      </c>
      <c r="C3794" t="s">
        <v>40</v>
      </c>
      <c r="D3794">
        <v>3.2651349999999999</v>
      </c>
      <c r="E3794">
        <v>0.55402390000000001</v>
      </c>
      <c r="F3794" t="s">
        <v>41</v>
      </c>
      <c r="G3794">
        <v>-431.01679999999999</v>
      </c>
      <c r="H3794">
        <v>0.9609008</v>
      </c>
      <c r="I3794">
        <v>213.68389999999999</v>
      </c>
      <c r="J3794">
        <v>-431.63150000000002</v>
      </c>
      <c r="K3794">
        <v>1.110789</v>
      </c>
      <c r="L3794">
        <v>213.81190000000001</v>
      </c>
      <c r="M3794">
        <v>0.99990809999999997</v>
      </c>
      <c r="N3794">
        <v>0</v>
      </c>
      <c r="O3794">
        <v>2.5002470000000001E-3</v>
      </c>
      <c r="P3794">
        <v>0.99762550000000005</v>
      </c>
      <c r="Q3794">
        <v>6.8111060000000001E-2</v>
      </c>
      <c r="R3794">
        <v>-1.0227160000000001E-2</v>
      </c>
      <c r="S3794">
        <v>3.0414729999999999</v>
      </c>
      <c r="T3794">
        <v>-0.54352080000000003</v>
      </c>
      <c r="U3794">
        <v>-0.4588776</v>
      </c>
      <c r="V3794">
        <v>1.264404E-2</v>
      </c>
      <c r="W3794">
        <v>8.1418240000000003E-2</v>
      </c>
      <c r="X3794">
        <v>0.99659980000000004</v>
      </c>
      <c r="Y3794">
        <v>0.1493051</v>
      </c>
      <c r="Z3794">
        <v>-1.360396E-2</v>
      </c>
      <c r="AA3794">
        <v>0.98869759999999995</v>
      </c>
      <c r="AB3794">
        <v>25</v>
      </c>
      <c r="AC3794">
        <v>0.614700000000027</v>
      </c>
      <c r="AD3794">
        <v>-0.1498882</v>
      </c>
      <c r="AE3794">
        <v>-0.12800000000001399</v>
      </c>
      <c r="AF3794">
        <v>0.122552751672881</v>
      </c>
      <c r="AG3794">
        <v>-0.1498882</v>
      </c>
      <c r="AH3794">
        <v>0.581254213467988</v>
      </c>
      <c r="AI3794">
        <v>104.161436330217</v>
      </c>
      <c r="AJ3794">
        <v>78.094027967640599</v>
      </c>
      <c r="AK3794">
        <v>0.61265170375681199</v>
      </c>
      <c r="AL3794">
        <v>85.329909044462397</v>
      </c>
      <c r="AM3794">
        <v>89.2731171915798</v>
      </c>
      <c r="AN3794">
        <v>0.99999998145612901</v>
      </c>
    </row>
    <row r="3795" spans="1:40" x14ac:dyDescent="0.25">
      <c r="A3795" t="str">
        <f>"20190312172152029"</f>
        <v>20190312172152029</v>
      </c>
      <c r="B3795" t="str">
        <f>"1552382512024377"</f>
        <v>1552382512024377</v>
      </c>
      <c r="C3795" t="s">
        <v>40</v>
      </c>
      <c r="D3795">
        <v>3.2756569999999998</v>
      </c>
      <c r="E3795">
        <v>0.55392609999999998</v>
      </c>
      <c r="F3795" t="s">
        <v>41</v>
      </c>
      <c r="G3795">
        <v>-430.79239999999999</v>
      </c>
      <c r="H3795">
        <v>0.95793810000000001</v>
      </c>
      <c r="I3795">
        <v>213.685</v>
      </c>
      <c r="J3795">
        <v>-431.37849999999997</v>
      </c>
      <c r="K3795">
        <v>1.1106910000000001</v>
      </c>
      <c r="L3795">
        <v>213.81319999999999</v>
      </c>
      <c r="M3795">
        <v>0.99990679999999998</v>
      </c>
      <c r="N3795">
        <v>0</v>
      </c>
      <c r="O3795">
        <v>2.9521489999999998E-3</v>
      </c>
      <c r="P3795">
        <v>0.99767349999999999</v>
      </c>
      <c r="Q3795">
        <v>6.7183899999999894E-2</v>
      </c>
      <c r="R3795">
        <v>-1.158144E-2</v>
      </c>
      <c r="S3795">
        <v>3.0402830000000001</v>
      </c>
      <c r="T3795">
        <v>-0.55394100000000002</v>
      </c>
      <c r="U3795">
        <v>-0.45889279999999999</v>
      </c>
      <c r="V3795">
        <v>1.446736E-2</v>
      </c>
      <c r="W3795">
        <v>8.0487660000000003E-2</v>
      </c>
      <c r="X3795">
        <v>0.99665060000000005</v>
      </c>
      <c r="Y3795">
        <v>0.1497078</v>
      </c>
      <c r="Z3795">
        <v>-1.398334E-2</v>
      </c>
      <c r="AA3795">
        <v>0.98863140000000005</v>
      </c>
      <c r="AB3795">
        <v>25</v>
      </c>
      <c r="AC3795">
        <v>0.58609999999998696</v>
      </c>
      <c r="AD3795">
        <v>-0.1527529</v>
      </c>
      <c r="AE3795">
        <v>-0.12819999999999199</v>
      </c>
      <c r="AF3795">
        <v>0.122019975717268</v>
      </c>
      <c r="AG3795">
        <v>-0.1527529</v>
      </c>
      <c r="AH3795">
        <v>0.55006152847342005</v>
      </c>
      <c r="AI3795">
        <v>105.168894687516</v>
      </c>
      <c r="AJ3795">
        <v>77.492626398145603</v>
      </c>
      <c r="AK3795">
        <v>0.58377222273671803</v>
      </c>
      <c r="AL3795">
        <v>85.383402979246398</v>
      </c>
      <c r="AM3795">
        <v>89.168354030431701</v>
      </c>
      <c r="AN3795">
        <v>0.99999999319900201</v>
      </c>
    </row>
    <row r="3796" spans="1:40" x14ac:dyDescent="0.25">
      <c r="A3796" t="str">
        <f>"20190312172152052"</f>
        <v>20190312172152052</v>
      </c>
      <c r="B3796" t="str">
        <f>"1552382512044873"</f>
        <v>1552382512044873</v>
      </c>
      <c r="C3796" t="s">
        <v>40</v>
      </c>
      <c r="D3796">
        <v>3.2715939999999999</v>
      </c>
      <c r="E3796">
        <v>0.55380980000000002</v>
      </c>
      <c r="F3796" t="s">
        <v>41</v>
      </c>
      <c r="G3796">
        <v>-430.56549999999999</v>
      </c>
      <c r="H3796">
        <v>0.96087009999999995</v>
      </c>
      <c r="I3796">
        <v>213.69</v>
      </c>
      <c r="J3796">
        <v>-431.11540000000002</v>
      </c>
      <c r="K3796">
        <v>1.1105769999999999</v>
      </c>
      <c r="L3796">
        <v>213.81440000000001</v>
      </c>
      <c r="M3796">
        <v>0.99990590000000001</v>
      </c>
      <c r="N3796">
        <v>0</v>
      </c>
      <c r="O3796">
        <v>3.2594189999999999E-3</v>
      </c>
      <c r="P3796">
        <v>0.99765219999999999</v>
      </c>
      <c r="Q3796">
        <v>6.7143330000000001E-2</v>
      </c>
      <c r="R3796">
        <v>-1.349012E-2</v>
      </c>
      <c r="S3796">
        <v>3.0393370000000002</v>
      </c>
      <c r="T3796">
        <v>-0.56006639999999996</v>
      </c>
      <c r="U3796">
        <v>-0.45954899999999999</v>
      </c>
      <c r="V3796">
        <v>1.670288E-2</v>
      </c>
      <c r="W3796">
        <v>8.0441559999999995E-2</v>
      </c>
      <c r="X3796">
        <v>0.99661929999999999</v>
      </c>
      <c r="Y3796">
        <v>0.15019669999999999</v>
      </c>
      <c r="Z3796">
        <v>-1.42398E-2</v>
      </c>
      <c r="AA3796">
        <v>0.98855360000000003</v>
      </c>
      <c r="AB3796">
        <v>25</v>
      </c>
      <c r="AC3796">
        <v>0.54990000000003603</v>
      </c>
      <c r="AD3796">
        <v>-0.1497069</v>
      </c>
      <c r="AE3796">
        <v>-0.124400000000008</v>
      </c>
      <c r="AF3796">
        <v>0.11788030918431899</v>
      </c>
      <c r="AG3796">
        <v>-0.1497069</v>
      </c>
      <c r="AH3796">
        <v>0.51329966907358104</v>
      </c>
      <c r="AI3796">
        <v>105.86813998868701</v>
      </c>
      <c r="AJ3796">
        <v>77.066172641222806</v>
      </c>
      <c r="AK3796">
        <v>0.54752577425364002</v>
      </c>
      <c r="AL3796">
        <v>85.386052614739498</v>
      </c>
      <c r="AM3796">
        <v>89.039839040863299</v>
      </c>
      <c r="AN3796">
        <v>0.99999992995400599</v>
      </c>
    </row>
    <row r="3797" spans="1:40" x14ac:dyDescent="0.25">
      <c r="A3797" t="str">
        <f>"20190312172152074"</f>
        <v>20190312172152074</v>
      </c>
      <c r="B3797" t="str">
        <f>"1552382512064392"</f>
        <v>1552382512064392</v>
      </c>
      <c r="C3797" t="s">
        <v>40</v>
      </c>
      <c r="D3797">
        <v>3.264116</v>
      </c>
      <c r="E3797">
        <v>0.55383530000000003</v>
      </c>
      <c r="F3797" t="s">
        <v>41</v>
      </c>
      <c r="G3797">
        <v>-430.33749999999998</v>
      </c>
      <c r="H3797">
        <v>0.96634169999999997</v>
      </c>
      <c r="I3797">
        <v>213.69560000000001</v>
      </c>
      <c r="J3797">
        <v>-430.86880000000002</v>
      </c>
      <c r="K3797">
        <v>1.1104620000000001</v>
      </c>
      <c r="L3797">
        <v>213.81549999999999</v>
      </c>
      <c r="M3797">
        <v>0.9999055</v>
      </c>
      <c r="N3797">
        <v>0</v>
      </c>
      <c r="O3797">
        <v>3.402651E-3</v>
      </c>
      <c r="P3797">
        <v>0.99753879999999995</v>
      </c>
      <c r="Q3797">
        <v>6.8466529999999998E-2</v>
      </c>
      <c r="R3797">
        <v>-1.512607E-2</v>
      </c>
      <c r="S3797">
        <v>3.0387270000000002</v>
      </c>
      <c r="T3797">
        <v>-0.56352259999999998</v>
      </c>
      <c r="U3797">
        <v>-0.46308899999999997</v>
      </c>
      <c r="V3797">
        <v>1.8501940000000001E-2</v>
      </c>
      <c r="W3797">
        <v>8.1757090000000004E-2</v>
      </c>
      <c r="X3797">
        <v>0.99648049999999999</v>
      </c>
      <c r="Y3797">
        <v>0.15143860000000001</v>
      </c>
      <c r="Z3797">
        <v>-1.4467549999999999E-2</v>
      </c>
      <c r="AA3797">
        <v>0.98836080000000004</v>
      </c>
      <c r="AB3797">
        <v>25</v>
      </c>
      <c r="AC3797">
        <v>0.53130000000004396</v>
      </c>
      <c r="AD3797">
        <v>-0.14412030000000001</v>
      </c>
      <c r="AE3797">
        <v>-0.119899999999972</v>
      </c>
      <c r="AF3797">
        <v>0.113743428825509</v>
      </c>
      <c r="AG3797">
        <v>-0.14412030000000001</v>
      </c>
      <c r="AH3797">
        <v>0.49615041641102903</v>
      </c>
      <c r="AI3797">
        <v>105.80852007406</v>
      </c>
      <c r="AJ3797">
        <v>77.087951228017403</v>
      </c>
      <c r="AK3797">
        <v>0.52903068358830696</v>
      </c>
      <c r="AL3797">
        <v>85.310429351033903</v>
      </c>
      <c r="AM3797">
        <v>88.936295009442205</v>
      </c>
      <c r="AN3797">
        <v>0.99999996521463996</v>
      </c>
    </row>
    <row r="3798" spans="1:40" x14ac:dyDescent="0.25">
      <c r="A3798" t="str">
        <f>"20190312172152096"</f>
        <v>20190312172152096</v>
      </c>
      <c r="B3798" t="str">
        <f>"1552382512084888"</f>
        <v>1552382512084888</v>
      </c>
      <c r="C3798" t="s">
        <v>40</v>
      </c>
      <c r="D3798">
        <v>3.2545700000000002</v>
      </c>
      <c r="E3798">
        <v>0.56120939999999997</v>
      </c>
      <c r="F3798" t="s">
        <v>41</v>
      </c>
      <c r="G3798">
        <v>-430.11009999999999</v>
      </c>
      <c r="H3798">
        <v>0.9707713</v>
      </c>
      <c r="I3798">
        <v>213.69820000000001</v>
      </c>
      <c r="J3798">
        <v>-430.62509999999997</v>
      </c>
      <c r="K3798">
        <v>1.110349</v>
      </c>
      <c r="L3798">
        <v>213.81639999999999</v>
      </c>
      <c r="M3798">
        <v>0.9999055</v>
      </c>
      <c r="N3798">
        <v>0</v>
      </c>
      <c r="O3798">
        <v>3.4071090000000002E-3</v>
      </c>
      <c r="P3798">
        <v>0.99741639999999998</v>
      </c>
      <c r="Q3798">
        <v>6.9761130000000005E-2</v>
      </c>
      <c r="R3798">
        <v>-1.7141679999999999E-2</v>
      </c>
      <c r="S3798">
        <v>3.0386959999999998</v>
      </c>
      <c r="T3798">
        <v>-0.55950639999999996</v>
      </c>
      <c r="U3798">
        <v>-0.46783449999999999</v>
      </c>
      <c r="V3798">
        <v>2.0543229999999999E-2</v>
      </c>
      <c r="W3798">
        <v>8.3043510000000001E-2</v>
      </c>
      <c r="X3798">
        <v>0.9963341</v>
      </c>
      <c r="Y3798">
        <v>0.152964299999999</v>
      </c>
      <c r="Z3798">
        <v>-1.450392E-2</v>
      </c>
      <c r="AA3798">
        <v>0.98812529999999998</v>
      </c>
      <c r="AB3798">
        <v>25</v>
      </c>
      <c r="AC3798">
        <v>0.51499999999998602</v>
      </c>
      <c r="AD3798">
        <v>-0.1395777</v>
      </c>
      <c r="AE3798">
        <v>-0.11819999999997299</v>
      </c>
      <c r="AF3798">
        <v>0.11212986121297</v>
      </c>
      <c r="AG3798">
        <v>-0.1395777</v>
      </c>
      <c r="AH3798">
        <v>0.48102872345193698</v>
      </c>
      <c r="AI3798">
        <v>105.779705707494</v>
      </c>
      <c r="AJ3798">
        <v>76.878423701246703</v>
      </c>
      <c r="AK3798">
        <v>0.51326764255963997</v>
      </c>
      <c r="AL3798">
        <v>85.236471296631606</v>
      </c>
      <c r="AM3798">
        <v>88.818796206498803</v>
      </c>
      <c r="AN3798">
        <v>0.99999994383738</v>
      </c>
    </row>
    <row r="3799" spans="1:40" x14ac:dyDescent="0.25">
      <c r="A3799" t="str">
        <f>"20190312172152119"</f>
        <v>20190312172152119</v>
      </c>
      <c r="B3799" t="str">
        <f>"1552382512114169"</f>
        <v>1552382512114169</v>
      </c>
      <c r="C3799" t="s">
        <v>40</v>
      </c>
      <c r="D3799">
        <v>3.2539760000000002</v>
      </c>
      <c r="E3799">
        <v>0.56071409999999999</v>
      </c>
      <c r="F3799" t="s">
        <v>41</v>
      </c>
      <c r="G3799">
        <v>-429.88040000000001</v>
      </c>
      <c r="H3799">
        <v>0.97931089999999998</v>
      </c>
      <c r="I3799">
        <v>213.6857</v>
      </c>
      <c r="J3799">
        <v>-430.36930000000001</v>
      </c>
      <c r="K3799">
        <v>1.1102259999999999</v>
      </c>
      <c r="L3799">
        <v>213.81720000000001</v>
      </c>
      <c r="M3799">
        <v>0.99990590000000001</v>
      </c>
      <c r="N3799">
        <v>0</v>
      </c>
      <c r="O3799">
        <v>3.2524440000000002E-3</v>
      </c>
      <c r="P3799">
        <v>0.99734659999999997</v>
      </c>
      <c r="Q3799">
        <v>7.0240280000000002E-2</v>
      </c>
      <c r="R3799">
        <v>-1.9129380000000001E-2</v>
      </c>
      <c r="S3799">
        <v>3.0359799999999999</v>
      </c>
      <c r="T3799">
        <v>-0.53430250000000001</v>
      </c>
      <c r="U3799">
        <v>-0.53215029999999997</v>
      </c>
      <c r="V3799">
        <v>2.2400159999999999E-2</v>
      </c>
      <c r="W3799">
        <v>8.3512980000000001E-2</v>
      </c>
      <c r="X3799">
        <v>0.99625490000000005</v>
      </c>
      <c r="Y3799">
        <v>0.17321989999999901</v>
      </c>
      <c r="Z3799">
        <v>-1.5578299999999899E-2</v>
      </c>
      <c r="AA3799">
        <v>0.98475999999999997</v>
      </c>
      <c r="AB3799">
        <v>25</v>
      </c>
      <c r="AC3799">
        <v>0.488900000000001</v>
      </c>
      <c r="AD3799">
        <v>-0.13091509999999901</v>
      </c>
      <c r="AE3799">
        <v>-0.13150000000001599</v>
      </c>
      <c r="AF3799">
        <v>0.124748167221559</v>
      </c>
      <c r="AG3799">
        <v>-0.13091509999999901</v>
      </c>
      <c r="AH3799">
        <v>0.45785480647710303</v>
      </c>
      <c r="AI3799">
        <v>105.422843995139</v>
      </c>
      <c r="AJ3799">
        <v>74.759013764698295</v>
      </c>
      <c r="AK3799">
        <v>0.49227217313934601</v>
      </c>
      <c r="AL3799">
        <v>85.209479178146907</v>
      </c>
      <c r="AM3799">
        <v>88.711957737649399</v>
      </c>
      <c r="AN3799">
        <v>1.00000000538525</v>
      </c>
    </row>
    <row r="3800" spans="1:40" x14ac:dyDescent="0.25">
      <c r="A3800" t="str">
        <f>"20190312172152143"</f>
        <v>20190312172152143</v>
      </c>
      <c r="B3800" t="str">
        <f>"1552382512134665"</f>
        <v>1552382512134665</v>
      </c>
      <c r="C3800" t="s">
        <v>40</v>
      </c>
      <c r="D3800">
        <v>3.2504400000000002</v>
      </c>
      <c r="E3800">
        <v>0.56185450000000003</v>
      </c>
      <c r="F3800" t="s">
        <v>41</v>
      </c>
      <c r="G3800">
        <v>-429.65339999999998</v>
      </c>
      <c r="H3800">
        <v>0.98353979999999996</v>
      </c>
      <c r="I3800">
        <v>213.69130000000001</v>
      </c>
      <c r="J3800">
        <v>-430.09699999999998</v>
      </c>
      <c r="K3800">
        <v>1.1100890000000001</v>
      </c>
      <c r="L3800">
        <v>213.81790000000001</v>
      </c>
      <c r="M3800">
        <v>0.9999072</v>
      </c>
      <c r="N3800">
        <v>0</v>
      </c>
      <c r="O3800">
        <v>2.8847389999999999E-3</v>
      </c>
      <c r="P3800">
        <v>0.99724539999999995</v>
      </c>
      <c r="Q3800">
        <v>7.1017440000000001E-2</v>
      </c>
      <c r="R3800">
        <v>-2.1408759999999999E-2</v>
      </c>
      <c r="S3800">
        <v>3.0356749999999999</v>
      </c>
      <c r="T3800">
        <v>-0.53722199999999998</v>
      </c>
      <c r="U3800">
        <v>-0.53244019999999903</v>
      </c>
      <c r="V3800">
        <v>2.4338579999999999E-2</v>
      </c>
      <c r="W3800">
        <v>8.4278930000000002E-2</v>
      </c>
      <c r="X3800">
        <v>0.9961449</v>
      </c>
      <c r="Y3800">
        <v>0.17294660000000001</v>
      </c>
      <c r="Z3800">
        <v>-1.557562E-2</v>
      </c>
      <c r="AA3800">
        <v>0.98480800000000002</v>
      </c>
      <c r="AB3800">
        <v>25</v>
      </c>
      <c r="AC3800">
        <v>0.44360000000000299</v>
      </c>
      <c r="AD3800">
        <v>-0.126549199999999</v>
      </c>
      <c r="AE3800">
        <v>-0.12659999999999599</v>
      </c>
      <c r="AF3800">
        <v>0.11892934369052301</v>
      </c>
      <c r="AG3800">
        <v>-0.126549199999999</v>
      </c>
      <c r="AH3800">
        <v>0.412212276121666</v>
      </c>
      <c r="AI3800">
        <v>106.434411056323</v>
      </c>
      <c r="AJ3800">
        <v>73.906366287112405</v>
      </c>
      <c r="AK3800">
        <v>0.44730062530327702</v>
      </c>
      <c r="AL3800">
        <v>85.165438101684202</v>
      </c>
      <c r="AM3800">
        <v>88.600383813576599</v>
      </c>
      <c r="AN3800">
        <v>0.99999998315718497</v>
      </c>
    </row>
    <row r="3801" spans="1:40" x14ac:dyDescent="0.25">
      <c r="A3801" t="str">
        <f>"20190312172152165"</f>
        <v>20190312172152165</v>
      </c>
      <c r="B3801" t="str">
        <f>"1552382512154185"</f>
        <v>1552382512154185</v>
      </c>
      <c r="C3801" t="s">
        <v>40</v>
      </c>
      <c r="D3801">
        <v>3.2481330000000002</v>
      </c>
      <c r="E3801">
        <v>0.56106840000000002</v>
      </c>
      <c r="F3801" t="s">
        <v>41</v>
      </c>
      <c r="G3801">
        <v>-429.23570000000001</v>
      </c>
      <c r="H3801">
        <v>0.91261919999999996</v>
      </c>
      <c r="I3801">
        <v>213.6634</v>
      </c>
      <c r="J3801">
        <v>-429.84559999999999</v>
      </c>
      <c r="K3801">
        <v>1.1099730000000001</v>
      </c>
      <c r="L3801">
        <v>213.81809999999999</v>
      </c>
      <c r="M3801">
        <v>0.99990860000000004</v>
      </c>
      <c r="N3801">
        <v>0</v>
      </c>
      <c r="O3801">
        <v>2.381059E-3</v>
      </c>
      <c r="P3801">
        <v>0.99719919999999995</v>
      </c>
      <c r="Q3801">
        <v>7.087309E-2</v>
      </c>
      <c r="R3801">
        <v>-2.3893640000000001E-2</v>
      </c>
      <c r="S3801">
        <v>3.0462950000000002</v>
      </c>
      <c r="T3801">
        <v>-0.69833909999999999</v>
      </c>
      <c r="U3801">
        <v>-0.54470830000000003</v>
      </c>
      <c r="V3801">
        <v>2.6344300000000001E-2</v>
      </c>
      <c r="W3801">
        <v>8.4124530000000003E-2</v>
      </c>
      <c r="X3801">
        <v>0.99610690000000002</v>
      </c>
      <c r="Y3801">
        <v>0.173928</v>
      </c>
      <c r="Z3801">
        <v>-2.006631E-2</v>
      </c>
      <c r="AA3801">
        <v>0.98455389999999998</v>
      </c>
      <c r="AB3801">
        <v>25</v>
      </c>
      <c r="AC3801">
        <v>0.60989999999998101</v>
      </c>
      <c r="AD3801">
        <v>-0.197353799999999</v>
      </c>
      <c r="AE3801">
        <v>-0.15469999999999101</v>
      </c>
      <c r="AF3801">
        <v>0.14216600598943299</v>
      </c>
      <c r="AG3801">
        <v>-0.197353799999999</v>
      </c>
      <c r="AH3801">
        <v>0.55493676940044201</v>
      </c>
      <c r="AI3801">
        <v>109.00921483686299</v>
      </c>
      <c r="AJ3801">
        <v>75.630761681270997</v>
      </c>
      <c r="AK3801">
        <v>0.60589975545962005</v>
      </c>
      <c r="AL3801">
        <v>85.174315974070296</v>
      </c>
      <c r="AM3801">
        <v>88.485036668883595</v>
      </c>
      <c r="AN3801">
        <v>0.99999995745890902</v>
      </c>
    </row>
    <row r="3802" spans="1:40" x14ac:dyDescent="0.25">
      <c r="A3802" t="str">
        <f>"20190312172152186"</f>
        <v>20190312172152186</v>
      </c>
      <c r="B3802" t="str">
        <f>"1552382512174685"</f>
        <v>1552382512174685</v>
      </c>
      <c r="C3802" t="s">
        <v>40</v>
      </c>
      <c r="D3802">
        <v>3.2365050000000002</v>
      </c>
      <c r="E3802">
        <v>0.56112640000000003</v>
      </c>
      <c r="F3802" t="s">
        <v>41</v>
      </c>
      <c r="G3802">
        <v>-429.0093</v>
      </c>
      <c r="H3802">
        <v>0.91770090000000004</v>
      </c>
      <c r="I3802">
        <v>213.6688</v>
      </c>
      <c r="J3802">
        <v>-429.6173</v>
      </c>
      <c r="K3802">
        <v>1.109882</v>
      </c>
      <c r="L3802">
        <v>213.81809999999999</v>
      </c>
      <c r="M3802">
        <v>0.99990970000000001</v>
      </c>
      <c r="N3802">
        <v>0</v>
      </c>
      <c r="O3802">
        <v>1.8202260000000001E-3</v>
      </c>
      <c r="P3802">
        <v>0.99713200000000002</v>
      </c>
      <c r="Q3802">
        <v>7.0778010000000002E-2</v>
      </c>
      <c r="R3802">
        <v>-2.6802030000000001E-2</v>
      </c>
      <c r="S3802">
        <v>3.0451969999999999</v>
      </c>
      <c r="T3802">
        <v>-0.70005419999999996</v>
      </c>
      <c r="U3802">
        <v>-0.54335019999999901</v>
      </c>
      <c r="V3802">
        <v>2.8711879999999999E-2</v>
      </c>
      <c r="W3802">
        <v>8.4019499999999997E-2</v>
      </c>
      <c r="X3802">
        <v>0.9960504</v>
      </c>
      <c r="Y3802">
        <v>0.17302409999999999</v>
      </c>
      <c r="Z3802">
        <v>-1.989397E-2</v>
      </c>
      <c r="AA3802">
        <v>0.9847167</v>
      </c>
      <c r="AB3802">
        <v>25</v>
      </c>
      <c r="AC3802">
        <v>0.60800000000000398</v>
      </c>
      <c r="AD3802">
        <v>-0.19218109999999999</v>
      </c>
      <c r="AE3802">
        <v>-0.149299999999982</v>
      </c>
      <c r="AF3802">
        <v>0.13745433051970901</v>
      </c>
      <c r="AG3802">
        <v>-0.19218109999999999</v>
      </c>
      <c r="AH3802">
        <v>0.55539295098354902</v>
      </c>
      <c r="AI3802">
        <v>108.566848239747</v>
      </c>
      <c r="AJ3802">
        <v>76.099176570386703</v>
      </c>
      <c r="AK3802">
        <v>0.60356325118254694</v>
      </c>
      <c r="AL3802">
        <v>85.180355451508504</v>
      </c>
      <c r="AM3802">
        <v>88.348864544376198</v>
      </c>
      <c r="AN3802">
        <v>1.0000000238867699</v>
      </c>
    </row>
    <row r="3803" spans="1:40" x14ac:dyDescent="0.25">
      <c r="A3803" t="str">
        <f>"20190312172152208"</f>
        <v>20190312172152208</v>
      </c>
      <c r="B3803" t="str">
        <f>"1552382512203961"</f>
        <v>1552382512203961</v>
      </c>
      <c r="C3803" t="s">
        <v>40</v>
      </c>
      <c r="D3803">
        <v>3.2646359999999999</v>
      </c>
      <c r="E3803">
        <v>0.56092369999999903</v>
      </c>
      <c r="F3803" t="s">
        <v>41</v>
      </c>
      <c r="G3803">
        <v>-428.78500000000003</v>
      </c>
      <c r="H3803">
        <v>0.91759669999999904</v>
      </c>
      <c r="I3803">
        <v>213.66730000000001</v>
      </c>
      <c r="J3803">
        <v>-429.36770000000001</v>
      </c>
      <c r="K3803">
        <v>1.109799</v>
      </c>
      <c r="L3803">
        <v>213.81780000000001</v>
      </c>
      <c r="M3803">
        <v>0.99991079999999999</v>
      </c>
      <c r="N3803">
        <v>0</v>
      </c>
      <c r="O3803">
        <v>1.102535E-3</v>
      </c>
      <c r="P3803">
        <v>0.99698880000000001</v>
      </c>
      <c r="Q3803">
        <v>7.1355130000000003E-2</v>
      </c>
      <c r="R3803">
        <v>-3.0363729999999998E-2</v>
      </c>
      <c r="S3803">
        <v>3.0437319999999999</v>
      </c>
      <c r="T3803">
        <v>-0.70317700000000005</v>
      </c>
      <c r="U3803">
        <v>-0.55076599999999998</v>
      </c>
      <c r="V3803">
        <v>3.1575480000000003E-2</v>
      </c>
      <c r="W3803">
        <v>8.458396E-2</v>
      </c>
      <c r="X3803">
        <v>0.99591589999999997</v>
      </c>
      <c r="Y3803">
        <v>0.1746595</v>
      </c>
      <c r="Z3803">
        <v>-2.00082E-2</v>
      </c>
      <c r="AA3803">
        <v>0.98442560000000001</v>
      </c>
      <c r="AB3803">
        <v>25</v>
      </c>
      <c r="AC3803">
        <v>0.58269999999998801</v>
      </c>
      <c r="AD3803">
        <v>-0.19220229999999999</v>
      </c>
      <c r="AE3803">
        <v>-0.150499999999993</v>
      </c>
      <c r="AF3803">
        <v>0.13715337736199101</v>
      </c>
      <c r="AG3803">
        <v>-0.19220229999999999</v>
      </c>
      <c r="AH3803">
        <v>0.52861710329744205</v>
      </c>
      <c r="AI3803">
        <v>109.389085823362</v>
      </c>
      <c r="AJ3803">
        <v>75.454932375504001</v>
      </c>
      <c r="AK3803">
        <v>0.57895493343236104</v>
      </c>
      <c r="AL3803">
        <v>85.147898469971196</v>
      </c>
      <c r="AM3803">
        <v>88.184047549191803</v>
      </c>
      <c r="AN3803">
        <v>0.99999996854966</v>
      </c>
    </row>
    <row r="3804" spans="1:40" x14ac:dyDescent="0.25">
      <c r="A3804" t="str">
        <f>"20190312172152231"</f>
        <v>20190312172152231</v>
      </c>
      <c r="B3804" t="str">
        <f>"1552382512224457"</f>
        <v>1552382512224457</v>
      </c>
      <c r="C3804" t="s">
        <v>40</v>
      </c>
      <c r="D3804">
        <v>3.2594349999999999</v>
      </c>
      <c r="E3804">
        <v>0.56059099999999995</v>
      </c>
      <c r="F3804" t="s">
        <v>41</v>
      </c>
      <c r="G3804">
        <v>-428.55869999999999</v>
      </c>
      <c r="H3804">
        <v>0.92310289999999995</v>
      </c>
      <c r="I3804">
        <v>213.66890000000001</v>
      </c>
      <c r="J3804">
        <v>-429.11410000000001</v>
      </c>
      <c r="K3804">
        <v>1.1097410000000001</v>
      </c>
      <c r="L3804">
        <v>213.81720000000001</v>
      </c>
      <c r="M3804">
        <v>0.99991140000000001</v>
      </c>
      <c r="N3804">
        <v>0</v>
      </c>
      <c r="O3804">
        <v>2.7566439999999998E-4</v>
      </c>
      <c r="P3804">
        <v>0.99673880000000004</v>
      </c>
      <c r="Q3804">
        <v>7.353403E-2</v>
      </c>
      <c r="R3804">
        <v>-3.323723E-2</v>
      </c>
      <c r="S3804">
        <v>3.042297</v>
      </c>
      <c r="T3804">
        <v>-0.70205069999999903</v>
      </c>
      <c r="U3804">
        <v>-0.55938719999999997</v>
      </c>
      <c r="V3804">
        <v>3.364089E-2</v>
      </c>
      <c r="W3804">
        <v>8.6750369999999993E-2</v>
      </c>
      <c r="X3804">
        <v>0.99566189999999999</v>
      </c>
      <c r="Y3804">
        <v>0.17661099999999999</v>
      </c>
      <c r="Z3804">
        <v>-2.0014759999999999E-2</v>
      </c>
      <c r="AA3804">
        <v>0.98407719999999999</v>
      </c>
      <c r="AB3804">
        <v>25</v>
      </c>
      <c r="AC3804">
        <v>0.55540000000001999</v>
      </c>
      <c r="AD3804">
        <v>-0.1866381</v>
      </c>
      <c r="AE3804">
        <v>-0.14830000000000601</v>
      </c>
      <c r="AF3804">
        <v>0.134296960488623</v>
      </c>
      <c r="AG3804">
        <v>-0.1866381</v>
      </c>
      <c r="AH3804">
        <v>0.50240131288317302</v>
      </c>
      <c r="AI3804">
        <v>109.74260823023501</v>
      </c>
      <c r="AJ3804">
        <v>75.034168231784506</v>
      </c>
      <c r="AK3804">
        <v>0.552518355491317</v>
      </c>
      <c r="AL3804">
        <v>85.023314341780207</v>
      </c>
      <c r="AM3804">
        <v>88.064857104633901</v>
      </c>
      <c r="AN3804">
        <v>0.99999997764336901</v>
      </c>
    </row>
    <row r="3805" spans="1:40" x14ac:dyDescent="0.25">
      <c r="A3805" t="str">
        <f>"20190312172152253"</f>
        <v>20190312172152253</v>
      </c>
      <c r="B3805" t="str">
        <f>"1552382512244952"</f>
        <v>1552382512244952</v>
      </c>
      <c r="C3805" t="s">
        <v>40</v>
      </c>
      <c r="D3805">
        <v>3.2511239999999999</v>
      </c>
      <c r="E3805">
        <v>0.56031850000000005</v>
      </c>
      <c r="F3805" t="s">
        <v>41</v>
      </c>
      <c r="G3805">
        <v>-428.33109999999999</v>
      </c>
      <c r="H3805">
        <v>0.93131430000000004</v>
      </c>
      <c r="I3805">
        <v>213.67160000000001</v>
      </c>
      <c r="J3805">
        <v>-428.8571</v>
      </c>
      <c r="K3805">
        <v>1.109699</v>
      </c>
      <c r="L3805">
        <v>213.81620000000001</v>
      </c>
      <c r="M3805">
        <v>0.99991129999999995</v>
      </c>
      <c r="N3805">
        <v>0</v>
      </c>
      <c r="O3805">
        <v>-6.4113029999999995E-4</v>
      </c>
      <c r="P3805">
        <v>0.99642779999999997</v>
      </c>
      <c r="Q3805">
        <v>7.6621480000000006E-2</v>
      </c>
      <c r="R3805">
        <v>-3.5518899999999999E-2</v>
      </c>
      <c r="S3805">
        <v>3.0421450000000001</v>
      </c>
      <c r="T3805">
        <v>-0.69312580000000001</v>
      </c>
      <c r="U3805">
        <v>-0.56355290000000002</v>
      </c>
      <c r="V3805">
        <v>3.5023489999999997E-2</v>
      </c>
      <c r="W3805">
        <v>8.9827249999999997E-2</v>
      </c>
      <c r="X3805">
        <v>0.99534140000000004</v>
      </c>
      <c r="Y3805">
        <v>0.1771441</v>
      </c>
      <c r="Z3805">
        <v>-1.9620060000000002E-2</v>
      </c>
      <c r="AA3805">
        <v>0.98398940000000001</v>
      </c>
      <c r="AB3805">
        <v>25</v>
      </c>
      <c r="AC3805">
        <v>0.52600000000001002</v>
      </c>
      <c r="AD3805">
        <v>-0.17838469999999901</v>
      </c>
      <c r="AE3805">
        <v>-0.14459999999999601</v>
      </c>
      <c r="AF3805">
        <v>0.13032672863994901</v>
      </c>
      <c r="AG3805">
        <v>-0.17838469999999901</v>
      </c>
      <c r="AH3805">
        <v>0.47527133278087602</v>
      </c>
      <c r="AI3805">
        <v>109.898734967018</v>
      </c>
      <c r="AJ3805">
        <v>74.6655496320205</v>
      </c>
      <c r="AK3805">
        <v>0.52410781062238598</v>
      </c>
      <c r="AL3805">
        <v>84.846331221197005</v>
      </c>
      <c r="AM3805">
        <v>87.984741140061303</v>
      </c>
      <c r="AN3805">
        <v>1.0000000411241501</v>
      </c>
    </row>
    <row r="3806" spans="1:40" x14ac:dyDescent="0.25">
      <c r="A3806" t="str">
        <f>"20190312172152275"</f>
        <v>20190312172152275</v>
      </c>
      <c r="B3806" t="str">
        <f>"1552382512264472"</f>
        <v>1552382512264472</v>
      </c>
      <c r="C3806" t="s">
        <v>40</v>
      </c>
      <c r="D3806">
        <v>3.2676590000000001</v>
      </c>
      <c r="E3806">
        <v>0.55991080000000004</v>
      </c>
      <c r="F3806" t="s">
        <v>41</v>
      </c>
      <c r="G3806">
        <v>-428.10329999999999</v>
      </c>
      <c r="H3806">
        <v>0.94034799999999996</v>
      </c>
      <c r="I3806">
        <v>213.6756</v>
      </c>
      <c r="J3806">
        <v>-428.61169999999998</v>
      </c>
      <c r="K3806">
        <v>1.1096729999999999</v>
      </c>
      <c r="L3806">
        <v>213.8151</v>
      </c>
      <c r="M3806">
        <v>0.99991010000000002</v>
      </c>
      <c r="N3806">
        <v>0</v>
      </c>
      <c r="O3806">
        <v>-1.5642849999999999E-3</v>
      </c>
      <c r="P3806">
        <v>0.99616510000000003</v>
      </c>
      <c r="Q3806">
        <v>7.8884099999999999E-2</v>
      </c>
      <c r="R3806">
        <v>-3.7848489999999999E-2</v>
      </c>
      <c r="S3806">
        <v>3.0431819999999998</v>
      </c>
      <c r="T3806">
        <v>-0.68364499999999995</v>
      </c>
      <c r="U3806">
        <v>-0.56626889999999996</v>
      </c>
      <c r="V3806">
        <v>3.6443620000000003E-2</v>
      </c>
      <c r="W3806">
        <v>9.2080460000000003E-2</v>
      </c>
      <c r="X3806">
        <v>0.99508450000000004</v>
      </c>
      <c r="Y3806">
        <v>0.17716799999999999</v>
      </c>
      <c r="Z3806">
        <v>-1.9149739999999998E-2</v>
      </c>
      <c r="AA3806">
        <v>0.98399429999999999</v>
      </c>
      <c r="AB3806">
        <v>25</v>
      </c>
      <c r="AC3806">
        <v>0.50839999999999397</v>
      </c>
      <c r="AD3806">
        <v>-0.169324999999999</v>
      </c>
      <c r="AE3806">
        <v>-0.13949999999999799</v>
      </c>
      <c r="AF3806">
        <v>0.12573393816418399</v>
      </c>
      <c r="AG3806">
        <v>-0.169324999999999</v>
      </c>
      <c r="AH3806">
        <v>0.46105574578840502</v>
      </c>
      <c r="AI3806">
        <v>109.510047863065</v>
      </c>
      <c r="AJ3806">
        <v>74.745868865752101</v>
      </c>
      <c r="AK3806">
        <v>0.507003332884289</v>
      </c>
      <c r="AL3806">
        <v>84.716694519891206</v>
      </c>
      <c r="AM3806">
        <v>87.902557221306793</v>
      </c>
      <c r="AN3806">
        <v>1.0000000553463799</v>
      </c>
    </row>
    <row r="3807" spans="1:40" x14ac:dyDescent="0.25">
      <c r="A3807" t="str">
        <f>"20190312172152297"</f>
        <v>20190312172152297</v>
      </c>
      <c r="B3807" t="str">
        <f>"1552382512294730"</f>
        <v>1552382512294730</v>
      </c>
      <c r="C3807" t="s">
        <v>40</v>
      </c>
      <c r="D3807">
        <v>3.2559140000000002</v>
      </c>
      <c r="E3807">
        <v>0.5596468</v>
      </c>
      <c r="F3807" t="s">
        <v>41</v>
      </c>
      <c r="G3807">
        <v>-427.87720000000002</v>
      </c>
      <c r="H3807">
        <v>0.94603440000000005</v>
      </c>
      <c r="I3807">
        <v>213.67760000000001</v>
      </c>
      <c r="J3807">
        <v>-428.36959999999999</v>
      </c>
      <c r="K3807">
        <v>1.109658</v>
      </c>
      <c r="L3807">
        <v>213.81370000000001</v>
      </c>
      <c r="M3807">
        <v>0.99990829999999997</v>
      </c>
      <c r="N3807">
        <v>0</v>
      </c>
      <c r="O3807">
        <v>-2.4985229999999999E-3</v>
      </c>
      <c r="P3807">
        <v>0.99588069999999895</v>
      </c>
      <c r="Q3807">
        <v>8.1072980000000003E-2</v>
      </c>
      <c r="R3807">
        <v>-4.0610420000000001E-2</v>
      </c>
      <c r="S3807">
        <v>3.0436399999999999</v>
      </c>
      <c r="T3807">
        <v>-0.67810930000000003</v>
      </c>
      <c r="U3807">
        <v>-0.56835939999999996</v>
      </c>
      <c r="V3807">
        <v>3.8282490000000002E-2</v>
      </c>
      <c r="W3807">
        <v>9.4260570000000002E-2</v>
      </c>
      <c r="X3807">
        <v>0.99481120000000001</v>
      </c>
      <c r="Y3807">
        <v>0.17697199999999999</v>
      </c>
      <c r="Z3807">
        <v>-1.8769109999999999E-2</v>
      </c>
      <c r="AA3807">
        <v>0.98403689999999999</v>
      </c>
      <c r="AB3807">
        <v>25</v>
      </c>
      <c r="AC3807">
        <v>0.49239999999997502</v>
      </c>
      <c r="AD3807">
        <v>-0.16362359999999901</v>
      </c>
      <c r="AE3807">
        <v>-0.136099999999999</v>
      </c>
      <c r="AF3807">
        <v>0.12232092491122901</v>
      </c>
      <c r="AG3807">
        <v>-0.16362359999999901</v>
      </c>
      <c r="AH3807">
        <v>0.446894006431171</v>
      </c>
      <c r="AI3807">
        <v>109.450438082452</v>
      </c>
      <c r="AJ3807">
        <v>74.692299542504699</v>
      </c>
      <c r="AK3807">
        <v>0.49137495269112202</v>
      </c>
      <c r="AL3807">
        <v>84.591237186857001</v>
      </c>
      <c r="AM3807">
        <v>87.796221698899302</v>
      </c>
      <c r="AN3807">
        <v>0.99999996387138101</v>
      </c>
    </row>
    <row r="3808" spans="1:40" x14ac:dyDescent="0.25">
      <c r="A3808" t="str">
        <f>"20190312172152320"</f>
        <v>20190312172152320</v>
      </c>
      <c r="B3808" t="str">
        <f>"1552382512314249"</f>
        <v>1552382512314249</v>
      </c>
      <c r="C3808" t="s">
        <v>40</v>
      </c>
      <c r="D3808">
        <v>3.2620870000000002</v>
      </c>
      <c r="E3808">
        <v>0.5595021</v>
      </c>
      <c r="F3808" t="s">
        <v>41</v>
      </c>
      <c r="G3808">
        <v>-427.65170000000001</v>
      </c>
      <c r="H3808">
        <v>0.95050330000000005</v>
      </c>
      <c r="I3808">
        <v>213.67830000000001</v>
      </c>
      <c r="J3808">
        <v>-428.11829999999998</v>
      </c>
      <c r="K3808">
        <v>1.1096549999999901</v>
      </c>
      <c r="L3808">
        <v>213.81190000000001</v>
      </c>
      <c r="M3808">
        <v>0.9999055</v>
      </c>
      <c r="N3808">
        <v>0</v>
      </c>
      <c r="O3808">
        <v>-3.4760749999999999E-3</v>
      </c>
      <c r="P3808">
        <v>0.99560740000000003</v>
      </c>
      <c r="Q3808">
        <v>8.2998039999999995E-2</v>
      </c>
      <c r="R3808">
        <v>-4.3332170000000003E-2</v>
      </c>
      <c r="S3808">
        <v>3.0439759999999998</v>
      </c>
      <c r="T3808">
        <v>-0.67487280000000005</v>
      </c>
      <c r="U3808">
        <v>-0.57321169999999899</v>
      </c>
      <c r="V3808">
        <v>4.0035849999999998E-2</v>
      </c>
      <c r="W3808">
        <v>9.6177289999999999E-2</v>
      </c>
      <c r="X3808">
        <v>0.99455879999999997</v>
      </c>
      <c r="Y3808">
        <v>0.17755689999999999</v>
      </c>
      <c r="Z3808">
        <v>-1.8528200000000002E-2</v>
      </c>
      <c r="AA3808">
        <v>0.98393609999999998</v>
      </c>
      <c r="AB3808">
        <v>25</v>
      </c>
      <c r="AC3808">
        <v>0.46659999999997098</v>
      </c>
      <c r="AD3808">
        <v>-0.15915169999999901</v>
      </c>
      <c r="AE3808">
        <v>-0.133600000000001</v>
      </c>
      <c r="AF3808">
        <v>0.11916391703745</v>
      </c>
      <c r="AG3808">
        <v>-0.15915169999999901</v>
      </c>
      <c r="AH3808">
        <v>0.42171624800468799</v>
      </c>
      <c r="AI3808">
        <v>109.95951266162299</v>
      </c>
      <c r="AJ3808">
        <v>74.2213555883271</v>
      </c>
      <c r="AK3808">
        <v>0.46623373598201701</v>
      </c>
      <c r="AL3808">
        <v>84.480916545440394</v>
      </c>
      <c r="AM3808">
        <v>87.6948096070265</v>
      </c>
      <c r="AN3808">
        <v>1.0000000735272001</v>
      </c>
    </row>
    <row r="3809" spans="1:40" x14ac:dyDescent="0.25">
      <c r="A3809" t="str">
        <f>"20190312172152344"</f>
        <v>20190312172152344</v>
      </c>
      <c r="B3809" t="str">
        <f>"1552382512334745"</f>
        <v>1552382512334745</v>
      </c>
      <c r="C3809" t="s">
        <v>40</v>
      </c>
      <c r="D3809">
        <v>3.2479990000000001</v>
      </c>
      <c r="E3809">
        <v>0.55923140000000005</v>
      </c>
      <c r="F3809" t="s">
        <v>41</v>
      </c>
      <c r="G3809">
        <v>-427.42559999999997</v>
      </c>
      <c r="H3809">
        <v>0.95695359999999996</v>
      </c>
      <c r="I3809">
        <v>213.67959999999999</v>
      </c>
      <c r="J3809">
        <v>-427.85050000000001</v>
      </c>
      <c r="K3809">
        <v>1.109661</v>
      </c>
      <c r="L3809">
        <v>213.8098</v>
      </c>
      <c r="M3809">
        <v>0.99990129999999999</v>
      </c>
      <c r="N3809">
        <v>0</v>
      </c>
      <c r="O3809">
        <v>-4.5138829999999998E-3</v>
      </c>
      <c r="P3809">
        <v>0.9953265</v>
      </c>
      <c r="Q3809">
        <v>8.5207749999999999E-2</v>
      </c>
      <c r="R3809">
        <v>-4.544496E-2</v>
      </c>
      <c r="S3809">
        <v>3.0439449999999999</v>
      </c>
      <c r="T3809">
        <v>-0.67076590000000003</v>
      </c>
      <c r="U3809">
        <v>-0.57885739999999997</v>
      </c>
      <c r="V3809">
        <v>4.1119059999999999E-2</v>
      </c>
      <c r="W3809">
        <v>9.8380750000000003E-2</v>
      </c>
      <c r="X3809">
        <v>0.99429900000000004</v>
      </c>
      <c r="Y3809">
        <v>0.17835619999999999</v>
      </c>
      <c r="Z3809">
        <v>-1.8277419999999999E-2</v>
      </c>
      <c r="AA3809">
        <v>0.98379620000000001</v>
      </c>
      <c r="AB3809">
        <v>25</v>
      </c>
      <c r="AC3809">
        <v>0.42490000000003603</v>
      </c>
      <c r="AD3809">
        <v>-0.15270739999999999</v>
      </c>
      <c r="AE3809">
        <v>-0.13020000000000201</v>
      </c>
      <c r="AF3809">
        <v>0.11473305621683499</v>
      </c>
      <c r="AG3809">
        <v>-0.15270739999999999</v>
      </c>
      <c r="AH3809">
        <v>0.38054882463830297</v>
      </c>
      <c r="AI3809">
        <v>111.016783298387</v>
      </c>
      <c r="AJ3809">
        <v>73.222274176660505</v>
      </c>
      <c r="AK3809">
        <v>0.42579411942535</v>
      </c>
      <c r="AL3809">
        <v>84.354065662851696</v>
      </c>
      <c r="AM3809">
        <v>87.6318925117953</v>
      </c>
      <c r="AN3809">
        <v>1.00000002523342</v>
      </c>
    </row>
    <row r="3810" spans="1:40" x14ac:dyDescent="0.25">
      <c r="A3810" t="str">
        <f>"20190312172152544"</f>
        <v>20190312172152544</v>
      </c>
      <c r="B3810" t="str">
        <f>"1552382512534828"</f>
        <v>1552382512534828</v>
      </c>
      <c r="C3810" t="s">
        <v>40</v>
      </c>
      <c r="D3810">
        <v>3.2990189999999999</v>
      </c>
      <c r="E3810">
        <v>0.49078860000000002</v>
      </c>
      <c r="F3810" t="s">
        <v>46</v>
      </c>
      <c r="G3810">
        <v>-393.82159999999999</v>
      </c>
      <c r="H3810" s="1">
        <v>4.9685440000000003E-7</v>
      </c>
      <c r="I3810">
        <v>213.1352</v>
      </c>
      <c r="J3810">
        <v>-425.6207</v>
      </c>
      <c r="K3810">
        <v>1.109807</v>
      </c>
      <c r="L3810">
        <v>213.7816</v>
      </c>
      <c r="M3810">
        <v>0.99982859999999996</v>
      </c>
      <c r="N3810">
        <v>0</v>
      </c>
      <c r="O3810">
        <v>-1.2885249999999999E-2</v>
      </c>
      <c r="P3810">
        <v>0.99313739999999995</v>
      </c>
      <c r="Q3810">
        <v>0.106058399999999</v>
      </c>
      <c r="R3810">
        <v>-4.9291769999999999E-2</v>
      </c>
      <c r="S3810">
        <v>3.028473</v>
      </c>
      <c r="T3810">
        <v>-0.10484250000000001</v>
      </c>
      <c r="U3810">
        <v>-6.14624E-2</v>
      </c>
      <c r="V3810">
        <v>3.6675859999999998E-2</v>
      </c>
      <c r="W3810">
        <v>0.1192068</v>
      </c>
      <c r="X3810">
        <v>0.99219190000000002</v>
      </c>
      <c r="Y3810">
        <v>7.4085369999999998E-3</v>
      </c>
      <c r="Z3810">
        <v>3.1772350000000002E-4</v>
      </c>
      <c r="AA3810">
        <v>0.99997250000000004</v>
      </c>
      <c r="AB3810">
        <v>25</v>
      </c>
      <c r="AC3810">
        <v>31.799099999999999</v>
      </c>
      <c r="AD3810">
        <v>-1.1098065031455999</v>
      </c>
      <c r="AE3810">
        <v>-0.64639999999999898</v>
      </c>
      <c r="AF3810">
        <v>0.23628307499610199</v>
      </c>
      <c r="AG3810">
        <v>-1.1098065031455999</v>
      </c>
      <c r="AH3810">
        <v>31.766112678206099</v>
      </c>
      <c r="AI3810">
        <v>92.000862376348394</v>
      </c>
      <c r="AJ3810">
        <v>89.573829714691001</v>
      </c>
      <c r="AK3810">
        <v>31.786371526968001</v>
      </c>
      <c r="AL3810">
        <v>83.153673526155998</v>
      </c>
      <c r="AM3810">
        <v>87.883054995775495</v>
      </c>
      <c r="AN3810">
        <v>1.00000007314929</v>
      </c>
    </row>
    <row r="3811" spans="1:40" x14ac:dyDescent="0.25">
      <c r="A3811" t="str">
        <f>"20190312172152568"</f>
        <v>20190312172152568</v>
      </c>
      <c r="B3811" t="str">
        <f>"1552382512564105"</f>
        <v>1552382512564105</v>
      </c>
      <c r="C3811" t="s">
        <v>40</v>
      </c>
      <c r="D3811">
        <v>3.3120250000000002</v>
      </c>
      <c r="E3811">
        <v>0.49162139999999999</v>
      </c>
      <c r="F3811" t="s">
        <v>46</v>
      </c>
      <c r="G3811">
        <v>-388.291</v>
      </c>
      <c r="H3811" s="1">
        <v>2.9487759999999998E-6</v>
      </c>
      <c r="I3811">
        <v>212.9342</v>
      </c>
      <c r="J3811">
        <v>-425.36799999999999</v>
      </c>
      <c r="K3811">
        <v>1.10981</v>
      </c>
      <c r="L3811">
        <v>213.7773</v>
      </c>
      <c r="M3811">
        <v>0.99981580000000003</v>
      </c>
      <c r="N3811">
        <v>0</v>
      </c>
      <c r="O3811">
        <v>-1.383849E-2</v>
      </c>
      <c r="P3811">
        <v>0.99303110000000006</v>
      </c>
      <c r="Q3811">
        <v>0.10732609999999999</v>
      </c>
      <c r="R3811">
        <v>-4.868567E-2</v>
      </c>
      <c r="S3811">
        <v>3.0269469999999998</v>
      </c>
      <c r="T3811">
        <v>-8.9990379999999995E-2</v>
      </c>
      <c r="U3811">
        <v>-6.871033E-2</v>
      </c>
      <c r="V3811">
        <v>3.5125389999999999E-2</v>
      </c>
      <c r="W3811">
        <v>0.1204741</v>
      </c>
      <c r="X3811">
        <v>0.9920949</v>
      </c>
      <c r="Y3811">
        <v>8.8575779999999996E-3</v>
      </c>
      <c r="Z3811">
        <v>2.7966070000000001E-4</v>
      </c>
      <c r="AA3811">
        <v>0.99996070000000004</v>
      </c>
      <c r="AB3811">
        <v>25</v>
      </c>
      <c r="AC3811">
        <v>37.076999999999998</v>
      </c>
      <c r="AD3811">
        <v>-1.1098070512239999</v>
      </c>
      <c r="AE3811">
        <v>-0.84309999999999197</v>
      </c>
      <c r="AF3811">
        <v>0.32958903651640598</v>
      </c>
      <c r="AG3811">
        <v>-1.1098070512239999</v>
      </c>
      <c r="AH3811">
        <v>37.051937590387702</v>
      </c>
      <c r="AI3811">
        <v>91.715584798679203</v>
      </c>
      <c r="AJ3811">
        <v>89.490348847067693</v>
      </c>
      <c r="AK3811">
        <v>37.070019959880298</v>
      </c>
      <c r="AL3811">
        <v>83.080535303813093</v>
      </c>
      <c r="AM3811">
        <v>87.972274320281798</v>
      </c>
      <c r="AN3811">
        <v>1.00000004619973</v>
      </c>
    </row>
    <row r="3812" spans="1:40" x14ac:dyDescent="0.25">
      <c r="A3812" t="str">
        <f>"20190312172152588"</f>
        <v>20190312172152588</v>
      </c>
      <c r="B3812" t="str">
        <f>"1552382512584601"</f>
        <v>1552382512584601</v>
      </c>
      <c r="C3812" t="s">
        <v>40</v>
      </c>
      <c r="D3812">
        <v>3.3033139999999999</v>
      </c>
      <c r="E3812">
        <v>0.4920966</v>
      </c>
      <c r="F3812" t="s">
        <v>46</v>
      </c>
      <c r="G3812">
        <v>-383.71960000000001</v>
      </c>
      <c r="H3812" s="1">
        <v>5.2355149999999999E-7</v>
      </c>
      <c r="I3812">
        <v>212.76400000000001</v>
      </c>
      <c r="J3812">
        <v>-425.13990000000001</v>
      </c>
      <c r="K3812">
        <v>1.109818</v>
      </c>
      <c r="L3812">
        <v>213.7731</v>
      </c>
      <c r="M3812">
        <v>0.99980349999999996</v>
      </c>
      <c r="N3812">
        <v>0</v>
      </c>
      <c r="O3812">
        <v>-1.4700899999999999E-2</v>
      </c>
      <c r="P3812">
        <v>0.99290869999999998</v>
      </c>
      <c r="Q3812">
        <v>0.1090298</v>
      </c>
      <c r="R3812">
        <v>-4.7381550000000001E-2</v>
      </c>
      <c r="S3812">
        <v>3.026154</v>
      </c>
      <c r="T3812">
        <v>-8.0638169999999995E-2</v>
      </c>
      <c r="U3812">
        <v>-7.3623659999999994E-2</v>
      </c>
      <c r="V3812">
        <v>3.2968249999999998E-2</v>
      </c>
      <c r="W3812">
        <v>0.1221785</v>
      </c>
      <c r="X3812">
        <v>0.99196050000000002</v>
      </c>
      <c r="Y3812">
        <v>9.6232430000000001E-3</v>
      </c>
      <c r="Z3812">
        <v>2.6344139999999997E-4</v>
      </c>
      <c r="AA3812">
        <v>0.99995369999999995</v>
      </c>
      <c r="AB3812">
        <v>25</v>
      </c>
      <c r="AC3812">
        <v>41.420299999999997</v>
      </c>
      <c r="AD3812">
        <v>-1.1098174764485</v>
      </c>
      <c r="AE3812">
        <v>-1.0090999999999799</v>
      </c>
      <c r="AF3812">
        <v>0.399734588406571</v>
      </c>
      <c r="AG3812">
        <v>-1.1098174764485</v>
      </c>
      <c r="AH3812">
        <v>41.400954169774998</v>
      </c>
      <c r="AI3812">
        <v>91.535463914722698</v>
      </c>
      <c r="AJ3812">
        <v>89.4468148466146</v>
      </c>
      <c r="AK3812">
        <v>41.417755718290799</v>
      </c>
      <c r="AL3812">
        <v>82.9821537066139</v>
      </c>
      <c r="AM3812">
        <v>88.096449870289305</v>
      </c>
      <c r="AN3812">
        <v>1.0000000624652701</v>
      </c>
    </row>
    <row r="3813" spans="1:40" x14ac:dyDescent="0.25">
      <c r="A3813" t="str">
        <f>"20190312172152602"</f>
        <v>20190312172152602</v>
      </c>
      <c r="B3813" t="str">
        <f>"1552382512594362"</f>
        <v>1552382512594362</v>
      </c>
      <c r="C3813" t="s">
        <v>40</v>
      </c>
      <c r="D3813">
        <v>3.3019259999999999</v>
      </c>
      <c r="E3813">
        <v>0.49207659999999998</v>
      </c>
      <c r="F3813" t="s">
        <v>46</v>
      </c>
      <c r="G3813">
        <v>-381.36520000000002</v>
      </c>
      <c r="H3813" s="1">
        <v>-7.2697109999999997E-7</v>
      </c>
      <c r="I3813">
        <v>212.7097</v>
      </c>
      <c r="J3813">
        <v>-424.9837</v>
      </c>
      <c r="K3813">
        <v>1.1098239999999999</v>
      </c>
      <c r="L3813">
        <v>213.77019999999999</v>
      </c>
      <c r="M3813">
        <v>0.99979470000000004</v>
      </c>
      <c r="N3813">
        <v>0</v>
      </c>
      <c r="O3813">
        <v>-1.529166E-2</v>
      </c>
      <c r="P3813">
        <v>0.9928572</v>
      </c>
      <c r="Q3813">
        <v>0.10968260000000001</v>
      </c>
      <c r="R3813">
        <v>-4.6951640000000003E-2</v>
      </c>
      <c r="S3813">
        <v>3.0263369999999998</v>
      </c>
      <c r="T3813">
        <v>-7.6726559999999999E-2</v>
      </c>
      <c r="U3813">
        <v>-7.3516849999999995E-2</v>
      </c>
      <c r="V3813">
        <v>3.1953170000000003E-2</v>
      </c>
      <c r="W3813">
        <v>0.1228316</v>
      </c>
      <c r="X3813">
        <v>0.99191300000000004</v>
      </c>
      <c r="Y3813">
        <v>8.9958690000000001E-3</v>
      </c>
      <c r="Z3813">
        <v>2.735735E-4</v>
      </c>
      <c r="AA3813">
        <v>0.9999595</v>
      </c>
      <c r="AB3813">
        <v>25</v>
      </c>
      <c r="AC3813">
        <v>43.618499999999898</v>
      </c>
      <c r="AD3813">
        <v>-1.1098247269710999</v>
      </c>
      <c r="AE3813">
        <v>-1.06049999999999</v>
      </c>
      <c r="AF3813">
        <v>0.393063447514653</v>
      </c>
      <c r="AG3813">
        <v>-1.1098247269710999</v>
      </c>
      <c r="AH3813">
        <v>43.601406749122397</v>
      </c>
      <c r="AI3813">
        <v>91.458025507558602</v>
      </c>
      <c r="AJ3813">
        <v>89.4834967894366</v>
      </c>
      <c r="AK3813">
        <v>43.617300240853901</v>
      </c>
      <c r="AL3813">
        <v>82.944449425484706</v>
      </c>
      <c r="AM3813">
        <v>88.154930022442301</v>
      </c>
      <c r="AN3813">
        <v>1.0000000033003</v>
      </c>
    </row>
    <row r="3814" spans="1:40" x14ac:dyDescent="0.25">
      <c r="A3814" t="str">
        <f>"20190312172152623"</f>
        <v>20190312172152623</v>
      </c>
      <c r="B3814" t="str">
        <f>"1552382512614857"</f>
        <v>1552382512614857</v>
      </c>
      <c r="C3814" t="s">
        <v>40</v>
      </c>
      <c r="D3814">
        <v>3.2958720000000001</v>
      </c>
      <c r="E3814">
        <v>0.4921623</v>
      </c>
      <c r="F3814" t="s">
        <v>46</v>
      </c>
      <c r="G3814">
        <v>-379.2688</v>
      </c>
      <c r="H3814" s="1">
        <v>3.3955840000000001E-6</v>
      </c>
      <c r="I3814">
        <v>212.67920000000001</v>
      </c>
      <c r="J3814">
        <v>-424.75409999999999</v>
      </c>
      <c r="K3814">
        <v>1.109837</v>
      </c>
      <c r="L3814">
        <v>213.76570000000001</v>
      </c>
      <c r="M3814">
        <v>0.99978109999999998</v>
      </c>
      <c r="N3814">
        <v>0</v>
      </c>
      <c r="O3814">
        <v>-1.6160279999999999E-2</v>
      </c>
      <c r="P3814">
        <v>0.99273710000000004</v>
      </c>
      <c r="Q3814">
        <v>0.1111798</v>
      </c>
      <c r="R3814">
        <v>-4.5959630000000001E-2</v>
      </c>
      <c r="S3814">
        <v>3.0262449999999999</v>
      </c>
      <c r="T3814">
        <v>-7.346809E-2</v>
      </c>
      <c r="U3814">
        <v>-7.2219850000000002E-2</v>
      </c>
      <c r="V3814">
        <v>3.0102190000000001E-2</v>
      </c>
      <c r="W3814">
        <v>0.1243287</v>
      </c>
      <c r="X3814">
        <v>0.99178440000000001</v>
      </c>
      <c r="Y3814">
        <v>7.6999859999999998E-3</v>
      </c>
      <c r="Z3814">
        <v>2.9877289999999997E-4</v>
      </c>
      <c r="AA3814">
        <v>0.99997029999999998</v>
      </c>
      <c r="AB3814">
        <v>25</v>
      </c>
      <c r="AC3814">
        <v>45.485300000000002</v>
      </c>
      <c r="AD3814">
        <v>-1.109833604416</v>
      </c>
      <c r="AE3814">
        <v>-1.0865</v>
      </c>
      <c r="AF3814">
        <v>0.35102912987798601</v>
      </c>
      <c r="AG3814">
        <v>-1.109833604416</v>
      </c>
      <c r="AH3814">
        <v>45.469863784404403</v>
      </c>
      <c r="AI3814">
        <v>91.398162633768493</v>
      </c>
      <c r="AJ3814">
        <v>89.557683124445006</v>
      </c>
      <c r="AK3814">
        <v>45.484760795807198</v>
      </c>
      <c r="AL3814">
        <v>82.858009511648604</v>
      </c>
      <c r="AM3814">
        <v>88.261518211390097</v>
      </c>
      <c r="AN3814">
        <v>1.00000003178492</v>
      </c>
    </row>
    <row r="3815" spans="1:40" x14ac:dyDescent="0.25">
      <c r="A3815" t="str">
        <f>"20190312172152645"</f>
        <v>20190312172152645</v>
      </c>
      <c r="B3815" t="str">
        <f>"1552382512634377"</f>
        <v>1552382512634377</v>
      </c>
      <c r="C3815" t="s">
        <v>40</v>
      </c>
      <c r="D3815">
        <v>3.3114080000000001</v>
      </c>
      <c r="E3815">
        <v>0.49241059999999998</v>
      </c>
      <c r="F3815" t="s">
        <v>46</v>
      </c>
      <c r="G3815">
        <v>-376.13310000000001</v>
      </c>
      <c r="H3815" s="1">
        <v>1.726947E-6</v>
      </c>
      <c r="I3815">
        <v>212.6412</v>
      </c>
      <c r="J3815">
        <v>-424.51569999999998</v>
      </c>
      <c r="K3815">
        <v>1.10985</v>
      </c>
      <c r="L3815">
        <v>213.76079999999999</v>
      </c>
      <c r="M3815">
        <v>0.99976609999999999</v>
      </c>
      <c r="N3815">
        <v>0</v>
      </c>
      <c r="O3815">
        <v>-1.7061550000000002E-2</v>
      </c>
      <c r="P3815">
        <v>0.99260199999999998</v>
      </c>
      <c r="Q3815">
        <v>0.1124612</v>
      </c>
      <c r="R3815">
        <v>-4.575833E-2</v>
      </c>
      <c r="S3815">
        <v>3.0264280000000001</v>
      </c>
      <c r="T3815">
        <v>-6.9082019999999994E-2</v>
      </c>
      <c r="U3815">
        <v>-6.9992070000000003E-2</v>
      </c>
      <c r="V3815">
        <v>2.9009360000000001E-2</v>
      </c>
      <c r="W3815">
        <v>0.12560940000000001</v>
      </c>
      <c r="X3815">
        <v>0.99165550000000002</v>
      </c>
      <c r="Y3815">
        <v>6.0617750000000001E-3</v>
      </c>
      <c r="Z3815">
        <v>3.2018409999999998E-4</v>
      </c>
      <c r="AA3815">
        <v>0.99998160000000003</v>
      </c>
      <c r="AB3815">
        <v>25</v>
      </c>
      <c r="AC3815">
        <v>48.382599999999897</v>
      </c>
      <c r="AD3815">
        <v>-1.1098482730529999</v>
      </c>
      <c r="AE3815">
        <v>-1.1195999999999899</v>
      </c>
      <c r="AF3815">
        <v>0.29372745867497901</v>
      </c>
      <c r="AG3815">
        <v>-1.1098482730529999</v>
      </c>
      <c r="AH3815">
        <v>48.369221895450899</v>
      </c>
      <c r="AI3815">
        <v>91.314416304520407</v>
      </c>
      <c r="AJ3815">
        <v>89.652069308030903</v>
      </c>
      <c r="AK3815">
        <v>48.3828447466718</v>
      </c>
      <c r="AL3815">
        <v>82.784050405254504</v>
      </c>
      <c r="AM3815">
        <v>88.324377758973597</v>
      </c>
      <c r="AN3815">
        <v>0.99999994750810794</v>
      </c>
    </row>
    <row r="3816" spans="1:40" x14ac:dyDescent="0.25">
      <c r="A3816" t="str">
        <f>"20190312172152666"</f>
        <v>20190312172152666</v>
      </c>
      <c r="B3816" t="str">
        <f>"1552382512664634"</f>
        <v>1552382512664634</v>
      </c>
      <c r="C3816" t="s">
        <v>40</v>
      </c>
      <c r="D3816">
        <v>3.3109570000000001</v>
      </c>
      <c r="E3816">
        <v>0.4926934</v>
      </c>
      <c r="F3816" t="s">
        <v>46</v>
      </c>
      <c r="G3816">
        <v>-374.08420000000001</v>
      </c>
      <c r="H3816" s="1">
        <v>6.3662789999999996E-7</v>
      </c>
      <c r="I3816">
        <v>212.5736</v>
      </c>
      <c r="J3816">
        <v>-424.27749999999997</v>
      </c>
      <c r="K3816">
        <v>1.1098619999999999</v>
      </c>
      <c r="L3816">
        <v>213.75559999999999</v>
      </c>
      <c r="M3816">
        <v>0.99975029999999998</v>
      </c>
      <c r="N3816">
        <v>0</v>
      </c>
      <c r="O3816">
        <v>-1.7961629999999999E-2</v>
      </c>
      <c r="P3816">
        <v>0.99224449999999997</v>
      </c>
      <c r="Q3816">
        <v>0.1156321</v>
      </c>
      <c r="R3816">
        <v>-4.5605939999999998E-2</v>
      </c>
      <c r="S3816">
        <v>3.0265810000000002</v>
      </c>
      <c r="T3816">
        <v>-6.6606159999999998E-2</v>
      </c>
      <c r="U3816">
        <v>-7.1243290000000001E-2</v>
      </c>
      <c r="V3816">
        <v>2.7973810000000002E-2</v>
      </c>
      <c r="W3816">
        <v>0.12877539999999901</v>
      </c>
      <c r="X3816">
        <v>0.99127909999999997</v>
      </c>
      <c r="Y3816">
        <v>5.5736350000000004E-3</v>
      </c>
      <c r="Z3816">
        <v>3.338646E-4</v>
      </c>
      <c r="AA3816">
        <v>0.9999844</v>
      </c>
      <c r="AB3816">
        <v>25</v>
      </c>
      <c r="AC3816">
        <v>50.193299999999901</v>
      </c>
      <c r="AD3816">
        <v>-1.1098613633721</v>
      </c>
      <c r="AE3816">
        <v>-1.18199999999998</v>
      </c>
      <c r="AF3816">
        <v>0.28003928513305998</v>
      </c>
      <c r="AG3816">
        <v>-1.1098613633721</v>
      </c>
      <c r="AH3816">
        <v>50.181911950396</v>
      </c>
      <c r="AI3816">
        <v>91.266970795871501</v>
      </c>
      <c r="AJ3816">
        <v>89.680265219914503</v>
      </c>
      <c r="AK3816">
        <v>50.194964899324503</v>
      </c>
      <c r="AL3816">
        <v>82.601166493450094</v>
      </c>
      <c r="AM3816">
        <v>88.383547088212197</v>
      </c>
      <c r="AN3816">
        <v>0.99999994589394103</v>
      </c>
    </row>
    <row r="3817" spans="1:40" x14ac:dyDescent="0.25">
      <c r="A3817" t="str">
        <f>"20190312172152689"</f>
        <v>20190312172152689</v>
      </c>
      <c r="B3817" t="str">
        <f>"1552382512684153"</f>
        <v>1552382512684153</v>
      </c>
      <c r="C3817" t="s">
        <v>40</v>
      </c>
      <c r="D3817">
        <v>3.2660429999999998</v>
      </c>
      <c r="E3817">
        <v>0.49278670000000002</v>
      </c>
      <c r="F3817" t="s">
        <v>46</v>
      </c>
      <c r="G3817">
        <v>-366.71100000000001</v>
      </c>
      <c r="H3817" s="1">
        <v>2.034471E-6</v>
      </c>
      <c r="I3817">
        <v>212.3563</v>
      </c>
      <c r="J3817">
        <v>-424.0403</v>
      </c>
      <c r="K3817">
        <v>1.1098680000000001</v>
      </c>
      <c r="L3817">
        <v>213.75030000000001</v>
      </c>
      <c r="M3817">
        <v>0.99973400000000001</v>
      </c>
      <c r="N3817">
        <v>0</v>
      </c>
      <c r="O3817">
        <v>-1.8856810000000002E-2</v>
      </c>
      <c r="P3817">
        <v>0.99221300000000001</v>
      </c>
      <c r="Q3817">
        <v>0.1160185</v>
      </c>
      <c r="R3817">
        <v>-4.5314760000000003E-2</v>
      </c>
      <c r="S3817">
        <v>3.0268250000000001</v>
      </c>
      <c r="T3817">
        <v>-5.835605E-2</v>
      </c>
      <c r="U3817">
        <v>-7.3577879999999998E-2</v>
      </c>
      <c r="V3817">
        <v>2.679426E-2</v>
      </c>
      <c r="W3817">
        <v>0.12916269999999999</v>
      </c>
      <c r="X3817">
        <v>0.99126139999999996</v>
      </c>
      <c r="Y3817">
        <v>5.4466879999999999E-3</v>
      </c>
      <c r="Z3817">
        <v>3.109675E-4</v>
      </c>
      <c r="AA3817">
        <v>0.99998509999999996</v>
      </c>
      <c r="AB3817">
        <v>25</v>
      </c>
      <c r="AC3817">
        <v>57.329299999999897</v>
      </c>
      <c r="AD3817">
        <v>-1.109865965529</v>
      </c>
      <c r="AE3817">
        <v>-1.3939999999999999</v>
      </c>
      <c r="AF3817">
        <v>0.31249199436516001</v>
      </c>
      <c r="AG3817">
        <v>-1.109865965529</v>
      </c>
      <c r="AH3817">
        <v>57.323921723938902</v>
      </c>
      <c r="AI3817">
        <v>91.109166036984107</v>
      </c>
      <c r="AJ3817">
        <v>89.687664512173896</v>
      </c>
      <c r="AK3817">
        <v>57.3355165278927</v>
      </c>
      <c r="AL3817">
        <v>82.578789724925997</v>
      </c>
      <c r="AM3817">
        <v>88.451645265862496</v>
      </c>
      <c r="AN3817">
        <v>1.00000004928509</v>
      </c>
    </row>
    <row r="3818" spans="1:40" x14ac:dyDescent="0.25">
      <c r="A3818" t="str">
        <f>"20190312172152711"</f>
        <v>20190312172152711</v>
      </c>
      <c r="B3818" t="str">
        <f>"1552382512704649"</f>
        <v>1552382512704649</v>
      </c>
      <c r="C3818" t="s">
        <v>40</v>
      </c>
      <c r="D3818">
        <v>3.3342209999999999</v>
      </c>
      <c r="E3818">
        <v>0.49290669999999998</v>
      </c>
      <c r="F3818" t="s">
        <v>46</v>
      </c>
      <c r="G3818">
        <v>-366.32859999999999</v>
      </c>
      <c r="H3818" s="1">
        <v>1.8309900000000001E-6</v>
      </c>
      <c r="I3818">
        <v>212.3295</v>
      </c>
      <c r="J3818">
        <v>-423.78550000000001</v>
      </c>
      <c r="K3818">
        <v>1.1098619999999999</v>
      </c>
      <c r="L3818">
        <v>213.74440000000001</v>
      </c>
      <c r="M3818">
        <v>0.99971540000000003</v>
      </c>
      <c r="N3818">
        <v>0</v>
      </c>
      <c r="O3818">
        <v>-1.9813709999999998E-2</v>
      </c>
      <c r="P3818">
        <v>0.99231829999999999</v>
      </c>
      <c r="Q3818">
        <v>0.11526649999999999</v>
      </c>
      <c r="R3818">
        <v>-4.4921219999999998E-2</v>
      </c>
      <c r="S3818">
        <v>3.0270079999999999</v>
      </c>
      <c r="T3818">
        <v>-5.8213109999999998E-2</v>
      </c>
      <c r="U3818">
        <v>-7.4523930000000002E-2</v>
      </c>
      <c r="V3818">
        <v>2.5446050000000001E-2</v>
      </c>
      <c r="W3818">
        <v>0.12841320000000001</v>
      </c>
      <c r="X3818">
        <v>0.9913942</v>
      </c>
      <c r="Y3818">
        <v>4.8006949999999998E-3</v>
      </c>
      <c r="Z3818">
        <v>3.347906E-4</v>
      </c>
      <c r="AA3818">
        <v>0.9999884</v>
      </c>
      <c r="AB3818">
        <v>25</v>
      </c>
      <c r="AC3818">
        <v>57.456899999999997</v>
      </c>
      <c r="AD3818">
        <v>-1.1098601690100001</v>
      </c>
      <c r="AE3818">
        <v>-1.41490000000001</v>
      </c>
      <c r="AF3818">
        <v>0.27598442234140402</v>
      </c>
      <c r="AG3818">
        <v>-1.1098601690100001</v>
      </c>
      <c r="AH3818">
        <v>57.452231726332101</v>
      </c>
      <c r="AI3818">
        <v>91.106687411352098</v>
      </c>
      <c r="AJ3818">
        <v>89.724769247287597</v>
      </c>
      <c r="AK3818">
        <v>57.463613594450301</v>
      </c>
      <c r="AL3818">
        <v>82.622092842927103</v>
      </c>
      <c r="AM3818">
        <v>88.529715793384497</v>
      </c>
      <c r="AN3818">
        <v>0.99999995559424004</v>
      </c>
    </row>
    <row r="3819" spans="1:40" x14ac:dyDescent="0.25">
      <c r="A3819" t="str">
        <f>"20190312172152734"</f>
        <v>20190312172152734</v>
      </c>
      <c r="B3819" t="str">
        <f>"1552382512724169"</f>
        <v>1552382512724169</v>
      </c>
      <c r="C3819" t="s">
        <v>40</v>
      </c>
      <c r="D3819">
        <v>3.299884</v>
      </c>
      <c r="E3819">
        <v>0.49323679999999998</v>
      </c>
      <c r="F3819" t="s">
        <v>46</v>
      </c>
      <c r="G3819">
        <v>-369.58240000000001</v>
      </c>
      <c r="H3819" s="1">
        <v>3.5624789999999998E-6</v>
      </c>
      <c r="I3819">
        <v>212.4102</v>
      </c>
      <c r="J3819">
        <v>-423.53019999999998</v>
      </c>
      <c r="K3819">
        <v>1.109864</v>
      </c>
      <c r="L3819">
        <v>213.73820000000001</v>
      </c>
      <c r="M3819">
        <v>0.99969620000000003</v>
      </c>
      <c r="N3819">
        <v>0</v>
      </c>
      <c r="O3819">
        <v>-2.0763520000000001E-2</v>
      </c>
      <c r="P3819">
        <v>0.99246880000000004</v>
      </c>
      <c r="Q3819">
        <v>0.11444029999999999</v>
      </c>
      <c r="R3819">
        <v>-4.3697260000000002E-2</v>
      </c>
      <c r="S3819">
        <v>3.0270389999999998</v>
      </c>
      <c r="T3819">
        <v>-6.1981439999999999E-2</v>
      </c>
      <c r="U3819">
        <v>-7.4508669999999999E-2</v>
      </c>
      <c r="V3819">
        <v>2.3272230000000001E-2</v>
      </c>
      <c r="W3819">
        <v>0.12759129999999999</v>
      </c>
      <c r="X3819">
        <v>0.99155380000000004</v>
      </c>
      <c r="Y3819">
        <v>3.8461010000000002E-3</v>
      </c>
      <c r="Z3819">
        <v>3.8566479999999997E-4</v>
      </c>
      <c r="AA3819">
        <v>0.99999249999999995</v>
      </c>
      <c r="AB3819">
        <v>25</v>
      </c>
      <c r="AC3819">
        <v>53.947799999999901</v>
      </c>
      <c r="AD3819">
        <v>-1.1098604375209999</v>
      </c>
      <c r="AE3819">
        <v>-1.3280000000000001</v>
      </c>
      <c r="AF3819">
        <v>0.20738090796060399</v>
      </c>
      <c r="AG3819">
        <v>-1.1098604375209999</v>
      </c>
      <c r="AH3819">
        <v>53.940927724938497</v>
      </c>
      <c r="AI3819">
        <v>91.178713093394506</v>
      </c>
      <c r="AJ3819">
        <v>89.779722137958103</v>
      </c>
      <c r="AK3819">
        <v>53.952743033684598</v>
      </c>
      <c r="AL3819">
        <v>82.669575443415297</v>
      </c>
      <c r="AM3819">
        <v>88.655488184805506</v>
      </c>
      <c r="AN3819">
        <v>1.00000003740965</v>
      </c>
    </row>
    <row r="3820" spans="1:40" x14ac:dyDescent="0.25">
      <c r="A3820" t="str">
        <f>"20190312172152756"</f>
        <v>20190312172152756</v>
      </c>
      <c r="B3820" t="str">
        <f>"1552382512754426"</f>
        <v>1552382512754426</v>
      </c>
      <c r="C3820" t="s">
        <v>40</v>
      </c>
      <c r="D3820">
        <v>3.2795770000000002</v>
      </c>
      <c r="E3820">
        <v>0.49366789999999999</v>
      </c>
      <c r="F3820" t="s">
        <v>46</v>
      </c>
      <c r="G3820">
        <v>-372.83359999999999</v>
      </c>
      <c r="H3820" s="1">
        <v>-2.889408E-8</v>
      </c>
      <c r="I3820">
        <v>212.49529999999999</v>
      </c>
      <c r="J3820">
        <v>-423.28960000000001</v>
      </c>
      <c r="K3820">
        <v>1.1098779999999999</v>
      </c>
      <c r="L3820">
        <v>213.73220000000001</v>
      </c>
      <c r="M3820">
        <v>0.99967760000000006</v>
      </c>
      <c r="N3820">
        <v>0</v>
      </c>
      <c r="O3820">
        <v>-2.1641710000000002E-2</v>
      </c>
      <c r="P3820">
        <v>0.99247569999999996</v>
      </c>
      <c r="Q3820">
        <v>0.11483350000000001</v>
      </c>
      <c r="R3820">
        <v>-4.248963E-2</v>
      </c>
      <c r="S3820">
        <v>3.0271300000000001</v>
      </c>
      <c r="T3820">
        <v>-6.6270830000000003E-2</v>
      </c>
      <c r="U3820">
        <v>-7.421875E-2</v>
      </c>
      <c r="V3820">
        <v>2.1189510000000002E-2</v>
      </c>
      <c r="W3820">
        <v>0.12798660000000001</v>
      </c>
      <c r="X3820">
        <v>0.99154949999999997</v>
      </c>
      <c r="Y3820">
        <v>2.8721250000000001E-3</v>
      </c>
      <c r="Z3820">
        <v>4.4221130000000002E-4</v>
      </c>
      <c r="AA3820">
        <v>0.99999579999999999</v>
      </c>
      <c r="AB3820">
        <v>25</v>
      </c>
      <c r="AC3820">
        <v>50.456000000000003</v>
      </c>
      <c r="AD3820">
        <v>-1.1098780288940799</v>
      </c>
      <c r="AE3820">
        <v>-1.2369000000000201</v>
      </c>
      <c r="AF3820">
        <v>0.14448997777791001</v>
      </c>
      <c r="AG3820">
        <v>-1.1098780288940799</v>
      </c>
      <c r="AH3820">
        <v>50.446556945669798</v>
      </c>
      <c r="AI3820">
        <v>91.260359726164197</v>
      </c>
      <c r="AJ3820">
        <v>89.835892798809994</v>
      </c>
      <c r="AK3820">
        <v>50.458971593418397</v>
      </c>
      <c r="AL3820">
        <v>82.646738831755201</v>
      </c>
      <c r="AM3820">
        <v>88.775769914278897</v>
      </c>
      <c r="AN3820">
        <v>0.99999998803192403</v>
      </c>
    </row>
    <row r="3821" spans="1:40" x14ac:dyDescent="0.25">
      <c r="A3821" t="str">
        <f>"20190312172152779"</f>
        <v>20190312172152779</v>
      </c>
      <c r="B3821" t="str">
        <f>"1552382512773947"</f>
        <v>1552382512773947</v>
      </c>
      <c r="C3821" t="s">
        <v>40</v>
      </c>
      <c r="D3821">
        <v>3.269714</v>
      </c>
      <c r="E3821">
        <v>0.49396820000000002</v>
      </c>
      <c r="F3821" t="s">
        <v>46</v>
      </c>
      <c r="G3821">
        <v>-374.16149999999999</v>
      </c>
      <c r="H3821" s="1">
        <v>6.7775019999999998E-7</v>
      </c>
      <c r="I3821">
        <v>212.51920000000001</v>
      </c>
      <c r="J3821">
        <v>-423.03809999999999</v>
      </c>
      <c r="K3821">
        <v>1.109899</v>
      </c>
      <c r="L3821">
        <v>213.72569999999999</v>
      </c>
      <c r="M3821">
        <v>0.99965789999999999</v>
      </c>
      <c r="N3821">
        <v>0</v>
      </c>
      <c r="O3821">
        <v>-2.2532159999999999E-2</v>
      </c>
      <c r="P3821">
        <v>0.99252390000000001</v>
      </c>
      <c r="Q3821">
        <v>0.1149279</v>
      </c>
      <c r="R3821">
        <v>-4.1088909999999999E-2</v>
      </c>
      <c r="S3821">
        <v>3.027466</v>
      </c>
      <c r="T3821">
        <v>-6.8394899999999995E-2</v>
      </c>
      <c r="U3821">
        <v>-7.4752810000000003E-2</v>
      </c>
      <c r="V3821">
        <v>1.8897379999999998E-2</v>
      </c>
      <c r="W3821">
        <v>0.12808449999999999</v>
      </c>
      <c r="X3821">
        <v>0.9915832</v>
      </c>
      <c r="Y3821">
        <v>2.1556660000000001E-3</v>
      </c>
      <c r="Z3821">
        <v>4.8452640000000002E-4</v>
      </c>
      <c r="AA3821">
        <v>0.99999760000000004</v>
      </c>
      <c r="AB3821">
        <v>24</v>
      </c>
      <c r="AC3821">
        <v>48.876600000000003</v>
      </c>
      <c r="AD3821">
        <v>-1.1098983222498</v>
      </c>
      <c r="AE3821">
        <v>-1.2064999999999699</v>
      </c>
      <c r="AF3821">
        <v>0.10474714681897999</v>
      </c>
      <c r="AG3821">
        <v>-1.1098983222498</v>
      </c>
      <c r="AH3821">
        <v>48.8661933497444</v>
      </c>
      <c r="AI3821">
        <v>91.3011328932174</v>
      </c>
      <c r="AJ3821">
        <v>89.877183798749797</v>
      </c>
      <c r="AK3821">
        <v>48.8789085265322</v>
      </c>
      <c r="AL3821">
        <v>82.641083086505802</v>
      </c>
      <c r="AM3821">
        <v>88.908201487310095</v>
      </c>
      <c r="AN3821">
        <v>0.99999999631667702</v>
      </c>
    </row>
    <row r="3822" spans="1:40" x14ac:dyDescent="0.25">
      <c r="A3822" t="str">
        <f>"20190312172152802"</f>
        <v>20190312172152802</v>
      </c>
      <c r="B3822" t="str">
        <f>"1552382512794442"</f>
        <v>1552382512794442</v>
      </c>
      <c r="C3822" t="s">
        <v>40</v>
      </c>
      <c r="D3822">
        <v>3.3161160000000001</v>
      </c>
      <c r="E3822">
        <v>0.49431740000000002</v>
      </c>
      <c r="F3822" t="s">
        <v>46</v>
      </c>
      <c r="G3822">
        <v>-374.89490000000001</v>
      </c>
      <c r="H3822" s="1">
        <v>1.0680509999999999E-6</v>
      </c>
      <c r="I3822">
        <v>212.5633</v>
      </c>
      <c r="J3822">
        <v>-422.7989</v>
      </c>
      <c r="K3822">
        <v>1.1099239999999999</v>
      </c>
      <c r="L3822">
        <v>213.71940000000001</v>
      </c>
      <c r="M3822">
        <v>0.99963950000000001</v>
      </c>
      <c r="N3822">
        <v>0</v>
      </c>
      <c r="O3822">
        <v>-2.3336869999999999E-2</v>
      </c>
      <c r="P3822">
        <v>0.99270769999999997</v>
      </c>
      <c r="Q3822">
        <v>0.1139177</v>
      </c>
      <c r="R3822">
        <v>-3.9426030000000001E-2</v>
      </c>
      <c r="S3822">
        <v>3.0276489999999998</v>
      </c>
      <c r="T3822">
        <v>-6.9799659999999999E-2</v>
      </c>
      <c r="U3822">
        <v>-7.3104859999999994E-2</v>
      </c>
      <c r="V3822">
        <v>1.6420939999999998E-2</v>
      </c>
      <c r="W3822">
        <v>0.127079</v>
      </c>
      <c r="X3822">
        <v>0.99175670000000005</v>
      </c>
      <c r="Y3822">
        <v>8.0599389999999995E-4</v>
      </c>
      <c r="Z3822">
        <v>5.2854520000000002E-4</v>
      </c>
      <c r="AA3822">
        <v>0.99999950000000004</v>
      </c>
      <c r="AB3822">
        <v>24</v>
      </c>
      <c r="AC3822">
        <v>47.904000000000003</v>
      </c>
      <c r="AD3822">
        <v>-1.1099229319489901</v>
      </c>
      <c r="AE3822">
        <v>-1.1560999999999999</v>
      </c>
      <c r="AF3822">
        <v>3.773688641477E-2</v>
      </c>
      <c r="AG3822">
        <v>-1.1099229319489901</v>
      </c>
      <c r="AH3822">
        <v>47.892238230935803</v>
      </c>
      <c r="AI3822">
        <v>91.327615923513804</v>
      </c>
      <c r="AJ3822">
        <v>89.954853563835698</v>
      </c>
      <c r="AK3822">
        <v>47.905112835230597</v>
      </c>
      <c r="AL3822">
        <v>82.6991689570863</v>
      </c>
      <c r="AM3822">
        <v>89.051415942827902</v>
      </c>
      <c r="AN3822">
        <v>1.00000003575318</v>
      </c>
    </row>
    <row r="3823" spans="1:40" x14ac:dyDescent="0.25">
      <c r="A3823" t="str">
        <f>"20190312172152824"</f>
        <v>20190312172152824</v>
      </c>
      <c r="B3823" t="str">
        <f>"1552382512813961"</f>
        <v>1552382512813961</v>
      </c>
      <c r="C3823" t="s">
        <v>40</v>
      </c>
      <c r="D3823">
        <v>3.3041170000000002</v>
      </c>
      <c r="E3823">
        <v>0.50001909999999905</v>
      </c>
      <c r="F3823" t="s">
        <v>46</v>
      </c>
      <c r="G3823">
        <v>-378.10829999999999</v>
      </c>
      <c r="H3823" s="1">
        <v>2.778057E-6</v>
      </c>
      <c r="I3823">
        <v>212.6661</v>
      </c>
      <c r="J3823">
        <v>-422.54669999999999</v>
      </c>
      <c r="K3823">
        <v>1.109952</v>
      </c>
      <c r="L3823">
        <v>213.71260000000001</v>
      </c>
      <c r="M3823">
        <v>0.99962070000000003</v>
      </c>
      <c r="N3823">
        <v>0</v>
      </c>
      <c r="O3823">
        <v>-2.4125520000000001E-2</v>
      </c>
      <c r="P3823">
        <v>0.99301119999999998</v>
      </c>
      <c r="Q3823">
        <v>0.1120206</v>
      </c>
      <c r="R3823">
        <v>-3.7150549999999997E-2</v>
      </c>
      <c r="S3823">
        <v>3.0278320000000001</v>
      </c>
      <c r="T3823">
        <v>-7.5198290000000001E-2</v>
      </c>
      <c r="U3823">
        <v>-7.1365360000000003E-2</v>
      </c>
      <c r="V3823">
        <v>1.334045E-2</v>
      </c>
      <c r="W3823">
        <v>0.12518979999999999</v>
      </c>
      <c r="X3823">
        <v>0.99204309999999996</v>
      </c>
      <c r="Y3823">
        <v>-5.5696130000000002E-4</v>
      </c>
      <c r="Z3823">
        <v>6.0587939999999995E-4</v>
      </c>
      <c r="AA3823">
        <v>0.99999959999999999</v>
      </c>
      <c r="AB3823">
        <v>24</v>
      </c>
      <c r="AC3823">
        <v>44.438400000000001</v>
      </c>
      <c r="AD3823">
        <v>-1.1099492219430001</v>
      </c>
      <c r="AE3823">
        <v>-1.0465</v>
      </c>
      <c r="AF3823">
        <v>-2.59825382423408E-2</v>
      </c>
      <c r="AG3823">
        <v>-1.1099492219430001</v>
      </c>
      <c r="AH3823">
        <v>44.423014415384301</v>
      </c>
      <c r="AI3823">
        <v>91.431288864663202</v>
      </c>
      <c r="AJ3823">
        <v>90.033511674796401</v>
      </c>
      <c r="AK3823">
        <v>44.4368863908918</v>
      </c>
      <c r="AL3823">
        <v>82.808283256470503</v>
      </c>
      <c r="AM3823">
        <v>89.229564306986703</v>
      </c>
      <c r="AN3823">
        <v>0.999999982943926</v>
      </c>
    </row>
    <row r="3824" spans="1:40" x14ac:dyDescent="0.25">
      <c r="A3824" t="str">
        <f>"20190312172152846"</f>
        <v>20190312172152846</v>
      </c>
      <c r="B3824" t="str">
        <f>"1552382512834457"</f>
        <v>1552382512834457</v>
      </c>
      <c r="C3824" t="s">
        <v>40</v>
      </c>
      <c r="D3824">
        <v>3.2671320000000001</v>
      </c>
      <c r="E3824">
        <v>0.50000959999999905</v>
      </c>
      <c r="F3824" t="s">
        <v>46</v>
      </c>
      <c r="G3824">
        <v>-393.40210000000002</v>
      </c>
      <c r="H3824" s="1">
        <v>2.7364309999999998E-7</v>
      </c>
      <c r="I3824">
        <v>212.6464</v>
      </c>
      <c r="J3824">
        <v>-422.3125</v>
      </c>
      <c r="K3824">
        <v>1.109985</v>
      </c>
      <c r="L3824">
        <v>213.70609999999999</v>
      </c>
      <c r="M3824">
        <v>0.99960400000000005</v>
      </c>
      <c r="N3824">
        <v>0</v>
      </c>
      <c r="O3824">
        <v>-2.480748E-2</v>
      </c>
      <c r="P3824">
        <v>0.99330989999999997</v>
      </c>
      <c r="Q3824">
        <v>0.1098971</v>
      </c>
      <c r="R3824">
        <v>-3.5472370000000003E-2</v>
      </c>
      <c r="S3824">
        <v>3.0299990000000001</v>
      </c>
      <c r="T3824">
        <v>-0.1153954</v>
      </c>
      <c r="U3824">
        <v>-0.1108398</v>
      </c>
      <c r="V3824">
        <v>1.0962700000000001E-2</v>
      </c>
      <c r="W3824">
        <v>0.1230724</v>
      </c>
      <c r="X3824">
        <v>0.99233720000000003</v>
      </c>
      <c r="Y3824">
        <v>1.176147E-2</v>
      </c>
      <c r="Z3824">
        <v>7.2021360000000003E-4</v>
      </c>
      <c r="AA3824">
        <v>0.9999306</v>
      </c>
      <c r="AB3824">
        <v>24</v>
      </c>
      <c r="AC3824">
        <v>28.9103999999999</v>
      </c>
      <c r="AD3824">
        <v>-1.1099847263568901</v>
      </c>
      <c r="AE3824">
        <v>-1.0596999999999901</v>
      </c>
      <c r="AF3824">
        <v>0.34161347506881001</v>
      </c>
      <c r="AG3824">
        <v>-1.1099847263568901</v>
      </c>
      <c r="AH3824">
        <v>28.885269444450199</v>
      </c>
      <c r="AI3824">
        <v>92.200489194195995</v>
      </c>
      <c r="AJ3824">
        <v>89.3224194111435</v>
      </c>
      <c r="AK3824">
        <v>28.908606966396398</v>
      </c>
      <c r="AL3824">
        <v>82.930547504587594</v>
      </c>
      <c r="AM3824">
        <v>89.367059008449999</v>
      </c>
      <c r="AN3824">
        <v>1.00000005746844</v>
      </c>
    </row>
    <row r="3825" spans="1:40" x14ac:dyDescent="0.25">
      <c r="A3825" t="str">
        <f>"20190312172152867"</f>
        <v>20190312172152867</v>
      </c>
      <c r="B3825" t="str">
        <f>"1552382512864713"</f>
        <v>1552382512864713</v>
      </c>
      <c r="C3825" t="s">
        <v>40</v>
      </c>
      <c r="D3825">
        <v>3.2623099999999998</v>
      </c>
      <c r="E3825">
        <v>0.4999421</v>
      </c>
      <c r="F3825" t="s">
        <v>46</v>
      </c>
      <c r="G3825">
        <v>-393.9375</v>
      </c>
      <c r="H3825" s="1">
        <v>5.5854580000000005E-7</v>
      </c>
      <c r="I3825">
        <v>212.7055</v>
      </c>
      <c r="J3825">
        <v>-422.0847</v>
      </c>
      <c r="K3825">
        <v>1.1100270000000001</v>
      </c>
      <c r="L3825">
        <v>213.69970000000001</v>
      </c>
      <c r="M3825">
        <v>0.9995889</v>
      </c>
      <c r="N3825">
        <v>0</v>
      </c>
      <c r="O3825">
        <v>-2.5411090000000001E-2</v>
      </c>
      <c r="P3825">
        <v>0.99358930000000001</v>
      </c>
      <c r="Q3825">
        <v>0.1082439</v>
      </c>
      <c r="R3825">
        <v>-3.2606000000000003E-2</v>
      </c>
      <c r="S3825">
        <v>3.029541</v>
      </c>
      <c r="T3825">
        <v>-0.1185107</v>
      </c>
      <c r="U3825">
        <v>-0.1068268</v>
      </c>
      <c r="V3825">
        <v>7.4758259999999997E-3</v>
      </c>
      <c r="W3825">
        <v>0.12142550000000001</v>
      </c>
      <c r="X3825">
        <v>0.99257240000000002</v>
      </c>
      <c r="Y3825">
        <v>9.8427619999999997E-3</v>
      </c>
      <c r="Z3825">
        <v>8.0086509999999895E-4</v>
      </c>
      <c r="AA3825">
        <v>0.99995120000000004</v>
      </c>
      <c r="AB3825">
        <v>24</v>
      </c>
      <c r="AC3825">
        <v>28.147200000000002</v>
      </c>
      <c r="AD3825">
        <v>-1.1100264414542</v>
      </c>
      <c r="AE3825">
        <v>-0.99420000000000597</v>
      </c>
      <c r="AF3825">
        <v>0.27813278646947498</v>
      </c>
      <c r="AG3825">
        <v>-1.1100264414542</v>
      </c>
      <c r="AH3825">
        <v>28.1196969416781</v>
      </c>
      <c r="AI3825">
        <v>92.260469584445403</v>
      </c>
      <c r="AJ3825">
        <v>89.433304164277601</v>
      </c>
      <c r="AK3825">
        <v>28.1429719937227</v>
      </c>
      <c r="AL3825">
        <v>83.025620661377999</v>
      </c>
      <c r="AM3825">
        <v>89.568469585676297</v>
      </c>
      <c r="AN3825">
        <v>1.0000000046331901</v>
      </c>
    </row>
    <row r="3826" spans="1:40" x14ac:dyDescent="0.25">
      <c r="A3826" t="str">
        <f>"20190312172152901"</f>
        <v>20190312172152901</v>
      </c>
      <c r="B3826" t="str">
        <f>"1552382512893994"</f>
        <v>1552382512893994</v>
      </c>
      <c r="C3826" t="s">
        <v>40</v>
      </c>
      <c r="D3826">
        <v>3.2549760000000001</v>
      </c>
      <c r="E3826">
        <v>0.50025399999999998</v>
      </c>
      <c r="F3826" t="s">
        <v>46</v>
      </c>
      <c r="G3826">
        <v>-394.50689999999997</v>
      </c>
      <c r="H3826" s="1">
        <v>8.6157630000000004E-7</v>
      </c>
      <c r="I3826">
        <v>212.80260000000001</v>
      </c>
      <c r="J3826">
        <v>-421.71120000000002</v>
      </c>
      <c r="K3826">
        <v>1.110134</v>
      </c>
      <c r="L3826">
        <v>213.6891</v>
      </c>
      <c r="M3826">
        <v>0.99956769999999995</v>
      </c>
      <c r="N3826">
        <v>0</v>
      </c>
      <c r="O3826">
        <v>-2.6235390000000001E-2</v>
      </c>
      <c r="P3826">
        <v>0.99316420000000005</v>
      </c>
      <c r="Q3826">
        <v>0.1124487</v>
      </c>
      <c r="R3826">
        <v>-3.1312439999999997E-2</v>
      </c>
      <c r="S3826">
        <v>3.0294490000000001</v>
      </c>
      <c r="T3826">
        <v>-0.1219374</v>
      </c>
      <c r="U3826">
        <v>-9.8541260000000006E-2</v>
      </c>
      <c r="V3826">
        <v>5.3514139999999997E-3</v>
      </c>
      <c r="W3826">
        <v>0.1256245</v>
      </c>
      <c r="X3826">
        <v>0.99206340000000004</v>
      </c>
      <c r="Y3826">
        <v>6.2916819999999998E-3</v>
      </c>
      <c r="Z3826">
        <v>9.2863829999999996E-4</v>
      </c>
      <c r="AA3826">
        <v>0.99997979999999997</v>
      </c>
      <c r="AB3826">
        <v>24</v>
      </c>
      <c r="AC3826">
        <v>27.2043</v>
      </c>
      <c r="AD3826">
        <v>-1.1101331384237001</v>
      </c>
      <c r="AE3826">
        <v>-0.88649999999998297</v>
      </c>
      <c r="AF3826">
        <v>0.172130196482526</v>
      </c>
      <c r="AG3826">
        <v>-1.1101331384237001</v>
      </c>
      <c r="AH3826">
        <v>27.172992792471899</v>
      </c>
      <c r="AI3826">
        <v>92.339430101366105</v>
      </c>
      <c r="AJ3826">
        <v>89.637058680004102</v>
      </c>
      <c r="AK3826">
        <v>27.196204913356901</v>
      </c>
      <c r="AL3826">
        <v>82.783178502431596</v>
      </c>
      <c r="AM3826">
        <v>89.690936624849996</v>
      </c>
      <c r="AN3826">
        <v>0.99999997112580397</v>
      </c>
    </row>
    <row r="3827" spans="1:40" x14ac:dyDescent="0.25">
      <c r="A3827" t="str">
        <f>"20190312172152924"</f>
        <v>20190312172152924</v>
      </c>
      <c r="B3827" t="str">
        <f>"1552382512914493"</f>
        <v>1552382512914493</v>
      </c>
      <c r="C3827" t="s">
        <v>40</v>
      </c>
      <c r="D3827">
        <v>3.2712750000000002</v>
      </c>
      <c r="E3827">
        <v>0.50052209999999997</v>
      </c>
      <c r="F3827" t="s">
        <v>46</v>
      </c>
      <c r="G3827">
        <v>-390.68680000000001</v>
      </c>
      <c r="H3827" s="1">
        <v>-1.171296E-6</v>
      </c>
      <c r="I3827">
        <v>212.70760000000001</v>
      </c>
      <c r="J3827">
        <v>-421.46440000000001</v>
      </c>
      <c r="K3827">
        <v>1.1102190000000001</v>
      </c>
      <c r="L3827">
        <v>213.68209999999999</v>
      </c>
      <c r="M3827">
        <v>0.99955740000000004</v>
      </c>
      <c r="N3827">
        <v>0</v>
      </c>
      <c r="O3827">
        <v>-2.6623819999999999E-2</v>
      </c>
      <c r="P3827">
        <v>0.99309069999999999</v>
      </c>
      <c r="Q3827">
        <v>0.11328630000000001</v>
      </c>
      <c r="R3827">
        <v>-3.0615759999999999E-2</v>
      </c>
      <c r="S3827">
        <v>3.0298769999999999</v>
      </c>
      <c r="T3827">
        <v>-0.108417</v>
      </c>
      <c r="U3827">
        <v>-9.5855709999999997E-2</v>
      </c>
      <c r="V3827">
        <v>4.2470729999999996E-3</v>
      </c>
      <c r="W3827">
        <v>0.1264613</v>
      </c>
      <c r="X3827">
        <v>0.99196240000000002</v>
      </c>
      <c r="Y3827">
        <v>5.010769E-3</v>
      </c>
      <c r="Z3827">
        <v>8.6242920000000002E-4</v>
      </c>
      <c r="AA3827">
        <v>0.99998710000000002</v>
      </c>
      <c r="AB3827">
        <v>24</v>
      </c>
      <c r="AC3827">
        <v>30.7776</v>
      </c>
      <c r="AD3827">
        <v>-1.110220171296</v>
      </c>
      <c r="AE3827">
        <v>-0.97449999999997705</v>
      </c>
      <c r="AF3827">
        <v>0.15446423889248501</v>
      </c>
      <c r="AG3827">
        <v>-1.110220171296</v>
      </c>
      <c r="AH3827">
        <v>30.7526596183218</v>
      </c>
      <c r="AI3827">
        <v>92.067545244376802</v>
      </c>
      <c r="AJ3827">
        <v>89.7122175883311</v>
      </c>
      <c r="AK3827">
        <v>30.7730811201967</v>
      </c>
      <c r="AL3827">
        <v>82.734847794465495</v>
      </c>
      <c r="AM3827">
        <v>89.754690428481993</v>
      </c>
      <c r="AN3827">
        <v>0.99999995052025703</v>
      </c>
    </row>
    <row r="3828" spans="1:40" x14ac:dyDescent="0.25">
      <c r="A3828" t="str">
        <f>"20190312172152946"</f>
        <v>20190312172152946</v>
      </c>
      <c r="B3828" t="str">
        <f>"1552382512934009"</f>
        <v>1552382512934009</v>
      </c>
      <c r="C3828" t="s">
        <v>40</v>
      </c>
      <c r="D3828">
        <v>3.2191320000000001</v>
      </c>
      <c r="E3828">
        <v>0.50081809999999904</v>
      </c>
      <c r="F3828" t="s">
        <v>46</v>
      </c>
      <c r="G3828">
        <v>-389.82190000000003</v>
      </c>
      <c r="H3828" s="1">
        <v>3.7740880000000001E-6</v>
      </c>
      <c r="I3828">
        <v>212.69110000000001</v>
      </c>
      <c r="J3828">
        <v>-421.22219999999999</v>
      </c>
      <c r="K3828">
        <v>1.110306</v>
      </c>
      <c r="L3828">
        <v>213.67519999999999</v>
      </c>
      <c r="M3828">
        <v>0.99955020000000006</v>
      </c>
      <c r="N3828">
        <v>0</v>
      </c>
      <c r="O3828">
        <v>-2.689741E-2</v>
      </c>
      <c r="P3828">
        <v>0.99305399999999999</v>
      </c>
      <c r="Q3828">
        <v>0.11382390000000001</v>
      </c>
      <c r="R3828">
        <v>-2.9802329999999998E-2</v>
      </c>
      <c r="S3828">
        <v>3.0300289999999999</v>
      </c>
      <c r="T3828">
        <v>-0.1063122</v>
      </c>
      <c r="U3828">
        <v>-9.4894409999999998E-2</v>
      </c>
      <c r="V3828">
        <v>3.1377200000000001E-3</v>
      </c>
      <c r="W3828">
        <v>0.1269972</v>
      </c>
      <c r="X3828">
        <v>0.9918981</v>
      </c>
      <c r="Y3828">
        <v>4.4185309999999998E-3</v>
      </c>
      <c r="Z3828">
        <v>8.656324E-4</v>
      </c>
      <c r="AA3828">
        <v>0.99998989999999999</v>
      </c>
      <c r="AB3828">
        <v>24</v>
      </c>
      <c r="AC3828">
        <v>31.400299999999898</v>
      </c>
      <c r="AD3828">
        <v>-1.1103022259119999</v>
      </c>
      <c r="AE3828">
        <v>-0.98409999999998299</v>
      </c>
      <c r="AF3828">
        <v>0.138909335194107</v>
      </c>
      <c r="AG3828">
        <v>-1.1103022259119999</v>
      </c>
      <c r="AH3828">
        <v>31.376218172674701</v>
      </c>
      <c r="AI3828">
        <v>92.026645621669701</v>
      </c>
      <c r="AJ3828">
        <v>89.746340792269393</v>
      </c>
      <c r="AK3828">
        <v>31.396164314380002</v>
      </c>
      <c r="AL3828">
        <v>82.703893680605901</v>
      </c>
      <c r="AM3828">
        <v>89.818754049805193</v>
      </c>
      <c r="AN3828">
        <v>0.99999998743912399</v>
      </c>
    </row>
    <row r="3829" spans="1:40" x14ac:dyDescent="0.25">
      <c r="A3829" t="str">
        <f>"20190312172152969"</f>
        <v>20190312172152969</v>
      </c>
      <c r="B3829" t="str">
        <f>"1552382512964266"</f>
        <v>1552382512964266</v>
      </c>
      <c r="C3829" t="s">
        <v>40</v>
      </c>
      <c r="D3829">
        <v>3.2545459999999999</v>
      </c>
      <c r="E3829">
        <v>0.50120529999999996</v>
      </c>
      <c r="F3829" t="s">
        <v>46</v>
      </c>
      <c r="G3829">
        <v>-389.20359999999999</v>
      </c>
      <c r="H3829" s="1">
        <v>3.446109E-6</v>
      </c>
      <c r="I3829">
        <v>212.6677</v>
      </c>
      <c r="J3829">
        <v>-420.98099999999999</v>
      </c>
      <c r="K3829">
        <v>1.1104050000000001</v>
      </c>
      <c r="L3829">
        <v>213.66849999999999</v>
      </c>
      <c r="M3829">
        <v>0.9995463</v>
      </c>
      <c r="N3829">
        <v>0</v>
      </c>
      <c r="O3829">
        <v>-2.7038690000000001E-2</v>
      </c>
      <c r="P3829">
        <v>0.99306179999999999</v>
      </c>
      <c r="Q3829">
        <v>0.11409950000000001</v>
      </c>
      <c r="R3829">
        <v>-2.8459620000000001E-2</v>
      </c>
      <c r="S3829">
        <v>3.0301819999999999</v>
      </c>
      <c r="T3829">
        <v>-0.1050773</v>
      </c>
      <c r="U3829">
        <v>-9.535217E-2</v>
      </c>
      <c r="V3829">
        <v>1.626745E-3</v>
      </c>
      <c r="W3829">
        <v>0.127272</v>
      </c>
      <c r="X3829">
        <v>0.99186649999999998</v>
      </c>
      <c r="Y3829">
        <v>4.4262889999999999E-3</v>
      </c>
      <c r="Z3829">
        <v>8.602983E-4</v>
      </c>
      <c r="AA3829">
        <v>0.99998980000000004</v>
      </c>
      <c r="AB3829">
        <v>24</v>
      </c>
      <c r="AC3829">
        <v>31.7774</v>
      </c>
      <c r="AD3829">
        <v>-1.1104015538909999</v>
      </c>
      <c r="AE3829">
        <v>-1.0007999999999899</v>
      </c>
      <c r="AF3829">
        <v>0.140967144126149</v>
      </c>
      <c r="AG3829">
        <v>-1.1104015538909999</v>
      </c>
      <c r="AH3829">
        <v>31.754108414007302</v>
      </c>
      <c r="AI3829">
        <v>92.002726144999599</v>
      </c>
      <c r="AJ3829">
        <v>89.745646476820198</v>
      </c>
      <c r="AK3829">
        <v>31.773829868543299</v>
      </c>
      <c r="AL3829">
        <v>82.688019945736102</v>
      </c>
      <c r="AM3829">
        <v>89.906030157008402</v>
      </c>
      <c r="AN3829">
        <v>0.99999998105277199</v>
      </c>
    </row>
    <row r="3830" spans="1:40" x14ac:dyDescent="0.25">
      <c r="A3830" t="str">
        <f>"20190312172152992"</f>
        <v>20190312172152992</v>
      </c>
      <c r="B3830" t="str">
        <f>"1552382512984761"</f>
        <v>1552382512984761</v>
      </c>
      <c r="C3830" t="s">
        <v>40</v>
      </c>
      <c r="D3830">
        <v>3.2465470000000001</v>
      </c>
      <c r="E3830">
        <v>0.50154019999999999</v>
      </c>
      <c r="F3830" t="s">
        <v>46</v>
      </c>
      <c r="G3830">
        <v>-388.67750000000001</v>
      </c>
      <c r="H3830" s="1">
        <v>3.166774E-6</v>
      </c>
      <c r="I3830">
        <v>212.6525</v>
      </c>
      <c r="J3830">
        <v>-420.72710000000001</v>
      </c>
      <c r="K3830">
        <v>1.11052</v>
      </c>
      <c r="L3830">
        <v>213.66149999999999</v>
      </c>
      <c r="M3830">
        <v>0.99954699999999996</v>
      </c>
      <c r="N3830">
        <v>0</v>
      </c>
      <c r="O3830">
        <v>-2.701988E-2</v>
      </c>
      <c r="P3830">
        <v>0.99299780000000004</v>
      </c>
      <c r="Q3830">
        <v>0.1149997</v>
      </c>
      <c r="R3830">
        <v>-2.7039489999999999E-2</v>
      </c>
      <c r="S3830">
        <v>3.0302120000000001</v>
      </c>
      <c r="T3830">
        <v>-0.1041604</v>
      </c>
      <c r="U3830">
        <v>-9.5306399999999999E-2</v>
      </c>
      <c r="V3830">
        <v>1.9401840000000001E-4</v>
      </c>
      <c r="W3830">
        <v>0.1281697</v>
      </c>
      <c r="X3830">
        <v>0.99175230000000003</v>
      </c>
      <c r="Y3830">
        <v>4.4294529999999999E-3</v>
      </c>
      <c r="Z3830">
        <v>8.5208769999999998E-4</v>
      </c>
      <c r="AA3830">
        <v>0.99998980000000004</v>
      </c>
      <c r="AB3830">
        <v>24</v>
      </c>
      <c r="AC3830">
        <v>32.049599999999998</v>
      </c>
      <c r="AD3830">
        <v>-1.110516833226</v>
      </c>
      <c r="AE3830">
        <v>-1.0089999999999799</v>
      </c>
      <c r="AF3830">
        <v>0.14240829581332901</v>
      </c>
      <c r="AG3830">
        <v>-1.110516833226</v>
      </c>
      <c r="AH3830">
        <v>32.026748137443398</v>
      </c>
      <c r="AI3830">
        <v>91.985896814563901</v>
      </c>
      <c r="AJ3830">
        <v>89.745233562013993</v>
      </c>
      <c r="AK3830">
        <v>32.046312175019899</v>
      </c>
      <c r="AL3830">
        <v>82.636161440456206</v>
      </c>
      <c r="AM3830">
        <v>89.988791117171004</v>
      </c>
      <c r="AN3830">
        <v>1.0000000670982501</v>
      </c>
    </row>
    <row r="3831" spans="1:40" x14ac:dyDescent="0.25">
      <c r="A3831" t="str">
        <f>"20190312172153013"</f>
        <v>20190312172153013</v>
      </c>
      <c r="B3831" t="str">
        <f>"1552382513004285"</f>
        <v>1552382513004285</v>
      </c>
      <c r="C3831" t="s">
        <v>40</v>
      </c>
      <c r="D3831">
        <v>3.2435719999999999</v>
      </c>
      <c r="E3831">
        <v>0.50168990000000002</v>
      </c>
      <c r="F3831" t="s">
        <v>46</v>
      </c>
      <c r="G3831">
        <v>-387.53980000000001</v>
      </c>
      <c r="H3831" s="1">
        <v>2.5624280000000002E-6</v>
      </c>
      <c r="I3831">
        <v>212.62809999999999</v>
      </c>
      <c r="J3831">
        <v>-420.4984</v>
      </c>
      <c r="K3831">
        <v>1.1106279999999999</v>
      </c>
      <c r="L3831">
        <v>213.65539999999999</v>
      </c>
      <c r="M3831">
        <v>0.99955190000000005</v>
      </c>
      <c r="N3831">
        <v>0</v>
      </c>
      <c r="O3831">
        <v>-2.683667E-2</v>
      </c>
      <c r="P3831">
        <v>0.99300549999999999</v>
      </c>
      <c r="Q3831">
        <v>0.1154538</v>
      </c>
      <c r="R3831">
        <v>-2.47104E-2</v>
      </c>
      <c r="S3831">
        <v>3.0303650000000002</v>
      </c>
      <c r="T3831">
        <v>-0.1014024</v>
      </c>
      <c r="U3831">
        <v>-9.4360349999999996E-2</v>
      </c>
      <c r="V3831">
        <v>-1.9873249999999999E-3</v>
      </c>
      <c r="W3831">
        <v>0.12862169999999901</v>
      </c>
      <c r="X3831">
        <v>0.99169169999999995</v>
      </c>
      <c r="Y3831">
        <v>4.2985489999999996E-3</v>
      </c>
      <c r="Z3831">
        <v>8.2556579999999995E-4</v>
      </c>
      <c r="AA3831">
        <v>0.99999039999999995</v>
      </c>
      <c r="AB3831">
        <v>24</v>
      </c>
      <c r="AC3831">
        <v>32.958599999999898</v>
      </c>
      <c r="AD3831">
        <v>-1.1106254375719999</v>
      </c>
      <c r="AE3831">
        <v>-1.0272999999999901</v>
      </c>
      <c r="AF3831">
        <v>0.14219180184015801</v>
      </c>
      <c r="AG3831">
        <v>-1.1106254375719999</v>
      </c>
      <c r="AH3831">
        <v>32.936934504891397</v>
      </c>
      <c r="AI3831">
        <v>91.931250053366995</v>
      </c>
      <c r="AJ3831">
        <v>89.752650341107099</v>
      </c>
      <c r="AK3831">
        <v>32.955960947157898</v>
      </c>
      <c r="AL3831">
        <v>82.610046806397506</v>
      </c>
      <c r="AM3831">
        <v>90.114819134411107</v>
      </c>
      <c r="AN3831">
        <v>0.99999995951021603</v>
      </c>
    </row>
    <row r="3832" spans="1:40" x14ac:dyDescent="0.25">
      <c r="A3832" t="str">
        <f>"20190312172153035"</f>
        <v>20190312172153035</v>
      </c>
      <c r="B3832" t="str">
        <f>"1552382513024785"</f>
        <v>1552382513024785</v>
      </c>
      <c r="C3832" t="s">
        <v>40</v>
      </c>
      <c r="D3832">
        <v>3.2733379999999999</v>
      </c>
      <c r="E3832">
        <v>0.50516559999999999</v>
      </c>
      <c r="F3832" t="s">
        <v>46</v>
      </c>
      <c r="G3832">
        <v>-387.03410000000002</v>
      </c>
      <c r="H3832" s="1">
        <v>2.2913809999999999E-6</v>
      </c>
      <c r="I3832">
        <v>212.67179999999999</v>
      </c>
      <c r="J3832">
        <v>-420.25970000000001</v>
      </c>
      <c r="K3832">
        <v>1.1107450000000001</v>
      </c>
      <c r="L3832">
        <v>213.64930000000001</v>
      </c>
      <c r="M3832">
        <v>0.9995617</v>
      </c>
      <c r="N3832">
        <v>0</v>
      </c>
      <c r="O3832">
        <v>-2.6466300000000002E-2</v>
      </c>
      <c r="P3832">
        <v>0.99334750000000005</v>
      </c>
      <c r="Q3832">
        <v>0.1131296</v>
      </c>
      <c r="R3832">
        <v>-2.1509899999999998E-2</v>
      </c>
      <c r="S3832">
        <v>3.0306090000000001</v>
      </c>
      <c r="T3832">
        <v>-0.100581</v>
      </c>
      <c r="U3832">
        <v>-8.9080809999999996E-2</v>
      </c>
      <c r="V3832">
        <v>-4.866698E-3</v>
      </c>
      <c r="W3832">
        <v>0.1262982</v>
      </c>
      <c r="X3832">
        <v>0.99198039999999998</v>
      </c>
      <c r="Y3832">
        <v>2.9264640000000001E-3</v>
      </c>
      <c r="Z3832">
        <v>8.2931919999999998E-4</v>
      </c>
      <c r="AA3832">
        <v>0.99999539999999998</v>
      </c>
      <c r="AB3832">
        <v>24</v>
      </c>
      <c r="AC3832">
        <v>33.225599999999901</v>
      </c>
      <c r="AD3832">
        <v>-1.110742708619</v>
      </c>
      <c r="AE3832">
        <v>-0.97750000000002002</v>
      </c>
      <c r="AF3832">
        <v>9.7612465478989205E-2</v>
      </c>
      <c r="AG3832">
        <v>-1.110742708619</v>
      </c>
      <c r="AH3832">
        <v>33.2027574371686</v>
      </c>
      <c r="AI3832">
        <v>91.916011643498607</v>
      </c>
      <c r="AJ3832">
        <v>89.831557177208595</v>
      </c>
      <c r="AK3832">
        <v>33.221474666089499</v>
      </c>
      <c r="AL3832">
        <v>82.7442687557391</v>
      </c>
      <c r="AM3832">
        <v>90.281093274050704</v>
      </c>
      <c r="AN3832">
        <v>1.00000001702841</v>
      </c>
    </row>
    <row r="3833" spans="1:40" x14ac:dyDescent="0.25">
      <c r="A3833" t="str">
        <f>"20190312172153056"</f>
        <v>20190312172153056</v>
      </c>
      <c r="B3833" t="str">
        <f>"1552382513054057"</f>
        <v>1552382513054057</v>
      </c>
      <c r="C3833" t="s">
        <v>40</v>
      </c>
      <c r="D3833">
        <v>3.250181</v>
      </c>
      <c r="E3833">
        <v>0.50570300000000001</v>
      </c>
      <c r="F3833" t="s">
        <v>46</v>
      </c>
      <c r="G3833">
        <v>-388.31270000000001</v>
      </c>
      <c r="H3833" s="1">
        <v>2.978718E-6</v>
      </c>
      <c r="I3833">
        <v>212.51410000000001</v>
      </c>
      <c r="J3833">
        <v>-420.02870000000001</v>
      </c>
      <c r="K3833">
        <v>1.1108739999999999</v>
      </c>
      <c r="L3833">
        <v>213.6437</v>
      </c>
      <c r="M3833">
        <v>0.99957589999999996</v>
      </c>
      <c r="N3833">
        <v>0</v>
      </c>
      <c r="O3833">
        <v>-2.592088E-2</v>
      </c>
      <c r="P3833">
        <v>0.99367620000000001</v>
      </c>
      <c r="Q3833">
        <v>0.1109415</v>
      </c>
      <c r="R3833">
        <v>-1.7321369999999999E-2</v>
      </c>
      <c r="S3833">
        <v>3.029785</v>
      </c>
      <c r="T3833">
        <v>-0.1053405</v>
      </c>
      <c r="U3833">
        <v>-0.107666</v>
      </c>
      <c r="V3833">
        <v>-8.5609080000000008E-3</v>
      </c>
      <c r="W3833">
        <v>0.1241078</v>
      </c>
      <c r="X3833">
        <v>0.9922318</v>
      </c>
      <c r="Y3833">
        <v>9.6045369999999998E-3</v>
      </c>
      <c r="Z3833">
        <v>7.3370509999999903E-4</v>
      </c>
      <c r="AA3833">
        <v>0.9999536</v>
      </c>
      <c r="AB3833">
        <v>24</v>
      </c>
      <c r="AC3833">
        <v>31.716000000000001</v>
      </c>
      <c r="AD3833">
        <v>-1.1108710212820001</v>
      </c>
      <c r="AE3833">
        <v>-1.12959999999998</v>
      </c>
      <c r="AF3833">
        <v>0.306665609182184</v>
      </c>
      <c r="AG3833">
        <v>-1.1108710212820001</v>
      </c>
      <c r="AH3833">
        <v>31.695789437483299</v>
      </c>
      <c r="AI3833">
        <v>92.007181563046203</v>
      </c>
      <c r="AJ3833">
        <v>89.445664638683596</v>
      </c>
      <c r="AK3833">
        <v>31.716732906890901</v>
      </c>
      <c r="AL3833">
        <v>82.870764641689405</v>
      </c>
      <c r="AM3833">
        <v>90.494331794758196</v>
      </c>
      <c r="AN3833">
        <v>0.99999999004893203</v>
      </c>
    </row>
    <row r="3834" spans="1:40" x14ac:dyDescent="0.25">
      <c r="A3834" t="str">
        <f>"20190312172153079"</f>
        <v>20190312172153079</v>
      </c>
      <c r="B3834" t="str">
        <f>"1552382513074554"</f>
        <v>1552382513074554</v>
      </c>
      <c r="C3834" t="s">
        <v>40</v>
      </c>
      <c r="D3834">
        <v>3.2793739999999998</v>
      </c>
      <c r="E3834">
        <v>0.50587910000000003</v>
      </c>
      <c r="F3834" t="s">
        <v>46</v>
      </c>
      <c r="G3834">
        <v>-389.91500000000002</v>
      </c>
      <c r="H3834" s="1">
        <v>3.825298E-6</v>
      </c>
      <c r="I3834">
        <v>212.6532</v>
      </c>
      <c r="J3834">
        <v>-419.78890000000001</v>
      </c>
      <c r="K3834">
        <v>1.1110169999999999</v>
      </c>
      <c r="L3834">
        <v>213.63820000000001</v>
      </c>
      <c r="M3834">
        <v>0.99959560000000003</v>
      </c>
      <c r="N3834">
        <v>0</v>
      </c>
      <c r="O3834">
        <v>-2.5157269999999999E-2</v>
      </c>
      <c r="P3834">
        <v>0.99373659999999997</v>
      </c>
      <c r="Q3834">
        <v>0.1109349</v>
      </c>
      <c r="R3834">
        <v>-1.346544E-2</v>
      </c>
      <c r="S3834">
        <v>3.029846</v>
      </c>
      <c r="T3834">
        <v>-0.11176850000000001</v>
      </c>
      <c r="U3834">
        <v>-9.9655149999999998E-2</v>
      </c>
      <c r="V3834">
        <v>-1.1701059999999999E-2</v>
      </c>
      <c r="W3834">
        <v>0.124094</v>
      </c>
      <c r="X3834">
        <v>0.99220140000000001</v>
      </c>
      <c r="Y3834">
        <v>7.7289319999999896E-3</v>
      </c>
      <c r="Z3834">
        <v>7.8490690000000002E-4</v>
      </c>
      <c r="AA3834">
        <v>0.99996980000000002</v>
      </c>
      <c r="AB3834">
        <v>24</v>
      </c>
      <c r="AC3834">
        <v>29.8738999999999</v>
      </c>
      <c r="AD3834">
        <v>-1.111013174702</v>
      </c>
      <c r="AE3834">
        <v>-0.98500000000001298</v>
      </c>
      <c r="AF3834">
        <v>0.23275480571983601</v>
      </c>
      <c r="AG3834">
        <v>-1.111013174702</v>
      </c>
      <c r="AH3834">
        <v>29.8479874965231</v>
      </c>
      <c r="AI3834">
        <v>92.131636476098507</v>
      </c>
      <c r="AJ3834">
        <v>89.553216184931699</v>
      </c>
      <c r="AK3834">
        <v>29.869564487393198</v>
      </c>
      <c r="AL3834">
        <v>82.871561030877004</v>
      </c>
      <c r="AM3834">
        <v>90.675659474665295</v>
      </c>
      <c r="AN3834">
        <v>0.99999992690153905</v>
      </c>
    </row>
    <row r="3835" spans="1:40" x14ac:dyDescent="0.25">
      <c r="A3835" t="str">
        <f>"20190312172153102"</f>
        <v>20190312172153102</v>
      </c>
      <c r="B3835" t="str">
        <f>"1552382513094074"</f>
        <v>1552382513094074</v>
      </c>
      <c r="C3835" t="s">
        <v>40</v>
      </c>
      <c r="D3835">
        <v>3.24654</v>
      </c>
      <c r="E3835">
        <v>0.50594700000000004</v>
      </c>
      <c r="F3835" t="s">
        <v>46</v>
      </c>
      <c r="G3835">
        <v>-389.89100000000002</v>
      </c>
      <c r="H3835" s="1">
        <v>3.80807E-6</v>
      </c>
      <c r="I3835">
        <v>212.75450000000001</v>
      </c>
      <c r="J3835">
        <v>-419.53590000000003</v>
      </c>
      <c r="K3835">
        <v>1.111175</v>
      </c>
      <c r="L3835">
        <v>213.63290000000001</v>
      </c>
      <c r="M3835">
        <v>0.99962130000000005</v>
      </c>
      <c r="N3835">
        <v>0</v>
      </c>
      <c r="O3835">
        <v>-2.4112950000000001E-2</v>
      </c>
      <c r="P3835">
        <v>0.99354109999999995</v>
      </c>
      <c r="Q3835">
        <v>0.113064899999999</v>
      </c>
      <c r="R3835">
        <v>-9.6167279999999997E-3</v>
      </c>
      <c r="S3835">
        <v>3.0303040000000001</v>
      </c>
      <c r="T3835">
        <v>-0.11260680000000001</v>
      </c>
      <c r="U3835">
        <v>-8.9569090000000004E-2</v>
      </c>
      <c r="V3835">
        <v>-1.4554249999999999E-2</v>
      </c>
      <c r="W3835">
        <v>0.12621199999999999</v>
      </c>
      <c r="X3835">
        <v>0.99189649999999996</v>
      </c>
      <c r="Y3835">
        <v>5.4446199999999998E-3</v>
      </c>
      <c r="Z3835">
        <v>7.9436749999999999E-4</v>
      </c>
      <c r="AA3835">
        <v>0.99998489999999995</v>
      </c>
      <c r="AB3835">
        <v>24</v>
      </c>
      <c r="AC3835">
        <v>29.6449</v>
      </c>
      <c r="AD3835">
        <v>-1.11117119192999</v>
      </c>
      <c r="AE3835">
        <v>-0.87839999999999896</v>
      </c>
      <c r="AF3835">
        <v>0.163026866832027</v>
      </c>
      <c r="AG3835">
        <v>-1.11117119192999</v>
      </c>
      <c r="AH3835">
        <v>29.615889177770001</v>
      </c>
      <c r="AI3835">
        <v>92.148664425828997</v>
      </c>
      <c r="AJ3835">
        <v>89.684606563217201</v>
      </c>
      <c r="AK3835">
        <v>29.6371754890212</v>
      </c>
      <c r="AL3835">
        <v>82.7492472294756</v>
      </c>
      <c r="AM3835">
        <v>90.840649463216295</v>
      </c>
      <c r="AN3835">
        <v>0.99999998092465603</v>
      </c>
    </row>
    <row r="3836" spans="1:40" x14ac:dyDescent="0.25">
      <c r="A3836" t="str">
        <f>"20190312172153125"</f>
        <v>20190312172153125</v>
      </c>
      <c r="B3836" t="str">
        <f>"1552382513114570"</f>
        <v>1552382513114570</v>
      </c>
      <c r="C3836" t="s">
        <v>40</v>
      </c>
      <c r="D3836">
        <v>3.2456100000000001</v>
      </c>
      <c r="E3836">
        <v>0.50601149999999995</v>
      </c>
      <c r="F3836" t="s">
        <v>46</v>
      </c>
      <c r="G3836">
        <v>-388.02760000000001</v>
      </c>
      <c r="H3836" s="1">
        <v>2.8139240000000001E-6</v>
      </c>
      <c r="I3836">
        <v>212.81370000000001</v>
      </c>
      <c r="J3836">
        <v>-419.29270000000002</v>
      </c>
      <c r="K3836">
        <v>1.1113120000000001</v>
      </c>
      <c r="L3836">
        <v>213.6284</v>
      </c>
      <c r="M3836">
        <v>0.99964980000000003</v>
      </c>
      <c r="N3836">
        <v>0</v>
      </c>
      <c r="O3836">
        <v>-2.290002E-2</v>
      </c>
      <c r="P3836">
        <v>0.99335589999999996</v>
      </c>
      <c r="Q3836">
        <v>0.11495669999999999</v>
      </c>
      <c r="R3836">
        <v>-5.3962480000000002E-3</v>
      </c>
      <c r="S3836">
        <v>3.0309140000000001</v>
      </c>
      <c r="T3836">
        <v>-0.1068885</v>
      </c>
      <c r="U3836">
        <v>-7.8811649999999997E-2</v>
      </c>
      <c r="V3836">
        <v>-1.7608149999999999E-2</v>
      </c>
      <c r="W3836">
        <v>0.1280906</v>
      </c>
      <c r="X3836">
        <v>0.99160610000000005</v>
      </c>
      <c r="Y3836">
        <v>3.1049929999999999E-3</v>
      </c>
      <c r="Z3836">
        <v>7.5244089999999895E-4</v>
      </c>
      <c r="AA3836">
        <v>0.99999490000000002</v>
      </c>
      <c r="AB3836">
        <v>24</v>
      </c>
      <c r="AC3836">
        <v>31.2651</v>
      </c>
      <c r="AD3836">
        <v>-1.111309186076</v>
      </c>
      <c r="AE3836">
        <v>-0.81469999999998699</v>
      </c>
      <c r="AF3836">
        <v>9.8327788644487601E-2</v>
      </c>
      <c r="AG3836">
        <v>-1.111309186076</v>
      </c>
      <c r="AH3836">
        <v>31.2361201099149</v>
      </c>
      <c r="AI3836">
        <v>92.0375823203549</v>
      </c>
      <c r="AJ3836">
        <v>89.819639933840307</v>
      </c>
      <c r="AK3836">
        <v>31.256037432504201</v>
      </c>
      <c r="AL3836">
        <v>82.640730360035207</v>
      </c>
      <c r="AM3836">
        <v>91.017305824804097</v>
      </c>
      <c r="AN3836">
        <v>0.99999995315599499</v>
      </c>
    </row>
    <row r="3837" spans="1:40" x14ac:dyDescent="0.25">
      <c r="A3837" t="str">
        <f>"20190312172153146"</f>
        <v>20190312172153146</v>
      </c>
      <c r="B3837" t="str">
        <f>"1552382513144825"</f>
        <v>1552382513144825</v>
      </c>
      <c r="C3837" t="s">
        <v>40</v>
      </c>
      <c r="D3837">
        <v>3.249342</v>
      </c>
      <c r="E3837">
        <v>0.4780355</v>
      </c>
      <c r="F3837" t="s">
        <v>46</v>
      </c>
      <c r="G3837">
        <v>-386.34300000000002</v>
      </c>
      <c r="H3837" s="1">
        <v>1.9137410000000001E-6</v>
      </c>
      <c r="I3837">
        <v>212.89869999999999</v>
      </c>
      <c r="J3837">
        <v>-419.06439999999998</v>
      </c>
      <c r="K3837">
        <v>1.1114090000000001</v>
      </c>
      <c r="L3837">
        <v>213.62459999999999</v>
      </c>
      <c r="M3837">
        <v>0.99967830000000002</v>
      </c>
      <c r="N3837">
        <v>0</v>
      </c>
      <c r="O3837">
        <v>-2.1617899999999999E-2</v>
      </c>
      <c r="P3837">
        <v>0.99356730000000004</v>
      </c>
      <c r="Q3837">
        <v>0.1132423</v>
      </c>
      <c r="R3837">
        <v>-4.2767219999999999E-4</v>
      </c>
      <c r="S3837">
        <v>3.0315249999999998</v>
      </c>
      <c r="T3837">
        <v>-0.1022459</v>
      </c>
      <c r="U3837">
        <v>-6.7138669999999998E-2</v>
      </c>
      <c r="V3837">
        <v>-2.1334929999999998E-2</v>
      </c>
      <c r="W3837">
        <v>0.1263667</v>
      </c>
      <c r="X3837">
        <v>0.99175409999999997</v>
      </c>
      <c r="Y3837">
        <v>5.3371189999999995E-4</v>
      </c>
      <c r="Z3837">
        <v>7.1980359999999997E-4</v>
      </c>
      <c r="AA3837">
        <v>0.99999959999999999</v>
      </c>
      <c r="AB3837">
        <v>24</v>
      </c>
      <c r="AC3837">
        <v>32.721399999999903</v>
      </c>
      <c r="AD3837">
        <v>-1.111407086259</v>
      </c>
      <c r="AE3837">
        <v>-0.72589999999999499</v>
      </c>
      <c r="AF3837">
        <v>1.82790573793042E-2</v>
      </c>
      <c r="AG3837">
        <v>-1.111407086259</v>
      </c>
      <c r="AH3837">
        <v>32.691748648523102</v>
      </c>
      <c r="AI3837">
        <v>91.947109359256004</v>
      </c>
      <c r="AJ3837">
        <v>89.967964003901102</v>
      </c>
      <c r="AK3837">
        <v>32.710640310662399</v>
      </c>
      <c r="AL3837">
        <v>82.740311868309007</v>
      </c>
      <c r="AM3837">
        <v>91.2323749707367</v>
      </c>
      <c r="AN3837">
        <v>0.99999995848690104</v>
      </c>
    </row>
    <row r="3838" spans="1:40" x14ac:dyDescent="0.25">
      <c r="A3838" t="str">
        <f>"20190312172153170"</f>
        <v>20190312172153170</v>
      </c>
      <c r="B3838" t="str">
        <f>"1552382513164346"</f>
        <v>1552382513164346</v>
      </c>
      <c r="C3838" t="s">
        <v>40</v>
      </c>
      <c r="D3838">
        <v>3.2694570000000001</v>
      </c>
      <c r="E3838">
        <v>0.4778424</v>
      </c>
      <c r="F3838" t="s">
        <v>46</v>
      </c>
      <c r="G3838">
        <v>-377.87939999999998</v>
      </c>
      <c r="H3838" s="1">
        <v>2.6562570000000002E-6</v>
      </c>
      <c r="I3838">
        <v>215.9297</v>
      </c>
      <c r="J3838">
        <v>-418.81979999999999</v>
      </c>
      <c r="K3838">
        <v>1.1114919999999999</v>
      </c>
      <c r="L3838">
        <v>213.62090000000001</v>
      </c>
      <c r="M3838">
        <v>0.99970979999999998</v>
      </c>
      <c r="N3838">
        <v>0</v>
      </c>
      <c r="O3838">
        <v>-2.0103759999999998E-2</v>
      </c>
      <c r="P3838">
        <v>0.99363380000000001</v>
      </c>
      <c r="Q3838">
        <v>0.1125442</v>
      </c>
      <c r="R3838">
        <v>5.0905159999999998E-3</v>
      </c>
      <c r="S3838">
        <v>3.0288390000000001</v>
      </c>
      <c r="T3838">
        <v>-8.1735489999999994E-2</v>
      </c>
      <c r="U3838">
        <v>0.16952509999999901</v>
      </c>
      <c r="V3838">
        <v>-2.5374710000000002E-2</v>
      </c>
      <c r="W3838">
        <v>0.12565480000000001</v>
      </c>
      <c r="X3838">
        <v>0.99174949999999995</v>
      </c>
      <c r="Y3838">
        <v>-7.5910839999999993E-2</v>
      </c>
      <c r="Z3838">
        <v>1.565358E-3</v>
      </c>
      <c r="AA3838">
        <v>0.99711340000000004</v>
      </c>
      <c r="AB3838">
        <v>24</v>
      </c>
      <c r="AC3838">
        <v>40.940399999999997</v>
      </c>
      <c r="AD3838">
        <v>-1.111489343743</v>
      </c>
      <c r="AE3838">
        <v>2.30879999999999</v>
      </c>
      <c r="AF3838">
        <v>-3.1291626970344399</v>
      </c>
      <c r="AG3838">
        <v>-1.111489343743</v>
      </c>
      <c r="AH3838">
        <v>40.855686919949697</v>
      </c>
      <c r="AI3838">
        <v>91.553813328380002</v>
      </c>
      <c r="AJ3838">
        <v>94.379768970642004</v>
      </c>
      <c r="AK3838">
        <v>40.990416214607002</v>
      </c>
      <c r="AL3838">
        <v>82.781429056933305</v>
      </c>
      <c r="AM3838">
        <v>91.465638918525798</v>
      </c>
      <c r="AN3838">
        <v>1.0000000377104299</v>
      </c>
    </row>
    <row r="3839" spans="1:40" x14ac:dyDescent="0.25">
      <c r="A3839" t="str">
        <f>"20190312172153191"</f>
        <v>20190312172153191</v>
      </c>
      <c r="B3839" t="str">
        <f>"1552382513184842"</f>
        <v>1552382513184842</v>
      </c>
      <c r="C3839" t="s">
        <v>40</v>
      </c>
      <c r="D3839">
        <v>3.2437019999999999</v>
      </c>
      <c r="E3839">
        <v>0.47840500000000002</v>
      </c>
      <c r="F3839" t="s">
        <v>46</v>
      </c>
      <c r="G3839">
        <v>-381.88920000000002</v>
      </c>
      <c r="H3839" s="1">
        <v>-5.8722600000000005E-7</v>
      </c>
      <c r="I3839">
        <v>215.8921</v>
      </c>
      <c r="J3839">
        <v>-418.58120000000002</v>
      </c>
      <c r="K3839">
        <v>1.111553</v>
      </c>
      <c r="L3839">
        <v>213.61789999999999</v>
      </c>
      <c r="M3839">
        <v>0.99974079999999999</v>
      </c>
      <c r="N3839">
        <v>0</v>
      </c>
      <c r="O3839">
        <v>-1.8504280000000001E-2</v>
      </c>
      <c r="P3839">
        <v>0.99393010000000004</v>
      </c>
      <c r="Q3839">
        <v>0.10953400000000001</v>
      </c>
      <c r="R3839">
        <v>1.0268390000000001E-2</v>
      </c>
      <c r="S3839">
        <v>3.0285950000000001</v>
      </c>
      <c r="T3839">
        <v>-9.1150999999999996E-2</v>
      </c>
      <c r="U3839">
        <v>0.18624879999999999</v>
      </c>
      <c r="V3839">
        <v>-2.8982480000000001E-2</v>
      </c>
      <c r="W3839">
        <v>0.1226347</v>
      </c>
      <c r="X3839">
        <v>0.99202860000000004</v>
      </c>
      <c r="Y3839">
        <v>-7.9796939999999997E-2</v>
      </c>
      <c r="Z3839">
        <v>1.7557849999999999E-3</v>
      </c>
      <c r="AA3839">
        <v>0.99680959999999996</v>
      </c>
      <c r="AB3839">
        <v>24</v>
      </c>
      <c r="AC3839">
        <v>36.692</v>
      </c>
      <c r="AD3839">
        <v>-1.1115535872260001</v>
      </c>
      <c r="AE3839">
        <v>2.2742</v>
      </c>
      <c r="AF3839">
        <v>-2.9501322348852699</v>
      </c>
      <c r="AG3839">
        <v>-1.1115535872260001</v>
      </c>
      <c r="AH3839">
        <v>36.6101604922736</v>
      </c>
      <c r="AI3839">
        <v>91.733458213790698</v>
      </c>
      <c r="AJ3839">
        <v>94.607072906660605</v>
      </c>
      <c r="AK3839">
        <v>36.745648488638999</v>
      </c>
      <c r="AL3839">
        <v>82.955816871970697</v>
      </c>
      <c r="AM3839">
        <v>91.673441241033601</v>
      </c>
      <c r="AN3839">
        <v>0.99999999850450005</v>
      </c>
    </row>
    <row r="3840" spans="1:40" x14ac:dyDescent="0.25">
      <c r="A3840" t="str">
        <f>"20190312172153214"</f>
        <v>20190312172153214</v>
      </c>
      <c r="B3840" t="str">
        <f>"1552382513204362"</f>
        <v>1552382513204362</v>
      </c>
      <c r="C3840" t="s">
        <v>40</v>
      </c>
      <c r="D3840">
        <v>3.227214</v>
      </c>
      <c r="E3840">
        <v>0.4790258</v>
      </c>
      <c r="F3840" t="s">
        <v>46</v>
      </c>
      <c r="G3840">
        <v>-383.70420000000001</v>
      </c>
      <c r="H3840" s="1">
        <v>3.7886710000000002E-7</v>
      </c>
      <c r="I3840">
        <v>215.88679999999999</v>
      </c>
      <c r="J3840">
        <v>-418.3424</v>
      </c>
      <c r="K3840">
        <v>1.1116140000000001</v>
      </c>
      <c r="L3840">
        <v>213.61529999999999</v>
      </c>
      <c r="M3840">
        <v>0.99977059999999995</v>
      </c>
      <c r="N3840">
        <v>0</v>
      </c>
      <c r="O3840">
        <v>-1.680866E-2</v>
      </c>
      <c r="P3840">
        <v>0.99405489999999996</v>
      </c>
      <c r="Q3840">
        <v>0.10779950000000001</v>
      </c>
      <c r="R3840">
        <v>1.530128E-2</v>
      </c>
      <c r="S3840">
        <v>3.0269170000000001</v>
      </c>
      <c r="T3840">
        <v>-9.6469879999999994E-2</v>
      </c>
      <c r="U3840">
        <v>0.1969147</v>
      </c>
      <c r="V3840">
        <v>-3.2344999999999999E-2</v>
      </c>
      <c r="W3840">
        <v>0.1208887</v>
      </c>
      <c r="X3840">
        <v>0.99213899999999999</v>
      </c>
      <c r="Y3840">
        <v>-8.1633049999999999E-2</v>
      </c>
      <c r="Z3840">
        <v>1.834252E-3</v>
      </c>
      <c r="AA3840">
        <v>0.99666080000000001</v>
      </c>
      <c r="AB3840">
        <v>24</v>
      </c>
      <c r="AC3840">
        <v>34.638199999999898</v>
      </c>
      <c r="AD3840">
        <v>-1.1116136211329</v>
      </c>
      <c r="AE3840">
        <v>2.2715000000000001</v>
      </c>
      <c r="AF3840">
        <v>-2.8505288659154102</v>
      </c>
      <c r="AG3840">
        <v>-1.1116136211329</v>
      </c>
      <c r="AH3840">
        <v>34.559680602729998</v>
      </c>
      <c r="AI3840">
        <v>91.836055439273593</v>
      </c>
      <c r="AJ3840">
        <v>94.715159485492904</v>
      </c>
      <c r="AK3840">
        <v>34.694851534785599</v>
      </c>
      <c r="AL3840">
        <v>83.056605508469005</v>
      </c>
      <c r="AM3840">
        <v>91.867254327889597</v>
      </c>
      <c r="AN3840">
        <v>1.00000003606684</v>
      </c>
    </row>
    <row r="3841" spans="1:40" x14ac:dyDescent="0.25">
      <c r="A3841" t="str">
        <f>"20190312172153236"</f>
        <v>20190312172153236</v>
      </c>
      <c r="B3841" t="str">
        <f>"1552382513224868"</f>
        <v>1552382513224868</v>
      </c>
      <c r="C3841" t="s">
        <v>40</v>
      </c>
      <c r="D3841">
        <v>3.2245650000000001</v>
      </c>
      <c r="E3841">
        <v>0.47956850000000001</v>
      </c>
      <c r="F3841" t="s">
        <v>46</v>
      </c>
      <c r="G3841">
        <v>-385.19740000000002</v>
      </c>
      <c r="H3841" s="1">
        <v>1.1739479999999999E-6</v>
      </c>
      <c r="I3841">
        <v>215.8767</v>
      </c>
      <c r="J3841">
        <v>-418.10590000000002</v>
      </c>
      <c r="K3841">
        <v>1.1116569999999999</v>
      </c>
      <c r="L3841">
        <v>213.61330000000001</v>
      </c>
      <c r="M3841">
        <v>0.99979850000000003</v>
      </c>
      <c r="N3841">
        <v>0</v>
      </c>
      <c r="O3841">
        <v>-1.506737E-2</v>
      </c>
      <c r="P3841">
        <v>0.99378650000000002</v>
      </c>
      <c r="Q3841">
        <v>0.1094113</v>
      </c>
      <c r="R3841">
        <v>2.0449640000000002E-2</v>
      </c>
      <c r="S3841">
        <v>3.0257869999999998</v>
      </c>
      <c r="T3841">
        <v>-0.10147870000000001</v>
      </c>
      <c r="U3841">
        <v>0.20643619999999999</v>
      </c>
      <c r="V3841">
        <v>-3.5775220000000003E-2</v>
      </c>
      <c r="W3841">
        <v>0.1224837</v>
      </c>
      <c r="X3841">
        <v>0.99182550000000003</v>
      </c>
      <c r="Y3841">
        <v>-8.3038470000000003E-2</v>
      </c>
      <c r="Z3841">
        <v>1.895159E-3</v>
      </c>
      <c r="AA3841">
        <v>0.99654450000000006</v>
      </c>
      <c r="AB3841">
        <v>24</v>
      </c>
      <c r="AC3841">
        <v>32.908499999999997</v>
      </c>
      <c r="AD3841">
        <v>-1.111655826052</v>
      </c>
      <c r="AE3841">
        <v>2.2633999999999901</v>
      </c>
      <c r="AF3841">
        <v>-2.7559012260278202</v>
      </c>
      <c r="AG3841">
        <v>-1.111655826052</v>
      </c>
      <c r="AH3841">
        <v>32.833367281706003</v>
      </c>
      <c r="AI3841">
        <v>91.932361415283793</v>
      </c>
      <c r="AJ3841">
        <v>94.797931590374404</v>
      </c>
      <c r="AK3841">
        <v>32.967571601478603</v>
      </c>
      <c r="AL3841">
        <v>82.964534071432396</v>
      </c>
      <c r="AM3841">
        <v>92.065767475773498</v>
      </c>
      <c r="AN3841">
        <v>0.99999997279099295</v>
      </c>
    </row>
    <row r="3842" spans="1:40" x14ac:dyDescent="0.25">
      <c r="A3842" t="str">
        <f>"20190312172153258"</f>
        <v>20190312172153258</v>
      </c>
      <c r="B3842" t="str">
        <f>"1552382513254137"</f>
        <v>1552382513254137</v>
      </c>
      <c r="C3842" t="s">
        <v>40</v>
      </c>
      <c r="D3842">
        <v>3.1762160000000002</v>
      </c>
      <c r="E3842">
        <v>0.48019129999999899</v>
      </c>
      <c r="F3842" t="s">
        <v>46</v>
      </c>
      <c r="G3842">
        <v>-383.00740000000002</v>
      </c>
      <c r="H3842" s="1">
        <v>-2.3769150000000002E-9</v>
      </c>
      <c r="I3842">
        <v>216.1251</v>
      </c>
      <c r="J3842">
        <v>-417.87459999999999</v>
      </c>
      <c r="K3842">
        <v>1.1116809999999999</v>
      </c>
      <c r="L3842">
        <v>213.61179999999999</v>
      </c>
      <c r="M3842">
        <v>0.99982320000000002</v>
      </c>
      <c r="N3842">
        <v>0</v>
      </c>
      <c r="O3842">
        <v>-1.333003E-2</v>
      </c>
      <c r="P3842">
        <v>0.99346440000000003</v>
      </c>
      <c r="Q3842">
        <v>0.1114195</v>
      </c>
      <c r="R3842">
        <v>2.4791759999999999E-2</v>
      </c>
      <c r="S3842">
        <v>3.0248110000000001</v>
      </c>
      <c r="T3842">
        <v>-9.5803139999999995E-2</v>
      </c>
      <c r="U3842">
        <v>0.21646119999999999</v>
      </c>
      <c r="V3842">
        <v>-3.8399280000000001E-2</v>
      </c>
      <c r="W3842">
        <v>0.1244778</v>
      </c>
      <c r="X3842">
        <v>0.99147909999999995</v>
      </c>
      <c r="Y3842">
        <v>-8.4621329999999995E-2</v>
      </c>
      <c r="Z3842">
        <v>1.7596650000000001E-3</v>
      </c>
      <c r="AA3842">
        <v>0.99641159999999995</v>
      </c>
      <c r="AB3842">
        <v>24</v>
      </c>
      <c r="AC3842">
        <v>34.867199999999897</v>
      </c>
      <c r="AD3842">
        <v>-1.1116810023769099</v>
      </c>
      <c r="AE3842">
        <v>2.5133000000000099</v>
      </c>
      <c r="AF3842">
        <v>-2.9748898818125298</v>
      </c>
      <c r="AG3842">
        <v>-1.1116810023769099</v>
      </c>
      <c r="AH3842">
        <v>34.795408000625997</v>
      </c>
      <c r="AI3842">
        <v>91.823277405027795</v>
      </c>
      <c r="AJ3842">
        <v>94.886712029386203</v>
      </c>
      <c r="AK3842">
        <v>34.9400375270259</v>
      </c>
      <c r="AL3842">
        <v>82.8493997195757</v>
      </c>
      <c r="AM3842">
        <v>92.2179162847725</v>
      </c>
      <c r="AN3842">
        <v>1.0000000165670799</v>
      </c>
    </row>
    <row r="3843" spans="1:40" x14ac:dyDescent="0.25">
      <c r="A3843" t="str">
        <f>"20190312172153281"</f>
        <v>20190312172153281</v>
      </c>
      <c r="B3843" t="str">
        <f>"1552382513274634"</f>
        <v>1552382513274634</v>
      </c>
      <c r="C3843" t="s">
        <v>40</v>
      </c>
      <c r="D3843">
        <v>3.1796470000000001</v>
      </c>
      <c r="E3843">
        <v>0.480823</v>
      </c>
      <c r="F3843" t="s">
        <v>46</v>
      </c>
      <c r="G3843">
        <v>-377.9708</v>
      </c>
      <c r="H3843" s="1">
        <v>2.7048520000000001E-6</v>
      </c>
      <c r="I3843">
        <v>216.5556</v>
      </c>
      <c r="J3843">
        <v>-417.63310000000001</v>
      </c>
      <c r="K3843">
        <v>1.1116760000000001</v>
      </c>
      <c r="L3843">
        <v>213.61070000000001</v>
      </c>
      <c r="M3843">
        <v>0.99984589999999995</v>
      </c>
      <c r="N3843">
        <v>0</v>
      </c>
      <c r="O3843">
        <v>-1.150018E-2</v>
      </c>
      <c r="P3843">
        <v>0.9932763</v>
      </c>
      <c r="Q3843">
        <v>0.112206399999999</v>
      </c>
      <c r="R3843">
        <v>2.8494820000000001E-2</v>
      </c>
      <c r="S3843">
        <v>3.02359</v>
      </c>
      <c r="T3843">
        <v>-8.4234000000000003E-2</v>
      </c>
      <c r="U3843">
        <v>0.223053</v>
      </c>
      <c r="V3843">
        <v>-4.0286330000000002E-2</v>
      </c>
      <c r="W3843">
        <v>0.12525649999999999</v>
      </c>
      <c r="X3843">
        <v>0.99130609999999997</v>
      </c>
      <c r="Y3843">
        <v>-8.4998920000000006E-2</v>
      </c>
      <c r="Z3843">
        <v>1.5020980000000001E-3</v>
      </c>
      <c r="AA3843">
        <v>0.99637989999999999</v>
      </c>
      <c r="AB3843">
        <v>24</v>
      </c>
      <c r="AC3843">
        <v>39.662300000000002</v>
      </c>
      <c r="AD3843">
        <v>-1.111673295148</v>
      </c>
      <c r="AE3843">
        <v>2.9448999999999899</v>
      </c>
      <c r="AF3843">
        <v>-3.39821395519244</v>
      </c>
      <c r="AG3843">
        <v>-1.111673295148</v>
      </c>
      <c r="AH3843">
        <v>39.594871861850102</v>
      </c>
      <c r="AI3843">
        <v>91.602337540694094</v>
      </c>
      <c r="AJ3843">
        <v>94.905366718654804</v>
      </c>
      <c r="AK3843">
        <v>39.755975064847</v>
      </c>
      <c r="AL3843">
        <v>82.804431297511698</v>
      </c>
      <c r="AM3843">
        <v>92.327199633176505</v>
      </c>
      <c r="AN3843">
        <v>0.99999998153716396</v>
      </c>
    </row>
    <row r="3844" spans="1:40" x14ac:dyDescent="0.25">
      <c r="A3844" t="str">
        <f>"20190312172153303"</f>
        <v>20190312172153303</v>
      </c>
      <c r="B3844" t="str">
        <f>"1552382513294941"</f>
        <v>1552382513294941</v>
      </c>
      <c r="C3844" t="s">
        <v>40</v>
      </c>
      <c r="D3844">
        <v>3.2373750000000001</v>
      </c>
      <c r="E3844">
        <v>0.48153479999999999</v>
      </c>
      <c r="F3844" t="s">
        <v>46</v>
      </c>
      <c r="G3844">
        <v>-375.21429999999998</v>
      </c>
      <c r="H3844" s="1">
        <v>1.2380090000000001E-6</v>
      </c>
      <c r="I3844">
        <v>216.8158</v>
      </c>
      <c r="J3844">
        <v>-417.39080000000001</v>
      </c>
      <c r="K3844">
        <v>1.1116600000000001</v>
      </c>
      <c r="L3844">
        <v>213.61009999999999</v>
      </c>
      <c r="M3844">
        <v>0.99986540000000002</v>
      </c>
      <c r="N3844">
        <v>0</v>
      </c>
      <c r="O3844">
        <v>-9.6621769999999992E-3</v>
      </c>
      <c r="P3844">
        <v>0.99331769999999997</v>
      </c>
      <c r="Q3844">
        <v>0.11105950000000001</v>
      </c>
      <c r="R3844">
        <v>3.1399749999999997E-2</v>
      </c>
      <c r="S3844">
        <v>3.0227659999999998</v>
      </c>
      <c r="T3844">
        <v>-7.9217910000000002E-2</v>
      </c>
      <c r="U3844">
        <v>0.2283936</v>
      </c>
      <c r="V3844">
        <v>-4.1359659999999999E-2</v>
      </c>
      <c r="W3844">
        <v>0.1241077</v>
      </c>
      <c r="X3844">
        <v>0.99140640000000002</v>
      </c>
      <c r="Y3844">
        <v>-8.4942779999999996E-2</v>
      </c>
      <c r="Z3844">
        <v>1.3641339999999999E-3</v>
      </c>
      <c r="AA3844">
        <v>0.99638490000000002</v>
      </c>
      <c r="AB3844">
        <v>24</v>
      </c>
      <c r="AC3844">
        <v>42.176499999999997</v>
      </c>
      <c r="AD3844">
        <v>-1.1116587619910001</v>
      </c>
      <c r="AE3844">
        <v>3.2057000000000002</v>
      </c>
      <c r="AF3844">
        <v>-3.6106090610936898</v>
      </c>
      <c r="AG3844">
        <v>-1.1116587619910001</v>
      </c>
      <c r="AH3844">
        <v>42.114464913130803</v>
      </c>
      <c r="AI3844">
        <v>91.506511687858605</v>
      </c>
      <c r="AJ3844">
        <v>94.900169901632594</v>
      </c>
      <c r="AK3844">
        <v>42.283571726079202</v>
      </c>
      <c r="AL3844">
        <v>82.870770460833498</v>
      </c>
      <c r="AM3844">
        <v>92.388889791091401</v>
      </c>
      <c r="AN3844">
        <v>0.99999999631778203</v>
      </c>
    </row>
    <row r="3845" spans="1:40" x14ac:dyDescent="0.25">
      <c r="A3845" t="str">
        <f>"20190312172153325"</f>
        <v>20190312172153325</v>
      </c>
      <c r="B3845" t="str">
        <f>"1552382513314461"</f>
        <v>1552382513314461</v>
      </c>
      <c r="C3845" t="s">
        <v>40</v>
      </c>
      <c r="D3845">
        <v>3.2266530000000002</v>
      </c>
      <c r="E3845">
        <v>0.48222999999999999</v>
      </c>
      <c r="F3845" t="s">
        <v>46</v>
      </c>
      <c r="G3845">
        <v>-377.20530000000002</v>
      </c>
      <c r="H3845" s="1">
        <v>2.2974939999999999E-6</v>
      </c>
      <c r="I3845">
        <v>216.68430000000001</v>
      </c>
      <c r="J3845">
        <v>-417.15989999999999</v>
      </c>
      <c r="K3845">
        <v>1.1116299999999999</v>
      </c>
      <c r="L3845">
        <v>213.60980000000001</v>
      </c>
      <c r="M3845">
        <v>0.99988060000000001</v>
      </c>
      <c r="N3845">
        <v>0</v>
      </c>
      <c r="O3845">
        <v>-7.920102E-3</v>
      </c>
      <c r="P3845">
        <v>0.9935988</v>
      </c>
      <c r="Q3845">
        <v>0.1077299</v>
      </c>
      <c r="R3845">
        <v>3.4000530000000001E-2</v>
      </c>
      <c r="S3845">
        <v>3.022186</v>
      </c>
      <c r="T3845">
        <v>-8.3603140000000006E-2</v>
      </c>
      <c r="U3845">
        <v>0.2312012</v>
      </c>
      <c r="V3845">
        <v>-4.2217619999999997E-2</v>
      </c>
      <c r="W3845">
        <v>0.12078170000000001</v>
      </c>
      <c r="X3845">
        <v>0.99178089999999997</v>
      </c>
      <c r="Y3845">
        <v>-8.4138740000000004E-2</v>
      </c>
      <c r="Z3845">
        <v>1.380619E-3</v>
      </c>
      <c r="AA3845">
        <v>0.99645309999999998</v>
      </c>
      <c r="AB3845">
        <v>24</v>
      </c>
      <c r="AC3845">
        <v>39.9545999999999</v>
      </c>
      <c r="AD3845">
        <v>-1.111627702506</v>
      </c>
      <c r="AE3845">
        <v>3.0745</v>
      </c>
      <c r="AF3845">
        <v>-3.38826857227714</v>
      </c>
      <c r="AG3845">
        <v>-1.111627702506</v>
      </c>
      <c r="AH3845">
        <v>39.898291504812697</v>
      </c>
      <c r="AI3845">
        <v>91.590214634282503</v>
      </c>
      <c r="AJ3845">
        <v>94.854062748279404</v>
      </c>
      <c r="AK3845">
        <v>40.057330728218403</v>
      </c>
      <c r="AL3845">
        <v>83.062780810412903</v>
      </c>
      <c r="AM3845">
        <v>92.437465805533606</v>
      </c>
      <c r="AN3845">
        <v>0.99999995004908004</v>
      </c>
    </row>
    <row r="3846" spans="1:40" x14ac:dyDescent="0.25">
      <c r="A3846" t="str">
        <f>"20190312172153347"</f>
        <v>20190312172153347</v>
      </c>
      <c r="B3846" t="str">
        <f>"1552382513334957"</f>
        <v>1552382513334957</v>
      </c>
      <c r="C3846" t="s">
        <v>40</v>
      </c>
      <c r="D3846">
        <v>3.2503190000000002</v>
      </c>
      <c r="E3846">
        <v>0.48284529999999998</v>
      </c>
      <c r="F3846" t="s">
        <v>46</v>
      </c>
      <c r="G3846">
        <v>-381.61219999999997</v>
      </c>
      <c r="H3846" s="1">
        <v>-7.5472119999999903E-7</v>
      </c>
      <c r="I3846">
        <v>216.35220000000001</v>
      </c>
      <c r="J3846">
        <v>-416.92649999999998</v>
      </c>
      <c r="K3846">
        <v>1.1115919999999999</v>
      </c>
      <c r="L3846">
        <v>213.61</v>
      </c>
      <c r="M3846">
        <v>0.99989289999999997</v>
      </c>
      <c r="N3846">
        <v>0</v>
      </c>
      <c r="O3846">
        <v>-6.1766199999999999E-3</v>
      </c>
      <c r="P3846">
        <v>0.99394400000000005</v>
      </c>
      <c r="Q3846">
        <v>0.1040427</v>
      </c>
      <c r="R3846">
        <v>3.5365519999999998E-2</v>
      </c>
      <c r="S3846">
        <v>3.0216370000000001</v>
      </c>
      <c r="T3846">
        <v>-9.4491359999999996E-2</v>
      </c>
      <c r="U3846">
        <v>0.2331085</v>
      </c>
      <c r="V3846">
        <v>-4.1837050000000001E-2</v>
      </c>
      <c r="W3846">
        <v>0.1171026</v>
      </c>
      <c r="X3846">
        <v>0.99223819999999996</v>
      </c>
      <c r="Y3846">
        <v>-8.3031939999999999E-2</v>
      </c>
      <c r="Z3846">
        <v>1.488875E-3</v>
      </c>
      <c r="AA3846">
        <v>0.99654580000000004</v>
      </c>
      <c r="AB3846">
        <v>24</v>
      </c>
      <c r="AC3846">
        <v>35.314300000000003</v>
      </c>
      <c r="AD3846">
        <v>-1.1115927547211999</v>
      </c>
      <c r="AE3846">
        <v>2.7421999999999902</v>
      </c>
      <c r="AF3846">
        <v>-2.9573772596750101</v>
      </c>
      <c r="AG3846">
        <v>-1.1115927547211999</v>
      </c>
      <c r="AH3846">
        <v>35.261958740473801</v>
      </c>
      <c r="AI3846">
        <v>91.799272953029799</v>
      </c>
      <c r="AJ3846">
        <v>94.794107270627606</v>
      </c>
      <c r="AK3846">
        <v>35.403212466148801</v>
      </c>
      <c r="AL3846">
        <v>83.275085305294894</v>
      </c>
      <c r="AM3846">
        <v>92.414407516561496</v>
      </c>
      <c r="AN3846">
        <v>1.00000000160935</v>
      </c>
    </row>
    <row r="3847" spans="1:40" x14ac:dyDescent="0.25">
      <c r="A3847" t="str">
        <f>"20190312172153371"</f>
        <v>20190312172153371</v>
      </c>
      <c r="B3847" t="str">
        <f>"1552382513364237"</f>
        <v>1552382513364237</v>
      </c>
      <c r="C3847" t="s">
        <v>40</v>
      </c>
      <c r="D3847">
        <v>3.2504879999999998</v>
      </c>
      <c r="E3847">
        <v>0.49130299999999999</v>
      </c>
      <c r="F3847" t="s">
        <v>46</v>
      </c>
      <c r="G3847">
        <v>-385.38529999999997</v>
      </c>
      <c r="H3847" s="1">
        <v>1.2669530000000001E-6</v>
      </c>
      <c r="I3847">
        <v>216.03530000000001</v>
      </c>
      <c r="J3847">
        <v>-416.67939999999999</v>
      </c>
      <c r="K3847">
        <v>1.111578</v>
      </c>
      <c r="L3847">
        <v>213.61070000000001</v>
      </c>
      <c r="M3847">
        <v>0.99990250000000003</v>
      </c>
      <c r="N3847">
        <v>0</v>
      </c>
      <c r="O3847">
        <v>-4.3499259999999996E-3</v>
      </c>
      <c r="P3847">
        <v>0.99413220000000002</v>
      </c>
      <c r="Q3847">
        <v>0.1019061</v>
      </c>
      <c r="R3847">
        <v>3.6276929999999999E-2</v>
      </c>
      <c r="S3847">
        <v>3.021118</v>
      </c>
      <c r="T3847">
        <v>-0.1064717</v>
      </c>
      <c r="U3847">
        <v>0.2322998</v>
      </c>
      <c r="V3847">
        <v>-4.0922300000000002E-2</v>
      </c>
      <c r="W3847">
        <v>0.1149732</v>
      </c>
      <c r="X3847">
        <v>0.99252530000000005</v>
      </c>
      <c r="Y3847">
        <v>-8.0949820000000006E-2</v>
      </c>
      <c r="Z3847">
        <v>1.576942E-3</v>
      </c>
      <c r="AA3847">
        <v>0.99671690000000002</v>
      </c>
      <c r="AB3847">
        <v>24</v>
      </c>
      <c r="AC3847">
        <v>31.2941</v>
      </c>
      <c r="AD3847">
        <v>-1.1115767330470001</v>
      </c>
      <c r="AE3847">
        <v>2.4245999999999901</v>
      </c>
      <c r="AF3847">
        <v>-2.5575085232203598</v>
      </c>
      <c r="AG3847">
        <v>-1.1115767330470001</v>
      </c>
      <c r="AH3847">
        <v>31.244070887854601</v>
      </c>
      <c r="AI3847">
        <v>92.030777932167894</v>
      </c>
      <c r="AJ3847">
        <v>94.679559074934701</v>
      </c>
      <c r="AK3847">
        <v>31.3682708851649</v>
      </c>
      <c r="AL3847">
        <v>83.3979205405806</v>
      </c>
      <c r="AM3847">
        <v>92.360995552501194</v>
      </c>
      <c r="AN3847">
        <v>0.99999997124780904</v>
      </c>
    </row>
    <row r="3848" spans="1:40" x14ac:dyDescent="0.25">
      <c r="A3848" t="str">
        <f>"20190312172153393"</f>
        <v>20190312172153393</v>
      </c>
      <c r="B3848" t="str">
        <f>"1552382513384733"</f>
        <v>1552382513384733</v>
      </c>
      <c r="C3848" t="s">
        <v>40</v>
      </c>
      <c r="D3848">
        <v>3.2268140000000001</v>
      </c>
      <c r="E3848">
        <v>0.4911914</v>
      </c>
      <c r="F3848" t="s">
        <v>46</v>
      </c>
      <c r="G3848">
        <v>-389.90379999999999</v>
      </c>
      <c r="H3848" s="1">
        <v>3.7126069999999998E-6</v>
      </c>
      <c r="I3848">
        <v>215.095</v>
      </c>
      <c r="J3848">
        <v>-416.44220000000001</v>
      </c>
      <c r="K3848">
        <v>1.1115759999999999</v>
      </c>
      <c r="L3848">
        <v>213.61170000000001</v>
      </c>
      <c r="M3848">
        <v>0.99990860000000004</v>
      </c>
      <c r="N3848">
        <v>0</v>
      </c>
      <c r="O3848">
        <v>-2.6105630000000002E-3</v>
      </c>
      <c r="P3848">
        <v>0.99381209999999998</v>
      </c>
      <c r="Q3848">
        <v>0.1052545</v>
      </c>
      <c r="R3848">
        <v>3.5484870000000002E-2</v>
      </c>
      <c r="S3848">
        <v>3.0244450000000001</v>
      </c>
      <c r="T3848">
        <v>-0.12555830000000001</v>
      </c>
      <c r="U3848">
        <v>0.1676636</v>
      </c>
      <c r="V3848">
        <v>-3.8405219999999997E-2</v>
      </c>
      <c r="W3848">
        <v>0.11832570000000001</v>
      </c>
      <c r="X3848">
        <v>0.9922318</v>
      </c>
      <c r="Y3848">
        <v>-5.79058E-2</v>
      </c>
      <c r="Z3848">
        <v>1.3087839999999999E-3</v>
      </c>
      <c r="AA3848">
        <v>0.99832120000000002</v>
      </c>
      <c r="AB3848">
        <v>24</v>
      </c>
      <c r="AC3848">
        <v>26.538399999999999</v>
      </c>
      <c r="AD3848">
        <v>-1.1115722873930001</v>
      </c>
      <c r="AE3848">
        <v>1.4832999999999801</v>
      </c>
      <c r="AF3848">
        <v>-1.54987059811703</v>
      </c>
      <c r="AG3848">
        <v>-1.1115722873930001</v>
      </c>
      <c r="AH3848">
        <v>26.4881112289059</v>
      </c>
      <c r="AI3848">
        <v>92.398906437744401</v>
      </c>
      <c r="AJ3848">
        <v>93.348668760854807</v>
      </c>
      <c r="AK3848">
        <v>26.556688955814899</v>
      </c>
      <c r="AL3848">
        <v>83.204515772243695</v>
      </c>
      <c r="AM3848">
        <v>92.2165779559936</v>
      </c>
      <c r="AN3848">
        <v>0.99999993856748703</v>
      </c>
    </row>
    <row r="3849" spans="1:40" x14ac:dyDescent="0.25">
      <c r="A3849" t="str">
        <f>"20190312172153415"</f>
        <v>20190312172153415</v>
      </c>
      <c r="B3849" t="str">
        <f>"1552382513404764"</f>
        <v>1552382513404764</v>
      </c>
      <c r="C3849" t="s">
        <v>40</v>
      </c>
      <c r="D3849">
        <v>3.2273510000000001</v>
      </c>
      <c r="E3849">
        <v>0.49156519999999998</v>
      </c>
      <c r="F3849" t="s">
        <v>46</v>
      </c>
      <c r="G3849">
        <v>-386.33600000000001</v>
      </c>
      <c r="H3849" s="1">
        <v>1.8063350000000001E-6</v>
      </c>
      <c r="I3849">
        <v>215.27010000000001</v>
      </c>
      <c r="J3849">
        <v>-416.20389999999998</v>
      </c>
      <c r="K3849">
        <v>1.1115740000000001</v>
      </c>
      <c r="L3849">
        <v>213.6131</v>
      </c>
      <c r="M3849">
        <v>0.99991160000000001</v>
      </c>
      <c r="N3849">
        <v>0</v>
      </c>
      <c r="O3849">
        <v>-8.7318869999999905E-4</v>
      </c>
      <c r="P3849">
        <v>0.99380800000000002</v>
      </c>
      <c r="Q3849">
        <v>0.1055825</v>
      </c>
      <c r="R3849">
        <v>3.4615510000000002E-2</v>
      </c>
      <c r="S3849">
        <v>3.0245359999999999</v>
      </c>
      <c r="T3849">
        <v>-0.1116713</v>
      </c>
      <c r="U3849">
        <v>0.1666107</v>
      </c>
      <c r="V3849">
        <v>-3.5806619999999997E-2</v>
      </c>
      <c r="W3849">
        <v>0.1186614</v>
      </c>
      <c r="X3849">
        <v>0.99228890000000003</v>
      </c>
      <c r="Y3849">
        <v>-5.5836379999999998E-2</v>
      </c>
      <c r="Z3849">
        <v>1.0618660000000001E-3</v>
      </c>
      <c r="AA3849">
        <v>0.99843939999999998</v>
      </c>
      <c r="AB3849">
        <v>24</v>
      </c>
      <c r="AC3849">
        <v>29.867899999999899</v>
      </c>
      <c r="AD3849">
        <v>-1.111572193665</v>
      </c>
      <c r="AE3849">
        <v>1.65700000000001</v>
      </c>
      <c r="AF3849">
        <v>-1.6807611785415799</v>
      </c>
      <c r="AG3849">
        <v>-1.111572193665</v>
      </c>
      <c r="AH3849">
        <v>29.825258837210399</v>
      </c>
      <c r="AI3849">
        <v>92.131018662849399</v>
      </c>
      <c r="AJ3849">
        <v>93.2254128871961</v>
      </c>
      <c r="AK3849">
        <v>29.8932536801805</v>
      </c>
      <c r="AL3849">
        <v>83.185145196366904</v>
      </c>
      <c r="AM3849">
        <v>92.066614307873905</v>
      </c>
      <c r="AN3849">
        <v>0.99999995147449605</v>
      </c>
    </row>
    <row r="3850" spans="1:40" x14ac:dyDescent="0.25">
      <c r="A3850" t="str">
        <f>"20190312172153435"</f>
        <v>20190312172153435</v>
      </c>
      <c r="B3850" t="str">
        <f>"1552382513424281"</f>
        <v>1552382513424281</v>
      </c>
      <c r="C3850" t="s">
        <v>40</v>
      </c>
      <c r="D3850">
        <v>3.237247</v>
      </c>
      <c r="E3850">
        <v>0.4918169</v>
      </c>
      <c r="F3850" t="s">
        <v>46</v>
      </c>
      <c r="G3850">
        <v>-385.28579999999999</v>
      </c>
      <c r="H3850" s="1">
        <v>1.247696E-6</v>
      </c>
      <c r="I3850">
        <v>215.2654</v>
      </c>
      <c r="J3850">
        <v>-415.9819</v>
      </c>
      <c r="K3850">
        <v>1.111567</v>
      </c>
      <c r="L3850">
        <v>213.6148</v>
      </c>
      <c r="M3850">
        <v>0.99991180000000002</v>
      </c>
      <c r="N3850">
        <v>0</v>
      </c>
      <c r="O3850">
        <v>7.4275299999999997E-4</v>
      </c>
      <c r="P3850">
        <v>0.9936777</v>
      </c>
      <c r="Q3850">
        <v>0.1072738</v>
      </c>
      <c r="R3850">
        <v>3.3127509999999999E-2</v>
      </c>
      <c r="S3850">
        <v>3.0246279999999999</v>
      </c>
      <c r="T3850">
        <v>-0.1087419</v>
      </c>
      <c r="U3850">
        <v>0.16163640000000001</v>
      </c>
      <c r="V3850">
        <v>-3.2714710000000001E-2</v>
      </c>
      <c r="W3850">
        <v>0.12035949999999999</v>
      </c>
      <c r="X3850">
        <v>0.99219120000000005</v>
      </c>
      <c r="Y3850">
        <v>-5.258877E-2</v>
      </c>
      <c r="Z3850">
        <v>9.1768329999999997E-4</v>
      </c>
      <c r="AA3850">
        <v>0.9986159</v>
      </c>
      <c r="AB3850">
        <v>24</v>
      </c>
      <c r="AC3850">
        <v>30.696100000000001</v>
      </c>
      <c r="AD3850">
        <v>-1.1115657523039999</v>
      </c>
      <c r="AE3850">
        <v>1.6505999999999901</v>
      </c>
      <c r="AF3850">
        <v>-1.6256723123561301</v>
      </c>
      <c r="AG3850">
        <v>-1.1115657523039999</v>
      </c>
      <c r="AH3850">
        <v>30.657232531207601</v>
      </c>
      <c r="AI3850">
        <v>92.0736021333163</v>
      </c>
      <c r="AJ3850">
        <v>93.035401359202197</v>
      </c>
      <c r="AK3850">
        <v>30.720421471089701</v>
      </c>
      <c r="AL3850">
        <v>83.087149342759602</v>
      </c>
      <c r="AM3850">
        <v>91.888482772030997</v>
      </c>
      <c r="AN3850">
        <v>1.0000000194240299</v>
      </c>
    </row>
    <row r="3851" spans="1:40" x14ac:dyDescent="0.25">
      <c r="A3851" t="str">
        <f>"20190312172153458"</f>
        <v>20190312172153458</v>
      </c>
      <c r="B3851" t="str">
        <f>"1552382513454537"</f>
        <v>1552382513454537</v>
      </c>
      <c r="C3851" t="s">
        <v>40</v>
      </c>
      <c r="D3851">
        <v>3.232497</v>
      </c>
      <c r="E3851">
        <v>0.49203629999999998</v>
      </c>
      <c r="F3851" t="s">
        <v>46</v>
      </c>
      <c r="G3851">
        <v>-383.40530000000001</v>
      </c>
      <c r="H3851" s="1">
        <v>2.4594100000000002E-7</v>
      </c>
      <c r="I3851">
        <v>215.28899999999999</v>
      </c>
      <c r="J3851">
        <v>-415.74619999999999</v>
      </c>
      <c r="K3851">
        <v>1.1115660000000001</v>
      </c>
      <c r="L3851">
        <v>213.61699999999999</v>
      </c>
      <c r="M3851">
        <v>0.99990889999999999</v>
      </c>
      <c r="N3851">
        <v>0</v>
      </c>
      <c r="O3851">
        <v>2.4546450000000001E-3</v>
      </c>
      <c r="P3851">
        <v>0.99356469999999997</v>
      </c>
      <c r="Q3851">
        <v>0.1086254</v>
      </c>
      <c r="R3851">
        <v>3.2089670000000001E-2</v>
      </c>
      <c r="S3851">
        <v>3.0250849999999998</v>
      </c>
      <c r="T3851">
        <v>-0.1032208</v>
      </c>
      <c r="U3851">
        <v>0.15547179999999999</v>
      </c>
      <c r="V3851">
        <v>-2.9976409999999998E-2</v>
      </c>
      <c r="W3851">
        <v>0.12171709999999999</v>
      </c>
      <c r="X3851">
        <v>0.99211210000000005</v>
      </c>
      <c r="Y3851">
        <v>-4.8847740000000001E-2</v>
      </c>
      <c r="Z3851">
        <v>7.4890769999999996E-4</v>
      </c>
      <c r="AA3851">
        <v>0.99880590000000002</v>
      </c>
      <c r="AB3851">
        <v>24</v>
      </c>
      <c r="AC3851">
        <v>32.340899999999898</v>
      </c>
      <c r="AD3851">
        <v>-1.111565754059</v>
      </c>
      <c r="AE3851">
        <v>1.6719999999999899</v>
      </c>
      <c r="AF3851">
        <v>-1.5907283962502901</v>
      </c>
      <c r="AG3851">
        <v>-1.111565754059</v>
      </c>
      <c r="AH3851">
        <v>32.306844219628204</v>
      </c>
      <c r="AI3851">
        <v>91.968187948159695</v>
      </c>
      <c r="AJ3851">
        <v>92.818860149371503</v>
      </c>
      <c r="AK3851">
        <v>32.3650765283749</v>
      </c>
      <c r="AL3851">
        <v>83.008788528024198</v>
      </c>
      <c r="AM3851">
        <v>91.730650603578496</v>
      </c>
      <c r="AN3851">
        <v>1.00000002827765</v>
      </c>
    </row>
    <row r="3852" spans="1:40" x14ac:dyDescent="0.25">
      <c r="A3852" t="str">
        <f>"20190312172153482"</f>
        <v>20190312172153482</v>
      </c>
      <c r="B3852" t="str">
        <f>"1552382513474057"</f>
        <v>1552382513474057</v>
      </c>
      <c r="C3852" t="s">
        <v>40</v>
      </c>
      <c r="D3852">
        <v>3.2120120000000001</v>
      </c>
      <c r="E3852">
        <v>0.49239490000000002</v>
      </c>
      <c r="F3852" t="s">
        <v>46</v>
      </c>
      <c r="G3852">
        <v>-381.9289</v>
      </c>
      <c r="H3852" s="1">
        <v>-5.4036919999999896E-7</v>
      </c>
      <c r="I3852">
        <v>215.3038</v>
      </c>
      <c r="J3852">
        <v>-415.4914</v>
      </c>
      <c r="K3852">
        <v>1.1115459999999999</v>
      </c>
      <c r="L3852">
        <v>213.6198</v>
      </c>
      <c r="M3852">
        <v>0.99990279999999998</v>
      </c>
      <c r="N3852">
        <v>0</v>
      </c>
      <c r="O3852">
        <v>4.2890640000000004E-3</v>
      </c>
      <c r="P3852">
        <v>0.99355070000000001</v>
      </c>
      <c r="Q3852">
        <v>0.10869520000000001</v>
      </c>
      <c r="R3852">
        <v>3.2287509999999998E-2</v>
      </c>
      <c r="S3852">
        <v>3.025452</v>
      </c>
      <c r="T3852">
        <v>-9.9446060000000003E-2</v>
      </c>
      <c r="U3852">
        <v>0.1509094</v>
      </c>
      <c r="V3852">
        <v>-2.834778E-2</v>
      </c>
      <c r="W3852">
        <v>0.12179180000000001</v>
      </c>
      <c r="X3852">
        <v>0.9921508</v>
      </c>
      <c r="Y3852">
        <v>-4.5511250000000003E-2</v>
      </c>
      <c r="Z3852">
        <v>6.0644370000000004E-4</v>
      </c>
      <c r="AA3852">
        <v>0.99896370000000001</v>
      </c>
      <c r="AB3852">
        <v>24</v>
      </c>
      <c r="AC3852">
        <v>33.5625</v>
      </c>
      <c r="AD3852">
        <v>-1.1115465403692</v>
      </c>
      <c r="AE3852">
        <v>1.6839999999999899</v>
      </c>
      <c r="AF3852">
        <v>-1.5383370425380101</v>
      </c>
      <c r="AG3852">
        <v>-1.1115465403692</v>
      </c>
      <c r="AH3852">
        <v>33.5327266925948</v>
      </c>
      <c r="AI3852">
        <v>91.8965584570564</v>
      </c>
      <c r="AJ3852">
        <v>92.626641909754099</v>
      </c>
      <c r="AK3852">
        <v>33.586392720983199</v>
      </c>
      <c r="AL3852">
        <v>83.004476426521293</v>
      </c>
      <c r="AM3852">
        <v>91.636612487105694</v>
      </c>
      <c r="AN3852">
        <v>1.0000000245594001</v>
      </c>
    </row>
    <row r="3853" spans="1:40" x14ac:dyDescent="0.25">
      <c r="A3853" t="str">
        <f>"20190312172153495"</f>
        <v>20190312172153495</v>
      </c>
      <c r="B3853" t="str">
        <f>"1552382513484794"</f>
        <v>1552382513484794</v>
      </c>
      <c r="C3853" t="s">
        <v>40</v>
      </c>
      <c r="D3853">
        <v>3.2138100000000001</v>
      </c>
      <c r="E3853">
        <v>0.49219289999999999</v>
      </c>
      <c r="F3853" t="s">
        <v>46</v>
      </c>
      <c r="G3853">
        <v>-381.5292</v>
      </c>
      <c r="H3853" s="1">
        <v>-7.5244050000000005E-7</v>
      </c>
      <c r="I3853">
        <v>215.2893</v>
      </c>
      <c r="J3853">
        <v>-415.35910000000001</v>
      </c>
      <c r="K3853">
        <v>1.111529</v>
      </c>
      <c r="L3853">
        <v>213.62139999999999</v>
      </c>
      <c r="M3853">
        <v>0.99989839999999997</v>
      </c>
      <c r="N3853">
        <v>0</v>
      </c>
      <c r="O3853">
        <v>5.2284799999999998E-3</v>
      </c>
      <c r="P3853">
        <v>0.99364300000000005</v>
      </c>
      <c r="Q3853">
        <v>0.1077911</v>
      </c>
      <c r="R3853">
        <v>3.2479639999999997E-2</v>
      </c>
      <c r="S3853">
        <v>3.0254819999999998</v>
      </c>
      <c r="T3853">
        <v>-9.9020960000000005E-2</v>
      </c>
      <c r="U3853">
        <v>0.14872739999999901</v>
      </c>
      <c r="V3853">
        <v>-2.759909E-2</v>
      </c>
      <c r="W3853">
        <v>0.1208906</v>
      </c>
      <c r="X3853">
        <v>0.99228209999999994</v>
      </c>
      <c r="Y3853">
        <v>-4.3855030000000003E-2</v>
      </c>
      <c r="Z3853">
        <v>5.4605769999999999E-4</v>
      </c>
      <c r="AA3853">
        <v>0.99903770000000003</v>
      </c>
      <c r="AB3853">
        <v>24</v>
      </c>
      <c r="AC3853">
        <v>33.829900000000002</v>
      </c>
      <c r="AD3853">
        <v>-1.1115297524404999</v>
      </c>
      <c r="AE3853">
        <v>1.6678999999999999</v>
      </c>
      <c r="AF3853">
        <v>-1.4893787356228401</v>
      </c>
      <c r="AG3853">
        <v>-1.1115297524404999</v>
      </c>
      <c r="AH3853">
        <v>33.801756825979403</v>
      </c>
      <c r="AI3853">
        <v>91.881599157935</v>
      </c>
      <c r="AJ3853">
        <v>92.522944443511193</v>
      </c>
      <c r="AK3853">
        <v>33.852806559151503</v>
      </c>
      <c r="AL3853">
        <v>83.056495635598296</v>
      </c>
      <c r="AM3853">
        <v>91.593199952406096</v>
      </c>
      <c r="AN3853">
        <v>1.0000000064587899</v>
      </c>
    </row>
    <row r="3854" spans="1:40" x14ac:dyDescent="0.25">
      <c r="A3854" t="str">
        <f>"20190312172153515"</f>
        <v>20190312172153515</v>
      </c>
      <c r="B3854" t="str">
        <f>"1552382513504823"</f>
        <v>1552382513504823</v>
      </c>
      <c r="C3854" t="s">
        <v>40</v>
      </c>
      <c r="D3854">
        <v>3.2142360000000001</v>
      </c>
      <c r="E3854">
        <v>0.4921818</v>
      </c>
      <c r="F3854" t="s">
        <v>46</v>
      </c>
      <c r="G3854">
        <v>-382.37599999999998</v>
      </c>
      <c r="H3854" s="1">
        <v>-3.007093E-7</v>
      </c>
      <c r="I3854">
        <v>215.26429999999999</v>
      </c>
      <c r="J3854">
        <v>-415.1506</v>
      </c>
      <c r="K3854">
        <v>1.1114980000000001</v>
      </c>
      <c r="L3854">
        <v>213.6242</v>
      </c>
      <c r="M3854">
        <v>0.99988969999999999</v>
      </c>
      <c r="N3854">
        <v>0</v>
      </c>
      <c r="O3854">
        <v>6.6946490000000004E-3</v>
      </c>
      <c r="P3854">
        <v>0.99385590000000001</v>
      </c>
      <c r="Q3854">
        <v>0.10556980000000001</v>
      </c>
      <c r="R3854">
        <v>3.3251599999999999E-2</v>
      </c>
      <c r="S3854">
        <v>3.0253299999999999</v>
      </c>
      <c r="T3854">
        <v>-0.1019535</v>
      </c>
      <c r="U3854">
        <v>0.15069579999999999</v>
      </c>
      <c r="V3854">
        <v>-2.690037E-2</v>
      </c>
      <c r="W3854">
        <v>0.11867510000000001</v>
      </c>
      <c r="X3854">
        <v>0.99256869999999997</v>
      </c>
      <c r="Y3854">
        <v>-4.3041049999999997E-2</v>
      </c>
      <c r="Z3854">
        <v>4.991714E-4</v>
      </c>
      <c r="AA3854">
        <v>0.99907319999999999</v>
      </c>
      <c r="AB3854">
        <v>24</v>
      </c>
      <c r="AC3854">
        <v>32.7746</v>
      </c>
      <c r="AD3854">
        <v>-1.11149830070929</v>
      </c>
      <c r="AE3854">
        <v>1.6400999999999799</v>
      </c>
      <c r="AF3854">
        <v>-1.41900156691639</v>
      </c>
      <c r="AG3854">
        <v>-1.11149830070929</v>
      </c>
      <c r="AH3854">
        <v>32.747277082301103</v>
      </c>
      <c r="AI3854">
        <v>91.942148871499697</v>
      </c>
      <c r="AJ3854">
        <v>92.4811825362262</v>
      </c>
      <c r="AK3854">
        <v>32.796846650621703</v>
      </c>
      <c r="AL3854">
        <v>83.184355105129995</v>
      </c>
      <c r="AM3854">
        <v>91.5524371011482</v>
      </c>
      <c r="AN3854">
        <v>1.0000000167429099</v>
      </c>
    </row>
    <row r="3855" spans="1:40" x14ac:dyDescent="0.25">
      <c r="A3855" t="str">
        <f>"20190312172153537"</f>
        <v>20190312172153537</v>
      </c>
      <c r="B3855" t="str">
        <f>"1552382513534101"</f>
        <v>1552382513534101</v>
      </c>
      <c r="C3855" t="s">
        <v>40</v>
      </c>
      <c r="D3855">
        <v>3.2101329999999999</v>
      </c>
      <c r="E3855">
        <v>0.49203789999999997</v>
      </c>
      <c r="F3855" t="s">
        <v>46</v>
      </c>
      <c r="G3855">
        <v>-384.35469999999998</v>
      </c>
      <c r="H3855" s="1">
        <v>7.5592609999999995E-7</v>
      </c>
      <c r="I3855">
        <v>215.18020000000001</v>
      </c>
      <c r="J3855">
        <v>-414.91980000000001</v>
      </c>
      <c r="K3855">
        <v>1.111461</v>
      </c>
      <c r="L3855">
        <v>213.6276</v>
      </c>
      <c r="M3855">
        <v>0.99987789999999999</v>
      </c>
      <c r="N3855">
        <v>0</v>
      </c>
      <c r="O3855">
        <v>8.2712029999999995E-3</v>
      </c>
      <c r="P3855">
        <v>0.99375769999999997</v>
      </c>
      <c r="Q3855">
        <v>0.10612630000000001</v>
      </c>
      <c r="R3855">
        <v>3.4395660000000002E-2</v>
      </c>
      <c r="S3855">
        <v>3.0250240000000002</v>
      </c>
      <c r="T3855">
        <v>-0.10918020000000001</v>
      </c>
      <c r="U3855">
        <v>0.15284729999999999</v>
      </c>
      <c r="V3855">
        <v>-2.646884E-2</v>
      </c>
      <c r="W3855">
        <v>0.1192324</v>
      </c>
      <c r="X3855">
        <v>0.99251350000000005</v>
      </c>
      <c r="Y3855">
        <v>-4.2178109999999998E-2</v>
      </c>
      <c r="Z3855">
        <v>4.621731E-4</v>
      </c>
      <c r="AA3855">
        <v>0.99911000000000005</v>
      </c>
      <c r="AB3855">
        <v>24</v>
      </c>
      <c r="AC3855">
        <v>30.565100000000001</v>
      </c>
      <c r="AD3855">
        <v>-1.1114602440738901</v>
      </c>
      <c r="AE3855">
        <v>1.55260000000001</v>
      </c>
      <c r="AF3855">
        <v>-1.29800255659107</v>
      </c>
      <c r="AG3855">
        <v>-1.1114602440738901</v>
      </c>
      <c r="AH3855">
        <v>30.536622042177299</v>
      </c>
      <c r="AI3855">
        <v>92.082630661074504</v>
      </c>
      <c r="AJ3855">
        <v>92.433973416192003</v>
      </c>
      <c r="AK3855">
        <v>30.584398641429299</v>
      </c>
      <c r="AL3855">
        <v>83.152195757305194</v>
      </c>
      <c r="AM3855">
        <v>91.527630047855496</v>
      </c>
      <c r="AN3855">
        <v>1.00000000619147</v>
      </c>
    </row>
    <row r="3856" spans="1:40" x14ac:dyDescent="0.25">
      <c r="A3856" t="str">
        <f>"20190312172153561"</f>
        <v>20190312172153561</v>
      </c>
      <c r="B3856" t="str">
        <f>"1552382513554596"</f>
        <v>1552382513554596</v>
      </c>
      <c r="C3856" t="s">
        <v>40</v>
      </c>
      <c r="D3856">
        <v>3.2238060000000002</v>
      </c>
      <c r="E3856">
        <v>0.49213040000000002</v>
      </c>
      <c r="F3856" t="s">
        <v>46</v>
      </c>
      <c r="G3856">
        <v>-383.55040000000002</v>
      </c>
      <c r="H3856" s="1">
        <v>3.2464890000000002E-7</v>
      </c>
      <c r="I3856">
        <v>215.25479999999999</v>
      </c>
      <c r="J3856">
        <v>-414.67430000000002</v>
      </c>
      <c r="K3856">
        <v>1.1114040000000001</v>
      </c>
      <c r="L3856">
        <v>213.63149999999999</v>
      </c>
      <c r="M3856">
        <v>0.99986359999999996</v>
      </c>
      <c r="N3856">
        <v>0</v>
      </c>
      <c r="O3856">
        <v>9.8633320000000007E-3</v>
      </c>
      <c r="P3856">
        <v>0.99379379999999995</v>
      </c>
      <c r="Q3856">
        <v>0.10550279999999999</v>
      </c>
      <c r="R3856">
        <v>3.5261149999999998E-2</v>
      </c>
      <c r="S3856">
        <v>3.0248719999999998</v>
      </c>
      <c r="T3856">
        <v>-0.1071752</v>
      </c>
      <c r="U3856">
        <v>0.15690609999999999</v>
      </c>
      <c r="V3856">
        <v>-2.5732939999999999E-2</v>
      </c>
      <c r="W3856">
        <v>0.1186131</v>
      </c>
      <c r="X3856">
        <v>0.99260709999999996</v>
      </c>
      <c r="Y3856">
        <v>-4.1928809999999997E-2</v>
      </c>
      <c r="Z3856">
        <v>3.9293439999999998E-4</v>
      </c>
      <c r="AA3856">
        <v>0.99912049999999997</v>
      </c>
      <c r="AB3856">
        <v>24</v>
      </c>
      <c r="AC3856">
        <v>31.1238999999999</v>
      </c>
      <c r="AD3856">
        <v>-1.1114036753511001</v>
      </c>
      <c r="AE3856">
        <v>1.6233</v>
      </c>
      <c r="AF3856">
        <v>-1.3145370600331501</v>
      </c>
      <c r="AG3856">
        <v>-1.1114036753511001</v>
      </c>
      <c r="AH3856">
        <v>31.0988506952603</v>
      </c>
      <c r="AI3856">
        <v>92.044928020432806</v>
      </c>
      <c r="AJ3856">
        <v>92.420430813250803</v>
      </c>
      <c r="AK3856">
        <v>31.146456305298599</v>
      </c>
      <c r="AL3856">
        <v>83.187932963022504</v>
      </c>
      <c r="AM3856">
        <v>91.485037417952498</v>
      </c>
      <c r="AN3856">
        <v>1.0000000533315301</v>
      </c>
    </row>
    <row r="3857" spans="1:40" x14ac:dyDescent="0.25">
      <c r="A3857" t="str">
        <f>"20190312172153583"</f>
        <v>20190312172153583</v>
      </c>
      <c r="B3857" t="str">
        <f>"1552382513574116"</f>
        <v>1552382513574116</v>
      </c>
      <c r="C3857" t="s">
        <v>40</v>
      </c>
      <c r="D3857">
        <v>3.2094130000000001</v>
      </c>
      <c r="E3857">
        <v>0.49202030000000002</v>
      </c>
      <c r="F3857" t="s">
        <v>46</v>
      </c>
      <c r="G3857">
        <v>-383.67860000000002</v>
      </c>
      <c r="H3857" s="1">
        <v>3.9273619999999999E-7</v>
      </c>
      <c r="I3857">
        <v>215.25729999999999</v>
      </c>
      <c r="J3857">
        <v>-414.43060000000003</v>
      </c>
      <c r="K3857">
        <v>1.1113249999999999</v>
      </c>
      <c r="L3857">
        <v>213.63570000000001</v>
      </c>
      <c r="M3857">
        <v>0.99984819999999996</v>
      </c>
      <c r="N3857">
        <v>0</v>
      </c>
      <c r="O3857">
        <v>1.1316649999999999E-2</v>
      </c>
      <c r="P3857">
        <v>0.99391819999999997</v>
      </c>
      <c r="Q3857">
        <v>0.1039873</v>
      </c>
      <c r="R3857">
        <v>3.6245390000000002E-2</v>
      </c>
      <c r="S3857">
        <v>3.024597</v>
      </c>
      <c r="T3857">
        <v>-0.10845200000000001</v>
      </c>
      <c r="U3857">
        <v>0.1586456</v>
      </c>
      <c r="V3857">
        <v>-2.5245719999999999E-2</v>
      </c>
      <c r="W3857">
        <v>0.1171026</v>
      </c>
      <c r="X3857">
        <v>0.99279890000000004</v>
      </c>
      <c r="Y3857">
        <v>-4.1055309999999998E-2</v>
      </c>
      <c r="Z3857">
        <v>3.2994429999999998E-4</v>
      </c>
      <c r="AA3857">
        <v>0.99915679999999996</v>
      </c>
      <c r="AB3857">
        <v>24</v>
      </c>
      <c r="AC3857">
        <v>30.751999999999999</v>
      </c>
      <c r="AD3857">
        <v>-1.1113246072637999</v>
      </c>
      <c r="AE3857">
        <v>1.62159999999997</v>
      </c>
      <c r="AF3857">
        <v>-1.2717996436696699</v>
      </c>
      <c r="AG3857">
        <v>-1.1113246072637999</v>
      </c>
      <c r="AH3857">
        <v>30.7283639083543</v>
      </c>
      <c r="AI3857">
        <v>92.069491038292497</v>
      </c>
      <c r="AJ3857">
        <v>92.370031373291795</v>
      </c>
      <c r="AK3857">
        <v>30.7747439502037</v>
      </c>
      <c r="AL3857">
        <v>83.275085365853997</v>
      </c>
      <c r="AM3857">
        <v>91.456651041919002</v>
      </c>
      <c r="AN3857">
        <v>1.0000000105731399</v>
      </c>
    </row>
    <row r="3858" spans="1:40" x14ac:dyDescent="0.25">
      <c r="A3858" t="str">
        <f>"20190312172153604"</f>
        <v>20190312172153604</v>
      </c>
      <c r="B3858" t="str">
        <f>"1552382513594146"</f>
        <v>1552382513594146</v>
      </c>
      <c r="C3858" t="s">
        <v>40</v>
      </c>
      <c r="D3858">
        <v>3.191325</v>
      </c>
      <c r="E3858">
        <v>0.49190630000000002</v>
      </c>
      <c r="F3858" t="s">
        <v>46</v>
      </c>
      <c r="G3858">
        <v>-384.76859999999999</v>
      </c>
      <c r="H3858" s="1">
        <v>9.7427179999999991E-7</v>
      </c>
      <c r="I3858">
        <v>215.22380000000001</v>
      </c>
      <c r="J3858">
        <v>-414.20620000000002</v>
      </c>
      <c r="K3858">
        <v>1.1112610000000001</v>
      </c>
      <c r="L3858">
        <v>213.6397</v>
      </c>
      <c r="M3858">
        <v>0.99983339999999998</v>
      </c>
      <c r="N3858">
        <v>0</v>
      </c>
      <c r="O3858">
        <v>1.2560780000000001E-2</v>
      </c>
      <c r="P3858">
        <v>0.99372240000000001</v>
      </c>
      <c r="Q3858">
        <v>0.1055691</v>
      </c>
      <c r="R3858">
        <v>3.7022869999999999E-2</v>
      </c>
      <c r="S3858">
        <v>3.0243229999999999</v>
      </c>
      <c r="T3858">
        <v>-0.1133102</v>
      </c>
      <c r="U3858">
        <v>0.1619263</v>
      </c>
      <c r="V3858">
        <v>-2.4769039999999999E-2</v>
      </c>
      <c r="W3858">
        <v>0.118684999999999</v>
      </c>
      <c r="X3858">
        <v>0.99262300000000003</v>
      </c>
      <c r="Y3858">
        <v>-4.0896799999999997E-2</v>
      </c>
      <c r="Z3858">
        <v>2.9521279999999999E-4</v>
      </c>
      <c r="AA3858">
        <v>0.99916329999999998</v>
      </c>
      <c r="AB3858">
        <v>24</v>
      </c>
      <c r="AC3858">
        <v>29.4376</v>
      </c>
      <c r="AD3858">
        <v>-1.1112600257281999</v>
      </c>
      <c r="AE3858">
        <v>1.5841000000000001</v>
      </c>
      <c r="AF3858">
        <v>-1.21246054551129</v>
      </c>
      <c r="AG3858">
        <v>-1.1112600257281999</v>
      </c>
      <c r="AH3858">
        <v>29.413382369970599</v>
      </c>
      <c r="AI3858">
        <v>92.1618150411865</v>
      </c>
      <c r="AJ3858">
        <v>92.360475379415007</v>
      </c>
      <c r="AK3858">
        <v>29.459328265615699</v>
      </c>
      <c r="AL3858">
        <v>83.1837839121618</v>
      </c>
      <c r="AM3858">
        <v>91.429411784500701</v>
      </c>
      <c r="AN3858">
        <v>1.0000000273482601</v>
      </c>
    </row>
    <row r="3859" spans="1:40" x14ac:dyDescent="0.25">
      <c r="A3859" t="str">
        <f>"20190312172153626"</f>
        <v>20190312172153626</v>
      </c>
      <c r="B3859" t="str">
        <f>"1552382513614639"</f>
        <v>1552382513614639</v>
      </c>
      <c r="C3859" t="s">
        <v>40</v>
      </c>
      <c r="D3859">
        <v>3.1890459999999998</v>
      </c>
      <c r="E3859">
        <v>0.49187449999999999</v>
      </c>
      <c r="F3859" t="s">
        <v>46</v>
      </c>
      <c r="G3859">
        <v>-383.24579999999997</v>
      </c>
      <c r="H3859" s="1">
        <v>1.594428E-7</v>
      </c>
      <c r="I3859">
        <v>215.3261</v>
      </c>
      <c r="J3859">
        <v>-413.9837</v>
      </c>
      <c r="K3859">
        <v>1.111194</v>
      </c>
      <c r="L3859">
        <v>213.6439</v>
      </c>
      <c r="M3859">
        <v>0.9998186</v>
      </c>
      <c r="N3859">
        <v>0</v>
      </c>
      <c r="O3859">
        <v>1.368596E-2</v>
      </c>
      <c r="P3859">
        <v>0.99329610000000002</v>
      </c>
      <c r="Q3859">
        <v>0.1094183</v>
      </c>
      <c r="R3859">
        <v>3.7293380000000001E-2</v>
      </c>
      <c r="S3859">
        <v>3.024384</v>
      </c>
      <c r="T3859">
        <v>-0.1085542</v>
      </c>
      <c r="U3859">
        <v>0.16473389999999999</v>
      </c>
      <c r="V3859">
        <v>-2.3911479999999999E-2</v>
      </c>
      <c r="W3859">
        <v>0.1225325</v>
      </c>
      <c r="X3859">
        <v>0.99217639999999996</v>
      </c>
      <c r="Y3859">
        <v>-4.069863E-2</v>
      </c>
      <c r="Z3859">
        <v>2.3892799999999999E-4</v>
      </c>
      <c r="AA3859">
        <v>0.99917140000000004</v>
      </c>
      <c r="AB3859">
        <v>24</v>
      </c>
      <c r="AC3859">
        <v>30.7379</v>
      </c>
      <c r="AD3859">
        <v>-1.1111938405571999</v>
      </c>
      <c r="AE3859">
        <v>1.6821999999999899</v>
      </c>
      <c r="AF3859">
        <v>-1.2596865148196501</v>
      </c>
      <c r="AG3859">
        <v>-1.1111938405571999</v>
      </c>
      <c r="AH3859">
        <v>30.718020733312098</v>
      </c>
      <c r="AI3859">
        <v>92.069976232786402</v>
      </c>
      <c r="AJ3859">
        <v>92.348273165083896</v>
      </c>
      <c r="AK3859">
        <v>30.763913269269</v>
      </c>
      <c r="AL3859">
        <v>82.961716942177802</v>
      </c>
      <c r="AM3859">
        <v>91.380562706285602</v>
      </c>
      <c r="AN3859">
        <v>0.99999999057449995</v>
      </c>
    </row>
    <row r="3860" spans="1:40" x14ac:dyDescent="0.25">
      <c r="A3860" t="str">
        <f>"20190312172153648"</f>
        <v>20190312172153648</v>
      </c>
      <c r="B3860" t="str">
        <f>"1552382513644895"</f>
        <v>1552382513644895</v>
      </c>
      <c r="C3860" t="s">
        <v>40</v>
      </c>
      <c r="D3860">
        <v>3.2048269999999999</v>
      </c>
      <c r="E3860">
        <v>0.49191079999999998</v>
      </c>
      <c r="F3860" t="s">
        <v>46</v>
      </c>
      <c r="G3860">
        <v>-379.46899999999999</v>
      </c>
      <c r="H3860" s="1">
        <v>3.5021260000000002E-6</v>
      </c>
      <c r="I3860">
        <v>215.53559999999999</v>
      </c>
      <c r="J3860">
        <v>-413.74329999999998</v>
      </c>
      <c r="K3860">
        <v>1.111113</v>
      </c>
      <c r="L3860">
        <v>213.64850000000001</v>
      </c>
      <c r="M3860">
        <v>0.99980349999999996</v>
      </c>
      <c r="N3860">
        <v>0</v>
      </c>
      <c r="O3860">
        <v>1.4750839999999999E-2</v>
      </c>
      <c r="P3860">
        <v>0.99310359999999998</v>
      </c>
      <c r="Q3860">
        <v>0.1111958</v>
      </c>
      <c r="R3860">
        <v>3.7160369999999998E-2</v>
      </c>
      <c r="S3860">
        <v>3.02475</v>
      </c>
      <c r="T3860">
        <v>-9.7380880000000003E-2</v>
      </c>
      <c r="U3860">
        <v>0.16578670000000001</v>
      </c>
      <c r="V3860">
        <v>-2.2698090000000001E-2</v>
      </c>
      <c r="W3860">
        <v>0.1243117</v>
      </c>
      <c r="X3860">
        <v>0.99198359999999997</v>
      </c>
      <c r="Y3860">
        <v>-3.9978920000000001E-2</v>
      </c>
      <c r="Z3860">
        <v>1.6850489999999999E-4</v>
      </c>
      <c r="AA3860">
        <v>0.99920050000000005</v>
      </c>
      <c r="AB3860">
        <v>24</v>
      </c>
      <c r="AC3860">
        <v>34.274299999999897</v>
      </c>
      <c r="AD3860">
        <v>-1.1111094978739999</v>
      </c>
      <c r="AE3860">
        <v>1.88709999999997</v>
      </c>
      <c r="AF3860">
        <v>-1.3798298636627599</v>
      </c>
      <c r="AG3860">
        <v>-1.1111094978739999</v>
      </c>
      <c r="AH3860">
        <v>34.262510167578696</v>
      </c>
      <c r="AI3860">
        <v>91.855908199948999</v>
      </c>
      <c r="AJ3860">
        <v>92.306186215965894</v>
      </c>
      <c r="AK3860">
        <v>34.308280308875197</v>
      </c>
      <c r="AL3860">
        <v>82.858991159423198</v>
      </c>
      <c r="AM3860">
        <v>91.310785647590706</v>
      </c>
      <c r="AN3860">
        <v>1.00000003235774</v>
      </c>
    </row>
    <row r="3861" spans="1:40" x14ac:dyDescent="0.25">
      <c r="A3861" t="str">
        <f>"20190312172153662"</f>
        <v>20190312172153662</v>
      </c>
      <c r="B3861" t="str">
        <f>"1552382513654655"</f>
        <v>1552382513654655</v>
      </c>
      <c r="C3861" t="s">
        <v>40</v>
      </c>
      <c r="D3861">
        <v>3.1687940000000001</v>
      </c>
      <c r="E3861">
        <v>0.49192659999999999</v>
      </c>
      <c r="F3861" t="s">
        <v>46</v>
      </c>
      <c r="G3861">
        <v>-377.28390000000002</v>
      </c>
      <c r="H3861" s="1">
        <v>2.339347E-6</v>
      </c>
      <c r="I3861">
        <v>215.63239999999999</v>
      </c>
      <c r="J3861">
        <v>-413.6071</v>
      </c>
      <c r="K3861">
        <v>1.1110549999999999</v>
      </c>
      <c r="L3861">
        <v>213.65119999999999</v>
      </c>
      <c r="M3861">
        <v>0.99979549999999995</v>
      </c>
      <c r="N3861">
        <v>0</v>
      </c>
      <c r="O3861">
        <v>1.5290089999999999E-2</v>
      </c>
      <c r="P3861">
        <v>0.99307350000000005</v>
      </c>
      <c r="Q3861">
        <v>0.1115073</v>
      </c>
      <c r="R3861">
        <v>3.703451E-2</v>
      </c>
      <c r="S3861">
        <v>3.0249630000000001</v>
      </c>
      <c r="T3861">
        <v>-9.2186690000000002E-2</v>
      </c>
      <c r="U3861">
        <v>0.16459660000000001</v>
      </c>
      <c r="V3861">
        <v>-2.2019850000000001E-2</v>
      </c>
      <c r="W3861">
        <v>0.1246249</v>
      </c>
      <c r="X3861">
        <v>0.99195960000000005</v>
      </c>
      <c r="Y3861">
        <v>-3.904618E-2</v>
      </c>
      <c r="Z3861">
        <v>1.2889809999999999E-4</v>
      </c>
      <c r="AA3861">
        <v>0.99923740000000005</v>
      </c>
      <c r="AB3861">
        <v>24</v>
      </c>
      <c r="AC3861">
        <v>36.3231999999999</v>
      </c>
      <c r="AD3861">
        <v>-1.111052660653</v>
      </c>
      <c r="AE3861">
        <v>1.9812000000000001</v>
      </c>
      <c r="AF3861">
        <v>-1.4242061412694</v>
      </c>
      <c r="AG3861">
        <v>-1.111052660653</v>
      </c>
      <c r="AH3861">
        <v>36.3153717157846</v>
      </c>
      <c r="AI3861">
        <v>91.751047063905702</v>
      </c>
      <c r="AJ3861">
        <v>92.245859007926001</v>
      </c>
      <c r="AK3861">
        <v>36.360267105773303</v>
      </c>
      <c r="AL3861">
        <v>82.840905562119602</v>
      </c>
      <c r="AM3861">
        <v>91.271661970832994</v>
      </c>
      <c r="AN3861">
        <v>1.00000004376309</v>
      </c>
    </row>
    <row r="3862" spans="1:40" x14ac:dyDescent="0.25">
      <c r="A3862" t="str">
        <f>"20190312172153682"</f>
        <v>20190312172153682</v>
      </c>
      <c r="B3862" t="str">
        <f>"1552382513674179"</f>
        <v>1552382513674179</v>
      </c>
      <c r="C3862" t="s">
        <v>40</v>
      </c>
      <c r="D3862">
        <v>3.1728109999999998</v>
      </c>
      <c r="E3862">
        <v>0.49746699999999999</v>
      </c>
      <c r="F3862" t="s">
        <v>46</v>
      </c>
      <c r="G3862">
        <v>-376.76670000000001</v>
      </c>
      <c r="H3862" s="1">
        <v>2.0641260000000001E-6</v>
      </c>
      <c r="I3862">
        <v>215.649</v>
      </c>
      <c r="J3862">
        <v>-413.38670000000002</v>
      </c>
      <c r="K3862">
        <v>1.1109549999999999</v>
      </c>
      <c r="L3862">
        <v>213.65549999999999</v>
      </c>
      <c r="M3862">
        <v>0.99978389999999995</v>
      </c>
      <c r="N3862">
        <v>0</v>
      </c>
      <c r="O3862">
        <v>1.6024030000000002E-2</v>
      </c>
      <c r="P3862">
        <v>0.99306749999999999</v>
      </c>
      <c r="Q3862">
        <v>0.1118205</v>
      </c>
      <c r="R3862">
        <v>3.624136E-2</v>
      </c>
      <c r="S3862">
        <v>3.0250240000000002</v>
      </c>
      <c r="T3862">
        <v>-9.1230389999999995E-2</v>
      </c>
      <c r="U3862">
        <v>0.1640472</v>
      </c>
      <c r="V3862">
        <v>-2.0467079999999999E-2</v>
      </c>
      <c r="W3862">
        <v>0.1249424</v>
      </c>
      <c r="X3862">
        <v>0.99195290000000003</v>
      </c>
      <c r="Y3862">
        <v>-3.8131600000000002E-2</v>
      </c>
      <c r="Z3862" s="1">
        <v>9.1672759999999998E-5</v>
      </c>
      <c r="AA3862">
        <v>0.99927270000000001</v>
      </c>
      <c r="AB3862">
        <v>23</v>
      </c>
      <c r="AC3862">
        <v>36.619999999999997</v>
      </c>
      <c r="AD3862">
        <v>-1.110952935874</v>
      </c>
      <c r="AE3862">
        <v>1.99350000000001</v>
      </c>
      <c r="AF3862">
        <v>-1.4051031900765001</v>
      </c>
      <c r="AG3862">
        <v>-1.110952935874</v>
      </c>
      <c r="AH3862">
        <v>36.613646198496198</v>
      </c>
      <c r="AI3862">
        <v>91.736691630563499</v>
      </c>
      <c r="AJ3862">
        <v>92.197732367786799</v>
      </c>
      <c r="AK3862">
        <v>36.6574360716778</v>
      </c>
      <c r="AL3862">
        <v>82.822570750773707</v>
      </c>
      <c r="AM3862">
        <v>91.182022788150107</v>
      </c>
      <c r="AN3862">
        <v>1.0000000302499401</v>
      </c>
    </row>
    <row r="3863" spans="1:40" x14ac:dyDescent="0.25">
      <c r="A3863" t="str">
        <f>"20190312172153705"</f>
        <v>20190312172153705</v>
      </c>
      <c r="B3863" t="str">
        <f>"1552382513694068"</f>
        <v>1552382513694068</v>
      </c>
      <c r="C3863" t="s">
        <v>40</v>
      </c>
      <c r="D3863">
        <v>3.0262359999999999</v>
      </c>
      <c r="E3863">
        <v>0.49696580000000001</v>
      </c>
      <c r="F3863" t="s">
        <v>46</v>
      </c>
      <c r="G3863">
        <v>-379.62079999999997</v>
      </c>
      <c r="H3863" s="1">
        <v>3.5829500000000001E-6</v>
      </c>
      <c r="I3863">
        <v>214.96629999999999</v>
      </c>
      <c r="J3863">
        <v>-413.15159999999997</v>
      </c>
      <c r="K3863">
        <v>1.110838</v>
      </c>
      <c r="L3863">
        <v>213.6602</v>
      </c>
      <c r="M3863">
        <v>0.99977400000000005</v>
      </c>
      <c r="N3863">
        <v>0</v>
      </c>
      <c r="O3863">
        <v>1.6638360000000001E-2</v>
      </c>
      <c r="P3863">
        <v>0.99293200000000004</v>
      </c>
      <c r="Q3863">
        <v>0.1131152</v>
      </c>
      <c r="R3863">
        <v>3.5934529999999999E-2</v>
      </c>
      <c r="S3863">
        <v>3.027863</v>
      </c>
      <c r="T3863">
        <v>-9.962153E-2</v>
      </c>
      <c r="U3863">
        <v>0.1175385</v>
      </c>
      <c r="V3863">
        <v>-1.951642E-2</v>
      </c>
      <c r="W3863">
        <v>0.12623899999999999</v>
      </c>
      <c r="X3863">
        <v>0.99180789999999996</v>
      </c>
      <c r="Y3863">
        <v>-2.2154090000000001E-2</v>
      </c>
      <c r="Z3863">
        <v>-1.828427E-4</v>
      </c>
      <c r="AA3863">
        <v>0.99975449999999999</v>
      </c>
      <c r="AB3863">
        <v>23</v>
      </c>
      <c r="AC3863">
        <v>33.530799999999999</v>
      </c>
      <c r="AD3863">
        <v>-1.11083441705</v>
      </c>
      <c r="AE3863">
        <v>1.3060999999999801</v>
      </c>
      <c r="AF3863">
        <v>-0.74715402187464097</v>
      </c>
      <c r="AG3863">
        <v>-1.11083441705</v>
      </c>
      <c r="AH3863">
        <v>33.511167560806498</v>
      </c>
      <c r="AI3863">
        <v>91.898084621296803</v>
      </c>
      <c r="AJ3863">
        <v>91.277236335197401</v>
      </c>
      <c r="AK3863">
        <v>33.537897124342201</v>
      </c>
      <c r="AL3863">
        <v>82.747688223783996</v>
      </c>
      <c r="AM3863">
        <v>91.127299151392094</v>
      </c>
      <c r="AN3863">
        <v>1.0000000431365099</v>
      </c>
    </row>
    <row r="3864" spans="1:40" x14ac:dyDescent="0.25">
      <c r="A3864" t="str">
        <f>"20190312172153718"</f>
        <v>20190312172153718</v>
      </c>
      <c r="B3864" t="str">
        <f>"1552382513714550"</f>
        <v>1552382513714550</v>
      </c>
      <c r="C3864" t="s">
        <v>40</v>
      </c>
      <c r="D3864">
        <v>3.1828539999999998</v>
      </c>
      <c r="E3864">
        <v>0.49692249999999999</v>
      </c>
      <c r="F3864" t="s">
        <v>46</v>
      </c>
      <c r="G3864">
        <v>-373.69940000000003</v>
      </c>
      <c r="H3864" s="1">
        <v>4.3183519999999999E-7</v>
      </c>
      <c r="I3864">
        <v>215.23779999999999</v>
      </c>
      <c r="J3864">
        <v>-413.0154</v>
      </c>
      <c r="K3864">
        <v>1.110768</v>
      </c>
      <c r="L3864">
        <v>213.6628</v>
      </c>
      <c r="M3864">
        <v>0.99976909999999997</v>
      </c>
      <c r="N3864">
        <v>0</v>
      </c>
      <c r="O3864">
        <v>1.6930190000000001E-2</v>
      </c>
      <c r="P3864">
        <v>0.99287119999999995</v>
      </c>
      <c r="Q3864">
        <v>0.113734</v>
      </c>
      <c r="R3864">
        <v>3.5657809999999998E-2</v>
      </c>
      <c r="S3864">
        <v>3.026672</v>
      </c>
      <c r="T3864">
        <v>-8.5220580000000004E-2</v>
      </c>
      <c r="U3864">
        <v>0.12103269999999999</v>
      </c>
      <c r="V3864">
        <v>-1.8929419999999999E-2</v>
      </c>
      <c r="W3864">
        <v>0.12685959999999999</v>
      </c>
      <c r="X3864">
        <v>0.99173999999999995</v>
      </c>
      <c r="Y3864">
        <v>-2.3030479999999999E-2</v>
      </c>
      <c r="Z3864">
        <v>-1.523594E-4</v>
      </c>
      <c r="AA3864">
        <v>0.99973480000000003</v>
      </c>
      <c r="AB3864">
        <v>23</v>
      </c>
      <c r="AC3864">
        <v>39.315999999999903</v>
      </c>
      <c r="AD3864">
        <v>-1.1107675681647999</v>
      </c>
      <c r="AE3864">
        <v>1.57499999999998</v>
      </c>
      <c r="AF3864">
        <v>-0.90836469529768105</v>
      </c>
      <c r="AG3864">
        <v>-1.1107675681647999</v>
      </c>
      <c r="AH3864">
        <v>39.305708134771599</v>
      </c>
      <c r="AI3864">
        <v>91.618298924160499</v>
      </c>
      <c r="AJ3864">
        <v>91.323884066558904</v>
      </c>
      <c r="AK3864">
        <v>39.331890661217898</v>
      </c>
      <c r="AL3864">
        <v>82.711841623198197</v>
      </c>
      <c r="AM3864">
        <v>91.093476308054605</v>
      </c>
      <c r="AN3864">
        <v>0.99999995432684696</v>
      </c>
    </row>
    <row r="3865" spans="1:40" x14ac:dyDescent="0.25">
      <c r="A3865" t="str">
        <f>"20190312172153738"</f>
        <v>20190312172153738</v>
      </c>
      <c r="B3865" t="str">
        <f>"1552382513734071"</f>
        <v>1552382513734071</v>
      </c>
      <c r="C3865" t="s">
        <v>40</v>
      </c>
      <c r="D3865">
        <v>3.146935</v>
      </c>
      <c r="E3865">
        <v>0.49689830000000001</v>
      </c>
      <c r="F3865" t="s">
        <v>46</v>
      </c>
      <c r="G3865">
        <v>-370.6173</v>
      </c>
      <c r="H3865" s="1">
        <v>-1.2083069999999999E-6</v>
      </c>
      <c r="I3865">
        <v>215.35659999999999</v>
      </c>
      <c r="J3865">
        <v>-412.8073</v>
      </c>
      <c r="K3865">
        <v>1.110662</v>
      </c>
      <c r="L3865">
        <v>213.6669</v>
      </c>
      <c r="M3865">
        <v>0.99976370000000003</v>
      </c>
      <c r="N3865">
        <v>0</v>
      </c>
      <c r="O3865">
        <v>1.7254619999999998E-2</v>
      </c>
      <c r="P3865">
        <v>0.99291209999999996</v>
      </c>
      <c r="Q3865">
        <v>0.1134464</v>
      </c>
      <c r="R3865">
        <v>3.5439720000000001E-2</v>
      </c>
      <c r="S3865">
        <v>3.0262760000000002</v>
      </c>
      <c r="T3865">
        <v>-7.9284069999999998E-2</v>
      </c>
      <c r="U3865">
        <v>0.1208954</v>
      </c>
      <c r="V3865">
        <v>-1.8355989999999999E-2</v>
      </c>
      <c r="W3865">
        <v>0.1265753</v>
      </c>
      <c r="X3865">
        <v>0.99178710000000003</v>
      </c>
      <c r="Y3865">
        <v>-2.2666559999999999E-2</v>
      </c>
      <c r="Z3865">
        <v>-1.550259E-4</v>
      </c>
      <c r="AA3865">
        <v>0.99974300000000005</v>
      </c>
      <c r="AB3865">
        <v>23</v>
      </c>
      <c r="AC3865">
        <v>42.19</v>
      </c>
      <c r="AD3865">
        <v>-1.110663208307</v>
      </c>
      <c r="AE3865">
        <v>1.68969999999998</v>
      </c>
      <c r="AF3865">
        <v>-0.96074759692207601</v>
      </c>
      <c r="AG3865">
        <v>-1.110663208307</v>
      </c>
      <c r="AH3865">
        <v>42.1836883501743</v>
      </c>
      <c r="AI3865">
        <v>91.5078133598238</v>
      </c>
      <c r="AJ3865">
        <v>91.3047049633455</v>
      </c>
      <c r="AK3865">
        <v>42.2092427263498</v>
      </c>
      <c r="AL3865">
        <v>82.728263161599202</v>
      </c>
      <c r="AM3865">
        <v>91.060308903928799</v>
      </c>
      <c r="AN3865">
        <v>0.99999995033268796</v>
      </c>
    </row>
    <row r="3866" spans="1:40" x14ac:dyDescent="0.25">
      <c r="A3866" t="str">
        <f>"20190312172153762"</f>
        <v>20190312172153762</v>
      </c>
      <c r="B3866" t="str">
        <f>"1552382513754566"</f>
        <v>1552382513754566</v>
      </c>
      <c r="C3866" t="s">
        <v>40</v>
      </c>
      <c r="D3866">
        <v>3.152771</v>
      </c>
      <c r="E3866">
        <v>0.4965734</v>
      </c>
      <c r="F3866" t="s">
        <v>46</v>
      </c>
      <c r="G3866">
        <v>-370.24860000000001</v>
      </c>
      <c r="H3866" s="1">
        <v>-1.4045019999999999E-6</v>
      </c>
      <c r="I3866">
        <v>215.3725</v>
      </c>
      <c r="J3866">
        <v>-412.5659</v>
      </c>
      <c r="K3866">
        <v>1.110538</v>
      </c>
      <c r="L3866">
        <v>213.67140000000001</v>
      </c>
      <c r="M3866">
        <v>0.99976019999999999</v>
      </c>
      <c r="N3866">
        <v>0</v>
      </c>
      <c r="O3866">
        <v>1.745704E-2</v>
      </c>
      <c r="P3866">
        <v>0.99308730000000001</v>
      </c>
      <c r="Q3866">
        <v>0.1120139</v>
      </c>
      <c r="R3866">
        <v>3.5082870000000002E-2</v>
      </c>
      <c r="S3866">
        <v>3.026154</v>
      </c>
      <c r="T3866">
        <v>-7.8974130000000003E-2</v>
      </c>
      <c r="U3866">
        <v>0.12127690000000001</v>
      </c>
      <c r="V3866">
        <v>-1.7758619999999999E-2</v>
      </c>
      <c r="W3866">
        <v>0.12514810000000001</v>
      </c>
      <c r="X3866">
        <v>0.9919791</v>
      </c>
      <c r="Y3866">
        <v>-2.2591690000000001E-2</v>
      </c>
      <c r="Z3866">
        <v>-1.6068070000000001E-4</v>
      </c>
      <c r="AA3866">
        <v>0.99974479999999999</v>
      </c>
      <c r="AB3866">
        <v>23</v>
      </c>
      <c r="AC3866">
        <v>42.317299999999904</v>
      </c>
      <c r="AD3866">
        <v>-1.1105394045020001</v>
      </c>
      <c r="AE3866">
        <v>1.7010999999999901</v>
      </c>
      <c r="AF3866">
        <v>-0.96138032332480206</v>
      </c>
      <c r="AG3866">
        <v>-1.1105394045020001</v>
      </c>
      <c r="AH3866">
        <v>42.311456067154701</v>
      </c>
      <c r="AI3866">
        <v>91.5030966640484</v>
      </c>
      <c r="AJ3866">
        <v>91.301622867658196</v>
      </c>
      <c r="AK3866">
        <v>42.336944438844299</v>
      </c>
      <c r="AL3866">
        <v>82.810691373606602</v>
      </c>
      <c r="AM3866">
        <v>91.025611626562906</v>
      </c>
      <c r="AN3866">
        <v>0.99999997517736094</v>
      </c>
    </row>
    <row r="3867" spans="1:40" x14ac:dyDescent="0.25">
      <c r="A3867" t="str">
        <f>"20190312172153784"</f>
        <v>20190312172153784</v>
      </c>
      <c r="B3867" t="str">
        <f>"1552382513774086"</f>
        <v>1552382513774086</v>
      </c>
      <c r="C3867" t="s">
        <v>40</v>
      </c>
      <c r="D3867">
        <v>3.2070470000000002</v>
      </c>
      <c r="E3867">
        <v>0.49604779999999998</v>
      </c>
      <c r="F3867" t="s">
        <v>46</v>
      </c>
      <c r="G3867">
        <v>-371.91840000000002</v>
      </c>
      <c r="H3867" s="1">
        <v>-5.1592999999999999E-7</v>
      </c>
      <c r="I3867">
        <v>215.3305</v>
      </c>
      <c r="J3867">
        <v>-412.32159999999999</v>
      </c>
      <c r="K3867">
        <v>1.110425</v>
      </c>
      <c r="L3867">
        <v>213.67580000000001</v>
      </c>
      <c r="M3867">
        <v>0.99975939999999996</v>
      </c>
      <c r="N3867">
        <v>0</v>
      </c>
      <c r="O3867">
        <v>1.749481E-2</v>
      </c>
      <c r="P3867">
        <v>0.99333970000000005</v>
      </c>
      <c r="Q3867">
        <v>0.1099681</v>
      </c>
      <c r="R3867">
        <v>3.4399590000000001E-2</v>
      </c>
      <c r="S3867">
        <v>3.0258479999999999</v>
      </c>
      <c r="T3867">
        <v>-8.2669619999999999E-2</v>
      </c>
      <c r="U3867">
        <v>0.12350460000000001</v>
      </c>
      <c r="V3867">
        <v>-1.7002380000000001E-2</v>
      </c>
      <c r="W3867">
        <v>0.12310739999999901</v>
      </c>
      <c r="X3867">
        <v>0.99224769999999896</v>
      </c>
      <c r="Y3867">
        <v>-2.329239E-2</v>
      </c>
      <c r="Z3867">
        <v>-1.5967560000000001E-4</v>
      </c>
      <c r="AA3867">
        <v>0.99972870000000003</v>
      </c>
      <c r="AB3867">
        <v>23</v>
      </c>
      <c r="AC3867">
        <v>40.403199999999899</v>
      </c>
      <c r="AD3867">
        <v>-1.1104255159300001</v>
      </c>
      <c r="AE3867">
        <v>1.6546999999999901</v>
      </c>
      <c r="AF3867">
        <v>-0.94682453508993003</v>
      </c>
      <c r="AG3867">
        <v>-1.1104255159300001</v>
      </c>
      <c r="AH3867">
        <v>40.395504980525303</v>
      </c>
      <c r="AI3867">
        <v>91.574165776040402</v>
      </c>
      <c r="AJ3867">
        <v>91.342701834032596</v>
      </c>
      <c r="AK3867">
        <v>40.421854783746802</v>
      </c>
      <c r="AL3867">
        <v>82.928526416600405</v>
      </c>
      <c r="AM3867">
        <v>90.981679563618499</v>
      </c>
      <c r="AN3867">
        <v>1.00000000550785</v>
      </c>
    </row>
    <row r="3868" spans="1:40" x14ac:dyDescent="0.25">
      <c r="A3868" t="str">
        <f>"20190312172153806"</f>
        <v>20190312172153806</v>
      </c>
      <c r="B3868" t="str">
        <f>"1552382513794113"</f>
        <v>1552382513794113</v>
      </c>
      <c r="C3868" t="s">
        <v>40</v>
      </c>
      <c r="D3868">
        <v>3.1633559999999998</v>
      </c>
      <c r="E3868">
        <v>0.4959925</v>
      </c>
      <c r="F3868" t="s">
        <v>46</v>
      </c>
      <c r="G3868">
        <v>-375.85430000000002</v>
      </c>
      <c r="H3868" s="1">
        <v>1.5785899999999999E-6</v>
      </c>
      <c r="I3868">
        <v>215.2012</v>
      </c>
      <c r="J3868">
        <v>-412.09769999999997</v>
      </c>
      <c r="K3868">
        <v>1.110344</v>
      </c>
      <c r="L3868">
        <v>213.6798</v>
      </c>
      <c r="M3868">
        <v>0.9997606</v>
      </c>
      <c r="N3868">
        <v>0</v>
      </c>
      <c r="O3868">
        <v>1.7433560000000001E-2</v>
      </c>
      <c r="P3868">
        <v>0.99344209999999999</v>
      </c>
      <c r="Q3868">
        <v>0.1093949</v>
      </c>
      <c r="R3868">
        <v>3.325434E-2</v>
      </c>
      <c r="S3868">
        <v>3.02597</v>
      </c>
      <c r="T3868">
        <v>-9.2140440000000004E-2</v>
      </c>
      <c r="U3868">
        <v>0.12657169999999901</v>
      </c>
      <c r="V3868">
        <v>-1.5895880000000001E-2</v>
      </c>
      <c r="W3868">
        <v>0.1225358</v>
      </c>
      <c r="X3868">
        <v>0.99233680000000002</v>
      </c>
      <c r="Y3868">
        <v>-2.4362499999999999E-2</v>
      </c>
      <c r="Z3868">
        <v>-1.5980289999999999E-4</v>
      </c>
      <c r="AA3868">
        <v>0.99970320000000001</v>
      </c>
      <c r="AB3868">
        <v>23</v>
      </c>
      <c r="AC3868">
        <v>36.243399999999902</v>
      </c>
      <c r="AD3868">
        <v>-1.1103424214099999</v>
      </c>
      <c r="AE3868">
        <v>1.5214000000000001</v>
      </c>
      <c r="AF3868">
        <v>-0.88842965308261201</v>
      </c>
      <c r="AG3868">
        <v>-1.1103424214099999</v>
      </c>
      <c r="AH3868">
        <v>36.230472458251597</v>
      </c>
      <c r="AI3868">
        <v>91.754846789785901</v>
      </c>
      <c r="AJ3868">
        <v>91.404703468333494</v>
      </c>
      <c r="AK3868">
        <v>36.258368717985498</v>
      </c>
      <c r="AL3868">
        <v>82.961526588810003</v>
      </c>
      <c r="AM3868">
        <v>90.917721632147206</v>
      </c>
      <c r="AN3868">
        <v>1.0000000129584199</v>
      </c>
    </row>
    <row r="3869" spans="1:40" x14ac:dyDescent="0.25">
      <c r="A3869" t="str">
        <f>"20190312172153829"</f>
        <v>20190312172153829</v>
      </c>
      <c r="B3869" t="str">
        <f>"1552382513824369"</f>
        <v>1552382513824369</v>
      </c>
      <c r="C3869" t="s">
        <v>40</v>
      </c>
      <c r="D3869">
        <v>3.1473800000000001</v>
      </c>
      <c r="E3869">
        <v>0.4956255</v>
      </c>
      <c r="F3869" t="s">
        <v>46</v>
      </c>
      <c r="G3869">
        <v>-377.4228</v>
      </c>
      <c r="H3869" s="1">
        <v>2.413244E-6</v>
      </c>
      <c r="I3869">
        <v>215.1096</v>
      </c>
      <c r="J3869">
        <v>-411.86750000000001</v>
      </c>
      <c r="K3869">
        <v>1.110298</v>
      </c>
      <c r="L3869">
        <v>213.68369999999999</v>
      </c>
      <c r="M3869">
        <v>0.99976310000000002</v>
      </c>
      <c r="N3869">
        <v>0</v>
      </c>
      <c r="O3869">
        <v>1.728932E-2</v>
      </c>
      <c r="P3869">
        <v>0.99348449999999999</v>
      </c>
      <c r="Q3869">
        <v>0.10964309999999999</v>
      </c>
      <c r="R3869">
        <v>3.1099379999999999E-2</v>
      </c>
      <c r="S3869">
        <v>3.0262760000000002</v>
      </c>
      <c r="T3869">
        <v>-9.6905829999999998E-2</v>
      </c>
      <c r="U3869">
        <v>0.12478640000000001</v>
      </c>
      <c r="V3869">
        <v>-1.38683E-2</v>
      </c>
      <c r="W3869">
        <v>0.1227833</v>
      </c>
      <c r="X3869">
        <v>0.99233660000000001</v>
      </c>
      <c r="Y3869">
        <v>-2.39136E-2</v>
      </c>
      <c r="Z3869">
        <v>-1.7061720000000001E-4</v>
      </c>
      <c r="AA3869">
        <v>0.99971399999999999</v>
      </c>
      <c r="AB3869">
        <v>23</v>
      </c>
      <c r="AC3869">
        <v>34.444699999999997</v>
      </c>
      <c r="AD3869">
        <v>-1.110295586756</v>
      </c>
      <c r="AE3869">
        <v>1.4259000000000099</v>
      </c>
      <c r="AF3869">
        <v>-0.82924917875495896</v>
      </c>
      <c r="AG3869">
        <v>-1.110295586756</v>
      </c>
      <c r="AH3869">
        <v>34.428494200267103</v>
      </c>
      <c r="AI3869">
        <v>91.846574674004401</v>
      </c>
      <c r="AJ3869">
        <v>91.379766801266499</v>
      </c>
      <c r="AK3869">
        <v>34.456372754372502</v>
      </c>
      <c r="AL3869">
        <v>82.947237882231207</v>
      </c>
      <c r="AM3869">
        <v>90.800679259259795</v>
      </c>
      <c r="AN3869">
        <v>0.99999999810166995</v>
      </c>
    </row>
    <row r="3870" spans="1:40" x14ac:dyDescent="0.25">
      <c r="A3870" t="str">
        <f>"20190312172153851"</f>
        <v>20190312172153851</v>
      </c>
      <c r="B3870" t="str">
        <f>"1552382513844866"</f>
        <v>1552382513844866</v>
      </c>
      <c r="C3870" t="s">
        <v>40</v>
      </c>
      <c r="D3870">
        <v>3.1522350000000001</v>
      </c>
      <c r="E3870">
        <v>0.49559009999999998</v>
      </c>
      <c r="F3870" t="s">
        <v>46</v>
      </c>
      <c r="G3870">
        <v>-377.57170000000002</v>
      </c>
      <c r="H3870" s="1">
        <v>2.4925240000000001E-6</v>
      </c>
      <c r="I3870">
        <v>215.06829999999999</v>
      </c>
      <c r="J3870">
        <v>-411.6309</v>
      </c>
      <c r="K3870">
        <v>1.1102529999999999</v>
      </c>
      <c r="L3870">
        <v>213.68770000000001</v>
      </c>
      <c r="M3870">
        <v>0.99976690000000001</v>
      </c>
      <c r="N3870">
        <v>0</v>
      </c>
      <c r="O3870">
        <v>1.7078610000000001E-2</v>
      </c>
      <c r="P3870">
        <v>0.99367090000000002</v>
      </c>
      <c r="Q3870">
        <v>0.1088522</v>
      </c>
      <c r="R3870">
        <v>2.7742800000000001E-2</v>
      </c>
      <c r="S3870">
        <v>3.0267029999999999</v>
      </c>
      <c r="T3870">
        <v>-9.7987060000000001E-2</v>
      </c>
      <c r="U3870">
        <v>0.12219240000000001</v>
      </c>
      <c r="V3870">
        <v>-1.0706530000000001E-2</v>
      </c>
      <c r="W3870">
        <v>0.121992</v>
      </c>
      <c r="X3870">
        <v>0.99247339999999995</v>
      </c>
      <c r="Y3870">
        <v>-2.3263280000000001E-2</v>
      </c>
      <c r="Z3870">
        <v>-1.762038E-4</v>
      </c>
      <c r="AA3870">
        <v>0.99972930000000004</v>
      </c>
      <c r="AB3870">
        <v>23</v>
      </c>
      <c r="AC3870">
        <v>34.059199999999898</v>
      </c>
      <c r="AD3870">
        <v>-1.1102505074760001</v>
      </c>
      <c r="AE3870">
        <v>1.3805999999999801</v>
      </c>
      <c r="AF3870">
        <v>-0.79781768487488303</v>
      </c>
      <c r="AG3870">
        <v>-1.1102505074760001</v>
      </c>
      <c r="AH3870">
        <v>34.041698739430998</v>
      </c>
      <c r="AI3870">
        <v>91.867494443238797</v>
      </c>
      <c r="AJ3870">
        <v>91.342565773709595</v>
      </c>
      <c r="AK3870">
        <v>34.069141790098399</v>
      </c>
      <c r="AL3870">
        <v>82.992919913349098</v>
      </c>
      <c r="AM3870">
        <v>90.618067131642405</v>
      </c>
      <c r="AN3870">
        <v>1.0000000637780899</v>
      </c>
    </row>
    <row r="3871" spans="1:40" x14ac:dyDescent="0.25">
      <c r="A3871" t="str">
        <f>"20190312172153873"</f>
        <v>20190312172153873</v>
      </c>
      <c r="B3871" t="str">
        <f>"1552382513864385"</f>
        <v>1552382513864385</v>
      </c>
      <c r="C3871" t="s">
        <v>40</v>
      </c>
      <c r="D3871">
        <v>3.1620750000000002</v>
      </c>
      <c r="E3871">
        <v>0.49547730000000001</v>
      </c>
      <c r="F3871" t="s">
        <v>46</v>
      </c>
      <c r="G3871">
        <v>-379.03160000000003</v>
      </c>
      <c r="H3871" s="1">
        <v>3.2694049999999999E-6</v>
      </c>
      <c r="I3871">
        <v>214.90459999999999</v>
      </c>
      <c r="J3871">
        <v>-411.40609999999998</v>
      </c>
      <c r="K3871">
        <v>1.1102160000000001</v>
      </c>
      <c r="L3871">
        <v>213.69130000000001</v>
      </c>
      <c r="M3871">
        <v>0.99977079999999996</v>
      </c>
      <c r="N3871">
        <v>0</v>
      </c>
      <c r="O3871">
        <v>1.6841910000000002E-2</v>
      </c>
      <c r="P3871">
        <v>0.99390369999999995</v>
      </c>
      <c r="Q3871">
        <v>0.107903399999999</v>
      </c>
      <c r="R3871">
        <v>2.263664E-2</v>
      </c>
      <c r="S3871">
        <v>3.0272220000000001</v>
      </c>
      <c r="T3871">
        <v>-0.10309980000000001</v>
      </c>
      <c r="U3871">
        <v>0.1130066</v>
      </c>
      <c r="V3871">
        <v>-5.8241329999999996E-3</v>
      </c>
      <c r="W3871">
        <v>0.1210416</v>
      </c>
      <c r="X3871">
        <v>0.99263040000000002</v>
      </c>
      <c r="Y3871">
        <v>-2.04651E-2</v>
      </c>
      <c r="Z3871">
        <v>-2.2494E-4</v>
      </c>
      <c r="AA3871">
        <v>0.99979050000000003</v>
      </c>
      <c r="AB3871">
        <v>23</v>
      </c>
      <c r="AC3871">
        <v>32.374499999999898</v>
      </c>
      <c r="AD3871">
        <v>-1.110212730595</v>
      </c>
      <c r="AE3871">
        <v>1.2132999999999701</v>
      </c>
      <c r="AF3871">
        <v>-0.66704848629896596</v>
      </c>
      <c r="AG3871">
        <v>-1.110212730595</v>
      </c>
      <c r="AH3871">
        <v>32.352350524478403</v>
      </c>
      <c r="AI3871">
        <v>91.964990191680002</v>
      </c>
      <c r="AJ3871">
        <v>91.181170702154404</v>
      </c>
      <c r="AK3871">
        <v>32.378266019800499</v>
      </c>
      <c r="AL3871">
        <v>83.047780276473603</v>
      </c>
      <c r="AM3871">
        <v>90.336171863158498</v>
      </c>
      <c r="AN3871">
        <v>1.00000005022995</v>
      </c>
    </row>
    <row r="3872" spans="1:40" x14ac:dyDescent="0.25">
      <c r="A3872" t="str">
        <f>"20190312172153906"</f>
        <v>20190312172153906</v>
      </c>
      <c r="B3872" t="str">
        <f>"1552382513904790"</f>
        <v>1552382513904790</v>
      </c>
      <c r="C3872" t="s">
        <v>40</v>
      </c>
      <c r="D3872">
        <v>3.177629</v>
      </c>
      <c r="E3872">
        <v>0.49545230000000001</v>
      </c>
      <c r="F3872" t="s">
        <v>46</v>
      </c>
      <c r="G3872">
        <v>-380.18889999999999</v>
      </c>
      <c r="H3872" s="1">
        <v>-1.441004E-6</v>
      </c>
      <c r="I3872">
        <v>214.72470000000001</v>
      </c>
      <c r="J3872">
        <v>-411.05459999999999</v>
      </c>
      <c r="K3872">
        <v>1.1101829999999999</v>
      </c>
      <c r="L3872">
        <v>213.69669999999999</v>
      </c>
      <c r="M3872">
        <v>0.99977749999999999</v>
      </c>
      <c r="N3872">
        <v>0</v>
      </c>
      <c r="O3872">
        <v>1.643971E-2</v>
      </c>
      <c r="P3872">
        <v>0.99417199999999994</v>
      </c>
      <c r="Q3872">
        <v>0.1067792</v>
      </c>
      <c r="R3872">
        <v>1.484153E-2</v>
      </c>
      <c r="S3872">
        <v>3.0278320000000001</v>
      </c>
      <c r="T3872">
        <v>-0.1076828</v>
      </c>
      <c r="U3872">
        <v>0.100235</v>
      </c>
      <c r="V3872">
        <v>1.580166E-3</v>
      </c>
      <c r="W3872">
        <v>0.1199122</v>
      </c>
      <c r="X3872">
        <v>0.99278319999999998</v>
      </c>
      <c r="Y3872">
        <v>-1.6649669999999998E-2</v>
      </c>
      <c r="Z3872">
        <v>-2.8842169999999999E-4</v>
      </c>
      <c r="AA3872">
        <v>0.99986140000000001</v>
      </c>
      <c r="AB3872">
        <v>23</v>
      </c>
      <c r="AC3872">
        <v>30.8657</v>
      </c>
      <c r="AD3872">
        <v>-1.1101844410039901</v>
      </c>
      <c r="AE3872">
        <v>1.02800000000002</v>
      </c>
      <c r="AF3872">
        <v>-0.51972194175451503</v>
      </c>
      <c r="AG3872">
        <v>-1.1101844410039901</v>
      </c>
      <c r="AH3872">
        <v>30.838577474138599</v>
      </c>
      <c r="AI3872">
        <v>92.061457145664306</v>
      </c>
      <c r="AJ3872">
        <v>90.965513246787793</v>
      </c>
      <c r="AK3872">
        <v>30.862930531921901</v>
      </c>
      <c r="AL3872">
        <v>83.1129642843634</v>
      </c>
      <c r="AM3872">
        <v>89.908805098357703</v>
      </c>
      <c r="AN3872">
        <v>0.99999995741783199</v>
      </c>
    </row>
    <row r="3873" spans="1:40" x14ac:dyDescent="0.25">
      <c r="A3873" t="str">
        <f>"20190312172153927"</f>
        <v>20190312172153927</v>
      </c>
      <c r="B3873" t="str">
        <f>"1552382513924310"</f>
        <v>1552382513924310</v>
      </c>
      <c r="C3873" t="s">
        <v>40</v>
      </c>
      <c r="D3873">
        <v>3.151478</v>
      </c>
      <c r="E3873">
        <v>0.51467220000000002</v>
      </c>
      <c r="F3873" t="s">
        <v>46</v>
      </c>
      <c r="G3873">
        <v>-380.76179999999999</v>
      </c>
      <c r="H3873" s="1">
        <v>-1.125627E-6</v>
      </c>
      <c r="I3873">
        <v>214.48429999999999</v>
      </c>
      <c r="J3873">
        <v>-410.83929999999998</v>
      </c>
      <c r="K3873">
        <v>1.1101760000000001</v>
      </c>
      <c r="L3873">
        <v>213.69990000000001</v>
      </c>
      <c r="M3873">
        <v>0.9997817</v>
      </c>
      <c r="N3873">
        <v>0</v>
      </c>
      <c r="O3873">
        <v>1.6186280000000001E-2</v>
      </c>
      <c r="P3873">
        <v>0.99445300000000003</v>
      </c>
      <c r="Q3873">
        <v>0.1047242</v>
      </c>
      <c r="R3873">
        <v>9.8253750000000008E-3</v>
      </c>
      <c r="S3873">
        <v>3.0283199999999999</v>
      </c>
      <c r="T3873">
        <v>-0.1109831</v>
      </c>
      <c r="U3873">
        <v>7.8735349999999996E-2</v>
      </c>
      <c r="V3873">
        <v>6.3461860000000002E-3</v>
      </c>
      <c r="W3873">
        <v>0.1178555</v>
      </c>
      <c r="X3873">
        <v>0.99301050000000002</v>
      </c>
      <c r="Y3873">
        <v>-9.8095460000000006E-3</v>
      </c>
      <c r="Z3873">
        <v>-4.1324189999999999E-4</v>
      </c>
      <c r="AA3873">
        <v>0.99995179999999995</v>
      </c>
      <c r="AB3873">
        <v>23</v>
      </c>
      <c r="AC3873">
        <v>30.077499999999901</v>
      </c>
      <c r="AD3873">
        <v>-1.1101771256270001</v>
      </c>
      <c r="AE3873">
        <v>0.78439999999997601</v>
      </c>
      <c r="AF3873">
        <v>-0.29700752281426901</v>
      </c>
      <c r="AG3873">
        <v>-1.1101771256270001</v>
      </c>
      <c r="AH3873">
        <v>30.045350963163699</v>
      </c>
      <c r="AI3873">
        <v>92.116015746277</v>
      </c>
      <c r="AJ3873">
        <v>90.566367931224505</v>
      </c>
      <c r="AK3873">
        <v>30.0673214839392</v>
      </c>
      <c r="AL3873">
        <v>83.231646659634094</v>
      </c>
      <c r="AM3873">
        <v>89.633835972912806</v>
      </c>
      <c r="AN3873">
        <v>1.0000000230336199</v>
      </c>
    </row>
    <row r="3874" spans="1:40" x14ac:dyDescent="0.25">
      <c r="A3874" t="str">
        <f>"20190312172153951"</f>
        <v>20190312172153951</v>
      </c>
      <c r="B3874" t="str">
        <f>"1552382513944806"</f>
        <v>1552382513944806</v>
      </c>
      <c r="C3874" t="s">
        <v>40</v>
      </c>
      <c r="D3874">
        <v>3.1643500000000002</v>
      </c>
      <c r="E3874">
        <v>0.51599839999999997</v>
      </c>
      <c r="F3874" t="s">
        <v>46</v>
      </c>
      <c r="G3874">
        <v>-366.81209999999999</v>
      </c>
      <c r="H3874" s="1">
        <v>2.0882959999999999E-6</v>
      </c>
      <c r="I3874">
        <v>212.41079999999999</v>
      </c>
      <c r="J3874">
        <v>-410.59</v>
      </c>
      <c r="K3874">
        <v>1.1101719999999999</v>
      </c>
      <c r="L3874">
        <v>213.70349999999999</v>
      </c>
      <c r="M3874">
        <v>0.99978639999999996</v>
      </c>
      <c r="N3874">
        <v>0</v>
      </c>
      <c r="O3874">
        <v>1.5894889999999998E-2</v>
      </c>
      <c r="P3874">
        <v>0.99480299999999999</v>
      </c>
      <c r="Q3874">
        <v>0.10170510000000001</v>
      </c>
      <c r="R3874">
        <v>4.8300399999999999E-3</v>
      </c>
      <c r="S3874">
        <v>3.0256349999999999</v>
      </c>
      <c r="T3874">
        <v>-7.6293470000000002E-2</v>
      </c>
      <c r="U3874">
        <v>-8.8592530000000003E-2</v>
      </c>
      <c r="V3874">
        <v>1.1051E-2</v>
      </c>
      <c r="W3874">
        <v>0.1148358</v>
      </c>
      <c r="X3874">
        <v>0.99332299999999996</v>
      </c>
      <c r="Y3874">
        <v>4.5134479999999998E-2</v>
      </c>
      <c r="Z3874">
        <v>-9.6953290000000004E-4</v>
      </c>
      <c r="AA3874">
        <v>0.99898050000000005</v>
      </c>
      <c r="AB3874">
        <v>23</v>
      </c>
      <c r="AC3874">
        <v>43.777899999999903</v>
      </c>
      <c r="AD3874">
        <v>-1.110169911704</v>
      </c>
      <c r="AE3874">
        <v>-1.29269999999999</v>
      </c>
      <c r="AF3874">
        <v>1.9871654851679601</v>
      </c>
      <c r="AG3874">
        <v>-1.110169911704</v>
      </c>
      <c r="AH3874">
        <v>43.723725758795098</v>
      </c>
      <c r="AI3874">
        <v>91.452960309480005</v>
      </c>
      <c r="AJ3874">
        <v>87.397799501402005</v>
      </c>
      <c r="AK3874">
        <v>43.782936152439802</v>
      </c>
      <c r="AL3874">
        <v>83.405845555465305</v>
      </c>
      <c r="AM3874">
        <v>89.362594505298105</v>
      </c>
      <c r="AN3874">
        <v>0.99999998394581902</v>
      </c>
    </row>
    <row r="3875" spans="1:40" x14ac:dyDescent="0.25">
      <c r="A3875" t="str">
        <f>"20190312172153975"</f>
        <v>20190312172153975</v>
      </c>
      <c r="B3875" t="str">
        <f>"1552382513964326"</f>
        <v>1552382513964326</v>
      </c>
      <c r="C3875" t="s">
        <v>40</v>
      </c>
      <c r="D3875">
        <v>3.2502900000000001</v>
      </c>
      <c r="E3875">
        <v>0.51622469999999998</v>
      </c>
      <c r="F3875" t="s">
        <v>46</v>
      </c>
      <c r="G3875">
        <v>-373.06020000000001</v>
      </c>
      <c r="H3875" s="1">
        <v>9.1694119999999999E-8</v>
      </c>
      <c r="I3875">
        <v>212.2841</v>
      </c>
      <c r="J3875">
        <v>-410.35160000000002</v>
      </c>
      <c r="K3875">
        <v>1.1101840000000001</v>
      </c>
      <c r="L3875">
        <v>213.70699999999999</v>
      </c>
      <c r="M3875">
        <v>0.99979070000000003</v>
      </c>
      <c r="N3875">
        <v>0</v>
      </c>
      <c r="O3875">
        <v>1.562359E-2</v>
      </c>
      <c r="P3875">
        <v>0.99485420000000002</v>
      </c>
      <c r="Q3875">
        <v>0.10131800000000001</v>
      </c>
      <c r="R3875">
        <v>-3.2808069999999998E-4</v>
      </c>
      <c r="S3875">
        <v>3.02536</v>
      </c>
      <c r="T3875">
        <v>-8.9493390000000006E-2</v>
      </c>
      <c r="U3875">
        <v>-0.11442570000000001</v>
      </c>
      <c r="V3875">
        <v>1.59341E-2</v>
      </c>
      <c r="W3875">
        <v>0.11444459999999999</v>
      </c>
      <c r="X3875">
        <v>0.99330189999999996</v>
      </c>
      <c r="Y3875">
        <v>5.3374169999999999E-2</v>
      </c>
      <c r="Z3875">
        <v>-1.2509349999999999E-3</v>
      </c>
      <c r="AA3875">
        <v>0.99857379999999996</v>
      </c>
      <c r="AB3875">
        <v>23</v>
      </c>
      <c r="AC3875">
        <v>37.291400000000003</v>
      </c>
      <c r="AD3875">
        <v>-1.11018390830587</v>
      </c>
      <c r="AE3875">
        <v>-1.4228999999999901</v>
      </c>
      <c r="AF3875">
        <v>2.0036294683062299</v>
      </c>
      <c r="AG3875">
        <v>-1.11018390830587</v>
      </c>
      <c r="AH3875">
        <v>37.231665006228504</v>
      </c>
      <c r="AI3875">
        <v>91.705488685222306</v>
      </c>
      <c r="AJ3875">
        <v>86.919587622399007</v>
      </c>
      <c r="AK3875">
        <v>37.302063193509099</v>
      </c>
      <c r="AL3875">
        <v>83.428408943746405</v>
      </c>
      <c r="AM3875">
        <v>89.080965835599002</v>
      </c>
      <c r="AN3875">
        <v>1.0000000632777799</v>
      </c>
    </row>
    <row r="3876" spans="1:40" x14ac:dyDescent="0.25">
      <c r="A3876" t="str">
        <f>"20190312172153998"</f>
        <v>20190312172153998</v>
      </c>
      <c r="B3876" t="str">
        <f>"1552382513994114"</f>
        <v>1552382513994114</v>
      </c>
      <c r="C3876" t="s">
        <v>40</v>
      </c>
      <c r="D3876">
        <v>3.1007509999999998</v>
      </c>
      <c r="E3876">
        <v>0.51597380000000004</v>
      </c>
      <c r="F3876" t="s">
        <v>46</v>
      </c>
      <c r="G3876">
        <v>-370.98590000000002</v>
      </c>
      <c r="H3876" s="1">
        <v>-1.0121480000000001E-6</v>
      </c>
      <c r="I3876">
        <v>211.99879999999999</v>
      </c>
      <c r="J3876">
        <v>-410.11880000000002</v>
      </c>
      <c r="K3876">
        <v>1.11019</v>
      </c>
      <c r="L3876">
        <v>213.71029999999999</v>
      </c>
      <c r="M3876">
        <v>0.99979450000000003</v>
      </c>
      <c r="N3876">
        <v>0</v>
      </c>
      <c r="O3876">
        <v>1.5370989999999999E-2</v>
      </c>
      <c r="P3876">
        <v>0.99492849999999999</v>
      </c>
      <c r="Q3876">
        <v>0.1004829</v>
      </c>
      <c r="R3876">
        <v>-4.5318759999999998E-3</v>
      </c>
      <c r="S3876">
        <v>3.0241389999999999</v>
      </c>
      <c r="T3876">
        <v>-8.5286260000000003E-2</v>
      </c>
      <c r="U3876">
        <v>-0.1312256</v>
      </c>
      <c r="V3876">
        <v>1.9882110000000001E-2</v>
      </c>
      <c r="W3876">
        <v>0.1136065</v>
      </c>
      <c r="X3876">
        <v>0.99332679999999995</v>
      </c>
      <c r="Y3876">
        <v>5.8675270000000002E-2</v>
      </c>
      <c r="Z3876">
        <v>-1.2600829999999999E-3</v>
      </c>
      <c r="AA3876">
        <v>0.99827639999999995</v>
      </c>
      <c r="AB3876">
        <v>23</v>
      </c>
      <c r="AC3876">
        <v>39.132899999999999</v>
      </c>
      <c r="AD3876">
        <v>-1.1101910121480001</v>
      </c>
      <c r="AE3876">
        <v>-1.7115</v>
      </c>
      <c r="AF3876">
        <v>2.3110052813876001</v>
      </c>
      <c r="AG3876">
        <v>-1.1101910121480001</v>
      </c>
      <c r="AH3876">
        <v>39.070580597030698</v>
      </c>
      <c r="AI3876">
        <v>91.624784017701998</v>
      </c>
      <c r="AJ3876">
        <v>86.614927393934906</v>
      </c>
      <c r="AK3876">
        <v>39.154610682308203</v>
      </c>
      <c r="AL3876">
        <v>83.476742932495299</v>
      </c>
      <c r="AM3876">
        <v>88.853339202157002</v>
      </c>
      <c r="AN3876">
        <v>0.99999993336926796</v>
      </c>
    </row>
    <row r="3877" spans="1:40" x14ac:dyDescent="0.25">
      <c r="A3877" t="str">
        <f>"20190312172154017"</f>
        <v>20190312172154017</v>
      </c>
      <c r="B3877" t="str">
        <f>"1552382514014610"</f>
        <v>1552382514014610</v>
      </c>
      <c r="C3877" t="s">
        <v>40</v>
      </c>
      <c r="D3877">
        <v>3.2537959999999999</v>
      </c>
      <c r="E3877">
        <v>0.51541300000000001</v>
      </c>
      <c r="F3877" t="s">
        <v>46</v>
      </c>
      <c r="G3877">
        <v>-369.33370000000002</v>
      </c>
      <c r="H3877" s="1">
        <v>3.430169E-6</v>
      </c>
      <c r="I3877">
        <v>211.80619999999999</v>
      </c>
      <c r="J3877">
        <v>-409.90989999999999</v>
      </c>
      <c r="K3877">
        <v>1.110187</v>
      </c>
      <c r="L3877">
        <v>213.7132</v>
      </c>
      <c r="M3877">
        <v>0.99979799999999996</v>
      </c>
      <c r="N3877">
        <v>0</v>
      </c>
      <c r="O3877">
        <v>1.515526E-2</v>
      </c>
      <c r="P3877">
        <v>0.99519009999999997</v>
      </c>
      <c r="Q3877">
        <v>9.7631190000000007E-2</v>
      </c>
      <c r="R3877">
        <v>-8.0709049999999997E-3</v>
      </c>
      <c r="S3877">
        <v>3.0229490000000001</v>
      </c>
      <c r="T3877">
        <v>-8.2285880000000006E-2</v>
      </c>
      <c r="U3877">
        <v>-0.14112849999999999</v>
      </c>
      <c r="V3877">
        <v>2.3205429999999999E-2</v>
      </c>
      <c r="W3877">
        <v>0.11075550000000001</v>
      </c>
      <c r="X3877">
        <v>0.99357669999999998</v>
      </c>
      <c r="Y3877">
        <v>6.1741240000000003E-2</v>
      </c>
      <c r="Z3877">
        <v>-1.2519899999999999E-3</v>
      </c>
      <c r="AA3877">
        <v>0.99809139999999996</v>
      </c>
      <c r="AB3877">
        <v>23</v>
      </c>
      <c r="AC3877">
        <v>40.576199999999901</v>
      </c>
      <c r="AD3877">
        <v>-1.1101835698309901</v>
      </c>
      <c r="AE3877">
        <v>-1.90700000000001</v>
      </c>
      <c r="AF3877">
        <v>2.51989517752728</v>
      </c>
      <c r="AG3877">
        <v>-1.1101835698309901</v>
      </c>
      <c r="AH3877">
        <v>40.512374994745798</v>
      </c>
      <c r="AI3877">
        <v>91.5666896066992</v>
      </c>
      <c r="AJ3877">
        <v>86.440751937214998</v>
      </c>
      <c r="AK3877">
        <v>40.605848186921897</v>
      </c>
      <c r="AL3877">
        <v>83.641131127542096</v>
      </c>
      <c r="AM3877">
        <v>88.662074574269695</v>
      </c>
      <c r="AN3877">
        <v>0.99999996577231098</v>
      </c>
    </row>
    <row r="3878" spans="1:40" x14ac:dyDescent="0.25">
      <c r="A3878" t="str">
        <f>"20190312172154039"</f>
        <v>20190312172154039</v>
      </c>
      <c r="B3878" t="str">
        <f>"1552382514034130"</f>
        <v>1552382514034130</v>
      </c>
      <c r="C3878" t="s">
        <v>40</v>
      </c>
      <c r="D3878">
        <v>3.1406339999999999</v>
      </c>
      <c r="E3878">
        <v>0.51511209999999996</v>
      </c>
      <c r="F3878" t="s">
        <v>46</v>
      </c>
      <c r="G3878">
        <v>-370.20089999999999</v>
      </c>
      <c r="H3878" s="1">
        <v>-1.4298700000000001E-6</v>
      </c>
      <c r="I3878">
        <v>211.78049999999999</v>
      </c>
      <c r="J3878">
        <v>-409.67320000000001</v>
      </c>
      <c r="K3878">
        <v>1.1102030000000001</v>
      </c>
      <c r="L3878">
        <v>213.71639999999999</v>
      </c>
      <c r="M3878">
        <v>0.99980159999999996</v>
      </c>
      <c r="N3878">
        <v>0</v>
      </c>
      <c r="O3878">
        <v>1.491956E-2</v>
      </c>
      <c r="P3878">
        <v>0.99528439999999996</v>
      </c>
      <c r="Q3878">
        <v>9.6301139999999993E-2</v>
      </c>
      <c r="R3878">
        <v>-1.1637359999999999E-2</v>
      </c>
      <c r="S3878">
        <v>3.021576</v>
      </c>
      <c r="T3878">
        <v>-8.4477659999999996E-2</v>
      </c>
      <c r="U3878">
        <v>-0.14706420000000001</v>
      </c>
      <c r="V3878">
        <v>2.6534729999999999E-2</v>
      </c>
      <c r="W3878">
        <v>0.1094237</v>
      </c>
      <c r="X3878">
        <v>0.993641</v>
      </c>
      <c r="Y3878">
        <v>6.3481049999999997E-2</v>
      </c>
      <c r="Z3878">
        <v>-1.3035659999999999E-3</v>
      </c>
      <c r="AA3878">
        <v>0.99798220000000004</v>
      </c>
      <c r="AB3878">
        <v>23</v>
      </c>
      <c r="AC3878">
        <v>39.472299999999997</v>
      </c>
      <c r="AD3878">
        <v>-1.11020442987</v>
      </c>
      <c r="AE3878">
        <v>-1.9359</v>
      </c>
      <c r="AF3878">
        <v>2.52265429497964</v>
      </c>
      <c r="AG3878">
        <v>-1.11020442987</v>
      </c>
      <c r="AH3878">
        <v>39.407920507425402</v>
      </c>
      <c r="AI3878">
        <v>91.6104219438201</v>
      </c>
      <c r="AJ3878">
        <v>86.337271823865606</v>
      </c>
      <c r="AK3878">
        <v>39.504183794727901</v>
      </c>
      <c r="AL3878">
        <v>83.717904760319598</v>
      </c>
      <c r="AM3878">
        <v>88.470305879549301</v>
      </c>
      <c r="AN3878">
        <v>1.00000003744943</v>
      </c>
    </row>
    <row r="3879" spans="1:40" x14ac:dyDescent="0.25">
      <c r="A3879" t="str">
        <f>"20190312172154063"</f>
        <v>20190312172154063</v>
      </c>
      <c r="B3879" t="str">
        <f>"1552382514054626"</f>
        <v>1552382514054626</v>
      </c>
      <c r="C3879" t="s">
        <v>40</v>
      </c>
      <c r="D3879">
        <v>3.0991970000000002</v>
      </c>
      <c r="E3879">
        <v>0.51473749999999996</v>
      </c>
      <c r="F3879" t="s">
        <v>46</v>
      </c>
      <c r="G3879">
        <v>-370.27190000000002</v>
      </c>
      <c r="H3879" s="1">
        <v>-1.392077E-6</v>
      </c>
      <c r="I3879">
        <v>211.6833</v>
      </c>
      <c r="J3879">
        <v>-409.43700000000001</v>
      </c>
      <c r="K3879">
        <v>1.1102110000000001</v>
      </c>
      <c r="L3879">
        <v>213.71969999999999</v>
      </c>
      <c r="M3879">
        <v>0.9998049</v>
      </c>
      <c r="N3879">
        <v>0</v>
      </c>
      <c r="O3879">
        <v>1.4689280000000001E-2</v>
      </c>
      <c r="P3879">
        <v>0.99520560000000002</v>
      </c>
      <c r="Q3879">
        <v>9.6676590000000007E-2</v>
      </c>
      <c r="R3879">
        <v>-1.481655E-2</v>
      </c>
      <c r="S3879">
        <v>3.0206300000000001</v>
      </c>
      <c r="T3879">
        <v>-8.5111980000000004E-2</v>
      </c>
      <c r="U3879">
        <v>-0.15586849999999999</v>
      </c>
      <c r="V3879">
        <v>2.9481210000000001E-2</v>
      </c>
      <c r="W3879">
        <v>0.1097949</v>
      </c>
      <c r="X3879">
        <v>0.99351699999999998</v>
      </c>
      <c r="Y3879">
        <v>6.6166260000000005E-2</v>
      </c>
      <c r="Z3879">
        <v>-1.3449810000000001E-3</v>
      </c>
      <c r="AA3879">
        <v>0.99780769999999996</v>
      </c>
      <c r="AB3879">
        <v>23</v>
      </c>
      <c r="AC3879">
        <v>39.165099999999903</v>
      </c>
      <c r="AD3879">
        <v>-1.110212392077</v>
      </c>
      <c r="AE3879">
        <v>-2.03639999999998</v>
      </c>
      <c r="AF3879">
        <v>2.6094463667186898</v>
      </c>
      <c r="AG3879">
        <v>-1.110212392077</v>
      </c>
      <c r="AH3879">
        <v>39.099623906727402</v>
      </c>
      <c r="AI3879">
        <v>91.622837130040907</v>
      </c>
      <c r="AJ3879">
        <v>86.181833315084603</v>
      </c>
      <c r="AK3879">
        <v>39.202326098636398</v>
      </c>
      <c r="AL3879">
        <v>83.696507695909403</v>
      </c>
      <c r="AM3879">
        <v>88.300327631690394</v>
      </c>
      <c r="AN3879">
        <v>1.0000000455490301</v>
      </c>
    </row>
    <row r="3880" spans="1:40" x14ac:dyDescent="0.25">
      <c r="A3880" t="str">
        <f>"20190312172154084"</f>
        <v>20190312172154084</v>
      </c>
      <c r="B3880" t="str">
        <f>"1552382514074149"</f>
        <v>1552382514074149</v>
      </c>
      <c r="C3880" t="s">
        <v>40</v>
      </c>
      <c r="D3880">
        <v>3.120339</v>
      </c>
      <c r="E3880">
        <v>0.51447609999999999</v>
      </c>
      <c r="F3880" t="s">
        <v>46</v>
      </c>
      <c r="G3880">
        <v>-367.66039999999998</v>
      </c>
      <c r="H3880" s="1">
        <v>2.5396849999999998E-6</v>
      </c>
      <c r="I3880">
        <v>211.46899999999999</v>
      </c>
      <c r="J3880">
        <v>-409.21190000000001</v>
      </c>
      <c r="K3880">
        <v>1.110225</v>
      </c>
      <c r="L3880">
        <v>213.7227</v>
      </c>
      <c r="M3880">
        <v>0.99980809999999998</v>
      </c>
      <c r="N3880">
        <v>0</v>
      </c>
      <c r="O3880">
        <v>1.446951E-2</v>
      </c>
      <c r="P3880">
        <v>0.99517169999999999</v>
      </c>
      <c r="Q3880">
        <v>9.6728939999999999E-2</v>
      </c>
      <c r="R3880">
        <v>-1.6651820000000001E-2</v>
      </c>
      <c r="S3880">
        <v>3.019806</v>
      </c>
      <c r="T3880">
        <v>-8.0251100000000006E-2</v>
      </c>
      <c r="U3880">
        <v>-0.16268920000000001</v>
      </c>
      <c r="V3880">
        <v>3.1095589999999999E-2</v>
      </c>
      <c r="W3880">
        <v>0.1098446</v>
      </c>
      <c r="X3880">
        <v>0.99346230000000002</v>
      </c>
      <c r="Y3880">
        <v>6.821112E-2</v>
      </c>
      <c r="Z3880">
        <v>-1.289777E-3</v>
      </c>
      <c r="AA3880">
        <v>0.9976701</v>
      </c>
      <c r="AB3880">
        <v>23</v>
      </c>
      <c r="AC3880">
        <v>41.551499999999997</v>
      </c>
      <c r="AD3880">
        <v>-1.1102224603149999</v>
      </c>
      <c r="AE3880">
        <v>-2.2536999999999798</v>
      </c>
      <c r="AF3880">
        <v>2.8527156761972599</v>
      </c>
      <c r="AG3880">
        <v>-1.1102224603149999</v>
      </c>
      <c r="AH3880">
        <v>41.485006581307303</v>
      </c>
      <c r="AI3880">
        <v>91.529374797946602</v>
      </c>
      <c r="AJ3880">
        <v>86.066249436600501</v>
      </c>
      <c r="AK3880">
        <v>41.597792630039002</v>
      </c>
      <c r="AL3880">
        <v>83.693642837902004</v>
      </c>
      <c r="AM3880">
        <v>88.207214725984301</v>
      </c>
      <c r="AN3880">
        <v>1.00000005669394</v>
      </c>
    </row>
    <row r="3881" spans="1:40" x14ac:dyDescent="0.25">
      <c r="A3881" t="str">
        <f>"20190312172154106"</f>
        <v>20190312172154106</v>
      </c>
      <c r="B3881" t="str">
        <f>"1552382514094174"</f>
        <v>1552382514094174</v>
      </c>
      <c r="C3881" t="s">
        <v>40</v>
      </c>
      <c r="D3881">
        <v>3.107494</v>
      </c>
      <c r="E3881">
        <v>0.50968019999999903</v>
      </c>
      <c r="F3881" t="s">
        <v>46</v>
      </c>
      <c r="G3881">
        <v>-366.8793</v>
      </c>
      <c r="H3881" s="1">
        <v>2.1240560000000002E-6</v>
      </c>
      <c r="I3881">
        <v>211.39429999999999</v>
      </c>
      <c r="J3881">
        <v>-408.98840000000001</v>
      </c>
      <c r="K3881">
        <v>1.1102369999999999</v>
      </c>
      <c r="L3881">
        <v>213.72559999999999</v>
      </c>
      <c r="M3881">
        <v>0.99981140000000002</v>
      </c>
      <c r="N3881">
        <v>0</v>
      </c>
      <c r="O3881">
        <v>1.4249650000000001E-2</v>
      </c>
      <c r="P3881">
        <v>0.99499210000000005</v>
      </c>
      <c r="Q3881">
        <v>9.8427470000000003E-2</v>
      </c>
      <c r="R3881">
        <v>-1.7404849999999999E-2</v>
      </c>
      <c r="S3881">
        <v>3.0194399999999999</v>
      </c>
      <c r="T3881">
        <v>-7.9188590000000003E-2</v>
      </c>
      <c r="U3881">
        <v>-0.16607669999999999</v>
      </c>
      <c r="V3881">
        <v>3.1627160000000001E-2</v>
      </c>
      <c r="W3881">
        <v>0.11153979999999999</v>
      </c>
      <c r="X3881">
        <v>0.99325660000000005</v>
      </c>
      <c r="Y3881">
        <v>6.9114690000000006E-2</v>
      </c>
      <c r="Z3881">
        <v>-1.2788980000000001E-3</v>
      </c>
      <c r="AA3881">
        <v>0.99760789999999999</v>
      </c>
      <c r="AB3881">
        <v>23</v>
      </c>
      <c r="AC3881">
        <v>42.109099999999998</v>
      </c>
      <c r="AD3881">
        <v>-1.1102348759439999</v>
      </c>
      <c r="AE3881">
        <v>-2.3313000000000001</v>
      </c>
      <c r="AF3881">
        <v>2.9291254830562301</v>
      </c>
      <c r="AG3881">
        <v>-1.1102348759439999</v>
      </c>
      <c r="AH3881">
        <v>42.042464292549298</v>
      </c>
      <c r="AI3881">
        <v>91.509028413545806</v>
      </c>
      <c r="AJ3881">
        <v>86.014606290510301</v>
      </c>
      <c r="AK3881">
        <v>42.158999055545998</v>
      </c>
      <c r="AL3881">
        <v>83.595914344349893</v>
      </c>
      <c r="AM3881">
        <v>88.176210734834996</v>
      </c>
      <c r="AN3881">
        <v>1.0000000388386301</v>
      </c>
    </row>
    <row r="3882" spans="1:40" x14ac:dyDescent="0.25">
      <c r="A3882" t="str">
        <f>"20190312172154129"</f>
        <v>20190312172154129</v>
      </c>
      <c r="B3882" t="str">
        <f>"1552382514124430"</f>
        <v>1552382514124430</v>
      </c>
      <c r="C3882" t="s">
        <v>40</v>
      </c>
      <c r="D3882">
        <v>3.114303</v>
      </c>
      <c r="E3882">
        <v>0.50905489999999998</v>
      </c>
      <c r="F3882" t="s">
        <v>46</v>
      </c>
      <c r="G3882">
        <v>-338.51479999999998</v>
      </c>
      <c r="H3882" s="1">
        <v>3.1660120000000002E-6</v>
      </c>
      <c r="I3882">
        <v>210.68979999999999</v>
      </c>
      <c r="J3882">
        <v>-408.75850000000003</v>
      </c>
      <c r="K3882">
        <v>1.1102459999999901</v>
      </c>
      <c r="L3882">
        <v>213.7286</v>
      </c>
      <c r="M3882">
        <v>0.9998146</v>
      </c>
      <c r="N3882">
        <v>0</v>
      </c>
      <c r="O3882">
        <v>1.40219E-2</v>
      </c>
      <c r="P3882">
        <v>0.99480670000000004</v>
      </c>
      <c r="Q3882">
        <v>0.1003333</v>
      </c>
      <c r="R3882">
        <v>-1.7121589999999999E-2</v>
      </c>
      <c r="S3882">
        <v>3.0175480000000001</v>
      </c>
      <c r="T3882">
        <v>-4.7538160000000003E-2</v>
      </c>
      <c r="U3882">
        <v>-0.12998959999999901</v>
      </c>
      <c r="V3882">
        <v>3.111479E-2</v>
      </c>
      <c r="W3882">
        <v>0.1134421</v>
      </c>
      <c r="X3882">
        <v>0.99305730000000003</v>
      </c>
      <c r="Y3882">
        <v>5.7035080000000002E-2</v>
      </c>
      <c r="Z3882">
        <v>-6.6984080000000005E-4</v>
      </c>
      <c r="AA3882">
        <v>0.99837200000000004</v>
      </c>
      <c r="AB3882">
        <v>23</v>
      </c>
      <c r="AC3882">
        <v>70.243700000000004</v>
      </c>
      <c r="AD3882">
        <v>-1.1102428339879999</v>
      </c>
      <c r="AE3882">
        <v>-3.0388000000000002</v>
      </c>
      <c r="AF3882">
        <v>4.0225340937523901</v>
      </c>
      <c r="AG3882">
        <v>-1.1102428339879999</v>
      </c>
      <c r="AH3882">
        <v>70.1766810134434</v>
      </c>
      <c r="AI3882">
        <v>90.904897497913495</v>
      </c>
      <c r="AJ3882">
        <v>86.719390191112794</v>
      </c>
      <c r="AK3882">
        <v>70.300639952623598</v>
      </c>
      <c r="AL3882">
        <v>83.486224221012293</v>
      </c>
      <c r="AM3882">
        <v>88.205377365090399</v>
      </c>
      <c r="AN3882">
        <v>1.0000000206462201</v>
      </c>
    </row>
    <row r="3883" spans="1:40" x14ac:dyDescent="0.25">
      <c r="A3883" t="str">
        <f>"20190312172154151"</f>
        <v>20190312172154151</v>
      </c>
      <c r="B3883" t="str">
        <f>"1552382514144928"</f>
        <v>1552382514144928</v>
      </c>
      <c r="C3883" t="s">
        <v>40</v>
      </c>
      <c r="D3883">
        <v>3.1130170000000001</v>
      </c>
      <c r="E3883">
        <v>0.50872439999999997</v>
      </c>
      <c r="F3883" t="s">
        <v>46</v>
      </c>
      <c r="G3883">
        <v>-321.1259</v>
      </c>
      <c r="H3883" s="1">
        <v>-9.3762350000000004E-7</v>
      </c>
      <c r="I3883">
        <v>210.11779999999999</v>
      </c>
      <c r="J3883">
        <v>-408.52420000000001</v>
      </c>
      <c r="K3883">
        <v>1.110247</v>
      </c>
      <c r="L3883">
        <v>213.73159999999999</v>
      </c>
      <c r="M3883">
        <v>0.99981779999999998</v>
      </c>
      <c r="N3883">
        <v>0</v>
      </c>
      <c r="O3883">
        <v>1.378822E-2</v>
      </c>
      <c r="P3883">
        <v>0.99466750000000004</v>
      </c>
      <c r="Q3883">
        <v>0.10175629999999999</v>
      </c>
      <c r="R3883">
        <v>-1.680077E-2</v>
      </c>
      <c r="S3883">
        <v>3.0173649999999999</v>
      </c>
      <c r="T3883">
        <v>-3.8228030000000003E-2</v>
      </c>
      <c r="U3883">
        <v>-0.1243286</v>
      </c>
      <c r="V3883">
        <v>3.0559960000000001E-2</v>
      </c>
      <c r="W3883">
        <v>0.1148623</v>
      </c>
      <c r="X3883">
        <v>0.99291119999999999</v>
      </c>
      <c r="Y3883">
        <v>5.493775E-2</v>
      </c>
      <c r="Z3883">
        <v>-5.2248129999999998E-4</v>
      </c>
      <c r="AA3883">
        <v>0.99848959999999998</v>
      </c>
      <c r="AB3883">
        <v>23</v>
      </c>
      <c r="AC3883">
        <v>87.398300000000006</v>
      </c>
      <c r="AD3883">
        <v>-1.1102479376234999</v>
      </c>
      <c r="AE3883">
        <v>-3.6137999999999901</v>
      </c>
      <c r="AF3883">
        <v>4.8178522494314899</v>
      </c>
      <c r="AG3883">
        <v>-1.1102479376234999</v>
      </c>
      <c r="AH3883">
        <v>87.326089959839393</v>
      </c>
      <c r="AI3883">
        <v>90.727302887932495</v>
      </c>
      <c r="AJ3883">
        <v>86.842146074672996</v>
      </c>
      <c r="AK3883">
        <v>87.465938161402704</v>
      </c>
      <c r="AL3883">
        <v>83.404316912351703</v>
      </c>
      <c r="AM3883">
        <v>88.237098993432596</v>
      </c>
      <c r="AN3883">
        <v>0.99999995510096396</v>
      </c>
    </row>
    <row r="3884" spans="1:40" x14ac:dyDescent="0.25">
      <c r="A3884" t="str">
        <f>"20190312172154176"</f>
        <v>20190312172154176</v>
      </c>
      <c r="B3884" t="str">
        <f>"1552382514164446"</f>
        <v>1552382514164446</v>
      </c>
      <c r="C3884" t="s">
        <v>40</v>
      </c>
      <c r="D3884">
        <v>3.093852</v>
      </c>
      <c r="E3884">
        <v>0.50830419999999998</v>
      </c>
      <c r="F3884" t="s">
        <v>47</v>
      </c>
      <c r="G3884">
        <v>-314.14159999999998</v>
      </c>
      <c r="H3884" s="1">
        <v>2.7422900000000001E-6</v>
      </c>
      <c r="I3884">
        <v>209.9675</v>
      </c>
      <c r="J3884">
        <v>-408.27319999999997</v>
      </c>
      <c r="K3884">
        <v>1.1102449999999999</v>
      </c>
      <c r="L3884">
        <v>213.7347</v>
      </c>
      <c r="M3884">
        <v>0.99982139999999997</v>
      </c>
      <c r="N3884">
        <v>0</v>
      </c>
      <c r="O3884">
        <v>1.3535760000000001E-2</v>
      </c>
      <c r="P3884">
        <v>0.99477289999999996</v>
      </c>
      <c r="Q3884">
        <v>0.10080509999999999</v>
      </c>
      <c r="R3884">
        <v>-1.6300780000000001E-2</v>
      </c>
      <c r="S3884">
        <v>3.017639</v>
      </c>
      <c r="T3884">
        <v>-3.5497189999999998E-2</v>
      </c>
      <c r="U3884">
        <v>-0.1203461</v>
      </c>
      <c r="V3884">
        <v>2.9809860000000001E-2</v>
      </c>
      <c r="W3884">
        <v>0.1139111</v>
      </c>
      <c r="X3884">
        <v>0.99304360000000003</v>
      </c>
      <c r="Y3884">
        <v>5.3367119999999997E-2</v>
      </c>
      <c r="Z3884">
        <v>-4.729259E-4</v>
      </c>
      <c r="AA3884">
        <v>0.99857490000000004</v>
      </c>
      <c r="AB3884">
        <v>23</v>
      </c>
      <c r="AC3884">
        <v>94.131600000000006</v>
      </c>
      <c r="AD3884">
        <v>-1.11024225771</v>
      </c>
      <c r="AE3884">
        <v>-3.7671999999999999</v>
      </c>
      <c r="AF3884">
        <v>5.04040833676682</v>
      </c>
      <c r="AG3884">
        <v>-1.11024225771</v>
      </c>
      <c r="AH3884">
        <v>94.058914707557193</v>
      </c>
      <c r="AI3884">
        <v>90.675301375603397</v>
      </c>
      <c r="AJ3884">
        <v>86.932580368515403</v>
      </c>
      <c r="AK3884">
        <v>94.200412897373695</v>
      </c>
      <c r="AL3884">
        <v>83.459176902800806</v>
      </c>
      <c r="AM3884">
        <v>88.280572564020801</v>
      </c>
      <c r="AN3884">
        <v>0.99999997897869397</v>
      </c>
    </row>
    <row r="3885" spans="1:40" x14ac:dyDescent="0.25">
      <c r="A3885" t="str">
        <f>"20190312172154197"</f>
        <v>20190312172154197</v>
      </c>
      <c r="B3885" t="str">
        <f>"1552382514194232"</f>
        <v>1552382514194232</v>
      </c>
      <c r="C3885" t="s">
        <v>40</v>
      </c>
      <c r="D3885">
        <v>3.0998809999999999</v>
      </c>
      <c r="E3885">
        <v>0.50778919999999905</v>
      </c>
      <c r="F3885" t="s">
        <v>46</v>
      </c>
      <c r="G3885">
        <v>-326.82619999999997</v>
      </c>
      <c r="H3885" s="1">
        <v>2.0957940000000002E-6</v>
      </c>
      <c r="I3885">
        <v>210.64150000000001</v>
      </c>
      <c r="J3885">
        <v>-408.0573</v>
      </c>
      <c r="K3885">
        <v>1.110239</v>
      </c>
      <c r="L3885">
        <v>213.73740000000001</v>
      </c>
      <c r="M3885">
        <v>0.9998243</v>
      </c>
      <c r="N3885">
        <v>0</v>
      </c>
      <c r="O3885">
        <v>1.331912E-2</v>
      </c>
      <c r="P3885">
        <v>0.99517140000000004</v>
      </c>
      <c r="Q3885">
        <v>9.6808889999999995E-2</v>
      </c>
      <c r="R3885">
        <v>-1.619429E-2</v>
      </c>
      <c r="S3885">
        <v>3.018097</v>
      </c>
      <c r="T3885">
        <v>-4.1141150000000001E-2</v>
      </c>
      <c r="U3885">
        <v>-0.114624</v>
      </c>
      <c r="V3885">
        <v>2.949158E-2</v>
      </c>
      <c r="W3885">
        <v>0.10992</v>
      </c>
      <c r="X3885">
        <v>0.99350280000000002</v>
      </c>
      <c r="Y3885">
        <v>5.1252880000000001E-2</v>
      </c>
      <c r="Z3885">
        <v>-5.3069330000000004E-4</v>
      </c>
      <c r="AA3885">
        <v>0.9986855</v>
      </c>
      <c r="AB3885">
        <v>23</v>
      </c>
      <c r="AC3885">
        <v>81.231099999999998</v>
      </c>
      <c r="AD3885">
        <v>-1.1102369042060001</v>
      </c>
      <c r="AE3885">
        <v>-3.0958999999999999</v>
      </c>
      <c r="AF3885">
        <v>4.17686710309553</v>
      </c>
      <c r="AG3885">
        <v>-1.1102369042060001</v>
      </c>
      <c r="AH3885">
        <v>81.167514578566895</v>
      </c>
      <c r="AI3885">
        <v>90.782626883039299</v>
      </c>
      <c r="AJ3885">
        <v>87.054166969759095</v>
      </c>
      <c r="AK3885">
        <v>81.282496686816003</v>
      </c>
      <c r="AL3885">
        <v>83.689295973257003</v>
      </c>
      <c r="AM3885">
        <v>88.299705836243803</v>
      </c>
      <c r="AN3885">
        <v>0.99999998664936796</v>
      </c>
    </row>
    <row r="3886" spans="1:40" x14ac:dyDescent="0.25">
      <c r="A3886" t="str">
        <f>"20190312172154218"</f>
        <v>20190312172154218</v>
      </c>
      <c r="B3886" t="str">
        <f>"1552382514214728"</f>
        <v>1552382514214728</v>
      </c>
      <c r="C3886" t="s">
        <v>40</v>
      </c>
      <c r="D3886">
        <v>3.1227819999999999</v>
      </c>
      <c r="E3886">
        <v>0.50758769999999998</v>
      </c>
      <c r="F3886" t="s">
        <v>46</v>
      </c>
      <c r="G3886">
        <v>-344.51499999999999</v>
      </c>
      <c r="H3886" s="1">
        <v>8.6588439999999999E-7</v>
      </c>
      <c r="I3886">
        <v>211.42939999999999</v>
      </c>
      <c r="J3886">
        <v>-407.83550000000002</v>
      </c>
      <c r="K3886">
        <v>1.110217</v>
      </c>
      <c r="L3886">
        <v>213.74010000000001</v>
      </c>
      <c r="M3886">
        <v>0.99982720000000003</v>
      </c>
      <c r="N3886">
        <v>0</v>
      </c>
      <c r="O3886">
        <v>1.3097900000000001E-2</v>
      </c>
      <c r="P3886">
        <v>0.99585840000000003</v>
      </c>
      <c r="Q3886">
        <v>8.9491929999999997E-2</v>
      </c>
      <c r="R3886">
        <v>-1.604761E-2</v>
      </c>
      <c r="S3886">
        <v>3.0178829999999999</v>
      </c>
      <c r="T3886">
        <v>-5.2729730000000002E-2</v>
      </c>
      <c r="U3886">
        <v>-0.1096191</v>
      </c>
      <c r="V3886">
        <v>2.913085E-2</v>
      </c>
      <c r="W3886">
        <v>0.1026116</v>
      </c>
      <c r="X3886">
        <v>0.99429480000000003</v>
      </c>
      <c r="Y3886">
        <v>4.9377020000000001E-2</v>
      </c>
      <c r="Z3886">
        <v>-6.5998079999999995E-4</v>
      </c>
      <c r="AA3886">
        <v>0.99878</v>
      </c>
      <c r="AB3886">
        <v>23</v>
      </c>
      <c r="AC3886">
        <v>63.320500000000003</v>
      </c>
      <c r="AD3886">
        <v>-1.1102161341156001</v>
      </c>
      <c r="AE3886">
        <v>-2.3107000000000202</v>
      </c>
      <c r="AF3886">
        <v>3.1389758104934198</v>
      </c>
      <c r="AG3886">
        <v>-1.1102161341156001</v>
      </c>
      <c r="AH3886">
        <v>63.265376475921499</v>
      </c>
      <c r="AI3886">
        <v>91.004120190391404</v>
      </c>
      <c r="AJ3886">
        <v>87.159541100516506</v>
      </c>
      <c r="AK3886">
        <v>63.352928974463303</v>
      </c>
      <c r="AL3886">
        <v>84.110421717459403</v>
      </c>
      <c r="AM3886">
        <v>88.321828252939198</v>
      </c>
      <c r="AN3886">
        <v>0.99999994809165904</v>
      </c>
    </row>
    <row r="3887" spans="1:40" x14ac:dyDescent="0.25">
      <c r="A3887" t="str">
        <f>"20190312172154242"</f>
        <v>20190312172154242</v>
      </c>
      <c r="B3887" t="str">
        <f>"1552382514234248"</f>
        <v>1552382514234248</v>
      </c>
      <c r="C3887" t="s">
        <v>40</v>
      </c>
      <c r="D3887">
        <v>3.1152129999999998</v>
      </c>
      <c r="E3887">
        <v>0.50736049999999999</v>
      </c>
      <c r="F3887" t="s">
        <v>46</v>
      </c>
      <c r="G3887">
        <v>-363.8211</v>
      </c>
      <c r="H3887" s="1">
        <v>4.9661739999999995E-7</v>
      </c>
      <c r="I3887">
        <v>212.16810000000001</v>
      </c>
      <c r="J3887">
        <v>-407.6053</v>
      </c>
      <c r="K3887">
        <v>1.110187</v>
      </c>
      <c r="L3887">
        <v>213.74279999999999</v>
      </c>
      <c r="M3887">
        <v>0.99983029999999995</v>
      </c>
      <c r="N3887">
        <v>0</v>
      </c>
      <c r="O3887">
        <v>1.287056E-2</v>
      </c>
      <c r="P3887">
        <v>0.99653219999999998</v>
      </c>
      <c r="Q3887">
        <v>8.1533980000000006E-2</v>
      </c>
      <c r="R3887">
        <v>-1.6615629999999999E-2</v>
      </c>
      <c r="S3887">
        <v>3.0176090000000002</v>
      </c>
      <c r="T3887">
        <v>-7.6115970000000005E-2</v>
      </c>
      <c r="U3887">
        <v>-0.1077728</v>
      </c>
      <c r="V3887">
        <v>2.9477739999999999E-2</v>
      </c>
      <c r="W3887">
        <v>9.4661700000000001E-2</v>
      </c>
      <c r="X3887">
        <v>0.99507299999999999</v>
      </c>
      <c r="Y3887">
        <v>4.8532899999999997E-2</v>
      </c>
      <c r="Z3887">
        <v>-9.3633439999999996E-4</v>
      </c>
      <c r="AA3887">
        <v>0.99882110000000002</v>
      </c>
      <c r="AB3887">
        <v>23</v>
      </c>
      <c r="AC3887">
        <v>43.784199999999998</v>
      </c>
      <c r="AD3887">
        <v>-1.1101865033825999</v>
      </c>
      <c r="AE3887">
        <v>-1.57469999999997</v>
      </c>
      <c r="AF3887">
        <v>2.1367736736138498</v>
      </c>
      <c r="AG3887">
        <v>-1.1101865033825999</v>
      </c>
      <c r="AH3887">
        <v>43.732223725483699</v>
      </c>
      <c r="AI3887">
        <v>91.452466695406997</v>
      </c>
      <c r="AJ3887">
        <v>87.202730243257903</v>
      </c>
      <c r="AK3887">
        <v>43.798466956964397</v>
      </c>
      <c r="AL3887">
        <v>84.568151233503102</v>
      </c>
      <c r="AM3887">
        <v>88.303183487055094</v>
      </c>
      <c r="AN3887">
        <v>1.00000002496569</v>
      </c>
    </row>
    <row r="3888" spans="1:40" x14ac:dyDescent="0.25">
      <c r="A3888" t="str">
        <f>"20190312172154263"</f>
        <v>20190312172154263</v>
      </c>
      <c r="B3888" t="str">
        <f>"1552382514254748"</f>
        <v>1552382514254748</v>
      </c>
      <c r="C3888" t="s">
        <v>40</v>
      </c>
      <c r="D3888">
        <v>3.139046</v>
      </c>
      <c r="E3888">
        <v>0.50744339999999999</v>
      </c>
      <c r="F3888" t="s">
        <v>46</v>
      </c>
      <c r="G3888">
        <v>-374.02589999999998</v>
      </c>
      <c r="H3888" s="1">
        <v>6.0557999999999995E-7</v>
      </c>
      <c r="I3888">
        <v>212.5421</v>
      </c>
      <c r="J3888">
        <v>-407.37619999999998</v>
      </c>
      <c r="K3888">
        <v>1.11016</v>
      </c>
      <c r="L3888">
        <v>213.74549999999999</v>
      </c>
      <c r="M3888">
        <v>0.99983299999999997</v>
      </c>
      <c r="N3888">
        <v>0</v>
      </c>
      <c r="O3888">
        <v>1.264763E-2</v>
      </c>
      <c r="P3888">
        <v>0.99705779999999999</v>
      </c>
      <c r="Q3888">
        <v>7.4496919999999994E-2</v>
      </c>
      <c r="R3888">
        <v>-1.8054199999999999E-2</v>
      </c>
      <c r="S3888">
        <v>3.0168149999999998</v>
      </c>
      <c r="T3888">
        <v>-9.9740510000000004E-2</v>
      </c>
      <c r="U3888">
        <v>-0.10787960000000001</v>
      </c>
      <c r="V3888">
        <v>3.0697410000000001E-2</v>
      </c>
      <c r="W3888">
        <v>8.7630559999999996E-2</v>
      </c>
      <c r="X3888">
        <v>0.99568000000000001</v>
      </c>
      <c r="Y3888">
        <v>4.8341130000000003E-2</v>
      </c>
      <c r="Z3888">
        <v>-1.216597E-3</v>
      </c>
      <c r="AA3888">
        <v>0.99883010000000005</v>
      </c>
      <c r="AB3888">
        <v>23</v>
      </c>
      <c r="AC3888">
        <v>33.350299999999997</v>
      </c>
      <c r="AD3888">
        <v>-1.1101593944199999</v>
      </c>
      <c r="AE3888">
        <v>-1.20339999999998</v>
      </c>
      <c r="AF3888">
        <v>1.6233462295858401</v>
      </c>
      <c r="AG3888">
        <v>-1.1101593944199999</v>
      </c>
      <c r="AH3888">
        <v>33.295564367098599</v>
      </c>
      <c r="AI3888">
        <v>91.907416518407203</v>
      </c>
      <c r="AJ3888">
        <v>87.208718480572102</v>
      </c>
      <c r="AK3888">
        <v>33.353595209298398</v>
      </c>
      <c r="AL3888">
        <v>84.972690759428403</v>
      </c>
      <c r="AM3888">
        <v>88.234096214793297</v>
      </c>
      <c r="AN3888">
        <v>1.0000000542133001</v>
      </c>
    </row>
    <row r="3889" spans="1:40" x14ac:dyDescent="0.25">
      <c r="A3889" t="str">
        <f>"20190312172154285"</f>
        <v>20190312172154285</v>
      </c>
      <c r="B3889" t="str">
        <f>"1552382514274264"</f>
        <v>1552382514274264</v>
      </c>
      <c r="C3889" t="s">
        <v>40</v>
      </c>
      <c r="D3889">
        <v>3.1715819999999999</v>
      </c>
      <c r="E3889">
        <v>0.52912150000000002</v>
      </c>
      <c r="F3889" t="s">
        <v>46</v>
      </c>
      <c r="G3889">
        <v>-379.85809999999998</v>
      </c>
      <c r="H3889" s="1">
        <v>3.7092150000000002E-6</v>
      </c>
      <c r="I3889">
        <v>212.72229999999999</v>
      </c>
      <c r="J3889">
        <v>-407.15210000000002</v>
      </c>
      <c r="K3889">
        <v>1.110139</v>
      </c>
      <c r="L3889">
        <v>213.74809999999999</v>
      </c>
      <c r="M3889">
        <v>0.99983580000000005</v>
      </c>
      <c r="N3889">
        <v>0</v>
      </c>
      <c r="O3889">
        <v>1.243258E-2</v>
      </c>
      <c r="P3889">
        <v>0.99736910000000001</v>
      </c>
      <c r="Q3889">
        <v>6.9422040000000004E-2</v>
      </c>
      <c r="R3889">
        <v>-2.0874090000000001E-2</v>
      </c>
      <c r="S3889">
        <v>3.0158999999999998</v>
      </c>
      <c r="T3889">
        <v>-0.12167</v>
      </c>
      <c r="U3889">
        <v>-0.11213679999999999</v>
      </c>
      <c r="V3889">
        <v>3.3304180000000003E-2</v>
      </c>
      <c r="W3889">
        <v>8.2557850000000002E-2</v>
      </c>
      <c r="X3889">
        <v>0.99602959999999996</v>
      </c>
      <c r="Y3889">
        <v>4.9528080000000002E-2</v>
      </c>
      <c r="Z3889">
        <v>-1.4995529999999901E-3</v>
      </c>
      <c r="AA3889">
        <v>0.99877159999999998</v>
      </c>
      <c r="AB3889">
        <v>23</v>
      </c>
      <c r="AC3889">
        <v>27.294</v>
      </c>
      <c r="AD3889">
        <v>-1.110135290785</v>
      </c>
      <c r="AE3889">
        <v>-1.0258</v>
      </c>
      <c r="AF3889">
        <v>1.3628336638062399</v>
      </c>
      <c r="AG3889">
        <v>-1.110135290785</v>
      </c>
      <c r="AH3889">
        <v>27.2341454719819</v>
      </c>
      <c r="AI3889">
        <v>92.331320241851103</v>
      </c>
      <c r="AJ3889">
        <v>87.135230964418696</v>
      </c>
      <c r="AK3889">
        <v>27.2908115589867</v>
      </c>
      <c r="AL3889">
        <v>85.264393550864597</v>
      </c>
      <c r="AM3889">
        <v>88.084918064628397</v>
      </c>
      <c r="AN3889">
        <v>0.99999996553912596</v>
      </c>
    </row>
    <row r="3890" spans="1:40" x14ac:dyDescent="0.25">
      <c r="A3890" t="str">
        <f>"20190312172154307"</f>
        <v>20190312172154307</v>
      </c>
      <c r="B3890" t="str">
        <f>"1552382514304051"</f>
        <v>1552382514304051</v>
      </c>
      <c r="C3890" t="s">
        <v>40</v>
      </c>
      <c r="D3890">
        <v>3.2018469999999999</v>
      </c>
      <c r="E3890">
        <v>0.54138459999999999</v>
      </c>
      <c r="F3890" t="s">
        <v>41</v>
      </c>
      <c r="G3890">
        <v>-406.2928</v>
      </c>
      <c r="H3890">
        <v>1.0007410000000001</v>
      </c>
      <c r="I3890">
        <v>213.66499999999999</v>
      </c>
      <c r="J3890">
        <v>-406.92559999999997</v>
      </c>
      <c r="K3890">
        <v>1.110131</v>
      </c>
      <c r="L3890">
        <v>213.75059999999999</v>
      </c>
      <c r="M3890">
        <v>0.99983849999999996</v>
      </c>
      <c r="N3890">
        <v>0</v>
      </c>
      <c r="O3890">
        <v>1.221787E-2</v>
      </c>
      <c r="P3890">
        <v>0.99740819999999997</v>
      </c>
      <c r="Q3890">
        <v>6.7702120000000005E-2</v>
      </c>
      <c r="R3890">
        <v>-2.436601E-2</v>
      </c>
      <c r="S3890">
        <v>3.0286249999999999</v>
      </c>
      <c r="T3890">
        <v>-0.3855209</v>
      </c>
      <c r="U3890">
        <v>-0.29205320000000001</v>
      </c>
      <c r="V3890">
        <v>3.6581139999999998E-2</v>
      </c>
      <c r="W3890">
        <v>8.0836039999999998E-2</v>
      </c>
      <c r="X3890">
        <v>0.99605589999999999</v>
      </c>
      <c r="Y3890">
        <v>0.10718610000000001</v>
      </c>
      <c r="Z3890">
        <v>-8.3248200000000001E-3</v>
      </c>
      <c r="AA3890">
        <v>0.99420410000000004</v>
      </c>
      <c r="AB3890">
        <v>23</v>
      </c>
      <c r="AC3890">
        <v>0.63279999999997405</v>
      </c>
      <c r="AD3890">
        <v>-0.10939</v>
      </c>
      <c r="AE3890">
        <v>-8.5599999999999399E-2</v>
      </c>
      <c r="AF3890">
        <v>9.0665101641739104E-2</v>
      </c>
      <c r="AG3890">
        <v>-0.10939</v>
      </c>
      <c r="AH3890">
        <v>0.61369732710533798</v>
      </c>
      <c r="AI3890">
        <v>100.000364812558</v>
      </c>
      <c r="AJ3890">
        <v>81.596147472878101</v>
      </c>
      <c r="AK3890">
        <v>0.62992915637549496</v>
      </c>
      <c r="AL3890">
        <v>85.3633770553772</v>
      </c>
      <c r="AM3890">
        <v>87.896701020572294</v>
      </c>
      <c r="AN3890">
        <v>1.0000000005456899</v>
      </c>
    </row>
    <row r="3891" spans="1:40" x14ac:dyDescent="0.25">
      <c r="A3891" t="str">
        <f>"20190312172154330"</f>
        <v>20190312172154330</v>
      </c>
      <c r="B3891" t="str">
        <f>"1552382514324547"</f>
        <v>1552382514324547</v>
      </c>
      <c r="C3891" t="s">
        <v>40</v>
      </c>
      <c r="D3891">
        <v>3.3334760000000001</v>
      </c>
      <c r="E3891">
        <v>0.54433409999999904</v>
      </c>
      <c r="F3891" t="s">
        <v>41</v>
      </c>
      <c r="G3891">
        <v>-406.10700000000003</v>
      </c>
      <c r="H3891">
        <v>0.96209489999999998</v>
      </c>
      <c r="I3891">
        <v>213.6429</v>
      </c>
      <c r="J3891">
        <v>-406.69589999999999</v>
      </c>
      <c r="K3891">
        <v>1.1101350000000001</v>
      </c>
      <c r="L3891">
        <v>213.75319999999999</v>
      </c>
      <c r="M3891">
        <v>0.99984110000000004</v>
      </c>
      <c r="N3891">
        <v>0</v>
      </c>
      <c r="O3891">
        <v>1.200208E-2</v>
      </c>
      <c r="P3891">
        <v>0.99717710000000004</v>
      </c>
      <c r="Q3891">
        <v>6.9673479999999996E-2</v>
      </c>
      <c r="R3891">
        <v>-2.8000130000000002E-2</v>
      </c>
      <c r="S3891">
        <v>3.035339</v>
      </c>
      <c r="T3891">
        <v>-0.54881389999999997</v>
      </c>
      <c r="U3891">
        <v>-0.39868160000000002</v>
      </c>
      <c r="V3891">
        <v>3.9997329999999998E-2</v>
      </c>
      <c r="W3891">
        <v>8.2801150000000004E-2</v>
      </c>
      <c r="X3891">
        <v>0.99576310000000001</v>
      </c>
      <c r="Y3891">
        <v>0.1397003</v>
      </c>
      <c r="Z3891">
        <v>-1.4619800000000001E-2</v>
      </c>
      <c r="AA3891">
        <v>0.99008589999999996</v>
      </c>
      <c r="AB3891">
        <v>23</v>
      </c>
      <c r="AC3891">
        <v>0.58890000000002296</v>
      </c>
      <c r="AD3891">
        <v>-0.14804010000000001</v>
      </c>
      <c r="AE3891">
        <v>-0.110299999999995</v>
      </c>
      <c r="AF3891">
        <v>0.110607839235635</v>
      </c>
      <c r="AG3891">
        <v>-0.14804010000000001</v>
      </c>
      <c r="AH3891">
        <v>0.55372734947722102</v>
      </c>
      <c r="AI3891">
        <v>104.690758658026</v>
      </c>
      <c r="AJ3891">
        <v>78.703761492489406</v>
      </c>
      <c r="AK3891">
        <v>0.58374989753100104</v>
      </c>
      <c r="AL3891">
        <v>85.250405683359602</v>
      </c>
      <c r="AM3891">
        <v>87.699807408406301</v>
      </c>
      <c r="AN3891">
        <v>0.99999998408502999</v>
      </c>
    </row>
    <row r="3892" spans="1:40" x14ac:dyDescent="0.25">
      <c r="A3892" t="str">
        <f>"20190312172154353"</f>
        <v>20190312172154353</v>
      </c>
      <c r="B3892" t="str">
        <f>"1552382514344066"</f>
        <v>1552382514344066</v>
      </c>
      <c r="C3892" t="s">
        <v>40</v>
      </c>
      <c r="D3892">
        <v>3.1368399999999999</v>
      </c>
      <c r="E3892">
        <v>0.5458499</v>
      </c>
      <c r="F3892" t="s">
        <v>41</v>
      </c>
      <c r="G3892">
        <v>-405.90469999999999</v>
      </c>
      <c r="H3892">
        <v>0.95857409999999998</v>
      </c>
      <c r="I3892">
        <v>213.64060000000001</v>
      </c>
      <c r="J3892">
        <v>-406.45370000000003</v>
      </c>
      <c r="K3892">
        <v>1.1101559999999999</v>
      </c>
      <c r="L3892">
        <v>213.75579999999999</v>
      </c>
      <c r="M3892">
        <v>0.9998437</v>
      </c>
      <c r="N3892">
        <v>0</v>
      </c>
      <c r="O3892">
        <v>1.1777899999999999E-2</v>
      </c>
      <c r="P3892">
        <v>0.99679300000000004</v>
      </c>
      <c r="Q3892">
        <v>7.3786050000000006E-2</v>
      </c>
      <c r="R3892">
        <v>-3.0980690000000002E-2</v>
      </c>
      <c r="S3892">
        <v>3.0369869999999999</v>
      </c>
      <c r="T3892">
        <v>-0.58177319999999999</v>
      </c>
      <c r="U3892">
        <v>-0.43182369999999998</v>
      </c>
      <c r="V3892">
        <v>4.2750980000000001E-2</v>
      </c>
      <c r="W3892">
        <v>8.6905689999999994E-2</v>
      </c>
      <c r="X3892">
        <v>0.99529880000000004</v>
      </c>
      <c r="Y3892">
        <v>0.14954719999999999</v>
      </c>
      <c r="Z3892">
        <v>-1.635122E-2</v>
      </c>
      <c r="AA3892">
        <v>0.98861940000000004</v>
      </c>
      <c r="AB3892">
        <v>23</v>
      </c>
      <c r="AC3892">
        <v>0.54900000000003402</v>
      </c>
      <c r="AD3892">
        <v>-0.15158189999999899</v>
      </c>
      <c r="AE3892">
        <v>-0.11519999999998699</v>
      </c>
      <c r="AF3892">
        <v>0.113379748980386</v>
      </c>
      <c r="AG3892">
        <v>-0.15158189999999899</v>
      </c>
      <c r="AH3892">
        <v>0.51034038107732005</v>
      </c>
      <c r="AI3892">
        <v>106.169608607226</v>
      </c>
      <c r="AJ3892">
        <v>77.474318964257094</v>
      </c>
      <c r="AK3892">
        <v>0.54431548245903305</v>
      </c>
      <c r="AL3892">
        <v>85.014381402388196</v>
      </c>
      <c r="AM3892">
        <v>87.540491341939898</v>
      </c>
      <c r="AN3892">
        <v>0.99999997326338796</v>
      </c>
    </row>
    <row r="3893" spans="1:40" x14ac:dyDescent="0.25">
      <c r="A3893" t="str">
        <f>"20190312172154376"</f>
        <v>20190312172154376</v>
      </c>
      <c r="B3893" t="str">
        <f>"1552382514364562"</f>
        <v>1552382514364562</v>
      </c>
      <c r="C3893" t="s">
        <v>40</v>
      </c>
      <c r="D3893">
        <v>3.1792570000000002</v>
      </c>
      <c r="E3893">
        <v>0.54676950000000002</v>
      </c>
      <c r="F3893" t="s">
        <v>41</v>
      </c>
      <c r="G3893">
        <v>-405.69920000000002</v>
      </c>
      <c r="H3893">
        <v>0.9627154</v>
      </c>
      <c r="I3893">
        <v>213.64320000000001</v>
      </c>
      <c r="J3893">
        <v>-406.22809999999998</v>
      </c>
      <c r="K3893">
        <v>1.1101730000000001</v>
      </c>
      <c r="L3893">
        <v>213.75819999999999</v>
      </c>
      <c r="M3893">
        <v>0.99984600000000001</v>
      </c>
      <c r="N3893">
        <v>0</v>
      </c>
      <c r="O3893">
        <v>1.1575190000000001E-2</v>
      </c>
      <c r="P3893">
        <v>0.99662010000000001</v>
      </c>
      <c r="Q3893">
        <v>7.5277449999999996E-2</v>
      </c>
      <c r="R3893">
        <v>-3.2887920000000001E-2</v>
      </c>
      <c r="S3893">
        <v>3.0395810000000001</v>
      </c>
      <c r="T3893">
        <v>-0.59402029999999995</v>
      </c>
      <c r="U3893">
        <v>-0.45228580000000002</v>
      </c>
      <c r="V3893">
        <v>4.4453810000000003E-2</v>
      </c>
      <c r="W3893">
        <v>8.8392910000000005E-2</v>
      </c>
      <c r="X3893">
        <v>0.99509320000000001</v>
      </c>
      <c r="Y3893">
        <v>0.155524</v>
      </c>
      <c r="Z3893">
        <v>-1.7203969999999999E-2</v>
      </c>
      <c r="AA3893">
        <v>0.98768230000000001</v>
      </c>
      <c r="AB3893">
        <v>23</v>
      </c>
      <c r="AC3893">
        <v>0.52889999999996395</v>
      </c>
      <c r="AD3893">
        <v>-0.147457599999999</v>
      </c>
      <c r="AE3893">
        <v>-0.11499999999997999</v>
      </c>
      <c r="AF3893">
        <v>0.112746787162357</v>
      </c>
      <c r="AG3893">
        <v>-0.147457599999999</v>
      </c>
      <c r="AH3893">
        <v>0.49108460123561398</v>
      </c>
      <c r="AI3893">
        <v>106.312394743364</v>
      </c>
      <c r="AJ3893">
        <v>77.069695509483694</v>
      </c>
      <c r="AK3893">
        <v>0.52499492129346903</v>
      </c>
      <c r="AL3893">
        <v>84.928840694411093</v>
      </c>
      <c r="AM3893">
        <v>87.442125640919599</v>
      </c>
      <c r="AN3893">
        <v>0.999999962224011</v>
      </c>
    </row>
    <row r="3894" spans="1:40" x14ac:dyDescent="0.25">
      <c r="A3894" t="str">
        <f>"20190312172154398"</f>
        <v>20190312172154398</v>
      </c>
      <c r="B3894" t="str">
        <f>"1552382514394819"</f>
        <v>1552382514394819</v>
      </c>
      <c r="C3894" t="s">
        <v>40</v>
      </c>
      <c r="D3894">
        <v>3.140069</v>
      </c>
      <c r="E3894">
        <v>0.54759910000000001</v>
      </c>
      <c r="F3894" t="s">
        <v>41</v>
      </c>
      <c r="G3894">
        <v>-405.49509999999998</v>
      </c>
      <c r="H3894">
        <v>0.96421920000000005</v>
      </c>
      <c r="I3894">
        <v>213.64570000000001</v>
      </c>
      <c r="J3894">
        <v>-406.00200000000001</v>
      </c>
      <c r="K3894">
        <v>1.110187</v>
      </c>
      <c r="L3894">
        <v>213.76060000000001</v>
      </c>
      <c r="M3894">
        <v>0.99984819999999996</v>
      </c>
      <c r="N3894">
        <v>0</v>
      </c>
      <c r="O3894">
        <v>1.1382740000000001E-2</v>
      </c>
      <c r="P3894">
        <v>0.99654540000000003</v>
      </c>
      <c r="Q3894">
        <v>7.6309760000000004E-2</v>
      </c>
      <c r="R3894">
        <v>-3.277559E-2</v>
      </c>
      <c r="S3894">
        <v>3.040527</v>
      </c>
      <c r="T3894">
        <v>-0.60539309999999902</v>
      </c>
      <c r="U3894">
        <v>-0.46568300000000001</v>
      </c>
      <c r="V3894">
        <v>4.4147840000000001E-2</v>
      </c>
      <c r="W3894">
        <v>8.9424509999999999E-2</v>
      </c>
      <c r="X3894">
        <v>0.99501470000000003</v>
      </c>
      <c r="Y3894">
        <v>0.1593591</v>
      </c>
      <c r="Z3894">
        <v>-1.7854510000000001E-2</v>
      </c>
      <c r="AA3894">
        <v>0.98705920000000003</v>
      </c>
      <c r="AB3894">
        <v>23</v>
      </c>
      <c r="AC3894">
        <v>0.50689999999997304</v>
      </c>
      <c r="AD3894">
        <v>-0.14596780000000001</v>
      </c>
      <c r="AE3894">
        <v>-0.114900000000005</v>
      </c>
      <c r="AF3894">
        <v>0.11184202917783299</v>
      </c>
      <c r="AG3894">
        <v>-0.14596780000000001</v>
      </c>
      <c r="AH3894">
        <v>0.46860079586279402</v>
      </c>
      <c r="AI3894">
        <v>106.856120911757</v>
      </c>
      <c r="AJ3894">
        <v>76.576216946938203</v>
      </c>
      <c r="AK3894">
        <v>0.50339044886717799</v>
      </c>
      <c r="AL3894">
        <v>84.869499624804803</v>
      </c>
      <c r="AM3894">
        <v>87.459507877528793</v>
      </c>
      <c r="AN3894">
        <v>1.0000000139907399</v>
      </c>
    </row>
    <row r="3895" spans="1:40" x14ac:dyDescent="0.25">
      <c r="A3895" t="str">
        <f>"20190312172154420"</f>
        <v>20190312172154420</v>
      </c>
      <c r="B3895" t="str">
        <f>"1552382514414339"</f>
        <v>1552382514414339</v>
      </c>
      <c r="C3895" t="s">
        <v>40</v>
      </c>
      <c r="D3895">
        <v>3.1299670000000002</v>
      </c>
      <c r="E3895">
        <v>0.54792359999999996</v>
      </c>
      <c r="F3895" t="s">
        <v>41</v>
      </c>
      <c r="G3895">
        <v>-405.29109999999997</v>
      </c>
      <c r="H3895">
        <v>0.9660088</v>
      </c>
      <c r="I3895">
        <v>213.65</v>
      </c>
      <c r="J3895">
        <v>-405.78379999999999</v>
      </c>
      <c r="K3895">
        <v>1.110201</v>
      </c>
      <c r="L3895">
        <v>213.7629</v>
      </c>
      <c r="M3895">
        <v>0.99985020000000002</v>
      </c>
      <c r="N3895">
        <v>0</v>
      </c>
      <c r="O3895">
        <v>1.121313E-2</v>
      </c>
      <c r="P3895">
        <v>0.99645240000000002</v>
      </c>
      <c r="Q3895">
        <v>7.7489150000000007E-2</v>
      </c>
      <c r="R3895">
        <v>-3.2838069999999997E-2</v>
      </c>
      <c r="S3895">
        <v>3.0421450000000001</v>
      </c>
      <c r="T3895">
        <v>-0.61703619999999904</v>
      </c>
      <c r="U3895">
        <v>-0.47250370000000003</v>
      </c>
      <c r="V3895">
        <v>4.4037989999999999E-2</v>
      </c>
      <c r="W3895">
        <v>9.0602749999999996E-2</v>
      </c>
      <c r="X3895">
        <v>0.99491300000000005</v>
      </c>
      <c r="Y3895">
        <v>0.16112179999999901</v>
      </c>
      <c r="Z3895">
        <v>-1.8320909999999999E-2</v>
      </c>
      <c r="AA3895">
        <v>0.98676450000000004</v>
      </c>
      <c r="AB3895">
        <v>23</v>
      </c>
      <c r="AC3895">
        <v>0.49270000000001302</v>
      </c>
      <c r="AD3895">
        <v>-0.14419219999999999</v>
      </c>
      <c r="AE3895">
        <v>-0.112899999999996</v>
      </c>
      <c r="AF3895">
        <v>0.109506920690168</v>
      </c>
      <c r="AG3895">
        <v>-0.14419219999999999</v>
      </c>
      <c r="AH3895">
        <v>0.45442401049411002</v>
      </c>
      <c r="AI3895">
        <v>107.143801036894</v>
      </c>
      <c r="AJ3895">
        <v>76.451207896163993</v>
      </c>
      <c r="AK3895">
        <v>0.48916698328222602</v>
      </c>
      <c r="AL3895">
        <v>84.801716414972503</v>
      </c>
      <c r="AM3895">
        <v>87.465562250199397</v>
      </c>
      <c r="AN3895">
        <v>1.0000000402199001</v>
      </c>
    </row>
    <row r="3896" spans="1:40" x14ac:dyDescent="0.25">
      <c r="A3896" t="str">
        <f>"20190312172154442"</f>
        <v>20190312172154442</v>
      </c>
      <c r="B3896" t="str">
        <f>"1552382514434835"</f>
        <v>1552382514434835</v>
      </c>
      <c r="C3896" t="s">
        <v>40</v>
      </c>
      <c r="D3896">
        <v>3.1528480000000001</v>
      </c>
      <c r="E3896">
        <v>0.54814549999999995</v>
      </c>
      <c r="F3896" t="s">
        <v>41</v>
      </c>
      <c r="G3896">
        <v>-405.08710000000002</v>
      </c>
      <c r="H3896">
        <v>0.9681864</v>
      </c>
      <c r="I3896">
        <v>213.6541</v>
      </c>
      <c r="J3896">
        <v>-405.55540000000002</v>
      </c>
      <c r="K3896">
        <v>1.110217</v>
      </c>
      <c r="L3896">
        <v>213.76519999999999</v>
      </c>
      <c r="M3896">
        <v>0.99985199999999996</v>
      </c>
      <c r="N3896">
        <v>0</v>
      </c>
      <c r="O3896">
        <v>1.1057310000000001E-2</v>
      </c>
      <c r="P3896">
        <v>0.99637120000000001</v>
      </c>
      <c r="Q3896">
        <v>7.8806799999999996E-2</v>
      </c>
      <c r="R3896">
        <v>-3.2153920000000002E-2</v>
      </c>
      <c r="S3896">
        <v>3.0433349999999999</v>
      </c>
      <c r="T3896">
        <v>-0.62035439999999997</v>
      </c>
      <c r="U3896">
        <v>-0.4743347</v>
      </c>
      <c r="V3896">
        <v>4.319477E-2</v>
      </c>
      <c r="W3896">
        <v>9.1919959999999995E-2</v>
      </c>
      <c r="X3896">
        <v>0.99482910000000002</v>
      </c>
      <c r="Y3896">
        <v>0.16145209999999999</v>
      </c>
      <c r="Z3896">
        <v>-1.8411549999999999E-2</v>
      </c>
      <c r="AA3896">
        <v>0.98670880000000005</v>
      </c>
      <c r="AB3896">
        <v>23</v>
      </c>
      <c r="AC3896">
        <v>0.46829999999999899</v>
      </c>
      <c r="AD3896">
        <v>-0.14203060000000001</v>
      </c>
      <c r="AE3896">
        <v>-0.111099999999993</v>
      </c>
      <c r="AF3896">
        <v>0.106957571836254</v>
      </c>
      <c r="AG3896">
        <v>-0.14203060000000001</v>
      </c>
      <c r="AH3896">
        <v>0.42962924088670801</v>
      </c>
      <c r="AI3896">
        <v>107.786088669733</v>
      </c>
      <c r="AJ3896">
        <v>76.020219884541504</v>
      </c>
      <c r="AK3896">
        <v>0.46496655593102199</v>
      </c>
      <c r="AL3896">
        <v>84.725929379911804</v>
      </c>
      <c r="AM3896">
        <v>87.513819677077095</v>
      </c>
      <c r="AN3896">
        <v>1.0000000027042799</v>
      </c>
    </row>
    <row r="3897" spans="1:40" x14ac:dyDescent="0.25">
      <c r="A3897" t="str">
        <f>"20190312172154465"</f>
        <v>20190312172154465</v>
      </c>
      <c r="B3897" t="str">
        <f>"1552382514454354"</f>
        <v>1552382514454354</v>
      </c>
      <c r="C3897" t="s">
        <v>40</v>
      </c>
      <c r="D3897">
        <v>3.4445019999999902</v>
      </c>
      <c r="E3897">
        <v>0.54832349999999996</v>
      </c>
      <c r="F3897" t="s">
        <v>41</v>
      </c>
      <c r="G3897">
        <v>-404.69639999999998</v>
      </c>
      <c r="H3897">
        <v>0.93457259999999998</v>
      </c>
      <c r="I3897">
        <v>213.63159999999999</v>
      </c>
      <c r="J3897">
        <v>-405.32909999999998</v>
      </c>
      <c r="K3897">
        <v>1.1102459999999901</v>
      </c>
      <c r="L3897">
        <v>213.76759999999999</v>
      </c>
      <c r="M3897">
        <v>0.99985349999999995</v>
      </c>
      <c r="N3897">
        <v>0</v>
      </c>
      <c r="O3897">
        <v>1.0926170000000001E-2</v>
      </c>
      <c r="P3897">
        <v>0.99625300000000006</v>
      </c>
      <c r="Q3897">
        <v>8.0706890000000003E-2</v>
      </c>
      <c r="R3897">
        <v>-3.1091520000000001E-2</v>
      </c>
      <c r="S3897">
        <v>3.0449220000000001</v>
      </c>
      <c r="T3897">
        <v>-0.62266480000000002</v>
      </c>
      <c r="U3897">
        <v>-0.47332760000000001</v>
      </c>
      <c r="V3897">
        <v>4.1997149999999997E-2</v>
      </c>
      <c r="W3897">
        <v>9.3819070000000004E-2</v>
      </c>
      <c r="X3897">
        <v>0.99470309999999995</v>
      </c>
      <c r="Y3897">
        <v>0.16091710000000001</v>
      </c>
      <c r="Z3897">
        <v>-1.838965E-2</v>
      </c>
      <c r="AA3897">
        <v>0.98679660000000002</v>
      </c>
      <c r="AB3897">
        <v>23</v>
      </c>
      <c r="AC3897">
        <v>0.63269999999999904</v>
      </c>
      <c r="AD3897">
        <v>-0.17567339999999901</v>
      </c>
      <c r="AE3897">
        <v>-0.13599999999999501</v>
      </c>
      <c r="AF3897">
        <v>0.13309769562621401</v>
      </c>
      <c r="AG3897">
        <v>-0.17567339999999901</v>
      </c>
      <c r="AH3897">
        <v>0.58785776705791803</v>
      </c>
      <c r="AI3897">
        <v>106.249265726178</v>
      </c>
      <c r="AJ3897">
        <v>77.242669596735794</v>
      </c>
      <c r="AK3897">
        <v>0.62781597171375803</v>
      </c>
      <c r="AL3897">
        <v>84.616646166173197</v>
      </c>
      <c r="AM3897">
        <v>87.582362839234094</v>
      </c>
      <c r="AN3897">
        <v>1.0000000178266899</v>
      </c>
    </row>
    <row r="3898" spans="1:40" x14ac:dyDescent="0.25">
      <c r="A3898" t="str">
        <f>"20190312172154486"</f>
        <v>20190312172154486</v>
      </c>
      <c r="B3898" t="str">
        <f>"1552382514484610"</f>
        <v>1552382514484610</v>
      </c>
      <c r="C3898" t="s">
        <v>40</v>
      </c>
      <c r="D3898">
        <v>3.1953839999999998</v>
      </c>
      <c r="E3898">
        <v>0.54840349999999904</v>
      </c>
      <c r="F3898" t="s">
        <v>41</v>
      </c>
      <c r="G3898">
        <v>-404.49189999999999</v>
      </c>
      <c r="H3898">
        <v>0.93941470000000005</v>
      </c>
      <c r="I3898">
        <v>213.63759999999999</v>
      </c>
      <c r="J3898">
        <v>-405.10719999999998</v>
      </c>
      <c r="K3898">
        <v>1.1102639999999999</v>
      </c>
      <c r="L3898">
        <v>213.76990000000001</v>
      </c>
      <c r="M3898">
        <v>0.99985469999999999</v>
      </c>
      <c r="N3898">
        <v>0</v>
      </c>
      <c r="O3898">
        <v>1.08168E-2</v>
      </c>
      <c r="P3898">
        <v>0.99613910000000006</v>
      </c>
      <c r="Q3898">
        <v>8.262709E-2</v>
      </c>
      <c r="R3898">
        <v>-2.9665170000000001E-2</v>
      </c>
      <c r="S3898">
        <v>3.0469360000000001</v>
      </c>
      <c r="T3898">
        <v>-0.62181540000000002</v>
      </c>
      <c r="U3898">
        <v>-0.4713135</v>
      </c>
      <c r="V3898">
        <v>4.0457699999999999E-2</v>
      </c>
      <c r="W3898">
        <v>9.5738729999999994E-2</v>
      </c>
      <c r="X3898">
        <v>0.99458400000000002</v>
      </c>
      <c r="Y3898">
        <v>0.1601051</v>
      </c>
      <c r="Z3898">
        <v>-1.8250679999999998E-2</v>
      </c>
      <c r="AA3898">
        <v>0.98693129999999996</v>
      </c>
      <c r="AB3898">
        <v>23</v>
      </c>
      <c r="AC3898">
        <v>0.61529999999998997</v>
      </c>
      <c r="AD3898">
        <v>-0.17084929999999901</v>
      </c>
      <c r="AE3898">
        <v>-0.13230000000001399</v>
      </c>
      <c r="AF3898">
        <v>0.129411715372824</v>
      </c>
      <c r="AG3898">
        <v>-0.17084929999999901</v>
      </c>
      <c r="AH3898">
        <v>0.57170251118263404</v>
      </c>
      <c r="AI3898">
        <v>106.24976115243599</v>
      </c>
      <c r="AJ3898">
        <v>77.245362416681402</v>
      </c>
      <c r="AK3898">
        <v>0.61055764402614499</v>
      </c>
      <c r="AL3898">
        <v>84.506160441140906</v>
      </c>
      <c r="AM3898">
        <v>87.670605837162796</v>
      </c>
      <c r="AN3898">
        <v>1.0000000314836499</v>
      </c>
    </row>
    <row r="3899" spans="1:40" x14ac:dyDescent="0.25">
      <c r="A3899" t="str">
        <f>"20190312172154509"</f>
        <v>20190312172154509</v>
      </c>
      <c r="B3899" t="str">
        <f>"1552382514504130"</f>
        <v>1552382514504130</v>
      </c>
      <c r="C3899" t="s">
        <v>40</v>
      </c>
      <c r="D3899">
        <v>3.1407989999999999</v>
      </c>
      <c r="E3899">
        <v>0.55218659999999997</v>
      </c>
      <c r="F3899" t="s">
        <v>41</v>
      </c>
      <c r="G3899">
        <v>-404.28809999999999</v>
      </c>
      <c r="H3899">
        <v>0.94320539999999997</v>
      </c>
      <c r="I3899">
        <v>213.64410000000001</v>
      </c>
      <c r="J3899">
        <v>-404.88799999999998</v>
      </c>
      <c r="K3899">
        <v>1.110282</v>
      </c>
      <c r="L3899">
        <v>213.77209999999999</v>
      </c>
      <c r="M3899">
        <v>0.99985559999999996</v>
      </c>
      <c r="N3899">
        <v>0</v>
      </c>
      <c r="O3899">
        <v>1.072472E-2</v>
      </c>
      <c r="P3899">
        <v>0.99607950000000001</v>
      </c>
      <c r="Q3899">
        <v>8.3715789999999998E-2</v>
      </c>
      <c r="R3899">
        <v>-2.8591789999999999E-2</v>
      </c>
      <c r="S3899">
        <v>3.0492859999999999</v>
      </c>
      <c r="T3899">
        <v>-0.62199249999999995</v>
      </c>
      <c r="U3899">
        <v>-0.46765139999999999</v>
      </c>
      <c r="V3899">
        <v>3.9289820000000003E-2</v>
      </c>
      <c r="W3899">
        <v>9.6826549999999997E-2</v>
      </c>
      <c r="X3899">
        <v>0.99452549999999995</v>
      </c>
      <c r="Y3899">
        <v>0.15877249999999901</v>
      </c>
      <c r="Z3899">
        <v>-1.8091489999999998E-2</v>
      </c>
      <c r="AA3899">
        <v>0.98714939999999995</v>
      </c>
      <c r="AB3899">
        <v>23</v>
      </c>
      <c r="AC3899">
        <v>0.59990000000004695</v>
      </c>
      <c r="AD3899">
        <v>-0.16707659999999999</v>
      </c>
      <c r="AE3899">
        <v>-0.12799999999998499</v>
      </c>
      <c r="AF3899">
        <v>0.12514275969723501</v>
      </c>
      <c r="AG3899">
        <v>-0.16707659999999999</v>
      </c>
      <c r="AH3899">
        <v>0.55715772441372502</v>
      </c>
      <c r="AI3899">
        <v>106.30860838910699</v>
      </c>
      <c r="AJ3899">
        <v>77.340929673148906</v>
      </c>
      <c r="AK3899">
        <v>0.59497901681158505</v>
      </c>
      <c r="AL3899">
        <v>84.443541960497299</v>
      </c>
      <c r="AM3899">
        <v>87.737643914549906</v>
      </c>
      <c r="AN3899">
        <v>1.00000002044539</v>
      </c>
    </row>
    <row r="3900" spans="1:40" x14ac:dyDescent="0.25">
      <c r="A3900" t="str">
        <f>"20190312172154531"</f>
        <v>20190312172154531</v>
      </c>
      <c r="B3900" t="str">
        <f>"1552382514524627"</f>
        <v>1552382514524627</v>
      </c>
      <c r="C3900" t="s">
        <v>40</v>
      </c>
      <c r="D3900">
        <v>3.1929289999999999</v>
      </c>
      <c r="E3900">
        <v>0.5511606</v>
      </c>
      <c r="F3900" t="s">
        <v>41</v>
      </c>
      <c r="G3900">
        <v>-404.09359999999998</v>
      </c>
      <c r="H3900">
        <v>0.92660569999999998</v>
      </c>
      <c r="I3900">
        <v>213.64330000000001</v>
      </c>
      <c r="J3900">
        <v>-404.65159999999997</v>
      </c>
      <c r="K3900">
        <v>1.1102829999999999</v>
      </c>
      <c r="L3900">
        <v>213.77459999999999</v>
      </c>
      <c r="M3900">
        <v>0.99985670000000004</v>
      </c>
      <c r="N3900">
        <v>0</v>
      </c>
      <c r="O3900">
        <v>1.063734E-2</v>
      </c>
      <c r="P3900">
        <v>0.99609650000000005</v>
      </c>
      <c r="Q3900">
        <v>8.3873749999999997E-2</v>
      </c>
      <c r="R3900">
        <v>-2.7522749999999999E-2</v>
      </c>
      <c r="S3900">
        <v>3.0570369999999998</v>
      </c>
      <c r="T3900">
        <v>-0.70689080000000004</v>
      </c>
      <c r="U3900">
        <v>-0.49455260000000001</v>
      </c>
      <c r="V3900">
        <v>3.8132239999999998E-2</v>
      </c>
      <c r="W3900">
        <v>9.6984580000000001E-2</v>
      </c>
      <c r="X3900">
        <v>0.99455510000000003</v>
      </c>
      <c r="Y3900">
        <v>0.165655</v>
      </c>
      <c r="Z3900">
        <v>-2.1198950000000001E-2</v>
      </c>
      <c r="AA3900">
        <v>0.9859559</v>
      </c>
      <c r="AB3900">
        <v>23</v>
      </c>
      <c r="AC3900">
        <v>0.55799999999999195</v>
      </c>
      <c r="AD3900">
        <v>-0.18367729999999999</v>
      </c>
      <c r="AE3900">
        <v>-0.13129999999998099</v>
      </c>
      <c r="AF3900">
        <v>0.12445143906676701</v>
      </c>
      <c r="AG3900">
        <v>-0.18367729999999999</v>
      </c>
      <c r="AH3900">
        <v>0.50474958021735705</v>
      </c>
      <c r="AI3900">
        <v>109.45917324645301</v>
      </c>
      <c r="AJ3900">
        <v>76.149368726815695</v>
      </c>
      <c r="AK3900">
        <v>0.55135981894827801</v>
      </c>
      <c r="AL3900">
        <v>84.434444365157802</v>
      </c>
      <c r="AM3900">
        <v>87.804297846394903</v>
      </c>
      <c r="AN3900">
        <v>0.99999996171060102</v>
      </c>
    </row>
    <row r="3901" spans="1:40" x14ac:dyDescent="0.25">
      <c r="A3901" t="str">
        <f>"20190312172154554"</f>
        <v>20190312172154554</v>
      </c>
      <c r="B3901" t="str">
        <f>"1552382514544150"</f>
        <v>1552382514544150</v>
      </c>
      <c r="C3901" t="s">
        <v>40</v>
      </c>
      <c r="D3901">
        <v>3.1953239999999998</v>
      </c>
      <c r="E3901">
        <v>0.5509558</v>
      </c>
      <c r="F3901" t="s">
        <v>41</v>
      </c>
      <c r="G3901">
        <v>-403.88749999999999</v>
      </c>
      <c r="H3901">
        <v>0.93676769999999998</v>
      </c>
      <c r="I3901">
        <v>213.65369999999999</v>
      </c>
      <c r="J3901">
        <v>-404.42200000000003</v>
      </c>
      <c r="K3901">
        <v>1.110277</v>
      </c>
      <c r="L3901">
        <v>213.77690000000001</v>
      </c>
      <c r="M3901">
        <v>0.99985749999999995</v>
      </c>
      <c r="N3901">
        <v>0</v>
      </c>
      <c r="O3901">
        <v>1.0558059999999999E-2</v>
      </c>
      <c r="P3901">
        <v>0.99624780000000002</v>
      </c>
      <c r="Q3901">
        <v>8.2370940000000004E-2</v>
      </c>
      <c r="R3901">
        <v>-2.6563059999999999E-2</v>
      </c>
      <c r="S3901">
        <v>3.056854</v>
      </c>
      <c r="T3901">
        <v>-0.69419560000000002</v>
      </c>
      <c r="U3901">
        <v>-0.48350520000000002</v>
      </c>
      <c r="V3901">
        <v>3.7094599999999998E-2</v>
      </c>
      <c r="W3901">
        <v>9.5483369999999998E-2</v>
      </c>
      <c r="X3901">
        <v>0.9947397</v>
      </c>
      <c r="Y3901">
        <v>0.162351</v>
      </c>
      <c r="Z3901">
        <v>-2.0448569999999999E-2</v>
      </c>
      <c r="AA3901">
        <v>0.98652119999999999</v>
      </c>
      <c r="AB3901">
        <v>23</v>
      </c>
      <c r="AC3901">
        <v>0.53449999999997999</v>
      </c>
      <c r="AD3901">
        <v>-0.17350929999999901</v>
      </c>
      <c r="AE3901">
        <v>-0.123200000000025</v>
      </c>
      <c r="AF3901">
        <v>0.11711786662921</v>
      </c>
      <c r="AG3901">
        <v>-0.17350929999999901</v>
      </c>
      <c r="AH3901">
        <v>0.48467211704714402</v>
      </c>
      <c r="AI3901">
        <v>109.186761852168</v>
      </c>
      <c r="AJ3901">
        <v>76.415262917191498</v>
      </c>
      <c r="AK3901">
        <v>0.527948039974795</v>
      </c>
      <c r="AL3901">
        <v>84.520859077962996</v>
      </c>
      <c r="AM3901">
        <v>87.864386365348594</v>
      </c>
      <c r="AN3901">
        <v>1.0000000770259001</v>
      </c>
    </row>
    <row r="3902" spans="1:40" x14ac:dyDescent="0.25">
      <c r="A3902" t="str">
        <f>"20190312172154577"</f>
        <v>20190312172154577</v>
      </c>
      <c r="B3902" t="str">
        <f>"1552382514574402"</f>
        <v>1552382514574402</v>
      </c>
      <c r="C3902" t="s">
        <v>40</v>
      </c>
      <c r="D3902">
        <v>3.0708739999999999</v>
      </c>
      <c r="E3902">
        <v>0.55140699999999998</v>
      </c>
      <c r="F3902" t="s">
        <v>41</v>
      </c>
      <c r="G3902">
        <v>-403.68290000000002</v>
      </c>
      <c r="H3902">
        <v>0.94326699999999997</v>
      </c>
      <c r="I3902">
        <v>213.66079999999999</v>
      </c>
      <c r="J3902">
        <v>-404.19799999999998</v>
      </c>
      <c r="K3902">
        <v>1.110269</v>
      </c>
      <c r="L3902">
        <v>213.7791</v>
      </c>
      <c r="M3902">
        <v>0.99985829999999998</v>
      </c>
      <c r="N3902">
        <v>0</v>
      </c>
      <c r="O3902">
        <v>1.048029E-2</v>
      </c>
      <c r="P3902">
        <v>0.99654730000000002</v>
      </c>
      <c r="Q3902">
        <v>7.9012639999999995E-2</v>
      </c>
      <c r="R3902">
        <v>-2.5503020000000001E-2</v>
      </c>
      <c r="S3902">
        <v>3.0556030000000001</v>
      </c>
      <c r="T3902">
        <v>-0.6905578</v>
      </c>
      <c r="U3902">
        <v>-0.4787903</v>
      </c>
      <c r="V3902">
        <v>3.5959900000000003E-2</v>
      </c>
      <c r="W3902">
        <v>9.2128409999999994E-2</v>
      </c>
      <c r="X3902">
        <v>0.99509760000000003</v>
      </c>
      <c r="Y3902">
        <v>0.16092779999999901</v>
      </c>
      <c r="Z3902">
        <v>-2.017921E-2</v>
      </c>
      <c r="AA3902">
        <v>0.98675990000000002</v>
      </c>
      <c r="AB3902">
        <v>23</v>
      </c>
      <c r="AC3902">
        <v>0.51510000000001799</v>
      </c>
      <c r="AD3902">
        <v>-0.16700199999999901</v>
      </c>
      <c r="AE3902">
        <v>-0.118300000000004</v>
      </c>
      <c r="AF3902">
        <v>0.11246320776492499</v>
      </c>
      <c r="AG3902">
        <v>-0.16700199999999901</v>
      </c>
      <c r="AH3902">
        <v>0.46718460719695298</v>
      </c>
      <c r="AI3902">
        <v>109.16422225009499</v>
      </c>
      <c r="AJ3902">
        <v>76.464973709948396</v>
      </c>
      <c r="AK3902">
        <v>0.508723007447617</v>
      </c>
      <c r="AL3902">
        <v>84.713935144658805</v>
      </c>
      <c r="AM3902">
        <v>87.930399649096003</v>
      </c>
      <c r="AN3902">
        <v>0.99999999593144895</v>
      </c>
    </row>
    <row r="3903" spans="1:40" x14ac:dyDescent="0.25">
      <c r="A3903" t="str">
        <f>"20190312172154599"</f>
        <v>20190312172154599</v>
      </c>
      <c r="B3903" t="str">
        <f>"1552382514594898"</f>
        <v>1552382514594898</v>
      </c>
      <c r="C3903" t="s">
        <v>40</v>
      </c>
      <c r="D3903">
        <v>3.1287400000000001</v>
      </c>
      <c r="E3903">
        <v>0.55156640000000001</v>
      </c>
      <c r="F3903" t="s">
        <v>41</v>
      </c>
      <c r="G3903">
        <v>-403.48</v>
      </c>
      <c r="H3903">
        <v>0.94656940000000001</v>
      </c>
      <c r="I3903">
        <v>213.66650000000001</v>
      </c>
      <c r="J3903">
        <v>-403.97269999999997</v>
      </c>
      <c r="K3903">
        <v>1.1102479999999999</v>
      </c>
      <c r="L3903">
        <v>213.78139999999999</v>
      </c>
      <c r="M3903">
        <v>0.99985930000000001</v>
      </c>
      <c r="N3903">
        <v>0</v>
      </c>
      <c r="O3903">
        <v>1.039844E-2</v>
      </c>
      <c r="P3903">
        <v>0.99676900000000002</v>
      </c>
      <c r="Q3903">
        <v>7.6385869999999995E-2</v>
      </c>
      <c r="R3903">
        <v>-2.4846130000000001E-2</v>
      </c>
      <c r="S3903">
        <v>3.053375</v>
      </c>
      <c r="T3903">
        <v>-0.696245</v>
      </c>
      <c r="U3903">
        <v>-0.47917179999999998</v>
      </c>
      <c r="V3903">
        <v>3.5223539999999998E-2</v>
      </c>
      <c r="W3903">
        <v>8.9503340000000001E-2</v>
      </c>
      <c r="X3903">
        <v>0.99536349999999996</v>
      </c>
      <c r="Y3903">
        <v>0.1610027</v>
      </c>
      <c r="Z3903">
        <v>-2.0345499999999999E-2</v>
      </c>
      <c r="AA3903">
        <v>0.98674419999999996</v>
      </c>
      <c r="AB3903">
        <v>23</v>
      </c>
      <c r="AC3903">
        <v>0.49269999999995601</v>
      </c>
      <c r="AD3903">
        <v>-0.16367859999999901</v>
      </c>
      <c r="AE3903">
        <v>-0.11489999999997701</v>
      </c>
      <c r="AF3903">
        <v>0.108645666845144</v>
      </c>
      <c r="AG3903">
        <v>-0.16367859999999901</v>
      </c>
      <c r="AH3903">
        <v>0.44491001506379801</v>
      </c>
      <c r="AI3903">
        <v>109.666371457012</v>
      </c>
      <c r="AJ3903">
        <v>76.277113524446804</v>
      </c>
      <c r="AK3903">
        <v>0.48635325281759401</v>
      </c>
      <c r="AL3903">
        <v>84.864964852345807</v>
      </c>
      <c r="AM3903">
        <v>87.973284756928507</v>
      </c>
      <c r="AN3903">
        <v>1.0000000213867599</v>
      </c>
    </row>
    <row r="3904" spans="1:40" x14ac:dyDescent="0.25">
      <c r="A3904" t="str">
        <f>"20190312172154621"</f>
        <v>20190312172154621</v>
      </c>
      <c r="B3904" t="str">
        <f>"1552382514614418"</f>
        <v>1552382514614418</v>
      </c>
      <c r="C3904" t="s">
        <v>40</v>
      </c>
      <c r="D3904">
        <v>3.191106</v>
      </c>
      <c r="E3904">
        <v>0.55161289999999996</v>
      </c>
      <c r="F3904" t="s">
        <v>41</v>
      </c>
      <c r="G3904">
        <v>-403.27710000000002</v>
      </c>
      <c r="H3904">
        <v>0.95024260000000005</v>
      </c>
      <c r="I3904">
        <v>213.67230000000001</v>
      </c>
      <c r="J3904">
        <v>-403.7568</v>
      </c>
      <c r="K3904">
        <v>1.1102369999999999</v>
      </c>
      <c r="L3904">
        <v>213.78360000000001</v>
      </c>
      <c r="M3904">
        <v>0.99986010000000003</v>
      </c>
      <c r="N3904">
        <v>0</v>
      </c>
      <c r="O3904">
        <v>1.031604E-2</v>
      </c>
      <c r="P3904">
        <v>0.99682440000000005</v>
      </c>
      <c r="Q3904">
        <v>7.5750040000000005E-2</v>
      </c>
      <c r="R3904">
        <v>-2.4566169999999998E-2</v>
      </c>
      <c r="S3904">
        <v>3.0516049999999999</v>
      </c>
      <c r="T3904">
        <v>-0.70207749999999902</v>
      </c>
      <c r="U3904">
        <v>-0.47744750000000002</v>
      </c>
      <c r="V3904">
        <v>3.4862509999999999E-2</v>
      </c>
      <c r="W3904">
        <v>8.8867399999999999E-2</v>
      </c>
      <c r="X3904">
        <v>0.99543320000000002</v>
      </c>
      <c r="Y3904">
        <v>0.16040550000000001</v>
      </c>
      <c r="Z3904">
        <v>-2.0437980000000001E-2</v>
      </c>
      <c r="AA3904">
        <v>0.98683960000000004</v>
      </c>
      <c r="AB3904">
        <v>23</v>
      </c>
      <c r="AC3904">
        <v>0.47969999999997898</v>
      </c>
      <c r="AD3904">
        <v>-0.15999440000000001</v>
      </c>
      <c r="AE3904">
        <v>-0.111299999999999</v>
      </c>
      <c r="AF3904">
        <v>0.105144125782157</v>
      </c>
      <c r="AG3904">
        <v>-0.15999440000000001</v>
      </c>
      <c r="AH3904">
        <v>0.432836135360403</v>
      </c>
      <c r="AI3904">
        <v>109.758077790909</v>
      </c>
      <c r="AJ3904">
        <v>76.346233573138406</v>
      </c>
      <c r="AK3904">
        <v>0.47328703266789701</v>
      </c>
      <c r="AL3904">
        <v>84.901547366599701</v>
      </c>
      <c r="AM3904">
        <v>87.994181222268395</v>
      </c>
      <c r="AN3904">
        <v>1.00000003252424</v>
      </c>
    </row>
    <row r="3905" spans="1:40" x14ac:dyDescent="0.25">
      <c r="A3905" t="str">
        <f>"20190312172154643"</f>
        <v>20190312172154643</v>
      </c>
      <c r="B3905" t="str">
        <f>"1552382514634914"</f>
        <v>1552382514634914</v>
      </c>
      <c r="C3905" t="s">
        <v>40</v>
      </c>
      <c r="D3905">
        <v>3.189187</v>
      </c>
      <c r="E3905">
        <v>0.55168339999999905</v>
      </c>
      <c r="F3905" t="s">
        <v>41</v>
      </c>
      <c r="G3905">
        <v>-402.89150000000001</v>
      </c>
      <c r="H3905">
        <v>0.91099229999999998</v>
      </c>
      <c r="I3905">
        <v>213.6482</v>
      </c>
      <c r="J3905">
        <v>-403.52109999999999</v>
      </c>
      <c r="K3905">
        <v>1.1102369999999999</v>
      </c>
      <c r="L3905">
        <v>213.7859</v>
      </c>
      <c r="M3905">
        <v>0.999861</v>
      </c>
      <c r="N3905">
        <v>0</v>
      </c>
      <c r="O3905">
        <v>1.022123E-2</v>
      </c>
      <c r="P3905">
        <v>0.99676770000000003</v>
      </c>
      <c r="Q3905">
        <v>7.664116E-2</v>
      </c>
      <c r="R3905">
        <v>-2.4090529999999999E-2</v>
      </c>
      <c r="S3905">
        <v>3.0511469999999998</v>
      </c>
      <c r="T3905">
        <v>-0.70256649999999998</v>
      </c>
      <c r="U3905">
        <v>-0.47579959999999999</v>
      </c>
      <c r="V3905">
        <v>3.4292709999999997E-2</v>
      </c>
      <c r="W3905">
        <v>8.975648E-2</v>
      </c>
      <c r="X3905">
        <v>0.99537319999999996</v>
      </c>
      <c r="Y3905">
        <v>0.15982379999999999</v>
      </c>
      <c r="Z3905">
        <v>-2.0368480000000001E-2</v>
      </c>
      <c r="AA3905">
        <v>0.98693540000000002</v>
      </c>
      <c r="AB3905">
        <v>22</v>
      </c>
      <c r="AC3905">
        <v>0.62959999999998195</v>
      </c>
      <c r="AD3905">
        <v>-0.1992447</v>
      </c>
      <c r="AE3905">
        <v>-0.13769999999999499</v>
      </c>
      <c r="AF3905">
        <v>0.13155506523062099</v>
      </c>
      <c r="AG3905">
        <v>-0.1992447</v>
      </c>
      <c r="AH3905">
        <v>0.57335974769332698</v>
      </c>
      <c r="AI3905">
        <v>108.711373722898</v>
      </c>
      <c r="AJ3905">
        <v>77.077389578143197</v>
      </c>
      <c r="AK3905">
        <v>0.62108500701665503</v>
      </c>
      <c r="AL3905">
        <v>84.850402335899801</v>
      </c>
      <c r="AM3905">
        <v>88.026819768250206</v>
      </c>
      <c r="AN3905">
        <v>1.0000000114696801</v>
      </c>
    </row>
    <row r="3906" spans="1:40" x14ac:dyDescent="0.25">
      <c r="A3906" t="str">
        <f>"20190312172154666"</f>
        <v>20190312172154666</v>
      </c>
      <c r="B3906" t="str">
        <f>"1552382514654438"</f>
        <v>1552382514654438</v>
      </c>
      <c r="C3906" t="s">
        <v>40</v>
      </c>
      <c r="D3906">
        <v>3.0932179999999998</v>
      </c>
      <c r="E3906">
        <v>0.55165469999999905</v>
      </c>
      <c r="F3906" t="s">
        <v>41</v>
      </c>
      <c r="G3906">
        <v>-402.68759999999997</v>
      </c>
      <c r="H3906">
        <v>0.91922159999999997</v>
      </c>
      <c r="I3906">
        <v>213.65649999999999</v>
      </c>
      <c r="J3906">
        <v>-403.30239999999998</v>
      </c>
      <c r="K3906">
        <v>1.110252</v>
      </c>
      <c r="L3906">
        <v>213.78800000000001</v>
      </c>
      <c r="M3906">
        <v>0.99986209999999998</v>
      </c>
      <c r="N3906">
        <v>0</v>
      </c>
      <c r="O3906">
        <v>1.0130480000000001E-2</v>
      </c>
      <c r="P3906">
        <v>0.99652220000000002</v>
      </c>
      <c r="Q3906">
        <v>7.9862710000000003E-2</v>
      </c>
      <c r="R3906">
        <v>-2.378245E-2</v>
      </c>
      <c r="S3906">
        <v>3.052063</v>
      </c>
      <c r="T3906">
        <v>-0.69945819999999903</v>
      </c>
      <c r="U3906">
        <v>-0.47364810000000002</v>
      </c>
      <c r="V3906">
        <v>3.3892940000000003E-2</v>
      </c>
      <c r="W3906">
        <v>9.2973059999999996E-2</v>
      </c>
      <c r="X3906">
        <v>0.99509159999999997</v>
      </c>
      <c r="Y3906">
        <v>0.15907109999999999</v>
      </c>
      <c r="Z3906">
        <v>-2.017072E-2</v>
      </c>
      <c r="AA3906">
        <v>0.98706099999999997</v>
      </c>
      <c r="AB3906">
        <v>22</v>
      </c>
      <c r="AC3906">
        <v>0.61480000000000201</v>
      </c>
      <c r="AD3906">
        <v>-0.19103039999999999</v>
      </c>
      <c r="AE3906">
        <v>-0.13149999999998799</v>
      </c>
      <c r="AF3906">
        <v>0.126081767903512</v>
      </c>
      <c r="AG3906">
        <v>-0.19103039999999999</v>
      </c>
      <c r="AH3906">
        <v>0.56158864897417005</v>
      </c>
      <c r="AI3906">
        <v>108.360952569227</v>
      </c>
      <c r="AJ3906">
        <v>77.346389968162697</v>
      </c>
      <c r="AK3906">
        <v>0.60644128864917302</v>
      </c>
      <c r="AL3906">
        <v>84.665331713472995</v>
      </c>
      <c r="AM3906">
        <v>88.049252949733102</v>
      </c>
      <c r="AN3906">
        <v>1.00000000682908</v>
      </c>
    </row>
    <row r="3907" spans="1:40" x14ac:dyDescent="0.25">
      <c r="A3907" t="str">
        <f>"20190312172154678"</f>
        <v>20190312172154678</v>
      </c>
      <c r="B3907" t="str">
        <f>"1552382514674931"</f>
        <v>1552382514674931</v>
      </c>
      <c r="C3907" t="s">
        <v>40</v>
      </c>
      <c r="D3907">
        <v>3.191522</v>
      </c>
      <c r="E3907">
        <v>0.55182319999999996</v>
      </c>
      <c r="F3907" t="s">
        <v>41</v>
      </c>
      <c r="G3907">
        <v>-402.48430000000002</v>
      </c>
      <c r="H3907">
        <v>0.9259579</v>
      </c>
      <c r="I3907">
        <v>213.66120000000001</v>
      </c>
      <c r="J3907">
        <v>-403.16910000000001</v>
      </c>
      <c r="K3907">
        <v>1.11026</v>
      </c>
      <c r="L3907">
        <v>213.7893</v>
      </c>
      <c r="M3907">
        <v>0.99986260000000005</v>
      </c>
      <c r="N3907">
        <v>0</v>
      </c>
      <c r="O3907">
        <v>1.007444E-2</v>
      </c>
      <c r="P3907">
        <v>0.99637560000000003</v>
      </c>
      <c r="Q3907">
        <v>8.1606620000000005E-2</v>
      </c>
      <c r="R3907">
        <v>-2.4008580000000002E-2</v>
      </c>
      <c r="S3907">
        <v>3.0543819999999999</v>
      </c>
      <c r="T3907">
        <v>-0.68817130000000004</v>
      </c>
      <c r="U3907">
        <v>-0.47235110000000002</v>
      </c>
      <c r="V3907">
        <v>3.4062240000000001E-2</v>
      </c>
      <c r="W3907">
        <v>9.4713900000000004E-2</v>
      </c>
      <c r="X3907">
        <v>0.99492159999999996</v>
      </c>
      <c r="Y3907">
        <v>0.15864610000000001</v>
      </c>
      <c r="Z3907">
        <v>-1.977978E-2</v>
      </c>
      <c r="AA3907">
        <v>0.98713740000000005</v>
      </c>
      <c r="AB3907">
        <v>22</v>
      </c>
      <c r="AC3907">
        <v>0.68479999999999497</v>
      </c>
      <c r="AD3907">
        <v>-0.1843021</v>
      </c>
      <c r="AE3907">
        <v>-0.128099999999989</v>
      </c>
      <c r="AF3907">
        <v>0.126163688798829</v>
      </c>
      <c r="AG3907">
        <v>-0.1843021</v>
      </c>
      <c r="AH3907">
        <v>0.63877111963266697</v>
      </c>
      <c r="AI3907">
        <v>105.804578400556</v>
      </c>
      <c r="AJ3907">
        <v>78.827311872791498</v>
      </c>
      <c r="AK3907">
        <v>0.67669275429289799</v>
      </c>
      <c r="AL3907">
        <v>84.565146620875595</v>
      </c>
      <c r="AM3907">
        <v>88.039181557073505</v>
      </c>
      <c r="AN3907">
        <v>0.99999997459679302</v>
      </c>
    </row>
    <row r="3908" spans="1:40" x14ac:dyDescent="0.25">
      <c r="A3908" t="str">
        <f>"20190312172154699"</f>
        <v>20190312172154699</v>
      </c>
      <c r="B3908" t="str">
        <f>"1552382514694451"</f>
        <v>1552382514694451</v>
      </c>
      <c r="C3908" t="s">
        <v>40</v>
      </c>
      <c r="D3908">
        <v>3.14764</v>
      </c>
      <c r="E3908">
        <v>0.55195079999999996</v>
      </c>
      <c r="F3908" t="s">
        <v>41</v>
      </c>
      <c r="G3908">
        <v>-402.4717</v>
      </c>
      <c r="H3908">
        <v>0.95448789999999994</v>
      </c>
      <c r="I3908">
        <v>213.6807</v>
      </c>
      <c r="J3908">
        <v>-402.97430000000003</v>
      </c>
      <c r="K3908">
        <v>1.1102810000000001</v>
      </c>
      <c r="L3908">
        <v>213.7912</v>
      </c>
      <c r="M3908">
        <v>0.99986339999999996</v>
      </c>
      <c r="N3908">
        <v>0</v>
      </c>
      <c r="O3908">
        <v>9.9920400000000006E-3</v>
      </c>
      <c r="P3908">
        <v>0.99610430000000005</v>
      </c>
      <c r="Q3908">
        <v>8.4919889999999998E-2</v>
      </c>
      <c r="R3908">
        <v>-2.377978E-2</v>
      </c>
      <c r="S3908">
        <v>3.0553889999999999</v>
      </c>
      <c r="T3908">
        <v>-0.68257369999999995</v>
      </c>
      <c r="U3908">
        <v>-0.47442630000000002</v>
      </c>
      <c r="V3908">
        <v>3.3749630000000003E-2</v>
      </c>
      <c r="W3908">
        <v>9.802247E-2</v>
      </c>
      <c r="X3908">
        <v>0.99461169999999999</v>
      </c>
      <c r="Y3908">
        <v>0.1592277</v>
      </c>
      <c r="Z3908">
        <v>-1.9661209999999998E-2</v>
      </c>
      <c r="AA3908">
        <v>0.98704610000000004</v>
      </c>
      <c r="AB3908">
        <v>22</v>
      </c>
      <c r="AC3908">
        <v>0.50260000000002902</v>
      </c>
      <c r="AD3908">
        <v>-0.15579309999999899</v>
      </c>
      <c r="AE3908">
        <v>-0.110500000000001</v>
      </c>
      <c r="AF3908">
        <v>0.10581826896406001</v>
      </c>
      <c r="AG3908">
        <v>-0.15579309999999899</v>
      </c>
      <c r="AH3908">
        <v>0.45936786980607203</v>
      </c>
      <c r="AI3908">
        <v>108.288278562876</v>
      </c>
      <c r="AJ3908">
        <v>77.027849820540098</v>
      </c>
      <c r="AK3908">
        <v>0.49647541315187899</v>
      </c>
      <c r="AL3908">
        <v>84.374692804653094</v>
      </c>
      <c r="AM3908">
        <v>88.056558448875805</v>
      </c>
      <c r="AN3908">
        <v>0.99999993796346198</v>
      </c>
    </row>
    <row r="3909" spans="1:40" x14ac:dyDescent="0.25">
      <c r="A3909" t="str">
        <f>"20190312172154721"</f>
        <v>20190312172154721</v>
      </c>
      <c r="B3909" t="str">
        <f>"1552382514714947"</f>
        <v>1552382514714947</v>
      </c>
      <c r="C3909" t="s">
        <v>40</v>
      </c>
      <c r="D3909">
        <v>3.370584</v>
      </c>
      <c r="E3909">
        <v>0.55202289999999998</v>
      </c>
      <c r="F3909" t="s">
        <v>41</v>
      </c>
      <c r="G3909">
        <v>-402.27069999999998</v>
      </c>
      <c r="H3909">
        <v>0.95570560000000004</v>
      </c>
      <c r="I3909">
        <v>213.68190000000001</v>
      </c>
      <c r="J3909">
        <v>-402.74930000000001</v>
      </c>
      <c r="K3909">
        <v>1.110298</v>
      </c>
      <c r="L3909">
        <v>213.79329999999999</v>
      </c>
      <c r="M3909">
        <v>0.99986450000000004</v>
      </c>
      <c r="N3909">
        <v>0</v>
      </c>
      <c r="O3909">
        <v>9.8967759999999995E-3</v>
      </c>
      <c r="P3909">
        <v>0.99574739999999995</v>
      </c>
      <c r="Q3909">
        <v>8.8869359999999994E-2</v>
      </c>
      <c r="R3909">
        <v>-2.4288489999999999E-2</v>
      </c>
      <c r="S3909">
        <v>3.0576479999999999</v>
      </c>
      <c r="T3909">
        <v>-0.67166169999999903</v>
      </c>
      <c r="U3909">
        <v>-0.47431950000000001</v>
      </c>
      <c r="V3909">
        <v>3.416102E-2</v>
      </c>
      <c r="W3909">
        <v>0.1019656</v>
      </c>
      <c r="X3909">
        <v>0.99420120000000001</v>
      </c>
      <c r="Y3909">
        <v>0.15912750000000001</v>
      </c>
      <c r="Z3909">
        <v>-1.930902E-2</v>
      </c>
      <c r="AA3909">
        <v>0.98706919999999998</v>
      </c>
      <c r="AB3909">
        <v>22</v>
      </c>
      <c r="AC3909">
        <v>0.478600000000028</v>
      </c>
      <c r="AD3909">
        <v>-0.15459239999999899</v>
      </c>
      <c r="AE3909">
        <v>-0.11139999999997401</v>
      </c>
      <c r="AF3909">
        <v>0.10567279421407499</v>
      </c>
      <c r="AG3909">
        <v>-0.15459239999999899</v>
      </c>
      <c r="AH3909">
        <v>0.43447286727173001</v>
      </c>
      <c r="AI3909">
        <v>109.07214465963099</v>
      </c>
      <c r="AJ3909">
        <v>76.329912440041099</v>
      </c>
      <c r="AK3909">
        <v>0.47310910155067698</v>
      </c>
      <c r="AL3909">
        <v>84.147630220276298</v>
      </c>
      <c r="AM3909">
        <v>88.032075860563097</v>
      </c>
      <c r="AN3909">
        <v>0.99999999247612004</v>
      </c>
    </row>
    <row r="3910" spans="1:40" x14ac:dyDescent="0.25">
      <c r="A3910" t="str">
        <f>"20190312172154744"</f>
        <v>20190312172154744</v>
      </c>
      <c r="B3910" t="str">
        <f>"1552382514734470"</f>
        <v>1552382514734470</v>
      </c>
      <c r="C3910" t="s">
        <v>40</v>
      </c>
      <c r="D3910">
        <v>3.1910720000000001</v>
      </c>
      <c r="E3910">
        <v>0.55211509999999997</v>
      </c>
      <c r="F3910" t="s">
        <v>41</v>
      </c>
      <c r="G3910">
        <v>-401.88389999999998</v>
      </c>
      <c r="H3910">
        <v>0.92392790000000002</v>
      </c>
      <c r="I3910">
        <v>213.6583</v>
      </c>
      <c r="J3910">
        <v>-402.51429999999999</v>
      </c>
      <c r="K3910">
        <v>1.1103080000000001</v>
      </c>
      <c r="L3910">
        <v>213.7955</v>
      </c>
      <c r="M3910">
        <v>0.99986540000000002</v>
      </c>
      <c r="N3910">
        <v>0</v>
      </c>
      <c r="O3910">
        <v>9.7969359999999991E-3</v>
      </c>
      <c r="P3910">
        <v>0.99557949999999995</v>
      </c>
      <c r="Q3910">
        <v>9.0644230000000006E-2</v>
      </c>
      <c r="R3910">
        <v>-2.460217E-2</v>
      </c>
      <c r="S3910">
        <v>3.0599980000000002</v>
      </c>
      <c r="T3910">
        <v>-0.65904180000000001</v>
      </c>
      <c r="U3910">
        <v>-0.47708129999999999</v>
      </c>
      <c r="V3910">
        <v>3.4374309999999998E-2</v>
      </c>
      <c r="W3910">
        <v>0.1037367</v>
      </c>
      <c r="X3910">
        <v>0.99401059999999997</v>
      </c>
      <c r="Y3910">
        <v>0.1599197</v>
      </c>
      <c r="Z3910">
        <v>-1.9001690000000002E-2</v>
      </c>
      <c r="AA3910">
        <v>0.98694709999999997</v>
      </c>
      <c r="AB3910">
        <v>22</v>
      </c>
      <c r="AC3910">
        <v>0.63040000000000795</v>
      </c>
      <c r="AD3910">
        <v>-0.18638009999999999</v>
      </c>
      <c r="AE3910">
        <v>-0.13720000000000701</v>
      </c>
      <c r="AF3910">
        <v>0.13232625771883599</v>
      </c>
      <c r="AG3910">
        <v>-0.18638009999999999</v>
      </c>
      <c r="AH3910">
        <v>0.58057211787095397</v>
      </c>
      <c r="AI3910">
        <v>107.380181112717</v>
      </c>
      <c r="AJ3910">
        <v>77.160262309083805</v>
      </c>
      <c r="AK3910">
        <v>0.62394852688907498</v>
      </c>
      <c r="AL3910">
        <v>84.045612579032706</v>
      </c>
      <c r="AM3910">
        <v>88.019419152934404</v>
      </c>
      <c r="AN3910">
        <v>0.99999998451361205</v>
      </c>
    </row>
    <row r="3911" spans="1:40" x14ac:dyDescent="0.25">
      <c r="A3911" t="str">
        <f>"20190312172154766"</f>
        <v>20190312172154766</v>
      </c>
      <c r="B3911" t="str">
        <f>"1552382514764724"</f>
        <v>1552382514764724</v>
      </c>
      <c r="C3911" t="s">
        <v>40</v>
      </c>
      <c r="D3911">
        <v>3.1048460000000002</v>
      </c>
      <c r="E3911">
        <v>0.55229030000000001</v>
      </c>
      <c r="F3911" t="s">
        <v>41</v>
      </c>
      <c r="G3911">
        <v>-401.6807</v>
      </c>
      <c r="H3911">
        <v>0.93216960000000004</v>
      </c>
      <c r="I3911">
        <v>213.66499999999999</v>
      </c>
      <c r="J3911">
        <v>-402.2978</v>
      </c>
      <c r="K3911">
        <v>1.1103099999999999</v>
      </c>
      <c r="L3911">
        <v>213.79750000000001</v>
      </c>
      <c r="M3911">
        <v>0.99986620000000004</v>
      </c>
      <c r="N3911">
        <v>0</v>
      </c>
      <c r="O3911">
        <v>9.7058649999999993E-3</v>
      </c>
      <c r="P3911">
        <v>0.99552160000000001</v>
      </c>
      <c r="Q3911">
        <v>9.1162460000000001E-2</v>
      </c>
      <c r="R3911">
        <v>-2.5026509999999998E-2</v>
      </c>
      <c r="S3911">
        <v>3.0610659999999998</v>
      </c>
      <c r="T3911">
        <v>-0.65429820000000005</v>
      </c>
      <c r="U3911">
        <v>-0.47866819999999999</v>
      </c>
      <c r="V3911">
        <v>3.4707450000000001E-2</v>
      </c>
      <c r="W3911">
        <v>0.1042527</v>
      </c>
      <c r="X3911">
        <v>0.99394510000000003</v>
      </c>
      <c r="Y3911">
        <v>0.16032679999999999</v>
      </c>
      <c r="Z3911">
        <v>-1.8884430000000001E-2</v>
      </c>
      <c r="AA3911">
        <v>0.98688330000000002</v>
      </c>
      <c r="AB3911">
        <v>22</v>
      </c>
      <c r="AC3911">
        <v>0.61709999999999299</v>
      </c>
      <c r="AD3911">
        <v>-0.1781404</v>
      </c>
      <c r="AE3911">
        <v>-0.13250000000002099</v>
      </c>
      <c r="AF3911">
        <v>0.128266103171634</v>
      </c>
      <c r="AG3911">
        <v>-0.1781404</v>
      </c>
      <c r="AH3911">
        <v>0.57035071596139797</v>
      </c>
      <c r="AI3911">
        <v>106.94724237574501</v>
      </c>
      <c r="AJ3911">
        <v>77.325622124184804</v>
      </c>
      <c r="AK3911">
        <v>0.61113511970158896</v>
      </c>
      <c r="AL3911">
        <v>84.015887154650599</v>
      </c>
      <c r="AM3911">
        <v>88.000108109253006</v>
      </c>
      <c r="AN3911">
        <v>1.0000000471784001</v>
      </c>
    </row>
    <row r="3912" spans="1:40" x14ac:dyDescent="0.25">
      <c r="A3912" t="str">
        <f>"20190312172154789"</f>
        <v>20190312172154789</v>
      </c>
      <c r="B3912" t="str">
        <f>"1552382514784243"</f>
        <v>1552382514784243</v>
      </c>
      <c r="C3912" t="s">
        <v>40</v>
      </c>
      <c r="D3912">
        <v>3.4192130000000001</v>
      </c>
      <c r="E3912">
        <v>0.55240500000000003</v>
      </c>
      <c r="F3912" t="s">
        <v>41</v>
      </c>
      <c r="G3912">
        <v>-401.4796</v>
      </c>
      <c r="H3912">
        <v>0.93550679999999997</v>
      </c>
      <c r="I3912">
        <v>213.66849999999999</v>
      </c>
      <c r="J3912">
        <v>-402.07150000000001</v>
      </c>
      <c r="K3912">
        <v>1.110309</v>
      </c>
      <c r="L3912">
        <v>213.7996</v>
      </c>
      <c r="M3912">
        <v>0.99986710000000001</v>
      </c>
      <c r="N3912">
        <v>0</v>
      </c>
      <c r="O3912">
        <v>9.6111059999999995E-3</v>
      </c>
      <c r="P3912">
        <v>0.99555649999999996</v>
      </c>
      <c r="Q3912">
        <v>9.067509E-2</v>
      </c>
      <c r="R3912">
        <v>-2.539833E-2</v>
      </c>
      <c r="S3912">
        <v>3.0612789999999999</v>
      </c>
      <c r="T3912">
        <v>-0.65399359999999995</v>
      </c>
      <c r="U3912">
        <v>-0.48185729999999999</v>
      </c>
      <c r="V3912">
        <v>3.4985330000000002E-2</v>
      </c>
      <c r="W3912">
        <v>0.1037646</v>
      </c>
      <c r="X3912">
        <v>0.99398640000000005</v>
      </c>
      <c r="Y3912">
        <v>0.16121340000000001</v>
      </c>
      <c r="Z3912">
        <v>-1.8946279999999999E-2</v>
      </c>
      <c r="AA3912">
        <v>0.98673770000000005</v>
      </c>
      <c r="AB3912">
        <v>22</v>
      </c>
      <c r="AC3912">
        <v>0.59190000000000897</v>
      </c>
      <c r="AD3912">
        <v>-0.17480219999999899</v>
      </c>
      <c r="AE3912">
        <v>-0.13110000000000299</v>
      </c>
      <c r="AF3912">
        <v>0.126284274847212</v>
      </c>
      <c r="AG3912">
        <v>-0.17480219999999899</v>
      </c>
      <c r="AH3912">
        <v>0.54527930048222295</v>
      </c>
      <c r="AI3912">
        <v>107.34397827279101</v>
      </c>
      <c r="AJ3912">
        <v>76.9604390472619</v>
      </c>
      <c r="AK3912">
        <v>0.58637278478192401</v>
      </c>
      <c r="AL3912">
        <v>84.0440055320921</v>
      </c>
      <c r="AM3912">
        <v>87.984193123705793</v>
      </c>
      <c r="AN3912">
        <v>1.0000000144566601</v>
      </c>
    </row>
    <row r="3913" spans="1:40" x14ac:dyDescent="0.25">
      <c r="A3913" t="str">
        <f>"20190312172154812"</f>
        <v>20190312172154812</v>
      </c>
      <c r="B3913" t="str">
        <f>"1552382514804739"</f>
        <v>1552382514804739</v>
      </c>
      <c r="C3913" t="s">
        <v>40</v>
      </c>
      <c r="D3913">
        <v>3.1362369999999999</v>
      </c>
      <c r="E3913">
        <v>0.55250600000000005</v>
      </c>
      <c r="F3913" t="s">
        <v>41</v>
      </c>
      <c r="G3913">
        <v>-401.27800000000002</v>
      </c>
      <c r="H3913">
        <v>0.94029320000000005</v>
      </c>
      <c r="I3913">
        <v>213.67359999999999</v>
      </c>
      <c r="J3913">
        <v>-401.83679999999998</v>
      </c>
      <c r="K3913">
        <v>1.110309</v>
      </c>
      <c r="L3913">
        <v>213.80179999999999</v>
      </c>
      <c r="M3913">
        <v>0.99986819999999998</v>
      </c>
      <c r="N3913">
        <v>0</v>
      </c>
      <c r="O3913">
        <v>9.513133E-3</v>
      </c>
      <c r="P3913">
        <v>0.99555680000000002</v>
      </c>
      <c r="Q3913">
        <v>9.0534870000000003E-2</v>
      </c>
      <c r="R3913">
        <v>-2.5896309999999999E-2</v>
      </c>
      <c r="S3913">
        <v>3.0607600000000001</v>
      </c>
      <c r="T3913">
        <v>-0.65586630000000001</v>
      </c>
      <c r="U3913">
        <v>-0.48448180000000002</v>
      </c>
      <c r="V3913">
        <v>3.5385609999999998E-2</v>
      </c>
      <c r="W3913">
        <v>0.1036228</v>
      </c>
      <c r="X3913">
        <v>0.99398699999999995</v>
      </c>
      <c r="Y3913">
        <v>0.1619322</v>
      </c>
      <c r="Z3913">
        <v>-1.905629E-2</v>
      </c>
      <c r="AA3913">
        <v>0.98661790000000005</v>
      </c>
      <c r="AB3913">
        <v>22</v>
      </c>
      <c r="AC3913">
        <v>0.55879999999996199</v>
      </c>
      <c r="AD3913">
        <v>-0.17001579999999999</v>
      </c>
      <c r="AE3913">
        <v>-0.12819999999999199</v>
      </c>
      <c r="AF3913">
        <v>0.122718665690372</v>
      </c>
      <c r="AG3913">
        <v>-0.17001579999999999</v>
      </c>
      <c r="AH3913">
        <v>0.51248672271132201</v>
      </c>
      <c r="AI3913">
        <v>107.881050885039</v>
      </c>
      <c r="AJ3913">
        <v>76.533673507413297</v>
      </c>
      <c r="AK3913">
        <v>0.55372184724269002</v>
      </c>
      <c r="AL3913">
        <v>84.052173968743105</v>
      </c>
      <c r="AM3913">
        <v>87.961150122030801</v>
      </c>
      <c r="AN3913">
        <v>0.99999999112195603</v>
      </c>
    </row>
    <row r="3914" spans="1:40" x14ac:dyDescent="0.25">
      <c r="A3914" t="str">
        <f>"20190312172154834"</f>
        <v>20190312172154834</v>
      </c>
      <c r="B3914" t="str">
        <f>"1552382514824259"</f>
        <v>1552382514824259</v>
      </c>
      <c r="C3914" t="s">
        <v>40</v>
      </c>
      <c r="D3914">
        <v>3.407575</v>
      </c>
      <c r="E3914">
        <v>0.55264309999999905</v>
      </c>
      <c r="F3914" t="s">
        <v>41</v>
      </c>
      <c r="G3914">
        <v>-401.07569999999998</v>
      </c>
      <c r="H3914">
        <v>0.94698020000000005</v>
      </c>
      <c r="I3914">
        <v>213.6806</v>
      </c>
      <c r="J3914">
        <v>-401.62009999999998</v>
      </c>
      <c r="K3914">
        <v>1.1103000000000001</v>
      </c>
      <c r="L3914">
        <v>213.80369999999999</v>
      </c>
      <c r="M3914">
        <v>0.99986900000000001</v>
      </c>
      <c r="N3914">
        <v>0</v>
      </c>
      <c r="O3914">
        <v>9.4230310000000001E-3</v>
      </c>
      <c r="P3914">
        <v>0.99566100000000002</v>
      </c>
      <c r="Q3914">
        <v>8.9320730000000001E-2</v>
      </c>
      <c r="R3914">
        <v>-2.6101349999999999E-2</v>
      </c>
      <c r="S3914">
        <v>3.0604550000000001</v>
      </c>
      <c r="T3914">
        <v>-0.65678419999999904</v>
      </c>
      <c r="U3914">
        <v>-0.48721310000000001</v>
      </c>
      <c r="V3914">
        <v>3.5501629999999999E-2</v>
      </c>
      <c r="W3914">
        <v>0.1024091</v>
      </c>
      <c r="X3914">
        <v>0.99410869999999996</v>
      </c>
      <c r="Y3914">
        <v>0.1626918</v>
      </c>
      <c r="Z3914">
        <v>-1.9144029999999999E-2</v>
      </c>
      <c r="AA3914">
        <v>0.98649120000000001</v>
      </c>
      <c r="AB3914">
        <v>22</v>
      </c>
      <c r="AC3914">
        <v>0.544399999999996</v>
      </c>
      <c r="AD3914">
        <v>-0.16331979999999999</v>
      </c>
      <c r="AE3914">
        <v>-0.12309999999999301</v>
      </c>
      <c r="AF3914">
        <v>0.118111910870923</v>
      </c>
      <c r="AG3914">
        <v>-0.16331979999999999</v>
      </c>
      <c r="AH3914">
        <v>0.50037287800983399</v>
      </c>
      <c r="AI3914">
        <v>107.623293118793</v>
      </c>
      <c r="AJ3914">
        <v>76.718570144832</v>
      </c>
      <c r="AK3914">
        <v>0.53944119013055103</v>
      </c>
      <c r="AL3914">
        <v>84.122086151292805</v>
      </c>
      <c r="AM3914">
        <v>87.954721148757997</v>
      </c>
      <c r="AN3914">
        <v>1.00000004845557</v>
      </c>
    </row>
    <row r="3915" spans="1:40" x14ac:dyDescent="0.25">
      <c r="A3915" t="str">
        <f>"20190312172154856"</f>
        <v>20190312172154856</v>
      </c>
      <c r="B3915" t="str">
        <f>"1552382514844755"</f>
        <v>1552382514844755</v>
      </c>
      <c r="C3915" t="s">
        <v>40</v>
      </c>
      <c r="D3915">
        <v>3.1846320000000001</v>
      </c>
      <c r="E3915">
        <v>0.55272779999999999</v>
      </c>
      <c r="F3915" t="s">
        <v>41</v>
      </c>
      <c r="G3915">
        <v>-400.87560000000002</v>
      </c>
      <c r="H3915">
        <v>0.94943639999999996</v>
      </c>
      <c r="I3915">
        <v>213.68440000000001</v>
      </c>
      <c r="J3915">
        <v>-401.39819999999997</v>
      </c>
      <c r="K3915">
        <v>1.1102970000000001</v>
      </c>
      <c r="L3915">
        <v>213.8057</v>
      </c>
      <c r="M3915">
        <v>0.99986980000000003</v>
      </c>
      <c r="N3915">
        <v>0</v>
      </c>
      <c r="O3915">
        <v>9.3311369999999998E-3</v>
      </c>
      <c r="P3915">
        <v>0.9956798</v>
      </c>
      <c r="Q3915">
        <v>8.9044590000000007E-2</v>
      </c>
      <c r="R3915">
        <v>-2.631841E-2</v>
      </c>
      <c r="S3915">
        <v>3.0595400000000001</v>
      </c>
      <c r="T3915">
        <v>-0.66104010000000002</v>
      </c>
      <c r="U3915">
        <v>-0.4893188</v>
      </c>
      <c r="V3915">
        <v>3.5627359999999997E-2</v>
      </c>
      <c r="W3915">
        <v>0.1021321</v>
      </c>
      <c r="X3915">
        <v>0.99413260000000003</v>
      </c>
      <c r="Y3915">
        <v>0.1632477</v>
      </c>
      <c r="Z3915">
        <v>-1.9309400000000001E-2</v>
      </c>
      <c r="AA3915">
        <v>0.9863961</v>
      </c>
      <c r="AB3915">
        <v>22</v>
      </c>
      <c r="AC3915">
        <v>0.52259999999995399</v>
      </c>
      <c r="AD3915">
        <v>-0.16086059999999899</v>
      </c>
      <c r="AE3915">
        <v>-0.12129999999999</v>
      </c>
      <c r="AF3915">
        <v>0.11576411192625</v>
      </c>
      <c r="AG3915">
        <v>-0.16086059999999899</v>
      </c>
      <c r="AH3915">
        <v>0.47843296754409098</v>
      </c>
      <c r="AI3915">
        <v>108.097058347423</v>
      </c>
      <c r="AJ3915">
        <v>76.397850928414599</v>
      </c>
      <c r="AK3915">
        <v>0.51785670477022805</v>
      </c>
      <c r="AL3915">
        <v>84.138040161338296</v>
      </c>
      <c r="AM3915">
        <v>87.947533224323607</v>
      </c>
      <c r="AN3915">
        <v>0.99999995050686796</v>
      </c>
    </row>
    <row r="3916" spans="1:40" x14ac:dyDescent="0.25">
      <c r="A3916" t="str">
        <f>"20190312172154876"</f>
        <v>20190312172154876</v>
      </c>
      <c r="B3916" t="str">
        <f>"1552382514874034"</f>
        <v>1552382514874034</v>
      </c>
      <c r="C3916" t="s">
        <v>40</v>
      </c>
      <c r="D3916">
        <v>3.1856610000000001</v>
      </c>
      <c r="E3916">
        <v>0.55285299999999904</v>
      </c>
      <c r="F3916" t="s">
        <v>41</v>
      </c>
      <c r="G3916">
        <v>-400.67469999999997</v>
      </c>
      <c r="H3916">
        <v>0.95370730000000004</v>
      </c>
      <c r="I3916">
        <v>213.68950000000001</v>
      </c>
      <c r="J3916">
        <v>-401.19130000000001</v>
      </c>
      <c r="K3916">
        <v>1.1102959999999999</v>
      </c>
      <c r="L3916">
        <v>213.8075</v>
      </c>
      <c r="M3916">
        <v>0.9998707</v>
      </c>
      <c r="N3916">
        <v>0</v>
      </c>
      <c r="O3916">
        <v>9.2453819999999999E-3</v>
      </c>
      <c r="P3916">
        <v>0.99573809999999996</v>
      </c>
      <c r="Q3916">
        <v>8.8654849999999993E-2</v>
      </c>
      <c r="R3916">
        <v>-2.5418199999999998E-2</v>
      </c>
      <c r="S3916">
        <v>3.0592649999999999</v>
      </c>
      <c r="T3916">
        <v>-0.66214259999999903</v>
      </c>
      <c r="U3916">
        <v>-0.49064639999999998</v>
      </c>
      <c r="V3916">
        <v>3.4642289999999999E-2</v>
      </c>
      <c r="W3916">
        <v>0.1017422</v>
      </c>
      <c r="X3916">
        <v>0.99420739999999996</v>
      </c>
      <c r="Y3916">
        <v>0.16357569999999999</v>
      </c>
      <c r="Z3916">
        <v>-1.935856E-2</v>
      </c>
      <c r="AA3916">
        <v>0.98634080000000002</v>
      </c>
      <c r="AB3916">
        <v>22</v>
      </c>
      <c r="AC3916">
        <v>0.51660000000003903</v>
      </c>
      <c r="AD3916">
        <v>-0.156588699999999</v>
      </c>
      <c r="AE3916">
        <v>-0.117999999999994</v>
      </c>
      <c r="AF3916">
        <v>0.11291183003164</v>
      </c>
      <c r="AG3916">
        <v>-0.156588699999999</v>
      </c>
      <c r="AH3916">
        <v>0.474088445653223</v>
      </c>
      <c r="AI3916">
        <v>107.81258520975</v>
      </c>
      <c r="AJ3916">
        <v>76.603656161180695</v>
      </c>
      <c r="AK3916">
        <v>0.51188764063090397</v>
      </c>
      <c r="AL3916">
        <v>84.160496816046702</v>
      </c>
      <c r="AM3916">
        <v>88.004385891798194</v>
      </c>
      <c r="AN3916">
        <v>0.999999958866021</v>
      </c>
    </row>
    <row r="3917" spans="1:40" x14ac:dyDescent="0.25">
      <c r="A3917" t="str">
        <f>"20190312172154901"</f>
        <v>20190312172154901</v>
      </c>
      <c r="B3917" t="str">
        <f>"1552382514894530"</f>
        <v>1552382514894530</v>
      </c>
      <c r="C3917" t="s">
        <v>40</v>
      </c>
      <c r="D3917">
        <v>3.1491410000000002</v>
      </c>
      <c r="E3917">
        <v>0.55293979999999998</v>
      </c>
      <c r="F3917" t="s">
        <v>41</v>
      </c>
      <c r="G3917">
        <v>-400.47539999999998</v>
      </c>
      <c r="H3917">
        <v>0.95491340000000002</v>
      </c>
      <c r="I3917">
        <v>213.69280000000001</v>
      </c>
      <c r="J3917">
        <v>-400.9624</v>
      </c>
      <c r="K3917">
        <v>1.1103000000000001</v>
      </c>
      <c r="L3917">
        <v>213.80950000000001</v>
      </c>
      <c r="M3917">
        <v>0.99987150000000002</v>
      </c>
      <c r="N3917">
        <v>0</v>
      </c>
      <c r="O3917">
        <v>9.1507480000000002E-3</v>
      </c>
      <c r="P3917">
        <v>0.9957319</v>
      </c>
      <c r="Q3917">
        <v>8.9011460000000001E-2</v>
      </c>
      <c r="R3917">
        <v>-2.439088E-2</v>
      </c>
      <c r="S3917">
        <v>3.0594790000000001</v>
      </c>
      <c r="T3917">
        <v>-0.66408889999999998</v>
      </c>
      <c r="U3917">
        <v>-0.48944090000000001</v>
      </c>
      <c r="V3917">
        <v>3.3520630000000003E-2</v>
      </c>
      <c r="W3917">
        <v>0.10209790000000001</v>
      </c>
      <c r="X3917">
        <v>0.99420940000000002</v>
      </c>
      <c r="Y3917">
        <v>0.16308349999999999</v>
      </c>
      <c r="Z3917">
        <v>-1.934079E-2</v>
      </c>
      <c r="AA3917">
        <v>0.98642269999999999</v>
      </c>
      <c r="AB3917">
        <v>22</v>
      </c>
      <c r="AC3917">
        <v>0.48700000000002303</v>
      </c>
      <c r="AD3917">
        <v>-0.15538660000000001</v>
      </c>
      <c r="AE3917">
        <v>-0.11670000000000801</v>
      </c>
      <c r="AF3917">
        <v>0.11051218074777699</v>
      </c>
      <c r="AG3917">
        <v>-0.15538660000000001</v>
      </c>
      <c r="AH3917">
        <v>0.44323817454990599</v>
      </c>
      <c r="AI3917">
        <v>108.78613634446</v>
      </c>
      <c r="AJ3917">
        <v>75.9999401349408</v>
      </c>
      <c r="AK3917">
        <v>0.48251219355734698</v>
      </c>
      <c r="AL3917">
        <v>84.140010103037596</v>
      </c>
      <c r="AM3917">
        <v>88.068954717521606</v>
      </c>
      <c r="AN3917">
        <v>0.99999997243418304</v>
      </c>
    </row>
    <row r="3918" spans="1:40" x14ac:dyDescent="0.25">
      <c r="A3918" t="str">
        <f>"20190312172154933"</f>
        <v>20190312172154933</v>
      </c>
      <c r="B3918" t="str">
        <f>"1552382514924789"</f>
        <v>1552382514924789</v>
      </c>
      <c r="C3918" t="s">
        <v>40</v>
      </c>
      <c r="D3918">
        <v>3.1564830000000001</v>
      </c>
      <c r="E3918">
        <v>0.55818829999999997</v>
      </c>
      <c r="F3918" t="s">
        <v>41</v>
      </c>
      <c r="G3918">
        <v>-400.09249999999997</v>
      </c>
      <c r="H3918">
        <v>0.92172929999999997</v>
      </c>
      <c r="I3918">
        <v>213.67080000000001</v>
      </c>
      <c r="J3918">
        <v>-400.6293</v>
      </c>
      <c r="K3918">
        <v>1.110317</v>
      </c>
      <c r="L3918">
        <v>213.8124</v>
      </c>
      <c r="M3918">
        <v>0.99987289999999995</v>
      </c>
      <c r="N3918">
        <v>0</v>
      </c>
      <c r="O3918">
        <v>9.0124839999999994E-3</v>
      </c>
      <c r="P3918">
        <v>0.99555389999999999</v>
      </c>
      <c r="Q3918">
        <v>9.1275510000000004E-2</v>
      </c>
      <c r="R3918">
        <v>-2.3275609999999999E-2</v>
      </c>
      <c r="S3918">
        <v>3.0603030000000002</v>
      </c>
      <c r="T3918">
        <v>-0.66349769999999997</v>
      </c>
      <c r="U3918">
        <v>-0.48703000000000002</v>
      </c>
      <c r="V3918">
        <v>3.2266389999999999E-2</v>
      </c>
      <c r="W3918">
        <v>0.1043584</v>
      </c>
      <c r="X3918">
        <v>0.99401620000000002</v>
      </c>
      <c r="Y3918">
        <v>0.16217989999999999</v>
      </c>
      <c r="Z3918">
        <v>-1.9194369999999999E-2</v>
      </c>
      <c r="AA3918">
        <v>0.98657450000000002</v>
      </c>
      <c r="AB3918">
        <v>22</v>
      </c>
      <c r="AC3918">
        <v>0.53680000000002703</v>
      </c>
      <c r="AD3918">
        <v>-0.1885877</v>
      </c>
      <c r="AE3918">
        <v>-0.14159999999998199</v>
      </c>
      <c r="AF3918">
        <v>0.13128313845348399</v>
      </c>
      <c r="AG3918">
        <v>-0.1885877</v>
      </c>
      <c r="AH3918">
        <v>0.480100658312475</v>
      </c>
      <c r="AI3918">
        <v>110.751601371593</v>
      </c>
      <c r="AJ3918">
        <v>74.706388865571498</v>
      </c>
      <c r="AK3918">
        <v>0.53225672860524598</v>
      </c>
      <c r="AL3918">
        <v>84.009797495976002</v>
      </c>
      <c r="AM3918">
        <v>88.1407958470392</v>
      </c>
      <c r="AN3918">
        <v>1.0000000007183101</v>
      </c>
    </row>
    <row r="3919" spans="1:40" x14ac:dyDescent="0.25">
      <c r="A3919" t="str">
        <f>"20190312172155066"</f>
        <v>20190312172155066</v>
      </c>
      <c r="B3919" t="str">
        <f>"1552382515064355"</f>
        <v>1552382515064355</v>
      </c>
      <c r="C3919" t="s">
        <v>40</v>
      </c>
      <c r="D3919">
        <v>3.1141329999999998</v>
      </c>
      <c r="E3919">
        <v>0.4975502</v>
      </c>
      <c r="F3919" t="s">
        <v>41</v>
      </c>
      <c r="G3919">
        <v>-398.69630000000001</v>
      </c>
      <c r="H3919">
        <v>0.95465460000000002</v>
      </c>
      <c r="I3919">
        <v>213.7637</v>
      </c>
      <c r="J3919">
        <v>-399.31849999999997</v>
      </c>
      <c r="K3919">
        <v>1.110344</v>
      </c>
      <c r="L3919">
        <v>213.82329999999999</v>
      </c>
      <c r="M3919">
        <v>0.99987769999999998</v>
      </c>
      <c r="N3919">
        <v>0</v>
      </c>
      <c r="O3919">
        <v>8.4724499999999994E-3</v>
      </c>
      <c r="P3919">
        <v>0.99524460000000003</v>
      </c>
      <c r="Q3919">
        <v>9.5665570000000005E-2</v>
      </c>
      <c r="R3919">
        <v>-1.834769E-2</v>
      </c>
      <c r="S3919">
        <v>3.0657649999999999</v>
      </c>
      <c r="T3919">
        <v>-0.57258299999999995</v>
      </c>
      <c r="U3919">
        <v>-0.21257019999999999</v>
      </c>
      <c r="V3919">
        <v>2.6798599999999999E-2</v>
      </c>
      <c r="W3919">
        <v>0.1087402</v>
      </c>
      <c r="X3919">
        <v>0.99370890000000001</v>
      </c>
      <c r="Y3919">
        <v>7.6164309999999999E-2</v>
      </c>
      <c r="Z3919">
        <v>-8.6104839999999998E-3</v>
      </c>
      <c r="AA3919">
        <v>0.99705809999999995</v>
      </c>
      <c r="AB3919">
        <v>22</v>
      </c>
      <c r="AC3919">
        <v>0.622199999999963</v>
      </c>
      <c r="AD3919">
        <v>-0.15568939999999901</v>
      </c>
      <c r="AE3919">
        <v>-5.9599999999989002E-2</v>
      </c>
      <c r="AF3919">
        <v>6.1080282936367802E-2</v>
      </c>
      <c r="AG3919">
        <v>-0.15568939999999901</v>
      </c>
      <c r="AH3919">
        <v>0.58535556725421201</v>
      </c>
      <c r="AI3919">
        <v>104.81747835330999</v>
      </c>
      <c r="AJ3919">
        <v>84.042897739417299</v>
      </c>
      <c r="AK3919">
        <v>0.60877839182369697</v>
      </c>
      <c r="AL3919">
        <v>83.757301198615096</v>
      </c>
      <c r="AM3919">
        <v>88.455206950062006</v>
      </c>
      <c r="AN3919">
        <v>0.99999998699860404</v>
      </c>
    </row>
    <row r="3920" spans="1:40" x14ac:dyDescent="0.25">
      <c r="A3920" t="str">
        <f>"20190312172155089"</f>
        <v>20190312172155089</v>
      </c>
      <c r="B3920" t="str">
        <f>"1552382515084851"</f>
        <v>1552382515084851</v>
      </c>
      <c r="C3920" t="s">
        <v>40</v>
      </c>
      <c r="D3920">
        <v>3.130932</v>
      </c>
      <c r="E3920">
        <v>0.49576740000000002</v>
      </c>
      <c r="F3920" t="s">
        <v>46</v>
      </c>
      <c r="G3920">
        <v>-366.39929999999998</v>
      </c>
      <c r="H3920" s="1">
        <v>1.868599E-6</v>
      </c>
      <c r="I3920">
        <v>213.47649999999999</v>
      </c>
      <c r="J3920">
        <v>-399.09550000000002</v>
      </c>
      <c r="K3920">
        <v>1.110344</v>
      </c>
      <c r="L3920">
        <v>213.82509999999999</v>
      </c>
      <c r="M3920">
        <v>0.9998783</v>
      </c>
      <c r="N3920">
        <v>0</v>
      </c>
      <c r="O3920">
        <v>8.3889529999999993E-3</v>
      </c>
      <c r="P3920">
        <v>0.99534</v>
      </c>
      <c r="Q3920">
        <v>9.4775380000000006E-2</v>
      </c>
      <c r="R3920">
        <v>-1.7766580000000001E-2</v>
      </c>
      <c r="S3920">
        <v>3.0235289999999999</v>
      </c>
      <c r="T3920">
        <v>-0.10198160000000001</v>
      </c>
      <c r="U3920">
        <v>-3.184509E-2</v>
      </c>
      <c r="V3920">
        <v>2.6134080000000001E-2</v>
      </c>
      <c r="W3920">
        <v>0.1078514</v>
      </c>
      <c r="X3920">
        <v>0.99382349999999997</v>
      </c>
      <c r="Y3920">
        <v>1.8905160000000001E-2</v>
      </c>
      <c r="Z3920">
        <v>-6.0162059999999996E-4</v>
      </c>
      <c r="AA3920">
        <v>0.99982110000000002</v>
      </c>
      <c r="AB3920">
        <v>22</v>
      </c>
      <c r="AC3920">
        <v>32.696199999999997</v>
      </c>
      <c r="AD3920">
        <v>-1.110342131401</v>
      </c>
      <c r="AE3920">
        <v>-0.34860000000000402</v>
      </c>
      <c r="AF3920">
        <v>0.62218090548905902</v>
      </c>
      <c r="AG3920">
        <v>-1.110342131401</v>
      </c>
      <c r="AH3920">
        <v>32.654470541319597</v>
      </c>
      <c r="AI3920">
        <v>91.947111207738004</v>
      </c>
      <c r="AJ3920">
        <v>88.908448783093306</v>
      </c>
      <c r="AK3920">
        <v>32.679265828072602</v>
      </c>
      <c r="AL3920">
        <v>83.808527242193506</v>
      </c>
      <c r="AM3920">
        <v>88.4936686632266</v>
      </c>
      <c r="AN3920">
        <v>1.00000003188582</v>
      </c>
    </row>
    <row r="3921" spans="1:40" x14ac:dyDescent="0.25">
      <c r="A3921" t="str">
        <f>"20190312172155113"</f>
        <v>20190312172155113</v>
      </c>
      <c r="B3921" t="str">
        <f>"1552382515104371"</f>
        <v>1552382515104371</v>
      </c>
      <c r="C3921" t="s">
        <v>40</v>
      </c>
      <c r="D3921">
        <v>3.1207530000000001</v>
      </c>
      <c r="E3921">
        <v>0.49526890000000001</v>
      </c>
      <c r="F3921" t="s">
        <v>46</v>
      </c>
      <c r="G3921">
        <v>-361.00279999999998</v>
      </c>
      <c r="H3921" s="1">
        <v>-1.003162E-6</v>
      </c>
      <c r="I3921">
        <v>213.62139999999999</v>
      </c>
      <c r="J3921">
        <v>-398.86070000000001</v>
      </c>
      <c r="K3921">
        <v>1.1103559999999999</v>
      </c>
      <c r="L3921">
        <v>213.827</v>
      </c>
      <c r="M3921">
        <v>0.99987910000000002</v>
      </c>
      <c r="N3921">
        <v>0</v>
      </c>
      <c r="O3921">
        <v>8.3105090000000006E-3</v>
      </c>
      <c r="P3921">
        <v>0.99535110000000004</v>
      </c>
      <c r="Q3921">
        <v>9.4864119999999996E-2</v>
      </c>
      <c r="R3921">
        <v>-1.664208E-2</v>
      </c>
      <c r="S3921">
        <v>3.0221559999999998</v>
      </c>
      <c r="T3921">
        <v>-8.8091370000000002E-2</v>
      </c>
      <c r="U3921">
        <v>-1.6159059999999999E-2</v>
      </c>
      <c r="V3921">
        <v>2.4929929999999999E-2</v>
      </c>
      <c r="W3921">
        <v>0.1079396</v>
      </c>
      <c r="X3921">
        <v>0.99384479999999997</v>
      </c>
      <c r="Y3921">
        <v>1.364839E-2</v>
      </c>
      <c r="Z3921">
        <v>-4.4107759999999999E-4</v>
      </c>
      <c r="AA3921">
        <v>0.99990679999999998</v>
      </c>
      <c r="AB3921">
        <v>22</v>
      </c>
      <c r="AC3921">
        <v>37.857900000000001</v>
      </c>
      <c r="AD3921">
        <v>-1.11035700316199</v>
      </c>
      <c r="AE3921">
        <v>-0.205600000000003</v>
      </c>
      <c r="AF3921">
        <v>0.51979136706247597</v>
      </c>
      <c r="AG3921">
        <v>-1.11035700316199</v>
      </c>
      <c r="AH3921">
        <v>37.822348860341101</v>
      </c>
      <c r="AI3921">
        <v>91.681400101693498</v>
      </c>
      <c r="AJ3921">
        <v>89.212635446722302</v>
      </c>
      <c r="AK3921">
        <v>37.842213849788102</v>
      </c>
      <c r="AL3921">
        <v>83.803443711348905</v>
      </c>
      <c r="AM3921">
        <v>88.563075144589305</v>
      </c>
      <c r="AN3921">
        <v>0.99999997257250195</v>
      </c>
    </row>
    <row r="3922" spans="1:40" x14ac:dyDescent="0.25">
      <c r="A3922" t="str">
        <f>"20190312172155134"</f>
        <v>20190312172155134</v>
      </c>
      <c r="B3922" t="str">
        <f>"1552382515124869"</f>
        <v>1552382515124869</v>
      </c>
      <c r="C3922" t="s">
        <v>40</v>
      </c>
      <c r="D3922">
        <v>3.1410149999999999</v>
      </c>
      <c r="E3922">
        <v>0.49510929999999997</v>
      </c>
      <c r="F3922" t="s">
        <v>46</v>
      </c>
      <c r="G3922">
        <v>-356.70089999999999</v>
      </c>
      <c r="H3922" s="1">
        <v>2.069101E-6</v>
      </c>
      <c r="I3922">
        <v>213.7011</v>
      </c>
      <c r="J3922">
        <v>-398.64749999999998</v>
      </c>
      <c r="K3922">
        <v>1.1103609999999999</v>
      </c>
      <c r="L3922">
        <v>213.8287</v>
      </c>
      <c r="M3922">
        <v>0.99987959999999998</v>
      </c>
      <c r="N3922">
        <v>0</v>
      </c>
      <c r="O3922">
        <v>8.2503899999999998E-3</v>
      </c>
      <c r="P3922">
        <v>0.99534270000000002</v>
      </c>
      <c r="Q3922">
        <v>9.5088560000000003E-2</v>
      </c>
      <c r="R3922">
        <v>-1.5858069999999998E-2</v>
      </c>
      <c r="S3922">
        <v>3.021423</v>
      </c>
      <c r="T3922">
        <v>-7.9574580000000006E-2</v>
      </c>
      <c r="U3922">
        <v>-9.017944E-3</v>
      </c>
      <c r="V3922">
        <v>2.4083859999999999E-2</v>
      </c>
      <c r="W3922">
        <v>0.1081638</v>
      </c>
      <c r="X3922">
        <v>0.99384130000000004</v>
      </c>
      <c r="Y3922">
        <v>1.122887E-2</v>
      </c>
      <c r="Z3922">
        <v>-3.6510839999999998E-4</v>
      </c>
      <c r="AA3922">
        <v>0.99993690000000002</v>
      </c>
      <c r="AB3922">
        <v>22</v>
      </c>
      <c r="AC3922">
        <v>41.946599999999897</v>
      </c>
      <c r="AD3922">
        <v>-1.1103589308990001</v>
      </c>
      <c r="AE3922">
        <v>-0.12760000000000099</v>
      </c>
      <c r="AF3922">
        <v>0.47336966801427499</v>
      </c>
      <c r="AG3922">
        <v>-1.1103589308990001</v>
      </c>
      <c r="AH3922">
        <v>41.914749788145599</v>
      </c>
      <c r="AI3922">
        <v>91.517364442193895</v>
      </c>
      <c r="AJ3922">
        <v>89.352950184674299</v>
      </c>
      <c r="AK3922">
        <v>41.932126414014299</v>
      </c>
      <c r="AL3922">
        <v>83.7905224221753</v>
      </c>
      <c r="AM3922">
        <v>88.611817083411907</v>
      </c>
      <c r="AN3922">
        <v>0.99999998476431395</v>
      </c>
    </row>
    <row r="3923" spans="1:40" x14ac:dyDescent="0.25">
      <c r="A3923" t="str">
        <f>"20190312172155156"</f>
        <v>20190312172155156</v>
      </c>
      <c r="B3923" t="str">
        <f>"1552382515144387"</f>
        <v>1552382515144387</v>
      </c>
      <c r="C3923" t="s">
        <v>40</v>
      </c>
      <c r="D3923">
        <v>3.1499359999999998</v>
      </c>
      <c r="E3923">
        <v>0.49469849999999999</v>
      </c>
      <c r="F3923" t="s">
        <v>46</v>
      </c>
      <c r="G3923">
        <v>-353.85500000000002</v>
      </c>
      <c r="H3923" s="1">
        <v>5.5295770000000002E-7</v>
      </c>
      <c r="I3923">
        <v>213.73949999999999</v>
      </c>
      <c r="J3923">
        <v>-398.4384</v>
      </c>
      <c r="K3923">
        <v>1.1103749999999999</v>
      </c>
      <c r="L3923">
        <v>213.83029999999999</v>
      </c>
      <c r="M3923">
        <v>0.99987999999999999</v>
      </c>
      <c r="N3923">
        <v>0</v>
      </c>
      <c r="O3923">
        <v>8.205202E-3</v>
      </c>
      <c r="P3923">
        <v>0.99531939999999997</v>
      </c>
      <c r="Q3923">
        <v>9.54015E-2</v>
      </c>
      <c r="R3923">
        <v>-1.5430279999999999E-2</v>
      </c>
      <c r="S3923">
        <v>3.0210880000000002</v>
      </c>
      <c r="T3923">
        <v>-7.4889659999999997E-2</v>
      </c>
      <c r="U3923">
        <v>-6.0119630000000004E-3</v>
      </c>
      <c r="V3923">
        <v>2.360845E-2</v>
      </c>
      <c r="W3923">
        <v>0.10847569999999999</v>
      </c>
      <c r="X3923">
        <v>0.99381870000000005</v>
      </c>
      <c r="Y3923">
        <v>1.019017E-2</v>
      </c>
      <c r="Z3923">
        <v>-3.2966579999999998E-4</v>
      </c>
      <c r="AA3923">
        <v>0.99994799999999995</v>
      </c>
      <c r="AB3923">
        <v>22</v>
      </c>
      <c r="AC3923">
        <v>44.583399999999898</v>
      </c>
      <c r="AD3923">
        <v>-1.11037444704229</v>
      </c>
      <c r="AE3923">
        <v>-9.0800000000001505E-2</v>
      </c>
      <c r="AF3923">
        <v>0.45636125701848501</v>
      </c>
      <c r="AG3923">
        <v>-1.11037444704229</v>
      </c>
      <c r="AH3923">
        <v>44.553517977658501</v>
      </c>
      <c r="AI3923">
        <v>91.427570040410401</v>
      </c>
      <c r="AJ3923">
        <v>89.413140404012495</v>
      </c>
      <c r="AK3923">
        <v>44.569688816448902</v>
      </c>
      <c r="AL3923">
        <v>83.772546020321101</v>
      </c>
      <c r="AM3923">
        <v>88.639178162407106</v>
      </c>
      <c r="AN3923">
        <v>0.99999997243579097</v>
      </c>
    </row>
    <row r="3924" spans="1:40" x14ac:dyDescent="0.25">
      <c r="A3924" t="str">
        <f>"20190312172155179"</f>
        <v>20190312172155179</v>
      </c>
      <c r="B3924" t="str">
        <f>"1552382515174643"</f>
        <v>1552382515174643</v>
      </c>
      <c r="C3924" t="s">
        <v>40</v>
      </c>
      <c r="D3924">
        <v>3.1536170000000001</v>
      </c>
      <c r="E3924">
        <v>0.49458039999999998</v>
      </c>
      <c r="F3924" t="s">
        <v>46</v>
      </c>
      <c r="G3924">
        <v>-348.44729999999998</v>
      </c>
      <c r="H3924" s="1">
        <v>2.9584529999999999E-6</v>
      </c>
      <c r="I3924">
        <v>213.8023</v>
      </c>
      <c r="J3924">
        <v>-398.21370000000002</v>
      </c>
      <c r="K3924">
        <v>1.11039</v>
      </c>
      <c r="L3924">
        <v>213.8321</v>
      </c>
      <c r="M3924">
        <v>0.9998802</v>
      </c>
      <c r="N3924">
        <v>0</v>
      </c>
      <c r="O3924">
        <v>8.1736980000000001E-3</v>
      </c>
      <c r="P3924">
        <v>0.99529029999999996</v>
      </c>
      <c r="Q3924">
        <v>9.5816040000000005E-2</v>
      </c>
      <c r="R3924">
        <v>-1.4716989999999999E-2</v>
      </c>
      <c r="S3924">
        <v>3.0204770000000001</v>
      </c>
      <c r="T3924">
        <v>-6.7089079999999995E-2</v>
      </c>
      <c r="U3924">
        <v>-1.693726E-3</v>
      </c>
      <c r="V3924">
        <v>2.2860470000000001E-2</v>
      </c>
      <c r="W3924">
        <v>0.1088895</v>
      </c>
      <c r="X3924">
        <v>0.99379099999999998</v>
      </c>
      <c r="Y3924">
        <v>8.7309629999999996E-3</v>
      </c>
      <c r="Z3924">
        <v>-2.7849279999999998E-4</v>
      </c>
      <c r="AA3924">
        <v>0.99996189999999996</v>
      </c>
      <c r="AB3924">
        <v>22</v>
      </c>
      <c r="AC3924">
        <v>49.766399999999997</v>
      </c>
      <c r="AD3924">
        <v>-1.1103870415469901</v>
      </c>
      <c r="AE3924">
        <v>-2.97999999999944E-2</v>
      </c>
      <c r="AF3924">
        <v>0.43639242685082602</v>
      </c>
      <c r="AG3924">
        <v>-1.1103870415469901</v>
      </c>
      <c r="AH3924">
        <v>49.739732006273897</v>
      </c>
      <c r="AI3924">
        <v>91.278806215372299</v>
      </c>
      <c r="AJ3924">
        <v>89.497327352849496</v>
      </c>
      <c r="AK3924">
        <v>49.754038406828798</v>
      </c>
      <c r="AL3924">
        <v>83.748696160325196</v>
      </c>
      <c r="AM3924">
        <v>88.682240538616995</v>
      </c>
      <c r="AN3924">
        <v>1.0000000379899301</v>
      </c>
    </row>
    <row r="3925" spans="1:40" x14ac:dyDescent="0.25">
      <c r="A3925" t="str">
        <f>"20190312172155202"</f>
        <v>20190312172155202</v>
      </c>
      <c r="B3925" t="str">
        <f>"1552382515194163"</f>
        <v>1552382515194163</v>
      </c>
      <c r="C3925" t="s">
        <v>40</v>
      </c>
      <c r="D3925">
        <v>3.1475209999999998</v>
      </c>
      <c r="E3925">
        <v>0.4947841</v>
      </c>
      <c r="F3925" t="s">
        <v>46</v>
      </c>
      <c r="G3925">
        <v>-343.76249999999999</v>
      </c>
      <c r="H3925" s="1">
        <v>4.6545589999999999E-7</v>
      </c>
      <c r="I3925">
        <v>213.85489999999999</v>
      </c>
      <c r="J3925">
        <v>-397.98419999999999</v>
      </c>
      <c r="K3925">
        <v>1.1103989999999999</v>
      </c>
      <c r="L3925">
        <v>213.834</v>
      </c>
      <c r="M3925">
        <v>0.9998804</v>
      </c>
      <c r="N3925">
        <v>0</v>
      </c>
      <c r="O3925">
        <v>8.1607840000000008E-3</v>
      </c>
      <c r="P3925">
        <v>0.99529590000000001</v>
      </c>
      <c r="Q3925">
        <v>9.5878149999999995E-2</v>
      </c>
      <c r="R3925">
        <v>-1.3918740000000001E-2</v>
      </c>
      <c r="S3925">
        <v>3.020203</v>
      </c>
      <c r="T3925">
        <v>-6.1589119999999997E-2</v>
      </c>
      <c r="U3925">
        <v>1.266479E-3</v>
      </c>
      <c r="V3925">
        <v>2.2046179999999999E-2</v>
      </c>
      <c r="W3925">
        <v>0.1089512</v>
      </c>
      <c r="X3925">
        <v>0.99380259999999998</v>
      </c>
      <c r="Y3925">
        <v>7.7388609999999997E-3</v>
      </c>
      <c r="Z3925">
        <v>-2.4531210000000001E-4</v>
      </c>
      <c r="AA3925">
        <v>0.99997000000000003</v>
      </c>
      <c r="AB3925">
        <v>22</v>
      </c>
      <c r="AC3925">
        <v>54.221699999999998</v>
      </c>
      <c r="AD3925">
        <v>-1.1103985345441001</v>
      </c>
      <c r="AE3925">
        <v>2.0899999999983199E-2</v>
      </c>
      <c r="AF3925">
        <v>0.42145371628115003</v>
      </c>
      <c r="AG3925">
        <v>-1.1103985345441001</v>
      </c>
      <c r="AH3925">
        <v>54.197335221096601</v>
      </c>
      <c r="AI3925">
        <v>91.173679978759097</v>
      </c>
      <c r="AJ3925">
        <v>89.554460890295502</v>
      </c>
      <c r="AK3925">
        <v>54.210347289132997</v>
      </c>
      <c r="AL3925">
        <v>83.745139632185101</v>
      </c>
      <c r="AM3925">
        <v>88.729178285407102</v>
      </c>
      <c r="AN3925">
        <v>1.0000000029003899</v>
      </c>
    </row>
    <row r="3926" spans="1:40" x14ac:dyDescent="0.25">
      <c r="A3926" t="str">
        <f>"20190312172155225"</f>
        <v>20190312172155225</v>
      </c>
      <c r="B3926" t="str">
        <f>"1552382515214659"</f>
        <v>1552382515214659</v>
      </c>
      <c r="C3926" t="s">
        <v>40</v>
      </c>
      <c r="D3926">
        <v>3.166919</v>
      </c>
      <c r="E3926">
        <v>0.49499169999999998</v>
      </c>
      <c r="F3926" t="s">
        <v>46</v>
      </c>
      <c r="G3926">
        <v>-344.45749999999998</v>
      </c>
      <c r="H3926" s="1">
        <v>8.3524170000000003E-7</v>
      </c>
      <c r="I3926">
        <v>213.86099999999999</v>
      </c>
      <c r="J3926">
        <v>-397.76350000000002</v>
      </c>
      <c r="K3926">
        <v>1.1104080000000001</v>
      </c>
      <c r="L3926">
        <v>213.83580000000001</v>
      </c>
      <c r="M3926">
        <v>0.9998804</v>
      </c>
      <c r="N3926">
        <v>0</v>
      </c>
      <c r="O3926">
        <v>8.1614129999999993E-3</v>
      </c>
      <c r="P3926">
        <v>0.99529820000000002</v>
      </c>
      <c r="Q3926">
        <v>9.5973920000000004E-2</v>
      </c>
      <c r="R3926">
        <v>-1.3070099999999999E-2</v>
      </c>
      <c r="S3926">
        <v>3.020203</v>
      </c>
      <c r="T3926">
        <v>-6.2653299999999995E-2</v>
      </c>
      <c r="U3926">
        <v>1.525879E-3</v>
      </c>
      <c r="V3926">
        <v>2.1195909999999998E-2</v>
      </c>
      <c r="W3926">
        <v>0.1090465</v>
      </c>
      <c r="X3926">
        <v>0.99381070000000005</v>
      </c>
      <c r="Y3926">
        <v>7.65350699999999E-3</v>
      </c>
      <c r="Z3926">
        <v>-2.4867770000000001E-4</v>
      </c>
      <c r="AA3926">
        <v>0.99997069999999999</v>
      </c>
      <c r="AB3926">
        <v>22</v>
      </c>
      <c r="AC3926">
        <v>53.305999999999997</v>
      </c>
      <c r="AD3926">
        <v>-1.1104071647583</v>
      </c>
      <c r="AE3926">
        <v>2.5199999999983898E-2</v>
      </c>
      <c r="AF3926">
        <v>0.40971288202168099</v>
      </c>
      <c r="AG3926">
        <v>-1.1104071647583</v>
      </c>
      <c r="AH3926">
        <v>53.281310066550503</v>
      </c>
      <c r="AI3926">
        <v>91.193862453828999</v>
      </c>
      <c r="AJ3926">
        <v>89.559426068001599</v>
      </c>
      <c r="AK3926">
        <v>53.294454412491497</v>
      </c>
      <c r="AL3926">
        <v>83.739646953855001</v>
      </c>
      <c r="AM3926">
        <v>88.778185729647902</v>
      </c>
      <c r="AN3926">
        <v>1.0000000565987299</v>
      </c>
    </row>
    <row r="3927" spans="1:40" x14ac:dyDescent="0.25">
      <c r="A3927" t="str">
        <f>"20190312172155245"</f>
        <v>20190312172155245</v>
      </c>
      <c r="B3927" t="str">
        <f>"1552382515234179"</f>
        <v>1552382515234179</v>
      </c>
      <c r="C3927" t="s">
        <v>40</v>
      </c>
      <c r="D3927">
        <v>3.1478380000000001</v>
      </c>
      <c r="E3927">
        <v>0.49499130000000002</v>
      </c>
      <c r="F3927" t="s">
        <v>46</v>
      </c>
      <c r="G3927">
        <v>-344.62180000000001</v>
      </c>
      <c r="H3927" s="1">
        <v>9.2271940000000004E-7</v>
      </c>
      <c r="I3927">
        <v>213.8758</v>
      </c>
      <c r="J3927">
        <v>-397.55900000000003</v>
      </c>
      <c r="K3927">
        <v>1.1104160000000001</v>
      </c>
      <c r="L3927">
        <v>213.8374</v>
      </c>
      <c r="M3927">
        <v>0.99988030000000006</v>
      </c>
      <c r="N3927">
        <v>0</v>
      </c>
      <c r="O3927">
        <v>8.1688990000000003E-3</v>
      </c>
      <c r="P3927">
        <v>0.99529339999999999</v>
      </c>
      <c r="Q3927">
        <v>9.6092129999999998E-2</v>
      </c>
      <c r="R3927">
        <v>-1.255849E-2</v>
      </c>
      <c r="S3927">
        <v>3.0202939999999998</v>
      </c>
      <c r="T3927">
        <v>-6.3109760000000001E-2</v>
      </c>
      <c r="U3927">
        <v>2.27356E-3</v>
      </c>
      <c r="V3927">
        <v>2.0690239999999999E-2</v>
      </c>
      <c r="W3927">
        <v>0.109164</v>
      </c>
      <c r="X3927">
        <v>0.99380840000000004</v>
      </c>
      <c r="Y3927">
        <v>7.4134659999999996E-3</v>
      </c>
      <c r="Z3927">
        <v>-2.4813020000000001E-4</v>
      </c>
      <c r="AA3927">
        <v>0.99997250000000004</v>
      </c>
      <c r="AB3927">
        <v>22</v>
      </c>
      <c r="AC3927">
        <v>52.937199999999997</v>
      </c>
      <c r="AD3927">
        <v>-1.1104150772806001</v>
      </c>
      <c r="AE3927">
        <v>3.8399999999995701E-2</v>
      </c>
      <c r="AF3927">
        <v>0.39390394166575299</v>
      </c>
      <c r="AG3927">
        <v>-1.1104150772806001</v>
      </c>
      <c r="AH3927">
        <v>52.912465841385497</v>
      </c>
      <c r="AI3927">
        <v>91.202193035183498</v>
      </c>
      <c r="AJ3927">
        <v>89.573472600028694</v>
      </c>
      <c r="AK3927">
        <v>52.925581937045301</v>
      </c>
      <c r="AL3927">
        <v>83.732873915090494</v>
      </c>
      <c r="AM3927">
        <v>88.807323223300003</v>
      </c>
      <c r="AN3927">
        <v>1.0000000004189</v>
      </c>
    </row>
    <row r="3928" spans="1:40" x14ac:dyDescent="0.25">
      <c r="A3928" t="str">
        <f>"20190312172155268"</f>
        <v>20190312172155268</v>
      </c>
      <c r="B3928" t="str">
        <f>"1552382515264435"</f>
        <v>1552382515264435</v>
      </c>
      <c r="C3928" t="s">
        <v>40</v>
      </c>
      <c r="D3928">
        <v>3.1435390000000001</v>
      </c>
      <c r="E3928">
        <v>0.49505769999999999</v>
      </c>
      <c r="F3928" t="s">
        <v>46</v>
      </c>
      <c r="G3928">
        <v>-344.37349999999998</v>
      </c>
      <c r="H3928" s="1">
        <v>7.9055049999999895E-7</v>
      </c>
      <c r="I3928">
        <v>213.90219999999999</v>
      </c>
      <c r="J3928">
        <v>-397.3442</v>
      </c>
      <c r="K3928">
        <v>1.1104160000000001</v>
      </c>
      <c r="L3928">
        <v>213.83920000000001</v>
      </c>
      <c r="M3928">
        <v>0.99988030000000006</v>
      </c>
      <c r="N3928">
        <v>0</v>
      </c>
      <c r="O3928">
        <v>8.1805709999999993E-3</v>
      </c>
      <c r="P3928">
        <v>0.99528190000000005</v>
      </c>
      <c r="Q3928">
        <v>9.6267630000000007E-2</v>
      </c>
      <c r="R3928">
        <v>-1.211739E-2</v>
      </c>
      <c r="S3928">
        <v>3.0202939999999998</v>
      </c>
      <c r="T3928">
        <v>-6.3058139999999999E-2</v>
      </c>
      <c r="U3928">
        <v>3.6773679999999999E-3</v>
      </c>
      <c r="V3928">
        <v>2.0260070000000002E-2</v>
      </c>
      <c r="W3928">
        <v>0.109337</v>
      </c>
      <c r="X3928">
        <v>0.99379830000000002</v>
      </c>
      <c r="Y3928">
        <v>6.9604599999999999E-3</v>
      </c>
      <c r="Z3928">
        <v>-2.4344239999999999E-4</v>
      </c>
      <c r="AA3928">
        <v>0.99997570000000002</v>
      </c>
      <c r="AB3928">
        <v>22</v>
      </c>
      <c r="AC3928">
        <v>52.970700000000001</v>
      </c>
      <c r="AD3928">
        <v>-1.1104152094494999</v>
      </c>
      <c r="AE3928">
        <v>6.2999999999988093E-2</v>
      </c>
      <c r="AF3928">
        <v>0.37020736886567401</v>
      </c>
      <c r="AG3928">
        <v>-1.1104152094494999</v>
      </c>
      <c r="AH3928">
        <v>52.946176015665102</v>
      </c>
      <c r="AI3928">
        <v>91.201431902263295</v>
      </c>
      <c r="AJ3928">
        <v>89.599386099007404</v>
      </c>
      <c r="AK3928">
        <v>52.959112814652897</v>
      </c>
      <c r="AL3928">
        <v>83.7229024035842</v>
      </c>
      <c r="AM3928">
        <v>88.832101314417201</v>
      </c>
      <c r="AN3928">
        <v>1.00000005554414</v>
      </c>
    </row>
    <row r="3929" spans="1:40" x14ac:dyDescent="0.25">
      <c r="A3929" t="str">
        <f>"20190312172155290"</f>
        <v>20190312172155290</v>
      </c>
      <c r="B3929" t="str">
        <f>"1552382515284931"</f>
        <v>1552382515284931</v>
      </c>
      <c r="C3929" t="s">
        <v>40</v>
      </c>
      <c r="D3929">
        <v>3.1775069999999999</v>
      </c>
      <c r="E3929">
        <v>0.4952085</v>
      </c>
      <c r="F3929" t="s">
        <v>46</v>
      </c>
      <c r="G3929">
        <v>-344.54539999999997</v>
      </c>
      <c r="H3929" s="1">
        <v>8.820749E-7</v>
      </c>
      <c r="I3929">
        <v>213.91309999999999</v>
      </c>
      <c r="J3929">
        <v>-397.12459999999999</v>
      </c>
      <c r="K3929">
        <v>1.1104149999999999</v>
      </c>
      <c r="L3929">
        <v>213.84100000000001</v>
      </c>
      <c r="M3929">
        <v>0.99988030000000006</v>
      </c>
      <c r="N3929">
        <v>0</v>
      </c>
      <c r="O3929">
        <v>8.1933470000000001E-3</v>
      </c>
      <c r="P3929">
        <v>0.9953632</v>
      </c>
      <c r="Q3929">
        <v>9.5526910000000007E-2</v>
      </c>
      <c r="R3929">
        <v>-1.128057E-2</v>
      </c>
      <c r="S3929">
        <v>3.0203859999999998</v>
      </c>
      <c r="T3929">
        <v>-6.3521980000000006E-2</v>
      </c>
      <c r="U3929">
        <v>4.226685E-3</v>
      </c>
      <c r="V3929">
        <v>1.9436749999999999E-2</v>
      </c>
      <c r="W3929">
        <v>0.1085938</v>
      </c>
      <c r="X3929">
        <v>0.99389620000000001</v>
      </c>
      <c r="Y3929">
        <v>6.7913950000000004E-3</v>
      </c>
      <c r="Z3929">
        <v>-2.4371629999999999E-4</v>
      </c>
      <c r="AA3929">
        <v>0.99997689999999995</v>
      </c>
      <c r="AB3929">
        <v>22</v>
      </c>
      <c r="AC3929">
        <v>52.5792</v>
      </c>
      <c r="AD3929">
        <v>-1.1104141179250999</v>
      </c>
      <c r="AE3929">
        <v>7.2100000000006007E-2</v>
      </c>
      <c r="AF3929">
        <v>0.35857923087619398</v>
      </c>
      <c r="AG3929">
        <v>-1.1104141179250999</v>
      </c>
      <c r="AH3929">
        <v>52.554585925323401</v>
      </c>
      <c r="AI3929">
        <v>91.210381476683494</v>
      </c>
      <c r="AJ3929">
        <v>89.609077735371997</v>
      </c>
      <c r="AK3929">
        <v>52.567538465866001</v>
      </c>
      <c r="AL3929">
        <v>83.765739529185694</v>
      </c>
      <c r="AM3929">
        <v>88.879659860773899</v>
      </c>
      <c r="AN3929">
        <v>1.0000000285117201</v>
      </c>
    </row>
    <row r="3930" spans="1:40" x14ac:dyDescent="0.25">
      <c r="A3930" t="str">
        <f>"20190312172155313"</f>
        <v>20190312172155313</v>
      </c>
      <c r="B3930" t="str">
        <f>"1552382515304469"</f>
        <v>1552382515304469</v>
      </c>
      <c r="C3930" t="s">
        <v>40</v>
      </c>
      <c r="D3930">
        <v>3.1608670000000001</v>
      </c>
      <c r="E3930">
        <v>0.49521989999999999</v>
      </c>
      <c r="F3930" t="s">
        <v>46</v>
      </c>
      <c r="G3930">
        <v>-346.05369999999999</v>
      </c>
      <c r="H3930" s="1">
        <v>1.6847050000000001E-6</v>
      </c>
      <c r="I3930">
        <v>213.93260000000001</v>
      </c>
      <c r="J3930">
        <v>-396.90050000000002</v>
      </c>
      <c r="K3930">
        <v>1.1104069999999999</v>
      </c>
      <c r="L3930">
        <v>213.84289999999999</v>
      </c>
      <c r="M3930">
        <v>0.9998802</v>
      </c>
      <c r="N3930">
        <v>0</v>
      </c>
      <c r="O3930">
        <v>8.20392E-3</v>
      </c>
      <c r="P3930">
        <v>0.99543630000000005</v>
      </c>
      <c r="Q3930">
        <v>9.487371E-2</v>
      </c>
      <c r="R3930">
        <v>-1.029981E-2</v>
      </c>
      <c r="S3930">
        <v>3.0203549999999999</v>
      </c>
      <c r="T3930">
        <v>-6.5670370000000006E-2</v>
      </c>
      <c r="U3930">
        <v>5.4168699999999998E-3</v>
      </c>
      <c r="V3930">
        <v>1.8467500000000001E-2</v>
      </c>
      <c r="W3930">
        <v>0.1079339</v>
      </c>
      <c r="X3930">
        <v>0.9939865</v>
      </c>
      <c r="Y3930">
        <v>6.4077680000000003E-3</v>
      </c>
      <c r="Z3930">
        <v>-2.4801940000000001E-4</v>
      </c>
      <c r="AA3930">
        <v>0.99997939999999996</v>
      </c>
      <c r="AB3930">
        <v>22</v>
      </c>
      <c r="AC3930">
        <v>50.846800000000002</v>
      </c>
      <c r="AD3930">
        <v>-1.110405315295</v>
      </c>
      <c r="AE3930">
        <v>8.9700000000021804E-2</v>
      </c>
      <c r="AF3930">
        <v>0.32732593195133503</v>
      </c>
      <c r="AG3930">
        <v>-1.110405315295</v>
      </c>
      <c r="AH3930">
        <v>50.821587313825297</v>
      </c>
      <c r="AI3930">
        <v>91.251635407692604</v>
      </c>
      <c r="AJ3930">
        <v>89.630980925672702</v>
      </c>
      <c r="AK3930">
        <v>50.834770377436897</v>
      </c>
      <c r="AL3930">
        <v>83.803772192752206</v>
      </c>
      <c r="AM3930">
        <v>88.935611213475894</v>
      </c>
      <c r="AN3930">
        <v>0.999999968753854</v>
      </c>
    </row>
    <row r="3931" spans="1:40" x14ac:dyDescent="0.25">
      <c r="A3931" t="str">
        <f>"20190312172155335"</f>
        <v>20190312172155335</v>
      </c>
      <c r="B3931" t="str">
        <f>"1552382515324947"</f>
        <v>1552382515324947</v>
      </c>
      <c r="C3931" t="s">
        <v>40</v>
      </c>
      <c r="D3931">
        <v>3.1585830000000001</v>
      </c>
      <c r="E3931">
        <v>0.495392</v>
      </c>
      <c r="F3931" t="s">
        <v>46</v>
      </c>
      <c r="G3931">
        <v>-347.2312</v>
      </c>
      <c r="H3931" s="1">
        <v>2.3113199999999999E-6</v>
      </c>
      <c r="I3931">
        <v>213.9759</v>
      </c>
      <c r="J3931">
        <v>-396.68400000000003</v>
      </c>
      <c r="K3931">
        <v>1.1104019999999999</v>
      </c>
      <c r="L3931">
        <v>213.84469999999999</v>
      </c>
      <c r="M3931">
        <v>0.99988030000000006</v>
      </c>
      <c r="N3931">
        <v>0</v>
      </c>
      <c r="O3931">
        <v>8.2103369999999998E-3</v>
      </c>
      <c r="P3931">
        <v>0.99549719999999997</v>
      </c>
      <c r="Q3931">
        <v>9.4336539999999997E-2</v>
      </c>
      <c r="R3931">
        <v>-9.2801629999999993E-3</v>
      </c>
      <c r="S3931">
        <v>3.0202640000000001</v>
      </c>
      <c r="T3931">
        <v>-6.7520979999999994E-2</v>
      </c>
      <c r="U3931">
        <v>8.0871580000000005E-3</v>
      </c>
      <c r="V3931">
        <v>1.745538E-2</v>
      </c>
      <c r="W3931">
        <v>0.10738640000000001</v>
      </c>
      <c r="X3931">
        <v>0.99406410000000001</v>
      </c>
      <c r="Y3931">
        <v>5.5300469999999997E-3</v>
      </c>
      <c r="Z3931">
        <v>-2.453477E-4</v>
      </c>
      <c r="AA3931">
        <v>0.99998469999999995</v>
      </c>
      <c r="AB3931">
        <v>22</v>
      </c>
      <c r="AC3931">
        <v>49.452800000000003</v>
      </c>
      <c r="AD3931">
        <v>-1.1103996886799901</v>
      </c>
      <c r="AE3931">
        <v>0.13120000000000601</v>
      </c>
      <c r="AF3931">
        <v>0.27472498713036803</v>
      </c>
      <c r="AG3931">
        <v>-1.1103996886799901</v>
      </c>
      <c r="AH3931">
        <v>49.427290601080401</v>
      </c>
      <c r="AI3931">
        <v>91.286931429619102</v>
      </c>
      <c r="AJ3931">
        <v>89.681543940428597</v>
      </c>
      <c r="AK3931">
        <v>49.440525052337598</v>
      </c>
      <c r="AL3931">
        <v>83.835325108536495</v>
      </c>
      <c r="AM3931">
        <v>88.994011723665906</v>
      </c>
      <c r="AN3931">
        <v>0.99999998205235696</v>
      </c>
    </row>
    <row r="3932" spans="1:40" x14ac:dyDescent="0.25">
      <c r="A3932" t="str">
        <f>"20190312172155357"</f>
        <v>20190312172155357</v>
      </c>
      <c r="B3932" t="str">
        <f>"1552382515344467"</f>
        <v>1552382515344467</v>
      </c>
      <c r="C3932" t="s">
        <v>40</v>
      </c>
      <c r="D3932">
        <v>3.1182430000000001</v>
      </c>
      <c r="E3932">
        <v>0.49564249999999999</v>
      </c>
      <c r="F3932" t="s">
        <v>46</v>
      </c>
      <c r="G3932">
        <v>-348.2244</v>
      </c>
      <c r="H3932" s="1">
        <v>2.8398290000000001E-6</v>
      </c>
      <c r="I3932">
        <v>213.99770000000001</v>
      </c>
      <c r="J3932">
        <v>-396.47750000000002</v>
      </c>
      <c r="K3932">
        <v>1.1103959999999999</v>
      </c>
      <c r="L3932">
        <v>213.84639999999999</v>
      </c>
      <c r="M3932">
        <v>0.9998804</v>
      </c>
      <c r="N3932">
        <v>0</v>
      </c>
      <c r="O3932">
        <v>8.2125730000000008E-3</v>
      </c>
      <c r="P3932">
        <v>0.99547300000000005</v>
      </c>
      <c r="Q3932">
        <v>9.4678479999999995E-2</v>
      </c>
      <c r="R3932">
        <v>-8.3444980000000005E-3</v>
      </c>
      <c r="S3932">
        <v>3.0202330000000002</v>
      </c>
      <c r="T3932">
        <v>-6.92054E-2</v>
      </c>
      <c r="U3932">
        <v>9.5367430000000003E-3</v>
      </c>
      <c r="V3932">
        <v>1.652238E-2</v>
      </c>
      <c r="W3932">
        <v>0.1077177</v>
      </c>
      <c r="X3932">
        <v>0.99404420000000004</v>
      </c>
      <c r="Y3932">
        <v>5.0522600000000003E-3</v>
      </c>
      <c r="Z3932">
        <v>-2.46047E-4</v>
      </c>
      <c r="AA3932">
        <v>0.99998719999999996</v>
      </c>
      <c r="AB3932">
        <v>22</v>
      </c>
      <c r="AC3932">
        <v>48.253100000000003</v>
      </c>
      <c r="AD3932">
        <v>-1.110393160171</v>
      </c>
      <c r="AE3932">
        <v>0.15130000000002</v>
      </c>
      <c r="AF3932">
        <v>0.24489156260234801</v>
      </c>
      <c r="AG3932">
        <v>-1.110393160171</v>
      </c>
      <c r="AH3932">
        <v>48.227176890484301</v>
      </c>
      <c r="AI3932">
        <v>91.318940636031101</v>
      </c>
      <c r="AJ3932">
        <v>89.709061709926104</v>
      </c>
      <c r="AK3932">
        <v>48.240579760961097</v>
      </c>
      <c r="AL3932">
        <v>83.816232265551605</v>
      </c>
      <c r="AM3932">
        <v>89.047753130315598</v>
      </c>
      <c r="AN3932">
        <v>0.99999998174389704</v>
      </c>
    </row>
    <row r="3933" spans="1:40" x14ac:dyDescent="0.25">
      <c r="A3933" t="str">
        <f>"20190312172155379"</f>
        <v>20190312172155379</v>
      </c>
      <c r="B3933" t="str">
        <f>"1552382515374724"</f>
        <v>1552382515374724</v>
      </c>
      <c r="C3933" t="s">
        <v>40</v>
      </c>
      <c r="D3933">
        <v>3.1061260000000002</v>
      </c>
      <c r="E3933">
        <v>0.49593379999999998</v>
      </c>
      <c r="F3933" t="s">
        <v>46</v>
      </c>
      <c r="G3933">
        <v>-346.9769</v>
      </c>
      <c r="H3933" s="1">
        <v>2.1759819999999999E-6</v>
      </c>
      <c r="I3933">
        <v>214.01070000000001</v>
      </c>
      <c r="J3933">
        <v>-396.25619999999998</v>
      </c>
      <c r="K3933">
        <v>1.110395</v>
      </c>
      <c r="L3933">
        <v>213.84819999999999</v>
      </c>
      <c r="M3933">
        <v>0.99988049999999995</v>
      </c>
      <c r="N3933">
        <v>0</v>
      </c>
      <c r="O3933">
        <v>8.2124160000000002E-3</v>
      </c>
      <c r="P3933">
        <v>0.99551029999999996</v>
      </c>
      <c r="Q3933">
        <v>9.4321039999999995E-2</v>
      </c>
      <c r="R3933">
        <v>-7.9280529999999991E-3</v>
      </c>
      <c r="S3933">
        <v>3.0201419999999999</v>
      </c>
      <c r="T3933">
        <v>-6.7747589999999996E-2</v>
      </c>
      <c r="U3933">
        <v>1.0025020000000001E-2</v>
      </c>
      <c r="V3933">
        <v>1.6106849999999999E-2</v>
      </c>
      <c r="W3933">
        <v>0.1073518</v>
      </c>
      <c r="X3933">
        <v>0.99409060000000005</v>
      </c>
      <c r="Y3933">
        <v>4.8905199999999998E-3</v>
      </c>
      <c r="Z3933">
        <v>-2.3905509999999999E-4</v>
      </c>
      <c r="AA3933">
        <v>0.99998799999999999</v>
      </c>
      <c r="AB3933">
        <v>22</v>
      </c>
      <c r="AC3933">
        <v>49.2792999999999</v>
      </c>
      <c r="AD3933">
        <v>-1.1103928240180001</v>
      </c>
      <c r="AE3933">
        <v>0.16250000000002199</v>
      </c>
      <c r="AF3933">
        <v>0.24211938128347099</v>
      </c>
      <c r="AG3933">
        <v>-1.1103928240180001</v>
      </c>
      <c r="AH3933">
        <v>49.253965578629497</v>
      </c>
      <c r="AI3933">
        <v>91.291454980598502</v>
      </c>
      <c r="AJ3933">
        <v>89.718351471099297</v>
      </c>
      <c r="AK3933">
        <v>49.267075407814097</v>
      </c>
      <c r="AL3933">
        <v>83.837319058295904</v>
      </c>
      <c r="AM3933">
        <v>89.071740763103307</v>
      </c>
      <c r="AN3933">
        <v>0.99999998029426096</v>
      </c>
    </row>
    <row r="3934" spans="1:40" x14ac:dyDescent="0.25">
      <c r="A3934" t="str">
        <f>"20190312172155404"</f>
        <v>20190312172155404</v>
      </c>
      <c r="B3934" t="str">
        <f>"1552382515394242"</f>
        <v>1552382515394242</v>
      </c>
      <c r="C3934" t="s">
        <v>40</v>
      </c>
      <c r="D3934">
        <v>3.13008</v>
      </c>
      <c r="E3934">
        <v>0.49612489999999998</v>
      </c>
      <c r="F3934" t="s">
        <v>46</v>
      </c>
      <c r="G3934">
        <v>-346.93959999999998</v>
      </c>
      <c r="H3934" s="1">
        <v>2.1561049999999999E-6</v>
      </c>
      <c r="I3934">
        <v>213.99420000000001</v>
      </c>
      <c r="J3934">
        <v>-396.02350000000001</v>
      </c>
      <c r="K3934">
        <v>1.1103909999999999</v>
      </c>
      <c r="L3934">
        <v>213.8501</v>
      </c>
      <c r="M3934">
        <v>0.99988069999999896</v>
      </c>
      <c r="N3934">
        <v>0</v>
      </c>
      <c r="O3934">
        <v>8.2105960000000006E-3</v>
      </c>
      <c r="P3934">
        <v>0.99552459999999998</v>
      </c>
      <c r="Q3934">
        <v>9.422287E-2</v>
      </c>
      <c r="R3934">
        <v>-7.2821179999999998E-3</v>
      </c>
      <c r="S3934">
        <v>3.0200499999999999</v>
      </c>
      <c r="T3934">
        <v>-6.7998169999999997E-2</v>
      </c>
      <c r="U3934">
        <v>8.9416500000000006E-3</v>
      </c>
      <c r="V3934">
        <v>1.545975E-2</v>
      </c>
      <c r="W3934">
        <v>0.1072446</v>
      </c>
      <c r="X3934">
        <v>0.99411249999999995</v>
      </c>
      <c r="Y3934">
        <v>5.2472029999999998E-3</v>
      </c>
      <c r="Z3934">
        <v>-2.4392049999999999E-4</v>
      </c>
      <c r="AA3934">
        <v>0.99998620000000005</v>
      </c>
      <c r="AB3934">
        <v>22</v>
      </c>
      <c r="AC3934">
        <v>49.0839</v>
      </c>
      <c r="AD3934">
        <v>-1.11038884389499</v>
      </c>
      <c r="AE3934">
        <v>0.144100000000008</v>
      </c>
      <c r="AF3934">
        <v>0.25881497558818101</v>
      </c>
      <c r="AG3934">
        <v>-1.11038884389499</v>
      </c>
      <c r="AH3934">
        <v>49.058322267693903</v>
      </c>
      <c r="AI3934">
        <v>91.296596491542502</v>
      </c>
      <c r="AJ3934">
        <v>89.697729813896103</v>
      </c>
      <c r="AK3934">
        <v>49.071569490868598</v>
      </c>
      <c r="AL3934">
        <v>83.843497171418207</v>
      </c>
      <c r="AM3934">
        <v>89.109047485879699</v>
      </c>
      <c r="AN3934">
        <v>1.0000000353777301</v>
      </c>
    </row>
    <row r="3935" spans="1:40" x14ac:dyDescent="0.25">
      <c r="A3935" t="str">
        <f>"20190312172155426"</f>
        <v>20190312172155426</v>
      </c>
      <c r="B3935" t="str">
        <f>"1552382515414739"</f>
        <v>1552382515414739</v>
      </c>
      <c r="C3935" t="s">
        <v>40</v>
      </c>
      <c r="D3935">
        <v>3.1030890000000002</v>
      </c>
      <c r="E3935">
        <v>0.49628319999999998</v>
      </c>
      <c r="F3935" t="s">
        <v>46</v>
      </c>
      <c r="G3935">
        <v>-346.55200000000002</v>
      </c>
      <c r="H3935" s="1">
        <v>1.9498660000000001E-6</v>
      </c>
      <c r="I3935">
        <v>213.99760000000001</v>
      </c>
      <c r="J3935">
        <v>-395.80410000000001</v>
      </c>
      <c r="K3935">
        <v>1.1103860000000001</v>
      </c>
      <c r="L3935">
        <v>213.8519</v>
      </c>
      <c r="M3935">
        <v>0.99988069999999896</v>
      </c>
      <c r="N3935">
        <v>0</v>
      </c>
      <c r="O3935">
        <v>8.208959E-3</v>
      </c>
      <c r="P3935">
        <v>0.99551330000000005</v>
      </c>
      <c r="Q3935">
        <v>9.4341610000000006E-2</v>
      </c>
      <c r="R3935">
        <v>-7.272705E-3</v>
      </c>
      <c r="S3935">
        <v>3.0199280000000002</v>
      </c>
      <c r="T3935">
        <v>-6.7782399999999896E-2</v>
      </c>
      <c r="U3935">
        <v>9.0026859999999993E-3</v>
      </c>
      <c r="V3935">
        <v>1.544913E-2</v>
      </c>
      <c r="W3935">
        <v>0.1073537</v>
      </c>
      <c r="X3935">
        <v>0.99410089999999995</v>
      </c>
      <c r="Y3935">
        <v>5.2252640000000003E-3</v>
      </c>
      <c r="Z3935">
        <v>-2.4287359999999999E-4</v>
      </c>
      <c r="AA3935">
        <v>0.99998629999999999</v>
      </c>
      <c r="AB3935">
        <v>22</v>
      </c>
      <c r="AC3935">
        <v>49.252099999999999</v>
      </c>
      <c r="AD3935">
        <v>-1.1103840501340001</v>
      </c>
      <c r="AE3935">
        <v>0.14570000000000499</v>
      </c>
      <c r="AF3935">
        <v>0.25851659680798</v>
      </c>
      <c r="AG3935">
        <v>-1.1103840501340001</v>
      </c>
      <c r="AH3935">
        <v>49.226616025592698</v>
      </c>
      <c r="AI3935">
        <v>91.292159837998398</v>
      </c>
      <c r="AJ3935">
        <v>89.699110461699107</v>
      </c>
      <c r="AK3935">
        <v>49.239816296374997</v>
      </c>
      <c r="AL3935">
        <v>83.837209969739206</v>
      </c>
      <c r="AM3935">
        <v>89.109649035250996</v>
      </c>
      <c r="AN3935">
        <v>1.00000004595112</v>
      </c>
    </row>
    <row r="3936" spans="1:40" x14ac:dyDescent="0.25">
      <c r="A3936" t="str">
        <f>"20190312172155446"</f>
        <v>20190312172155446</v>
      </c>
      <c r="B3936" t="str">
        <f>"1552382515434259"</f>
        <v>1552382515434259</v>
      </c>
      <c r="C3936" t="s">
        <v>40</v>
      </c>
      <c r="D3936">
        <v>3.0940539999999999</v>
      </c>
      <c r="E3936">
        <v>0.49618859999999898</v>
      </c>
      <c r="F3936" t="s">
        <v>46</v>
      </c>
      <c r="G3936">
        <v>-345.37490000000003</v>
      </c>
      <c r="H3936" s="1">
        <v>1.3234919999999999E-6</v>
      </c>
      <c r="I3936">
        <v>213.9803</v>
      </c>
      <c r="J3936">
        <v>-395.60950000000003</v>
      </c>
      <c r="K3936">
        <v>1.110384</v>
      </c>
      <c r="L3936">
        <v>213.8535</v>
      </c>
      <c r="M3936">
        <v>0.99988100000000002</v>
      </c>
      <c r="N3936">
        <v>0</v>
      </c>
      <c r="O3936">
        <v>8.2079839999999998E-3</v>
      </c>
      <c r="P3936">
        <v>0.99554869999999995</v>
      </c>
      <c r="Q3936">
        <v>9.4015080000000001E-2</v>
      </c>
      <c r="R3936">
        <v>-6.6733599999999997E-3</v>
      </c>
      <c r="S3936">
        <v>3.0198360000000002</v>
      </c>
      <c r="T3936">
        <v>-6.6492919999999997E-2</v>
      </c>
      <c r="U3936">
        <v>7.6904299999999998E-3</v>
      </c>
      <c r="V3936">
        <v>1.4849319999999999E-2</v>
      </c>
      <c r="W3936">
        <v>0.1070199</v>
      </c>
      <c r="X3936">
        <v>0.99414599999999997</v>
      </c>
      <c r="Y3936">
        <v>5.6587540000000002E-3</v>
      </c>
      <c r="Z3936">
        <v>-2.430121E-4</v>
      </c>
      <c r="AA3936">
        <v>0.99998399999999998</v>
      </c>
      <c r="AB3936">
        <v>22</v>
      </c>
      <c r="AC3936">
        <v>50.2346</v>
      </c>
      <c r="AD3936">
        <v>-1.110382676508</v>
      </c>
      <c r="AE3936">
        <v>0.12680000000000199</v>
      </c>
      <c r="AF3936">
        <v>0.28542479086678801</v>
      </c>
      <c r="AG3936">
        <v>-1.110382676508</v>
      </c>
      <c r="AH3936">
        <v>50.209416992467503</v>
      </c>
      <c r="AI3936">
        <v>91.266870813179096</v>
      </c>
      <c r="AJ3936">
        <v>89.674294968781794</v>
      </c>
      <c r="AK3936">
        <v>50.222504634108098</v>
      </c>
      <c r="AL3936">
        <v>83.856445932561201</v>
      </c>
      <c r="AM3936">
        <v>89.144250341729304</v>
      </c>
      <c r="AN3936">
        <v>1.00000001530823</v>
      </c>
    </row>
    <row r="3937" spans="1:40" x14ac:dyDescent="0.25">
      <c r="A3937" t="str">
        <f>"20190312172155469"</f>
        <v>20190312172155469</v>
      </c>
      <c r="B3937" t="str">
        <f>"1552382515464516"</f>
        <v>1552382515464516</v>
      </c>
      <c r="C3937" t="s">
        <v>40</v>
      </c>
      <c r="D3937">
        <v>3.0457779999999999</v>
      </c>
      <c r="E3937">
        <v>0.47636620000000002</v>
      </c>
      <c r="F3937" t="s">
        <v>46</v>
      </c>
      <c r="G3937">
        <v>-345.97190000000001</v>
      </c>
      <c r="H3937" s="1">
        <v>1.6411630000000001E-6</v>
      </c>
      <c r="I3937">
        <v>214.02780000000001</v>
      </c>
      <c r="J3937">
        <v>-395.39299999999997</v>
      </c>
      <c r="K3937">
        <v>1.1103780000000001</v>
      </c>
      <c r="L3937">
        <v>213.8553</v>
      </c>
      <c r="M3937">
        <v>0.99988089999999996</v>
      </c>
      <c r="N3937">
        <v>0</v>
      </c>
      <c r="O3937">
        <v>8.2122519999999997E-3</v>
      </c>
      <c r="P3937">
        <v>0.99556909999999998</v>
      </c>
      <c r="Q3937">
        <v>9.3819020000000003E-2</v>
      </c>
      <c r="R3937">
        <v>-6.3368799999999996E-3</v>
      </c>
      <c r="S3937">
        <v>3.0198969999999998</v>
      </c>
      <c r="T3937">
        <v>-6.7554470000000005E-2</v>
      </c>
      <c r="U3937">
        <v>1.0604860000000001E-2</v>
      </c>
      <c r="V3937">
        <v>1.451672E-2</v>
      </c>
      <c r="W3937">
        <v>0.1068146</v>
      </c>
      <c r="X3937">
        <v>0.99417299999999997</v>
      </c>
      <c r="Y3937">
        <v>4.6981499999999999E-3</v>
      </c>
      <c r="Z3937">
        <v>-2.3623789999999999E-4</v>
      </c>
      <c r="AA3937">
        <v>0.99998889999999996</v>
      </c>
      <c r="AB3937">
        <v>22</v>
      </c>
      <c r="AC3937">
        <v>49.421100000000003</v>
      </c>
      <c r="AD3937">
        <v>-1.1103763588369999</v>
      </c>
      <c r="AE3937">
        <v>0.172500000000013</v>
      </c>
      <c r="AF3937">
        <v>0.23328124082319801</v>
      </c>
      <c r="AG3937">
        <v>-1.1103763588369999</v>
      </c>
      <c r="AH3937">
        <v>49.395915376366602</v>
      </c>
      <c r="AI3937">
        <v>91.287727067188001</v>
      </c>
      <c r="AJ3937">
        <v>89.729412218248299</v>
      </c>
      <c r="AK3937">
        <v>49.408944652408401</v>
      </c>
      <c r="AL3937">
        <v>83.868276623140403</v>
      </c>
      <c r="AM3937">
        <v>89.163437668352401</v>
      </c>
      <c r="AN3937">
        <v>1.00000002393085</v>
      </c>
    </row>
    <row r="3938" spans="1:40" x14ac:dyDescent="0.25">
      <c r="A3938" t="str">
        <f>"20190312172155492"</f>
        <v>20190312172155492</v>
      </c>
      <c r="B3938" t="str">
        <f>"1552382515485012"</f>
        <v>1552382515485012</v>
      </c>
      <c r="C3938" t="s">
        <v>40</v>
      </c>
      <c r="D3938">
        <v>3.0480749999999999</v>
      </c>
      <c r="E3938">
        <v>0.47591250000000002</v>
      </c>
      <c r="F3938" t="s">
        <v>46</v>
      </c>
      <c r="G3938">
        <v>-373.8005</v>
      </c>
      <c r="H3938" s="1">
        <v>4.8566859999999998E-7</v>
      </c>
      <c r="I3938">
        <v>215.0652</v>
      </c>
      <c r="J3938">
        <v>-395.15870000000001</v>
      </c>
      <c r="K3938">
        <v>1.1103829999999999</v>
      </c>
      <c r="L3938">
        <v>213.85720000000001</v>
      </c>
      <c r="M3938">
        <v>0.99988109999999997</v>
      </c>
      <c r="N3938">
        <v>0</v>
      </c>
      <c r="O3938">
        <v>8.2301370000000002E-3</v>
      </c>
      <c r="P3938">
        <v>0.99558250000000004</v>
      </c>
      <c r="Q3938">
        <v>9.3733179999999999E-2</v>
      </c>
      <c r="R3938">
        <v>-5.4797759999999996E-3</v>
      </c>
      <c r="S3938">
        <v>3.0291440000000001</v>
      </c>
      <c r="T3938">
        <v>-0.1557714</v>
      </c>
      <c r="U3938">
        <v>0.1697235</v>
      </c>
      <c r="V3938">
        <v>1.3675680000000001E-2</v>
      </c>
      <c r="W3938">
        <v>0.10671079999999999</v>
      </c>
      <c r="X3938">
        <v>0.99419610000000003</v>
      </c>
      <c r="Y3938">
        <v>-4.7670650000000002E-2</v>
      </c>
      <c r="Z3938">
        <v>8.0131970000000001E-4</v>
      </c>
      <c r="AA3938">
        <v>0.99886280000000005</v>
      </c>
      <c r="AB3938">
        <v>22</v>
      </c>
      <c r="AC3938">
        <v>21.3582</v>
      </c>
      <c r="AD3938">
        <v>-1.1103825143313999</v>
      </c>
      <c r="AE3938">
        <v>1.20799999999999</v>
      </c>
      <c r="AF3938">
        <v>-1.0293898445198799</v>
      </c>
      <c r="AG3938">
        <v>-1.1103825143313999</v>
      </c>
      <c r="AH3938">
        <v>21.310006073855099</v>
      </c>
      <c r="AI3938">
        <v>92.979297680429596</v>
      </c>
      <c r="AJ3938">
        <v>92.765549794486205</v>
      </c>
      <c r="AK3938">
        <v>21.363729815925701</v>
      </c>
      <c r="AL3938">
        <v>83.8742582855065</v>
      </c>
      <c r="AM3938">
        <v>89.211916711973103</v>
      </c>
      <c r="AN3938">
        <v>1.00000005215765</v>
      </c>
    </row>
    <row r="3939" spans="1:40" x14ac:dyDescent="0.25">
      <c r="A3939" t="str">
        <f>"20190312172155514"</f>
        <v>20190312172155514</v>
      </c>
      <c r="B3939" t="str">
        <f>"1552382515504535"</f>
        <v>1552382515504535</v>
      </c>
      <c r="C3939" t="s">
        <v>40</v>
      </c>
      <c r="D3939">
        <v>3.0329120000000001</v>
      </c>
      <c r="E3939">
        <v>0.47578949999999998</v>
      </c>
      <c r="F3939" t="s">
        <v>46</v>
      </c>
      <c r="G3939">
        <v>-374.49340000000001</v>
      </c>
      <c r="H3939" s="1">
        <v>8.5436749999999998E-7</v>
      </c>
      <c r="I3939">
        <v>215.0564</v>
      </c>
      <c r="J3939">
        <v>-394.95</v>
      </c>
      <c r="K3939">
        <v>1.110387</v>
      </c>
      <c r="L3939">
        <v>213.85900000000001</v>
      </c>
      <c r="M3939">
        <v>0.99988129999999997</v>
      </c>
      <c r="N3939">
        <v>0</v>
      </c>
      <c r="O3939">
        <v>8.2658369999999998E-3</v>
      </c>
      <c r="P3939">
        <v>0.99560340000000003</v>
      </c>
      <c r="Q3939">
        <v>9.3515420000000002E-2</v>
      </c>
      <c r="R3939">
        <v>-5.3845409999999996E-3</v>
      </c>
      <c r="S3939">
        <v>3.0296020000000001</v>
      </c>
      <c r="T3939">
        <v>-0.1627855</v>
      </c>
      <c r="U3939">
        <v>0.17579649999999999</v>
      </c>
      <c r="V3939">
        <v>1.361278E-2</v>
      </c>
      <c r="W3939">
        <v>0.10646</v>
      </c>
      <c r="X3939">
        <v>0.99422379999999999</v>
      </c>
      <c r="Y3939">
        <v>-4.9614749999999999E-2</v>
      </c>
      <c r="Z3939">
        <v>8.8741130000000005E-4</v>
      </c>
      <c r="AA3939">
        <v>0.99876799999999999</v>
      </c>
      <c r="AB3939">
        <v>22</v>
      </c>
      <c r="AC3939">
        <v>20.456599999999899</v>
      </c>
      <c r="AD3939">
        <v>-1.1103861456324999</v>
      </c>
      <c r="AE3939">
        <v>1.19739999999998</v>
      </c>
      <c r="AF3939">
        <v>-1.0252434804858299</v>
      </c>
      <c r="AG3939">
        <v>-1.1103861456324999</v>
      </c>
      <c r="AH3939">
        <v>20.405882236667601</v>
      </c>
      <c r="AI3939">
        <v>93.110762191135905</v>
      </c>
      <c r="AJ3939">
        <v>92.876267274685702</v>
      </c>
      <c r="AK3939">
        <v>20.461771952678902</v>
      </c>
      <c r="AL3939">
        <v>83.888710083862605</v>
      </c>
      <c r="AM3939">
        <v>89.215562825727901</v>
      </c>
      <c r="AN3939">
        <v>1.0000000019328801</v>
      </c>
    </row>
    <row r="3940" spans="1:40" x14ac:dyDescent="0.25">
      <c r="A3940" t="str">
        <f>"20190312172155536"</f>
        <v>20190312172155536</v>
      </c>
      <c r="B3940" t="str">
        <f>"1552382515525027"</f>
        <v>1552382515525027</v>
      </c>
      <c r="C3940" t="s">
        <v>40</v>
      </c>
      <c r="D3940">
        <v>3.0328729999999999</v>
      </c>
      <c r="E3940">
        <v>0.47585460000000002</v>
      </c>
      <c r="F3940" t="s">
        <v>46</v>
      </c>
      <c r="G3940">
        <v>-374.67259999999999</v>
      </c>
      <c r="H3940" s="1">
        <v>9.4974429999999996E-7</v>
      </c>
      <c r="I3940">
        <v>215.04390000000001</v>
      </c>
      <c r="J3940">
        <v>-394.73939999999999</v>
      </c>
      <c r="K3940">
        <v>1.1103809999999901</v>
      </c>
      <c r="L3940">
        <v>213.86080000000001</v>
      </c>
      <c r="M3940">
        <v>0.99988220000000005</v>
      </c>
      <c r="N3940">
        <v>0</v>
      </c>
      <c r="O3940">
        <v>8.3260720000000003E-3</v>
      </c>
      <c r="P3940">
        <v>0.99556359999999999</v>
      </c>
      <c r="Q3940">
        <v>9.3973180000000003E-2</v>
      </c>
      <c r="R3940">
        <v>-4.7369100000000004E-3</v>
      </c>
      <c r="S3940">
        <v>3.029785</v>
      </c>
      <c r="T3940">
        <v>-0.16591069999999999</v>
      </c>
      <c r="U3940">
        <v>0.1770477</v>
      </c>
      <c r="V3940">
        <v>1.302038E-2</v>
      </c>
      <c r="W3940">
        <v>0.1068075</v>
      </c>
      <c r="X3940">
        <v>0.99419440000000003</v>
      </c>
      <c r="Y3940">
        <v>-4.9959469999999999E-2</v>
      </c>
      <c r="Z3940">
        <v>9.1048880000000004E-4</v>
      </c>
      <c r="AA3940">
        <v>0.99875080000000005</v>
      </c>
      <c r="AB3940">
        <v>22</v>
      </c>
      <c r="AC3940">
        <v>20.066800000000001</v>
      </c>
      <c r="AD3940">
        <v>-1.11038005025569</v>
      </c>
      <c r="AE3940">
        <v>1.18309999999999</v>
      </c>
      <c r="AF3940">
        <v>-1.01287691474426</v>
      </c>
      <c r="AG3940">
        <v>-1.11038005025569</v>
      </c>
      <c r="AH3940">
        <v>20.014884982692699</v>
      </c>
      <c r="AI3940">
        <v>93.171333815551094</v>
      </c>
      <c r="AJ3940">
        <v>92.897049239479202</v>
      </c>
      <c r="AK3940">
        <v>20.0712352477581</v>
      </c>
      <c r="AL3940">
        <v>83.868685238963806</v>
      </c>
      <c r="AM3940">
        <v>89.249673730816696</v>
      </c>
      <c r="AN3940">
        <v>0.99999993867147496</v>
      </c>
    </row>
    <row r="3941" spans="1:40" x14ac:dyDescent="0.25">
      <c r="A3941" t="str">
        <f>"20190312172155561"</f>
        <v>20190312172155561</v>
      </c>
      <c r="B3941" t="str">
        <f>"1552382515554307"</f>
        <v>1552382515554307</v>
      </c>
      <c r="C3941" t="s">
        <v>40</v>
      </c>
      <c r="D3941">
        <v>3.0262869999999999</v>
      </c>
      <c r="E3941">
        <v>0.47584959999999998</v>
      </c>
      <c r="F3941" t="s">
        <v>46</v>
      </c>
      <c r="G3941">
        <v>-374.44959999999998</v>
      </c>
      <c r="H3941" s="1">
        <v>8.3103589999999996E-7</v>
      </c>
      <c r="I3941">
        <v>215.05619999999999</v>
      </c>
      <c r="J3941">
        <v>-394.5145</v>
      </c>
      <c r="K3941">
        <v>1.1103719999999999</v>
      </c>
      <c r="L3941">
        <v>213.86279999999999</v>
      </c>
      <c r="M3941">
        <v>0.99988339999999998</v>
      </c>
      <c r="N3941">
        <v>0</v>
      </c>
      <c r="O3941">
        <v>8.4219480000000003E-3</v>
      </c>
      <c r="P3941">
        <v>0.99557130000000005</v>
      </c>
      <c r="Q3941">
        <v>9.3925990000000001E-2</v>
      </c>
      <c r="R3941">
        <v>-3.9874799999999998E-3</v>
      </c>
      <c r="S3941">
        <v>3.0298769999999999</v>
      </c>
      <c r="T3941">
        <v>-0.1658124</v>
      </c>
      <c r="U3941">
        <v>0.17851259999999999</v>
      </c>
      <c r="V3941">
        <v>1.236086E-2</v>
      </c>
      <c r="W3941">
        <v>0.10660459999999999</v>
      </c>
      <c r="X3941">
        <v>0.99422469999999996</v>
      </c>
      <c r="Y3941">
        <v>-5.0342810000000002E-2</v>
      </c>
      <c r="Z3941">
        <v>9.1514519999999998E-4</v>
      </c>
      <c r="AA3941">
        <v>0.99873160000000005</v>
      </c>
      <c r="AB3941">
        <v>22</v>
      </c>
      <c r="AC3941">
        <v>20.064900000000002</v>
      </c>
      <c r="AD3941">
        <v>-1.11037116896409</v>
      </c>
      <c r="AE3941">
        <v>1.19339999999999</v>
      </c>
      <c r="AF3941">
        <v>-1.02124198307761</v>
      </c>
      <c r="AG3941">
        <v>-1.11037116896409</v>
      </c>
      <c r="AH3941">
        <v>20.013167504638101</v>
      </c>
      <c r="AI3941">
        <v>93.171512348143494</v>
      </c>
      <c r="AJ3941">
        <v>92.921184130972094</v>
      </c>
      <c r="AK3941">
        <v>20.069946011127499</v>
      </c>
      <c r="AL3941">
        <v>83.880377947881996</v>
      </c>
      <c r="AM3941">
        <v>89.287697617893102</v>
      </c>
      <c r="AN3941">
        <v>1.00000004284559</v>
      </c>
    </row>
    <row r="3942" spans="1:40" x14ac:dyDescent="0.25">
      <c r="A3942" t="str">
        <f>"20190312172155582"</f>
        <v>20190312172155582</v>
      </c>
      <c r="B3942" t="str">
        <f>"1552382515574804"</f>
        <v>1552382515574804</v>
      </c>
      <c r="C3942" t="s">
        <v>40</v>
      </c>
      <c r="D3942">
        <v>3.0070579999999998</v>
      </c>
      <c r="E3942">
        <v>0.4758944</v>
      </c>
      <c r="F3942" t="s">
        <v>46</v>
      </c>
      <c r="G3942">
        <v>-374.34859999999998</v>
      </c>
      <c r="H3942" s="1">
        <v>7.7731140000000001E-7</v>
      </c>
      <c r="I3942">
        <v>215.06819999999999</v>
      </c>
      <c r="J3942">
        <v>-394.30220000000003</v>
      </c>
      <c r="K3942">
        <v>1.1103829999999999</v>
      </c>
      <c r="L3942">
        <v>213.8647</v>
      </c>
      <c r="M3942">
        <v>0.99988350000000004</v>
      </c>
      <c r="N3942">
        <v>0</v>
      </c>
      <c r="O3942">
        <v>8.5563900000000005E-3</v>
      </c>
      <c r="P3942">
        <v>0.99559589999999998</v>
      </c>
      <c r="Q3942">
        <v>9.3689369999999994E-2</v>
      </c>
      <c r="R3942">
        <v>-3.3287249999999998E-3</v>
      </c>
      <c r="S3942">
        <v>3.0298159999999998</v>
      </c>
      <c r="T3942">
        <v>-0.16682739999999999</v>
      </c>
      <c r="U3942">
        <v>0.18110660000000001</v>
      </c>
      <c r="V3942">
        <v>1.183007E-2</v>
      </c>
      <c r="W3942">
        <v>0.1062732</v>
      </c>
      <c r="X3942">
        <v>0.9942666</v>
      </c>
      <c r="Y3942">
        <v>-5.1060120000000001E-2</v>
      </c>
      <c r="Z3942">
        <v>9.33061E-4</v>
      </c>
      <c r="AA3942">
        <v>0.99869509999999995</v>
      </c>
      <c r="AB3942">
        <v>22</v>
      </c>
      <c r="AC3942">
        <v>19.953600000000002</v>
      </c>
      <c r="AD3942">
        <v>-1.1103822226886</v>
      </c>
      <c r="AE3942">
        <v>1.20349999999999</v>
      </c>
      <c r="AF3942">
        <v>-1.02953488360496</v>
      </c>
      <c r="AG3942">
        <v>-1.1103822226886</v>
      </c>
      <c r="AH3942">
        <v>19.9017610222554</v>
      </c>
      <c r="AI3942">
        <v>93.189146495527496</v>
      </c>
      <c r="AJ3942">
        <v>92.961319306210001</v>
      </c>
      <c r="AK3942">
        <v>19.959283116985599</v>
      </c>
      <c r="AL3942">
        <v>83.899474034891597</v>
      </c>
      <c r="AM3942">
        <v>89.318310502201896</v>
      </c>
      <c r="AN3942">
        <v>1.000000007735</v>
      </c>
    </row>
    <row r="3943" spans="1:40" x14ac:dyDescent="0.25">
      <c r="A3943" t="str">
        <f>"20190312172155606"</f>
        <v>20190312172155606</v>
      </c>
      <c r="B3943" t="str">
        <f>"1552382515594323"</f>
        <v>1552382515594323</v>
      </c>
      <c r="C3943" t="s">
        <v>40</v>
      </c>
      <c r="D3943">
        <v>3.010545</v>
      </c>
      <c r="E3943">
        <v>0.47601110000000002</v>
      </c>
      <c r="F3943" t="s">
        <v>46</v>
      </c>
      <c r="G3943">
        <v>-374.1234</v>
      </c>
      <c r="H3943" s="1">
        <v>6.5745569999999998E-7</v>
      </c>
      <c r="I3943">
        <v>215.0812</v>
      </c>
      <c r="J3943">
        <v>-394.07409999999999</v>
      </c>
      <c r="K3943">
        <v>1.110406</v>
      </c>
      <c r="L3943">
        <v>213.86680000000001</v>
      </c>
      <c r="M3943">
        <v>0.99988279999999996</v>
      </c>
      <c r="N3943">
        <v>0</v>
      </c>
      <c r="O3943">
        <v>8.7348789999999992E-3</v>
      </c>
      <c r="P3943">
        <v>0.99556979999999995</v>
      </c>
      <c r="Q3943">
        <v>9.3997960000000005E-2</v>
      </c>
      <c r="R3943">
        <v>-2.304969E-3</v>
      </c>
      <c r="S3943">
        <v>3.0296020000000001</v>
      </c>
      <c r="T3943">
        <v>-0.16670969999999999</v>
      </c>
      <c r="U3943">
        <v>0.1826477</v>
      </c>
      <c r="V3943">
        <v>1.097736E-2</v>
      </c>
      <c r="W3943">
        <v>0.1065202</v>
      </c>
      <c r="X3943">
        <v>0.99424990000000002</v>
      </c>
      <c r="Y3943">
        <v>-5.1392100000000003E-2</v>
      </c>
      <c r="Z3943">
        <v>9.3176999999999995E-4</v>
      </c>
      <c r="AA3943">
        <v>0.99867810000000001</v>
      </c>
      <c r="AB3943">
        <v>22</v>
      </c>
      <c r="AC3943">
        <v>19.950699999999902</v>
      </c>
      <c r="AD3943">
        <v>-1.1104053425442999</v>
      </c>
      <c r="AE3943">
        <v>1.2143999999999799</v>
      </c>
      <c r="AF3943">
        <v>-1.0368728176199</v>
      </c>
      <c r="AG3943">
        <v>-1.1104053425442999</v>
      </c>
      <c r="AH3943">
        <v>19.8991321934413</v>
      </c>
      <c r="AI3943">
        <v>93.1895713086505</v>
      </c>
      <c r="AJ3943">
        <v>92.982781206461894</v>
      </c>
      <c r="AK3943">
        <v>19.957043050430102</v>
      </c>
      <c r="AL3943">
        <v>83.885240892598205</v>
      </c>
      <c r="AM3943">
        <v>89.367431826333402</v>
      </c>
      <c r="AN3943">
        <v>0.99999995954530896</v>
      </c>
    </row>
    <row r="3944" spans="1:40" x14ac:dyDescent="0.25">
      <c r="A3944" t="str">
        <f>"20190312172155627"</f>
        <v>20190312172155627</v>
      </c>
      <c r="B3944" t="str">
        <f>"1552382515614819"</f>
        <v>1552382515614819</v>
      </c>
      <c r="C3944" t="s">
        <v>40</v>
      </c>
      <c r="D3944">
        <v>3.0242119999999999</v>
      </c>
      <c r="E3944">
        <v>0.47608679999999898</v>
      </c>
      <c r="F3944" t="s">
        <v>46</v>
      </c>
      <c r="G3944">
        <v>-373.87560000000002</v>
      </c>
      <c r="H3944" s="1">
        <v>5.2559529999999999E-7</v>
      </c>
      <c r="I3944">
        <v>215.09870000000001</v>
      </c>
      <c r="J3944">
        <v>-393.86360000000002</v>
      </c>
      <c r="K3944">
        <v>1.1104210000000001</v>
      </c>
      <c r="L3944">
        <v>213.8689</v>
      </c>
      <c r="M3944">
        <v>0.99988189999999999</v>
      </c>
      <c r="N3944">
        <v>0</v>
      </c>
      <c r="O3944">
        <v>8.9238159999999993E-3</v>
      </c>
      <c r="P3944">
        <v>0.99554730000000002</v>
      </c>
      <c r="Q3944">
        <v>9.4254420000000005E-2</v>
      </c>
      <c r="R3944">
        <v>-1.4072780000000001E-3</v>
      </c>
      <c r="S3944">
        <v>3.029541</v>
      </c>
      <c r="T3944">
        <v>-0.16654749999999999</v>
      </c>
      <c r="U3944">
        <v>0.18476870000000001</v>
      </c>
      <c r="V3944">
        <v>1.026271E-2</v>
      </c>
      <c r="W3944">
        <v>0.10671650000000001</v>
      </c>
      <c r="X3944">
        <v>0.99423649999999997</v>
      </c>
      <c r="Y3944">
        <v>-5.1900849999999998E-2</v>
      </c>
      <c r="Z3944">
        <v>9.3445659999999995E-4</v>
      </c>
      <c r="AA3944">
        <v>0.99865179999999998</v>
      </c>
      <c r="AB3944">
        <v>22</v>
      </c>
      <c r="AC3944">
        <v>19.988</v>
      </c>
      <c r="AD3944">
        <v>-1.1104204744046999</v>
      </c>
      <c r="AE3944">
        <v>1.22980000000001</v>
      </c>
      <c r="AF3944">
        <v>-1.0481451496766501</v>
      </c>
      <c r="AG3944">
        <v>-1.1104204744046999</v>
      </c>
      <c r="AH3944">
        <v>19.9368804858841</v>
      </c>
      <c r="AI3944">
        <v>93.183510533823195</v>
      </c>
      <c r="AJ3944">
        <v>93.009450561246496</v>
      </c>
      <c r="AK3944">
        <v>19.995270575643399</v>
      </c>
      <c r="AL3944">
        <v>83.873929357266903</v>
      </c>
      <c r="AM3944">
        <v>89.408602392923399</v>
      </c>
      <c r="AN3944">
        <v>0.99999997626052095</v>
      </c>
    </row>
    <row r="3945" spans="1:40" x14ac:dyDescent="0.25">
      <c r="A3945" t="str">
        <f>"20190312172155648"</f>
        <v>20190312172155648</v>
      </c>
      <c r="B3945" t="str">
        <f>"1552382515645076"</f>
        <v>1552382515645076</v>
      </c>
      <c r="C3945" t="s">
        <v>40</v>
      </c>
      <c r="D3945">
        <v>3.0392579999999998</v>
      </c>
      <c r="E3945">
        <v>0.47625699999999999</v>
      </c>
      <c r="F3945" t="s">
        <v>46</v>
      </c>
      <c r="G3945">
        <v>-373.36040000000003</v>
      </c>
      <c r="H3945" s="1">
        <v>2.514452E-7</v>
      </c>
      <c r="I3945">
        <v>215.13290000000001</v>
      </c>
      <c r="J3945">
        <v>-393.6653</v>
      </c>
      <c r="K3945">
        <v>1.1104309999999999</v>
      </c>
      <c r="L3945">
        <v>213.87090000000001</v>
      </c>
      <c r="M3945">
        <v>0.99988089999999996</v>
      </c>
      <c r="N3945">
        <v>0</v>
      </c>
      <c r="O3945">
        <v>9.1204440000000001E-3</v>
      </c>
      <c r="P3945">
        <v>0.99555919999999998</v>
      </c>
      <c r="Q3945">
        <v>9.413552E-2</v>
      </c>
      <c r="R3945">
        <v>-6.1561419999999996E-4</v>
      </c>
      <c r="S3945">
        <v>3.029175</v>
      </c>
      <c r="T3945">
        <v>-0.1640556</v>
      </c>
      <c r="U3945">
        <v>0.18675230000000001</v>
      </c>
      <c r="V3945">
        <v>9.6636989999999996E-3</v>
      </c>
      <c r="W3945">
        <v>0.1065349</v>
      </c>
      <c r="X3945">
        <v>0.99426199999999998</v>
      </c>
      <c r="Y3945">
        <v>-5.2364840000000003E-2</v>
      </c>
      <c r="Z3945">
        <v>9.2250229999999995E-4</v>
      </c>
      <c r="AA3945">
        <v>0.99862759999999995</v>
      </c>
      <c r="AB3945">
        <v>22</v>
      </c>
      <c r="AC3945">
        <v>20.3048999999999</v>
      </c>
      <c r="AD3945">
        <v>-1.1104307485548</v>
      </c>
      <c r="AE3945">
        <v>1.262</v>
      </c>
      <c r="AF3945">
        <v>-1.0735450867258201</v>
      </c>
      <c r="AG3945">
        <v>-1.1104307485548</v>
      </c>
      <c r="AH3945">
        <v>20.255220887310902</v>
      </c>
      <c r="AI3945">
        <v>93.133536038930501</v>
      </c>
      <c r="AJ3945">
        <v>93.033889600380306</v>
      </c>
      <c r="AK3945">
        <v>20.314022956921299</v>
      </c>
      <c r="AL3945">
        <v>83.884394062613595</v>
      </c>
      <c r="AM3945">
        <v>89.443132964093195</v>
      </c>
      <c r="AN3945">
        <v>0.99999999832018605</v>
      </c>
    </row>
    <row r="3946" spans="1:40" x14ac:dyDescent="0.25">
      <c r="A3946" t="str">
        <f>"20190312172155671"</f>
        <v>20190312172155671</v>
      </c>
      <c r="B3946" t="str">
        <f>"1552382515664596"</f>
        <v>1552382515664596</v>
      </c>
      <c r="C3946" t="s">
        <v>40</v>
      </c>
      <c r="D3946">
        <v>3.0272350000000001</v>
      </c>
      <c r="E3946">
        <v>0.47639120000000001</v>
      </c>
      <c r="F3946" t="s">
        <v>46</v>
      </c>
      <c r="G3946">
        <v>-373.11489999999998</v>
      </c>
      <c r="H3946" s="1">
        <v>1.2078049999999999E-7</v>
      </c>
      <c r="I3946">
        <v>215.14349999999999</v>
      </c>
      <c r="J3946">
        <v>-393.43889999999999</v>
      </c>
      <c r="K3946">
        <v>1.1104350000000001</v>
      </c>
      <c r="L3946">
        <v>213.8732</v>
      </c>
      <c r="M3946">
        <v>0.99987939999999997</v>
      </c>
      <c r="N3946">
        <v>0</v>
      </c>
      <c r="O3946">
        <v>9.3567219999999996E-3</v>
      </c>
      <c r="P3946">
        <v>0.99551279999999998</v>
      </c>
      <c r="Q3946">
        <v>9.4626080000000001E-2</v>
      </c>
      <c r="R3946" s="1">
        <v>-7.1180750000000005E-5</v>
      </c>
      <c r="S3946">
        <v>3.0289609999999998</v>
      </c>
      <c r="T3946">
        <v>-0.1636677</v>
      </c>
      <c r="U3946">
        <v>0.1875763</v>
      </c>
      <c r="V3946">
        <v>9.3511940000000002E-3</v>
      </c>
      <c r="W3946">
        <v>0.1069597</v>
      </c>
      <c r="X3946">
        <v>0.99421939999999998</v>
      </c>
      <c r="Y3946">
        <v>-5.2404390000000002E-2</v>
      </c>
      <c r="Z3946">
        <v>9.0870410000000001E-4</v>
      </c>
      <c r="AA3946">
        <v>0.99862550000000005</v>
      </c>
      <c r="AB3946">
        <v>22</v>
      </c>
      <c r="AC3946">
        <v>20.324000000000002</v>
      </c>
      <c r="AD3946">
        <v>-1.1104348792195</v>
      </c>
      <c r="AE3946">
        <v>1.27029999999999</v>
      </c>
      <c r="AF3946">
        <v>-1.0768616593884499</v>
      </c>
      <c r="AG3946">
        <v>-1.1104348792195</v>
      </c>
      <c r="AH3946">
        <v>20.274709174086102</v>
      </c>
      <c r="AI3946">
        <v>93.130523044353495</v>
      </c>
      <c r="AJ3946">
        <v>93.040325089984705</v>
      </c>
      <c r="AK3946">
        <v>20.3336304861729</v>
      </c>
      <c r="AL3946">
        <v>83.859915072253699</v>
      </c>
      <c r="AM3946">
        <v>89.461116780524506</v>
      </c>
      <c r="AN3946">
        <v>1.0000000187948299</v>
      </c>
    </row>
    <row r="3947" spans="1:40" x14ac:dyDescent="0.25">
      <c r="A3947" t="str">
        <f>"20190312172155692"</f>
        <v>20190312172155692</v>
      </c>
      <c r="B3947" t="str">
        <f>"1552382515684119"</f>
        <v>1552382515684119</v>
      </c>
      <c r="C3947" t="s">
        <v>40</v>
      </c>
      <c r="D3947">
        <v>3.0396580000000002</v>
      </c>
      <c r="E3947">
        <v>0.47644510000000001</v>
      </c>
      <c r="F3947" t="s">
        <v>46</v>
      </c>
      <c r="G3947">
        <v>-372.66539999999998</v>
      </c>
      <c r="H3947" s="1">
        <v>-1.183697E-7</v>
      </c>
      <c r="I3947">
        <v>215.16130000000001</v>
      </c>
      <c r="J3947">
        <v>-393.2235</v>
      </c>
      <c r="K3947">
        <v>1.110433</v>
      </c>
      <c r="L3947">
        <v>213.87549999999999</v>
      </c>
      <c r="M3947">
        <v>0.99987780000000004</v>
      </c>
      <c r="N3947">
        <v>0</v>
      </c>
      <c r="O3947">
        <v>9.5894239999999992E-3</v>
      </c>
      <c r="P3947">
        <v>0.99545839999999997</v>
      </c>
      <c r="Q3947">
        <v>9.5196929999999999E-2</v>
      </c>
      <c r="R3947">
        <v>4.4550960000000001E-4</v>
      </c>
      <c r="S3947">
        <v>3.0289000000000001</v>
      </c>
      <c r="T3947">
        <v>-0.16190860000000001</v>
      </c>
      <c r="U3947">
        <v>0.1878204</v>
      </c>
      <c r="V3947">
        <v>9.0651610000000004E-3</v>
      </c>
      <c r="W3947">
        <v>0.1074807</v>
      </c>
      <c r="X3947">
        <v>0.99416579999999999</v>
      </c>
      <c r="Y3947">
        <v>-5.2255290000000003E-2</v>
      </c>
      <c r="Z3947">
        <v>8.8257229999999997E-4</v>
      </c>
      <c r="AA3947">
        <v>0.9986334</v>
      </c>
      <c r="AB3947">
        <v>22</v>
      </c>
      <c r="AC3947">
        <v>20.5581</v>
      </c>
      <c r="AD3947">
        <v>-1.1104331183697</v>
      </c>
      <c r="AE3947">
        <v>1.28580000000002</v>
      </c>
      <c r="AF3947">
        <v>-1.0854310426901901</v>
      </c>
      <c r="AG3947">
        <v>-1.1104331183697</v>
      </c>
      <c r="AH3947">
        <v>20.509880114018401</v>
      </c>
      <c r="AI3947">
        <v>93.094724256244604</v>
      </c>
      <c r="AJ3947">
        <v>93.029401151221705</v>
      </c>
      <c r="AK3947">
        <v>20.568578087709799</v>
      </c>
      <c r="AL3947">
        <v>83.829890514038695</v>
      </c>
      <c r="AM3947">
        <v>89.477570972900196</v>
      </c>
      <c r="AN3947">
        <v>0.99999995795304197</v>
      </c>
    </row>
    <row r="3948" spans="1:40" x14ac:dyDescent="0.25">
      <c r="A3948" t="str">
        <f>"20190312172155714"</f>
        <v>20190312172155714</v>
      </c>
      <c r="B3948" t="str">
        <f>"1552382515704611"</f>
        <v>1552382515704611</v>
      </c>
      <c r="C3948" t="s">
        <v>40</v>
      </c>
      <c r="D3948">
        <v>3.056826</v>
      </c>
      <c r="E3948">
        <v>0.47648469999999998</v>
      </c>
      <c r="F3948" t="s">
        <v>46</v>
      </c>
      <c r="G3948">
        <v>-372.18970000000002</v>
      </c>
      <c r="H3948" s="1">
        <v>-3.7152370000000001E-7</v>
      </c>
      <c r="I3948">
        <v>215.18799999999999</v>
      </c>
      <c r="J3948">
        <v>-393.0163</v>
      </c>
      <c r="K3948">
        <v>1.1104309999999999</v>
      </c>
      <c r="L3948">
        <v>213.8777</v>
      </c>
      <c r="M3948">
        <v>0.99987619999999999</v>
      </c>
      <c r="N3948">
        <v>0</v>
      </c>
      <c r="O3948">
        <v>9.8135960000000008E-3</v>
      </c>
      <c r="P3948">
        <v>0.99540169999999994</v>
      </c>
      <c r="Q3948">
        <v>9.5784960000000002E-2</v>
      </c>
      <c r="R3948">
        <v>1.018307E-3</v>
      </c>
      <c r="S3948">
        <v>3.0289000000000001</v>
      </c>
      <c r="T3948">
        <v>-0.1599045</v>
      </c>
      <c r="U3948">
        <v>0.1890106</v>
      </c>
      <c r="V3948">
        <v>8.715581E-3</v>
      </c>
      <c r="W3948">
        <v>0.10802920000000001</v>
      </c>
      <c r="X3948">
        <v>0.99410949999999998</v>
      </c>
      <c r="Y3948">
        <v>-5.2423879999999999E-2</v>
      </c>
      <c r="Z3948">
        <v>8.6428199999999996E-4</v>
      </c>
      <c r="AA3948">
        <v>0.99862459999999997</v>
      </c>
      <c r="AB3948">
        <v>22</v>
      </c>
      <c r="AC3948">
        <v>20.8265999999999</v>
      </c>
      <c r="AD3948">
        <v>-1.1104313715237</v>
      </c>
      <c r="AE3948">
        <v>1.31029999999998</v>
      </c>
      <c r="AF3948">
        <v>-1.10271515204532</v>
      </c>
      <c r="AG3948">
        <v>-1.1104313715237</v>
      </c>
      <c r="AH3948">
        <v>20.779617235013198</v>
      </c>
      <c r="AI3948">
        <v>93.054600550518302</v>
      </c>
      <c r="AJ3948">
        <v>93.037674616392906</v>
      </c>
      <c r="AK3948">
        <v>20.838462778503398</v>
      </c>
      <c r="AL3948">
        <v>83.798279883192393</v>
      </c>
      <c r="AM3948">
        <v>89.497687917242004</v>
      </c>
      <c r="AN3948">
        <v>0.99999998369752796</v>
      </c>
    </row>
    <row r="3949" spans="1:40" x14ac:dyDescent="0.25">
      <c r="A3949" t="str">
        <f>"20190312172155736"</f>
        <v>20190312172155736</v>
      </c>
      <c r="B3949" t="str">
        <f>"1552382515724131"</f>
        <v>1552382515724131</v>
      </c>
      <c r="C3949" t="s">
        <v>40</v>
      </c>
      <c r="D3949">
        <v>3.031469</v>
      </c>
      <c r="E3949">
        <v>0.47653020000000001</v>
      </c>
      <c r="F3949" t="s">
        <v>46</v>
      </c>
      <c r="G3949">
        <v>-371.7122</v>
      </c>
      <c r="H3949" s="1">
        <v>-6.2564919999999995E-7</v>
      </c>
      <c r="I3949">
        <v>215.21459999999999</v>
      </c>
      <c r="J3949">
        <v>-392.803</v>
      </c>
      <c r="K3949">
        <v>1.1104290000000001</v>
      </c>
      <c r="L3949">
        <v>213.8801</v>
      </c>
      <c r="M3949">
        <v>0.9998745</v>
      </c>
      <c r="N3949">
        <v>0</v>
      </c>
      <c r="O3949">
        <v>1.0037320000000001E-2</v>
      </c>
      <c r="P3949">
        <v>0.99533709999999997</v>
      </c>
      <c r="Q3949">
        <v>9.6452990000000002E-2</v>
      </c>
      <c r="R3949">
        <v>1.0731079999999999E-3</v>
      </c>
      <c r="S3949">
        <v>3.0289000000000001</v>
      </c>
      <c r="T3949">
        <v>-0.15787509999999999</v>
      </c>
      <c r="U3949">
        <v>0.1900635</v>
      </c>
      <c r="V3949">
        <v>8.8836990000000001E-3</v>
      </c>
      <c r="W3949">
        <v>0.1086611</v>
      </c>
      <c r="X3949">
        <v>0.99403920000000001</v>
      </c>
      <c r="Y3949">
        <v>-5.2547820000000002E-2</v>
      </c>
      <c r="Z3949">
        <v>8.4490330000000003E-4</v>
      </c>
      <c r="AA3949">
        <v>0.99861809999999995</v>
      </c>
      <c r="AB3949">
        <v>22</v>
      </c>
      <c r="AC3949">
        <v>21.090800000000002</v>
      </c>
      <c r="AD3949">
        <v>-1.1104296256491999</v>
      </c>
      <c r="AE3949">
        <v>1.33449999999999</v>
      </c>
      <c r="AF3949">
        <v>-1.11963049244832</v>
      </c>
      <c r="AG3949">
        <v>-1.1104296256491999</v>
      </c>
      <c r="AH3949">
        <v>21.0450286368661</v>
      </c>
      <c r="AI3949">
        <v>93.016122555685897</v>
      </c>
      <c r="AJ3949">
        <v>93.045359627331095</v>
      </c>
      <c r="AK3949">
        <v>21.1040246569145</v>
      </c>
      <c r="AL3949">
        <v>83.761860660128505</v>
      </c>
      <c r="AM3949">
        <v>89.487962940824602</v>
      </c>
      <c r="AN3949">
        <v>1.00000004294888</v>
      </c>
    </row>
    <row r="3950" spans="1:40" x14ac:dyDescent="0.25">
      <c r="A3950" t="str">
        <f>"20190312172155760"</f>
        <v>20190312172155760</v>
      </c>
      <c r="B3950" t="str">
        <f>"1552382515754388"</f>
        <v>1552382515754388</v>
      </c>
      <c r="C3950" t="s">
        <v>40</v>
      </c>
      <c r="D3950">
        <v>3.0592459999999999</v>
      </c>
      <c r="E3950">
        <v>0.47660229999999998</v>
      </c>
      <c r="F3950" t="s">
        <v>46</v>
      </c>
      <c r="G3950">
        <v>-371.21780000000001</v>
      </c>
      <c r="H3950" s="1">
        <v>-8.8875040000000004E-7</v>
      </c>
      <c r="I3950">
        <v>215.2328</v>
      </c>
      <c r="J3950">
        <v>-392.58359999999999</v>
      </c>
      <c r="K3950">
        <v>1.110422</v>
      </c>
      <c r="L3950">
        <v>213.8826</v>
      </c>
      <c r="M3950">
        <v>0.9998726</v>
      </c>
      <c r="N3950">
        <v>0</v>
      </c>
      <c r="O3950">
        <v>1.0256680000000001E-2</v>
      </c>
      <c r="P3950">
        <v>0.99533919999999998</v>
      </c>
      <c r="Q3950">
        <v>9.6435499999999993E-2</v>
      </c>
      <c r="R3950">
        <v>8.2715369999999998E-4</v>
      </c>
      <c r="S3950">
        <v>3.0289609999999998</v>
      </c>
      <c r="T3950">
        <v>-0.1558216</v>
      </c>
      <c r="U3950">
        <v>0.1898193</v>
      </c>
      <c r="V3950">
        <v>9.3490139999999992E-3</v>
      </c>
      <c r="W3950">
        <v>0.10861079999999999</v>
      </c>
      <c r="X3950">
        <v>0.99404040000000005</v>
      </c>
      <c r="Y3950">
        <v>-5.2249480000000001E-2</v>
      </c>
      <c r="Z3950">
        <v>8.1498729999999998E-4</v>
      </c>
      <c r="AA3950">
        <v>0.99863369999999996</v>
      </c>
      <c r="AB3950">
        <v>22</v>
      </c>
      <c r="AC3950">
        <v>21.365799999999901</v>
      </c>
      <c r="AD3950">
        <v>-1.1104228887504</v>
      </c>
      <c r="AE3950">
        <v>1.3502000000000001</v>
      </c>
      <c r="AF3950">
        <v>-1.1279358680173399</v>
      </c>
      <c r="AG3950">
        <v>-1.1104228887504</v>
      </c>
      <c r="AH3950">
        <v>21.321164337028801</v>
      </c>
      <c r="AI3950">
        <v>92.977159790103201</v>
      </c>
      <c r="AJ3950">
        <v>93.028248202082494</v>
      </c>
      <c r="AK3950">
        <v>21.379834587779499</v>
      </c>
      <c r="AL3950">
        <v>83.764759610890195</v>
      </c>
      <c r="AM3950">
        <v>89.461145390370703</v>
      </c>
      <c r="AN3950">
        <v>1.00000001338578</v>
      </c>
    </row>
    <row r="3951" spans="1:40" x14ac:dyDescent="0.25">
      <c r="A3951" t="str">
        <f>"20190312172155782"</f>
        <v>20190312172155782</v>
      </c>
      <c r="B3951" t="str">
        <f>"1552382515774883"</f>
        <v>1552382515774883</v>
      </c>
      <c r="C3951" t="s">
        <v>40</v>
      </c>
      <c r="D3951">
        <v>3.0750660000000001</v>
      </c>
      <c r="E3951">
        <v>0.49308790000000002</v>
      </c>
      <c r="F3951" t="s">
        <v>46</v>
      </c>
      <c r="G3951">
        <v>-370.98869999999999</v>
      </c>
      <c r="H3951" s="1">
        <v>-1.0106459999999999E-6</v>
      </c>
      <c r="I3951">
        <v>215.2261</v>
      </c>
      <c r="J3951">
        <v>-392.36309999999997</v>
      </c>
      <c r="K3951">
        <v>1.1104130000000001</v>
      </c>
      <c r="L3951">
        <v>213.88509999999999</v>
      </c>
      <c r="M3951">
        <v>0.9998707</v>
      </c>
      <c r="N3951">
        <v>0</v>
      </c>
      <c r="O3951">
        <v>1.0470760000000001E-2</v>
      </c>
      <c r="P3951">
        <v>0.99537489999999995</v>
      </c>
      <c r="Q3951">
        <v>9.6067340000000001E-2</v>
      </c>
      <c r="R3951">
        <v>4.9345919999999998E-4</v>
      </c>
      <c r="S3951">
        <v>3.0289920000000001</v>
      </c>
      <c r="T3951">
        <v>-0.15575229999999901</v>
      </c>
      <c r="U3951">
        <v>0.188446</v>
      </c>
      <c r="V3951">
        <v>9.8975320000000006E-3</v>
      </c>
      <c r="W3951">
        <v>0.10821450000000001</v>
      </c>
      <c r="X3951">
        <v>0.99407829999999997</v>
      </c>
      <c r="Y3951">
        <v>-5.1585230000000003E-2</v>
      </c>
      <c r="Z3951">
        <v>7.8658929999999997E-4</v>
      </c>
      <c r="AA3951">
        <v>0.99866829999999995</v>
      </c>
      <c r="AB3951">
        <v>22</v>
      </c>
      <c r="AC3951">
        <v>21.374399999999898</v>
      </c>
      <c r="AD3951">
        <v>-1.1104140106460001</v>
      </c>
      <c r="AE3951">
        <v>1.341</v>
      </c>
      <c r="AF3951">
        <v>-1.1141085480874</v>
      </c>
      <c r="AG3951">
        <v>-1.1104140106460001</v>
      </c>
      <c r="AH3951">
        <v>21.3299294083299</v>
      </c>
      <c r="AI3951">
        <v>92.976019176430597</v>
      </c>
      <c r="AJ3951">
        <v>92.989965928337398</v>
      </c>
      <c r="AK3951">
        <v>21.387850422524899</v>
      </c>
      <c r="AL3951">
        <v>83.787600487384594</v>
      </c>
      <c r="AM3951">
        <v>89.429553915877094</v>
      </c>
      <c r="AN3951">
        <v>1.0000000028404099</v>
      </c>
    </row>
    <row r="3952" spans="1:40" x14ac:dyDescent="0.25">
      <c r="A3952" t="str">
        <f>"20190312172155806"</f>
        <v>20190312172155806</v>
      </c>
      <c r="B3952" t="str">
        <f>"1552382515794403"</f>
        <v>1552382515794403</v>
      </c>
      <c r="C3952" t="s">
        <v>40</v>
      </c>
      <c r="D3952">
        <v>3.1070069999999999</v>
      </c>
      <c r="E3952">
        <v>0.49849719999999997</v>
      </c>
      <c r="F3952" t="s">
        <v>41</v>
      </c>
      <c r="G3952">
        <v>-391.4742</v>
      </c>
      <c r="H3952">
        <v>1.022405</v>
      </c>
      <c r="I3952">
        <v>213.90110000000001</v>
      </c>
      <c r="J3952">
        <v>-392.13819999999998</v>
      </c>
      <c r="K3952">
        <v>1.1104080000000001</v>
      </c>
      <c r="L3952">
        <v>213.8877</v>
      </c>
      <c r="M3952">
        <v>0.99986870000000005</v>
      </c>
      <c r="N3952">
        <v>0</v>
      </c>
      <c r="O3952">
        <v>1.068934E-2</v>
      </c>
      <c r="P3952">
        <v>0.99540470000000003</v>
      </c>
      <c r="Q3952">
        <v>9.5759140000000006E-2</v>
      </c>
      <c r="R3952" s="1">
        <v>-2.9816290000000001E-6</v>
      </c>
      <c r="S3952">
        <v>3.0429379999999999</v>
      </c>
      <c r="T3952">
        <v>-0.30146319999999999</v>
      </c>
      <c r="U3952">
        <v>5.6182860000000001E-2</v>
      </c>
      <c r="V3952">
        <v>1.0613030000000001E-2</v>
      </c>
      <c r="W3952">
        <v>0.1078846</v>
      </c>
      <c r="X3952">
        <v>0.99410679999999996</v>
      </c>
      <c r="Y3952">
        <v>-7.7850649999999999E-3</v>
      </c>
      <c r="Z3952">
        <v>-6.7169440000000005E-4</v>
      </c>
      <c r="AA3952">
        <v>0.99996949999999996</v>
      </c>
      <c r="AB3952">
        <v>22</v>
      </c>
      <c r="AC3952">
        <v>0.66399999999998705</v>
      </c>
      <c r="AD3952">
        <v>-8.8002999999999998E-2</v>
      </c>
      <c r="AE3952">
        <v>1.34000000000185E-2</v>
      </c>
      <c r="AF3952">
        <v>-6.1922606765652203E-3</v>
      </c>
      <c r="AG3952">
        <v>-8.8002999999999998E-2</v>
      </c>
      <c r="AH3952">
        <v>0.65264596573882905</v>
      </c>
      <c r="AI3952">
        <v>97.679121624749996</v>
      </c>
      <c r="AJ3952">
        <v>90.543602160179802</v>
      </c>
      <c r="AK3952">
        <v>0.658581527752225</v>
      </c>
      <c r="AL3952">
        <v>83.806613825124401</v>
      </c>
      <c r="AM3952">
        <v>89.388336619145093</v>
      </c>
      <c r="AN3952">
        <v>1.0000000265645801</v>
      </c>
    </row>
    <row r="3953" spans="1:40" x14ac:dyDescent="0.25">
      <c r="A3953" t="str">
        <f>"20190312172155828"</f>
        <v>20190312172155828</v>
      </c>
      <c r="B3953" t="str">
        <f>"1552382515824659"</f>
        <v>1552382515824659</v>
      </c>
      <c r="C3953" t="s">
        <v>40</v>
      </c>
      <c r="D3953">
        <v>3.0524580000000001</v>
      </c>
      <c r="E3953">
        <v>0.50206640000000002</v>
      </c>
      <c r="F3953" t="s">
        <v>41</v>
      </c>
      <c r="G3953">
        <v>-391.28789999999998</v>
      </c>
      <c r="H3953">
        <v>1.009533</v>
      </c>
      <c r="I3953">
        <v>213.89080000000001</v>
      </c>
      <c r="J3953">
        <v>-391.92329999999998</v>
      </c>
      <c r="K3953">
        <v>1.1105100000000001</v>
      </c>
      <c r="L3953">
        <v>213.8903</v>
      </c>
      <c r="M3953">
        <v>0.99986180000000002</v>
      </c>
      <c r="N3953">
        <v>0</v>
      </c>
      <c r="O3953">
        <v>1.0892229999999999E-2</v>
      </c>
      <c r="P3953">
        <v>0.9954423</v>
      </c>
      <c r="Q3953">
        <v>9.5367419999999994E-2</v>
      </c>
      <c r="R3953">
        <v>-1.495623E-4</v>
      </c>
      <c r="S3953">
        <v>3.0486149999999999</v>
      </c>
      <c r="T3953">
        <v>-0.36167009999999999</v>
      </c>
      <c r="U3953">
        <v>1.1291499999999999E-2</v>
      </c>
      <c r="V3953">
        <v>1.096404E-2</v>
      </c>
      <c r="W3953">
        <v>0.107882199999999</v>
      </c>
      <c r="X3953">
        <v>0.99410319999999996</v>
      </c>
      <c r="Y3953">
        <v>7.0635319999999904E-3</v>
      </c>
      <c r="Z3953">
        <v>-1.7052720000000001E-3</v>
      </c>
      <c r="AA3953">
        <v>0.99997360000000002</v>
      </c>
      <c r="AB3953">
        <v>22</v>
      </c>
      <c r="AC3953">
        <v>0.63540000000000396</v>
      </c>
      <c r="AD3953">
        <v>-0.100977</v>
      </c>
      <c r="AE3953">
        <v>5.0000000001659795E-4</v>
      </c>
      <c r="AF3953">
        <v>6.2633174018598102E-3</v>
      </c>
      <c r="AG3953">
        <v>-0.100977</v>
      </c>
      <c r="AH3953">
        <v>0.61971669886667602</v>
      </c>
      <c r="AI3953">
        <v>99.254014174108605</v>
      </c>
      <c r="AJ3953">
        <v>89.420945997596405</v>
      </c>
      <c r="AK3953">
        <v>0.62792067216176795</v>
      </c>
      <c r="AL3953">
        <v>83.806751826333993</v>
      </c>
      <c r="AM3953">
        <v>89.368106099023805</v>
      </c>
      <c r="AN3953">
        <v>0.99999997575010002</v>
      </c>
    </row>
    <row r="3954" spans="1:40" x14ac:dyDescent="0.25">
      <c r="A3954" t="str">
        <f>"20190312172155851"</f>
        <v>20190312172155851</v>
      </c>
      <c r="B3954" t="str">
        <f>"1552382515844180"</f>
        <v>1552382515844180</v>
      </c>
      <c r="C3954" t="s">
        <v>40</v>
      </c>
      <c r="D3954">
        <v>3.0251009999999998</v>
      </c>
      <c r="E3954">
        <v>0.50342019999999998</v>
      </c>
      <c r="F3954" t="s">
        <v>41</v>
      </c>
      <c r="G3954">
        <v>-391.1028</v>
      </c>
      <c r="H3954">
        <v>1.0009729999999999</v>
      </c>
      <c r="I3954">
        <v>213.88509999999999</v>
      </c>
      <c r="J3954">
        <v>-391.714</v>
      </c>
      <c r="K3954">
        <v>1.1108309999999999</v>
      </c>
      <c r="L3954">
        <v>213.89279999999999</v>
      </c>
      <c r="M3954">
        <v>0.99984220000000001</v>
      </c>
      <c r="N3954">
        <v>0</v>
      </c>
      <c r="O3954">
        <v>1.107178E-2</v>
      </c>
      <c r="P3954">
        <v>0.99555380000000004</v>
      </c>
      <c r="Q3954">
        <v>9.4190769999999993E-2</v>
      </c>
      <c r="R3954">
        <v>-9.6480250000000002E-4</v>
      </c>
      <c r="S3954">
        <v>3.052826</v>
      </c>
      <c r="T3954">
        <v>-0.4077827</v>
      </c>
      <c r="U3954">
        <v>-1.7654420000000001E-2</v>
      </c>
      <c r="V3954">
        <v>1.196348E-2</v>
      </c>
      <c r="W3954">
        <v>0.1080178</v>
      </c>
      <c r="X3954">
        <v>0.99407699999999999</v>
      </c>
      <c r="Y3954">
        <v>1.6609329999999999E-2</v>
      </c>
      <c r="Z3954">
        <v>-2.5768840000000002E-3</v>
      </c>
      <c r="AA3954">
        <v>0.99985869999999999</v>
      </c>
      <c r="AB3954">
        <v>22</v>
      </c>
      <c r="AC3954">
        <v>0.61119999999999597</v>
      </c>
      <c r="AD3954">
        <v>-0.109858</v>
      </c>
      <c r="AE3954">
        <v>-7.6999999999998103E-3</v>
      </c>
      <c r="AF3954">
        <v>1.4014556483461499E-2</v>
      </c>
      <c r="AG3954">
        <v>-0.109858</v>
      </c>
      <c r="AH3954">
        <v>0.59195597953555701</v>
      </c>
      <c r="AI3954">
        <v>100.510729921993</v>
      </c>
      <c r="AJ3954">
        <v>88.643775901458099</v>
      </c>
      <c r="AK3954">
        <v>0.60222675934014203</v>
      </c>
      <c r="AL3954">
        <v>83.798937162763195</v>
      </c>
      <c r="AM3954">
        <v>89.310492223102898</v>
      </c>
      <c r="AN3954">
        <v>1.0000000259497701</v>
      </c>
    </row>
    <row r="3955" spans="1:40" x14ac:dyDescent="0.25">
      <c r="A3955" t="str">
        <f>"20190312172155872"</f>
        <v>20190312172155872</v>
      </c>
      <c r="B3955" t="str">
        <f>"1552382515864677"</f>
        <v>1552382515864677</v>
      </c>
      <c r="C3955" t="s">
        <v>40</v>
      </c>
      <c r="D3955">
        <v>3.069105</v>
      </c>
      <c r="E3955">
        <v>0.50395699999999999</v>
      </c>
      <c r="F3955" t="s">
        <v>41</v>
      </c>
      <c r="G3955">
        <v>-390.91719999999998</v>
      </c>
      <c r="H3955">
        <v>1.00007</v>
      </c>
      <c r="I3955">
        <v>213.88480000000001</v>
      </c>
      <c r="J3955">
        <v>-391.51190000000003</v>
      </c>
      <c r="K3955">
        <v>1.1111960000000001</v>
      </c>
      <c r="L3955">
        <v>213.89519999999999</v>
      </c>
      <c r="M3955">
        <v>0.99981560000000003</v>
      </c>
      <c r="N3955">
        <v>0</v>
      </c>
      <c r="O3955">
        <v>1.123613E-2</v>
      </c>
      <c r="P3955">
        <v>0.99569039999999998</v>
      </c>
      <c r="Q3955">
        <v>9.2731270000000005E-2</v>
      </c>
      <c r="R3955">
        <v>-1.391272E-3</v>
      </c>
      <c r="S3955">
        <v>3.053528</v>
      </c>
      <c r="T3955">
        <v>-0.42444680000000001</v>
      </c>
      <c r="U3955">
        <v>-3.0380250000000001E-2</v>
      </c>
      <c r="V3955">
        <v>1.256003E-2</v>
      </c>
      <c r="W3955">
        <v>0.1082316</v>
      </c>
      <c r="X3955">
        <v>0.99404630000000005</v>
      </c>
      <c r="Y3955">
        <v>2.0876309999999999E-2</v>
      </c>
      <c r="Z3955">
        <v>-2.9984690000000001E-3</v>
      </c>
      <c r="AA3955">
        <v>0.99977760000000004</v>
      </c>
      <c r="AB3955">
        <v>21</v>
      </c>
      <c r="AC3955">
        <v>0.59470000000004497</v>
      </c>
      <c r="AD3955">
        <v>-0.111125999999999</v>
      </c>
      <c r="AE3955">
        <v>-1.03999999999757E-2</v>
      </c>
      <c r="AF3955">
        <v>1.65061143499362E-2</v>
      </c>
      <c r="AG3955">
        <v>-0.111125999999999</v>
      </c>
      <c r="AH3955">
        <v>0.57449223295974206</v>
      </c>
      <c r="AI3955">
        <v>100.943306611217</v>
      </c>
      <c r="AJ3955">
        <v>88.354250019666495</v>
      </c>
      <c r="AK3955">
        <v>0.58537403889991801</v>
      </c>
      <c r="AL3955">
        <v>83.786614549521303</v>
      </c>
      <c r="AM3955">
        <v>89.276091650228906</v>
      </c>
      <c r="AN3955">
        <v>0.99999994006792303</v>
      </c>
    </row>
    <row r="3956" spans="1:40" x14ac:dyDescent="0.25">
      <c r="A3956" t="str">
        <f>"20190312172155894"</f>
        <v>20190312172155894</v>
      </c>
      <c r="B3956" t="str">
        <f>"1552382515884199"</f>
        <v>1552382515884199</v>
      </c>
      <c r="C3956" t="s">
        <v>40</v>
      </c>
      <c r="D3956">
        <v>3.0304470000000001</v>
      </c>
      <c r="E3956">
        <v>0.50466670000000002</v>
      </c>
      <c r="F3956" t="s">
        <v>41</v>
      </c>
      <c r="G3956">
        <v>-390.73390000000001</v>
      </c>
      <c r="H3956">
        <v>1.0007219999999999</v>
      </c>
      <c r="I3956">
        <v>213.8861</v>
      </c>
      <c r="J3956">
        <v>-391.31009999999998</v>
      </c>
      <c r="K3956">
        <v>1.111545</v>
      </c>
      <c r="L3956">
        <v>213.89769999999999</v>
      </c>
      <c r="M3956">
        <v>0.99978350000000005</v>
      </c>
      <c r="N3956">
        <v>0</v>
      </c>
      <c r="O3956">
        <v>1.1393739999999999E-2</v>
      </c>
      <c r="P3956">
        <v>0.99587119999999996</v>
      </c>
      <c r="Q3956">
        <v>9.075888E-2</v>
      </c>
      <c r="R3956">
        <v>-1.862395E-3</v>
      </c>
      <c r="S3956">
        <v>3.0532840000000001</v>
      </c>
      <c r="T3956">
        <v>-0.43367410000000001</v>
      </c>
      <c r="U3956">
        <v>-3.463745E-2</v>
      </c>
      <c r="V3956">
        <v>1.319299E-2</v>
      </c>
      <c r="W3956">
        <v>0.1080875</v>
      </c>
      <c r="X3956">
        <v>0.99405379999999999</v>
      </c>
      <c r="Y3956">
        <v>2.2398459999999999E-2</v>
      </c>
      <c r="Z3956">
        <v>-3.1931189999999999E-3</v>
      </c>
      <c r="AA3956">
        <v>0.99974399999999997</v>
      </c>
      <c r="AB3956">
        <v>21</v>
      </c>
      <c r="AC3956">
        <v>0.57619999999997096</v>
      </c>
      <c r="AD3956">
        <v>-0.110823</v>
      </c>
      <c r="AE3956">
        <v>-1.15999999999871E-2</v>
      </c>
      <c r="AF3956">
        <v>1.7517559848908501E-2</v>
      </c>
      <c r="AG3956">
        <v>-0.110823</v>
      </c>
      <c r="AH3956">
        <v>0.555489786928556</v>
      </c>
      <c r="AI3956">
        <v>101.277197994025</v>
      </c>
      <c r="AJ3956">
        <v>88.193756653154594</v>
      </c>
      <c r="AK3956">
        <v>0.56670760151421296</v>
      </c>
      <c r="AL3956">
        <v>83.794919716960194</v>
      </c>
      <c r="AM3956">
        <v>89.239620362201904</v>
      </c>
      <c r="AN3956">
        <v>0.99999995996791402</v>
      </c>
    </row>
    <row r="3957" spans="1:40" x14ac:dyDescent="0.25">
      <c r="A3957" t="str">
        <f>"20190312172155916"</f>
        <v>20190312172155916</v>
      </c>
      <c r="B3957" t="str">
        <f>"1552382515904962"</f>
        <v>1552382515904962</v>
      </c>
      <c r="C3957" t="s">
        <v>40</v>
      </c>
      <c r="D3957">
        <v>3.2066970000000001</v>
      </c>
      <c r="E3957">
        <v>0.50506700000000004</v>
      </c>
      <c r="F3957" t="s">
        <v>41</v>
      </c>
      <c r="G3957">
        <v>-390.55439999999999</v>
      </c>
      <c r="H3957">
        <v>1.0002869999999999</v>
      </c>
      <c r="I3957">
        <v>213.88740000000001</v>
      </c>
      <c r="J3957">
        <v>-391.11939999999998</v>
      </c>
      <c r="K3957">
        <v>1.1117699999999999</v>
      </c>
      <c r="L3957">
        <v>213.90010000000001</v>
      </c>
      <c r="M3957">
        <v>0.99975449999999999</v>
      </c>
      <c r="N3957">
        <v>0</v>
      </c>
      <c r="O3957">
        <v>1.1571690000000001E-2</v>
      </c>
      <c r="P3957">
        <v>0.99600219999999995</v>
      </c>
      <c r="Q3957">
        <v>8.930747E-2</v>
      </c>
      <c r="R3957">
        <v>-2.0490790000000001E-3</v>
      </c>
      <c r="S3957">
        <v>3.0533450000000002</v>
      </c>
      <c r="T3957">
        <v>-0.44959440000000001</v>
      </c>
      <c r="U3957">
        <v>-4.1229250000000002E-2</v>
      </c>
      <c r="V3957">
        <v>1.355607E-2</v>
      </c>
      <c r="W3957">
        <v>0.10811170000000001</v>
      </c>
      <c r="X3957">
        <v>0.99404630000000005</v>
      </c>
      <c r="Y3957">
        <v>2.4682659999999999E-2</v>
      </c>
      <c r="Z3957">
        <v>-3.502378E-3</v>
      </c>
      <c r="AA3957">
        <v>0.99968919999999994</v>
      </c>
      <c r="AB3957">
        <v>20</v>
      </c>
      <c r="AC3957">
        <v>0.56499999999999695</v>
      </c>
      <c r="AD3957">
        <v>-0.111483</v>
      </c>
      <c r="AE3957">
        <v>-1.26999999999952E-2</v>
      </c>
      <c r="AF3957">
        <v>1.85177307632041E-2</v>
      </c>
      <c r="AG3957">
        <v>-0.111483</v>
      </c>
      <c r="AH3957">
        <v>0.54365944332225002</v>
      </c>
      <c r="AI3957">
        <v>101.581910048118</v>
      </c>
      <c r="AJ3957">
        <v>88.049187209885503</v>
      </c>
      <c r="AK3957">
        <v>0.55528097027998102</v>
      </c>
      <c r="AL3957">
        <v>83.793525089814295</v>
      </c>
      <c r="AM3957">
        <v>89.218690865905998</v>
      </c>
      <c r="AN3957">
        <v>0.99999997662721196</v>
      </c>
    </row>
    <row r="3958" spans="1:40" x14ac:dyDescent="0.25">
      <c r="A3958" t="str">
        <f>"20190312172155938"</f>
        <v>20190312172155938</v>
      </c>
      <c r="B3958" t="str">
        <f>"1552382515934243"</f>
        <v>1552382515934243</v>
      </c>
      <c r="C3958" t="s">
        <v>40</v>
      </c>
      <c r="D3958">
        <v>3.0648770000000001</v>
      </c>
      <c r="E3958">
        <v>0.50535129999999995</v>
      </c>
      <c r="F3958" t="s">
        <v>41</v>
      </c>
      <c r="G3958">
        <v>-390.37709999999998</v>
      </c>
      <c r="H3958">
        <v>0.99986489999999995</v>
      </c>
      <c r="I3958">
        <v>213.8888</v>
      </c>
      <c r="J3958">
        <v>-390.9255</v>
      </c>
      <c r="K3958">
        <v>1.1115759999999999</v>
      </c>
      <c r="L3958">
        <v>213.90260000000001</v>
      </c>
      <c r="M3958">
        <v>0.99975259999999999</v>
      </c>
      <c r="N3958">
        <v>0</v>
      </c>
      <c r="O3958">
        <v>1.181918E-2</v>
      </c>
      <c r="P3958">
        <v>0.99594859999999996</v>
      </c>
      <c r="Q3958">
        <v>8.9903070000000002E-2</v>
      </c>
      <c r="R3958">
        <v>-1.9735289999999999E-3</v>
      </c>
      <c r="S3958">
        <v>3.0531920000000001</v>
      </c>
      <c r="T3958">
        <v>-0.46045199999999997</v>
      </c>
      <c r="U3958">
        <v>-4.4860839999999999E-2</v>
      </c>
      <c r="V3958">
        <v>1.3717439999999999E-2</v>
      </c>
      <c r="W3958">
        <v>0.1086526</v>
      </c>
      <c r="X3958">
        <v>0.99398509999999995</v>
      </c>
      <c r="Y3958">
        <v>2.608195E-2</v>
      </c>
      <c r="Z3958">
        <v>-3.728206E-3</v>
      </c>
      <c r="AA3958">
        <v>0.99965289999999996</v>
      </c>
      <c r="AB3958">
        <v>20</v>
      </c>
      <c r="AC3958">
        <v>0.54840000000001499</v>
      </c>
      <c r="AD3958">
        <v>-0.11171109999999999</v>
      </c>
      <c r="AE3958">
        <v>-1.3800000000003299E-2</v>
      </c>
      <c r="AF3958">
        <v>1.9474248720083E-2</v>
      </c>
      <c r="AG3958">
        <v>-0.11171109999999999</v>
      </c>
      <c r="AH3958">
        <v>0.52637052453451805</v>
      </c>
      <c r="AI3958">
        <v>101.974087686765</v>
      </c>
      <c r="AJ3958">
        <v>87.881181544677005</v>
      </c>
      <c r="AK3958">
        <v>0.53844641824898898</v>
      </c>
      <c r="AL3958">
        <v>83.762350101334405</v>
      </c>
      <c r="AM3958">
        <v>89.209342747706103</v>
      </c>
      <c r="AN3958">
        <v>0.99999996733446095</v>
      </c>
    </row>
    <row r="3959" spans="1:40" x14ac:dyDescent="0.25">
      <c r="A3959" t="str">
        <f>"20190312172155972"</f>
        <v>20190312172155972</v>
      </c>
      <c r="B3959" t="str">
        <f>"1552382515964499"</f>
        <v>1552382515964499</v>
      </c>
      <c r="C3959" t="s">
        <v>40</v>
      </c>
      <c r="D3959">
        <v>3.0712830000000002</v>
      </c>
      <c r="E3959">
        <v>0.50563230000000003</v>
      </c>
      <c r="F3959" t="s">
        <v>41</v>
      </c>
      <c r="G3959">
        <v>-390.19639999999998</v>
      </c>
      <c r="H3959">
        <v>1.0009619999999999</v>
      </c>
      <c r="I3959">
        <v>213.8912</v>
      </c>
      <c r="J3959">
        <v>-390.61380000000003</v>
      </c>
      <c r="K3959">
        <v>1.111013</v>
      </c>
      <c r="L3959">
        <v>213.9068</v>
      </c>
      <c r="M3959">
        <v>0.99977700000000003</v>
      </c>
      <c r="N3959">
        <v>0</v>
      </c>
      <c r="O3959">
        <v>1.2261029999999999E-2</v>
      </c>
      <c r="P3959">
        <v>0.99567249999999996</v>
      </c>
      <c r="Q3959">
        <v>9.292164E-2</v>
      </c>
      <c r="R3959">
        <v>-1.441622E-3</v>
      </c>
      <c r="S3959">
        <v>3.0539550000000002</v>
      </c>
      <c r="T3959">
        <v>-0.46339049999999998</v>
      </c>
      <c r="U3959">
        <v>-4.7027590000000001E-2</v>
      </c>
      <c r="V3959">
        <v>1.360363E-2</v>
      </c>
      <c r="W3959">
        <v>0.1100347</v>
      </c>
      <c r="X3959">
        <v>0.99383469999999996</v>
      </c>
      <c r="Y3959">
        <v>2.720566E-2</v>
      </c>
      <c r="Z3959">
        <v>-3.9021640000000001E-3</v>
      </c>
      <c r="AA3959">
        <v>0.99962220000000002</v>
      </c>
      <c r="AB3959">
        <v>20</v>
      </c>
      <c r="AC3959">
        <v>0.41740000000004301</v>
      </c>
      <c r="AD3959">
        <v>-0.110050999999999</v>
      </c>
      <c r="AE3959">
        <v>-1.5600000000006199E-2</v>
      </c>
      <c r="AF3959">
        <v>1.9372521062340602E-2</v>
      </c>
      <c r="AG3959">
        <v>-0.110050999999999</v>
      </c>
      <c r="AH3959">
        <v>0.39009724566881199</v>
      </c>
      <c r="AI3959">
        <v>105.73595084350001</v>
      </c>
      <c r="AJ3959">
        <v>87.156984328649898</v>
      </c>
      <c r="AK3959">
        <v>0.40578612377914602</v>
      </c>
      <c r="AL3959">
        <v>83.682684457189794</v>
      </c>
      <c r="AM3959">
        <v>89.215783155896801</v>
      </c>
      <c r="AN3959">
        <v>1.0000000524386701</v>
      </c>
    </row>
    <row r="3960" spans="1:40" x14ac:dyDescent="0.25">
      <c r="A3960" t="str">
        <f>"20190312172155994"</f>
        <v>20190312172155994</v>
      </c>
      <c r="B3960" t="str">
        <f>"1552382515984995"</f>
        <v>1552382515984995</v>
      </c>
      <c r="C3960" t="s">
        <v>40</v>
      </c>
      <c r="D3960">
        <v>3.205454</v>
      </c>
      <c r="E3960">
        <v>0.5057315</v>
      </c>
      <c r="F3960" t="s">
        <v>41</v>
      </c>
      <c r="G3960">
        <v>-389.8356</v>
      </c>
      <c r="H3960">
        <v>0.99435510000000005</v>
      </c>
      <c r="I3960">
        <v>213.8947</v>
      </c>
      <c r="J3960">
        <v>-390.40800000000002</v>
      </c>
      <c r="K3960">
        <v>1.110892</v>
      </c>
      <c r="L3960">
        <v>213.90979999999999</v>
      </c>
      <c r="M3960">
        <v>0.99978140000000004</v>
      </c>
      <c r="N3960">
        <v>0</v>
      </c>
      <c r="O3960">
        <v>1.257048E-2</v>
      </c>
      <c r="P3960">
        <v>0.99552209999999997</v>
      </c>
      <c r="Q3960">
        <v>9.4524639999999993E-2</v>
      </c>
      <c r="R3960">
        <v>-1.0262520000000001E-3</v>
      </c>
      <c r="S3960">
        <v>3.0557249999999998</v>
      </c>
      <c r="T3960">
        <v>-0.45809319999999998</v>
      </c>
      <c r="U3960">
        <v>-4.7271729999999998E-2</v>
      </c>
      <c r="V3960">
        <v>1.3487570000000001E-2</v>
      </c>
      <c r="W3960">
        <v>0.111154</v>
      </c>
      <c r="X3960">
        <v>0.99371169999999998</v>
      </c>
      <c r="Y3960">
        <v>2.7588850000000002E-2</v>
      </c>
      <c r="Z3960">
        <v>-3.9305219999999997E-3</v>
      </c>
      <c r="AA3960">
        <v>0.99961160000000004</v>
      </c>
      <c r="AB3960">
        <v>20</v>
      </c>
      <c r="AC3960">
        <v>0.57240000000001601</v>
      </c>
      <c r="AD3960">
        <v>-0.1165369</v>
      </c>
      <c r="AE3960">
        <v>-1.5099999999989599E-2</v>
      </c>
      <c r="AF3960">
        <v>2.1408386857199702E-2</v>
      </c>
      <c r="AG3960">
        <v>-0.1165369</v>
      </c>
      <c r="AH3960">
        <v>0.549407646012671</v>
      </c>
      <c r="AI3960">
        <v>101.966902143518</v>
      </c>
      <c r="AJ3960">
        <v>87.768524028261893</v>
      </c>
      <c r="AK3960">
        <v>0.56203908190322704</v>
      </c>
      <c r="AL3960">
        <v>83.618157343531394</v>
      </c>
      <c r="AM3960">
        <v>89.222376684141196</v>
      </c>
      <c r="AN3960">
        <v>1.0000000344886899</v>
      </c>
    </row>
    <row r="3961" spans="1:40" x14ac:dyDescent="0.25">
      <c r="A3961" t="str">
        <f>"20190312172156017"</f>
        <v>20190312172156017</v>
      </c>
      <c r="B3961" t="str">
        <f>"1552382516014782"</f>
        <v>1552382516014782</v>
      </c>
      <c r="C3961" t="s">
        <v>40</v>
      </c>
      <c r="D3961">
        <v>3.2209460000000001</v>
      </c>
      <c r="E3961">
        <v>0.50578679999999998</v>
      </c>
      <c r="F3961" t="s">
        <v>41</v>
      </c>
      <c r="G3961">
        <v>-389.65309999999999</v>
      </c>
      <c r="H3961">
        <v>0.99837909999999996</v>
      </c>
      <c r="I3961">
        <v>213.898</v>
      </c>
      <c r="J3961">
        <v>-390.2106</v>
      </c>
      <c r="K3961">
        <v>1.110868</v>
      </c>
      <c r="L3961">
        <v>213.9127</v>
      </c>
      <c r="M3961">
        <v>0.99977990000000005</v>
      </c>
      <c r="N3961">
        <v>0</v>
      </c>
      <c r="O3961">
        <v>1.290844E-2</v>
      </c>
      <c r="P3961">
        <v>0.99541619999999997</v>
      </c>
      <c r="Q3961">
        <v>9.5636250000000006E-2</v>
      </c>
      <c r="R3961">
        <v>-8.0811979999999999E-4</v>
      </c>
      <c r="S3961">
        <v>3.0567630000000001</v>
      </c>
      <c r="T3961">
        <v>-0.45584710000000001</v>
      </c>
      <c r="U3961">
        <v>-4.6371460000000003E-2</v>
      </c>
      <c r="V3961">
        <v>1.360282E-2</v>
      </c>
      <c r="W3961">
        <v>0.1120951</v>
      </c>
      <c r="X3961">
        <v>0.99360440000000005</v>
      </c>
      <c r="Y3961">
        <v>2.7627639999999998E-2</v>
      </c>
      <c r="Z3961">
        <v>-3.9631529999999996E-3</v>
      </c>
      <c r="AA3961">
        <v>0.99961040000000001</v>
      </c>
      <c r="AB3961">
        <v>20</v>
      </c>
      <c r="AC3961">
        <v>0.55750000000000399</v>
      </c>
      <c r="AD3961">
        <v>-0.112488899999999</v>
      </c>
      <c r="AE3961">
        <v>-1.47000000000048E-2</v>
      </c>
      <c r="AF3961">
        <v>2.1040206730923602E-2</v>
      </c>
      <c r="AG3961">
        <v>-0.112488899999999</v>
      </c>
      <c r="AH3961">
        <v>0.53547815827698497</v>
      </c>
      <c r="AI3961">
        <v>101.854834571078</v>
      </c>
      <c r="AJ3961">
        <v>87.749870453523499</v>
      </c>
      <c r="AK3961">
        <v>0.54757036161045203</v>
      </c>
      <c r="AL3961">
        <v>83.563897128390096</v>
      </c>
      <c r="AM3961">
        <v>89.215648110508695</v>
      </c>
      <c r="AN3961">
        <v>1.00000002592766</v>
      </c>
    </row>
    <row r="3962" spans="1:40" x14ac:dyDescent="0.25">
      <c r="A3962" t="str">
        <f>"20190312172156041"</f>
        <v>20190312172156041</v>
      </c>
      <c r="B3962" t="str">
        <f>"1552382516034302"</f>
        <v>1552382516034302</v>
      </c>
      <c r="C3962" t="s">
        <v>40</v>
      </c>
      <c r="D3962">
        <v>3.1276069999999998</v>
      </c>
      <c r="E3962">
        <v>0.50591869999999906</v>
      </c>
      <c r="F3962" t="s">
        <v>41</v>
      </c>
      <c r="G3962">
        <v>-389.47210000000001</v>
      </c>
      <c r="H3962">
        <v>1.0009749999999999</v>
      </c>
      <c r="I3962">
        <v>213.90119999999999</v>
      </c>
      <c r="J3962">
        <v>-389.99889999999999</v>
      </c>
      <c r="K3962">
        <v>1.1107849999999999</v>
      </c>
      <c r="L3962">
        <v>213.91589999999999</v>
      </c>
      <c r="M3962">
        <v>0.99978080000000003</v>
      </c>
      <c r="N3962">
        <v>0</v>
      </c>
      <c r="O3962">
        <v>1.3330160000000001E-2</v>
      </c>
      <c r="P3962">
        <v>0.9953436</v>
      </c>
      <c r="Q3962">
        <v>9.6389039999999995E-2</v>
      </c>
      <c r="R3962">
        <v>-2.7099600000000002E-4</v>
      </c>
      <c r="S3962">
        <v>3.0574949999999999</v>
      </c>
      <c r="T3962">
        <v>-0.45508969999999999</v>
      </c>
      <c r="U3962">
        <v>-4.6554570000000003E-2</v>
      </c>
      <c r="V3962">
        <v>1.3486430000000001E-2</v>
      </c>
      <c r="W3962">
        <v>0.1124491</v>
      </c>
      <c r="X3962">
        <v>0.99356599999999995</v>
      </c>
      <c r="Y3962">
        <v>2.809729E-2</v>
      </c>
      <c r="Z3962">
        <v>-4.0528780000000002E-3</v>
      </c>
      <c r="AA3962">
        <v>0.99959699999999996</v>
      </c>
      <c r="AB3962">
        <v>20</v>
      </c>
      <c r="AC3962">
        <v>0.52679999999997995</v>
      </c>
      <c r="AD3962">
        <v>-0.10981</v>
      </c>
      <c r="AE3962">
        <v>-1.47000000000048E-2</v>
      </c>
      <c r="AF3962">
        <v>2.0818089872621799E-2</v>
      </c>
      <c r="AG3962">
        <v>-0.10981</v>
      </c>
      <c r="AH3962">
        <v>0.50464721643747901</v>
      </c>
      <c r="AI3962">
        <v>102.26594086114</v>
      </c>
      <c r="AJ3962">
        <v>87.6377304518617</v>
      </c>
      <c r="AK3962">
        <v>0.516875654315466</v>
      </c>
      <c r="AL3962">
        <v>83.543485461560294</v>
      </c>
      <c r="AM3962">
        <v>89.222328392788697</v>
      </c>
      <c r="AN3962">
        <v>1.0000000401204701</v>
      </c>
    </row>
    <row r="3963" spans="1:40" x14ac:dyDescent="0.25">
      <c r="A3963" t="str">
        <f>"20190312172156061"</f>
        <v>20190312172156061</v>
      </c>
      <c r="B3963" t="str">
        <f>"1552382516054799"</f>
        <v>1552382516054799</v>
      </c>
      <c r="C3963" t="s">
        <v>40</v>
      </c>
      <c r="D3963">
        <v>3.1267839999999998</v>
      </c>
      <c r="E3963">
        <v>0.50591299999999995</v>
      </c>
      <c r="F3963" t="s">
        <v>41</v>
      </c>
      <c r="G3963">
        <v>-389.1216</v>
      </c>
      <c r="H3963">
        <v>0.98027010000000003</v>
      </c>
      <c r="I3963">
        <v>213.9025</v>
      </c>
      <c r="J3963">
        <v>-389.80849999999998</v>
      </c>
      <c r="K3963">
        <v>1.110662</v>
      </c>
      <c r="L3963">
        <v>213.9188</v>
      </c>
      <c r="M3963">
        <v>0.99978449999999996</v>
      </c>
      <c r="N3963">
        <v>0</v>
      </c>
      <c r="O3963">
        <v>1.3729470000000001E-2</v>
      </c>
      <c r="P3963">
        <v>0.99526150000000002</v>
      </c>
      <c r="Q3963">
        <v>9.7235039999999995E-2</v>
      </c>
      <c r="R3963" s="1">
        <v>-3.83514E-5</v>
      </c>
      <c r="S3963">
        <v>3.0580750000000001</v>
      </c>
      <c r="T3963">
        <v>-0.45506210000000002</v>
      </c>
      <c r="U3963">
        <v>-4.5639039999999999E-2</v>
      </c>
      <c r="V3963">
        <v>1.3651399999999999E-2</v>
      </c>
      <c r="W3963">
        <v>0.1127272</v>
      </c>
      <c r="X3963">
        <v>0.99353219999999998</v>
      </c>
      <c r="Y3963">
        <v>2.8189140000000001E-2</v>
      </c>
      <c r="Z3963">
        <v>-4.117758E-3</v>
      </c>
      <c r="AA3963">
        <v>0.99959419999999999</v>
      </c>
      <c r="AB3963">
        <v>20</v>
      </c>
      <c r="AC3963">
        <v>0.68689999999997997</v>
      </c>
      <c r="AD3963">
        <v>-0.13039190000000001</v>
      </c>
      <c r="AE3963">
        <v>-1.6300000000001001E-2</v>
      </c>
      <c r="AF3963">
        <v>2.4835941513982499E-2</v>
      </c>
      <c r="AG3963">
        <v>-0.13039190000000001</v>
      </c>
      <c r="AH3963">
        <v>0.66274347127443101</v>
      </c>
      <c r="AI3963">
        <v>101.122919714422</v>
      </c>
      <c r="AJ3963">
        <v>87.853876904808303</v>
      </c>
      <c r="AK3963">
        <v>0.67590515628553904</v>
      </c>
      <c r="AL3963">
        <v>83.527449332594898</v>
      </c>
      <c r="AM3963">
        <v>89.212790096879701</v>
      </c>
      <c r="AN3963">
        <v>1.0000000073893101</v>
      </c>
    </row>
    <row r="3964" spans="1:40" x14ac:dyDescent="0.25">
      <c r="A3964" t="str">
        <f>"20190312172156084"</f>
        <v>20190312172156084</v>
      </c>
      <c r="B3964" t="str">
        <f>"1552382516074321"</f>
        <v>1552382516074321</v>
      </c>
      <c r="C3964" t="s">
        <v>40</v>
      </c>
      <c r="D3964">
        <v>3.0458080000000001</v>
      </c>
      <c r="E3964">
        <v>0.50603279999999995</v>
      </c>
      <c r="F3964" t="s">
        <v>41</v>
      </c>
      <c r="G3964">
        <v>-388.93979999999999</v>
      </c>
      <c r="H3964">
        <v>0.98238740000000002</v>
      </c>
      <c r="I3964">
        <v>213.90559999999999</v>
      </c>
      <c r="J3964">
        <v>-389.60480000000001</v>
      </c>
      <c r="K3964">
        <v>1.110584</v>
      </c>
      <c r="L3964">
        <v>213.9221</v>
      </c>
      <c r="M3964">
        <v>0.99978699999999998</v>
      </c>
      <c r="N3964">
        <v>0</v>
      </c>
      <c r="O3964">
        <v>1.413943E-2</v>
      </c>
      <c r="P3964">
        <v>0.99524650000000003</v>
      </c>
      <c r="Q3964">
        <v>9.7389100000000006E-2</v>
      </c>
      <c r="R3964">
        <v>3.5569280000000001E-4</v>
      </c>
      <c r="S3964">
        <v>3.058411</v>
      </c>
      <c r="T3964">
        <v>-0.45182290000000003</v>
      </c>
      <c r="U3964">
        <v>-4.483032E-2</v>
      </c>
      <c r="V3964">
        <v>1.3664920000000001E-2</v>
      </c>
      <c r="W3964">
        <v>0.1123463</v>
      </c>
      <c r="X3964">
        <v>0.99357519999999999</v>
      </c>
      <c r="Y3964">
        <v>2.83336E-2</v>
      </c>
      <c r="Z3964">
        <v>-4.1591609999999998E-3</v>
      </c>
      <c r="AA3964">
        <v>0.99958990000000003</v>
      </c>
      <c r="AB3964">
        <v>20</v>
      </c>
      <c r="AC3964">
        <v>0.66500000000002002</v>
      </c>
      <c r="AD3964">
        <v>-0.12819659999999999</v>
      </c>
      <c r="AE3964">
        <v>-1.6500000000007699E-2</v>
      </c>
      <c r="AF3964">
        <v>2.497457701891E-2</v>
      </c>
      <c r="AG3964">
        <v>-0.12819659999999999</v>
      </c>
      <c r="AH3964">
        <v>0.64089722756468204</v>
      </c>
      <c r="AI3964">
        <v>101.303049495716</v>
      </c>
      <c r="AJ3964">
        <v>87.768418780559898</v>
      </c>
      <c r="AK3964">
        <v>0.65406983881610803</v>
      </c>
      <c r="AL3964">
        <v>83.549413090126606</v>
      </c>
      <c r="AM3964">
        <v>89.2120446607817</v>
      </c>
      <c r="AN3964">
        <v>1.0000000496086601</v>
      </c>
    </row>
    <row r="3965" spans="1:40" x14ac:dyDescent="0.25">
      <c r="A3965" t="str">
        <f>"20190312172156105"</f>
        <v>20190312172156105</v>
      </c>
      <c r="B3965" t="str">
        <f>"1552382516094815"</f>
        <v>1552382516094815</v>
      </c>
      <c r="C3965" t="s">
        <v>40</v>
      </c>
      <c r="D3965">
        <v>3.0345900000000001</v>
      </c>
      <c r="E3965">
        <v>0.50621859999999996</v>
      </c>
      <c r="F3965" t="s">
        <v>41</v>
      </c>
      <c r="G3965">
        <v>-388.75779999999997</v>
      </c>
      <c r="H3965">
        <v>0.98513519999999999</v>
      </c>
      <c r="I3965">
        <v>213.90940000000001</v>
      </c>
      <c r="J3965">
        <v>-389.41050000000001</v>
      </c>
      <c r="K3965">
        <v>1.1105609999999999</v>
      </c>
      <c r="L3965">
        <v>213.92519999999999</v>
      </c>
      <c r="M3965">
        <v>0.99978730000000005</v>
      </c>
      <c r="N3965">
        <v>0</v>
      </c>
      <c r="O3965">
        <v>1.45083E-2</v>
      </c>
      <c r="P3965">
        <v>0.99521700000000002</v>
      </c>
      <c r="Q3965">
        <v>9.7685259999999996E-2</v>
      </c>
      <c r="R3965">
        <v>8.083589E-4</v>
      </c>
      <c r="S3965">
        <v>3.0586850000000001</v>
      </c>
      <c r="T3965">
        <v>-0.4530594</v>
      </c>
      <c r="U3965">
        <v>-4.4998169999999997E-2</v>
      </c>
      <c r="V3965">
        <v>1.357826E-2</v>
      </c>
      <c r="W3965">
        <v>0.11226709999999999</v>
      </c>
      <c r="X3965">
        <v>0.9935853</v>
      </c>
      <c r="Y3965">
        <v>2.87449E-2</v>
      </c>
      <c r="Z3965">
        <v>-4.2546750000000003E-3</v>
      </c>
      <c r="AA3965">
        <v>0.99957770000000001</v>
      </c>
      <c r="AB3965">
        <v>20</v>
      </c>
      <c r="AC3965">
        <v>0.65270000000003803</v>
      </c>
      <c r="AD3965">
        <v>-0.1254258</v>
      </c>
      <c r="AE3965">
        <v>-1.5799999999984399E-2</v>
      </c>
      <c r="AF3965">
        <v>2.4369549071067101E-2</v>
      </c>
      <c r="AG3965">
        <v>-0.1254258</v>
      </c>
      <c r="AH3965">
        <v>0.62918171173382997</v>
      </c>
      <c r="AI3965">
        <v>101.265749390884</v>
      </c>
      <c r="AJ3965">
        <v>87.781921036227999</v>
      </c>
      <c r="AK3965">
        <v>0.6420242461215</v>
      </c>
      <c r="AL3965">
        <v>83.553979547767995</v>
      </c>
      <c r="AM3965">
        <v>89.217049038911</v>
      </c>
      <c r="AN3965">
        <v>1.00000000963156</v>
      </c>
    </row>
    <row r="3966" spans="1:40" x14ac:dyDescent="0.25">
      <c r="A3966" t="str">
        <f>"20190312172156241"</f>
        <v>20190312172156241</v>
      </c>
      <c r="B3966" t="str">
        <f>"1552382516234890"</f>
        <v>1552382516234890</v>
      </c>
      <c r="C3966" t="s">
        <v>40</v>
      </c>
      <c r="D3966">
        <v>3.2792340000000002</v>
      </c>
      <c r="E3966">
        <v>0.51481169999999998</v>
      </c>
      <c r="F3966" t="s">
        <v>41</v>
      </c>
      <c r="G3966">
        <v>-387.68060000000003</v>
      </c>
      <c r="H3966">
        <v>0.97013570000000005</v>
      </c>
      <c r="I3966">
        <v>213.9288</v>
      </c>
      <c r="J3966">
        <v>-388.1893</v>
      </c>
      <c r="K3966">
        <v>1.110514</v>
      </c>
      <c r="L3966">
        <v>213.94669999999999</v>
      </c>
      <c r="M3966">
        <v>0.99977709999999997</v>
      </c>
      <c r="N3966">
        <v>0</v>
      </c>
      <c r="O3966">
        <v>1.666465E-2</v>
      </c>
      <c r="P3966">
        <v>0.99500010000000005</v>
      </c>
      <c r="Q3966">
        <v>9.9829520000000005E-2</v>
      </c>
      <c r="R3966">
        <v>2.9859589999999998E-3</v>
      </c>
      <c r="S3966">
        <v>3.0760190000000001</v>
      </c>
      <c r="T3966">
        <v>-0.60504480000000005</v>
      </c>
      <c r="U3966">
        <v>-5.9906010000000003E-2</v>
      </c>
      <c r="V3966">
        <v>1.3548309999999999E-2</v>
      </c>
      <c r="W3966">
        <v>0.1127281</v>
      </c>
      <c r="X3966">
        <v>0.99353349999999996</v>
      </c>
      <c r="Y3966">
        <v>3.5139320000000002E-2</v>
      </c>
      <c r="Z3966">
        <v>-6.6695699999999997E-3</v>
      </c>
      <c r="AA3966">
        <v>0.99936009999999997</v>
      </c>
      <c r="AB3966">
        <v>20</v>
      </c>
      <c r="AC3966">
        <v>0.50869999999997595</v>
      </c>
      <c r="AD3966">
        <v>-0.14037829999999901</v>
      </c>
      <c r="AE3966">
        <v>-1.78999999999973E-2</v>
      </c>
      <c r="AF3966">
        <v>2.4511279771518301E-2</v>
      </c>
      <c r="AG3966">
        <v>-0.14037829999999901</v>
      </c>
      <c r="AH3966">
        <v>0.472401586808045</v>
      </c>
      <c r="AI3966">
        <v>106.528762464067</v>
      </c>
      <c r="AJ3966">
        <v>87.029784309361503</v>
      </c>
      <c r="AK3966">
        <v>0.49342692383542103</v>
      </c>
      <c r="AL3966">
        <v>83.527397377346304</v>
      </c>
      <c r="AM3966">
        <v>89.2187350787284</v>
      </c>
      <c r="AN3966">
        <v>0.99999999842785703</v>
      </c>
    </row>
    <row r="3967" spans="1:40" x14ac:dyDescent="0.25">
      <c r="A3967" t="str">
        <f>"20190312172156263"</f>
        <v>20190312172156263</v>
      </c>
      <c r="B3967" t="str">
        <f>"1552382516254409"</f>
        <v>1552382516254409</v>
      </c>
      <c r="C3967" t="s">
        <v>40</v>
      </c>
      <c r="D3967">
        <v>3.0301800000000001</v>
      </c>
      <c r="E3967">
        <v>0.51436329999999997</v>
      </c>
      <c r="F3967" t="s">
        <v>41</v>
      </c>
      <c r="G3967">
        <v>-387.30090000000001</v>
      </c>
      <c r="H3967">
        <v>1.006078</v>
      </c>
      <c r="I3967">
        <v>213.91560000000001</v>
      </c>
      <c r="J3967">
        <v>-387.98790000000002</v>
      </c>
      <c r="K3967">
        <v>1.1105119999999999</v>
      </c>
      <c r="L3967">
        <v>213.95050000000001</v>
      </c>
      <c r="M3967">
        <v>0.99977360000000004</v>
      </c>
      <c r="N3967">
        <v>0</v>
      </c>
      <c r="O3967">
        <v>1.7015180000000001E-2</v>
      </c>
      <c r="P3967">
        <v>0.99494680000000002</v>
      </c>
      <c r="Q3967">
        <v>0.1003473</v>
      </c>
      <c r="R3967">
        <v>3.3877780000000001E-3</v>
      </c>
      <c r="S3967">
        <v>3.051361</v>
      </c>
      <c r="T3967">
        <v>-0.358803599999999</v>
      </c>
      <c r="U3967">
        <v>-0.10624690000000001</v>
      </c>
      <c r="V3967">
        <v>1.349474E-2</v>
      </c>
      <c r="W3967">
        <v>0.1130603</v>
      </c>
      <c r="X3967">
        <v>0.9934965</v>
      </c>
      <c r="Y3967">
        <v>5.1329279999999998E-2</v>
      </c>
      <c r="Z3967">
        <v>-5.0001459999999996E-3</v>
      </c>
      <c r="AA3967">
        <v>0.99866929999999998</v>
      </c>
      <c r="AB3967">
        <v>20</v>
      </c>
      <c r="AC3967">
        <v>0.68700000000001105</v>
      </c>
      <c r="AD3967">
        <v>-0.104434</v>
      </c>
      <c r="AE3967">
        <v>-3.48999999999932E-2</v>
      </c>
      <c r="AF3967">
        <v>4.5535778026703402E-2</v>
      </c>
      <c r="AG3967">
        <v>-0.104434</v>
      </c>
      <c r="AH3967">
        <v>0.67084439530628304</v>
      </c>
      <c r="AI3967">
        <v>98.828527260909297</v>
      </c>
      <c r="AJ3967">
        <v>86.116816377915498</v>
      </c>
      <c r="AK3967">
        <v>0.68044997622922299</v>
      </c>
      <c r="AL3967">
        <v>83.508241378657999</v>
      </c>
      <c r="AM3967">
        <v>89.221794841144899</v>
      </c>
      <c r="AN3967">
        <v>1.0000000174779999</v>
      </c>
    </row>
    <row r="3968" spans="1:40" x14ac:dyDescent="0.25">
      <c r="A3968" t="str">
        <f>"20190312172156285"</f>
        <v>20190312172156285</v>
      </c>
      <c r="B3968" t="str">
        <f>"1552382516274905"</f>
        <v>1552382516274905</v>
      </c>
      <c r="C3968" t="s">
        <v>40</v>
      </c>
      <c r="D3968">
        <v>3.1887889999999999</v>
      </c>
      <c r="E3968">
        <v>0.51211620000000002</v>
      </c>
      <c r="F3968" t="s">
        <v>41</v>
      </c>
      <c r="G3968">
        <v>-387.11070000000001</v>
      </c>
      <c r="H3968">
        <v>1.024637</v>
      </c>
      <c r="I3968">
        <v>213.92070000000001</v>
      </c>
      <c r="J3968">
        <v>-387.78579999999999</v>
      </c>
      <c r="K3968">
        <v>1.1105130000000001</v>
      </c>
      <c r="L3968">
        <v>213.95429999999999</v>
      </c>
      <c r="M3968">
        <v>0.99976960000000004</v>
      </c>
      <c r="N3968">
        <v>0</v>
      </c>
      <c r="O3968">
        <v>1.7368129999999999E-2</v>
      </c>
      <c r="P3968">
        <v>0.99488160000000003</v>
      </c>
      <c r="Q3968">
        <v>0.10098310000000001</v>
      </c>
      <c r="R3968">
        <v>3.6324809999999999E-3</v>
      </c>
      <c r="S3968">
        <v>3.0456539999999999</v>
      </c>
      <c r="T3968">
        <v>-0.29836119999999999</v>
      </c>
      <c r="U3968">
        <v>-0.10182190000000001</v>
      </c>
      <c r="V3968">
        <v>1.3600279999999999E-2</v>
      </c>
      <c r="W3968">
        <v>0.113534</v>
      </c>
      <c r="X3968">
        <v>0.99344100000000002</v>
      </c>
      <c r="Y3968">
        <v>5.0443670000000003E-2</v>
      </c>
      <c r="Z3968">
        <v>-4.1613140000000002E-3</v>
      </c>
      <c r="AA3968">
        <v>0.99871829999999995</v>
      </c>
      <c r="AB3968">
        <v>20</v>
      </c>
      <c r="AC3968">
        <v>0.67509999999998604</v>
      </c>
      <c r="AD3968">
        <v>-8.58759999999998E-2</v>
      </c>
      <c r="AE3968">
        <v>-3.3599999999978501E-2</v>
      </c>
      <c r="AF3968">
        <v>4.46011767020595E-2</v>
      </c>
      <c r="AG3968">
        <v>-8.58759999999998E-2</v>
      </c>
      <c r="AH3968">
        <v>0.66370166753849202</v>
      </c>
      <c r="AI3968">
        <v>97.356100645126702</v>
      </c>
      <c r="AJ3968">
        <v>86.155467213984096</v>
      </c>
      <c r="AK3968">
        <v>0.67071890970255399</v>
      </c>
      <c r="AL3968">
        <v>83.480924224279093</v>
      </c>
      <c r="AM3968">
        <v>89.215665582025807</v>
      </c>
      <c r="AN3968">
        <v>0.999999978626539</v>
      </c>
    </row>
    <row r="3969" spans="1:40" x14ac:dyDescent="0.25">
      <c r="A3969" t="str">
        <f>"20190312172156306"</f>
        <v>20190312172156306</v>
      </c>
      <c r="B3969" t="str">
        <f>"1552382516304186"</f>
        <v>1552382516304186</v>
      </c>
      <c r="C3969" t="s">
        <v>40</v>
      </c>
      <c r="D3969">
        <v>3.1052469999999999</v>
      </c>
      <c r="E3969">
        <v>0.51122690000000004</v>
      </c>
      <c r="F3969" t="s">
        <v>41</v>
      </c>
      <c r="G3969">
        <v>-386.92430000000002</v>
      </c>
      <c r="H3969">
        <v>1.0353300000000001</v>
      </c>
      <c r="I3969">
        <v>213.93049999999999</v>
      </c>
      <c r="J3969">
        <v>-387.5933</v>
      </c>
      <c r="K3969">
        <v>1.110509</v>
      </c>
      <c r="L3969">
        <v>213.9581</v>
      </c>
      <c r="M3969">
        <v>0.99976529999999997</v>
      </c>
      <c r="N3969">
        <v>0</v>
      </c>
      <c r="O3969">
        <v>1.770596E-2</v>
      </c>
      <c r="P3969">
        <v>0.99485889999999999</v>
      </c>
      <c r="Q3969">
        <v>0.1011862</v>
      </c>
      <c r="R3969">
        <v>4.1379210000000001E-3</v>
      </c>
      <c r="S3969">
        <v>3.042694</v>
      </c>
      <c r="T3969">
        <v>-0.26566800000000002</v>
      </c>
      <c r="U3969">
        <v>-8.3038329999999994E-2</v>
      </c>
      <c r="V3969">
        <v>1.343049E-2</v>
      </c>
      <c r="W3969">
        <v>0.1136037</v>
      </c>
      <c r="X3969">
        <v>0.99343539999999997</v>
      </c>
      <c r="Y3969">
        <v>4.4739939999999999E-2</v>
      </c>
      <c r="Z3969">
        <v>-3.4920279999999999E-3</v>
      </c>
      <c r="AA3969">
        <v>0.99899260000000001</v>
      </c>
      <c r="AB3969">
        <v>20</v>
      </c>
      <c r="AC3969">
        <v>0.66899999999998205</v>
      </c>
      <c r="AD3969">
        <v>-7.5179000000000107E-2</v>
      </c>
      <c r="AE3969">
        <v>-2.7600000000006699E-2</v>
      </c>
      <c r="AF3969">
        <v>3.8950840468240697E-2</v>
      </c>
      <c r="AG3969">
        <v>-7.5179000000000107E-2</v>
      </c>
      <c r="AH3969">
        <v>0.66008487779665004</v>
      </c>
      <c r="AI3969">
        <v>96.486399232030806</v>
      </c>
      <c r="AJ3969">
        <v>86.622958762977902</v>
      </c>
      <c r="AK3969">
        <v>0.66549312236115699</v>
      </c>
      <c r="AL3969">
        <v>83.476905080704199</v>
      </c>
      <c r="AM3969">
        <v>89.225451883590594</v>
      </c>
      <c r="AN3969">
        <v>1.0000000363442401</v>
      </c>
    </row>
    <row r="3970" spans="1:40" x14ac:dyDescent="0.25">
      <c r="A3970" t="str">
        <f>"20190312172156330"</f>
        <v>20190312172156330</v>
      </c>
      <c r="B3970" t="str">
        <f>"1552382516324682"</f>
        <v>1552382516324682</v>
      </c>
      <c r="C3970" t="s">
        <v>40</v>
      </c>
      <c r="D3970">
        <v>3.1142259999999999</v>
      </c>
      <c r="E3970">
        <v>0.51110670000000002</v>
      </c>
      <c r="F3970" t="s">
        <v>41</v>
      </c>
      <c r="G3970">
        <v>-386.73899999999998</v>
      </c>
      <c r="H3970">
        <v>1.0431239999999999</v>
      </c>
      <c r="I3970">
        <v>213.93680000000001</v>
      </c>
      <c r="J3970">
        <v>-387.37950000000001</v>
      </c>
      <c r="K3970">
        <v>1.110514</v>
      </c>
      <c r="L3970">
        <v>213.9623</v>
      </c>
      <c r="M3970">
        <v>0.99976030000000005</v>
      </c>
      <c r="N3970">
        <v>0</v>
      </c>
      <c r="O3970">
        <v>1.8082330000000001E-2</v>
      </c>
      <c r="P3970">
        <v>0.99491700000000005</v>
      </c>
      <c r="Q3970">
        <v>0.100615</v>
      </c>
      <c r="R3970">
        <v>4.1795460000000001E-3</v>
      </c>
      <c r="S3970">
        <v>3.040222</v>
      </c>
      <c r="T3970">
        <v>-0.23992250000000001</v>
      </c>
      <c r="U3970">
        <v>-7.4630740000000001E-2</v>
      </c>
      <c r="V3970">
        <v>1.3763900000000001E-2</v>
      </c>
      <c r="W3970">
        <v>0.1129053</v>
      </c>
      <c r="X3970">
        <v>0.99351040000000002</v>
      </c>
      <c r="Y3970">
        <v>4.2426609999999997E-2</v>
      </c>
      <c r="Z3970">
        <v>-3.0959099999999999E-3</v>
      </c>
      <c r="AA3970">
        <v>0.99909479999999995</v>
      </c>
      <c r="AB3970">
        <v>20</v>
      </c>
      <c r="AC3970">
        <v>0.64049999999997398</v>
      </c>
      <c r="AD3970">
        <v>-6.7390000000000005E-2</v>
      </c>
      <c r="AE3970">
        <v>-2.5499999999993798E-2</v>
      </c>
      <c r="AF3970">
        <v>3.6673111412141003E-2</v>
      </c>
      <c r="AG3970">
        <v>-6.7390000000000005E-2</v>
      </c>
      <c r="AH3970">
        <v>0.63293850664720397</v>
      </c>
      <c r="AI3970">
        <v>96.067379391982797</v>
      </c>
      <c r="AJ3970">
        <v>86.683930847865795</v>
      </c>
      <c r="AK3970">
        <v>0.63757155080621397</v>
      </c>
      <c r="AL3970">
        <v>83.517179232884203</v>
      </c>
      <c r="AM3970">
        <v>89.206286181666798</v>
      </c>
      <c r="AN3970">
        <v>0.99999998330972895</v>
      </c>
    </row>
    <row r="3971" spans="1:40" x14ac:dyDescent="0.25">
      <c r="A3971" t="str">
        <f>"20190312172156352"</f>
        <v>20190312172156352</v>
      </c>
      <c r="B3971" t="str">
        <f>"1552382516344205"</f>
        <v>1552382516344205</v>
      </c>
      <c r="C3971" t="s">
        <v>40</v>
      </c>
      <c r="D3971">
        <v>3.1305489999999998</v>
      </c>
      <c r="E3971">
        <v>0.51100869999999998</v>
      </c>
      <c r="F3971" t="s">
        <v>41</v>
      </c>
      <c r="G3971">
        <v>-386.55270000000002</v>
      </c>
      <c r="H3971">
        <v>1.048651</v>
      </c>
      <c r="I3971">
        <v>213.94220000000001</v>
      </c>
      <c r="J3971">
        <v>-387.18400000000003</v>
      </c>
      <c r="K3971">
        <v>1.110517</v>
      </c>
      <c r="L3971">
        <v>213.96629999999999</v>
      </c>
      <c r="M3971">
        <v>0.99975510000000001</v>
      </c>
      <c r="N3971">
        <v>0</v>
      </c>
      <c r="O3971">
        <v>1.8427240000000001E-2</v>
      </c>
      <c r="P3971">
        <v>0.99491240000000003</v>
      </c>
      <c r="Q3971">
        <v>0.1006616</v>
      </c>
      <c r="R3971">
        <v>4.0784369999999999E-3</v>
      </c>
      <c r="S3971">
        <v>3.0386660000000001</v>
      </c>
      <c r="T3971">
        <v>-0.22744420000000001</v>
      </c>
      <c r="U3971">
        <v>-7.3501590000000006E-2</v>
      </c>
      <c r="V3971">
        <v>1.42078E-2</v>
      </c>
      <c r="W3971">
        <v>0.1128494</v>
      </c>
      <c r="X3971">
        <v>0.99351049999999996</v>
      </c>
      <c r="Y3971">
        <v>4.2430669999999997E-2</v>
      </c>
      <c r="Z3971">
        <v>-2.9627939999999999E-3</v>
      </c>
      <c r="AA3971">
        <v>0.99909499999999996</v>
      </c>
      <c r="AB3971">
        <v>20</v>
      </c>
      <c r="AC3971">
        <v>0.63130000000000996</v>
      </c>
      <c r="AD3971">
        <v>-6.18659999999999E-2</v>
      </c>
      <c r="AE3971">
        <v>-2.4099999999975801E-2</v>
      </c>
      <c r="AF3971">
        <v>3.5390516976710397E-2</v>
      </c>
      <c r="AG3971">
        <v>-6.18659999999999E-2</v>
      </c>
      <c r="AH3971">
        <v>0.62475749363388</v>
      </c>
      <c r="AI3971">
        <v>95.646228962469905</v>
      </c>
      <c r="AJ3971">
        <v>86.757841968522698</v>
      </c>
      <c r="AK3971">
        <v>0.62880984128714601</v>
      </c>
      <c r="AL3971">
        <v>83.520402654070494</v>
      </c>
      <c r="AM3971">
        <v>89.180691608057302</v>
      </c>
      <c r="AN3971">
        <v>0.99999998113572397</v>
      </c>
    </row>
    <row r="3972" spans="1:40" x14ac:dyDescent="0.25">
      <c r="A3972" t="str">
        <f>"20190312172156374"</f>
        <v>20190312172156374</v>
      </c>
      <c r="B3972" t="str">
        <f>"1552382516364697"</f>
        <v>1552382516364697</v>
      </c>
      <c r="C3972" t="s">
        <v>40</v>
      </c>
      <c r="D3972">
        <v>3.1115719999999998</v>
      </c>
      <c r="E3972">
        <v>0.51084759999999996</v>
      </c>
      <c r="F3972" t="s">
        <v>41</v>
      </c>
      <c r="G3972">
        <v>-386.36250000000001</v>
      </c>
      <c r="H3972">
        <v>1.0517369999999999</v>
      </c>
      <c r="I3972">
        <v>213.9462</v>
      </c>
      <c r="J3972">
        <v>-386.97949999999997</v>
      </c>
      <c r="K3972">
        <v>1.110514</v>
      </c>
      <c r="L3972">
        <v>213.97049999999999</v>
      </c>
      <c r="M3972">
        <v>0.99974960000000002</v>
      </c>
      <c r="N3972">
        <v>0</v>
      </c>
      <c r="O3972">
        <v>1.8788719999999998E-2</v>
      </c>
      <c r="P3972">
        <v>0.99485710000000005</v>
      </c>
      <c r="Q3972">
        <v>0.1012093</v>
      </c>
      <c r="R3972">
        <v>4.0547869999999998E-3</v>
      </c>
      <c r="S3972">
        <v>3.0376590000000001</v>
      </c>
      <c r="T3972">
        <v>-0.21753910000000001</v>
      </c>
      <c r="U3972">
        <v>-7.3211670000000006E-2</v>
      </c>
      <c r="V3972">
        <v>1.4589329999999999E-2</v>
      </c>
      <c r="W3972">
        <v>0.1133028</v>
      </c>
      <c r="X3972">
        <v>0.99345340000000004</v>
      </c>
      <c r="Y3972">
        <v>4.27173E-2</v>
      </c>
      <c r="Z3972">
        <v>-2.8711399999999999E-3</v>
      </c>
      <c r="AA3972">
        <v>0.9990831</v>
      </c>
      <c r="AB3972">
        <v>20</v>
      </c>
      <c r="AC3972">
        <v>0.61699999999996102</v>
      </c>
      <c r="AD3972">
        <v>-5.8776999999999802E-2</v>
      </c>
      <c r="AE3972">
        <v>-2.4299999999982402E-2</v>
      </c>
      <c r="AF3972">
        <v>3.55669379131393E-2</v>
      </c>
      <c r="AG3972">
        <v>-5.8776999999999802E-2</v>
      </c>
      <c r="AH3972">
        <v>0.61089917228832702</v>
      </c>
      <c r="AI3972">
        <v>95.486500666117905</v>
      </c>
      <c r="AJ3972">
        <v>86.667964722564804</v>
      </c>
      <c r="AK3972">
        <v>0.61474998292320404</v>
      </c>
      <c r="AL3972">
        <v>83.494257282248597</v>
      </c>
      <c r="AM3972">
        <v>89.158645034296995</v>
      </c>
      <c r="AN3972">
        <v>1.00000001550462</v>
      </c>
    </row>
    <row r="3973" spans="1:40" x14ac:dyDescent="0.25">
      <c r="A3973" t="str">
        <f>"20190312172156395"</f>
        <v>20190312172156395</v>
      </c>
      <c r="B3973" t="str">
        <f>"1552382516384221"</f>
        <v>1552382516384221</v>
      </c>
      <c r="C3973" t="s">
        <v>40</v>
      </c>
      <c r="D3973">
        <v>3.1014330000000001</v>
      </c>
      <c r="E3973">
        <v>0.51071549999999999</v>
      </c>
      <c r="F3973" t="s">
        <v>46</v>
      </c>
      <c r="G3973">
        <v>-370.79939999999999</v>
      </c>
      <c r="H3973" s="1">
        <v>-1.1113620000000001E-6</v>
      </c>
      <c r="I3973">
        <v>213.58789999999999</v>
      </c>
      <c r="J3973">
        <v>-386.7833</v>
      </c>
      <c r="K3973">
        <v>1.1105100000000001</v>
      </c>
      <c r="L3973">
        <v>213.97460000000001</v>
      </c>
      <c r="M3973">
        <v>0.99974399999999997</v>
      </c>
      <c r="N3973">
        <v>0</v>
      </c>
      <c r="O3973">
        <v>1.9136500000000001E-2</v>
      </c>
      <c r="P3973">
        <v>0.99483969999999999</v>
      </c>
      <c r="Q3973">
        <v>0.1013729</v>
      </c>
      <c r="R3973">
        <v>4.2077089999999996E-3</v>
      </c>
      <c r="S3973">
        <v>3.0370180000000002</v>
      </c>
      <c r="T3973">
        <v>-0.2084454</v>
      </c>
      <c r="U3973">
        <v>-7.1807860000000001E-2</v>
      </c>
      <c r="V3973">
        <v>1.478202E-2</v>
      </c>
      <c r="W3973">
        <v>0.11338860000000001</v>
      </c>
      <c r="X3973">
        <v>0.99344069999999995</v>
      </c>
      <c r="Y3973">
        <v>4.2620600000000002E-2</v>
      </c>
      <c r="Z3973">
        <v>-2.7725240000000002E-3</v>
      </c>
      <c r="AA3973">
        <v>0.99908750000000002</v>
      </c>
      <c r="AB3973">
        <v>20</v>
      </c>
      <c r="AC3973">
        <v>15.9839</v>
      </c>
      <c r="AD3973">
        <v>-1.1105111113619901</v>
      </c>
      <c r="AE3973">
        <v>-0.38670000000001797</v>
      </c>
      <c r="AF3973">
        <v>0.68920251206515404</v>
      </c>
      <c r="AG3973">
        <v>-1.1105111113619901</v>
      </c>
      <c r="AH3973">
        <v>15.8968820897874</v>
      </c>
      <c r="AI3973">
        <v>93.992290821440207</v>
      </c>
      <c r="AJ3973">
        <v>87.517520620157597</v>
      </c>
      <c r="AK3973">
        <v>15.950520217463099</v>
      </c>
      <c r="AL3973">
        <v>83.489309013507395</v>
      </c>
      <c r="AM3973">
        <v>89.147523489431094</v>
      </c>
      <c r="AN3973">
        <v>0.99999995357086402</v>
      </c>
    </row>
    <row r="3974" spans="1:40" x14ac:dyDescent="0.25">
      <c r="A3974" t="str">
        <f>"20190312172156419"</f>
        <v>20190312172156419</v>
      </c>
      <c r="B3974" t="str">
        <f>"1552382516414474"</f>
        <v>1552382516414474</v>
      </c>
      <c r="C3974" t="s">
        <v>40</v>
      </c>
      <c r="D3974">
        <v>3.0854240000000002</v>
      </c>
      <c r="E3974">
        <v>0.51048249999999995</v>
      </c>
      <c r="F3974" t="s">
        <v>46</v>
      </c>
      <c r="G3974">
        <v>-370.21080000000001</v>
      </c>
      <c r="H3974" s="1">
        <v>-1.4246329999999999E-6</v>
      </c>
      <c r="I3974">
        <v>213.59110000000001</v>
      </c>
      <c r="J3974">
        <v>-386.57470000000001</v>
      </c>
      <c r="K3974">
        <v>1.110506</v>
      </c>
      <c r="L3974">
        <v>213.97900000000001</v>
      </c>
      <c r="M3974">
        <v>0.9997376</v>
      </c>
      <c r="N3974">
        <v>0</v>
      </c>
      <c r="O3974">
        <v>1.9506880000000001E-2</v>
      </c>
      <c r="P3974">
        <v>0.99478909999999998</v>
      </c>
      <c r="Q3974">
        <v>0.10186149999999999</v>
      </c>
      <c r="R3974">
        <v>4.3348939999999997E-3</v>
      </c>
      <c r="S3974">
        <v>3.0365600000000001</v>
      </c>
      <c r="T3974">
        <v>-0.2034773</v>
      </c>
      <c r="U3974">
        <v>-7.0266720000000005E-2</v>
      </c>
      <c r="V3974">
        <v>1.502234E-2</v>
      </c>
      <c r="W3974">
        <v>0.113805</v>
      </c>
      <c r="X3974">
        <v>0.99338950000000004</v>
      </c>
      <c r="Y3974">
        <v>4.2493719999999999E-2</v>
      </c>
      <c r="Z3974">
        <v>-2.7275559999999999E-3</v>
      </c>
      <c r="AA3974">
        <v>0.99909300000000001</v>
      </c>
      <c r="AB3974">
        <v>20</v>
      </c>
      <c r="AC3974">
        <v>16.363900000000001</v>
      </c>
      <c r="AD3974">
        <v>-1.110507424633</v>
      </c>
      <c r="AE3974">
        <v>-0.38790000000000102</v>
      </c>
      <c r="AF3974">
        <v>0.703818275051733</v>
      </c>
      <c r="AG3974">
        <v>-1.110507424633</v>
      </c>
      <c r="AH3974">
        <v>16.278292326873199</v>
      </c>
      <c r="AI3974">
        <v>93.899047909772506</v>
      </c>
      <c r="AJ3974">
        <v>87.524266328703504</v>
      </c>
      <c r="AK3974">
        <v>16.331300866238401</v>
      </c>
      <c r="AL3974">
        <v>83.465295741468907</v>
      </c>
      <c r="AM3974">
        <v>89.133621727770802</v>
      </c>
      <c r="AN3974">
        <v>0.99999997371716198</v>
      </c>
    </row>
    <row r="3975" spans="1:40" x14ac:dyDescent="0.25">
      <c r="A3975" t="str">
        <f>"20190312172156443"</f>
        <v>20190312172156443</v>
      </c>
      <c r="B3975" t="str">
        <f>"1552382516434969"</f>
        <v>1552382516434969</v>
      </c>
      <c r="C3975" t="s">
        <v>40</v>
      </c>
      <c r="D3975">
        <v>3.0875469999999998</v>
      </c>
      <c r="E3975">
        <v>0.51063270000000005</v>
      </c>
      <c r="F3975" t="s">
        <v>46</v>
      </c>
      <c r="G3975">
        <v>-369.47199999999998</v>
      </c>
      <c r="H3975" s="1">
        <v>3.5037379999999998E-6</v>
      </c>
      <c r="I3975">
        <v>213.59540000000001</v>
      </c>
      <c r="J3975">
        <v>-386.36070000000001</v>
      </c>
      <c r="K3975">
        <v>1.1105050000000001</v>
      </c>
      <c r="L3975">
        <v>213.9836</v>
      </c>
      <c r="M3975">
        <v>0.99973089999999998</v>
      </c>
      <c r="N3975">
        <v>0</v>
      </c>
      <c r="O3975">
        <v>1.9886620000000001E-2</v>
      </c>
      <c r="P3975">
        <v>0.99477210000000005</v>
      </c>
      <c r="Q3975">
        <v>0.1020273</v>
      </c>
      <c r="R3975">
        <v>4.334905E-3</v>
      </c>
      <c r="S3975">
        <v>3.0361630000000002</v>
      </c>
      <c r="T3975">
        <v>-0.19714219999999999</v>
      </c>
      <c r="U3975">
        <v>-6.8099980000000004E-2</v>
      </c>
      <c r="V3975">
        <v>1.5399660000000001E-2</v>
      </c>
      <c r="W3975">
        <v>0.1139083</v>
      </c>
      <c r="X3975">
        <v>0.99337189999999997</v>
      </c>
      <c r="Y3975">
        <v>4.217195E-2</v>
      </c>
      <c r="Z3975">
        <v>-2.6573759999999999E-3</v>
      </c>
      <c r="AA3975">
        <v>0.99910679999999996</v>
      </c>
      <c r="AB3975">
        <v>20</v>
      </c>
      <c r="AC3975">
        <v>16.8887</v>
      </c>
      <c r="AD3975">
        <v>-1.1105014962619999</v>
      </c>
      <c r="AE3975">
        <v>-0.388199999999983</v>
      </c>
      <c r="AF3975">
        <v>0.72089113465838295</v>
      </c>
      <c r="AG3975">
        <v>-1.1105014962619999</v>
      </c>
      <c r="AH3975">
        <v>16.8050192343802</v>
      </c>
      <c r="AI3975">
        <v>93.777232675595897</v>
      </c>
      <c r="AJ3975">
        <v>87.5436676867388</v>
      </c>
      <c r="AK3975">
        <v>16.8570925449533</v>
      </c>
      <c r="AL3975">
        <v>83.459338461161707</v>
      </c>
      <c r="AM3975">
        <v>89.111848390549298</v>
      </c>
      <c r="AN3975">
        <v>0.99999999102330706</v>
      </c>
    </row>
    <row r="3976" spans="1:40" x14ac:dyDescent="0.25">
      <c r="A3976" t="str">
        <f>"20190312172156464"</f>
        <v>20190312172156464</v>
      </c>
      <c r="B3976" t="str">
        <f>"1552382516454489"</f>
        <v>1552382516454489</v>
      </c>
      <c r="C3976" t="s">
        <v>40</v>
      </c>
      <c r="D3976">
        <v>3.0986289999999999</v>
      </c>
      <c r="E3976">
        <v>0.51065369999999999</v>
      </c>
      <c r="F3976" t="s">
        <v>41</v>
      </c>
      <c r="G3976">
        <v>-385.45800000000003</v>
      </c>
      <c r="H3976">
        <v>1.052311</v>
      </c>
      <c r="I3976">
        <v>213.96289999999999</v>
      </c>
      <c r="J3976">
        <v>-386.1651</v>
      </c>
      <c r="K3976">
        <v>1.1105039999999999</v>
      </c>
      <c r="L3976">
        <v>213.9879</v>
      </c>
      <c r="M3976">
        <v>0.99972459999999996</v>
      </c>
      <c r="N3976">
        <v>0</v>
      </c>
      <c r="O3976">
        <v>2.02332E-2</v>
      </c>
      <c r="P3976">
        <v>0.9947821</v>
      </c>
      <c r="Q3976">
        <v>0.1019288</v>
      </c>
      <c r="R3976">
        <v>4.3709370000000001E-3</v>
      </c>
      <c r="S3976">
        <v>3.0361020000000001</v>
      </c>
      <c r="T3976">
        <v>-0.1956917</v>
      </c>
      <c r="U3976">
        <v>-6.9183350000000005E-2</v>
      </c>
      <c r="V3976">
        <v>1.5708779999999999E-2</v>
      </c>
      <c r="W3976">
        <v>0.113761</v>
      </c>
      <c r="X3976">
        <v>0.99338389999999999</v>
      </c>
      <c r="Y3976">
        <v>4.2874799999999998E-2</v>
      </c>
      <c r="Z3976">
        <v>-2.6828450000000001E-3</v>
      </c>
      <c r="AA3976">
        <v>0.99907679999999999</v>
      </c>
      <c r="AB3976">
        <v>20</v>
      </c>
      <c r="AC3976">
        <v>0.70709999999996798</v>
      </c>
      <c r="AD3976">
        <v>-5.8193000000000099E-2</v>
      </c>
      <c r="AE3976">
        <v>-2.5000000000005601E-2</v>
      </c>
      <c r="AF3976">
        <v>3.9038710066999202E-2</v>
      </c>
      <c r="AG3976">
        <v>-5.8193000000000099E-2</v>
      </c>
      <c r="AH3976">
        <v>0.70170267681746701</v>
      </c>
      <c r="AI3976">
        <v>94.733469184587506</v>
      </c>
      <c r="AJ3976">
        <v>86.815674268979507</v>
      </c>
      <c r="AK3976">
        <v>0.70519294720345405</v>
      </c>
      <c r="AL3976">
        <v>83.467833091705799</v>
      </c>
      <c r="AM3976">
        <v>89.094034256506106</v>
      </c>
      <c r="AN3976">
        <v>0.99999995183464796</v>
      </c>
    </row>
    <row r="3977" spans="1:40" x14ac:dyDescent="0.25">
      <c r="A3977" t="str">
        <f>"20190312172156485"</f>
        <v>20190312172156485</v>
      </c>
      <c r="B3977" t="str">
        <f>"1552382516474985"</f>
        <v>1552382516474985</v>
      </c>
      <c r="C3977" t="s">
        <v>40</v>
      </c>
      <c r="D3977">
        <v>3.0981519999999998</v>
      </c>
      <c r="E3977">
        <v>0.51063080000000005</v>
      </c>
      <c r="F3977" t="s">
        <v>46</v>
      </c>
      <c r="G3977">
        <v>-368.75209999999998</v>
      </c>
      <c r="H3977" s="1">
        <v>3.1206429999999999E-6</v>
      </c>
      <c r="I3977">
        <v>213.5917</v>
      </c>
      <c r="J3977">
        <v>-385.96269999999998</v>
      </c>
      <c r="K3977">
        <v>1.1104989999999999</v>
      </c>
      <c r="L3977">
        <v>213.9924</v>
      </c>
      <c r="M3977">
        <v>0.99971779999999999</v>
      </c>
      <c r="N3977">
        <v>0</v>
      </c>
      <c r="O3977">
        <v>2.0591189999999999E-2</v>
      </c>
      <c r="P3977">
        <v>0.99471500000000002</v>
      </c>
      <c r="Q3977">
        <v>0.1025804</v>
      </c>
      <c r="R3977">
        <v>4.3956339999999998E-3</v>
      </c>
      <c r="S3977">
        <v>3.0358890000000001</v>
      </c>
      <c r="T3977">
        <v>-0.19361149999999999</v>
      </c>
      <c r="U3977">
        <v>-6.9076540000000006E-2</v>
      </c>
      <c r="V3977">
        <v>1.603854E-2</v>
      </c>
      <c r="W3977">
        <v>0.11436730000000001</v>
      </c>
      <c r="X3977">
        <v>0.99330909999999994</v>
      </c>
      <c r="Y3977">
        <v>4.3200379999999997E-2</v>
      </c>
      <c r="Z3977">
        <v>-2.6877450000000001E-3</v>
      </c>
      <c r="AA3977">
        <v>0.99906280000000003</v>
      </c>
      <c r="AB3977">
        <v>20</v>
      </c>
      <c r="AC3977">
        <v>17.210599999999999</v>
      </c>
      <c r="AD3977">
        <v>-1.1104958793569999</v>
      </c>
      <c r="AE3977">
        <v>-0.4007</v>
      </c>
      <c r="AF3977">
        <v>0.75189792207106299</v>
      </c>
      <c r="AG3977">
        <v>-1.1104958793569999</v>
      </c>
      <c r="AH3977">
        <v>17.127430325732199</v>
      </c>
      <c r="AI3977">
        <v>93.706149925220799</v>
      </c>
      <c r="AJ3977">
        <v>87.486316784399705</v>
      </c>
      <c r="AK3977">
        <v>17.1798550967723</v>
      </c>
      <c r="AL3977">
        <v>83.432867033395596</v>
      </c>
      <c r="AM3977">
        <v>89.074949777005401</v>
      </c>
      <c r="AN3977">
        <v>1.00000004110871</v>
      </c>
    </row>
    <row r="3978" spans="1:40" x14ac:dyDescent="0.25">
      <c r="A3978" t="str">
        <f>"20190312172156507"</f>
        <v>20190312172156507</v>
      </c>
      <c r="B3978" t="str">
        <f>"1552382516504267"</f>
        <v>1552382516504267</v>
      </c>
      <c r="C3978" t="s">
        <v>40</v>
      </c>
      <c r="D3978">
        <v>3.1011600000000001</v>
      </c>
      <c r="E3978">
        <v>0.51048579999999999</v>
      </c>
      <c r="F3978" t="s">
        <v>46</v>
      </c>
      <c r="G3978">
        <v>-368.23050000000001</v>
      </c>
      <c r="H3978" s="1">
        <v>2.8430729999999998E-6</v>
      </c>
      <c r="I3978">
        <v>213.58940000000001</v>
      </c>
      <c r="J3978">
        <v>-385.77159999999998</v>
      </c>
      <c r="K3978">
        <v>1.110498</v>
      </c>
      <c r="L3978">
        <v>213.99680000000001</v>
      </c>
      <c r="M3978">
        <v>0.99971129999999997</v>
      </c>
      <c r="N3978">
        <v>0</v>
      </c>
      <c r="O3978">
        <v>2.09284E-2</v>
      </c>
      <c r="P3978">
        <v>0.99467000000000005</v>
      </c>
      <c r="Q3978">
        <v>0.1030162</v>
      </c>
      <c r="R3978">
        <v>4.4711610000000004E-3</v>
      </c>
      <c r="S3978">
        <v>3.035828</v>
      </c>
      <c r="T3978">
        <v>-0.19012119999999999</v>
      </c>
      <c r="U3978">
        <v>-6.9000240000000004E-2</v>
      </c>
      <c r="V3978">
        <v>1.629711E-2</v>
      </c>
      <c r="W3978">
        <v>0.1147671</v>
      </c>
      <c r="X3978">
        <v>0.99325870000000005</v>
      </c>
      <c r="Y3978">
        <v>4.3516050000000001E-2</v>
      </c>
      <c r="Z3978">
        <v>-2.6704110000000001E-3</v>
      </c>
      <c r="AA3978">
        <v>0.99904919999999997</v>
      </c>
      <c r="AB3978">
        <v>20</v>
      </c>
      <c r="AC3978">
        <v>17.541099999999901</v>
      </c>
      <c r="AD3978">
        <v>-1.1104951569270001</v>
      </c>
      <c r="AE3978">
        <v>-0.40739999999999499</v>
      </c>
      <c r="AF3978">
        <v>0.77135362849404698</v>
      </c>
      <c r="AG3978">
        <v>-1.1104951569270001</v>
      </c>
      <c r="AH3978">
        <v>17.4587949047854</v>
      </c>
      <c r="AI3978">
        <v>93.635951255587798</v>
      </c>
      <c r="AJ3978">
        <v>87.470238640759703</v>
      </c>
      <c r="AK3978">
        <v>17.511073794633699</v>
      </c>
      <c r="AL3978">
        <v>83.409807841785494</v>
      </c>
      <c r="AM3978">
        <v>89.059991277536398</v>
      </c>
      <c r="AN3978">
        <v>0.99999996408122505</v>
      </c>
    </row>
    <row r="3979" spans="1:40" x14ac:dyDescent="0.25">
      <c r="A3979" t="str">
        <f>"20190312172156530"</f>
        <v>20190312172156530</v>
      </c>
      <c r="B3979" t="str">
        <f>"1552382516524762"</f>
        <v>1552382516524762</v>
      </c>
      <c r="C3979" t="s">
        <v>40</v>
      </c>
      <c r="D3979">
        <v>3.0935579999999998</v>
      </c>
      <c r="E3979">
        <v>0.51045209999999996</v>
      </c>
      <c r="F3979" t="s">
        <v>46</v>
      </c>
      <c r="G3979">
        <v>-367.87709999999998</v>
      </c>
      <c r="H3979" s="1">
        <v>2.6550180000000001E-6</v>
      </c>
      <c r="I3979">
        <v>213.5986</v>
      </c>
      <c r="J3979">
        <v>-385.55779999999999</v>
      </c>
      <c r="K3979">
        <v>1.1104909999999999</v>
      </c>
      <c r="L3979">
        <v>214.0017</v>
      </c>
      <c r="M3979">
        <v>0.99970369999999997</v>
      </c>
      <c r="N3979">
        <v>0</v>
      </c>
      <c r="O3979">
        <v>2.1305709999999999E-2</v>
      </c>
      <c r="P3979">
        <v>0.99468140000000005</v>
      </c>
      <c r="Q3979">
        <v>0.1028966</v>
      </c>
      <c r="R3979">
        <v>4.6006729999999996E-3</v>
      </c>
      <c r="S3979">
        <v>3.0358890000000001</v>
      </c>
      <c r="T3979">
        <v>-0.1884006</v>
      </c>
      <c r="U3979">
        <v>-6.7550659999999998E-2</v>
      </c>
      <c r="V3979">
        <v>1.6543490000000001E-2</v>
      </c>
      <c r="W3979">
        <v>0.1146132</v>
      </c>
      <c r="X3979">
        <v>0.99327240000000006</v>
      </c>
      <c r="Y3979">
        <v>4.3417600000000001E-2</v>
      </c>
      <c r="Z3979">
        <v>-2.6665870000000002E-3</v>
      </c>
      <c r="AA3979">
        <v>0.99905350000000004</v>
      </c>
      <c r="AB3979">
        <v>20</v>
      </c>
      <c r="AC3979">
        <v>17.680700000000002</v>
      </c>
      <c r="AD3979">
        <v>-1.110488344982</v>
      </c>
      <c r="AE3979">
        <v>-0.40309999999999402</v>
      </c>
      <c r="AF3979">
        <v>0.776672203744321</v>
      </c>
      <c r="AG3979">
        <v>-1.110488344982</v>
      </c>
      <c r="AH3979">
        <v>17.598709154547802</v>
      </c>
      <c r="AI3979">
        <v>93.607106842605006</v>
      </c>
      <c r="AJ3979">
        <v>87.473042920483493</v>
      </c>
      <c r="AK3979">
        <v>17.6508064400122</v>
      </c>
      <c r="AL3979">
        <v>83.418684252026196</v>
      </c>
      <c r="AM3979">
        <v>89.045795975817796</v>
      </c>
      <c r="AN3979">
        <v>0.99999996663868895</v>
      </c>
    </row>
    <row r="3980" spans="1:40" x14ac:dyDescent="0.25">
      <c r="A3980" t="str">
        <f>"20190312172156553"</f>
        <v>20190312172156553</v>
      </c>
      <c r="B3980" t="str">
        <f>"1552382516544285"</f>
        <v>1552382516544285</v>
      </c>
      <c r="C3980" t="s">
        <v>40</v>
      </c>
      <c r="D3980">
        <v>3.1188039999999999</v>
      </c>
      <c r="E3980">
        <v>0.51030339999999996</v>
      </c>
      <c r="F3980" t="s">
        <v>46</v>
      </c>
      <c r="G3980">
        <v>-367.71199999999999</v>
      </c>
      <c r="H3980" s="1">
        <v>2.567132E-6</v>
      </c>
      <c r="I3980">
        <v>213.60579999999999</v>
      </c>
      <c r="J3980">
        <v>-385.351</v>
      </c>
      <c r="K3980">
        <v>1.1104849999999999</v>
      </c>
      <c r="L3980">
        <v>214.00649999999999</v>
      </c>
      <c r="M3980">
        <v>0.99969629999999998</v>
      </c>
      <c r="N3980">
        <v>0</v>
      </c>
      <c r="O3980">
        <v>2.167053E-2</v>
      </c>
      <c r="P3980">
        <v>0.99468920000000005</v>
      </c>
      <c r="Q3980">
        <v>0.1028095</v>
      </c>
      <c r="R3980">
        <v>4.8839280000000001E-3</v>
      </c>
      <c r="S3980">
        <v>3.0358580000000002</v>
      </c>
      <c r="T3980">
        <v>-0.18891189999999999</v>
      </c>
      <c r="U3980">
        <v>-6.7352289999999995E-2</v>
      </c>
      <c r="V3980">
        <v>1.6623510000000001E-2</v>
      </c>
      <c r="W3980">
        <v>0.11449670000000001</v>
      </c>
      <c r="X3980">
        <v>0.99328450000000001</v>
      </c>
      <c r="Y3980">
        <v>4.3715190000000001E-2</v>
      </c>
      <c r="Z3980">
        <v>-2.7057639999999998E-3</v>
      </c>
      <c r="AA3980">
        <v>0.99904040000000005</v>
      </c>
      <c r="AB3980">
        <v>20</v>
      </c>
      <c r="AC3980">
        <v>17.638999999999999</v>
      </c>
      <c r="AD3980">
        <v>-1.1104824328680001</v>
      </c>
      <c r="AE3980">
        <v>-0.4007</v>
      </c>
      <c r="AF3980">
        <v>0.77978960970300604</v>
      </c>
      <c r="AG3980">
        <v>-1.1104824328680001</v>
      </c>
      <c r="AH3980">
        <v>17.5566239780199</v>
      </c>
      <c r="AI3980">
        <v>93.615666218051501</v>
      </c>
      <c r="AJ3980">
        <v>87.456839747018407</v>
      </c>
      <c r="AK3980">
        <v>17.608983178329499</v>
      </c>
      <c r="AL3980">
        <v>83.425403443783495</v>
      </c>
      <c r="AM3980">
        <v>89.041193078148595</v>
      </c>
      <c r="AN3980">
        <v>0.99999996666792901</v>
      </c>
    </row>
    <row r="3981" spans="1:40" x14ac:dyDescent="0.25">
      <c r="A3981" t="str">
        <f>"20190312172156575"</f>
        <v>20190312172156575</v>
      </c>
      <c r="B3981" t="str">
        <f>"1552382516564781"</f>
        <v>1552382516564781</v>
      </c>
      <c r="C3981" t="s">
        <v>40</v>
      </c>
      <c r="D3981">
        <v>3.089734</v>
      </c>
      <c r="E3981">
        <v>0.51031400000000005</v>
      </c>
      <c r="F3981" t="s">
        <v>46</v>
      </c>
      <c r="G3981">
        <v>-367.44490000000002</v>
      </c>
      <c r="H3981" s="1">
        <v>2.4250239999999999E-6</v>
      </c>
      <c r="I3981">
        <v>213.62</v>
      </c>
      <c r="J3981">
        <v>-385.15449999999998</v>
      </c>
      <c r="K3981">
        <v>1.110484</v>
      </c>
      <c r="L3981">
        <v>214.0112</v>
      </c>
      <c r="M3981">
        <v>0.99968889999999999</v>
      </c>
      <c r="N3981">
        <v>0</v>
      </c>
      <c r="O3981">
        <v>2.2017309999999998E-2</v>
      </c>
      <c r="P3981">
        <v>0.99471030000000005</v>
      </c>
      <c r="Q3981">
        <v>0.1025827</v>
      </c>
      <c r="R3981">
        <v>5.3450479999999998E-3</v>
      </c>
      <c r="S3981">
        <v>3.0357970000000001</v>
      </c>
      <c r="T3981">
        <v>-0.18827179999999999</v>
      </c>
      <c r="U3981">
        <v>-6.5536499999999998E-2</v>
      </c>
      <c r="V3981">
        <v>1.6507979999999998E-2</v>
      </c>
      <c r="W3981">
        <v>0.114247</v>
      </c>
      <c r="X3981">
        <v>0.99331519999999995</v>
      </c>
      <c r="Y3981">
        <v>4.3465579999999997E-2</v>
      </c>
      <c r="Z3981">
        <v>-2.7104339999999998E-3</v>
      </c>
      <c r="AA3981">
        <v>0.99905129999999998</v>
      </c>
      <c r="AB3981">
        <v>20</v>
      </c>
      <c r="AC3981">
        <v>17.709599999999899</v>
      </c>
      <c r="AD3981">
        <v>-1.110481574976</v>
      </c>
      <c r="AE3981">
        <v>-0.39119999999999699</v>
      </c>
      <c r="AF3981">
        <v>0.77799217304042001</v>
      </c>
      <c r="AG3981">
        <v>-1.110481574976</v>
      </c>
      <c r="AH3981">
        <v>17.627416781890599</v>
      </c>
      <c r="AI3981">
        <v>93.6012254859601</v>
      </c>
      <c r="AJ3981">
        <v>87.472870873240893</v>
      </c>
      <c r="AK3981">
        <v>17.679487083966901</v>
      </c>
      <c r="AL3981">
        <v>83.439804845089199</v>
      </c>
      <c r="AM3981">
        <v>89.047884781588806</v>
      </c>
      <c r="AN3981">
        <v>0.99999998848186</v>
      </c>
    </row>
    <row r="3982" spans="1:40" x14ac:dyDescent="0.25">
      <c r="A3982" t="str">
        <f>"20190312172156596"</f>
        <v>20190312172156596</v>
      </c>
      <c r="B3982" t="str">
        <f>"1552382516595034"</f>
        <v>1552382516595034</v>
      </c>
      <c r="C3982" t="s">
        <v>40</v>
      </c>
      <c r="D3982">
        <v>3.0867870000000002</v>
      </c>
      <c r="E3982">
        <v>0.51028439999999997</v>
      </c>
      <c r="F3982" t="s">
        <v>46</v>
      </c>
      <c r="G3982">
        <v>-367.327</v>
      </c>
      <c r="H3982" s="1">
        <v>2.3622500000000001E-6</v>
      </c>
      <c r="I3982">
        <v>213.63550000000001</v>
      </c>
      <c r="J3982">
        <v>-384.9554</v>
      </c>
      <c r="K3982">
        <v>1.110484</v>
      </c>
      <c r="L3982">
        <v>214.01599999999999</v>
      </c>
      <c r="M3982">
        <v>0.99968120000000005</v>
      </c>
      <c r="N3982">
        <v>0</v>
      </c>
      <c r="O3982">
        <v>2.2369030000000002E-2</v>
      </c>
      <c r="P3982">
        <v>0.99469750000000001</v>
      </c>
      <c r="Q3982">
        <v>0.1026687</v>
      </c>
      <c r="R3982">
        <v>6.0167040000000003E-3</v>
      </c>
      <c r="S3982">
        <v>3.0357970000000001</v>
      </c>
      <c r="T3982">
        <v>-0.18910070000000001</v>
      </c>
      <c r="U3982">
        <v>-6.3980099999999998E-2</v>
      </c>
      <c r="V3982">
        <v>1.6186160000000002E-2</v>
      </c>
      <c r="W3982">
        <v>0.11431189999999999</v>
      </c>
      <c r="X3982">
        <v>0.993313</v>
      </c>
      <c r="Y3982">
        <v>4.3303620000000001E-2</v>
      </c>
      <c r="Z3982">
        <v>-2.739203E-3</v>
      </c>
      <c r="AA3982">
        <v>0.99905820000000001</v>
      </c>
      <c r="AB3982">
        <v>20</v>
      </c>
      <c r="AC3982">
        <v>17.628399999999999</v>
      </c>
      <c r="AD3982">
        <v>-1.11048163775</v>
      </c>
      <c r="AE3982">
        <v>-0.38049999999998302</v>
      </c>
      <c r="AF3982">
        <v>0.77170116380903298</v>
      </c>
      <c r="AG3982">
        <v>-1.11048163775</v>
      </c>
      <c r="AH3982">
        <v>17.5458827545879</v>
      </c>
      <c r="AI3982">
        <v>93.617940241110901</v>
      </c>
      <c r="AJ3982">
        <v>87.481646075232405</v>
      </c>
      <c r="AK3982">
        <v>17.597917314038899</v>
      </c>
      <c r="AL3982">
        <v>83.436061633486901</v>
      </c>
      <c r="AM3982">
        <v>89.066440705800701</v>
      </c>
      <c r="AN3982">
        <v>0.99999995911307604</v>
      </c>
    </row>
    <row r="3983" spans="1:40" x14ac:dyDescent="0.25">
      <c r="A3983" t="str">
        <f>"20190312172156620"</f>
        <v>20190312172156620</v>
      </c>
      <c r="B3983" t="str">
        <f>"1552382516614554"</f>
        <v>1552382516614554</v>
      </c>
      <c r="C3983" t="s">
        <v>40</v>
      </c>
      <c r="D3983">
        <v>3.0585599999999999</v>
      </c>
      <c r="E3983">
        <v>0.51023589999999996</v>
      </c>
      <c r="F3983" t="s">
        <v>46</v>
      </c>
      <c r="G3983">
        <v>-367.13470000000001</v>
      </c>
      <c r="H3983" s="1">
        <v>2.2599370000000001E-6</v>
      </c>
      <c r="I3983">
        <v>213.6533</v>
      </c>
      <c r="J3983">
        <v>-384.74549999999999</v>
      </c>
      <c r="K3983">
        <v>1.110479</v>
      </c>
      <c r="L3983">
        <v>214.02109999999999</v>
      </c>
      <c r="M3983">
        <v>0.99967320000000004</v>
      </c>
      <c r="N3983">
        <v>0</v>
      </c>
      <c r="O3983">
        <v>2.2739800000000001E-2</v>
      </c>
      <c r="P3983">
        <v>0.99468389999999995</v>
      </c>
      <c r="Q3983">
        <v>0.1027502</v>
      </c>
      <c r="R3983">
        <v>6.8204700000000004E-3</v>
      </c>
      <c r="S3983">
        <v>3.0359189999999998</v>
      </c>
      <c r="T3983">
        <v>-0.18918090000000001</v>
      </c>
      <c r="U3983">
        <v>-6.1798100000000002E-2</v>
      </c>
      <c r="V3983">
        <v>1.5751109999999999E-2</v>
      </c>
      <c r="W3983">
        <v>0.1143744</v>
      </c>
      <c r="X3983">
        <v>0.9933128</v>
      </c>
      <c r="Y3983">
        <v>4.2955420000000001E-2</v>
      </c>
      <c r="Z3983">
        <v>-2.7525119999999999E-3</v>
      </c>
      <c r="AA3983">
        <v>0.99907319999999999</v>
      </c>
      <c r="AB3983">
        <v>20</v>
      </c>
      <c r="AC3983">
        <v>17.610799999999902</v>
      </c>
      <c r="AD3983">
        <v>-1.110476740063</v>
      </c>
      <c r="AE3983">
        <v>-0.36779999999998803</v>
      </c>
      <c r="AF3983">
        <v>0.76515722420410504</v>
      </c>
      <c r="AG3983">
        <v>-1.110476740063</v>
      </c>
      <c r="AH3983">
        <v>17.528217147834901</v>
      </c>
      <c r="AI3983">
        <v>93.621612881377501</v>
      </c>
      <c r="AJ3983">
        <v>87.500460881596197</v>
      </c>
      <c r="AK3983">
        <v>17.580017649297901</v>
      </c>
      <c r="AL3983">
        <v>83.432457009648004</v>
      </c>
      <c r="AM3983">
        <v>89.091528373448398</v>
      </c>
      <c r="AN3983">
        <v>0.99999995974271505</v>
      </c>
    </row>
    <row r="3984" spans="1:40" x14ac:dyDescent="0.25">
      <c r="A3984" t="str">
        <f>"20190312172156643"</f>
        <v>20190312172156643</v>
      </c>
      <c r="B3984" t="str">
        <f>"1552382516635050"</f>
        <v>1552382516635050</v>
      </c>
      <c r="C3984" t="s">
        <v>40</v>
      </c>
      <c r="D3984">
        <v>3.0736300000000001</v>
      </c>
      <c r="E3984">
        <v>0.51024879999999995</v>
      </c>
      <c r="F3984" t="s">
        <v>41</v>
      </c>
      <c r="G3984">
        <v>-383.81569999999999</v>
      </c>
      <c r="H3984">
        <v>1.0528299999999999</v>
      </c>
      <c r="I3984">
        <v>214.0026</v>
      </c>
      <c r="J3984">
        <v>-384.5299</v>
      </c>
      <c r="K3984">
        <v>1.1104700000000001</v>
      </c>
      <c r="L3984">
        <v>214.0265</v>
      </c>
      <c r="M3984">
        <v>0.99966469999999996</v>
      </c>
      <c r="N3984">
        <v>0</v>
      </c>
      <c r="O3984">
        <v>2.3120640000000001E-2</v>
      </c>
      <c r="P3984">
        <v>0.99471030000000005</v>
      </c>
      <c r="Q3984">
        <v>0.10244689999999999</v>
      </c>
      <c r="R3984">
        <v>7.50111599999999E-3</v>
      </c>
      <c r="S3984">
        <v>3.0359189999999998</v>
      </c>
      <c r="T3984">
        <v>-0.18844369999999999</v>
      </c>
      <c r="U3984">
        <v>-5.9265140000000001E-2</v>
      </c>
      <c r="V3984">
        <v>1.5450240000000001E-2</v>
      </c>
      <c r="W3984">
        <v>0.1140552</v>
      </c>
      <c r="X3984">
        <v>0.99335430000000002</v>
      </c>
      <c r="Y3984">
        <v>4.2503920000000001E-2</v>
      </c>
      <c r="Z3984">
        <v>-2.7514409999999999E-3</v>
      </c>
      <c r="AA3984">
        <v>0.99909250000000005</v>
      </c>
      <c r="AB3984">
        <v>20</v>
      </c>
      <c r="AC3984">
        <v>0.71420000000000505</v>
      </c>
      <c r="AD3984">
        <v>-5.7640000000000101E-2</v>
      </c>
      <c r="AE3984">
        <v>-2.38999999999975E-2</v>
      </c>
      <c r="AF3984">
        <v>4.0146296982049301E-2</v>
      </c>
      <c r="AG3984">
        <v>-5.7640000000000101E-2</v>
      </c>
      <c r="AH3984">
        <v>0.70884460558194395</v>
      </c>
      <c r="AI3984">
        <v>94.641396883091403</v>
      </c>
      <c r="AJ3984">
        <v>86.758445155353002</v>
      </c>
      <c r="AK3984">
        <v>0.71231648136484405</v>
      </c>
      <c r="AL3984">
        <v>83.450866767138194</v>
      </c>
      <c r="AM3984">
        <v>89.108915951559794</v>
      </c>
      <c r="AN3984">
        <v>1.00000003194579</v>
      </c>
    </row>
    <row r="3985" spans="1:40" x14ac:dyDescent="0.25">
      <c r="A3985" t="str">
        <f>"20190312172156665"</f>
        <v>20190312172156665</v>
      </c>
      <c r="B3985" t="str">
        <f>"1552382516654570"</f>
        <v>1552382516654570</v>
      </c>
      <c r="C3985" t="s">
        <v>40</v>
      </c>
      <c r="D3985">
        <v>3.079447</v>
      </c>
      <c r="E3985">
        <v>0.51027169999999999</v>
      </c>
      <c r="F3985" t="s">
        <v>46</v>
      </c>
      <c r="G3985">
        <v>-366.71480000000003</v>
      </c>
      <c r="H3985" s="1">
        <v>2.036518E-6</v>
      </c>
      <c r="I3985">
        <v>213.6875</v>
      </c>
      <c r="J3985">
        <v>-384.33100000000002</v>
      </c>
      <c r="K3985">
        <v>1.1104700000000001</v>
      </c>
      <c r="L3985">
        <v>214.0316</v>
      </c>
      <c r="M3985">
        <v>0.99965660000000001</v>
      </c>
      <c r="N3985">
        <v>0</v>
      </c>
      <c r="O3985">
        <v>2.3471889999999999E-2</v>
      </c>
      <c r="P3985">
        <v>0.99463520000000005</v>
      </c>
      <c r="Q3985">
        <v>0.1031479</v>
      </c>
      <c r="R3985">
        <v>7.8562470000000002E-3</v>
      </c>
      <c r="S3985">
        <v>3.0359189999999998</v>
      </c>
      <c r="T3985">
        <v>-0.18923860000000001</v>
      </c>
      <c r="U3985">
        <v>-5.7785030000000001E-2</v>
      </c>
      <c r="V3985">
        <v>1.5442630000000001E-2</v>
      </c>
      <c r="W3985">
        <v>0.1147425</v>
      </c>
      <c r="X3985">
        <v>0.99327520000000002</v>
      </c>
      <c r="Y3985">
        <v>4.2366580000000001E-2</v>
      </c>
      <c r="Z3985">
        <v>-2.7806319999999999E-3</v>
      </c>
      <c r="AA3985">
        <v>0.99909820000000005</v>
      </c>
      <c r="AB3985">
        <v>20</v>
      </c>
      <c r="AC3985">
        <v>17.6161999999999</v>
      </c>
      <c r="AD3985">
        <v>-1.1104679634819901</v>
      </c>
      <c r="AE3985">
        <v>-0.34409999999999702</v>
      </c>
      <c r="AF3985">
        <v>0.75452171609491803</v>
      </c>
      <c r="AG3985">
        <v>-1.1104679634819901</v>
      </c>
      <c r="AH3985">
        <v>17.533623216813599</v>
      </c>
      <c r="AI3985">
        <v>93.620567534561999</v>
      </c>
      <c r="AJ3985">
        <v>87.535919781822898</v>
      </c>
      <c r="AK3985">
        <v>17.584947689065299</v>
      </c>
      <c r="AL3985">
        <v>83.4112267272168</v>
      </c>
      <c r="AM3985">
        <v>89.109283867804194</v>
      </c>
      <c r="AN3985">
        <v>0.99999996953130199</v>
      </c>
    </row>
    <row r="3986" spans="1:40" x14ac:dyDescent="0.25">
      <c r="A3986" t="str">
        <f>"20190312172156686"</f>
        <v>20190312172156686</v>
      </c>
      <c r="B3986" t="str">
        <f>"1552382516674090"</f>
        <v>1552382516674090</v>
      </c>
      <c r="C3986" t="s">
        <v>40</v>
      </c>
      <c r="D3986">
        <v>3.0930529999999998</v>
      </c>
      <c r="E3986">
        <v>0.51028869999999904</v>
      </c>
      <c r="F3986" t="s">
        <v>46</v>
      </c>
      <c r="G3986">
        <v>-366.29660000000001</v>
      </c>
      <c r="H3986" s="1">
        <v>1.8139379999999999E-6</v>
      </c>
      <c r="I3986">
        <v>213.69220000000001</v>
      </c>
      <c r="J3986">
        <v>-384.14060000000001</v>
      </c>
      <c r="K3986">
        <v>1.110465</v>
      </c>
      <c r="L3986">
        <v>214.03639999999999</v>
      </c>
      <c r="M3986">
        <v>0.99964869999999995</v>
      </c>
      <c r="N3986">
        <v>0</v>
      </c>
      <c r="O3986">
        <v>2.3808470000000002E-2</v>
      </c>
      <c r="P3986">
        <v>0.99453899999999995</v>
      </c>
      <c r="Q3986">
        <v>0.1040416</v>
      </c>
      <c r="R3986">
        <v>8.215511E-3</v>
      </c>
      <c r="S3986">
        <v>3.0360109999999998</v>
      </c>
      <c r="T3986">
        <v>-0.18694189999999999</v>
      </c>
      <c r="U3986">
        <v>-5.7128909999999998E-2</v>
      </c>
      <c r="V3986">
        <v>1.541551E-2</v>
      </c>
      <c r="W3986">
        <v>0.11562450000000001</v>
      </c>
      <c r="X3986">
        <v>0.99317339999999998</v>
      </c>
      <c r="Y3986">
        <v>4.2488779999999997E-2</v>
      </c>
      <c r="Z3986">
        <v>-2.7713310000000001E-3</v>
      </c>
      <c r="AA3986">
        <v>0.99909309999999996</v>
      </c>
      <c r="AB3986">
        <v>20</v>
      </c>
      <c r="AC3986">
        <v>17.843999999999902</v>
      </c>
      <c r="AD3986">
        <v>-1.110463186062</v>
      </c>
      <c r="AE3986">
        <v>-0.34419999999997197</v>
      </c>
      <c r="AF3986">
        <v>0.76600410262902097</v>
      </c>
      <c r="AG3986">
        <v>-1.110463186062</v>
      </c>
      <c r="AH3986">
        <v>17.7619829530109</v>
      </c>
      <c r="AI3986">
        <v>93.574110959023201</v>
      </c>
      <c r="AJ3986">
        <v>87.530589706119798</v>
      </c>
      <c r="AK3986">
        <v>17.813139229116601</v>
      </c>
      <c r="AL3986">
        <v>83.360353665609694</v>
      </c>
      <c r="AM3986">
        <v>89.110756748904706</v>
      </c>
      <c r="AN3986">
        <v>1.0000000327081799</v>
      </c>
    </row>
    <row r="3987" spans="1:40" x14ac:dyDescent="0.25">
      <c r="A3987" t="str">
        <f>"20190312172156708"</f>
        <v>20190312172156708</v>
      </c>
      <c r="B3987" t="str">
        <f>"1552382516704346"</f>
        <v>1552382516704346</v>
      </c>
      <c r="C3987" t="s">
        <v>40</v>
      </c>
      <c r="D3987">
        <v>3.0748310000000001</v>
      </c>
      <c r="E3987">
        <v>0.51017389999999996</v>
      </c>
      <c r="F3987" t="s">
        <v>46</v>
      </c>
      <c r="G3987">
        <v>-365.79349999999999</v>
      </c>
      <c r="H3987" s="1">
        <v>1.546202E-6</v>
      </c>
      <c r="I3987">
        <v>213.69489999999999</v>
      </c>
      <c r="J3987">
        <v>-383.93979999999999</v>
      </c>
      <c r="K3987">
        <v>1.110457</v>
      </c>
      <c r="L3987">
        <v>214.04159999999999</v>
      </c>
      <c r="M3987">
        <v>0.99964030000000004</v>
      </c>
      <c r="N3987">
        <v>0</v>
      </c>
      <c r="O3987">
        <v>2.416275E-2</v>
      </c>
      <c r="P3987">
        <v>0.99451389999999995</v>
      </c>
      <c r="Q3987">
        <v>0.10426249999999999</v>
      </c>
      <c r="R3987">
        <v>8.4626230000000007E-3</v>
      </c>
      <c r="S3987">
        <v>3.0361630000000002</v>
      </c>
      <c r="T3987">
        <v>-0.1837646</v>
      </c>
      <c r="U3987">
        <v>-5.6503299999999999E-2</v>
      </c>
      <c r="V3987">
        <v>1.552014E-2</v>
      </c>
      <c r="W3987">
        <v>0.1158357</v>
      </c>
      <c r="X3987">
        <v>0.99314709999999995</v>
      </c>
      <c r="Y3987">
        <v>4.2639429999999999E-2</v>
      </c>
      <c r="Z3987">
        <v>-2.7501579999999999E-3</v>
      </c>
      <c r="AA3987">
        <v>0.99908669999999999</v>
      </c>
      <c r="AB3987">
        <v>20</v>
      </c>
      <c r="AC3987">
        <v>18.1463</v>
      </c>
      <c r="AD3987">
        <v>-1.110455453798</v>
      </c>
      <c r="AE3987">
        <v>-0.34669999999999801</v>
      </c>
      <c r="AF3987">
        <v>0.78216500182891402</v>
      </c>
      <c r="AG3987">
        <v>-1.110455453798</v>
      </c>
      <c r="AH3987">
        <v>18.064998732176999</v>
      </c>
      <c r="AI3987">
        <v>93.514261339221505</v>
      </c>
      <c r="AJ3987">
        <v>87.520798004413393</v>
      </c>
      <c r="AK3987">
        <v>18.115989418149699</v>
      </c>
      <c r="AL3987">
        <v>83.348170540222796</v>
      </c>
      <c r="AM3987">
        <v>89.104698445007699</v>
      </c>
      <c r="AN3987">
        <v>0.99999997318925904</v>
      </c>
    </row>
    <row r="3988" spans="1:40" x14ac:dyDescent="0.25">
      <c r="A3988" t="str">
        <f>"20190312172156731"</f>
        <v>20190312172156731</v>
      </c>
      <c r="B3988" t="str">
        <f>"1552382516724842"</f>
        <v>1552382516724842</v>
      </c>
      <c r="C3988" t="s">
        <v>40</v>
      </c>
      <c r="D3988">
        <v>3.07518</v>
      </c>
      <c r="E3988">
        <v>0.49499120000000002</v>
      </c>
      <c r="F3988" t="s">
        <v>46</v>
      </c>
      <c r="G3988">
        <v>-365.4538</v>
      </c>
      <c r="H3988" s="1">
        <v>1.3654669999999901E-6</v>
      </c>
      <c r="I3988">
        <v>213.70830000000001</v>
      </c>
      <c r="J3988">
        <v>-383.72919999999999</v>
      </c>
      <c r="K3988">
        <v>1.110452</v>
      </c>
      <c r="L3988">
        <v>214.0471</v>
      </c>
      <c r="M3988">
        <v>0.99963150000000001</v>
      </c>
      <c r="N3988">
        <v>0</v>
      </c>
      <c r="O3988">
        <v>2.4534480000000001E-2</v>
      </c>
      <c r="P3988">
        <v>0.99447969999999997</v>
      </c>
      <c r="Q3988">
        <v>0.1045748</v>
      </c>
      <c r="R3988">
        <v>8.6331869999999901E-3</v>
      </c>
      <c r="S3988">
        <v>3.0361630000000002</v>
      </c>
      <c r="T3988">
        <v>-0.1823825</v>
      </c>
      <c r="U3988">
        <v>-5.4748539999999998E-2</v>
      </c>
      <c r="V3988">
        <v>1.5718429999999999E-2</v>
      </c>
      <c r="W3988">
        <v>0.1161388</v>
      </c>
      <c r="X3988">
        <v>0.99310860000000001</v>
      </c>
      <c r="Y3988">
        <v>4.2435250000000001E-2</v>
      </c>
      <c r="Z3988">
        <v>-2.7457039999999999E-3</v>
      </c>
      <c r="AA3988">
        <v>0.99909539999999997</v>
      </c>
      <c r="AB3988">
        <v>20</v>
      </c>
      <c r="AC3988">
        <v>18.275399999999902</v>
      </c>
      <c r="AD3988">
        <v>-1.1104506345330001</v>
      </c>
      <c r="AE3988">
        <v>-0.338799999999992</v>
      </c>
      <c r="AF3988">
        <v>0.78421135545216902</v>
      </c>
      <c r="AG3988">
        <v>-1.1104506345330001</v>
      </c>
      <c r="AH3988">
        <v>18.194433991554899</v>
      </c>
      <c r="AI3988">
        <v>93.489337105251394</v>
      </c>
      <c r="AJ3988">
        <v>87.531981063792401</v>
      </c>
      <c r="AK3988">
        <v>18.245150488138002</v>
      </c>
      <c r="AL3988">
        <v>83.330686298755495</v>
      </c>
      <c r="AM3988">
        <v>89.093226553636896</v>
      </c>
      <c r="AN3988">
        <v>0.99999999065053202</v>
      </c>
    </row>
    <row r="3989" spans="1:40" x14ac:dyDescent="0.25">
      <c r="A3989" t="str">
        <f>"20190312172156755"</f>
        <v>20190312172156755</v>
      </c>
      <c r="B3989" t="str">
        <f>"1552382516744362"</f>
        <v>1552382516744362</v>
      </c>
      <c r="C3989" t="s">
        <v>40</v>
      </c>
      <c r="D3989">
        <v>3.0961690000000002</v>
      </c>
      <c r="E3989">
        <v>0.4944461</v>
      </c>
      <c r="F3989" t="s">
        <v>46</v>
      </c>
      <c r="G3989">
        <v>-329.57580000000002</v>
      </c>
      <c r="H3989" s="1">
        <v>3.558994E-6</v>
      </c>
      <c r="I3989">
        <v>215.24430000000001</v>
      </c>
      <c r="J3989">
        <v>-383.51659999999998</v>
      </c>
      <c r="K3989">
        <v>1.1104510000000001</v>
      </c>
      <c r="L3989">
        <v>214.05279999999999</v>
      </c>
      <c r="M3989">
        <v>0.99962220000000002</v>
      </c>
      <c r="N3989">
        <v>0</v>
      </c>
      <c r="O3989">
        <v>2.490991E-2</v>
      </c>
      <c r="P3989">
        <v>0.99444069999999996</v>
      </c>
      <c r="Q3989">
        <v>0.1049423</v>
      </c>
      <c r="R3989">
        <v>8.6576780000000002E-3</v>
      </c>
      <c r="S3989">
        <v>3.022583</v>
      </c>
      <c r="T3989">
        <v>-6.1979890000000003E-2</v>
      </c>
      <c r="U3989">
        <v>6.6818240000000001E-2</v>
      </c>
      <c r="V3989">
        <v>1.6066199999999999E-2</v>
      </c>
      <c r="W3989">
        <v>0.1164987</v>
      </c>
      <c r="X3989">
        <v>0.99306090000000002</v>
      </c>
      <c r="Y3989">
        <v>2.8056050000000001E-3</v>
      </c>
      <c r="Z3989">
        <v>-5.3939530000000002E-4</v>
      </c>
      <c r="AA3989">
        <v>0.99999590000000005</v>
      </c>
      <c r="AB3989">
        <v>20</v>
      </c>
      <c r="AC3989">
        <v>53.940799999999903</v>
      </c>
      <c r="AD3989">
        <v>-1.1104474410059999</v>
      </c>
      <c r="AE3989">
        <v>1.19150000000001</v>
      </c>
      <c r="AF3989">
        <v>0.15255629887774</v>
      </c>
      <c r="AG3989">
        <v>-1.1104474410059999</v>
      </c>
      <c r="AH3989">
        <v>53.930897290275396</v>
      </c>
      <c r="AI3989">
        <v>91.179559612961299</v>
      </c>
      <c r="AJ3989">
        <v>89.837925768174898</v>
      </c>
      <c r="AK3989">
        <v>53.942543965573201</v>
      </c>
      <c r="AL3989">
        <v>83.309924749125599</v>
      </c>
      <c r="AM3989">
        <v>89.073123157080403</v>
      </c>
      <c r="AN3989">
        <v>1.0000000104964699</v>
      </c>
    </row>
    <row r="3990" spans="1:40" x14ac:dyDescent="0.25">
      <c r="A3990" t="str">
        <f>"20190312172156776"</f>
        <v>20190312172156776</v>
      </c>
      <c r="B3990" t="str">
        <f>"1552382516764858"</f>
        <v>1552382516764858</v>
      </c>
      <c r="C3990" t="s">
        <v>40</v>
      </c>
      <c r="D3990">
        <v>3.1019950000000001</v>
      </c>
      <c r="E3990">
        <v>0.4948187</v>
      </c>
      <c r="F3990" t="s">
        <v>46</v>
      </c>
      <c r="G3990">
        <v>-320.01510000000002</v>
      </c>
      <c r="H3990" s="1">
        <v>-1.528744E-6</v>
      </c>
      <c r="I3990">
        <v>215.55189999999999</v>
      </c>
      <c r="J3990">
        <v>-383.32369999999997</v>
      </c>
      <c r="K3990">
        <v>1.1104459999999901</v>
      </c>
      <c r="L3990">
        <v>214.05799999999999</v>
      </c>
      <c r="M3990">
        <v>0.99961359999999999</v>
      </c>
      <c r="N3990">
        <v>0</v>
      </c>
      <c r="O3990">
        <v>2.525051E-2</v>
      </c>
      <c r="P3990">
        <v>0.99441409999999997</v>
      </c>
      <c r="Q3990">
        <v>0.1052197</v>
      </c>
      <c r="R3990">
        <v>8.3309909999999994E-3</v>
      </c>
      <c r="S3990">
        <v>3.0217290000000001</v>
      </c>
      <c r="T3990">
        <v>-5.2841069999999997E-2</v>
      </c>
      <c r="U3990">
        <v>7.1334839999999997E-2</v>
      </c>
      <c r="V3990">
        <v>1.673082E-2</v>
      </c>
      <c r="W3990">
        <v>0.1167701</v>
      </c>
      <c r="X3990">
        <v>0.99301799999999996</v>
      </c>
      <c r="Y3990">
        <v>1.6478809999999999E-3</v>
      </c>
      <c r="Z3990">
        <v>-4.5582830000000002E-4</v>
      </c>
      <c r="AA3990">
        <v>0.99999850000000001</v>
      </c>
      <c r="AB3990">
        <v>20</v>
      </c>
      <c r="AC3990">
        <v>63.308599999999899</v>
      </c>
      <c r="AD3990">
        <v>-1.1104475287440001</v>
      </c>
      <c r="AE3990">
        <v>1.49389999999999</v>
      </c>
      <c r="AF3990">
        <v>0.10522643292030601</v>
      </c>
      <c r="AG3990">
        <v>-1.1104475287440001</v>
      </c>
      <c r="AH3990">
        <v>63.306669855236599</v>
      </c>
      <c r="AI3990">
        <v>91.004907460987098</v>
      </c>
      <c r="AJ3990">
        <v>89.904764775007195</v>
      </c>
      <c r="AK3990">
        <v>63.316495595351803</v>
      </c>
      <c r="AL3990">
        <v>83.294267491199903</v>
      </c>
      <c r="AM3990">
        <v>89.034745913312406</v>
      </c>
      <c r="AN3990">
        <v>0.99999996245793998</v>
      </c>
    </row>
    <row r="3991" spans="1:40" x14ac:dyDescent="0.25">
      <c r="A3991" t="str">
        <f>"20190312172156799"</f>
        <v>20190312172156799</v>
      </c>
      <c r="B3991" t="str">
        <f>"1552382516795115"</f>
        <v>1552382516795115</v>
      </c>
      <c r="C3991" t="s">
        <v>40</v>
      </c>
      <c r="D3991">
        <v>3.1023960000000002</v>
      </c>
      <c r="E3991">
        <v>0.49474649999999998</v>
      </c>
      <c r="F3991" t="s">
        <v>46</v>
      </c>
      <c r="G3991">
        <v>-323.50569999999999</v>
      </c>
      <c r="H3991" s="1">
        <v>3.2877510000000002E-7</v>
      </c>
      <c r="I3991">
        <v>215.3878</v>
      </c>
      <c r="J3991">
        <v>-383.1182</v>
      </c>
      <c r="K3991">
        <v>1.1104459999999901</v>
      </c>
      <c r="L3991">
        <v>214.06360000000001</v>
      </c>
      <c r="M3991">
        <v>0.99960459999999995</v>
      </c>
      <c r="N3991">
        <v>0</v>
      </c>
      <c r="O3991">
        <v>2.5612869999999999E-2</v>
      </c>
      <c r="P3991">
        <v>0.99438559999999998</v>
      </c>
      <c r="Q3991">
        <v>0.1055347</v>
      </c>
      <c r="R3991">
        <v>7.7563889999999998E-3</v>
      </c>
      <c r="S3991">
        <v>3.022186</v>
      </c>
      <c r="T3991">
        <v>-5.6103109999999998E-2</v>
      </c>
      <c r="U3991">
        <v>6.7184450000000007E-2</v>
      </c>
      <c r="V3991">
        <v>1.766465E-2</v>
      </c>
      <c r="W3991">
        <v>0.1170794</v>
      </c>
      <c r="X3991">
        <v>0.99296549999999995</v>
      </c>
      <c r="Y3991">
        <v>3.3856429999999998E-3</v>
      </c>
      <c r="Z3991">
        <v>-5.0674889999999999E-4</v>
      </c>
      <c r="AA3991">
        <v>0.99999420000000006</v>
      </c>
      <c r="AB3991">
        <v>20</v>
      </c>
      <c r="AC3991">
        <v>59.612499999999997</v>
      </c>
      <c r="AD3991">
        <v>-1.11044567122489</v>
      </c>
      <c r="AE3991">
        <v>1.3241999999999901</v>
      </c>
      <c r="AF3991">
        <v>0.20311403455877</v>
      </c>
      <c r="AG3991">
        <v>-1.11044567122489</v>
      </c>
      <c r="AH3991">
        <v>59.606186841581398</v>
      </c>
      <c r="AI3991">
        <v>91.067273808748894</v>
      </c>
      <c r="AJ3991">
        <v>89.804759664845193</v>
      </c>
      <c r="AK3991">
        <v>59.616875586475402</v>
      </c>
      <c r="AL3991">
        <v>83.276424134931105</v>
      </c>
      <c r="AM3991">
        <v>88.980827488861294</v>
      </c>
      <c r="AN3991">
        <v>1.00000005497711</v>
      </c>
    </row>
    <row r="3992" spans="1:40" x14ac:dyDescent="0.25">
      <c r="A3992" t="str">
        <f>"20190312172156822"</f>
        <v>20190312172156822</v>
      </c>
      <c r="B3992" t="str">
        <f>"1552382516814634"</f>
        <v>1552382516814634</v>
      </c>
      <c r="C3992" t="s">
        <v>40</v>
      </c>
      <c r="D3992">
        <v>3.1139220000000001</v>
      </c>
      <c r="E3992">
        <v>0.49494559999999999</v>
      </c>
      <c r="F3992" t="s">
        <v>46</v>
      </c>
      <c r="G3992">
        <v>-324.27</v>
      </c>
      <c r="H3992" s="1">
        <v>7.355059E-7</v>
      </c>
      <c r="I3992">
        <v>215.35300000000001</v>
      </c>
      <c r="J3992">
        <v>-382.90690000000001</v>
      </c>
      <c r="K3992">
        <v>1.110444</v>
      </c>
      <c r="L3992">
        <v>214.06950000000001</v>
      </c>
      <c r="M3992">
        <v>0.99959489999999995</v>
      </c>
      <c r="N3992">
        <v>0</v>
      </c>
      <c r="O3992">
        <v>2.5985950000000001E-2</v>
      </c>
      <c r="P3992">
        <v>0.99444259999999995</v>
      </c>
      <c r="Q3992">
        <v>0.105021</v>
      </c>
      <c r="R3992">
        <v>7.3755890000000001E-3</v>
      </c>
      <c r="S3992">
        <v>3.0224609999999998</v>
      </c>
      <c r="T3992">
        <v>-5.7032819999999998E-2</v>
      </c>
      <c r="U3992">
        <v>6.622314E-2</v>
      </c>
      <c r="V3992">
        <v>1.8418179999999999E-2</v>
      </c>
      <c r="W3992">
        <v>0.11656130000000001</v>
      </c>
      <c r="X3992">
        <v>0.99301269999999997</v>
      </c>
      <c r="Y3992">
        <v>4.078435E-3</v>
      </c>
      <c r="Z3992">
        <v>-5.2867180000000004E-4</v>
      </c>
      <c r="AA3992">
        <v>0.99999150000000003</v>
      </c>
      <c r="AB3992">
        <v>20</v>
      </c>
      <c r="AC3992">
        <v>58.636899999999997</v>
      </c>
      <c r="AD3992">
        <v>-1.1104432644941</v>
      </c>
      <c r="AE3992">
        <v>1.2834999999999701</v>
      </c>
      <c r="AF3992">
        <v>0.240685445403889</v>
      </c>
      <c r="AG3992">
        <v>-1.1104432644941</v>
      </c>
      <c r="AH3992">
        <v>58.6294349392507</v>
      </c>
      <c r="AI3992">
        <v>91.085044916979996</v>
      </c>
      <c r="AJ3992">
        <v>89.764790795622403</v>
      </c>
      <c r="AK3992">
        <v>58.640443850836597</v>
      </c>
      <c r="AL3992">
        <v>83.306313320399298</v>
      </c>
      <c r="AM3992">
        <v>88.937412389270307</v>
      </c>
      <c r="AN3992">
        <v>0.99999999418674601</v>
      </c>
    </row>
    <row r="3993" spans="1:40" x14ac:dyDescent="0.25">
      <c r="A3993" t="str">
        <f>"20190312172156844"</f>
        <v>20190312172156844</v>
      </c>
      <c r="B3993" t="str">
        <f>"1552382516834153"</f>
        <v>1552382516834153</v>
      </c>
      <c r="C3993" t="s">
        <v>40</v>
      </c>
      <c r="D3993">
        <v>3.0965729999999998</v>
      </c>
      <c r="E3993">
        <v>0.4948921</v>
      </c>
      <c r="F3993" t="s">
        <v>46</v>
      </c>
      <c r="G3993">
        <v>-329.33800000000002</v>
      </c>
      <c r="H3993" s="1">
        <v>3.4324130000000001E-6</v>
      </c>
      <c r="I3993">
        <v>215.19759999999999</v>
      </c>
      <c r="J3993">
        <v>-382.69920000000002</v>
      </c>
      <c r="K3993">
        <v>1.1104449999999999</v>
      </c>
      <c r="L3993">
        <v>214.0753</v>
      </c>
      <c r="M3993">
        <v>0.99958539999999996</v>
      </c>
      <c r="N3993">
        <v>0</v>
      </c>
      <c r="O3993">
        <v>2.635295E-2</v>
      </c>
      <c r="P3993">
        <v>0.99445090000000003</v>
      </c>
      <c r="Q3993">
        <v>0.1049697</v>
      </c>
      <c r="R3993">
        <v>7.0066099999999999E-3</v>
      </c>
      <c r="S3993">
        <v>3.0229189999999999</v>
      </c>
      <c r="T3993">
        <v>-6.2662720000000005E-2</v>
      </c>
      <c r="U3993">
        <v>6.3659670000000002E-2</v>
      </c>
      <c r="V3993">
        <v>1.915244E-2</v>
      </c>
      <c r="W3993">
        <v>0.11650679999999999</v>
      </c>
      <c r="X3993">
        <v>0.99300520000000003</v>
      </c>
      <c r="Y3993">
        <v>5.2950540000000004E-3</v>
      </c>
      <c r="Z3993">
        <v>-6.009772E-4</v>
      </c>
      <c r="AA3993">
        <v>0.99998580000000004</v>
      </c>
      <c r="AB3993">
        <v>20</v>
      </c>
      <c r="AC3993">
        <v>53.361199999999997</v>
      </c>
      <c r="AD3993">
        <v>-1.1104415675870001</v>
      </c>
      <c r="AE3993">
        <v>1.1222999999999901</v>
      </c>
      <c r="AF3993">
        <v>0.28428641900589802</v>
      </c>
      <c r="AG3993">
        <v>-1.1104415675870001</v>
      </c>
      <c r="AH3993">
        <v>53.349150352602202</v>
      </c>
      <c r="AI3993">
        <v>91.192399991443594</v>
      </c>
      <c r="AJ3993">
        <v>89.694685712862594</v>
      </c>
      <c r="AK3993">
        <v>53.361463085148003</v>
      </c>
      <c r="AL3993">
        <v>83.309457325607497</v>
      </c>
      <c r="AM3993">
        <v>88.895053180842197</v>
      </c>
      <c r="AN3993">
        <v>0.99999998881561603</v>
      </c>
    </row>
    <row r="3994" spans="1:40" x14ac:dyDescent="0.25">
      <c r="A3994" t="str">
        <f>"20190312172156867"</f>
        <v>20190312172156867</v>
      </c>
      <c r="B3994" t="str">
        <f>"1552382516864411"</f>
        <v>1552382516864411</v>
      </c>
      <c r="C3994" t="s">
        <v>40</v>
      </c>
      <c r="D3994">
        <v>3.0745550000000001</v>
      </c>
      <c r="E3994">
        <v>0.49500859999999902</v>
      </c>
      <c r="F3994" t="s">
        <v>46</v>
      </c>
      <c r="G3994">
        <v>-329.71730000000002</v>
      </c>
      <c r="H3994" s="1">
        <v>3.6343020000000001E-6</v>
      </c>
      <c r="I3994">
        <v>215.1782</v>
      </c>
      <c r="J3994">
        <v>-382.49299999999999</v>
      </c>
      <c r="K3994">
        <v>1.1104400000000001</v>
      </c>
      <c r="L3994">
        <v>214.0812</v>
      </c>
      <c r="M3994">
        <v>0.99957589999999996</v>
      </c>
      <c r="N3994">
        <v>0</v>
      </c>
      <c r="O3994">
        <v>2.6716899999999998E-2</v>
      </c>
      <c r="P3994">
        <v>0.99445649999999997</v>
      </c>
      <c r="Q3994">
        <v>0.1049587</v>
      </c>
      <c r="R3994">
        <v>6.3426069999999897E-3</v>
      </c>
      <c r="S3994">
        <v>3.0229490000000001</v>
      </c>
      <c r="T3994">
        <v>-6.3357709999999998E-2</v>
      </c>
      <c r="U3994">
        <v>6.2927250000000004E-2</v>
      </c>
      <c r="V3994">
        <v>2.017818E-2</v>
      </c>
      <c r="W3994">
        <v>0.1164926</v>
      </c>
      <c r="X3994">
        <v>0.99298660000000005</v>
      </c>
      <c r="Y3994">
        <v>5.9011810000000001E-3</v>
      </c>
      <c r="Z3994">
        <v>-6.2161140000000002E-4</v>
      </c>
      <c r="AA3994">
        <v>0.99998240000000005</v>
      </c>
      <c r="AB3994">
        <v>20</v>
      </c>
      <c r="AC3994">
        <v>52.775700000000001</v>
      </c>
      <c r="AD3994">
        <v>-1.1104363656980001</v>
      </c>
      <c r="AE3994">
        <v>1.097</v>
      </c>
      <c r="AF3994">
        <v>0.313350713578889</v>
      </c>
      <c r="AG3994">
        <v>-1.1104363656980001</v>
      </c>
      <c r="AH3994">
        <v>52.762820517662497</v>
      </c>
      <c r="AI3994">
        <v>91.205636925693994</v>
      </c>
      <c r="AJ3994">
        <v>89.659732702905202</v>
      </c>
      <c r="AK3994">
        <v>52.775434499121197</v>
      </c>
      <c r="AL3994">
        <v>83.310276822742907</v>
      </c>
      <c r="AM3994">
        <v>88.835870032334398</v>
      </c>
      <c r="AN3994">
        <v>1.00000003629121</v>
      </c>
    </row>
    <row r="3995" spans="1:40" x14ac:dyDescent="0.25">
      <c r="A3995" t="str">
        <f>"20190312172156887"</f>
        <v>20190312172156887</v>
      </c>
      <c r="B3995" t="str">
        <f>"1552382516884906"</f>
        <v>1552382516884906</v>
      </c>
      <c r="C3995" t="s">
        <v>40</v>
      </c>
      <c r="D3995">
        <v>3.1186029999999998</v>
      </c>
      <c r="E3995">
        <v>0.49508059999999998</v>
      </c>
      <c r="F3995" t="s">
        <v>46</v>
      </c>
      <c r="G3995">
        <v>-331.14159999999998</v>
      </c>
      <c r="H3995" s="1">
        <v>-9.5049189999999999E-7</v>
      </c>
      <c r="I3995">
        <v>215.101</v>
      </c>
      <c r="J3995">
        <v>-382.30720000000002</v>
      </c>
      <c r="K3995">
        <v>1.1104350000000001</v>
      </c>
      <c r="L3995">
        <v>214.0865</v>
      </c>
      <c r="M3995">
        <v>0.99956699999999998</v>
      </c>
      <c r="N3995">
        <v>0</v>
      </c>
      <c r="O3995">
        <v>2.7045320000000001E-2</v>
      </c>
      <c r="P3995">
        <v>0.9945387</v>
      </c>
      <c r="Q3995">
        <v>0.1042344</v>
      </c>
      <c r="R3995">
        <v>5.3055079999999996E-3</v>
      </c>
      <c r="S3995">
        <v>3.0232540000000001</v>
      </c>
      <c r="T3995">
        <v>-6.5375799999999998E-2</v>
      </c>
      <c r="U3995">
        <v>6.0043329999999999E-2</v>
      </c>
      <c r="V3995">
        <v>2.1544259999999999E-2</v>
      </c>
      <c r="W3995">
        <v>0.11576699999999999</v>
      </c>
      <c r="X3995">
        <v>0.99304269999999994</v>
      </c>
      <c r="Y3995">
        <v>7.1844939999999996E-3</v>
      </c>
      <c r="Z3995">
        <v>-6.6232029999999998E-4</v>
      </c>
      <c r="AA3995">
        <v>0.99997400000000003</v>
      </c>
      <c r="AB3995">
        <v>20</v>
      </c>
      <c r="AC3995">
        <v>51.165599999999998</v>
      </c>
      <c r="AD3995">
        <v>-1.1104359504918999</v>
      </c>
      <c r="AE3995">
        <v>1.01449999999999</v>
      </c>
      <c r="AF3995">
        <v>0.36958013716302801</v>
      </c>
      <c r="AG3995">
        <v>-1.1104359504918999</v>
      </c>
      <c r="AH3995">
        <v>51.150238012345397</v>
      </c>
      <c r="AI3995">
        <v>91.243623562182805</v>
      </c>
      <c r="AJ3995">
        <v>89.586023166452094</v>
      </c>
      <c r="AK3995">
        <v>51.163624834422301</v>
      </c>
      <c r="AL3995">
        <v>83.352133458058006</v>
      </c>
      <c r="AM3995">
        <v>88.757151574313895</v>
      </c>
      <c r="AN3995">
        <v>0.99999997872561797</v>
      </c>
    </row>
    <row r="3996" spans="1:40" x14ac:dyDescent="0.25">
      <c r="A3996" t="str">
        <f>"20190312172156910"</f>
        <v>20190312172156910</v>
      </c>
      <c r="B3996" t="str">
        <f>"1552382516904426"</f>
        <v>1552382516904426</v>
      </c>
      <c r="C3996" t="s">
        <v>40</v>
      </c>
      <c r="D3996">
        <v>3.1452779999999998</v>
      </c>
      <c r="E3996">
        <v>0.49496390000000001</v>
      </c>
      <c r="F3996" t="s">
        <v>46</v>
      </c>
      <c r="G3996">
        <v>-333.44150000000002</v>
      </c>
      <c r="H3996" s="1">
        <v>2.7764279999999998E-7</v>
      </c>
      <c r="I3996">
        <v>215.0042</v>
      </c>
      <c r="J3996">
        <v>-382.09980000000002</v>
      </c>
      <c r="K3996">
        <v>1.1104259999999999</v>
      </c>
      <c r="L3996">
        <v>214.0926</v>
      </c>
      <c r="M3996">
        <v>0.99955709999999998</v>
      </c>
      <c r="N3996">
        <v>0</v>
      </c>
      <c r="O3996">
        <v>2.74113E-2</v>
      </c>
      <c r="P3996">
        <v>0.99458100000000005</v>
      </c>
      <c r="Q3996">
        <v>0.10386579999999999</v>
      </c>
      <c r="R3996">
        <v>4.5616390000000001E-3</v>
      </c>
      <c r="S3996">
        <v>3.0233759999999998</v>
      </c>
      <c r="T3996">
        <v>-6.8703890000000004E-2</v>
      </c>
      <c r="U3996">
        <v>5.6777950000000001E-2</v>
      </c>
      <c r="V3996">
        <v>2.265325E-2</v>
      </c>
      <c r="W3996">
        <v>0.1153966</v>
      </c>
      <c r="X3996">
        <v>0.99306110000000003</v>
      </c>
      <c r="Y3996">
        <v>8.6297240000000001E-3</v>
      </c>
      <c r="Z3996">
        <v>-7.2073910000000001E-4</v>
      </c>
      <c r="AA3996">
        <v>0.99996249999999998</v>
      </c>
      <c r="AB3996">
        <v>20</v>
      </c>
      <c r="AC3996">
        <v>48.658299999999997</v>
      </c>
      <c r="AD3996">
        <v>-1.1104257223571901</v>
      </c>
      <c r="AE3996">
        <v>0.91159999999999197</v>
      </c>
      <c r="AF3996">
        <v>0.42239946480012502</v>
      </c>
      <c r="AG3996">
        <v>-1.1104257223571901</v>
      </c>
      <c r="AH3996">
        <v>48.639681187736997</v>
      </c>
      <c r="AI3996">
        <v>91.307764737241499</v>
      </c>
      <c r="AJ3996">
        <v>89.502441265299097</v>
      </c>
      <c r="AK3996">
        <v>48.6541884387915</v>
      </c>
      <c r="AL3996">
        <v>83.373498794735298</v>
      </c>
      <c r="AM3996">
        <v>88.693221843479705</v>
      </c>
      <c r="AN3996">
        <v>0.99999994668016401</v>
      </c>
    </row>
    <row r="3997" spans="1:40" x14ac:dyDescent="0.25">
      <c r="A3997" t="str">
        <f>"20190312172156932"</f>
        <v>20190312172156932</v>
      </c>
      <c r="B3997" t="str">
        <f>"1552382516924922"</f>
        <v>1552382516924922</v>
      </c>
      <c r="C3997" t="s">
        <v>40</v>
      </c>
      <c r="D3997">
        <v>3.1136949999999999</v>
      </c>
      <c r="E3997">
        <v>0.4949578</v>
      </c>
      <c r="F3997" t="s">
        <v>46</v>
      </c>
      <c r="G3997">
        <v>-333.82530000000003</v>
      </c>
      <c r="H3997" s="1">
        <v>4.830355E-7</v>
      </c>
      <c r="I3997">
        <v>214.9777</v>
      </c>
      <c r="J3997">
        <v>-381.8956</v>
      </c>
      <c r="K3997">
        <v>1.110422</v>
      </c>
      <c r="L3997">
        <v>214.0986</v>
      </c>
      <c r="M3997">
        <v>0.99954719999999997</v>
      </c>
      <c r="N3997">
        <v>0</v>
      </c>
      <c r="O3997">
        <v>2.777191E-2</v>
      </c>
      <c r="P3997">
        <v>0.99465380000000003</v>
      </c>
      <c r="Q3997">
        <v>0.10318720000000001</v>
      </c>
      <c r="R3997">
        <v>4.0878889999999999E-3</v>
      </c>
      <c r="S3997">
        <v>3.0233460000000001</v>
      </c>
      <c r="T3997">
        <v>-6.9543960000000002E-2</v>
      </c>
      <c r="U3997">
        <v>5.5435180000000001E-2</v>
      </c>
      <c r="V3997">
        <v>2.3487689999999999E-2</v>
      </c>
      <c r="W3997">
        <v>0.1147174</v>
      </c>
      <c r="X3997">
        <v>0.99312040000000001</v>
      </c>
      <c r="Y3997">
        <v>9.433716E-3</v>
      </c>
      <c r="Z3997">
        <v>-7.4709590000000001E-4</v>
      </c>
      <c r="AA3997">
        <v>0.99995520000000004</v>
      </c>
      <c r="AB3997">
        <v>20</v>
      </c>
      <c r="AC3997">
        <v>48.070299999999897</v>
      </c>
      <c r="AD3997">
        <v>-1.1104215169645</v>
      </c>
      <c r="AE3997">
        <v>0.879099999999994</v>
      </c>
      <c r="AF3997">
        <v>0.45608941208840198</v>
      </c>
      <c r="AG3997">
        <v>-1.1104215169645</v>
      </c>
      <c r="AH3997">
        <v>48.0505404888169</v>
      </c>
      <c r="AI3997">
        <v>91.323778656125896</v>
      </c>
      <c r="AJ3997">
        <v>89.456172326524296</v>
      </c>
      <c r="AK3997">
        <v>48.065533334860497</v>
      </c>
      <c r="AL3997">
        <v>83.412674223139305</v>
      </c>
      <c r="AM3997">
        <v>88.645184731494595</v>
      </c>
      <c r="AN3997">
        <v>0.99999994117022595</v>
      </c>
    </row>
    <row r="3998" spans="1:40" x14ac:dyDescent="0.25">
      <c r="A3998" t="str">
        <f>"20190312172156955"</f>
        <v>20190312172156955</v>
      </c>
      <c r="B3998" t="str">
        <f>"1552382516944442"</f>
        <v>1552382516944442</v>
      </c>
      <c r="C3998" t="s">
        <v>40</v>
      </c>
      <c r="D3998">
        <v>3.111888</v>
      </c>
      <c r="E3998">
        <v>0.49490729999999999</v>
      </c>
      <c r="F3998" t="s">
        <v>46</v>
      </c>
      <c r="G3998">
        <v>-335.5163</v>
      </c>
      <c r="H3998" s="1">
        <v>1.3852000000000001E-6</v>
      </c>
      <c r="I3998">
        <v>214.92509999999999</v>
      </c>
      <c r="J3998">
        <v>-381.69260000000003</v>
      </c>
      <c r="K3998">
        <v>1.1104210000000001</v>
      </c>
      <c r="L3998">
        <v>214.10470000000001</v>
      </c>
      <c r="M3998">
        <v>0.99953720000000001</v>
      </c>
      <c r="N3998">
        <v>0</v>
      </c>
      <c r="O3998">
        <v>2.8130269999999999E-2</v>
      </c>
      <c r="P3998">
        <v>0.99464609999999998</v>
      </c>
      <c r="Q3998">
        <v>0.1032807</v>
      </c>
      <c r="R3998">
        <v>3.5858019999999999E-3</v>
      </c>
      <c r="S3998">
        <v>3.0233759999999998</v>
      </c>
      <c r="T3998">
        <v>-7.2386149999999996E-2</v>
      </c>
      <c r="U3998">
        <v>5.3878780000000001E-2</v>
      </c>
      <c r="V3998">
        <v>2.434567E-2</v>
      </c>
      <c r="W3998">
        <v>0.1148055</v>
      </c>
      <c r="X3998">
        <v>0.99308960000000002</v>
      </c>
      <c r="Y3998">
        <v>1.030583E-2</v>
      </c>
      <c r="Z3998">
        <v>-7.9663019999999995E-4</v>
      </c>
      <c r="AA3998">
        <v>0.99994660000000002</v>
      </c>
      <c r="AB3998">
        <v>20</v>
      </c>
      <c r="AC3998">
        <v>46.176299999999998</v>
      </c>
      <c r="AD3998">
        <v>-1.1104196147999901</v>
      </c>
      <c r="AE3998">
        <v>0.82039999999997804</v>
      </c>
      <c r="AF3998">
        <v>0.478686850723678</v>
      </c>
      <c r="AG3998">
        <v>-1.1104196147999901</v>
      </c>
      <c r="AH3998">
        <v>46.154421999272898</v>
      </c>
      <c r="AI3998">
        <v>91.378127250933005</v>
      </c>
      <c r="AJ3998">
        <v>89.405782767229496</v>
      </c>
      <c r="AK3998">
        <v>46.170259290033798</v>
      </c>
      <c r="AL3998">
        <v>83.407593176668698</v>
      </c>
      <c r="AM3998">
        <v>88.595670722548803</v>
      </c>
      <c r="AN3998">
        <v>0.99999998405307899</v>
      </c>
    </row>
    <row r="3999" spans="1:40" x14ac:dyDescent="0.25">
      <c r="A3999" t="str">
        <f>"20190312172156976"</f>
        <v>20190312172156976</v>
      </c>
      <c r="B3999" t="str">
        <f>"1552382516964938"</f>
        <v>1552382516964938</v>
      </c>
      <c r="C3999" t="s">
        <v>40</v>
      </c>
      <c r="D3999">
        <v>3.0857030000000001</v>
      </c>
      <c r="E3999">
        <v>0.49484109999999998</v>
      </c>
      <c r="F3999" t="s">
        <v>46</v>
      </c>
      <c r="G3999">
        <v>-335.26670000000001</v>
      </c>
      <c r="H3999" s="1">
        <v>1.2531149999999999E-6</v>
      </c>
      <c r="I3999">
        <v>214.90860000000001</v>
      </c>
      <c r="J3999">
        <v>-381.49610000000001</v>
      </c>
      <c r="K3999">
        <v>1.1104179999999999</v>
      </c>
      <c r="L3999">
        <v>214.11060000000001</v>
      </c>
      <c r="M3999">
        <v>0.99952759999999996</v>
      </c>
      <c r="N3999">
        <v>0</v>
      </c>
      <c r="O3999">
        <v>2.847529E-2</v>
      </c>
      <c r="P3999">
        <v>0.99461189999999999</v>
      </c>
      <c r="Q3999">
        <v>0.10363790000000001</v>
      </c>
      <c r="R3999">
        <v>2.549192E-3</v>
      </c>
      <c r="S3999">
        <v>3.0234380000000001</v>
      </c>
      <c r="T3999">
        <v>-7.2314980000000001E-2</v>
      </c>
      <c r="U3999">
        <v>5.2352910000000002E-2</v>
      </c>
      <c r="V3999">
        <v>2.572464E-2</v>
      </c>
      <c r="W3999">
        <v>0.1151522</v>
      </c>
      <c r="X3999">
        <v>0.99301470000000003</v>
      </c>
      <c r="Y3999">
        <v>1.115553E-2</v>
      </c>
      <c r="Z3999">
        <v>-8.1424250000000002E-4</v>
      </c>
      <c r="AA3999">
        <v>0.99993739999999998</v>
      </c>
      <c r="AB3999">
        <v>20</v>
      </c>
      <c r="AC3999">
        <v>46.229399999999998</v>
      </c>
      <c r="AD3999">
        <v>-1.1104167468849999</v>
      </c>
      <c r="AE3999">
        <v>0.79800000000000104</v>
      </c>
      <c r="AF3999">
        <v>0.51850817681863903</v>
      </c>
      <c r="AG3999">
        <v>-1.1104167468849999</v>
      </c>
      <c r="AH3999">
        <v>46.206725255318403</v>
      </c>
      <c r="AI3999">
        <v>91.376551712419499</v>
      </c>
      <c r="AJ3999">
        <v>89.3570831274114</v>
      </c>
      <c r="AK3999">
        <v>46.222974102730198</v>
      </c>
      <c r="AL3999">
        <v>83.387596149493604</v>
      </c>
      <c r="AM3999">
        <v>88.516050447416603</v>
      </c>
      <c r="AN3999">
        <v>0.99999999034202902</v>
      </c>
    </row>
    <row r="4000" spans="1:40" x14ac:dyDescent="0.25">
      <c r="A4000" t="str">
        <f>"20190312172157010"</f>
        <v>20190312172157010</v>
      </c>
      <c r="B4000" t="str">
        <f>"1552382517004954"</f>
        <v>1552382517004954</v>
      </c>
      <c r="C4000" t="s">
        <v>40</v>
      </c>
      <c r="D4000">
        <v>3.2477960000000001</v>
      </c>
      <c r="E4000">
        <v>0.49472729999999998</v>
      </c>
      <c r="F4000" t="s">
        <v>46</v>
      </c>
      <c r="G4000">
        <v>-334.37189999999998</v>
      </c>
      <c r="H4000" s="1">
        <v>7.7795120000000001E-7</v>
      </c>
      <c r="I4000">
        <v>214.8862</v>
      </c>
      <c r="J4000">
        <v>-381.18369999999999</v>
      </c>
      <c r="K4000">
        <v>1.1104080000000001</v>
      </c>
      <c r="L4000">
        <v>214.12020000000001</v>
      </c>
      <c r="M4000">
        <v>0.99951239999999997</v>
      </c>
      <c r="N4000">
        <v>0</v>
      </c>
      <c r="O4000">
        <v>2.900778E-2</v>
      </c>
      <c r="P4000">
        <v>0.99462779999999995</v>
      </c>
      <c r="Q4000">
        <v>0.10351539999999999</v>
      </c>
      <c r="R4000">
        <v>6.5750330000000003E-4</v>
      </c>
      <c r="S4000">
        <v>3.0235289999999999</v>
      </c>
      <c r="T4000">
        <v>-7.1245429999999998E-2</v>
      </c>
      <c r="U4000">
        <v>4.9758910000000003E-2</v>
      </c>
      <c r="V4000">
        <v>2.8147700000000001E-2</v>
      </c>
      <c r="W4000">
        <v>0.115012</v>
      </c>
      <c r="X4000">
        <v>0.99296519999999999</v>
      </c>
      <c r="Y4000">
        <v>1.254619E-2</v>
      </c>
      <c r="Z4000">
        <v>-8.3110809999999895E-4</v>
      </c>
      <c r="AA4000">
        <v>0.99992099999999995</v>
      </c>
      <c r="AB4000">
        <v>20</v>
      </c>
      <c r="AC4000">
        <v>46.811799999999998</v>
      </c>
      <c r="AD4000">
        <v>-1.1104072220487999</v>
      </c>
      <c r="AE4000">
        <v>0.76599999999999102</v>
      </c>
      <c r="AF4000">
        <v>0.59198643535895701</v>
      </c>
      <c r="AG4000">
        <v>-1.1104072220487999</v>
      </c>
      <c r="AH4000">
        <v>46.788000578247299</v>
      </c>
      <c r="AI4000">
        <v>91.359421578172004</v>
      </c>
      <c r="AJ4000">
        <v>89.275102289579195</v>
      </c>
      <c r="AK4000">
        <v>46.804919081742902</v>
      </c>
      <c r="AL4000">
        <v>83.3956826156071</v>
      </c>
      <c r="AM4000">
        <v>88.376264704218599</v>
      </c>
      <c r="AN4000">
        <v>0.99999997078516401</v>
      </c>
    </row>
    <row r="4001" spans="1:40" x14ac:dyDescent="0.25">
      <c r="A4001" t="str">
        <f>"20190312172157034"</f>
        <v>20190312172157034</v>
      </c>
      <c r="B4001" t="str">
        <f>"1552382517024474"</f>
        <v>1552382517024474</v>
      </c>
      <c r="C4001" t="s">
        <v>40</v>
      </c>
      <c r="D4001">
        <v>3.1335449999999998</v>
      </c>
      <c r="E4001">
        <v>0.49463600000000002</v>
      </c>
      <c r="F4001" t="s">
        <v>46</v>
      </c>
      <c r="G4001">
        <v>-333.05149999999998</v>
      </c>
      <c r="H4001" s="1">
        <v>7.73526499999999E-8</v>
      </c>
      <c r="I4001">
        <v>214.83920000000001</v>
      </c>
      <c r="J4001">
        <v>-380.96749999999997</v>
      </c>
      <c r="K4001">
        <v>1.110393</v>
      </c>
      <c r="L4001">
        <v>214.12690000000001</v>
      </c>
      <c r="M4001">
        <v>0.99950209999999995</v>
      </c>
      <c r="N4001">
        <v>0</v>
      </c>
      <c r="O4001">
        <v>2.9359840000000002E-2</v>
      </c>
      <c r="P4001">
        <v>0.99466670000000001</v>
      </c>
      <c r="Q4001">
        <v>0.1031397</v>
      </c>
      <c r="R4001">
        <v>-4.4219449999999998E-4</v>
      </c>
      <c r="S4001">
        <v>3.0234679999999998</v>
      </c>
      <c r="T4001">
        <v>-6.9751380000000002E-2</v>
      </c>
      <c r="U4001">
        <v>4.5166020000000001E-2</v>
      </c>
      <c r="V4001">
        <v>2.960132E-2</v>
      </c>
      <c r="W4001">
        <v>0.11462600000000001</v>
      </c>
      <c r="X4001">
        <v>0.99296759999999995</v>
      </c>
      <c r="Y4001">
        <v>1.441651E-2</v>
      </c>
      <c r="Z4001">
        <v>-8.4340149999999998E-4</v>
      </c>
      <c r="AA4001">
        <v>0.99989570000000005</v>
      </c>
      <c r="AB4001">
        <v>20</v>
      </c>
      <c r="AC4001">
        <v>47.915999999999997</v>
      </c>
      <c r="AD4001">
        <v>-1.1103929226473499</v>
      </c>
      <c r="AE4001">
        <v>0.71229999999999805</v>
      </c>
      <c r="AF4001">
        <v>0.69453425431782101</v>
      </c>
      <c r="AG4001">
        <v>-1.1103929226473499</v>
      </c>
      <c r="AH4001">
        <v>47.890542794120002</v>
      </c>
      <c r="AI4001">
        <v>91.328085703246202</v>
      </c>
      <c r="AJ4001">
        <v>89.169124222295693</v>
      </c>
      <c r="AK4001">
        <v>47.908448517860897</v>
      </c>
      <c r="AL4001">
        <v>83.417946262988494</v>
      </c>
      <c r="AM4001">
        <v>88.2924633647728</v>
      </c>
      <c r="AN4001">
        <v>1.0000000063357499</v>
      </c>
    </row>
    <row r="4002" spans="1:40" x14ac:dyDescent="0.25">
      <c r="A4002" t="str">
        <f>"20190312172157056"</f>
        <v>20190312172157056</v>
      </c>
      <c r="B4002" t="str">
        <f>"1552382517044970"</f>
        <v>1552382517044970</v>
      </c>
      <c r="C4002" t="s">
        <v>40</v>
      </c>
      <c r="D4002">
        <v>3.1768559999999999</v>
      </c>
      <c r="E4002">
        <v>0.50774240000000004</v>
      </c>
      <c r="F4002" t="s">
        <v>46</v>
      </c>
      <c r="G4002">
        <v>-333.45780000000002</v>
      </c>
      <c r="H4002" s="1">
        <v>2.954847E-7</v>
      </c>
      <c r="I4002">
        <v>214.79509999999999</v>
      </c>
      <c r="J4002">
        <v>-380.76490000000001</v>
      </c>
      <c r="K4002">
        <v>1.110376</v>
      </c>
      <c r="L4002">
        <v>214.13319999999999</v>
      </c>
      <c r="M4002">
        <v>0.99949319999999997</v>
      </c>
      <c r="N4002">
        <v>0</v>
      </c>
      <c r="O4002">
        <v>2.9671289999999999E-2</v>
      </c>
      <c r="P4002">
        <v>0.9946971</v>
      </c>
      <c r="Q4002">
        <v>0.1028396</v>
      </c>
      <c r="R4002">
        <v>-1.28897E-3</v>
      </c>
      <c r="S4002">
        <v>3.0234070000000002</v>
      </c>
      <c r="T4002">
        <v>-7.0662859999999994E-2</v>
      </c>
      <c r="U4002">
        <v>4.2526250000000002E-2</v>
      </c>
      <c r="V4002">
        <v>3.0761879999999998E-2</v>
      </c>
      <c r="W4002">
        <v>0.11431330000000001</v>
      </c>
      <c r="X4002">
        <v>0.99296839999999997</v>
      </c>
      <c r="Y4002">
        <v>1.559989E-2</v>
      </c>
      <c r="Z4002">
        <v>-8.7554590000000002E-4</v>
      </c>
      <c r="AA4002">
        <v>0.99987789999999999</v>
      </c>
      <c r="AB4002">
        <v>20</v>
      </c>
      <c r="AC4002">
        <v>47.307099999999899</v>
      </c>
      <c r="AD4002">
        <v>-1.1103757045153</v>
      </c>
      <c r="AE4002">
        <v>0.66190000000000204</v>
      </c>
      <c r="AF4002">
        <v>0.74173891522158797</v>
      </c>
      <c r="AG4002">
        <v>-1.1103757045153</v>
      </c>
      <c r="AH4002">
        <v>47.279866886820997</v>
      </c>
      <c r="AI4002">
        <v>91.345188336521204</v>
      </c>
      <c r="AJ4002">
        <v>89.101202561342305</v>
      </c>
      <c r="AK4002">
        <v>47.298720105929299</v>
      </c>
      <c r="AL4002">
        <v>83.435981381244204</v>
      </c>
      <c r="AM4002">
        <v>88.225560489997605</v>
      </c>
      <c r="AN4002">
        <v>1.0000000336082899</v>
      </c>
    </row>
    <row r="4003" spans="1:40" x14ac:dyDescent="0.25">
      <c r="A4003" t="str">
        <f>"20190312172157078"</f>
        <v>20190312172157078</v>
      </c>
      <c r="B4003" t="str">
        <f>"1552382517074250"</f>
        <v>1552382517074250</v>
      </c>
      <c r="C4003" t="s">
        <v>40</v>
      </c>
      <c r="D4003">
        <v>3.2035740000000001</v>
      </c>
      <c r="E4003">
        <v>0.5475312</v>
      </c>
      <c r="F4003" t="s">
        <v>46</v>
      </c>
      <c r="G4003">
        <v>-364.10120000000001</v>
      </c>
      <c r="H4003" s="1">
        <v>6.4565869999999896E-7</v>
      </c>
      <c r="I4003">
        <v>213.78049999999999</v>
      </c>
      <c r="J4003">
        <v>-380.56830000000002</v>
      </c>
      <c r="K4003">
        <v>1.1103510000000001</v>
      </c>
      <c r="L4003">
        <v>214.13939999999999</v>
      </c>
      <c r="M4003">
        <v>0.99948510000000002</v>
      </c>
      <c r="N4003">
        <v>0</v>
      </c>
      <c r="O4003">
        <v>2.994581E-2</v>
      </c>
      <c r="P4003">
        <v>0.99474960000000001</v>
      </c>
      <c r="Q4003">
        <v>0.10229340000000001</v>
      </c>
      <c r="R4003">
        <v>-3.0320070000000002E-3</v>
      </c>
      <c r="S4003">
        <v>3.036835</v>
      </c>
      <c r="T4003">
        <v>-0.20235790000000001</v>
      </c>
      <c r="U4003">
        <v>-6.4270019999999997E-2</v>
      </c>
      <c r="V4003">
        <v>3.2783510000000002E-2</v>
      </c>
      <c r="W4003">
        <v>0.11374869999999999</v>
      </c>
      <c r="X4003">
        <v>0.99296850000000003</v>
      </c>
      <c r="Y4003">
        <v>5.0911119999999997E-2</v>
      </c>
      <c r="Z4003">
        <v>-3.6872089999999999E-3</v>
      </c>
      <c r="AA4003">
        <v>0.99869640000000004</v>
      </c>
      <c r="AB4003">
        <v>20</v>
      </c>
      <c r="AC4003">
        <v>16.467099999999999</v>
      </c>
      <c r="AD4003">
        <v>-1.1103503543413</v>
      </c>
      <c r="AE4003">
        <v>-0.35890000000000499</v>
      </c>
      <c r="AF4003">
        <v>0.84803855742288703</v>
      </c>
      <c r="AG4003">
        <v>-1.1103503543413</v>
      </c>
      <c r="AH4003">
        <v>16.374552614499699</v>
      </c>
      <c r="AI4003">
        <v>93.874083878454798</v>
      </c>
      <c r="AJ4003">
        <v>87.035298662595196</v>
      </c>
      <c r="AK4003">
        <v>16.434050645817099</v>
      </c>
      <c r="AL4003">
        <v>83.468542642890696</v>
      </c>
      <c r="AM4003">
        <v>88.109028920990397</v>
      </c>
      <c r="AN4003">
        <v>0.99999998363593001</v>
      </c>
    </row>
    <row r="4004" spans="1:40" x14ac:dyDescent="0.25">
      <c r="A4004" t="str">
        <f>"20190312172157100"</f>
        <v>20190312172157100</v>
      </c>
      <c r="B4004" t="str">
        <f>"1552382517094746"</f>
        <v>1552382517094746</v>
      </c>
      <c r="C4004" t="s">
        <v>40</v>
      </c>
      <c r="D4004">
        <v>3.1387860000000001</v>
      </c>
      <c r="E4004">
        <v>0.54873090000000002</v>
      </c>
      <c r="F4004" t="s">
        <v>41</v>
      </c>
      <c r="G4004">
        <v>-379.84899999999999</v>
      </c>
      <c r="H4004">
        <v>0.97176859999999998</v>
      </c>
      <c r="I4004">
        <v>214.0487</v>
      </c>
      <c r="J4004">
        <v>-380.3612</v>
      </c>
      <c r="K4004">
        <v>1.1103229999999999</v>
      </c>
      <c r="L4004">
        <v>214.14590000000001</v>
      </c>
      <c r="M4004">
        <v>0.99947779999999997</v>
      </c>
      <c r="N4004">
        <v>0</v>
      </c>
      <c r="O4004">
        <v>3.0198800000000001E-2</v>
      </c>
      <c r="P4004">
        <v>0.99479810000000002</v>
      </c>
      <c r="Q4004">
        <v>0.10177219999999999</v>
      </c>
      <c r="R4004">
        <v>-4.392656E-3</v>
      </c>
      <c r="S4004">
        <v>3.0756230000000002</v>
      </c>
      <c r="T4004">
        <v>-0.59274550000000004</v>
      </c>
      <c r="U4004">
        <v>-0.3856812</v>
      </c>
      <c r="V4004">
        <v>3.4403199999999898E-2</v>
      </c>
      <c r="W4004">
        <v>0.1132071</v>
      </c>
      <c r="X4004">
        <v>0.99297559999999996</v>
      </c>
      <c r="Y4004">
        <v>0.15104709999999999</v>
      </c>
      <c r="Z4004">
        <v>-2.0115210000000001E-2</v>
      </c>
      <c r="AA4004">
        <v>0.98832189999999998</v>
      </c>
      <c r="AB4004">
        <v>20</v>
      </c>
      <c r="AC4004">
        <v>0.51220000000000698</v>
      </c>
      <c r="AD4004">
        <v>-0.138554399999999</v>
      </c>
      <c r="AE4004">
        <v>-9.7200000000014997E-2</v>
      </c>
      <c r="AF4004">
        <v>0.105194497874584</v>
      </c>
      <c r="AG4004">
        <v>-0.138554399999999</v>
      </c>
      <c r="AH4004">
        <v>0.47544929612185</v>
      </c>
      <c r="AI4004">
        <v>105.882992652176</v>
      </c>
      <c r="AJ4004">
        <v>77.524131988336094</v>
      </c>
      <c r="AK4004">
        <v>0.50627585101919403</v>
      </c>
      <c r="AL4004">
        <v>83.499775796277902</v>
      </c>
      <c r="AM4004">
        <v>88.015691409591497</v>
      </c>
      <c r="AN4004">
        <v>0.99999998492800402</v>
      </c>
    </row>
    <row r="4005" spans="1:40" x14ac:dyDescent="0.25">
      <c r="A4005" t="str">
        <f>"20190312172157122"</f>
        <v>20190312172157122</v>
      </c>
      <c r="B4005" t="str">
        <f>"1552382517114266"</f>
        <v>1552382517114266</v>
      </c>
      <c r="C4005" t="s">
        <v>40</v>
      </c>
      <c r="D4005">
        <v>3.1496840000000002</v>
      </c>
      <c r="E4005">
        <v>0.54924359999999905</v>
      </c>
      <c r="F4005" t="s">
        <v>41</v>
      </c>
      <c r="G4005">
        <v>-379.49590000000001</v>
      </c>
      <c r="H4005">
        <v>0.93972679999999997</v>
      </c>
      <c r="I4005">
        <v>214.0334</v>
      </c>
      <c r="J4005">
        <v>-380.15969999999999</v>
      </c>
      <c r="K4005">
        <v>1.1102909999999999</v>
      </c>
      <c r="L4005">
        <v>214.15219999999999</v>
      </c>
      <c r="M4005">
        <v>0.99947200000000003</v>
      </c>
      <c r="N4005">
        <v>0</v>
      </c>
      <c r="O4005">
        <v>3.0401350000000001E-2</v>
      </c>
      <c r="P4005">
        <v>0.99479899999999999</v>
      </c>
      <c r="Q4005">
        <v>0.1017141</v>
      </c>
      <c r="R4005">
        <v>-5.4445199999999996E-3</v>
      </c>
      <c r="S4005">
        <v>3.0759889999999999</v>
      </c>
      <c r="T4005">
        <v>-0.60652740000000005</v>
      </c>
      <c r="U4005">
        <v>-0.39918520000000002</v>
      </c>
      <c r="V4005">
        <v>3.5663840000000002E-2</v>
      </c>
      <c r="W4005">
        <v>0.11313040000000001</v>
      </c>
      <c r="X4005">
        <v>0.99293989999999999</v>
      </c>
      <c r="Y4005">
        <v>0.15526670000000001</v>
      </c>
      <c r="Z4005">
        <v>-2.1016239999999999E-2</v>
      </c>
      <c r="AA4005">
        <v>0.987649</v>
      </c>
      <c r="AB4005">
        <v>21</v>
      </c>
      <c r="AC4005">
        <v>0.66379999999997996</v>
      </c>
      <c r="AD4005">
        <v>-0.170564199999999</v>
      </c>
      <c r="AE4005">
        <v>-0.11879999999999299</v>
      </c>
      <c r="AF4005">
        <v>0.130573415576796</v>
      </c>
      <c r="AG4005">
        <v>-0.170564199999999</v>
      </c>
      <c r="AH4005">
        <v>0.62020380397762997</v>
      </c>
      <c r="AI4005">
        <v>105.062233163275</v>
      </c>
      <c r="AJ4005">
        <v>78.110970981261204</v>
      </c>
      <c r="AK4005">
        <v>0.656349237559817</v>
      </c>
      <c r="AL4005">
        <v>83.504199031955096</v>
      </c>
      <c r="AM4005">
        <v>87.942967651415799</v>
      </c>
      <c r="AN4005">
        <v>1.0000000209498501</v>
      </c>
    </row>
    <row r="4006" spans="1:40" x14ac:dyDescent="0.25">
      <c r="A4006" t="str">
        <f>"20190312172157144"</f>
        <v>20190312172157144</v>
      </c>
      <c r="B4006" t="str">
        <f>"1552382517134765"</f>
        <v>1552382517134765</v>
      </c>
      <c r="C4006" t="s">
        <v>40</v>
      </c>
      <c r="D4006">
        <v>3.162223</v>
      </c>
      <c r="E4006">
        <v>0.54947480000000004</v>
      </c>
      <c r="F4006" t="s">
        <v>41</v>
      </c>
      <c r="G4006">
        <v>-379.31220000000002</v>
      </c>
      <c r="H4006">
        <v>0.94045529999999999</v>
      </c>
      <c r="I4006">
        <v>214.04040000000001</v>
      </c>
      <c r="J4006">
        <v>-379.95530000000002</v>
      </c>
      <c r="K4006">
        <v>1.1102620000000001</v>
      </c>
      <c r="L4006">
        <v>214.15870000000001</v>
      </c>
      <c r="M4006">
        <v>0.99946679999999999</v>
      </c>
      <c r="N4006">
        <v>0</v>
      </c>
      <c r="O4006">
        <v>3.0571359999999999E-2</v>
      </c>
      <c r="P4006">
        <v>0.9948323</v>
      </c>
      <c r="Q4006">
        <v>0.1013144</v>
      </c>
      <c r="R4006">
        <v>-6.6685290000000003E-3</v>
      </c>
      <c r="S4006">
        <v>3.0764770000000001</v>
      </c>
      <c r="T4006">
        <v>-0.61651250000000002</v>
      </c>
      <c r="U4006">
        <v>-0.40570070000000003</v>
      </c>
      <c r="V4006">
        <v>3.7064479999999997E-2</v>
      </c>
      <c r="W4006">
        <v>0.11271299999999999</v>
      </c>
      <c r="X4006">
        <v>0.99293609999999999</v>
      </c>
      <c r="Y4006">
        <v>0.15731389999999901</v>
      </c>
      <c r="Z4006">
        <v>-2.1585400000000001E-2</v>
      </c>
      <c r="AA4006">
        <v>0.98731270000000004</v>
      </c>
      <c r="AB4006">
        <v>21</v>
      </c>
      <c r="AC4006">
        <v>0.643100000000004</v>
      </c>
      <c r="AD4006">
        <v>-0.1698067</v>
      </c>
      <c r="AE4006">
        <v>-0.118300000000004</v>
      </c>
      <c r="AF4006">
        <v>0.12919394717451599</v>
      </c>
      <c r="AG4006">
        <v>-0.1698067</v>
      </c>
      <c r="AH4006">
        <v>0.59880103937100404</v>
      </c>
      <c r="AI4006">
        <v>105.49334195127</v>
      </c>
      <c r="AJ4006">
        <v>77.824813131058605</v>
      </c>
      <c r="AK4006">
        <v>0.63567922421864398</v>
      </c>
      <c r="AL4006">
        <v>83.528268410985703</v>
      </c>
      <c r="AM4006">
        <v>87.862246377856394</v>
      </c>
      <c r="AN4006">
        <v>1.00000004736493</v>
      </c>
    </row>
    <row r="4007" spans="1:40" x14ac:dyDescent="0.25">
      <c r="A4007" t="str">
        <f>"20190312172157166"</f>
        <v>20190312172157166</v>
      </c>
      <c r="B4007" t="str">
        <f>"1552382517154282"</f>
        <v>1552382517154282</v>
      </c>
      <c r="C4007" t="s">
        <v>40</v>
      </c>
      <c r="D4007">
        <v>3.1280670000000002</v>
      </c>
      <c r="E4007">
        <v>0.54963459999999997</v>
      </c>
      <c r="F4007" t="s">
        <v>41</v>
      </c>
      <c r="G4007">
        <v>-379.1277</v>
      </c>
      <c r="H4007">
        <v>0.94257950000000001</v>
      </c>
      <c r="I4007">
        <v>214.04759999999999</v>
      </c>
      <c r="J4007">
        <v>-379.75650000000002</v>
      </c>
      <c r="K4007">
        <v>1.110233</v>
      </c>
      <c r="L4007">
        <v>214.16489999999999</v>
      </c>
      <c r="M4007">
        <v>0.99946310000000005</v>
      </c>
      <c r="N4007">
        <v>0</v>
      </c>
      <c r="O4007">
        <v>3.0702480000000001E-2</v>
      </c>
      <c r="P4007">
        <v>0.99487829999999999</v>
      </c>
      <c r="Q4007">
        <v>0.1007874</v>
      </c>
      <c r="R4007">
        <v>-7.73084599999999E-3</v>
      </c>
      <c r="S4007">
        <v>3.0763240000000001</v>
      </c>
      <c r="T4007">
        <v>-0.62332670000000001</v>
      </c>
      <c r="U4007">
        <v>-0.411026</v>
      </c>
      <c r="V4007">
        <v>3.8263909999999998E-2</v>
      </c>
      <c r="W4007">
        <v>0.1121653</v>
      </c>
      <c r="X4007">
        <v>0.99295259999999996</v>
      </c>
      <c r="Y4007">
        <v>0.15901209999999999</v>
      </c>
      <c r="Z4007">
        <v>-2.201378E-2</v>
      </c>
      <c r="AA4007">
        <v>0.9870312</v>
      </c>
      <c r="AB4007">
        <v>21</v>
      </c>
      <c r="AC4007">
        <v>0.62880000000001202</v>
      </c>
      <c r="AD4007">
        <v>-0.16765350000000001</v>
      </c>
      <c r="AE4007">
        <v>-0.1173</v>
      </c>
      <c r="AF4007">
        <v>0.12777386841514901</v>
      </c>
      <c r="AG4007">
        <v>-0.16765350000000001</v>
      </c>
      <c r="AH4007">
        <v>0.58473197558800905</v>
      </c>
      <c r="AI4007">
        <v>105.64803581718201</v>
      </c>
      <c r="AJ4007">
        <v>77.673654428885996</v>
      </c>
      <c r="AK4007">
        <v>0.62156684337815005</v>
      </c>
      <c r="AL4007">
        <v>83.559849422987796</v>
      </c>
      <c r="AM4007">
        <v>87.793171285252797</v>
      </c>
      <c r="AN4007">
        <v>1.00000002358966</v>
      </c>
    </row>
    <row r="4008" spans="1:40" x14ac:dyDescent="0.25">
      <c r="A4008" t="str">
        <f>"20190312172157189"</f>
        <v>20190312172157189</v>
      </c>
      <c r="B4008" t="str">
        <f>"1552382517184538"</f>
        <v>1552382517184538</v>
      </c>
      <c r="C4008" t="s">
        <v>40</v>
      </c>
      <c r="D4008">
        <v>3.174598</v>
      </c>
      <c r="E4008">
        <v>0.54975490000000005</v>
      </c>
      <c r="F4008" t="s">
        <v>41</v>
      </c>
      <c r="G4008">
        <v>-378.94349999999997</v>
      </c>
      <c r="H4008">
        <v>0.94406559999999995</v>
      </c>
      <c r="I4008">
        <v>214.05510000000001</v>
      </c>
      <c r="J4008">
        <v>-379.5498</v>
      </c>
      <c r="K4008">
        <v>1.1102030000000001</v>
      </c>
      <c r="L4008">
        <v>214.17140000000001</v>
      </c>
      <c r="M4008">
        <v>0.99946029999999997</v>
      </c>
      <c r="N4008">
        <v>0</v>
      </c>
      <c r="O4008">
        <v>3.0802409999999999E-2</v>
      </c>
      <c r="P4008">
        <v>0.99496220000000002</v>
      </c>
      <c r="Q4008">
        <v>9.9867670000000006E-2</v>
      </c>
      <c r="R4008">
        <v>-8.7729049999999992E-3</v>
      </c>
      <c r="S4008">
        <v>3.0758969999999999</v>
      </c>
      <c r="T4008">
        <v>-0.62873140000000005</v>
      </c>
      <c r="U4008">
        <v>-0.41474909999999998</v>
      </c>
      <c r="V4008">
        <v>3.941327E-2</v>
      </c>
      <c r="W4008">
        <v>0.1112214</v>
      </c>
      <c r="X4008">
        <v>0.99301379999999995</v>
      </c>
      <c r="Y4008">
        <v>0.16021009999999999</v>
      </c>
      <c r="Z4008">
        <v>-2.234295E-2</v>
      </c>
      <c r="AA4008">
        <v>0.98683010000000004</v>
      </c>
      <c r="AB4008">
        <v>21</v>
      </c>
      <c r="AC4008">
        <v>0.60630000000003204</v>
      </c>
      <c r="AD4008">
        <v>-0.16613739999999999</v>
      </c>
      <c r="AE4008">
        <v>-0.116299999999995</v>
      </c>
      <c r="AF4008">
        <v>0.125810176089307</v>
      </c>
      <c r="AG4008">
        <v>-0.16613739999999999</v>
      </c>
      <c r="AH4008">
        <v>0.56174719398002804</v>
      </c>
      <c r="AI4008">
        <v>106.09823206303599</v>
      </c>
      <c r="AJ4008">
        <v>77.376221683177505</v>
      </c>
      <c r="AK4008">
        <v>0.59915753022958596</v>
      </c>
      <c r="AL4008">
        <v>83.614271333183396</v>
      </c>
      <c r="AM4008">
        <v>87.727091678979804</v>
      </c>
      <c r="AN4008">
        <v>1.0000000063302401</v>
      </c>
    </row>
    <row r="4009" spans="1:40" x14ac:dyDescent="0.25">
      <c r="A4009" t="str">
        <f>"20190312172157211"</f>
        <v>20190312172157211</v>
      </c>
      <c r="B4009" t="str">
        <f>"1552382517205035"</f>
        <v>1552382517205035</v>
      </c>
      <c r="C4009" t="s">
        <v>40</v>
      </c>
      <c r="D4009">
        <v>3.0544020000000001</v>
      </c>
      <c r="E4009">
        <v>0.54982569999999997</v>
      </c>
      <c r="F4009" t="s">
        <v>41</v>
      </c>
      <c r="G4009">
        <v>-378.75880000000001</v>
      </c>
      <c r="H4009">
        <v>0.94611190000000001</v>
      </c>
      <c r="I4009">
        <v>214.0634</v>
      </c>
      <c r="J4009">
        <v>-379.33909999999997</v>
      </c>
      <c r="K4009">
        <v>1.1101749999999999</v>
      </c>
      <c r="L4009">
        <v>214.178</v>
      </c>
      <c r="M4009">
        <v>0.99945859999999997</v>
      </c>
      <c r="N4009">
        <v>0</v>
      </c>
      <c r="O4009">
        <v>3.0867370000000002E-2</v>
      </c>
      <c r="P4009">
        <v>0.99503249999999999</v>
      </c>
      <c r="Q4009">
        <v>9.9057699999999999E-2</v>
      </c>
      <c r="R4009">
        <v>-9.8973329999999995E-3</v>
      </c>
      <c r="S4009">
        <v>3.0755919999999999</v>
      </c>
      <c r="T4009">
        <v>-0.63815440000000001</v>
      </c>
      <c r="U4009">
        <v>-0.41827389999999998</v>
      </c>
      <c r="V4009">
        <v>4.0608890000000002E-2</v>
      </c>
      <c r="W4009">
        <v>0.11038779999999999</v>
      </c>
      <c r="X4009">
        <v>0.99305860000000001</v>
      </c>
      <c r="Y4009">
        <v>0.16125829999999999</v>
      </c>
      <c r="Z4009">
        <v>-2.27919E-2</v>
      </c>
      <c r="AA4009">
        <v>0.986649</v>
      </c>
      <c r="AB4009">
        <v>21</v>
      </c>
      <c r="AC4009">
        <v>0.58029999999996495</v>
      </c>
      <c r="AD4009">
        <v>-0.16406309999999899</v>
      </c>
      <c r="AE4009">
        <v>-0.114599999999995</v>
      </c>
      <c r="AF4009">
        <v>0.122996632308945</v>
      </c>
      <c r="AG4009">
        <v>-0.16406309999999899</v>
      </c>
      <c r="AH4009">
        <v>0.53530433775185104</v>
      </c>
      <c r="AI4009">
        <v>106.631001845989</v>
      </c>
      <c r="AJ4009">
        <v>77.059776998124903</v>
      </c>
      <c r="AK4009">
        <v>0.57323259359260004</v>
      </c>
      <c r="AL4009">
        <v>83.662328766600695</v>
      </c>
      <c r="AM4009">
        <v>87.658323101929994</v>
      </c>
      <c r="AN4009">
        <v>0.999999965684915</v>
      </c>
    </row>
    <row r="4010" spans="1:40" x14ac:dyDescent="0.25">
      <c r="A4010" t="str">
        <f>"20190312172157236"</f>
        <v>20190312172157236</v>
      </c>
      <c r="B4010" t="str">
        <f>"1552382517224554"</f>
        <v>1552382517224554</v>
      </c>
      <c r="C4010" t="s">
        <v>40</v>
      </c>
      <c r="D4010">
        <v>3.0991420000000001</v>
      </c>
      <c r="E4010">
        <v>0.54989359999999998</v>
      </c>
      <c r="F4010" t="s">
        <v>41</v>
      </c>
      <c r="G4010">
        <v>-378.57339999999999</v>
      </c>
      <c r="H4010">
        <v>0.94983300000000004</v>
      </c>
      <c r="I4010">
        <v>214.0727</v>
      </c>
      <c r="J4010">
        <v>-379.1191</v>
      </c>
      <c r="K4010">
        <v>1.11015</v>
      </c>
      <c r="L4010">
        <v>214.1848</v>
      </c>
      <c r="M4010">
        <v>0.99945759999999995</v>
      </c>
      <c r="N4010">
        <v>0</v>
      </c>
      <c r="O4010">
        <v>3.0902760000000001E-2</v>
      </c>
      <c r="P4010">
        <v>0.99509890000000001</v>
      </c>
      <c r="Q4010">
        <v>9.8252590000000001E-2</v>
      </c>
      <c r="R4010">
        <v>-1.1175340000000001E-2</v>
      </c>
      <c r="S4010">
        <v>3.0748600000000001</v>
      </c>
      <c r="T4010">
        <v>-0.64389929999999995</v>
      </c>
      <c r="U4010">
        <v>-0.4213867</v>
      </c>
      <c r="V4010">
        <v>4.1928340000000001E-2</v>
      </c>
      <c r="W4010">
        <v>0.1095621</v>
      </c>
      <c r="X4010">
        <v>0.99309519999999996</v>
      </c>
      <c r="Y4010">
        <v>0.16221070000000001</v>
      </c>
      <c r="Z4010">
        <v>-2.310214E-2</v>
      </c>
      <c r="AA4010">
        <v>0.98648570000000002</v>
      </c>
      <c r="AB4010">
        <v>21</v>
      </c>
      <c r="AC4010">
        <v>0.54570000000000995</v>
      </c>
      <c r="AD4010">
        <v>-0.16031699999999899</v>
      </c>
      <c r="AE4010">
        <v>-0.11209999999999801</v>
      </c>
      <c r="AF4010">
        <v>0.119052076301113</v>
      </c>
      <c r="AG4010">
        <v>-0.16031699999999899</v>
      </c>
      <c r="AH4010">
        <v>0.50052476280946401</v>
      </c>
      <c r="AI4010">
        <v>107.307275514255</v>
      </c>
      <c r="AJ4010">
        <v>76.620555261778804</v>
      </c>
      <c r="AK4010">
        <v>0.53888772072304303</v>
      </c>
      <c r="AL4010">
        <v>83.709926556761701</v>
      </c>
      <c r="AM4010">
        <v>87.582416007284294</v>
      </c>
      <c r="AN4010">
        <v>0.999999957857301</v>
      </c>
    </row>
    <row r="4011" spans="1:40" x14ac:dyDescent="0.25">
      <c r="A4011" t="str">
        <f>"20190312172157257"</f>
        <v>20190312172157257</v>
      </c>
      <c r="B4011" t="str">
        <f>"1552382517254810"</f>
        <v>1552382517254810</v>
      </c>
      <c r="C4011" t="s">
        <v>40</v>
      </c>
      <c r="D4011">
        <v>3.0656249999999998</v>
      </c>
      <c r="E4011">
        <v>0.54981449999999998</v>
      </c>
      <c r="F4011" t="s">
        <v>41</v>
      </c>
      <c r="G4011">
        <v>-378.38690000000003</v>
      </c>
      <c r="H4011">
        <v>0.9556751</v>
      </c>
      <c r="I4011">
        <v>214.08320000000001</v>
      </c>
      <c r="J4011">
        <v>-378.91930000000002</v>
      </c>
      <c r="K4011">
        <v>1.1101319999999999</v>
      </c>
      <c r="L4011">
        <v>214.19110000000001</v>
      </c>
      <c r="M4011">
        <v>0.9994577</v>
      </c>
      <c r="N4011">
        <v>0</v>
      </c>
      <c r="O4011">
        <v>3.091122E-2</v>
      </c>
      <c r="P4011">
        <v>0.9951797</v>
      </c>
      <c r="Q4011">
        <v>9.7279969999999993E-2</v>
      </c>
      <c r="R4011">
        <v>-1.2414929999999999E-2</v>
      </c>
      <c r="S4011">
        <v>3.074036</v>
      </c>
      <c r="T4011">
        <v>-0.64857379999999998</v>
      </c>
      <c r="U4011">
        <v>-0.42530820000000003</v>
      </c>
      <c r="V4011">
        <v>4.3182320000000003E-2</v>
      </c>
      <c r="W4011">
        <v>0.1085729</v>
      </c>
      <c r="X4011">
        <v>0.99315019999999998</v>
      </c>
      <c r="Y4011">
        <v>0.16340279999999999</v>
      </c>
      <c r="Z4011">
        <v>-2.3396E-2</v>
      </c>
      <c r="AA4011">
        <v>0.98628199999999999</v>
      </c>
      <c r="AB4011">
        <v>21</v>
      </c>
      <c r="AC4011">
        <v>0.53239999999999499</v>
      </c>
      <c r="AD4011">
        <v>-0.15445689999999901</v>
      </c>
      <c r="AE4011">
        <v>-0.1079</v>
      </c>
      <c r="AF4011">
        <v>0.115008668449608</v>
      </c>
      <c r="AG4011">
        <v>-0.15445689999999901</v>
      </c>
      <c r="AH4011">
        <v>0.48925578778497197</v>
      </c>
      <c r="AI4011">
        <v>107.08329007039001</v>
      </c>
      <c r="AJ4011">
        <v>76.771724589167704</v>
      </c>
      <c r="AK4011">
        <v>0.525790028107472</v>
      </c>
      <c r="AL4011">
        <v>83.766944290140998</v>
      </c>
      <c r="AM4011">
        <v>87.510339023946997</v>
      </c>
      <c r="AN4011">
        <v>1.00000005356751</v>
      </c>
    </row>
    <row r="4012" spans="1:40" x14ac:dyDescent="0.25">
      <c r="A4012" t="str">
        <f>"20190312172157279"</f>
        <v>20190312172157279</v>
      </c>
      <c r="B4012" t="str">
        <f>"1552382517274331"</f>
        <v>1552382517274331</v>
      </c>
      <c r="C4012" t="s">
        <v>40</v>
      </c>
      <c r="D4012">
        <v>3.1095429999999999</v>
      </c>
      <c r="E4012">
        <v>0.55017130000000003</v>
      </c>
      <c r="F4012" t="s">
        <v>41</v>
      </c>
      <c r="G4012">
        <v>-378.202</v>
      </c>
      <c r="H4012">
        <v>0.95771470000000003</v>
      </c>
      <c r="I4012">
        <v>214.09100000000001</v>
      </c>
      <c r="J4012">
        <v>-378.72379999999998</v>
      </c>
      <c r="K4012">
        <v>1.110112</v>
      </c>
      <c r="L4012">
        <v>214.19710000000001</v>
      </c>
      <c r="M4012">
        <v>0.99945790000000001</v>
      </c>
      <c r="N4012">
        <v>0</v>
      </c>
      <c r="O4012">
        <v>3.0905220000000001E-2</v>
      </c>
      <c r="P4012">
        <v>0.99520750000000002</v>
      </c>
      <c r="Q4012">
        <v>9.6793260000000006E-2</v>
      </c>
      <c r="R4012">
        <v>-1.389923E-2</v>
      </c>
      <c r="S4012">
        <v>3.0730590000000002</v>
      </c>
      <c r="T4012">
        <v>-0.65305190000000002</v>
      </c>
      <c r="U4012">
        <v>-0.4277802</v>
      </c>
      <c r="V4012">
        <v>4.4663580000000001E-2</v>
      </c>
      <c r="W4012">
        <v>0.1080662</v>
      </c>
      <c r="X4012">
        <v>0.99313989999999996</v>
      </c>
      <c r="Y4012">
        <v>0.16414200000000001</v>
      </c>
      <c r="Z4012">
        <v>-2.3636150000000002E-2</v>
      </c>
      <c r="AA4012">
        <v>0.98615350000000002</v>
      </c>
      <c r="AB4012">
        <v>21</v>
      </c>
      <c r="AC4012">
        <v>0.52179999999998405</v>
      </c>
      <c r="AD4012">
        <v>-0.15239730000000001</v>
      </c>
      <c r="AE4012">
        <v>-0.10610000000002601</v>
      </c>
      <c r="AF4012">
        <v>0.112926562777821</v>
      </c>
      <c r="AG4012">
        <v>-0.15239730000000001</v>
      </c>
      <c r="AH4012">
        <v>0.47903256063651101</v>
      </c>
      <c r="AI4012">
        <v>107.205029528598</v>
      </c>
      <c r="AJ4012">
        <v>76.735340429558406</v>
      </c>
      <c r="AK4012">
        <v>0.51521795366434597</v>
      </c>
      <c r="AL4012">
        <v>83.796147556793201</v>
      </c>
      <c r="AM4012">
        <v>87.425023890534902</v>
      </c>
      <c r="AN4012">
        <v>0.99999999996643296</v>
      </c>
    </row>
    <row r="4013" spans="1:40" x14ac:dyDescent="0.25">
      <c r="A4013" t="str">
        <f>"20190312172157301"</f>
        <v>20190312172157301</v>
      </c>
      <c r="B4013" t="str">
        <f>"1552382517294827"</f>
        <v>1552382517294827</v>
      </c>
      <c r="C4013" t="s">
        <v>40</v>
      </c>
      <c r="D4013">
        <v>3.0485280000000001</v>
      </c>
      <c r="E4013">
        <v>0.55024519999999899</v>
      </c>
      <c r="F4013" t="s">
        <v>41</v>
      </c>
      <c r="G4013">
        <v>-378.01780000000002</v>
      </c>
      <c r="H4013">
        <v>0.95774729999999997</v>
      </c>
      <c r="I4013">
        <v>214.09710000000001</v>
      </c>
      <c r="J4013">
        <v>-378.51620000000003</v>
      </c>
      <c r="K4013">
        <v>1.1101000000000001</v>
      </c>
      <c r="L4013">
        <v>214.20349999999999</v>
      </c>
      <c r="M4013">
        <v>0.99945879999999998</v>
      </c>
      <c r="N4013">
        <v>0</v>
      </c>
      <c r="O4013">
        <v>3.088919E-2</v>
      </c>
      <c r="P4013">
        <v>0.99519990000000003</v>
      </c>
      <c r="Q4013">
        <v>9.6678260000000002E-2</v>
      </c>
      <c r="R4013">
        <v>-1.51977E-2</v>
      </c>
      <c r="S4013">
        <v>3.0728759999999999</v>
      </c>
      <c r="T4013">
        <v>-0.66317219999999999</v>
      </c>
      <c r="U4013">
        <v>-0.43402099999999999</v>
      </c>
      <c r="V4013">
        <v>4.5946609999999999E-2</v>
      </c>
      <c r="W4013">
        <v>0.10792590000000001</v>
      </c>
      <c r="X4013">
        <v>0.9930966</v>
      </c>
      <c r="Y4013">
        <v>0.16592689999999999</v>
      </c>
      <c r="Z4013">
        <v>-2.4178640000000001E-2</v>
      </c>
      <c r="AA4013">
        <v>0.98584159999999998</v>
      </c>
      <c r="AB4013">
        <v>21</v>
      </c>
      <c r="AC4013">
        <v>0.49840000000000301</v>
      </c>
      <c r="AD4013">
        <v>-0.15235270000000001</v>
      </c>
      <c r="AE4013">
        <v>-0.106399999999979</v>
      </c>
      <c r="AF4013">
        <v>0.1117576591719</v>
      </c>
      <c r="AG4013">
        <v>-0.15235270000000001</v>
      </c>
      <c r="AH4013">
        <v>0.454276853114777</v>
      </c>
      <c r="AI4013">
        <v>108.038562787054</v>
      </c>
      <c r="AJ4013">
        <v>76.179000030287199</v>
      </c>
      <c r="AK4013">
        <v>0.492004653287687</v>
      </c>
      <c r="AL4013">
        <v>83.804233284265905</v>
      </c>
      <c r="AM4013">
        <v>87.351042300648601</v>
      </c>
      <c r="AN4013">
        <v>0.99999997389643003</v>
      </c>
    </row>
    <row r="4014" spans="1:40" x14ac:dyDescent="0.25">
      <c r="A4014" t="str">
        <f>"20190312172157324"</f>
        <v>20190312172157324</v>
      </c>
      <c r="B4014" t="str">
        <f>"1552382517314346"</f>
        <v>1552382517314346</v>
      </c>
      <c r="C4014" t="s">
        <v>40</v>
      </c>
      <c r="D4014">
        <v>3.0876839999999999</v>
      </c>
      <c r="E4014">
        <v>0.55047699999999999</v>
      </c>
      <c r="F4014" t="s">
        <v>41</v>
      </c>
      <c r="G4014">
        <v>-377.66250000000002</v>
      </c>
      <c r="H4014">
        <v>0.92430190000000001</v>
      </c>
      <c r="I4014">
        <v>214.08109999999999</v>
      </c>
      <c r="J4014">
        <v>-378.30450000000002</v>
      </c>
      <c r="K4014">
        <v>1.1100989999999999</v>
      </c>
      <c r="L4014">
        <v>214.21</v>
      </c>
      <c r="M4014">
        <v>0.9994596</v>
      </c>
      <c r="N4014">
        <v>0</v>
      </c>
      <c r="O4014">
        <v>3.0867760000000001E-2</v>
      </c>
      <c r="P4014">
        <v>0.99520660000000005</v>
      </c>
      <c r="Q4014">
        <v>9.6417429999999998E-2</v>
      </c>
      <c r="R4014">
        <v>-1.636139E-2</v>
      </c>
      <c r="S4014">
        <v>3.0726930000000001</v>
      </c>
      <c r="T4014">
        <v>-0.66883919999999997</v>
      </c>
      <c r="U4014">
        <v>-0.43869019999999997</v>
      </c>
      <c r="V4014">
        <v>4.7088520000000002E-2</v>
      </c>
      <c r="W4014">
        <v>0.1076424</v>
      </c>
      <c r="X4014">
        <v>0.99307389999999995</v>
      </c>
      <c r="Y4014">
        <v>0.167276799999999</v>
      </c>
      <c r="Z4014">
        <v>-2.4519470000000002E-2</v>
      </c>
      <c r="AA4014">
        <v>0.98560510000000001</v>
      </c>
      <c r="AB4014">
        <v>21</v>
      </c>
      <c r="AC4014">
        <v>0.64199999999999502</v>
      </c>
      <c r="AD4014">
        <v>-0.18579709999999899</v>
      </c>
      <c r="AE4014">
        <v>-0.128900000000015</v>
      </c>
      <c r="AF4014">
        <v>0.137580476435928</v>
      </c>
      <c r="AG4014">
        <v>-0.18579709999999899</v>
      </c>
      <c r="AH4014">
        <v>0.59019865329024401</v>
      </c>
      <c r="AI4014">
        <v>107.044736767085</v>
      </c>
      <c r="AJ4014">
        <v>76.878181013342598</v>
      </c>
      <c r="AK4014">
        <v>0.63386386567650699</v>
      </c>
      <c r="AL4014">
        <v>83.820571939403607</v>
      </c>
      <c r="AM4014">
        <v>87.285243150008</v>
      </c>
      <c r="AN4014">
        <v>0.99999999292737995</v>
      </c>
    </row>
    <row r="4015" spans="1:40" x14ac:dyDescent="0.25">
      <c r="A4015" t="str">
        <f>"20190312172157345"</f>
        <v>20190312172157345</v>
      </c>
      <c r="B4015" t="str">
        <f>"1552382517334847"</f>
        <v>1552382517334847</v>
      </c>
      <c r="C4015" t="s">
        <v>40</v>
      </c>
      <c r="D4015">
        <v>3.067421</v>
      </c>
      <c r="E4015">
        <v>0.55068149999999905</v>
      </c>
      <c r="F4015" t="s">
        <v>41</v>
      </c>
      <c r="G4015">
        <v>-377.47620000000001</v>
      </c>
      <c r="H4015">
        <v>0.92900959999999999</v>
      </c>
      <c r="I4015">
        <v>214.09020000000001</v>
      </c>
      <c r="J4015">
        <v>-378.1087</v>
      </c>
      <c r="K4015">
        <v>1.110101</v>
      </c>
      <c r="L4015">
        <v>214.21600000000001</v>
      </c>
      <c r="M4015">
        <v>0.99946060000000003</v>
      </c>
      <c r="N4015">
        <v>0</v>
      </c>
      <c r="O4015">
        <v>3.0847670000000001E-2</v>
      </c>
      <c r="P4015">
        <v>0.99526139999999996</v>
      </c>
      <c r="Q4015">
        <v>9.5728259999999996E-2</v>
      </c>
      <c r="R4015">
        <v>-1.7061980000000001E-2</v>
      </c>
      <c r="S4015">
        <v>3.072174</v>
      </c>
      <c r="T4015">
        <v>-0.67166769999999998</v>
      </c>
      <c r="U4015">
        <v>-0.44458009999999898</v>
      </c>
      <c r="V4015">
        <v>4.7769230000000003E-2</v>
      </c>
      <c r="W4015">
        <v>0.1069346</v>
      </c>
      <c r="X4015">
        <v>0.9931179</v>
      </c>
      <c r="Y4015">
        <v>0.16905239999999999</v>
      </c>
      <c r="Z4015">
        <v>-2.4808199999999999E-2</v>
      </c>
      <c r="AA4015">
        <v>0.98529480000000003</v>
      </c>
      <c r="AB4015">
        <v>21</v>
      </c>
      <c r="AC4015">
        <v>0.63249999999999296</v>
      </c>
      <c r="AD4015">
        <v>-0.18109139999999899</v>
      </c>
      <c r="AE4015">
        <v>-0.12579999999996899</v>
      </c>
      <c r="AF4015">
        <v>0.13463588836685</v>
      </c>
      <c r="AG4015">
        <v>-0.18109139999999899</v>
      </c>
      <c r="AH4015">
        <v>0.58239378793222996</v>
      </c>
      <c r="AI4015">
        <v>106.85435597690299</v>
      </c>
      <c r="AJ4015">
        <v>76.983218007746302</v>
      </c>
      <c r="AK4015">
        <v>0.62458261408106897</v>
      </c>
      <c r="AL4015">
        <v>83.861361595836797</v>
      </c>
      <c r="AM4015">
        <v>87.246180531465498</v>
      </c>
      <c r="AN4015">
        <v>1.00000003565618</v>
      </c>
    </row>
    <row r="4016" spans="1:40" x14ac:dyDescent="0.25">
      <c r="A4016" t="str">
        <f>"20190312172157367"</f>
        <v>20190312172157367</v>
      </c>
      <c r="B4016" t="str">
        <f>"1552382517364123"</f>
        <v>1552382517364123</v>
      </c>
      <c r="C4016" t="s">
        <v>40</v>
      </c>
      <c r="D4016">
        <v>3.166255</v>
      </c>
      <c r="E4016">
        <v>0.55083549999999903</v>
      </c>
      <c r="F4016" t="s">
        <v>41</v>
      </c>
      <c r="G4016">
        <v>-377.291</v>
      </c>
      <c r="H4016">
        <v>0.93015250000000005</v>
      </c>
      <c r="I4016">
        <v>214.09630000000001</v>
      </c>
      <c r="J4016">
        <v>-377.90609999999998</v>
      </c>
      <c r="K4016">
        <v>1.110106</v>
      </c>
      <c r="L4016">
        <v>214.22229999999999</v>
      </c>
      <c r="M4016">
        <v>0.9994613</v>
      </c>
      <c r="N4016">
        <v>0</v>
      </c>
      <c r="O4016">
        <v>3.08305E-2</v>
      </c>
      <c r="P4016">
        <v>0.9953225</v>
      </c>
      <c r="Q4016">
        <v>9.500393E-2</v>
      </c>
      <c r="R4016">
        <v>-1.7537629999999998E-2</v>
      </c>
      <c r="S4016">
        <v>3.071625</v>
      </c>
      <c r="T4016">
        <v>-0.67610959999999998</v>
      </c>
      <c r="U4016">
        <v>-0.44857789999999997</v>
      </c>
      <c r="V4016">
        <v>4.8227550000000001E-2</v>
      </c>
      <c r="W4016">
        <v>0.1061883</v>
      </c>
      <c r="X4016">
        <v>0.99317580000000005</v>
      </c>
      <c r="Y4016">
        <v>0.17022760000000001</v>
      </c>
      <c r="Z4016">
        <v>-2.509403E-2</v>
      </c>
      <c r="AA4016">
        <v>0.98508519999999999</v>
      </c>
      <c r="AB4016">
        <v>21</v>
      </c>
      <c r="AC4016">
        <v>0.61509999999998399</v>
      </c>
      <c r="AD4016">
        <v>-0.17995349999999999</v>
      </c>
      <c r="AE4016">
        <v>-0.12599999999997599</v>
      </c>
      <c r="AF4016">
        <v>0.13390555594143899</v>
      </c>
      <c r="AG4016">
        <v>-0.17995349999999999</v>
      </c>
      <c r="AH4016">
        <v>0.56454824228452405</v>
      </c>
      <c r="AI4016">
        <v>107.2313573421</v>
      </c>
      <c r="AJ4016">
        <v>76.656561610105499</v>
      </c>
      <c r="AK4016">
        <v>0.60747730652328202</v>
      </c>
      <c r="AL4016">
        <v>83.904366146387702</v>
      </c>
      <c r="AM4016">
        <v>87.219962201706196</v>
      </c>
      <c r="AN4016">
        <v>1.0000000106707601</v>
      </c>
    </row>
    <row r="4017" spans="1:40" x14ac:dyDescent="0.25">
      <c r="A4017" t="str">
        <f>"20190312172157390"</f>
        <v>20190312172157390</v>
      </c>
      <c r="B4017" t="str">
        <f>"1552382517384619"</f>
        <v>1552382517384619</v>
      </c>
      <c r="C4017" t="s">
        <v>40</v>
      </c>
      <c r="D4017">
        <v>3.1639490000000001</v>
      </c>
      <c r="E4017">
        <v>0.55086299999999999</v>
      </c>
      <c r="F4017" t="s">
        <v>41</v>
      </c>
      <c r="G4017">
        <v>-377.10539999999997</v>
      </c>
      <c r="H4017">
        <v>0.93257820000000002</v>
      </c>
      <c r="I4017">
        <v>214.1044</v>
      </c>
      <c r="J4017">
        <v>-377.69119999999998</v>
      </c>
      <c r="K4017">
        <v>1.1101160000000001</v>
      </c>
      <c r="L4017">
        <v>214.22880000000001</v>
      </c>
      <c r="M4017">
        <v>0.99946190000000001</v>
      </c>
      <c r="N4017">
        <v>0</v>
      </c>
      <c r="O4017">
        <v>3.0818769999999999E-2</v>
      </c>
      <c r="P4017">
        <v>0.99527650000000001</v>
      </c>
      <c r="Q4017">
        <v>9.5387620000000006E-2</v>
      </c>
      <c r="R4017">
        <v>-1.8062950000000001E-2</v>
      </c>
      <c r="S4017">
        <v>3.0711360000000001</v>
      </c>
      <c r="T4017">
        <v>-0.68100309999999997</v>
      </c>
      <c r="U4017">
        <v>-0.45149230000000001</v>
      </c>
      <c r="V4017">
        <v>4.8737700000000002E-2</v>
      </c>
      <c r="W4017">
        <v>0.1065448</v>
      </c>
      <c r="X4017">
        <v>0.99311269999999996</v>
      </c>
      <c r="Y4017">
        <v>0.17106540000000001</v>
      </c>
      <c r="Z4017">
        <v>-2.5362409999999998E-2</v>
      </c>
      <c r="AA4017">
        <v>0.98493319999999995</v>
      </c>
      <c r="AB4017">
        <v>21</v>
      </c>
      <c r="AC4017">
        <v>0.58580000000000598</v>
      </c>
      <c r="AD4017">
        <v>-0.177537799999999</v>
      </c>
      <c r="AE4017">
        <v>-0.124400000000008</v>
      </c>
      <c r="AF4017">
        <v>0.13089192526253399</v>
      </c>
      <c r="AG4017">
        <v>-0.177537799999999</v>
      </c>
      <c r="AH4017">
        <v>0.53469468546483701</v>
      </c>
      <c r="AI4017">
        <v>107.87518625982101</v>
      </c>
      <c r="AJ4017">
        <v>76.244644921513299</v>
      </c>
      <c r="AK4017">
        <v>0.57840364209789796</v>
      </c>
      <c r="AL4017">
        <v>83.883823575431705</v>
      </c>
      <c r="AM4017">
        <v>87.190423670866807</v>
      </c>
      <c r="AN4017">
        <v>0.99999999635480996</v>
      </c>
    </row>
    <row r="4018" spans="1:40" x14ac:dyDescent="0.25">
      <c r="A4018" t="str">
        <f>"20190312172157412"</f>
        <v>20190312172157412</v>
      </c>
      <c r="B4018" t="str">
        <f>"1552382517404142"</f>
        <v>1552382517404142</v>
      </c>
      <c r="C4018" t="s">
        <v>40</v>
      </c>
      <c r="D4018">
        <v>3.060924</v>
      </c>
      <c r="E4018">
        <v>0.55093179999999997</v>
      </c>
      <c r="F4018" t="s">
        <v>41</v>
      </c>
      <c r="G4018">
        <v>-376.91789999999997</v>
      </c>
      <c r="H4018">
        <v>0.93866249999999996</v>
      </c>
      <c r="I4018">
        <v>214.11449999999999</v>
      </c>
      <c r="J4018">
        <v>-377.48110000000003</v>
      </c>
      <c r="K4018">
        <v>1.1101160000000001</v>
      </c>
      <c r="L4018">
        <v>214.2353</v>
      </c>
      <c r="M4018">
        <v>0.99946239999999997</v>
      </c>
      <c r="N4018">
        <v>0</v>
      </c>
      <c r="O4018">
        <v>3.0813879999999998E-2</v>
      </c>
      <c r="P4018">
        <v>0.99528229999999995</v>
      </c>
      <c r="Q4018">
        <v>9.5332200000000006E-2</v>
      </c>
      <c r="R4018">
        <v>-1.8024849999999999E-2</v>
      </c>
      <c r="S4018">
        <v>3.0712890000000002</v>
      </c>
      <c r="T4018">
        <v>-0.68100369999999999</v>
      </c>
      <c r="U4018">
        <v>-0.45301819999999998</v>
      </c>
      <c r="V4018">
        <v>4.8693750000000001E-2</v>
      </c>
      <c r="W4018">
        <v>0.1064628</v>
      </c>
      <c r="X4018">
        <v>0.99312370000000005</v>
      </c>
      <c r="Y4018">
        <v>0.1715226</v>
      </c>
      <c r="Z4018">
        <v>-2.54091E-2</v>
      </c>
      <c r="AA4018">
        <v>0.98485250000000002</v>
      </c>
      <c r="AB4018">
        <v>21</v>
      </c>
      <c r="AC4018">
        <v>0.56320000000005099</v>
      </c>
      <c r="AD4018">
        <v>-0.17145349999999901</v>
      </c>
      <c r="AE4018">
        <v>-0.120800000000002</v>
      </c>
      <c r="AF4018">
        <v>0.126858442905839</v>
      </c>
      <c r="AG4018">
        <v>-0.17145349999999901</v>
      </c>
      <c r="AH4018">
        <v>0.51369648909878096</v>
      </c>
      <c r="AI4018">
        <v>107.953873762237</v>
      </c>
      <c r="AJ4018">
        <v>76.128231683980204</v>
      </c>
      <c r="AK4018">
        <v>0.55621349328397096</v>
      </c>
      <c r="AL4018">
        <v>83.888549010831895</v>
      </c>
      <c r="AM4018">
        <v>87.192984238805295</v>
      </c>
      <c r="AN4018">
        <v>1.00000004628729</v>
      </c>
    </row>
    <row r="4019" spans="1:40" x14ac:dyDescent="0.25">
      <c r="A4019" t="str">
        <f>"20190312172157437"</f>
        <v>20190312172157437</v>
      </c>
      <c r="B4019" t="str">
        <f>"1552382517424638"</f>
        <v>1552382517424638</v>
      </c>
      <c r="C4019" t="s">
        <v>40</v>
      </c>
      <c r="D4019">
        <v>3.0611440000000001</v>
      </c>
      <c r="E4019">
        <v>0.55103719999999901</v>
      </c>
      <c r="F4019" t="s">
        <v>41</v>
      </c>
      <c r="G4019">
        <v>-376.73079999999999</v>
      </c>
      <c r="H4019">
        <v>0.94348980000000005</v>
      </c>
      <c r="I4019">
        <v>214.1242</v>
      </c>
      <c r="J4019">
        <v>-377.26260000000002</v>
      </c>
      <c r="K4019">
        <v>1.110112</v>
      </c>
      <c r="L4019">
        <v>214.24199999999999</v>
      </c>
      <c r="M4019">
        <v>0.99946279999999998</v>
      </c>
      <c r="N4019">
        <v>0</v>
      </c>
      <c r="O4019">
        <v>3.0814319999999999E-2</v>
      </c>
      <c r="P4019">
        <v>0.99531380000000003</v>
      </c>
      <c r="Q4019">
        <v>9.4946119999999995E-2</v>
      </c>
      <c r="R4019">
        <v>-1.8324630000000001E-2</v>
      </c>
      <c r="S4019">
        <v>3.0713499999999998</v>
      </c>
      <c r="T4019">
        <v>-0.68215999999999999</v>
      </c>
      <c r="U4019">
        <v>-0.4532928</v>
      </c>
      <c r="V4019">
        <v>4.8993729999999999E-2</v>
      </c>
      <c r="W4019">
        <v>0.10604230000000001</v>
      </c>
      <c r="X4019">
        <v>0.99315390000000003</v>
      </c>
      <c r="Y4019">
        <v>0.17158889999999999</v>
      </c>
      <c r="Z4019">
        <v>-2.545791E-2</v>
      </c>
      <c r="AA4019">
        <v>0.98483969999999998</v>
      </c>
      <c r="AB4019">
        <v>21</v>
      </c>
      <c r="AC4019">
        <v>0.53180000000003202</v>
      </c>
      <c r="AD4019">
        <v>-0.166622199999999</v>
      </c>
      <c r="AE4019">
        <v>-0.117800000000016</v>
      </c>
      <c r="AF4019">
        <v>0.122654574244554</v>
      </c>
      <c r="AG4019">
        <v>-0.166622199999999</v>
      </c>
      <c r="AH4019">
        <v>0.48274391311062598</v>
      </c>
      <c r="AI4019">
        <v>108.496507751378</v>
      </c>
      <c r="AJ4019">
        <v>75.744064230633597</v>
      </c>
      <c r="AK4019">
        <v>0.52521308795698596</v>
      </c>
      <c r="AL4019">
        <v>83.912778837823296</v>
      </c>
      <c r="AM4019">
        <v>87.175805149102203</v>
      </c>
      <c r="AN4019">
        <v>1.0000000120268999</v>
      </c>
    </row>
    <row r="4020" spans="1:40" x14ac:dyDescent="0.25">
      <c r="A4020" t="str">
        <f>"20190312172157458"</f>
        <v>20190312172157458</v>
      </c>
      <c r="B4020" t="str">
        <f>"1552382517454890"</f>
        <v>1552382517454890</v>
      </c>
      <c r="C4020" t="s">
        <v>40</v>
      </c>
      <c r="D4020">
        <v>3.1003970000000001</v>
      </c>
      <c r="E4020">
        <v>0.5512534</v>
      </c>
      <c r="F4020" t="s">
        <v>41</v>
      </c>
      <c r="G4020">
        <v>-376.54289999999997</v>
      </c>
      <c r="H4020">
        <v>0.94973859999999999</v>
      </c>
      <c r="I4020">
        <v>214.1352</v>
      </c>
      <c r="J4020">
        <v>-377.06479999999999</v>
      </c>
      <c r="K4020">
        <v>1.1100989999999999</v>
      </c>
      <c r="L4020">
        <v>214.24809999999999</v>
      </c>
      <c r="M4020">
        <v>0.99946330000000005</v>
      </c>
      <c r="N4020">
        <v>0</v>
      </c>
      <c r="O4020">
        <v>3.0814390000000001E-2</v>
      </c>
      <c r="P4020">
        <v>0.9953379</v>
      </c>
      <c r="Q4020">
        <v>9.4693650000000004E-2</v>
      </c>
      <c r="R4020">
        <v>-1.832365E-2</v>
      </c>
      <c r="S4020">
        <v>3.0710139999999999</v>
      </c>
      <c r="T4020">
        <v>-0.68432190000000004</v>
      </c>
      <c r="U4020">
        <v>-0.45532230000000001</v>
      </c>
      <c r="V4020">
        <v>4.8993149999999999E-2</v>
      </c>
      <c r="W4020">
        <v>0.1057488</v>
      </c>
      <c r="X4020">
        <v>0.99318519999999999</v>
      </c>
      <c r="Y4020">
        <v>0.17219590000000001</v>
      </c>
      <c r="Z4020">
        <v>-2.5604700000000001E-2</v>
      </c>
      <c r="AA4020">
        <v>0.98472990000000005</v>
      </c>
      <c r="AB4020">
        <v>21</v>
      </c>
      <c r="AC4020">
        <v>0.52190000000001602</v>
      </c>
      <c r="AD4020">
        <v>-0.16036039999999899</v>
      </c>
      <c r="AE4020">
        <v>-0.112899999999996</v>
      </c>
      <c r="AF4020">
        <v>0.118263264059663</v>
      </c>
      <c r="AG4020">
        <v>-0.16036039999999899</v>
      </c>
      <c r="AH4020">
        <v>0.475305284730694</v>
      </c>
      <c r="AI4020">
        <v>108.12853030956801</v>
      </c>
      <c r="AJ4020">
        <v>76.027655581455505</v>
      </c>
      <c r="AK4020">
        <v>0.51538022003869299</v>
      </c>
      <c r="AL4020">
        <v>83.929690099975403</v>
      </c>
      <c r="AM4020">
        <v>87.175927387204894</v>
      </c>
      <c r="AN4020">
        <v>0.99999998947370095</v>
      </c>
    </row>
    <row r="4021" spans="1:40" x14ac:dyDescent="0.25">
      <c r="A4021" t="str">
        <f>"20190312172157479"</f>
        <v>20190312172157479</v>
      </c>
      <c r="B4021" t="str">
        <f>"1552382517474411"</f>
        <v>1552382517474411</v>
      </c>
      <c r="C4021" t="s">
        <v>40</v>
      </c>
      <c r="D4021">
        <v>3.1685120000000002</v>
      </c>
      <c r="E4021">
        <v>0.55127950000000003</v>
      </c>
      <c r="F4021" t="s">
        <v>41</v>
      </c>
      <c r="G4021">
        <v>-376.35700000000003</v>
      </c>
      <c r="H4021">
        <v>0.9510845</v>
      </c>
      <c r="I4021">
        <v>214.143</v>
      </c>
      <c r="J4021">
        <v>-376.86880000000002</v>
      </c>
      <c r="K4021">
        <v>1.110087</v>
      </c>
      <c r="L4021">
        <v>214.25409999999999</v>
      </c>
      <c r="M4021">
        <v>0.99946389999999996</v>
      </c>
      <c r="N4021">
        <v>0</v>
      </c>
      <c r="O4021">
        <v>3.0810029999999999E-2</v>
      </c>
      <c r="P4021">
        <v>0.9952993</v>
      </c>
      <c r="Q4021">
        <v>9.4956990000000005E-2</v>
      </c>
      <c r="R4021">
        <v>-1.9041410000000002E-2</v>
      </c>
      <c r="S4021">
        <v>3.0712890000000002</v>
      </c>
      <c r="T4021">
        <v>-0.69013310000000005</v>
      </c>
      <c r="U4021">
        <v>-0.45603939999999998</v>
      </c>
      <c r="V4021">
        <v>4.9705489999999998E-2</v>
      </c>
      <c r="W4021">
        <v>0.10595739999999899</v>
      </c>
      <c r="X4021">
        <v>0.9931276</v>
      </c>
      <c r="Y4021">
        <v>0.17231969999999999</v>
      </c>
      <c r="Z4021">
        <v>-2.5826999999999999E-2</v>
      </c>
      <c r="AA4021">
        <v>0.98470239999999998</v>
      </c>
      <c r="AB4021">
        <v>21</v>
      </c>
      <c r="AC4021">
        <v>0.51180000000004999</v>
      </c>
      <c r="AD4021">
        <v>-0.15900249999999999</v>
      </c>
      <c r="AE4021">
        <v>-0.111099999999993</v>
      </c>
      <c r="AF4021">
        <v>0.116114057340515</v>
      </c>
      <c r="AG4021">
        <v>-0.15900249999999999</v>
      </c>
      <c r="AH4021">
        <v>0.46524972198924103</v>
      </c>
      <c r="AI4021">
        <v>108.34482640002901</v>
      </c>
      <c r="AJ4021">
        <v>75.986751564440894</v>
      </c>
      <c r="AK4021">
        <v>0.50519458937066297</v>
      </c>
      <c r="AL4021">
        <v>83.917670847282807</v>
      </c>
      <c r="AM4021">
        <v>87.134768579288206</v>
      </c>
      <c r="AN4021">
        <v>1.00000001811633</v>
      </c>
    </row>
    <row r="4022" spans="1:40" x14ac:dyDescent="0.25">
      <c r="A4022" t="str">
        <f>"20190312172157502"</f>
        <v>20190312172157502</v>
      </c>
      <c r="B4022" t="str">
        <f>"1552382517494906"</f>
        <v>1552382517494906</v>
      </c>
      <c r="C4022" t="s">
        <v>40</v>
      </c>
      <c r="D4022">
        <v>3.0368300000000001</v>
      </c>
      <c r="E4022">
        <v>0.55135119999999904</v>
      </c>
      <c r="F4022" t="s">
        <v>41</v>
      </c>
      <c r="G4022">
        <v>-376.17039999999997</v>
      </c>
      <c r="H4022">
        <v>0.95314540000000003</v>
      </c>
      <c r="I4022">
        <v>214.1497</v>
      </c>
      <c r="J4022">
        <v>-376.64929999999998</v>
      </c>
      <c r="K4022">
        <v>1.1100719999999999</v>
      </c>
      <c r="L4022">
        <v>214.26089999999999</v>
      </c>
      <c r="M4022">
        <v>0.9994653</v>
      </c>
      <c r="N4022">
        <v>0</v>
      </c>
      <c r="O4022">
        <v>3.079517E-2</v>
      </c>
      <c r="P4022">
        <v>0.99519469999999999</v>
      </c>
      <c r="Q4022">
        <v>9.5985680000000004E-2</v>
      </c>
      <c r="R4022">
        <v>-1.9351009999999998E-2</v>
      </c>
      <c r="S4022">
        <v>3.0712890000000002</v>
      </c>
      <c r="T4022">
        <v>-0.69020219999999999</v>
      </c>
      <c r="U4022">
        <v>-0.45765689999999998</v>
      </c>
      <c r="V4022">
        <v>4.9997930000000003E-2</v>
      </c>
      <c r="W4022">
        <v>0.10690520000000001</v>
      </c>
      <c r="X4022">
        <v>0.99301130000000004</v>
      </c>
      <c r="Y4022">
        <v>0.1728005</v>
      </c>
      <c r="Z4022">
        <v>-2.5878350000000001E-2</v>
      </c>
      <c r="AA4022">
        <v>0.98461679999999996</v>
      </c>
      <c r="AB4022">
        <v>21</v>
      </c>
      <c r="AC4022">
        <v>0.47890000000000998</v>
      </c>
      <c r="AD4022">
        <v>-0.1569266</v>
      </c>
      <c r="AE4022">
        <v>-0.111199999999996</v>
      </c>
      <c r="AF4022">
        <v>0.11425538667155399</v>
      </c>
      <c r="AG4022">
        <v>-0.1569266</v>
      </c>
      <c r="AH4022">
        <v>0.43130591138831398</v>
      </c>
      <c r="AI4022">
        <v>109.377243273708</v>
      </c>
      <c r="AJ4022">
        <v>75.162822479284799</v>
      </c>
      <c r="AK4022">
        <v>0.47297467201693799</v>
      </c>
      <c r="AL4022">
        <v>83.863055450528904</v>
      </c>
      <c r="AM4022">
        <v>87.117602484788094</v>
      </c>
      <c r="AN4022">
        <v>0.99999997835950705</v>
      </c>
    </row>
    <row r="4023" spans="1:40" x14ac:dyDescent="0.25">
      <c r="A4023" t="str">
        <f>"20190312172157524"</f>
        <v>20190312172157524</v>
      </c>
      <c r="B4023" t="str">
        <f>"1552382517514427"</f>
        <v>1552382517514427</v>
      </c>
      <c r="C4023" t="s">
        <v>40</v>
      </c>
      <c r="D4023">
        <v>3.0776059999999998</v>
      </c>
      <c r="E4023">
        <v>0.55147449999999998</v>
      </c>
      <c r="F4023" t="s">
        <v>41</v>
      </c>
      <c r="G4023">
        <v>-375.81040000000002</v>
      </c>
      <c r="H4023">
        <v>0.92250810000000005</v>
      </c>
      <c r="I4023">
        <v>214.13509999999999</v>
      </c>
      <c r="J4023">
        <v>-376.44740000000002</v>
      </c>
      <c r="K4023">
        <v>1.1100570000000001</v>
      </c>
      <c r="L4023">
        <v>214.267</v>
      </c>
      <c r="M4023">
        <v>0.99946699999999999</v>
      </c>
      <c r="N4023">
        <v>0</v>
      </c>
      <c r="O4023">
        <v>3.0771880000000001E-2</v>
      </c>
      <c r="P4023">
        <v>0.99491810000000003</v>
      </c>
      <c r="Q4023">
        <v>9.8522750000000006E-2</v>
      </c>
      <c r="R4023">
        <v>-2.0771499999999998E-2</v>
      </c>
      <c r="S4023">
        <v>3.0718380000000001</v>
      </c>
      <c r="T4023">
        <v>-0.68685260000000004</v>
      </c>
      <c r="U4023">
        <v>-0.45971679999999998</v>
      </c>
      <c r="V4023">
        <v>5.1388059999999999E-2</v>
      </c>
      <c r="W4023">
        <v>0.1093484</v>
      </c>
      <c r="X4023">
        <v>0.99267430000000001</v>
      </c>
      <c r="Y4023">
        <v>0.1734328</v>
      </c>
      <c r="Z4023">
        <v>-2.5814429999999999E-2</v>
      </c>
      <c r="AA4023">
        <v>0.98450729999999997</v>
      </c>
      <c r="AB4023">
        <v>21</v>
      </c>
      <c r="AC4023">
        <v>0.63700000000000001</v>
      </c>
      <c r="AD4023">
        <v>-0.18754889999999999</v>
      </c>
      <c r="AE4023">
        <v>-0.13190000000000099</v>
      </c>
      <c r="AF4023">
        <v>0.13981835532450201</v>
      </c>
      <c r="AG4023">
        <v>-0.18754889999999999</v>
      </c>
      <c r="AH4023">
        <v>0.58408846277793303</v>
      </c>
      <c r="AI4023">
        <v>107.342245977556</v>
      </c>
      <c r="AJ4023">
        <v>76.537928856135807</v>
      </c>
      <c r="AK4023">
        <v>0.62919241470884602</v>
      </c>
      <c r="AL4023">
        <v>83.7222451659743</v>
      </c>
      <c r="AM4023">
        <v>87.0365979427621</v>
      </c>
      <c r="AN4023">
        <v>1.0000000355868</v>
      </c>
    </row>
    <row r="4024" spans="1:40" x14ac:dyDescent="0.25">
      <c r="A4024" t="str">
        <f>"20190312172157547"</f>
        <v>20190312172157547</v>
      </c>
      <c r="B4024" t="str">
        <f>"1552382517544682"</f>
        <v>1552382517544682</v>
      </c>
      <c r="C4024" t="s">
        <v>40</v>
      </c>
      <c r="D4024">
        <v>3.1713469999999999</v>
      </c>
      <c r="E4024">
        <v>0.5515217</v>
      </c>
      <c r="F4024" t="s">
        <v>41</v>
      </c>
      <c r="G4024">
        <v>-375.62200000000001</v>
      </c>
      <c r="H4024">
        <v>0.9272184</v>
      </c>
      <c r="I4024">
        <v>214.1422</v>
      </c>
      <c r="J4024">
        <v>-376.2364</v>
      </c>
      <c r="K4024">
        <v>1.110042</v>
      </c>
      <c r="L4024">
        <v>214.27350000000001</v>
      </c>
      <c r="M4024">
        <v>0.99946919999999995</v>
      </c>
      <c r="N4024">
        <v>0</v>
      </c>
      <c r="O4024">
        <v>3.0737960000000002E-2</v>
      </c>
      <c r="P4024">
        <v>0.99455890000000002</v>
      </c>
      <c r="Q4024">
        <v>0.10177750000000001</v>
      </c>
      <c r="R4024">
        <v>-2.2231480000000001E-2</v>
      </c>
      <c r="S4024">
        <v>3.0729980000000001</v>
      </c>
      <c r="T4024">
        <v>-0.68077319999999997</v>
      </c>
      <c r="U4024">
        <v>-0.46437070000000003</v>
      </c>
      <c r="V4024">
        <v>5.2804469999999999E-2</v>
      </c>
      <c r="W4024">
        <v>0.1124988</v>
      </c>
      <c r="X4024">
        <v>0.99224780000000001</v>
      </c>
      <c r="Y4024">
        <v>0.17486070000000001</v>
      </c>
      <c r="Z4024">
        <v>-2.5727259999999998E-2</v>
      </c>
      <c r="AA4024">
        <v>0.98425700000000005</v>
      </c>
      <c r="AB4024">
        <v>21</v>
      </c>
      <c r="AC4024">
        <v>0.61440000000004602</v>
      </c>
      <c r="AD4024">
        <v>-0.182823599999999</v>
      </c>
      <c r="AE4024">
        <v>-0.13130000000000999</v>
      </c>
      <c r="AF4024">
        <v>0.13840470018353401</v>
      </c>
      <c r="AG4024">
        <v>-0.182823599999999</v>
      </c>
      <c r="AH4024">
        <v>0.562446960692213</v>
      </c>
      <c r="AI4024">
        <v>107.51749176681901</v>
      </c>
      <c r="AJ4024">
        <v>76.175554363879101</v>
      </c>
      <c r="AK4024">
        <v>0.60739354074748098</v>
      </c>
      <c r="AL4024">
        <v>83.540619380053101</v>
      </c>
      <c r="AM4024">
        <v>86.953762945617598</v>
      </c>
      <c r="AN4024">
        <v>0.99999999432913</v>
      </c>
    </row>
    <row r="4025" spans="1:40" x14ac:dyDescent="0.25">
      <c r="A4025" t="str">
        <f>"20190312172157569"</f>
        <v>20190312172157569</v>
      </c>
      <c r="B4025" t="str">
        <f>"1552382517564203"</f>
        <v>1552382517564203</v>
      </c>
      <c r="C4025" t="s">
        <v>40</v>
      </c>
      <c r="D4025">
        <v>3.16812</v>
      </c>
      <c r="E4025">
        <v>0.55156890000000003</v>
      </c>
      <c r="F4025" t="s">
        <v>41</v>
      </c>
      <c r="G4025">
        <v>-375.4323</v>
      </c>
      <c r="H4025">
        <v>0.93448140000000002</v>
      </c>
      <c r="I4025">
        <v>214.15049999999999</v>
      </c>
      <c r="J4025">
        <v>-376.03609999999998</v>
      </c>
      <c r="K4025">
        <v>1.110031</v>
      </c>
      <c r="L4025">
        <v>214.27959999999999</v>
      </c>
      <c r="M4025">
        <v>0.99947149999999996</v>
      </c>
      <c r="N4025">
        <v>0</v>
      </c>
      <c r="O4025">
        <v>3.0697490000000001E-2</v>
      </c>
      <c r="P4025">
        <v>0.99422790000000005</v>
      </c>
      <c r="Q4025">
        <v>0.10460709999999999</v>
      </c>
      <c r="R4025">
        <v>-2.384464E-2</v>
      </c>
      <c r="S4025">
        <v>3.0746150000000001</v>
      </c>
      <c r="T4025">
        <v>-0.67134329999999998</v>
      </c>
      <c r="U4025">
        <v>-0.46835329999999997</v>
      </c>
      <c r="V4025">
        <v>5.4367949999999998E-2</v>
      </c>
      <c r="W4025">
        <v>0.1152276</v>
      </c>
      <c r="X4025">
        <v>0.99185009999999996</v>
      </c>
      <c r="Y4025">
        <v>0.17610149999999999</v>
      </c>
      <c r="Z4025">
        <v>-2.5488230000000001E-2</v>
      </c>
      <c r="AA4025">
        <v>0.98404199999999997</v>
      </c>
      <c r="AB4025">
        <v>21</v>
      </c>
      <c r="AC4025">
        <v>0.60379999999997802</v>
      </c>
      <c r="AD4025">
        <v>-0.175549599999999</v>
      </c>
      <c r="AE4025">
        <v>-0.129099999999994</v>
      </c>
      <c r="AF4025">
        <v>0.13653827491476</v>
      </c>
      <c r="AG4025">
        <v>-0.175549599999999</v>
      </c>
      <c r="AH4025">
        <v>0.55471195813751795</v>
      </c>
      <c r="AI4025">
        <v>107.08207342364599</v>
      </c>
      <c r="AJ4025">
        <v>76.171953527192599</v>
      </c>
      <c r="AK4025">
        <v>0.59763343202804398</v>
      </c>
      <c r="AL4025">
        <v>83.383246812291105</v>
      </c>
      <c r="AM4025">
        <v>86.862489799387106</v>
      </c>
      <c r="AN4025">
        <v>0.99999994732948405</v>
      </c>
    </row>
    <row r="4026" spans="1:40" x14ac:dyDescent="0.25">
      <c r="A4026" t="str">
        <f>"20190312172157591"</f>
        <v>20190312172157591</v>
      </c>
      <c r="B4026" t="str">
        <f>"1552382517584699"</f>
        <v>1552382517584699</v>
      </c>
      <c r="C4026" t="s">
        <v>40</v>
      </c>
      <c r="D4026">
        <v>3.0624250000000002</v>
      </c>
      <c r="E4026">
        <v>0.55156179999999999</v>
      </c>
      <c r="F4026" t="s">
        <v>41</v>
      </c>
      <c r="G4026">
        <v>-375.2432</v>
      </c>
      <c r="H4026">
        <v>0.93902750000000001</v>
      </c>
      <c r="I4026">
        <v>214.1575</v>
      </c>
      <c r="J4026">
        <v>-375.82670000000002</v>
      </c>
      <c r="K4026">
        <v>1.110015</v>
      </c>
      <c r="L4026">
        <v>214.2859</v>
      </c>
      <c r="M4026">
        <v>0.99947399999999997</v>
      </c>
      <c r="N4026">
        <v>0</v>
      </c>
      <c r="O4026">
        <v>3.064799E-2</v>
      </c>
      <c r="P4026">
        <v>0.99393860000000001</v>
      </c>
      <c r="Q4026">
        <v>0.1069379</v>
      </c>
      <c r="R4026">
        <v>-2.5504260000000001E-2</v>
      </c>
      <c r="S4026">
        <v>3.0758670000000001</v>
      </c>
      <c r="T4026">
        <v>-0.66338090000000005</v>
      </c>
      <c r="U4026">
        <v>-0.47268680000000002</v>
      </c>
      <c r="V4026">
        <v>5.5970239999999997E-2</v>
      </c>
      <c r="W4026">
        <v>0.1174549</v>
      </c>
      <c r="X4026">
        <v>0.99149969999999998</v>
      </c>
      <c r="Y4026">
        <v>0.17743490000000001</v>
      </c>
      <c r="Z4026">
        <v>-2.531104E-2</v>
      </c>
      <c r="AA4026">
        <v>0.98380699999999999</v>
      </c>
      <c r="AB4026">
        <v>21</v>
      </c>
      <c r="AC4026">
        <v>0.58350000000001501</v>
      </c>
      <c r="AD4026">
        <v>-0.17098749999999899</v>
      </c>
      <c r="AE4026">
        <v>-0.12839999999999899</v>
      </c>
      <c r="AF4026">
        <v>0.135153990688585</v>
      </c>
      <c r="AG4026">
        <v>-0.17098749999999899</v>
      </c>
      <c r="AH4026">
        <v>0.53543556998850195</v>
      </c>
      <c r="AI4026">
        <v>107.20414633447</v>
      </c>
      <c r="AJ4026">
        <v>75.833397440456295</v>
      </c>
      <c r="AK4026">
        <v>0.57809564603464303</v>
      </c>
      <c r="AL4026">
        <v>83.254759645198106</v>
      </c>
      <c r="AM4026">
        <v>86.769077498887597</v>
      </c>
      <c r="AN4026">
        <v>0.99999998819987801</v>
      </c>
    </row>
    <row r="4027" spans="1:40" x14ac:dyDescent="0.25">
      <c r="A4027" t="str">
        <f>"20190312172157604"</f>
        <v>20190312172157604</v>
      </c>
      <c r="B4027" t="str">
        <f>"1552382517594459"</f>
        <v>1552382517594459</v>
      </c>
      <c r="C4027" t="s">
        <v>40</v>
      </c>
      <c r="D4027">
        <v>3.078309</v>
      </c>
      <c r="E4027">
        <v>0.55153079999999999</v>
      </c>
      <c r="F4027" t="s">
        <v>41</v>
      </c>
      <c r="G4027">
        <v>-375.0532</v>
      </c>
      <c r="H4027">
        <v>0.9447451</v>
      </c>
      <c r="I4027">
        <v>214.166</v>
      </c>
      <c r="J4027">
        <v>-375.69929999999999</v>
      </c>
      <c r="K4027">
        <v>1.110009</v>
      </c>
      <c r="L4027">
        <v>214.28980000000001</v>
      </c>
      <c r="M4027">
        <v>0.99947569999999997</v>
      </c>
      <c r="N4027">
        <v>0</v>
      </c>
      <c r="O4027">
        <v>3.0615630000000001E-2</v>
      </c>
      <c r="P4027">
        <v>0.99382360000000003</v>
      </c>
      <c r="Q4027">
        <v>0.1077911</v>
      </c>
      <c r="R4027">
        <v>-2.6372759999999999E-2</v>
      </c>
      <c r="S4027">
        <v>3.076813</v>
      </c>
      <c r="T4027">
        <v>-0.65745929999999997</v>
      </c>
      <c r="U4027">
        <v>-0.47579959999999999</v>
      </c>
      <c r="V4027">
        <v>5.6803319999999997E-2</v>
      </c>
      <c r="W4027">
        <v>0.1182494</v>
      </c>
      <c r="X4027">
        <v>0.99135790000000001</v>
      </c>
      <c r="Y4027">
        <v>0.1783951</v>
      </c>
      <c r="Z4027">
        <v>-2.5174800000000001E-2</v>
      </c>
      <c r="AA4027">
        <v>0.98363690000000004</v>
      </c>
      <c r="AB4027">
        <v>21</v>
      </c>
      <c r="AC4027">
        <v>0.64609999999998902</v>
      </c>
      <c r="AD4027">
        <v>-0.16526389999999999</v>
      </c>
      <c r="AE4027">
        <v>-0.12380000000001699</v>
      </c>
      <c r="AF4027">
        <v>0.135003749369247</v>
      </c>
      <c r="AG4027">
        <v>-0.16526389999999999</v>
      </c>
      <c r="AH4027">
        <v>0.60389494650669695</v>
      </c>
      <c r="AI4027">
        <v>104.953043815596</v>
      </c>
      <c r="AJ4027">
        <v>77.398442532270593</v>
      </c>
      <c r="AK4027">
        <v>0.64048987142911995</v>
      </c>
      <c r="AL4027">
        <v>83.208918849160796</v>
      </c>
      <c r="AM4027">
        <v>86.720623537510406</v>
      </c>
      <c r="AN4027">
        <v>1.00000001182789</v>
      </c>
    </row>
    <row r="4028" spans="1:40" x14ac:dyDescent="0.25">
      <c r="A4028" t="str">
        <f>"20190312172157624"</f>
        <v>20190312172157624</v>
      </c>
      <c r="B4028" t="str">
        <f>"1552382517614954"</f>
        <v>1552382517614954</v>
      </c>
      <c r="C4028" t="s">
        <v>40</v>
      </c>
      <c r="D4028">
        <v>3.0829059999999999</v>
      </c>
      <c r="E4028">
        <v>0.55149059999999905</v>
      </c>
      <c r="F4028" t="s">
        <v>41</v>
      </c>
      <c r="G4028">
        <v>-374.86989999999997</v>
      </c>
      <c r="H4028">
        <v>0.93330760000000001</v>
      </c>
      <c r="I4028">
        <v>214.161</v>
      </c>
      <c r="J4028">
        <v>-375.50749999999999</v>
      </c>
      <c r="K4028">
        <v>1.110007</v>
      </c>
      <c r="L4028">
        <v>214.29560000000001</v>
      </c>
      <c r="M4028">
        <v>0.99947810000000004</v>
      </c>
      <c r="N4028">
        <v>0</v>
      </c>
      <c r="O4028">
        <v>3.0564259999999999E-2</v>
      </c>
      <c r="P4028">
        <v>0.9935446</v>
      </c>
      <c r="Q4028">
        <v>0.1099238</v>
      </c>
      <c r="R4028">
        <v>-2.8040249999999999E-2</v>
      </c>
      <c r="S4028">
        <v>3.0770870000000001</v>
      </c>
      <c r="T4028">
        <v>-0.65570669999999898</v>
      </c>
      <c r="U4028">
        <v>-0.47724909999999998</v>
      </c>
      <c r="V4028">
        <v>5.8410690000000001E-2</v>
      </c>
      <c r="W4028">
        <v>0.120298</v>
      </c>
      <c r="X4028">
        <v>0.99101790000000001</v>
      </c>
      <c r="Y4028">
        <v>0.1788015</v>
      </c>
      <c r="Z4028">
        <v>-2.5137920000000001E-2</v>
      </c>
      <c r="AA4028">
        <v>0.98356399999999999</v>
      </c>
      <c r="AB4028">
        <v>21</v>
      </c>
      <c r="AC4028">
        <v>0.63760000000002004</v>
      </c>
      <c r="AD4028">
        <v>-0.17669940000000001</v>
      </c>
      <c r="AE4028">
        <v>-0.134600000000034</v>
      </c>
      <c r="AF4028">
        <v>0.14347674464803101</v>
      </c>
      <c r="AG4028">
        <v>-0.17669940000000001</v>
      </c>
      <c r="AH4028">
        <v>0.589821014447103</v>
      </c>
      <c r="AI4028">
        <v>106.22989585756299</v>
      </c>
      <c r="AJ4028">
        <v>76.328072131184797</v>
      </c>
      <c r="AK4028">
        <v>0.63221600999861305</v>
      </c>
      <c r="AL4028">
        <v>83.090698326125604</v>
      </c>
      <c r="AM4028">
        <v>86.626883648228002</v>
      </c>
      <c r="AN4028">
        <v>0.99999994781534096</v>
      </c>
    </row>
    <row r="4029" spans="1:40" x14ac:dyDescent="0.25">
      <c r="A4029" t="str">
        <f>"20190312172157648"</f>
        <v>20190312172157648</v>
      </c>
      <c r="B4029" t="str">
        <f>"1552382517644235"</f>
        <v>1552382517644235</v>
      </c>
      <c r="C4029" t="s">
        <v>40</v>
      </c>
      <c r="D4029">
        <v>3.0915689999999998</v>
      </c>
      <c r="E4029">
        <v>0.55146110000000004</v>
      </c>
      <c r="F4029" t="s">
        <v>41</v>
      </c>
      <c r="G4029">
        <v>-374.68090000000001</v>
      </c>
      <c r="H4029">
        <v>0.93539309999999998</v>
      </c>
      <c r="I4029">
        <v>214.16589999999999</v>
      </c>
      <c r="J4029">
        <v>-375.2878</v>
      </c>
      <c r="K4029">
        <v>1.1100030000000001</v>
      </c>
      <c r="L4029">
        <v>214.3023</v>
      </c>
      <c r="M4029">
        <v>0.99948060000000005</v>
      </c>
      <c r="N4029">
        <v>0</v>
      </c>
      <c r="O4029">
        <v>3.0505290000000001E-2</v>
      </c>
      <c r="P4029">
        <v>0.99331860000000005</v>
      </c>
      <c r="Q4029">
        <v>0.11154</v>
      </c>
      <c r="R4029">
        <v>-2.961544E-2</v>
      </c>
      <c r="S4029">
        <v>3.0778810000000001</v>
      </c>
      <c r="T4029">
        <v>-0.6502888</v>
      </c>
      <c r="U4029">
        <v>-0.48170469999999999</v>
      </c>
      <c r="V4029">
        <v>5.9919800000000002E-2</v>
      </c>
      <c r="W4029">
        <v>0.121829199999999</v>
      </c>
      <c r="X4029">
        <v>0.99074079999999998</v>
      </c>
      <c r="Y4029">
        <v>0.18014559999999999</v>
      </c>
      <c r="Z4029">
        <v>-2.505313E-2</v>
      </c>
      <c r="AA4029">
        <v>0.98332079999999999</v>
      </c>
      <c r="AB4029">
        <v>21</v>
      </c>
      <c r="AC4029">
        <v>0.606899999999996</v>
      </c>
      <c r="AD4029">
        <v>-0.17460989999999901</v>
      </c>
      <c r="AE4029">
        <v>-0.13640000000000799</v>
      </c>
      <c r="AF4029">
        <v>0.143540779121132</v>
      </c>
      <c r="AG4029">
        <v>-0.17460989999999901</v>
      </c>
      <c r="AH4029">
        <v>0.55845271100346305</v>
      </c>
      <c r="AI4029">
        <v>106.847576708159</v>
      </c>
      <c r="AJ4029">
        <v>75.585130662468103</v>
      </c>
      <c r="AK4029">
        <v>0.60246327927586496</v>
      </c>
      <c r="AL4029">
        <v>83.002317558187002</v>
      </c>
      <c r="AM4029">
        <v>86.538978834403494</v>
      </c>
      <c r="AN4029">
        <v>1.00000003459465</v>
      </c>
    </row>
    <row r="4030" spans="1:40" x14ac:dyDescent="0.25">
      <c r="A4030" t="str">
        <f>"20190312172157670"</f>
        <v>20190312172157670</v>
      </c>
      <c r="B4030" t="str">
        <f>"1552382517664731"</f>
        <v>1552382517664731</v>
      </c>
      <c r="C4030" t="s">
        <v>40</v>
      </c>
      <c r="D4030">
        <v>3.0980699999999999</v>
      </c>
      <c r="E4030">
        <v>0.5514095</v>
      </c>
      <c r="F4030" t="s">
        <v>41</v>
      </c>
      <c r="G4030">
        <v>-374.4898</v>
      </c>
      <c r="H4030">
        <v>0.94221619999999995</v>
      </c>
      <c r="I4030">
        <v>214.17609999999999</v>
      </c>
      <c r="J4030">
        <v>-375.08440000000002</v>
      </c>
      <c r="K4030">
        <v>1.1100030000000001</v>
      </c>
      <c r="L4030">
        <v>214.30840000000001</v>
      </c>
      <c r="M4030">
        <v>0.99948300000000001</v>
      </c>
      <c r="N4030">
        <v>0</v>
      </c>
      <c r="O4030">
        <v>3.0451550000000001E-2</v>
      </c>
      <c r="P4030">
        <v>0.99315620000000004</v>
      </c>
      <c r="Q4030">
        <v>0.1126722</v>
      </c>
      <c r="R4030">
        <v>-3.0750900000000001E-2</v>
      </c>
      <c r="S4030">
        <v>3.0783999999999998</v>
      </c>
      <c r="T4030">
        <v>-0.64739669999999905</v>
      </c>
      <c r="U4030">
        <v>-0.48571779999999998</v>
      </c>
      <c r="V4030">
        <v>6.0996540000000002E-2</v>
      </c>
      <c r="W4030">
        <v>0.1228902</v>
      </c>
      <c r="X4030">
        <v>0.99054399999999998</v>
      </c>
      <c r="Y4030">
        <v>0.18133650000000001</v>
      </c>
      <c r="Z4030">
        <v>-2.504959E-2</v>
      </c>
      <c r="AA4030">
        <v>0.98310200000000003</v>
      </c>
      <c r="AB4030">
        <v>21</v>
      </c>
      <c r="AC4030">
        <v>0.59460000000001401</v>
      </c>
      <c r="AD4030">
        <v>-0.16778679999999899</v>
      </c>
      <c r="AE4030">
        <v>-0.13230000000001399</v>
      </c>
      <c r="AF4030">
        <v>0.13974350521297799</v>
      </c>
      <c r="AG4030">
        <v>-0.16778679999999899</v>
      </c>
      <c r="AH4030">
        <v>0.54866692967716202</v>
      </c>
      <c r="AI4030">
        <v>106.507036344086</v>
      </c>
      <c r="AJ4030">
        <v>75.710780972410006</v>
      </c>
      <c r="AK4030">
        <v>0.59052185160653803</v>
      </c>
      <c r="AL4030">
        <v>82.941066220777302</v>
      </c>
      <c r="AM4030">
        <v>86.476242445961603</v>
      </c>
      <c r="AN4030">
        <v>0.99999999754200497</v>
      </c>
    </row>
    <row r="4031" spans="1:40" x14ac:dyDescent="0.25">
      <c r="A4031" t="str">
        <f>"20190312172157692"</f>
        <v>20190312172157692</v>
      </c>
      <c r="B4031" t="str">
        <f>"1552382517684254"</f>
        <v>1552382517684254</v>
      </c>
      <c r="C4031" t="s">
        <v>40</v>
      </c>
      <c r="D4031">
        <v>3.0875409999999999</v>
      </c>
      <c r="E4031">
        <v>0.55137930000000002</v>
      </c>
      <c r="F4031" t="s">
        <v>41</v>
      </c>
      <c r="G4031">
        <v>-374.2996</v>
      </c>
      <c r="H4031">
        <v>0.9456272</v>
      </c>
      <c r="I4031">
        <v>214.18360000000001</v>
      </c>
      <c r="J4031">
        <v>-374.87259999999998</v>
      </c>
      <c r="K4031">
        <v>1.110001</v>
      </c>
      <c r="L4031">
        <v>214.31479999999999</v>
      </c>
      <c r="M4031">
        <v>0.99948539999999997</v>
      </c>
      <c r="N4031">
        <v>0</v>
      </c>
      <c r="O4031">
        <v>3.0397790000000001E-2</v>
      </c>
      <c r="P4031">
        <v>0.99306419999999995</v>
      </c>
      <c r="Q4031">
        <v>0.11337800000000001</v>
      </c>
      <c r="R4031">
        <v>-3.1134930000000002E-2</v>
      </c>
      <c r="S4031">
        <v>3.0787049999999998</v>
      </c>
      <c r="T4031">
        <v>-0.64493940000000005</v>
      </c>
      <c r="U4031">
        <v>-0.48834230000000001</v>
      </c>
      <c r="V4031">
        <v>6.1324070000000001E-2</v>
      </c>
      <c r="W4031">
        <v>0.123531</v>
      </c>
      <c r="X4031">
        <v>0.99044410000000005</v>
      </c>
      <c r="Y4031">
        <v>0.1821065</v>
      </c>
      <c r="Z4031">
        <v>-2.502074E-2</v>
      </c>
      <c r="AA4031">
        <v>0.98296039999999996</v>
      </c>
      <c r="AB4031">
        <v>21</v>
      </c>
      <c r="AC4031">
        <v>0.57299999999997897</v>
      </c>
      <c r="AD4031">
        <v>-0.16437379999999999</v>
      </c>
      <c r="AE4031">
        <v>-0.131199999999978</v>
      </c>
      <c r="AF4031">
        <v>0.13778452668301999</v>
      </c>
      <c r="AG4031">
        <v>-0.16437379999999999</v>
      </c>
      <c r="AH4031">
        <v>0.52750033249641304</v>
      </c>
      <c r="AI4031">
        <v>106.77772334593099</v>
      </c>
      <c r="AJ4031">
        <v>75.361254840968996</v>
      </c>
      <c r="AK4031">
        <v>0.56943825187945496</v>
      </c>
      <c r="AL4031">
        <v>82.904069435745001</v>
      </c>
      <c r="AM4031">
        <v>86.457012751507193</v>
      </c>
      <c r="AN4031">
        <v>1.00000003237358</v>
      </c>
    </row>
    <row r="4032" spans="1:40" x14ac:dyDescent="0.25">
      <c r="A4032" t="str">
        <f>"20190312172157714"</f>
        <v>20190312172157714</v>
      </c>
      <c r="B4032" t="str">
        <f>"1552382517704750"</f>
        <v>1552382517704750</v>
      </c>
      <c r="C4032" t="s">
        <v>40</v>
      </c>
      <c r="D4032">
        <v>3.1590880000000001</v>
      </c>
      <c r="E4032">
        <v>0.55132230000000004</v>
      </c>
      <c r="F4032" t="s">
        <v>41</v>
      </c>
      <c r="G4032">
        <v>-374.10879999999997</v>
      </c>
      <c r="H4032">
        <v>0.95010600000000001</v>
      </c>
      <c r="I4032">
        <v>214.19329999999999</v>
      </c>
      <c r="J4032">
        <v>-374.65910000000002</v>
      </c>
      <c r="K4032">
        <v>1.109999</v>
      </c>
      <c r="L4032">
        <v>214.32130000000001</v>
      </c>
      <c r="M4032">
        <v>0.99948749999999997</v>
      </c>
      <c r="N4032">
        <v>0</v>
      </c>
      <c r="O4032">
        <v>3.0345480000000001E-2</v>
      </c>
      <c r="P4032">
        <v>0.99299760000000004</v>
      </c>
      <c r="Q4032">
        <v>0.1139034</v>
      </c>
      <c r="R4032">
        <v>-3.1329910000000002E-2</v>
      </c>
      <c r="S4032">
        <v>3.079224</v>
      </c>
      <c r="T4032">
        <v>-0.64464949999999999</v>
      </c>
      <c r="U4032">
        <v>-0.48873899999999998</v>
      </c>
      <c r="V4032">
        <v>6.1465020000000002E-2</v>
      </c>
      <c r="W4032">
        <v>0.123998499999999</v>
      </c>
      <c r="X4032">
        <v>0.9903769</v>
      </c>
      <c r="Y4032">
        <v>0.1821586</v>
      </c>
      <c r="Z4032">
        <v>-2.5000000000000001E-2</v>
      </c>
      <c r="AA4032">
        <v>0.98295129999999997</v>
      </c>
      <c r="AB4032">
        <v>21</v>
      </c>
      <c r="AC4032">
        <v>0.55030000000004897</v>
      </c>
      <c r="AD4032">
        <v>-0.15989300000000001</v>
      </c>
      <c r="AE4032">
        <v>-0.12800000000001399</v>
      </c>
      <c r="AF4032">
        <v>0.13391575408134301</v>
      </c>
      <c r="AG4032">
        <v>-0.15989300000000001</v>
      </c>
      <c r="AH4032">
        <v>0.50566365339390196</v>
      </c>
      <c r="AI4032">
        <v>106.996652395366</v>
      </c>
      <c r="AJ4032">
        <v>75.166784611434096</v>
      </c>
      <c r="AK4032">
        <v>0.54698713970608404</v>
      </c>
      <c r="AL4032">
        <v>82.877075822984906</v>
      </c>
      <c r="AM4032">
        <v>86.448649868126395</v>
      </c>
      <c r="AN4032">
        <v>0.99999999036972997</v>
      </c>
    </row>
    <row r="4033" spans="1:40" x14ac:dyDescent="0.25">
      <c r="A4033" t="str">
        <f>"20190312172157736"</f>
        <v>20190312172157736</v>
      </c>
      <c r="B4033" t="str">
        <f>"1552382517724267"</f>
        <v>1552382517724267</v>
      </c>
      <c r="C4033" t="s">
        <v>40</v>
      </c>
      <c r="D4033">
        <v>3.0948199999999999</v>
      </c>
      <c r="E4033">
        <v>0.55123800000000001</v>
      </c>
      <c r="F4033" t="s">
        <v>41</v>
      </c>
      <c r="G4033">
        <v>-373.91750000000002</v>
      </c>
      <c r="H4033">
        <v>0.95495459999999999</v>
      </c>
      <c r="I4033">
        <v>214.20330000000001</v>
      </c>
      <c r="J4033">
        <v>-374.45389999999998</v>
      </c>
      <c r="K4033">
        <v>1.1099950000000001</v>
      </c>
      <c r="L4033">
        <v>214.32740000000001</v>
      </c>
      <c r="M4033">
        <v>0.99948950000000003</v>
      </c>
      <c r="N4033">
        <v>0</v>
      </c>
      <c r="O4033">
        <v>3.02971E-2</v>
      </c>
      <c r="P4033">
        <v>0.99309630000000004</v>
      </c>
      <c r="Q4033">
        <v>0.1132039</v>
      </c>
      <c r="R4033">
        <v>-3.0739679999999998E-2</v>
      </c>
      <c r="S4033">
        <v>3.0795590000000002</v>
      </c>
      <c r="T4033">
        <v>-0.64394379999999996</v>
      </c>
      <c r="U4033">
        <v>-0.48896790000000001</v>
      </c>
      <c r="V4033">
        <v>6.0829590000000003E-2</v>
      </c>
      <c r="W4033">
        <v>0.12325270000000001</v>
      </c>
      <c r="X4033">
        <v>0.99050919999999998</v>
      </c>
      <c r="Y4033">
        <v>0.18217700000000001</v>
      </c>
      <c r="Z4033">
        <v>-2.4962370000000001E-2</v>
      </c>
      <c r="AA4033">
        <v>0.98294879999999996</v>
      </c>
      <c r="AB4033">
        <v>21</v>
      </c>
      <c r="AC4033">
        <v>0.53639999999995702</v>
      </c>
      <c r="AD4033">
        <v>-0.15504039999999999</v>
      </c>
      <c r="AE4033">
        <v>-0.124099999999998</v>
      </c>
      <c r="AF4033">
        <v>0.12998737488384801</v>
      </c>
      <c r="AG4033">
        <v>-0.15504039999999999</v>
      </c>
      <c r="AH4033">
        <v>0.49327734300099302</v>
      </c>
      <c r="AI4033">
        <v>106.905658904775</v>
      </c>
      <c r="AJ4033">
        <v>75.237151787236897</v>
      </c>
      <c r="AK4033">
        <v>0.53315736924427204</v>
      </c>
      <c r="AL4033">
        <v>82.920137208088093</v>
      </c>
      <c r="AM4033">
        <v>86.485739756567597</v>
      </c>
      <c r="AN4033">
        <v>0.99999997118074802</v>
      </c>
    </row>
    <row r="4034" spans="1:40" x14ac:dyDescent="0.25">
      <c r="A4034" t="str">
        <f>"20190312172157758"</f>
        <v>20190312172157758</v>
      </c>
      <c r="B4034" t="str">
        <f>"1552382517754523"</f>
        <v>1552382517754523</v>
      </c>
      <c r="C4034" t="s">
        <v>40</v>
      </c>
      <c r="D4034">
        <v>3.0816870000000001</v>
      </c>
      <c r="E4034">
        <v>0.55113500000000004</v>
      </c>
      <c r="F4034" t="s">
        <v>41</v>
      </c>
      <c r="G4034">
        <v>-373.72710000000001</v>
      </c>
      <c r="H4034">
        <v>0.95715830000000002</v>
      </c>
      <c r="I4034">
        <v>214.2123</v>
      </c>
      <c r="J4034">
        <v>-374.24630000000002</v>
      </c>
      <c r="K4034">
        <v>1.1099920000000001</v>
      </c>
      <c r="L4034">
        <v>214.33369999999999</v>
      </c>
      <c r="M4034">
        <v>0.99949140000000003</v>
      </c>
      <c r="N4034">
        <v>0</v>
      </c>
      <c r="O4034">
        <v>3.024924E-2</v>
      </c>
      <c r="P4034">
        <v>0.99326959999999997</v>
      </c>
      <c r="Q4034">
        <v>0.1118053</v>
      </c>
      <c r="R4034">
        <v>-3.0260789999999999E-2</v>
      </c>
      <c r="S4034">
        <v>3.0796199999999998</v>
      </c>
      <c r="T4034">
        <v>-0.64774019999999899</v>
      </c>
      <c r="U4034">
        <v>-0.48658750000000001</v>
      </c>
      <c r="V4034">
        <v>6.0308010000000002E-2</v>
      </c>
      <c r="W4034">
        <v>0.12181450000000001</v>
      </c>
      <c r="X4034">
        <v>0.99071900000000002</v>
      </c>
      <c r="Y4034">
        <v>0.1813514</v>
      </c>
      <c r="Z4034">
        <v>-2.501213E-2</v>
      </c>
      <c r="AA4034">
        <v>0.98310019999999998</v>
      </c>
      <c r="AB4034">
        <v>21</v>
      </c>
      <c r="AC4034">
        <v>0.51920000000001199</v>
      </c>
      <c r="AD4034">
        <v>-0.15283369999999999</v>
      </c>
      <c r="AE4034">
        <v>-0.121399999999994</v>
      </c>
      <c r="AF4034">
        <v>0.12664565722926399</v>
      </c>
      <c r="AG4034">
        <v>-0.15283369999999999</v>
      </c>
      <c r="AH4034">
        <v>0.47616873620329803</v>
      </c>
      <c r="AI4034">
        <v>107.232943650717</v>
      </c>
      <c r="AJ4034">
        <v>75.105961119577699</v>
      </c>
      <c r="AK4034">
        <v>0.51588169931503502</v>
      </c>
      <c r="AL4034">
        <v>83.003165761498096</v>
      </c>
      <c r="AM4034">
        <v>86.5165340542612</v>
      </c>
      <c r="AN4034">
        <v>0.99999998272070501</v>
      </c>
    </row>
    <row r="4035" spans="1:40" x14ac:dyDescent="0.25">
      <c r="A4035" t="str">
        <f>"20190312172157781"</f>
        <v>20190312172157781</v>
      </c>
      <c r="B4035" t="str">
        <f>"1552382517775019"</f>
        <v>1552382517775019</v>
      </c>
      <c r="C4035" t="s">
        <v>40</v>
      </c>
      <c r="D4035">
        <v>3.100959</v>
      </c>
      <c r="E4035">
        <v>0.55106959999999905</v>
      </c>
      <c r="F4035" t="s">
        <v>41</v>
      </c>
      <c r="G4035">
        <v>-373.53640000000001</v>
      </c>
      <c r="H4035">
        <v>0.95920919999999998</v>
      </c>
      <c r="I4035">
        <v>214.22120000000001</v>
      </c>
      <c r="J4035">
        <v>-374.02289999999999</v>
      </c>
      <c r="K4035">
        <v>1.109985</v>
      </c>
      <c r="L4035">
        <v>214.34039999999999</v>
      </c>
      <c r="M4035">
        <v>0.99949319999999997</v>
      </c>
      <c r="N4035">
        <v>0</v>
      </c>
      <c r="O4035">
        <v>3.0198610000000001E-2</v>
      </c>
      <c r="P4035">
        <v>0.99341610000000002</v>
      </c>
      <c r="Q4035">
        <v>0.110723</v>
      </c>
      <c r="R4035">
        <v>-2.940719E-2</v>
      </c>
      <c r="S4035">
        <v>3.0791019999999998</v>
      </c>
      <c r="T4035">
        <v>-0.65408840000000001</v>
      </c>
      <c r="U4035">
        <v>-0.48510740000000002</v>
      </c>
      <c r="V4035">
        <v>5.940894E-2</v>
      </c>
      <c r="W4035">
        <v>0.1206947</v>
      </c>
      <c r="X4035">
        <v>0.99091039999999997</v>
      </c>
      <c r="Y4035">
        <v>0.18078939999999999</v>
      </c>
      <c r="Z4035">
        <v>-2.518776E-2</v>
      </c>
      <c r="AA4035">
        <v>0.98319920000000005</v>
      </c>
      <c r="AB4035">
        <v>21</v>
      </c>
      <c r="AC4035">
        <v>0.48649999999997801</v>
      </c>
      <c r="AD4035">
        <v>-0.15077579999999999</v>
      </c>
      <c r="AE4035">
        <v>-0.119199999999978</v>
      </c>
      <c r="AF4035">
        <v>0.12271842384119799</v>
      </c>
      <c r="AG4035">
        <v>-0.15077579999999999</v>
      </c>
      <c r="AH4035">
        <v>0.44257619869606202</v>
      </c>
      <c r="AI4035">
        <v>108.174538101444</v>
      </c>
      <c r="AJ4035">
        <v>74.5022622957691</v>
      </c>
      <c r="AK4035">
        <v>0.483390985712357</v>
      </c>
      <c r="AL4035">
        <v>83.0678028132387</v>
      </c>
      <c r="AM4035">
        <v>86.569001680141596</v>
      </c>
      <c r="AN4035">
        <v>1.0000000267940801</v>
      </c>
    </row>
    <row r="4036" spans="1:40" x14ac:dyDescent="0.25">
      <c r="A4036" t="str">
        <f>"20190312172157804"</f>
        <v>20190312172157804</v>
      </c>
      <c r="B4036" t="str">
        <f>"1552382517794538"</f>
        <v>1552382517794538</v>
      </c>
      <c r="C4036" t="s">
        <v>40</v>
      </c>
      <c r="D4036">
        <v>3.1119940000000001</v>
      </c>
      <c r="E4036">
        <v>0.5510081</v>
      </c>
      <c r="F4036" t="s">
        <v>41</v>
      </c>
      <c r="G4036">
        <v>-373.16820000000001</v>
      </c>
      <c r="H4036">
        <v>0.92749479999999995</v>
      </c>
      <c r="I4036">
        <v>214.20570000000001</v>
      </c>
      <c r="J4036">
        <v>-373.80529999999999</v>
      </c>
      <c r="K4036">
        <v>1.109974</v>
      </c>
      <c r="L4036">
        <v>214.34690000000001</v>
      </c>
      <c r="M4036">
        <v>0.99949529999999998</v>
      </c>
      <c r="N4036">
        <v>0</v>
      </c>
      <c r="O4036">
        <v>3.0149019999999999E-2</v>
      </c>
      <c r="P4036">
        <v>0.99360870000000001</v>
      </c>
      <c r="Q4036">
        <v>0.1092414</v>
      </c>
      <c r="R4036">
        <v>-2.843389E-2</v>
      </c>
      <c r="S4036">
        <v>3.0788570000000002</v>
      </c>
      <c r="T4036">
        <v>-0.65736909999999904</v>
      </c>
      <c r="U4036">
        <v>-0.48318480000000003</v>
      </c>
      <c r="V4036">
        <v>5.8392260000000001E-2</v>
      </c>
      <c r="W4036">
        <v>0.1191826</v>
      </c>
      <c r="X4036">
        <v>0.99115379999999997</v>
      </c>
      <c r="Y4036">
        <v>0.18012220000000001</v>
      </c>
      <c r="Z4036">
        <v>-2.5234039999999999E-2</v>
      </c>
      <c r="AA4036">
        <v>0.98332050000000004</v>
      </c>
      <c r="AB4036">
        <v>21</v>
      </c>
      <c r="AC4036">
        <v>0.63709999999997502</v>
      </c>
      <c r="AD4036">
        <v>-0.18247919999999901</v>
      </c>
      <c r="AE4036">
        <v>-0.14119999999999699</v>
      </c>
      <c r="AF4036">
        <v>0.148715683413605</v>
      </c>
      <c r="AG4036">
        <v>-0.18247919999999901</v>
      </c>
      <c r="AH4036">
        <v>0.58667708547101205</v>
      </c>
      <c r="AI4036">
        <v>106.778198478145</v>
      </c>
      <c r="AJ4036">
        <v>75.775811955694195</v>
      </c>
      <c r="AK4036">
        <v>0.63214319227733295</v>
      </c>
      <c r="AL4036">
        <v>83.155069548484207</v>
      </c>
      <c r="AM4036">
        <v>86.628406778128905</v>
      </c>
      <c r="AN4036">
        <v>1.0000000017125501</v>
      </c>
    </row>
    <row r="4037" spans="1:40" x14ac:dyDescent="0.25">
      <c r="A4037" t="str">
        <f>"20190312172157825"</f>
        <v>20190312172157825</v>
      </c>
      <c r="B4037" t="str">
        <f>"1552382517814059"</f>
        <v>1552382517814059</v>
      </c>
      <c r="C4037" t="s">
        <v>40</v>
      </c>
      <c r="D4037">
        <v>3.1118389999999998</v>
      </c>
      <c r="E4037">
        <v>0.55097719999999994</v>
      </c>
      <c r="F4037" t="s">
        <v>41</v>
      </c>
      <c r="G4037">
        <v>-372.976</v>
      </c>
      <c r="H4037">
        <v>0.93166760000000004</v>
      </c>
      <c r="I4037">
        <v>214.21700000000001</v>
      </c>
      <c r="J4037">
        <v>-373.60210000000001</v>
      </c>
      <c r="K4037">
        <v>1.1099730000000001</v>
      </c>
      <c r="L4037">
        <v>214.35300000000001</v>
      </c>
      <c r="M4037">
        <v>0.99949690000000002</v>
      </c>
      <c r="N4037">
        <v>0</v>
      </c>
      <c r="O4037">
        <v>3.010268E-2</v>
      </c>
      <c r="P4037">
        <v>0.99373659999999997</v>
      </c>
      <c r="Q4037">
        <v>0.10834920000000001</v>
      </c>
      <c r="R4037">
        <v>-2.7353390000000002E-2</v>
      </c>
      <c r="S4037">
        <v>3.0783079999999998</v>
      </c>
      <c r="T4037">
        <v>-0.66188630000000004</v>
      </c>
      <c r="U4037">
        <v>-0.48104859999999999</v>
      </c>
      <c r="V4037">
        <v>5.7269899999999999E-2</v>
      </c>
      <c r="W4037">
        <v>0.1182665</v>
      </c>
      <c r="X4037">
        <v>0.99132900000000002</v>
      </c>
      <c r="Y4037">
        <v>0.1793894</v>
      </c>
      <c r="Z4037">
        <v>-2.532208E-2</v>
      </c>
      <c r="AA4037">
        <v>0.9834522</v>
      </c>
      <c r="AB4037">
        <v>21</v>
      </c>
      <c r="AC4037">
        <v>0.62610000000000798</v>
      </c>
      <c r="AD4037">
        <v>-0.178305399999999</v>
      </c>
      <c r="AE4037">
        <v>-0.13599999999996701</v>
      </c>
      <c r="AF4037">
        <v>0.143660175533181</v>
      </c>
      <c r="AG4037">
        <v>-0.178305399999999</v>
      </c>
      <c r="AH4037">
        <v>0.57703126210585398</v>
      </c>
      <c r="AI4037">
        <v>106.691441694549</v>
      </c>
      <c r="AJ4037">
        <v>76.019621520731604</v>
      </c>
      <c r="AK4037">
        <v>0.62080281825299399</v>
      </c>
      <c r="AL4037">
        <v>83.207932062118601</v>
      </c>
      <c r="AM4037">
        <v>86.693650223848394</v>
      </c>
      <c r="AN4037">
        <v>0.99999999635462999</v>
      </c>
    </row>
    <row r="4038" spans="1:40" x14ac:dyDescent="0.25">
      <c r="A4038" t="str">
        <f>"20190312172157849"</f>
        <v>20190312172157849</v>
      </c>
      <c r="B4038" t="str">
        <f>"1552382517844317"</f>
        <v>1552382517844317</v>
      </c>
      <c r="C4038" t="s">
        <v>40</v>
      </c>
      <c r="D4038">
        <v>3.1528130000000001</v>
      </c>
      <c r="E4038">
        <v>0.55084580000000005</v>
      </c>
      <c r="F4038" t="s">
        <v>41</v>
      </c>
      <c r="G4038">
        <v>-372.78440000000001</v>
      </c>
      <c r="H4038">
        <v>0.93317620000000001</v>
      </c>
      <c r="I4038">
        <v>214.22559999999999</v>
      </c>
      <c r="J4038">
        <v>-373.37950000000001</v>
      </c>
      <c r="K4038">
        <v>1.109974</v>
      </c>
      <c r="L4038">
        <v>214.3596</v>
      </c>
      <c r="M4038">
        <v>0.99949869999999996</v>
      </c>
      <c r="N4038">
        <v>0</v>
      </c>
      <c r="O4038">
        <v>3.0051319999999999E-2</v>
      </c>
      <c r="P4038">
        <v>0.99378500000000003</v>
      </c>
      <c r="Q4038">
        <v>0.108052</v>
      </c>
      <c r="R4038">
        <v>-2.67681E-2</v>
      </c>
      <c r="S4038">
        <v>3.0782780000000001</v>
      </c>
      <c r="T4038">
        <v>-0.66559950000000001</v>
      </c>
      <c r="U4038">
        <v>-0.47827150000000002</v>
      </c>
      <c r="V4038">
        <v>5.6635089999999999E-2</v>
      </c>
      <c r="W4038">
        <v>0.11794449999999999</v>
      </c>
      <c r="X4038">
        <v>0.99140379999999995</v>
      </c>
      <c r="Y4038">
        <v>0.17844370000000001</v>
      </c>
      <c r="Z4038">
        <v>-2.5351490000000001E-2</v>
      </c>
      <c r="AA4038">
        <v>0.98362349999999998</v>
      </c>
      <c r="AB4038">
        <v>21</v>
      </c>
      <c r="AC4038">
        <v>0.59510000000000196</v>
      </c>
      <c r="AD4038">
        <v>-0.1767978</v>
      </c>
      <c r="AE4038">
        <v>-0.134000000000014</v>
      </c>
      <c r="AF4038">
        <v>0.14005858174118199</v>
      </c>
      <c r="AG4038">
        <v>-0.1767978</v>
      </c>
      <c r="AH4038">
        <v>0.54502082050920897</v>
      </c>
      <c r="AI4038">
        <v>107.441634469428</v>
      </c>
      <c r="AJ4038">
        <v>75.588065186378998</v>
      </c>
      <c r="AK4038">
        <v>0.58984876298312505</v>
      </c>
      <c r="AL4038">
        <v>83.226511136006295</v>
      </c>
      <c r="AM4038">
        <v>86.730465761032406</v>
      </c>
      <c r="AN4038">
        <v>0.99999996657699797</v>
      </c>
    </row>
    <row r="4039" spans="1:40" x14ac:dyDescent="0.25">
      <c r="A4039" t="str">
        <f>"20190312172157872"</f>
        <v>20190312172157872</v>
      </c>
      <c r="B4039" t="str">
        <f>"1552382517864811"</f>
        <v>1552382517864811</v>
      </c>
      <c r="C4039" t="s">
        <v>40</v>
      </c>
      <c r="D4039">
        <v>3.1337670000000002</v>
      </c>
      <c r="E4039">
        <v>0.55077830000000005</v>
      </c>
      <c r="F4039" t="s">
        <v>41</v>
      </c>
      <c r="G4039">
        <v>-372.59089999999998</v>
      </c>
      <c r="H4039">
        <v>0.93872520000000004</v>
      </c>
      <c r="I4039">
        <v>214.23769999999999</v>
      </c>
      <c r="J4039">
        <v>-373.15359999999998</v>
      </c>
      <c r="K4039">
        <v>1.1099779999999999</v>
      </c>
      <c r="L4039">
        <v>214.3663</v>
      </c>
      <c r="M4039">
        <v>0.99950030000000001</v>
      </c>
      <c r="N4039">
        <v>0</v>
      </c>
      <c r="O4039">
        <v>2.999899E-2</v>
      </c>
      <c r="P4039">
        <v>0.99363639999999998</v>
      </c>
      <c r="Q4039">
        <v>0.109617699999999</v>
      </c>
      <c r="R4039">
        <v>-2.5899129999999999E-2</v>
      </c>
      <c r="S4039">
        <v>3.0786129999999998</v>
      </c>
      <c r="T4039">
        <v>-0.66860059999999999</v>
      </c>
      <c r="U4039">
        <v>-0.47583009999999898</v>
      </c>
      <c r="V4039">
        <v>5.5710139999999998E-2</v>
      </c>
      <c r="W4039">
        <v>0.1194875</v>
      </c>
      <c r="X4039">
        <v>0.99127140000000002</v>
      </c>
      <c r="Y4039">
        <v>0.1775929</v>
      </c>
      <c r="Z4039">
        <v>-2.5360049999999999E-2</v>
      </c>
      <c r="AA4039">
        <v>0.98377720000000002</v>
      </c>
      <c r="AB4039">
        <v>21</v>
      </c>
      <c r="AC4039">
        <v>0.56270000000000597</v>
      </c>
      <c r="AD4039">
        <v>-0.17125280000000001</v>
      </c>
      <c r="AE4039">
        <v>-0.12860000000000499</v>
      </c>
      <c r="AF4039">
        <v>0.13365801756779</v>
      </c>
      <c r="AG4039">
        <v>-0.17125280000000001</v>
      </c>
      <c r="AH4039">
        <v>0.51339647415827405</v>
      </c>
      <c r="AI4039">
        <v>107.89050101302399</v>
      </c>
      <c r="AJ4039">
        <v>75.407498586936995</v>
      </c>
      <c r="AK4039">
        <v>0.55746562839886304</v>
      </c>
      <c r="AL4039">
        <v>83.137473873340198</v>
      </c>
      <c r="AM4039">
        <v>86.783321262129206</v>
      </c>
      <c r="AN4039">
        <v>0.999999935406512</v>
      </c>
    </row>
    <row r="4040" spans="1:40" x14ac:dyDescent="0.25">
      <c r="A4040" t="str">
        <f>"20190312172157894"</f>
        <v>20190312172157894</v>
      </c>
      <c r="B4040" t="str">
        <f>"1552382517885307"</f>
        <v>1552382517885307</v>
      </c>
      <c r="C4040" t="s">
        <v>40</v>
      </c>
      <c r="D4040">
        <v>3.1192639999999998</v>
      </c>
      <c r="E4040">
        <v>0.55075680000000005</v>
      </c>
      <c r="F4040" t="s">
        <v>41</v>
      </c>
      <c r="G4040">
        <v>-372.39600000000002</v>
      </c>
      <c r="H4040">
        <v>0.94645429999999997</v>
      </c>
      <c r="I4040">
        <v>214.24969999999999</v>
      </c>
      <c r="J4040">
        <v>-372.95350000000002</v>
      </c>
      <c r="K4040">
        <v>1.1099730000000001</v>
      </c>
      <c r="L4040">
        <v>214.3723</v>
      </c>
      <c r="M4040">
        <v>0.999502</v>
      </c>
      <c r="N4040">
        <v>0</v>
      </c>
      <c r="O4040">
        <v>2.9952110000000001E-2</v>
      </c>
      <c r="P4040">
        <v>0.99347189999999996</v>
      </c>
      <c r="Q4040">
        <v>0.1112278</v>
      </c>
      <c r="R4040">
        <v>-2.5346819999999999E-2</v>
      </c>
      <c r="S4040">
        <v>3.080292</v>
      </c>
      <c r="T4040">
        <v>-0.66491219999999995</v>
      </c>
      <c r="U4040">
        <v>-0.4720917</v>
      </c>
      <c r="V4040">
        <v>5.5106540000000002E-2</v>
      </c>
      <c r="W4040">
        <v>0.12107950000000001</v>
      </c>
      <c r="X4040">
        <v>0.99111199999999999</v>
      </c>
      <c r="Y4040">
        <v>0.17638319999999999</v>
      </c>
      <c r="Z4040">
        <v>-2.507386E-2</v>
      </c>
      <c r="AA4040">
        <v>0.98400220000000005</v>
      </c>
      <c r="AB4040">
        <v>21</v>
      </c>
      <c r="AC4040">
        <v>0.55750000000006095</v>
      </c>
      <c r="AD4040">
        <v>-0.16351869999999899</v>
      </c>
      <c r="AE4040">
        <v>-0.122600000000005</v>
      </c>
      <c r="AF4040">
        <v>0.128684215169935</v>
      </c>
      <c r="AG4040">
        <v>-0.16351869999999899</v>
      </c>
      <c r="AH4040">
        <v>0.51159570800915899</v>
      </c>
      <c r="AI4040">
        <v>107.221835229107</v>
      </c>
      <c r="AJ4040">
        <v>75.881012110037005</v>
      </c>
      <c r="AK4040">
        <v>0.55229354598527103</v>
      </c>
      <c r="AL4040">
        <v>83.045592230280207</v>
      </c>
      <c r="AM4040">
        <v>86.817590162934295</v>
      </c>
      <c r="AN4040">
        <v>0.99999998630750997</v>
      </c>
    </row>
    <row r="4041" spans="1:40" x14ac:dyDescent="0.25">
      <c r="A4041" t="str">
        <f>"20190312172157915"</f>
        <v>20190312172157915</v>
      </c>
      <c r="B4041" t="str">
        <f>"1552382517904827"</f>
        <v>1552382517904827</v>
      </c>
      <c r="C4041" t="s">
        <v>40</v>
      </c>
      <c r="D4041">
        <v>3.1230000000000002</v>
      </c>
      <c r="E4041">
        <v>0.55069460000000003</v>
      </c>
      <c r="F4041" t="s">
        <v>41</v>
      </c>
      <c r="G4041">
        <v>-372.2029</v>
      </c>
      <c r="H4041">
        <v>0.94894330000000005</v>
      </c>
      <c r="I4041">
        <v>214.2577</v>
      </c>
      <c r="J4041">
        <v>-372.74360000000001</v>
      </c>
      <c r="K4041">
        <v>1.1099699999999999</v>
      </c>
      <c r="L4041">
        <v>214.3785</v>
      </c>
      <c r="M4041">
        <v>0.99950369999999999</v>
      </c>
      <c r="N4041">
        <v>0</v>
      </c>
      <c r="O4041">
        <v>2.990319E-2</v>
      </c>
      <c r="P4041">
        <v>0.99349410000000005</v>
      </c>
      <c r="Q4041">
        <v>0.1111881</v>
      </c>
      <c r="R4041">
        <v>-2.4639479999999998E-2</v>
      </c>
      <c r="S4041">
        <v>3.0817260000000002</v>
      </c>
      <c r="T4041">
        <v>-0.66115559999999995</v>
      </c>
      <c r="U4041">
        <v>-0.4693756</v>
      </c>
      <c r="V4041">
        <v>5.4351829999999997E-2</v>
      </c>
      <c r="W4041">
        <v>0.12102549999999999</v>
      </c>
      <c r="X4041">
        <v>0.99116029999999999</v>
      </c>
      <c r="Y4041">
        <v>0.17549500000000001</v>
      </c>
      <c r="Z4041">
        <v>-2.4821659999999999E-2</v>
      </c>
      <c r="AA4041">
        <v>0.98416729999999997</v>
      </c>
      <c r="AB4041">
        <v>21</v>
      </c>
      <c r="AC4041">
        <v>0.54070000000001495</v>
      </c>
      <c r="AD4041">
        <v>-0.16102669999999999</v>
      </c>
      <c r="AE4041">
        <v>-0.120800000000002</v>
      </c>
      <c r="AF4041">
        <v>0.126250390597937</v>
      </c>
      <c r="AG4041">
        <v>-0.16102669999999999</v>
      </c>
      <c r="AH4041">
        <v>0.495028081701468</v>
      </c>
      <c r="AI4041">
        <v>107.494780267709</v>
      </c>
      <c r="AJ4041">
        <v>75.6924670359777</v>
      </c>
      <c r="AK4041">
        <v>0.53565059592243203</v>
      </c>
      <c r="AL4041">
        <v>83.048709335927896</v>
      </c>
      <c r="AM4041">
        <v>86.861239660601598</v>
      </c>
      <c r="AN4041">
        <v>1.00000001668534</v>
      </c>
    </row>
    <row r="4042" spans="1:40" x14ac:dyDescent="0.25">
      <c r="A4042" t="str">
        <f>"20190312172157937"</f>
        <v>20190312172157937</v>
      </c>
      <c r="B4042" t="str">
        <f>"1552382517935083"</f>
        <v>1552382517935083</v>
      </c>
      <c r="C4042" t="s">
        <v>40</v>
      </c>
      <c r="D4042">
        <v>3.1186889999999998</v>
      </c>
      <c r="E4042">
        <v>0.55062049999999996</v>
      </c>
      <c r="F4042" t="s">
        <v>41</v>
      </c>
      <c r="G4042">
        <v>-372.00920000000002</v>
      </c>
      <c r="H4042">
        <v>0.95216440000000002</v>
      </c>
      <c r="I4042">
        <v>214.2672</v>
      </c>
      <c r="J4042">
        <v>-372.53489999999999</v>
      </c>
      <c r="K4042">
        <v>1.109969</v>
      </c>
      <c r="L4042">
        <v>214.38470000000001</v>
      </c>
      <c r="M4042">
        <v>0.99950519999999998</v>
      </c>
      <c r="N4042">
        <v>0</v>
      </c>
      <c r="O4042">
        <v>2.9854439999999999E-2</v>
      </c>
      <c r="P4042">
        <v>0.99362980000000001</v>
      </c>
      <c r="Q4042">
        <v>0.11014119999999999</v>
      </c>
      <c r="R4042">
        <v>-2.3852959999999999E-2</v>
      </c>
      <c r="S4042">
        <v>3.082214</v>
      </c>
      <c r="T4042">
        <v>-0.66245500000000002</v>
      </c>
      <c r="U4042">
        <v>-0.46617130000000001</v>
      </c>
      <c r="V4042">
        <v>5.3521350000000002E-2</v>
      </c>
      <c r="W4042">
        <v>0.11996800000000001</v>
      </c>
      <c r="X4042">
        <v>0.99133400000000005</v>
      </c>
      <c r="Y4042">
        <v>0.17443129999999901</v>
      </c>
      <c r="Z4042">
        <v>-2.474469E-2</v>
      </c>
      <c r="AA4042">
        <v>0.98435839999999997</v>
      </c>
      <c r="AB4042">
        <v>21</v>
      </c>
      <c r="AC4042">
        <v>0.52569999999997197</v>
      </c>
      <c r="AD4042">
        <v>-0.15780459999999899</v>
      </c>
      <c r="AE4042">
        <v>-0.117500000000006</v>
      </c>
      <c r="AF4042">
        <v>0.122619579481425</v>
      </c>
      <c r="AG4042">
        <v>-0.15780459999999899</v>
      </c>
      <c r="AH4042">
        <v>0.48070332040497299</v>
      </c>
      <c r="AI4042">
        <v>107.6454961429</v>
      </c>
      <c r="AJ4042">
        <v>75.689945619110006</v>
      </c>
      <c r="AK4042">
        <v>0.52058960352827699</v>
      </c>
      <c r="AL4042">
        <v>83.109744073150594</v>
      </c>
      <c r="AM4042">
        <v>86.909645816039003</v>
      </c>
      <c r="AN4042">
        <v>0.99999997774291105</v>
      </c>
    </row>
    <row r="4043" spans="1:40" x14ac:dyDescent="0.25">
      <c r="A4043" t="str">
        <f>"20190312172157960"</f>
        <v>20190312172157960</v>
      </c>
      <c r="B4043" t="str">
        <f>"1552382517954603"</f>
        <v>1552382517954603</v>
      </c>
      <c r="C4043" t="s">
        <v>40</v>
      </c>
      <c r="D4043">
        <v>3.0782060000000002</v>
      </c>
      <c r="E4043">
        <v>0.55065069999999905</v>
      </c>
      <c r="F4043" t="s">
        <v>41</v>
      </c>
      <c r="G4043">
        <v>-371.81569999999999</v>
      </c>
      <c r="H4043">
        <v>0.95441880000000001</v>
      </c>
      <c r="I4043">
        <v>214.2764</v>
      </c>
      <c r="J4043">
        <v>-372.31319999999999</v>
      </c>
      <c r="K4043">
        <v>1.1099600000000001</v>
      </c>
      <c r="L4043">
        <v>214.3913</v>
      </c>
      <c r="M4043">
        <v>0.99950680000000003</v>
      </c>
      <c r="N4043">
        <v>0</v>
      </c>
      <c r="O4043">
        <v>2.9802990000000001E-2</v>
      </c>
      <c r="P4043">
        <v>0.99379459999999997</v>
      </c>
      <c r="Q4043">
        <v>0.108708399999999</v>
      </c>
      <c r="R4043">
        <v>-2.355995E-2</v>
      </c>
      <c r="S4043">
        <v>3.082001</v>
      </c>
      <c r="T4043">
        <v>-0.66658629999999996</v>
      </c>
      <c r="U4043">
        <v>-0.4636383</v>
      </c>
      <c r="V4043">
        <v>5.3182140000000003E-2</v>
      </c>
      <c r="W4043">
        <v>0.11852550000000001</v>
      </c>
      <c r="X4043">
        <v>0.99152580000000001</v>
      </c>
      <c r="Y4043">
        <v>0.17356269999999999</v>
      </c>
      <c r="Z4043">
        <v>-2.479539E-2</v>
      </c>
      <c r="AA4043">
        <v>0.98451060000000001</v>
      </c>
      <c r="AB4043">
        <v>22</v>
      </c>
      <c r="AC4043">
        <v>0.497500000000002</v>
      </c>
      <c r="AD4043">
        <v>-0.15554119999999999</v>
      </c>
      <c r="AE4043">
        <v>-0.114900000000005</v>
      </c>
      <c r="AF4043">
        <v>0.118664870353605</v>
      </c>
      <c r="AG4043">
        <v>-0.15554119999999999</v>
      </c>
      <c r="AH4043">
        <v>0.45191764331895101</v>
      </c>
      <c r="AI4043">
        <v>108.41236066433601</v>
      </c>
      <c r="AJ4043">
        <v>75.287368203893493</v>
      </c>
      <c r="AK4043">
        <v>0.49244692373537302</v>
      </c>
      <c r="AL4043">
        <v>83.192987523827497</v>
      </c>
      <c r="AM4043">
        <v>86.929787273302196</v>
      </c>
      <c r="AN4043">
        <v>1.00000002311543</v>
      </c>
    </row>
    <row r="4044" spans="1:40" x14ac:dyDescent="0.25">
      <c r="A4044" t="str">
        <f>"20190312172157983"</f>
        <v>20190312172157983</v>
      </c>
      <c r="B4044" t="str">
        <f>"1552382517975099"</f>
        <v>1552382517975099</v>
      </c>
      <c r="C4044" t="s">
        <v>40</v>
      </c>
      <c r="D4044">
        <v>3.3750719999999998</v>
      </c>
      <c r="E4044">
        <v>0.55065069999999905</v>
      </c>
      <c r="F4044" t="s">
        <v>41</v>
      </c>
      <c r="G4044">
        <v>-371.4427</v>
      </c>
      <c r="H4044">
        <v>0.92020170000000001</v>
      </c>
      <c r="I4044">
        <v>214.26</v>
      </c>
      <c r="J4044">
        <v>-372.08940000000001</v>
      </c>
      <c r="K4044">
        <v>1.109953</v>
      </c>
      <c r="L4044">
        <v>214.39789999999999</v>
      </c>
      <c r="M4044">
        <v>0.99950839999999996</v>
      </c>
      <c r="N4044">
        <v>0</v>
      </c>
      <c r="O4044">
        <v>2.9750889999999999E-2</v>
      </c>
      <c r="P4044">
        <v>0.99400149999999998</v>
      </c>
      <c r="Q4044">
        <v>0.106883199999999</v>
      </c>
      <c r="R4044">
        <v>-2.3173550000000001E-2</v>
      </c>
      <c r="S4044">
        <v>3.0812379999999999</v>
      </c>
      <c r="T4044">
        <v>-0.67179619999999995</v>
      </c>
      <c r="U4044">
        <v>-0.46343990000000002</v>
      </c>
      <c r="V4044">
        <v>5.2750169999999999E-2</v>
      </c>
      <c r="W4044">
        <v>0.1166934</v>
      </c>
      <c r="X4044">
        <v>0.99176620000000004</v>
      </c>
      <c r="Y4044">
        <v>0.17341609999999999</v>
      </c>
      <c r="Z4044">
        <v>-2.4964030000000002E-2</v>
      </c>
      <c r="AA4044">
        <v>0.98453219999999997</v>
      </c>
      <c r="AB4044">
        <v>22</v>
      </c>
      <c r="AC4044">
        <v>0.64670000000000905</v>
      </c>
      <c r="AD4044">
        <v>-0.18975130000000001</v>
      </c>
      <c r="AE4044">
        <v>-0.13790000000000099</v>
      </c>
      <c r="AF4044">
        <v>0.14512875159980199</v>
      </c>
      <c r="AG4044">
        <v>-0.18975130000000001</v>
      </c>
      <c r="AH4044">
        <v>0.59344216585274501</v>
      </c>
      <c r="AI4044">
        <v>107.25447924349901</v>
      </c>
      <c r="AJ4044">
        <v>76.257799938060899</v>
      </c>
      <c r="AK4044">
        <v>0.63971987197882496</v>
      </c>
      <c r="AL4044">
        <v>83.298693003314796</v>
      </c>
      <c r="AM4044">
        <v>86.955414617739507</v>
      </c>
      <c r="AN4044">
        <v>1.0000000627505099</v>
      </c>
    </row>
    <row r="4045" spans="1:40" x14ac:dyDescent="0.25">
      <c r="A4045" t="str">
        <f>"20190312172158105"</f>
        <v>20190312172158105</v>
      </c>
      <c r="B4045" t="str">
        <f>"1552382518094679"</f>
        <v>1552382518094679</v>
      </c>
      <c r="C4045" t="s">
        <v>40</v>
      </c>
      <c r="D4045">
        <v>2.9629210000000001</v>
      </c>
      <c r="E4045">
        <v>0.49465160000000002</v>
      </c>
      <c r="F4045" t="s">
        <v>41</v>
      </c>
      <c r="G4045">
        <v>-370.21749999999997</v>
      </c>
      <c r="H4045">
        <v>1.0499810000000001</v>
      </c>
      <c r="I4045">
        <v>214.42099999999999</v>
      </c>
      <c r="J4045">
        <v>-370.90019999999998</v>
      </c>
      <c r="K4045">
        <v>1.10995</v>
      </c>
      <c r="L4045">
        <v>214.43289999999999</v>
      </c>
      <c r="M4045">
        <v>0.99951699999999999</v>
      </c>
      <c r="N4045">
        <v>0</v>
      </c>
      <c r="O4045">
        <v>2.9474879999999998E-2</v>
      </c>
      <c r="P4045">
        <v>0.99380820000000003</v>
      </c>
      <c r="Q4045">
        <v>0.1089524</v>
      </c>
      <c r="R4045">
        <v>-2.1798600000000001E-2</v>
      </c>
      <c r="S4045">
        <v>3.0394589999999999</v>
      </c>
      <c r="T4045">
        <v>-0.20362340000000001</v>
      </c>
      <c r="U4045">
        <v>-1.8539429999999999E-2</v>
      </c>
      <c r="V4045">
        <v>5.109644E-2</v>
      </c>
      <c r="W4045">
        <v>0.1187333</v>
      </c>
      <c r="X4045">
        <v>0.99161060000000001</v>
      </c>
      <c r="Y4045">
        <v>3.5427109999999998E-2</v>
      </c>
      <c r="Z4045">
        <v>-3.1576659999999999E-3</v>
      </c>
      <c r="AA4045">
        <v>0.99936729999999996</v>
      </c>
      <c r="AB4045">
        <v>22</v>
      </c>
      <c r="AC4045">
        <v>0.68270000000001096</v>
      </c>
      <c r="AD4045">
        <v>-5.9968999999999897E-2</v>
      </c>
      <c r="AE4045">
        <v>-1.18999999999971E-2</v>
      </c>
      <c r="AF4045">
        <v>3.1773217196902299E-2</v>
      </c>
      <c r="AG4045">
        <v>-5.9968999999999897E-2</v>
      </c>
      <c r="AH4045">
        <v>0.67683171817432597</v>
      </c>
      <c r="AI4045">
        <v>95.057787667305803</v>
      </c>
      <c r="AJ4045">
        <v>87.312277660990503</v>
      </c>
      <c r="AK4045">
        <v>0.68022569270709798</v>
      </c>
      <c r="AL4045">
        <v>83.180996716129698</v>
      </c>
      <c r="AM4045">
        <v>87.050229858668004</v>
      </c>
      <c r="AN4045">
        <v>1.00000001237096</v>
      </c>
    </row>
    <row r="4046" spans="1:40" x14ac:dyDescent="0.25">
      <c r="A4046" t="str">
        <f>"20190312172158126"</f>
        <v>20190312172158126</v>
      </c>
      <c r="B4046" t="str">
        <f>"1552382518114705"</f>
        <v>1552382518114705</v>
      </c>
      <c r="C4046" t="s">
        <v>40</v>
      </c>
      <c r="D4046">
        <v>3.10304</v>
      </c>
      <c r="E4046">
        <v>0.49546380000000001</v>
      </c>
      <c r="F4046" t="s">
        <v>41</v>
      </c>
      <c r="G4046">
        <v>-370.02030000000002</v>
      </c>
      <c r="H4046">
        <v>1.051831</v>
      </c>
      <c r="I4046">
        <v>214.42760000000001</v>
      </c>
      <c r="J4046">
        <v>-370.69470000000001</v>
      </c>
      <c r="K4046">
        <v>1.109955</v>
      </c>
      <c r="L4046">
        <v>214.43889999999999</v>
      </c>
      <c r="M4046">
        <v>0.99951840000000003</v>
      </c>
      <c r="N4046">
        <v>0</v>
      </c>
      <c r="O4046">
        <v>2.942757E-2</v>
      </c>
      <c r="P4046">
        <v>0.99356440000000001</v>
      </c>
      <c r="Q4046">
        <v>0.1112134</v>
      </c>
      <c r="R4046">
        <v>-2.1496439999999999E-2</v>
      </c>
      <c r="S4046">
        <v>3.040375</v>
      </c>
      <c r="T4046">
        <v>-0.20103679999999999</v>
      </c>
      <c r="U4046">
        <v>-1.6922E-2</v>
      </c>
      <c r="V4046">
        <v>5.0740309999999997E-2</v>
      </c>
      <c r="W4046">
        <v>0.1209891</v>
      </c>
      <c r="X4046">
        <v>0.99135620000000002</v>
      </c>
      <c r="Y4046">
        <v>3.4851449999999999E-2</v>
      </c>
      <c r="Z4046">
        <v>-3.0945719999999999E-3</v>
      </c>
      <c r="AA4046">
        <v>0.99938769999999999</v>
      </c>
      <c r="AB4046">
        <v>22</v>
      </c>
      <c r="AC4046">
        <v>0.67439999999999101</v>
      </c>
      <c r="AD4046">
        <v>-5.8124000000000002E-2</v>
      </c>
      <c r="AE4046">
        <v>-1.12999999999772E-2</v>
      </c>
      <c r="AF4046">
        <v>3.09124658899264E-2</v>
      </c>
      <c r="AG4046">
        <v>-5.8124000000000002E-2</v>
      </c>
      <c r="AH4046">
        <v>0.66880878893445805</v>
      </c>
      <c r="AI4046">
        <v>94.961640079914005</v>
      </c>
      <c r="AJ4046">
        <v>87.353661866576601</v>
      </c>
      <c r="AK4046">
        <v>0.67204105237654399</v>
      </c>
      <c r="AL4046">
        <v>83.050810422564794</v>
      </c>
      <c r="AM4046">
        <v>87.070002733549401</v>
      </c>
      <c r="AN4046">
        <v>1.0000000283280699</v>
      </c>
    </row>
    <row r="4047" spans="1:40" x14ac:dyDescent="0.25">
      <c r="A4047" t="str">
        <f>"20190312172158148"</f>
        <v>20190312172158148</v>
      </c>
      <c r="B4047" t="str">
        <f>"1552382518144962"</f>
        <v>1552382518144962</v>
      </c>
      <c r="C4047" t="s">
        <v>40</v>
      </c>
      <c r="D4047">
        <v>3.150331</v>
      </c>
      <c r="E4047">
        <v>0.4959749</v>
      </c>
      <c r="F4047" t="s">
        <v>46</v>
      </c>
      <c r="G4047">
        <v>-345.69139999999999</v>
      </c>
      <c r="H4047" s="1">
        <v>1.491882E-6</v>
      </c>
      <c r="I4047">
        <v>214.24610000000001</v>
      </c>
      <c r="J4047">
        <v>-370.47609999999997</v>
      </c>
      <c r="K4047">
        <v>1.109964</v>
      </c>
      <c r="L4047">
        <v>214.4453</v>
      </c>
      <c r="M4047">
        <v>0.99951979999999996</v>
      </c>
      <c r="N4047">
        <v>0</v>
      </c>
      <c r="O4047">
        <v>2.9377090000000002E-2</v>
      </c>
      <c r="P4047">
        <v>0.99333890000000002</v>
      </c>
      <c r="Q4047">
        <v>0.11320139999999999</v>
      </c>
      <c r="R4047">
        <v>-2.152337E-2</v>
      </c>
      <c r="S4047">
        <v>3.0339659999999999</v>
      </c>
      <c r="T4047">
        <v>-0.13468469999999999</v>
      </c>
      <c r="U4047">
        <v>-2.3391720000000001E-2</v>
      </c>
      <c r="V4047">
        <v>5.07108E-2</v>
      </c>
      <c r="W4047">
        <v>0.1229726</v>
      </c>
      <c r="X4047">
        <v>0.99111360000000004</v>
      </c>
      <c r="Y4047">
        <v>3.701865E-2</v>
      </c>
      <c r="Z4047">
        <v>-2.124669E-3</v>
      </c>
      <c r="AA4047">
        <v>0.99931230000000004</v>
      </c>
      <c r="AB4047">
        <v>22</v>
      </c>
      <c r="AC4047">
        <v>24.784699999999901</v>
      </c>
      <c r="AD4047">
        <v>-1.109962508118</v>
      </c>
      <c r="AE4047">
        <v>-0.19919999999999</v>
      </c>
      <c r="AF4047">
        <v>0.92539587650275201</v>
      </c>
      <c r="AG4047">
        <v>-1.109962508118</v>
      </c>
      <c r="AH4047">
        <v>24.718576744954198</v>
      </c>
      <c r="AI4047">
        <v>92.569284015221399</v>
      </c>
      <c r="AJ4047">
        <v>87.856004056219703</v>
      </c>
      <c r="AK4047">
        <v>24.7607837233369</v>
      </c>
      <c r="AL4047">
        <v>82.936309031619899</v>
      </c>
      <c r="AM4047">
        <v>87.070988294444803</v>
      </c>
      <c r="AN4047">
        <v>1.0000000068461801</v>
      </c>
    </row>
    <row r="4048" spans="1:40" x14ac:dyDescent="0.25">
      <c r="A4048" t="str">
        <f>"20190312172158172"</f>
        <v>20190312172158172</v>
      </c>
      <c r="B4048" t="str">
        <f>"1552382518164481"</f>
        <v>1552382518164481</v>
      </c>
      <c r="C4048" t="s">
        <v>40</v>
      </c>
      <c r="D4048">
        <v>3.2560500000000001</v>
      </c>
      <c r="E4048">
        <v>0.49637350000000002</v>
      </c>
      <c r="F4048" t="s">
        <v>46</v>
      </c>
      <c r="G4048">
        <v>-333.57560000000001</v>
      </c>
      <c r="H4048" s="1">
        <v>3.8847409999999998E-7</v>
      </c>
      <c r="I4048">
        <v>214.10169999999999</v>
      </c>
      <c r="J4048">
        <v>-370.24650000000003</v>
      </c>
      <c r="K4048">
        <v>1.109966</v>
      </c>
      <c r="L4048">
        <v>214.452</v>
      </c>
      <c r="M4048">
        <v>0.9995214</v>
      </c>
      <c r="N4048">
        <v>0</v>
      </c>
      <c r="O4048">
        <v>2.9323749999999999E-2</v>
      </c>
      <c r="P4048">
        <v>0.9931624</v>
      </c>
      <c r="Q4048">
        <v>0.1147526</v>
      </c>
      <c r="R4048">
        <v>-2.1458499999999998E-2</v>
      </c>
      <c r="S4048">
        <v>3.0299070000000001</v>
      </c>
      <c r="T4048">
        <v>-9.1139440000000002E-2</v>
      </c>
      <c r="U4048">
        <v>-2.8213499999999999E-2</v>
      </c>
      <c r="V4048">
        <v>5.058816E-2</v>
      </c>
      <c r="W4048">
        <v>0.1245208</v>
      </c>
      <c r="X4048">
        <v>0.99092659999999999</v>
      </c>
      <c r="Y4048">
        <v>3.8600450000000001E-2</v>
      </c>
      <c r="Z4048">
        <v>-1.462222E-3</v>
      </c>
      <c r="AA4048">
        <v>0.99925359999999996</v>
      </c>
      <c r="AB4048">
        <v>22</v>
      </c>
      <c r="AC4048">
        <v>36.670900000000003</v>
      </c>
      <c r="AD4048">
        <v>-1.1099656115259</v>
      </c>
      <c r="AE4048">
        <v>-0.350300000000004</v>
      </c>
      <c r="AF4048">
        <v>1.42422514052322</v>
      </c>
      <c r="AG4048">
        <v>-1.1099656115259</v>
      </c>
      <c r="AH4048">
        <v>36.611317022468903</v>
      </c>
      <c r="AI4048">
        <v>91.735224357068404</v>
      </c>
      <c r="AJ4048">
        <v>87.772247200191501</v>
      </c>
      <c r="AK4048">
        <v>36.655817751475603</v>
      </c>
      <c r="AL4048">
        <v>82.846916987973003</v>
      </c>
      <c r="AM4048">
        <v>87.0775091338528</v>
      </c>
      <c r="AN4048">
        <v>1.0000000590761899</v>
      </c>
    </row>
    <row r="4049" spans="1:40" x14ac:dyDescent="0.25">
      <c r="A4049" t="str">
        <f>"20190312172158194"</f>
        <v>20190312172158194</v>
      </c>
      <c r="B4049" t="str">
        <f>"1552382518184977"</f>
        <v>1552382518184977</v>
      </c>
      <c r="C4049" t="s">
        <v>40</v>
      </c>
      <c r="D4049">
        <v>3.15707</v>
      </c>
      <c r="E4049">
        <v>0.49661899999999998</v>
      </c>
      <c r="F4049" t="s">
        <v>46</v>
      </c>
      <c r="G4049">
        <v>-321.83170000000001</v>
      </c>
      <c r="H4049" s="1">
        <v>-5.6204999999999998E-7</v>
      </c>
      <c r="I4049">
        <v>213.9462</v>
      </c>
      <c r="J4049">
        <v>-370.02140000000003</v>
      </c>
      <c r="K4049">
        <v>1.1099619999999999</v>
      </c>
      <c r="L4049">
        <v>214.45849999999999</v>
      </c>
      <c r="M4049">
        <v>0.99952300000000005</v>
      </c>
      <c r="N4049">
        <v>0</v>
      </c>
      <c r="O4049">
        <v>2.927161E-2</v>
      </c>
      <c r="P4049">
        <v>0.99310589999999999</v>
      </c>
      <c r="Q4049">
        <v>0.11538669999999999</v>
      </c>
      <c r="R4049">
        <v>-2.0660850000000001E-2</v>
      </c>
      <c r="S4049">
        <v>3.0279240000000001</v>
      </c>
      <c r="T4049">
        <v>-6.9418670000000002E-2</v>
      </c>
      <c r="U4049">
        <v>-3.1631470000000002E-2</v>
      </c>
      <c r="V4049">
        <v>4.9737490000000002E-2</v>
      </c>
      <c r="W4049">
        <v>0.1251534</v>
      </c>
      <c r="X4049">
        <v>0.99088989999999999</v>
      </c>
      <c r="Y4049">
        <v>3.9694849999999997E-2</v>
      </c>
      <c r="Z4049">
        <v>-1.125919E-3</v>
      </c>
      <c r="AA4049">
        <v>0.99921119999999997</v>
      </c>
      <c r="AB4049">
        <v>22</v>
      </c>
      <c r="AC4049">
        <v>48.189700000000002</v>
      </c>
      <c r="AD4049">
        <v>-1.10996256205</v>
      </c>
      <c r="AE4049">
        <v>-0.51229999999998199</v>
      </c>
      <c r="AF4049">
        <v>1.9217195292573599</v>
      </c>
      <c r="AG4049">
        <v>-1.10996256205</v>
      </c>
      <c r="AH4049">
        <v>48.1285212415996</v>
      </c>
      <c r="AI4049">
        <v>91.320096446554601</v>
      </c>
      <c r="AJ4049">
        <v>87.713456457378101</v>
      </c>
      <c r="AK4049">
        <v>48.179659398353799</v>
      </c>
      <c r="AL4049">
        <v>82.810385426052903</v>
      </c>
      <c r="AM4049">
        <v>87.1264632484571</v>
      </c>
      <c r="AN4049">
        <v>0.99999999268253503</v>
      </c>
    </row>
    <row r="4050" spans="1:40" x14ac:dyDescent="0.25">
      <c r="A4050" t="str">
        <f>"20190312172158216"</f>
        <v>20190312172158216</v>
      </c>
      <c r="B4050" t="str">
        <f>"1552382518204502"</f>
        <v>1552382518204502</v>
      </c>
      <c r="C4050" t="s">
        <v>40</v>
      </c>
      <c r="D4050">
        <v>3.1491310000000001</v>
      </c>
      <c r="E4050">
        <v>0.49675370000000002</v>
      </c>
      <c r="F4050" t="s">
        <v>47</v>
      </c>
      <c r="G4050">
        <v>-310.20100000000002</v>
      </c>
      <c r="H4050" s="1">
        <v>9.9476699999999992E-7</v>
      </c>
      <c r="I4050">
        <v>213.8313</v>
      </c>
      <c r="J4050">
        <v>-369.81880000000001</v>
      </c>
      <c r="K4050">
        <v>1.1099619999999999</v>
      </c>
      <c r="L4050">
        <v>214.46440000000001</v>
      </c>
      <c r="M4050">
        <v>0.99952439999999998</v>
      </c>
      <c r="N4050">
        <v>0</v>
      </c>
      <c r="O4050">
        <v>2.9224759999999999E-2</v>
      </c>
      <c r="P4050">
        <v>0.99304599999999998</v>
      </c>
      <c r="Q4050">
        <v>0.11604829999999999</v>
      </c>
      <c r="R4050">
        <v>-1.981695E-2</v>
      </c>
      <c r="S4050">
        <v>3.0267029999999999</v>
      </c>
      <c r="T4050">
        <v>-5.6160090000000003E-2</v>
      </c>
      <c r="U4050">
        <v>-3.1738280000000001E-2</v>
      </c>
      <c r="V4050">
        <v>4.8845850000000003E-2</v>
      </c>
      <c r="W4050">
        <v>0.1258138</v>
      </c>
      <c r="X4050">
        <v>0.99085060000000003</v>
      </c>
      <c r="Y4050">
        <v>3.969375E-2</v>
      </c>
      <c r="Z4050">
        <v>-9.1040380000000001E-4</v>
      </c>
      <c r="AA4050">
        <v>0.99921150000000003</v>
      </c>
      <c r="AB4050">
        <v>22</v>
      </c>
      <c r="AC4050">
        <v>59.617800000000003</v>
      </c>
      <c r="AD4050">
        <v>-1.109961005233</v>
      </c>
      <c r="AE4050">
        <v>-0.63310000000001299</v>
      </c>
      <c r="AF4050">
        <v>2.3744069189012502</v>
      </c>
      <c r="AG4050">
        <v>-1.109961005233</v>
      </c>
      <c r="AH4050">
        <v>59.553189148708199</v>
      </c>
      <c r="AI4050">
        <v>91.066915971246402</v>
      </c>
      <c r="AJ4050">
        <v>87.716806119875102</v>
      </c>
      <c r="AK4050">
        <v>59.610839278032998</v>
      </c>
      <c r="AL4050">
        <v>82.772245663454697</v>
      </c>
      <c r="AM4050">
        <v>87.177781125192098</v>
      </c>
      <c r="AN4050">
        <v>0.99999997042651001</v>
      </c>
    </row>
    <row r="4051" spans="1:40" x14ac:dyDescent="0.25">
      <c r="A4051" t="str">
        <f>"20190312172158238"</f>
        <v>20190312172158238</v>
      </c>
      <c r="B4051" t="str">
        <f>"1552382518234754"</f>
        <v>1552382518234754</v>
      </c>
      <c r="C4051" t="s">
        <v>40</v>
      </c>
      <c r="D4051">
        <v>3.1624289999999999</v>
      </c>
      <c r="E4051">
        <v>0.49686730000000001</v>
      </c>
      <c r="F4051" t="s">
        <v>47</v>
      </c>
      <c r="G4051">
        <v>-301.83370000000002</v>
      </c>
      <c r="H4051" s="1">
        <v>2.327993E-6</v>
      </c>
      <c r="I4051">
        <v>213.77539999999999</v>
      </c>
      <c r="J4051">
        <v>-369.59480000000002</v>
      </c>
      <c r="K4051">
        <v>1.109964</v>
      </c>
      <c r="L4051">
        <v>214.4709</v>
      </c>
      <c r="M4051">
        <v>0.99952580000000002</v>
      </c>
      <c r="N4051">
        <v>0</v>
      </c>
      <c r="O4051">
        <v>2.9172969999999999E-2</v>
      </c>
      <c r="P4051">
        <v>0.9930968</v>
      </c>
      <c r="Q4051">
        <v>0.1157581</v>
      </c>
      <c r="R4051">
        <v>-1.894647E-2</v>
      </c>
      <c r="S4051">
        <v>3.026154</v>
      </c>
      <c r="T4051">
        <v>-4.9406529999999997E-2</v>
      </c>
      <c r="U4051">
        <v>-3.067017E-2</v>
      </c>
      <c r="V4051">
        <v>4.7925959999999997E-2</v>
      </c>
      <c r="W4051">
        <v>0.1255242</v>
      </c>
      <c r="X4051">
        <v>0.99093229999999999</v>
      </c>
      <c r="Y4051">
        <v>3.9293960000000003E-2</v>
      </c>
      <c r="Z4051">
        <v>-7.9697589999999999E-4</v>
      </c>
      <c r="AA4051">
        <v>0.99922739999999999</v>
      </c>
      <c r="AB4051">
        <v>22</v>
      </c>
      <c r="AC4051">
        <v>67.761099999999999</v>
      </c>
      <c r="AD4051">
        <v>-1.109961672007</v>
      </c>
      <c r="AE4051">
        <v>-0.695500000000009</v>
      </c>
      <c r="AF4051">
        <v>2.6713757705336398</v>
      </c>
      <c r="AG4051">
        <v>-1.109961672007</v>
      </c>
      <c r="AH4051">
        <v>67.693804047299807</v>
      </c>
      <c r="AI4051">
        <v>90.9386527114019</v>
      </c>
      <c r="AJ4051">
        <v>87.740130270613605</v>
      </c>
      <c r="AK4051">
        <v>67.755585524847604</v>
      </c>
      <c r="AL4051">
        <v>82.788971497086493</v>
      </c>
      <c r="AM4051">
        <v>87.231075027392905</v>
      </c>
      <c r="AN4051">
        <v>1.00000002280542</v>
      </c>
    </row>
    <row r="4052" spans="1:40" x14ac:dyDescent="0.25">
      <c r="A4052" t="str">
        <f>"20190312172158262"</f>
        <v>20190312172158262</v>
      </c>
      <c r="B4052" t="str">
        <f>"1552382518254273"</f>
        <v>1552382518254273</v>
      </c>
      <c r="C4052" t="s">
        <v>40</v>
      </c>
      <c r="D4052">
        <v>3.1531690000000001</v>
      </c>
      <c r="E4052">
        <v>0.49713499999999999</v>
      </c>
      <c r="F4052" t="s">
        <v>47</v>
      </c>
      <c r="G4052">
        <v>-296.39089999999999</v>
      </c>
      <c r="H4052" s="1">
        <v>2.0280439999999998E-6</v>
      </c>
      <c r="I4052">
        <v>213.7595</v>
      </c>
      <c r="J4052">
        <v>-369.36349999999999</v>
      </c>
      <c r="K4052">
        <v>1.109955</v>
      </c>
      <c r="L4052">
        <v>214.4776</v>
      </c>
      <c r="M4052">
        <v>0.99952739999999995</v>
      </c>
      <c r="N4052">
        <v>0</v>
      </c>
      <c r="O4052">
        <v>2.9119320000000001E-2</v>
      </c>
      <c r="P4052">
        <v>0.99313439999999997</v>
      </c>
      <c r="Q4052">
        <v>0.1154785</v>
      </c>
      <c r="R4052">
        <v>-1.867982E-2</v>
      </c>
      <c r="S4052">
        <v>3.0256349999999999</v>
      </c>
      <c r="T4052">
        <v>-4.5876500000000001E-2</v>
      </c>
      <c r="U4052">
        <v>-2.940369E-2</v>
      </c>
      <c r="V4052">
        <v>4.7607240000000002E-2</v>
      </c>
      <c r="W4052">
        <v>0.1252451</v>
      </c>
      <c r="X4052">
        <v>0.9909829</v>
      </c>
      <c r="Y4052">
        <v>3.8825159999999997E-2</v>
      </c>
      <c r="Z4052">
        <v>-7.3580059999999998E-4</v>
      </c>
      <c r="AA4052">
        <v>0.99924579999999996</v>
      </c>
      <c r="AB4052">
        <v>22</v>
      </c>
      <c r="AC4052">
        <v>72.9726</v>
      </c>
      <c r="AD4052">
        <v>-1.109952971956</v>
      </c>
      <c r="AE4052">
        <v>-0.71809999999999197</v>
      </c>
      <c r="AF4052">
        <v>2.8421535568898499</v>
      </c>
      <c r="AG4052">
        <v>-1.109952971956</v>
      </c>
      <c r="AH4052">
        <v>72.903875377709795</v>
      </c>
      <c r="AI4052">
        <v>90.871592167145906</v>
      </c>
      <c r="AJ4052">
        <v>87.767457765896907</v>
      </c>
      <c r="AK4052">
        <v>72.967697493682394</v>
      </c>
      <c r="AL4052">
        <v>82.805089398542506</v>
      </c>
      <c r="AM4052">
        <v>87.249600948506796</v>
      </c>
      <c r="AN4052">
        <v>0.99999994623341704</v>
      </c>
    </row>
    <row r="4053" spans="1:40" x14ac:dyDescent="0.25">
      <c r="A4053" t="str">
        <f>"20190312172158285"</f>
        <v>20190312172158285</v>
      </c>
      <c r="B4053" t="str">
        <f>"1552382518274770"</f>
        <v>1552382518274770</v>
      </c>
      <c r="C4053" t="s">
        <v>40</v>
      </c>
      <c r="D4053">
        <v>3.1736650000000002</v>
      </c>
      <c r="E4053">
        <v>0.49726710000000002</v>
      </c>
      <c r="F4053" t="s">
        <v>47</v>
      </c>
      <c r="G4053">
        <v>-296.37119999999999</v>
      </c>
      <c r="H4053" s="1">
        <v>2.0245529999999998E-6</v>
      </c>
      <c r="I4053">
        <v>213.7355</v>
      </c>
      <c r="J4053">
        <v>-369.1318</v>
      </c>
      <c r="K4053">
        <v>1.1099490000000001</v>
      </c>
      <c r="L4053">
        <v>214.48429999999999</v>
      </c>
      <c r="M4053">
        <v>0.99952890000000005</v>
      </c>
      <c r="N4053">
        <v>0</v>
      </c>
      <c r="O4053">
        <v>2.9065799999999999E-2</v>
      </c>
      <c r="P4053">
        <v>0.9931624</v>
      </c>
      <c r="Q4053">
        <v>0.11533939999999999</v>
      </c>
      <c r="R4053">
        <v>-1.8039969999999999E-2</v>
      </c>
      <c r="S4053">
        <v>3.0255130000000001</v>
      </c>
      <c r="T4053">
        <v>-4.6007279999999998E-2</v>
      </c>
      <c r="U4053">
        <v>-3.0761719999999999E-2</v>
      </c>
      <c r="V4053">
        <v>4.6915270000000002E-2</v>
      </c>
      <c r="W4053">
        <v>0.125107</v>
      </c>
      <c r="X4053">
        <v>0.99103339999999995</v>
      </c>
      <c r="Y4053">
        <v>3.9220430000000001E-2</v>
      </c>
      <c r="Z4053">
        <v>-7.40118E-4</v>
      </c>
      <c r="AA4053">
        <v>0.99923030000000002</v>
      </c>
      <c r="AB4053">
        <v>22</v>
      </c>
      <c r="AC4053">
        <v>72.760599999999997</v>
      </c>
      <c r="AD4053">
        <v>-1.1099469754469999</v>
      </c>
      <c r="AE4053">
        <v>-0.74879999999998803</v>
      </c>
      <c r="AF4053">
        <v>2.8627652740968199</v>
      </c>
      <c r="AG4053">
        <v>-1.1099469754469999</v>
      </c>
      <c r="AH4053">
        <v>72.691176107754799</v>
      </c>
      <c r="AI4053">
        <v>90.874123791143504</v>
      </c>
      <c r="AJ4053">
        <v>87.744710490694104</v>
      </c>
      <c r="AK4053">
        <v>72.755992820052199</v>
      </c>
      <c r="AL4053">
        <v>82.813065077938802</v>
      </c>
      <c r="AM4053">
        <v>87.2896557834259</v>
      </c>
      <c r="AN4053">
        <v>1.00000000196186</v>
      </c>
    </row>
    <row r="4054" spans="1:40" x14ac:dyDescent="0.25">
      <c r="A4054" t="str">
        <f>"20190312172158306"</f>
        <v>20190312172158306</v>
      </c>
      <c r="B4054" t="str">
        <f>"1552382518294293"</f>
        <v>1552382518294293</v>
      </c>
      <c r="C4054" t="s">
        <v>40</v>
      </c>
      <c r="D4054">
        <v>3.1591649999999998</v>
      </c>
      <c r="E4054">
        <v>0.4973689</v>
      </c>
      <c r="F4054" t="s">
        <v>47</v>
      </c>
      <c r="G4054">
        <v>-295.80369999999999</v>
      </c>
      <c r="H4054" s="1">
        <v>1.9238839999999999E-6</v>
      </c>
      <c r="I4054">
        <v>213.7569</v>
      </c>
      <c r="J4054">
        <v>-368.9273</v>
      </c>
      <c r="K4054">
        <v>1.1099429999999999</v>
      </c>
      <c r="L4054">
        <v>214.49029999999999</v>
      </c>
      <c r="M4054">
        <v>0.99953029999999998</v>
      </c>
      <c r="N4054">
        <v>0</v>
      </c>
      <c r="O4054">
        <v>2.901865E-2</v>
      </c>
      <c r="P4054">
        <v>0.99329440000000002</v>
      </c>
      <c r="Q4054">
        <v>0.1142097</v>
      </c>
      <c r="R4054">
        <v>-1.7958450000000001E-2</v>
      </c>
      <c r="S4054">
        <v>3.0254210000000001</v>
      </c>
      <c r="T4054">
        <v>-4.5794960000000003E-2</v>
      </c>
      <c r="U4054">
        <v>-3.0014039999999999E-2</v>
      </c>
      <c r="V4054">
        <v>4.6790810000000002E-2</v>
      </c>
      <c r="W4054">
        <v>0.12397859999999999</v>
      </c>
      <c r="X4054">
        <v>0.99118110000000004</v>
      </c>
      <c r="Y4054">
        <v>3.8926799999999998E-2</v>
      </c>
      <c r="Z4054">
        <v>-7.3379000000000001E-4</v>
      </c>
      <c r="AA4054">
        <v>0.99924179999999996</v>
      </c>
      <c r="AB4054">
        <v>22</v>
      </c>
      <c r="AC4054">
        <v>73.123599999999996</v>
      </c>
      <c r="AD4054">
        <v>-1.109941076116</v>
      </c>
      <c r="AE4054">
        <v>-0.73339999999998895</v>
      </c>
      <c r="AF4054">
        <v>2.8544846833586401</v>
      </c>
      <c r="AG4054">
        <v>-1.109941076116</v>
      </c>
      <c r="AH4054">
        <v>73.054688983815097</v>
      </c>
      <c r="AI4054">
        <v>90.869780821448401</v>
      </c>
      <c r="AJ4054">
        <v>87.762405509394</v>
      </c>
      <c r="AK4054">
        <v>73.118859636361506</v>
      </c>
      <c r="AL4054">
        <v>82.878225109648</v>
      </c>
      <c r="AM4054">
        <v>87.297237501219399</v>
      </c>
      <c r="AN4054">
        <v>1.0000000230778101</v>
      </c>
    </row>
    <row r="4055" spans="1:40" x14ac:dyDescent="0.25">
      <c r="A4055" t="str">
        <f>"20190312172158327"</f>
        <v>20190312172158327</v>
      </c>
      <c r="B4055" t="str">
        <f>"1552382518324545"</f>
        <v>1552382518324545</v>
      </c>
      <c r="C4055" t="s">
        <v>40</v>
      </c>
      <c r="D4055">
        <v>3.1620400000000002</v>
      </c>
      <c r="E4055">
        <v>0.49749159999999998</v>
      </c>
      <c r="F4055" t="s">
        <v>47</v>
      </c>
      <c r="G4055">
        <v>-300.48259999999999</v>
      </c>
      <c r="H4055" s="1">
        <v>2.5676519999999999E-6</v>
      </c>
      <c r="I4055">
        <v>213.7998</v>
      </c>
      <c r="J4055">
        <v>-368.71179999999998</v>
      </c>
      <c r="K4055">
        <v>1.109945</v>
      </c>
      <c r="L4055">
        <v>214.49639999999999</v>
      </c>
      <c r="M4055">
        <v>0.99953190000000003</v>
      </c>
      <c r="N4055">
        <v>0</v>
      </c>
      <c r="O4055">
        <v>2.8968649999999999E-2</v>
      </c>
      <c r="P4055">
        <v>0.99338879999999996</v>
      </c>
      <c r="Q4055">
        <v>0.1134346</v>
      </c>
      <c r="R4055">
        <v>-1.7648029999999999E-2</v>
      </c>
      <c r="S4055">
        <v>3.0253299999999999</v>
      </c>
      <c r="T4055">
        <v>-4.9060579999999999E-2</v>
      </c>
      <c r="U4055">
        <v>-3.0517579999999999E-2</v>
      </c>
      <c r="V4055">
        <v>4.6433500000000003E-2</v>
      </c>
      <c r="W4055">
        <v>0.12320349999999999</v>
      </c>
      <c r="X4055">
        <v>0.99129449999999997</v>
      </c>
      <c r="Y4055">
        <v>3.9042250000000001E-2</v>
      </c>
      <c r="Z4055">
        <v>-7.8625850000000003E-4</v>
      </c>
      <c r="AA4055">
        <v>0.99923720000000005</v>
      </c>
      <c r="AB4055">
        <v>22</v>
      </c>
      <c r="AC4055">
        <v>68.229199999999906</v>
      </c>
      <c r="AD4055">
        <v>-1.1099424323480001</v>
      </c>
      <c r="AE4055">
        <v>-0.69659999999998901</v>
      </c>
      <c r="AF4055">
        <v>2.67220399946468</v>
      </c>
      <c r="AG4055">
        <v>-1.1099424323480001</v>
      </c>
      <c r="AH4055">
        <v>68.162345493904695</v>
      </c>
      <c r="AI4055">
        <v>90.932194973560499</v>
      </c>
      <c r="AJ4055">
        <v>87.7549533356366</v>
      </c>
      <c r="AK4055">
        <v>68.223734796977396</v>
      </c>
      <c r="AL4055">
        <v>82.922977866385494</v>
      </c>
      <c r="AM4055">
        <v>87.3181528080991</v>
      </c>
      <c r="AN4055">
        <v>0.99999997903237403</v>
      </c>
    </row>
    <row r="4056" spans="1:40" x14ac:dyDescent="0.25">
      <c r="A4056" t="str">
        <f>"20190312172158350"</f>
        <v>20190312172158350</v>
      </c>
      <c r="B4056" t="str">
        <f>"1552382518345041"</f>
        <v>1552382518345041</v>
      </c>
      <c r="C4056" t="s">
        <v>40</v>
      </c>
      <c r="D4056">
        <v>3.1623489999999999</v>
      </c>
      <c r="E4056">
        <v>0.49752859999999999</v>
      </c>
      <c r="F4056" t="s">
        <v>47</v>
      </c>
      <c r="G4056">
        <v>-302.09190000000001</v>
      </c>
      <c r="H4056" s="1">
        <v>2.282188E-6</v>
      </c>
      <c r="I4056">
        <v>213.81870000000001</v>
      </c>
      <c r="J4056">
        <v>-368.4796</v>
      </c>
      <c r="K4056">
        <v>1.1099410000000001</v>
      </c>
      <c r="L4056">
        <v>214.50309999999999</v>
      </c>
      <c r="M4056">
        <v>0.99953349999999996</v>
      </c>
      <c r="N4056">
        <v>0</v>
      </c>
      <c r="O4056">
        <v>2.8914680000000002E-2</v>
      </c>
      <c r="P4056">
        <v>0.99353919999999996</v>
      </c>
      <c r="Q4056">
        <v>0.11214689999999999</v>
      </c>
      <c r="R4056">
        <v>-1.741475E-2</v>
      </c>
      <c r="S4056">
        <v>3.0251769999999998</v>
      </c>
      <c r="T4056">
        <v>-5.0401929999999998E-2</v>
      </c>
      <c r="U4056">
        <v>-3.0776979999999999E-2</v>
      </c>
      <c r="V4056">
        <v>4.6150829999999997E-2</v>
      </c>
      <c r="W4056">
        <v>0.12191059999999999</v>
      </c>
      <c r="X4056">
        <v>0.99146749999999995</v>
      </c>
      <c r="Y4056">
        <v>3.9073980000000001E-2</v>
      </c>
      <c r="Z4056">
        <v>-8.0715829999999998E-4</v>
      </c>
      <c r="AA4056">
        <v>0.99923600000000001</v>
      </c>
      <c r="AB4056">
        <v>22</v>
      </c>
      <c r="AC4056">
        <v>66.387699999999995</v>
      </c>
      <c r="AD4056">
        <v>-1.1099387178119999</v>
      </c>
      <c r="AE4056">
        <v>-0.68439999999998202</v>
      </c>
      <c r="AF4056">
        <v>2.6030582096800901</v>
      </c>
      <c r="AG4056">
        <v>-1.1099387178119999</v>
      </c>
      <c r="AH4056">
        <v>66.321612671111794</v>
      </c>
      <c r="AI4056">
        <v>90.958058044318506</v>
      </c>
      <c r="AJ4056">
        <v>87.752350567220404</v>
      </c>
      <c r="AK4056">
        <v>66.381956760080996</v>
      </c>
      <c r="AL4056">
        <v>82.997618050994404</v>
      </c>
      <c r="AM4056">
        <v>87.334919721894494</v>
      </c>
      <c r="AN4056">
        <v>0.99999994852914798</v>
      </c>
    </row>
    <row r="4057" spans="1:40" x14ac:dyDescent="0.25">
      <c r="A4057" t="str">
        <f>"20190312172158373"</f>
        <v>20190312172158373</v>
      </c>
      <c r="B4057" t="str">
        <f>"1552382518364561"</f>
        <v>1552382518364561</v>
      </c>
      <c r="C4057" t="s">
        <v>40</v>
      </c>
      <c r="D4057">
        <v>3.1735669999999998</v>
      </c>
      <c r="E4057">
        <v>0.49768079999999998</v>
      </c>
      <c r="F4057" t="s">
        <v>47</v>
      </c>
      <c r="G4057">
        <v>-306.4572</v>
      </c>
      <c r="H4057" s="1">
        <v>1.5078659999999999E-6</v>
      </c>
      <c r="I4057">
        <v>213.88399999999999</v>
      </c>
      <c r="J4057">
        <v>-368.2561</v>
      </c>
      <c r="K4057">
        <v>1.1099319999999999</v>
      </c>
      <c r="L4057">
        <v>214.50960000000001</v>
      </c>
      <c r="M4057">
        <v>0.99953499999999995</v>
      </c>
      <c r="N4057">
        <v>0</v>
      </c>
      <c r="O4057">
        <v>2.886275E-2</v>
      </c>
      <c r="P4057">
        <v>0.9936739</v>
      </c>
      <c r="Q4057">
        <v>0.1110454</v>
      </c>
      <c r="R4057">
        <v>-1.6764640000000001E-2</v>
      </c>
      <c r="S4057">
        <v>3.0251160000000001</v>
      </c>
      <c r="T4057">
        <v>-5.4136749999999997E-2</v>
      </c>
      <c r="U4057">
        <v>-3.0197140000000001E-2</v>
      </c>
      <c r="V4057">
        <v>4.5453300000000002E-2</v>
      </c>
      <c r="W4057">
        <v>0.1208016</v>
      </c>
      <c r="X4057">
        <v>0.9916355</v>
      </c>
      <c r="Y4057">
        <v>3.882936E-2</v>
      </c>
      <c r="Z4057">
        <v>-8.6386060000000003E-4</v>
      </c>
      <c r="AA4057">
        <v>0.99924550000000001</v>
      </c>
      <c r="AB4057">
        <v>22</v>
      </c>
      <c r="AC4057">
        <v>61.798900000000003</v>
      </c>
      <c r="AD4057">
        <v>-1.1099304921340001</v>
      </c>
      <c r="AE4057">
        <v>-0.62559999999999105</v>
      </c>
      <c r="AF4057">
        <v>2.4083350230512299</v>
      </c>
      <c r="AG4057">
        <v>-1.1099304921340001</v>
      </c>
      <c r="AH4057">
        <v>61.735181534845402</v>
      </c>
      <c r="AI4057">
        <v>91.029221281108804</v>
      </c>
      <c r="AJ4057">
        <v>87.765982139651598</v>
      </c>
      <c r="AK4057">
        <v>61.792108415403199</v>
      </c>
      <c r="AL4057">
        <v>83.061632541214394</v>
      </c>
      <c r="AM4057">
        <v>87.375587418715895</v>
      </c>
      <c r="AN4057">
        <v>0.99999999695184905</v>
      </c>
    </row>
    <row r="4058" spans="1:40" x14ac:dyDescent="0.25">
      <c r="A4058" t="str">
        <f>"20190312172158394"</f>
        <v>20190312172158394</v>
      </c>
      <c r="B4058" t="str">
        <f>"1552382518385058"</f>
        <v>1552382518385058</v>
      </c>
      <c r="C4058" t="s">
        <v>40</v>
      </c>
      <c r="D4058">
        <v>3.1470030000000002</v>
      </c>
      <c r="E4058">
        <v>0.49779790000000002</v>
      </c>
      <c r="F4058" t="s">
        <v>47</v>
      </c>
      <c r="G4058">
        <v>-310.77629999999999</v>
      </c>
      <c r="H4058" s="1">
        <v>1.249912E-6</v>
      </c>
      <c r="I4058">
        <v>213.94820000000001</v>
      </c>
      <c r="J4058">
        <v>-368.04039999999998</v>
      </c>
      <c r="K4058">
        <v>1.109928</v>
      </c>
      <c r="L4058">
        <v>214.51570000000001</v>
      </c>
      <c r="M4058">
        <v>0.99953650000000005</v>
      </c>
      <c r="N4058">
        <v>0</v>
      </c>
      <c r="O4058">
        <v>2.8812790000000001E-2</v>
      </c>
      <c r="P4058">
        <v>0.99381200000000003</v>
      </c>
      <c r="Q4058">
        <v>0.1098949</v>
      </c>
      <c r="R4058">
        <v>-1.6151169999999999E-2</v>
      </c>
      <c r="S4058">
        <v>3.0250849999999998</v>
      </c>
      <c r="T4058">
        <v>-5.8414220000000003E-2</v>
      </c>
      <c r="U4058">
        <v>-2.9541020000000001E-2</v>
      </c>
      <c r="V4058">
        <v>4.4794340000000002E-2</v>
      </c>
      <c r="W4058">
        <v>0.11964470000000001</v>
      </c>
      <c r="X4058">
        <v>0.99180570000000001</v>
      </c>
      <c r="Y4058">
        <v>3.8561079999999998E-2</v>
      </c>
      <c r="Z4058">
        <v>-9.2855930000000002E-4</v>
      </c>
      <c r="AA4058">
        <v>0.99925580000000003</v>
      </c>
      <c r="AB4058">
        <v>22</v>
      </c>
      <c r="AC4058">
        <v>57.2640999999999</v>
      </c>
      <c r="AD4058">
        <v>-1.1099267500879999</v>
      </c>
      <c r="AE4058">
        <v>-0.56749999999999501</v>
      </c>
      <c r="AF4058">
        <v>2.2164499530839299</v>
      </c>
      <c r="AG4058">
        <v>-1.1099267500879999</v>
      </c>
      <c r="AH4058">
        <v>57.202483053743798</v>
      </c>
      <c r="AI4058">
        <v>91.110764226651497</v>
      </c>
      <c r="AJ4058">
        <v>87.781045090015994</v>
      </c>
      <c r="AK4058">
        <v>57.2561669630349</v>
      </c>
      <c r="AL4058">
        <v>83.128402113097906</v>
      </c>
      <c r="AM4058">
        <v>87.414026082245002</v>
      </c>
      <c r="AN4058">
        <v>0.99999996684330705</v>
      </c>
    </row>
    <row r="4059" spans="1:40" x14ac:dyDescent="0.25">
      <c r="A4059" t="str">
        <f>"20190312172158417"</f>
        <v>20190312172158417</v>
      </c>
      <c r="B4059" t="str">
        <f>"1552382518404577"</f>
        <v>1552382518404577</v>
      </c>
      <c r="C4059" t="s">
        <v>40</v>
      </c>
      <c r="D4059">
        <v>3.1569989999999999</v>
      </c>
      <c r="E4059">
        <v>0.49796240000000003</v>
      </c>
      <c r="F4059" t="s">
        <v>47</v>
      </c>
      <c r="G4059">
        <v>-313.65969999999999</v>
      </c>
      <c r="H4059" s="1">
        <v>2.5285590000000002E-6</v>
      </c>
      <c r="I4059">
        <v>213.9931</v>
      </c>
      <c r="J4059">
        <v>-367.822</v>
      </c>
      <c r="K4059">
        <v>1.1099209999999999</v>
      </c>
      <c r="L4059">
        <v>214.52199999999999</v>
      </c>
      <c r="M4059">
        <v>0.99953809999999998</v>
      </c>
      <c r="N4059">
        <v>0</v>
      </c>
      <c r="O4059">
        <v>2.8761979999999999E-2</v>
      </c>
      <c r="P4059">
        <v>0.99389879999999997</v>
      </c>
      <c r="Q4059">
        <v>0.10909729999999999</v>
      </c>
      <c r="R4059">
        <v>-1.6217820000000001E-2</v>
      </c>
      <c r="S4059">
        <v>3.0250240000000002</v>
      </c>
      <c r="T4059">
        <v>-6.1741589999999999E-2</v>
      </c>
      <c r="U4059">
        <v>-2.9067989999999998E-2</v>
      </c>
      <c r="V4059">
        <v>4.4812879999999999E-2</v>
      </c>
      <c r="W4059">
        <v>0.1188408</v>
      </c>
      <c r="X4059">
        <v>0.99190149999999999</v>
      </c>
      <c r="Y4059">
        <v>3.8352820000000003E-2</v>
      </c>
      <c r="Z4059">
        <v>-9.782994000000001E-4</v>
      </c>
      <c r="AA4059">
        <v>0.99926380000000004</v>
      </c>
      <c r="AB4059">
        <v>22</v>
      </c>
      <c r="AC4059">
        <v>54.162299999999902</v>
      </c>
      <c r="AD4059">
        <v>-1.109918471441</v>
      </c>
      <c r="AE4059">
        <v>-0.52890000000002102</v>
      </c>
      <c r="AF4059">
        <v>2.0856954130779699</v>
      </c>
      <c r="AG4059">
        <v>-1.109918471441</v>
      </c>
      <c r="AH4059">
        <v>54.101959891484398</v>
      </c>
      <c r="AI4059">
        <v>91.174403678782994</v>
      </c>
      <c r="AJ4059">
        <v>87.792272283112894</v>
      </c>
      <c r="AK4059">
        <v>54.153523509270997</v>
      </c>
      <c r="AL4059">
        <v>83.174793125582099</v>
      </c>
      <c r="AM4059">
        <v>87.4132067460488</v>
      </c>
      <c r="AN4059">
        <v>0.99999995783039097</v>
      </c>
    </row>
    <row r="4060" spans="1:40" x14ac:dyDescent="0.25">
      <c r="A4060" t="str">
        <f>"20190312172158439"</f>
        <v>20190312172158439</v>
      </c>
      <c r="B4060" t="str">
        <f>"1552382518434834"</f>
        <v>1552382518434834</v>
      </c>
      <c r="C4060" t="s">
        <v>40</v>
      </c>
      <c r="D4060">
        <v>3.1562960000000002</v>
      </c>
      <c r="E4060">
        <v>0.49810169999999998</v>
      </c>
      <c r="F4060" t="s">
        <v>47</v>
      </c>
      <c r="G4060">
        <v>-316.01960000000003</v>
      </c>
      <c r="H4060" s="1">
        <v>3.5751049999999998E-6</v>
      </c>
      <c r="I4060">
        <v>213.99539999999999</v>
      </c>
      <c r="J4060">
        <v>-367.5951</v>
      </c>
      <c r="K4060">
        <v>1.10991</v>
      </c>
      <c r="L4060">
        <v>214.5284</v>
      </c>
      <c r="M4060">
        <v>0.99953959999999997</v>
      </c>
      <c r="N4060">
        <v>0</v>
      </c>
      <c r="O4060">
        <v>2.8709680000000001E-2</v>
      </c>
      <c r="P4060">
        <v>0.99396680000000004</v>
      </c>
      <c r="Q4060">
        <v>0.1084672</v>
      </c>
      <c r="R4060">
        <v>-1.626611E-2</v>
      </c>
      <c r="S4060">
        <v>3.024994</v>
      </c>
      <c r="T4060">
        <v>-6.4813490000000001E-2</v>
      </c>
      <c r="U4060">
        <v>-3.074646E-2</v>
      </c>
      <c r="V4060">
        <v>4.4811219999999999E-2</v>
      </c>
      <c r="W4060">
        <v>0.1182045</v>
      </c>
      <c r="X4060">
        <v>0.99197760000000001</v>
      </c>
      <c r="Y4060">
        <v>3.8853510000000001E-2</v>
      </c>
      <c r="Z4060">
        <v>-1.031215E-3</v>
      </c>
      <c r="AA4060">
        <v>0.99924440000000003</v>
      </c>
      <c r="AB4060">
        <v>22</v>
      </c>
      <c r="AC4060">
        <v>51.575499999999899</v>
      </c>
      <c r="AD4060">
        <v>-1.1099064248949999</v>
      </c>
      <c r="AE4060">
        <v>-0.53300000000001502</v>
      </c>
      <c r="AF4060">
        <v>2.01263573005438</v>
      </c>
      <c r="AG4060">
        <v>-1.1099064248949999</v>
      </c>
      <c r="AH4060">
        <v>51.5150804366721</v>
      </c>
      <c r="AI4060">
        <v>91.233321595500399</v>
      </c>
      <c r="AJ4060">
        <v>87.762656796852795</v>
      </c>
      <c r="AK4060">
        <v>51.566327261602702</v>
      </c>
      <c r="AL4060">
        <v>83.211509205732597</v>
      </c>
      <c r="AM4060">
        <v>87.413500608424101</v>
      </c>
      <c r="AN4060">
        <v>0.99999995407994802</v>
      </c>
    </row>
    <row r="4061" spans="1:40" x14ac:dyDescent="0.25">
      <c r="A4061" t="str">
        <f>"20190312172158464"</f>
        <v>20190312172158464</v>
      </c>
      <c r="B4061" t="str">
        <f>"1552382518454353"</f>
        <v>1552382518454353</v>
      </c>
      <c r="C4061" t="s">
        <v>40</v>
      </c>
      <c r="D4061">
        <v>3.1847919999999998</v>
      </c>
      <c r="E4061">
        <v>0.49811250000000001</v>
      </c>
      <c r="F4061" t="s">
        <v>47</v>
      </c>
      <c r="G4061">
        <v>-317.46129999999999</v>
      </c>
      <c r="H4061" s="1">
        <v>4.2144330000000001E-6</v>
      </c>
      <c r="I4061">
        <v>214.0042</v>
      </c>
      <c r="J4061">
        <v>-367.35559999999998</v>
      </c>
      <c r="K4061">
        <v>1.1099060000000001</v>
      </c>
      <c r="L4061">
        <v>214.5352</v>
      </c>
      <c r="M4061">
        <v>0.99954129999999997</v>
      </c>
      <c r="N4061">
        <v>0</v>
      </c>
      <c r="O4061">
        <v>2.8653870000000001E-2</v>
      </c>
      <c r="P4061">
        <v>0.99401810000000002</v>
      </c>
      <c r="Q4061">
        <v>0.10796500000000001</v>
      </c>
      <c r="R4061">
        <v>-1.6484059999999998E-2</v>
      </c>
      <c r="S4061">
        <v>3.024994</v>
      </c>
      <c r="T4061">
        <v>-6.6969989999999993E-2</v>
      </c>
      <c r="U4061">
        <v>-3.1631470000000002E-2</v>
      </c>
      <c r="V4061">
        <v>4.4974939999999998E-2</v>
      </c>
      <c r="W4061">
        <v>0.11769589999999901</v>
      </c>
      <c r="X4061">
        <v>0.99203070000000004</v>
      </c>
      <c r="Y4061">
        <v>3.9088930000000001E-2</v>
      </c>
      <c r="Z4061">
        <v>-1.0668870000000001E-3</v>
      </c>
      <c r="AA4061">
        <v>0.99923519999999999</v>
      </c>
      <c r="AB4061">
        <v>22</v>
      </c>
      <c r="AC4061">
        <v>49.894299999999902</v>
      </c>
      <c r="AD4061">
        <v>-1.1099017855669999</v>
      </c>
      <c r="AE4061">
        <v>-0.53100000000000502</v>
      </c>
      <c r="AF4061">
        <v>1.9595459083911999</v>
      </c>
      <c r="AG4061">
        <v>-1.1099017855669999</v>
      </c>
      <c r="AH4061">
        <v>49.833938001393001</v>
      </c>
      <c r="AI4061">
        <v>91.274896127484695</v>
      </c>
      <c r="AJ4061">
        <v>87.7482032675196</v>
      </c>
      <c r="AK4061">
        <v>49.884798073835803</v>
      </c>
      <c r="AL4061">
        <v>83.240854930075699</v>
      </c>
      <c r="AM4061">
        <v>87.404202370578901</v>
      </c>
      <c r="AN4061">
        <v>0.99999998992365102</v>
      </c>
    </row>
    <row r="4062" spans="1:40" x14ac:dyDescent="0.25">
      <c r="A4062" t="str">
        <f>"20190312172158485"</f>
        <v>20190312172158485</v>
      </c>
      <c r="B4062" t="str">
        <f>"1552382518474850"</f>
        <v>1552382518474850</v>
      </c>
      <c r="C4062" t="s">
        <v>40</v>
      </c>
      <c r="D4062">
        <v>3.1426630000000002</v>
      </c>
      <c r="E4062">
        <v>0.4982644</v>
      </c>
      <c r="F4062" t="s">
        <v>47</v>
      </c>
      <c r="G4062">
        <v>-317.26990000000001</v>
      </c>
      <c r="H4062" s="1">
        <v>4.1295370000000004E-6</v>
      </c>
      <c r="I4062">
        <v>213.99959999999999</v>
      </c>
      <c r="J4062">
        <v>-367.13249999999999</v>
      </c>
      <c r="K4062">
        <v>1.1099019999999999</v>
      </c>
      <c r="L4062">
        <v>214.54159999999999</v>
      </c>
      <c r="M4062">
        <v>0.99954279999999995</v>
      </c>
      <c r="N4062">
        <v>0</v>
      </c>
      <c r="O4062">
        <v>2.86024E-2</v>
      </c>
      <c r="P4062">
        <v>0.99407749999999995</v>
      </c>
      <c r="Q4062">
        <v>0.1072828</v>
      </c>
      <c r="R4062">
        <v>-1.7336290000000001E-2</v>
      </c>
      <c r="S4062">
        <v>3.0248110000000001</v>
      </c>
      <c r="T4062">
        <v>-6.7029950000000005E-2</v>
      </c>
      <c r="U4062">
        <v>-3.2348630000000003E-2</v>
      </c>
      <c r="V4062">
        <v>4.57773E-2</v>
      </c>
      <c r="W4062">
        <v>0.1170083</v>
      </c>
      <c r="X4062">
        <v>0.99207529999999999</v>
      </c>
      <c r="Y4062">
        <v>3.927493E-2</v>
      </c>
      <c r="Z4062">
        <v>-1.0688259999999999E-3</v>
      </c>
      <c r="AA4062">
        <v>0.99922789999999995</v>
      </c>
      <c r="AB4062">
        <v>22</v>
      </c>
      <c r="AC4062">
        <v>49.862599999999901</v>
      </c>
      <c r="AD4062">
        <v>-1.109897870463</v>
      </c>
      <c r="AE4062">
        <v>-0.54200000000000104</v>
      </c>
      <c r="AF4062">
        <v>1.96706228547491</v>
      </c>
      <c r="AG4062">
        <v>-1.109897870463</v>
      </c>
      <c r="AH4062">
        <v>49.802021964958897</v>
      </c>
      <c r="AI4062">
        <v>91.275699548756705</v>
      </c>
      <c r="AJ4062">
        <v>87.738127716596097</v>
      </c>
      <c r="AK4062">
        <v>49.853210519645003</v>
      </c>
      <c r="AL4062">
        <v>83.280525364167602</v>
      </c>
      <c r="AM4062">
        <v>87.358076585774199</v>
      </c>
      <c r="AN4062">
        <v>0.999999952167133</v>
      </c>
    </row>
    <row r="4063" spans="1:40" x14ac:dyDescent="0.25">
      <c r="A4063" t="str">
        <f>"20190312172158507"</f>
        <v>20190312172158507</v>
      </c>
      <c r="B4063" t="str">
        <f>"1552382518494370"</f>
        <v>1552382518494370</v>
      </c>
      <c r="C4063" t="s">
        <v>40</v>
      </c>
      <c r="D4063">
        <v>3.1445280000000002</v>
      </c>
      <c r="E4063">
        <v>0.49835400000000002</v>
      </c>
      <c r="F4063" t="s">
        <v>47</v>
      </c>
      <c r="G4063">
        <v>-318.91359999999997</v>
      </c>
      <c r="H4063" s="1">
        <v>4.8584620000000004E-6</v>
      </c>
      <c r="I4063">
        <v>213.95779999999999</v>
      </c>
      <c r="J4063">
        <v>-366.92070000000001</v>
      </c>
      <c r="K4063">
        <v>1.1099019999999999</v>
      </c>
      <c r="L4063">
        <v>214.54759999999999</v>
      </c>
      <c r="M4063">
        <v>0.99954430000000005</v>
      </c>
      <c r="N4063">
        <v>0</v>
      </c>
      <c r="O4063">
        <v>2.855326E-2</v>
      </c>
      <c r="P4063">
        <v>0.99404890000000001</v>
      </c>
      <c r="Q4063">
        <v>0.1073494</v>
      </c>
      <c r="R4063">
        <v>-1.8524200000000001E-2</v>
      </c>
      <c r="S4063">
        <v>3.0247799999999998</v>
      </c>
      <c r="T4063">
        <v>-6.9624069999999996E-2</v>
      </c>
      <c r="U4063">
        <v>-3.6621090000000002E-2</v>
      </c>
      <c r="V4063">
        <v>4.6915100000000001E-2</v>
      </c>
      <c r="W4063">
        <v>0.11706850000000001</v>
      </c>
      <c r="X4063">
        <v>0.99201510000000004</v>
      </c>
      <c r="Y4063">
        <v>4.063543E-2</v>
      </c>
      <c r="Z4063">
        <v>-1.1247099999999999E-3</v>
      </c>
      <c r="AA4063">
        <v>0.99917339999999999</v>
      </c>
      <c r="AB4063">
        <v>22</v>
      </c>
      <c r="AC4063">
        <v>48.007100000000001</v>
      </c>
      <c r="AD4063">
        <v>-1.1098971415379999</v>
      </c>
      <c r="AE4063">
        <v>-0.58979999999999599</v>
      </c>
      <c r="AF4063">
        <v>1.9593373184088201</v>
      </c>
      <c r="AG4063">
        <v>-1.1098971415379999</v>
      </c>
      <c r="AH4063">
        <v>47.945059620630097</v>
      </c>
      <c r="AI4063">
        <v>91.325017840809707</v>
      </c>
      <c r="AJ4063">
        <v>87.659835486782498</v>
      </c>
      <c r="AK4063">
        <v>47.9979126256328</v>
      </c>
      <c r="AL4063">
        <v>83.277052675964498</v>
      </c>
      <c r="AM4063">
        <v>87.292343748357993</v>
      </c>
      <c r="AN4063">
        <v>1.0000000094641299</v>
      </c>
    </row>
    <row r="4064" spans="1:40" x14ac:dyDescent="0.25">
      <c r="A4064" t="str">
        <f>"20190312172158529"</f>
        <v>20190312172158529</v>
      </c>
      <c r="B4064" t="str">
        <f>"1552382518524626"</f>
        <v>1552382518524626</v>
      </c>
      <c r="C4064" t="s">
        <v>40</v>
      </c>
      <c r="D4064">
        <v>3.1325400000000001</v>
      </c>
      <c r="E4064">
        <v>0.4985194</v>
      </c>
      <c r="F4064" t="s">
        <v>47</v>
      </c>
      <c r="G4064">
        <v>-317.81659999999999</v>
      </c>
      <c r="H4064" s="1">
        <v>4.3719810000000003E-6</v>
      </c>
      <c r="I4064">
        <v>213.8809</v>
      </c>
      <c r="J4064">
        <v>-366.69600000000003</v>
      </c>
      <c r="K4064">
        <v>1.1099000000000001</v>
      </c>
      <c r="L4064">
        <v>214.5539</v>
      </c>
      <c r="M4064">
        <v>0.99954589999999999</v>
      </c>
      <c r="N4064">
        <v>0</v>
      </c>
      <c r="O4064">
        <v>2.850128E-2</v>
      </c>
      <c r="P4064">
        <v>0.99402210000000002</v>
      </c>
      <c r="Q4064">
        <v>0.1075735</v>
      </c>
      <c r="R4064">
        <v>-1.8654110000000002E-2</v>
      </c>
      <c r="S4064">
        <v>3.024597</v>
      </c>
      <c r="T4064">
        <v>-6.836486E-2</v>
      </c>
      <c r="U4064">
        <v>-4.1061399999999998E-2</v>
      </c>
      <c r="V4064">
        <v>4.6992630000000001E-2</v>
      </c>
      <c r="W4064">
        <v>0.1172816</v>
      </c>
      <c r="X4064">
        <v>0.99198629999999999</v>
      </c>
      <c r="Y4064">
        <v>4.2051070000000003E-2</v>
      </c>
      <c r="Z4064">
        <v>-1.119255E-3</v>
      </c>
      <c r="AA4064">
        <v>0.99911479999999997</v>
      </c>
      <c r="AB4064">
        <v>23</v>
      </c>
      <c r="AC4064">
        <v>48.879399999999897</v>
      </c>
      <c r="AD4064">
        <v>-1.109895628019</v>
      </c>
      <c r="AE4064">
        <v>-0.67300000000000104</v>
      </c>
      <c r="AF4064">
        <v>2.0648542465967399</v>
      </c>
      <c r="AG4064">
        <v>-1.109895628019</v>
      </c>
      <c r="AH4064">
        <v>48.815194534823704</v>
      </c>
      <c r="AI4064">
        <v>91.301328317749395</v>
      </c>
      <c r="AJ4064">
        <v>87.577865861989906</v>
      </c>
      <c r="AK4064">
        <v>48.871450856685897</v>
      </c>
      <c r="AL4064">
        <v>83.264758528063794</v>
      </c>
      <c r="AM4064">
        <v>87.287797237816704</v>
      </c>
      <c r="AN4064">
        <v>1.0000000501802799</v>
      </c>
    </row>
    <row r="4065" spans="1:40" x14ac:dyDescent="0.25">
      <c r="A4065" t="str">
        <f>"20190312172158551"</f>
        <v>20190312172158551</v>
      </c>
      <c r="B4065" t="str">
        <f>"1552382518545122"</f>
        <v>1552382518545122</v>
      </c>
      <c r="C4065" t="s">
        <v>40</v>
      </c>
      <c r="D4065">
        <v>3.1505540000000001</v>
      </c>
      <c r="E4065">
        <v>0.49867549999999999</v>
      </c>
      <c r="F4065" t="s">
        <v>47</v>
      </c>
      <c r="G4065">
        <v>-316.6241</v>
      </c>
      <c r="H4065" s="1">
        <v>3.8431599999999996E-6</v>
      </c>
      <c r="I4065">
        <v>213.84129999999999</v>
      </c>
      <c r="J4065">
        <v>-366.46199999999999</v>
      </c>
      <c r="K4065">
        <v>1.1098980000000001</v>
      </c>
      <c r="L4065">
        <v>214.56049999999999</v>
      </c>
      <c r="M4065">
        <v>0.99954759999999998</v>
      </c>
      <c r="N4065">
        <v>0</v>
      </c>
      <c r="O4065">
        <v>2.8447050000000002E-2</v>
      </c>
      <c r="P4065">
        <v>0.994004</v>
      </c>
      <c r="Q4065">
        <v>0.1076313</v>
      </c>
      <c r="R4065">
        <v>-1.9279879999999999E-2</v>
      </c>
      <c r="S4065">
        <v>3.0244749999999998</v>
      </c>
      <c r="T4065">
        <v>-6.7040680000000005E-2</v>
      </c>
      <c r="U4065">
        <v>-4.304504E-2</v>
      </c>
      <c r="V4065">
        <v>4.7563670000000002E-2</v>
      </c>
      <c r="W4065">
        <v>0.1173247</v>
      </c>
      <c r="X4065">
        <v>0.991954</v>
      </c>
      <c r="Y4065">
        <v>4.2653110000000001E-2</v>
      </c>
      <c r="Z4065">
        <v>-1.1030910000000001E-3</v>
      </c>
      <c r="AA4065">
        <v>0.99908940000000002</v>
      </c>
      <c r="AB4065">
        <v>23</v>
      </c>
      <c r="AC4065">
        <v>49.837899999999898</v>
      </c>
      <c r="AD4065">
        <v>-1.10989415684</v>
      </c>
      <c r="AE4065">
        <v>-0.71919999999999995</v>
      </c>
      <c r="AF4065">
        <v>2.13565877546788</v>
      </c>
      <c r="AG4065">
        <v>-1.10989415684</v>
      </c>
      <c r="AH4065">
        <v>49.7725887193779</v>
      </c>
      <c r="AI4065">
        <v>91.276270416386197</v>
      </c>
      <c r="AJ4065">
        <v>87.543040770853196</v>
      </c>
      <c r="AK4065">
        <v>49.830748451864203</v>
      </c>
      <c r="AL4065">
        <v>83.262271999828997</v>
      </c>
      <c r="AM4065">
        <v>87.254800244834996</v>
      </c>
      <c r="AN4065">
        <v>1.0000000630249699</v>
      </c>
    </row>
    <row r="4066" spans="1:40" x14ac:dyDescent="0.25">
      <c r="A4066" t="str">
        <f>"20190312172158565"</f>
        <v>20190312172158565</v>
      </c>
      <c r="B4066" t="str">
        <f>"1552382518554882"</f>
        <v>1552382518554882</v>
      </c>
      <c r="C4066" t="s">
        <v>40</v>
      </c>
      <c r="D4066">
        <v>3.1475740000000001</v>
      </c>
      <c r="E4066">
        <v>0.49873830000000002</v>
      </c>
      <c r="F4066" t="s">
        <v>47</v>
      </c>
      <c r="G4066">
        <v>-316.13189999999997</v>
      </c>
      <c r="H4066" s="1">
        <v>3.6248890000000001E-6</v>
      </c>
      <c r="I4066">
        <v>213.79339999999999</v>
      </c>
      <c r="J4066">
        <v>-366.32679999999999</v>
      </c>
      <c r="K4066">
        <v>1.1098920000000001</v>
      </c>
      <c r="L4066">
        <v>214.56440000000001</v>
      </c>
      <c r="M4066">
        <v>0.99954860000000001</v>
      </c>
      <c r="N4066">
        <v>0</v>
      </c>
      <c r="O4066">
        <v>2.841598E-2</v>
      </c>
      <c r="P4066">
        <v>0.99399669999999896</v>
      </c>
      <c r="Q4066">
        <v>0.1076898</v>
      </c>
      <c r="R4066">
        <v>-1.932329E-2</v>
      </c>
      <c r="S4066">
        <v>3.0244140000000002</v>
      </c>
      <c r="T4066">
        <v>-6.6695329999999997E-2</v>
      </c>
      <c r="U4066">
        <v>-4.60968E-2</v>
      </c>
      <c r="V4066">
        <v>4.7576210000000001E-2</v>
      </c>
      <c r="W4066">
        <v>0.1173758</v>
      </c>
      <c r="X4066">
        <v>0.99194729999999998</v>
      </c>
      <c r="Y4066">
        <v>4.3630160000000001E-2</v>
      </c>
      <c r="Z4066">
        <v>-1.1075130000000001E-3</v>
      </c>
      <c r="AA4066">
        <v>0.99904720000000002</v>
      </c>
      <c r="AB4066">
        <v>23</v>
      </c>
      <c r="AC4066">
        <v>50.194899999999997</v>
      </c>
      <c r="AD4066">
        <v>-1.109888375111</v>
      </c>
      <c r="AE4066">
        <v>-0.77100000000001501</v>
      </c>
      <c r="AF4066">
        <v>2.1960203215129801</v>
      </c>
      <c r="AG4066">
        <v>-1.109888375111</v>
      </c>
      <c r="AH4066">
        <v>50.128215832827699</v>
      </c>
      <c r="AI4066">
        <v>91.267163145724595</v>
      </c>
      <c r="AJ4066">
        <v>87.491586407556795</v>
      </c>
      <c r="AK4066">
        <v>50.188568220664202</v>
      </c>
      <c r="AL4066">
        <v>83.259323456928897</v>
      </c>
      <c r="AM4066">
        <v>87.254059071190596</v>
      </c>
      <c r="AN4066">
        <v>1.00000001008044</v>
      </c>
    </row>
    <row r="4067" spans="1:40" x14ac:dyDescent="0.25">
      <c r="A4067" t="str">
        <f>"20190312172158585"</f>
        <v>20190312172158585</v>
      </c>
      <c r="B4067" t="str">
        <f>"1552382518574405"</f>
        <v>1552382518574405</v>
      </c>
      <c r="C4067" t="s">
        <v>40</v>
      </c>
      <c r="D4067">
        <v>3.166064</v>
      </c>
      <c r="E4067">
        <v>0.49880029999999997</v>
      </c>
      <c r="F4067" t="s">
        <v>47</v>
      </c>
      <c r="G4067">
        <v>-315.8261</v>
      </c>
      <c r="H4067" s="1">
        <v>3.4892929999999998E-6</v>
      </c>
      <c r="I4067">
        <v>213.78649999999999</v>
      </c>
      <c r="J4067">
        <v>-366.12139999999999</v>
      </c>
      <c r="K4067">
        <v>1.109888</v>
      </c>
      <c r="L4067">
        <v>214.5701</v>
      </c>
      <c r="M4067">
        <v>0.99955000000000005</v>
      </c>
      <c r="N4067">
        <v>0</v>
      </c>
      <c r="O4067">
        <v>2.8368350000000001E-2</v>
      </c>
      <c r="P4067">
        <v>0.99391750000000001</v>
      </c>
      <c r="Q4067">
        <v>0.1083562</v>
      </c>
      <c r="R4067">
        <v>-1.967501E-2</v>
      </c>
      <c r="S4067">
        <v>3.024384</v>
      </c>
      <c r="T4067">
        <v>-6.6468949999999999E-2</v>
      </c>
      <c r="U4067">
        <v>-4.6585080000000001E-2</v>
      </c>
      <c r="V4067">
        <v>4.7878280000000002E-2</v>
      </c>
      <c r="W4067">
        <v>0.1180312</v>
      </c>
      <c r="X4067">
        <v>0.99185500000000004</v>
      </c>
      <c r="Y4067">
        <v>4.3744060000000001E-2</v>
      </c>
      <c r="Z4067">
        <v>-1.103969E-3</v>
      </c>
      <c r="AA4067">
        <v>0.99904219999999999</v>
      </c>
      <c r="AB4067">
        <v>23</v>
      </c>
      <c r="AC4067">
        <v>50.295299999999997</v>
      </c>
      <c r="AD4067">
        <v>-1.1098845107069999</v>
      </c>
      <c r="AE4067">
        <v>-0.78360000000000696</v>
      </c>
      <c r="AF4067">
        <v>2.2090715890647599</v>
      </c>
      <c r="AG4067">
        <v>-1.1098845107069999</v>
      </c>
      <c r="AH4067">
        <v>50.228371907846999</v>
      </c>
      <c r="AI4067">
        <v>91.264623271220501</v>
      </c>
      <c r="AJ4067">
        <v>87.4817227692632</v>
      </c>
      <c r="AK4067">
        <v>50.2891756288141</v>
      </c>
      <c r="AL4067">
        <v>83.221508996019196</v>
      </c>
      <c r="AM4067">
        <v>87.236394778951507</v>
      </c>
      <c r="AN4067">
        <v>1.00000001744709</v>
      </c>
    </row>
    <row r="4068" spans="1:40" x14ac:dyDescent="0.25">
      <c r="A4068" t="str">
        <f>"20190312172158607"</f>
        <v>20190312172158607</v>
      </c>
      <c r="B4068" t="str">
        <f>"1552382518594898"</f>
        <v>1552382518594898</v>
      </c>
      <c r="C4068" t="s">
        <v>40</v>
      </c>
      <c r="D4068">
        <v>3.149524</v>
      </c>
      <c r="E4068">
        <v>0.49887989999999999</v>
      </c>
      <c r="F4068" t="s">
        <v>47</v>
      </c>
      <c r="G4068">
        <v>-313.49130000000002</v>
      </c>
      <c r="H4068" s="1">
        <v>2.4538999999999999E-6</v>
      </c>
      <c r="I4068">
        <v>213.72919999999999</v>
      </c>
      <c r="J4068">
        <v>-365.90390000000002</v>
      </c>
      <c r="K4068">
        <v>1.1098790000000001</v>
      </c>
      <c r="L4068">
        <v>214.5762</v>
      </c>
      <c r="M4068">
        <v>0.99955159999999998</v>
      </c>
      <c r="N4068">
        <v>0</v>
      </c>
      <c r="O4068">
        <v>2.8317910000000002E-2</v>
      </c>
      <c r="P4068">
        <v>0.9939557</v>
      </c>
      <c r="Q4068">
        <v>0.1079915</v>
      </c>
      <c r="R4068">
        <v>-1.975507E-2</v>
      </c>
      <c r="S4068">
        <v>3.024384</v>
      </c>
      <c r="T4068">
        <v>-6.3779470000000005E-2</v>
      </c>
      <c r="U4068">
        <v>-4.8324579999999999E-2</v>
      </c>
      <c r="V4068">
        <v>4.7909029999999998E-2</v>
      </c>
      <c r="W4068">
        <v>0.1176571</v>
      </c>
      <c r="X4068">
        <v>0.9918979</v>
      </c>
      <c r="Y4068">
        <v>4.4269379999999997E-2</v>
      </c>
      <c r="Z4068">
        <v>-1.0637820000000001E-3</v>
      </c>
      <c r="AA4068">
        <v>0.99901910000000005</v>
      </c>
      <c r="AB4068">
        <v>23</v>
      </c>
      <c r="AC4068">
        <v>52.412599999999998</v>
      </c>
      <c r="AD4068">
        <v>-1.1098765461</v>
      </c>
      <c r="AE4068">
        <v>-0.84700000000000797</v>
      </c>
      <c r="AF4068">
        <v>2.3299013771513799</v>
      </c>
      <c r="AG4068">
        <v>-1.1098765461</v>
      </c>
      <c r="AH4068">
        <v>52.344126806305503</v>
      </c>
      <c r="AI4068">
        <v>91.213485543226099</v>
      </c>
      <c r="AJ4068">
        <v>87.451376743335203</v>
      </c>
      <c r="AK4068">
        <v>52.407708187722001</v>
      </c>
      <c r="AL4068">
        <v>83.243093331320296</v>
      </c>
      <c r="AM4068">
        <v>87.234742015815897</v>
      </c>
      <c r="AN4068">
        <v>0.99999995618017901</v>
      </c>
    </row>
    <row r="4069" spans="1:40" x14ac:dyDescent="0.25">
      <c r="A4069" t="str">
        <f>"20190312172158631"</f>
        <v>20190312172158631</v>
      </c>
      <c r="B4069" t="str">
        <f>"1552382518625154"</f>
        <v>1552382518625154</v>
      </c>
      <c r="C4069" t="s">
        <v>40</v>
      </c>
      <c r="D4069">
        <v>3.2668140000000001</v>
      </c>
      <c r="E4069">
        <v>0.49899100000000002</v>
      </c>
      <c r="F4069" t="s">
        <v>47</v>
      </c>
      <c r="G4069">
        <v>-314.01909999999998</v>
      </c>
      <c r="H4069" s="1">
        <v>2.6879710000000002E-6</v>
      </c>
      <c r="I4069">
        <v>213.73670000000001</v>
      </c>
      <c r="J4069">
        <v>-365.65350000000001</v>
      </c>
      <c r="K4069">
        <v>1.1098749999999999</v>
      </c>
      <c r="L4069">
        <v>214.58330000000001</v>
      </c>
      <c r="M4069">
        <v>0.99955340000000004</v>
      </c>
      <c r="N4069">
        <v>0</v>
      </c>
      <c r="O4069">
        <v>2.8259920000000001E-2</v>
      </c>
      <c r="P4069">
        <v>0.99396470000000003</v>
      </c>
      <c r="Q4069">
        <v>0.1078995</v>
      </c>
      <c r="R4069">
        <v>-1.979713E-2</v>
      </c>
      <c r="S4069">
        <v>3.0243229999999999</v>
      </c>
      <c r="T4069">
        <v>-6.4693810000000004E-2</v>
      </c>
      <c r="U4069">
        <v>-4.8934940000000003E-2</v>
      </c>
      <c r="V4069">
        <v>4.7893989999999997E-2</v>
      </c>
      <c r="W4069">
        <v>0.1175524</v>
      </c>
      <c r="X4069">
        <v>0.99191110000000005</v>
      </c>
      <c r="Y4069">
        <v>4.4412819999999999E-2</v>
      </c>
      <c r="Z4069">
        <v>-1.079343E-3</v>
      </c>
      <c r="AA4069">
        <v>0.99901269999999998</v>
      </c>
      <c r="AB4069">
        <v>23</v>
      </c>
      <c r="AC4069">
        <v>51.634399999999999</v>
      </c>
      <c r="AD4069">
        <v>-1.1098723120289999</v>
      </c>
      <c r="AE4069">
        <v>-0.84659999999999502</v>
      </c>
      <c r="AF4069">
        <v>2.3044502854751001</v>
      </c>
      <c r="AG4069">
        <v>-1.1098723120289999</v>
      </c>
      <c r="AH4069">
        <v>51.566031227867001</v>
      </c>
      <c r="AI4069">
        <v>91.231776138540397</v>
      </c>
      <c r="AJ4069">
        <v>87.441193745252903</v>
      </c>
      <c r="AK4069">
        <v>51.629428471178997</v>
      </c>
      <c r="AL4069">
        <v>83.249134523292696</v>
      </c>
      <c r="AM4069">
        <v>87.235645492233402</v>
      </c>
      <c r="AN4069">
        <v>1.00000001566354</v>
      </c>
    </row>
    <row r="4070" spans="1:40" x14ac:dyDescent="0.25">
      <c r="A4070" t="str">
        <f>"20190312172158644"</f>
        <v>20190312172158644</v>
      </c>
      <c r="B4070" t="str">
        <f>"1552382518634915"</f>
        <v>1552382518634915</v>
      </c>
      <c r="C4070" t="s">
        <v>40</v>
      </c>
      <c r="D4070">
        <v>3.1670669999999999</v>
      </c>
      <c r="E4070">
        <v>0.49903829999999999</v>
      </c>
      <c r="F4070" t="s">
        <v>47</v>
      </c>
      <c r="G4070">
        <v>-313.65690000000001</v>
      </c>
      <c r="H4070" s="1">
        <v>2.527311E-6</v>
      </c>
      <c r="I4070">
        <v>213.72800000000001</v>
      </c>
      <c r="J4070">
        <v>-365.5188</v>
      </c>
      <c r="K4070">
        <v>1.109877</v>
      </c>
      <c r="L4070">
        <v>214.58709999999999</v>
      </c>
      <c r="M4070">
        <v>0.99955419999999995</v>
      </c>
      <c r="N4070">
        <v>0</v>
      </c>
      <c r="O4070">
        <v>2.8229089999999998E-2</v>
      </c>
      <c r="P4070">
        <v>0.9939829</v>
      </c>
      <c r="Q4070">
        <v>0.1077427</v>
      </c>
      <c r="R4070">
        <v>-1.9746799999999998E-2</v>
      </c>
      <c r="S4070">
        <v>3.0242610000000001</v>
      </c>
      <c r="T4070">
        <v>-6.4553139999999995E-2</v>
      </c>
      <c r="U4070">
        <v>-4.974365E-2</v>
      </c>
      <c r="V4070">
        <v>4.7813199999999903E-2</v>
      </c>
      <c r="W4070">
        <v>0.1173867</v>
      </c>
      <c r="X4070">
        <v>0.9919346</v>
      </c>
      <c r="Y4070">
        <v>4.4649429999999997E-2</v>
      </c>
      <c r="Z4070">
        <v>-1.0788830000000001E-3</v>
      </c>
      <c r="AA4070">
        <v>0.99900219999999995</v>
      </c>
      <c r="AB4070">
        <v>23</v>
      </c>
      <c r="AC4070">
        <v>51.861899999999899</v>
      </c>
      <c r="AD4070">
        <v>-1.109874472689</v>
      </c>
      <c r="AE4070">
        <v>-0.85910000000001197</v>
      </c>
      <c r="AF4070">
        <v>2.3217779887827801</v>
      </c>
      <c r="AG4070">
        <v>-1.109874472689</v>
      </c>
      <c r="AH4070">
        <v>51.793263265308397</v>
      </c>
      <c r="AI4070">
        <v>91.226368436578994</v>
      </c>
      <c r="AJ4070">
        <v>87.433274704342196</v>
      </c>
      <c r="AK4070">
        <v>51.857155668662202</v>
      </c>
      <c r="AL4070">
        <v>83.258694483736804</v>
      </c>
      <c r="AM4070">
        <v>87.2403666093754</v>
      </c>
      <c r="AN4070">
        <v>0.99999999505414405</v>
      </c>
    </row>
    <row r="4071" spans="1:40" x14ac:dyDescent="0.25">
      <c r="A4071" t="str">
        <f>"20190312172158665"</f>
        <v>20190312172158665</v>
      </c>
      <c r="B4071" t="str">
        <f>"1552382518654433"</f>
        <v>1552382518654433</v>
      </c>
      <c r="C4071" t="s">
        <v>40</v>
      </c>
      <c r="D4071">
        <v>3.1814589999999998</v>
      </c>
      <c r="E4071">
        <v>0.49911509999999998</v>
      </c>
      <c r="F4071" t="s">
        <v>47</v>
      </c>
      <c r="G4071">
        <v>-313.68639999999999</v>
      </c>
      <c r="H4071" s="1">
        <v>2.5404229999999999E-6</v>
      </c>
      <c r="I4071">
        <v>213.7261</v>
      </c>
      <c r="J4071">
        <v>-365.31229999999999</v>
      </c>
      <c r="K4071">
        <v>1.109872</v>
      </c>
      <c r="L4071">
        <v>214.59280000000001</v>
      </c>
      <c r="M4071">
        <v>0.99955579999999999</v>
      </c>
      <c r="N4071">
        <v>0</v>
      </c>
      <c r="O4071">
        <v>2.8181129999999999E-2</v>
      </c>
      <c r="P4071">
        <v>0.99400189999999999</v>
      </c>
      <c r="Q4071">
        <v>0.1075665</v>
      </c>
      <c r="R4071">
        <v>-1.9751060000000001E-2</v>
      </c>
      <c r="S4071">
        <v>3.0241699999999998</v>
      </c>
      <c r="T4071">
        <v>-6.4755800000000002E-2</v>
      </c>
      <c r="U4071">
        <v>-5.0231930000000001E-2</v>
      </c>
      <c r="V4071">
        <v>4.7770590000000002E-2</v>
      </c>
      <c r="W4071">
        <v>0.1171949</v>
      </c>
      <c r="X4071">
        <v>0.99195929999999999</v>
      </c>
      <c r="Y4071">
        <v>4.4763120000000003E-2</v>
      </c>
      <c r="Z4071">
        <v>-1.0824910000000001E-3</v>
      </c>
      <c r="AA4071">
        <v>0.99899700000000002</v>
      </c>
      <c r="AB4071">
        <v>23</v>
      </c>
      <c r="AC4071">
        <v>51.625900000000001</v>
      </c>
      <c r="AD4071">
        <v>-1.109869459577</v>
      </c>
      <c r="AE4071">
        <v>-0.86670000000000802</v>
      </c>
      <c r="AF4071">
        <v>2.32022829118005</v>
      </c>
      <c r="AG4071">
        <v>-1.109869459577</v>
      </c>
      <c r="AH4071">
        <v>51.557146413989202</v>
      </c>
      <c r="AI4071">
        <v>91.231967885762003</v>
      </c>
      <c r="AJ4071">
        <v>87.423254377159594</v>
      </c>
      <c r="AK4071">
        <v>51.621261277636499</v>
      </c>
      <c r="AL4071">
        <v>83.269759979815305</v>
      </c>
      <c r="AM4071">
        <v>87.242890681527896</v>
      </c>
      <c r="AN4071">
        <v>0.99999996335572305</v>
      </c>
    </row>
    <row r="4072" spans="1:40" x14ac:dyDescent="0.25">
      <c r="A4072" t="str">
        <f>"20190312172158687"</f>
        <v>20190312172158687</v>
      </c>
      <c r="B4072" t="str">
        <f>"1552382518674929"</f>
        <v>1552382518674929</v>
      </c>
      <c r="C4072" t="s">
        <v>40</v>
      </c>
      <c r="D4072">
        <v>3.163046</v>
      </c>
      <c r="E4072">
        <v>0.4991602</v>
      </c>
      <c r="F4072" t="s">
        <v>47</v>
      </c>
      <c r="G4072">
        <v>-313.45650000000001</v>
      </c>
      <c r="H4072" s="1">
        <v>2.4384490000000001E-6</v>
      </c>
      <c r="I4072">
        <v>213.7208</v>
      </c>
      <c r="J4072">
        <v>-365.08760000000001</v>
      </c>
      <c r="K4072">
        <v>1.1098669999999999</v>
      </c>
      <c r="L4072">
        <v>214.59909999999999</v>
      </c>
      <c r="M4072">
        <v>0.99955740000000004</v>
      </c>
      <c r="N4072">
        <v>0</v>
      </c>
      <c r="O4072">
        <v>2.8129189999999998E-2</v>
      </c>
      <c r="P4072">
        <v>0.9940561</v>
      </c>
      <c r="Q4072">
        <v>0.10704180000000001</v>
      </c>
      <c r="R4072">
        <v>-1.9875500000000001E-2</v>
      </c>
      <c r="S4072">
        <v>3.0241090000000002</v>
      </c>
      <c r="T4072">
        <v>-6.4724920000000005E-2</v>
      </c>
      <c r="U4072">
        <v>-5.085754E-2</v>
      </c>
      <c r="V4072">
        <v>4.7844780000000003E-2</v>
      </c>
      <c r="W4072">
        <v>0.1166527</v>
      </c>
      <c r="X4072">
        <v>0.99201969999999995</v>
      </c>
      <c r="Y4072">
        <v>4.4918140000000002E-2</v>
      </c>
      <c r="Z4072">
        <v>-1.082543E-3</v>
      </c>
      <c r="AA4072">
        <v>0.99899009999999999</v>
      </c>
      <c r="AB4072">
        <v>23</v>
      </c>
      <c r="AC4072">
        <v>51.631100000000004</v>
      </c>
      <c r="AD4072">
        <v>-1.1098645615510001</v>
      </c>
      <c r="AE4072">
        <v>-0.87829999999999497</v>
      </c>
      <c r="AF4072">
        <v>2.3292855227323801</v>
      </c>
      <c r="AG4072">
        <v>-1.1098645615510001</v>
      </c>
      <c r="AH4072">
        <v>51.562141483732802</v>
      </c>
      <c r="AI4072">
        <v>91.2318336493462</v>
      </c>
      <c r="AJ4072">
        <v>87.413459696656503</v>
      </c>
      <c r="AK4072">
        <v>51.6266578889229</v>
      </c>
      <c r="AL4072">
        <v>83.301040758714507</v>
      </c>
      <c r="AM4072">
        <v>87.238783251116303</v>
      </c>
      <c r="AN4072">
        <v>1.0000000302893099</v>
      </c>
    </row>
    <row r="4073" spans="1:40" x14ac:dyDescent="0.25">
      <c r="A4073" t="str">
        <f>"20190312172158708"</f>
        <v>20190312172158708</v>
      </c>
      <c r="B4073" t="str">
        <f>"1552382518694449"</f>
        <v>1552382518694449</v>
      </c>
      <c r="C4073" t="s">
        <v>40</v>
      </c>
      <c r="D4073">
        <v>3.2053370000000001</v>
      </c>
      <c r="E4073">
        <v>0.49920809999999999</v>
      </c>
      <c r="F4073" t="s">
        <v>47</v>
      </c>
      <c r="G4073">
        <v>-314.21780000000001</v>
      </c>
      <c r="H4073" s="1">
        <v>2.776079E-6</v>
      </c>
      <c r="I4073">
        <v>213.73179999999999</v>
      </c>
      <c r="J4073">
        <v>-364.875</v>
      </c>
      <c r="K4073">
        <v>1.1098600000000001</v>
      </c>
      <c r="L4073">
        <v>214.60509999999999</v>
      </c>
      <c r="M4073">
        <v>0.99955890000000003</v>
      </c>
      <c r="N4073">
        <v>0</v>
      </c>
      <c r="O4073">
        <v>2.8080109999999998E-2</v>
      </c>
      <c r="P4073">
        <v>0.9940312</v>
      </c>
      <c r="Q4073">
        <v>0.1072153</v>
      </c>
      <c r="R4073">
        <v>-2.017275E-2</v>
      </c>
      <c r="S4073">
        <v>3.0240170000000002</v>
      </c>
      <c r="T4073">
        <v>-6.5977220000000003E-2</v>
      </c>
      <c r="U4073">
        <v>-5.155945E-2</v>
      </c>
      <c r="V4073">
        <v>4.8092549999999998E-2</v>
      </c>
      <c r="W4073">
        <v>0.1168061</v>
      </c>
      <c r="X4073">
        <v>0.99198960000000003</v>
      </c>
      <c r="Y4073">
        <v>4.5100710000000002E-2</v>
      </c>
      <c r="Z4073">
        <v>-1.104435E-3</v>
      </c>
      <c r="AA4073">
        <v>0.99898180000000003</v>
      </c>
      <c r="AB4073">
        <v>23</v>
      </c>
      <c r="AC4073">
        <v>50.657199999999897</v>
      </c>
      <c r="AD4073">
        <v>-1.1098572239210001</v>
      </c>
      <c r="AE4073">
        <v>-0.87329999999999997</v>
      </c>
      <c r="AF4073">
        <v>2.2943808641527901</v>
      </c>
      <c r="AG4073">
        <v>-1.1098572239210001</v>
      </c>
      <c r="AH4073">
        <v>50.588423450581097</v>
      </c>
      <c r="AI4073">
        <v>91.255517795216704</v>
      </c>
      <c r="AJ4073">
        <v>87.4031941147135</v>
      </c>
      <c r="AK4073">
        <v>50.652586842357699</v>
      </c>
      <c r="AL4073">
        <v>83.292190630651405</v>
      </c>
      <c r="AM4073">
        <v>87.224422171453298</v>
      </c>
      <c r="AN4073">
        <v>0.99999996243543499</v>
      </c>
    </row>
    <row r="4074" spans="1:40" x14ac:dyDescent="0.25">
      <c r="A4074" t="str">
        <f>"20190312172158731"</f>
        <v>20190312172158731</v>
      </c>
      <c r="B4074" t="str">
        <f>"1552382518724707"</f>
        <v>1552382518724707</v>
      </c>
      <c r="C4074" t="s">
        <v>40</v>
      </c>
      <c r="D4074">
        <v>3.1853359999999999</v>
      </c>
      <c r="E4074">
        <v>0.49928470000000003</v>
      </c>
      <c r="F4074" t="s">
        <v>47</v>
      </c>
      <c r="G4074">
        <v>-313.54770000000002</v>
      </c>
      <c r="H4074" s="1">
        <v>2.4788910000000001E-6</v>
      </c>
      <c r="I4074">
        <v>213.7123</v>
      </c>
      <c r="J4074">
        <v>-364.63940000000002</v>
      </c>
      <c r="K4074">
        <v>1.10985</v>
      </c>
      <c r="L4074">
        <v>214.61160000000001</v>
      </c>
      <c r="M4074">
        <v>0.99956069999999997</v>
      </c>
      <c r="N4074">
        <v>0</v>
      </c>
      <c r="O4074">
        <v>2.8025870000000001E-2</v>
      </c>
      <c r="P4074">
        <v>0.99406309999999998</v>
      </c>
      <c r="Q4074">
        <v>0.1067772</v>
      </c>
      <c r="R4074">
        <v>-2.0904619999999999E-2</v>
      </c>
      <c r="S4074">
        <v>3.0239560000000001</v>
      </c>
      <c r="T4074">
        <v>-6.538737E-2</v>
      </c>
      <c r="U4074">
        <v>-5.2597049999999999E-2</v>
      </c>
      <c r="V4074">
        <v>4.8771380000000003E-2</v>
      </c>
      <c r="W4074">
        <v>0.1163448</v>
      </c>
      <c r="X4074">
        <v>0.99201070000000002</v>
      </c>
      <c r="Y4074">
        <v>4.5389770000000003E-2</v>
      </c>
      <c r="Z4074">
        <v>-1.096535E-3</v>
      </c>
      <c r="AA4074">
        <v>0.99896879999999999</v>
      </c>
      <c r="AB4074">
        <v>23</v>
      </c>
      <c r="AC4074">
        <v>51.091700000000003</v>
      </c>
      <c r="AD4074">
        <v>-1.109847521109</v>
      </c>
      <c r="AE4074">
        <v>-0.89930000000000998</v>
      </c>
      <c r="AF4074">
        <v>2.32980358696862</v>
      </c>
      <c r="AG4074">
        <v>-1.109847521109</v>
      </c>
      <c r="AH4074">
        <v>51.022355724312803</v>
      </c>
      <c r="AI4074">
        <v>91.2448149909374</v>
      </c>
      <c r="AJ4074">
        <v>87.385552860858198</v>
      </c>
      <c r="AK4074">
        <v>51.087577060693299</v>
      </c>
      <c r="AL4074">
        <v>83.318802834732395</v>
      </c>
      <c r="AM4074">
        <v>87.185367015805696</v>
      </c>
      <c r="AN4074">
        <v>0.99999999445431698</v>
      </c>
    </row>
    <row r="4075" spans="1:40" x14ac:dyDescent="0.25">
      <c r="A4075" t="str">
        <f>"20190312172158753"</f>
        <v>20190312172158753</v>
      </c>
      <c r="B4075" t="str">
        <f>"1552382518745205"</f>
        <v>1552382518745205</v>
      </c>
      <c r="C4075" t="s">
        <v>40</v>
      </c>
      <c r="D4075">
        <v>3.1543299999999999</v>
      </c>
      <c r="E4075">
        <v>0.49932270000000001</v>
      </c>
      <c r="F4075" t="s">
        <v>47</v>
      </c>
      <c r="G4075">
        <v>-314.42320000000001</v>
      </c>
      <c r="H4075" s="1">
        <v>2.8671539999999998E-6</v>
      </c>
      <c r="I4075">
        <v>213.69309999999999</v>
      </c>
      <c r="J4075">
        <v>-364.40589999999997</v>
      </c>
      <c r="K4075">
        <v>1.1098429999999999</v>
      </c>
      <c r="L4075">
        <v>214.6181</v>
      </c>
      <c r="M4075">
        <v>0.99956239999999996</v>
      </c>
      <c r="N4075">
        <v>0</v>
      </c>
      <c r="O4075">
        <v>2.7972469999999999E-2</v>
      </c>
      <c r="P4075">
        <v>0.99409950000000002</v>
      </c>
      <c r="Q4075">
        <v>0.1062946</v>
      </c>
      <c r="R4075">
        <v>-2.1625499999999999E-2</v>
      </c>
      <c r="S4075">
        <v>3.0239259999999999</v>
      </c>
      <c r="T4075">
        <v>-6.6832900000000001E-2</v>
      </c>
      <c r="U4075">
        <v>-5.5313109999999999E-2</v>
      </c>
      <c r="V4075">
        <v>4.9439810000000001E-2</v>
      </c>
      <c r="W4075">
        <v>0.1158366</v>
      </c>
      <c r="X4075">
        <v>0.99203710000000001</v>
      </c>
      <c r="Y4075">
        <v>4.6232570000000001E-2</v>
      </c>
      <c r="Z4075">
        <v>-1.128907E-3</v>
      </c>
      <c r="AA4075">
        <v>0.99892999999999998</v>
      </c>
      <c r="AB4075">
        <v>23</v>
      </c>
      <c r="AC4075">
        <v>49.982699999999902</v>
      </c>
      <c r="AD4075">
        <v>-1.1098401328459999</v>
      </c>
      <c r="AE4075">
        <v>-0.92500000000001104</v>
      </c>
      <c r="AF4075">
        <v>2.3216979914695801</v>
      </c>
      <c r="AG4075">
        <v>-1.1098401328459999</v>
      </c>
      <c r="AH4075">
        <v>49.912663448881801</v>
      </c>
      <c r="AI4075">
        <v>91.272423204848394</v>
      </c>
      <c r="AJ4075">
        <v>87.336794473148601</v>
      </c>
      <c r="AK4075">
        <v>49.978955563771102</v>
      </c>
      <c r="AL4075">
        <v>83.348118872140802</v>
      </c>
      <c r="AM4075">
        <v>87.146930530190204</v>
      </c>
      <c r="AN4075">
        <v>1.0000000102444</v>
      </c>
    </row>
    <row r="4076" spans="1:40" x14ac:dyDescent="0.25">
      <c r="A4076" t="str">
        <f>"20190312172158776"</f>
        <v>20190312172158776</v>
      </c>
      <c r="B4076" t="str">
        <f>"1552382518764723"</f>
        <v>1552382518764723</v>
      </c>
      <c r="C4076" t="s">
        <v>40</v>
      </c>
      <c r="D4076">
        <v>3.1304850000000002</v>
      </c>
      <c r="E4076">
        <v>0.49932520000000002</v>
      </c>
      <c r="F4076" t="s">
        <v>47</v>
      </c>
      <c r="G4076">
        <v>-315.39010000000002</v>
      </c>
      <c r="H4076" s="1">
        <v>3.2959149999999999E-6</v>
      </c>
      <c r="I4076">
        <v>213.68119999999999</v>
      </c>
      <c r="J4076">
        <v>-364.17469999999997</v>
      </c>
      <c r="K4076">
        <v>1.109839</v>
      </c>
      <c r="L4076">
        <v>214.62450000000001</v>
      </c>
      <c r="M4076">
        <v>0.99956429999999996</v>
      </c>
      <c r="N4076">
        <v>0</v>
      </c>
      <c r="O4076">
        <v>2.7918780000000001E-2</v>
      </c>
      <c r="P4076">
        <v>0.99414420000000003</v>
      </c>
      <c r="Q4076">
        <v>0.10552980000000001</v>
      </c>
      <c r="R4076">
        <v>-2.3260929999999999E-2</v>
      </c>
      <c r="S4076">
        <v>3.0238649999999998</v>
      </c>
      <c r="T4076">
        <v>-6.8467739999999999E-2</v>
      </c>
      <c r="U4076">
        <v>-5.7800289999999997E-2</v>
      </c>
      <c r="V4076">
        <v>5.1022570000000003E-2</v>
      </c>
      <c r="W4076">
        <v>0.1150442</v>
      </c>
      <c r="X4076">
        <v>0.99204919999999996</v>
      </c>
      <c r="Y4076">
        <v>4.6999529999999998E-2</v>
      </c>
      <c r="Z4076">
        <v>-1.163996E-3</v>
      </c>
      <c r="AA4076">
        <v>0.99889419999999995</v>
      </c>
      <c r="AB4076">
        <v>23</v>
      </c>
      <c r="AC4076">
        <v>48.784599999999898</v>
      </c>
      <c r="AD4076">
        <v>-1.109835704085</v>
      </c>
      <c r="AE4076">
        <v>-0.94330000000002101</v>
      </c>
      <c r="AF4076">
        <v>2.3038093757646498</v>
      </c>
      <c r="AG4076">
        <v>-1.109835704085</v>
      </c>
      <c r="AH4076">
        <v>48.714042269650399</v>
      </c>
      <c r="AI4076">
        <v>91.303668209284098</v>
      </c>
      <c r="AJ4076">
        <v>87.292356141570707</v>
      </c>
      <c r="AK4076">
        <v>48.781115066993003</v>
      </c>
      <c r="AL4076">
        <v>83.393825842058703</v>
      </c>
      <c r="AM4076">
        <v>87.055786783462494</v>
      </c>
      <c r="AN4076">
        <v>1.0000000429118401</v>
      </c>
    </row>
    <row r="4077" spans="1:40" x14ac:dyDescent="0.25">
      <c r="A4077" t="str">
        <f>"20190312172158797"</f>
        <v>20190312172158797</v>
      </c>
      <c r="B4077" t="str">
        <f>"1552382518794978"</f>
        <v>1552382518794978</v>
      </c>
      <c r="C4077" t="s">
        <v>40</v>
      </c>
      <c r="D4077">
        <v>3.2020219999999999</v>
      </c>
      <c r="E4077">
        <v>0.52849749999999995</v>
      </c>
      <c r="F4077" t="s">
        <v>47</v>
      </c>
      <c r="G4077">
        <v>-316.78309999999999</v>
      </c>
      <c r="H4077" s="1">
        <v>3.9136729999999998E-6</v>
      </c>
      <c r="I4077">
        <v>213.64570000000001</v>
      </c>
      <c r="J4077">
        <v>-363.95269999999999</v>
      </c>
      <c r="K4077">
        <v>1.1098269999999999</v>
      </c>
      <c r="L4077">
        <v>214.63069999999999</v>
      </c>
      <c r="M4077">
        <v>0.99956599999999995</v>
      </c>
      <c r="N4077">
        <v>0</v>
      </c>
      <c r="O4077">
        <v>2.786402E-2</v>
      </c>
      <c r="P4077">
        <v>0.99418740000000005</v>
      </c>
      <c r="Q4077">
        <v>0.104746699999999</v>
      </c>
      <c r="R4077">
        <v>-2.4895440000000001E-2</v>
      </c>
      <c r="S4077">
        <v>3.0237729999999998</v>
      </c>
      <c r="T4077">
        <v>-7.0811990000000005E-2</v>
      </c>
      <c r="U4077">
        <v>-6.2454219999999998E-2</v>
      </c>
      <c r="V4077">
        <v>5.2603650000000002E-2</v>
      </c>
      <c r="W4077">
        <v>0.114230399999999</v>
      </c>
      <c r="X4077">
        <v>0.99206059999999996</v>
      </c>
      <c r="Y4077">
        <v>4.84804E-2</v>
      </c>
      <c r="Z4077">
        <v>-1.219915E-3</v>
      </c>
      <c r="AA4077">
        <v>0.99882340000000003</v>
      </c>
      <c r="AB4077">
        <v>23</v>
      </c>
      <c r="AC4077">
        <v>47.169600000000003</v>
      </c>
      <c r="AD4077">
        <v>-1.109823086327</v>
      </c>
      <c r="AE4077">
        <v>-0.984999999999985</v>
      </c>
      <c r="AF4077">
        <v>2.2977408273469</v>
      </c>
      <c r="AG4077">
        <v>-1.109823086327</v>
      </c>
      <c r="AH4077">
        <v>47.0977749457846</v>
      </c>
      <c r="AI4077">
        <v>91.348278464471207</v>
      </c>
      <c r="AJ4077">
        <v>87.206947631441594</v>
      </c>
      <c r="AK4077">
        <v>47.166849852797903</v>
      </c>
      <c r="AL4077">
        <v>83.440762174536601</v>
      </c>
      <c r="AM4077">
        <v>86.964754788391801</v>
      </c>
      <c r="AN4077">
        <v>0.99999998117492095</v>
      </c>
    </row>
    <row r="4078" spans="1:40" x14ac:dyDescent="0.25">
      <c r="A4078" t="str">
        <f>"20190312172158821"</f>
        <v>20190312172158821</v>
      </c>
      <c r="B4078" t="str">
        <f>"1552382518814499"</f>
        <v>1552382518814499</v>
      </c>
      <c r="C4078" t="s">
        <v>40</v>
      </c>
      <c r="D4078">
        <v>3.2079780000000002</v>
      </c>
      <c r="E4078">
        <v>0.53500599999999998</v>
      </c>
      <c r="F4078" t="s">
        <v>41</v>
      </c>
      <c r="G4078">
        <v>-363.20089999999999</v>
      </c>
      <c r="H4078">
        <v>1.0228839999999999</v>
      </c>
      <c r="I4078">
        <v>214.55619999999999</v>
      </c>
      <c r="J4078">
        <v>-363.7099</v>
      </c>
      <c r="K4078">
        <v>1.1098129999999999</v>
      </c>
      <c r="L4078">
        <v>214.63740000000001</v>
      </c>
      <c r="M4078">
        <v>0.99956849999999997</v>
      </c>
      <c r="N4078">
        <v>0</v>
      </c>
      <c r="O4078">
        <v>2.7790510000000001E-2</v>
      </c>
      <c r="P4078">
        <v>0.99425660000000005</v>
      </c>
      <c r="Q4078">
        <v>0.10358050000000001</v>
      </c>
      <c r="R4078">
        <v>-2.6924429999999999E-2</v>
      </c>
      <c r="S4078">
        <v>3.0472109999999999</v>
      </c>
      <c r="T4078">
        <v>-0.35252739999999999</v>
      </c>
      <c r="U4078">
        <v>-0.2997437</v>
      </c>
      <c r="V4078">
        <v>5.456246E-2</v>
      </c>
      <c r="W4078">
        <v>0.11302810000000001</v>
      </c>
      <c r="X4078">
        <v>0.99209250000000004</v>
      </c>
      <c r="Y4078">
        <v>0.1245078</v>
      </c>
      <c r="Z4078">
        <v>-1.035866E-2</v>
      </c>
      <c r="AA4078">
        <v>0.99216459999999995</v>
      </c>
      <c r="AB4078">
        <v>23</v>
      </c>
      <c r="AC4078">
        <v>0.509000000000014</v>
      </c>
      <c r="AD4078">
        <v>-8.6929000000000006E-2</v>
      </c>
      <c r="AE4078">
        <v>-8.1200000000023906E-2</v>
      </c>
      <c r="AF4078">
        <v>9.2678563123273203E-2</v>
      </c>
      <c r="AG4078">
        <v>-8.6929000000000006E-2</v>
      </c>
      <c r="AH4078">
        <v>0.49253732482760698</v>
      </c>
      <c r="AI4078">
        <v>99.839960848054702</v>
      </c>
      <c r="AJ4078">
        <v>79.343510322821601</v>
      </c>
      <c r="AK4078">
        <v>0.50866391994314897</v>
      </c>
      <c r="AL4078">
        <v>83.510097902080602</v>
      </c>
      <c r="AM4078">
        <v>86.852055187397099</v>
      </c>
      <c r="AN4078">
        <v>0.99999997099355498</v>
      </c>
    </row>
    <row r="4079" spans="1:40" x14ac:dyDescent="0.25">
      <c r="A4079" t="str">
        <f>"20190312172158843"</f>
        <v>20190312172158843</v>
      </c>
      <c r="B4079" t="str">
        <f>"1552382518834994"</f>
        <v>1552382518834994</v>
      </c>
      <c r="C4079" t="s">
        <v>40</v>
      </c>
      <c r="D4079">
        <v>3.1870660000000002</v>
      </c>
      <c r="E4079">
        <v>0.53876290000000004</v>
      </c>
      <c r="F4079" t="s">
        <v>41</v>
      </c>
      <c r="G4079">
        <v>-362.80549999999999</v>
      </c>
      <c r="H4079">
        <v>0.97967340000000003</v>
      </c>
      <c r="I4079">
        <v>214.53059999999999</v>
      </c>
      <c r="J4079">
        <v>-363.47559999999999</v>
      </c>
      <c r="K4079">
        <v>1.1097900000000001</v>
      </c>
      <c r="L4079">
        <v>214.6438</v>
      </c>
      <c r="M4079">
        <v>0.99957149999999995</v>
      </c>
      <c r="N4079">
        <v>0</v>
      </c>
      <c r="O4079">
        <v>2.769309E-2</v>
      </c>
      <c r="P4079">
        <v>0.9942223</v>
      </c>
      <c r="Q4079">
        <v>0.1032761</v>
      </c>
      <c r="R4079">
        <v>-2.926142E-2</v>
      </c>
      <c r="S4079">
        <v>3.0534059999999998</v>
      </c>
      <c r="T4079">
        <v>-0.43940439999999997</v>
      </c>
      <c r="U4079">
        <v>-0.35862729999999998</v>
      </c>
      <c r="V4079">
        <v>5.6804920000000002E-2</v>
      </c>
      <c r="W4079">
        <v>0.11268789999999999</v>
      </c>
      <c r="X4079">
        <v>0.99200529999999998</v>
      </c>
      <c r="Y4079">
        <v>0.1423806</v>
      </c>
      <c r="Z4079">
        <v>-1.4110660000000001E-2</v>
      </c>
      <c r="AA4079">
        <v>0.98971140000000002</v>
      </c>
      <c r="AB4079">
        <v>23</v>
      </c>
      <c r="AC4079">
        <v>0.67009999999999004</v>
      </c>
      <c r="AD4079">
        <v>-0.1301166</v>
      </c>
      <c r="AE4079">
        <v>-0.113200000000006</v>
      </c>
      <c r="AF4079">
        <v>0.12705693025295201</v>
      </c>
      <c r="AG4079">
        <v>-0.1301166</v>
      </c>
      <c r="AH4079">
        <v>0.64313218130776495</v>
      </c>
      <c r="AI4079">
        <v>101.22621123407001</v>
      </c>
      <c r="AJ4079">
        <v>78.824577690158307</v>
      </c>
      <c r="AK4079">
        <v>0.66835080291307103</v>
      </c>
      <c r="AL4079">
        <v>83.529715048511903</v>
      </c>
      <c r="AM4079">
        <v>86.722666939427299</v>
      </c>
      <c r="AN4079">
        <v>0.99999993848535096</v>
      </c>
    </row>
    <row r="4080" spans="1:40" x14ac:dyDescent="0.25">
      <c r="A4080" t="str">
        <f>"20190312172158866"</f>
        <v>20190312172158866</v>
      </c>
      <c r="B4080" t="str">
        <f>"1552382518854514"</f>
        <v>1552382518854514</v>
      </c>
      <c r="C4080" t="s">
        <v>40</v>
      </c>
      <c r="D4080">
        <v>3.1614059999999999</v>
      </c>
      <c r="E4080">
        <v>0.54089480000000001</v>
      </c>
      <c r="F4080" t="s">
        <v>41</v>
      </c>
      <c r="G4080">
        <v>-362.60199999999998</v>
      </c>
      <c r="H4080">
        <v>0.96947910000000004</v>
      </c>
      <c r="I4080">
        <v>214.53020000000001</v>
      </c>
      <c r="J4080">
        <v>-363.24220000000003</v>
      </c>
      <c r="K4080">
        <v>1.109766</v>
      </c>
      <c r="L4080">
        <v>214.65010000000001</v>
      </c>
      <c r="M4080">
        <v>0.9995752</v>
      </c>
      <c r="N4080">
        <v>0</v>
      </c>
      <c r="O4080">
        <v>2.7569320000000001E-2</v>
      </c>
      <c r="P4080">
        <v>0.99414089999999999</v>
      </c>
      <c r="Q4080">
        <v>0.10350090000000001</v>
      </c>
      <c r="R4080">
        <v>-3.1174790000000001E-2</v>
      </c>
      <c r="S4080">
        <v>3.0567319999999998</v>
      </c>
      <c r="T4080">
        <v>-0.49096109999999998</v>
      </c>
      <c r="U4080">
        <v>-0.39758300000000002</v>
      </c>
      <c r="V4080">
        <v>5.8598049999999999E-2</v>
      </c>
      <c r="W4080">
        <v>0.1128798</v>
      </c>
      <c r="X4080">
        <v>0.99187919999999996</v>
      </c>
      <c r="Y4080">
        <v>0.15398229999999999</v>
      </c>
      <c r="Z4080">
        <v>-1.662023E-2</v>
      </c>
      <c r="AA4080">
        <v>0.98793379999999997</v>
      </c>
      <c r="AB4080">
        <v>23</v>
      </c>
      <c r="AC4080">
        <v>0.64020000000004895</v>
      </c>
      <c r="AD4080">
        <v>-0.14028689999999999</v>
      </c>
      <c r="AE4080">
        <v>-0.11990000000000101</v>
      </c>
      <c r="AF4080">
        <v>0.131408938148977</v>
      </c>
      <c r="AG4080">
        <v>-0.14028689999999999</v>
      </c>
      <c r="AH4080">
        <v>0.60842564441156399</v>
      </c>
      <c r="AI4080">
        <v>102.70093162569</v>
      </c>
      <c r="AJ4080">
        <v>77.812356596299097</v>
      </c>
      <c r="AK4080">
        <v>0.63806777705403495</v>
      </c>
      <c r="AL4080">
        <v>83.518649550179504</v>
      </c>
      <c r="AM4080">
        <v>86.619020640407797</v>
      </c>
      <c r="AN4080">
        <v>0.99999996405224001</v>
      </c>
    </row>
    <row r="4081" spans="1:40" x14ac:dyDescent="0.25">
      <c r="A4081" t="str">
        <f>"20190312172158887"</f>
        <v>20190312172158887</v>
      </c>
      <c r="B4081" t="str">
        <f>"1552382518884771"</f>
        <v>1552382518884771</v>
      </c>
      <c r="C4081" t="s">
        <v>40</v>
      </c>
      <c r="D4081">
        <v>3.1846040000000002</v>
      </c>
      <c r="E4081">
        <v>0.54267940000000003</v>
      </c>
      <c r="F4081" t="s">
        <v>41</v>
      </c>
      <c r="G4081">
        <v>-362.39530000000002</v>
      </c>
      <c r="H4081">
        <v>0.96560809999999997</v>
      </c>
      <c r="I4081">
        <v>214.53309999999999</v>
      </c>
      <c r="J4081">
        <v>-363.01729999999998</v>
      </c>
      <c r="K4081">
        <v>1.1097360000000001</v>
      </c>
      <c r="L4081">
        <v>214.65610000000001</v>
      </c>
      <c r="M4081">
        <v>0.99957969999999896</v>
      </c>
      <c r="N4081">
        <v>0</v>
      </c>
      <c r="O4081">
        <v>2.7412499999999999E-2</v>
      </c>
      <c r="P4081">
        <v>0.994085</v>
      </c>
      <c r="Q4081">
        <v>0.10345749999999999</v>
      </c>
      <c r="R4081">
        <v>-3.3041029999999999E-2</v>
      </c>
      <c r="S4081">
        <v>3.0586549999999999</v>
      </c>
      <c r="T4081">
        <v>-0.52065289999999997</v>
      </c>
      <c r="U4081">
        <v>-0.42240909999999898</v>
      </c>
      <c r="V4081">
        <v>6.0313659999999998E-2</v>
      </c>
      <c r="W4081">
        <v>0.1128049</v>
      </c>
      <c r="X4081">
        <v>0.99178489999999997</v>
      </c>
      <c r="Y4081">
        <v>0.16124330000000001</v>
      </c>
      <c r="Z4081">
        <v>-1.8176060000000001E-2</v>
      </c>
      <c r="AA4081">
        <v>0.98674729999999999</v>
      </c>
      <c r="AB4081">
        <v>23</v>
      </c>
      <c r="AC4081">
        <v>0.62199999999995703</v>
      </c>
      <c r="AD4081">
        <v>-0.1441279</v>
      </c>
      <c r="AE4081">
        <v>-0.123000000000018</v>
      </c>
      <c r="AF4081">
        <v>0.133126198165057</v>
      </c>
      <c r="AG4081">
        <v>-0.1441279</v>
      </c>
      <c r="AH4081">
        <v>0.58801061159865597</v>
      </c>
      <c r="AI4081">
        <v>103.444840717877</v>
      </c>
      <c r="AJ4081">
        <v>77.243235295833301</v>
      </c>
      <c r="AK4081">
        <v>0.61988056555187898</v>
      </c>
      <c r="AL4081">
        <v>83.522968729579105</v>
      </c>
      <c r="AM4081">
        <v>86.519943432106601</v>
      </c>
      <c r="AN4081">
        <v>0.99999998545730695</v>
      </c>
    </row>
    <row r="4082" spans="1:40" x14ac:dyDescent="0.25">
      <c r="A4082" t="str">
        <f>"20190312172158909"</f>
        <v>20190312172158909</v>
      </c>
      <c r="B4082" t="str">
        <f>"1552382518904291"</f>
        <v>1552382518904291</v>
      </c>
      <c r="C4082" t="s">
        <v>40</v>
      </c>
      <c r="D4082">
        <v>3.1635490000000002</v>
      </c>
      <c r="E4082">
        <v>0.543238</v>
      </c>
      <c r="F4082" t="s">
        <v>41</v>
      </c>
      <c r="G4082">
        <v>-362.18939999999998</v>
      </c>
      <c r="H4082">
        <v>0.95911900000000005</v>
      </c>
      <c r="I4082">
        <v>214.53579999999999</v>
      </c>
      <c r="J4082">
        <v>-362.79360000000003</v>
      </c>
      <c r="K4082">
        <v>1.109688</v>
      </c>
      <c r="L4082">
        <v>214.66210000000001</v>
      </c>
      <c r="M4082">
        <v>0.99958559999999996</v>
      </c>
      <c r="N4082">
        <v>0</v>
      </c>
      <c r="O4082">
        <v>2.7203249999999998E-2</v>
      </c>
      <c r="P4082">
        <v>0.99402349999999995</v>
      </c>
      <c r="Q4082">
        <v>0.103547</v>
      </c>
      <c r="R4082">
        <v>-3.4573369999999999E-2</v>
      </c>
      <c r="S4082">
        <v>3.0611269999999999</v>
      </c>
      <c r="T4082">
        <v>-0.55693230000000005</v>
      </c>
      <c r="U4082">
        <v>-0.44369510000000001</v>
      </c>
      <c r="V4082">
        <v>6.1645430000000001E-2</v>
      </c>
      <c r="W4082">
        <v>0.1128594</v>
      </c>
      <c r="X4082">
        <v>0.99169680000000004</v>
      </c>
      <c r="Y4082">
        <v>0.167187</v>
      </c>
      <c r="Z4082">
        <v>-1.9894619999999998E-2</v>
      </c>
      <c r="AA4082">
        <v>0.98572439999999995</v>
      </c>
      <c r="AB4082">
        <v>23</v>
      </c>
      <c r="AC4082">
        <v>0.60420000000004803</v>
      </c>
      <c r="AD4082">
        <v>-0.15056899999999901</v>
      </c>
      <c r="AE4082">
        <v>-0.12630000000001401</v>
      </c>
      <c r="AF4082">
        <v>0.13467658771098601</v>
      </c>
      <c r="AG4082">
        <v>-0.15056899999999901</v>
      </c>
      <c r="AH4082">
        <v>0.56681360644558798</v>
      </c>
      <c r="AI4082">
        <v>104.490783236146</v>
      </c>
      <c r="AJ4082">
        <v>76.634197776424699</v>
      </c>
      <c r="AK4082">
        <v>0.60173621420879198</v>
      </c>
      <c r="AL4082">
        <v>83.519825960564503</v>
      </c>
      <c r="AM4082">
        <v>86.442981195046698</v>
      </c>
      <c r="AN4082">
        <v>0.99999997316924205</v>
      </c>
    </row>
    <row r="4083" spans="1:40" x14ac:dyDescent="0.25">
      <c r="A4083" t="str">
        <f>"20190312172158931"</f>
        <v>20190312172158931</v>
      </c>
      <c r="B4083" t="str">
        <f>"1552382518924786"</f>
        <v>1552382518924786</v>
      </c>
      <c r="C4083" t="s">
        <v>40</v>
      </c>
      <c r="D4083">
        <v>3.1527259999999999</v>
      </c>
      <c r="E4083">
        <v>0.54366899999999996</v>
      </c>
      <c r="F4083" t="s">
        <v>41</v>
      </c>
      <c r="G4083">
        <v>-361.98020000000002</v>
      </c>
      <c r="H4083">
        <v>0.95892880000000003</v>
      </c>
      <c r="I4083">
        <v>214.54150000000001</v>
      </c>
      <c r="J4083">
        <v>-362.55</v>
      </c>
      <c r="K4083">
        <v>1.1096349999999999</v>
      </c>
      <c r="L4083">
        <v>214.66839999999999</v>
      </c>
      <c r="M4083">
        <v>0.99959399999999998</v>
      </c>
      <c r="N4083">
        <v>0</v>
      </c>
      <c r="O4083">
        <v>2.6904830000000001E-2</v>
      </c>
      <c r="P4083">
        <v>0.99393189999999998</v>
      </c>
      <c r="Q4083">
        <v>0.1037974</v>
      </c>
      <c r="R4083">
        <v>-3.6408099999999999E-2</v>
      </c>
      <c r="S4083">
        <v>3.061401</v>
      </c>
      <c r="T4083">
        <v>-0.56738379999999999</v>
      </c>
      <c r="U4083">
        <v>-0.4529572</v>
      </c>
      <c r="V4083">
        <v>6.3193910000000006E-2</v>
      </c>
      <c r="W4083">
        <v>0.1130688</v>
      </c>
      <c r="X4083">
        <v>0.99157550000000005</v>
      </c>
      <c r="Y4083">
        <v>0.16964799999999999</v>
      </c>
      <c r="Z4083">
        <v>-2.042617E-2</v>
      </c>
      <c r="AA4083">
        <v>0.98529299999999997</v>
      </c>
      <c r="AB4083">
        <v>23</v>
      </c>
      <c r="AC4083">
        <v>0.56979999999998598</v>
      </c>
      <c r="AD4083">
        <v>-0.15070619999999901</v>
      </c>
      <c r="AE4083">
        <v>-0.126899999999977</v>
      </c>
      <c r="AF4083">
        <v>0.133300742419484</v>
      </c>
      <c r="AG4083">
        <v>-0.15070619999999901</v>
      </c>
      <c r="AH4083">
        <v>0.53080191994996895</v>
      </c>
      <c r="AI4083">
        <v>105.396017456137</v>
      </c>
      <c r="AJ4083">
        <v>75.902790677685601</v>
      </c>
      <c r="AK4083">
        <v>0.56765493468356099</v>
      </c>
      <c r="AL4083">
        <v>83.507751094461597</v>
      </c>
      <c r="AM4083">
        <v>86.353425209791396</v>
      </c>
      <c r="AN4083">
        <v>0.99999999799738903</v>
      </c>
    </row>
    <row r="4084" spans="1:40" x14ac:dyDescent="0.25">
      <c r="A4084" t="str">
        <f>"20190312172158955"</f>
        <v>20190312172158955</v>
      </c>
      <c r="B4084" t="str">
        <f>"1552382518944309"</f>
        <v>1552382518944309</v>
      </c>
      <c r="C4084" t="s">
        <v>40</v>
      </c>
      <c r="D4084">
        <v>3.1239650000000001</v>
      </c>
      <c r="E4084">
        <v>0.543844199999999</v>
      </c>
      <c r="F4084" t="s">
        <v>41</v>
      </c>
      <c r="G4084">
        <v>-361.76889999999997</v>
      </c>
      <c r="H4084">
        <v>0.96272020000000003</v>
      </c>
      <c r="I4084">
        <v>214.5506</v>
      </c>
      <c r="J4084">
        <v>-362.30970000000002</v>
      </c>
      <c r="K4084">
        <v>1.1095809999999999</v>
      </c>
      <c r="L4084">
        <v>214.67449999999999</v>
      </c>
      <c r="M4084">
        <v>0.99960400000000005</v>
      </c>
      <c r="N4084">
        <v>0</v>
      </c>
      <c r="O4084">
        <v>2.65378E-2</v>
      </c>
      <c r="P4084">
        <v>0.99385919999999905</v>
      </c>
      <c r="Q4084">
        <v>0.10390240000000001</v>
      </c>
      <c r="R4084">
        <v>-3.8054789999999998E-2</v>
      </c>
      <c r="S4084">
        <v>3.0616150000000002</v>
      </c>
      <c r="T4084">
        <v>-0.57593450000000002</v>
      </c>
      <c r="U4084">
        <v>-0.4615784</v>
      </c>
      <c r="V4084">
        <v>6.4487619999999996E-2</v>
      </c>
      <c r="W4084">
        <v>0.1131361</v>
      </c>
      <c r="X4084">
        <v>0.99148449999999999</v>
      </c>
      <c r="Y4084">
        <v>0.1718616</v>
      </c>
      <c r="Z4084">
        <v>-2.0860429999999999E-2</v>
      </c>
      <c r="AA4084">
        <v>0.9849002</v>
      </c>
      <c r="AB4084">
        <v>23</v>
      </c>
      <c r="AC4084">
        <v>0.54080000000004702</v>
      </c>
      <c r="AD4084">
        <v>-0.14686079999999899</v>
      </c>
      <c r="AE4084">
        <v>-0.123899999999991</v>
      </c>
      <c r="AF4084">
        <v>0.12915871534885801</v>
      </c>
      <c r="AG4084">
        <v>-0.14686079999999899</v>
      </c>
      <c r="AH4084">
        <v>0.50213748510025402</v>
      </c>
      <c r="AI4084">
        <v>105.81484075622301</v>
      </c>
      <c r="AJ4084">
        <v>75.575197623628597</v>
      </c>
      <c r="AK4084">
        <v>0.53888043411318598</v>
      </c>
      <c r="AL4084">
        <v>83.503870016366506</v>
      </c>
      <c r="AM4084">
        <v>86.278639361673399</v>
      </c>
      <c r="AN4084">
        <v>0.99999997199836099</v>
      </c>
    </row>
    <row r="4085" spans="1:40" x14ac:dyDescent="0.25">
      <c r="A4085" t="str">
        <f>"20190312172158975"</f>
        <v>20190312172158975</v>
      </c>
      <c r="B4085" t="str">
        <f>"1552382518964802"</f>
        <v>1552382518964802</v>
      </c>
      <c r="C4085" t="s">
        <v>40</v>
      </c>
      <c r="D4085">
        <v>3.2050610000000002</v>
      </c>
      <c r="E4085">
        <v>0.54394949999999997</v>
      </c>
      <c r="F4085" t="s">
        <v>41</v>
      </c>
      <c r="G4085">
        <v>-361.55739999999997</v>
      </c>
      <c r="H4085">
        <v>0.96619259999999996</v>
      </c>
      <c r="I4085">
        <v>214.55930000000001</v>
      </c>
      <c r="J4085">
        <v>-362.08539999999999</v>
      </c>
      <c r="K4085">
        <v>1.1095379999999999</v>
      </c>
      <c r="L4085">
        <v>214.68</v>
      </c>
      <c r="M4085">
        <v>0.99961500000000003</v>
      </c>
      <c r="N4085">
        <v>0</v>
      </c>
      <c r="O4085">
        <v>2.6132679999999998E-2</v>
      </c>
      <c r="P4085">
        <v>0.9938186</v>
      </c>
      <c r="Q4085">
        <v>0.1037767</v>
      </c>
      <c r="R4085">
        <v>-3.943286E-2</v>
      </c>
      <c r="S4085">
        <v>3.0616460000000001</v>
      </c>
      <c r="T4085">
        <v>-0.58357669999999995</v>
      </c>
      <c r="U4085">
        <v>-0.4668274</v>
      </c>
      <c r="V4085">
        <v>6.5474459999999998E-2</v>
      </c>
      <c r="W4085">
        <v>0.1129764</v>
      </c>
      <c r="X4085">
        <v>0.99143800000000004</v>
      </c>
      <c r="Y4085">
        <v>0.17300960000000001</v>
      </c>
      <c r="Z4085">
        <v>-2.1161289999999999E-2</v>
      </c>
      <c r="AA4085">
        <v>0.98469280000000003</v>
      </c>
      <c r="AB4085">
        <v>23</v>
      </c>
      <c r="AC4085">
        <v>0.52800000000002001</v>
      </c>
      <c r="AD4085">
        <v>-0.14334539999999901</v>
      </c>
      <c r="AE4085">
        <v>-0.120699999999999</v>
      </c>
      <c r="AF4085">
        <v>0.12565585368662599</v>
      </c>
      <c r="AG4085">
        <v>-0.14334539999999901</v>
      </c>
      <c r="AH4085">
        <v>0.49032074740612702</v>
      </c>
      <c r="AI4085">
        <v>105.81204254849099</v>
      </c>
      <c r="AJ4085">
        <v>75.625997353196098</v>
      </c>
      <c r="AK4085">
        <v>0.52607198424148904</v>
      </c>
      <c r="AL4085">
        <v>83.513078987065995</v>
      </c>
      <c r="AM4085">
        <v>86.221679201424493</v>
      </c>
      <c r="AN4085">
        <v>0.99999993985662405</v>
      </c>
    </row>
    <row r="4086" spans="1:40" x14ac:dyDescent="0.25">
      <c r="A4086" t="str">
        <f>"20190312172158997"</f>
        <v>20190312172158997</v>
      </c>
      <c r="B4086" t="str">
        <f>"1552382518995058"</f>
        <v>1552382518995058</v>
      </c>
      <c r="C4086" t="s">
        <v>40</v>
      </c>
      <c r="D4086">
        <v>3.1682419999999998</v>
      </c>
      <c r="E4086">
        <v>0.54372480000000001</v>
      </c>
      <c r="F4086" t="s">
        <v>41</v>
      </c>
      <c r="G4086">
        <v>-361.34649999999999</v>
      </c>
      <c r="H4086">
        <v>0.96736440000000001</v>
      </c>
      <c r="I4086">
        <v>214.566</v>
      </c>
      <c r="J4086">
        <v>-361.8546</v>
      </c>
      <c r="K4086">
        <v>1.109488</v>
      </c>
      <c r="L4086">
        <v>214.68549999999999</v>
      </c>
      <c r="M4086">
        <v>0.99962759999999995</v>
      </c>
      <c r="N4086">
        <v>0</v>
      </c>
      <c r="O4086">
        <v>2.5663720000000001E-2</v>
      </c>
      <c r="P4086">
        <v>0.99378829999999996</v>
      </c>
      <c r="Q4086">
        <v>0.10351630000000001</v>
      </c>
      <c r="R4086">
        <v>-4.086352E-2</v>
      </c>
      <c r="S4086">
        <v>3.061493</v>
      </c>
      <c r="T4086">
        <v>-0.58908819999999995</v>
      </c>
      <c r="U4086">
        <v>-0.47099299999999999</v>
      </c>
      <c r="V4086">
        <v>6.6448279999999998E-2</v>
      </c>
      <c r="W4086">
        <v>0.1126751</v>
      </c>
      <c r="X4086">
        <v>0.99140760000000006</v>
      </c>
      <c r="Y4086">
        <v>0.17379310000000001</v>
      </c>
      <c r="Z4086">
        <v>-2.1341840000000001E-2</v>
      </c>
      <c r="AA4086">
        <v>0.98455090000000001</v>
      </c>
      <c r="AB4086">
        <v>23</v>
      </c>
      <c r="AC4086">
        <v>0.50810000000001299</v>
      </c>
      <c r="AD4086">
        <v>-0.14212359999999999</v>
      </c>
      <c r="AE4086">
        <v>-0.119500000000016</v>
      </c>
      <c r="AF4086">
        <v>0.12335537511254201</v>
      </c>
      <c r="AG4086">
        <v>-0.14212359999999999</v>
      </c>
      <c r="AH4086">
        <v>0.47001854433280699</v>
      </c>
      <c r="AI4086">
        <v>106.302814721026</v>
      </c>
      <c r="AJ4086">
        <v>75.294489361653305</v>
      </c>
      <c r="AK4086">
        <v>0.50629349024340298</v>
      </c>
      <c r="AL4086">
        <v>83.530453799441503</v>
      </c>
      <c r="AM4086">
        <v>86.165532365145097</v>
      </c>
      <c r="AN4086">
        <v>1.0000000407063601</v>
      </c>
    </row>
    <row r="4087" spans="1:40" x14ac:dyDescent="0.25">
      <c r="A4087" t="str">
        <f>"20190312172159022"</f>
        <v>20190312172159022</v>
      </c>
      <c r="B4087" t="str">
        <f>"1552382519014578"</f>
        <v>1552382519014578</v>
      </c>
      <c r="C4087" t="s">
        <v>40</v>
      </c>
      <c r="D4087">
        <v>3.1902490000000001</v>
      </c>
      <c r="E4087">
        <v>0.54339799999999905</v>
      </c>
      <c r="F4087" t="s">
        <v>41</v>
      </c>
      <c r="G4087">
        <v>-361.13510000000002</v>
      </c>
      <c r="H4087">
        <v>0.96842810000000001</v>
      </c>
      <c r="I4087">
        <v>214.57419999999999</v>
      </c>
      <c r="J4087">
        <v>-361.60129999999998</v>
      </c>
      <c r="K4087">
        <v>1.1094550000000001</v>
      </c>
      <c r="L4087">
        <v>214.69139999999999</v>
      </c>
      <c r="M4087">
        <v>0.99964209999999998</v>
      </c>
      <c r="N4087">
        <v>0</v>
      </c>
      <c r="O4087">
        <v>2.510517E-2</v>
      </c>
      <c r="P4087">
        <v>0.99377760000000004</v>
      </c>
      <c r="Q4087">
        <v>0.1027415</v>
      </c>
      <c r="R4087">
        <v>-4.301344E-2</v>
      </c>
      <c r="S4087">
        <v>3.06189</v>
      </c>
      <c r="T4087">
        <v>-0.60035469999999902</v>
      </c>
      <c r="U4087">
        <v>-0.47236630000000002</v>
      </c>
      <c r="V4087">
        <v>6.8049789999999999E-2</v>
      </c>
      <c r="W4087">
        <v>0.11185249999999999</v>
      </c>
      <c r="X4087">
        <v>0.9913921</v>
      </c>
      <c r="Y4087">
        <v>0.17353499999999999</v>
      </c>
      <c r="Z4087">
        <v>-2.1606259999999999E-2</v>
      </c>
      <c r="AA4087">
        <v>0.98459059999999998</v>
      </c>
      <c r="AB4087">
        <v>24</v>
      </c>
      <c r="AC4087">
        <v>0.46619999999995798</v>
      </c>
      <c r="AD4087">
        <v>-0.14102689999999901</v>
      </c>
      <c r="AE4087">
        <v>-0.117199999999996</v>
      </c>
      <c r="AF4087">
        <v>0.118655107070147</v>
      </c>
      <c r="AG4087">
        <v>-0.14102689999999901</v>
      </c>
      <c r="AH4087">
        <v>0.42641007420668298</v>
      </c>
      <c r="AI4087">
        <v>107.673172069835</v>
      </c>
      <c r="AJ4087">
        <v>74.449962741041602</v>
      </c>
      <c r="AK4087">
        <v>0.46453543712227902</v>
      </c>
      <c r="AL4087">
        <v>83.577885051227895</v>
      </c>
      <c r="AM4087">
        <v>86.073340062644505</v>
      </c>
      <c r="AN4087">
        <v>1.0000000258088499</v>
      </c>
    </row>
    <row r="4088" spans="1:40" x14ac:dyDescent="0.25">
      <c r="A4088" t="str">
        <f>"20190312172159034"</f>
        <v>20190312172159034</v>
      </c>
      <c r="B4088" t="str">
        <f>"1552382519024338"</f>
        <v>1552382519024338</v>
      </c>
      <c r="C4088" t="s">
        <v>40</v>
      </c>
      <c r="D4088">
        <v>3.1678039999999998</v>
      </c>
      <c r="E4088">
        <v>0.54328580000000004</v>
      </c>
      <c r="F4088" t="s">
        <v>41</v>
      </c>
      <c r="G4088">
        <v>-360.72559999999999</v>
      </c>
      <c r="H4088">
        <v>0.9349227</v>
      </c>
      <c r="I4088">
        <v>214.55500000000001</v>
      </c>
      <c r="J4088">
        <v>-361.46319999999997</v>
      </c>
      <c r="K4088">
        <v>1.109443</v>
      </c>
      <c r="L4088">
        <v>214.69450000000001</v>
      </c>
      <c r="M4088">
        <v>0.99965020000000004</v>
      </c>
      <c r="N4088">
        <v>0</v>
      </c>
      <c r="O4088">
        <v>2.4786800000000001E-2</v>
      </c>
      <c r="P4088">
        <v>0.99370159999999996</v>
      </c>
      <c r="Q4088">
        <v>0.10306849999999999</v>
      </c>
      <c r="R4088">
        <v>-4.397831E-2</v>
      </c>
      <c r="S4088">
        <v>3.0612789999999999</v>
      </c>
      <c r="T4088">
        <v>-0.61004530000000001</v>
      </c>
      <c r="U4088">
        <v>-0.47509770000000001</v>
      </c>
      <c r="V4088">
        <v>6.8698659999999995E-2</v>
      </c>
      <c r="W4088">
        <v>0.1121534</v>
      </c>
      <c r="X4088">
        <v>0.99131329999999995</v>
      </c>
      <c r="Y4088">
        <v>0.17398640000000001</v>
      </c>
      <c r="Z4088">
        <v>-2.1933049999999999E-2</v>
      </c>
      <c r="AA4088">
        <v>0.98450369999999998</v>
      </c>
      <c r="AB4088">
        <v>24</v>
      </c>
      <c r="AC4088">
        <v>0.73759999999998604</v>
      </c>
      <c r="AD4088">
        <v>-0.17452029999999999</v>
      </c>
      <c r="AE4088">
        <v>-0.13949999999999799</v>
      </c>
      <c r="AF4088">
        <v>0.14965211949199</v>
      </c>
      <c r="AG4088">
        <v>-0.17452029999999999</v>
      </c>
      <c r="AH4088">
        <v>0.69628214281647804</v>
      </c>
      <c r="AI4088">
        <v>103.768992884973</v>
      </c>
      <c r="AJ4088">
        <v>77.869937769662798</v>
      </c>
      <c r="AK4088">
        <v>0.73325433131052198</v>
      </c>
      <c r="AL4088">
        <v>83.560535257243401</v>
      </c>
      <c r="AM4088">
        <v>86.035703186635402</v>
      </c>
      <c r="AN4088">
        <v>0.999999974887122</v>
      </c>
    </row>
    <row r="4089" spans="1:40" x14ac:dyDescent="0.25">
      <c r="A4089" t="str">
        <f>"20190312172159054"</f>
        <v>20190312172159054</v>
      </c>
      <c r="B4089" t="str">
        <f>"1552382519044837"</f>
        <v>1552382519044837</v>
      </c>
      <c r="C4089" t="s">
        <v>40</v>
      </c>
      <c r="D4089">
        <v>3.0616850000000002</v>
      </c>
      <c r="E4089">
        <v>0.54311219999999905</v>
      </c>
      <c r="F4089" t="s">
        <v>41</v>
      </c>
      <c r="G4089">
        <v>-360.71539999999999</v>
      </c>
      <c r="H4089">
        <v>0.95979170000000003</v>
      </c>
      <c r="I4089">
        <v>214.57769999999999</v>
      </c>
      <c r="J4089">
        <v>-361.2525</v>
      </c>
      <c r="K4089">
        <v>1.1094280000000001</v>
      </c>
      <c r="L4089">
        <v>214.69919999999999</v>
      </c>
      <c r="M4089">
        <v>0.99966270000000002</v>
      </c>
      <c r="N4089">
        <v>0</v>
      </c>
      <c r="O4089">
        <v>2.4294240000000002E-2</v>
      </c>
      <c r="P4089">
        <v>0.99362499999999998</v>
      </c>
      <c r="Q4089">
        <v>0.1032609</v>
      </c>
      <c r="R4089">
        <v>-4.5238260000000002E-2</v>
      </c>
      <c r="S4089">
        <v>3.0614620000000001</v>
      </c>
      <c r="T4089">
        <v>-0.61264799999999997</v>
      </c>
      <c r="U4089">
        <v>-0.47637940000000001</v>
      </c>
      <c r="V4089">
        <v>6.9469119999999995E-2</v>
      </c>
      <c r="W4089">
        <v>0.1123069</v>
      </c>
      <c r="X4089">
        <v>0.99124219999999996</v>
      </c>
      <c r="Y4089">
        <v>0.17387520000000001</v>
      </c>
      <c r="Z4089">
        <v>-2.191481E-2</v>
      </c>
      <c r="AA4089">
        <v>0.98452379999999995</v>
      </c>
      <c r="AB4089">
        <v>24</v>
      </c>
      <c r="AC4089">
        <v>0.53710000000000901</v>
      </c>
      <c r="AD4089">
        <v>-0.1496363</v>
      </c>
      <c r="AE4089">
        <v>-0.121499999999997</v>
      </c>
      <c r="AF4089">
        <v>0.125263700665077</v>
      </c>
      <c r="AG4089">
        <v>-0.1496363</v>
      </c>
      <c r="AH4089">
        <v>0.49727127428141399</v>
      </c>
      <c r="AI4089">
        <v>106.26720259161</v>
      </c>
      <c r="AJ4089">
        <v>75.861228521265303</v>
      </c>
      <c r="AK4089">
        <v>0.53419166710784705</v>
      </c>
      <c r="AL4089">
        <v>83.551684268183706</v>
      </c>
      <c r="AM4089">
        <v>85.991100886018401</v>
      </c>
      <c r="AN4089">
        <v>0.99999994874100995</v>
      </c>
    </row>
    <row r="4090" spans="1:40" x14ac:dyDescent="0.25">
      <c r="A4090" t="str">
        <f>"20190312172159078"</f>
        <v>20190312172159078</v>
      </c>
      <c r="B4090" t="str">
        <f>"1552382519075090"</f>
        <v>1552382519075090</v>
      </c>
      <c r="C4090" t="s">
        <v>40</v>
      </c>
      <c r="D4090">
        <v>3.052387</v>
      </c>
      <c r="E4090">
        <v>0.54293029999999998</v>
      </c>
      <c r="F4090" t="s">
        <v>41</v>
      </c>
      <c r="G4090">
        <v>-360.50369999999998</v>
      </c>
      <c r="H4090">
        <v>0.95832379999999995</v>
      </c>
      <c r="I4090">
        <v>214.5821</v>
      </c>
      <c r="J4090">
        <v>-361.01170000000002</v>
      </c>
      <c r="K4090">
        <v>1.109418</v>
      </c>
      <c r="L4090">
        <v>214.7045</v>
      </c>
      <c r="M4090">
        <v>0.99967680000000003</v>
      </c>
      <c r="N4090">
        <v>0</v>
      </c>
      <c r="O4090">
        <v>2.372755E-2</v>
      </c>
      <c r="P4090">
        <v>0.99357110000000004</v>
      </c>
      <c r="Q4090">
        <v>0.10350040000000001</v>
      </c>
      <c r="R4090">
        <v>-4.5870859999999999E-2</v>
      </c>
      <c r="S4090">
        <v>3.0617070000000002</v>
      </c>
      <c r="T4090">
        <v>-0.61788339999999997</v>
      </c>
      <c r="U4090">
        <v>-0.4780121</v>
      </c>
      <c r="V4090">
        <v>6.9538100000000005E-2</v>
      </c>
      <c r="W4090">
        <v>0.1124979</v>
      </c>
      <c r="X4090">
        <v>0.99121579999999998</v>
      </c>
      <c r="Y4090">
        <v>0.173767</v>
      </c>
      <c r="Z4090">
        <v>-2.1972499999999999E-2</v>
      </c>
      <c r="AA4090">
        <v>0.98454169999999996</v>
      </c>
      <c r="AB4090">
        <v>24</v>
      </c>
      <c r="AC4090">
        <v>0.50800000000003798</v>
      </c>
      <c r="AD4090">
        <v>-0.15109419999999901</v>
      </c>
      <c r="AE4090">
        <v>-0.122399999999998</v>
      </c>
      <c r="AF4090">
        <v>0.124047940060134</v>
      </c>
      <c r="AG4090">
        <v>-0.15109419999999901</v>
      </c>
      <c r="AH4090">
        <v>0.46599092004544601</v>
      </c>
      <c r="AI4090">
        <v>107.39738599778499</v>
      </c>
      <c r="AJ4090">
        <v>75.093415751016195</v>
      </c>
      <c r="AK4090">
        <v>0.50533640901047705</v>
      </c>
      <c r="AL4090">
        <v>83.540671594739507</v>
      </c>
      <c r="AM4090">
        <v>85.987026681900204</v>
      </c>
      <c r="AN4090">
        <v>1.00000004351282</v>
      </c>
    </row>
    <row r="4091" spans="1:40" x14ac:dyDescent="0.25">
      <c r="A4091" t="str">
        <f>"20190312172159099"</f>
        <v>20190312172159099</v>
      </c>
      <c r="B4091" t="str">
        <f>"1552382519094610"</f>
        <v>1552382519094610</v>
      </c>
      <c r="C4091" t="s">
        <v>40</v>
      </c>
      <c r="D4091">
        <v>3.1637379999999999</v>
      </c>
      <c r="E4091">
        <v>0.54283340000000002</v>
      </c>
      <c r="F4091" t="s">
        <v>41</v>
      </c>
      <c r="G4091">
        <v>-360.2894</v>
      </c>
      <c r="H4091">
        <v>0.9619164</v>
      </c>
      <c r="I4091">
        <v>214.5915</v>
      </c>
      <c r="J4091">
        <v>-360.77879999999999</v>
      </c>
      <c r="K4091">
        <v>1.1094090000000001</v>
      </c>
      <c r="L4091">
        <v>214.70939999999999</v>
      </c>
      <c r="M4091">
        <v>0.99968999999999997</v>
      </c>
      <c r="N4091">
        <v>0</v>
      </c>
      <c r="O4091">
        <v>2.3185290000000001E-2</v>
      </c>
      <c r="P4091">
        <v>0.99350859999999996</v>
      </c>
      <c r="Q4091">
        <v>0.1035924</v>
      </c>
      <c r="R4091">
        <v>-4.7003349999999999E-2</v>
      </c>
      <c r="S4091">
        <v>3.0625</v>
      </c>
      <c r="T4091">
        <v>-0.62543859999999996</v>
      </c>
      <c r="U4091">
        <v>-0.47781370000000001</v>
      </c>
      <c r="V4091">
        <v>7.0129659999999996E-2</v>
      </c>
      <c r="W4091">
        <v>0.1125367</v>
      </c>
      <c r="X4091">
        <v>0.99116970000000004</v>
      </c>
      <c r="Y4091">
        <v>0.17306440000000001</v>
      </c>
      <c r="Z4091">
        <v>-2.2050730000000001E-2</v>
      </c>
      <c r="AA4091">
        <v>0.98466359999999997</v>
      </c>
      <c r="AB4091">
        <v>24</v>
      </c>
      <c r="AC4091">
        <v>0.48939999999998901</v>
      </c>
      <c r="AD4091">
        <v>-0.147492599999999</v>
      </c>
      <c r="AE4091">
        <v>-0.117899999999991</v>
      </c>
      <c r="AF4091">
        <v>0.119000155373262</v>
      </c>
      <c r="AG4091">
        <v>-0.147492599999999</v>
      </c>
      <c r="AH4091">
        <v>0.44807043543014002</v>
      </c>
      <c r="AI4091">
        <v>107.648150553634</v>
      </c>
      <c r="AJ4091">
        <v>75.126534201644503</v>
      </c>
      <c r="AK4091">
        <v>0.48649996828383801</v>
      </c>
      <c r="AL4091">
        <v>83.538434198509094</v>
      </c>
      <c r="AM4091">
        <v>85.952813707058894</v>
      </c>
      <c r="AN4091">
        <v>1.0000000261283399</v>
      </c>
    </row>
    <row r="4092" spans="1:40" x14ac:dyDescent="0.25">
      <c r="A4092" t="str">
        <f>"20190312172159121"</f>
        <v>20190312172159121</v>
      </c>
      <c r="B4092" t="str">
        <f>"1552382519115107"</f>
        <v>1552382519115107</v>
      </c>
      <c r="C4092" t="s">
        <v>40</v>
      </c>
      <c r="D4092">
        <v>3.0664210000000001</v>
      </c>
      <c r="E4092">
        <v>0.54276409999999997</v>
      </c>
      <c r="F4092" t="s">
        <v>41</v>
      </c>
      <c r="G4092">
        <v>-360.07479999999998</v>
      </c>
      <c r="H4092">
        <v>0.9646882</v>
      </c>
      <c r="I4092">
        <v>214.5992</v>
      </c>
      <c r="J4092">
        <v>-360.5403</v>
      </c>
      <c r="K4092">
        <v>1.10941</v>
      </c>
      <c r="L4092">
        <v>214.71430000000001</v>
      </c>
      <c r="M4092">
        <v>0.99970289999999995</v>
      </c>
      <c r="N4092">
        <v>0</v>
      </c>
      <c r="O4092">
        <v>2.2641040000000001E-2</v>
      </c>
      <c r="P4092">
        <v>0.99337180000000003</v>
      </c>
      <c r="Q4092">
        <v>0.1045669</v>
      </c>
      <c r="R4092">
        <v>-4.7730059999999998E-2</v>
      </c>
      <c r="S4092">
        <v>3.062592</v>
      </c>
      <c r="T4092">
        <v>-0.62953979999999998</v>
      </c>
      <c r="U4092">
        <v>-0.47953800000000002</v>
      </c>
      <c r="V4092">
        <v>7.0312769999999997E-2</v>
      </c>
      <c r="W4092">
        <v>0.1134521</v>
      </c>
      <c r="X4092">
        <v>0.9910523</v>
      </c>
      <c r="Y4092">
        <v>0.17302629999999999</v>
      </c>
      <c r="Z4092">
        <v>-2.2076849999999999E-2</v>
      </c>
      <c r="AA4092">
        <v>0.98466969999999998</v>
      </c>
      <c r="AB4092">
        <v>24</v>
      </c>
      <c r="AC4092">
        <v>0.46550000000002001</v>
      </c>
      <c r="AD4092">
        <v>-0.14472179999999901</v>
      </c>
      <c r="AE4092">
        <v>-0.115100000000012</v>
      </c>
      <c r="AF4092">
        <v>0.115124018305963</v>
      </c>
      <c r="AG4092">
        <v>-0.14472179999999901</v>
      </c>
      <c r="AH4092">
        <v>0.42414083328824498</v>
      </c>
      <c r="AI4092">
        <v>108.226557651663</v>
      </c>
      <c r="AJ4092">
        <v>74.814152943928207</v>
      </c>
      <c r="AK4092">
        <v>0.46270226436510897</v>
      </c>
      <c r="AL4092">
        <v>83.485647162897493</v>
      </c>
      <c r="AM4092">
        <v>85.941802601040294</v>
      </c>
      <c r="AN4092">
        <v>0.99999996297738503</v>
      </c>
    </row>
    <row r="4093" spans="1:40" x14ac:dyDescent="0.25">
      <c r="A4093" t="str">
        <f>"20190312172159144"</f>
        <v>20190312172159144</v>
      </c>
      <c r="B4093" t="str">
        <f>"1552382519134626"</f>
        <v>1552382519134626</v>
      </c>
      <c r="C4093" t="s">
        <v>40</v>
      </c>
      <c r="D4093">
        <v>3.1643880000000002</v>
      </c>
      <c r="E4093">
        <v>0.54266490000000001</v>
      </c>
      <c r="F4093" t="s">
        <v>41</v>
      </c>
      <c r="G4093">
        <v>-359.66120000000001</v>
      </c>
      <c r="H4093">
        <v>0.9284985</v>
      </c>
      <c r="I4093">
        <v>214.57669999999999</v>
      </c>
      <c r="J4093">
        <v>-360.2928</v>
      </c>
      <c r="K4093">
        <v>1.1094139999999999</v>
      </c>
      <c r="L4093">
        <v>214.7193</v>
      </c>
      <c r="M4093">
        <v>0.99971600000000005</v>
      </c>
      <c r="N4093">
        <v>0</v>
      </c>
      <c r="O4093">
        <v>2.2088739999999999E-2</v>
      </c>
      <c r="P4093">
        <v>0.99327600000000005</v>
      </c>
      <c r="Q4093">
        <v>0.10523339999999901</v>
      </c>
      <c r="R4093">
        <v>-4.8260629999999999E-2</v>
      </c>
      <c r="S4093">
        <v>3.0633539999999999</v>
      </c>
      <c r="T4093">
        <v>-0.63050909999999905</v>
      </c>
      <c r="U4093">
        <v>-0.4797363</v>
      </c>
      <c r="V4093">
        <v>7.0292399999999894E-2</v>
      </c>
      <c r="W4093">
        <v>0.1140471</v>
      </c>
      <c r="X4093">
        <v>0.99098549999999996</v>
      </c>
      <c r="Y4093">
        <v>0.172518899999999</v>
      </c>
      <c r="Z4093">
        <v>-2.1941430000000001E-2</v>
      </c>
      <c r="AA4093">
        <v>0.98476180000000002</v>
      </c>
      <c r="AB4093">
        <v>24</v>
      </c>
      <c r="AC4093">
        <v>0.63159999999999095</v>
      </c>
      <c r="AD4093">
        <v>-0.18091549999999901</v>
      </c>
      <c r="AE4093">
        <v>-0.14260000000001499</v>
      </c>
      <c r="AF4093">
        <v>0.14518282631783</v>
      </c>
      <c r="AG4093">
        <v>-0.18091549999999901</v>
      </c>
      <c r="AH4093">
        <v>0.58279783588415801</v>
      </c>
      <c r="AI4093">
        <v>106.763352509764</v>
      </c>
      <c r="AJ4093">
        <v>76.011569764946998</v>
      </c>
      <c r="AK4093">
        <v>0.62726532560722803</v>
      </c>
      <c r="AL4093">
        <v>83.451333779018398</v>
      </c>
      <c r="AM4093">
        <v>85.9427017956843</v>
      </c>
      <c r="AN4093">
        <v>1.0000000118632</v>
      </c>
    </row>
    <row r="4094" spans="1:40" x14ac:dyDescent="0.25">
      <c r="A4094" t="str">
        <f>"20190312172159165"</f>
        <v>20190312172159165</v>
      </c>
      <c r="B4094" t="str">
        <f>"1552382519155126"</f>
        <v>1552382519155126</v>
      </c>
      <c r="C4094" t="s">
        <v>40</v>
      </c>
      <c r="D4094">
        <v>3.0699640000000001</v>
      </c>
      <c r="E4094">
        <v>0.54152860000000003</v>
      </c>
      <c r="F4094" t="s">
        <v>41</v>
      </c>
      <c r="G4094">
        <v>-359.44409999999999</v>
      </c>
      <c r="H4094">
        <v>0.93437950000000003</v>
      </c>
      <c r="I4094">
        <v>214.58619999999999</v>
      </c>
      <c r="J4094">
        <v>-360.06900000000002</v>
      </c>
      <c r="K4094">
        <v>1.1094120000000001</v>
      </c>
      <c r="L4094">
        <v>214.72370000000001</v>
      </c>
      <c r="M4094">
        <v>0.99972740000000004</v>
      </c>
      <c r="N4094">
        <v>0</v>
      </c>
      <c r="O4094">
        <v>2.1597370000000001E-2</v>
      </c>
      <c r="P4094">
        <v>0.99311919999999998</v>
      </c>
      <c r="Q4094">
        <v>0.10637629999999999</v>
      </c>
      <c r="R4094">
        <v>-4.897315E-2</v>
      </c>
      <c r="S4094">
        <v>3.0639340000000002</v>
      </c>
      <c r="T4094">
        <v>-0.63196490000000005</v>
      </c>
      <c r="U4094">
        <v>-0.47924800000000001</v>
      </c>
      <c r="V4094">
        <v>7.0514250000000001E-2</v>
      </c>
      <c r="W4094">
        <v>0.1151224</v>
      </c>
      <c r="X4094">
        <v>0.99084539999999999</v>
      </c>
      <c r="Y4094">
        <v>0.17186019999999999</v>
      </c>
      <c r="Z4094">
        <v>-2.182069E-2</v>
      </c>
      <c r="AA4094">
        <v>0.98487970000000002</v>
      </c>
      <c r="AB4094">
        <v>24</v>
      </c>
      <c r="AC4094">
        <v>0.62490000000002499</v>
      </c>
      <c r="AD4094">
        <v>-0.17503250000000001</v>
      </c>
      <c r="AE4094">
        <v>-0.137500000000017</v>
      </c>
      <c r="AF4094">
        <v>0.140454285388394</v>
      </c>
      <c r="AG4094">
        <v>-0.17503250000000001</v>
      </c>
      <c r="AH4094">
        <v>0.578494981255395</v>
      </c>
      <c r="AI4094">
        <v>106.384564461859</v>
      </c>
      <c r="AJ4094">
        <v>76.353074410659005</v>
      </c>
      <c r="AK4094">
        <v>0.62049998040120402</v>
      </c>
      <c r="AL4094">
        <v>83.389315168915701</v>
      </c>
      <c r="AM4094">
        <v>85.929365965402496</v>
      </c>
      <c r="AN4094">
        <v>1.0000000165679901</v>
      </c>
    </row>
    <row r="4095" spans="1:40" x14ac:dyDescent="0.25">
      <c r="A4095" t="str">
        <f>"20190312172159188"</f>
        <v>20190312172159188</v>
      </c>
      <c r="B4095" t="str">
        <f>"1552382519184402"</f>
        <v>1552382519184402</v>
      </c>
      <c r="C4095" t="s">
        <v>40</v>
      </c>
      <c r="D4095">
        <v>3.165359</v>
      </c>
      <c r="E4095">
        <v>0.54132019999999903</v>
      </c>
      <c r="F4095" t="s">
        <v>41</v>
      </c>
      <c r="G4095">
        <v>-359.23919999999998</v>
      </c>
      <c r="H4095">
        <v>0.91048839999999998</v>
      </c>
      <c r="I4095">
        <v>214.59630000000001</v>
      </c>
      <c r="J4095">
        <v>-359.82819999999998</v>
      </c>
      <c r="K4095">
        <v>1.1094090000000001</v>
      </c>
      <c r="L4095">
        <v>214.72829999999999</v>
      </c>
      <c r="M4095">
        <v>0.99973900000000004</v>
      </c>
      <c r="N4095">
        <v>0</v>
      </c>
      <c r="O4095">
        <v>2.107442E-2</v>
      </c>
      <c r="P4095">
        <v>0.99297429999999998</v>
      </c>
      <c r="Q4095">
        <v>0.10757419999999999</v>
      </c>
      <c r="R4095">
        <v>-4.9292500000000003E-2</v>
      </c>
      <c r="S4095">
        <v>3.076508</v>
      </c>
      <c r="T4095">
        <v>-0.73748069999999999</v>
      </c>
      <c r="U4095">
        <v>-0.4717712</v>
      </c>
      <c r="V4095">
        <v>7.0312120000000006E-2</v>
      </c>
      <c r="W4095">
        <v>0.1162511</v>
      </c>
      <c r="X4095">
        <v>0.99072800000000005</v>
      </c>
      <c r="Y4095">
        <v>0.16715669999999999</v>
      </c>
      <c r="Z4095">
        <v>-2.4600279999999999E-2</v>
      </c>
      <c r="AA4095">
        <v>0.98562340000000004</v>
      </c>
      <c r="AB4095">
        <v>24</v>
      </c>
      <c r="AC4095">
        <v>0.58899999999999797</v>
      </c>
      <c r="AD4095">
        <v>-0.1989206</v>
      </c>
      <c r="AE4095">
        <v>-0.131999999999976</v>
      </c>
      <c r="AF4095">
        <v>0.13023944458205999</v>
      </c>
      <c r="AG4095">
        <v>-0.1989206</v>
      </c>
      <c r="AH4095">
        <v>0.52867131082889696</v>
      </c>
      <c r="AI4095">
        <v>110.069383630443</v>
      </c>
      <c r="AJ4095">
        <v>76.160623322565996</v>
      </c>
      <c r="AK4095">
        <v>0.579676696894871</v>
      </c>
      <c r="AL4095">
        <v>83.324208441282707</v>
      </c>
      <c r="AM4095">
        <v>85.940516053701401</v>
      </c>
      <c r="AN4095">
        <v>1.00000004122705</v>
      </c>
    </row>
    <row r="4096" spans="1:40" x14ac:dyDescent="0.25">
      <c r="A4096" t="str">
        <f>"20190312172159210"</f>
        <v>20190312172159210</v>
      </c>
      <c r="B4096" t="str">
        <f>"1552382519204899"</f>
        <v>1552382519204899</v>
      </c>
      <c r="C4096" t="s">
        <v>40</v>
      </c>
      <c r="D4096">
        <v>3.0906579999999999</v>
      </c>
      <c r="E4096">
        <v>0.541332699999999</v>
      </c>
      <c r="F4096" t="s">
        <v>41</v>
      </c>
      <c r="G4096">
        <v>-359.0181</v>
      </c>
      <c r="H4096">
        <v>0.92265469999999905</v>
      </c>
      <c r="I4096">
        <v>214.6037</v>
      </c>
      <c r="J4096">
        <v>-359.58139999999997</v>
      </c>
      <c r="K4096">
        <v>1.1094029999999999</v>
      </c>
      <c r="L4096">
        <v>214.7329</v>
      </c>
      <c r="M4096">
        <v>0.9997509</v>
      </c>
      <c r="N4096">
        <v>0</v>
      </c>
      <c r="O4096">
        <v>2.0540510000000001E-2</v>
      </c>
      <c r="P4096">
        <v>0.9928167</v>
      </c>
      <c r="Q4096">
        <v>0.10888929999999999</v>
      </c>
      <c r="R4096">
        <v>-4.9582910000000001E-2</v>
      </c>
      <c r="S4096">
        <v>3.0745849999999999</v>
      </c>
      <c r="T4096">
        <v>-0.70876859999999997</v>
      </c>
      <c r="U4096">
        <v>-0.47184749999999998</v>
      </c>
      <c r="V4096">
        <v>7.0070190000000004E-2</v>
      </c>
      <c r="W4096">
        <v>0.11749419999999999</v>
      </c>
      <c r="X4096">
        <v>0.99059839999999999</v>
      </c>
      <c r="Y4096">
        <v>0.1671483</v>
      </c>
      <c r="Z4096">
        <v>-2.3559409999999999E-2</v>
      </c>
      <c r="AA4096">
        <v>0.98565020000000003</v>
      </c>
      <c r="AB4096">
        <v>24</v>
      </c>
      <c r="AC4096">
        <v>0.56329999999996905</v>
      </c>
      <c r="AD4096">
        <v>-0.18674830000000001</v>
      </c>
      <c r="AE4096">
        <v>-0.12919999999999701</v>
      </c>
      <c r="AF4096">
        <v>0.12743715894758301</v>
      </c>
      <c r="AG4096">
        <v>-0.18674830000000001</v>
      </c>
      <c r="AH4096">
        <v>0.507532634540937</v>
      </c>
      <c r="AI4096">
        <v>109.640225772207</v>
      </c>
      <c r="AJ4096">
        <v>75.904909027770302</v>
      </c>
      <c r="AK4096">
        <v>0.55561185386705603</v>
      </c>
      <c r="AL4096">
        <v>83.252491991492505</v>
      </c>
      <c r="AM4096">
        <v>85.953909947806693</v>
      </c>
      <c r="AN4096">
        <v>0.99999995432141697</v>
      </c>
    </row>
    <row r="4097" spans="1:40" x14ac:dyDescent="0.25">
      <c r="A4097" t="str">
        <f>"20190312172159234"</f>
        <v>20190312172159234</v>
      </c>
      <c r="B4097" t="str">
        <f>"1552382519224419"</f>
        <v>1552382519224419</v>
      </c>
      <c r="C4097" t="s">
        <v>40</v>
      </c>
      <c r="D4097">
        <v>3.165645</v>
      </c>
      <c r="E4097">
        <v>0.54115809999999998</v>
      </c>
      <c r="F4097" t="s">
        <v>41</v>
      </c>
      <c r="G4097">
        <v>-358.798</v>
      </c>
      <c r="H4097">
        <v>0.93129360000000005</v>
      </c>
      <c r="I4097">
        <v>214.6122</v>
      </c>
      <c r="J4097">
        <v>-359.3236</v>
      </c>
      <c r="K4097">
        <v>1.109394</v>
      </c>
      <c r="L4097">
        <v>214.73759999999999</v>
      </c>
      <c r="M4097">
        <v>0.9997627</v>
      </c>
      <c r="N4097">
        <v>0</v>
      </c>
      <c r="O4097">
        <v>1.9984020000000002E-2</v>
      </c>
      <c r="P4097">
        <v>0.99268849999999997</v>
      </c>
      <c r="Q4097">
        <v>0.1099492</v>
      </c>
      <c r="R4097">
        <v>-4.9808440000000002E-2</v>
      </c>
      <c r="S4097">
        <v>3.074738</v>
      </c>
      <c r="T4097">
        <v>-0.69909639999999995</v>
      </c>
      <c r="U4097">
        <v>-0.4732056</v>
      </c>
      <c r="V4097">
        <v>6.9741579999999997E-2</v>
      </c>
      <c r="W4097">
        <v>0.1184767</v>
      </c>
      <c r="X4097">
        <v>0.99050459999999996</v>
      </c>
      <c r="Y4097">
        <v>0.16716129999999901</v>
      </c>
      <c r="Z4097">
        <v>-2.3121119999999998E-2</v>
      </c>
      <c r="AA4097">
        <v>0.98565840000000005</v>
      </c>
      <c r="AB4097">
        <v>24</v>
      </c>
      <c r="AC4097">
        <v>0.52559999999999696</v>
      </c>
      <c r="AD4097">
        <v>-0.17810039999999999</v>
      </c>
      <c r="AE4097">
        <v>-0.125399999999984</v>
      </c>
      <c r="AF4097">
        <v>0.122564020720155</v>
      </c>
      <c r="AG4097">
        <v>-0.17810039999999999</v>
      </c>
      <c r="AH4097">
        <v>0.47174066694162797</v>
      </c>
      <c r="AI4097">
        <v>110.07266927209599</v>
      </c>
      <c r="AJ4097">
        <v>75.435858506834407</v>
      </c>
      <c r="AK4097">
        <v>0.51892287336538001</v>
      </c>
      <c r="AL4097">
        <v>83.195803169025297</v>
      </c>
      <c r="AM4097">
        <v>85.972442306480403</v>
      </c>
      <c r="AN4097">
        <v>0.99999998952247304</v>
      </c>
    </row>
    <row r="4098" spans="1:40" x14ac:dyDescent="0.25">
      <c r="A4098" t="str">
        <f>"20190312172159255"</f>
        <v>20190312172159255</v>
      </c>
      <c r="B4098" t="str">
        <f>"1552382519244914"</f>
        <v>1552382519244914</v>
      </c>
      <c r="C4098" t="s">
        <v>40</v>
      </c>
      <c r="D4098">
        <v>3.1015730000000001</v>
      </c>
      <c r="E4098">
        <v>0.5410315</v>
      </c>
      <c r="F4098" t="s">
        <v>41</v>
      </c>
      <c r="G4098">
        <v>-358.57650000000001</v>
      </c>
      <c r="H4098">
        <v>0.94107940000000001</v>
      </c>
      <c r="I4098">
        <v>214.6225</v>
      </c>
      <c r="J4098">
        <v>-359.09379999999999</v>
      </c>
      <c r="K4098">
        <v>1.1093820000000001</v>
      </c>
      <c r="L4098">
        <v>214.74160000000001</v>
      </c>
      <c r="M4098">
        <v>0.99977309999999997</v>
      </c>
      <c r="N4098">
        <v>0</v>
      </c>
      <c r="O4098">
        <v>1.948751E-2</v>
      </c>
      <c r="P4098">
        <v>0.99256619999999995</v>
      </c>
      <c r="Q4098">
        <v>0.1108196</v>
      </c>
      <c r="R4098">
        <v>-5.0314780000000003E-2</v>
      </c>
      <c r="S4098">
        <v>3.0751339999999998</v>
      </c>
      <c r="T4098">
        <v>-0.69277929999999999</v>
      </c>
      <c r="U4098">
        <v>-0.47189330000000002</v>
      </c>
      <c r="V4098">
        <v>6.9753579999999996E-2</v>
      </c>
      <c r="W4098">
        <v>0.1192787</v>
      </c>
      <c r="X4098">
        <v>0.9904075</v>
      </c>
      <c r="Y4098">
        <v>0.1663577</v>
      </c>
      <c r="Z4098">
        <v>-2.2716279999999998E-2</v>
      </c>
      <c r="AA4098">
        <v>0.98580380000000001</v>
      </c>
      <c r="AB4098">
        <v>24</v>
      </c>
      <c r="AC4098">
        <v>0.517299999999977</v>
      </c>
      <c r="AD4098">
        <v>-0.168302599999999</v>
      </c>
      <c r="AE4098">
        <v>-0.119100000000003</v>
      </c>
      <c r="AF4098">
        <v>0.117361155210201</v>
      </c>
      <c r="AG4098">
        <v>-0.168302599999999</v>
      </c>
      <c r="AH4098">
        <v>0.467850957350115</v>
      </c>
      <c r="AI4098">
        <v>109.235139953744</v>
      </c>
      <c r="AJ4098">
        <v>75.917843529208497</v>
      </c>
      <c r="AK4098">
        <v>0.51086585735636303</v>
      </c>
      <c r="AL4098">
        <v>83.149523805303204</v>
      </c>
      <c r="AM4098">
        <v>85.971357959884003</v>
      </c>
      <c r="AN4098">
        <v>0.999999993126378</v>
      </c>
    </row>
    <row r="4099" spans="1:40" x14ac:dyDescent="0.25">
      <c r="A4099" t="str">
        <f>"20190312172159278"</f>
        <v>20190312172159278</v>
      </c>
      <c r="B4099" t="str">
        <f>"1552382519275171"</f>
        <v>1552382519275171</v>
      </c>
      <c r="C4099" t="s">
        <v>40</v>
      </c>
      <c r="D4099">
        <v>3.098624</v>
      </c>
      <c r="E4099">
        <v>0.54105879999999995</v>
      </c>
      <c r="F4099" t="s">
        <v>41</v>
      </c>
      <c r="G4099">
        <v>-358.35719999999998</v>
      </c>
      <c r="H4099">
        <v>0.94433100000000003</v>
      </c>
      <c r="I4099">
        <v>214.6284</v>
      </c>
      <c r="J4099">
        <v>-358.85160000000002</v>
      </c>
      <c r="K4099">
        <v>1.109378</v>
      </c>
      <c r="L4099">
        <v>214.7458</v>
      </c>
      <c r="M4099">
        <v>0.9997838</v>
      </c>
      <c r="N4099">
        <v>0</v>
      </c>
      <c r="O4099">
        <v>1.8963750000000001E-2</v>
      </c>
      <c r="P4099">
        <v>0.99244319999999997</v>
      </c>
      <c r="Q4099">
        <v>0.11191280000000001</v>
      </c>
      <c r="R4099">
        <v>-5.0319120000000002E-2</v>
      </c>
      <c r="S4099">
        <v>3.0754999999999999</v>
      </c>
      <c r="T4099">
        <v>-0.68911519999999904</v>
      </c>
      <c r="U4099">
        <v>-0.47184749999999998</v>
      </c>
      <c r="V4099">
        <v>6.9237279999999998E-2</v>
      </c>
      <c r="W4099">
        <v>0.1203018</v>
      </c>
      <c r="X4099">
        <v>0.99031999999999998</v>
      </c>
      <c r="Y4099">
        <v>0.16588240000000001</v>
      </c>
      <c r="Z4099">
        <v>-2.2428779999999999E-2</v>
      </c>
      <c r="AA4099">
        <v>0.98589039999999994</v>
      </c>
      <c r="AB4099">
        <v>24</v>
      </c>
      <c r="AC4099">
        <v>0.49440000000004097</v>
      </c>
      <c r="AD4099">
        <v>-0.165047</v>
      </c>
      <c r="AE4099">
        <v>-0.117400000000003</v>
      </c>
      <c r="AF4099">
        <v>0.114658872951776</v>
      </c>
      <c r="AG4099">
        <v>-0.165047</v>
      </c>
      <c r="AH4099">
        <v>0.44512575187250802</v>
      </c>
      <c r="AI4099">
        <v>109.751507255167</v>
      </c>
      <c r="AJ4099">
        <v>75.555328113614905</v>
      </c>
      <c r="AK4099">
        <v>0.48838929588560598</v>
      </c>
      <c r="AL4099">
        <v>83.090479463451501</v>
      </c>
      <c r="AM4099">
        <v>86.000727763045305</v>
      </c>
      <c r="AN4099">
        <v>1.00000001321251</v>
      </c>
    </row>
    <row r="4100" spans="1:40" x14ac:dyDescent="0.25">
      <c r="A4100" t="str">
        <f>"20190312172159302"</f>
        <v>20190312172159302</v>
      </c>
      <c r="B4100" t="str">
        <f>"1552382519294690"</f>
        <v>1552382519294690</v>
      </c>
      <c r="C4100" t="s">
        <v>40</v>
      </c>
      <c r="D4100">
        <v>3.1253760000000002</v>
      </c>
      <c r="E4100">
        <v>0.54114629999999997</v>
      </c>
      <c r="F4100" t="s">
        <v>41</v>
      </c>
      <c r="G4100">
        <v>-358.1361</v>
      </c>
      <c r="H4100">
        <v>0.9502254</v>
      </c>
      <c r="I4100">
        <v>214.63550000000001</v>
      </c>
      <c r="J4100">
        <v>-358.58690000000001</v>
      </c>
      <c r="K4100">
        <v>1.10937</v>
      </c>
      <c r="L4100">
        <v>214.75020000000001</v>
      </c>
      <c r="M4100">
        <v>0.99979530000000005</v>
      </c>
      <c r="N4100">
        <v>0</v>
      </c>
      <c r="O4100">
        <v>1.8390119999999999E-2</v>
      </c>
      <c r="P4100">
        <v>0.99222960000000004</v>
      </c>
      <c r="Q4100">
        <v>0.1139062</v>
      </c>
      <c r="R4100">
        <v>-5.0059380000000001E-2</v>
      </c>
      <c r="S4100">
        <v>3.0760190000000001</v>
      </c>
      <c r="T4100">
        <v>-0.68424079999999998</v>
      </c>
      <c r="U4100">
        <v>-0.4727325</v>
      </c>
      <c r="V4100">
        <v>6.8406880000000003E-2</v>
      </c>
      <c r="W4100">
        <v>0.1222192</v>
      </c>
      <c r="X4100">
        <v>0.99014290000000005</v>
      </c>
      <c r="Y4100">
        <v>0.16565260000000001</v>
      </c>
      <c r="Z4100">
        <v>-2.2119239999999998E-2</v>
      </c>
      <c r="AA4100">
        <v>0.98593609999999998</v>
      </c>
      <c r="AB4100">
        <v>24</v>
      </c>
      <c r="AC4100">
        <v>0.45080000000001502</v>
      </c>
      <c r="AD4100">
        <v>-0.159144599999999</v>
      </c>
      <c r="AE4100">
        <v>-0.114699999999999</v>
      </c>
      <c r="AF4100">
        <v>0.11008558956325699</v>
      </c>
      <c r="AG4100">
        <v>-0.159144599999999</v>
      </c>
      <c r="AH4100">
        <v>0.401606138809675</v>
      </c>
      <c r="AI4100">
        <v>110.915481467668</v>
      </c>
      <c r="AJ4100">
        <v>74.670990943669196</v>
      </c>
      <c r="AK4100">
        <v>0.44579516761430499</v>
      </c>
      <c r="AL4100">
        <v>82.9798037071115</v>
      </c>
      <c r="AM4100">
        <v>86.047835793788394</v>
      </c>
      <c r="AN4100">
        <v>0.99999999825019203</v>
      </c>
    </row>
    <row r="4101" spans="1:40" x14ac:dyDescent="0.25">
      <c r="A4101" t="str">
        <f>"20190312172159322"</f>
        <v>20190312172159322</v>
      </c>
      <c r="B4101" t="str">
        <f>"1552382519315189"</f>
        <v>1552382519315189</v>
      </c>
      <c r="C4101" t="s">
        <v>40</v>
      </c>
      <c r="D4101">
        <v>3.2547630000000001</v>
      </c>
      <c r="E4101">
        <v>0.52348700000000004</v>
      </c>
      <c r="F4101" t="s">
        <v>41</v>
      </c>
      <c r="G4101">
        <v>-357.71069999999997</v>
      </c>
      <c r="H4101">
        <v>0.91666709999999996</v>
      </c>
      <c r="I4101">
        <v>214.61519999999999</v>
      </c>
      <c r="J4101">
        <v>-358.35070000000002</v>
      </c>
      <c r="K4101">
        <v>1.1093679999999999</v>
      </c>
      <c r="L4101">
        <v>214.75399999999999</v>
      </c>
      <c r="M4101">
        <v>0.99980500000000005</v>
      </c>
      <c r="N4101">
        <v>0</v>
      </c>
      <c r="O4101">
        <v>1.7878049999999999E-2</v>
      </c>
      <c r="P4101">
        <v>0.99198819999999999</v>
      </c>
      <c r="Q4101">
        <v>0.115976</v>
      </c>
      <c r="R4101">
        <v>-5.0093609999999997E-2</v>
      </c>
      <c r="S4101">
        <v>3.0773320000000002</v>
      </c>
      <c r="T4101">
        <v>-0.6768286</v>
      </c>
      <c r="U4101">
        <v>-0.47326659999999998</v>
      </c>
      <c r="V4101">
        <v>6.7931350000000001E-2</v>
      </c>
      <c r="W4101">
        <v>0.12422370000000001</v>
      </c>
      <c r="X4101">
        <v>0.98992619999999998</v>
      </c>
      <c r="Y4101">
        <v>0.16536809999999999</v>
      </c>
      <c r="Z4101">
        <v>-2.1734389999999999E-2</v>
      </c>
      <c r="AA4101">
        <v>0.98599239999999999</v>
      </c>
      <c r="AB4101">
        <v>24</v>
      </c>
      <c r="AC4101">
        <v>0.64000000000004298</v>
      </c>
      <c r="AD4101">
        <v>-0.19270090000000001</v>
      </c>
      <c r="AE4101">
        <v>-0.13880000000003101</v>
      </c>
      <c r="AF4101">
        <v>0.138249713639783</v>
      </c>
      <c r="AG4101">
        <v>-0.19270090000000001</v>
      </c>
      <c r="AH4101">
        <v>0.58662295417596799</v>
      </c>
      <c r="AI4101">
        <v>107.730784452639</v>
      </c>
      <c r="AJ4101">
        <v>76.739049008898107</v>
      </c>
      <c r="AK4101">
        <v>0.63275043306854595</v>
      </c>
      <c r="AL4101">
        <v>82.864072620788306</v>
      </c>
      <c r="AM4101">
        <v>86.074366609878993</v>
      </c>
      <c r="AN4101">
        <v>1.0000000387004699</v>
      </c>
    </row>
    <row r="4102" spans="1:40" x14ac:dyDescent="0.25">
      <c r="A4102" t="str">
        <f>"20190312172159344"</f>
        <v>20190312172159344</v>
      </c>
      <c r="B4102" t="str">
        <f>"1552382519334710"</f>
        <v>1552382519334710</v>
      </c>
      <c r="C4102" t="s">
        <v>40</v>
      </c>
      <c r="D4102">
        <v>3.0658430000000001</v>
      </c>
      <c r="E4102">
        <v>0.51888540000000005</v>
      </c>
      <c r="F4102" t="s">
        <v>41</v>
      </c>
      <c r="G4102">
        <v>-357.45179999999999</v>
      </c>
      <c r="H4102">
        <v>1.0037579999999999</v>
      </c>
      <c r="I4102">
        <v>214.65520000000001</v>
      </c>
      <c r="J4102">
        <v>-358.11410000000001</v>
      </c>
      <c r="K4102">
        <v>1.1093729999999999</v>
      </c>
      <c r="L4102">
        <v>214.7576</v>
      </c>
      <c r="M4102">
        <v>0.9998146</v>
      </c>
      <c r="N4102">
        <v>0</v>
      </c>
      <c r="O4102">
        <v>1.7364999999999998E-2</v>
      </c>
      <c r="P4102">
        <v>0.99176410000000004</v>
      </c>
      <c r="Q4102">
        <v>0.11797779999999999</v>
      </c>
      <c r="R4102">
        <v>-4.985473E-2</v>
      </c>
      <c r="S4102">
        <v>3.0491640000000002</v>
      </c>
      <c r="T4102">
        <v>-0.3582031</v>
      </c>
      <c r="U4102">
        <v>-0.33485409999999999</v>
      </c>
      <c r="V4102">
        <v>6.7182249999999999E-2</v>
      </c>
      <c r="W4102">
        <v>0.12616569999999999</v>
      </c>
      <c r="X4102">
        <v>0.98973169999999999</v>
      </c>
      <c r="Y4102">
        <v>0.12543660000000001</v>
      </c>
      <c r="Z4102">
        <v>-9.348281E-3</v>
      </c>
      <c r="AA4102">
        <v>0.99205759999999998</v>
      </c>
      <c r="AB4102">
        <v>25</v>
      </c>
      <c r="AC4102">
        <v>0.66230000000001599</v>
      </c>
      <c r="AD4102">
        <v>-0.105615</v>
      </c>
      <c r="AE4102">
        <v>-0.102399999999988</v>
      </c>
      <c r="AF4102">
        <v>0.111125871995383</v>
      </c>
      <c r="AG4102">
        <v>-0.105615</v>
      </c>
      <c r="AH4102">
        <v>0.64441713535423994</v>
      </c>
      <c r="AI4102">
        <v>99.174530204784702</v>
      </c>
      <c r="AJ4102">
        <v>80.215911909528799</v>
      </c>
      <c r="AK4102">
        <v>0.66240239431171899</v>
      </c>
      <c r="AL4102">
        <v>82.7519218187456</v>
      </c>
      <c r="AM4102">
        <v>86.116762014357903</v>
      </c>
      <c r="AN4102">
        <v>1.0000000382782199</v>
      </c>
    </row>
    <row r="4103" spans="1:40" x14ac:dyDescent="0.25">
      <c r="A4103" t="str">
        <f>"20190312172159365"</f>
        <v>20190312172159365</v>
      </c>
      <c r="B4103" t="str">
        <f>"1552382519354227"</f>
        <v>1552382519354227</v>
      </c>
      <c r="C4103" t="s">
        <v>40</v>
      </c>
      <c r="D4103">
        <v>3.105858</v>
      </c>
      <c r="E4103">
        <v>0.51742759999999999</v>
      </c>
      <c r="F4103" t="s">
        <v>41</v>
      </c>
      <c r="G4103">
        <v>-357.21429999999998</v>
      </c>
      <c r="H4103">
        <v>1.0384690000000001</v>
      </c>
      <c r="I4103">
        <v>214.66909999999999</v>
      </c>
      <c r="J4103">
        <v>-357.87599999999998</v>
      </c>
      <c r="K4103">
        <v>1.1093729999999999</v>
      </c>
      <c r="L4103">
        <v>214.7612</v>
      </c>
      <c r="M4103">
        <v>0.99982389999999999</v>
      </c>
      <c r="N4103">
        <v>0</v>
      </c>
      <c r="O4103">
        <v>1.6848169999999999E-2</v>
      </c>
      <c r="P4103">
        <v>0.99161460000000001</v>
      </c>
      <c r="Q4103">
        <v>0.1191773</v>
      </c>
      <c r="R4103">
        <v>-4.9972339999999997E-2</v>
      </c>
      <c r="S4103">
        <v>3.0384519999999999</v>
      </c>
      <c r="T4103">
        <v>-0.23956949999999999</v>
      </c>
      <c r="U4103">
        <v>-0.29785159999999899</v>
      </c>
      <c r="V4103">
        <v>6.6786940000000003E-2</v>
      </c>
      <c r="W4103">
        <v>0.12731029999999999</v>
      </c>
      <c r="X4103">
        <v>0.98961189999999999</v>
      </c>
      <c r="Y4103">
        <v>0.11391220000000001</v>
      </c>
      <c r="Z4103">
        <v>-5.7965919999999997E-3</v>
      </c>
      <c r="AA4103">
        <v>0.99347390000000002</v>
      </c>
      <c r="AB4103">
        <v>25</v>
      </c>
      <c r="AC4103">
        <v>0.66169999999999596</v>
      </c>
      <c r="AD4103">
        <v>-7.0903999999999801E-2</v>
      </c>
      <c r="AE4103">
        <v>-9.2100000000016197E-2</v>
      </c>
      <c r="AF4103">
        <v>0.102085863481906</v>
      </c>
      <c r="AG4103">
        <v>-7.0903999999999801E-2</v>
      </c>
      <c r="AH4103">
        <v>0.65270237373533901</v>
      </c>
      <c r="AI4103">
        <v>96.125913528582302</v>
      </c>
      <c r="AJ4103">
        <v>81.110676253130706</v>
      </c>
      <c r="AK4103">
        <v>0.66443155359946005</v>
      </c>
      <c r="AL4103">
        <v>82.685808102423593</v>
      </c>
      <c r="AM4103">
        <v>86.1390763248274</v>
      </c>
      <c r="AN4103">
        <v>1.0000000602311301</v>
      </c>
    </row>
    <row r="4104" spans="1:40" x14ac:dyDescent="0.25">
      <c r="A4104" t="str">
        <f>"20190312172159388"</f>
        <v>20190312172159388</v>
      </c>
      <c r="B4104" t="str">
        <f>"1552382519384483"</f>
        <v>1552382519384483</v>
      </c>
      <c r="C4104" t="s">
        <v>40</v>
      </c>
      <c r="D4104">
        <v>3.0859939999999999</v>
      </c>
      <c r="E4104">
        <v>0.51650669999999999</v>
      </c>
      <c r="F4104" t="s">
        <v>46</v>
      </c>
      <c r="G4104">
        <v>-339.12180000000001</v>
      </c>
      <c r="H4104" s="1">
        <v>3.3885759999999998E-6</v>
      </c>
      <c r="I4104">
        <v>212.98769999999999</v>
      </c>
      <c r="J4104">
        <v>-357.62560000000002</v>
      </c>
      <c r="K4104">
        <v>1.10937</v>
      </c>
      <c r="L4104">
        <v>214.76480000000001</v>
      </c>
      <c r="M4104">
        <v>0.99983319999999998</v>
      </c>
      <c r="N4104">
        <v>0</v>
      </c>
      <c r="O4104">
        <v>1.6304699999999998E-2</v>
      </c>
      <c r="P4104">
        <v>0.99149860000000001</v>
      </c>
      <c r="Q4104">
        <v>0.1201395</v>
      </c>
      <c r="R4104">
        <v>-4.9969779999999998E-2</v>
      </c>
      <c r="S4104">
        <v>3.0325009999999999</v>
      </c>
      <c r="T4104">
        <v>-0.17938229999999999</v>
      </c>
      <c r="U4104">
        <v>-0.28675840000000002</v>
      </c>
      <c r="V4104">
        <v>6.6245399999999996E-2</v>
      </c>
      <c r="W4104">
        <v>0.12821689999999999</v>
      </c>
      <c r="X4104">
        <v>0.98953120000000006</v>
      </c>
      <c r="Y4104">
        <v>0.1101429</v>
      </c>
      <c r="Z4104">
        <v>-4.209267E-3</v>
      </c>
      <c r="AA4104">
        <v>0.99390690000000004</v>
      </c>
      <c r="AB4104">
        <v>25</v>
      </c>
      <c r="AC4104">
        <v>18.503799999999998</v>
      </c>
      <c r="AD4104">
        <v>-1.1093666114239999</v>
      </c>
      <c r="AE4104">
        <v>-1.7771000000000099</v>
      </c>
      <c r="AF4104">
        <v>2.0711961779599801</v>
      </c>
      <c r="AG4104">
        <v>-1.1093666114239999</v>
      </c>
      <c r="AH4104">
        <v>18.4068070048096</v>
      </c>
      <c r="AI4104">
        <v>93.427430438123594</v>
      </c>
      <c r="AJ4104">
        <v>83.579890320804296</v>
      </c>
      <c r="AK4104">
        <v>18.556160486438099</v>
      </c>
      <c r="AL4104">
        <v>82.633434166424905</v>
      </c>
      <c r="AM4104">
        <v>86.169977575900205</v>
      </c>
      <c r="AN4104">
        <v>1.0000000111201</v>
      </c>
    </row>
    <row r="4105" spans="1:40" x14ac:dyDescent="0.25">
      <c r="A4105" t="str">
        <f>"20190312172159411"</f>
        <v>20190312172159411</v>
      </c>
      <c r="B4105" t="str">
        <f>"1552382519404979"</f>
        <v>1552382519404979</v>
      </c>
      <c r="C4105" t="s">
        <v>40</v>
      </c>
      <c r="D4105">
        <v>3.106366</v>
      </c>
      <c r="E4105">
        <v>0.51608869999999996</v>
      </c>
      <c r="F4105" t="s">
        <v>46</v>
      </c>
      <c r="G4105">
        <v>-333.34339999999997</v>
      </c>
      <c r="H4105" s="1">
        <v>3.339952E-7</v>
      </c>
      <c r="I4105">
        <v>212.52029999999999</v>
      </c>
      <c r="J4105">
        <v>-357.3673</v>
      </c>
      <c r="K4105">
        <v>1.109361</v>
      </c>
      <c r="L4105">
        <v>214.76840000000001</v>
      </c>
      <c r="M4105">
        <v>0.99984280000000003</v>
      </c>
      <c r="N4105">
        <v>0</v>
      </c>
      <c r="O4105">
        <v>1.574455E-2</v>
      </c>
      <c r="P4105">
        <v>0.99147850000000004</v>
      </c>
      <c r="Q4105">
        <v>0.12026249999999999</v>
      </c>
      <c r="R4105">
        <v>-5.0076019999999999E-2</v>
      </c>
      <c r="S4105">
        <v>3.028381</v>
      </c>
      <c r="T4105">
        <v>-0.1383559</v>
      </c>
      <c r="U4105">
        <v>-0.27992250000000002</v>
      </c>
      <c r="V4105">
        <v>6.5797049999999996E-2</v>
      </c>
      <c r="W4105">
        <v>0.1282836</v>
      </c>
      <c r="X4105">
        <v>0.9895524</v>
      </c>
      <c r="Y4105">
        <v>0.10757990000000001</v>
      </c>
      <c r="Z4105">
        <v>-3.168517E-3</v>
      </c>
      <c r="AA4105">
        <v>0.99419139999999995</v>
      </c>
      <c r="AB4105">
        <v>25</v>
      </c>
      <c r="AC4105">
        <v>24.023900000000001</v>
      </c>
      <c r="AD4105">
        <v>-1.1093606660048001</v>
      </c>
      <c r="AE4105">
        <v>-2.24810000000002</v>
      </c>
      <c r="AF4105">
        <v>2.6205399902537598</v>
      </c>
      <c r="AG4105">
        <v>-1.1093606660048001</v>
      </c>
      <c r="AH4105">
        <v>23.934930859603799</v>
      </c>
      <c r="AI4105">
        <v>92.637962936494205</v>
      </c>
      <c r="AJ4105">
        <v>83.751800723853606</v>
      </c>
      <c r="AK4105">
        <v>24.1035023633872</v>
      </c>
      <c r="AL4105">
        <v>82.629580211296499</v>
      </c>
      <c r="AM4105">
        <v>86.195904121750701</v>
      </c>
      <c r="AN4105">
        <v>0.99999994308170903</v>
      </c>
    </row>
    <row r="4106" spans="1:40" x14ac:dyDescent="0.25">
      <c r="A4106" t="str">
        <f>"20190312172159434"</f>
        <v>20190312172159434</v>
      </c>
      <c r="B4106" t="str">
        <f>"1552382519424498"</f>
        <v>1552382519424498</v>
      </c>
      <c r="C4106" t="s">
        <v>40</v>
      </c>
      <c r="D4106">
        <v>3.1019399999999999</v>
      </c>
      <c r="E4106">
        <v>0.51587529999999904</v>
      </c>
      <c r="F4106" t="s">
        <v>46</v>
      </c>
      <c r="G4106">
        <v>-330.07139999999998</v>
      </c>
      <c r="H4106" s="1">
        <v>-1.3961629999999999E-6</v>
      </c>
      <c r="I4106">
        <v>212.2688</v>
      </c>
      <c r="J4106">
        <v>-357.12240000000003</v>
      </c>
      <c r="K4106">
        <v>1.1093500000000001</v>
      </c>
      <c r="L4106">
        <v>214.77170000000001</v>
      </c>
      <c r="M4106">
        <v>0.9998513</v>
      </c>
      <c r="N4106">
        <v>0</v>
      </c>
      <c r="O4106">
        <v>1.5217059999999999E-2</v>
      </c>
      <c r="P4106">
        <v>0.99143820000000005</v>
      </c>
      <c r="Q4106">
        <v>0.12056020000000001</v>
      </c>
      <c r="R4106">
        <v>-5.0155789999999999E-2</v>
      </c>
      <c r="S4106">
        <v>3.026672</v>
      </c>
      <c r="T4106">
        <v>-0.12301049999999999</v>
      </c>
      <c r="U4106">
        <v>-0.27716059999999998</v>
      </c>
      <c r="V4106">
        <v>6.5353960000000003E-2</v>
      </c>
      <c r="W4106">
        <v>0.12852859999999999</v>
      </c>
      <c r="X4106">
        <v>0.98955009999999999</v>
      </c>
      <c r="Y4106">
        <v>0.1062353</v>
      </c>
      <c r="Z4106">
        <v>-2.7704470000000001E-3</v>
      </c>
      <c r="AA4106">
        <v>0.99433709999999997</v>
      </c>
      <c r="AB4106">
        <v>25</v>
      </c>
      <c r="AC4106">
        <v>27.050999999999998</v>
      </c>
      <c r="AD4106">
        <v>-1.1093513961629999</v>
      </c>
      <c r="AE4106">
        <v>-2.5029000000000101</v>
      </c>
      <c r="AF4106">
        <v>2.9094089371355998</v>
      </c>
      <c r="AG4106">
        <v>-1.1093513961629999</v>
      </c>
      <c r="AH4106">
        <v>26.964815422650599</v>
      </c>
      <c r="AI4106">
        <v>92.342280678872996</v>
      </c>
      <c r="AJ4106">
        <v>83.841809931085194</v>
      </c>
      <c r="AK4106">
        <v>27.1439973412405</v>
      </c>
      <c r="AL4106">
        <v>82.615426515763701</v>
      </c>
      <c r="AM4106">
        <v>86.221438416319501</v>
      </c>
      <c r="AN4106">
        <v>1.00000007075782</v>
      </c>
    </row>
    <row r="4107" spans="1:40" x14ac:dyDescent="0.25">
      <c r="A4107" t="str">
        <f>"20190312172159455"</f>
        <v>20190312172159455</v>
      </c>
      <c r="B4107" t="str">
        <f>"1552382519444995"</f>
        <v>1552382519444995</v>
      </c>
      <c r="C4107" t="s">
        <v>40</v>
      </c>
      <c r="D4107">
        <v>3.0805069999999999</v>
      </c>
      <c r="E4107">
        <v>0.51585059999999905</v>
      </c>
      <c r="F4107" t="s">
        <v>46</v>
      </c>
      <c r="G4107">
        <v>-327.14</v>
      </c>
      <c r="H4107" s="1">
        <v>2.2627610000000002E-6</v>
      </c>
      <c r="I4107">
        <v>212.0367</v>
      </c>
      <c r="J4107">
        <v>-356.87520000000001</v>
      </c>
      <c r="K4107">
        <v>1.109343</v>
      </c>
      <c r="L4107">
        <v>214.7748</v>
      </c>
      <c r="M4107">
        <v>0.99985970000000002</v>
      </c>
      <c r="N4107">
        <v>0</v>
      </c>
      <c r="O4107">
        <v>1.469113E-2</v>
      </c>
      <c r="P4107">
        <v>0.99149370000000003</v>
      </c>
      <c r="Q4107">
        <v>0.1201028</v>
      </c>
      <c r="R4107">
        <v>-5.0157E-2</v>
      </c>
      <c r="S4107">
        <v>3.0255130000000001</v>
      </c>
      <c r="T4107">
        <v>-0.11194369999999999</v>
      </c>
      <c r="U4107">
        <v>-0.2759857</v>
      </c>
      <c r="V4107">
        <v>6.4833840000000004E-2</v>
      </c>
      <c r="W4107">
        <v>0.12802349999999901</v>
      </c>
      <c r="X4107">
        <v>0.98964969999999997</v>
      </c>
      <c r="Y4107">
        <v>0.1053819</v>
      </c>
      <c r="Z4107">
        <v>-2.4872140000000002E-3</v>
      </c>
      <c r="AA4107">
        <v>0.99442870000000005</v>
      </c>
      <c r="AB4107">
        <v>25</v>
      </c>
      <c r="AC4107">
        <v>29.735199999999999</v>
      </c>
      <c r="AD4107">
        <v>-1.1093407372390001</v>
      </c>
      <c r="AE4107">
        <v>-2.7381000000000002</v>
      </c>
      <c r="AF4107">
        <v>3.1702868958011501</v>
      </c>
      <c r="AG4107">
        <v>-1.1093407372390001</v>
      </c>
      <c r="AH4107">
        <v>29.650841537410798</v>
      </c>
      <c r="AI4107">
        <v>92.1305022320322</v>
      </c>
      <c r="AJ4107">
        <v>83.897084444333899</v>
      </c>
      <c r="AK4107">
        <v>29.8404718419403</v>
      </c>
      <c r="AL4107">
        <v>82.644607065885197</v>
      </c>
      <c r="AM4107">
        <v>86.251800233464294</v>
      </c>
      <c r="AN4107">
        <v>0.99999998603574203</v>
      </c>
    </row>
    <row r="4108" spans="1:40" x14ac:dyDescent="0.25">
      <c r="A4108" t="str">
        <f>"20190312172159479"</f>
        <v>20190312172159479</v>
      </c>
      <c r="B4108" t="str">
        <f>"1552382519474275"</f>
        <v>1552382519474275</v>
      </c>
      <c r="C4108" t="s">
        <v>40</v>
      </c>
      <c r="D4108">
        <v>3.0327449999999998</v>
      </c>
      <c r="E4108">
        <v>0.51567750000000001</v>
      </c>
      <c r="F4108" t="s">
        <v>46</v>
      </c>
      <c r="G4108">
        <v>-325.38690000000003</v>
      </c>
      <c r="H4108" s="1">
        <v>1.3298609999999999E-6</v>
      </c>
      <c r="I4108">
        <v>211.89609999999999</v>
      </c>
      <c r="J4108">
        <v>-356.62150000000003</v>
      </c>
      <c r="K4108">
        <v>1.10934</v>
      </c>
      <c r="L4108">
        <v>214.77799999999999</v>
      </c>
      <c r="M4108">
        <v>0.99986759999999997</v>
      </c>
      <c r="N4108">
        <v>0</v>
      </c>
      <c r="O4108">
        <v>1.416336E-2</v>
      </c>
      <c r="P4108">
        <v>0.99150150000000004</v>
      </c>
      <c r="Q4108">
        <v>0.11991880000000001</v>
      </c>
      <c r="R4108">
        <v>-5.044034E-2</v>
      </c>
      <c r="S4108">
        <v>3.0246580000000001</v>
      </c>
      <c r="T4108">
        <v>-0.1065598</v>
      </c>
      <c r="U4108">
        <v>-0.27651979999999998</v>
      </c>
      <c r="V4108">
        <v>6.4592399999999994E-2</v>
      </c>
      <c r="W4108">
        <v>0.12779560000000001</v>
      </c>
      <c r="X4108">
        <v>0.98969499999999999</v>
      </c>
      <c r="Y4108">
        <v>0.10506459999999999</v>
      </c>
      <c r="Z4108">
        <v>-2.344184E-3</v>
      </c>
      <c r="AA4108">
        <v>0.99446259999999997</v>
      </c>
      <c r="AB4108">
        <v>25</v>
      </c>
      <c r="AC4108">
        <v>31.2346</v>
      </c>
      <c r="AD4108">
        <v>-1.109338670139</v>
      </c>
      <c r="AE4108">
        <v>-2.8818999999999999</v>
      </c>
      <c r="AF4108">
        <v>3.3198596365886499</v>
      </c>
      <c r="AG4108">
        <v>-1.109338670139</v>
      </c>
      <c r="AH4108">
        <v>31.151684740810101</v>
      </c>
      <c r="AI4108">
        <v>92.028016623405506</v>
      </c>
      <c r="AJ4108">
        <v>83.916903459554007</v>
      </c>
      <c r="AK4108">
        <v>31.347720211883701</v>
      </c>
      <c r="AL4108">
        <v>82.657773343276006</v>
      </c>
      <c r="AM4108">
        <v>86.265889331397702</v>
      </c>
      <c r="AN4108">
        <v>1.0000000432710501</v>
      </c>
    </row>
    <row r="4109" spans="1:40" x14ac:dyDescent="0.25">
      <c r="A4109" t="str">
        <f>"20190312172159502"</f>
        <v>20190312172159502</v>
      </c>
      <c r="B4109" t="str">
        <f>"1552382519494771"</f>
        <v>1552382519494771</v>
      </c>
      <c r="C4109" t="s">
        <v>40</v>
      </c>
      <c r="D4109">
        <v>3.1046900000000002</v>
      </c>
      <c r="E4109">
        <v>0.51563349999999997</v>
      </c>
      <c r="F4109" t="s">
        <v>46</v>
      </c>
      <c r="G4109">
        <v>-321.73309999999998</v>
      </c>
      <c r="H4109" s="1">
        <v>-6.1450649999999997E-7</v>
      </c>
      <c r="I4109">
        <v>211.5915</v>
      </c>
      <c r="J4109">
        <v>-356.36099999999999</v>
      </c>
      <c r="K4109">
        <v>1.1093470000000001</v>
      </c>
      <c r="L4109">
        <v>214.78110000000001</v>
      </c>
      <c r="M4109">
        <v>0.99987519999999996</v>
      </c>
      <c r="N4109">
        <v>0</v>
      </c>
      <c r="O4109">
        <v>1.363865E-2</v>
      </c>
      <c r="P4109">
        <v>0.99151730000000005</v>
      </c>
      <c r="Q4109">
        <v>0.119781399999999</v>
      </c>
      <c r="R4109">
        <v>-5.0456609999999999E-2</v>
      </c>
      <c r="S4109">
        <v>3.0232540000000001</v>
      </c>
      <c r="T4109">
        <v>-9.6130129999999994E-2</v>
      </c>
      <c r="U4109">
        <v>-0.27612300000000001</v>
      </c>
      <c r="V4109">
        <v>6.4086030000000002E-2</v>
      </c>
      <c r="W4109">
        <v>0.12762009999999999</v>
      </c>
      <c r="X4109">
        <v>0.98975049999999998</v>
      </c>
      <c r="Y4109">
        <v>0.1044694</v>
      </c>
      <c r="Z4109">
        <v>-2.089764E-3</v>
      </c>
      <c r="AA4109">
        <v>0.99452589999999996</v>
      </c>
      <c r="AB4109">
        <v>25</v>
      </c>
      <c r="AC4109">
        <v>34.627899999999997</v>
      </c>
      <c r="AD4109">
        <v>-1.10934761450649</v>
      </c>
      <c r="AE4109">
        <v>-3.1896000000000102</v>
      </c>
      <c r="AF4109">
        <v>3.65787356805231</v>
      </c>
      <c r="AG4109">
        <v>-1.10934761450649</v>
      </c>
      <c r="AH4109">
        <v>34.5460188072554</v>
      </c>
      <c r="AI4109">
        <v>91.829042235675402</v>
      </c>
      <c r="AJ4109">
        <v>83.955809737312407</v>
      </c>
      <c r="AK4109">
        <v>34.756842586761401</v>
      </c>
      <c r="AL4109">
        <v>82.667911306056396</v>
      </c>
      <c r="AM4109">
        <v>86.295288089920305</v>
      </c>
      <c r="AN4109">
        <v>0.99999998070771001</v>
      </c>
    </row>
    <row r="4110" spans="1:40" x14ac:dyDescent="0.25">
      <c r="A4110" t="str">
        <f>"20190312172159524"</f>
        <v>20190312172159524</v>
      </c>
      <c r="B4110" t="str">
        <f>"1552382519514290"</f>
        <v>1552382519514290</v>
      </c>
      <c r="C4110" t="s">
        <v>40</v>
      </c>
      <c r="D4110">
        <v>3.1034660000000001</v>
      </c>
      <c r="E4110">
        <v>0.51564849999999995</v>
      </c>
      <c r="F4110" t="s">
        <v>46</v>
      </c>
      <c r="G4110">
        <v>-320.52550000000002</v>
      </c>
      <c r="H4110" s="1">
        <v>-1.2571429999999999E-6</v>
      </c>
      <c r="I4110">
        <v>211.5078</v>
      </c>
      <c r="J4110">
        <v>-356.10989999999998</v>
      </c>
      <c r="K4110">
        <v>1.1093569999999999</v>
      </c>
      <c r="L4110">
        <v>214.78399999999999</v>
      </c>
      <c r="M4110">
        <v>0.99988200000000005</v>
      </c>
      <c r="N4110">
        <v>0</v>
      </c>
      <c r="O4110">
        <v>1.3154839999999999E-2</v>
      </c>
      <c r="P4110">
        <v>0.99150229999999995</v>
      </c>
      <c r="Q4110">
        <v>0.1198666</v>
      </c>
      <c r="R4110">
        <v>-5.0550310000000001E-2</v>
      </c>
      <c r="S4110">
        <v>3.022888</v>
      </c>
      <c r="T4110">
        <v>-9.3578700000000001E-2</v>
      </c>
      <c r="U4110">
        <v>-0.27612300000000001</v>
      </c>
      <c r="V4110">
        <v>6.3696390000000006E-2</v>
      </c>
      <c r="W4110">
        <v>0.12767400000000001</v>
      </c>
      <c r="X4110">
        <v>0.98976869999999995</v>
      </c>
      <c r="Y4110">
        <v>0.1040026</v>
      </c>
      <c r="Z4110">
        <v>-2.012415E-3</v>
      </c>
      <c r="AA4110">
        <v>0.99457499999999999</v>
      </c>
      <c r="AB4110">
        <v>25</v>
      </c>
      <c r="AC4110">
        <v>35.584399999999903</v>
      </c>
      <c r="AD4110">
        <v>-1.1093582571429901</v>
      </c>
      <c r="AE4110">
        <v>-3.27620000000001</v>
      </c>
      <c r="AF4110">
        <v>3.7404335225480398</v>
      </c>
      <c r="AG4110">
        <v>-1.1093582571429901</v>
      </c>
      <c r="AH4110">
        <v>35.5040049706299</v>
      </c>
      <c r="AI4110">
        <v>91.779838149989999</v>
      </c>
      <c r="AJ4110">
        <v>83.985934711155494</v>
      </c>
      <c r="AK4110">
        <v>35.717725118403102</v>
      </c>
      <c r="AL4110">
        <v>82.664797586548701</v>
      </c>
      <c r="AM4110">
        <v>86.317817925407695</v>
      </c>
      <c r="AN4110">
        <v>0.99999997993736001</v>
      </c>
    </row>
    <row r="4111" spans="1:40" x14ac:dyDescent="0.25">
      <c r="A4111" t="str">
        <f>"20190312172159545"</f>
        <v>20190312172159545</v>
      </c>
      <c r="B4111" t="str">
        <f>"1552382519534791"</f>
        <v>1552382519534791</v>
      </c>
      <c r="C4111" t="s">
        <v>40</v>
      </c>
      <c r="D4111">
        <v>3.0905459999999998</v>
      </c>
      <c r="E4111">
        <v>0.51568720000000001</v>
      </c>
      <c r="F4111" t="s">
        <v>47</v>
      </c>
      <c r="G4111">
        <v>-319.04050000000001</v>
      </c>
      <c r="H4111" s="1">
        <v>4.9147269999999901E-6</v>
      </c>
      <c r="I4111">
        <v>211.39320000000001</v>
      </c>
      <c r="J4111">
        <v>-355.86709999999999</v>
      </c>
      <c r="K4111">
        <v>1.109364</v>
      </c>
      <c r="L4111">
        <v>214.7867</v>
      </c>
      <c r="M4111">
        <v>0.999888</v>
      </c>
      <c r="N4111">
        <v>0</v>
      </c>
      <c r="O4111">
        <v>1.2706530000000001E-2</v>
      </c>
      <c r="P4111">
        <v>0.99145870000000003</v>
      </c>
      <c r="Q4111">
        <v>0.12026149999999999</v>
      </c>
      <c r="R4111">
        <v>-5.0467350000000001E-2</v>
      </c>
      <c r="S4111">
        <v>3.0225520000000001</v>
      </c>
      <c r="T4111">
        <v>-9.0453859999999997E-2</v>
      </c>
      <c r="U4111">
        <v>-0.276474</v>
      </c>
      <c r="V4111">
        <v>6.3164929999999994E-2</v>
      </c>
      <c r="W4111">
        <v>0.12804099999999999</v>
      </c>
      <c r="X4111">
        <v>0.98975539999999995</v>
      </c>
      <c r="Y4111">
        <v>0.10368520000000001</v>
      </c>
      <c r="Z4111">
        <v>-1.927324E-3</v>
      </c>
      <c r="AA4111">
        <v>0.9946083</v>
      </c>
      <c r="AB4111">
        <v>25</v>
      </c>
      <c r="AC4111">
        <v>36.8265999999999</v>
      </c>
      <c r="AD4111">
        <v>-1.109359085273</v>
      </c>
      <c r="AE4111">
        <v>-3.39349999999998</v>
      </c>
      <c r="AF4111">
        <v>3.8577077616433502</v>
      </c>
      <c r="AG4111">
        <v>-1.109359085273</v>
      </c>
      <c r="AH4111">
        <v>36.747440232044902</v>
      </c>
      <c r="AI4111">
        <v>91.719718022693698</v>
      </c>
      <c r="AJ4111">
        <v>84.007099868335203</v>
      </c>
      <c r="AK4111">
        <v>36.966024270430196</v>
      </c>
      <c r="AL4111">
        <v>82.643596386643694</v>
      </c>
      <c r="AM4111">
        <v>86.348408334416803</v>
      </c>
      <c r="AN4111">
        <v>1.00000002894603</v>
      </c>
    </row>
    <row r="4112" spans="1:40" x14ac:dyDescent="0.25">
      <c r="A4112" t="str">
        <f>"20190312172159566"</f>
        <v>20190312172159566</v>
      </c>
      <c r="B4112" t="str">
        <f>"1552382519554307"</f>
        <v>1552382519554307</v>
      </c>
      <c r="C4112" t="s">
        <v>40</v>
      </c>
      <c r="D4112">
        <v>3.0847060000000002</v>
      </c>
      <c r="E4112">
        <v>0.51573630000000004</v>
      </c>
      <c r="F4112" t="s">
        <v>47</v>
      </c>
      <c r="G4112">
        <v>-317.6696</v>
      </c>
      <c r="H4112" s="1">
        <v>4.3067900000000001E-6</v>
      </c>
      <c r="I4112">
        <v>211.29839999999999</v>
      </c>
      <c r="J4112">
        <v>-355.61829999999998</v>
      </c>
      <c r="K4112">
        <v>1.109372</v>
      </c>
      <c r="L4112">
        <v>214.7894</v>
      </c>
      <c r="M4112">
        <v>0.9998937</v>
      </c>
      <c r="N4112">
        <v>0</v>
      </c>
      <c r="O4112">
        <v>1.227465E-2</v>
      </c>
      <c r="P4112">
        <v>0.9914906</v>
      </c>
      <c r="Q4112">
        <v>0.1202071</v>
      </c>
      <c r="R4112">
        <v>-4.9970319999999999E-2</v>
      </c>
      <c r="S4112">
        <v>3.0224299999999999</v>
      </c>
      <c r="T4112">
        <v>-8.777952E-2</v>
      </c>
      <c r="U4112">
        <v>-0.27601619999999999</v>
      </c>
      <c r="V4112">
        <v>6.2235310000000002E-2</v>
      </c>
      <c r="W4112">
        <v>0.1279592</v>
      </c>
      <c r="X4112">
        <v>0.98982479999999995</v>
      </c>
      <c r="Y4112">
        <v>0.1031132</v>
      </c>
      <c r="Z4112">
        <v>-1.8496490000000001E-3</v>
      </c>
      <c r="AA4112">
        <v>0.99466790000000005</v>
      </c>
      <c r="AB4112">
        <v>25</v>
      </c>
      <c r="AC4112">
        <v>37.948699999999903</v>
      </c>
      <c r="AD4112">
        <v>-1.1093676932100001</v>
      </c>
      <c r="AE4112">
        <v>-3.4910000000000099</v>
      </c>
      <c r="AF4112">
        <v>3.953208399572</v>
      </c>
      <c r="AG4112">
        <v>-1.1093676932100001</v>
      </c>
      <c r="AH4112">
        <v>37.8708963175186</v>
      </c>
      <c r="AI4112">
        <v>91.668846416694294</v>
      </c>
      <c r="AJ4112">
        <v>84.040679781226302</v>
      </c>
      <c r="AK4112">
        <v>38.0928253247436</v>
      </c>
      <c r="AL4112">
        <v>82.648321564058705</v>
      </c>
      <c r="AM4112">
        <v>86.402259446502498</v>
      </c>
      <c r="AN4112">
        <v>0.99999996268523705</v>
      </c>
    </row>
    <row r="4113" spans="1:40" x14ac:dyDescent="0.25">
      <c r="A4113" t="str">
        <f>"20190312172159580"</f>
        <v>20190312172159580</v>
      </c>
      <c r="B4113" t="str">
        <f>"1552382519574802"</f>
        <v>1552382519574802</v>
      </c>
      <c r="C4113" t="s">
        <v>40</v>
      </c>
      <c r="D4113">
        <v>3.1410119999999999</v>
      </c>
      <c r="E4113">
        <v>0.51592850000000001</v>
      </c>
      <c r="F4113" t="s">
        <v>47</v>
      </c>
      <c r="G4113">
        <v>-316.81990000000002</v>
      </c>
      <c r="H4113" s="1">
        <v>3.9299999999999996E-6</v>
      </c>
      <c r="I4113">
        <v>211.26609999999999</v>
      </c>
      <c r="J4113">
        <v>-355.46660000000003</v>
      </c>
      <c r="K4113">
        <v>1.1093820000000001</v>
      </c>
      <c r="L4113">
        <v>214.791</v>
      </c>
      <c r="M4113">
        <v>0.99989689999999998</v>
      </c>
      <c r="N4113">
        <v>0</v>
      </c>
      <c r="O4113">
        <v>1.202433E-2</v>
      </c>
      <c r="P4113">
        <v>0.99149370000000003</v>
      </c>
      <c r="Q4113">
        <v>0.1202254</v>
      </c>
      <c r="R4113">
        <v>-4.986177E-2</v>
      </c>
      <c r="S4113">
        <v>3.0223689999999999</v>
      </c>
      <c r="T4113">
        <v>-8.6419109999999993E-2</v>
      </c>
      <c r="U4113">
        <v>-0.27445979999999998</v>
      </c>
      <c r="V4113">
        <v>6.1875409999999999E-2</v>
      </c>
      <c r="W4113">
        <v>0.12796109999999999</v>
      </c>
      <c r="X4113">
        <v>0.98984720000000004</v>
      </c>
      <c r="Y4113">
        <v>0.1023599</v>
      </c>
      <c r="Z4113">
        <v>-1.8031849999999999E-3</v>
      </c>
      <c r="AA4113">
        <v>0.99474580000000001</v>
      </c>
      <c r="AB4113">
        <v>25</v>
      </c>
      <c r="AC4113">
        <v>38.646700000000003</v>
      </c>
      <c r="AD4113">
        <v>-1.10937806999999</v>
      </c>
      <c r="AE4113">
        <v>-3.5249000000000001</v>
      </c>
      <c r="AF4113">
        <v>3.9861026375765198</v>
      </c>
      <c r="AG4113">
        <v>-1.10937806999999</v>
      </c>
      <c r="AH4113">
        <v>38.5700000163623</v>
      </c>
      <c r="AI4113">
        <v>91.638804466886299</v>
      </c>
      <c r="AJ4113">
        <v>84.099587183344696</v>
      </c>
      <c r="AK4113">
        <v>38.791295869069401</v>
      </c>
      <c r="AL4113">
        <v>82.648212403891094</v>
      </c>
      <c r="AM4113">
        <v>86.423091349379405</v>
      </c>
      <c r="AN4113">
        <v>1.00000004441185</v>
      </c>
    </row>
    <row r="4114" spans="1:40" x14ac:dyDescent="0.25">
      <c r="A4114" t="str">
        <f>"20190312172159602"</f>
        <v>20190312172159602</v>
      </c>
      <c r="B4114" t="str">
        <f>"1552382519594326"</f>
        <v>1552382519594326</v>
      </c>
      <c r="C4114" t="s">
        <v>40</v>
      </c>
      <c r="D4114">
        <v>3.0599400000000001</v>
      </c>
      <c r="E4114">
        <v>0.51603599999999905</v>
      </c>
      <c r="F4114" t="s">
        <v>47</v>
      </c>
      <c r="G4114">
        <v>-316.61470000000003</v>
      </c>
      <c r="H4114" s="1">
        <v>3.839014E-6</v>
      </c>
      <c r="I4114">
        <v>211.25020000000001</v>
      </c>
      <c r="J4114">
        <v>-355.2192</v>
      </c>
      <c r="K4114">
        <v>1.1094029999999999</v>
      </c>
      <c r="L4114">
        <v>214.79349999999999</v>
      </c>
      <c r="M4114">
        <v>0.9999015</v>
      </c>
      <c r="N4114">
        <v>0</v>
      </c>
      <c r="O4114">
        <v>1.16557E-2</v>
      </c>
      <c r="P4114">
        <v>0.99151069999999997</v>
      </c>
      <c r="Q4114">
        <v>0.1205658</v>
      </c>
      <c r="R4114">
        <v>-4.869101E-2</v>
      </c>
      <c r="S4114">
        <v>3.0224000000000002</v>
      </c>
      <c r="T4114">
        <v>-8.6301799999999998E-2</v>
      </c>
      <c r="U4114">
        <v>-0.27545170000000002</v>
      </c>
      <c r="V4114">
        <v>6.0332339999999998E-2</v>
      </c>
      <c r="W4114">
        <v>0.12827749999999999</v>
      </c>
      <c r="X4114">
        <v>0.98990149999999999</v>
      </c>
      <c r="Y4114">
        <v>0.1023163</v>
      </c>
      <c r="Z4114">
        <v>-1.7895679999999901E-3</v>
      </c>
      <c r="AA4114">
        <v>0.99475029999999998</v>
      </c>
      <c r="AB4114">
        <v>25</v>
      </c>
      <c r="AC4114">
        <v>38.604499999999902</v>
      </c>
      <c r="AD4114">
        <v>-1.1093991609860001</v>
      </c>
      <c r="AE4114">
        <v>-3.5432999999999799</v>
      </c>
      <c r="AF4114">
        <v>3.9897681009650001</v>
      </c>
      <c r="AG4114">
        <v>-1.1093991609860001</v>
      </c>
      <c r="AH4114">
        <v>38.529023257116897</v>
      </c>
      <c r="AI4114">
        <v>91.640543191834496</v>
      </c>
      <c r="AJ4114">
        <v>84.087963198385694</v>
      </c>
      <c r="AK4114">
        <v>38.750930945531202</v>
      </c>
      <c r="AL4114">
        <v>82.629933375010793</v>
      </c>
      <c r="AM4114">
        <v>86.512261344601498</v>
      </c>
      <c r="AN4114">
        <v>1.0000000439791801</v>
      </c>
    </row>
    <row r="4115" spans="1:40" x14ac:dyDescent="0.25">
      <c r="A4115" t="str">
        <f>"20190312172159614"</f>
        <v>20190312172159614</v>
      </c>
      <c r="B4115" t="str">
        <f>"1552382519605060"</f>
        <v>1552382519605060</v>
      </c>
      <c r="C4115" t="s">
        <v>40</v>
      </c>
      <c r="D4115">
        <v>3.0568339999999998</v>
      </c>
      <c r="E4115">
        <v>0.51607259999999999</v>
      </c>
      <c r="F4115" t="s">
        <v>47</v>
      </c>
      <c r="G4115">
        <v>-315.23919999999998</v>
      </c>
      <c r="H4115" s="1">
        <v>3.229011E-6</v>
      </c>
      <c r="I4115">
        <v>211.18709999999999</v>
      </c>
      <c r="J4115">
        <v>-355.07010000000002</v>
      </c>
      <c r="K4115">
        <v>1.109416</v>
      </c>
      <c r="L4115">
        <v>214.79509999999999</v>
      </c>
      <c r="M4115">
        <v>0.99990400000000002</v>
      </c>
      <c r="N4115">
        <v>0</v>
      </c>
      <c r="O4115">
        <v>1.14567E-2</v>
      </c>
      <c r="P4115">
        <v>0.99149909999999997</v>
      </c>
      <c r="Q4115">
        <v>0.12109979999999999</v>
      </c>
      <c r="R4115">
        <v>-4.7590779999999999E-2</v>
      </c>
      <c r="S4115">
        <v>3.022491</v>
      </c>
      <c r="T4115">
        <v>-8.3870769999999997E-2</v>
      </c>
      <c r="U4115">
        <v>-0.272644</v>
      </c>
      <c r="V4115">
        <v>5.9029440000000002E-2</v>
      </c>
      <c r="W4115">
        <v>0.1288</v>
      </c>
      <c r="X4115">
        <v>0.98991220000000002</v>
      </c>
      <c r="Y4115">
        <v>0.1012021</v>
      </c>
      <c r="Z4115">
        <v>-1.718261E-3</v>
      </c>
      <c r="AA4115">
        <v>0.99486439999999998</v>
      </c>
      <c r="AB4115">
        <v>26</v>
      </c>
      <c r="AC4115">
        <v>39.8309</v>
      </c>
      <c r="AD4115">
        <v>-1.109412770989</v>
      </c>
      <c r="AE4115">
        <v>-3.6080000000000001</v>
      </c>
      <c r="AF4115">
        <v>4.0609828787590203</v>
      </c>
      <c r="AG4115">
        <v>-1.109412770989</v>
      </c>
      <c r="AH4115">
        <v>39.756356998375203</v>
      </c>
      <c r="AI4115">
        <v>91.590170589204405</v>
      </c>
      <c r="AJ4115">
        <v>84.167650716122793</v>
      </c>
      <c r="AK4115">
        <v>39.978623043074698</v>
      </c>
      <c r="AL4115">
        <v>82.599745875481105</v>
      </c>
      <c r="AM4115">
        <v>86.587437235701501</v>
      </c>
      <c r="AN4115">
        <v>1.0000000392477699</v>
      </c>
    </row>
    <row r="4116" spans="1:40" x14ac:dyDescent="0.25">
      <c r="A4116" t="str">
        <f>"20190312172159634"</f>
        <v>20190312172159634</v>
      </c>
      <c r="B4116" t="str">
        <f>"1552382519624579"</f>
        <v>1552382519624579</v>
      </c>
      <c r="C4116" t="s">
        <v>40</v>
      </c>
      <c r="D4116">
        <v>3.0484529999999999</v>
      </c>
      <c r="E4116">
        <v>0.51614939999999998</v>
      </c>
      <c r="F4116" t="s">
        <v>47</v>
      </c>
      <c r="G4116">
        <v>-313.88979999999998</v>
      </c>
      <c r="H4116" s="1">
        <v>2.6306280000000002E-6</v>
      </c>
      <c r="I4116">
        <v>211.12569999999999</v>
      </c>
      <c r="J4116">
        <v>-354.84289999999999</v>
      </c>
      <c r="K4116">
        <v>1.109442</v>
      </c>
      <c r="L4116">
        <v>214.79730000000001</v>
      </c>
      <c r="M4116">
        <v>0.99990730000000005</v>
      </c>
      <c r="N4116">
        <v>0</v>
      </c>
      <c r="O4116">
        <v>1.118184E-2</v>
      </c>
      <c r="P4116">
        <v>0.99153040000000003</v>
      </c>
      <c r="Q4116">
        <v>0.121721</v>
      </c>
      <c r="R4116">
        <v>-4.5298810000000002E-2</v>
      </c>
      <c r="S4116">
        <v>3.0227970000000002</v>
      </c>
      <c r="T4116">
        <v>-8.1435320000000005E-2</v>
      </c>
      <c r="U4116">
        <v>-0.26934809999999998</v>
      </c>
      <c r="V4116">
        <v>5.6456600000000003E-2</v>
      </c>
      <c r="W4116">
        <v>0.12940670000000001</v>
      </c>
      <c r="X4116">
        <v>0.9899831</v>
      </c>
      <c r="Y4116">
        <v>9.9846489999999996E-2</v>
      </c>
      <c r="Z4116">
        <v>-1.642686E-3</v>
      </c>
      <c r="AA4116">
        <v>0.99500149999999998</v>
      </c>
      <c r="AB4116">
        <v>26</v>
      </c>
      <c r="AC4116">
        <v>40.953099999999999</v>
      </c>
      <c r="AD4116">
        <v>-1.1094393693719999</v>
      </c>
      <c r="AE4116">
        <v>-3.67160000000001</v>
      </c>
      <c r="AF4116">
        <v>4.1263111444755403</v>
      </c>
      <c r="AG4116">
        <v>-1.1094393693719999</v>
      </c>
      <c r="AH4116">
        <v>40.879720850552502</v>
      </c>
      <c r="AI4116">
        <v>91.546719531073805</v>
      </c>
      <c r="AJ4116">
        <v>84.236208980579804</v>
      </c>
      <c r="AK4116">
        <v>41.102419347216497</v>
      </c>
      <c r="AL4116">
        <v>82.564690790641905</v>
      </c>
      <c r="AM4116">
        <v>86.736080543142805</v>
      </c>
      <c r="AN4116">
        <v>0.99999998998702999</v>
      </c>
    </row>
    <row r="4117" spans="1:40" x14ac:dyDescent="0.25">
      <c r="A4117" t="str">
        <f>"20190312172159656"</f>
        <v>20190312172159656</v>
      </c>
      <c r="B4117" t="str">
        <f>"1552382519645075"</f>
        <v>1552382519645075</v>
      </c>
      <c r="C4117" t="s">
        <v>40</v>
      </c>
      <c r="D4117">
        <v>3.0433210000000002</v>
      </c>
      <c r="E4117">
        <v>0.51625100000000002</v>
      </c>
      <c r="F4117" t="s">
        <v>47</v>
      </c>
      <c r="G4117">
        <v>-311.81909999999999</v>
      </c>
      <c r="H4117" s="1">
        <v>1.712319E-6</v>
      </c>
      <c r="I4117">
        <v>211.05850000000001</v>
      </c>
      <c r="J4117">
        <v>-354.5915</v>
      </c>
      <c r="K4117">
        <v>1.109472</v>
      </c>
      <c r="L4117">
        <v>214.79990000000001</v>
      </c>
      <c r="M4117">
        <v>0.99991019999999997</v>
      </c>
      <c r="N4117">
        <v>0</v>
      </c>
      <c r="O4117">
        <v>1.092797E-2</v>
      </c>
      <c r="P4117">
        <v>0.991618</v>
      </c>
      <c r="Q4117">
        <v>0.1220591</v>
      </c>
      <c r="R4117">
        <v>-4.2377060000000001E-2</v>
      </c>
      <c r="S4117">
        <v>3.0232239999999999</v>
      </c>
      <c r="T4117">
        <v>-7.7958819999999998E-2</v>
      </c>
      <c r="U4117">
        <v>-0.26272579999999901</v>
      </c>
      <c r="V4117">
        <v>5.3272859999999998E-2</v>
      </c>
      <c r="W4117">
        <v>0.12973199999999999</v>
      </c>
      <c r="X4117">
        <v>0.99011700000000002</v>
      </c>
      <c r="Y4117">
        <v>9.7422590000000003E-2</v>
      </c>
      <c r="Z4117">
        <v>-1.5347879999999901E-3</v>
      </c>
      <c r="AA4117">
        <v>0.99524190000000001</v>
      </c>
      <c r="AB4117">
        <v>26</v>
      </c>
      <c r="AC4117">
        <v>42.772399999999998</v>
      </c>
      <c r="AD4117">
        <v>-1.1094702876809901</v>
      </c>
      <c r="AE4117">
        <v>-3.7413999999999898</v>
      </c>
      <c r="AF4117">
        <v>4.2057978555329401</v>
      </c>
      <c r="AG4117">
        <v>-1.1094702876809901</v>
      </c>
      <c r="AH4117">
        <v>42.700446777774303</v>
      </c>
      <c r="AI4117">
        <v>91.481196436730201</v>
      </c>
      <c r="AJ4117">
        <v>84.374772850541305</v>
      </c>
      <c r="AK4117">
        <v>42.921414409853597</v>
      </c>
      <c r="AL4117">
        <v>82.545894335022396</v>
      </c>
      <c r="AM4117">
        <v>86.920192530912999</v>
      </c>
      <c r="AN4117">
        <v>1.0000000315627799</v>
      </c>
    </row>
    <row r="4118" spans="1:40" x14ac:dyDescent="0.25">
      <c r="A4118" t="str">
        <f>"20190312172159669"</f>
        <v>20190312172159669</v>
      </c>
      <c r="B4118" t="str">
        <f>"1552382519664595"</f>
        <v>1552382519664595</v>
      </c>
      <c r="C4118" t="s">
        <v>40</v>
      </c>
      <c r="D4118">
        <v>3.037706</v>
      </c>
      <c r="E4118">
        <v>0.51634460000000004</v>
      </c>
      <c r="F4118" t="s">
        <v>47</v>
      </c>
      <c r="G4118">
        <v>-310.14710000000002</v>
      </c>
      <c r="H4118" s="1">
        <v>9.7088699999999995E-7</v>
      </c>
      <c r="I4118">
        <v>211.06209999999999</v>
      </c>
      <c r="J4118">
        <v>-354.44470000000001</v>
      </c>
      <c r="K4118">
        <v>1.1094930000000001</v>
      </c>
      <c r="L4118">
        <v>214.8014</v>
      </c>
      <c r="M4118">
        <v>0.99991140000000001</v>
      </c>
      <c r="N4118">
        <v>0</v>
      </c>
      <c r="O4118">
        <v>1.0810169999999999E-2</v>
      </c>
      <c r="P4118">
        <v>0.99167839999999996</v>
      </c>
      <c r="Q4118">
        <v>0.122253399999999</v>
      </c>
      <c r="R4118">
        <v>-4.034708E-2</v>
      </c>
      <c r="S4118">
        <v>3.0237729999999998</v>
      </c>
      <c r="T4118">
        <v>-7.5482850000000004E-2</v>
      </c>
      <c r="U4118">
        <v>-0.254303</v>
      </c>
      <c r="V4118">
        <v>5.1119629999999999E-2</v>
      </c>
      <c r="W4118">
        <v>0.12992110000000001</v>
      </c>
      <c r="X4118">
        <v>0.99020569999999997</v>
      </c>
      <c r="Y4118">
        <v>9.454034E-2</v>
      </c>
      <c r="Z4118">
        <v>-1.4471229999999901E-3</v>
      </c>
      <c r="AA4118">
        <v>0.99551999999999996</v>
      </c>
      <c r="AB4118">
        <v>26</v>
      </c>
      <c r="AC4118">
        <v>44.297599999999903</v>
      </c>
      <c r="AD4118">
        <v>-1.1094920291129999</v>
      </c>
      <c r="AE4118">
        <v>-3.7393000000000098</v>
      </c>
      <c r="AF4118">
        <v>4.2153348787385303</v>
      </c>
      <c r="AG4118">
        <v>-1.1094920291129999</v>
      </c>
      <c r="AH4118">
        <v>44.227039640024003</v>
      </c>
      <c r="AI4118">
        <v>91.4305563791862</v>
      </c>
      <c r="AJ4118">
        <v>84.555513640932801</v>
      </c>
      <c r="AK4118">
        <v>44.441321492759798</v>
      </c>
      <c r="AL4118">
        <v>82.534967126587503</v>
      </c>
      <c r="AM4118">
        <v>87.044713876863995</v>
      </c>
      <c r="AN4118">
        <v>1.0000000185545099</v>
      </c>
    </row>
    <row r="4119" spans="1:40" x14ac:dyDescent="0.25">
      <c r="A4119" t="str">
        <f>"20190312172159691"</f>
        <v>20190312172159691</v>
      </c>
      <c r="B4119" t="str">
        <f>"1552382519685091"</f>
        <v>1552382519685091</v>
      </c>
      <c r="C4119" t="s">
        <v>40</v>
      </c>
      <c r="D4119">
        <v>3.0304700000000002</v>
      </c>
      <c r="E4119">
        <v>0.49297540000000001</v>
      </c>
      <c r="F4119" t="s">
        <v>47</v>
      </c>
      <c r="G4119">
        <v>-308.61559999999997</v>
      </c>
      <c r="H4119" s="1">
        <v>1.1249889999999999E-6</v>
      </c>
      <c r="I4119">
        <v>211.03309999999999</v>
      </c>
      <c r="J4119">
        <v>-354.19029999999998</v>
      </c>
      <c r="K4119">
        <v>1.109534</v>
      </c>
      <c r="L4119">
        <v>214.8039</v>
      </c>
      <c r="M4119">
        <v>0.9999133</v>
      </c>
      <c r="N4119">
        <v>0</v>
      </c>
      <c r="O4119">
        <v>1.064668E-2</v>
      </c>
      <c r="P4119">
        <v>0.99179430000000002</v>
      </c>
      <c r="Q4119">
        <v>0.12273489999999999</v>
      </c>
      <c r="R4119">
        <v>-3.577984E-2</v>
      </c>
      <c r="S4119">
        <v>3.0241090000000002</v>
      </c>
      <c r="T4119">
        <v>-7.3211670000000006E-2</v>
      </c>
      <c r="U4119">
        <v>-0.24865719999999999</v>
      </c>
      <c r="V4119">
        <v>4.6379209999999997E-2</v>
      </c>
      <c r="W4119">
        <v>0.13039429999999999</v>
      </c>
      <c r="X4119">
        <v>0.99037679999999995</v>
      </c>
      <c r="Y4119">
        <v>9.2524930000000005E-2</v>
      </c>
      <c r="Z4119">
        <v>-1.375243E-3</v>
      </c>
      <c r="AA4119">
        <v>0.99570939999999997</v>
      </c>
      <c r="AB4119">
        <v>26</v>
      </c>
      <c r="AC4119">
        <v>45.5747</v>
      </c>
      <c r="AD4119">
        <v>-1.1095328750110001</v>
      </c>
      <c r="AE4119">
        <v>-3.7707999999999999</v>
      </c>
      <c r="AF4119">
        <v>4.25331629426283</v>
      </c>
      <c r="AG4119">
        <v>-1.1095328750110001</v>
      </c>
      <c r="AH4119">
        <v>45.505181673998997</v>
      </c>
      <c r="AI4119">
        <v>91.390681913490994</v>
      </c>
      <c r="AJ4119">
        <v>84.660144616487202</v>
      </c>
      <c r="AK4119">
        <v>45.716991610159901</v>
      </c>
      <c r="AL4119">
        <v>82.507621671808906</v>
      </c>
      <c r="AM4119">
        <v>87.318805327611599</v>
      </c>
      <c r="AN4119">
        <v>0.99999995528547603</v>
      </c>
    </row>
    <row r="4120" spans="1:40" x14ac:dyDescent="0.25">
      <c r="A4120" t="str">
        <f>"20190312172159713"</f>
        <v>20190312172159713</v>
      </c>
      <c r="B4120" t="str">
        <f>"1552382519704610"</f>
        <v>1552382519704610</v>
      </c>
      <c r="C4120" t="s">
        <v>40</v>
      </c>
      <c r="D4120">
        <v>2.8791060000000002</v>
      </c>
      <c r="E4120">
        <v>0.47601660000000001</v>
      </c>
      <c r="F4120" t="s">
        <v>47</v>
      </c>
      <c r="G4120">
        <v>-290.31020000000001</v>
      </c>
      <c r="H4120" s="1">
        <v>9.4942229999999997E-7</v>
      </c>
      <c r="I4120">
        <v>213.7817</v>
      </c>
      <c r="J4120">
        <v>-353.9314</v>
      </c>
      <c r="K4120">
        <v>1.1095680000000001</v>
      </c>
      <c r="L4120">
        <v>214.8065</v>
      </c>
      <c r="M4120">
        <v>0.99991459999999999</v>
      </c>
      <c r="N4120">
        <v>0</v>
      </c>
      <c r="O4120">
        <v>1.053392E-2</v>
      </c>
      <c r="P4120">
        <v>0.99189309999999997</v>
      </c>
      <c r="Q4120">
        <v>0.12340180000000001</v>
      </c>
      <c r="R4120">
        <v>-3.0336789999999999E-2</v>
      </c>
      <c r="S4120">
        <v>3.0295719999999999</v>
      </c>
      <c r="T4120">
        <v>-5.2620529999999999E-2</v>
      </c>
      <c r="U4120">
        <v>-4.847717E-2</v>
      </c>
      <c r="V4120">
        <v>4.0813370000000002E-2</v>
      </c>
      <c r="W4120">
        <v>0.1310548</v>
      </c>
      <c r="X4120">
        <v>0.99053469999999999</v>
      </c>
      <c r="Y4120">
        <v>2.6525690000000001E-2</v>
      </c>
      <c r="Z4120">
        <v>-4.132745E-4</v>
      </c>
      <c r="AA4120">
        <v>0.99964799999999998</v>
      </c>
      <c r="AB4120">
        <v>26</v>
      </c>
      <c r="AC4120">
        <v>63.621199999999902</v>
      </c>
      <c r="AD4120">
        <v>-1.1095670505777</v>
      </c>
      <c r="AE4120">
        <v>-1.0247999999999899</v>
      </c>
      <c r="AF4120">
        <v>1.69442857229982</v>
      </c>
      <c r="AG4120">
        <v>-1.1095670505777</v>
      </c>
      <c r="AH4120">
        <v>63.587538565826101</v>
      </c>
      <c r="AI4120">
        <v>90.999323253144595</v>
      </c>
      <c r="AJ4120">
        <v>88.473590280993193</v>
      </c>
      <c r="AK4120">
        <v>63.619786922676603</v>
      </c>
      <c r="AL4120">
        <v>82.469450903140597</v>
      </c>
      <c r="AM4120">
        <v>87.640555286549699</v>
      </c>
      <c r="AN4120">
        <v>1.0000000418389401</v>
      </c>
    </row>
    <row r="4121" spans="1:40" x14ac:dyDescent="0.25">
      <c r="A4121" t="str">
        <f>"20190312172159735"</f>
        <v>20190312172159735</v>
      </c>
      <c r="B4121" t="str">
        <f>"1552382519725110"</f>
        <v>1552382519725110</v>
      </c>
      <c r="C4121" t="s">
        <v>40</v>
      </c>
      <c r="D4121">
        <v>2.9118979999999999</v>
      </c>
      <c r="E4121">
        <v>0.46515889999999999</v>
      </c>
      <c r="F4121" t="s">
        <v>47</v>
      </c>
      <c r="G4121">
        <v>-282.39850000000001</v>
      </c>
      <c r="H4121" s="1">
        <v>5.7139880000000004E-6</v>
      </c>
      <c r="I4121">
        <v>217.24420000000001</v>
      </c>
      <c r="J4121">
        <v>-353.67599999999999</v>
      </c>
      <c r="K4121">
        <v>1.1095980000000001</v>
      </c>
      <c r="L4121">
        <v>214.8091</v>
      </c>
      <c r="M4121">
        <v>0.99991549999999996</v>
      </c>
      <c r="N4121">
        <v>0</v>
      </c>
      <c r="O4121">
        <v>1.046686E-2</v>
      </c>
      <c r="P4121">
        <v>0.99199130000000002</v>
      </c>
      <c r="Q4121">
        <v>0.123941</v>
      </c>
      <c r="R4121">
        <v>-2.4337910000000001E-2</v>
      </c>
      <c r="S4121">
        <v>3.033569</v>
      </c>
      <c r="T4121">
        <v>-4.7054409999999998E-2</v>
      </c>
      <c r="U4121">
        <v>0.10337830000000001</v>
      </c>
      <c r="V4121">
        <v>3.473934E-2</v>
      </c>
      <c r="W4121">
        <v>0.1315885</v>
      </c>
      <c r="X4121">
        <v>0.99069549999999995</v>
      </c>
      <c r="Y4121">
        <v>-2.3593800000000002E-2</v>
      </c>
      <c r="Z4121" s="1">
        <v>2.0628020000000001E-5</v>
      </c>
      <c r="AA4121">
        <v>0.99972159999999999</v>
      </c>
      <c r="AB4121">
        <v>26</v>
      </c>
      <c r="AC4121">
        <v>71.277499999999904</v>
      </c>
      <c r="AD4121">
        <v>-1.10959228601199</v>
      </c>
      <c r="AE4121">
        <v>2.4350999999999998</v>
      </c>
      <c r="AF4121">
        <v>-1.6884841058664799</v>
      </c>
      <c r="AG4121">
        <v>-1.10959228601199</v>
      </c>
      <c r="AH4121">
        <v>71.281829685880098</v>
      </c>
      <c r="AI4121">
        <v>90.891559561557798</v>
      </c>
      <c r="AJ4121">
        <v>91.356936621218495</v>
      </c>
      <c r="AK4121">
        <v>71.310457977661002</v>
      </c>
      <c r="AL4121">
        <v>82.438604426377495</v>
      </c>
      <c r="AM4121">
        <v>87.991711517133297</v>
      </c>
      <c r="AN4121">
        <v>0.99999996439806704</v>
      </c>
    </row>
    <row r="4122" spans="1:40" x14ac:dyDescent="0.25">
      <c r="A4122" t="str">
        <f>"20190312172159757"</f>
        <v>20190312172159757</v>
      </c>
      <c r="B4122" t="str">
        <f>"1552382519744627"</f>
        <v>1552382519744627</v>
      </c>
      <c r="C4122" t="s">
        <v>40</v>
      </c>
      <c r="D4122">
        <v>2.9367049999999999</v>
      </c>
      <c r="E4122">
        <v>0.45959349999999999</v>
      </c>
      <c r="F4122" t="s">
        <v>47</v>
      </c>
      <c r="G4122">
        <v>-291.11399999999998</v>
      </c>
      <c r="H4122" s="1">
        <v>1.092011E-6</v>
      </c>
      <c r="I4122">
        <v>219.10300000000001</v>
      </c>
      <c r="J4122">
        <v>-353.42419999999998</v>
      </c>
      <c r="K4122">
        <v>1.109621</v>
      </c>
      <c r="L4122">
        <v>214.8117</v>
      </c>
      <c r="M4122">
        <v>0.99991600000000003</v>
      </c>
      <c r="N4122">
        <v>0</v>
      </c>
      <c r="O4122">
        <v>1.0434270000000001E-2</v>
      </c>
      <c r="P4122">
        <v>0.99208039999999997</v>
      </c>
      <c r="Q4122">
        <v>0.124457</v>
      </c>
      <c r="R4122">
        <v>-1.6952539999999999E-2</v>
      </c>
      <c r="S4122">
        <v>3.036041</v>
      </c>
      <c r="T4122">
        <v>-5.3847069999999997E-2</v>
      </c>
      <c r="U4122">
        <v>0.208374</v>
      </c>
      <c r="V4122">
        <v>2.7315470000000001E-2</v>
      </c>
      <c r="W4122">
        <v>0.1321003</v>
      </c>
      <c r="X4122">
        <v>0.99085990000000002</v>
      </c>
      <c r="Y4122">
        <v>-5.8051110000000003E-2</v>
      </c>
      <c r="Z4122">
        <v>3.2933449999999998E-4</v>
      </c>
      <c r="AA4122">
        <v>0.99831349999999996</v>
      </c>
      <c r="AB4122">
        <v>26</v>
      </c>
      <c r="AC4122">
        <v>62.310199999999902</v>
      </c>
      <c r="AD4122">
        <v>-1.1096199079889999</v>
      </c>
      <c r="AE4122">
        <v>4.2912999999999704</v>
      </c>
      <c r="AF4122">
        <v>-3.639736902568</v>
      </c>
      <c r="AG4122">
        <v>-1.1096199079889999</v>
      </c>
      <c r="AH4122">
        <v>62.331911952828797</v>
      </c>
      <c r="AI4122">
        <v>91.018126067329206</v>
      </c>
      <c r="AJ4122">
        <v>93.341868030027001</v>
      </c>
      <c r="AK4122">
        <v>62.4479478346192</v>
      </c>
      <c r="AL4122">
        <v>82.409022345247294</v>
      </c>
      <c r="AM4122">
        <v>88.420902022701497</v>
      </c>
      <c r="AN4122">
        <v>0.99999998279471003</v>
      </c>
    </row>
    <row r="4123" spans="1:40" x14ac:dyDescent="0.25">
      <c r="A4123" t="str">
        <f>"20190312172159772"</f>
        <v>20190312172159772</v>
      </c>
      <c r="B4123" t="str">
        <f>"1552382519765123"</f>
        <v>1552382519765123</v>
      </c>
      <c r="C4123" t="s">
        <v>40</v>
      </c>
      <c r="D4123">
        <v>2.9204249999999998</v>
      </c>
      <c r="E4123">
        <v>0.45662809999999998</v>
      </c>
      <c r="F4123" t="s">
        <v>47</v>
      </c>
      <c r="G4123">
        <v>-299.92689999999999</v>
      </c>
      <c r="H4123" s="1">
        <v>2.6438940000000001E-6</v>
      </c>
      <c r="I4123">
        <v>219.6694</v>
      </c>
      <c r="J4123">
        <v>-353.24590000000001</v>
      </c>
      <c r="K4123">
        <v>1.1096299999999999</v>
      </c>
      <c r="L4123">
        <v>214.81360000000001</v>
      </c>
      <c r="M4123">
        <v>0.99991600000000003</v>
      </c>
      <c r="N4123">
        <v>0</v>
      </c>
      <c r="O4123">
        <v>1.042701E-2</v>
      </c>
      <c r="P4123">
        <v>0.99211539999999998</v>
      </c>
      <c r="Q4123">
        <v>0.12463920000000001</v>
      </c>
      <c r="R4123">
        <v>-1.3128239999999999E-2</v>
      </c>
      <c r="S4123">
        <v>3.0365600000000001</v>
      </c>
      <c r="T4123">
        <v>-6.2983159999999996E-2</v>
      </c>
      <c r="U4123">
        <v>0.27572629999999998</v>
      </c>
      <c r="V4123">
        <v>2.348103E-2</v>
      </c>
      <c r="W4123">
        <v>0.1322767</v>
      </c>
      <c r="X4123">
        <v>0.99093469999999995</v>
      </c>
      <c r="Y4123">
        <v>-8.0025810000000003E-2</v>
      </c>
      <c r="Z4123">
        <v>6.1235610000000002E-4</v>
      </c>
      <c r="AA4123">
        <v>0.99679260000000003</v>
      </c>
      <c r="AB4123">
        <v>26</v>
      </c>
      <c r="AC4123">
        <v>53.319000000000003</v>
      </c>
      <c r="AD4123">
        <v>-1.1096273561059999</v>
      </c>
      <c r="AE4123">
        <v>4.8557999999999799</v>
      </c>
      <c r="AF4123">
        <v>-4.2977157478646104</v>
      </c>
      <c r="AG4123">
        <v>-1.1096273561059999</v>
      </c>
      <c r="AH4123">
        <v>53.343820954116097</v>
      </c>
      <c r="AI4123">
        <v>91.187814190718996</v>
      </c>
      <c r="AJ4123">
        <v>94.606161631663497</v>
      </c>
      <c r="AK4123">
        <v>53.528168916035803</v>
      </c>
      <c r="AL4123">
        <v>82.398826267004594</v>
      </c>
      <c r="AM4123">
        <v>88.642582403912201</v>
      </c>
      <c r="AN4123">
        <v>1.0000000318984199</v>
      </c>
    </row>
    <row r="4124" spans="1:40" x14ac:dyDescent="0.25">
      <c r="A4124" t="str">
        <f>"20190312172159791"</f>
        <v>20190312172159791</v>
      </c>
      <c r="B4124" t="str">
        <f>"1552382519784643"</f>
        <v>1552382519784643</v>
      </c>
      <c r="C4124" t="s">
        <v>40</v>
      </c>
      <c r="D4124">
        <v>2.9630390000000002</v>
      </c>
      <c r="E4124">
        <v>0.45495380000000002</v>
      </c>
      <c r="F4124" t="s">
        <v>47</v>
      </c>
      <c r="G4124">
        <v>-304.9683</v>
      </c>
      <c r="H4124" s="1">
        <v>1.733064E-6</v>
      </c>
      <c r="I4124">
        <v>219.76249999999999</v>
      </c>
      <c r="J4124">
        <v>-353.02379999999999</v>
      </c>
      <c r="K4124">
        <v>1.1096379999999999</v>
      </c>
      <c r="L4124">
        <v>214.8159</v>
      </c>
      <c r="M4124">
        <v>0.99991609999999997</v>
      </c>
      <c r="N4124">
        <v>0</v>
      </c>
      <c r="O4124">
        <v>1.042678E-2</v>
      </c>
      <c r="P4124">
        <v>0.99214910000000001</v>
      </c>
      <c r="Q4124">
        <v>0.1249507</v>
      </c>
      <c r="R4124">
        <v>-5.2607440000000004E-3</v>
      </c>
      <c r="S4124">
        <v>3.036743</v>
      </c>
      <c r="T4124">
        <v>-6.9797520000000002E-2</v>
      </c>
      <c r="U4124">
        <v>0.31129459999999998</v>
      </c>
      <c r="V4124">
        <v>1.561128E-2</v>
      </c>
      <c r="W4124">
        <v>0.13257920000000001</v>
      </c>
      <c r="X4124">
        <v>0.99104950000000003</v>
      </c>
      <c r="Y4124">
        <v>-9.1575470000000006E-2</v>
      </c>
      <c r="Z4124">
        <v>8.1054580000000003E-4</v>
      </c>
      <c r="AA4124">
        <v>0.99579779999999996</v>
      </c>
      <c r="AB4124">
        <v>26</v>
      </c>
      <c r="AC4124">
        <v>48.055500000000002</v>
      </c>
      <c r="AD4124">
        <v>-1.10963626693599</v>
      </c>
      <c r="AE4124">
        <v>4.9465999999999797</v>
      </c>
      <c r="AF4124">
        <v>-4.4429081181633601</v>
      </c>
      <c r="AG4124">
        <v>-1.10963626693599</v>
      </c>
      <c r="AH4124">
        <v>48.079100048375999</v>
      </c>
      <c r="AI4124">
        <v>91.316509791221605</v>
      </c>
      <c r="AJ4124">
        <v>95.279611855683598</v>
      </c>
      <c r="AK4124">
        <v>48.296693330424702</v>
      </c>
      <c r="AL4124">
        <v>82.381340304073603</v>
      </c>
      <c r="AM4124">
        <v>89.097536010276997</v>
      </c>
      <c r="AN4124">
        <v>1.0000000338930599</v>
      </c>
    </row>
    <row r="4125" spans="1:40" x14ac:dyDescent="0.25">
      <c r="A4125" t="str">
        <f>"20190312172159814"</f>
        <v>20190312172159814</v>
      </c>
      <c r="B4125" t="str">
        <f>"1552382519805139"</f>
        <v>1552382519805139</v>
      </c>
      <c r="C4125" t="s">
        <v>40</v>
      </c>
      <c r="D4125">
        <v>2.9459209999999998</v>
      </c>
      <c r="E4125">
        <v>0.45408169999999998</v>
      </c>
      <c r="F4125" t="s">
        <v>47</v>
      </c>
      <c r="G4125">
        <v>-306.8365</v>
      </c>
      <c r="H4125" s="1">
        <v>1.304639E-6</v>
      </c>
      <c r="I4125">
        <v>220.12719999999999</v>
      </c>
      <c r="J4125">
        <v>-352.74880000000002</v>
      </c>
      <c r="K4125">
        <v>1.109637</v>
      </c>
      <c r="L4125">
        <v>214.81880000000001</v>
      </c>
      <c r="M4125">
        <v>0.99991609999999997</v>
      </c>
      <c r="N4125">
        <v>0</v>
      </c>
      <c r="O4125">
        <v>1.0433629999999999E-2</v>
      </c>
      <c r="P4125">
        <v>0.99208399999999997</v>
      </c>
      <c r="Q4125">
        <v>0.125552</v>
      </c>
      <c r="R4125">
        <v>2.4852120000000001E-3</v>
      </c>
      <c r="S4125">
        <v>3.0347900000000001</v>
      </c>
      <c r="T4125">
        <v>-7.2910069999999993E-2</v>
      </c>
      <c r="U4125">
        <v>0.34898380000000001</v>
      </c>
      <c r="V4125">
        <v>7.8700760000000002E-3</v>
      </c>
      <c r="W4125">
        <v>0.1331666</v>
      </c>
      <c r="X4125">
        <v>0.99106240000000001</v>
      </c>
      <c r="Y4125">
        <v>-0.10384309999999999</v>
      </c>
      <c r="Z4125">
        <v>9.9335450000000007E-4</v>
      </c>
      <c r="AA4125">
        <v>0.99459319999999896</v>
      </c>
      <c r="AB4125">
        <v>26</v>
      </c>
      <c r="AC4125">
        <v>45.912300000000002</v>
      </c>
      <c r="AD4125">
        <v>-1.109635695361</v>
      </c>
      <c r="AE4125">
        <v>5.3083999999999696</v>
      </c>
      <c r="AF4125">
        <v>-4.8262830272174098</v>
      </c>
      <c r="AG4125">
        <v>-1.109635695361</v>
      </c>
      <c r="AH4125">
        <v>45.938708501750099</v>
      </c>
      <c r="AI4125">
        <v>91.376122616533095</v>
      </c>
      <c r="AJ4125">
        <v>95.997446694707506</v>
      </c>
      <c r="AK4125">
        <v>46.204861627798302</v>
      </c>
      <c r="AL4125">
        <v>82.347383266641003</v>
      </c>
      <c r="AM4125">
        <v>89.5450209177734</v>
      </c>
      <c r="AN4125">
        <v>0.99999998107278198</v>
      </c>
    </row>
    <row r="4126" spans="1:40" x14ac:dyDescent="0.25">
      <c r="A4126" t="str">
        <f>"20190312172159836"</f>
        <v>20190312172159836</v>
      </c>
      <c r="B4126" t="str">
        <f>"1552382519825167"</f>
        <v>1552382519825167</v>
      </c>
      <c r="C4126" t="s">
        <v>40</v>
      </c>
      <c r="D4126">
        <v>2.9586610000000002</v>
      </c>
      <c r="E4126">
        <v>0.45365070000000002</v>
      </c>
      <c r="F4126" t="s">
        <v>47</v>
      </c>
      <c r="G4126">
        <v>-307.14440000000002</v>
      </c>
      <c r="H4126" s="1">
        <v>1.141147E-6</v>
      </c>
      <c r="I4126">
        <v>220.53639999999999</v>
      </c>
      <c r="J4126">
        <v>-352.49270000000001</v>
      </c>
      <c r="K4126">
        <v>1.1096349999999999</v>
      </c>
      <c r="L4126">
        <v>214.82149999999999</v>
      </c>
      <c r="M4126">
        <v>0.99991629999999998</v>
      </c>
      <c r="N4126">
        <v>0</v>
      </c>
      <c r="O4126">
        <v>1.0440369999999999E-2</v>
      </c>
      <c r="P4126">
        <v>0.99197230000000003</v>
      </c>
      <c r="Q4126">
        <v>0.12602439999999901</v>
      </c>
      <c r="R4126">
        <v>1.0433970000000001E-2</v>
      </c>
      <c r="S4126">
        <v>3.0323180000000001</v>
      </c>
      <c r="T4126">
        <v>-7.3781730000000004E-2</v>
      </c>
      <c r="U4126">
        <v>0.38017269999999997</v>
      </c>
      <c r="V4126" s="1">
        <v>-7.3042929999999994E-5</v>
      </c>
      <c r="W4126">
        <v>0.13362399999999999</v>
      </c>
      <c r="X4126">
        <v>0.99103209999999997</v>
      </c>
      <c r="Y4126">
        <v>-0.1140032</v>
      </c>
      <c r="Z4126">
        <v>1.128373E-3</v>
      </c>
      <c r="AA4126">
        <v>0.99347969999999997</v>
      </c>
      <c r="AB4126">
        <v>26</v>
      </c>
      <c r="AC4126">
        <v>45.348300000000002</v>
      </c>
      <c r="AD4126">
        <v>-1.1096338588529999</v>
      </c>
      <c r="AE4126">
        <v>5.7149000000000001</v>
      </c>
      <c r="AF4126">
        <v>-5.2380344684020201</v>
      </c>
      <c r="AG4126">
        <v>-1.1096338588529999</v>
      </c>
      <c r="AH4126">
        <v>45.378750429904002</v>
      </c>
      <c r="AI4126">
        <v>91.391522570384396</v>
      </c>
      <c r="AJ4126">
        <v>96.584467594940406</v>
      </c>
      <c r="AK4126">
        <v>45.693536555758001</v>
      </c>
      <c r="AL4126">
        <v>82.320940002891007</v>
      </c>
      <c r="AM4126">
        <v>90.004222922349996</v>
      </c>
      <c r="AN4126">
        <v>1.0000000009708301</v>
      </c>
    </row>
    <row r="4127" spans="1:40" x14ac:dyDescent="0.25">
      <c r="A4127" t="str">
        <f>"20190312172159859"</f>
        <v>20190312172159859</v>
      </c>
      <c r="B4127" t="str">
        <f>"1552382519854447"</f>
        <v>1552382519854447</v>
      </c>
      <c r="C4127" t="s">
        <v>40</v>
      </c>
      <c r="D4127">
        <v>2.9639350000000002</v>
      </c>
      <c r="E4127">
        <v>0.45335819999999999</v>
      </c>
      <c r="F4127" t="s">
        <v>47</v>
      </c>
      <c r="G4127">
        <v>-307.27370000000002</v>
      </c>
      <c r="H4127" s="1">
        <v>1.0168360000000001E-6</v>
      </c>
      <c r="I4127">
        <v>220.91739999999999</v>
      </c>
      <c r="J4127">
        <v>-352.22489999999999</v>
      </c>
      <c r="K4127">
        <v>1.109629</v>
      </c>
      <c r="L4127">
        <v>214.82429999999999</v>
      </c>
      <c r="M4127">
        <v>0.99991620000000003</v>
      </c>
      <c r="N4127">
        <v>0</v>
      </c>
      <c r="O4127">
        <v>1.0444490000000001E-2</v>
      </c>
      <c r="P4127">
        <v>0.99176580000000003</v>
      </c>
      <c r="Q4127">
        <v>0.1268628</v>
      </c>
      <c r="R4127">
        <v>1.750784E-2</v>
      </c>
      <c r="S4127">
        <v>3.029388</v>
      </c>
      <c r="T4127">
        <v>-7.4338559999999998E-2</v>
      </c>
      <c r="U4127">
        <v>0.40838619999999998</v>
      </c>
      <c r="V4127">
        <v>-7.1440879999999998E-3</v>
      </c>
      <c r="W4127">
        <v>0.13444300000000001</v>
      </c>
      <c r="X4127">
        <v>0.99089559999999999</v>
      </c>
      <c r="Y4127">
        <v>-0.1232079</v>
      </c>
      <c r="Z4127">
        <v>1.2496110000000001E-3</v>
      </c>
      <c r="AA4127">
        <v>0.99238009999999999</v>
      </c>
      <c r="AB4127">
        <v>26</v>
      </c>
      <c r="AC4127">
        <v>44.951199999999901</v>
      </c>
      <c r="AD4127">
        <v>-1.1096279831639999</v>
      </c>
      <c r="AE4127">
        <v>6.09309999999999</v>
      </c>
      <c r="AF4127">
        <v>-5.6198987955959101</v>
      </c>
      <c r="AG4127">
        <v>-1.1096279831639999</v>
      </c>
      <c r="AH4127">
        <v>44.985471505163503</v>
      </c>
      <c r="AI4127">
        <v>91.402097657925594</v>
      </c>
      <c r="AJ4127">
        <v>97.120896558751795</v>
      </c>
      <c r="AK4127">
        <v>45.348728573970398</v>
      </c>
      <c r="AL4127">
        <v>82.273587667298401</v>
      </c>
      <c r="AM4127">
        <v>90.413079842931694</v>
      </c>
      <c r="AN4127">
        <v>1.00000002417085</v>
      </c>
    </row>
    <row r="4128" spans="1:40" x14ac:dyDescent="0.25">
      <c r="A4128" t="str">
        <f>"20190312172159880"</f>
        <v>20190312172159880</v>
      </c>
      <c r="B4128" t="str">
        <f>"1552382519874943"</f>
        <v>1552382519874943</v>
      </c>
      <c r="C4128" t="s">
        <v>40</v>
      </c>
      <c r="D4128">
        <v>2.9668450000000002</v>
      </c>
      <c r="E4128">
        <v>0.45339869999999999</v>
      </c>
      <c r="F4128" t="s">
        <v>47</v>
      </c>
      <c r="G4128">
        <v>-306.6438</v>
      </c>
      <c r="H4128" s="1">
        <v>1.0282989999999999E-6</v>
      </c>
      <c r="I4128">
        <v>221.33619999999999</v>
      </c>
      <c r="J4128">
        <v>-351.96800000000002</v>
      </c>
      <c r="K4128">
        <v>1.1096220000000001</v>
      </c>
      <c r="L4128">
        <v>214.827</v>
      </c>
      <c r="M4128">
        <v>0.99991640000000004</v>
      </c>
      <c r="N4128">
        <v>0</v>
      </c>
      <c r="O4128">
        <v>1.044319E-2</v>
      </c>
      <c r="P4128">
        <v>0.99163319999999999</v>
      </c>
      <c r="Q4128">
        <v>0.1267268</v>
      </c>
      <c r="R4128">
        <v>2.4576600000000001E-2</v>
      </c>
      <c r="S4128">
        <v>3.0267029999999999</v>
      </c>
      <c r="T4128">
        <v>-7.3682070000000002E-2</v>
      </c>
      <c r="U4128">
        <v>0.4324036</v>
      </c>
      <c r="V4128">
        <v>-1.421506E-2</v>
      </c>
      <c r="W4128">
        <v>0.13428419999999999</v>
      </c>
      <c r="X4128">
        <v>0.99084090000000002</v>
      </c>
      <c r="Y4128">
        <v>-0.13104569999999999</v>
      </c>
      <c r="Z4128">
        <v>1.333936E-3</v>
      </c>
      <c r="AA4128">
        <v>0.99137540000000002</v>
      </c>
      <c r="AB4128">
        <v>26</v>
      </c>
      <c r="AC4128">
        <v>45.324199999999998</v>
      </c>
      <c r="AD4128">
        <v>-1.1096209717009999</v>
      </c>
      <c r="AE4128">
        <v>6.5091999999999901</v>
      </c>
      <c r="AF4128">
        <v>-6.0319597650274899</v>
      </c>
      <c r="AG4128">
        <v>-1.1096209717009999</v>
      </c>
      <c r="AH4128">
        <v>45.363067596262397</v>
      </c>
      <c r="AI4128">
        <v>91.389005302326197</v>
      </c>
      <c r="AJ4128">
        <v>97.574229096028006</v>
      </c>
      <c r="AK4128">
        <v>45.775798180379297</v>
      </c>
      <c r="AL4128">
        <v>82.282769322383203</v>
      </c>
      <c r="AM4128">
        <v>90.8219352598217</v>
      </c>
      <c r="AN4128">
        <v>1.00000000170662</v>
      </c>
    </row>
    <row r="4129" spans="1:40" x14ac:dyDescent="0.25">
      <c r="A4129" t="str">
        <f>"20190312172159904"</f>
        <v>20190312172159904</v>
      </c>
      <c r="B4129" t="str">
        <f>"1552382519894463"</f>
        <v>1552382519894463</v>
      </c>
      <c r="C4129" t="s">
        <v>40</v>
      </c>
      <c r="D4129">
        <v>2.9676819999999999</v>
      </c>
      <c r="E4129">
        <v>0.45368540000000002</v>
      </c>
      <c r="F4129" t="s">
        <v>47</v>
      </c>
      <c r="G4129">
        <v>-310.68439999999998</v>
      </c>
      <c r="H4129">
        <v>7.999916E-2</v>
      </c>
      <c r="I4129">
        <v>221.02170000000001</v>
      </c>
      <c r="J4129">
        <v>-351.68869999999998</v>
      </c>
      <c r="K4129">
        <v>1.1096200000000001</v>
      </c>
      <c r="L4129">
        <v>214.83</v>
      </c>
      <c r="M4129">
        <v>0.99991669999999999</v>
      </c>
      <c r="N4129">
        <v>0</v>
      </c>
      <c r="O4129">
        <v>1.0436239999999999E-2</v>
      </c>
      <c r="P4129">
        <v>0.99146820000000002</v>
      </c>
      <c r="Q4129">
        <v>0.12660289999999999</v>
      </c>
      <c r="R4129">
        <v>3.102792E-2</v>
      </c>
      <c r="S4129">
        <v>3.023682</v>
      </c>
      <c r="T4129">
        <v>-7.5411320000000004E-2</v>
      </c>
      <c r="U4129">
        <v>0.45370480000000002</v>
      </c>
      <c r="V4129">
        <v>-2.0673790000000001E-2</v>
      </c>
      <c r="W4129">
        <v>0.1341339</v>
      </c>
      <c r="X4129">
        <v>0.9907475</v>
      </c>
      <c r="Y4129">
        <v>-0.13802139999999999</v>
      </c>
      <c r="Z4129">
        <v>1.4525530000000001E-3</v>
      </c>
      <c r="AA4129">
        <v>0.99042819999999998</v>
      </c>
      <c r="AB4129">
        <v>27</v>
      </c>
      <c r="AC4129">
        <v>41.004300000000001</v>
      </c>
      <c r="AD4129">
        <v>-1.02962084</v>
      </c>
      <c r="AE4129">
        <v>6.1916999999999902</v>
      </c>
      <c r="AF4129">
        <v>-5.7598690031900501</v>
      </c>
      <c r="AG4129">
        <v>-1.02962084</v>
      </c>
      <c r="AH4129">
        <v>41.041386395307299</v>
      </c>
      <c r="AI4129">
        <v>91.423158325624698</v>
      </c>
      <c r="AJ4129">
        <v>97.988881022689995</v>
      </c>
      <c r="AK4129">
        <v>41.456381984647301</v>
      </c>
      <c r="AL4129">
        <v>82.291459164462097</v>
      </c>
      <c r="AM4129">
        <v>91.195409561727601</v>
      </c>
      <c r="AN4129">
        <v>0.99999995873921099</v>
      </c>
    </row>
    <row r="4130" spans="1:40" x14ac:dyDescent="0.25">
      <c r="A4130" t="str">
        <f>"20190312172159926"</f>
        <v>20190312172159926</v>
      </c>
      <c r="B4130" t="str">
        <f>"1552382519914959"</f>
        <v>1552382519914959</v>
      </c>
      <c r="C4130" t="s">
        <v>40</v>
      </c>
      <c r="D4130">
        <v>2.9601670000000002</v>
      </c>
      <c r="E4130">
        <v>0.4541751</v>
      </c>
      <c r="F4130" t="s">
        <v>47</v>
      </c>
      <c r="G4130">
        <v>-311.21050000000002</v>
      </c>
      <c r="H4130">
        <v>7.999945E-2</v>
      </c>
      <c r="I4130">
        <v>221.1455</v>
      </c>
      <c r="J4130">
        <v>-351.4228</v>
      </c>
      <c r="K4130">
        <v>1.109613</v>
      </c>
      <c r="L4130">
        <v>214.83279999999999</v>
      </c>
      <c r="M4130">
        <v>0.99991699999999994</v>
      </c>
      <c r="N4130">
        <v>0</v>
      </c>
      <c r="O4130">
        <v>1.042596E-2</v>
      </c>
      <c r="P4130">
        <v>0.99123760000000005</v>
      </c>
      <c r="Q4130">
        <v>0.1270684</v>
      </c>
      <c r="R4130">
        <v>3.607958E-2</v>
      </c>
      <c r="S4130">
        <v>3.020905</v>
      </c>
      <c r="T4130">
        <v>-7.6840999999999895E-2</v>
      </c>
      <c r="U4130">
        <v>0.47132869999999999</v>
      </c>
      <c r="V4130">
        <v>-2.5737300000000001E-2</v>
      </c>
      <c r="W4130">
        <v>0.134572</v>
      </c>
      <c r="X4130">
        <v>0.99056949999999999</v>
      </c>
      <c r="Y4130">
        <v>-0.1438053</v>
      </c>
      <c r="Z4130">
        <v>1.554146E-3</v>
      </c>
      <c r="AA4130">
        <v>0.98960479999999995</v>
      </c>
      <c r="AB4130">
        <v>27</v>
      </c>
      <c r="AC4130">
        <v>40.2122999999999</v>
      </c>
      <c r="AD4130">
        <v>-1.0296135500000001</v>
      </c>
      <c r="AE4130">
        <v>6.3127000000000004</v>
      </c>
      <c r="AF4130">
        <v>-5.8893249255578999</v>
      </c>
      <c r="AG4130">
        <v>-1.0296135500000001</v>
      </c>
      <c r="AH4130">
        <v>40.250179247657201</v>
      </c>
      <c r="AI4130">
        <v>91.449894882577098</v>
      </c>
      <c r="AJ4130">
        <v>98.324333041034507</v>
      </c>
      <c r="AK4130">
        <v>40.691782728330701</v>
      </c>
      <c r="AL4130">
        <v>82.266128409513399</v>
      </c>
      <c r="AM4130">
        <v>91.488342783371195</v>
      </c>
      <c r="AN4130">
        <v>0.99999998306276905</v>
      </c>
    </row>
    <row r="4131" spans="1:40" x14ac:dyDescent="0.25">
      <c r="A4131" t="str">
        <f>"20190312172159947"</f>
        <v>20190312172159947</v>
      </c>
      <c r="B4131" t="str">
        <f>"1552382519934986"</f>
        <v>1552382519934986</v>
      </c>
      <c r="C4131" t="s">
        <v>40</v>
      </c>
      <c r="D4131">
        <v>2.947743</v>
      </c>
      <c r="E4131">
        <v>0.45480860000000001</v>
      </c>
      <c r="F4131" t="s">
        <v>47</v>
      </c>
      <c r="G4131">
        <v>-311.27589999999998</v>
      </c>
      <c r="H4131">
        <v>7.9999470000000003E-2</v>
      </c>
      <c r="I4131">
        <v>221.2578</v>
      </c>
      <c r="J4131">
        <v>-351.17540000000002</v>
      </c>
      <c r="K4131">
        <v>1.109602</v>
      </c>
      <c r="L4131">
        <v>214.83539999999999</v>
      </c>
      <c r="M4131">
        <v>0.99991739999999996</v>
      </c>
      <c r="N4131">
        <v>0</v>
      </c>
      <c r="O4131">
        <v>1.0414319999999999E-2</v>
      </c>
      <c r="P4131">
        <v>0.99098160000000002</v>
      </c>
      <c r="Q4131">
        <v>0.12782879999999999</v>
      </c>
      <c r="R4131">
        <v>4.0194699999999903E-2</v>
      </c>
      <c r="S4131">
        <v>3.0188290000000002</v>
      </c>
      <c r="T4131">
        <v>-7.7421309999999993E-2</v>
      </c>
      <c r="U4131">
        <v>0.48312379999999999</v>
      </c>
      <c r="V4131">
        <v>-2.9865639999999999E-2</v>
      </c>
      <c r="W4131">
        <v>0.13529910000000001</v>
      </c>
      <c r="X4131">
        <v>0.99035459999999997</v>
      </c>
      <c r="Y4131">
        <v>-0.1476896</v>
      </c>
      <c r="Z4131">
        <v>1.6162520000000001E-3</v>
      </c>
      <c r="AA4131">
        <v>0.98903240000000003</v>
      </c>
      <c r="AB4131">
        <v>27</v>
      </c>
      <c r="AC4131">
        <v>39.899500000000003</v>
      </c>
      <c r="AD4131">
        <v>-1.02960253</v>
      </c>
      <c r="AE4131">
        <v>6.4223999999999997</v>
      </c>
      <c r="AF4131">
        <v>-6.0026175893780804</v>
      </c>
      <c r="AG4131">
        <v>-1.02960253</v>
      </c>
      <c r="AH4131">
        <v>39.938299961061198</v>
      </c>
      <c r="AI4131">
        <v>91.460353461444896</v>
      </c>
      <c r="AJ4131">
        <v>98.547422597120004</v>
      </c>
      <c r="AK4131">
        <v>40.399991374674798</v>
      </c>
      <c r="AL4131">
        <v>82.224084401281701</v>
      </c>
      <c r="AM4131">
        <v>91.7273173512081</v>
      </c>
      <c r="AN4131">
        <v>1.0000000183272799</v>
      </c>
    </row>
    <row r="4132" spans="1:40" x14ac:dyDescent="0.25">
      <c r="A4132" t="str">
        <f>"20190312172159970"</f>
        <v>20190312172159970</v>
      </c>
      <c r="B4132" t="str">
        <f>"1552382519964266"</f>
        <v>1552382519964266</v>
      </c>
      <c r="C4132" t="s">
        <v>40</v>
      </c>
      <c r="D4132">
        <v>2.9092440000000002</v>
      </c>
      <c r="E4132">
        <v>0.45559450000000001</v>
      </c>
      <c r="F4132" t="s">
        <v>47</v>
      </c>
      <c r="G4132">
        <v>-310.7115</v>
      </c>
      <c r="H4132">
        <v>7.9999280000000006E-2</v>
      </c>
      <c r="I4132">
        <v>221.4126</v>
      </c>
      <c r="J4132">
        <v>-350.90010000000001</v>
      </c>
      <c r="K4132">
        <v>1.1095919999999999</v>
      </c>
      <c r="L4132">
        <v>214.8382</v>
      </c>
      <c r="M4132">
        <v>0.99991790000000003</v>
      </c>
      <c r="N4132">
        <v>0</v>
      </c>
      <c r="O4132">
        <v>1.040024E-2</v>
      </c>
      <c r="P4132">
        <v>0.99079839999999997</v>
      </c>
      <c r="Q4132">
        <v>0.12825159999999999</v>
      </c>
      <c r="R4132">
        <v>4.3242740000000002E-2</v>
      </c>
      <c r="S4132">
        <v>3.0173030000000001</v>
      </c>
      <c r="T4132">
        <v>-7.6775309999999999E-2</v>
      </c>
      <c r="U4132">
        <v>0.490448</v>
      </c>
      <c r="V4132">
        <v>-3.2928609999999997E-2</v>
      </c>
      <c r="W4132">
        <v>0.13567419999999999</v>
      </c>
      <c r="X4132">
        <v>0.99020609999999998</v>
      </c>
      <c r="Y4132">
        <v>-0.150121</v>
      </c>
      <c r="Z4132">
        <v>1.6343460000000001E-3</v>
      </c>
      <c r="AA4132">
        <v>0.9886663</v>
      </c>
      <c r="AB4132">
        <v>27</v>
      </c>
      <c r="AC4132">
        <v>40.188600000000001</v>
      </c>
      <c r="AD4132">
        <v>-1.0295927199999999</v>
      </c>
      <c r="AE4132">
        <v>6.57439999999999</v>
      </c>
      <c r="AF4132">
        <v>-6.1521290033538998</v>
      </c>
      <c r="AG4132">
        <v>-1.0295927199999999</v>
      </c>
      <c r="AH4132">
        <v>40.229088018977201</v>
      </c>
      <c r="AI4132">
        <v>91.449223526962598</v>
      </c>
      <c r="AJ4132">
        <v>98.694730425965204</v>
      </c>
      <c r="AK4132">
        <v>40.709805640430197</v>
      </c>
      <c r="AL4132">
        <v>82.202392212801499</v>
      </c>
      <c r="AM4132">
        <v>91.9046291293878</v>
      </c>
      <c r="AN4132">
        <v>0.99999995118968898</v>
      </c>
    </row>
    <row r="4133" spans="1:40" x14ac:dyDescent="0.25">
      <c r="A4133" t="str">
        <f>"20190312172159993"</f>
        <v>20190312172159993</v>
      </c>
      <c r="B4133" t="str">
        <f>"1552382519984761"</f>
        <v>1552382519984761</v>
      </c>
      <c r="C4133" t="s">
        <v>40</v>
      </c>
      <c r="D4133">
        <v>2.9630679999999998</v>
      </c>
      <c r="E4133">
        <v>0.4561846</v>
      </c>
      <c r="F4133" t="s">
        <v>47</v>
      </c>
      <c r="G4133">
        <v>-305.97190000000001</v>
      </c>
      <c r="H4133" s="1">
        <v>1.012413E-6</v>
      </c>
      <c r="I4133">
        <v>222.18719999999999</v>
      </c>
      <c r="J4133">
        <v>-350.6148</v>
      </c>
      <c r="K4133">
        <v>1.109577</v>
      </c>
      <c r="L4133">
        <v>214.84119999999999</v>
      </c>
      <c r="M4133">
        <v>0.99991850000000004</v>
      </c>
      <c r="N4133">
        <v>0</v>
      </c>
      <c r="O4133">
        <v>1.038531E-2</v>
      </c>
      <c r="P4133">
        <v>0.99058789999999997</v>
      </c>
      <c r="Q4133">
        <v>0.12850989999999901</v>
      </c>
      <c r="R4133">
        <v>4.7128129999999997E-2</v>
      </c>
      <c r="S4133">
        <v>3.0159910000000001</v>
      </c>
      <c r="T4133">
        <v>-7.4485899999999994E-2</v>
      </c>
      <c r="U4133">
        <v>0.49333189999999999</v>
      </c>
      <c r="V4133">
        <v>-3.6830269999999998E-2</v>
      </c>
      <c r="W4133">
        <v>0.13587399999999999</v>
      </c>
      <c r="X4133">
        <v>0.99004130000000001</v>
      </c>
      <c r="Y4133">
        <v>-0.15112690000000001</v>
      </c>
      <c r="Z4133">
        <v>1.598889E-3</v>
      </c>
      <c r="AA4133">
        <v>0.98851310000000003</v>
      </c>
      <c r="AB4133">
        <v>27</v>
      </c>
      <c r="AC4133">
        <v>44.642899999999997</v>
      </c>
      <c r="AD4133">
        <v>-1.1095759875869999</v>
      </c>
      <c r="AE4133">
        <v>7.3460000000000001</v>
      </c>
      <c r="AF4133">
        <v>-6.8778239464143196</v>
      </c>
      <c r="AG4133">
        <v>-1.1095759875869999</v>
      </c>
      <c r="AH4133">
        <v>44.689905752016401</v>
      </c>
      <c r="AI4133">
        <v>91.405723183299997</v>
      </c>
      <c r="AJ4133">
        <v>98.749235490757698</v>
      </c>
      <c r="AK4133">
        <v>45.229672751792101</v>
      </c>
      <c r="AL4133">
        <v>82.190837854769697</v>
      </c>
      <c r="AM4133">
        <v>92.130463038459695</v>
      </c>
      <c r="AN4133">
        <v>0.99999999418498098</v>
      </c>
    </row>
    <row r="4134" spans="1:40" x14ac:dyDescent="0.25">
      <c r="A4134" t="str">
        <f>"20190312172200026"</f>
        <v>20190312172200026</v>
      </c>
      <c r="B4134" t="str">
        <f>"1552382520015018"</f>
        <v>1552382520015018</v>
      </c>
      <c r="C4134" t="s">
        <v>40</v>
      </c>
      <c r="D4134">
        <v>2.9758939999999998</v>
      </c>
      <c r="E4134">
        <v>0.45708330000000003</v>
      </c>
      <c r="F4134" t="s">
        <v>47</v>
      </c>
      <c r="G4134">
        <v>-304.76569999999998</v>
      </c>
      <c r="H4134" s="1">
        <v>1.096561E-6</v>
      </c>
      <c r="I4134">
        <v>222.44470000000001</v>
      </c>
      <c r="J4134">
        <v>-350.22190000000001</v>
      </c>
      <c r="K4134">
        <v>1.109551</v>
      </c>
      <c r="L4134">
        <v>214.84530000000001</v>
      </c>
      <c r="M4134">
        <v>0.99991940000000001</v>
      </c>
      <c r="N4134">
        <v>0</v>
      </c>
      <c r="O4134">
        <v>1.0365549999999999E-2</v>
      </c>
      <c r="P4134">
        <v>0.99060610000000004</v>
      </c>
      <c r="Q4134">
        <v>0.128526</v>
      </c>
      <c r="R4134">
        <v>4.6698530000000002E-2</v>
      </c>
      <c r="S4134">
        <v>3.0141909999999998</v>
      </c>
      <c r="T4134">
        <v>-7.2945239999999995E-2</v>
      </c>
      <c r="U4134">
        <v>0.49986269999999999</v>
      </c>
      <c r="V4134">
        <v>-3.6419920000000001E-2</v>
      </c>
      <c r="W4134">
        <v>0.13579939999999999</v>
      </c>
      <c r="X4134">
        <v>0.99006669999999997</v>
      </c>
      <c r="Y4134">
        <v>-0.1533264</v>
      </c>
      <c r="Z4134">
        <v>1.593382E-3</v>
      </c>
      <c r="AA4134">
        <v>0.98817429999999995</v>
      </c>
      <c r="AB4134">
        <v>27</v>
      </c>
      <c r="AC4134">
        <v>45.456200000000003</v>
      </c>
      <c r="AD4134">
        <v>-1.109549903439</v>
      </c>
      <c r="AE4134">
        <v>7.5994000000000002</v>
      </c>
      <c r="AF4134">
        <v>-7.1236715830661304</v>
      </c>
      <c r="AG4134">
        <v>-1.109549903439</v>
      </c>
      <c r="AH4134">
        <v>45.506156056312697</v>
      </c>
      <c r="AI4134">
        <v>91.379933453849802</v>
      </c>
      <c r="AJ4134">
        <v>98.897047708900402</v>
      </c>
      <c r="AK4134">
        <v>46.0737239305994</v>
      </c>
      <c r="AL4134">
        <v>82.195151988709299</v>
      </c>
      <c r="AM4134">
        <v>92.106693673618807</v>
      </c>
      <c r="AN4134">
        <v>0.999999979031028</v>
      </c>
    </row>
    <row r="4135" spans="1:40" x14ac:dyDescent="0.25">
      <c r="A4135" t="str">
        <f>"20190312172200049"</f>
        <v>20190312172200049</v>
      </c>
      <c r="B4135" t="str">
        <f>"1552382520044299"</f>
        <v>1552382520044299</v>
      </c>
      <c r="C4135" t="s">
        <v>40</v>
      </c>
      <c r="D4135">
        <v>2.9943379999999999</v>
      </c>
      <c r="E4135">
        <v>0.46969290000000002</v>
      </c>
      <c r="F4135" t="s">
        <v>47</v>
      </c>
      <c r="G4135">
        <v>-304.3526</v>
      </c>
      <c r="H4135" s="1">
        <v>1.1632999999999999E-6</v>
      </c>
      <c r="I4135">
        <v>222.3143</v>
      </c>
      <c r="J4135">
        <v>-349.93720000000002</v>
      </c>
      <c r="K4135">
        <v>1.1095330000000001</v>
      </c>
      <c r="L4135">
        <v>214.84819999999999</v>
      </c>
      <c r="M4135">
        <v>0.99992009999999998</v>
      </c>
      <c r="N4135">
        <v>0</v>
      </c>
      <c r="O4135">
        <v>1.035141E-2</v>
      </c>
      <c r="P4135">
        <v>0.99070449999999999</v>
      </c>
      <c r="Q4135">
        <v>0.12833929999999999</v>
      </c>
      <c r="R4135">
        <v>4.5095290000000003E-2</v>
      </c>
      <c r="S4135">
        <v>3.0147710000000001</v>
      </c>
      <c r="T4135">
        <v>-7.2925569999999995E-2</v>
      </c>
      <c r="U4135">
        <v>0.4909058</v>
      </c>
      <c r="V4135">
        <v>-3.4829230000000003E-2</v>
      </c>
      <c r="W4135">
        <v>0.13553479999999901</v>
      </c>
      <c r="X4135">
        <v>0.99016020000000005</v>
      </c>
      <c r="Y4135">
        <v>-0.15045120000000001</v>
      </c>
      <c r="Z4135">
        <v>1.5588279999999999E-3</v>
      </c>
      <c r="AA4135">
        <v>0.98861619999999995</v>
      </c>
      <c r="AB4135">
        <v>27</v>
      </c>
      <c r="AC4135">
        <v>45.584600000000002</v>
      </c>
      <c r="AD4135">
        <v>-1.1095318367</v>
      </c>
      <c r="AE4135">
        <v>7.4661000000000097</v>
      </c>
      <c r="AF4135">
        <v>-6.9897898243436298</v>
      </c>
      <c r="AG4135">
        <v>-1.1095318367</v>
      </c>
      <c r="AH4135">
        <v>45.633115738165202</v>
      </c>
      <c r="AI4135">
        <v>91.3767744058689</v>
      </c>
      <c r="AJ4135">
        <v>98.708516418188495</v>
      </c>
      <c r="AK4135">
        <v>46.1786690438121</v>
      </c>
      <c r="AL4135">
        <v>82.210454008536402</v>
      </c>
      <c r="AM4135">
        <v>92.014568401188299</v>
      </c>
      <c r="AN4135">
        <v>0.99999998946873603</v>
      </c>
    </row>
    <row r="4136" spans="1:40" x14ac:dyDescent="0.25">
      <c r="A4136" t="str">
        <f>"20190312172200070"</f>
        <v>20190312172200070</v>
      </c>
      <c r="B4136" t="str">
        <f>"1552382520064794"</f>
        <v>1552382520064794</v>
      </c>
      <c r="C4136" t="s">
        <v>40</v>
      </c>
      <c r="D4136">
        <v>2.9910299999999999</v>
      </c>
      <c r="E4136">
        <v>0.46930280000000002</v>
      </c>
      <c r="F4136" t="s">
        <v>47</v>
      </c>
      <c r="G4136">
        <v>-306.94529999999997</v>
      </c>
      <c r="H4136" s="1">
        <v>1.230333E-6</v>
      </c>
      <c r="I4136">
        <v>220.334</v>
      </c>
      <c r="J4136">
        <v>-349.67590000000001</v>
      </c>
      <c r="K4136">
        <v>1.1095109999999999</v>
      </c>
      <c r="L4136">
        <v>214.8509</v>
      </c>
      <c r="M4136">
        <v>0.99992080000000005</v>
      </c>
      <c r="N4136">
        <v>0</v>
      </c>
      <c r="O4136">
        <v>1.033894E-2</v>
      </c>
      <c r="P4136">
        <v>0.99079209999999995</v>
      </c>
      <c r="Q4136">
        <v>0.12839680000000001</v>
      </c>
      <c r="R4136">
        <v>4.2961039999999999E-2</v>
      </c>
      <c r="S4136">
        <v>3.0206909999999998</v>
      </c>
      <c r="T4136">
        <v>-7.7957750000000006E-2</v>
      </c>
      <c r="U4136">
        <v>0.38543699999999997</v>
      </c>
      <c r="V4136">
        <v>-3.2706470000000001E-2</v>
      </c>
      <c r="W4136">
        <v>0.13551589999999999</v>
      </c>
      <c r="X4136">
        <v>0.99023519999999998</v>
      </c>
      <c r="Y4136">
        <v>-0.1162752</v>
      </c>
      <c r="Z4136">
        <v>1.2284419999999999E-3</v>
      </c>
      <c r="AA4136">
        <v>0.99321630000000005</v>
      </c>
      <c r="AB4136">
        <v>27</v>
      </c>
      <c r="AC4136">
        <v>42.730600000000003</v>
      </c>
      <c r="AD4136">
        <v>-1.109509769667</v>
      </c>
      <c r="AE4136">
        <v>5.4831000000000003</v>
      </c>
      <c r="AF4136">
        <v>-5.0376650945575596</v>
      </c>
      <c r="AG4136">
        <v>-1.109509769667</v>
      </c>
      <c r="AH4136">
        <v>42.756647621507902</v>
      </c>
      <c r="AI4136">
        <v>91.476251313536395</v>
      </c>
      <c r="AJ4136">
        <v>96.719711738493004</v>
      </c>
      <c r="AK4136">
        <v>43.066692435845397</v>
      </c>
      <c r="AL4136">
        <v>82.211547157900497</v>
      </c>
      <c r="AM4136">
        <v>91.891734107724901</v>
      </c>
      <c r="AN4136">
        <v>1.0000000118258501</v>
      </c>
    </row>
    <row r="4137" spans="1:40" x14ac:dyDescent="0.25">
      <c r="A4137" t="str">
        <f>"20190312172200094"</f>
        <v>20190312172200094</v>
      </c>
      <c r="B4137" t="str">
        <f>"1552382520084317"</f>
        <v>1552382520084317</v>
      </c>
      <c r="C4137" t="s">
        <v>40</v>
      </c>
      <c r="D4137">
        <v>2.9615049999999998</v>
      </c>
      <c r="E4137">
        <v>0.46946159999999998</v>
      </c>
      <c r="F4137" t="s">
        <v>47</v>
      </c>
      <c r="G4137">
        <v>-304.101</v>
      </c>
      <c r="H4137" s="1">
        <v>1.660876E-6</v>
      </c>
      <c r="I4137">
        <v>220.61199999999999</v>
      </c>
      <c r="J4137">
        <v>-349.38569999999999</v>
      </c>
      <c r="K4137">
        <v>1.1094869999999999</v>
      </c>
      <c r="L4137">
        <v>214.85390000000001</v>
      </c>
      <c r="M4137">
        <v>0.99992170000000002</v>
      </c>
      <c r="N4137">
        <v>0</v>
      </c>
      <c r="O4137">
        <v>1.032487E-2</v>
      </c>
      <c r="P4137">
        <v>0.99090480000000003</v>
      </c>
      <c r="Q4137">
        <v>0.1283377</v>
      </c>
      <c r="R4137">
        <v>4.0466019999999998E-2</v>
      </c>
      <c r="S4137">
        <v>3.0208740000000001</v>
      </c>
      <c r="T4137">
        <v>-7.3542479999999993E-2</v>
      </c>
      <c r="U4137">
        <v>0.3818665</v>
      </c>
      <c r="V4137">
        <v>-3.0224290000000001E-2</v>
      </c>
      <c r="W4137">
        <v>0.13535910000000001</v>
      </c>
      <c r="X4137">
        <v>0.99033550000000004</v>
      </c>
      <c r="Y4137">
        <v>-0.11513039999999899</v>
      </c>
      <c r="Z4137">
        <v>1.145367E-3</v>
      </c>
      <c r="AA4137">
        <v>0.9933497</v>
      </c>
      <c r="AB4137">
        <v>27</v>
      </c>
      <c r="AC4137">
        <v>45.284700000000001</v>
      </c>
      <c r="AD4137">
        <v>-1.109485339124</v>
      </c>
      <c r="AE4137">
        <v>5.7580999999999802</v>
      </c>
      <c r="AF4137">
        <v>-5.2870995885922296</v>
      </c>
      <c r="AG4137">
        <v>-1.109485339124</v>
      </c>
      <c r="AH4137">
        <v>45.314971167448697</v>
      </c>
      <c r="AI4137">
        <v>91.393095304192599</v>
      </c>
      <c r="AJ4137">
        <v>96.654865322297695</v>
      </c>
      <c r="AK4137">
        <v>45.635852042929301</v>
      </c>
      <c r="AL4137">
        <v>82.220614577841403</v>
      </c>
      <c r="AM4137">
        <v>91.748081230472806</v>
      </c>
      <c r="AN4137">
        <v>0.999999998109532</v>
      </c>
    </row>
    <row r="4138" spans="1:40" x14ac:dyDescent="0.25">
      <c r="A4138" t="str">
        <f>"20190312172200116"</f>
        <v>20190312172200116</v>
      </c>
      <c r="B4138" t="str">
        <f>"1552382520104810"</f>
        <v>1552382520104810</v>
      </c>
      <c r="C4138" t="s">
        <v>40</v>
      </c>
      <c r="D4138">
        <v>2.9925199999999998</v>
      </c>
      <c r="E4138">
        <v>0.46913159999999998</v>
      </c>
      <c r="F4138" t="s">
        <v>47</v>
      </c>
      <c r="G4138">
        <v>-303.55509999999998</v>
      </c>
      <c r="H4138" s="1">
        <v>1.7859389999999999E-6</v>
      </c>
      <c r="I4138">
        <v>220.5059</v>
      </c>
      <c r="J4138">
        <v>-349.1191</v>
      </c>
      <c r="K4138">
        <v>1.109464</v>
      </c>
      <c r="L4138">
        <v>214.85659999999999</v>
      </c>
      <c r="M4138">
        <v>0.99992250000000005</v>
      </c>
      <c r="N4138">
        <v>0</v>
      </c>
      <c r="O4138">
        <v>1.0312150000000001E-2</v>
      </c>
      <c r="P4138">
        <v>0.99092219999999998</v>
      </c>
      <c r="Q4138">
        <v>0.12883710000000001</v>
      </c>
      <c r="R4138">
        <v>3.8399910000000002E-2</v>
      </c>
      <c r="S4138">
        <v>3.02182</v>
      </c>
      <c r="T4138">
        <v>-7.3153499999999996E-2</v>
      </c>
      <c r="U4138">
        <v>0.37266539999999998</v>
      </c>
      <c r="V4138">
        <v>-2.8170870000000001E-2</v>
      </c>
      <c r="W4138">
        <v>0.1357507</v>
      </c>
      <c r="X4138">
        <v>0.99034239999999996</v>
      </c>
      <c r="Y4138">
        <v>-0.1121268</v>
      </c>
      <c r="Z4138">
        <v>1.1032629999999999E-3</v>
      </c>
      <c r="AA4138">
        <v>0.9936933</v>
      </c>
      <c r="AB4138">
        <v>27</v>
      </c>
      <c r="AC4138">
        <v>45.564</v>
      </c>
      <c r="AD4138">
        <v>-1.109462214061</v>
      </c>
      <c r="AE4138">
        <v>5.64930000000001</v>
      </c>
      <c r="AF4138">
        <v>-5.1761029216363896</v>
      </c>
      <c r="AG4138">
        <v>-1.109462214061</v>
      </c>
      <c r="AH4138">
        <v>45.5932120694914</v>
      </c>
      <c r="AI4138">
        <v>91.385062943070693</v>
      </c>
      <c r="AJ4138">
        <v>96.476939950231895</v>
      </c>
      <c r="AK4138">
        <v>45.8994981963138</v>
      </c>
      <c r="AL4138">
        <v>82.197968223263302</v>
      </c>
      <c r="AM4138">
        <v>91.629372653943406</v>
      </c>
      <c r="AN4138">
        <v>0.99999995985240198</v>
      </c>
    </row>
    <row r="4139" spans="1:40" x14ac:dyDescent="0.25">
      <c r="A4139" t="str">
        <f>"20190312172200137"</f>
        <v>20190312172200137</v>
      </c>
      <c r="B4139" t="str">
        <f>"1552382520135066"</f>
        <v>1552382520135066</v>
      </c>
      <c r="C4139" t="s">
        <v>40</v>
      </c>
      <c r="D4139">
        <v>2.9873769999999999</v>
      </c>
      <c r="E4139">
        <v>0.46926770000000001</v>
      </c>
      <c r="F4139" t="s">
        <v>47</v>
      </c>
      <c r="G4139">
        <v>-299.85480000000001</v>
      </c>
      <c r="H4139" s="1">
        <v>2.3189610000000001E-6</v>
      </c>
      <c r="I4139">
        <v>220.8665</v>
      </c>
      <c r="J4139">
        <v>-348.84449999999998</v>
      </c>
      <c r="K4139">
        <v>1.109443</v>
      </c>
      <c r="L4139">
        <v>214.85939999999999</v>
      </c>
      <c r="M4139">
        <v>0.99992360000000002</v>
      </c>
      <c r="N4139">
        <v>0</v>
      </c>
      <c r="O4139">
        <v>1.029918E-2</v>
      </c>
      <c r="P4139">
        <v>0.99091320000000005</v>
      </c>
      <c r="Q4139">
        <v>0.1293822</v>
      </c>
      <c r="R4139">
        <v>3.6765880000000001E-2</v>
      </c>
      <c r="S4139">
        <v>3.0220340000000001</v>
      </c>
      <c r="T4139">
        <v>-6.8057889999999996E-2</v>
      </c>
      <c r="U4139">
        <v>0.36866759999999998</v>
      </c>
      <c r="V4139">
        <v>-2.6550009999999999E-2</v>
      </c>
      <c r="W4139">
        <v>0.13617019999999999</v>
      </c>
      <c r="X4139">
        <v>0.99032960000000003</v>
      </c>
      <c r="Y4139">
        <v>-0.1108403</v>
      </c>
      <c r="Z4139">
        <v>1.0123039999999999E-3</v>
      </c>
      <c r="AA4139">
        <v>0.99383770000000005</v>
      </c>
      <c r="AB4139">
        <v>28</v>
      </c>
      <c r="AC4139">
        <v>48.9896999999999</v>
      </c>
      <c r="AD4139">
        <v>-1.1094406810390001</v>
      </c>
      <c r="AE4139">
        <v>6.0071000000000003</v>
      </c>
      <c r="AF4139">
        <v>-5.49943719409442</v>
      </c>
      <c r="AG4139">
        <v>-1.1094406810390001</v>
      </c>
      <c r="AH4139">
        <v>49.0242011078603</v>
      </c>
      <c r="AI4139">
        <v>91.288331072877099</v>
      </c>
      <c r="AJ4139">
        <v>96.400567836103605</v>
      </c>
      <c r="AK4139">
        <v>49.344168473492999</v>
      </c>
      <c r="AL4139">
        <v>82.173707454544001</v>
      </c>
      <c r="AM4139">
        <v>91.535689964046398</v>
      </c>
      <c r="AN4139">
        <v>0.99999997151759901</v>
      </c>
    </row>
    <row r="4140" spans="1:40" x14ac:dyDescent="0.25">
      <c r="A4140" t="str">
        <f>"20190312172200159"</f>
        <v>20190312172200159</v>
      </c>
      <c r="B4140" t="str">
        <f>"1552382520154586"</f>
        <v>1552382520154586</v>
      </c>
      <c r="C4140" t="s">
        <v>40</v>
      </c>
      <c r="D4140">
        <v>2.9837150000000001</v>
      </c>
      <c r="E4140">
        <v>0.46933269999999999</v>
      </c>
      <c r="F4140" t="s">
        <v>47</v>
      </c>
      <c r="G4140">
        <v>-299.63209999999998</v>
      </c>
      <c r="H4140" s="1">
        <v>2.3269320000000002E-6</v>
      </c>
      <c r="I4140">
        <v>220.76240000000001</v>
      </c>
      <c r="J4140">
        <v>-348.57260000000002</v>
      </c>
      <c r="K4140">
        <v>1.1094280000000001</v>
      </c>
      <c r="L4140">
        <v>214.8622</v>
      </c>
      <c r="M4140">
        <v>0.9999247</v>
      </c>
      <c r="N4140">
        <v>0</v>
      </c>
      <c r="O4140">
        <v>1.028607E-2</v>
      </c>
      <c r="P4140">
        <v>0.9908283</v>
      </c>
      <c r="Q4140">
        <v>0.13020139999999999</v>
      </c>
      <c r="R4140">
        <v>3.6149809999999998E-2</v>
      </c>
      <c r="S4140">
        <v>3.0229189999999999</v>
      </c>
      <c r="T4140">
        <v>-6.8148490000000006E-2</v>
      </c>
      <c r="U4140">
        <v>0.36259459999999999</v>
      </c>
      <c r="V4140">
        <v>-2.5946879999999999E-2</v>
      </c>
      <c r="W4140">
        <v>0.13685</v>
      </c>
      <c r="X4140">
        <v>0.99025189999999996</v>
      </c>
      <c r="Y4140">
        <v>-0.1088508</v>
      </c>
      <c r="Z4140">
        <v>9.9142910000000009E-4</v>
      </c>
      <c r="AA4140">
        <v>0.99405759999999999</v>
      </c>
      <c r="AB4140">
        <v>28</v>
      </c>
      <c r="AC4140">
        <v>48.9405</v>
      </c>
      <c r="AD4140">
        <v>-1.1094256730679899</v>
      </c>
      <c r="AE4140">
        <v>5.9002000000000097</v>
      </c>
      <c r="AF4140">
        <v>-5.3937391512164501</v>
      </c>
      <c r="AG4140">
        <v>-1.1094256730679899</v>
      </c>
      <c r="AH4140">
        <v>48.973796020371701</v>
      </c>
      <c r="AI4140">
        <v>91.289928368423602</v>
      </c>
      <c r="AJ4140">
        <v>96.284952539231895</v>
      </c>
      <c r="AK4140">
        <v>49.2824100871741</v>
      </c>
      <c r="AL4140">
        <v>82.134389895799899</v>
      </c>
      <c r="AM4140">
        <v>91.500937924207605</v>
      </c>
      <c r="AN4140">
        <v>0.99999999426767205</v>
      </c>
    </row>
    <row r="4141" spans="1:40" x14ac:dyDescent="0.25">
      <c r="A4141" t="str">
        <f>"20190312172200182"</f>
        <v>20190312172200182</v>
      </c>
      <c r="B4141" t="str">
        <f>"1552382520175082"</f>
        <v>1552382520175082</v>
      </c>
      <c r="C4141" t="s">
        <v>40</v>
      </c>
      <c r="D4141">
        <v>2.9723630000000001</v>
      </c>
      <c r="E4141">
        <v>0.46937279999999998</v>
      </c>
      <c r="F4141" t="s">
        <v>47</v>
      </c>
      <c r="G4141">
        <v>-298.00479999999999</v>
      </c>
      <c r="H4141" s="1">
        <v>2.150992E-6</v>
      </c>
      <c r="I4141">
        <v>220.88120000000001</v>
      </c>
      <c r="J4141">
        <v>-348.28739999999999</v>
      </c>
      <c r="K4141">
        <v>1.1094010000000001</v>
      </c>
      <c r="L4141">
        <v>214.86510000000001</v>
      </c>
      <c r="M4141">
        <v>0.99992579999999998</v>
      </c>
      <c r="N4141">
        <v>0</v>
      </c>
      <c r="O4141">
        <v>1.02729E-2</v>
      </c>
      <c r="P4141">
        <v>0.99081560000000002</v>
      </c>
      <c r="Q4141">
        <v>0.13045689999999999</v>
      </c>
      <c r="R4141">
        <v>3.5570539999999998E-2</v>
      </c>
      <c r="S4141">
        <v>3.0233759999999998</v>
      </c>
      <c r="T4141">
        <v>-6.6330910000000007E-2</v>
      </c>
      <c r="U4141">
        <v>0.3598633</v>
      </c>
      <c r="V4141">
        <v>-2.5381319999999999E-2</v>
      </c>
      <c r="W4141">
        <v>0.13694870000000001</v>
      </c>
      <c r="X4141">
        <v>0.99025289999999999</v>
      </c>
      <c r="Y4141">
        <v>-0.10796210000000001</v>
      </c>
      <c r="Z4141">
        <v>9.5547470000000002E-4</v>
      </c>
      <c r="AA4141">
        <v>0.9941546</v>
      </c>
      <c r="AB4141">
        <v>28</v>
      </c>
      <c r="AC4141">
        <v>50.282600000000002</v>
      </c>
      <c r="AD4141">
        <v>-1.109398849008</v>
      </c>
      <c r="AE4141">
        <v>6.01609999999999</v>
      </c>
      <c r="AF4141">
        <v>-5.4965854285058899</v>
      </c>
      <c r="AG4141">
        <v>-1.109398849008</v>
      </c>
      <c r="AH4141">
        <v>50.317602385762598</v>
      </c>
      <c r="AI4141">
        <v>91.255581819078998</v>
      </c>
      <c r="AJ4141">
        <v>96.234147577937506</v>
      </c>
      <c r="AK4141">
        <v>50.629085781107598</v>
      </c>
      <c r="AL4141">
        <v>82.128680955374193</v>
      </c>
      <c r="AM4141">
        <v>91.468235217736705</v>
      </c>
      <c r="AN4141">
        <v>0.99999998189752104</v>
      </c>
    </row>
    <row r="4142" spans="1:40" x14ac:dyDescent="0.25">
      <c r="A4142" t="str">
        <f>"20190312172200204"</f>
        <v>20190312172200204</v>
      </c>
      <c r="B4142" t="str">
        <f>"1552382520194605"</f>
        <v>1552382520194605</v>
      </c>
      <c r="C4142" t="s">
        <v>40</v>
      </c>
      <c r="D4142">
        <v>2.950841</v>
      </c>
      <c r="E4142">
        <v>0.46922799999999998</v>
      </c>
      <c r="F4142" t="s">
        <v>47</v>
      </c>
      <c r="G4142">
        <v>-297.61930000000001</v>
      </c>
      <c r="H4142" s="1">
        <v>2.119662E-6</v>
      </c>
      <c r="I4142">
        <v>220.87039999999999</v>
      </c>
      <c r="J4142">
        <v>-348.01049999999998</v>
      </c>
      <c r="K4142">
        <v>1.109372</v>
      </c>
      <c r="L4142">
        <v>214.86799999999999</v>
      </c>
      <c r="M4142">
        <v>0.99992700000000001</v>
      </c>
      <c r="N4142">
        <v>0</v>
      </c>
      <c r="O4142">
        <v>1.0259829999999999E-2</v>
      </c>
      <c r="P4142">
        <v>0.99087020000000003</v>
      </c>
      <c r="Q4142">
        <v>0.13017339999999999</v>
      </c>
      <c r="R4142">
        <v>3.5092709999999999E-2</v>
      </c>
      <c r="S4142">
        <v>3.0236510000000001</v>
      </c>
      <c r="T4142">
        <v>-6.6204070000000004E-2</v>
      </c>
      <c r="U4142">
        <v>0.35836790000000002</v>
      </c>
      <c r="V4142">
        <v>-2.4915840000000002E-2</v>
      </c>
      <c r="W4142">
        <v>0.13650889999999999</v>
      </c>
      <c r="X4142">
        <v>0.99032549999999997</v>
      </c>
      <c r="Y4142">
        <v>-0.1074799</v>
      </c>
      <c r="Z4142">
        <v>9.4861489999999995E-4</v>
      </c>
      <c r="AA4142">
        <v>0.99420679999999995</v>
      </c>
      <c r="AB4142">
        <v>28</v>
      </c>
      <c r="AC4142">
        <v>50.391199999999898</v>
      </c>
      <c r="AD4142">
        <v>-1.1093698803380001</v>
      </c>
      <c r="AE4142">
        <v>6.00239999999999</v>
      </c>
      <c r="AF4142">
        <v>-5.48244839828088</v>
      </c>
      <c r="AG4142">
        <v>-1.1093698803380001</v>
      </c>
      <c r="AH4142">
        <v>50.426034575208199</v>
      </c>
      <c r="AI4142">
        <v>91.252919574933202</v>
      </c>
      <c r="AJ4142">
        <v>96.204972530501294</v>
      </c>
      <c r="AK4142">
        <v>50.735322064133101</v>
      </c>
      <c r="AL4142">
        <v>82.154118974738694</v>
      </c>
      <c r="AM4142">
        <v>91.4412144062929</v>
      </c>
      <c r="AN4142">
        <v>1.0000000374061799</v>
      </c>
    </row>
    <row r="4143" spans="1:40" x14ac:dyDescent="0.25">
      <c r="A4143" t="str">
        <f>"20190312172200225"</f>
        <v>20190312172200225</v>
      </c>
      <c r="B4143" t="str">
        <f>"1552382520215098"</f>
        <v>1552382520215098</v>
      </c>
      <c r="C4143" t="s">
        <v>40</v>
      </c>
      <c r="D4143">
        <v>2.9665870000000001</v>
      </c>
      <c r="E4143">
        <v>0.46899570000000002</v>
      </c>
      <c r="F4143" t="s">
        <v>47</v>
      </c>
      <c r="G4143">
        <v>-298.78870000000001</v>
      </c>
      <c r="H4143" s="1">
        <v>2.2687629999999998E-6</v>
      </c>
      <c r="I4143">
        <v>220.69990000000001</v>
      </c>
      <c r="J4143">
        <v>-347.74369999999999</v>
      </c>
      <c r="K4143">
        <v>1.1093569999999999</v>
      </c>
      <c r="L4143">
        <v>214.8707</v>
      </c>
      <c r="M4143">
        <v>0.99992809999999999</v>
      </c>
      <c r="N4143">
        <v>0</v>
      </c>
      <c r="O4143">
        <v>1.02472E-2</v>
      </c>
      <c r="P4143">
        <v>0.99087939999999997</v>
      </c>
      <c r="Q4143">
        <v>0.1302489</v>
      </c>
      <c r="R4143">
        <v>3.4546380000000002E-2</v>
      </c>
      <c r="S4143">
        <v>3.023895</v>
      </c>
      <c r="T4143">
        <v>-6.8153019999999995E-2</v>
      </c>
      <c r="U4143">
        <v>0.35827639999999999</v>
      </c>
      <c r="V4143">
        <v>-2.4382000000000001E-2</v>
      </c>
      <c r="W4143">
        <v>0.13643759999999999</v>
      </c>
      <c r="X4143">
        <v>0.99034860000000002</v>
      </c>
      <c r="Y4143">
        <v>-0.10745200000000001</v>
      </c>
      <c r="Z4143">
        <v>9.7642789999999996E-4</v>
      </c>
      <c r="AA4143">
        <v>0.99420980000000003</v>
      </c>
      <c r="AB4143">
        <v>28</v>
      </c>
      <c r="AC4143">
        <v>48.954999999999899</v>
      </c>
      <c r="AD4143">
        <v>-1.109354731237</v>
      </c>
      <c r="AE4143">
        <v>5.8292000000000099</v>
      </c>
      <c r="AF4143">
        <v>-5.3245365613030602</v>
      </c>
      <c r="AG4143">
        <v>-1.109354731237</v>
      </c>
      <c r="AH4143">
        <v>48.9873600055544</v>
      </c>
      <c r="AI4143">
        <v>91.289690041378094</v>
      </c>
      <c r="AJ4143">
        <v>96.203243897028599</v>
      </c>
      <c r="AK4143">
        <v>49.288363716258203</v>
      </c>
      <c r="AL4143">
        <v>82.1582426493311</v>
      </c>
      <c r="AM4143">
        <v>91.410315064003797</v>
      </c>
      <c r="AN4143">
        <v>1.00000002506985</v>
      </c>
    </row>
    <row r="4144" spans="1:40" x14ac:dyDescent="0.25">
      <c r="A4144" t="str">
        <f>"20190312172200249"</f>
        <v>20190312172200249</v>
      </c>
      <c r="B4144" t="str">
        <f>"1552382520244378"</f>
        <v>1552382520244378</v>
      </c>
      <c r="C4144" t="s">
        <v>40</v>
      </c>
      <c r="D4144">
        <v>3.0039920000000002</v>
      </c>
      <c r="E4144">
        <v>0.46867429999999899</v>
      </c>
      <c r="F4144" t="s">
        <v>47</v>
      </c>
      <c r="G4144">
        <v>-299.42509999999999</v>
      </c>
      <c r="H4144" s="1">
        <v>2.350924E-6</v>
      </c>
      <c r="I4144">
        <v>220.60319999999999</v>
      </c>
      <c r="J4144">
        <v>-347.4545</v>
      </c>
      <c r="K4144">
        <v>1.109334</v>
      </c>
      <c r="L4144">
        <v>214.87360000000001</v>
      </c>
      <c r="M4144">
        <v>0.99992919999999996</v>
      </c>
      <c r="N4144">
        <v>0</v>
      </c>
      <c r="O4144">
        <v>1.023378E-2</v>
      </c>
      <c r="P4144">
        <v>0.99090540000000005</v>
      </c>
      <c r="Q4144">
        <v>0.1303656</v>
      </c>
      <c r="R4144">
        <v>3.3342690000000001E-2</v>
      </c>
      <c r="S4144">
        <v>3.0242309999999999</v>
      </c>
      <c r="T4144">
        <v>-6.9433809999999999E-2</v>
      </c>
      <c r="U4144">
        <v>0.35879519999999998</v>
      </c>
      <c r="V4144">
        <v>-2.319158E-2</v>
      </c>
      <c r="W4144">
        <v>0.136405</v>
      </c>
      <c r="X4144">
        <v>0.99038170000000003</v>
      </c>
      <c r="Y4144">
        <v>-0.107619699999999</v>
      </c>
      <c r="Z4144">
        <v>9.9687840000000001E-4</v>
      </c>
      <c r="AA4144">
        <v>0.99419159999999995</v>
      </c>
      <c r="AB4144">
        <v>28</v>
      </c>
      <c r="AC4144">
        <v>48.029400000000003</v>
      </c>
      <c r="AD4144">
        <v>-1.1093316490759999</v>
      </c>
      <c r="AE4144">
        <v>5.7295999999999703</v>
      </c>
      <c r="AF4144">
        <v>-5.2350150481896103</v>
      </c>
      <c r="AG4144">
        <v>-1.1093316490759999</v>
      </c>
      <c r="AH4144">
        <v>48.060242457139204</v>
      </c>
      <c r="AI4144">
        <v>91.314500050454996</v>
      </c>
      <c r="AJ4144">
        <v>96.2164974104018</v>
      </c>
      <c r="AK4144">
        <v>48.357242521688697</v>
      </c>
      <c r="AL4144">
        <v>82.160128257033904</v>
      </c>
      <c r="AM4144">
        <v>91.341439221542402</v>
      </c>
      <c r="AN4144">
        <v>1.00000004255139</v>
      </c>
    </row>
    <row r="4145" spans="1:40" x14ac:dyDescent="0.25">
      <c r="A4145" t="str">
        <f>"20190312172200271"</f>
        <v>20190312172200271</v>
      </c>
      <c r="B4145" t="str">
        <f>"1552382520264874"</f>
        <v>1552382520264874</v>
      </c>
      <c r="C4145" t="s">
        <v>40</v>
      </c>
      <c r="D4145">
        <v>2.9585180000000002</v>
      </c>
      <c r="E4145">
        <v>0.46600409999999998</v>
      </c>
      <c r="F4145" t="s">
        <v>47</v>
      </c>
      <c r="G4145">
        <v>-299.791</v>
      </c>
      <c r="H4145" s="1">
        <v>2.4088670000000001E-6</v>
      </c>
      <c r="I4145">
        <v>220.50739999999999</v>
      </c>
      <c r="J4145">
        <v>-347.15730000000002</v>
      </c>
      <c r="K4145">
        <v>1.1093040000000001</v>
      </c>
      <c r="L4145">
        <v>214.8766</v>
      </c>
      <c r="M4145">
        <v>0.99992999999999999</v>
      </c>
      <c r="N4145">
        <v>0</v>
      </c>
      <c r="O4145">
        <v>1.0220099999999999E-2</v>
      </c>
      <c r="P4145">
        <v>0.99097900000000005</v>
      </c>
      <c r="Q4145">
        <v>0.1302072</v>
      </c>
      <c r="R4145">
        <v>3.1728010000000001E-2</v>
      </c>
      <c r="S4145">
        <v>3.0248110000000001</v>
      </c>
      <c r="T4145">
        <v>-7.0400119999999997E-2</v>
      </c>
      <c r="U4145">
        <v>0.35752869999999998</v>
      </c>
      <c r="V4145">
        <v>-2.1589629999999999E-2</v>
      </c>
      <c r="W4145">
        <v>0.13610359999999999</v>
      </c>
      <c r="X4145">
        <v>0.99045930000000004</v>
      </c>
      <c r="Y4145">
        <v>-0.1071999</v>
      </c>
      <c r="Z4145">
        <v>1.00603E-3</v>
      </c>
      <c r="AA4145">
        <v>0.99423689999999998</v>
      </c>
      <c r="AB4145">
        <v>28</v>
      </c>
      <c r="AC4145">
        <v>47.366300000000003</v>
      </c>
      <c r="AD4145">
        <v>-1.109301591133</v>
      </c>
      <c r="AE4145">
        <v>5.63079999999999</v>
      </c>
      <c r="AF4145">
        <v>-5.1436271251896404</v>
      </c>
      <c r="AG4145">
        <v>-1.109301591133</v>
      </c>
      <c r="AH4145">
        <v>47.395741152836599</v>
      </c>
      <c r="AI4145">
        <v>91.332944412126693</v>
      </c>
      <c r="AJ4145">
        <v>96.193789404301299</v>
      </c>
      <c r="AK4145">
        <v>47.686934578034702</v>
      </c>
      <c r="AL4145">
        <v>82.1775591502536</v>
      </c>
      <c r="AM4145">
        <v>91.248712413399403</v>
      </c>
      <c r="AN4145">
        <v>0.99999996350649201</v>
      </c>
    </row>
    <row r="4146" spans="1:40" x14ac:dyDescent="0.25">
      <c r="A4146" t="str">
        <f>"20190312172200361"</f>
        <v>20190312172200361</v>
      </c>
      <c r="B4146" t="str">
        <f>"1552382520354667"</f>
        <v>1552382520354667</v>
      </c>
      <c r="C4146" t="s">
        <v>40</v>
      </c>
      <c r="D4146">
        <v>2.957935</v>
      </c>
      <c r="E4146">
        <v>0.49167319999999998</v>
      </c>
      <c r="F4146" t="s">
        <v>47</v>
      </c>
      <c r="G4146">
        <v>-307.40339999999998</v>
      </c>
      <c r="H4146" s="1">
        <v>1.2936349999999999E-6</v>
      </c>
      <c r="I4146">
        <v>219.79069999999999</v>
      </c>
      <c r="J4146">
        <v>-346.00819999999999</v>
      </c>
      <c r="K4146">
        <v>1.1092489999999999</v>
      </c>
      <c r="L4146">
        <v>214.88829999999999</v>
      </c>
      <c r="M4146">
        <v>0.99993359999999998</v>
      </c>
      <c r="N4146">
        <v>0</v>
      </c>
      <c r="O4146">
        <v>1.0166440000000001E-2</v>
      </c>
      <c r="P4146">
        <v>0.99112089999999997</v>
      </c>
      <c r="Q4146">
        <v>0.1305762</v>
      </c>
      <c r="R4146">
        <v>2.5086239999999999E-2</v>
      </c>
      <c r="S4146">
        <v>3.0264280000000001</v>
      </c>
      <c r="T4146">
        <v>-8.4450010000000006E-2</v>
      </c>
      <c r="U4146">
        <v>0.37409969999999998</v>
      </c>
      <c r="V4146">
        <v>-1.500012E-2</v>
      </c>
      <c r="W4146">
        <v>0.13597039999999999</v>
      </c>
      <c r="X4146">
        <v>0.99059929999999996</v>
      </c>
      <c r="Y4146">
        <v>-0.1125419</v>
      </c>
      <c r="Z4146">
        <v>1.2814289999999999E-3</v>
      </c>
      <c r="AA4146">
        <v>0.99364609999999998</v>
      </c>
      <c r="AB4146">
        <v>29</v>
      </c>
      <c r="AC4146">
        <v>38.604799999999997</v>
      </c>
      <c r="AD4146">
        <v>-1.1092477063649999</v>
      </c>
      <c r="AE4146">
        <v>4.9024000000000001</v>
      </c>
      <c r="AF4146">
        <v>-4.5060063196613704</v>
      </c>
      <c r="AG4146">
        <v>-1.1092477063649999</v>
      </c>
      <c r="AH4146">
        <v>38.621265526273604</v>
      </c>
      <c r="AI4146">
        <v>91.634071176373297</v>
      </c>
      <c r="AJ4146">
        <v>96.654706070671807</v>
      </c>
      <c r="AK4146">
        <v>38.89905749858</v>
      </c>
      <c r="AL4146">
        <v>82.185262558886294</v>
      </c>
      <c r="AM4146">
        <v>90.867533309073906</v>
      </c>
      <c r="AN4146">
        <v>0.99999996321833096</v>
      </c>
    </row>
    <row r="4147" spans="1:40" x14ac:dyDescent="0.25">
      <c r="A4147" t="str">
        <f>"20190312172200426"</f>
        <v>20190312172200426</v>
      </c>
      <c r="B4147" t="str">
        <f>"1552382520415179"</f>
        <v>1552382520415179</v>
      </c>
      <c r="C4147" t="s">
        <v>40</v>
      </c>
      <c r="D4147">
        <v>3.0495359999999998</v>
      </c>
      <c r="E4147">
        <v>0.49447079999999999</v>
      </c>
      <c r="F4147" t="s">
        <v>46</v>
      </c>
      <c r="G4147">
        <v>-332.44369999999998</v>
      </c>
      <c r="H4147" s="1">
        <v>-2.7763869999999999E-7</v>
      </c>
      <c r="I4147">
        <v>215.56049999999999</v>
      </c>
      <c r="J4147">
        <v>-345.14659999999998</v>
      </c>
      <c r="K4147">
        <v>1.1091979999999999</v>
      </c>
      <c r="L4147">
        <v>214.89699999999999</v>
      </c>
      <c r="M4147">
        <v>0.99993589999999999</v>
      </c>
      <c r="N4147">
        <v>0</v>
      </c>
      <c r="O4147">
        <v>1.012623E-2</v>
      </c>
      <c r="P4147">
        <v>0.99123070000000002</v>
      </c>
      <c r="Q4147">
        <v>0.1302942</v>
      </c>
      <c r="R4147">
        <v>2.2033540000000001E-2</v>
      </c>
      <c r="S4147">
        <v>3.056</v>
      </c>
      <c r="T4147">
        <v>-0.24990770000000001</v>
      </c>
      <c r="U4147">
        <v>0.15144349999999901</v>
      </c>
      <c r="V4147">
        <v>-1.198604E-2</v>
      </c>
      <c r="W4147">
        <v>0.1353491</v>
      </c>
      <c r="X4147">
        <v>0.99072550000000004</v>
      </c>
      <c r="Y4147">
        <v>-3.9281820000000002E-2</v>
      </c>
      <c r="Z4147">
        <v>7.763542E-4</v>
      </c>
      <c r="AA4147">
        <v>0.99922789999999995</v>
      </c>
      <c r="AB4147">
        <v>29</v>
      </c>
      <c r="AC4147">
        <v>12.7029</v>
      </c>
      <c r="AD4147">
        <v>-1.1091982776386999</v>
      </c>
      <c r="AE4147">
        <v>0.66349999999997</v>
      </c>
      <c r="AF4147">
        <v>-0.53079579032207203</v>
      </c>
      <c r="AG4147">
        <v>-1.1091982776386999</v>
      </c>
      <c r="AH4147">
        <v>12.613060621877001</v>
      </c>
      <c r="AI4147">
        <v>95.021266481486293</v>
      </c>
      <c r="AJ4147">
        <v>92.409758051071094</v>
      </c>
      <c r="AK4147">
        <v>12.672859315927299</v>
      </c>
      <c r="AL4147">
        <v>82.221193108453704</v>
      </c>
      <c r="AM4147">
        <v>90.693144571400197</v>
      </c>
      <c r="AN4147">
        <v>1.0000000301879699</v>
      </c>
    </row>
    <row r="4148" spans="1:40" x14ac:dyDescent="0.25">
      <c r="A4148" t="str">
        <f>"20190312172200450"</f>
        <v>20190312172200450</v>
      </c>
      <c r="B4148" t="str">
        <f>"1552382520444459"</f>
        <v>1552382520444459</v>
      </c>
      <c r="C4148" t="s">
        <v>40</v>
      </c>
      <c r="D4148">
        <v>3.0374189999999999</v>
      </c>
      <c r="E4148">
        <v>0.49720140000000002</v>
      </c>
      <c r="F4148" t="s">
        <v>46</v>
      </c>
      <c r="G4148">
        <v>-329.16019999999997</v>
      </c>
      <c r="H4148" s="1">
        <v>3.3378060000000002E-6</v>
      </c>
      <c r="I4148">
        <v>215.51609999999999</v>
      </c>
      <c r="J4148">
        <v>-344.83089999999999</v>
      </c>
      <c r="K4148">
        <v>1.1091789999999999</v>
      </c>
      <c r="L4148">
        <v>214.90020000000001</v>
      </c>
      <c r="M4148">
        <v>0.99993639999999995</v>
      </c>
      <c r="N4148">
        <v>0</v>
      </c>
      <c r="O4148">
        <v>1.011191E-2</v>
      </c>
      <c r="P4148">
        <v>0.99124159999999994</v>
      </c>
      <c r="Q4148">
        <v>0.13026260000000001</v>
      </c>
      <c r="R4148">
        <v>2.1719829999999999E-2</v>
      </c>
      <c r="S4148">
        <v>3.0517270000000001</v>
      </c>
      <c r="T4148">
        <v>-0.2117396</v>
      </c>
      <c r="U4148">
        <v>0.1181793</v>
      </c>
      <c r="V4148">
        <v>-1.1686759999999999E-2</v>
      </c>
      <c r="W4148">
        <v>0.13521069999999999</v>
      </c>
      <c r="X4148">
        <v>0.99074790000000001</v>
      </c>
      <c r="Y4148">
        <v>-2.85457E-2</v>
      </c>
      <c r="Z4148">
        <v>2.8828090000000001E-4</v>
      </c>
      <c r="AA4148">
        <v>0.99959240000000005</v>
      </c>
      <c r="AB4148">
        <v>29</v>
      </c>
      <c r="AC4148">
        <v>15.6707</v>
      </c>
      <c r="AD4148">
        <v>-1.1091756621940001</v>
      </c>
      <c r="AE4148">
        <v>0.61589999999998202</v>
      </c>
      <c r="AF4148">
        <v>-0.45512921784257299</v>
      </c>
      <c r="AG4148">
        <v>-1.1091756621940001</v>
      </c>
      <c r="AH4148">
        <v>15.5981033106594</v>
      </c>
      <c r="AI4148">
        <v>94.065711686745104</v>
      </c>
      <c r="AJ4148">
        <v>91.671330549578599</v>
      </c>
      <c r="AK4148">
        <v>15.6441119960368</v>
      </c>
      <c r="AL4148">
        <v>82.229195847207393</v>
      </c>
      <c r="AM4148">
        <v>90.675823758922704</v>
      </c>
      <c r="AN4148">
        <v>0.99999995755409798</v>
      </c>
    </row>
    <row r="4149" spans="1:40" x14ac:dyDescent="0.25">
      <c r="A4149" t="str">
        <f>"20190312172200472"</f>
        <v>20190312172200472</v>
      </c>
      <c r="B4149" t="str">
        <f>"1552382520464954"</f>
        <v>1552382520464954</v>
      </c>
      <c r="C4149" t="s">
        <v>40</v>
      </c>
      <c r="D4149">
        <v>3.0528050000000002</v>
      </c>
      <c r="E4149">
        <v>0.49802429999999998</v>
      </c>
      <c r="F4149" t="s">
        <v>46</v>
      </c>
      <c r="G4149">
        <v>-324.26389999999998</v>
      </c>
      <c r="H4149" s="1">
        <v>7.3227489999999997E-7</v>
      </c>
      <c r="I4149">
        <v>215.54069999999999</v>
      </c>
      <c r="J4149">
        <v>-344.53410000000002</v>
      </c>
      <c r="K4149">
        <v>1.1091629999999999</v>
      </c>
      <c r="L4149">
        <v>214.9032</v>
      </c>
      <c r="M4149">
        <v>0.99993699999999996</v>
      </c>
      <c r="N4149">
        <v>0</v>
      </c>
      <c r="O4149">
        <v>1.0098070000000001E-2</v>
      </c>
      <c r="P4149">
        <v>0.99135139999999999</v>
      </c>
      <c r="Q4149">
        <v>0.12947410000000001</v>
      </c>
      <c r="R4149">
        <v>2.1426230000000001E-2</v>
      </c>
      <c r="S4149">
        <v>3.0459900000000002</v>
      </c>
      <c r="T4149">
        <v>-0.164270899999999</v>
      </c>
      <c r="U4149">
        <v>9.4863890000000006E-2</v>
      </c>
      <c r="V4149">
        <v>-1.140562E-2</v>
      </c>
      <c r="W4149">
        <v>0.1343338</v>
      </c>
      <c r="X4149">
        <v>0.99087049999999999</v>
      </c>
      <c r="Y4149">
        <v>-2.101803E-2</v>
      </c>
      <c r="Z4149" s="1">
        <v>2.2162510000000001E-5</v>
      </c>
      <c r="AA4149">
        <v>0.99977910000000003</v>
      </c>
      <c r="AB4149">
        <v>30</v>
      </c>
      <c r="AC4149">
        <v>20.270199999999999</v>
      </c>
      <c r="AD4149">
        <v>-1.1091622677250901</v>
      </c>
      <c r="AE4149">
        <v>0.63749999999998797</v>
      </c>
      <c r="AF4149">
        <v>-0.43148448341921097</v>
      </c>
      <c r="AG4149">
        <v>-1.1091622677250901</v>
      </c>
      <c r="AH4149">
        <v>20.2151366397941</v>
      </c>
      <c r="AI4149">
        <v>93.139836854333794</v>
      </c>
      <c r="AJ4149">
        <v>91.222771177142405</v>
      </c>
      <c r="AK4149">
        <v>20.250139978803201</v>
      </c>
      <c r="AL4149">
        <v>82.279901476639694</v>
      </c>
      <c r="AM4149">
        <v>90.659485804822097</v>
      </c>
      <c r="AN4149">
        <v>1.0000000028801299</v>
      </c>
    </row>
    <row r="4150" spans="1:40" x14ac:dyDescent="0.25">
      <c r="A4150" t="str">
        <f>"20190312172200494"</f>
        <v>20190312172200494</v>
      </c>
      <c r="B4150" t="str">
        <f>"1552382520484477"</f>
        <v>1552382520484477</v>
      </c>
      <c r="C4150" t="s">
        <v>40</v>
      </c>
      <c r="D4150">
        <v>3.0349529999999998</v>
      </c>
      <c r="E4150">
        <v>0.49875649999999999</v>
      </c>
      <c r="F4150" t="s">
        <v>46</v>
      </c>
      <c r="G4150">
        <v>-321.50889999999998</v>
      </c>
      <c r="H4150" s="1">
        <v>-7.3384839999999999E-7</v>
      </c>
      <c r="I4150">
        <v>215.56120000000001</v>
      </c>
      <c r="J4150">
        <v>-344.24970000000002</v>
      </c>
      <c r="K4150">
        <v>1.109146</v>
      </c>
      <c r="L4150">
        <v>214.90600000000001</v>
      </c>
      <c r="M4150">
        <v>0.99993759999999998</v>
      </c>
      <c r="N4150">
        <v>0</v>
      </c>
      <c r="O4150">
        <v>1.008503E-2</v>
      </c>
      <c r="P4150">
        <v>0.99145830000000001</v>
      </c>
      <c r="Q4150">
        <v>0.12867210000000001</v>
      </c>
      <c r="R4150">
        <v>2.1316080000000001E-2</v>
      </c>
      <c r="S4150">
        <v>3.0433650000000001</v>
      </c>
      <c r="T4150">
        <v>-0.1466036</v>
      </c>
      <c r="U4150">
        <v>8.69751E-2</v>
      </c>
      <c r="V4150">
        <v>-1.130775E-2</v>
      </c>
      <c r="W4150">
        <v>0.1334572</v>
      </c>
      <c r="X4150">
        <v>0.99099000000000004</v>
      </c>
      <c r="Y4150">
        <v>-1.8474730000000002E-2</v>
      </c>
      <c r="Z4150" s="1">
        <v>-4.0783169999999997E-5</v>
      </c>
      <c r="AA4150">
        <v>0.99982939999999998</v>
      </c>
      <c r="AB4150">
        <v>30</v>
      </c>
      <c r="AC4150">
        <v>22.7408</v>
      </c>
      <c r="AD4150">
        <v>-1.1091467338484</v>
      </c>
      <c r="AE4150">
        <v>0.65520000000003598</v>
      </c>
      <c r="AF4150">
        <v>-0.42481265490222497</v>
      </c>
      <c r="AG4150">
        <v>-1.1091467338484</v>
      </c>
      <c r="AH4150">
        <v>22.692314499701801</v>
      </c>
      <c r="AI4150">
        <v>92.797765993500903</v>
      </c>
      <c r="AJ4150">
        <v>91.072483347597995</v>
      </c>
      <c r="AK4150">
        <v>22.723375841242099</v>
      </c>
      <c r="AL4150">
        <v>82.330582799945802</v>
      </c>
      <c r="AM4150">
        <v>90.653748508594603</v>
      </c>
      <c r="AN4150">
        <v>0.99999993477094895</v>
      </c>
    </row>
    <row r="4151" spans="1:40" x14ac:dyDescent="0.25">
      <c r="A4151" t="str">
        <f>"20190312172200517"</f>
        <v>20190312172200517</v>
      </c>
      <c r="B4151" t="str">
        <f>"1552382520504970"</f>
        <v>1552382520504970</v>
      </c>
      <c r="C4151" t="s">
        <v>40</v>
      </c>
      <c r="D4151">
        <v>3.0481449999999999</v>
      </c>
      <c r="E4151">
        <v>0.49920759999999997</v>
      </c>
      <c r="F4151" t="s">
        <v>47</v>
      </c>
      <c r="G4151">
        <v>-319.35969999999998</v>
      </c>
      <c r="H4151" s="1">
        <v>5.0562750000000001E-6</v>
      </c>
      <c r="I4151">
        <v>215.56319999999999</v>
      </c>
      <c r="J4151">
        <v>-343.94130000000001</v>
      </c>
      <c r="K4151">
        <v>1.109135</v>
      </c>
      <c r="L4151">
        <v>214.9091</v>
      </c>
      <c r="M4151">
        <v>0.99993810000000005</v>
      </c>
      <c r="N4151">
        <v>0</v>
      </c>
      <c r="O4151">
        <v>1.007078E-2</v>
      </c>
      <c r="P4151">
        <v>0.99144180000000004</v>
      </c>
      <c r="Q4151">
        <v>0.12881580000000001</v>
      </c>
      <c r="R4151">
        <v>2.1214279999999999E-2</v>
      </c>
      <c r="S4151">
        <v>3.0417480000000001</v>
      </c>
      <c r="T4151">
        <v>-0.13554530000000001</v>
      </c>
      <c r="U4151">
        <v>8.0307009999999998E-2</v>
      </c>
      <c r="V4151">
        <v>-1.1220219999999999E-2</v>
      </c>
      <c r="W4151">
        <v>0.13352999999999901</v>
      </c>
      <c r="X4151">
        <v>0.99098129999999995</v>
      </c>
      <c r="Y4151">
        <v>-1.631749E-2</v>
      </c>
      <c r="Z4151" s="1">
        <v>-8.5130649999999998E-5</v>
      </c>
      <c r="AA4151">
        <v>0.99986679999999994</v>
      </c>
      <c r="AB4151">
        <v>30</v>
      </c>
      <c r="AC4151">
        <v>24.581600000000002</v>
      </c>
      <c r="AD4151">
        <v>-1.109129943725</v>
      </c>
      <c r="AE4151">
        <v>0.65409999999999902</v>
      </c>
      <c r="AF4151">
        <v>-0.405682850756798</v>
      </c>
      <c r="AG4151">
        <v>-1.109129943725</v>
      </c>
      <c r="AH4151">
        <v>24.537022557749602</v>
      </c>
      <c r="AI4151">
        <v>92.587786255121799</v>
      </c>
      <c r="AJ4151">
        <v>90.947213440528401</v>
      </c>
      <c r="AK4151">
        <v>24.5654274094097</v>
      </c>
      <c r="AL4151">
        <v>82.326374852294194</v>
      </c>
      <c r="AM4151">
        <v>90.648694160338096</v>
      </c>
      <c r="AN4151">
        <v>1.0000000455932601</v>
      </c>
    </row>
    <row r="4152" spans="1:40" x14ac:dyDescent="0.25">
      <c r="A4152" t="str">
        <f>"20190312172200539"</f>
        <v>20190312172200539</v>
      </c>
      <c r="B4152" t="str">
        <f>"1552382520535226"</f>
        <v>1552382520535226</v>
      </c>
      <c r="C4152" t="s">
        <v>40</v>
      </c>
      <c r="D4152">
        <v>3.0501740000000002</v>
      </c>
      <c r="E4152">
        <v>0.49956080000000003</v>
      </c>
      <c r="F4152" t="s">
        <v>47</v>
      </c>
      <c r="G4152">
        <v>-317.18200000000002</v>
      </c>
      <c r="H4152" s="1">
        <v>4.0905519999999998E-6</v>
      </c>
      <c r="I4152">
        <v>215.57839999999999</v>
      </c>
      <c r="J4152">
        <v>-343.63929999999999</v>
      </c>
      <c r="K4152">
        <v>1.1091249999999999</v>
      </c>
      <c r="L4152">
        <v>214.91210000000001</v>
      </c>
      <c r="M4152">
        <v>0.99993849999999995</v>
      </c>
      <c r="N4152">
        <v>0</v>
      </c>
      <c r="O4152">
        <v>1.0057150000000001E-2</v>
      </c>
      <c r="P4152">
        <v>0.99141330000000005</v>
      </c>
      <c r="Q4152">
        <v>0.12910679999999999</v>
      </c>
      <c r="R4152">
        <v>2.077182E-2</v>
      </c>
      <c r="S4152">
        <v>3.0406490000000002</v>
      </c>
      <c r="T4152">
        <v>-0.12603010000000001</v>
      </c>
      <c r="U4152">
        <v>7.6049800000000001E-2</v>
      </c>
      <c r="V4152">
        <v>-1.079129E-2</v>
      </c>
      <c r="W4152">
        <v>0.13376160000000001</v>
      </c>
      <c r="X4152">
        <v>0.99095480000000002</v>
      </c>
      <c r="Y4152">
        <v>-1.4943649999999999E-2</v>
      </c>
      <c r="Z4152">
        <v>-1.070812E-4</v>
      </c>
      <c r="AA4152">
        <v>0.99988840000000001</v>
      </c>
      <c r="AB4152">
        <v>30</v>
      </c>
      <c r="AC4152">
        <v>26.457299999999901</v>
      </c>
      <c r="AD4152">
        <v>-1.1091209094479999</v>
      </c>
      <c r="AE4152">
        <v>0.66629999999997802</v>
      </c>
      <c r="AF4152">
        <v>-0.39947677058411502</v>
      </c>
      <c r="AG4152">
        <v>-1.1091209094479999</v>
      </c>
      <c r="AH4152">
        <v>26.416268948998901</v>
      </c>
      <c r="AI4152">
        <v>92.403950104418001</v>
      </c>
      <c r="AJ4152">
        <v>90.866382323041506</v>
      </c>
      <c r="AK4152">
        <v>26.442560316048301</v>
      </c>
      <c r="AL4152">
        <v>82.312984808288704</v>
      </c>
      <c r="AM4152">
        <v>90.623914363735693</v>
      </c>
      <c r="AN4152">
        <v>1.0000000166087299</v>
      </c>
    </row>
    <row r="4153" spans="1:40" x14ac:dyDescent="0.25">
      <c r="A4153" t="str">
        <f>"20190312172200562"</f>
        <v>20190312172200562</v>
      </c>
      <c r="B4153" t="str">
        <f>"1552382520554746"</f>
        <v>1552382520554746</v>
      </c>
      <c r="C4153" t="s">
        <v>40</v>
      </c>
      <c r="D4153">
        <v>3.0619700000000001</v>
      </c>
      <c r="E4153">
        <v>0.49971399999999999</v>
      </c>
      <c r="F4153" t="s">
        <v>47</v>
      </c>
      <c r="G4153">
        <v>-315.05410000000001</v>
      </c>
      <c r="H4153" s="1">
        <v>3.1469150000000001E-6</v>
      </c>
      <c r="I4153">
        <v>215.589</v>
      </c>
      <c r="J4153">
        <v>-343.32580000000002</v>
      </c>
      <c r="K4153">
        <v>1.1091219999999999</v>
      </c>
      <c r="L4153">
        <v>214.9153</v>
      </c>
      <c r="M4153">
        <v>0.99993880000000002</v>
      </c>
      <c r="N4153">
        <v>0</v>
      </c>
      <c r="O4153">
        <v>1.004267E-2</v>
      </c>
      <c r="P4153">
        <v>0.99140600000000001</v>
      </c>
      <c r="Q4153">
        <v>0.1292053</v>
      </c>
      <c r="R4153">
        <v>2.050012E-2</v>
      </c>
      <c r="S4153">
        <v>3.0398559999999999</v>
      </c>
      <c r="T4153">
        <v>-0.11794780000000001</v>
      </c>
      <c r="U4153">
        <v>7.1975709999999998E-2</v>
      </c>
      <c r="V4153">
        <v>-1.0534160000000001E-2</v>
      </c>
      <c r="W4153">
        <v>0.13380980000000001</v>
      </c>
      <c r="X4153">
        <v>0.99095109999999997</v>
      </c>
      <c r="Y4153">
        <v>-1.3626859999999999E-2</v>
      </c>
      <c r="Z4153">
        <v>-1.2521909999999999E-4</v>
      </c>
      <c r="AA4153">
        <v>0.99990710000000005</v>
      </c>
      <c r="AB4153">
        <v>30</v>
      </c>
      <c r="AC4153">
        <v>28.271699999999999</v>
      </c>
      <c r="AD4153">
        <v>-1.109118853085</v>
      </c>
      <c r="AE4153">
        <v>0.67370000000002495</v>
      </c>
      <c r="AF4153">
        <v>-0.38914104675932598</v>
      </c>
      <c r="AG4153">
        <v>-1.109118853085</v>
      </c>
      <c r="AH4153">
        <v>28.2336118390681</v>
      </c>
      <c r="AI4153">
        <v>92.249416223905399</v>
      </c>
      <c r="AJ4153">
        <v>90.789651995257302</v>
      </c>
      <c r="AK4153">
        <v>28.258068102113999</v>
      </c>
      <c r="AL4153">
        <v>82.310198411348097</v>
      </c>
      <c r="AM4153">
        <v>90.609051420567297</v>
      </c>
      <c r="AN4153">
        <v>1.0000000568470699</v>
      </c>
    </row>
    <row r="4154" spans="1:40" x14ac:dyDescent="0.25">
      <c r="A4154" t="str">
        <f>"20190312172200574"</f>
        <v>20190312172200574</v>
      </c>
      <c r="B4154" t="str">
        <f>"1552382520564507"</f>
        <v>1552382520564507</v>
      </c>
      <c r="C4154" t="s">
        <v>40</v>
      </c>
      <c r="D4154">
        <v>3.0634950000000001</v>
      </c>
      <c r="E4154">
        <v>0.4997624</v>
      </c>
      <c r="F4154" t="s">
        <v>47</v>
      </c>
      <c r="G4154">
        <v>-313.51179999999999</v>
      </c>
      <c r="H4154" s="1">
        <v>2.463009E-6</v>
      </c>
      <c r="I4154">
        <v>215.59809999999999</v>
      </c>
      <c r="J4154">
        <v>-343.15370000000001</v>
      </c>
      <c r="K4154">
        <v>1.1091150000000001</v>
      </c>
      <c r="L4154">
        <v>214.917</v>
      </c>
      <c r="M4154">
        <v>0.99993909999999997</v>
      </c>
      <c r="N4154">
        <v>0</v>
      </c>
      <c r="O4154">
        <v>1.003486E-2</v>
      </c>
      <c r="P4154">
        <v>0.99139219999999895</v>
      </c>
      <c r="Q4154">
        <v>0.12932589999999999</v>
      </c>
      <c r="R4154">
        <v>2.0403939999999999E-2</v>
      </c>
      <c r="S4154">
        <v>3.039307</v>
      </c>
      <c r="T4154">
        <v>-0.11306629999999999</v>
      </c>
      <c r="U4154">
        <v>6.9610599999999995E-2</v>
      </c>
      <c r="V4154">
        <v>-1.0445660000000001E-2</v>
      </c>
      <c r="W4154">
        <v>0.13390659999999999</v>
      </c>
      <c r="X4154">
        <v>0.99093889999999996</v>
      </c>
      <c r="Y4154">
        <v>-1.2862E-2</v>
      </c>
      <c r="Z4154">
        <v>-1.339929E-4</v>
      </c>
      <c r="AA4154">
        <v>0.99991730000000001</v>
      </c>
      <c r="AB4154">
        <v>30</v>
      </c>
      <c r="AC4154">
        <v>29.6419</v>
      </c>
      <c r="AD4154">
        <v>-1.109112536991</v>
      </c>
      <c r="AE4154">
        <v>0.68109999999998605</v>
      </c>
      <c r="AF4154">
        <v>-0.38307421645644202</v>
      </c>
      <c r="AG4154">
        <v>-1.109112536991</v>
      </c>
      <c r="AH4154">
        <v>29.605814970407302</v>
      </c>
      <c r="AI4154">
        <v>92.145269514590197</v>
      </c>
      <c r="AJ4154">
        <v>90.741317579029101</v>
      </c>
      <c r="AK4154">
        <v>29.629059325888502</v>
      </c>
      <c r="AL4154">
        <v>82.304601345891697</v>
      </c>
      <c r="AM4154">
        <v>90.603942449206201</v>
      </c>
      <c r="AN4154">
        <v>0.99999999643480197</v>
      </c>
    </row>
    <row r="4155" spans="1:40" x14ac:dyDescent="0.25">
      <c r="A4155" t="str">
        <f>"20190312172200594"</f>
        <v>20190312172200594</v>
      </c>
      <c r="B4155" t="str">
        <f>"1552382520585002"</f>
        <v>1552382520585002</v>
      </c>
      <c r="C4155" t="s">
        <v>40</v>
      </c>
      <c r="D4155">
        <v>3.062926</v>
      </c>
      <c r="E4155">
        <v>0.49989159999999999</v>
      </c>
      <c r="F4155" t="s">
        <v>47</v>
      </c>
      <c r="G4155">
        <v>-312.79349999999999</v>
      </c>
      <c r="H4155" s="1">
        <v>2.144447E-6</v>
      </c>
      <c r="I4155">
        <v>215.6063</v>
      </c>
      <c r="J4155">
        <v>-342.88600000000002</v>
      </c>
      <c r="K4155">
        <v>1.1091070000000001</v>
      </c>
      <c r="L4155">
        <v>214.91970000000001</v>
      </c>
      <c r="M4155">
        <v>0.99993929999999998</v>
      </c>
      <c r="N4155">
        <v>0</v>
      </c>
      <c r="O4155">
        <v>1.002248E-2</v>
      </c>
      <c r="P4155">
        <v>0.9914617</v>
      </c>
      <c r="Q4155">
        <v>0.12887370000000001</v>
      </c>
      <c r="R4155">
        <v>1.9879560000000001E-2</v>
      </c>
      <c r="S4155">
        <v>3.0391240000000002</v>
      </c>
      <c r="T4155">
        <v>-0.1110249</v>
      </c>
      <c r="U4155">
        <v>6.9000240000000004E-2</v>
      </c>
      <c r="V4155">
        <v>-9.9326910000000004E-3</v>
      </c>
      <c r="W4155">
        <v>0.13342270000000001</v>
      </c>
      <c r="X4155">
        <v>0.99100940000000004</v>
      </c>
      <c r="Y4155">
        <v>-1.2675240000000001E-2</v>
      </c>
      <c r="Z4155">
        <v>-1.3454140000000001E-4</v>
      </c>
      <c r="AA4155">
        <v>0.99991969999999997</v>
      </c>
      <c r="AB4155">
        <v>30</v>
      </c>
      <c r="AC4155">
        <v>30.092499999999902</v>
      </c>
      <c r="AD4155">
        <v>-1.1091048555529901</v>
      </c>
      <c r="AE4155">
        <v>0.68659999999999799</v>
      </c>
      <c r="AF4155">
        <v>-0.38443892441680699</v>
      </c>
      <c r="AG4155">
        <v>-1.1091048555529901</v>
      </c>
      <c r="AH4155">
        <v>30.0570616772428</v>
      </c>
      <c r="AI4155">
        <v>92.113081419838807</v>
      </c>
      <c r="AJ4155">
        <v>90.732790419535306</v>
      </c>
      <c r="AK4155">
        <v>30.0799744603748</v>
      </c>
      <c r="AL4155">
        <v>82.332577482907894</v>
      </c>
      <c r="AM4155">
        <v>90.574245025328693</v>
      </c>
      <c r="AN4155">
        <v>0.99999995305707401</v>
      </c>
    </row>
    <row r="4156" spans="1:40" x14ac:dyDescent="0.25">
      <c r="A4156" t="str">
        <f>"20190312172200608"</f>
        <v>20190312172200608</v>
      </c>
      <c r="B4156" t="str">
        <f>"1552382520604523"</f>
        <v>1552382520604523</v>
      </c>
      <c r="C4156" t="s">
        <v>40</v>
      </c>
      <c r="D4156">
        <v>3.24715</v>
      </c>
      <c r="E4156">
        <v>0.50003260000000005</v>
      </c>
      <c r="F4156" t="s">
        <v>47</v>
      </c>
      <c r="G4156">
        <v>-311.79399999999998</v>
      </c>
      <c r="H4156" s="1">
        <v>1.7012129999999901E-6</v>
      </c>
      <c r="I4156">
        <v>215.59540000000001</v>
      </c>
      <c r="J4156">
        <v>-342.70580000000001</v>
      </c>
      <c r="K4156">
        <v>1.109103</v>
      </c>
      <c r="L4156">
        <v>214.92150000000001</v>
      </c>
      <c r="M4156">
        <v>0.99993940000000003</v>
      </c>
      <c r="N4156">
        <v>0</v>
      </c>
      <c r="O4156">
        <v>1.0014179999999999E-2</v>
      </c>
      <c r="P4156">
        <v>0.99153760000000002</v>
      </c>
      <c r="Q4156">
        <v>0.12831229999999999</v>
      </c>
      <c r="R4156">
        <v>1.9729969999999999E-2</v>
      </c>
      <c r="S4156">
        <v>3.038605</v>
      </c>
      <c r="T4156">
        <v>-0.10839219999999999</v>
      </c>
      <c r="U4156">
        <v>6.6040039999999994E-2</v>
      </c>
      <c r="V4156">
        <v>-9.7907500000000008E-3</v>
      </c>
      <c r="W4156">
        <v>0.13284290000000001</v>
      </c>
      <c r="X4156">
        <v>0.99108870000000004</v>
      </c>
      <c r="Y4156">
        <v>-1.171445E-2</v>
      </c>
      <c r="Z4156">
        <v>-1.4821039999999999E-4</v>
      </c>
      <c r="AA4156">
        <v>0.99993140000000003</v>
      </c>
      <c r="AB4156">
        <v>30</v>
      </c>
      <c r="AC4156">
        <v>30.9117999999999</v>
      </c>
      <c r="AD4156">
        <v>-1.1091012987869999</v>
      </c>
      <c r="AE4156">
        <v>0.67390000000000305</v>
      </c>
      <c r="AF4156">
        <v>-0.36383847969861699</v>
      </c>
      <c r="AG4156">
        <v>-1.1091012987869999</v>
      </c>
      <c r="AH4156">
        <v>30.8772678671133</v>
      </c>
      <c r="AI4156">
        <v>92.0570184350738</v>
      </c>
      <c r="AJ4156">
        <v>90.675106510526902</v>
      </c>
      <c r="AK4156">
        <v>30.899322890117698</v>
      </c>
      <c r="AL4156">
        <v>82.366095952480705</v>
      </c>
      <c r="AM4156">
        <v>90.565994149625993</v>
      </c>
      <c r="AN4156">
        <v>0.99999995306682998</v>
      </c>
    </row>
    <row r="4157" spans="1:40" x14ac:dyDescent="0.25">
      <c r="A4157" t="str">
        <f>"20190312172200620"</f>
        <v>20190312172200620</v>
      </c>
      <c r="B4157" t="str">
        <f>"1552382520615259"</f>
        <v>1552382520615259</v>
      </c>
      <c r="C4157" t="s">
        <v>40</v>
      </c>
      <c r="D4157">
        <v>3.0229889999999999</v>
      </c>
      <c r="E4157">
        <v>0.50010399999999999</v>
      </c>
      <c r="F4157" t="s">
        <v>47</v>
      </c>
      <c r="G4157">
        <v>-311.43209999999999</v>
      </c>
      <c r="H4157" s="1">
        <v>1.5407370000000001E-6</v>
      </c>
      <c r="I4157">
        <v>215.58240000000001</v>
      </c>
      <c r="J4157">
        <v>-342.53649999999999</v>
      </c>
      <c r="K4157">
        <v>1.109097</v>
      </c>
      <c r="L4157">
        <v>214.92320000000001</v>
      </c>
      <c r="M4157">
        <v>0.99993960000000004</v>
      </c>
      <c r="N4157">
        <v>0</v>
      </c>
      <c r="O4157">
        <v>1.000646E-2</v>
      </c>
      <c r="P4157">
        <v>0.99155230000000005</v>
      </c>
      <c r="Q4157">
        <v>0.12826419999999999</v>
      </c>
      <c r="R4157">
        <v>1.930142E-2</v>
      </c>
      <c r="S4157">
        <v>3.0383</v>
      </c>
      <c r="T4157">
        <v>-0.1077515</v>
      </c>
      <c r="U4157">
        <v>6.4208979999999999E-2</v>
      </c>
      <c r="V4157">
        <v>-9.3692819999999996E-3</v>
      </c>
      <c r="W4157">
        <v>0.13277910000000001</v>
      </c>
      <c r="X4157">
        <v>0.99110140000000002</v>
      </c>
      <c r="Y4157">
        <v>-1.1122389999999999E-2</v>
      </c>
      <c r="Z4157">
        <v>-1.575716E-4</v>
      </c>
      <c r="AA4157">
        <v>0.99993810000000005</v>
      </c>
      <c r="AB4157">
        <v>31</v>
      </c>
      <c r="AC4157">
        <v>31.104399999999998</v>
      </c>
      <c r="AD4157">
        <v>-1.109095459263</v>
      </c>
      <c r="AE4157">
        <v>0.65919999999999801</v>
      </c>
      <c r="AF4157">
        <v>-0.34747724872403501</v>
      </c>
      <c r="AG4157">
        <v>-1.109095459263</v>
      </c>
      <c r="AH4157">
        <v>31.0699533310666</v>
      </c>
      <c r="AI4157">
        <v>92.044275661412399</v>
      </c>
      <c r="AJ4157">
        <v>90.640752486440107</v>
      </c>
      <c r="AK4157">
        <v>31.091684309004499</v>
      </c>
      <c r="AL4157">
        <v>82.369784677782604</v>
      </c>
      <c r="AM4157">
        <v>90.541624020722793</v>
      </c>
      <c r="AN4157">
        <v>1.0000000289619799</v>
      </c>
    </row>
    <row r="4158" spans="1:40" x14ac:dyDescent="0.25">
      <c r="A4158" t="str">
        <f>"20190312172200639"</f>
        <v>20190312172200639</v>
      </c>
      <c r="B4158" t="str">
        <f>"1552382520634778"</f>
        <v>1552382520634778</v>
      </c>
      <c r="C4158" t="s">
        <v>40</v>
      </c>
      <c r="D4158">
        <v>3.0403129999999998</v>
      </c>
      <c r="E4158">
        <v>0.50009009999999998</v>
      </c>
      <c r="F4158" t="s">
        <v>47</v>
      </c>
      <c r="G4158">
        <v>-311.04660000000001</v>
      </c>
      <c r="H4158" s="1">
        <v>1.369777E-6</v>
      </c>
      <c r="I4158">
        <v>215.5703</v>
      </c>
      <c r="J4158">
        <v>-342.26900000000001</v>
      </c>
      <c r="K4158">
        <v>1.109086</v>
      </c>
      <c r="L4158">
        <v>214.92580000000001</v>
      </c>
      <c r="M4158">
        <v>0.99993980000000005</v>
      </c>
      <c r="N4158">
        <v>0</v>
      </c>
      <c r="O4158">
        <v>9.9939260000000002E-3</v>
      </c>
      <c r="P4158">
        <v>0.9916701</v>
      </c>
      <c r="Q4158">
        <v>0.1274632</v>
      </c>
      <c r="R4158">
        <v>1.8537910000000001E-2</v>
      </c>
      <c r="S4158">
        <v>3.038208</v>
      </c>
      <c r="T4158">
        <v>-0.1070077</v>
      </c>
      <c r="U4158">
        <v>6.2438960000000002E-2</v>
      </c>
      <c r="V4158">
        <v>-8.6173859999999994E-3</v>
      </c>
      <c r="W4158">
        <v>0.13196189999999999</v>
      </c>
      <c r="X4158">
        <v>0.99121729999999997</v>
      </c>
      <c r="Y4158">
        <v>-1.055362E-2</v>
      </c>
      <c r="Z4158">
        <v>-1.660613E-4</v>
      </c>
      <c r="AA4158">
        <v>0.99994430000000001</v>
      </c>
      <c r="AB4158">
        <v>31</v>
      </c>
      <c r="AC4158">
        <v>31.2224</v>
      </c>
      <c r="AD4158">
        <v>-1.109084630223</v>
      </c>
      <c r="AE4158">
        <v>0.64449999999999297</v>
      </c>
      <c r="AF4158">
        <v>-0.33201149661305701</v>
      </c>
      <c r="AG4158">
        <v>-1.109084630223</v>
      </c>
      <c r="AH4158">
        <v>31.1879450992427</v>
      </c>
      <c r="AI4158">
        <v>92.036540265790606</v>
      </c>
      <c r="AJ4158">
        <v>90.609919598551997</v>
      </c>
      <c r="AK4158">
        <v>31.209425176767599</v>
      </c>
      <c r="AL4158">
        <v>82.417022010254101</v>
      </c>
      <c r="AM4158">
        <v>90.498102090895301</v>
      </c>
      <c r="AN4158">
        <v>0.99999996910618505</v>
      </c>
    </row>
    <row r="4159" spans="1:40" x14ac:dyDescent="0.25">
      <c r="A4159" t="str">
        <f>"20190312172200653"</f>
        <v>20190312172200653</v>
      </c>
      <c r="B4159" t="str">
        <f>"1552382520644539"</f>
        <v>1552382520644539</v>
      </c>
      <c r="C4159" t="s">
        <v>40</v>
      </c>
      <c r="D4159">
        <v>3.0449809999999999</v>
      </c>
      <c r="E4159">
        <v>0.50005809999999995</v>
      </c>
      <c r="F4159" t="s">
        <v>47</v>
      </c>
      <c r="G4159">
        <v>-311.03739999999999</v>
      </c>
      <c r="H4159" s="1">
        <v>1.36571E-6</v>
      </c>
      <c r="I4159">
        <v>215.54730000000001</v>
      </c>
      <c r="J4159">
        <v>-342.0763</v>
      </c>
      <c r="K4159">
        <v>1.109083</v>
      </c>
      <c r="L4159">
        <v>214.92769999999999</v>
      </c>
      <c r="M4159">
        <v>0.99993989999999999</v>
      </c>
      <c r="N4159">
        <v>0</v>
      </c>
      <c r="O4159">
        <v>9.9850609999999999E-3</v>
      </c>
      <c r="P4159">
        <v>0.99171050000000005</v>
      </c>
      <c r="Q4159">
        <v>0.12721180000000001</v>
      </c>
      <c r="R4159">
        <v>1.8098510000000002E-2</v>
      </c>
      <c r="S4159">
        <v>3.0379640000000001</v>
      </c>
      <c r="T4159">
        <v>-0.1078833</v>
      </c>
      <c r="U4159">
        <v>6.045532E-2</v>
      </c>
      <c r="V4159">
        <v>-8.1866130000000006E-3</v>
      </c>
      <c r="W4159">
        <v>0.13170379999999901</v>
      </c>
      <c r="X4159">
        <v>0.99125529999999995</v>
      </c>
      <c r="Y4159">
        <v>-9.911876E-3</v>
      </c>
      <c r="Z4159">
        <v>-1.785093E-4</v>
      </c>
      <c r="AA4159">
        <v>0.99995089999999998</v>
      </c>
      <c r="AB4159">
        <v>31</v>
      </c>
      <c r="AC4159">
        <v>31.038900000000002</v>
      </c>
      <c r="AD4159">
        <v>-1.1090816342899901</v>
      </c>
      <c r="AE4159">
        <v>0.61960000000001902</v>
      </c>
      <c r="AF4159">
        <v>-0.30924594498685498</v>
      </c>
      <c r="AG4159">
        <v>-1.1090816342899901</v>
      </c>
      <c r="AH4159">
        <v>31.003970097905</v>
      </c>
      <c r="AI4159">
        <v>92.048623293020697</v>
      </c>
      <c r="AJ4159">
        <v>90.571471971571597</v>
      </c>
      <c r="AK4159">
        <v>31.025342173097702</v>
      </c>
      <c r="AL4159">
        <v>82.431940422686395</v>
      </c>
      <c r="AM4159">
        <v>90.473185575178306</v>
      </c>
      <c r="AN4159">
        <v>0.99999999067247003</v>
      </c>
    </row>
    <row r="4160" spans="1:40" x14ac:dyDescent="0.25">
      <c r="A4160" t="str">
        <f>"20190312172200666"</f>
        <v>20190312172200666</v>
      </c>
      <c r="B4160" t="str">
        <f>"1552382520655275"</f>
        <v>1552382520655275</v>
      </c>
      <c r="C4160" t="s">
        <v>40</v>
      </c>
      <c r="D4160">
        <v>3.0390739999999998</v>
      </c>
      <c r="E4160">
        <v>0.50001589999999996</v>
      </c>
      <c r="F4160" t="s">
        <v>47</v>
      </c>
      <c r="G4160">
        <v>-310.87759999999997</v>
      </c>
      <c r="H4160" s="1">
        <v>1.294834E-6</v>
      </c>
      <c r="I4160">
        <v>215.53530000000001</v>
      </c>
      <c r="J4160">
        <v>-341.90960000000001</v>
      </c>
      <c r="K4160">
        <v>1.109083</v>
      </c>
      <c r="L4160">
        <v>214.92939999999999</v>
      </c>
      <c r="M4160">
        <v>0.99994000000000005</v>
      </c>
      <c r="N4160">
        <v>0</v>
      </c>
      <c r="O4160">
        <v>9.9773829999999994E-3</v>
      </c>
      <c r="P4160">
        <v>0.99173120000000003</v>
      </c>
      <c r="Q4160">
        <v>0.12710779999999999</v>
      </c>
      <c r="R4160">
        <v>1.7689860000000002E-2</v>
      </c>
      <c r="S4160">
        <v>3.037903</v>
      </c>
      <c r="T4160">
        <v>-0.1079944</v>
      </c>
      <c r="U4160">
        <v>5.9158330000000002E-2</v>
      </c>
      <c r="V4160">
        <v>-7.7854309999999998E-3</v>
      </c>
      <c r="W4160">
        <v>0.13159560000000001</v>
      </c>
      <c r="X4160">
        <v>0.99127290000000001</v>
      </c>
      <c r="Y4160">
        <v>-9.4934619999999994E-3</v>
      </c>
      <c r="Z4160">
        <v>-1.8585880000000001E-4</v>
      </c>
      <c r="AA4160">
        <v>0.99995489999999998</v>
      </c>
      <c r="AB4160">
        <v>31</v>
      </c>
      <c r="AC4160">
        <v>31.032</v>
      </c>
      <c r="AD4160">
        <v>-1.109081705166</v>
      </c>
      <c r="AE4160">
        <v>0.60590000000001898</v>
      </c>
      <c r="AF4160">
        <v>-0.29587074122413498</v>
      </c>
      <c r="AG4160">
        <v>-1.109081705166</v>
      </c>
      <c r="AH4160">
        <v>30.996922084072501</v>
      </c>
      <c r="AI4160">
        <v>92.049097414366798</v>
      </c>
      <c r="AJ4160">
        <v>90.546881070903495</v>
      </c>
      <c r="AK4160">
        <v>31.018168553451201</v>
      </c>
      <c r="AL4160">
        <v>82.438194241633198</v>
      </c>
      <c r="AM4160">
        <v>90.449990276496095</v>
      </c>
      <c r="AN4160">
        <v>0.99999998857481198</v>
      </c>
    </row>
    <row r="4161" spans="1:40" x14ac:dyDescent="0.25">
      <c r="A4161" t="str">
        <f>"20190312172200677"</f>
        <v>20190312172200677</v>
      </c>
      <c r="B4161" t="str">
        <f>"1552382520674794"</f>
        <v>1552382520674794</v>
      </c>
      <c r="C4161" t="s">
        <v>40</v>
      </c>
      <c r="D4161">
        <v>3.052063</v>
      </c>
      <c r="E4161">
        <v>0.49993850000000001</v>
      </c>
      <c r="F4161" t="s">
        <v>47</v>
      </c>
      <c r="G4161">
        <v>-310.65910000000002</v>
      </c>
      <c r="H4161" s="1">
        <v>1.1979119999999999E-6</v>
      </c>
      <c r="I4161">
        <v>215.52809999999999</v>
      </c>
      <c r="J4161">
        <v>-341.73689999999999</v>
      </c>
      <c r="K4161">
        <v>1.1090799999999901</v>
      </c>
      <c r="L4161">
        <v>214.93109999999999</v>
      </c>
      <c r="M4161">
        <v>0.99994019999999995</v>
      </c>
      <c r="N4161">
        <v>0</v>
      </c>
      <c r="O4161">
        <v>9.9693420000000008E-3</v>
      </c>
      <c r="P4161">
        <v>0.99176830000000005</v>
      </c>
      <c r="Q4161">
        <v>0.12685589999999999</v>
      </c>
      <c r="R4161">
        <v>1.7421180000000001E-2</v>
      </c>
      <c r="S4161">
        <v>3.037811</v>
      </c>
      <c r="T4161">
        <v>-0.1078118</v>
      </c>
      <c r="U4161">
        <v>5.8197020000000002E-2</v>
      </c>
      <c r="V4161">
        <v>-7.5242959999999998E-3</v>
      </c>
      <c r="W4161">
        <v>0.13134029999999899</v>
      </c>
      <c r="X4161">
        <v>0.99130879999999999</v>
      </c>
      <c r="Y4161">
        <v>-9.1859630000000001E-3</v>
      </c>
      <c r="Z4161">
        <v>-1.907201E-4</v>
      </c>
      <c r="AA4161">
        <v>0.99995780000000001</v>
      </c>
      <c r="AB4161">
        <v>31</v>
      </c>
      <c r="AC4161">
        <v>31.0777999999999</v>
      </c>
      <c r="AD4161">
        <v>-1.10907880208799</v>
      </c>
      <c r="AE4161">
        <v>0.59700000000000797</v>
      </c>
      <c r="AF4161">
        <v>-0.28677688704681298</v>
      </c>
      <c r="AG4161">
        <v>-1.10907880208799</v>
      </c>
      <c r="AH4161">
        <v>31.042686727877101</v>
      </c>
      <c r="AI4161">
        <v>92.046079647453993</v>
      </c>
      <c r="AJ4161">
        <v>90.529291746849196</v>
      </c>
      <c r="AK4161">
        <v>31.063816508235199</v>
      </c>
      <c r="AL4161">
        <v>82.452950114387704</v>
      </c>
      <c r="AM4161">
        <v>90.434881770274302</v>
      </c>
      <c r="AN4161">
        <v>1.0000000131959099</v>
      </c>
    </row>
    <row r="4162" spans="1:40" x14ac:dyDescent="0.25">
      <c r="A4162" t="str">
        <f>"20190312172200695"</f>
        <v>20190312172200695</v>
      </c>
      <c r="B4162" t="str">
        <f>"1552382520684558"</f>
        <v>1552382520684558</v>
      </c>
      <c r="C4162" t="s">
        <v>40</v>
      </c>
      <c r="D4162">
        <v>3.0817260000000002</v>
      </c>
      <c r="E4162">
        <v>0.4999169</v>
      </c>
      <c r="F4162" t="s">
        <v>47</v>
      </c>
      <c r="G4162">
        <v>-310.41849999999999</v>
      </c>
      <c r="H4162" s="1">
        <v>1.091229E-6</v>
      </c>
      <c r="I4162">
        <v>215.5247</v>
      </c>
      <c r="J4162">
        <v>-341.49009999999998</v>
      </c>
      <c r="K4162">
        <v>1.109076</v>
      </c>
      <c r="L4162">
        <v>214.93350000000001</v>
      </c>
      <c r="M4162">
        <v>0.9999403</v>
      </c>
      <c r="N4162">
        <v>0</v>
      </c>
      <c r="O4162">
        <v>9.9582590000000006E-3</v>
      </c>
      <c r="P4162">
        <v>0.99179019999999996</v>
      </c>
      <c r="Q4162">
        <v>0.1268088</v>
      </c>
      <c r="R4162">
        <v>1.6491410000000001E-2</v>
      </c>
      <c r="S4162">
        <v>3.0376590000000001</v>
      </c>
      <c r="T4162">
        <v>-0.10757269999999899</v>
      </c>
      <c r="U4162">
        <v>5.7571410000000003E-2</v>
      </c>
      <c r="V4162">
        <v>-6.6049480000000002E-3</v>
      </c>
      <c r="W4162">
        <v>0.13129199999999999</v>
      </c>
      <c r="X4162">
        <v>0.99132169999999997</v>
      </c>
      <c r="Y4162">
        <v>-8.9922530000000004E-3</v>
      </c>
      <c r="Z4162">
        <v>-1.933436E-4</v>
      </c>
      <c r="AA4162">
        <v>0.9999595</v>
      </c>
      <c r="AB4162">
        <v>31</v>
      </c>
      <c r="AC4162">
        <v>31.071599999999901</v>
      </c>
      <c r="AD4162">
        <v>-1.1090749087709999</v>
      </c>
      <c r="AE4162">
        <v>0.59119999999998596</v>
      </c>
      <c r="AF4162">
        <v>-0.28139013284515502</v>
      </c>
      <c r="AG4162">
        <v>-1.1090749087709999</v>
      </c>
      <c r="AH4162">
        <v>31.036418303804801</v>
      </c>
      <c r="AI4162">
        <v>92.046488577695001</v>
      </c>
      <c r="AJ4162">
        <v>90.519455083839404</v>
      </c>
      <c r="AK4162">
        <v>31.057502937114599</v>
      </c>
      <c r="AL4162">
        <v>82.455741298665401</v>
      </c>
      <c r="AM4162">
        <v>90.381742924170197</v>
      </c>
      <c r="AN4162">
        <v>0.99999996374648503</v>
      </c>
    </row>
    <row r="4163" spans="1:40" x14ac:dyDescent="0.25">
      <c r="A4163" t="str">
        <f>"20190312172200719"</f>
        <v>20190312172200719</v>
      </c>
      <c r="B4163" t="str">
        <f>"1552382520714810"</f>
        <v>1552382520714810</v>
      </c>
      <c r="C4163" t="s">
        <v>40</v>
      </c>
      <c r="D4163">
        <v>3.0461019999999999</v>
      </c>
      <c r="E4163">
        <v>0.49975209999999998</v>
      </c>
      <c r="F4163" t="s">
        <v>47</v>
      </c>
      <c r="G4163">
        <v>-310.1157</v>
      </c>
      <c r="H4163" s="1">
        <v>9.5696100000000009E-7</v>
      </c>
      <c r="I4163">
        <v>215.50139999999999</v>
      </c>
      <c r="J4163">
        <v>-341.16</v>
      </c>
      <c r="K4163">
        <v>1.109073</v>
      </c>
      <c r="L4163">
        <v>214.93680000000001</v>
      </c>
      <c r="M4163">
        <v>0.9999403</v>
      </c>
      <c r="N4163">
        <v>0</v>
      </c>
      <c r="O4163">
        <v>9.9432860000000008E-3</v>
      </c>
      <c r="P4163">
        <v>0.99182340000000002</v>
      </c>
      <c r="Q4163">
        <v>0.12663749999999999</v>
      </c>
      <c r="R4163">
        <v>1.5799259999999999E-2</v>
      </c>
      <c r="S4163">
        <v>3.0376590000000001</v>
      </c>
      <c r="T4163">
        <v>-0.1073802</v>
      </c>
      <c r="U4163">
        <v>5.4977419999999999E-2</v>
      </c>
      <c r="V4163">
        <v>-5.9277009999999996E-3</v>
      </c>
      <c r="W4163">
        <v>0.13112570000000001</v>
      </c>
      <c r="X4163">
        <v>0.99134800000000001</v>
      </c>
      <c r="Y4163">
        <v>-8.154115E-3</v>
      </c>
      <c r="Z4163">
        <v>-2.072787E-4</v>
      </c>
      <c r="AA4163">
        <v>0.99996669999999999</v>
      </c>
      <c r="AB4163">
        <v>31</v>
      </c>
      <c r="AC4163">
        <v>31.0443</v>
      </c>
      <c r="AD4163">
        <v>-1.109072043039</v>
      </c>
      <c r="AE4163">
        <v>0.564599999999984</v>
      </c>
      <c r="AF4163">
        <v>-0.25556049990856999</v>
      </c>
      <c r="AG4163">
        <v>-1.109072043039</v>
      </c>
      <c r="AH4163">
        <v>31.008815570243101</v>
      </c>
      <c r="AI4163">
        <v>92.048318044747901</v>
      </c>
      <c r="AJ4163">
        <v>90.472194963831001</v>
      </c>
      <c r="AK4163">
        <v>31.029695374513601</v>
      </c>
      <c r="AL4163">
        <v>82.465352742303594</v>
      </c>
      <c r="AM4163">
        <v>90.342592310576606</v>
      </c>
      <c r="AN4163">
        <v>0.999999971971817</v>
      </c>
    </row>
    <row r="4164" spans="1:40" x14ac:dyDescent="0.25">
      <c r="A4164" t="str">
        <f>"20190312172200742"</f>
        <v>20190312172200742</v>
      </c>
      <c r="B4164" t="str">
        <f>"1552382520735308"</f>
        <v>1552382520735308</v>
      </c>
      <c r="C4164" t="s">
        <v>40</v>
      </c>
      <c r="D4164">
        <v>3.0261209999999998</v>
      </c>
      <c r="E4164">
        <v>0.499608</v>
      </c>
      <c r="F4164" t="s">
        <v>47</v>
      </c>
      <c r="G4164">
        <v>-309.47649999999999</v>
      </c>
      <c r="H4164" s="1">
        <v>9.7228420000000006E-7</v>
      </c>
      <c r="I4164">
        <v>215.49930000000001</v>
      </c>
      <c r="J4164">
        <v>-340.84719999999999</v>
      </c>
      <c r="K4164">
        <v>1.1090709999999999</v>
      </c>
      <c r="L4164">
        <v>214.93989999999999</v>
      </c>
      <c r="M4164">
        <v>0.99994050000000001</v>
      </c>
      <c r="N4164">
        <v>0</v>
      </c>
      <c r="O4164">
        <v>9.9290109999999997E-3</v>
      </c>
      <c r="P4164">
        <v>0.99183080000000001</v>
      </c>
      <c r="Q4164">
        <v>0.12666240000000001</v>
      </c>
      <c r="R4164">
        <v>1.510447E-2</v>
      </c>
      <c r="S4164">
        <v>3.037445</v>
      </c>
      <c r="T4164">
        <v>-0.1063248</v>
      </c>
      <c r="U4164">
        <v>5.3924560000000003E-2</v>
      </c>
      <c r="V4164">
        <v>-5.2464959999999998E-3</v>
      </c>
      <c r="W4164">
        <v>0.131163</v>
      </c>
      <c r="X4164">
        <v>0.99134699999999998</v>
      </c>
      <c r="Y4164">
        <v>-7.8233339999999995E-3</v>
      </c>
      <c r="Z4164">
        <v>-2.105458E-4</v>
      </c>
      <c r="AA4164">
        <v>0.99996940000000001</v>
      </c>
      <c r="AB4164">
        <v>31</v>
      </c>
      <c r="AC4164">
        <v>31.370699999999999</v>
      </c>
      <c r="AD4164">
        <v>-1.1090700277158001</v>
      </c>
      <c r="AE4164">
        <v>0.55940000000001</v>
      </c>
      <c r="AF4164">
        <v>-0.24757987257316999</v>
      </c>
      <c r="AG4164">
        <v>-1.1090700277158001</v>
      </c>
      <c r="AH4164">
        <v>31.335554590186401</v>
      </c>
      <c r="AI4164">
        <v>92.026979821086002</v>
      </c>
      <c r="AJ4164">
        <v>90.452680248271605</v>
      </c>
      <c r="AK4164">
        <v>31.3561527230978</v>
      </c>
      <c r="AL4164">
        <v>82.463197706488202</v>
      </c>
      <c r="AM4164">
        <v>90.303223060769596</v>
      </c>
      <c r="AN4164">
        <v>1.00000006634913</v>
      </c>
    </row>
    <row r="4165" spans="1:40" x14ac:dyDescent="0.25">
      <c r="A4165" t="str">
        <f>"20190312172200762"</f>
        <v>20190312172200762</v>
      </c>
      <c r="B4165" t="str">
        <f>"1552382520754826"</f>
        <v>1552382520754826</v>
      </c>
      <c r="C4165" t="s">
        <v>40</v>
      </c>
      <c r="D4165">
        <v>3.0289739999999998</v>
      </c>
      <c r="E4165">
        <v>0.49950230000000001</v>
      </c>
      <c r="F4165" t="s">
        <v>47</v>
      </c>
      <c r="G4165">
        <v>-308.76089999999999</v>
      </c>
      <c r="H4165" s="1">
        <v>1.0992250000000001E-6</v>
      </c>
      <c r="I4165">
        <v>215.4984</v>
      </c>
      <c r="J4165">
        <v>-340.54230000000001</v>
      </c>
      <c r="K4165">
        <v>1.109062</v>
      </c>
      <c r="L4165">
        <v>214.94290000000001</v>
      </c>
      <c r="M4165">
        <v>0.99994050000000001</v>
      </c>
      <c r="N4165">
        <v>0</v>
      </c>
      <c r="O4165">
        <v>9.9149089999999995E-3</v>
      </c>
      <c r="P4165">
        <v>0.99190310000000004</v>
      </c>
      <c r="Q4165">
        <v>0.12620239999999999</v>
      </c>
      <c r="R4165">
        <v>1.4183029999999999E-2</v>
      </c>
      <c r="S4165">
        <v>3.0373540000000001</v>
      </c>
      <c r="T4165">
        <v>-0.1049867</v>
      </c>
      <c r="U4165">
        <v>5.2871700000000001E-2</v>
      </c>
      <c r="V4165">
        <v>-4.3386730000000004E-3</v>
      </c>
      <c r="W4165">
        <v>0.13071859999999999</v>
      </c>
      <c r="X4165">
        <v>0.99141000000000001</v>
      </c>
      <c r="Y4165">
        <v>-7.491607E-3</v>
      </c>
      <c r="Z4165">
        <v>-2.131484E-4</v>
      </c>
      <c r="AA4165">
        <v>0.99997190000000002</v>
      </c>
      <c r="AB4165">
        <v>31</v>
      </c>
      <c r="AC4165">
        <v>31.781400000000001</v>
      </c>
      <c r="AD4165">
        <v>-1.1090609007750001</v>
      </c>
      <c r="AE4165">
        <v>0.555499999999995</v>
      </c>
      <c r="AF4165">
        <v>-0.24006748817531801</v>
      </c>
      <c r="AG4165">
        <v>-1.1090609007750001</v>
      </c>
      <c r="AH4165">
        <v>31.746697255293999</v>
      </c>
      <c r="AI4165">
        <v>92.000739229589996</v>
      </c>
      <c r="AJ4165">
        <v>90.433260555775703</v>
      </c>
      <c r="AK4165">
        <v>31.766970820331601</v>
      </c>
      <c r="AL4165">
        <v>82.488880443326295</v>
      </c>
      <c r="AM4165">
        <v>90.250739920564797</v>
      </c>
      <c r="AN4165">
        <v>0.99999998228468001</v>
      </c>
    </row>
    <row r="4166" spans="1:40" x14ac:dyDescent="0.25">
      <c r="A4166" t="str">
        <f>"20190312172200776"</f>
        <v>20190312172200776</v>
      </c>
      <c r="B4166" t="str">
        <f>"1552382520764587"</f>
        <v>1552382520764587</v>
      </c>
      <c r="C4166" t="s">
        <v>40</v>
      </c>
      <c r="D4166">
        <v>3.0195120000000002</v>
      </c>
      <c r="E4166">
        <v>0.4994246</v>
      </c>
      <c r="F4166" t="s">
        <v>47</v>
      </c>
      <c r="G4166">
        <v>-308.58890000000002</v>
      </c>
      <c r="H4166" s="1">
        <v>1.129732E-6</v>
      </c>
      <c r="I4166">
        <v>215.4794</v>
      </c>
      <c r="J4166">
        <v>-340.34809999999999</v>
      </c>
      <c r="K4166">
        <v>1.1090610000000001</v>
      </c>
      <c r="L4166">
        <v>214.94479999999999</v>
      </c>
      <c r="M4166">
        <v>0.99994059999999996</v>
      </c>
      <c r="N4166">
        <v>0</v>
      </c>
      <c r="O4166">
        <v>9.9061210000000004E-3</v>
      </c>
      <c r="P4166">
        <v>0.99195120000000003</v>
      </c>
      <c r="Q4166">
        <v>0.12584039999999999</v>
      </c>
      <c r="R4166">
        <v>1.4050129999999999E-2</v>
      </c>
      <c r="S4166">
        <v>3.0371700000000001</v>
      </c>
      <c r="T4166">
        <v>-0.1054163</v>
      </c>
      <c r="U4166">
        <v>5.0994869999999998E-2</v>
      </c>
      <c r="V4166">
        <v>-4.2140659999999998E-3</v>
      </c>
      <c r="W4166">
        <v>0.13036739999999999</v>
      </c>
      <c r="X4166">
        <v>0.99145680000000003</v>
      </c>
      <c r="Y4166">
        <v>-6.88406E-3</v>
      </c>
      <c r="Z4166">
        <v>-2.242693E-4</v>
      </c>
      <c r="AA4166">
        <v>0.99997630000000004</v>
      </c>
      <c r="AB4166">
        <v>32</v>
      </c>
      <c r="AC4166">
        <v>31.7591999999999</v>
      </c>
      <c r="AD4166">
        <v>-1.1090598702679999</v>
      </c>
      <c r="AE4166">
        <v>0.53460000000001096</v>
      </c>
      <c r="AF4166">
        <v>-0.21969220745724599</v>
      </c>
      <c r="AG4166">
        <v>-1.1090598702679999</v>
      </c>
      <c r="AH4166">
        <v>31.724261707067001</v>
      </c>
      <c r="AI4166">
        <v>92.002160380798699</v>
      </c>
      <c r="AJ4166">
        <v>90.396769992169794</v>
      </c>
      <c r="AK4166">
        <v>31.744402015478801</v>
      </c>
      <c r="AL4166">
        <v>82.509176548240603</v>
      </c>
      <c r="AM4166">
        <v>90.243527244381696</v>
      </c>
      <c r="AN4166">
        <v>1.0000000018006201</v>
      </c>
    </row>
    <row r="4167" spans="1:40" x14ac:dyDescent="0.25">
      <c r="A4167" t="str">
        <f>"20190312172200795"</f>
        <v>20190312172200795</v>
      </c>
      <c r="B4167" t="str">
        <f>"1552382520785086"</f>
        <v>1552382520785086</v>
      </c>
      <c r="C4167" t="s">
        <v>40</v>
      </c>
      <c r="D4167">
        <v>3.0184129999999998</v>
      </c>
      <c r="E4167">
        <v>0.49931629999999999</v>
      </c>
      <c r="F4167" t="s">
        <v>47</v>
      </c>
      <c r="G4167">
        <v>-308.61700000000002</v>
      </c>
      <c r="H4167" s="1">
        <v>1.1247410000000001E-6</v>
      </c>
      <c r="I4167">
        <v>215.4794</v>
      </c>
      <c r="J4167">
        <v>-340.0797</v>
      </c>
      <c r="K4167">
        <v>1.109062</v>
      </c>
      <c r="L4167">
        <v>214.94749999999999</v>
      </c>
      <c r="M4167">
        <v>0.99994059999999996</v>
      </c>
      <c r="N4167">
        <v>0</v>
      </c>
      <c r="O4167">
        <v>9.8940369999999996E-3</v>
      </c>
      <c r="P4167">
        <v>0.99195279999999997</v>
      </c>
      <c r="Q4167">
        <v>0.12590519999999999</v>
      </c>
      <c r="R4167">
        <v>1.333029E-2</v>
      </c>
      <c r="S4167">
        <v>3.03714</v>
      </c>
      <c r="T4167">
        <v>-0.1061535</v>
      </c>
      <c r="U4167">
        <v>5.1162720000000002E-2</v>
      </c>
      <c r="V4167">
        <v>-3.506299E-3</v>
      </c>
      <c r="W4167">
        <v>0.1304506</v>
      </c>
      <c r="X4167">
        <v>0.99144860000000001</v>
      </c>
      <c r="Y4167">
        <v>-6.9515369999999998E-3</v>
      </c>
      <c r="Z4167">
        <v>-2.2423779999999999E-4</v>
      </c>
      <c r="AA4167">
        <v>0.99997579999999997</v>
      </c>
      <c r="AB4167">
        <v>32</v>
      </c>
      <c r="AC4167">
        <v>31.462699999999899</v>
      </c>
      <c r="AD4167">
        <v>-1.1090608752590001</v>
      </c>
      <c r="AE4167">
        <v>0.53190000000000703</v>
      </c>
      <c r="AF4167">
        <v>-0.220303929232016</v>
      </c>
      <c r="AG4167">
        <v>-1.1090608752590001</v>
      </c>
      <c r="AH4167">
        <v>31.427383270954699</v>
      </c>
      <c r="AI4167">
        <v>92.021058791208702</v>
      </c>
      <c r="AJ4167">
        <v>90.401633139465901</v>
      </c>
      <c r="AK4167">
        <v>31.4477180270008</v>
      </c>
      <c r="AL4167">
        <v>82.504368389436394</v>
      </c>
      <c r="AM4167">
        <v>90.202628050382899</v>
      </c>
      <c r="AN4167">
        <v>0.99999998980749805</v>
      </c>
    </row>
    <row r="4168" spans="1:40" x14ac:dyDescent="0.25">
      <c r="A4168" t="str">
        <f>"20190312172200820"</f>
        <v>20190312172200820</v>
      </c>
      <c r="B4168" t="str">
        <f>"1552382520815340"</f>
        <v>1552382520815340</v>
      </c>
      <c r="C4168" t="s">
        <v>40</v>
      </c>
      <c r="D4168">
        <v>3.0089039999999998</v>
      </c>
      <c r="E4168">
        <v>0.49914039999999998</v>
      </c>
      <c r="F4168" t="s">
        <v>47</v>
      </c>
      <c r="G4168">
        <v>-308.00450000000001</v>
      </c>
      <c r="H4168" s="1">
        <v>1.233396E-6</v>
      </c>
      <c r="I4168">
        <v>215.47300000000001</v>
      </c>
      <c r="J4168">
        <v>-339.7362</v>
      </c>
      <c r="K4168">
        <v>1.109062</v>
      </c>
      <c r="L4168">
        <v>214.95089999999999</v>
      </c>
      <c r="M4168">
        <v>0.99994070000000002</v>
      </c>
      <c r="N4168">
        <v>0</v>
      </c>
      <c r="O4168">
        <v>9.8787019999999996E-3</v>
      </c>
      <c r="P4168">
        <v>0.99197389999999996</v>
      </c>
      <c r="Q4168">
        <v>0.1257732</v>
      </c>
      <c r="R4168">
        <v>1.301166E-2</v>
      </c>
      <c r="S4168">
        <v>3.0369869999999999</v>
      </c>
      <c r="T4168">
        <v>-0.1050097</v>
      </c>
      <c r="U4168">
        <v>4.9758910000000003E-2</v>
      </c>
      <c r="V4168">
        <v>-3.2028299999999998E-3</v>
      </c>
      <c r="W4168">
        <v>0.13034989999999999</v>
      </c>
      <c r="X4168">
        <v>0.99146290000000004</v>
      </c>
      <c r="Y4168">
        <v>-6.5058360000000001E-3</v>
      </c>
      <c r="Z4168">
        <v>-2.2900789999999999E-4</v>
      </c>
      <c r="AA4168">
        <v>0.99997879999999995</v>
      </c>
      <c r="AB4168">
        <v>32</v>
      </c>
      <c r="AC4168">
        <v>31.731699999999901</v>
      </c>
      <c r="AD4168">
        <v>-1.109060766604</v>
      </c>
      <c r="AE4168">
        <v>0.52209999999999401</v>
      </c>
      <c r="AF4168">
        <v>-0.20834877532957699</v>
      </c>
      <c r="AG4168">
        <v>-1.109060766604</v>
      </c>
      <c r="AH4168">
        <v>31.696599686442902</v>
      </c>
      <c r="AI4168">
        <v>92.003912639900506</v>
      </c>
      <c r="AJ4168">
        <v>90.3766124343542</v>
      </c>
      <c r="AK4168">
        <v>31.7166810476572</v>
      </c>
      <c r="AL4168">
        <v>82.510187978334102</v>
      </c>
      <c r="AM4168">
        <v>90.185088118945004</v>
      </c>
      <c r="AN4168">
        <v>1.0000000183132101</v>
      </c>
    </row>
    <row r="4169" spans="1:40" x14ac:dyDescent="0.25">
      <c r="A4169" t="str">
        <f>"20190312172200841"</f>
        <v>20190312172200841</v>
      </c>
      <c r="B4169" t="str">
        <f>"1552382520834859"</f>
        <v>1552382520834859</v>
      </c>
      <c r="C4169" t="s">
        <v>40</v>
      </c>
      <c r="D4169">
        <v>3.0088910000000002</v>
      </c>
      <c r="E4169">
        <v>0.49903940000000002</v>
      </c>
      <c r="F4169" t="s">
        <v>47</v>
      </c>
      <c r="G4169">
        <v>-307.3879</v>
      </c>
      <c r="H4169" s="1">
        <v>1.342773E-6</v>
      </c>
      <c r="I4169">
        <v>215.4864</v>
      </c>
      <c r="J4169">
        <v>-339.42599999999999</v>
      </c>
      <c r="K4169">
        <v>1.109064</v>
      </c>
      <c r="L4169">
        <v>214.9539</v>
      </c>
      <c r="M4169">
        <v>0.99994050000000001</v>
      </c>
      <c r="N4169">
        <v>0</v>
      </c>
      <c r="O4169">
        <v>9.8646610000000003E-3</v>
      </c>
      <c r="P4169">
        <v>0.99196289999999998</v>
      </c>
      <c r="Q4169">
        <v>0.1259228</v>
      </c>
      <c r="R4169">
        <v>1.2371139999999999E-2</v>
      </c>
      <c r="S4169">
        <v>3.0368040000000001</v>
      </c>
      <c r="T4169">
        <v>-0.10411670000000001</v>
      </c>
      <c r="U4169">
        <v>5.0277710000000003E-2</v>
      </c>
      <c r="V4169">
        <v>-2.5758759999999999E-3</v>
      </c>
      <c r="W4169">
        <v>0.1305385</v>
      </c>
      <c r="X4169">
        <v>0.99143990000000004</v>
      </c>
      <c r="Y4169">
        <v>-6.6914969999999898E-3</v>
      </c>
      <c r="Z4169">
        <v>-2.234123E-4</v>
      </c>
      <c r="AA4169">
        <v>0.99997760000000002</v>
      </c>
      <c r="AB4169">
        <v>32</v>
      </c>
      <c r="AC4169">
        <v>32.038099999999901</v>
      </c>
      <c r="AD4169">
        <v>-1.1090626572269999</v>
      </c>
      <c r="AE4169">
        <v>0.53249999999999797</v>
      </c>
      <c r="AF4169">
        <v>-0.21616669843762701</v>
      </c>
      <c r="AG4169">
        <v>-1.1090626572269999</v>
      </c>
      <c r="AH4169">
        <v>32.003453774918199</v>
      </c>
      <c r="AI4169">
        <v>91.984715240027995</v>
      </c>
      <c r="AJ4169">
        <v>90.386997329424503</v>
      </c>
      <c r="AK4169">
        <v>32.023394597426602</v>
      </c>
      <c r="AL4169">
        <v>82.499288769915495</v>
      </c>
      <c r="AM4169">
        <v>90.148860754211896</v>
      </c>
      <c r="AN4169">
        <v>1.0000000052157101</v>
      </c>
    </row>
    <row r="4170" spans="1:40" x14ac:dyDescent="0.25">
      <c r="A4170" t="str">
        <f>"20190312172200864"</f>
        <v>20190312172200864</v>
      </c>
      <c r="B4170" t="str">
        <f>"1552382520855354"</f>
        <v>1552382520855354</v>
      </c>
      <c r="C4170" t="s">
        <v>40</v>
      </c>
      <c r="D4170">
        <v>3.0171929999999998</v>
      </c>
      <c r="E4170">
        <v>0.49895539999999999</v>
      </c>
      <c r="F4170" t="s">
        <v>47</v>
      </c>
      <c r="G4170">
        <v>-306.63440000000003</v>
      </c>
      <c r="H4170" s="1">
        <v>1.476423E-6</v>
      </c>
      <c r="I4170">
        <v>215.48349999999999</v>
      </c>
      <c r="J4170">
        <v>-339.09140000000002</v>
      </c>
      <c r="K4170">
        <v>1.109064</v>
      </c>
      <c r="L4170">
        <v>214.9572</v>
      </c>
      <c r="M4170">
        <v>0.99994050000000001</v>
      </c>
      <c r="N4170">
        <v>0</v>
      </c>
      <c r="O4170">
        <v>9.8495839999999998E-3</v>
      </c>
      <c r="P4170">
        <v>0.99198220000000004</v>
      </c>
      <c r="Q4170">
        <v>0.1257984</v>
      </c>
      <c r="R4170">
        <v>1.2100710000000001E-2</v>
      </c>
      <c r="S4170">
        <v>3.0367739999999999</v>
      </c>
      <c r="T4170">
        <v>-0.1027086</v>
      </c>
      <c r="U4170">
        <v>4.9041750000000002E-2</v>
      </c>
      <c r="V4170">
        <v>-2.3206120000000001E-3</v>
      </c>
      <c r="W4170">
        <v>0.13046189999999999</v>
      </c>
      <c r="X4170">
        <v>0.99145059999999996</v>
      </c>
      <c r="Y4170">
        <v>-6.3000269999999997E-3</v>
      </c>
      <c r="Z4170">
        <v>-2.265038E-4</v>
      </c>
      <c r="AA4170">
        <v>0.99998019999999999</v>
      </c>
      <c r="AB4170">
        <v>32</v>
      </c>
      <c r="AC4170">
        <v>32.456999999999901</v>
      </c>
      <c r="AD4170">
        <v>-1.109062523577</v>
      </c>
      <c r="AE4170">
        <v>0.526299999999992</v>
      </c>
      <c r="AF4170">
        <v>-0.20634214540815399</v>
      </c>
      <c r="AG4170">
        <v>-1.109062523577</v>
      </c>
      <c r="AH4170">
        <v>32.422762450859899</v>
      </c>
      <c r="AI4170">
        <v>91.959072738268304</v>
      </c>
      <c r="AJ4170">
        <v>90.364631930344999</v>
      </c>
      <c r="AK4170">
        <v>32.442381566510498</v>
      </c>
      <c r="AL4170">
        <v>82.5037153860968</v>
      </c>
      <c r="AM4170">
        <v>90.134107569936504</v>
      </c>
      <c r="AN4170">
        <v>0.99999999241601201</v>
      </c>
    </row>
    <row r="4171" spans="1:40" x14ac:dyDescent="0.25">
      <c r="A4171" t="str">
        <f>"20190312172200885"</f>
        <v>20190312172200885</v>
      </c>
      <c r="B4171" t="str">
        <f>"1552382520874875"</f>
        <v>1552382520874875</v>
      </c>
      <c r="C4171" t="s">
        <v>40</v>
      </c>
      <c r="D4171">
        <v>3.017242</v>
      </c>
      <c r="E4171">
        <v>0.49885089999999999</v>
      </c>
      <c r="F4171" t="s">
        <v>47</v>
      </c>
      <c r="G4171">
        <v>-306.1343</v>
      </c>
      <c r="H4171" s="1">
        <v>1.565128E-6</v>
      </c>
      <c r="I4171">
        <v>215.48679999999999</v>
      </c>
      <c r="J4171">
        <v>-338.78199999999998</v>
      </c>
      <c r="K4171">
        <v>1.109065</v>
      </c>
      <c r="L4171">
        <v>214.96019999999999</v>
      </c>
      <c r="M4171">
        <v>0.99994050000000001</v>
      </c>
      <c r="N4171">
        <v>0</v>
      </c>
      <c r="O4171">
        <v>9.8355869999999998E-3</v>
      </c>
      <c r="P4171">
        <v>0.99202889999999999</v>
      </c>
      <c r="Q4171">
        <v>0.12545580000000001</v>
      </c>
      <c r="R4171">
        <v>1.182448E-2</v>
      </c>
      <c r="S4171">
        <v>3.036591</v>
      </c>
      <c r="T4171">
        <v>-0.1021864</v>
      </c>
      <c r="U4171">
        <v>4.8797609999999998E-2</v>
      </c>
      <c r="V4171">
        <v>-2.0573660000000001E-3</v>
      </c>
      <c r="W4171">
        <v>0.1301641</v>
      </c>
      <c r="X4171">
        <v>0.99149030000000005</v>
      </c>
      <c r="Y4171">
        <v>-6.2346279999999999E-3</v>
      </c>
      <c r="Z4171">
        <v>-2.259959E-4</v>
      </c>
      <c r="AA4171">
        <v>0.99998050000000005</v>
      </c>
      <c r="AB4171">
        <v>32</v>
      </c>
      <c r="AC4171">
        <v>32.647699999999901</v>
      </c>
      <c r="AD4171">
        <v>-1.1090634348720001</v>
      </c>
      <c r="AE4171">
        <v>0.52660000000000196</v>
      </c>
      <c r="AF4171">
        <v>-0.20522489126667001</v>
      </c>
      <c r="AG4171">
        <v>-1.1090634348720001</v>
      </c>
      <c r="AH4171">
        <v>32.613673710493003</v>
      </c>
      <c r="AI4171">
        <v>91.947616215834898</v>
      </c>
      <c r="AJ4171">
        <v>90.360534818265506</v>
      </c>
      <c r="AK4171">
        <v>32.633171035819799</v>
      </c>
      <c r="AL4171">
        <v>82.520924649810794</v>
      </c>
      <c r="AM4171">
        <v>90.118889937229</v>
      </c>
      <c r="AN4171">
        <v>0.999999970338878</v>
      </c>
    </row>
    <row r="4172" spans="1:40" x14ac:dyDescent="0.25">
      <c r="A4172" t="str">
        <f>"20190312172200898"</f>
        <v>20190312172200898</v>
      </c>
      <c r="B4172" t="str">
        <f>"1552382520894395"</f>
        <v>1552382520894395</v>
      </c>
      <c r="C4172" t="s">
        <v>40</v>
      </c>
      <c r="D4172">
        <v>3.005064</v>
      </c>
      <c r="E4172">
        <v>0.49875510000000001</v>
      </c>
      <c r="F4172" t="s">
        <v>47</v>
      </c>
      <c r="G4172">
        <v>-305.81939999999997</v>
      </c>
      <c r="H4172" s="1">
        <v>1.620998E-6</v>
      </c>
      <c r="I4172">
        <v>215.4853</v>
      </c>
      <c r="J4172">
        <v>-338.59800000000001</v>
      </c>
      <c r="K4172">
        <v>1.1090660000000001</v>
      </c>
      <c r="L4172">
        <v>214.96199999999999</v>
      </c>
      <c r="M4172">
        <v>0.9999403</v>
      </c>
      <c r="N4172">
        <v>0</v>
      </c>
      <c r="O4172">
        <v>9.8271179999999993E-3</v>
      </c>
      <c r="P4172">
        <v>0.99203490000000005</v>
      </c>
      <c r="Q4172">
        <v>0.1254401</v>
      </c>
      <c r="R4172">
        <v>1.1483729999999999E-2</v>
      </c>
      <c r="S4172">
        <v>3.036438</v>
      </c>
      <c r="T4172">
        <v>-0.10216409999999999</v>
      </c>
      <c r="U4172">
        <v>4.8370360000000001E-2</v>
      </c>
      <c r="V4172">
        <v>-1.725472E-3</v>
      </c>
      <c r="W4172">
        <v>0.1301745</v>
      </c>
      <c r="X4172">
        <v>0.99148959999999997</v>
      </c>
      <c r="Y4172">
        <v>-6.1033009999999898E-3</v>
      </c>
      <c r="Z4172">
        <v>-2.278821E-4</v>
      </c>
      <c r="AA4172">
        <v>0.99998129999999996</v>
      </c>
      <c r="AB4172">
        <v>32</v>
      </c>
      <c r="AC4172">
        <v>32.778599999999997</v>
      </c>
      <c r="AD4172">
        <v>-1.1090643790019901</v>
      </c>
      <c r="AE4172">
        <v>0.52329999999997701</v>
      </c>
      <c r="AF4172">
        <v>-0.20092192604381001</v>
      </c>
      <c r="AG4172">
        <v>-1.1090643790019901</v>
      </c>
      <c r="AH4172">
        <v>32.744682935520501</v>
      </c>
      <c r="AI4172">
        <v>91.939833438651604</v>
      </c>
      <c r="AJ4172">
        <v>90.351563456023001</v>
      </c>
      <c r="AK4172">
        <v>32.764075661689397</v>
      </c>
      <c r="AL4172">
        <v>82.520323900807696</v>
      </c>
      <c r="AM4172">
        <v>90.099710741760603</v>
      </c>
      <c r="AN4172">
        <v>1.00000000230601</v>
      </c>
    </row>
    <row r="4173" spans="1:40" x14ac:dyDescent="0.25">
      <c r="A4173" t="str">
        <f>"20190312172200910"</f>
        <v>20190312172200910</v>
      </c>
      <c r="B4173" t="str">
        <f>"1552382520905131"</f>
        <v>1552382520905131</v>
      </c>
      <c r="C4173" t="s">
        <v>40</v>
      </c>
      <c r="D4173">
        <v>3.013026</v>
      </c>
      <c r="E4173">
        <v>0.4987144</v>
      </c>
      <c r="F4173" t="s">
        <v>47</v>
      </c>
      <c r="G4173">
        <v>-305.35910000000001</v>
      </c>
      <c r="H4173" s="1">
        <v>1.7026490000000001E-6</v>
      </c>
      <c r="I4173">
        <v>215.48939999999999</v>
      </c>
      <c r="J4173">
        <v>-338.42200000000003</v>
      </c>
      <c r="K4173">
        <v>1.1090660000000001</v>
      </c>
      <c r="L4173">
        <v>214.96369999999999</v>
      </c>
      <c r="M4173">
        <v>0.99994019999999995</v>
      </c>
      <c r="N4173">
        <v>0</v>
      </c>
      <c r="O4173">
        <v>9.8193680000000002E-3</v>
      </c>
      <c r="P4173">
        <v>0.99207250000000002</v>
      </c>
      <c r="Q4173">
        <v>0.1251514</v>
      </c>
      <c r="R4173">
        <v>1.1368909999999999E-2</v>
      </c>
      <c r="S4173">
        <v>3.036346</v>
      </c>
      <c r="T4173">
        <v>-0.101312</v>
      </c>
      <c r="U4173">
        <v>4.8172E-2</v>
      </c>
      <c r="V4173">
        <v>-1.6177349999999999E-3</v>
      </c>
      <c r="W4173">
        <v>0.12991069999999999</v>
      </c>
      <c r="X4173">
        <v>0.99152439999999997</v>
      </c>
      <c r="Y4173">
        <v>-6.0462140000000003E-3</v>
      </c>
      <c r="Z4173">
        <v>-2.2668309999999999E-4</v>
      </c>
      <c r="AA4173">
        <v>0.99998169999999997</v>
      </c>
      <c r="AB4173">
        <v>32</v>
      </c>
      <c r="AC4173">
        <v>33.0628999999999</v>
      </c>
      <c r="AD4173">
        <v>-1.1090642973510001</v>
      </c>
      <c r="AE4173">
        <v>0.52569999999999995</v>
      </c>
      <c r="AF4173">
        <v>-0.20078823952018399</v>
      </c>
      <c r="AG4173">
        <v>-1.1090642973510001</v>
      </c>
      <c r="AH4173">
        <v>33.0293127171919</v>
      </c>
      <c r="AI4173">
        <v>91.923130076360493</v>
      </c>
      <c r="AJ4173">
        <v>90.348302039663594</v>
      </c>
      <c r="AK4173">
        <v>33.048537609141498</v>
      </c>
      <c r="AL4173">
        <v>82.535568117385296</v>
      </c>
      <c r="AM4173">
        <v>90.093481618429493</v>
      </c>
      <c r="AN4173">
        <v>1.0000000214181799</v>
      </c>
    </row>
    <row r="4174" spans="1:40" x14ac:dyDescent="0.25">
      <c r="A4174" t="str">
        <f>"20190312172200931"</f>
        <v>20190312172200931</v>
      </c>
      <c r="B4174" t="str">
        <f>"1552382520924650"</f>
        <v>1552382520924650</v>
      </c>
      <c r="C4174" t="s">
        <v>40</v>
      </c>
      <c r="D4174">
        <v>3.0155650000000001</v>
      </c>
      <c r="E4174">
        <v>0.49862430000000002</v>
      </c>
      <c r="F4174" t="s">
        <v>47</v>
      </c>
      <c r="G4174">
        <v>-305.35579999999999</v>
      </c>
      <c r="H4174" s="1">
        <v>1.703227E-6</v>
      </c>
      <c r="I4174">
        <v>215.489</v>
      </c>
      <c r="J4174">
        <v>-338.12150000000003</v>
      </c>
      <c r="K4174">
        <v>1.109057</v>
      </c>
      <c r="L4174">
        <v>214.9667</v>
      </c>
      <c r="M4174">
        <v>0.9999403</v>
      </c>
      <c r="N4174">
        <v>0</v>
      </c>
      <c r="O4174">
        <v>9.8058539999999993E-3</v>
      </c>
      <c r="P4174">
        <v>0.99207190000000001</v>
      </c>
      <c r="Q4174">
        <v>0.12519729999999901</v>
      </c>
      <c r="R4174">
        <v>1.092739E-2</v>
      </c>
      <c r="S4174">
        <v>3.0362550000000001</v>
      </c>
      <c r="T4174">
        <v>-0.1018384</v>
      </c>
      <c r="U4174">
        <v>4.8233030000000003E-2</v>
      </c>
      <c r="V4174">
        <v>-1.1898410000000001E-3</v>
      </c>
      <c r="W4174">
        <v>0.12999720000000001</v>
      </c>
      <c r="X4174">
        <v>0.99151369999999905</v>
      </c>
      <c r="Y4174">
        <v>-6.0802979999999996E-3</v>
      </c>
      <c r="Z4174">
        <v>-2.268424E-4</v>
      </c>
      <c r="AA4174">
        <v>0.99998149999999997</v>
      </c>
      <c r="AB4174">
        <v>32</v>
      </c>
      <c r="AC4174">
        <v>32.765700000000002</v>
      </c>
      <c r="AD4174">
        <v>-1.1090552967730001</v>
      </c>
      <c r="AE4174">
        <v>0.52230000000000099</v>
      </c>
      <c r="AF4174">
        <v>-0.20074554985506399</v>
      </c>
      <c r="AG4174">
        <v>-1.1090552967730001</v>
      </c>
      <c r="AH4174">
        <v>32.731755342395502</v>
      </c>
      <c r="AI4174">
        <v>91.940583156908005</v>
      </c>
      <c r="AJ4174">
        <v>90.351393575869693</v>
      </c>
      <c r="AK4174">
        <v>32.751154334183802</v>
      </c>
      <c r="AL4174">
        <v>82.530569879228096</v>
      </c>
      <c r="AM4174">
        <v>90.068756321639597</v>
      </c>
      <c r="AN4174">
        <v>1.0000000525085599</v>
      </c>
    </row>
    <row r="4175" spans="1:40" x14ac:dyDescent="0.25">
      <c r="A4175" t="str">
        <f>"20190312172200953"</f>
        <v>20190312172200953</v>
      </c>
      <c r="B4175" t="str">
        <f>"1552382520945147"</f>
        <v>1552382520945147</v>
      </c>
      <c r="C4175" t="s">
        <v>40</v>
      </c>
      <c r="D4175">
        <v>3.0079359999999999</v>
      </c>
      <c r="E4175">
        <v>0.4985386</v>
      </c>
      <c r="F4175" t="s">
        <v>47</v>
      </c>
      <c r="G4175">
        <v>-304.81630000000001</v>
      </c>
      <c r="H4175" s="1">
        <v>1.798922E-6</v>
      </c>
      <c r="I4175">
        <v>215.48820000000001</v>
      </c>
      <c r="J4175">
        <v>-337.78949999999998</v>
      </c>
      <c r="K4175">
        <v>1.1090530000000001</v>
      </c>
      <c r="L4175">
        <v>214.9699</v>
      </c>
      <c r="M4175">
        <v>0.99994019999999995</v>
      </c>
      <c r="N4175">
        <v>0</v>
      </c>
      <c r="O4175">
        <v>9.7909629999999997E-3</v>
      </c>
      <c r="P4175">
        <v>0.99205860000000001</v>
      </c>
      <c r="Q4175">
        <v>0.12536369999999999</v>
      </c>
      <c r="R4175">
        <v>1.019508E-2</v>
      </c>
      <c r="S4175">
        <v>3.0362239999999998</v>
      </c>
      <c r="T4175">
        <v>-0.1011056</v>
      </c>
      <c r="U4175">
        <v>4.7546390000000001E-2</v>
      </c>
      <c r="V4175">
        <v>-4.7213149999999999E-4</v>
      </c>
      <c r="W4175">
        <v>0.13020660000000001</v>
      </c>
      <c r="X4175">
        <v>0.9914868</v>
      </c>
      <c r="Y4175">
        <v>-5.8693290000000004E-3</v>
      </c>
      <c r="Z4175">
        <v>-2.2822970000000001E-4</v>
      </c>
      <c r="AA4175">
        <v>0.99998279999999995</v>
      </c>
      <c r="AB4175">
        <v>33</v>
      </c>
      <c r="AC4175">
        <v>32.973199999999899</v>
      </c>
      <c r="AD4175">
        <v>-1.109051201078</v>
      </c>
      <c r="AE4175">
        <v>0.51830000000000997</v>
      </c>
      <c r="AF4175">
        <v>-0.195211154161852</v>
      </c>
      <c r="AG4175">
        <v>-1.109051201078</v>
      </c>
      <c r="AH4175">
        <v>32.9394387292107</v>
      </c>
      <c r="AI4175">
        <v>91.928352319008297</v>
      </c>
      <c r="AJ4175">
        <v>90.339551757359303</v>
      </c>
      <c r="AK4175">
        <v>32.958682099816301</v>
      </c>
      <c r="AL4175">
        <v>82.518469112474605</v>
      </c>
      <c r="AM4175">
        <v>90.027283409401406</v>
      </c>
      <c r="AN4175">
        <v>1.0000000280829699</v>
      </c>
    </row>
    <row r="4176" spans="1:40" x14ac:dyDescent="0.25">
      <c r="A4176" t="str">
        <f>"20190312172200974"</f>
        <v>20190312172200974</v>
      </c>
      <c r="B4176" t="str">
        <f>"1552382520964667"</f>
        <v>1552382520964667</v>
      </c>
      <c r="C4176" t="s">
        <v>40</v>
      </c>
      <c r="D4176">
        <v>3.005649</v>
      </c>
      <c r="E4176">
        <v>0.49845879999999998</v>
      </c>
      <c r="F4176" t="s">
        <v>47</v>
      </c>
      <c r="G4176">
        <v>-304.10919999999999</v>
      </c>
      <c r="H4176" s="1">
        <v>1.924355E-6</v>
      </c>
      <c r="I4176">
        <v>215.4796</v>
      </c>
      <c r="J4176">
        <v>-337.48739999999998</v>
      </c>
      <c r="K4176">
        <v>1.109059</v>
      </c>
      <c r="L4176">
        <v>214.97290000000001</v>
      </c>
      <c r="M4176">
        <v>0.99994019999999995</v>
      </c>
      <c r="N4176">
        <v>0</v>
      </c>
      <c r="O4176">
        <v>9.7774569999999998E-3</v>
      </c>
      <c r="P4176">
        <v>0.99215189999999998</v>
      </c>
      <c r="Q4176">
        <v>0.12462529999999999</v>
      </c>
      <c r="R4176">
        <v>1.017123E-2</v>
      </c>
      <c r="S4176">
        <v>3.0361630000000002</v>
      </c>
      <c r="T4176">
        <v>-9.9977140000000006E-2</v>
      </c>
      <c r="U4176">
        <v>4.5944209999999999E-2</v>
      </c>
      <c r="V4176">
        <v>-4.6082760000000001E-4</v>
      </c>
      <c r="W4176">
        <v>0.12950599999999901</v>
      </c>
      <c r="X4176">
        <v>0.99157850000000003</v>
      </c>
      <c r="Y4176">
        <v>-5.3558119999999997E-3</v>
      </c>
      <c r="Z4176">
        <v>-2.3369689999999999E-4</v>
      </c>
      <c r="AA4176">
        <v>0.99998560000000003</v>
      </c>
      <c r="AB4176">
        <v>33</v>
      </c>
      <c r="AC4176">
        <v>33.3781999999999</v>
      </c>
      <c r="AD4176">
        <v>-1.109057075645</v>
      </c>
      <c r="AE4176">
        <v>0.50669999999999504</v>
      </c>
      <c r="AF4176">
        <v>-0.18011913611418601</v>
      </c>
      <c r="AG4176">
        <v>-1.109057075645</v>
      </c>
      <c r="AH4176">
        <v>33.344753545562298</v>
      </c>
      <c r="AI4176">
        <v>91.904945771327903</v>
      </c>
      <c r="AJ4176">
        <v>90.309492943813694</v>
      </c>
      <c r="AK4176">
        <v>33.363678446995699</v>
      </c>
      <c r="AL4176">
        <v>82.558952880354596</v>
      </c>
      <c r="AM4176">
        <v>90.026627720006204</v>
      </c>
      <c r="AN4176">
        <v>0.99999996903016297</v>
      </c>
    </row>
    <row r="4177" spans="1:40" x14ac:dyDescent="0.25">
      <c r="A4177" t="str">
        <f>"20190312172200996"</f>
        <v>20190312172200996</v>
      </c>
      <c r="B4177" t="str">
        <f>"1552382520985162"</f>
        <v>1552382520985162</v>
      </c>
      <c r="C4177" t="s">
        <v>40</v>
      </c>
      <c r="D4177">
        <v>3.0092430000000001</v>
      </c>
      <c r="E4177">
        <v>0.49837959999999898</v>
      </c>
      <c r="F4177" t="s">
        <v>47</v>
      </c>
      <c r="G4177">
        <v>-304.42200000000003</v>
      </c>
      <c r="H4177" s="1">
        <v>1.868875E-6</v>
      </c>
      <c r="I4177">
        <v>215.4796</v>
      </c>
      <c r="J4177">
        <v>-337.16149999999999</v>
      </c>
      <c r="K4177">
        <v>1.109057</v>
      </c>
      <c r="L4177">
        <v>214.976</v>
      </c>
      <c r="M4177">
        <v>0.99994019999999995</v>
      </c>
      <c r="N4177">
        <v>0</v>
      </c>
      <c r="O4177">
        <v>9.7627479999999999E-3</v>
      </c>
      <c r="P4177">
        <v>0.99213079999999998</v>
      </c>
      <c r="Q4177">
        <v>0.12482119999999999</v>
      </c>
      <c r="R4177">
        <v>9.8273979999999993E-3</v>
      </c>
      <c r="S4177">
        <v>3.036041</v>
      </c>
      <c r="T4177">
        <v>-0.1018327</v>
      </c>
      <c r="U4177">
        <v>4.6524049999999997E-2</v>
      </c>
      <c r="V4177">
        <v>-1.3221249999999999E-4</v>
      </c>
      <c r="W4177">
        <v>0.12974279999999999</v>
      </c>
      <c r="X4177">
        <v>0.99154759999999997</v>
      </c>
      <c r="Y4177">
        <v>-5.5620309999999899E-3</v>
      </c>
      <c r="Z4177">
        <v>-2.3409080000000001E-4</v>
      </c>
      <c r="AA4177">
        <v>0.99998450000000005</v>
      </c>
      <c r="AB4177">
        <v>33</v>
      </c>
      <c r="AC4177">
        <v>32.7394999999999</v>
      </c>
      <c r="AD4177">
        <v>-1.1090551311250001</v>
      </c>
      <c r="AE4177">
        <v>0.50360000000000504</v>
      </c>
      <c r="AF4177">
        <v>-0.18373384083532401</v>
      </c>
      <c r="AG4177">
        <v>-1.1090551311250001</v>
      </c>
      <c r="AH4177">
        <v>32.705334968912602</v>
      </c>
      <c r="AI4177">
        <v>91.942155203836407</v>
      </c>
      <c r="AJ4177">
        <v>90.321876014992</v>
      </c>
      <c r="AK4177">
        <v>32.724649682417002</v>
      </c>
      <c r="AL4177">
        <v>82.545269484936298</v>
      </c>
      <c r="AM4177">
        <v>90.007639792788495</v>
      </c>
      <c r="AN4177">
        <v>0.999999927348869</v>
      </c>
    </row>
    <row r="4178" spans="1:40" x14ac:dyDescent="0.25">
      <c r="A4178" t="str">
        <f>"20190312172201019"</f>
        <v>20190312172201019</v>
      </c>
      <c r="B4178" t="str">
        <f>"1552382521014443"</f>
        <v>1552382521014443</v>
      </c>
      <c r="C4178" t="s">
        <v>40</v>
      </c>
      <c r="D4178">
        <v>3.026246</v>
      </c>
      <c r="E4178">
        <v>0.49829800000000002</v>
      </c>
      <c r="F4178" t="s">
        <v>47</v>
      </c>
      <c r="G4178">
        <v>-303.69940000000003</v>
      </c>
      <c r="H4178" s="1">
        <v>1.9970460000000001E-6</v>
      </c>
      <c r="I4178">
        <v>215.48410000000001</v>
      </c>
      <c r="J4178">
        <v>-336.82490000000001</v>
      </c>
      <c r="K4178">
        <v>1.109059</v>
      </c>
      <c r="L4178">
        <v>214.97929999999999</v>
      </c>
      <c r="M4178">
        <v>0.99994000000000005</v>
      </c>
      <c r="N4178">
        <v>0</v>
      </c>
      <c r="O4178">
        <v>9.7476739999999996E-3</v>
      </c>
      <c r="P4178">
        <v>0.99216309999999996</v>
      </c>
      <c r="Q4178">
        <v>0.1245632</v>
      </c>
      <c r="R4178">
        <v>9.8300060000000005E-3</v>
      </c>
      <c r="S4178">
        <v>3.0360719999999999</v>
      </c>
      <c r="T4178">
        <v>-0.1006263</v>
      </c>
      <c r="U4178">
        <v>4.60968E-2</v>
      </c>
      <c r="V4178">
        <v>-1.4876510000000001E-4</v>
      </c>
      <c r="W4178">
        <v>0.12952910000000001</v>
      </c>
      <c r="X4178">
        <v>0.9915756</v>
      </c>
      <c r="Y4178">
        <v>-5.436265E-3</v>
      </c>
      <c r="Z4178">
        <v>-2.3290109999999999E-4</v>
      </c>
      <c r="AA4178">
        <v>0.99998520000000002</v>
      </c>
      <c r="AB4178">
        <v>33</v>
      </c>
      <c r="AC4178">
        <v>33.125499999999903</v>
      </c>
      <c r="AD4178">
        <v>-1.1090570029539999</v>
      </c>
      <c r="AE4178">
        <v>0.50480000000001701</v>
      </c>
      <c r="AF4178">
        <v>-0.18167181233472099</v>
      </c>
      <c r="AG4178">
        <v>-1.1090570029539999</v>
      </c>
      <c r="AH4178">
        <v>33.091761556894099</v>
      </c>
      <c r="AI4178">
        <v>91.919497496251395</v>
      </c>
      <c r="AJ4178">
        <v>90.314547278274603</v>
      </c>
      <c r="AK4178">
        <v>33.110839539666401</v>
      </c>
      <c r="AL4178">
        <v>82.557618263588694</v>
      </c>
      <c r="AM4178">
        <v>90.008596028688899</v>
      </c>
      <c r="AN4178">
        <v>0.99999999019661201</v>
      </c>
    </row>
    <row r="4179" spans="1:40" x14ac:dyDescent="0.25">
      <c r="A4179" t="str">
        <f>"20190312172201042"</f>
        <v>20190312172201042</v>
      </c>
      <c r="B4179" t="str">
        <f>"1552382521034938"</f>
        <v>1552382521034938</v>
      </c>
      <c r="C4179" t="s">
        <v>40</v>
      </c>
      <c r="D4179">
        <v>3.0158499999999999</v>
      </c>
      <c r="E4179">
        <v>0.49824160000000001</v>
      </c>
      <c r="F4179" t="s">
        <v>47</v>
      </c>
      <c r="G4179">
        <v>-303.48309999999998</v>
      </c>
      <c r="H4179" s="1">
        <v>2.0354180000000001E-6</v>
      </c>
      <c r="I4179">
        <v>215.4948</v>
      </c>
      <c r="J4179">
        <v>-336.48149999999998</v>
      </c>
      <c r="K4179">
        <v>1.1090580000000001</v>
      </c>
      <c r="L4179">
        <v>214.98259999999999</v>
      </c>
      <c r="M4179">
        <v>0.99993989999999999</v>
      </c>
      <c r="N4179">
        <v>0</v>
      </c>
      <c r="O4179">
        <v>9.7322999999999993E-3</v>
      </c>
      <c r="P4179">
        <v>0.99217789999999995</v>
      </c>
      <c r="Q4179">
        <v>0.1244445</v>
      </c>
      <c r="R4179">
        <v>9.8260759999999996E-3</v>
      </c>
      <c r="S4179">
        <v>3.0358890000000001</v>
      </c>
      <c r="T4179">
        <v>-0.1009835</v>
      </c>
      <c r="U4179">
        <v>4.6936039999999998E-2</v>
      </c>
      <c r="V4179">
        <v>-1.6011430000000001E-4</v>
      </c>
      <c r="W4179">
        <v>0.1294554</v>
      </c>
      <c r="X4179">
        <v>0.9915853</v>
      </c>
      <c r="Y4179">
        <v>-5.7287680000000004E-3</v>
      </c>
      <c r="Z4179">
        <v>-2.2836659999999999E-4</v>
      </c>
      <c r="AA4179">
        <v>0.99998350000000003</v>
      </c>
      <c r="AB4179">
        <v>33</v>
      </c>
      <c r="AC4179">
        <v>32.998399999999997</v>
      </c>
      <c r="AD4179">
        <v>-1.109055964582</v>
      </c>
      <c r="AE4179">
        <v>0.51220000000000698</v>
      </c>
      <c r="AF4179">
        <v>-0.190805841352579</v>
      </c>
      <c r="AG4179">
        <v>-1.109055964582</v>
      </c>
      <c r="AH4179">
        <v>32.964594570589597</v>
      </c>
      <c r="AI4179">
        <v>91.926891698409804</v>
      </c>
      <c r="AJ4179">
        <v>90.331636031644905</v>
      </c>
      <c r="AK4179">
        <v>32.983797646799502</v>
      </c>
      <c r="AL4179">
        <v>82.561877390026496</v>
      </c>
      <c r="AM4179">
        <v>90.009251724032097</v>
      </c>
      <c r="AN4179">
        <v>1.0000000667009099</v>
      </c>
    </row>
    <row r="4180" spans="1:40" x14ac:dyDescent="0.25">
      <c r="A4180" t="str">
        <f>"20190312172201064"</f>
        <v>20190312172201064</v>
      </c>
      <c r="B4180" t="str">
        <f>"1552382521054462"</f>
        <v>1552382521054462</v>
      </c>
      <c r="C4180" t="s">
        <v>40</v>
      </c>
      <c r="D4180">
        <v>3.0170840000000001</v>
      </c>
      <c r="E4180">
        <v>0.49819839999999999</v>
      </c>
      <c r="F4180" t="s">
        <v>47</v>
      </c>
      <c r="G4180">
        <v>-303.18329999999997</v>
      </c>
      <c r="H4180" s="1">
        <v>2.088599E-6</v>
      </c>
      <c r="I4180">
        <v>215.5035</v>
      </c>
      <c r="J4180">
        <v>-336.15660000000003</v>
      </c>
      <c r="K4180">
        <v>1.1090549999999999</v>
      </c>
      <c r="L4180">
        <v>214.98580000000001</v>
      </c>
      <c r="M4180">
        <v>0.99993989999999999</v>
      </c>
      <c r="N4180">
        <v>0</v>
      </c>
      <c r="O4180">
        <v>9.7175899999999999E-3</v>
      </c>
      <c r="P4180">
        <v>0.99219500000000005</v>
      </c>
      <c r="Q4180">
        <v>0.12433760000000001</v>
      </c>
      <c r="R4180">
        <v>9.4732340000000005E-3</v>
      </c>
      <c r="S4180">
        <v>3.0358580000000002</v>
      </c>
      <c r="T4180">
        <v>-0.1011145</v>
      </c>
      <c r="U4180">
        <v>4.7485350000000003E-2</v>
      </c>
      <c r="V4180">
        <v>1.783062E-4</v>
      </c>
      <c r="W4180">
        <v>0.1293887</v>
      </c>
      <c r="X4180">
        <v>0.99159399999999998</v>
      </c>
      <c r="Y4180">
        <v>-5.9244179999999999E-3</v>
      </c>
      <c r="Z4180">
        <v>-2.2491779999999999E-4</v>
      </c>
      <c r="AA4180">
        <v>0.99998240000000005</v>
      </c>
      <c r="AB4180">
        <v>33</v>
      </c>
      <c r="AC4180">
        <v>32.973300000000002</v>
      </c>
      <c r="AD4180">
        <v>-1.1090529114009999</v>
      </c>
      <c r="AE4180">
        <v>0.51769999999998995</v>
      </c>
      <c r="AF4180">
        <v>-0.19702757361590501</v>
      </c>
      <c r="AG4180">
        <v>-1.1090529114009999</v>
      </c>
      <c r="AH4180">
        <v>32.939518466286998</v>
      </c>
      <c r="AI4180">
        <v>91.928349993644503</v>
      </c>
      <c r="AJ4180">
        <v>90.342710346493305</v>
      </c>
      <c r="AK4180">
        <v>32.9587726563947</v>
      </c>
      <c r="AL4180">
        <v>82.565731413293705</v>
      </c>
      <c r="AM4180">
        <v>89.989697202069607</v>
      </c>
      <c r="AN4180">
        <v>1.0000000641583899</v>
      </c>
    </row>
    <row r="4181" spans="1:40" x14ac:dyDescent="0.25">
      <c r="A4181" t="str">
        <f>"20190312172201085"</f>
        <v>20190312172201085</v>
      </c>
      <c r="B4181" t="str">
        <f>"1552382521074955"</f>
        <v>1552382521074955</v>
      </c>
      <c r="C4181" t="s">
        <v>40</v>
      </c>
      <c r="D4181">
        <v>3.0140539999999998</v>
      </c>
      <c r="E4181">
        <v>0.49814659999999999</v>
      </c>
      <c r="F4181" t="s">
        <v>47</v>
      </c>
      <c r="G4181">
        <v>-302.88330000000002</v>
      </c>
      <c r="H4181" s="1">
        <v>2.1418119999999999E-6</v>
      </c>
      <c r="I4181">
        <v>215.49539999999999</v>
      </c>
      <c r="J4181">
        <v>-335.8347</v>
      </c>
      <c r="K4181">
        <v>1.109054</v>
      </c>
      <c r="L4181">
        <v>214.9889</v>
      </c>
      <c r="M4181">
        <v>0.99993980000000005</v>
      </c>
      <c r="N4181">
        <v>0</v>
      </c>
      <c r="O4181">
        <v>9.7032439999999998E-3</v>
      </c>
      <c r="P4181">
        <v>0.9921586</v>
      </c>
      <c r="Q4181">
        <v>0.12464219999999999</v>
      </c>
      <c r="R4181">
        <v>9.2784410000000001E-3</v>
      </c>
      <c r="S4181">
        <v>3.0357970000000001</v>
      </c>
      <c r="T4181">
        <v>-0.1011879</v>
      </c>
      <c r="U4181">
        <v>4.6493529999999998E-2</v>
      </c>
      <c r="V4181">
        <v>3.5840859999999999E-4</v>
      </c>
      <c r="W4181">
        <v>0.12973100000000001</v>
      </c>
      <c r="X4181">
        <v>0.99154909999999996</v>
      </c>
      <c r="Y4181">
        <v>-5.6126179999999998E-3</v>
      </c>
      <c r="Z4181">
        <v>-2.29803E-4</v>
      </c>
      <c r="AA4181">
        <v>0.99998419999999999</v>
      </c>
      <c r="AB4181">
        <v>33</v>
      </c>
      <c r="AC4181">
        <v>32.9513999999999</v>
      </c>
      <c r="AD4181">
        <v>-1.109051858188</v>
      </c>
      <c r="AE4181">
        <v>0.50649999999998796</v>
      </c>
      <c r="AF4181">
        <v>-0.18652523747441299</v>
      </c>
      <c r="AG4181">
        <v>-1.109051858188</v>
      </c>
      <c r="AH4181">
        <v>32.917483094142099</v>
      </c>
      <c r="AI4181">
        <v>91.929641586180296</v>
      </c>
      <c r="AJ4181">
        <v>90.324660134820803</v>
      </c>
      <c r="AK4181">
        <v>32.9366889796393</v>
      </c>
      <c r="AL4181">
        <v>82.545951427218498</v>
      </c>
      <c r="AM4181">
        <v>89.979289679929195</v>
      </c>
      <c r="AN4181">
        <v>0.999999939264265</v>
      </c>
    </row>
    <row r="4182" spans="1:40" x14ac:dyDescent="0.25">
      <c r="A4182" t="str">
        <f>"20190312172201108"</f>
        <v>20190312172201108</v>
      </c>
      <c r="B4182" t="str">
        <f>"1552382521105212"</f>
        <v>1552382521105212</v>
      </c>
      <c r="C4182" t="s">
        <v>40</v>
      </c>
      <c r="D4182">
        <v>3.0359440000000002</v>
      </c>
      <c r="E4182">
        <v>0.4980675</v>
      </c>
      <c r="F4182" t="s">
        <v>47</v>
      </c>
      <c r="G4182">
        <v>-302.23880000000003</v>
      </c>
      <c r="H4182" s="1">
        <v>2.2561330000000002E-6</v>
      </c>
      <c r="I4182">
        <v>215.49969999999999</v>
      </c>
      <c r="J4182">
        <v>-335.49650000000003</v>
      </c>
      <c r="K4182">
        <v>1.1090580000000001</v>
      </c>
      <c r="L4182">
        <v>214.9922</v>
      </c>
      <c r="M4182">
        <v>0.99993969999999999</v>
      </c>
      <c r="N4182">
        <v>0</v>
      </c>
      <c r="O4182">
        <v>9.6882419999999997E-3</v>
      </c>
      <c r="P4182">
        <v>0.99216190000000004</v>
      </c>
      <c r="Q4182">
        <v>0.1246225</v>
      </c>
      <c r="R4182">
        <v>9.1671089999999997E-3</v>
      </c>
      <c r="S4182">
        <v>3.0358890000000001</v>
      </c>
      <c r="T4182">
        <v>-0.10021910000000001</v>
      </c>
      <c r="U4182">
        <v>4.6157839999999999E-2</v>
      </c>
      <c r="V4182">
        <v>4.550903E-4</v>
      </c>
      <c r="W4182">
        <v>0.129749</v>
      </c>
      <c r="X4182">
        <v>0.99154679999999995</v>
      </c>
      <c r="Y4182">
        <v>-5.5166119999999997E-3</v>
      </c>
      <c r="Z4182">
        <v>-2.2868650000000001E-4</v>
      </c>
      <c r="AA4182">
        <v>0.99998469999999995</v>
      </c>
      <c r="AB4182">
        <v>33</v>
      </c>
      <c r="AC4182">
        <v>33.2577</v>
      </c>
      <c r="AD4182">
        <v>-1.1090557438669999</v>
      </c>
      <c r="AE4182">
        <v>0.50749999999999296</v>
      </c>
      <c r="AF4182">
        <v>-0.185057483922525</v>
      </c>
      <c r="AG4182">
        <v>-1.1090557438669999</v>
      </c>
      <c r="AH4182">
        <v>33.224117842532998</v>
      </c>
      <c r="AI4182">
        <v>91.911853386907296</v>
      </c>
      <c r="AJ4182">
        <v>90.319132721503806</v>
      </c>
      <c r="AK4182">
        <v>33.243138499995503</v>
      </c>
      <c r="AL4182">
        <v>82.544912017518101</v>
      </c>
      <c r="AM4182">
        <v>89.973702954155598</v>
      </c>
      <c r="AN4182">
        <v>1.0000000333492001</v>
      </c>
    </row>
    <row r="4183" spans="1:40" x14ac:dyDescent="0.25">
      <c r="A4183" t="str">
        <f>"20190312172201132"</f>
        <v>20190312172201132</v>
      </c>
      <c r="B4183" t="str">
        <f>"1552382521124731"</f>
        <v>1552382521124731</v>
      </c>
      <c r="C4183" t="s">
        <v>40</v>
      </c>
      <c r="D4183">
        <v>3.010319</v>
      </c>
      <c r="E4183">
        <v>0.49803009999999898</v>
      </c>
      <c r="F4183" t="s">
        <v>47</v>
      </c>
      <c r="G4183">
        <v>-301.78500000000003</v>
      </c>
      <c r="H4183" s="1">
        <v>2.3366249999999998E-6</v>
      </c>
      <c r="I4183">
        <v>215.5086</v>
      </c>
      <c r="J4183">
        <v>-335.13139999999999</v>
      </c>
      <c r="K4183">
        <v>1.1090599999999999</v>
      </c>
      <c r="L4183">
        <v>214.9957</v>
      </c>
      <c r="M4183">
        <v>0.99993980000000005</v>
      </c>
      <c r="N4183">
        <v>0</v>
      </c>
      <c r="O4183">
        <v>9.6716819999999992E-3</v>
      </c>
      <c r="P4183">
        <v>0.9921489</v>
      </c>
      <c r="Q4183">
        <v>0.124722</v>
      </c>
      <c r="R4183">
        <v>9.2181599999999995E-3</v>
      </c>
      <c r="S4183">
        <v>3.0358580000000002</v>
      </c>
      <c r="T4183">
        <v>-9.987509E-2</v>
      </c>
      <c r="U4183">
        <v>4.6508790000000001E-2</v>
      </c>
      <c r="V4183">
        <v>3.8758519999999998E-4</v>
      </c>
      <c r="W4183">
        <v>0.1298889</v>
      </c>
      <c r="X4183">
        <v>0.99152850000000003</v>
      </c>
      <c r="Y4183">
        <v>-5.6488010000000002E-3</v>
      </c>
      <c r="Z4183">
        <v>-2.251857E-4</v>
      </c>
      <c r="AA4183">
        <v>0.99998399999999998</v>
      </c>
      <c r="AB4183">
        <v>34</v>
      </c>
      <c r="AC4183">
        <v>33.346399999999903</v>
      </c>
      <c r="AD4183">
        <v>-1.109057663375</v>
      </c>
      <c r="AE4183">
        <v>0.51290000000000102</v>
      </c>
      <c r="AF4183">
        <v>-0.19014562473676799</v>
      </c>
      <c r="AG4183">
        <v>-1.109057663375</v>
      </c>
      <c r="AH4183">
        <v>33.312960854963301</v>
      </c>
      <c r="AI4183">
        <v>91.906760211365196</v>
      </c>
      <c r="AJ4183">
        <v>90.327032578300205</v>
      </c>
      <c r="AK4183">
        <v>33.331959516110302</v>
      </c>
      <c r="AL4183">
        <v>82.536827838967497</v>
      </c>
      <c r="AM4183">
        <v>89.977603271080298</v>
      </c>
      <c r="AN4183">
        <v>1.00000002143887</v>
      </c>
    </row>
    <row r="4184" spans="1:40" x14ac:dyDescent="0.25">
      <c r="A4184" t="str">
        <f>"20190312172201154"</f>
        <v>20190312172201154</v>
      </c>
      <c r="B4184" t="str">
        <f>"1552382521145227"</f>
        <v>1552382521145227</v>
      </c>
      <c r="C4184" t="s">
        <v>40</v>
      </c>
      <c r="D4184">
        <v>3.0334180000000002</v>
      </c>
      <c r="E4184">
        <v>0.49798750000000003</v>
      </c>
      <c r="F4184" t="s">
        <v>47</v>
      </c>
      <c r="G4184">
        <v>-301.31920000000002</v>
      </c>
      <c r="H4184" s="1">
        <v>2.4192480000000001E-6</v>
      </c>
      <c r="I4184">
        <v>215.51849999999999</v>
      </c>
      <c r="J4184">
        <v>-334.79820000000001</v>
      </c>
      <c r="K4184">
        <v>1.1090610000000001</v>
      </c>
      <c r="L4184">
        <v>214.99889999999999</v>
      </c>
      <c r="M4184">
        <v>0.99993980000000005</v>
      </c>
      <c r="N4184">
        <v>0</v>
      </c>
      <c r="O4184">
        <v>9.6564379999999998E-3</v>
      </c>
      <c r="P4184">
        <v>0.99215390000000003</v>
      </c>
      <c r="Q4184">
        <v>0.1246458</v>
      </c>
      <c r="R4184">
        <v>9.7243810000000007E-3</v>
      </c>
      <c r="S4184">
        <v>3.0357669999999999</v>
      </c>
      <c r="T4184">
        <v>-9.9574800000000005E-2</v>
      </c>
      <c r="U4184">
        <v>4.6936039999999998E-2</v>
      </c>
      <c r="V4184">
        <v>-1.3362899999999999E-4</v>
      </c>
      <c r="W4184">
        <v>0.1298521</v>
      </c>
      <c r="X4184">
        <v>0.99153340000000001</v>
      </c>
      <c r="Y4184">
        <v>-5.8051049999999996E-3</v>
      </c>
      <c r="Z4184">
        <v>-2.2145309999999999E-4</v>
      </c>
      <c r="AA4184">
        <v>0.99998310000000001</v>
      </c>
      <c r="AB4184">
        <v>34</v>
      </c>
      <c r="AC4184">
        <v>33.4789999999999</v>
      </c>
      <c r="AD4184">
        <v>-1.1090585807519999</v>
      </c>
      <c r="AE4184">
        <v>0.51959999999999695</v>
      </c>
      <c r="AF4184">
        <v>-0.196068383639529</v>
      </c>
      <c r="AG4184">
        <v>-1.1090585807519999</v>
      </c>
      <c r="AH4184">
        <v>33.445762108550902</v>
      </c>
      <c r="AI4184">
        <v>91.899194573189206</v>
      </c>
      <c r="AJ4184">
        <v>90.3358799884886</v>
      </c>
      <c r="AK4184">
        <v>33.464719582993403</v>
      </c>
      <c r="AL4184">
        <v>82.538954431140596</v>
      </c>
      <c r="AM4184">
        <v>90.007721754682294</v>
      </c>
      <c r="AN4184">
        <v>1.00000003452333</v>
      </c>
    </row>
    <row r="4185" spans="1:40" x14ac:dyDescent="0.25">
      <c r="A4185" t="str">
        <f>"20190312172201175"</f>
        <v>20190312172201175</v>
      </c>
      <c r="B4185" t="str">
        <f>"1552382521164747"</f>
        <v>1552382521164747</v>
      </c>
      <c r="C4185" t="s">
        <v>40</v>
      </c>
      <c r="D4185">
        <v>3.0396869999999998</v>
      </c>
      <c r="E4185">
        <v>0.49793900000000002</v>
      </c>
      <c r="F4185" t="s">
        <v>47</v>
      </c>
      <c r="G4185">
        <v>-301.03019999999998</v>
      </c>
      <c r="H4185" s="1">
        <v>2.47052E-6</v>
      </c>
      <c r="I4185">
        <v>215.5412</v>
      </c>
      <c r="J4185">
        <v>-334.48320000000001</v>
      </c>
      <c r="K4185">
        <v>1.1090610000000001</v>
      </c>
      <c r="L4185">
        <v>215.00190000000001</v>
      </c>
      <c r="M4185">
        <v>0.99993969999999999</v>
      </c>
      <c r="N4185">
        <v>0</v>
      </c>
      <c r="O4185">
        <v>9.6420910000000002E-3</v>
      </c>
      <c r="P4185">
        <v>0.99218300000000004</v>
      </c>
      <c r="Q4185">
        <v>0.12438920000000001</v>
      </c>
      <c r="R4185">
        <v>1.0025070000000001E-2</v>
      </c>
      <c r="S4185">
        <v>3.0357970000000001</v>
      </c>
      <c r="T4185">
        <v>-9.9706290000000003E-2</v>
      </c>
      <c r="U4185">
        <v>4.8751830000000003E-2</v>
      </c>
      <c r="V4185">
        <v>-4.4852679999999998E-4</v>
      </c>
      <c r="W4185">
        <v>0.12963269999999999</v>
      </c>
      <c r="X4185">
        <v>0.99156200000000005</v>
      </c>
      <c r="Y4185">
        <v>-6.4169279999999997E-3</v>
      </c>
      <c r="Z4185">
        <v>-2.11227E-4</v>
      </c>
      <c r="AA4185">
        <v>0.99997939999999996</v>
      </c>
      <c r="AB4185">
        <v>34</v>
      </c>
      <c r="AC4185">
        <v>33.453000000000003</v>
      </c>
      <c r="AD4185">
        <v>-1.1090585294799999</v>
      </c>
      <c r="AE4185">
        <v>0.539299999999997</v>
      </c>
      <c r="AF4185">
        <v>-0.21647573599150199</v>
      </c>
      <c r="AG4185">
        <v>-1.1090585294799999</v>
      </c>
      <c r="AH4185">
        <v>33.419922484133302</v>
      </c>
      <c r="AI4185">
        <v>91.900654620155294</v>
      </c>
      <c r="AJ4185">
        <v>90.371125115027795</v>
      </c>
      <c r="AK4185">
        <v>33.439020491210002</v>
      </c>
      <c r="AL4185">
        <v>82.551632164764797</v>
      </c>
      <c r="AM4185">
        <v>90.025917381752905</v>
      </c>
      <c r="AN4185">
        <v>1.00000001896479</v>
      </c>
    </row>
    <row r="4186" spans="1:40" x14ac:dyDescent="0.25">
      <c r="A4186" t="str">
        <f>"20190312172201197"</f>
        <v>20190312172201197</v>
      </c>
      <c r="B4186" t="str">
        <f>"1552382521195003"</f>
        <v>1552382521195003</v>
      </c>
      <c r="C4186" t="s">
        <v>40</v>
      </c>
      <c r="D4186">
        <v>3.0572219999999999</v>
      </c>
      <c r="E4186">
        <v>0.49789109999999998</v>
      </c>
      <c r="F4186" t="s">
        <v>47</v>
      </c>
      <c r="G4186">
        <v>-300.97179999999997</v>
      </c>
      <c r="H4186" s="1">
        <v>2.4808820000000002E-6</v>
      </c>
      <c r="I4186">
        <v>215.55609999999999</v>
      </c>
      <c r="J4186">
        <v>-334.1397</v>
      </c>
      <c r="K4186">
        <v>1.1090580000000001</v>
      </c>
      <c r="L4186">
        <v>215.0052</v>
      </c>
      <c r="M4186">
        <v>0.99993960000000004</v>
      </c>
      <c r="N4186">
        <v>0</v>
      </c>
      <c r="O4186">
        <v>9.6265359999999998E-3</v>
      </c>
      <c r="P4186">
        <v>0.99216680000000002</v>
      </c>
      <c r="Q4186">
        <v>0.1245049</v>
      </c>
      <c r="R4186">
        <v>1.0191489999999999E-2</v>
      </c>
      <c r="S4186">
        <v>3.0357059999999998</v>
      </c>
      <c r="T4186">
        <v>-0.1004665</v>
      </c>
      <c r="U4186">
        <v>5.0201419999999997E-2</v>
      </c>
      <c r="V4186">
        <v>-6.3054690000000004E-4</v>
      </c>
      <c r="W4186">
        <v>0.12979060000000001</v>
      </c>
      <c r="X4186">
        <v>0.99154120000000001</v>
      </c>
      <c r="Y4186">
        <v>-6.9100899999999998E-3</v>
      </c>
      <c r="Z4186">
        <v>-2.041697E-4</v>
      </c>
      <c r="AA4186">
        <v>0.99997610000000003</v>
      </c>
      <c r="AB4186">
        <v>34</v>
      </c>
      <c r="AC4186">
        <v>33.167900000000003</v>
      </c>
      <c r="AD4186">
        <v>-1.109055519118</v>
      </c>
      <c r="AE4186">
        <v>0.55089999999998396</v>
      </c>
      <c r="AF4186">
        <v>-0.231319438003669</v>
      </c>
      <c r="AG4186">
        <v>-1.109055519118</v>
      </c>
      <c r="AH4186">
        <v>33.134629659616799</v>
      </c>
      <c r="AI4186">
        <v>91.916995615481198</v>
      </c>
      <c r="AJ4186">
        <v>90.399986731246798</v>
      </c>
      <c r="AK4186">
        <v>33.153992150370698</v>
      </c>
      <c r="AL4186">
        <v>82.542507744379904</v>
      </c>
      <c r="AM4186">
        <v>90.036435875064996</v>
      </c>
      <c r="AN4186">
        <v>0.99999997436759602</v>
      </c>
    </row>
    <row r="4187" spans="1:40" x14ac:dyDescent="0.25">
      <c r="A4187" t="str">
        <f>"20190312172201221"</f>
        <v>20190312172201221</v>
      </c>
      <c r="B4187" t="str">
        <f>"1552382521214523"</f>
        <v>1552382521214523</v>
      </c>
      <c r="C4187" t="s">
        <v>40</v>
      </c>
      <c r="D4187">
        <v>3.0171389999999998</v>
      </c>
      <c r="E4187">
        <v>0.49786350000000001</v>
      </c>
      <c r="F4187" t="s">
        <v>47</v>
      </c>
      <c r="G4187">
        <v>-300.55009999999999</v>
      </c>
      <c r="H4187" s="1">
        <v>2.5556760000000001E-6</v>
      </c>
      <c r="I4187">
        <v>215.5728</v>
      </c>
      <c r="J4187">
        <v>-333.78559999999999</v>
      </c>
      <c r="K4187">
        <v>1.1090580000000001</v>
      </c>
      <c r="L4187">
        <v>215.0086</v>
      </c>
      <c r="M4187">
        <v>0.99993929999999998</v>
      </c>
      <c r="N4187">
        <v>0</v>
      </c>
      <c r="O4187">
        <v>9.6107910000000005E-3</v>
      </c>
      <c r="P4187">
        <v>0.99220030000000004</v>
      </c>
      <c r="Q4187">
        <v>0.12418700000000001</v>
      </c>
      <c r="R4187">
        <v>1.0768669999999999E-2</v>
      </c>
      <c r="S4187">
        <v>3.035736</v>
      </c>
      <c r="T4187">
        <v>-0.1002333</v>
      </c>
      <c r="U4187">
        <v>5.130005E-2</v>
      </c>
      <c r="V4187">
        <v>-1.2225409999999999E-3</v>
      </c>
      <c r="W4187">
        <v>0.12951969999999999</v>
      </c>
      <c r="X4187">
        <v>0.99157609999999996</v>
      </c>
      <c r="Y4187">
        <v>-7.2872329999999997E-3</v>
      </c>
      <c r="Z4187">
        <v>-1.969497E-4</v>
      </c>
      <c r="AA4187">
        <v>0.99997340000000001</v>
      </c>
      <c r="AB4187">
        <v>34</v>
      </c>
      <c r="AC4187">
        <v>33.235500000000002</v>
      </c>
      <c r="AD4187">
        <v>-1.1090554443239999</v>
      </c>
      <c r="AE4187">
        <v>0.56419999999999904</v>
      </c>
      <c r="AF4187">
        <v>-0.244477706296793</v>
      </c>
      <c r="AG4187">
        <v>-1.1090554443239999</v>
      </c>
      <c r="AH4187">
        <v>33.202426210325498</v>
      </c>
      <c r="AI4187">
        <v>91.913078817068097</v>
      </c>
      <c r="AJ4187">
        <v>90.421875423332594</v>
      </c>
      <c r="AK4187">
        <v>33.221843410316197</v>
      </c>
      <c r="AL4187">
        <v>82.558161527827707</v>
      </c>
      <c r="AM4187">
        <v>90.070641480859607</v>
      </c>
      <c r="AN4187">
        <v>1.0000000046928901</v>
      </c>
    </row>
    <row r="4188" spans="1:40" x14ac:dyDescent="0.25">
      <c r="A4188" t="str">
        <f>"20190312172201243"</f>
        <v>20190312172201243</v>
      </c>
      <c r="B4188" t="str">
        <f>"1552382521235018"</f>
        <v>1552382521235018</v>
      </c>
      <c r="C4188" t="s">
        <v>40</v>
      </c>
      <c r="D4188">
        <v>3.0160969999999998</v>
      </c>
      <c r="E4188">
        <v>0.4978339</v>
      </c>
      <c r="F4188" t="s">
        <v>47</v>
      </c>
      <c r="G4188">
        <v>-300.49119999999999</v>
      </c>
      <c r="H4188" s="1">
        <v>2.5661209999999998E-6</v>
      </c>
      <c r="I4188">
        <v>215.59350000000001</v>
      </c>
      <c r="J4188">
        <v>-333.43729999999999</v>
      </c>
      <c r="K4188">
        <v>1.1090580000000001</v>
      </c>
      <c r="L4188">
        <v>215.0119</v>
      </c>
      <c r="M4188">
        <v>0.99993940000000003</v>
      </c>
      <c r="N4188">
        <v>0</v>
      </c>
      <c r="O4188">
        <v>9.5952139999999995E-3</v>
      </c>
      <c r="P4188">
        <v>0.99220030000000004</v>
      </c>
      <c r="Q4188">
        <v>0.1241722</v>
      </c>
      <c r="R4188">
        <v>1.0949759999999999E-2</v>
      </c>
      <c r="S4188">
        <v>3.035736</v>
      </c>
      <c r="T4188">
        <v>-0.10112210000000001</v>
      </c>
      <c r="U4188">
        <v>5.3329469999999997E-2</v>
      </c>
      <c r="V4188">
        <v>-1.4192269999999999E-3</v>
      </c>
      <c r="W4188">
        <v>0.12955419999999901</v>
      </c>
      <c r="X4188">
        <v>0.99157130000000004</v>
      </c>
      <c r="Y4188">
        <v>-7.9707359999999904E-3</v>
      </c>
      <c r="Z4188">
        <v>-1.8679530000000001E-4</v>
      </c>
      <c r="AA4188">
        <v>0.99996819999999997</v>
      </c>
      <c r="AB4188">
        <v>34</v>
      </c>
      <c r="AC4188">
        <v>32.946100000000001</v>
      </c>
      <c r="AD4188">
        <v>-1.109055433879</v>
      </c>
      <c r="AE4188">
        <v>0.581600000000008</v>
      </c>
      <c r="AF4188">
        <v>-0.26514337976701102</v>
      </c>
      <c r="AG4188">
        <v>-1.109055433879</v>
      </c>
      <c r="AH4188">
        <v>32.912879373937997</v>
      </c>
      <c r="AI4188">
        <v>91.929885895606901</v>
      </c>
      <c r="AJ4188">
        <v>90.461559981825602</v>
      </c>
      <c r="AK4188">
        <v>32.932627190229503</v>
      </c>
      <c r="AL4188">
        <v>82.556167797354803</v>
      </c>
      <c r="AM4188">
        <v>90.082006873074505</v>
      </c>
      <c r="AN4188">
        <v>0.99999997396330298</v>
      </c>
    </row>
    <row r="4189" spans="1:40" x14ac:dyDescent="0.25">
      <c r="A4189" t="str">
        <f>"20190312172201265"</f>
        <v>20190312172201265</v>
      </c>
      <c r="B4189" t="str">
        <f>"1552382521254542"</f>
        <v>1552382521254542</v>
      </c>
      <c r="C4189" t="s">
        <v>40</v>
      </c>
      <c r="D4189">
        <v>3.0697139999999998</v>
      </c>
      <c r="E4189">
        <v>0.4828112</v>
      </c>
      <c r="F4189" t="s">
        <v>47</v>
      </c>
      <c r="G4189">
        <v>-300.14359999999999</v>
      </c>
      <c r="H4189" s="1">
        <v>2.6277970000000002E-6</v>
      </c>
      <c r="I4189">
        <v>215.6054</v>
      </c>
      <c r="J4189">
        <v>-333.108</v>
      </c>
      <c r="K4189">
        <v>1.109062</v>
      </c>
      <c r="L4189">
        <v>215.01509999999999</v>
      </c>
      <c r="M4189">
        <v>0.99993909999999997</v>
      </c>
      <c r="N4189">
        <v>0</v>
      </c>
      <c r="O4189">
        <v>9.5801740000000003E-3</v>
      </c>
      <c r="P4189">
        <v>0.99220810000000004</v>
      </c>
      <c r="Q4189">
        <v>0.124059199999999</v>
      </c>
      <c r="R4189">
        <v>1.150851E-2</v>
      </c>
      <c r="S4189">
        <v>3.0356450000000001</v>
      </c>
      <c r="T4189">
        <v>-0.1011209</v>
      </c>
      <c r="U4189">
        <v>5.4107669999999997E-2</v>
      </c>
      <c r="V4189">
        <v>-1.9927719999999999E-3</v>
      </c>
      <c r="W4189">
        <v>0.12949079999999999</v>
      </c>
      <c r="X4189">
        <v>0.99157859999999998</v>
      </c>
      <c r="Y4189">
        <v>-8.2424109999999998E-3</v>
      </c>
      <c r="Z4189">
        <v>-1.8177429999999999E-4</v>
      </c>
      <c r="AA4189">
        <v>0.99996600000000002</v>
      </c>
      <c r="AB4189">
        <v>34</v>
      </c>
      <c r="AC4189">
        <v>32.964399999999998</v>
      </c>
      <c r="AD4189">
        <v>-1.109059372203</v>
      </c>
      <c r="AE4189">
        <v>0.59030000000001304</v>
      </c>
      <c r="AF4189">
        <v>-0.27415325959380199</v>
      </c>
      <c r="AG4189">
        <v>-1.109059372203</v>
      </c>
      <c r="AH4189">
        <v>32.931278524980598</v>
      </c>
      <c r="AI4189">
        <v>91.928811053415998</v>
      </c>
      <c r="AJ4189">
        <v>90.476976982126004</v>
      </c>
      <c r="AK4189">
        <v>32.951089177607898</v>
      </c>
      <c r="AL4189">
        <v>82.559831247872694</v>
      </c>
      <c r="AM4189">
        <v>90.115146970109905</v>
      </c>
      <c r="AN4189">
        <v>0.99999997920142103</v>
      </c>
    </row>
    <row r="4190" spans="1:40" x14ac:dyDescent="0.25">
      <c r="A4190" t="str">
        <f>"20190312172201286"</f>
        <v>20190312172201286</v>
      </c>
      <c r="B4190" t="str">
        <f>"1552382521275035"</f>
        <v>1552382521275035</v>
      </c>
      <c r="C4190" t="s">
        <v>40</v>
      </c>
      <c r="D4190">
        <v>3.0081859999999998</v>
      </c>
      <c r="E4190">
        <v>0.47085080000000001</v>
      </c>
      <c r="F4190" t="s">
        <v>47</v>
      </c>
      <c r="G4190">
        <v>-304.05270000000002</v>
      </c>
      <c r="H4190" s="1">
        <v>1.9343799999999999E-6</v>
      </c>
      <c r="I4190">
        <v>216.69560000000001</v>
      </c>
      <c r="J4190">
        <v>-332.76859999999999</v>
      </c>
      <c r="K4190">
        <v>1.109075</v>
      </c>
      <c r="L4190">
        <v>215.01830000000001</v>
      </c>
      <c r="M4190">
        <v>0.99993900000000002</v>
      </c>
      <c r="N4190">
        <v>0</v>
      </c>
      <c r="O4190">
        <v>9.5650430000000005E-3</v>
      </c>
      <c r="P4190">
        <v>0.99223380000000005</v>
      </c>
      <c r="Q4190">
        <v>0.12386519999999999</v>
      </c>
      <c r="R4190">
        <v>1.1380360000000001E-2</v>
      </c>
      <c r="S4190">
        <v>3.0359799999999999</v>
      </c>
      <c r="T4190">
        <v>-0.1158853</v>
      </c>
      <c r="U4190">
        <v>0.17559810000000001</v>
      </c>
      <c r="V4190">
        <v>-1.879328E-3</v>
      </c>
      <c r="W4190">
        <v>0.12935650000000001</v>
      </c>
      <c r="X4190">
        <v>0.99159629999999999</v>
      </c>
      <c r="Y4190">
        <v>-4.816264E-2</v>
      </c>
      <c r="Z4190">
        <v>5.5345540000000003E-4</v>
      </c>
      <c r="AA4190">
        <v>0.99883940000000004</v>
      </c>
      <c r="AB4190">
        <v>34</v>
      </c>
      <c r="AC4190">
        <v>28.715899999999898</v>
      </c>
      <c r="AD4190">
        <v>-1.1090730656200001</v>
      </c>
      <c r="AE4190">
        <v>1.6773</v>
      </c>
      <c r="AF4190">
        <v>-1.4004683133714599</v>
      </c>
      <c r="AG4190">
        <v>-1.1090730656200001</v>
      </c>
      <c r="AH4190">
        <v>28.6879822468083</v>
      </c>
      <c r="AI4190">
        <v>92.211312927213598</v>
      </c>
      <c r="AJ4190">
        <v>92.794803505146703</v>
      </c>
      <c r="AK4190">
        <v>28.7435502322665</v>
      </c>
      <c r="AL4190">
        <v>82.567590963620205</v>
      </c>
      <c r="AM4190">
        <v>90.108589991507003</v>
      </c>
      <c r="AN4190">
        <v>0.99999992906983304</v>
      </c>
    </row>
    <row r="4191" spans="1:40" x14ac:dyDescent="0.25">
      <c r="A4191" t="str">
        <f>"20190312172201310"</f>
        <v>20190312172201310</v>
      </c>
      <c r="B4191" t="str">
        <f>"1552382521305291"</f>
        <v>1552382521305291</v>
      </c>
      <c r="C4191" t="s">
        <v>40</v>
      </c>
      <c r="D4191">
        <v>2.9484590000000002</v>
      </c>
      <c r="E4191">
        <v>0.46275509999999997</v>
      </c>
      <c r="F4191" t="s">
        <v>47</v>
      </c>
      <c r="G4191">
        <v>-303.02390000000003</v>
      </c>
      <c r="H4191" s="1">
        <v>2.1168639999999999E-6</v>
      </c>
      <c r="I4191">
        <v>217.66849999999999</v>
      </c>
      <c r="J4191">
        <v>-332.41379999999998</v>
      </c>
      <c r="K4191">
        <v>1.1090869999999999</v>
      </c>
      <c r="L4191">
        <v>215.02170000000001</v>
      </c>
      <c r="M4191">
        <v>0.99993869999999896</v>
      </c>
      <c r="N4191">
        <v>0</v>
      </c>
      <c r="O4191">
        <v>9.549274E-3</v>
      </c>
      <c r="P4191">
        <v>0.99218289999999998</v>
      </c>
      <c r="Q4191">
        <v>0.12428110000000001</v>
      </c>
      <c r="R4191">
        <v>1.1293040000000001E-2</v>
      </c>
      <c r="S4191">
        <v>3.0344540000000002</v>
      </c>
      <c r="T4191">
        <v>-0.1131438</v>
      </c>
      <c r="U4191">
        <v>0.27035520000000002</v>
      </c>
      <c r="V4191">
        <v>-1.808287E-3</v>
      </c>
      <c r="W4191">
        <v>0.12984490000000001</v>
      </c>
      <c r="X4191">
        <v>0.99153270000000004</v>
      </c>
      <c r="Y4191">
        <v>-7.9179860000000005E-2</v>
      </c>
      <c r="Z4191">
        <v>1.1175429999999999E-3</v>
      </c>
      <c r="AA4191">
        <v>0.99685970000000002</v>
      </c>
      <c r="AB4191">
        <v>35</v>
      </c>
      <c r="AC4191">
        <v>29.389899999999901</v>
      </c>
      <c r="AD4191">
        <v>-1.1090848831360001</v>
      </c>
      <c r="AE4191">
        <v>2.6467999999999798</v>
      </c>
      <c r="AF4191">
        <v>-2.3626851237472399</v>
      </c>
      <c r="AG4191">
        <v>-1.1090848831360001</v>
      </c>
      <c r="AH4191">
        <v>29.372343382149101</v>
      </c>
      <c r="AI4191">
        <v>92.155476822017206</v>
      </c>
      <c r="AJ4191">
        <v>94.598919470093904</v>
      </c>
      <c r="AK4191">
        <v>29.4880807451223</v>
      </c>
      <c r="AL4191">
        <v>82.539370460891405</v>
      </c>
      <c r="AM4191">
        <v>90.104491862328999</v>
      </c>
      <c r="AN4191">
        <v>1.00000003156358</v>
      </c>
    </row>
    <row r="4192" spans="1:40" x14ac:dyDescent="0.25">
      <c r="A4192" t="str">
        <f>"20190312172201333"</f>
        <v>20190312172201333</v>
      </c>
      <c r="B4192" t="str">
        <f>"1552382521324811"</f>
        <v>1552382521324811</v>
      </c>
      <c r="C4192" t="s">
        <v>40</v>
      </c>
      <c r="D4192">
        <v>2.9381119999999998</v>
      </c>
      <c r="E4192">
        <v>0.45999119999999999</v>
      </c>
      <c r="F4192" t="s">
        <v>47</v>
      </c>
      <c r="G4192">
        <v>-303.11099999999999</v>
      </c>
      <c r="H4192" s="1">
        <v>2.1014130000000001E-6</v>
      </c>
      <c r="I4192">
        <v>218.25389999999999</v>
      </c>
      <c r="J4192">
        <v>-332.04500000000002</v>
      </c>
      <c r="K4192">
        <v>1.1091009999999999</v>
      </c>
      <c r="L4192">
        <v>215.02520000000001</v>
      </c>
      <c r="M4192">
        <v>0.99993840000000001</v>
      </c>
      <c r="N4192">
        <v>0</v>
      </c>
      <c r="O4192">
        <v>9.5325549999999998E-3</v>
      </c>
      <c r="P4192">
        <v>0.99223019999999995</v>
      </c>
      <c r="Q4192">
        <v>0.1239</v>
      </c>
      <c r="R4192">
        <v>1.132647E-2</v>
      </c>
      <c r="S4192">
        <v>3.0342099999999999</v>
      </c>
      <c r="T4192">
        <v>-0.1148421</v>
      </c>
      <c r="U4192">
        <v>0.33468629999999999</v>
      </c>
      <c r="V4192">
        <v>-1.8575289999999999E-3</v>
      </c>
      <c r="W4192">
        <v>0.12955610000000001</v>
      </c>
      <c r="X4192">
        <v>0.99157039999999996</v>
      </c>
      <c r="Y4192">
        <v>-0.100095</v>
      </c>
      <c r="Z4192">
        <v>1.5283199999999999E-3</v>
      </c>
      <c r="AA4192">
        <v>0.99497670000000005</v>
      </c>
      <c r="AB4192">
        <v>35</v>
      </c>
      <c r="AC4192">
        <v>28.934000000000001</v>
      </c>
      <c r="AD4192">
        <v>-1.1090988985870001</v>
      </c>
      <c r="AE4192">
        <v>3.2286999999999701</v>
      </c>
      <c r="AF4192">
        <v>-2.9484548786304798</v>
      </c>
      <c r="AG4192">
        <v>-1.1090988985870001</v>
      </c>
      <c r="AH4192">
        <v>28.921490592210599</v>
      </c>
      <c r="AI4192">
        <v>92.184824032982107</v>
      </c>
      <c r="AJ4192">
        <v>95.821013616348793</v>
      </c>
      <c r="AK4192">
        <v>29.092543797569299</v>
      </c>
      <c r="AL4192">
        <v>82.556058547950201</v>
      </c>
      <c r="AM4192">
        <v>90.107333223667993</v>
      </c>
      <c r="AN4192">
        <v>1.00000004580867</v>
      </c>
    </row>
    <row r="4193" spans="1:40" x14ac:dyDescent="0.25">
      <c r="A4193" t="str">
        <f>"20190312172201356"</f>
        <v>20190312172201356</v>
      </c>
      <c r="B4193" t="str">
        <f>"1552382521345323"</f>
        <v>1552382521345323</v>
      </c>
      <c r="C4193" t="s">
        <v>40</v>
      </c>
      <c r="D4193">
        <v>2.993598</v>
      </c>
      <c r="E4193">
        <v>0.4583816</v>
      </c>
      <c r="F4193" t="s">
        <v>47</v>
      </c>
      <c r="G4193">
        <v>-303.57369999999997</v>
      </c>
      <c r="H4193" s="1">
        <v>2.0193389999999999E-6</v>
      </c>
      <c r="I4193">
        <v>218.36949999999999</v>
      </c>
      <c r="J4193">
        <v>-331.70420000000001</v>
      </c>
      <c r="K4193">
        <v>1.109105</v>
      </c>
      <c r="L4193">
        <v>215.02850000000001</v>
      </c>
      <c r="M4193">
        <v>0.99993799999999999</v>
      </c>
      <c r="N4193">
        <v>0</v>
      </c>
      <c r="O4193">
        <v>9.5172950000000003E-3</v>
      </c>
      <c r="P4193">
        <v>0.99224670000000004</v>
      </c>
      <c r="Q4193">
        <v>0.1237632</v>
      </c>
      <c r="R4193">
        <v>1.138309E-2</v>
      </c>
      <c r="S4193">
        <v>3.0341800000000001</v>
      </c>
      <c r="T4193">
        <v>-0.11819639999999999</v>
      </c>
      <c r="U4193">
        <v>0.35639949999999998</v>
      </c>
      <c r="V4193">
        <v>-1.929407E-3</v>
      </c>
      <c r="W4193">
        <v>0.12951969999999999</v>
      </c>
      <c r="X4193">
        <v>0.99157499999999998</v>
      </c>
      <c r="Y4193">
        <v>-0.1071288</v>
      </c>
      <c r="Z4193">
        <v>1.709384E-3</v>
      </c>
      <c r="AA4193">
        <v>0.99424369999999995</v>
      </c>
      <c r="AB4193">
        <v>35</v>
      </c>
      <c r="AC4193">
        <v>28.130500000000001</v>
      </c>
      <c r="AD4193">
        <v>-1.109102980661</v>
      </c>
      <c r="AE4193">
        <v>3.3409999999999802</v>
      </c>
      <c r="AF4193">
        <v>-3.0684144558778499</v>
      </c>
      <c r="AG4193">
        <v>-1.109102980661</v>
      </c>
      <c r="AH4193">
        <v>28.117922583128799</v>
      </c>
      <c r="AI4193">
        <v>92.245526512033294</v>
      </c>
      <c r="AJ4193">
        <v>96.227852291485405</v>
      </c>
      <c r="AK4193">
        <v>28.306586637840599</v>
      </c>
      <c r="AL4193">
        <v>82.558161701974697</v>
      </c>
      <c r="AM4193">
        <v>90.111486008166807</v>
      </c>
      <c r="AN4193">
        <v>1.0000000279622301</v>
      </c>
    </row>
    <row r="4194" spans="1:40" x14ac:dyDescent="0.25">
      <c r="A4194" t="str">
        <f>"20190312172201376"</f>
        <v>20190312172201376</v>
      </c>
      <c r="B4194" t="str">
        <f>"1552382521364844"</f>
        <v>1552382521364844</v>
      </c>
      <c r="C4194" t="s">
        <v>40</v>
      </c>
      <c r="D4194">
        <v>2.9828380000000001</v>
      </c>
      <c r="E4194">
        <v>0.45738719999999999</v>
      </c>
      <c r="F4194" t="s">
        <v>47</v>
      </c>
      <c r="G4194">
        <v>-304.33640000000003</v>
      </c>
      <c r="H4194" s="1">
        <v>1.884059E-6</v>
      </c>
      <c r="I4194">
        <v>218.35900000000001</v>
      </c>
      <c r="J4194">
        <v>-331.37920000000003</v>
      </c>
      <c r="K4194">
        <v>1.1091200000000001</v>
      </c>
      <c r="L4194">
        <v>215.0316</v>
      </c>
      <c r="M4194">
        <v>0.99993739999999998</v>
      </c>
      <c r="N4194">
        <v>0</v>
      </c>
      <c r="O4194">
        <v>9.5025379999999996E-3</v>
      </c>
      <c r="P4194">
        <v>0.99222290000000002</v>
      </c>
      <c r="Q4194">
        <v>0.1239355</v>
      </c>
      <c r="R4194">
        <v>1.1564029999999999E-2</v>
      </c>
      <c r="S4194">
        <v>3.0345460000000002</v>
      </c>
      <c r="T4194">
        <v>-0.1229774</v>
      </c>
      <c r="U4194">
        <v>0.36929319999999999</v>
      </c>
      <c r="V4194">
        <v>-2.1246020000000002E-3</v>
      </c>
      <c r="W4194">
        <v>0.12980149999999999</v>
      </c>
      <c r="X4194">
        <v>0.99153769999999997</v>
      </c>
      <c r="Y4194">
        <v>-0.1112842</v>
      </c>
      <c r="Z4194">
        <v>1.8622689999999999E-3</v>
      </c>
      <c r="AA4194">
        <v>0.99378690000000003</v>
      </c>
      <c r="AB4194">
        <v>35</v>
      </c>
      <c r="AC4194">
        <v>27.0428</v>
      </c>
      <c r="AD4194">
        <v>-1.109118115941</v>
      </c>
      <c r="AE4194">
        <v>3.3274000000000101</v>
      </c>
      <c r="AF4194">
        <v>-3.0651909738671601</v>
      </c>
      <c r="AG4194">
        <v>-1.109118115941</v>
      </c>
      <c r="AH4194">
        <v>27.028411764657601</v>
      </c>
      <c r="AI4194">
        <v>92.334879568255403</v>
      </c>
      <c r="AJ4194">
        <v>96.470057219810002</v>
      </c>
      <c r="AK4194">
        <v>27.224264567133201</v>
      </c>
      <c r="AL4194">
        <v>82.541877911475893</v>
      </c>
      <c r="AM4194">
        <v>90.122769453389793</v>
      </c>
      <c r="AN4194">
        <v>0.99999997692859799</v>
      </c>
    </row>
    <row r="4195" spans="1:40" x14ac:dyDescent="0.25">
      <c r="A4195" t="str">
        <f>"20190312172201399"</f>
        <v>20190312172201399</v>
      </c>
      <c r="B4195" t="str">
        <f>"1552382521395100"</f>
        <v>1552382521395100</v>
      </c>
      <c r="C4195" t="s">
        <v>40</v>
      </c>
      <c r="D4195">
        <v>2.9880390000000001</v>
      </c>
      <c r="E4195">
        <v>0.45621250000000002</v>
      </c>
      <c r="F4195" t="s">
        <v>47</v>
      </c>
      <c r="G4195">
        <v>-304.62630000000001</v>
      </c>
      <c r="H4195" s="1">
        <v>1.8326269999999999E-6</v>
      </c>
      <c r="I4195">
        <v>218.36080000000001</v>
      </c>
      <c r="J4195">
        <v>-331.02449999999999</v>
      </c>
      <c r="K4195">
        <v>1.109143</v>
      </c>
      <c r="L4195">
        <v>215.03489999999999</v>
      </c>
      <c r="M4195">
        <v>0.99993679999999996</v>
      </c>
      <c r="N4195">
        <v>0</v>
      </c>
      <c r="O4195">
        <v>9.4866959999999993E-3</v>
      </c>
      <c r="P4195">
        <v>0.99222849999999996</v>
      </c>
      <c r="Q4195">
        <v>0.12390909999999999</v>
      </c>
      <c r="R4195">
        <v>1.1367230000000001E-2</v>
      </c>
      <c r="S4195">
        <v>3.0348510000000002</v>
      </c>
      <c r="T4195">
        <v>-0.1258185</v>
      </c>
      <c r="U4195">
        <v>0.37767030000000001</v>
      </c>
      <c r="V4195">
        <v>-1.943965E-3</v>
      </c>
      <c r="W4195">
        <v>0.12990689999999999</v>
      </c>
      <c r="X4195">
        <v>0.99152430000000003</v>
      </c>
      <c r="Y4195">
        <v>-0.11398369999999999</v>
      </c>
      <c r="Z4195">
        <v>1.9611189999999999E-3</v>
      </c>
      <c r="AA4195">
        <v>0.99348069999999999</v>
      </c>
      <c r="AB4195">
        <v>35</v>
      </c>
      <c r="AC4195">
        <v>26.3981999999999</v>
      </c>
      <c r="AD4195">
        <v>-1.1091411673729901</v>
      </c>
      <c r="AE4195">
        <v>3.3259000000000101</v>
      </c>
      <c r="AF4195">
        <v>-3.0699792403030202</v>
      </c>
      <c r="AG4195">
        <v>-1.1091411673729901</v>
      </c>
      <c r="AH4195">
        <v>26.382718050089601</v>
      </c>
      <c r="AI4195">
        <v>92.391206807481197</v>
      </c>
      <c r="AJ4195">
        <v>96.637274306785997</v>
      </c>
      <c r="AK4195">
        <v>26.5838819282583</v>
      </c>
      <c r="AL4195">
        <v>82.535787613241894</v>
      </c>
      <c r="AM4195">
        <v>90.112332947674204</v>
      </c>
      <c r="AN4195">
        <v>1.00000000957901</v>
      </c>
    </row>
    <row r="4196" spans="1:40" x14ac:dyDescent="0.25">
      <c r="A4196" t="str">
        <f>"20190312172201422"</f>
        <v>20190312172201422</v>
      </c>
      <c r="B4196" t="str">
        <f>"1552382521414619"</f>
        <v>1552382521414619</v>
      </c>
      <c r="C4196" t="s">
        <v>40</v>
      </c>
      <c r="D4196">
        <v>2.9815860000000001</v>
      </c>
      <c r="E4196">
        <v>0.45557019999999998</v>
      </c>
      <c r="F4196" t="s">
        <v>47</v>
      </c>
      <c r="G4196">
        <v>-304.83370000000002</v>
      </c>
      <c r="H4196" s="1">
        <v>1.795837E-6</v>
      </c>
      <c r="I4196">
        <v>218.37200000000001</v>
      </c>
      <c r="J4196">
        <v>-330.66460000000001</v>
      </c>
      <c r="K4196">
        <v>1.1091690000000001</v>
      </c>
      <c r="L4196">
        <v>215.03829999999999</v>
      </c>
      <c r="M4196">
        <v>0.99993620000000005</v>
      </c>
      <c r="N4196">
        <v>0</v>
      </c>
      <c r="O4196">
        <v>9.4705210000000008E-3</v>
      </c>
      <c r="P4196">
        <v>0.99221150000000002</v>
      </c>
      <c r="Q4196">
        <v>0.124024</v>
      </c>
      <c r="R4196">
        <v>1.160228E-2</v>
      </c>
      <c r="S4196">
        <v>3.035126</v>
      </c>
      <c r="T4196">
        <v>-0.12853310000000001</v>
      </c>
      <c r="U4196">
        <v>0.38671879999999997</v>
      </c>
      <c r="V4196">
        <v>-2.1949460000000001E-3</v>
      </c>
      <c r="W4196">
        <v>0.13016030000000001</v>
      </c>
      <c r="X4196">
        <v>0.99149050000000005</v>
      </c>
      <c r="Y4196">
        <v>-0.1168974</v>
      </c>
      <c r="Z4196">
        <v>2.0649470000000001E-3</v>
      </c>
      <c r="AA4196">
        <v>0.99314179999999996</v>
      </c>
      <c r="AB4196">
        <v>35</v>
      </c>
      <c r="AC4196">
        <v>25.8308999999999</v>
      </c>
      <c r="AD4196">
        <v>-1.1091672041630001</v>
      </c>
      <c r="AE4196">
        <v>3.3337000000000199</v>
      </c>
      <c r="AF4196">
        <v>-3.0833218679883898</v>
      </c>
      <c r="AG4196">
        <v>-1.1091672041630001</v>
      </c>
      <c r="AH4196">
        <v>25.814496903491801</v>
      </c>
      <c r="AI4196">
        <v>92.442961962057893</v>
      </c>
      <c r="AJ4196">
        <v>96.811225096630295</v>
      </c>
      <c r="AK4196">
        <v>26.021632846706499</v>
      </c>
      <c r="AL4196">
        <v>82.5211442133171</v>
      </c>
      <c r="AM4196">
        <v>90.126840284011394</v>
      </c>
      <c r="AN4196">
        <v>0.99999996653714096</v>
      </c>
    </row>
    <row r="4197" spans="1:40" x14ac:dyDescent="0.25">
      <c r="A4197" t="str">
        <f>"20190312172201443"</f>
        <v>20190312172201443</v>
      </c>
      <c r="B4197" t="str">
        <f>"1552382521435122"</f>
        <v>1552382521435122</v>
      </c>
      <c r="C4197" t="s">
        <v>40</v>
      </c>
      <c r="D4197">
        <v>3.0161669999999998</v>
      </c>
      <c r="E4197">
        <v>0.45504329999999998</v>
      </c>
      <c r="F4197" t="s">
        <v>47</v>
      </c>
      <c r="G4197">
        <v>-304.70429999999999</v>
      </c>
      <c r="H4197" s="1">
        <v>1.818784E-6</v>
      </c>
      <c r="I4197">
        <v>218.39359999999999</v>
      </c>
      <c r="J4197">
        <v>-330.31939999999997</v>
      </c>
      <c r="K4197">
        <v>1.1091839999999999</v>
      </c>
      <c r="L4197">
        <v>215.04150000000001</v>
      </c>
      <c r="M4197">
        <v>0.99993540000000003</v>
      </c>
      <c r="N4197">
        <v>0</v>
      </c>
      <c r="O4197">
        <v>9.4543060000000009E-3</v>
      </c>
      <c r="P4197">
        <v>0.99224080000000003</v>
      </c>
      <c r="Q4197">
        <v>0.1237991</v>
      </c>
      <c r="R4197">
        <v>1.151114E-2</v>
      </c>
      <c r="S4197">
        <v>3.0352169999999998</v>
      </c>
      <c r="T4197">
        <v>-0.12968150000000001</v>
      </c>
      <c r="U4197">
        <v>0.39228819999999998</v>
      </c>
      <c r="V4197">
        <v>-2.1197999999999998E-3</v>
      </c>
      <c r="W4197">
        <v>0.13006619999999999</v>
      </c>
      <c r="X4197">
        <v>0.99150309999999997</v>
      </c>
      <c r="Y4197">
        <v>-0.1186991</v>
      </c>
      <c r="Z4197">
        <v>2.122077E-3</v>
      </c>
      <c r="AA4197">
        <v>0.99292800000000003</v>
      </c>
      <c r="AB4197">
        <v>35</v>
      </c>
      <c r="AC4197">
        <v>25.615099999999899</v>
      </c>
      <c r="AD4197">
        <v>-1.1091821812160001</v>
      </c>
      <c r="AE4197">
        <v>3.3520999999999699</v>
      </c>
      <c r="AF4197">
        <v>-3.1040501007349399</v>
      </c>
      <c r="AG4197">
        <v>-1.1091821812160001</v>
      </c>
      <c r="AH4197">
        <v>25.598457229162499</v>
      </c>
      <c r="AI4197">
        <v>92.463056857856699</v>
      </c>
      <c r="AJ4197">
        <v>96.9138891149139</v>
      </c>
      <c r="AK4197">
        <v>25.809812565229201</v>
      </c>
      <c r="AL4197">
        <v>82.526582626524899</v>
      </c>
      <c r="AM4197">
        <v>90.122496246717304</v>
      </c>
      <c r="AN4197">
        <v>1.0000000536220399</v>
      </c>
    </row>
    <row r="4198" spans="1:40" x14ac:dyDescent="0.25">
      <c r="A4198" t="str">
        <f>"20190312172201465"</f>
        <v>20190312172201465</v>
      </c>
      <c r="B4198" t="str">
        <f>"1552382521454639"</f>
        <v>1552382521454639</v>
      </c>
      <c r="C4198" t="s">
        <v>40</v>
      </c>
      <c r="D4198">
        <v>2.9704100000000002</v>
      </c>
      <c r="E4198">
        <v>0.45462419999999998</v>
      </c>
      <c r="F4198" t="s">
        <v>47</v>
      </c>
      <c r="G4198">
        <v>-304.6293</v>
      </c>
      <c r="H4198" s="1">
        <v>1.832091E-6</v>
      </c>
      <c r="I4198">
        <v>218.3938</v>
      </c>
      <c r="J4198">
        <v>-329.9787</v>
      </c>
      <c r="K4198">
        <v>1.1091959999999901</v>
      </c>
      <c r="L4198">
        <v>215.04480000000001</v>
      </c>
      <c r="M4198">
        <v>0.99993480000000001</v>
      </c>
      <c r="N4198">
        <v>0</v>
      </c>
      <c r="O4198">
        <v>9.4386450000000007E-3</v>
      </c>
      <c r="P4198">
        <v>0.99229129999999999</v>
      </c>
      <c r="Q4198">
        <v>0.1234056</v>
      </c>
      <c r="R4198">
        <v>1.1368369999999999E-2</v>
      </c>
      <c r="S4198">
        <v>3.0352169999999998</v>
      </c>
      <c r="T4198">
        <v>-0.13104730000000001</v>
      </c>
      <c r="U4198">
        <v>0.3960571</v>
      </c>
      <c r="V4198">
        <v>-1.9922199999999998E-3</v>
      </c>
      <c r="W4198">
        <v>0.1297953</v>
      </c>
      <c r="X4198">
        <v>0.99153880000000005</v>
      </c>
      <c r="Y4198">
        <v>-0.1199239</v>
      </c>
      <c r="Z4198">
        <v>2.1712260000000001E-3</v>
      </c>
      <c r="AA4198">
        <v>0.99278069999999896</v>
      </c>
      <c r="AB4198">
        <v>35</v>
      </c>
      <c r="AC4198">
        <v>25.349399999999999</v>
      </c>
      <c r="AD4198">
        <v>-1.1091941679089901</v>
      </c>
      <c r="AE4198">
        <v>3.3489999999999802</v>
      </c>
      <c r="AF4198">
        <v>-3.1037413764469002</v>
      </c>
      <c r="AG4198">
        <v>-1.1091941679089901</v>
      </c>
      <c r="AH4198">
        <v>25.332212211033799</v>
      </c>
      <c r="AI4198">
        <v>92.488561567545105</v>
      </c>
      <c r="AJ4198">
        <v>96.985152748482406</v>
      </c>
      <c r="AK4198">
        <v>25.5457334547052</v>
      </c>
      <c r="AL4198">
        <v>82.542236276933707</v>
      </c>
      <c r="AM4198">
        <v>90.115119695024504</v>
      </c>
      <c r="AN4198">
        <v>0.99999999037402898</v>
      </c>
    </row>
    <row r="4199" spans="1:40" x14ac:dyDescent="0.25">
      <c r="A4199" t="str">
        <f>"20190312172201487"</f>
        <v>20190312172201487</v>
      </c>
      <c r="B4199" t="str">
        <f>"1552382521484894"</f>
        <v>1552382521484894</v>
      </c>
      <c r="C4199" t="s">
        <v>40</v>
      </c>
      <c r="D4199">
        <v>2.9769019999999999</v>
      </c>
      <c r="E4199">
        <v>0.45401029999999998</v>
      </c>
      <c r="F4199" t="s">
        <v>47</v>
      </c>
      <c r="G4199">
        <v>-304.6943</v>
      </c>
      <c r="H4199" s="1">
        <v>1.820562E-6</v>
      </c>
      <c r="I4199">
        <v>218.3673</v>
      </c>
      <c r="J4199">
        <v>-329.6234</v>
      </c>
      <c r="K4199">
        <v>1.1092089999999999</v>
      </c>
      <c r="L4199">
        <v>215.04810000000001</v>
      </c>
      <c r="M4199">
        <v>0.9999342</v>
      </c>
      <c r="N4199">
        <v>0</v>
      </c>
      <c r="O4199">
        <v>9.4221410000000002E-3</v>
      </c>
      <c r="P4199">
        <v>0.99232869999999995</v>
      </c>
      <c r="Q4199">
        <v>0.12310739999999901</v>
      </c>
      <c r="R4199">
        <v>1.1337699999999999E-2</v>
      </c>
      <c r="S4199">
        <v>3.0353089999999998</v>
      </c>
      <c r="T4199">
        <v>-0.13315550000000001</v>
      </c>
      <c r="U4199">
        <v>0.39886470000000002</v>
      </c>
      <c r="V4199">
        <v>-1.9776080000000001E-3</v>
      </c>
      <c r="W4199">
        <v>0.12961989999999901</v>
      </c>
      <c r="X4199">
        <v>0.99156180000000005</v>
      </c>
      <c r="Y4199">
        <v>-0.1208351</v>
      </c>
      <c r="Z4199">
        <v>2.2265359999999999E-3</v>
      </c>
      <c r="AA4199">
        <v>0.9926701</v>
      </c>
      <c r="AB4199">
        <v>35</v>
      </c>
      <c r="AC4199">
        <v>24.929099999999998</v>
      </c>
      <c r="AD4199">
        <v>-1.1092071794380001</v>
      </c>
      <c r="AE4199">
        <v>3.3191999999999902</v>
      </c>
      <c r="AF4199">
        <v>-3.0781742435911901</v>
      </c>
      <c r="AG4199">
        <v>-1.1092071794380001</v>
      </c>
      <c r="AH4199">
        <v>24.910809683928601</v>
      </c>
      <c r="AI4199">
        <v>92.530314079135806</v>
      </c>
      <c r="AJ4199">
        <v>97.044206256568202</v>
      </c>
      <c r="AK4199">
        <v>25.124767388967701</v>
      </c>
      <c r="AL4199">
        <v>82.552371771163394</v>
      </c>
      <c r="AM4199">
        <v>90.114272697569305</v>
      </c>
      <c r="AN4199">
        <v>1.0000000163143199</v>
      </c>
    </row>
    <row r="4200" spans="1:40" x14ac:dyDescent="0.25">
      <c r="A4200" t="str">
        <f>"20190312172201501"</f>
        <v>20190312172201501</v>
      </c>
      <c r="B4200" t="str">
        <f>"1552382521494655"</f>
        <v>1552382521494655</v>
      </c>
      <c r="C4200" t="s">
        <v>40</v>
      </c>
      <c r="D4200">
        <v>2.9991340000000002</v>
      </c>
      <c r="E4200">
        <v>0.45386090000000001</v>
      </c>
      <c r="F4200" t="s">
        <v>47</v>
      </c>
      <c r="G4200">
        <v>-304.47829999999999</v>
      </c>
      <c r="H4200" s="1">
        <v>1.8588859999999999E-6</v>
      </c>
      <c r="I4200">
        <v>218.39420000000001</v>
      </c>
      <c r="J4200">
        <v>-329.41120000000001</v>
      </c>
      <c r="K4200">
        <v>1.109213</v>
      </c>
      <c r="L4200">
        <v>215.05009999999999</v>
      </c>
      <c r="M4200">
        <v>0.99993379999999998</v>
      </c>
      <c r="N4200">
        <v>0</v>
      </c>
      <c r="O4200">
        <v>9.4124819999999998E-3</v>
      </c>
      <c r="P4200">
        <v>0.99228329999999998</v>
      </c>
      <c r="Q4200">
        <v>0.1234748</v>
      </c>
      <c r="R4200">
        <v>1.13212E-2</v>
      </c>
      <c r="S4200">
        <v>3.0351870000000001</v>
      </c>
      <c r="T4200">
        <v>-0.13388910000000001</v>
      </c>
      <c r="U4200">
        <v>0.40390009999999998</v>
      </c>
      <c r="V4200">
        <v>-1.970875E-3</v>
      </c>
      <c r="W4200">
        <v>0.1300577</v>
      </c>
      <c r="X4200">
        <v>0.99150450000000001</v>
      </c>
      <c r="Y4200">
        <v>-0.1224655</v>
      </c>
      <c r="Z4200">
        <v>2.2748489999999998E-3</v>
      </c>
      <c r="AA4200">
        <v>0.99247010000000002</v>
      </c>
      <c r="AB4200">
        <v>35</v>
      </c>
      <c r="AC4200">
        <v>24.9329</v>
      </c>
      <c r="AD4200">
        <v>-1.109211141114</v>
      </c>
      <c r="AE4200">
        <v>3.3441000000000201</v>
      </c>
      <c r="AF4200">
        <v>-3.1032329552087798</v>
      </c>
      <c r="AG4200">
        <v>-1.109211141114</v>
      </c>
      <c r="AH4200">
        <v>24.914833158019398</v>
      </c>
      <c r="AI4200">
        <v>92.529610707840007</v>
      </c>
      <c r="AJ4200">
        <v>97.099833414107096</v>
      </c>
      <c r="AK4200">
        <v>25.131838679686901</v>
      </c>
      <c r="AL4200">
        <v>82.527073647307802</v>
      </c>
      <c r="AM4200">
        <v>90.113890225128898</v>
      </c>
      <c r="AN4200">
        <v>1.0000000315988999</v>
      </c>
    </row>
    <row r="4201" spans="1:40" x14ac:dyDescent="0.25">
      <c r="A4201" t="str">
        <f>"20190312172201513"</f>
        <v>20190312172201513</v>
      </c>
      <c r="B4201" t="str">
        <f>"1552382521504415"</f>
        <v>1552382521504415</v>
      </c>
      <c r="C4201" t="s">
        <v>40</v>
      </c>
      <c r="D4201">
        <v>2.9868160000000001</v>
      </c>
      <c r="E4201">
        <v>0.4537059</v>
      </c>
      <c r="F4201" t="s">
        <v>47</v>
      </c>
      <c r="G4201">
        <v>-304.16480000000001</v>
      </c>
      <c r="H4201" s="1">
        <v>1.914498E-6</v>
      </c>
      <c r="I4201">
        <v>218.41749999999999</v>
      </c>
      <c r="J4201">
        <v>-329.21519999999998</v>
      </c>
      <c r="K4201">
        <v>1.1092200000000001</v>
      </c>
      <c r="L4201">
        <v>215.05189999999999</v>
      </c>
      <c r="M4201">
        <v>0.99993339999999997</v>
      </c>
      <c r="N4201">
        <v>0</v>
      </c>
      <c r="O4201">
        <v>9.4038660000000003E-3</v>
      </c>
      <c r="P4201">
        <v>0.99233009999999999</v>
      </c>
      <c r="Q4201">
        <v>0.1231217</v>
      </c>
      <c r="R4201">
        <v>1.1048860000000001E-2</v>
      </c>
      <c r="S4201">
        <v>3.035339</v>
      </c>
      <c r="T4201">
        <v>-0.13335900000000001</v>
      </c>
      <c r="U4201">
        <v>0.40486149999999999</v>
      </c>
      <c r="V4201">
        <v>-1.7066529999999901E-3</v>
      </c>
      <c r="W4201">
        <v>0.12976689999999999</v>
      </c>
      <c r="X4201">
        <v>0.99154310000000001</v>
      </c>
      <c r="Y4201">
        <v>-0.12277689999999999</v>
      </c>
      <c r="Z4201">
        <v>2.2728739999999998E-3</v>
      </c>
      <c r="AA4201">
        <v>0.99243170000000003</v>
      </c>
      <c r="AB4201">
        <v>35</v>
      </c>
      <c r="AC4201">
        <v>25.0503999999999</v>
      </c>
      <c r="AD4201">
        <v>-1.109218085502</v>
      </c>
      <c r="AE4201">
        <v>3.3656000000000001</v>
      </c>
      <c r="AF4201">
        <v>-3.1238590387626801</v>
      </c>
      <c r="AG4201">
        <v>-1.109218085502</v>
      </c>
      <c r="AH4201">
        <v>25.032731956266201</v>
      </c>
      <c r="AI4201">
        <v>92.517654628836596</v>
      </c>
      <c r="AJ4201">
        <v>97.113224070240705</v>
      </c>
      <c r="AK4201">
        <v>25.2512678740996</v>
      </c>
      <c r="AL4201">
        <v>82.5438777289488</v>
      </c>
      <c r="AM4201">
        <v>90.098617919311593</v>
      </c>
      <c r="AN4201">
        <v>1.00000004007884</v>
      </c>
    </row>
    <row r="4202" spans="1:40" x14ac:dyDescent="0.25">
      <c r="A4202" t="str">
        <f>"20190312172201524"</f>
        <v>20190312172201524</v>
      </c>
      <c r="B4202" t="str">
        <f>"1552382521515152"</f>
        <v>1552382521515152</v>
      </c>
      <c r="C4202" t="s">
        <v>40</v>
      </c>
      <c r="D4202">
        <v>3.00101</v>
      </c>
      <c r="E4202">
        <v>0.45356760000000002</v>
      </c>
      <c r="F4202" t="s">
        <v>47</v>
      </c>
      <c r="G4202">
        <v>-304.26679999999999</v>
      </c>
      <c r="H4202" s="1">
        <v>1.8964040000000001E-6</v>
      </c>
      <c r="I4202">
        <v>218.3818</v>
      </c>
      <c r="J4202">
        <v>-329.02679999999998</v>
      </c>
      <c r="K4202">
        <v>1.1092249999999999</v>
      </c>
      <c r="L4202">
        <v>215.05369999999999</v>
      </c>
      <c r="M4202">
        <v>0.99993310000000002</v>
      </c>
      <c r="N4202">
        <v>0</v>
      </c>
      <c r="O4202">
        <v>9.3954420000000004E-3</v>
      </c>
      <c r="P4202">
        <v>0.99234800000000001</v>
      </c>
      <c r="Q4202">
        <v>0.1229856</v>
      </c>
      <c r="R4202">
        <v>1.098268E-2</v>
      </c>
      <c r="S4202">
        <v>3.035431</v>
      </c>
      <c r="T4202">
        <v>-0.134956399999999</v>
      </c>
      <c r="U4202">
        <v>0.4051361</v>
      </c>
      <c r="V4202">
        <v>-1.6489880000000001E-3</v>
      </c>
      <c r="W4202">
        <v>0.12968750000000001</v>
      </c>
      <c r="X4202">
        <v>0.99155349999999998</v>
      </c>
      <c r="Y4202">
        <v>-0.1228669</v>
      </c>
      <c r="Z4202">
        <v>2.3023539999999999E-3</v>
      </c>
      <c r="AA4202">
        <v>0.99242050000000004</v>
      </c>
      <c r="AB4202">
        <v>35</v>
      </c>
      <c r="AC4202">
        <v>24.759999999999899</v>
      </c>
      <c r="AD4202">
        <v>-1.1092231035959901</v>
      </c>
      <c r="AE4202">
        <v>3.3281000000000001</v>
      </c>
      <c r="AF4202">
        <v>-3.0892267624007101</v>
      </c>
      <c r="AG4202">
        <v>-1.1092231035959901</v>
      </c>
      <c r="AH4202">
        <v>24.741403218044699</v>
      </c>
      <c r="AI4202">
        <v>92.5472507954848</v>
      </c>
      <c r="AJ4202">
        <v>97.117152770642306</v>
      </c>
      <c r="AK4202">
        <v>24.958179642773601</v>
      </c>
      <c r="AL4202">
        <v>82.5484651471007</v>
      </c>
      <c r="AM4202">
        <v>90.095284788735199</v>
      </c>
      <c r="AN4202">
        <v>0.99999995508996098</v>
      </c>
    </row>
    <row r="4203" spans="1:40" x14ac:dyDescent="0.25">
      <c r="A4203" t="str">
        <f>"20190312172201545"</f>
        <v>20190312172201545</v>
      </c>
      <c r="B4203" t="str">
        <f>"1552382521534670"</f>
        <v>1552382521534670</v>
      </c>
      <c r="C4203" t="s">
        <v>40</v>
      </c>
      <c r="D4203">
        <v>3.0189349999999999</v>
      </c>
      <c r="E4203">
        <v>0.45334459999999999</v>
      </c>
      <c r="F4203" t="s">
        <v>47</v>
      </c>
      <c r="G4203">
        <v>-304.26729999999998</v>
      </c>
      <c r="H4203" s="1">
        <v>1.896303E-6</v>
      </c>
      <c r="I4203">
        <v>218.36670000000001</v>
      </c>
      <c r="J4203">
        <v>-328.70819999999998</v>
      </c>
      <c r="K4203">
        <v>1.109232</v>
      </c>
      <c r="L4203">
        <v>215.05670000000001</v>
      </c>
      <c r="M4203">
        <v>0.99993259999999995</v>
      </c>
      <c r="N4203">
        <v>0</v>
      </c>
      <c r="O4203">
        <v>9.3812370000000006E-3</v>
      </c>
      <c r="P4203">
        <v>0.99233539999999998</v>
      </c>
      <c r="Q4203">
        <v>0.1231077</v>
      </c>
      <c r="R4203">
        <v>1.0741509999999999E-2</v>
      </c>
      <c r="S4203">
        <v>3.0354920000000001</v>
      </c>
      <c r="T4203">
        <v>-0.13599</v>
      </c>
      <c r="U4203">
        <v>0.40617370000000003</v>
      </c>
      <c r="V4203">
        <v>-1.4215269999999999E-3</v>
      </c>
      <c r="W4203">
        <v>0.12989980000000001</v>
      </c>
      <c r="X4203">
        <v>0.99152609999999997</v>
      </c>
      <c r="Y4203">
        <v>-0.1232096</v>
      </c>
      <c r="Z4203">
        <v>2.3281439999999999E-3</v>
      </c>
      <c r="AA4203">
        <v>0.99237790000000003</v>
      </c>
      <c r="AB4203">
        <v>36</v>
      </c>
      <c r="AC4203">
        <v>24.440899999999999</v>
      </c>
      <c r="AD4203">
        <v>-1.109230103697</v>
      </c>
      <c r="AE4203">
        <v>3.31</v>
      </c>
      <c r="AF4203">
        <v>-3.0743448464153502</v>
      </c>
      <c r="AG4203">
        <v>-1.109230103697</v>
      </c>
      <c r="AH4203">
        <v>24.421481517570701</v>
      </c>
      <c r="AI4203">
        <v>92.580264811390805</v>
      </c>
      <c r="AJ4203">
        <v>97.175045288499604</v>
      </c>
      <c r="AK4203">
        <v>24.639211577700198</v>
      </c>
      <c r="AL4203">
        <v>82.536197764336805</v>
      </c>
      <c r="AM4203">
        <v>90.082143517715593</v>
      </c>
      <c r="AN4203">
        <v>0.99999999288012997</v>
      </c>
    </row>
    <row r="4204" spans="1:40" x14ac:dyDescent="0.25">
      <c r="A4204" t="str">
        <f>"20190312172201566"</f>
        <v>20190312172201566</v>
      </c>
      <c r="B4204" t="str">
        <f>"1552382521555167"</f>
        <v>1552382521555167</v>
      </c>
      <c r="C4204" t="s">
        <v>40</v>
      </c>
      <c r="D4204">
        <v>3.0105300000000002</v>
      </c>
      <c r="E4204">
        <v>0.45313130000000001</v>
      </c>
      <c r="F4204" t="s">
        <v>47</v>
      </c>
      <c r="G4204">
        <v>-304.03460000000001</v>
      </c>
      <c r="H4204" s="1">
        <v>1.9375859999999999E-6</v>
      </c>
      <c r="I4204">
        <v>218.36420000000001</v>
      </c>
      <c r="J4204">
        <v>-328.36500000000001</v>
      </c>
      <c r="K4204">
        <v>1.1092360000000001</v>
      </c>
      <c r="L4204">
        <v>215.0599</v>
      </c>
      <c r="M4204">
        <v>0.99993220000000005</v>
      </c>
      <c r="N4204">
        <v>0</v>
      </c>
      <c r="O4204">
        <v>9.3657819999999996E-3</v>
      </c>
      <c r="P4204">
        <v>0.99232949999999998</v>
      </c>
      <c r="Q4204">
        <v>0.1231892</v>
      </c>
      <c r="R4204">
        <v>1.0350639999999999E-2</v>
      </c>
      <c r="S4204">
        <v>3.0357059999999998</v>
      </c>
      <c r="T4204">
        <v>-0.13647390000000001</v>
      </c>
      <c r="U4204">
        <v>0.40693659999999998</v>
      </c>
      <c r="V4204">
        <v>-1.0461030000000001E-3</v>
      </c>
      <c r="W4204">
        <v>0.13006999999999999</v>
      </c>
      <c r="X4204">
        <v>0.99150430000000001</v>
      </c>
      <c r="Y4204">
        <v>-0.12345970000000001</v>
      </c>
      <c r="Z4204">
        <v>2.3425030000000001E-3</v>
      </c>
      <c r="AA4204">
        <v>0.99234679999999997</v>
      </c>
      <c r="AB4204">
        <v>36</v>
      </c>
      <c r="AC4204">
        <v>24.330400000000001</v>
      </c>
      <c r="AD4204">
        <v>-1.109234062414</v>
      </c>
      <c r="AE4204">
        <v>3.3043000000000098</v>
      </c>
      <c r="AF4204">
        <v>-3.0700109636884401</v>
      </c>
      <c r="AG4204">
        <v>-1.109234062414</v>
      </c>
      <c r="AH4204">
        <v>24.310666540737898</v>
      </c>
      <c r="AI4204">
        <v>92.591892556317205</v>
      </c>
      <c r="AJ4204">
        <v>97.197354421163396</v>
      </c>
      <c r="AK4204">
        <v>24.528837623852802</v>
      </c>
      <c r="AL4204">
        <v>82.526362920320295</v>
      </c>
      <c r="AM4204">
        <v>90.060450836769903</v>
      </c>
      <c r="AN4204">
        <v>1.0000000380749801</v>
      </c>
    </row>
    <row r="4205" spans="1:40" x14ac:dyDescent="0.25">
      <c r="A4205" t="str">
        <f>"20190312172201588"</f>
        <v>20190312172201588</v>
      </c>
      <c r="B4205" t="str">
        <f>"1552382521584447"</f>
        <v>1552382521584447</v>
      </c>
      <c r="C4205" t="s">
        <v>40</v>
      </c>
      <c r="D4205">
        <v>3.036972</v>
      </c>
      <c r="E4205">
        <v>0.45287280000000002</v>
      </c>
      <c r="F4205" t="s">
        <v>47</v>
      </c>
      <c r="G4205">
        <v>-303.78590000000003</v>
      </c>
      <c r="H4205" s="1">
        <v>1.9817029999999999E-6</v>
      </c>
      <c r="I4205">
        <v>218.35810000000001</v>
      </c>
      <c r="J4205">
        <v>-328.0179</v>
      </c>
      <c r="K4205">
        <v>1.1092390000000001</v>
      </c>
      <c r="L4205">
        <v>215.06309999999999</v>
      </c>
      <c r="M4205">
        <v>0.99993169999999998</v>
      </c>
      <c r="N4205">
        <v>0</v>
      </c>
      <c r="O4205">
        <v>9.3502329999999995E-3</v>
      </c>
      <c r="P4205">
        <v>0.99227750000000003</v>
      </c>
      <c r="Q4205">
        <v>0.12363</v>
      </c>
      <c r="R4205">
        <v>1.008241E-2</v>
      </c>
      <c r="S4205">
        <v>3.0359500000000001</v>
      </c>
      <c r="T4205">
        <v>-0.13700970000000001</v>
      </c>
      <c r="U4205">
        <v>0.40739439999999999</v>
      </c>
      <c r="V4205">
        <v>-7.9358009999999895E-4</v>
      </c>
      <c r="W4205">
        <v>0.13059100000000001</v>
      </c>
      <c r="X4205">
        <v>0.99143599999999998</v>
      </c>
      <c r="Y4205">
        <v>-0.1236106</v>
      </c>
      <c r="Z4205">
        <v>2.3555669999999998E-3</v>
      </c>
      <c r="AA4205">
        <v>0.99232799999999999</v>
      </c>
      <c r="AB4205">
        <v>36</v>
      </c>
      <c r="AC4205">
        <v>24.2319999999999</v>
      </c>
      <c r="AD4205">
        <v>-1.1092370182969999</v>
      </c>
      <c r="AE4205">
        <v>3.2950000000000101</v>
      </c>
      <c r="AF4205">
        <v>-3.0619759042650698</v>
      </c>
      <c r="AG4205">
        <v>-1.1092370182969999</v>
      </c>
      <c r="AH4205">
        <v>24.211937396303401</v>
      </c>
      <c r="AI4205">
        <v>92.602394771716206</v>
      </c>
      <c r="AJ4205">
        <v>97.207679192318295</v>
      </c>
      <c r="AK4205">
        <v>24.429981901007899</v>
      </c>
      <c r="AL4205">
        <v>82.496254659305293</v>
      </c>
      <c r="AM4205">
        <v>90.045861538944493</v>
      </c>
      <c r="AN4205">
        <v>0.999999990573187</v>
      </c>
    </row>
    <row r="4206" spans="1:40" x14ac:dyDescent="0.25">
      <c r="A4206" t="str">
        <f>"20190312172201602"</f>
        <v>20190312172201602</v>
      </c>
      <c r="B4206" t="str">
        <f>"1552382521595183"</f>
        <v>1552382521595183</v>
      </c>
      <c r="C4206" t="s">
        <v>40</v>
      </c>
      <c r="D4206">
        <v>3.0375890000000001</v>
      </c>
      <c r="E4206">
        <v>0.45274920000000002</v>
      </c>
      <c r="F4206" t="s">
        <v>47</v>
      </c>
      <c r="G4206">
        <v>-303.41820000000001</v>
      </c>
      <c r="H4206" s="1">
        <v>2.0469280000000002E-6</v>
      </c>
      <c r="I4206">
        <v>218.37119999999999</v>
      </c>
      <c r="J4206">
        <v>-327.77879999999999</v>
      </c>
      <c r="K4206">
        <v>1.1092420000000001</v>
      </c>
      <c r="L4206">
        <v>215.06530000000001</v>
      </c>
      <c r="M4206">
        <v>0.99993140000000003</v>
      </c>
      <c r="N4206">
        <v>0</v>
      </c>
      <c r="O4206">
        <v>9.3394959999999992E-3</v>
      </c>
      <c r="P4206">
        <v>0.99224710000000005</v>
      </c>
      <c r="Q4206">
        <v>0.1238712</v>
      </c>
      <c r="R4206">
        <v>1.0088710000000001E-2</v>
      </c>
      <c r="S4206">
        <v>3.0362239999999998</v>
      </c>
      <c r="T4206">
        <v>-0.1369081</v>
      </c>
      <c r="U4206">
        <v>0.4083099</v>
      </c>
      <c r="V4206">
        <v>-8.1104039999999999E-4</v>
      </c>
      <c r="W4206">
        <v>0.13088359999999999</v>
      </c>
      <c r="X4206">
        <v>0.99139739999999998</v>
      </c>
      <c r="Y4206">
        <v>-0.1239032</v>
      </c>
      <c r="Z4206">
        <v>2.3606090000000001E-3</v>
      </c>
      <c r="AA4206">
        <v>0.99229149999999999</v>
      </c>
      <c r="AB4206">
        <v>36</v>
      </c>
      <c r="AC4206">
        <v>24.360599999999899</v>
      </c>
      <c r="AD4206">
        <v>-1.1092399530720001</v>
      </c>
      <c r="AE4206">
        <v>3.3058999999999799</v>
      </c>
      <c r="AF4206">
        <v>-3.0719802509984802</v>
      </c>
      <c r="AG4206">
        <v>-1.1092399530720001</v>
      </c>
      <c r="AH4206">
        <v>24.340858910306</v>
      </c>
      <c r="AI4206">
        <v>92.588720010857699</v>
      </c>
      <c r="AJ4206">
        <v>97.193083141584907</v>
      </c>
      <c r="AK4206">
        <v>24.559008294868899</v>
      </c>
      <c r="AL4206">
        <v>82.479344770123106</v>
      </c>
      <c r="AM4206">
        <v>90.046872406128998</v>
      </c>
      <c r="AN4206">
        <v>0.99999998963112502</v>
      </c>
    </row>
    <row r="4207" spans="1:40" x14ac:dyDescent="0.25">
      <c r="A4207" t="str">
        <f>"20190312172201615"</f>
        <v>20190312172201615</v>
      </c>
      <c r="B4207" t="str">
        <f>"1552382521604943"</f>
        <v>1552382521604943</v>
      </c>
      <c r="C4207" t="s">
        <v>40</v>
      </c>
      <c r="D4207">
        <v>3.0528400000000002</v>
      </c>
      <c r="E4207">
        <v>0.45262039999999998</v>
      </c>
      <c r="F4207" t="s">
        <v>47</v>
      </c>
      <c r="G4207">
        <v>-303.18849999999998</v>
      </c>
      <c r="H4207" s="1">
        <v>2.087663E-6</v>
      </c>
      <c r="I4207">
        <v>218.37989999999999</v>
      </c>
      <c r="J4207">
        <v>-327.57870000000003</v>
      </c>
      <c r="K4207">
        <v>1.1092470000000001</v>
      </c>
      <c r="L4207">
        <v>215.06720000000001</v>
      </c>
      <c r="M4207">
        <v>0.99993129999999997</v>
      </c>
      <c r="N4207">
        <v>0</v>
      </c>
      <c r="O4207">
        <v>9.3301129999999993E-3</v>
      </c>
      <c r="P4207">
        <v>0.99224789999999996</v>
      </c>
      <c r="Q4207">
        <v>0.1238886</v>
      </c>
      <c r="R4207">
        <v>9.7976480000000008E-3</v>
      </c>
      <c r="S4207">
        <v>3.0363769999999999</v>
      </c>
      <c r="T4207">
        <v>-0.136967899999999</v>
      </c>
      <c r="U4207">
        <v>0.4092865</v>
      </c>
      <c r="V4207">
        <v>-5.2928610000000005E-4</v>
      </c>
      <c r="W4207">
        <v>0.13094130000000001</v>
      </c>
      <c r="X4207">
        <v>0.99138999999999999</v>
      </c>
      <c r="Y4207">
        <v>-0.124219</v>
      </c>
      <c r="Z4207">
        <v>2.3689779999999999E-3</v>
      </c>
      <c r="AA4207">
        <v>0.99225200000000002</v>
      </c>
      <c r="AB4207">
        <v>36</v>
      </c>
      <c r="AC4207">
        <v>24.3902</v>
      </c>
      <c r="AD4207">
        <v>-1.1092449123369901</v>
      </c>
      <c r="AE4207">
        <v>3.3126999999999698</v>
      </c>
      <c r="AF4207">
        <v>-3.07873419323098</v>
      </c>
      <c r="AG4207">
        <v>-1.1092449123369901</v>
      </c>
      <c r="AH4207">
        <v>24.3705531503361</v>
      </c>
      <c r="AI4207">
        <v>92.585542030706407</v>
      </c>
      <c r="AJ4207">
        <v>97.200040175819893</v>
      </c>
      <c r="AK4207">
        <v>24.589284035153799</v>
      </c>
      <c r="AL4207">
        <v>82.476010321038501</v>
      </c>
      <c r="AM4207">
        <v>90.030589230074597</v>
      </c>
      <c r="AN4207">
        <v>1.0000000181447299</v>
      </c>
    </row>
    <row r="4208" spans="1:40" x14ac:dyDescent="0.25">
      <c r="A4208" t="str">
        <f>"20190312172201628"</f>
        <v>20190312172201628</v>
      </c>
      <c r="B4208" t="str">
        <f>"1552382521624463"</f>
        <v>1552382521624463</v>
      </c>
      <c r="C4208" t="s">
        <v>40</v>
      </c>
      <c r="D4208">
        <v>3.062433</v>
      </c>
      <c r="E4208">
        <v>0.45241730000000002</v>
      </c>
      <c r="F4208" t="s">
        <v>47</v>
      </c>
      <c r="G4208">
        <v>-303.07010000000002</v>
      </c>
      <c r="H4208" s="1">
        <v>2.1086769999999998E-6</v>
      </c>
      <c r="I4208">
        <v>218.37260000000001</v>
      </c>
      <c r="J4208">
        <v>-327.38310000000001</v>
      </c>
      <c r="K4208">
        <v>1.109246</v>
      </c>
      <c r="L4208">
        <v>215.06899999999999</v>
      </c>
      <c r="M4208">
        <v>0.99993100000000001</v>
      </c>
      <c r="N4208">
        <v>0</v>
      </c>
      <c r="O4208">
        <v>9.3212109999999994E-3</v>
      </c>
      <c r="P4208">
        <v>0.99215880000000001</v>
      </c>
      <c r="Q4208">
        <v>0.12461469999999999</v>
      </c>
      <c r="R4208">
        <v>9.6062089999999992E-3</v>
      </c>
      <c r="S4208">
        <v>3.03653</v>
      </c>
      <c r="T4208">
        <v>-0.13743159999999999</v>
      </c>
      <c r="U4208">
        <v>0.40953060000000002</v>
      </c>
      <c r="V4208">
        <v>-3.4724909999999998E-4</v>
      </c>
      <c r="W4208">
        <v>0.13170470000000001</v>
      </c>
      <c r="X4208">
        <v>0.99128890000000003</v>
      </c>
      <c r="Y4208">
        <v>-0.1242987</v>
      </c>
      <c r="Z4208">
        <v>2.3790550000000001E-3</v>
      </c>
      <c r="AA4208">
        <v>0.99224199999999996</v>
      </c>
      <c r="AB4208">
        <v>36</v>
      </c>
      <c r="AC4208">
        <v>24.312999999999899</v>
      </c>
      <c r="AD4208">
        <v>-1.1092438913230001</v>
      </c>
      <c r="AE4208">
        <v>3.3035999999999799</v>
      </c>
      <c r="AF4208">
        <v>-3.0705485860716499</v>
      </c>
      <c r="AG4208">
        <v>-1.1092438913230001</v>
      </c>
      <c r="AH4208">
        <v>24.293088583164302</v>
      </c>
      <c r="AI4208">
        <v>92.593751824818398</v>
      </c>
      <c r="AJ4208">
        <v>97.2037556593895</v>
      </c>
      <c r="AK4208">
        <v>24.511483911410402</v>
      </c>
      <c r="AL4208">
        <v>82.431888214947705</v>
      </c>
      <c r="AM4208">
        <v>90.020070745325498</v>
      </c>
      <c r="AN4208">
        <v>0.99999996592361795</v>
      </c>
    </row>
    <row r="4209" spans="1:40" x14ac:dyDescent="0.25">
      <c r="A4209" t="str">
        <f>"20190312172201644"</f>
        <v>20190312172201644</v>
      </c>
      <c r="B4209" t="str">
        <f>"1552382521634730"</f>
        <v>1552382521634730</v>
      </c>
      <c r="C4209" t="s">
        <v>40</v>
      </c>
      <c r="D4209">
        <v>3.054322</v>
      </c>
      <c r="E4209">
        <v>0.45230900000000002</v>
      </c>
      <c r="F4209" t="s">
        <v>47</v>
      </c>
      <c r="G4209">
        <v>-302.48790000000002</v>
      </c>
      <c r="H4209" s="1">
        <v>2.211941E-6</v>
      </c>
      <c r="I4209">
        <v>218.43510000000001</v>
      </c>
      <c r="J4209">
        <v>-327.1157</v>
      </c>
      <c r="K4209">
        <v>1.109254</v>
      </c>
      <c r="L4209">
        <v>215.07149999999999</v>
      </c>
      <c r="M4209">
        <v>0.99993089999999996</v>
      </c>
      <c r="N4209">
        <v>0</v>
      </c>
      <c r="O4209">
        <v>9.3089799999999997E-3</v>
      </c>
      <c r="P4209">
        <v>0.99218799999999996</v>
      </c>
      <c r="Q4209">
        <v>0.1243901</v>
      </c>
      <c r="R4209">
        <v>9.5232349999999997E-3</v>
      </c>
      <c r="S4209">
        <v>3.0367739999999999</v>
      </c>
      <c r="T4209">
        <v>-0.13530799999999901</v>
      </c>
      <c r="U4209">
        <v>0.41059879999999999</v>
      </c>
      <c r="V4209">
        <v>-2.763528E-4</v>
      </c>
      <c r="W4209">
        <v>0.13153219999999999</v>
      </c>
      <c r="X4209">
        <v>0.99131179999999997</v>
      </c>
      <c r="Y4209">
        <v>-0.1246462</v>
      </c>
      <c r="Z4209">
        <v>2.3503349999999998E-3</v>
      </c>
      <c r="AA4209">
        <v>0.99219849999999998</v>
      </c>
      <c r="AB4209">
        <v>36</v>
      </c>
      <c r="AC4209">
        <v>24.627799999999901</v>
      </c>
      <c r="AD4209">
        <v>-1.109251788059</v>
      </c>
      <c r="AE4209">
        <v>3.3636000000000101</v>
      </c>
      <c r="AF4209">
        <v>-3.1279592798442399</v>
      </c>
      <c r="AG4209">
        <v>-1.109251788059</v>
      </c>
      <c r="AH4209">
        <v>24.609036171965698</v>
      </c>
      <c r="AI4209">
        <v>92.560287757736504</v>
      </c>
      <c r="AJ4209">
        <v>97.243801087298294</v>
      </c>
      <c r="AK4209">
        <v>24.831818904357199</v>
      </c>
      <c r="AL4209">
        <v>82.441858280094095</v>
      </c>
      <c r="AM4209">
        <v>90.015972622021096</v>
      </c>
      <c r="AN4209">
        <v>0.99999994041347295</v>
      </c>
    </row>
    <row r="4210" spans="1:40" x14ac:dyDescent="0.25">
      <c r="A4210" t="str">
        <f>"20190312172201667"</f>
        <v>20190312172201667</v>
      </c>
      <c r="B4210" t="str">
        <f>"1552382521664987"</f>
        <v>1552382521664987</v>
      </c>
      <c r="C4210" t="s">
        <v>40</v>
      </c>
      <c r="D4210">
        <v>3.1779519999999999</v>
      </c>
      <c r="E4210">
        <v>0.45197280000000001</v>
      </c>
      <c r="F4210" t="s">
        <v>47</v>
      </c>
      <c r="G4210">
        <v>-302.51459999999997</v>
      </c>
      <c r="H4210" s="1">
        <v>2.207215E-6</v>
      </c>
      <c r="I4210">
        <v>218.4015</v>
      </c>
      <c r="J4210">
        <v>-326.74400000000003</v>
      </c>
      <c r="K4210">
        <v>1.109262</v>
      </c>
      <c r="L4210">
        <v>215.07490000000001</v>
      </c>
      <c r="M4210">
        <v>0.99993050000000006</v>
      </c>
      <c r="N4210">
        <v>0</v>
      </c>
      <c r="O4210">
        <v>9.2920729999999997E-3</v>
      </c>
      <c r="P4210">
        <v>0.99223660000000002</v>
      </c>
      <c r="Q4210">
        <v>0.12402009999999999</v>
      </c>
      <c r="R4210">
        <v>9.2666729999999996E-3</v>
      </c>
      <c r="S4210">
        <v>3.0368650000000001</v>
      </c>
      <c r="T4210">
        <v>-0.13693060000000001</v>
      </c>
      <c r="U4210">
        <v>0.41107179999999999</v>
      </c>
      <c r="V4210" s="1">
        <v>-3.5979989999999997E-5</v>
      </c>
      <c r="W4210">
        <v>0.1312372</v>
      </c>
      <c r="X4210">
        <v>0.99135099999999998</v>
      </c>
      <c r="Y4210">
        <v>-0.1248079</v>
      </c>
      <c r="Z4210">
        <v>2.3827800000000001E-3</v>
      </c>
      <c r="AA4210">
        <v>0.99217809999999995</v>
      </c>
      <c r="AB4210">
        <v>36</v>
      </c>
      <c r="AC4210">
        <v>24.229399999999998</v>
      </c>
      <c r="AD4210">
        <v>-1.1092597927850001</v>
      </c>
      <c r="AE4210">
        <v>3.32659999999998</v>
      </c>
      <c r="AF4210">
        <v>-3.0949422619867799</v>
      </c>
      <c r="AG4210">
        <v>-1.1092597927850001</v>
      </c>
      <c r="AH4210">
        <v>24.209462669697199</v>
      </c>
      <c r="AI4210">
        <v>92.602266755068996</v>
      </c>
      <c r="AJ4210">
        <v>97.285187183609395</v>
      </c>
      <c r="AK4210">
        <v>24.431684502882401</v>
      </c>
      <c r="AL4210">
        <v>82.458908821948697</v>
      </c>
      <c r="AM4210">
        <v>90.002079487056506</v>
      </c>
      <c r="AN4210">
        <v>1.00000000457969</v>
      </c>
    </row>
    <row r="4211" spans="1:40" x14ac:dyDescent="0.25">
      <c r="A4211" t="str">
        <f>"20190312172201689"</f>
        <v>20190312172201689</v>
      </c>
      <c r="B4211" t="str">
        <f>"1552382521684507"</f>
        <v>1552382521684507</v>
      </c>
      <c r="C4211" t="s">
        <v>40</v>
      </c>
      <c r="D4211">
        <v>3.0511249999999999</v>
      </c>
      <c r="E4211">
        <v>0.4518007</v>
      </c>
      <c r="F4211" t="s">
        <v>47</v>
      </c>
      <c r="G4211">
        <v>-302.59269999999998</v>
      </c>
      <c r="H4211" s="1">
        <v>2.1933499999999999E-6</v>
      </c>
      <c r="I4211">
        <v>218.35579999999999</v>
      </c>
      <c r="J4211">
        <v>-326.39010000000002</v>
      </c>
      <c r="K4211">
        <v>1.1092630000000001</v>
      </c>
      <c r="L4211">
        <v>215.07820000000001</v>
      </c>
      <c r="M4211">
        <v>0.99992999999999999</v>
      </c>
      <c r="N4211">
        <v>0</v>
      </c>
      <c r="O4211">
        <v>9.2761749999999994E-3</v>
      </c>
      <c r="P4211">
        <v>0.99228899999999998</v>
      </c>
      <c r="Q4211">
        <v>0.12363109999999999</v>
      </c>
      <c r="R4211">
        <v>8.8408649999999998E-3</v>
      </c>
      <c r="S4211">
        <v>3.037048</v>
      </c>
      <c r="T4211">
        <v>-0.1394908</v>
      </c>
      <c r="U4211">
        <v>0.41256710000000002</v>
      </c>
      <c r="V4211">
        <v>3.7453889999999998E-4</v>
      </c>
      <c r="W4211">
        <v>0.13092239999999999</v>
      </c>
      <c r="X4211">
        <v>0.99139259999999996</v>
      </c>
      <c r="Y4211">
        <v>-0.1252906</v>
      </c>
      <c r="Z4211">
        <v>2.4388140000000001E-3</v>
      </c>
      <c r="AA4211">
        <v>0.99211709999999997</v>
      </c>
      <c r="AB4211">
        <v>36</v>
      </c>
      <c r="AC4211">
        <v>23.7974</v>
      </c>
      <c r="AD4211">
        <v>-1.10926080664999</v>
      </c>
      <c r="AE4211">
        <v>3.2775999999999699</v>
      </c>
      <c r="AF4211">
        <v>-3.0502002479977</v>
      </c>
      <c r="AG4211">
        <v>-1.10926080664999</v>
      </c>
      <c r="AH4211">
        <v>23.776082870829601</v>
      </c>
      <c r="AI4211">
        <v>92.649485651476098</v>
      </c>
      <c r="AJ4211">
        <v>97.310464402559603</v>
      </c>
      <c r="AK4211">
        <v>23.9965892945355</v>
      </c>
      <c r="AL4211">
        <v>82.477102864645701</v>
      </c>
      <c r="AM4211">
        <v>89.978354188630604</v>
      </c>
      <c r="AN4211">
        <v>1.0000000512179501</v>
      </c>
    </row>
    <row r="4212" spans="1:40" x14ac:dyDescent="0.25">
      <c r="A4212" t="str">
        <f>"20190312172201712"</f>
        <v>20190312172201712</v>
      </c>
      <c r="B4212" t="str">
        <f>"1552382521705002"</f>
        <v>1552382521705002</v>
      </c>
      <c r="C4212" t="s">
        <v>40</v>
      </c>
      <c r="D4212">
        <v>3.0384639999999998</v>
      </c>
      <c r="E4212">
        <v>0.45161869999999998</v>
      </c>
      <c r="F4212" t="s">
        <v>47</v>
      </c>
      <c r="G4212">
        <v>-302.56880000000001</v>
      </c>
      <c r="H4212" s="1">
        <v>2.197604E-6</v>
      </c>
      <c r="I4212">
        <v>218.31139999999999</v>
      </c>
      <c r="J4212">
        <v>-326.01769999999999</v>
      </c>
      <c r="K4212">
        <v>1.109273</v>
      </c>
      <c r="L4212">
        <v>215.08170000000001</v>
      </c>
      <c r="M4212">
        <v>0.99992950000000003</v>
      </c>
      <c r="N4212">
        <v>0</v>
      </c>
      <c r="O4212">
        <v>9.2597570000000004E-3</v>
      </c>
      <c r="P4212">
        <v>0.99232690000000001</v>
      </c>
      <c r="Q4212">
        <v>0.12341149999999999</v>
      </c>
      <c r="R4212">
        <v>7.5553590000000002E-3</v>
      </c>
      <c r="S4212">
        <v>3.0372309999999998</v>
      </c>
      <c r="T4212">
        <v>-0.14143129999999901</v>
      </c>
      <c r="U4212">
        <v>0.41223140000000003</v>
      </c>
      <c r="V4212">
        <v>1.6442080000000001E-3</v>
      </c>
      <c r="W4212">
        <v>0.13078809999999999</v>
      </c>
      <c r="X4212">
        <v>0.99140899999999998</v>
      </c>
      <c r="Y4212">
        <v>-0.12518799999999999</v>
      </c>
      <c r="Z4212">
        <v>2.470959E-3</v>
      </c>
      <c r="AA4212">
        <v>0.99212999999999996</v>
      </c>
      <c r="AB4212">
        <v>36</v>
      </c>
      <c r="AC4212">
        <v>23.448899999999899</v>
      </c>
      <c r="AD4212">
        <v>-1.1092708023959901</v>
      </c>
      <c r="AE4212">
        <v>3.2296999999999798</v>
      </c>
      <c r="AF4212">
        <v>-3.0058230739706699</v>
      </c>
      <c r="AG4212">
        <v>-1.1092708023959901</v>
      </c>
      <c r="AH4212">
        <v>23.426353129278102</v>
      </c>
      <c r="AI4212">
        <v>92.688999054259796</v>
      </c>
      <c r="AJ4212">
        <v>97.311641414511499</v>
      </c>
      <c r="AK4212">
        <v>23.644438563914001</v>
      </c>
      <c r="AL4212">
        <v>82.484864173513998</v>
      </c>
      <c r="AM4212">
        <v>89.904977569629494</v>
      </c>
      <c r="AN4212">
        <v>1.00000001790127</v>
      </c>
    </row>
    <row r="4213" spans="1:40" x14ac:dyDescent="0.25">
      <c r="A4213" t="str">
        <f>"20190312172201725"</f>
        <v>20190312172201725</v>
      </c>
      <c r="B4213" t="str">
        <f>"1552382521714763"</f>
        <v>1552382521714763</v>
      </c>
      <c r="C4213" t="s">
        <v>40</v>
      </c>
      <c r="D4213">
        <v>3.0551759999999999</v>
      </c>
      <c r="E4213">
        <v>0.45152369999999997</v>
      </c>
      <c r="F4213" t="s">
        <v>47</v>
      </c>
      <c r="G4213">
        <v>-302.40480000000002</v>
      </c>
      <c r="H4213" s="1">
        <v>2.226694E-6</v>
      </c>
      <c r="I4213">
        <v>218.26439999999999</v>
      </c>
      <c r="J4213">
        <v>-325.81110000000001</v>
      </c>
      <c r="K4213">
        <v>1.109281</v>
      </c>
      <c r="L4213">
        <v>215.08359999999999</v>
      </c>
      <c r="M4213">
        <v>0.99992919999999996</v>
      </c>
      <c r="N4213">
        <v>0</v>
      </c>
      <c r="O4213">
        <v>9.2505E-3</v>
      </c>
      <c r="P4213">
        <v>0.99232039999999999</v>
      </c>
      <c r="Q4213">
        <v>0.1235098</v>
      </c>
      <c r="R4213">
        <v>6.7708309999999997E-3</v>
      </c>
      <c r="S4213">
        <v>3.0378419999999999</v>
      </c>
      <c r="T4213">
        <v>-0.14270949999999999</v>
      </c>
      <c r="U4213">
        <v>0.40946959999999999</v>
      </c>
      <c r="V4213">
        <v>2.4194849999999999E-3</v>
      </c>
      <c r="W4213">
        <v>0.1309371</v>
      </c>
      <c r="X4213">
        <v>0.99138769999999998</v>
      </c>
      <c r="Y4213">
        <v>-0.12428350000000001</v>
      </c>
      <c r="Z4213">
        <v>2.4722170000000001E-3</v>
      </c>
      <c r="AA4213">
        <v>0.9922436</v>
      </c>
      <c r="AB4213">
        <v>36</v>
      </c>
      <c r="AC4213">
        <v>23.406299999999899</v>
      </c>
      <c r="AD4213">
        <v>-1.1092787733060001</v>
      </c>
      <c r="AE4213">
        <v>3.1808000000000001</v>
      </c>
      <c r="AF4213">
        <v>-2.9576154078658901</v>
      </c>
      <c r="AG4213">
        <v>-1.1092787733060001</v>
      </c>
      <c r="AH4213">
        <v>23.383156280622401</v>
      </c>
      <c r="AI4213">
        <v>92.694593967761605</v>
      </c>
      <c r="AJ4213">
        <v>97.208768714093296</v>
      </c>
      <c r="AK4213">
        <v>23.595550130093699</v>
      </c>
      <c r="AL4213">
        <v>82.476252725795504</v>
      </c>
      <c r="AM4213">
        <v>89.860169735942605</v>
      </c>
      <c r="AN4213">
        <v>0.999999974887682</v>
      </c>
    </row>
    <row r="4214" spans="1:40" x14ac:dyDescent="0.25">
      <c r="A4214" t="str">
        <f>"20190312172201746"</f>
        <v>20190312172201746</v>
      </c>
      <c r="B4214" t="str">
        <f>"1552382521734789"</f>
        <v>1552382521734789</v>
      </c>
      <c r="C4214" t="s">
        <v>40</v>
      </c>
      <c r="D4214">
        <v>3.1496379999999999</v>
      </c>
      <c r="E4214">
        <v>0.451515</v>
      </c>
      <c r="F4214" t="s">
        <v>47</v>
      </c>
      <c r="G4214">
        <v>-302.24029999999999</v>
      </c>
      <c r="H4214" s="1">
        <v>2.2558730000000002E-6</v>
      </c>
      <c r="I4214">
        <v>218.24760000000001</v>
      </c>
      <c r="J4214">
        <v>-325.4778</v>
      </c>
      <c r="K4214">
        <v>1.109291</v>
      </c>
      <c r="L4214">
        <v>215.0866</v>
      </c>
      <c r="M4214">
        <v>0.9999287</v>
      </c>
      <c r="N4214">
        <v>0</v>
      </c>
      <c r="O4214">
        <v>9.2355570000000001E-3</v>
      </c>
      <c r="P4214">
        <v>0.99234860000000003</v>
      </c>
      <c r="Q4214">
        <v>0.12334389999999899</v>
      </c>
      <c r="R4214">
        <v>5.5377029999999997E-3</v>
      </c>
      <c r="S4214">
        <v>3.0382389999999999</v>
      </c>
      <c r="T4214">
        <v>-0.1429841</v>
      </c>
      <c r="U4214">
        <v>0.4078369</v>
      </c>
      <c r="V4214">
        <v>3.638002E-3</v>
      </c>
      <c r="W4214">
        <v>0.13085859999999999</v>
      </c>
      <c r="X4214">
        <v>0.99139440000000001</v>
      </c>
      <c r="Y4214">
        <v>-0.12375750000000001</v>
      </c>
      <c r="Z4214">
        <v>2.4651220000000001E-3</v>
      </c>
      <c r="AA4214">
        <v>0.99230949999999996</v>
      </c>
      <c r="AB4214">
        <v>36</v>
      </c>
      <c r="AC4214">
        <v>23.237500000000001</v>
      </c>
      <c r="AD4214">
        <v>-1.1092887441270001</v>
      </c>
      <c r="AE4214">
        <v>3.161</v>
      </c>
      <c r="AF4214">
        <v>-2.9396704966311198</v>
      </c>
      <c r="AG4214">
        <v>-1.1092887441270001</v>
      </c>
      <c r="AH4214">
        <v>23.213764377966399</v>
      </c>
      <c r="AI4214">
        <v>92.714200989190203</v>
      </c>
      <c r="AJ4214">
        <v>97.217224036256596</v>
      </c>
      <c r="AK4214">
        <v>23.425435764193399</v>
      </c>
      <c r="AL4214">
        <v>82.480789913668801</v>
      </c>
      <c r="AM4214">
        <v>89.789749442953706</v>
      </c>
      <c r="AN4214">
        <v>1.00000003230193</v>
      </c>
    </row>
    <row r="4215" spans="1:40" x14ac:dyDescent="0.25">
      <c r="A4215" t="str">
        <f>"20190312172201767"</f>
        <v>20190312172201767</v>
      </c>
      <c r="B4215" t="str">
        <f>"1552382521765045"</f>
        <v>1552382521765045</v>
      </c>
      <c r="C4215" t="s">
        <v>40</v>
      </c>
      <c r="D4215">
        <v>3.2616100000000001</v>
      </c>
      <c r="E4215">
        <v>0.49748589999999998</v>
      </c>
      <c r="F4215" t="s">
        <v>47</v>
      </c>
      <c r="G4215">
        <v>-302.0027</v>
      </c>
      <c r="H4215" s="1">
        <v>2.2980229999999999E-6</v>
      </c>
      <c r="I4215">
        <v>218.20779999999999</v>
      </c>
      <c r="J4215">
        <v>-325.11380000000003</v>
      </c>
      <c r="K4215">
        <v>1.1092959999999901</v>
      </c>
      <c r="L4215">
        <v>215.09</v>
      </c>
      <c r="M4215">
        <v>0.99992820000000004</v>
      </c>
      <c r="N4215">
        <v>0</v>
      </c>
      <c r="O4215">
        <v>9.2190669999999992E-3</v>
      </c>
      <c r="P4215">
        <v>0.99242090000000005</v>
      </c>
      <c r="Q4215">
        <v>0.12281789999999899</v>
      </c>
      <c r="R4215">
        <v>4.1025230000000003E-3</v>
      </c>
      <c r="S4215">
        <v>3.0387569999999999</v>
      </c>
      <c r="T4215">
        <v>-0.14359240000000001</v>
      </c>
      <c r="U4215">
        <v>0.4040222</v>
      </c>
      <c r="V4215">
        <v>5.0574749999999996E-3</v>
      </c>
      <c r="W4215">
        <v>0.13043399999999999</v>
      </c>
      <c r="X4215">
        <v>0.99144410000000005</v>
      </c>
      <c r="Y4215">
        <v>-0.1225279</v>
      </c>
      <c r="Z4215">
        <v>2.4472470000000001E-3</v>
      </c>
      <c r="AA4215">
        <v>0.99246199999999996</v>
      </c>
      <c r="AB4215">
        <v>36</v>
      </c>
      <c r="AC4215">
        <v>23.1111</v>
      </c>
      <c r="AD4215">
        <v>-1.1092937019769999</v>
      </c>
      <c r="AE4215">
        <v>3.1177999999999799</v>
      </c>
      <c r="AF4215">
        <v>-2.89804119567206</v>
      </c>
      <c r="AG4215">
        <v>-1.1092937019769999</v>
      </c>
      <c r="AH4215">
        <v>23.086624697880001</v>
      </c>
      <c r="AI4215">
        <v>92.729511931524101</v>
      </c>
      <c r="AJ4215">
        <v>97.154858264995795</v>
      </c>
      <c r="AK4215">
        <v>23.294235665284699</v>
      </c>
      <c r="AL4215">
        <v>82.505327809685198</v>
      </c>
      <c r="AM4215">
        <v>89.707729907207096</v>
      </c>
      <c r="AN4215">
        <v>1.0000000049170901</v>
      </c>
    </row>
    <row r="4216" spans="1:40" x14ac:dyDescent="0.25">
      <c r="A4216" t="str">
        <f>"20190312172201790"</f>
        <v>20190312172201790</v>
      </c>
      <c r="B4216" t="str">
        <f>"1552382521784566"</f>
        <v>1552382521784566</v>
      </c>
      <c r="C4216" t="s">
        <v>40</v>
      </c>
      <c r="D4216">
        <v>3.1309209999999998</v>
      </c>
      <c r="E4216">
        <v>0.5072622</v>
      </c>
      <c r="F4216" t="s">
        <v>47</v>
      </c>
      <c r="G4216">
        <v>-300.46260000000001</v>
      </c>
      <c r="H4216" s="1">
        <v>2.5711950000000001E-6</v>
      </c>
      <c r="I4216">
        <v>215.35650000000001</v>
      </c>
      <c r="J4216">
        <v>-324.75659999999999</v>
      </c>
      <c r="K4216">
        <v>1.109313</v>
      </c>
      <c r="L4216">
        <v>215.0933</v>
      </c>
      <c r="M4216">
        <v>0.99992749999999997</v>
      </c>
      <c r="N4216">
        <v>0</v>
      </c>
      <c r="O4216">
        <v>9.2030429999999993E-3</v>
      </c>
      <c r="P4216">
        <v>0.99243530000000002</v>
      </c>
      <c r="Q4216">
        <v>0.12273009999999999</v>
      </c>
      <c r="R4216">
        <v>3.155358E-3</v>
      </c>
      <c r="S4216">
        <v>3.0397029999999998</v>
      </c>
      <c r="T4216">
        <v>-0.13678570000000001</v>
      </c>
      <c r="U4216">
        <v>3.2867430000000003E-2</v>
      </c>
      <c r="V4216">
        <v>5.9887079999999997E-3</v>
      </c>
      <c r="W4216">
        <v>0.1304487</v>
      </c>
      <c r="X4216">
        <v>0.99143700000000001</v>
      </c>
      <c r="Y4216">
        <v>-1.616513E-3</v>
      </c>
      <c r="Z4216">
        <v>-3.7756379999999998E-4</v>
      </c>
      <c r="AA4216">
        <v>0.99999859999999896</v>
      </c>
      <c r="AB4216">
        <v>36</v>
      </c>
      <c r="AC4216">
        <v>24.293999999999901</v>
      </c>
      <c r="AD4216">
        <v>-1.109310428805</v>
      </c>
      <c r="AE4216">
        <v>0.26320000000001098</v>
      </c>
      <c r="AF4216">
        <v>-3.9520993398379299E-2</v>
      </c>
      <c r="AG4216">
        <v>-1.109310428805</v>
      </c>
      <c r="AH4216">
        <v>24.244848609237401</v>
      </c>
      <c r="AI4216">
        <v>92.619708015387999</v>
      </c>
      <c r="AJ4216">
        <v>90.093396504749606</v>
      </c>
      <c r="AK4216">
        <v>24.2702454792121</v>
      </c>
      <c r="AL4216">
        <v>82.504478465992193</v>
      </c>
      <c r="AM4216">
        <v>89.653912936460202</v>
      </c>
      <c r="AN4216">
        <v>1.0000000264620901</v>
      </c>
    </row>
    <row r="4217" spans="1:40" x14ac:dyDescent="0.25">
      <c r="A4217" t="str">
        <f>"20190312172201805"</f>
        <v>20190312172201805</v>
      </c>
      <c r="B4217" t="str">
        <f>"1552382521795302"</f>
        <v>1552382521795302</v>
      </c>
      <c r="C4217" t="s">
        <v>40</v>
      </c>
      <c r="D4217">
        <v>3.135767</v>
      </c>
      <c r="E4217">
        <v>0.5099127</v>
      </c>
      <c r="F4217" t="s">
        <v>47</v>
      </c>
      <c r="G4217">
        <v>-300.3963</v>
      </c>
      <c r="H4217" s="1">
        <v>2.5829639999999999E-6</v>
      </c>
      <c r="I4217">
        <v>214.7073</v>
      </c>
      <c r="J4217">
        <v>-324.51440000000002</v>
      </c>
      <c r="K4217">
        <v>1.1093230000000001</v>
      </c>
      <c r="L4217">
        <v>215.09549999999999</v>
      </c>
      <c r="M4217">
        <v>0.99992689999999995</v>
      </c>
      <c r="N4217">
        <v>0</v>
      </c>
      <c r="O4217">
        <v>9.1923300000000003E-3</v>
      </c>
      <c r="P4217">
        <v>0.99246080000000003</v>
      </c>
      <c r="Q4217">
        <v>0.1225368</v>
      </c>
      <c r="R4217">
        <v>2.565557E-3</v>
      </c>
      <c r="S4217">
        <v>3.0401609999999999</v>
      </c>
      <c r="T4217">
        <v>-0.1384416</v>
      </c>
      <c r="U4217">
        <v>-4.8172E-2</v>
      </c>
      <c r="V4217">
        <v>6.568183E-3</v>
      </c>
      <c r="W4217">
        <v>0.13032579999999999</v>
      </c>
      <c r="X4217">
        <v>0.99144949999999998</v>
      </c>
      <c r="Y4217">
        <v>2.4998590000000001E-2</v>
      </c>
      <c r="Z4217">
        <v>-9.8722700000000003E-4</v>
      </c>
      <c r="AA4217">
        <v>0.99968699999999999</v>
      </c>
      <c r="AB4217">
        <v>36</v>
      </c>
      <c r="AC4217">
        <v>24.118099999999998</v>
      </c>
      <c r="AD4217">
        <v>-1.109320417036</v>
      </c>
      <c r="AE4217">
        <v>-0.388199999999983</v>
      </c>
      <c r="AF4217">
        <v>0.60860475715170803</v>
      </c>
      <c r="AG4217">
        <v>-1.109320417036</v>
      </c>
      <c r="AH4217">
        <v>24.062619345304</v>
      </c>
      <c r="AI4217">
        <v>92.638703999838498</v>
      </c>
      <c r="AJ4217">
        <v>88.551153112918399</v>
      </c>
      <c r="AK4217">
        <v>24.095863572303902</v>
      </c>
      <c r="AL4217">
        <v>82.511580798355794</v>
      </c>
      <c r="AM4217">
        <v>89.620430834222603</v>
      </c>
      <c r="AN4217">
        <v>1.0000000331119001</v>
      </c>
    </row>
    <row r="4218" spans="1:40" x14ac:dyDescent="0.25">
      <c r="A4218" t="str">
        <f>"20190312172201824"</f>
        <v>20190312172201824</v>
      </c>
      <c r="B4218" t="str">
        <f>"1552382521814821"</f>
        <v>1552382521814821</v>
      </c>
      <c r="C4218" t="s">
        <v>40</v>
      </c>
      <c r="D4218">
        <v>3.1599210000000002</v>
      </c>
      <c r="E4218">
        <v>0.51346210000000003</v>
      </c>
      <c r="F4218" t="s">
        <v>47</v>
      </c>
      <c r="G4218">
        <v>-300.18310000000002</v>
      </c>
      <c r="H4218" s="1">
        <v>2.6207850000000002E-6</v>
      </c>
      <c r="I4218">
        <v>214.52440000000001</v>
      </c>
      <c r="J4218">
        <v>-324.19060000000002</v>
      </c>
      <c r="K4218">
        <v>1.1093379999999999</v>
      </c>
      <c r="L4218">
        <v>215.0984</v>
      </c>
      <c r="M4218">
        <v>0.99992630000000005</v>
      </c>
      <c r="N4218">
        <v>0</v>
      </c>
      <c r="O4218">
        <v>9.1790840000000005E-3</v>
      </c>
      <c r="P4218">
        <v>0.99245879999999997</v>
      </c>
      <c r="Q4218">
        <v>0.12256649999999999</v>
      </c>
      <c r="R4218">
        <v>1.6923859999999999E-3</v>
      </c>
      <c r="S4218">
        <v>3.0400999999999998</v>
      </c>
      <c r="T4218">
        <v>-0.13860510000000001</v>
      </c>
      <c r="U4218">
        <v>-7.13501E-2</v>
      </c>
      <c r="V4218">
        <v>7.4280409999999998E-3</v>
      </c>
      <c r="W4218">
        <v>0.13044819999999999</v>
      </c>
      <c r="X4218">
        <v>0.99142730000000001</v>
      </c>
      <c r="Y4218">
        <v>3.2595680000000002E-2</v>
      </c>
      <c r="Z4218">
        <v>-1.1608079999999999E-3</v>
      </c>
      <c r="AA4218">
        <v>0.99946800000000002</v>
      </c>
      <c r="AB4218">
        <v>37</v>
      </c>
      <c r="AC4218">
        <v>24.0075</v>
      </c>
      <c r="AD4218">
        <v>-1.109335379215</v>
      </c>
      <c r="AE4218">
        <v>-0.57399999999998297</v>
      </c>
      <c r="AF4218">
        <v>0.79265814235717502</v>
      </c>
      <c r="AG4218">
        <v>-1.109335379215</v>
      </c>
      <c r="AH4218">
        <v>23.950111299576999</v>
      </c>
      <c r="AI4218">
        <v>92.650515104514497</v>
      </c>
      <c r="AJ4218">
        <v>88.104418213272197</v>
      </c>
      <c r="AK4218">
        <v>23.9888883272308</v>
      </c>
      <c r="AL4218">
        <v>82.504507160777194</v>
      </c>
      <c r="AM4218">
        <v>89.5707325830694</v>
      </c>
      <c r="AN4218">
        <v>0.99999999993081301</v>
      </c>
    </row>
    <row r="4219" spans="1:40" x14ac:dyDescent="0.25">
      <c r="A4219" t="str">
        <f>"20190312172201846"</f>
        <v>20190312172201846</v>
      </c>
      <c r="B4219" t="str">
        <f>"1552382521835317"</f>
        <v>1552382521835317</v>
      </c>
      <c r="C4219" t="s">
        <v>40</v>
      </c>
      <c r="D4219">
        <v>3.156574</v>
      </c>
      <c r="E4219">
        <v>0.51541329999999996</v>
      </c>
      <c r="F4219" t="s">
        <v>47</v>
      </c>
      <c r="G4219">
        <v>-300.00490000000002</v>
      </c>
      <c r="H4219" s="1">
        <v>2.6523940000000001E-6</v>
      </c>
      <c r="I4219">
        <v>214.28399999999999</v>
      </c>
      <c r="J4219">
        <v>-323.83879999999999</v>
      </c>
      <c r="K4219">
        <v>1.1093500000000001</v>
      </c>
      <c r="L4219">
        <v>215.10169999999999</v>
      </c>
      <c r="M4219">
        <v>0.99992570000000003</v>
      </c>
      <c r="N4219">
        <v>0</v>
      </c>
      <c r="O4219">
        <v>9.1679080000000007E-3</v>
      </c>
      <c r="P4219">
        <v>0.99244200000000005</v>
      </c>
      <c r="Q4219">
        <v>0.12271029999999999</v>
      </c>
      <c r="R4219">
        <v>1.1380509999999999E-3</v>
      </c>
      <c r="S4219">
        <v>3.0401919999999998</v>
      </c>
      <c r="T4219">
        <v>-0.13944570000000001</v>
      </c>
      <c r="U4219">
        <v>-0.1023712</v>
      </c>
      <c r="V4219">
        <v>7.9705360000000003E-3</v>
      </c>
      <c r="W4219">
        <v>0.13069120000000001</v>
      </c>
      <c r="X4219">
        <v>0.99139109999999997</v>
      </c>
      <c r="Y4219">
        <v>4.2760600000000003E-2</v>
      </c>
      <c r="Z4219">
        <v>-1.4000600000000001E-3</v>
      </c>
      <c r="AA4219">
        <v>0.99908439999999998</v>
      </c>
      <c r="AB4219">
        <v>37</v>
      </c>
      <c r="AC4219">
        <v>23.8338999999999</v>
      </c>
      <c r="AD4219">
        <v>-1.1093473476060001</v>
      </c>
      <c r="AE4219">
        <v>-0.817699999999973</v>
      </c>
      <c r="AF4219">
        <v>1.0339423561082</v>
      </c>
      <c r="AG4219">
        <v>-1.1093473476060001</v>
      </c>
      <c r="AH4219">
        <v>23.7739573610123</v>
      </c>
      <c r="AI4219">
        <v>92.669095151572293</v>
      </c>
      <c r="AJ4219">
        <v>87.509744592749499</v>
      </c>
      <c r="AK4219">
        <v>23.8222739665344</v>
      </c>
      <c r="AL4219">
        <v>82.490464187967902</v>
      </c>
      <c r="AM4219">
        <v>89.539366215696006</v>
      </c>
      <c r="AN4219">
        <v>1.0000000161803799</v>
      </c>
    </row>
    <row r="4220" spans="1:40" x14ac:dyDescent="0.25">
      <c r="A4220" t="str">
        <f>"20190312172201868"</f>
        <v>20190312172201868</v>
      </c>
      <c r="B4220" t="str">
        <f>"1552382521864599"</f>
        <v>1552382521864599</v>
      </c>
      <c r="C4220" t="s">
        <v>40</v>
      </c>
      <c r="D4220">
        <v>3.139758</v>
      </c>
      <c r="E4220">
        <v>0.51742140000000003</v>
      </c>
      <c r="F4220" t="s">
        <v>47</v>
      </c>
      <c r="G4220">
        <v>-299.63909999999998</v>
      </c>
      <c r="H4220" s="1">
        <v>2.604232E-6</v>
      </c>
      <c r="I4220">
        <v>214.14830000000001</v>
      </c>
      <c r="J4220">
        <v>-323.4735</v>
      </c>
      <c r="K4220">
        <v>1.1093660000000001</v>
      </c>
      <c r="L4220">
        <v>215.10499999999999</v>
      </c>
      <c r="M4220">
        <v>0.99992499999999995</v>
      </c>
      <c r="N4220">
        <v>0</v>
      </c>
      <c r="O4220">
        <v>9.1596549999999992E-3</v>
      </c>
      <c r="P4220">
        <v>0.99247770000000002</v>
      </c>
      <c r="Q4220">
        <v>0.1224259</v>
      </c>
      <c r="R4220">
        <v>2.2659150000000001E-4</v>
      </c>
      <c r="S4220">
        <v>3.040222</v>
      </c>
      <c r="T4220">
        <v>-0.1393683</v>
      </c>
      <c r="U4220">
        <v>-0.1197662</v>
      </c>
      <c r="V4220">
        <v>8.8731999999999995E-3</v>
      </c>
      <c r="W4220">
        <v>0.13050639999999999</v>
      </c>
      <c r="X4220">
        <v>0.99140779999999995</v>
      </c>
      <c r="Y4220">
        <v>4.8454169999999998E-2</v>
      </c>
      <c r="Z4220">
        <v>-1.529131E-3</v>
      </c>
      <c r="AA4220">
        <v>0.99882420000000005</v>
      </c>
      <c r="AB4220">
        <v>37</v>
      </c>
      <c r="AC4220">
        <v>23.834399999999999</v>
      </c>
      <c r="AD4220">
        <v>-1.109363395768</v>
      </c>
      <c r="AE4220">
        <v>-0.95669999999998301</v>
      </c>
      <c r="AF4220">
        <v>1.1724460548709199</v>
      </c>
      <c r="AG4220">
        <v>-1.109363395768</v>
      </c>
      <c r="AH4220">
        <v>23.773217217474599</v>
      </c>
      <c r="AI4220">
        <v>92.668497583993002</v>
      </c>
      <c r="AJ4220">
        <v>87.1765779084229</v>
      </c>
      <c r="AK4220">
        <v>23.827949424251401</v>
      </c>
      <c r="AL4220">
        <v>82.501144096260902</v>
      </c>
      <c r="AM4220">
        <v>89.487210675062101</v>
      </c>
      <c r="AN4220">
        <v>1.00000004001001</v>
      </c>
    </row>
    <row r="4221" spans="1:40" x14ac:dyDescent="0.25">
      <c r="A4221" t="str">
        <f>"20190312172201890"</f>
        <v>20190312172201890</v>
      </c>
      <c r="B4221" t="str">
        <f>"1552382521885093"</f>
        <v>1552382521885093</v>
      </c>
      <c r="C4221" t="s">
        <v>40</v>
      </c>
      <c r="D4221">
        <v>3.2513049999999999</v>
      </c>
      <c r="E4221">
        <v>0.51829049999999999</v>
      </c>
      <c r="F4221" t="s">
        <v>47</v>
      </c>
      <c r="G4221">
        <v>-299.98020000000002</v>
      </c>
      <c r="H4221" s="1">
        <v>2.65678E-6</v>
      </c>
      <c r="I4221">
        <v>214.03370000000001</v>
      </c>
      <c r="J4221">
        <v>-323.1035</v>
      </c>
      <c r="K4221">
        <v>1.109378</v>
      </c>
      <c r="L4221">
        <v>215.10839999999999</v>
      </c>
      <c r="M4221">
        <v>0.99992420000000004</v>
      </c>
      <c r="N4221">
        <v>0</v>
      </c>
      <c r="O4221">
        <v>9.1539020000000002E-3</v>
      </c>
      <c r="P4221">
        <v>0.99249520000000002</v>
      </c>
      <c r="Q4221">
        <v>0.1222829</v>
      </c>
      <c r="R4221">
        <v>-4.3087589999999998E-4</v>
      </c>
      <c r="S4221">
        <v>3.040527</v>
      </c>
      <c r="T4221">
        <v>-0.14357449999999999</v>
      </c>
      <c r="U4221">
        <v>-0.1386414</v>
      </c>
      <c r="V4221">
        <v>9.5241730000000004E-3</v>
      </c>
      <c r="W4221">
        <v>0.13046340000000001</v>
      </c>
      <c r="X4221">
        <v>0.99140740000000005</v>
      </c>
      <c r="Y4221">
        <v>5.462235E-2</v>
      </c>
      <c r="Z4221">
        <v>-1.7200729999999999E-3</v>
      </c>
      <c r="AA4221">
        <v>0.99850559999999999</v>
      </c>
      <c r="AB4221">
        <v>37</v>
      </c>
      <c r="AC4221">
        <v>23.123299999999901</v>
      </c>
      <c r="AD4221">
        <v>-1.10937534322</v>
      </c>
      <c r="AE4221">
        <v>-1.07469999999997</v>
      </c>
      <c r="AF4221">
        <v>1.28338291321481</v>
      </c>
      <c r="AG4221">
        <v>-1.10937534322</v>
      </c>
      <c r="AH4221">
        <v>23.059530310302002</v>
      </c>
      <c r="AI4221">
        <v>92.750080589445901</v>
      </c>
      <c r="AJ4221">
        <v>86.8144779207733</v>
      </c>
      <c r="AK4221">
        <v>23.121845157465501</v>
      </c>
      <c r="AL4221">
        <v>82.503628914744993</v>
      </c>
      <c r="AM4221">
        <v>89.449592438025206</v>
      </c>
      <c r="AN4221">
        <v>1.0000000206928199</v>
      </c>
    </row>
    <row r="4222" spans="1:40" x14ac:dyDescent="0.25">
      <c r="A4222" t="str">
        <f>"20190312172201903"</f>
        <v>20190312172201903</v>
      </c>
      <c r="B4222" t="str">
        <f>"1552382521894854"</f>
        <v>1552382521894854</v>
      </c>
      <c r="C4222" t="s">
        <v>40</v>
      </c>
      <c r="D4222">
        <v>3.1287419999999999</v>
      </c>
      <c r="E4222">
        <v>0.51860329999999999</v>
      </c>
      <c r="F4222" t="s">
        <v>47</v>
      </c>
      <c r="G4222">
        <v>-299.85019999999997</v>
      </c>
      <c r="H4222" s="1">
        <v>2.6416740000000002E-6</v>
      </c>
      <c r="I4222">
        <v>213.9785</v>
      </c>
      <c r="J4222">
        <v>-322.88549999999998</v>
      </c>
      <c r="K4222">
        <v>1.109386</v>
      </c>
      <c r="L4222">
        <v>215.1104</v>
      </c>
      <c r="M4222">
        <v>0.99992369999999997</v>
      </c>
      <c r="N4222">
        <v>0</v>
      </c>
      <c r="O4222">
        <v>9.1516380000000001E-3</v>
      </c>
      <c r="P4222">
        <v>0.99249719999999997</v>
      </c>
      <c r="Q4222">
        <v>0.1222631</v>
      </c>
      <c r="R4222">
        <v>-9.5043310000000002E-4</v>
      </c>
      <c r="S4222">
        <v>3.0404969999999998</v>
      </c>
      <c r="T4222">
        <v>-0.14505670000000001</v>
      </c>
      <c r="U4222">
        <v>-0.14773559999999999</v>
      </c>
      <c r="V4222">
        <v>1.0041130000000001E-2</v>
      </c>
      <c r="W4222">
        <v>0.1305026</v>
      </c>
      <c r="X4222">
        <v>0.99139710000000003</v>
      </c>
      <c r="Y4222">
        <v>5.7595430000000003E-2</v>
      </c>
      <c r="Z4222">
        <v>-1.808437E-3</v>
      </c>
      <c r="AA4222">
        <v>0.99833830000000001</v>
      </c>
      <c r="AB4222">
        <v>37</v>
      </c>
      <c r="AC4222">
        <v>23.035299999999999</v>
      </c>
      <c r="AD4222">
        <v>-1.109383358326</v>
      </c>
      <c r="AE4222">
        <v>-1.1318999999999999</v>
      </c>
      <c r="AF4222">
        <v>1.3395710629367401</v>
      </c>
      <c r="AG4222">
        <v>-1.109383358326</v>
      </c>
      <c r="AH4222">
        <v>22.970825996512598</v>
      </c>
      <c r="AI4222">
        <v>92.760287243536098</v>
      </c>
      <c r="AJ4222">
        <v>86.662508342815002</v>
      </c>
      <c r="AK4222">
        <v>23.036580237319299</v>
      </c>
      <c r="AL4222">
        <v>82.501363256241603</v>
      </c>
      <c r="AM4222">
        <v>89.419713150753694</v>
      </c>
      <c r="AN4222">
        <v>0.99999998139342305</v>
      </c>
    </row>
    <row r="4223" spans="1:40" x14ac:dyDescent="0.25">
      <c r="A4223" t="str">
        <f>"20190312172201924"</f>
        <v>20190312172201924</v>
      </c>
      <c r="B4223" t="str">
        <f>"1552382521915354"</f>
        <v>1552382521915354</v>
      </c>
      <c r="C4223" t="s">
        <v>40</v>
      </c>
      <c r="D4223">
        <v>3.150976</v>
      </c>
      <c r="E4223">
        <v>0.51913260000000006</v>
      </c>
      <c r="F4223" t="s">
        <v>47</v>
      </c>
      <c r="G4223">
        <v>-299.56279999999998</v>
      </c>
      <c r="H4223" s="1">
        <v>2.5906889999999999E-6</v>
      </c>
      <c r="I4223">
        <v>213.9479</v>
      </c>
      <c r="J4223">
        <v>-322.55599999999998</v>
      </c>
      <c r="K4223">
        <v>1.1093959999999901</v>
      </c>
      <c r="L4223">
        <v>215.11340000000001</v>
      </c>
      <c r="M4223">
        <v>0.99992289999999995</v>
      </c>
      <c r="N4223">
        <v>0</v>
      </c>
      <c r="O4223">
        <v>9.1492450000000003E-3</v>
      </c>
      <c r="P4223">
        <v>0.99251040000000001</v>
      </c>
      <c r="Q4223">
        <v>0.12215719999999999</v>
      </c>
      <c r="R4223">
        <v>-9.9592169999999989E-4</v>
      </c>
      <c r="S4223">
        <v>3.0403440000000002</v>
      </c>
      <c r="T4223">
        <v>-0.144619</v>
      </c>
      <c r="U4223">
        <v>-0.151535</v>
      </c>
      <c r="V4223">
        <v>1.008359E-2</v>
      </c>
      <c r="W4223">
        <v>0.13048650000000001</v>
      </c>
      <c r="X4223">
        <v>0.99139880000000002</v>
      </c>
      <c r="Y4223">
        <v>5.883907E-2</v>
      </c>
      <c r="Z4223">
        <v>-1.8324509999999999E-3</v>
      </c>
      <c r="AA4223">
        <v>0.99826579999999998</v>
      </c>
      <c r="AB4223">
        <v>37</v>
      </c>
      <c r="AC4223">
        <v>22.993200000000002</v>
      </c>
      <c r="AD4223">
        <v>-1.1093934093109901</v>
      </c>
      <c r="AE4223">
        <v>-1.1655</v>
      </c>
      <c r="AF4223">
        <v>1.3726418062501899</v>
      </c>
      <c r="AG4223">
        <v>-1.1093934093109901</v>
      </c>
      <c r="AH4223">
        <v>22.9283346618944</v>
      </c>
      <c r="AI4223">
        <v>92.765167681769498</v>
      </c>
      <c r="AJ4223">
        <v>86.573984625925704</v>
      </c>
      <c r="AK4223">
        <v>22.996161193397398</v>
      </c>
      <c r="AL4223">
        <v>82.502293762230494</v>
      </c>
      <c r="AM4223">
        <v>89.4172605133395</v>
      </c>
      <c r="AN4223">
        <v>0.99999999305548903</v>
      </c>
    </row>
    <row r="4224" spans="1:40" x14ac:dyDescent="0.25">
      <c r="A4224" t="str">
        <f>"20190312172201946"</f>
        <v>20190312172201946</v>
      </c>
      <c r="B4224" t="str">
        <f>"1552382521934869"</f>
        <v>1552382521934869</v>
      </c>
      <c r="C4224" t="s">
        <v>40</v>
      </c>
      <c r="D4224">
        <v>3.1125440000000002</v>
      </c>
      <c r="E4224">
        <v>0.51956670000000005</v>
      </c>
      <c r="F4224" t="s">
        <v>47</v>
      </c>
      <c r="G4224">
        <v>-299.31189999999998</v>
      </c>
      <c r="H4224" s="1">
        <v>2.5461870000000001E-6</v>
      </c>
      <c r="I4224">
        <v>213.92019999999999</v>
      </c>
      <c r="J4224">
        <v>-322.18639999999999</v>
      </c>
      <c r="K4224">
        <v>1.10941</v>
      </c>
      <c r="L4224">
        <v>215.11680000000001</v>
      </c>
      <c r="M4224">
        <v>0.99992219999999998</v>
      </c>
      <c r="N4224">
        <v>0</v>
      </c>
      <c r="O4224">
        <v>9.1485420000000008E-3</v>
      </c>
      <c r="P4224">
        <v>0.99250559999999999</v>
      </c>
      <c r="Q4224">
        <v>0.1221961</v>
      </c>
      <c r="R4224">
        <v>-1.030331E-3</v>
      </c>
      <c r="S4224">
        <v>3.0403440000000002</v>
      </c>
      <c r="T4224">
        <v>-0.14510919999999999</v>
      </c>
      <c r="U4224">
        <v>-0.15606689999999901</v>
      </c>
      <c r="V4224">
        <v>1.011691E-2</v>
      </c>
      <c r="W4224">
        <v>0.13062360000000001</v>
      </c>
      <c r="X4224">
        <v>0.99138040000000005</v>
      </c>
      <c r="Y4224">
        <v>6.03203E-2</v>
      </c>
      <c r="Z4224">
        <v>-1.8738590000000001E-3</v>
      </c>
      <c r="AA4224">
        <v>0.99817730000000005</v>
      </c>
      <c r="AB4224">
        <v>37</v>
      </c>
      <c r="AC4224">
        <v>22.874500000000001</v>
      </c>
      <c r="AD4224">
        <v>-1.1094074538130001</v>
      </c>
      <c r="AE4224">
        <v>-1.1966000000000101</v>
      </c>
      <c r="AF4224">
        <v>1.4025356907023101</v>
      </c>
      <c r="AG4224">
        <v>-1.1094074538130001</v>
      </c>
      <c r="AH4224">
        <v>22.8090894203511</v>
      </c>
      <c r="AI4224">
        <v>92.779364021376097</v>
      </c>
      <c r="AJ4224">
        <v>86.481300829881803</v>
      </c>
      <c r="AK4224">
        <v>22.879083273764302</v>
      </c>
      <c r="AL4224">
        <v>82.494370653005802</v>
      </c>
      <c r="AM4224">
        <v>89.415324204226394</v>
      </c>
      <c r="AN4224">
        <v>0.99999998712453397</v>
      </c>
    </row>
    <row r="4225" spans="1:40" x14ac:dyDescent="0.25">
      <c r="A4225" t="str">
        <f>"20190312172201970"</f>
        <v>20190312172201970</v>
      </c>
      <c r="B4225" t="str">
        <f>"1552382521965126"</f>
        <v>1552382521965126</v>
      </c>
      <c r="C4225" t="s">
        <v>40</v>
      </c>
      <c r="D4225">
        <v>3.1105969999999998</v>
      </c>
      <c r="E4225">
        <v>0.51999240000000002</v>
      </c>
      <c r="F4225" t="s">
        <v>47</v>
      </c>
      <c r="G4225">
        <v>-298.8639</v>
      </c>
      <c r="H4225" s="1">
        <v>2.4667239999999998E-6</v>
      </c>
      <c r="I4225">
        <v>213.89</v>
      </c>
      <c r="J4225">
        <v>-321.81220000000002</v>
      </c>
      <c r="K4225">
        <v>1.1094250000000001</v>
      </c>
      <c r="L4225">
        <v>215.12020000000001</v>
      </c>
      <c r="M4225">
        <v>0.99992130000000001</v>
      </c>
      <c r="N4225">
        <v>0</v>
      </c>
      <c r="O4225">
        <v>9.1513199999999992E-3</v>
      </c>
      <c r="P4225">
        <v>0.99252759999999995</v>
      </c>
      <c r="Q4225">
        <v>0.1220171</v>
      </c>
      <c r="R4225">
        <v>-1.121141E-3</v>
      </c>
      <c r="S4225">
        <v>3.040314</v>
      </c>
      <c r="T4225">
        <v>-0.144622</v>
      </c>
      <c r="U4225">
        <v>-0.1599274</v>
      </c>
      <c r="V4225">
        <v>1.0209869999999999E-2</v>
      </c>
      <c r="W4225">
        <v>0.1305357</v>
      </c>
      <c r="X4225">
        <v>0.99139109999999997</v>
      </c>
      <c r="Y4225">
        <v>6.1586689999999999E-2</v>
      </c>
      <c r="Z4225">
        <v>-1.8977460000000001E-3</v>
      </c>
      <c r="AA4225">
        <v>0.99809990000000004</v>
      </c>
      <c r="AB4225">
        <v>37</v>
      </c>
      <c r="AC4225">
        <v>22.9483</v>
      </c>
      <c r="AD4225">
        <v>-1.1094225332759999</v>
      </c>
      <c r="AE4225">
        <v>-1.2302000000000199</v>
      </c>
      <c r="AF4225">
        <v>1.4368149745322001</v>
      </c>
      <c r="AG4225">
        <v>-1.1094225332759999</v>
      </c>
      <c r="AH4225">
        <v>22.882752664416699</v>
      </c>
      <c r="AI4225">
        <v>92.770245759829706</v>
      </c>
      <c r="AJ4225">
        <v>86.407097505460698</v>
      </c>
      <c r="AK4225">
        <v>22.954642779386699</v>
      </c>
      <c r="AL4225">
        <v>82.499451009435703</v>
      </c>
      <c r="AM4225">
        <v>89.409958612023203</v>
      </c>
      <c r="AN4225">
        <v>1.0000000617895499</v>
      </c>
    </row>
    <row r="4226" spans="1:40" x14ac:dyDescent="0.25">
      <c r="A4226" t="str">
        <f>"20190312172201992"</f>
        <v>20190312172201992</v>
      </c>
      <c r="B4226" t="str">
        <f>"1552382521984645"</f>
        <v>1552382521984645</v>
      </c>
      <c r="C4226" t="s">
        <v>40</v>
      </c>
      <c r="D4226">
        <v>3.155322</v>
      </c>
      <c r="E4226">
        <v>0.52026190000000005</v>
      </c>
      <c r="F4226" t="s">
        <v>47</v>
      </c>
      <c r="G4226">
        <v>-298.5994</v>
      </c>
      <c r="H4226" s="1">
        <v>2.4198009999999999E-6</v>
      </c>
      <c r="I4226">
        <v>213.86799999999999</v>
      </c>
      <c r="J4226">
        <v>-321.43540000000002</v>
      </c>
      <c r="K4226">
        <v>1.1094349999999999</v>
      </c>
      <c r="L4226">
        <v>215.12370000000001</v>
      </c>
      <c r="M4226">
        <v>0.99992060000000005</v>
      </c>
      <c r="N4226">
        <v>0</v>
      </c>
      <c r="O4226">
        <v>9.1612499999999993E-3</v>
      </c>
      <c r="P4226">
        <v>0.99248990000000004</v>
      </c>
      <c r="Q4226">
        <v>0.1223197</v>
      </c>
      <c r="R4226">
        <v>-1.521185E-3</v>
      </c>
      <c r="S4226">
        <v>3.040222</v>
      </c>
      <c r="T4226">
        <v>-0.14530319999999999</v>
      </c>
      <c r="U4226">
        <v>-0.16400149999999999</v>
      </c>
      <c r="V4226">
        <v>1.061804E-2</v>
      </c>
      <c r="W4226">
        <v>0.13092190000000001</v>
      </c>
      <c r="X4226">
        <v>0.99133579999999999</v>
      </c>
      <c r="Y4226">
        <v>6.2929559999999996E-2</v>
      </c>
      <c r="Z4226">
        <v>-1.939189E-3</v>
      </c>
      <c r="AA4226">
        <v>0.99801609999999996</v>
      </c>
      <c r="AB4226">
        <v>37</v>
      </c>
      <c r="AC4226">
        <v>22.835999999999999</v>
      </c>
      <c r="AD4226">
        <v>-1.1094325801989999</v>
      </c>
      <c r="AE4226">
        <v>-1.25570000000001</v>
      </c>
      <c r="AF4226">
        <v>1.46142248296588</v>
      </c>
      <c r="AG4226">
        <v>-1.1094325801989999</v>
      </c>
      <c r="AH4226">
        <v>22.769956157433899</v>
      </c>
      <c r="AI4226">
        <v>92.7837278816978</v>
      </c>
      <c r="AJ4226">
        <v>86.327676352283504</v>
      </c>
      <c r="AK4226">
        <v>22.843762819097599</v>
      </c>
      <c r="AL4226">
        <v>82.477131203609005</v>
      </c>
      <c r="AM4226">
        <v>89.386337489427802</v>
      </c>
      <c r="AN4226">
        <v>0.99999997751734504</v>
      </c>
    </row>
    <row r="4227" spans="1:40" x14ac:dyDescent="0.25">
      <c r="A4227" t="str">
        <f>"20190312172202014"</f>
        <v>20190312172202014</v>
      </c>
      <c r="B4227" t="str">
        <f>"1552382522005400"</f>
        <v>1552382522005400</v>
      </c>
      <c r="C4227" t="s">
        <v>40</v>
      </c>
      <c r="D4227">
        <v>3.0843569999999998</v>
      </c>
      <c r="E4227">
        <v>0.52051250000000004</v>
      </c>
      <c r="F4227" t="s">
        <v>47</v>
      </c>
      <c r="G4227">
        <v>-297.9812</v>
      </c>
      <c r="H4227" s="1">
        <v>2.3101440000000001E-6</v>
      </c>
      <c r="I4227">
        <v>213.82900000000001</v>
      </c>
      <c r="J4227">
        <v>-321.07580000000002</v>
      </c>
      <c r="K4227">
        <v>1.109448</v>
      </c>
      <c r="L4227">
        <v>215.12700000000001</v>
      </c>
      <c r="M4227">
        <v>0.99991969999999997</v>
      </c>
      <c r="N4227">
        <v>0</v>
      </c>
      <c r="O4227">
        <v>9.1806149999999996E-3</v>
      </c>
      <c r="P4227">
        <v>0.99245369999999999</v>
      </c>
      <c r="Q4227">
        <v>0.1226068</v>
      </c>
      <c r="R4227">
        <v>-1.862203E-3</v>
      </c>
      <c r="S4227">
        <v>3.0401609999999999</v>
      </c>
      <c r="T4227">
        <v>-0.14380609999999999</v>
      </c>
      <c r="U4227">
        <v>-0.1678162</v>
      </c>
      <c r="V4227">
        <v>1.097569E-2</v>
      </c>
      <c r="W4227">
        <v>0.13128119999999999</v>
      </c>
      <c r="X4227">
        <v>0.99128439999999995</v>
      </c>
      <c r="Y4227">
        <v>6.4198729999999996E-2</v>
      </c>
      <c r="Z4227">
        <v>-1.9500979999999999E-3</v>
      </c>
      <c r="AA4227">
        <v>0.99793520000000002</v>
      </c>
      <c r="AB4227">
        <v>37</v>
      </c>
      <c r="AC4227">
        <v>23.0946</v>
      </c>
      <c r="AD4227">
        <v>-1.1094456898559999</v>
      </c>
      <c r="AE4227">
        <v>-1.298</v>
      </c>
      <c r="AF4227">
        <v>1.5065102948762901</v>
      </c>
      <c r="AG4227">
        <v>-1.1094456898559999</v>
      </c>
      <c r="AH4227">
        <v>23.028732254843501</v>
      </c>
      <c r="AI4227">
        <v>92.7523084047466</v>
      </c>
      <c r="AJ4227">
        <v>86.257116455513099</v>
      </c>
      <c r="AK4227">
        <v>23.1046088967672</v>
      </c>
      <c r="AL4227">
        <v>82.456365698593004</v>
      </c>
      <c r="AM4227">
        <v>89.365636120093797</v>
      </c>
      <c r="AN4227">
        <v>0.99999999046388799</v>
      </c>
    </row>
    <row r="4228" spans="1:40" x14ac:dyDescent="0.25">
      <c r="A4228" t="str">
        <f>"20190312172202035"</f>
        <v>20190312172202035</v>
      </c>
      <c r="B4228" t="str">
        <f>"1552382522024920"</f>
        <v>1552382522024920</v>
      </c>
      <c r="C4228" t="s">
        <v>40</v>
      </c>
      <c r="D4228">
        <v>3.0707279999999999</v>
      </c>
      <c r="E4228">
        <v>0.52076040000000001</v>
      </c>
      <c r="F4228" t="s">
        <v>47</v>
      </c>
      <c r="G4228">
        <v>-297.4599</v>
      </c>
      <c r="H4228" s="1">
        <v>2.21767E-6</v>
      </c>
      <c r="I4228">
        <v>213.8005</v>
      </c>
      <c r="J4228">
        <v>-320.71960000000001</v>
      </c>
      <c r="K4228">
        <v>1.10947</v>
      </c>
      <c r="L4228">
        <v>215.1302</v>
      </c>
      <c r="M4228">
        <v>0.99991890000000005</v>
      </c>
      <c r="N4228">
        <v>0</v>
      </c>
      <c r="O4228">
        <v>9.2096160000000003E-3</v>
      </c>
      <c r="P4228">
        <v>0.99246029999999996</v>
      </c>
      <c r="Q4228">
        <v>0.12254520000000001</v>
      </c>
      <c r="R4228">
        <v>-2.3014110000000002E-3</v>
      </c>
      <c r="S4228">
        <v>3.0401609999999999</v>
      </c>
      <c r="T4228">
        <v>-0.1428227</v>
      </c>
      <c r="U4228">
        <v>-0.1707611</v>
      </c>
      <c r="V4228">
        <v>1.144088E-2</v>
      </c>
      <c r="W4228">
        <v>0.13128779999999901</v>
      </c>
      <c r="X4228">
        <v>0.99127829999999995</v>
      </c>
      <c r="Y4228">
        <v>6.519134E-2</v>
      </c>
      <c r="Z4228">
        <v>-1.9613709999999999E-3</v>
      </c>
      <c r="AA4228">
        <v>0.99787090000000001</v>
      </c>
      <c r="AB4228">
        <v>37</v>
      </c>
      <c r="AC4228">
        <v>23.259699999999999</v>
      </c>
      <c r="AD4228">
        <v>-1.1094677823299901</v>
      </c>
      <c r="AE4228">
        <v>-1.3297000000000001</v>
      </c>
      <c r="AF4228">
        <v>1.54037154729154</v>
      </c>
      <c r="AG4228">
        <v>-1.1094677823299901</v>
      </c>
      <c r="AH4228">
        <v>23.193868011331698</v>
      </c>
      <c r="AI4228">
        <v>92.732618628196093</v>
      </c>
      <c r="AJ4228">
        <v>86.200402037022897</v>
      </c>
      <c r="AK4228">
        <v>23.271424034442099</v>
      </c>
      <c r="AL4228">
        <v>82.455984500145206</v>
      </c>
      <c r="AM4228">
        <v>89.338747722165095</v>
      </c>
      <c r="AN4228">
        <v>1.00000002410745</v>
      </c>
    </row>
    <row r="4229" spans="1:40" x14ac:dyDescent="0.25">
      <c r="A4229" t="str">
        <f>"20190312172202058"</f>
        <v>20190312172202058</v>
      </c>
      <c r="B4229" t="str">
        <f>"1552382522055176"</f>
        <v>1552382522055176</v>
      </c>
      <c r="C4229" t="s">
        <v>40</v>
      </c>
      <c r="D4229">
        <v>3.0752009999999999</v>
      </c>
      <c r="E4229">
        <v>0.52107519999999996</v>
      </c>
      <c r="F4229" t="s">
        <v>47</v>
      </c>
      <c r="G4229">
        <v>-297.06020000000001</v>
      </c>
      <c r="H4229" s="1">
        <v>2.1467659999999998E-6</v>
      </c>
      <c r="I4229">
        <v>213.77420000000001</v>
      </c>
      <c r="J4229">
        <v>-320.34960000000001</v>
      </c>
      <c r="K4229">
        <v>1.109488</v>
      </c>
      <c r="L4229">
        <v>215.1337</v>
      </c>
      <c r="M4229">
        <v>0.99991779999999997</v>
      </c>
      <c r="N4229">
        <v>0</v>
      </c>
      <c r="O4229">
        <v>9.2497120000000002E-3</v>
      </c>
      <c r="P4229">
        <v>0.99250389999999999</v>
      </c>
      <c r="Q4229">
        <v>0.12218320000000001</v>
      </c>
      <c r="R4229">
        <v>-2.7239080000000001E-3</v>
      </c>
      <c r="S4229">
        <v>3.0399780000000001</v>
      </c>
      <c r="T4229">
        <v>-0.1425544</v>
      </c>
      <c r="U4229">
        <v>-0.17424010000000001</v>
      </c>
      <c r="V4229">
        <v>1.190013E-2</v>
      </c>
      <c r="W4229">
        <v>0.13099379999999999</v>
      </c>
      <c r="X4229">
        <v>0.99131179999999997</v>
      </c>
      <c r="Y4229">
        <v>6.6371970000000002E-2</v>
      </c>
      <c r="Z4229">
        <v>-1.9872679999999999E-3</v>
      </c>
      <c r="AA4229">
        <v>0.99779300000000004</v>
      </c>
      <c r="AB4229">
        <v>37</v>
      </c>
      <c r="AC4229">
        <v>23.289400000000001</v>
      </c>
      <c r="AD4229">
        <v>-1.109485853234</v>
      </c>
      <c r="AE4229">
        <v>-1.3594999999999899</v>
      </c>
      <c r="AF4229">
        <v>1.57131660522954</v>
      </c>
      <c r="AG4229">
        <v>-1.109485853234</v>
      </c>
      <c r="AH4229">
        <v>23.223302227738099</v>
      </c>
      <c r="AI4229">
        <v>92.728977798206998</v>
      </c>
      <c r="AJ4229">
        <v>86.129198234794003</v>
      </c>
      <c r="AK4229">
        <v>23.302827319732302</v>
      </c>
      <c r="AL4229">
        <v>82.472976299430499</v>
      </c>
      <c r="AM4229">
        <v>89.312230041415305</v>
      </c>
      <c r="AN4229">
        <v>1.0000000367758399</v>
      </c>
    </row>
    <row r="4230" spans="1:40" x14ac:dyDescent="0.25">
      <c r="A4230" t="str">
        <f>"20190312172202081"</f>
        <v>20190312172202081</v>
      </c>
      <c r="B4230" t="str">
        <f>"1552382522074696"</f>
        <v>1552382522074696</v>
      </c>
      <c r="C4230" t="s">
        <v>40</v>
      </c>
      <c r="D4230">
        <v>3.0306190000000002</v>
      </c>
      <c r="E4230">
        <v>0.52124280000000001</v>
      </c>
      <c r="F4230" t="s">
        <v>47</v>
      </c>
      <c r="G4230">
        <v>-296.7373</v>
      </c>
      <c r="H4230" s="1">
        <v>2.089489E-6</v>
      </c>
      <c r="I4230">
        <v>213.74780000000001</v>
      </c>
      <c r="J4230">
        <v>-319.96190000000001</v>
      </c>
      <c r="K4230">
        <v>1.109505</v>
      </c>
      <c r="L4230">
        <v>215.13730000000001</v>
      </c>
      <c r="M4230">
        <v>0.9999169</v>
      </c>
      <c r="N4230">
        <v>0</v>
      </c>
      <c r="O4230">
        <v>9.3013699999999998E-3</v>
      </c>
      <c r="P4230">
        <v>0.99248400000000003</v>
      </c>
      <c r="Q4230">
        <v>0.1223442</v>
      </c>
      <c r="R4230">
        <v>-2.7843310000000001E-3</v>
      </c>
      <c r="S4230">
        <v>3.0397949999999998</v>
      </c>
      <c r="T4230">
        <v>-0.1428326</v>
      </c>
      <c r="U4230">
        <v>-0.178421</v>
      </c>
      <c r="V4230">
        <v>1.200879E-2</v>
      </c>
      <c r="W4230">
        <v>0.1312207</v>
      </c>
      <c r="X4230">
        <v>0.99128039999999995</v>
      </c>
      <c r="Y4230">
        <v>6.7792699999999997E-2</v>
      </c>
      <c r="Z4230">
        <v>-2.0269390000000002E-3</v>
      </c>
      <c r="AA4230">
        <v>0.99769739999999996</v>
      </c>
      <c r="AB4230">
        <v>37</v>
      </c>
      <c r="AC4230">
        <v>23.224599999999999</v>
      </c>
      <c r="AD4230">
        <v>-1.1095029105109999</v>
      </c>
      <c r="AE4230">
        <v>-1.38949999999999</v>
      </c>
      <c r="AF4230">
        <v>1.60182638589098</v>
      </c>
      <c r="AG4230">
        <v>-1.1095029105109999</v>
      </c>
      <c r="AH4230">
        <v>23.158006974721602</v>
      </c>
      <c r="AI4230">
        <v>92.7364219941215</v>
      </c>
      <c r="AJ4230">
        <v>86.043185299552206</v>
      </c>
      <c r="AK4230">
        <v>23.239839317865901</v>
      </c>
      <c r="AL4230">
        <v>82.459862090508693</v>
      </c>
      <c r="AM4230">
        <v>89.305928647793095</v>
      </c>
      <c r="AN4230">
        <v>0.99999995728495605</v>
      </c>
    </row>
    <row r="4231" spans="1:40" x14ac:dyDescent="0.25">
      <c r="A4231" t="str">
        <f>"20190312172202103"</f>
        <v>20190312172202103</v>
      </c>
      <c r="B4231" t="str">
        <f>"1552382522095192"</f>
        <v>1552382522095192</v>
      </c>
      <c r="C4231" t="s">
        <v>40</v>
      </c>
      <c r="D4231">
        <v>3.0559989999999999</v>
      </c>
      <c r="E4231">
        <v>0.52139409999999997</v>
      </c>
      <c r="F4231" t="s">
        <v>47</v>
      </c>
      <c r="G4231">
        <v>-296.23439999999999</v>
      </c>
      <c r="H4231" s="1">
        <v>2.000294E-6</v>
      </c>
      <c r="I4231">
        <v>213.73099999999999</v>
      </c>
      <c r="J4231">
        <v>-319.58929999999998</v>
      </c>
      <c r="K4231">
        <v>1.1095090000000001</v>
      </c>
      <c r="L4231">
        <v>215.14080000000001</v>
      </c>
      <c r="M4231">
        <v>0.99991569999999996</v>
      </c>
      <c r="N4231">
        <v>0</v>
      </c>
      <c r="O4231">
        <v>9.3592199999999997E-3</v>
      </c>
      <c r="P4231">
        <v>0.99247859999999999</v>
      </c>
      <c r="Q4231">
        <v>0.1223791</v>
      </c>
      <c r="R4231">
        <v>-3.1717759999999998E-3</v>
      </c>
      <c r="S4231">
        <v>3.0397340000000002</v>
      </c>
      <c r="T4231">
        <v>-0.14213899999999999</v>
      </c>
      <c r="U4231">
        <v>-0.1801605</v>
      </c>
      <c r="V4231">
        <v>1.245138E-2</v>
      </c>
      <c r="W4231">
        <v>0.13131660000000001</v>
      </c>
      <c r="X4231">
        <v>0.99126230000000004</v>
      </c>
      <c r="Y4231">
        <v>6.8420620000000001E-2</v>
      </c>
      <c r="Z4231">
        <v>-2.034475E-3</v>
      </c>
      <c r="AA4231">
        <v>0.9976545</v>
      </c>
      <c r="AB4231">
        <v>37</v>
      </c>
      <c r="AC4231">
        <v>23.354899999999901</v>
      </c>
      <c r="AD4231">
        <v>-1.1095069997059901</v>
      </c>
      <c r="AE4231">
        <v>-1.4098000000000099</v>
      </c>
      <c r="AF4231">
        <v>1.6246773954981999</v>
      </c>
      <c r="AG4231">
        <v>-1.1095069997059901</v>
      </c>
      <c r="AH4231">
        <v>23.288314266390199</v>
      </c>
      <c r="AI4231">
        <v>92.721032117694904</v>
      </c>
      <c r="AJ4231">
        <v>86.009304110856405</v>
      </c>
      <c r="AK4231">
        <v>23.371267911518899</v>
      </c>
      <c r="AL4231">
        <v>82.454319915810601</v>
      </c>
      <c r="AM4231">
        <v>89.280337802143407</v>
      </c>
      <c r="AN4231">
        <v>1.00000001685037</v>
      </c>
    </row>
    <row r="4232" spans="1:40" x14ac:dyDescent="0.25">
      <c r="A4232" t="str">
        <f>"20190312172202124"</f>
        <v>20190312172202124</v>
      </c>
      <c r="B4232" t="str">
        <f>"1552382522114712"</f>
        <v>1552382522114712</v>
      </c>
      <c r="C4232" t="s">
        <v>40</v>
      </c>
      <c r="D4232">
        <v>3.0291049999999999</v>
      </c>
      <c r="E4232">
        <v>0.52156349999999996</v>
      </c>
      <c r="F4232" t="s">
        <v>47</v>
      </c>
      <c r="G4232">
        <v>-295.85730000000001</v>
      </c>
      <c r="H4232" s="1">
        <v>1.9333979999999999E-6</v>
      </c>
      <c r="I4232">
        <v>213.71879999999999</v>
      </c>
      <c r="J4232">
        <v>-319.2328</v>
      </c>
      <c r="K4232">
        <v>1.1095200000000001</v>
      </c>
      <c r="L4232">
        <v>215.14420000000001</v>
      </c>
      <c r="M4232">
        <v>0.99991459999999999</v>
      </c>
      <c r="N4232">
        <v>0</v>
      </c>
      <c r="O4232">
        <v>9.4189149999999999E-3</v>
      </c>
      <c r="P4232">
        <v>0.99251120000000004</v>
      </c>
      <c r="Q4232">
        <v>0.1221141</v>
      </c>
      <c r="R4232">
        <v>-3.1799559999999998E-3</v>
      </c>
      <c r="S4232">
        <v>3.0396730000000001</v>
      </c>
      <c r="T4232">
        <v>-0.1421096</v>
      </c>
      <c r="U4232">
        <v>-0.18214420000000001</v>
      </c>
      <c r="V4232">
        <v>1.2517449999999999E-2</v>
      </c>
      <c r="W4232">
        <v>0.13110959999999999</v>
      </c>
      <c r="X4232">
        <v>0.99128879999999997</v>
      </c>
      <c r="Y4232">
        <v>6.9129289999999996E-2</v>
      </c>
      <c r="Z4232">
        <v>-2.053385E-3</v>
      </c>
      <c r="AA4232">
        <v>0.99760559999999998</v>
      </c>
      <c r="AB4232">
        <v>37</v>
      </c>
      <c r="AC4232">
        <v>23.375499999999899</v>
      </c>
      <c r="AD4232">
        <v>-1.1095180666019999</v>
      </c>
      <c r="AE4232">
        <v>-1.42540000000002</v>
      </c>
      <c r="AF4232">
        <v>1.6418324251190599</v>
      </c>
      <c r="AG4232">
        <v>-1.1095180666019999</v>
      </c>
      <c r="AH4232">
        <v>23.308718448607799</v>
      </c>
      <c r="AI4232">
        <v>92.718553005499004</v>
      </c>
      <c r="AJ4232">
        <v>85.970823049904894</v>
      </c>
      <c r="AK4232">
        <v>23.392798032060199</v>
      </c>
      <c r="AL4232">
        <v>82.466283066375098</v>
      </c>
      <c r="AM4232">
        <v>89.276538845902905</v>
      </c>
      <c r="AN4232">
        <v>0.99999994938604897</v>
      </c>
    </row>
    <row r="4233" spans="1:40" x14ac:dyDescent="0.25">
      <c r="A4233" t="str">
        <f>"20190312172202147"</f>
        <v>20190312172202147</v>
      </c>
      <c r="B4233" t="str">
        <f>"1552382522144968"</f>
        <v>1552382522144968</v>
      </c>
      <c r="C4233" t="s">
        <v>40</v>
      </c>
      <c r="D4233">
        <v>3.0335990000000002</v>
      </c>
      <c r="E4233">
        <v>0.53164560000000005</v>
      </c>
      <c r="F4233" t="s">
        <v>47</v>
      </c>
      <c r="G4233">
        <v>-295.65469999999999</v>
      </c>
      <c r="H4233" s="1">
        <v>1.897459E-6</v>
      </c>
      <c r="I4233">
        <v>213.72110000000001</v>
      </c>
      <c r="J4233">
        <v>-318.84559999999999</v>
      </c>
      <c r="K4233">
        <v>1.1095299999999999</v>
      </c>
      <c r="L4233">
        <v>215.14789999999999</v>
      </c>
      <c r="M4233">
        <v>0.9999133</v>
      </c>
      <c r="N4233">
        <v>0</v>
      </c>
      <c r="O4233">
        <v>9.487812E-3</v>
      </c>
      <c r="P4233">
        <v>0.99254779999999998</v>
      </c>
      <c r="Q4233">
        <v>0.1218243</v>
      </c>
      <c r="R4233">
        <v>-2.757327E-3</v>
      </c>
      <c r="S4233">
        <v>3.0396420000000002</v>
      </c>
      <c r="T4233">
        <v>-0.14303660000000001</v>
      </c>
      <c r="U4233">
        <v>-0.18347169999999999</v>
      </c>
      <c r="V4233">
        <v>1.2162549999999999E-2</v>
      </c>
      <c r="W4233">
        <v>0.13088269999999999</v>
      </c>
      <c r="X4233">
        <v>0.99132319999999996</v>
      </c>
      <c r="Y4233">
        <v>6.9630999999999998E-2</v>
      </c>
      <c r="Z4233">
        <v>-2.0817850000000001E-3</v>
      </c>
      <c r="AA4233">
        <v>0.99757059999999997</v>
      </c>
      <c r="AB4233">
        <v>37</v>
      </c>
      <c r="AC4233">
        <v>23.190899999999999</v>
      </c>
      <c r="AD4233">
        <v>-1.109528102541</v>
      </c>
      <c r="AE4233">
        <v>-1.4267999999999801</v>
      </c>
      <c r="AF4233">
        <v>1.6430291724334101</v>
      </c>
      <c r="AG4233">
        <v>-1.109528102541</v>
      </c>
      <c r="AH4233">
        <v>23.1235885430855</v>
      </c>
      <c r="AI4233">
        <v>92.740191150077194</v>
      </c>
      <c r="AJ4233">
        <v>85.935722126133399</v>
      </c>
      <c r="AK4233">
        <v>23.208424000386401</v>
      </c>
      <c r="AL4233">
        <v>82.4793964674937</v>
      </c>
      <c r="AM4233">
        <v>89.297073022833402</v>
      </c>
      <c r="AN4233">
        <v>0.999999947820014</v>
      </c>
    </row>
    <row r="4234" spans="1:40" x14ac:dyDescent="0.25">
      <c r="A4234" t="str">
        <f>"20190312172202171"</f>
        <v>20190312172202171</v>
      </c>
      <c r="B4234" t="str">
        <f>"1552382522164488"</f>
        <v>1552382522164488</v>
      </c>
      <c r="C4234" t="s">
        <v>40</v>
      </c>
      <c r="D4234">
        <v>3.0497459999999998</v>
      </c>
      <c r="E4234">
        <v>0.53458819999999996</v>
      </c>
      <c r="F4234" t="s">
        <v>41</v>
      </c>
      <c r="G4234">
        <v>-317.92880000000002</v>
      </c>
      <c r="H4234">
        <v>1.001201</v>
      </c>
      <c r="I4234">
        <v>215.06870000000001</v>
      </c>
      <c r="J4234">
        <v>-318.4615</v>
      </c>
      <c r="K4234">
        <v>1.1095389999999901</v>
      </c>
      <c r="L4234">
        <v>215.1516</v>
      </c>
      <c r="M4234">
        <v>0.99991209999999997</v>
      </c>
      <c r="N4234">
        <v>0</v>
      </c>
      <c r="O4234">
        <v>9.5571800000000002E-3</v>
      </c>
      <c r="P4234">
        <v>0.99260479999999995</v>
      </c>
      <c r="Q4234">
        <v>0.1213615</v>
      </c>
      <c r="R4234">
        <v>-2.725126E-3</v>
      </c>
      <c r="S4234">
        <v>3.0663149999999999</v>
      </c>
      <c r="T4234">
        <v>-0.36247010000000002</v>
      </c>
      <c r="U4234">
        <v>-0.26348880000000002</v>
      </c>
      <c r="V4234">
        <v>1.2198550000000001E-2</v>
      </c>
      <c r="W4234">
        <v>0.1304823</v>
      </c>
      <c r="X4234">
        <v>0.99137560000000002</v>
      </c>
      <c r="Y4234">
        <v>9.4414419999999999E-2</v>
      </c>
      <c r="Z4234">
        <v>-6.6748370000000003E-3</v>
      </c>
      <c r="AA4234">
        <v>0.99551060000000002</v>
      </c>
      <c r="AB4234">
        <v>37</v>
      </c>
      <c r="AC4234">
        <v>0.53269999999997697</v>
      </c>
      <c r="AD4234">
        <v>-0.108337999999999</v>
      </c>
      <c r="AE4234">
        <v>-8.2899999999995005E-2</v>
      </c>
      <c r="AF4234">
        <v>8.45722181624146E-2</v>
      </c>
      <c r="AG4234">
        <v>-0.108337999999999</v>
      </c>
      <c r="AH4234">
        <v>0.51123778628666094</v>
      </c>
      <c r="AI4234">
        <v>101.80882969224</v>
      </c>
      <c r="AJ4234">
        <v>80.6068340295935</v>
      </c>
      <c r="AK4234">
        <v>0.52938989077635101</v>
      </c>
      <c r="AL4234">
        <v>82.5025365904974</v>
      </c>
      <c r="AM4234">
        <v>89.295029895024797</v>
      </c>
      <c r="AN4234">
        <v>1.0000000077553699</v>
      </c>
    </row>
    <row r="4235" spans="1:40" x14ac:dyDescent="0.25">
      <c r="A4235" t="str">
        <f>"20190312172202192"</f>
        <v>20190312172202192</v>
      </c>
      <c r="B4235" t="str">
        <f>"1552382522184984"</f>
        <v>1552382522184984</v>
      </c>
      <c r="C4235" t="s">
        <v>40</v>
      </c>
      <c r="D4235">
        <v>3.039005</v>
      </c>
      <c r="E4235">
        <v>0.53574169999999999</v>
      </c>
      <c r="F4235" t="s">
        <v>41</v>
      </c>
      <c r="G4235">
        <v>-317.6046</v>
      </c>
      <c r="H4235">
        <v>0.97976549999999996</v>
      </c>
      <c r="I4235">
        <v>215.0718</v>
      </c>
      <c r="J4235">
        <v>-318.09620000000001</v>
      </c>
      <c r="K4235">
        <v>1.1095489999999999</v>
      </c>
      <c r="L4235">
        <v>215.15520000000001</v>
      </c>
      <c r="M4235">
        <v>0.99991090000000005</v>
      </c>
      <c r="N4235">
        <v>0</v>
      </c>
      <c r="O4235">
        <v>9.6236800000000008E-3</v>
      </c>
      <c r="P4235">
        <v>0.99260879999999996</v>
      </c>
      <c r="Q4235">
        <v>0.1213249</v>
      </c>
      <c r="R4235">
        <v>-2.8871859999999999E-3</v>
      </c>
      <c r="S4235">
        <v>3.0785520000000002</v>
      </c>
      <c r="T4235">
        <v>-0.46618369999999998</v>
      </c>
      <c r="U4235">
        <v>-0.28659059999999997</v>
      </c>
      <c r="V4235">
        <v>1.2425820000000001E-2</v>
      </c>
      <c r="W4235">
        <v>0.13050729999999999</v>
      </c>
      <c r="X4235">
        <v>0.99136950000000001</v>
      </c>
      <c r="Y4235">
        <v>0.10101930000000001</v>
      </c>
      <c r="Z4235">
        <v>-9.0353540000000006E-3</v>
      </c>
      <c r="AA4235">
        <v>0.99484340000000004</v>
      </c>
      <c r="AB4235">
        <v>37</v>
      </c>
      <c r="AC4235">
        <v>0.49160000000000498</v>
      </c>
      <c r="AD4235">
        <v>-0.129783499999999</v>
      </c>
      <c r="AE4235">
        <v>-8.3400000000011604E-2</v>
      </c>
      <c r="AF4235">
        <v>8.2535763121072997E-2</v>
      </c>
      <c r="AG4235">
        <v>-0.129783499999999</v>
      </c>
      <c r="AH4235">
        <v>0.45963550333757103</v>
      </c>
      <c r="AI4235">
        <v>105.53149876086501</v>
      </c>
      <c r="AJ4235">
        <v>79.820010912443493</v>
      </c>
      <c r="AK4235">
        <v>0.484686192287969</v>
      </c>
      <c r="AL4235">
        <v>82.501091941429195</v>
      </c>
      <c r="AM4235">
        <v>89.281892610205105</v>
      </c>
      <c r="AN4235">
        <v>1.0000000209430999</v>
      </c>
    </row>
    <row r="4236" spans="1:40" x14ac:dyDescent="0.25">
      <c r="A4236" t="str">
        <f>"20190312172202214"</f>
        <v>20190312172202214</v>
      </c>
      <c r="B4236" t="str">
        <f>"1552382522204507"</f>
        <v>1552382522204507</v>
      </c>
      <c r="C4236" t="s">
        <v>40</v>
      </c>
      <c r="D4236">
        <v>3.063008</v>
      </c>
      <c r="E4236">
        <v>0.53722119999999995</v>
      </c>
      <c r="F4236" t="s">
        <v>41</v>
      </c>
      <c r="G4236">
        <v>-317.27390000000003</v>
      </c>
      <c r="H4236">
        <v>0.97075560000000005</v>
      </c>
      <c r="I4236">
        <v>215.07589999999999</v>
      </c>
      <c r="J4236">
        <v>-317.73180000000002</v>
      </c>
      <c r="K4236">
        <v>1.1095600000000001</v>
      </c>
      <c r="L4236">
        <v>215.15880000000001</v>
      </c>
      <c r="M4236">
        <v>0.99990959999999995</v>
      </c>
      <c r="N4236">
        <v>0</v>
      </c>
      <c r="O4236">
        <v>9.6898569999999996E-3</v>
      </c>
      <c r="P4236">
        <v>0.99262519999999999</v>
      </c>
      <c r="Q4236">
        <v>0.12118660000000001</v>
      </c>
      <c r="R4236">
        <v>-3.0396960000000002E-3</v>
      </c>
      <c r="S4236">
        <v>3.0851139999999999</v>
      </c>
      <c r="T4236">
        <v>-0.52083550000000001</v>
      </c>
      <c r="U4236">
        <v>-0.29635620000000001</v>
      </c>
      <c r="V4236">
        <v>1.264359E-2</v>
      </c>
      <c r="W4236">
        <v>0.13043450000000001</v>
      </c>
      <c r="X4236">
        <v>0.99137629999999999</v>
      </c>
      <c r="Y4236">
        <v>0.1036714</v>
      </c>
      <c r="Z4236">
        <v>-1.029095E-2</v>
      </c>
      <c r="AA4236">
        <v>0.99455830000000001</v>
      </c>
      <c r="AB4236">
        <v>37</v>
      </c>
      <c r="AC4236">
        <v>0.45789999999999498</v>
      </c>
      <c r="AD4236">
        <v>-0.13880439999999999</v>
      </c>
      <c r="AE4236">
        <v>-8.2900000000023497E-2</v>
      </c>
      <c r="AF4236">
        <v>8.0197836770636702E-2</v>
      </c>
      <c r="AG4236">
        <v>-0.13880439999999999</v>
      </c>
      <c r="AH4236">
        <v>0.41973046118171098</v>
      </c>
      <c r="AI4236">
        <v>107.994977291873</v>
      </c>
      <c r="AJ4236">
        <v>79.182882333272701</v>
      </c>
      <c r="AK4236">
        <v>0.44930169655350899</v>
      </c>
      <c r="AL4236">
        <v>82.505298830244499</v>
      </c>
      <c r="AM4236">
        <v>89.269313708651097</v>
      </c>
      <c r="AN4236">
        <v>0.99999999368001402</v>
      </c>
    </row>
    <row r="4237" spans="1:40" x14ac:dyDescent="0.25">
      <c r="A4237" t="str">
        <f>"20190312172202236"</f>
        <v>20190312172202236</v>
      </c>
      <c r="B4237" t="str">
        <f>"1552382522225000"</f>
        <v>1552382522225000</v>
      </c>
      <c r="C4237" t="s">
        <v>40</v>
      </c>
      <c r="D4237">
        <v>3.203891</v>
      </c>
      <c r="E4237">
        <v>0.53830369999999905</v>
      </c>
      <c r="F4237" t="s">
        <v>41</v>
      </c>
      <c r="G4237">
        <v>-316.94</v>
      </c>
      <c r="H4237">
        <v>0.96760950000000001</v>
      </c>
      <c r="I4237">
        <v>215.07929999999999</v>
      </c>
      <c r="J4237">
        <v>-317.36250000000001</v>
      </c>
      <c r="K4237">
        <v>1.1095680000000001</v>
      </c>
      <c r="L4237">
        <v>215.16239999999999</v>
      </c>
      <c r="M4237">
        <v>0.99990840000000003</v>
      </c>
      <c r="N4237">
        <v>0</v>
      </c>
      <c r="O4237">
        <v>9.7561220000000008E-3</v>
      </c>
      <c r="P4237">
        <v>0.99266849999999995</v>
      </c>
      <c r="Q4237">
        <v>0.12083199999999999</v>
      </c>
      <c r="R4237">
        <v>-3.0484879999999998E-3</v>
      </c>
      <c r="S4237">
        <v>3.088959</v>
      </c>
      <c r="T4237">
        <v>-0.55386279999999999</v>
      </c>
      <c r="U4237">
        <v>-0.30880740000000001</v>
      </c>
      <c r="V4237">
        <v>1.271794E-2</v>
      </c>
      <c r="W4237">
        <v>0.13015180000000001</v>
      </c>
      <c r="X4237">
        <v>0.99141250000000003</v>
      </c>
      <c r="Y4237">
        <v>0.1073296</v>
      </c>
      <c r="Z4237">
        <v>-1.125454E-2</v>
      </c>
      <c r="AA4237">
        <v>0.99415980000000004</v>
      </c>
      <c r="AB4237">
        <v>37</v>
      </c>
      <c r="AC4237">
        <v>0.42250000000001298</v>
      </c>
      <c r="AD4237">
        <v>-0.14195849999999999</v>
      </c>
      <c r="AE4237">
        <v>-8.31000000000017E-2</v>
      </c>
      <c r="AF4237">
        <v>7.8667862315247805E-2</v>
      </c>
      <c r="AG4237">
        <v>-0.14195849999999999</v>
      </c>
      <c r="AH4237">
        <v>0.38033131899738398</v>
      </c>
      <c r="AI4237">
        <v>110.07799501589901</v>
      </c>
      <c r="AJ4237">
        <v>78.313718916485101</v>
      </c>
      <c r="AK4237">
        <v>0.41351270898702802</v>
      </c>
      <c r="AL4237">
        <v>82.521635590507998</v>
      </c>
      <c r="AM4237">
        <v>89.265044248241594</v>
      </c>
      <c r="AN4237">
        <v>0.999999991098666</v>
      </c>
    </row>
    <row r="4238" spans="1:40" x14ac:dyDescent="0.25">
      <c r="A4238" t="str">
        <f>"20190312172202259"</f>
        <v>20190312172202259</v>
      </c>
      <c r="B4238" t="str">
        <f>"1552382522255256"</f>
        <v>1552382522255256</v>
      </c>
      <c r="C4238" t="s">
        <v>40</v>
      </c>
      <c r="D4238">
        <v>3.1992970000000001</v>
      </c>
      <c r="E4238">
        <v>0.53879049999999995</v>
      </c>
      <c r="F4238" t="s">
        <v>41</v>
      </c>
      <c r="G4238">
        <v>-316.6037</v>
      </c>
      <c r="H4238">
        <v>0.96903609999999896</v>
      </c>
      <c r="I4238">
        <v>215.08430000000001</v>
      </c>
      <c r="J4238">
        <v>-316.98750000000001</v>
      </c>
      <c r="K4238">
        <v>1.10958</v>
      </c>
      <c r="L4238">
        <v>215.1661</v>
      </c>
      <c r="M4238">
        <v>0.99990699999999999</v>
      </c>
      <c r="N4238">
        <v>0</v>
      </c>
      <c r="O4238">
        <v>9.8233669999999995E-3</v>
      </c>
      <c r="P4238">
        <v>0.99272169999999904</v>
      </c>
      <c r="Q4238">
        <v>0.120388</v>
      </c>
      <c r="R4238">
        <v>-3.218879E-3</v>
      </c>
      <c r="S4238">
        <v>3.0909420000000001</v>
      </c>
      <c r="T4238">
        <v>-0.57256479999999998</v>
      </c>
      <c r="U4238">
        <v>-0.31726070000000001</v>
      </c>
      <c r="V4238">
        <v>1.295523E-2</v>
      </c>
      <c r="W4238">
        <v>0.1297854</v>
      </c>
      <c r="X4238">
        <v>0.99145749999999999</v>
      </c>
      <c r="Y4238">
        <v>0.1098577</v>
      </c>
      <c r="Z4238">
        <v>-1.18634E-2</v>
      </c>
      <c r="AA4238">
        <v>0.99387650000000005</v>
      </c>
      <c r="AB4238">
        <v>38</v>
      </c>
      <c r="AC4238">
        <v>0.38380000000000702</v>
      </c>
      <c r="AD4238">
        <v>-0.1405439</v>
      </c>
      <c r="AE4238">
        <v>-8.1799999999986994E-2</v>
      </c>
      <c r="AF4238">
        <v>7.5838690312228105E-2</v>
      </c>
      <c r="AG4238">
        <v>-0.1405439</v>
      </c>
      <c r="AH4238">
        <v>0.33943851430073801</v>
      </c>
      <c r="AI4238">
        <v>112.002913662835</v>
      </c>
      <c r="AJ4238">
        <v>77.405595804184401</v>
      </c>
      <c r="AK4238">
        <v>0.37513011044993</v>
      </c>
      <c r="AL4238">
        <v>82.542808649976195</v>
      </c>
      <c r="AM4238">
        <v>89.251367043306701</v>
      </c>
      <c r="AN4238">
        <v>1.00000003117188</v>
      </c>
    </row>
    <row r="4239" spans="1:40" x14ac:dyDescent="0.25">
      <c r="A4239" t="str">
        <f>"20190312172202282"</f>
        <v>20190312172202282</v>
      </c>
      <c r="B4239" t="str">
        <f>"1552382522274776"</f>
        <v>1552382522274776</v>
      </c>
      <c r="C4239" t="s">
        <v>40</v>
      </c>
      <c r="D4239">
        <v>3.1388699999999998</v>
      </c>
      <c r="E4239">
        <v>0.53867699999999996</v>
      </c>
      <c r="F4239" t="s">
        <v>41</v>
      </c>
      <c r="G4239">
        <v>-316.2663</v>
      </c>
      <c r="H4239">
        <v>0.97191329999999998</v>
      </c>
      <c r="I4239">
        <v>215.0909</v>
      </c>
      <c r="J4239">
        <v>-316.60109999999997</v>
      </c>
      <c r="K4239">
        <v>1.1095919999999999</v>
      </c>
      <c r="L4239">
        <v>215.17</v>
      </c>
      <c r="M4239">
        <v>0.9999055</v>
      </c>
      <c r="N4239">
        <v>0</v>
      </c>
      <c r="O4239">
        <v>9.8924779999999997E-3</v>
      </c>
      <c r="P4239">
        <v>0.99273230000000001</v>
      </c>
      <c r="Q4239">
        <v>0.12029579999999999</v>
      </c>
      <c r="R4239">
        <v>-3.404584E-3</v>
      </c>
      <c r="S4239">
        <v>3.09259</v>
      </c>
      <c r="T4239">
        <v>-0.59046080000000001</v>
      </c>
      <c r="U4239">
        <v>-0.32173160000000001</v>
      </c>
      <c r="V4239">
        <v>1.32091E-2</v>
      </c>
      <c r="W4239">
        <v>0.1297778</v>
      </c>
      <c r="X4239">
        <v>0.99145510000000003</v>
      </c>
      <c r="Y4239">
        <v>0.1111456</v>
      </c>
      <c r="Z4239">
        <v>-1.2355090000000001E-2</v>
      </c>
      <c r="AA4239">
        <v>0.99372729999999998</v>
      </c>
      <c r="AB4239">
        <v>38</v>
      </c>
      <c r="AC4239">
        <v>0.33479999999997201</v>
      </c>
      <c r="AD4239">
        <v>-0.13767869999999899</v>
      </c>
      <c r="AE4239">
        <v>-7.9099999999982601E-2</v>
      </c>
      <c r="AF4239">
        <v>7.10313938378693E-2</v>
      </c>
      <c r="AG4239">
        <v>-0.13767869999999899</v>
      </c>
      <c r="AH4239">
        <v>0.28789051483428402</v>
      </c>
      <c r="AI4239">
        <v>114.90586588472399</v>
      </c>
      <c r="AJ4239">
        <v>76.140196590741795</v>
      </c>
      <c r="AK4239">
        <v>0.32692786953055802</v>
      </c>
      <c r="AL4239">
        <v>82.543247477097196</v>
      </c>
      <c r="AM4239">
        <v>89.236696743124298</v>
      </c>
      <c r="AN4239">
        <v>0.99999998650583</v>
      </c>
    </row>
    <row r="4240" spans="1:40" x14ac:dyDescent="0.25">
      <c r="A4240" t="str">
        <f>"20190312172202304"</f>
        <v>20190312172202304</v>
      </c>
      <c r="B4240" t="str">
        <f>"1552382522295276"</f>
        <v>1552382522295276</v>
      </c>
      <c r="C4240" t="s">
        <v>40</v>
      </c>
      <c r="D4240">
        <v>3.1969889999999999</v>
      </c>
      <c r="E4240">
        <v>0.53875669999999898</v>
      </c>
      <c r="F4240" t="s">
        <v>41</v>
      </c>
      <c r="G4240">
        <v>-315.6182</v>
      </c>
      <c r="H4240">
        <v>0.91764389999999996</v>
      </c>
      <c r="I4240">
        <v>215.0677</v>
      </c>
      <c r="J4240">
        <v>-316.21980000000002</v>
      </c>
      <c r="K4240">
        <v>1.109599</v>
      </c>
      <c r="L4240">
        <v>215.1738</v>
      </c>
      <c r="M4240">
        <v>0.99990400000000002</v>
      </c>
      <c r="N4240">
        <v>0</v>
      </c>
      <c r="O4240">
        <v>9.9605140000000002E-3</v>
      </c>
      <c r="P4240">
        <v>0.99282380000000003</v>
      </c>
      <c r="Q4240">
        <v>0.1195413</v>
      </c>
      <c r="R4240">
        <v>-3.3401350000000002E-3</v>
      </c>
      <c r="S4240">
        <v>3.094055</v>
      </c>
      <c r="T4240">
        <v>-0.60437019999999997</v>
      </c>
      <c r="U4240">
        <v>-0.32113649999999999</v>
      </c>
      <c r="V4240">
        <v>1.321251E-2</v>
      </c>
      <c r="W4240">
        <v>0.12910730000000001</v>
      </c>
      <c r="X4240">
        <v>0.99154260000000005</v>
      </c>
      <c r="Y4240">
        <v>0.1108793</v>
      </c>
      <c r="Z4240">
        <v>-1.262255E-2</v>
      </c>
      <c r="AA4240">
        <v>0.99375369999999996</v>
      </c>
      <c r="AB4240">
        <v>38</v>
      </c>
      <c r="AC4240">
        <v>0.60160000000001901</v>
      </c>
      <c r="AD4240">
        <v>-0.19195509999999999</v>
      </c>
      <c r="AE4240">
        <v>-0.106099999999997</v>
      </c>
      <c r="AF4240">
        <v>0.10201461267591901</v>
      </c>
      <c r="AG4240">
        <v>-0.19195509999999999</v>
      </c>
      <c r="AH4240">
        <v>0.54654856775150096</v>
      </c>
      <c r="AI4240">
        <v>109.047265786279</v>
      </c>
      <c r="AJ4240">
        <v>79.427265386853904</v>
      </c>
      <c r="AK4240">
        <v>0.58819136216595702</v>
      </c>
      <c r="AL4240">
        <v>82.5819903187965</v>
      </c>
      <c r="AM4240">
        <v>89.2365670837453</v>
      </c>
      <c r="AN4240">
        <v>0.99999999647427495</v>
      </c>
    </row>
    <row r="4241" spans="1:40" x14ac:dyDescent="0.25">
      <c r="A4241" t="str">
        <f>"20190312172202325"</f>
        <v>20190312172202325</v>
      </c>
      <c r="B4241" t="str">
        <f>"1552382522314792"</f>
        <v>1552382522314792</v>
      </c>
      <c r="C4241" t="s">
        <v>40</v>
      </c>
      <c r="D4241">
        <v>3.0655960000000002</v>
      </c>
      <c r="E4241">
        <v>0.54001250000000001</v>
      </c>
      <c r="F4241" t="s">
        <v>41</v>
      </c>
      <c r="G4241">
        <v>-315.27839999999998</v>
      </c>
      <c r="H4241">
        <v>0.92442559999999996</v>
      </c>
      <c r="I4241">
        <v>215.07570000000001</v>
      </c>
      <c r="J4241">
        <v>-315.86410000000001</v>
      </c>
      <c r="K4241">
        <v>1.1096090000000001</v>
      </c>
      <c r="L4241">
        <v>215.17740000000001</v>
      </c>
      <c r="M4241">
        <v>0.99990250000000003</v>
      </c>
      <c r="N4241">
        <v>0</v>
      </c>
      <c r="O4241">
        <v>1.00237E-2</v>
      </c>
      <c r="P4241">
        <v>0.99284329999999998</v>
      </c>
      <c r="Q4241">
        <v>0.1193705</v>
      </c>
      <c r="R4241">
        <v>-3.5557219999999999E-3</v>
      </c>
      <c r="S4241">
        <v>3.0939329999999998</v>
      </c>
      <c r="T4241">
        <v>-0.60862759999999905</v>
      </c>
      <c r="U4241">
        <v>-0.3217468</v>
      </c>
      <c r="V4241">
        <v>1.3491120000000001E-2</v>
      </c>
      <c r="W4241">
        <v>0.1290104</v>
      </c>
      <c r="X4241">
        <v>0.99155150000000003</v>
      </c>
      <c r="Y4241">
        <v>0.1111028</v>
      </c>
      <c r="Z4241">
        <v>-1.2744190000000001E-2</v>
      </c>
      <c r="AA4241">
        <v>0.99372720000000003</v>
      </c>
      <c r="AB4241">
        <v>38</v>
      </c>
      <c r="AC4241">
        <v>0.58570000000003097</v>
      </c>
      <c r="AD4241">
        <v>-0.1851834</v>
      </c>
      <c r="AE4241">
        <v>-0.101699999999993</v>
      </c>
      <c r="AF4241">
        <v>9.8051118274699894E-2</v>
      </c>
      <c r="AG4241">
        <v>-0.1851834</v>
      </c>
      <c r="AH4241">
        <v>0.532934844817889</v>
      </c>
      <c r="AI4241">
        <v>108.86748661399101</v>
      </c>
      <c r="AJ4241">
        <v>79.575116271163296</v>
      </c>
      <c r="AK4241">
        <v>0.57264863769291097</v>
      </c>
      <c r="AL4241">
        <v>82.587589392918403</v>
      </c>
      <c r="AM4241">
        <v>89.220477662944802</v>
      </c>
      <c r="AN4241">
        <v>1.0000000353896299</v>
      </c>
    </row>
    <row r="4242" spans="1:40" x14ac:dyDescent="0.25">
      <c r="A4242" t="str">
        <f>"20190312172202349"</f>
        <v>20190312172202349</v>
      </c>
      <c r="B4242" t="str">
        <f>"1552382522345048"</f>
        <v>1552382522345048</v>
      </c>
      <c r="C4242" t="s">
        <v>40</v>
      </c>
      <c r="D4242">
        <v>3.1712120000000001</v>
      </c>
      <c r="E4242">
        <v>0.54223669999999902</v>
      </c>
      <c r="F4242" t="s">
        <v>41</v>
      </c>
      <c r="G4242">
        <v>-314.9402</v>
      </c>
      <c r="H4242">
        <v>0.92632680000000001</v>
      </c>
      <c r="I4242">
        <v>215.0778</v>
      </c>
      <c r="J4242">
        <v>-315.46159999999998</v>
      </c>
      <c r="K4242">
        <v>1.1096220000000001</v>
      </c>
      <c r="L4242">
        <v>215.1815</v>
      </c>
      <c r="M4242">
        <v>0.99990100000000004</v>
      </c>
      <c r="N4242">
        <v>0</v>
      </c>
      <c r="O4242">
        <v>1.009561E-2</v>
      </c>
      <c r="P4242">
        <v>0.99277190000000004</v>
      </c>
      <c r="Q4242">
        <v>0.119963</v>
      </c>
      <c r="R4242">
        <v>-3.5681269999999999E-3</v>
      </c>
      <c r="S4242">
        <v>3.0942690000000002</v>
      </c>
      <c r="T4242">
        <v>-0.61389340000000003</v>
      </c>
      <c r="U4242">
        <v>-0.33241270000000001</v>
      </c>
      <c r="V4242">
        <v>1.357387E-2</v>
      </c>
      <c r="W4242">
        <v>0.12968370000000001</v>
      </c>
      <c r="X4242">
        <v>0.99146250000000002</v>
      </c>
      <c r="Y4242">
        <v>0.1144462</v>
      </c>
      <c r="Z4242">
        <v>-1.319039E-2</v>
      </c>
      <c r="AA4242">
        <v>0.9933419</v>
      </c>
      <c r="AB4242">
        <v>38</v>
      </c>
      <c r="AC4242">
        <v>0.521399999999971</v>
      </c>
      <c r="AD4242">
        <v>-0.18329519999999899</v>
      </c>
      <c r="AE4242">
        <v>-0.103700000000003</v>
      </c>
      <c r="AF4242">
        <v>9.7381962286264695E-2</v>
      </c>
      <c r="AG4242">
        <v>-0.18329519999999899</v>
      </c>
      <c r="AH4242">
        <v>0.46504186086683502</v>
      </c>
      <c r="AI4242">
        <v>111.095626601611</v>
      </c>
      <c r="AJ4242">
        <v>78.172891037065796</v>
      </c>
      <c r="AK4242">
        <v>0.50925858783161604</v>
      </c>
      <c r="AL4242">
        <v>82.548685065280694</v>
      </c>
      <c r="AM4242">
        <v>89.215626534867098</v>
      </c>
      <c r="AN4242">
        <v>1.0000000004493499</v>
      </c>
    </row>
    <row r="4243" spans="1:40" x14ac:dyDescent="0.25">
      <c r="A4243" t="str">
        <f>"20190312172202372"</f>
        <v>20190312172202372</v>
      </c>
      <c r="B4243" t="str">
        <f>"1552382522364568"</f>
        <v>1552382522364568</v>
      </c>
      <c r="C4243" t="s">
        <v>40</v>
      </c>
      <c r="D4243">
        <v>3.1677249999999999</v>
      </c>
      <c r="E4243">
        <v>0.54347650000000003</v>
      </c>
      <c r="F4243" t="s">
        <v>41</v>
      </c>
      <c r="G4243">
        <v>-314.59800000000001</v>
      </c>
      <c r="H4243">
        <v>0.93681349999999997</v>
      </c>
      <c r="I4243">
        <v>215.08330000000001</v>
      </c>
      <c r="J4243">
        <v>-315.08109999999999</v>
      </c>
      <c r="K4243">
        <v>1.109637</v>
      </c>
      <c r="L4243">
        <v>215.18539999999999</v>
      </c>
      <c r="M4243">
        <v>0.9998996</v>
      </c>
      <c r="N4243">
        <v>0</v>
      </c>
      <c r="O4243">
        <v>1.016338E-2</v>
      </c>
      <c r="P4243">
        <v>0.9926836</v>
      </c>
      <c r="Q4243">
        <v>0.1206965</v>
      </c>
      <c r="R4243">
        <v>-3.420827E-3</v>
      </c>
      <c r="S4243">
        <v>3.0953979999999999</v>
      </c>
      <c r="T4243">
        <v>-0.61947379999999996</v>
      </c>
      <c r="U4243">
        <v>-0.35052489999999997</v>
      </c>
      <c r="V4243">
        <v>1.349265E-2</v>
      </c>
      <c r="W4243">
        <v>0.1304903</v>
      </c>
      <c r="X4243">
        <v>0.99135770000000001</v>
      </c>
      <c r="Y4243">
        <v>0.1200644</v>
      </c>
      <c r="Z4243">
        <v>-1.386747E-2</v>
      </c>
      <c r="AA4243">
        <v>0.99266920000000003</v>
      </c>
      <c r="AB4243">
        <v>38</v>
      </c>
      <c r="AC4243">
        <v>0.48309999999997899</v>
      </c>
      <c r="AD4243">
        <v>-0.17282349999999899</v>
      </c>
      <c r="AE4243">
        <v>-0.102099999999978</v>
      </c>
      <c r="AF4243">
        <v>9.53268700807062E-2</v>
      </c>
      <c r="AG4243">
        <v>-0.17282349999999899</v>
      </c>
      <c r="AH4243">
        <v>0.42942996862482002</v>
      </c>
      <c r="AI4243">
        <v>111.449113710259</v>
      </c>
      <c r="AJ4243">
        <v>77.484163151102806</v>
      </c>
      <c r="AK4243">
        <v>0.47261535339506999</v>
      </c>
      <c r="AL4243">
        <v>82.502073682673597</v>
      </c>
      <c r="AM4243">
        <v>89.220236882961302</v>
      </c>
      <c r="AN4243">
        <v>0.999999929673698</v>
      </c>
    </row>
    <row r="4244" spans="1:40" x14ac:dyDescent="0.25">
      <c r="A4244" t="str">
        <f>"20190312172202393"</f>
        <v>20190312172202393</v>
      </c>
      <c r="B4244" t="str">
        <f>"1552382522385064"</f>
        <v>1552382522385064</v>
      </c>
      <c r="C4244" t="s">
        <v>40</v>
      </c>
      <c r="D4244">
        <v>3.1626150000000002</v>
      </c>
      <c r="E4244">
        <v>0.54455659999999995</v>
      </c>
      <c r="F4244" t="s">
        <v>41</v>
      </c>
      <c r="G4244">
        <v>-314.25689999999997</v>
      </c>
      <c r="H4244">
        <v>0.94412819999999997</v>
      </c>
      <c r="I4244">
        <v>215.08940000000001</v>
      </c>
      <c r="J4244">
        <v>-314.7133</v>
      </c>
      <c r="K4244">
        <v>1.109648</v>
      </c>
      <c r="L4244">
        <v>215.1892</v>
      </c>
      <c r="M4244">
        <v>0.99989830000000002</v>
      </c>
      <c r="N4244">
        <v>0</v>
      </c>
      <c r="O4244">
        <v>1.0229149999999999E-2</v>
      </c>
      <c r="P4244">
        <v>0.99268109999999998</v>
      </c>
      <c r="Q4244">
        <v>0.1207225</v>
      </c>
      <c r="R4244">
        <v>-3.2253519999999999E-3</v>
      </c>
      <c r="S4244">
        <v>3.0964659999999999</v>
      </c>
      <c r="T4244">
        <v>-0.6218574</v>
      </c>
      <c r="U4244">
        <v>-0.35995480000000002</v>
      </c>
      <c r="V4244">
        <v>1.336236E-2</v>
      </c>
      <c r="W4244">
        <v>0.13058159999999999</v>
      </c>
      <c r="X4244">
        <v>0.99134750000000005</v>
      </c>
      <c r="Y4244">
        <v>0.12299880000000001</v>
      </c>
      <c r="Z4244">
        <v>-1.4216619999999999E-2</v>
      </c>
      <c r="AA4244">
        <v>0.99230499999999999</v>
      </c>
      <c r="AB4244">
        <v>38</v>
      </c>
      <c r="AC4244">
        <v>0.45640000000003</v>
      </c>
      <c r="AD4244">
        <v>-0.16551979999999999</v>
      </c>
      <c r="AE4244">
        <v>-9.9799999999987593E-2</v>
      </c>
      <c r="AF4244">
        <v>9.2813368037897206E-2</v>
      </c>
      <c r="AG4244">
        <v>-0.16551979999999999</v>
      </c>
      <c r="AH4244">
        <v>0.404572049113125</v>
      </c>
      <c r="AI4244">
        <v>111.740350347891</v>
      </c>
      <c r="AJ4244">
        <v>77.079279222564594</v>
      </c>
      <c r="AK4244">
        <v>0.44686649952997298</v>
      </c>
      <c r="AL4244">
        <v>82.496797859416304</v>
      </c>
      <c r="AM4244">
        <v>89.227757702066995</v>
      </c>
      <c r="AN4244">
        <v>0.99999998633978904</v>
      </c>
    </row>
    <row r="4245" spans="1:40" x14ac:dyDescent="0.25">
      <c r="A4245" t="str">
        <f>"20190312172202415"</f>
        <v>20190312172202415</v>
      </c>
      <c r="B4245" t="str">
        <f>"1552382522404584"</f>
        <v>1552382522404584</v>
      </c>
      <c r="C4245" t="s">
        <v>40</v>
      </c>
      <c r="D4245">
        <v>3.0571890000000002</v>
      </c>
      <c r="E4245">
        <v>0.54556669999999996</v>
      </c>
      <c r="F4245" t="s">
        <v>41</v>
      </c>
      <c r="G4245">
        <v>-313.91669999999999</v>
      </c>
      <c r="H4245">
        <v>0.94871470000000002</v>
      </c>
      <c r="I4245">
        <v>215.0943</v>
      </c>
      <c r="J4245">
        <v>-314.34980000000002</v>
      </c>
      <c r="K4245">
        <v>1.1096549999999901</v>
      </c>
      <c r="L4245">
        <v>215.19300000000001</v>
      </c>
      <c r="M4245">
        <v>0.99989709999999998</v>
      </c>
      <c r="N4245">
        <v>0</v>
      </c>
      <c r="O4245">
        <v>1.0294060000000001E-2</v>
      </c>
      <c r="P4245">
        <v>0.99265020000000004</v>
      </c>
      <c r="Q4245">
        <v>0.1209828</v>
      </c>
      <c r="R4245">
        <v>-2.979424E-3</v>
      </c>
      <c r="S4245">
        <v>3.0970149999999999</v>
      </c>
      <c r="T4245">
        <v>-0.62580530000000001</v>
      </c>
      <c r="U4245">
        <v>-0.36824040000000002</v>
      </c>
      <c r="V4245">
        <v>1.3180519999999999E-2</v>
      </c>
      <c r="W4245">
        <v>0.13090060000000001</v>
      </c>
      <c r="X4245">
        <v>0.99130790000000002</v>
      </c>
      <c r="Y4245">
        <v>0.1255773</v>
      </c>
      <c r="Z4245">
        <v>-1.457046E-2</v>
      </c>
      <c r="AA4245">
        <v>0.99197690000000005</v>
      </c>
      <c r="AB4245">
        <v>38</v>
      </c>
      <c r="AC4245">
        <v>0.43310000000002402</v>
      </c>
      <c r="AD4245">
        <v>-0.16094029999999901</v>
      </c>
      <c r="AE4245">
        <v>-9.8699999999979499E-2</v>
      </c>
      <c r="AF4245">
        <v>9.1183694714740193E-2</v>
      </c>
      <c r="AG4245">
        <v>-0.16094029999999901</v>
      </c>
      <c r="AH4245">
        <v>0.38192570738937898</v>
      </c>
      <c r="AI4245">
        <v>112.287356146045</v>
      </c>
      <c r="AJ4245">
        <v>76.572156574862902</v>
      </c>
      <c r="AK4245">
        <v>0.42436245393625299</v>
      </c>
      <c r="AL4245">
        <v>82.478362540851407</v>
      </c>
      <c r="AM4245">
        <v>89.238234992107806</v>
      </c>
      <c r="AN4245">
        <v>1.00000002289512</v>
      </c>
    </row>
    <row r="4246" spans="1:40" x14ac:dyDescent="0.25">
      <c r="A4246" t="str">
        <f>"20190312172202429"</f>
        <v>20190312172202429</v>
      </c>
      <c r="B4246" t="str">
        <f>"1552382522425080"</f>
        <v>1552382522425080</v>
      </c>
      <c r="C4246" t="s">
        <v>40</v>
      </c>
      <c r="D4246">
        <v>3.1696819999999999</v>
      </c>
      <c r="E4246">
        <v>0.54643830000000004</v>
      </c>
      <c r="F4246" t="s">
        <v>41</v>
      </c>
      <c r="G4246">
        <v>-313.57659999999998</v>
      </c>
      <c r="H4246">
        <v>0.95274650000000005</v>
      </c>
      <c r="I4246">
        <v>215.09889999999999</v>
      </c>
      <c r="J4246">
        <v>-314.10579999999999</v>
      </c>
      <c r="K4246">
        <v>1.1096600000000001</v>
      </c>
      <c r="L4246">
        <v>215.19550000000001</v>
      </c>
      <c r="M4246">
        <v>0.99989629999999996</v>
      </c>
      <c r="N4246">
        <v>0</v>
      </c>
      <c r="O4246">
        <v>1.033763E-2</v>
      </c>
      <c r="P4246">
        <v>0.99264269999999999</v>
      </c>
      <c r="Q4246">
        <v>0.12105440000000001</v>
      </c>
      <c r="R4246">
        <v>-2.583629E-3</v>
      </c>
      <c r="S4246">
        <v>3.0977169999999998</v>
      </c>
      <c r="T4246">
        <v>-0.62867680000000004</v>
      </c>
      <c r="U4246">
        <v>-0.37617489999999998</v>
      </c>
      <c r="V4246">
        <v>1.282779E-2</v>
      </c>
      <c r="W4246">
        <v>0.1310084</v>
      </c>
      <c r="X4246">
        <v>0.99129829999999997</v>
      </c>
      <c r="Y4246">
        <v>0.1280259</v>
      </c>
      <c r="Z4246">
        <v>-1.4884430000000001E-2</v>
      </c>
      <c r="AA4246">
        <v>0.99165910000000002</v>
      </c>
      <c r="AB4246">
        <v>38</v>
      </c>
      <c r="AC4246">
        <v>0.529200000000003</v>
      </c>
      <c r="AD4246">
        <v>-0.15691350000000001</v>
      </c>
      <c r="AE4246">
        <v>-9.66000000000235E-2</v>
      </c>
      <c r="AF4246">
        <v>9.4062602599327805E-2</v>
      </c>
      <c r="AG4246">
        <v>-0.15691350000000001</v>
      </c>
      <c r="AH4246">
        <v>0.486757941374723</v>
      </c>
      <c r="AI4246">
        <v>107.563049352326</v>
      </c>
      <c r="AJ4246">
        <v>79.062799625539199</v>
      </c>
      <c r="AK4246">
        <v>0.52000280112838504</v>
      </c>
      <c r="AL4246">
        <v>82.472132506072597</v>
      </c>
      <c r="AM4246">
        <v>89.258611452637098</v>
      </c>
      <c r="AN4246">
        <v>1.00000003632486</v>
      </c>
    </row>
    <row r="4247" spans="1:40" x14ac:dyDescent="0.25">
      <c r="A4247" t="str">
        <f>"20190312172202449"</f>
        <v>20190312172202449</v>
      </c>
      <c r="B4247" t="str">
        <f>"1552382522444601"</f>
        <v>1552382522444601</v>
      </c>
      <c r="C4247" t="s">
        <v>40</v>
      </c>
      <c r="D4247">
        <v>3.168024</v>
      </c>
      <c r="E4247">
        <v>0.54719180000000001</v>
      </c>
      <c r="F4247" t="s">
        <v>41</v>
      </c>
      <c r="G4247">
        <v>-313.24619999999999</v>
      </c>
      <c r="H4247">
        <v>0.93438650000000001</v>
      </c>
      <c r="I4247">
        <v>215.08940000000001</v>
      </c>
      <c r="J4247">
        <v>-313.76889999999997</v>
      </c>
      <c r="K4247">
        <v>1.109666</v>
      </c>
      <c r="L4247">
        <v>215.19909999999999</v>
      </c>
      <c r="M4247">
        <v>0.99989519999999998</v>
      </c>
      <c r="N4247">
        <v>0</v>
      </c>
      <c r="O4247">
        <v>1.0397770000000001E-2</v>
      </c>
      <c r="P4247">
        <v>0.99262360000000005</v>
      </c>
      <c r="Q4247">
        <v>0.1212083</v>
      </c>
      <c r="R4247">
        <v>-2.6507050000000002E-3</v>
      </c>
      <c r="S4247">
        <v>3.0982669999999999</v>
      </c>
      <c r="T4247">
        <v>-0.63173760000000001</v>
      </c>
      <c r="U4247">
        <v>-0.38188169999999999</v>
      </c>
      <c r="V4247">
        <v>1.2954469999999999E-2</v>
      </c>
      <c r="W4247">
        <v>0.131210299999999</v>
      </c>
      <c r="X4247">
        <v>0.99126990000000004</v>
      </c>
      <c r="Y4247">
        <v>0.12980149999999999</v>
      </c>
      <c r="Z4247">
        <v>-1.514188E-2</v>
      </c>
      <c r="AA4247">
        <v>0.99142439999999998</v>
      </c>
      <c r="AB4247">
        <v>38</v>
      </c>
      <c r="AC4247">
        <v>0.52269999999998595</v>
      </c>
      <c r="AD4247">
        <v>-0.1752795</v>
      </c>
      <c r="AE4247">
        <v>-0.109699999999975</v>
      </c>
      <c r="AF4247">
        <v>0.10393490697416199</v>
      </c>
      <c r="AG4247">
        <v>-0.1752795</v>
      </c>
      <c r="AH4247">
        <v>0.47082106859912098</v>
      </c>
      <c r="AI4247">
        <v>109.977842230817</v>
      </c>
      <c r="AJ4247">
        <v>77.551465764609006</v>
      </c>
      <c r="AK4247">
        <v>0.51302811486778799</v>
      </c>
      <c r="AL4247">
        <v>82.460463395630995</v>
      </c>
      <c r="AM4247">
        <v>89.251269299798494</v>
      </c>
      <c r="AN4247">
        <v>0.99999998788253996</v>
      </c>
    </row>
    <row r="4248" spans="1:40" x14ac:dyDescent="0.25">
      <c r="A4248" t="str">
        <f>"20190312172202471"</f>
        <v>20190312172202471</v>
      </c>
      <c r="B4248" t="str">
        <f>"1552382522465100"</f>
        <v>1552382522465100</v>
      </c>
      <c r="C4248" t="s">
        <v>40</v>
      </c>
      <c r="D4248">
        <v>3.062341</v>
      </c>
      <c r="E4248">
        <v>0.54787810000000003</v>
      </c>
      <c r="F4248" t="s">
        <v>41</v>
      </c>
      <c r="G4248">
        <v>-312.90769999999998</v>
      </c>
      <c r="H4248">
        <v>0.93333880000000002</v>
      </c>
      <c r="I4248">
        <v>215.09119999999999</v>
      </c>
      <c r="J4248">
        <v>-313.38279999999997</v>
      </c>
      <c r="K4248">
        <v>1.1096629999999901</v>
      </c>
      <c r="L4248">
        <v>215.20310000000001</v>
      </c>
      <c r="M4248">
        <v>0.99989399999999995</v>
      </c>
      <c r="N4248">
        <v>0</v>
      </c>
      <c r="O4248">
        <v>1.046676E-2</v>
      </c>
      <c r="P4248">
        <v>0.99259819999999999</v>
      </c>
      <c r="Q4248">
        <v>0.121418899999999</v>
      </c>
      <c r="R4248">
        <v>-2.5763940000000001E-3</v>
      </c>
      <c r="S4248">
        <v>3.0987849999999999</v>
      </c>
      <c r="T4248">
        <v>-0.63454409999999895</v>
      </c>
      <c r="U4248">
        <v>-0.38748169999999998</v>
      </c>
      <c r="V4248">
        <v>1.294816E-2</v>
      </c>
      <c r="W4248">
        <v>0.13147410000000001</v>
      </c>
      <c r="X4248">
        <v>0.99123499999999998</v>
      </c>
      <c r="Y4248">
        <v>0.13155339999999999</v>
      </c>
      <c r="Z4248">
        <v>-1.539449E-2</v>
      </c>
      <c r="AA4248">
        <v>0.99118949999999995</v>
      </c>
      <c r="AB4248">
        <v>38</v>
      </c>
      <c r="AC4248">
        <v>0.47509999999999702</v>
      </c>
      <c r="AD4248">
        <v>-0.17632419999999899</v>
      </c>
      <c r="AE4248">
        <v>-0.111900000000019</v>
      </c>
      <c r="AF4248">
        <v>0.10337639602276801</v>
      </c>
      <c r="AG4248">
        <v>-0.17632419999999899</v>
      </c>
      <c r="AH4248">
        <v>0.41919789794498702</v>
      </c>
      <c r="AI4248">
        <v>112.214524571778</v>
      </c>
      <c r="AJ4248">
        <v>76.146966459530503</v>
      </c>
      <c r="AK4248">
        <v>0.46637300565297701</v>
      </c>
      <c r="AL4248">
        <v>82.445216472397902</v>
      </c>
      <c r="AM4248">
        <v>89.251607612037901</v>
      </c>
      <c r="AN4248">
        <v>0.99999995952159604</v>
      </c>
    </row>
    <row r="4249" spans="1:40" x14ac:dyDescent="0.25">
      <c r="A4249" t="str">
        <f>"20190312172202494"</f>
        <v>20190312172202494</v>
      </c>
      <c r="B4249" t="str">
        <f>"1552382522484616"</f>
        <v>1552382522484616</v>
      </c>
      <c r="C4249" t="s">
        <v>40</v>
      </c>
      <c r="D4249">
        <v>3.0777969999999999</v>
      </c>
      <c r="E4249">
        <v>0.5485698</v>
      </c>
      <c r="F4249" t="s">
        <v>41</v>
      </c>
      <c r="G4249">
        <v>-312.565</v>
      </c>
      <c r="H4249">
        <v>0.94167389999999995</v>
      </c>
      <c r="I4249">
        <v>215.09909999999999</v>
      </c>
      <c r="J4249">
        <v>-313.01249999999999</v>
      </c>
      <c r="K4249">
        <v>1.109669</v>
      </c>
      <c r="L4249">
        <v>215.2071</v>
      </c>
      <c r="M4249">
        <v>0.99989280000000003</v>
      </c>
      <c r="N4249">
        <v>0</v>
      </c>
      <c r="O4249">
        <v>1.0532949999999999E-2</v>
      </c>
      <c r="P4249">
        <v>0.99264240000000004</v>
      </c>
      <c r="Q4249">
        <v>0.1210553</v>
      </c>
      <c r="R4249">
        <v>-2.617945E-3</v>
      </c>
      <c r="S4249">
        <v>3.099243</v>
      </c>
      <c r="T4249">
        <v>-0.63671330000000004</v>
      </c>
      <c r="U4249">
        <v>-0.3923645</v>
      </c>
      <c r="V4249">
        <v>1.305599E-2</v>
      </c>
      <c r="W4249">
        <v>0.1311621</v>
      </c>
      <c r="X4249">
        <v>0.99127500000000002</v>
      </c>
      <c r="Y4249">
        <v>0.13308710000000001</v>
      </c>
      <c r="Z4249">
        <v>-1.5611089999999999E-2</v>
      </c>
      <c r="AA4249">
        <v>0.99098140000000001</v>
      </c>
      <c r="AB4249">
        <v>38</v>
      </c>
      <c r="AC4249">
        <v>0.44749999999999002</v>
      </c>
      <c r="AD4249">
        <v>-0.16799510000000001</v>
      </c>
      <c r="AE4249">
        <v>-0.108000000000004</v>
      </c>
      <c r="AF4249">
        <v>9.9461959724030893E-2</v>
      </c>
      <c r="AG4249">
        <v>-0.16799510000000001</v>
      </c>
      <c r="AH4249">
        <v>0.39388248891031902</v>
      </c>
      <c r="AI4249">
        <v>112.46656797062801</v>
      </c>
      <c r="AJ4249">
        <v>75.828115642137305</v>
      </c>
      <c r="AK4249">
        <v>0.439611703809558</v>
      </c>
      <c r="AL4249">
        <v>82.463249526015503</v>
      </c>
      <c r="AM4249">
        <v>89.245406296687506</v>
      </c>
      <c r="AN4249">
        <v>1.00000004048814</v>
      </c>
    </row>
    <row r="4250" spans="1:40" x14ac:dyDescent="0.25">
      <c r="A4250" t="str">
        <f>"20190312172202515"</f>
        <v>20190312172202515</v>
      </c>
      <c r="B4250" t="str">
        <f>"1552382522505119"</f>
        <v>1552382522505119</v>
      </c>
      <c r="C4250" t="s">
        <v>40</v>
      </c>
      <c r="D4250">
        <v>3.1798060000000001</v>
      </c>
      <c r="E4250">
        <v>0.54886849999999998</v>
      </c>
      <c r="F4250" t="s">
        <v>41</v>
      </c>
      <c r="G4250">
        <v>-312.22370000000001</v>
      </c>
      <c r="H4250">
        <v>0.94636549999999997</v>
      </c>
      <c r="I4250">
        <v>215.10560000000001</v>
      </c>
      <c r="J4250">
        <v>-312.64620000000002</v>
      </c>
      <c r="K4250">
        <v>1.1096729999999999</v>
      </c>
      <c r="L4250">
        <v>215.21100000000001</v>
      </c>
      <c r="M4250">
        <v>0.99989150000000004</v>
      </c>
      <c r="N4250">
        <v>0</v>
      </c>
      <c r="O4250">
        <v>1.05977E-2</v>
      </c>
      <c r="P4250">
        <v>0.99265639999999999</v>
      </c>
      <c r="Q4250">
        <v>0.1209431</v>
      </c>
      <c r="R4250">
        <v>-2.5756220000000001E-3</v>
      </c>
      <c r="S4250">
        <v>3.0994570000000001</v>
      </c>
      <c r="T4250">
        <v>-0.64170430000000001</v>
      </c>
      <c r="U4250">
        <v>-0.39839170000000002</v>
      </c>
      <c r="V4250">
        <v>1.3078090000000001E-2</v>
      </c>
      <c r="W4250">
        <v>0.13110350000000001</v>
      </c>
      <c r="X4250">
        <v>0.99128240000000001</v>
      </c>
      <c r="Y4250">
        <v>0.13495360000000001</v>
      </c>
      <c r="Z4250">
        <v>-1.59317E-2</v>
      </c>
      <c r="AA4250">
        <v>0.99072380000000004</v>
      </c>
      <c r="AB4250">
        <v>38</v>
      </c>
      <c r="AC4250">
        <v>0.42250000000001298</v>
      </c>
      <c r="AD4250">
        <v>-0.163307499999999</v>
      </c>
      <c r="AE4250">
        <v>-0.105399999999974</v>
      </c>
      <c r="AF4250">
        <v>9.6323918379621801E-2</v>
      </c>
      <c r="AG4250">
        <v>-0.163307499999999</v>
      </c>
      <c r="AH4250">
        <v>0.369402838080017</v>
      </c>
      <c r="AI4250">
        <v>113.160323260075</v>
      </c>
      <c r="AJ4250">
        <v>75.385231184798798</v>
      </c>
      <c r="AK4250">
        <v>0.41521812772303801</v>
      </c>
      <c r="AL4250">
        <v>82.466635848353704</v>
      </c>
      <c r="AM4250">
        <v>89.244134778711</v>
      </c>
      <c r="AN4250">
        <v>0.99999998035002802</v>
      </c>
    </row>
    <row r="4251" spans="1:40" x14ac:dyDescent="0.25">
      <c r="A4251" t="str">
        <f>"20190312172202538"</f>
        <v>20190312172202538</v>
      </c>
      <c r="B4251" t="str">
        <f>"1552382522535369"</f>
        <v>1552382522535369</v>
      </c>
      <c r="C4251" t="s">
        <v>40</v>
      </c>
      <c r="D4251">
        <v>3.0648179999999998</v>
      </c>
      <c r="E4251">
        <v>0.56777719999999998</v>
      </c>
      <c r="F4251" t="s">
        <v>41</v>
      </c>
      <c r="G4251">
        <v>-311.88189999999997</v>
      </c>
      <c r="H4251">
        <v>0.95110309999999998</v>
      </c>
      <c r="I4251">
        <v>215.11189999999999</v>
      </c>
      <c r="J4251">
        <v>-312.26569999999998</v>
      </c>
      <c r="K4251">
        <v>1.109674</v>
      </c>
      <c r="L4251">
        <v>215.21510000000001</v>
      </c>
      <c r="M4251">
        <v>0.9998901</v>
      </c>
      <c r="N4251">
        <v>0</v>
      </c>
      <c r="O4251">
        <v>1.0662939999999999E-2</v>
      </c>
      <c r="P4251">
        <v>0.99266520000000003</v>
      </c>
      <c r="Q4251">
        <v>0.12086669999999999</v>
      </c>
      <c r="R4251">
        <v>-2.71477E-3</v>
      </c>
      <c r="S4251">
        <v>3.0994869999999999</v>
      </c>
      <c r="T4251">
        <v>-0.64309329999999998</v>
      </c>
      <c r="U4251">
        <v>-0.40104679999999998</v>
      </c>
      <c r="V4251">
        <v>1.328241E-2</v>
      </c>
      <c r="W4251">
        <v>0.13108739999999999</v>
      </c>
      <c r="X4251">
        <v>0.99128190000000005</v>
      </c>
      <c r="Y4251">
        <v>0.13581960000000001</v>
      </c>
      <c r="Z4251">
        <v>-1.6066359999999998E-2</v>
      </c>
      <c r="AA4251">
        <v>0.99060329999999996</v>
      </c>
      <c r="AB4251">
        <v>38</v>
      </c>
      <c r="AC4251">
        <v>0.38380000000000702</v>
      </c>
      <c r="AD4251">
        <v>-0.15857089999999999</v>
      </c>
      <c r="AE4251">
        <v>-0.103200000000015</v>
      </c>
      <c r="AF4251">
        <v>9.2553113249793206E-2</v>
      </c>
      <c r="AG4251">
        <v>-0.15857089999999999</v>
      </c>
      <c r="AH4251">
        <v>0.33012465280970099</v>
      </c>
      <c r="AI4251">
        <v>114.820715118218</v>
      </c>
      <c r="AJ4251">
        <v>74.338730485199903</v>
      </c>
      <c r="AK4251">
        <v>0.37774739640633498</v>
      </c>
      <c r="AL4251">
        <v>82.467566997736697</v>
      </c>
      <c r="AM4251">
        <v>89.232326853757399</v>
      </c>
      <c r="AN4251">
        <v>1.00000006706088</v>
      </c>
    </row>
    <row r="4252" spans="1:40" x14ac:dyDescent="0.25">
      <c r="A4252" t="str">
        <f>"20190312172202552"</f>
        <v>20190312172202552</v>
      </c>
      <c r="B4252" t="str">
        <f>"1552382522545128"</f>
        <v>1552382522545128</v>
      </c>
      <c r="C4252" t="s">
        <v>40</v>
      </c>
      <c r="D4252">
        <v>3.1816279999999999</v>
      </c>
      <c r="E4252">
        <v>0.56778319999999904</v>
      </c>
      <c r="F4252" t="s">
        <v>41</v>
      </c>
      <c r="G4252">
        <v>-311.5412</v>
      </c>
      <c r="H4252">
        <v>0.95036699999999996</v>
      </c>
      <c r="I4252">
        <v>215.08619999999999</v>
      </c>
      <c r="J4252">
        <v>-312.02069999999998</v>
      </c>
      <c r="K4252">
        <v>1.1096790000000001</v>
      </c>
      <c r="L4252">
        <v>215.21770000000001</v>
      </c>
      <c r="M4252">
        <v>0.99988929999999998</v>
      </c>
      <c r="N4252">
        <v>0</v>
      </c>
      <c r="O4252">
        <v>1.0703789999999999E-2</v>
      </c>
      <c r="P4252">
        <v>0.99269070000000004</v>
      </c>
      <c r="Q4252">
        <v>0.1206608</v>
      </c>
      <c r="R4252">
        <v>-2.5129699999999998E-3</v>
      </c>
      <c r="S4252">
        <v>3.1037599999999999</v>
      </c>
      <c r="T4252">
        <v>-0.68250519999999903</v>
      </c>
      <c r="U4252">
        <v>-0.55223080000000002</v>
      </c>
      <c r="V4252">
        <v>1.3121849999999999E-2</v>
      </c>
      <c r="W4252">
        <v>0.13092239999999999</v>
      </c>
      <c r="X4252">
        <v>0.99130580000000001</v>
      </c>
      <c r="Y4252">
        <v>0.18125179999999999</v>
      </c>
      <c r="Z4252">
        <v>-2.1853939999999999E-2</v>
      </c>
      <c r="AA4252">
        <v>0.98319389999999995</v>
      </c>
      <c r="AB4252">
        <v>38</v>
      </c>
      <c r="AC4252">
        <v>0.479499999999973</v>
      </c>
      <c r="AD4252">
        <v>-0.15931200000000001</v>
      </c>
      <c r="AE4252">
        <v>-0.13150000000001599</v>
      </c>
      <c r="AF4252">
        <v>0.123904437035706</v>
      </c>
      <c r="AG4252">
        <v>-0.15931200000000001</v>
      </c>
      <c r="AH4252">
        <v>0.43355369021349099</v>
      </c>
      <c r="AI4252">
        <v>109.458878690589</v>
      </c>
      <c r="AJ4252">
        <v>74.050700022489906</v>
      </c>
      <c r="AK4252">
        <v>0.478227378094219</v>
      </c>
      <c r="AL4252">
        <v>82.477102654476496</v>
      </c>
      <c r="AM4252">
        <v>89.241623807481503</v>
      </c>
      <c r="AN4252">
        <v>1.0000000234414099</v>
      </c>
    </row>
    <row r="4253" spans="1:40" x14ac:dyDescent="0.25">
      <c r="A4253" t="str">
        <f>"20190312172202573"</f>
        <v>20190312172202573</v>
      </c>
      <c r="B4253" t="str">
        <f>"1552382522564648"</f>
        <v>1552382522564648</v>
      </c>
      <c r="C4253" t="s">
        <v>40</v>
      </c>
      <c r="D4253">
        <v>3.1867019999999999</v>
      </c>
      <c r="E4253">
        <v>0.56781199999999998</v>
      </c>
      <c r="F4253" t="s">
        <v>41</v>
      </c>
      <c r="G4253">
        <v>-311.20909999999998</v>
      </c>
      <c r="H4253">
        <v>0.9314405</v>
      </c>
      <c r="I4253">
        <v>215.07320000000001</v>
      </c>
      <c r="J4253">
        <v>-311.67520000000002</v>
      </c>
      <c r="K4253">
        <v>1.1096900000000001</v>
      </c>
      <c r="L4253">
        <v>215.22149999999999</v>
      </c>
      <c r="M4253">
        <v>0.999888</v>
      </c>
      <c r="N4253">
        <v>0</v>
      </c>
      <c r="O4253">
        <v>1.076034E-2</v>
      </c>
      <c r="P4253">
        <v>0.99267300000000003</v>
      </c>
      <c r="Q4253">
        <v>0.120807</v>
      </c>
      <c r="R4253">
        <v>-2.4222520000000002E-3</v>
      </c>
      <c r="S4253">
        <v>3.1036069999999998</v>
      </c>
      <c r="T4253">
        <v>-0.6816818</v>
      </c>
      <c r="U4253">
        <v>-0.55136109999999905</v>
      </c>
      <c r="V4253">
        <v>1.308754E-2</v>
      </c>
      <c r="W4253">
        <v>0.13112570000000001</v>
      </c>
      <c r="X4253">
        <v>0.99127940000000003</v>
      </c>
      <c r="Y4253">
        <v>0.18106159999999999</v>
      </c>
      <c r="Z4253">
        <v>-2.1821409999999999E-2</v>
      </c>
      <c r="AA4253">
        <v>0.98322960000000004</v>
      </c>
      <c r="AB4253">
        <v>38</v>
      </c>
      <c r="AC4253">
        <v>0.46610000000003898</v>
      </c>
      <c r="AD4253">
        <v>-0.17824949999999901</v>
      </c>
      <c r="AE4253">
        <v>-0.14829999999997701</v>
      </c>
      <c r="AF4253">
        <v>0.13533387342241801</v>
      </c>
      <c r="AG4253">
        <v>-0.17824949999999901</v>
      </c>
      <c r="AH4253">
        <v>0.410023428589535</v>
      </c>
      <c r="AI4253">
        <v>112.432022977686</v>
      </c>
      <c r="AJ4253">
        <v>71.733815842775797</v>
      </c>
      <c r="AK4253">
        <v>0.46712669966303899</v>
      </c>
      <c r="AL4253">
        <v>82.465353264546806</v>
      </c>
      <c r="AM4253">
        <v>89.243586378175394</v>
      </c>
      <c r="AN4253">
        <v>1.0000000408840499</v>
      </c>
    </row>
    <row r="4254" spans="1:40" x14ac:dyDescent="0.25">
      <c r="A4254" t="str">
        <f>"20190312172202594"</f>
        <v>20190312172202594</v>
      </c>
      <c r="B4254" t="str">
        <f>"1552382522585144"</f>
        <v>1552382522585144</v>
      </c>
      <c r="C4254" t="s">
        <v>40</v>
      </c>
      <c r="D4254">
        <v>3.2412749999999999</v>
      </c>
      <c r="E4254">
        <v>0.56779329999999995</v>
      </c>
      <c r="F4254" t="s">
        <v>41</v>
      </c>
      <c r="G4254">
        <v>-310.86840000000001</v>
      </c>
      <c r="H4254">
        <v>0.93303179999999997</v>
      </c>
      <c r="I4254">
        <v>215.07820000000001</v>
      </c>
      <c r="J4254">
        <v>-311.30029999999999</v>
      </c>
      <c r="K4254">
        <v>1.109701</v>
      </c>
      <c r="L4254">
        <v>215.22550000000001</v>
      </c>
      <c r="M4254">
        <v>0.99988690000000002</v>
      </c>
      <c r="N4254">
        <v>0</v>
      </c>
      <c r="O4254">
        <v>1.0820359999999999E-2</v>
      </c>
      <c r="P4254">
        <v>0.99264870000000005</v>
      </c>
      <c r="Q4254">
        <v>0.1210108</v>
      </c>
      <c r="R4254">
        <v>-2.3295249999999998E-3</v>
      </c>
      <c r="S4254">
        <v>3.103485</v>
      </c>
      <c r="T4254">
        <v>-0.67950869999999997</v>
      </c>
      <c r="U4254">
        <v>-0.55072019999999899</v>
      </c>
      <c r="V4254">
        <v>1.3054390000000001E-2</v>
      </c>
      <c r="W4254">
        <v>0.1313937</v>
      </c>
      <c r="X4254">
        <v>0.99124429999999997</v>
      </c>
      <c r="Y4254">
        <v>0.1809588</v>
      </c>
      <c r="Z4254">
        <v>-2.175649E-2</v>
      </c>
      <c r="AA4254">
        <v>0.98324999999999996</v>
      </c>
      <c r="AB4254">
        <v>38</v>
      </c>
      <c r="AC4254">
        <v>0.43189999999998402</v>
      </c>
      <c r="AD4254">
        <v>-0.176669199999999</v>
      </c>
      <c r="AE4254">
        <v>-0.14730000000000101</v>
      </c>
      <c r="AF4254">
        <v>0.132156249076054</v>
      </c>
      <c r="AG4254">
        <v>-0.176669199999999</v>
      </c>
      <c r="AH4254">
        <v>0.37419350316234501</v>
      </c>
      <c r="AI4254">
        <v>113.997875363283</v>
      </c>
      <c r="AJ4254">
        <v>70.547990499310799</v>
      </c>
      <c r="AK4254">
        <v>0.434393897525506</v>
      </c>
      <c r="AL4254">
        <v>82.449863611164801</v>
      </c>
      <c r="AM4254">
        <v>89.245475395697994</v>
      </c>
      <c r="AN4254">
        <v>0.99999999189022604</v>
      </c>
    </row>
    <row r="4255" spans="1:40" x14ac:dyDescent="0.25">
      <c r="A4255" t="str">
        <f>"20190312172202616"</f>
        <v>20190312172202616</v>
      </c>
      <c r="B4255" t="str">
        <f>"1552382522604664"</f>
        <v>1552382522604664</v>
      </c>
      <c r="C4255" t="s">
        <v>40</v>
      </c>
      <c r="D4255">
        <v>3.1968619999999999</v>
      </c>
      <c r="E4255">
        <v>0.567646599999999</v>
      </c>
      <c r="F4255" t="s">
        <v>41</v>
      </c>
      <c r="G4255">
        <v>-310.52539999999999</v>
      </c>
      <c r="H4255">
        <v>0.93982120000000002</v>
      </c>
      <c r="I4255">
        <v>215.08789999999999</v>
      </c>
      <c r="J4255">
        <v>-310.93869999999998</v>
      </c>
      <c r="K4255">
        <v>1.1097090000000001</v>
      </c>
      <c r="L4255">
        <v>215.2295</v>
      </c>
      <c r="M4255">
        <v>0.99988549999999998</v>
      </c>
      <c r="N4255">
        <v>0</v>
      </c>
      <c r="O4255">
        <v>1.087751E-2</v>
      </c>
      <c r="P4255">
        <v>0.99262600000000001</v>
      </c>
      <c r="Q4255">
        <v>0.1211943</v>
      </c>
      <c r="R4255">
        <v>-2.5282529999999998E-3</v>
      </c>
      <c r="S4255">
        <v>3.1039430000000001</v>
      </c>
      <c r="T4255">
        <v>-0.68061199999999999</v>
      </c>
      <c r="U4255">
        <v>-0.55000309999999997</v>
      </c>
      <c r="V4255">
        <v>1.3309619999999999E-2</v>
      </c>
      <c r="W4255">
        <v>0.13164419999999999</v>
      </c>
      <c r="X4255">
        <v>0.99120770000000002</v>
      </c>
      <c r="Y4255">
        <v>0.1807599</v>
      </c>
      <c r="Z4255">
        <v>-2.177925E-2</v>
      </c>
      <c r="AA4255">
        <v>0.98328610000000005</v>
      </c>
      <c r="AB4255">
        <v>38</v>
      </c>
      <c r="AC4255">
        <v>0.41329999999999201</v>
      </c>
      <c r="AD4255">
        <v>-0.16988780000000001</v>
      </c>
      <c r="AE4255">
        <v>-0.14160000000001099</v>
      </c>
      <c r="AF4255">
        <v>0.12689866767556901</v>
      </c>
      <c r="AG4255">
        <v>-0.16988780000000001</v>
      </c>
      <c r="AH4255">
        <v>0.35765300050802501</v>
      </c>
      <c r="AI4255">
        <v>114.116354772561</v>
      </c>
      <c r="AJ4255">
        <v>70.464833587729601</v>
      </c>
      <c r="AK4255">
        <v>0.41578937602957999</v>
      </c>
      <c r="AL4255">
        <v>82.435385490654895</v>
      </c>
      <c r="AM4255">
        <v>89.230696829878198</v>
      </c>
      <c r="AN4255">
        <v>1.00000002295873</v>
      </c>
    </row>
    <row r="4256" spans="1:40" x14ac:dyDescent="0.25">
      <c r="A4256" t="str">
        <f>"20190312172202638"</f>
        <v>20190312172202638</v>
      </c>
      <c r="B4256" t="str">
        <f>"1552382522634920"</f>
        <v>1552382522634920</v>
      </c>
      <c r="C4256" t="s">
        <v>40</v>
      </c>
      <c r="D4256">
        <v>3.2576160000000001</v>
      </c>
      <c r="E4256">
        <v>0.56752000000000002</v>
      </c>
      <c r="F4256" t="s">
        <v>41</v>
      </c>
      <c r="G4256">
        <v>-310.18299999999999</v>
      </c>
      <c r="H4256">
        <v>0.94403789999999999</v>
      </c>
      <c r="I4256">
        <v>215.09569999999999</v>
      </c>
      <c r="J4256">
        <v>-310.5548</v>
      </c>
      <c r="K4256">
        <v>1.10972</v>
      </c>
      <c r="L4256">
        <v>215.2337</v>
      </c>
      <c r="M4256">
        <v>0.999884</v>
      </c>
      <c r="N4256">
        <v>0</v>
      </c>
      <c r="O4256">
        <v>1.093712E-2</v>
      </c>
      <c r="P4256">
        <v>0.99260400000000004</v>
      </c>
      <c r="Q4256">
        <v>0.1213685</v>
      </c>
      <c r="R4256">
        <v>-2.7272020000000002E-3</v>
      </c>
      <c r="S4256">
        <v>3.1039430000000001</v>
      </c>
      <c r="T4256">
        <v>-0.68052489999999999</v>
      </c>
      <c r="U4256">
        <v>-0.54946899999999999</v>
      </c>
      <c r="V4256">
        <v>1.35677E-2</v>
      </c>
      <c r="W4256">
        <v>0.13189379999999901</v>
      </c>
      <c r="X4256">
        <v>0.99117100000000002</v>
      </c>
      <c r="Y4256">
        <v>0.18065639999999999</v>
      </c>
      <c r="Z4256">
        <v>-2.1778539999999999E-2</v>
      </c>
      <c r="AA4256">
        <v>0.98330519999999999</v>
      </c>
      <c r="AB4256">
        <v>38</v>
      </c>
      <c r="AC4256">
        <v>0.37180000000000701</v>
      </c>
      <c r="AD4256">
        <v>-0.165682099999999</v>
      </c>
      <c r="AE4256">
        <v>-0.13800000000000501</v>
      </c>
      <c r="AF4256">
        <v>0.12094874007865999</v>
      </c>
      <c r="AG4256">
        <v>-0.165682099999999</v>
      </c>
      <c r="AH4256">
        <v>0.31524705568526901</v>
      </c>
      <c r="AI4256">
        <v>116.136633053438</v>
      </c>
      <c r="AJ4256">
        <v>69.010022585017893</v>
      </c>
      <c r="AK4256">
        <v>0.37611150222408402</v>
      </c>
      <c r="AL4256">
        <v>82.420958525230304</v>
      </c>
      <c r="AM4256">
        <v>89.215752479245296</v>
      </c>
      <c r="AN4256">
        <v>1.0000000041013599</v>
      </c>
    </row>
    <row r="4257" spans="1:40" x14ac:dyDescent="0.25">
      <c r="A4257" t="str">
        <f>"20190312172202661"</f>
        <v>20190312172202661</v>
      </c>
      <c r="B4257" t="str">
        <f>"1552382522655417"</f>
        <v>1552382522655417</v>
      </c>
      <c r="C4257" t="s">
        <v>40</v>
      </c>
      <c r="D4257">
        <v>3.1680120000000001</v>
      </c>
      <c r="E4257">
        <v>0.56759459999999995</v>
      </c>
      <c r="F4257" t="s">
        <v>41</v>
      </c>
      <c r="G4257">
        <v>-309.83870000000002</v>
      </c>
      <c r="H4257">
        <v>0.95277440000000002</v>
      </c>
      <c r="I4257">
        <v>215.10679999999999</v>
      </c>
      <c r="J4257">
        <v>-310.16719999999998</v>
      </c>
      <c r="K4257">
        <v>1.109734</v>
      </c>
      <c r="L4257">
        <v>215.2381</v>
      </c>
      <c r="M4257">
        <v>0.99988250000000001</v>
      </c>
      <c r="N4257">
        <v>0</v>
      </c>
      <c r="O4257">
        <v>1.099635E-2</v>
      </c>
      <c r="P4257">
        <v>0.99259589999999998</v>
      </c>
      <c r="Q4257">
        <v>0.1214306</v>
      </c>
      <c r="R4257">
        <v>-2.7964750000000001E-3</v>
      </c>
      <c r="S4257">
        <v>3.104034</v>
      </c>
      <c r="T4257">
        <v>-0.68039419999999995</v>
      </c>
      <c r="U4257">
        <v>-0.54872129999999997</v>
      </c>
      <c r="V4257">
        <v>1.3696130000000001E-2</v>
      </c>
      <c r="W4257">
        <v>0.1320337</v>
      </c>
      <c r="X4257">
        <v>0.99115059999999999</v>
      </c>
      <c r="Y4257">
        <v>0.18048429999999999</v>
      </c>
      <c r="Z4257">
        <v>-2.1768510000000001E-2</v>
      </c>
      <c r="AA4257">
        <v>0.98333689999999996</v>
      </c>
      <c r="AB4257">
        <v>38</v>
      </c>
      <c r="AC4257">
        <v>0.32849999999996199</v>
      </c>
      <c r="AD4257">
        <v>-0.15695959999999901</v>
      </c>
      <c r="AE4257">
        <v>-0.13130000000000999</v>
      </c>
      <c r="AF4257">
        <v>0.112716235460329</v>
      </c>
      <c r="AG4257">
        <v>-0.15695959999999901</v>
      </c>
      <c r="AH4257">
        <v>0.27324718298884598</v>
      </c>
      <c r="AI4257">
        <v>117.969107978137</v>
      </c>
      <c r="AJ4257">
        <v>67.583534904340993</v>
      </c>
      <c r="AK4257">
        <v>0.33467191214657999</v>
      </c>
      <c r="AL4257">
        <v>82.4128720714628</v>
      </c>
      <c r="AM4257">
        <v>89.208313547243193</v>
      </c>
      <c r="AN4257">
        <v>0.99999999689651298</v>
      </c>
    </row>
    <row r="4258" spans="1:40" x14ac:dyDescent="0.25">
      <c r="A4258" t="str">
        <f>"20190312172202675"</f>
        <v>20190312172202675</v>
      </c>
      <c r="B4258" t="str">
        <f>"1552382522665177"</f>
        <v>1552382522665177</v>
      </c>
      <c r="C4258" t="s">
        <v>40</v>
      </c>
      <c r="D4258">
        <v>3.173502</v>
      </c>
      <c r="E4258">
        <v>0.56772429999999996</v>
      </c>
      <c r="F4258" t="s">
        <v>41</v>
      </c>
      <c r="G4258">
        <v>-309.18040000000002</v>
      </c>
      <c r="H4258">
        <v>0.89293960000000006</v>
      </c>
      <c r="I4258">
        <v>215.06299999999999</v>
      </c>
      <c r="J4258">
        <v>-309.91219999999998</v>
      </c>
      <c r="K4258">
        <v>1.1097410000000001</v>
      </c>
      <c r="L4258">
        <v>215.24090000000001</v>
      </c>
      <c r="M4258">
        <v>0.99988160000000004</v>
      </c>
      <c r="N4258">
        <v>0</v>
      </c>
      <c r="O4258">
        <v>1.1034810000000001E-2</v>
      </c>
      <c r="P4258">
        <v>0.99262150000000005</v>
      </c>
      <c r="Q4258">
        <v>0.12122140000000001</v>
      </c>
      <c r="R4258">
        <v>-2.9200989999999998E-3</v>
      </c>
      <c r="S4258">
        <v>3.104279</v>
      </c>
      <c r="T4258">
        <v>-0.68201959999999995</v>
      </c>
      <c r="U4258">
        <v>-0.54962159999999904</v>
      </c>
      <c r="V4258">
        <v>1.3858189999999999E-2</v>
      </c>
      <c r="W4258">
        <v>0.13187579999999999</v>
      </c>
      <c r="X4258">
        <v>0.99116939999999998</v>
      </c>
      <c r="Y4258">
        <v>0.18075820000000001</v>
      </c>
      <c r="Z4258">
        <v>-2.1854950000000001E-2</v>
      </c>
      <c r="AA4258">
        <v>0.98328470000000001</v>
      </c>
      <c r="AB4258">
        <v>38</v>
      </c>
      <c r="AC4258">
        <v>0.73179999999996403</v>
      </c>
      <c r="AD4258">
        <v>-0.21680140000000001</v>
      </c>
      <c r="AE4258">
        <v>-0.17790000000002201</v>
      </c>
      <c r="AF4258">
        <v>0.17173317475934599</v>
      </c>
      <c r="AG4258">
        <v>-0.21680140000000001</v>
      </c>
      <c r="AH4258">
        <v>0.67394187473771405</v>
      </c>
      <c r="AI4258">
        <v>107.31382157787</v>
      </c>
      <c r="AJ4258">
        <v>75.704187521518094</v>
      </c>
      <c r="AK4258">
        <v>0.72848663740652697</v>
      </c>
      <c r="AL4258">
        <v>82.421999117663901</v>
      </c>
      <c r="AM4258">
        <v>89.198962291500095</v>
      </c>
      <c r="AN4258">
        <v>1.0000000277760299</v>
      </c>
    </row>
    <row r="4259" spans="1:40" x14ac:dyDescent="0.25">
      <c r="A4259" t="str">
        <f>"20190312172202694"</f>
        <v>20190312172202694</v>
      </c>
      <c r="B4259" t="str">
        <f>"1552382522684700"</f>
        <v>1552382522684700</v>
      </c>
      <c r="C4259" t="s">
        <v>40</v>
      </c>
      <c r="D4259">
        <v>3.1031089999999999</v>
      </c>
      <c r="E4259">
        <v>0.567646599999999</v>
      </c>
      <c r="F4259" t="s">
        <v>41</v>
      </c>
      <c r="G4259">
        <v>-309.16079999999999</v>
      </c>
      <c r="H4259">
        <v>0.94415130000000003</v>
      </c>
      <c r="I4259">
        <v>215.10720000000001</v>
      </c>
      <c r="J4259">
        <v>-309.60210000000001</v>
      </c>
      <c r="K4259">
        <v>1.1097440000000001</v>
      </c>
      <c r="L4259">
        <v>215.24430000000001</v>
      </c>
      <c r="M4259">
        <v>0.9998804</v>
      </c>
      <c r="N4259">
        <v>0</v>
      </c>
      <c r="O4259">
        <v>1.108138E-2</v>
      </c>
      <c r="P4259">
        <v>0.99259699999999995</v>
      </c>
      <c r="Q4259">
        <v>0.12142310000000001</v>
      </c>
      <c r="R4259">
        <v>-2.7825660000000002E-3</v>
      </c>
      <c r="S4259">
        <v>3.104187</v>
      </c>
      <c r="T4259">
        <v>-0.68412729999999999</v>
      </c>
      <c r="U4259">
        <v>-0.55122380000000004</v>
      </c>
      <c r="V4259">
        <v>1.376694E-2</v>
      </c>
      <c r="W4259">
        <v>0.13213810000000001</v>
      </c>
      <c r="X4259">
        <v>0.99113569999999995</v>
      </c>
      <c r="Y4259">
        <v>0.18126120000000001</v>
      </c>
      <c r="Z4259">
        <v>-2.1985060000000001E-2</v>
      </c>
      <c r="AA4259">
        <v>0.98318919999999999</v>
      </c>
      <c r="AB4259">
        <v>38</v>
      </c>
      <c r="AC4259">
        <v>0.44130000000001202</v>
      </c>
      <c r="AD4259">
        <v>-0.16559269999999901</v>
      </c>
      <c r="AE4259">
        <v>-0.137100000000003</v>
      </c>
      <c r="AF4259">
        <v>0.125824902211117</v>
      </c>
      <c r="AG4259">
        <v>-0.16559269999999901</v>
      </c>
      <c r="AH4259">
        <v>0.38971079039797202</v>
      </c>
      <c r="AI4259">
        <v>112.016354540287</v>
      </c>
      <c r="AJ4259">
        <v>72.106424323531499</v>
      </c>
      <c r="AK4259">
        <v>0.44173221352120101</v>
      </c>
      <c r="AL4259">
        <v>82.406837473630802</v>
      </c>
      <c r="AM4259">
        <v>89.204209033413605</v>
      </c>
      <c r="AN4259">
        <v>0.99999999096153103</v>
      </c>
    </row>
    <row r="4260" spans="1:40" x14ac:dyDescent="0.25">
      <c r="A4260" t="str">
        <f>"20190312172202716"</f>
        <v>20190312172202716</v>
      </c>
      <c r="B4260" t="str">
        <f>"1552382522705193"</f>
        <v>1552382522705193</v>
      </c>
      <c r="C4260" t="s">
        <v>40</v>
      </c>
      <c r="D4260">
        <v>3.2643680000000002</v>
      </c>
      <c r="E4260">
        <v>0.56760319999999997</v>
      </c>
      <c r="F4260" t="s">
        <v>41</v>
      </c>
      <c r="G4260">
        <v>-308.82249999999999</v>
      </c>
      <c r="H4260">
        <v>0.93783150000000004</v>
      </c>
      <c r="I4260">
        <v>215.1061</v>
      </c>
      <c r="J4260">
        <v>-309.22699999999998</v>
      </c>
      <c r="K4260">
        <v>1.1097520000000001</v>
      </c>
      <c r="L4260">
        <v>215.24850000000001</v>
      </c>
      <c r="M4260">
        <v>0.99987890000000001</v>
      </c>
      <c r="N4260">
        <v>0</v>
      </c>
      <c r="O4260">
        <v>1.1137279999999999E-2</v>
      </c>
      <c r="P4260">
        <v>0.99256630000000001</v>
      </c>
      <c r="Q4260">
        <v>0.1216729</v>
      </c>
      <c r="R4260">
        <v>-2.8835409999999999E-3</v>
      </c>
      <c r="S4260">
        <v>3.1046140000000002</v>
      </c>
      <c r="T4260">
        <v>-0.68468019999999996</v>
      </c>
      <c r="U4260">
        <v>-0.55015559999999997</v>
      </c>
      <c r="V4260">
        <v>1.3923140000000001E-2</v>
      </c>
      <c r="W4260">
        <v>0.13246379999999999</v>
      </c>
      <c r="X4260">
        <v>0.99109009999999997</v>
      </c>
      <c r="Y4260">
        <v>0.18096419999999999</v>
      </c>
      <c r="Z4260">
        <v>-2.1980119999999999E-2</v>
      </c>
      <c r="AA4260">
        <v>0.98324409999999896</v>
      </c>
      <c r="AB4260">
        <v>38</v>
      </c>
      <c r="AC4260">
        <v>0.40450000000004099</v>
      </c>
      <c r="AD4260">
        <v>-0.1719205</v>
      </c>
      <c r="AE4260">
        <v>-0.14240000000000899</v>
      </c>
      <c r="AF4260">
        <v>0.12655599166383799</v>
      </c>
      <c r="AG4260">
        <v>-0.1719205</v>
      </c>
      <c r="AH4260">
        <v>0.34710161869848799</v>
      </c>
      <c r="AI4260">
        <v>114.954311248602</v>
      </c>
      <c r="AJ4260">
        <v>69.967744996442406</v>
      </c>
      <c r="AK4260">
        <v>0.40749553500544999</v>
      </c>
      <c r="AL4260">
        <v>82.388011189526196</v>
      </c>
      <c r="AM4260">
        <v>89.195144128018597</v>
      </c>
      <c r="AN4260">
        <v>1.0000000492279499</v>
      </c>
    </row>
    <row r="4261" spans="1:40" x14ac:dyDescent="0.25">
      <c r="A4261" t="str">
        <f>"20190312172202739"</f>
        <v>20190312172202739</v>
      </c>
      <c r="B4261" t="str">
        <f>"1552382522734473"</f>
        <v>1552382522734473</v>
      </c>
      <c r="C4261" t="s">
        <v>40</v>
      </c>
      <c r="D4261">
        <v>3.1850770000000002</v>
      </c>
      <c r="E4261">
        <v>0.56772009999999995</v>
      </c>
      <c r="F4261" t="s">
        <v>41</v>
      </c>
      <c r="G4261">
        <v>-308.47840000000002</v>
      </c>
      <c r="H4261">
        <v>0.94467250000000003</v>
      </c>
      <c r="I4261">
        <v>215.11580000000001</v>
      </c>
      <c r="J4261">
        <v>-308.84070000000003</v>
      </c>
      <c r="K4261">
        <v>1.1097619999999999</v>
      </c>
      <c r="L4261">
        <v>215.25290000000001</v>
      </c>
      <c r="M4261">
        <v>0.99987720000000002</v>
      </c>
      <c r="N4261">
        <v>0</v>
      </c>
      <c r="O4261">
        <v>1.1195159999999999E-2</v>
      </c>
      <c r="P4261">
        <v>0.99258299999999999</v>
      </c>
      <c r="Q4261">
        <v>0.12153319999999999</v>
      </c>
      <c r="R4261">
        <v>-2.9356040000000001E-3</v>
      </c>
      <c r="S4261">
        <v>3.1047359999999999</v>
      </c>
      <c r="T4261">
        <v>-0.68473329999999999</v>
      </c>
      <c r="U4261">
        <v>-0.54940800000000001</v>
      </c>
      <c r="V4261">
        <v>1.403311E-2</v>
      </c>
      <c r="W4261">
        <v>0.132409</v>
      </c>
      <c r="X4261">
        <v>0.99109579999999997</v>
      </c>
      <c r="Y4261">
        <v>0.18078710000000001</v>
      </c>
      <c r="Z4261">
        <v>-2.1974759999999999E-2</v>
      </c>
      <c r="AA4261">
        <v>0.9832767</v>
      </c>
      <c r="AB4261">
        <v>38</v>
      </c>
      <c r="AC4261">
        <v>0.36230000000000401</v>
      </c>
      <c r="AD4261">
        <v>-0.1650895</v>
      </c>
      <c r="AE4261">
        <v>-0.137100000000003</v>
      </c>
      <c r="AF4261">
        <v>0.11945194814098301</v>
      </c>
      <c r="AG4261">
        <v>-0.1650895</v>
      </c>
      <c r="AH4261">
        <v>0.30529288624013401</v>
      </c>
      <c r="AI4261">
        <v>116.729031714025</v>
      </c>
      <c r="AJ4261">
        <v>68.631084325175095</v>
      </c>
      <c r="AK4261">
        <v>0.36705184553923398</v>
      </c>
      <c r="AL4261">
        <v>82.391178356585101</v>
      </c>
      <c r="AM4261">
        <v>89.188792595990407</v>
      </c>
      <c r="AN4261">
        <v>0.999999978117455</v>
      </c>
    </row>
    <row r="4262" spans="1:40" x14ac:dyDescent="0.25">
      <c r="A4262" t="str">
        <f>"20190312172202753"</f>
        <v>20190312172202753</v>
      </c>
      <c r="B4262" t="str">
        <f>"1552382522745209"</f>
        <v>1552382522745209</v>
      </c>
      <c r="C4262" t="s">
        <v>40</v>
      </c>
      <c r="D4262">
        <v>3.1530480000000001</v>
      </c>
      <c r="E4262">
        <v>0.56773450000000003</v>
      </c>
      <c r="F4262" t="s">
        <v>41</v>
      </c>
      <c r="G4262">
        <v>-308.13350000000003</v>
      </c>
      <c r="H4262">
        <v>0.95340440000000004</v>
      </c>
      <c r="I4262">
        <v>215.12729999999999</v>
      </c>
      <c r="J4262">
        <v>-308.58980000000003</v>
      </c>
      <c r="K4262">
        <v>1.1097709999999901</v>
      </c>
      <c r="L4262">
        <v>215.25569999999999</v>
      </c>
      <c r="M4262">
        <v>0.99987610000000005</v>
      </c>
      <c r="N4262">
        <v>0</v>
      </c>
      <c r="O4262">
        <v>1.123237E-2</v>
      </c>
      <c r="P4262">
        <v>0.99258190000000002</v>
      </c>
      <c r="Q4262">
        <v>0.1215398</v>
      </c>
      <c r="R4262">
        <v>-3.0504070000000002E-3</v>
      </c>
      <c r="S4262">
        <v>3.1048279999999999</v>
      </c>
      <c r="T4262">
        <v>-0.68643500000000002</v>
      </c>
      <c r="U4262">
        <v>-0.55033869999999996</v>
      </c>
      <c r="V4262">
        <v>1.418495E-2</v>
      </c>
      <c r="W4262">
        <v>0.13247610000000001</v>
      </c>
      <c r="X4262">
        <v>0.99108470000000004</v>
      </c>
      <c r="Y4262">
        <v>0.18107529999999999</v>
      </c>
      <c r="Z4262">
        <v>-2.2066269999999999E-2</v>
      </c>
      <c r="AA4262">
        <v>0.98322169999999998</v>
      </c>
      <c r="AB4262">
        <v>38</v>
      </c>
      <c r="AC4262">
        <v>0.45629999999999798</v>
      </c>
      <c r="AD4262">
        <v>-0.156366599999999</v>
      </c>
      <c r="AE4262">
        <v>-0.12839999999999899</v>
      </c>
      <c r="AF4262">
        <v>0.120414531352998</v>
      </c>
      <c r="AG4262">
        <v>-0.156366599999999</v>
      </c>
      <c r="AH4262">
        <v>0.410193348586535</v>
      </c>
      <c r="AI4262">
        <v>110.09089400436</v>
      </c>
      <c r="AJ4262">
        <v>73.640106155152395</v>
      </c>
      <c r="AK4262">
        <v>0.45520188508084702</v>
      </c>
      <c r="AL4262">
        <v>82.387299856108001</v>
      </c>
      <c r="AM4262">
        <v>89.180007240327498</v>
      </c>
      <c r="AN4262">
        <v>1.0000000062259</v>
      </c>
    </row>
    <row r="4263" spans="1:40" x14ac:dyDescent="0.25">
      <c r="A4263" t="str">
        <f>"20190312172202774"</f>
        <v>20190312172202774</v>
      </c>
      <c r="B4263" t="str">
        <f>"1552382522764729"</f>
        <v>1552382522764729</v>
      </c>
      <c r="C4263" t="s">
        <v>40</v>
      </c>
      <c r="D4263">
        <v>3.1816710000000001</v>
      </c>
      <c r="E4263">
        <v>0.56779499999999905</v>
      </c>
      <c r="F4263" t="s">
        <v>41</v>
      </c>
      <c r="G4263">
        <v>-307.8</v>
      </c>
      <c r="H4263">
        <v>0.9351891</v>
      </c>
      <c r="I4263">
        <v>215.1156</v>
      </c>
      <c r="J4263">
        <v>-308.24790000000002</v>
      </c>
      <c r="K4263">
        <v>1.1097939999999999</v>
      </c>
      <c r="L4263">
        <v>215.25960000000001</v>
      </c>
      <c r="M4263">
        <v>0.9998745</v>
      </c>
      <c r="N4263">
        <v>0</v>
      </c>
      <c r="O4263">
        <v>1.12832E-2</v>
      </c>
      <c r="P4263">
        <v>0.99252490000000004</v>
      </c>
      <c r="Q4263">
        <v>0.1219968</v>
      </c>
      <c r="R4263">
        <v>-3.3468119999999998E-3</v>
      </c>
      <c r="S4263">
        <v>3.1047359999999999</v>
      </c>
      <c r="T4263">
        <v>-0.68638599999999905</v>
      </c>
      <c r="U4263">
        <v>-0.55036929999999995</v>
      </c>
      <c r="V4263">
        <v>1.4530950000000001E-2</v>
      </c>
      <c r="W4263">
        <v>0.1330201</v>
      </c>
      <c r="X4263">
        <v>0.99100679999999997</v>
      </c>
      <c r="Y4263">
        <v>0.1811374</v>
      </c>
      <c r="Z4263">
        <v>-2.208309E-2</v>
      </c>
      <c r="AA4263">
        <v>0.98320980000000002</v>
      </c>
      <c r="AB4263">
        <v>38</v>
      </c>
      <c r="AC4263">
        <v>0.44790000000000402</v>
      </c>
      <c r="AD4263">
        <v>-0.17460489999999901</v>
      </c>
      <c r="AE4263">
        <v>-0.14400000000000501</v>
      </c>
      <c r="AF4263">
        <v>0.13100184123407699</v>
      </c>
      <c r="AG4263">
        <v>-0.17460489999999901</v>
      </c>
      <c r="AH4263">
        <v>0.39222496414713098</v>
      </c>
      <c r="AI4263">
        <v>112.89125445707199</v>
      </c>
      <c r="AJ4263">
        <v>71.530851009939795</v>
      </c>
      <c r="AK4263">
        <v>0.448875011568863</v>
      </c>
      <c r="AL4263">
        <v>82.355852486839396</v>
      </c>
      <c r="AM4263">
        <v>89.159942748555906</v>
      </c>
      <c r="AN4263">
        <v>0.99999998657907596</v>
      </c>
    </row>
    <row r="4264" spans="1:40" x14ac:dyDescent="0.25">
      <c r="A4264" t="str">
        <f>"20190312172202795"</f>
        <v>20190312172202795</v>
      </c>
      <c r="B4264" t="str">
        <f>"1552382522785224"</f>
        <v>1552382522785224</v>
      </c>
      <c r="C4264" t="s">
        <v>40</v>
      </c>
      <c r="D4264">
        <v>3.219141</v>
      </c>
      <c r="E4264">
        <v>0.56799759999999999</v>
      </c>
      <c r="F4264" t="s">
        <v>41</v>
      </c>
      <c r="G4264">
        <v>-307.45859999999999</v>
      </c>
      <c r="H4264">
        <v>0.93546039999999997</v>
      </c>
      <c r="I4264">
        <v>215.11940000000001</v>
      </c>
      <c r="J4264">
        <v>-307.8689</v>
      </c>
      <c r="K4264">
        <v>1.1098079999999999</v>
      </c>
      <c r="L4264">
        <v>215.26400000000001</v>
      </c>
      <c r="M4264">
        <v>0.99987289999999995</v>
      </c>
      <c r="N4264">
        <v>0</v>
      </c>
      <c r="O4264">
        <v>1.1339419999999999E-2</v>
      </c>
      <c r="P4264">
        <v>0.99247759999999996</v>
      </c>
      <c r="Q4264">
        <v>0.12237140000000001</v>
      </c>
      <c r="R4264">
        <v>-3.744814E-3</v>
      </c>
      <c r="S4264">
        <v>3.1049799999999999</v>
      </c>
      <c r="T4264">
        <v>-0.68573700000000004</v>
      </c>
      <c r="U4264">
        <v>-0.55152889999999999</v>
      </c>
      <c r="V4264">
        <v>1.4984030000000001E-2</v>
      </c>
      <c r="W4264">
        <v>0.133496</v>
      </c>
      <c r="X4264">
        <v>0.99093609999999999</v>
      </c>
      <c r="Y4264">
        <v>0.18153430000000001</v>
      </c>
      <c r="Z4264">
        <v>-2.21155E-2</v>
      </c>
      <c r="AA4264">
        <v>0.98313589999999995</v>
      </c>
      <c r="AB4264">
        <v>38</v>
      </c>
      <c r="AC4264">
        <v>0.41030000000000599</v>
      </c>
      <c r="AD4264">
        <v>-0.17434759999999899</v>
      </c>
      <c r="AE4264">
        <v>-0.14459999999999601</v>
      </c>
      <c r="AF4264">
        <v>0.12859015065312801</v>
      </c>
      <c r="AG4264">
        <v>-0.17434759999999899</v>
      </c>
      <c r="AH4264">
        <v>0.352084116011607</v>
      </c>
      <c r="AI4264">
        <v>114.944831268301</v>
      </c>
      <c r="AJ4264">
        <v>69.936509758584705</v>
      </c>
      <c r="AK4264">
        <v>0.41339537638733798</v>
      </c>
      <c r="AL4264">
        <v>82.328340376922995</v>
      </c>
      <c r="AM4264">
        <v>89.133691612202696</v>
      </c>
      <c r="AN4264">
        <v>1.00000002872712</v>
      </c>
    </row>
    <row r="4265" spans="1:40" x14ac:dyDescent="0.25">
      <c r="A4265" t="str">
        <f>"20190312172202818"</f>
        <v>20190312172202818</v>
      </c>
      <c r="B4265" t="str">
        <f>"1552382522814505"</f>
        <v>1552382522814505</v>
      </c>
      <c r="C4265" t="s">
        <v>40</v>
      </c>
      <c r="D4265">
        <v>3.1682510000000002</v>
      </c>
      <c r="E4265">
        <v>0.56813359999999902</v>
      </c>
      <c r="F4265" t="s">
        <v>41</v>
      </c>
      <c r="G4265">
        <v>-307.11399999999998</v>
      </c>
      <c r="H4265">
        <v>0.94308340000000002</v>
      </c>
      <c r="I4265">
        <v>215.12909999999999</v>
      </c>
      <c r="J4265">
        <v>-307.49919999999997</v>
      </c>
      <c r="K4265">
        <v>1.1098239999999999</v>
      </c>
      <c r="L4265">
        <v>215.26820000000001</v>
      </c>
      <c r="M4265">
        <v>0.99987110000000001</v>
      </c>
      <c r="N4265">
        <v>0</v>
      </c>
      <c r="O4265">
        <v>1.1394329999999999E-2</v>
      </c>
      <c r="P4265">
        <v>0.99248409999999998</v>
      </c>
      <c r="Q4265">
        <v>0.1223115</v>
      </c>
      <c r="R4265">
        <v>-3.9376029999999996E-3</v>
      </c>
      <c r="S4265">
        <v>3.105194</v>
      </c>
      <c r="T4265">
        <v>-0.68577080000000001</v>
      </c>
      <c r="U4265">
        <v>-0.55422969999999905</v>
      </c>
      <c r="V4265">
        <v>1.5231400000000001E-2</v>
      </c>
      <c r="W4265">
        <v>0.13353899999999999</v>
      </c>
      <c r="X4265">
        <v>0.99092650000000004</v>
      </c>
      <c r="Y4265">
        <v>0.18238509999999999</v>
      </c>
      <c r="Z4265">
        <v>-2.2217529999999999E-2</v>
      </c>
      <c r="AA4265">
        <v>0.98297610000000002</v>
      </c>
      <c r="AB4265">
        <v>38</v>
      </c>
      <c r="AC4265">
        <v>0.38519999999993998</v>
      </c>
      <c r="AD4265">
        <v>-0.16674059999999899</v>
      </c>
      <c r="AE4265">
        <v>-0.13910000000001299</v>
      </c>
      <c r="AF4265">
        <v>0.12307889173538999</v>
      </c>
      <c r="AG4265">
        <v>-0.16674059999999899</v>
      </c>
      <c r="AH4265">
        <v>0.32904732873913001</v>
      </c>
      <c r="AI4265">
        <v>115.390031502122</v>
      </c>
      <c r="AJ4265">
        <v>69.491882710399295</v>
      </c>
      <c r="AK4265">
        <v>0.38887399736872202</v>
      </c>
      <c r="AL4265">
        <v>82.325854133877698</v>
      </c>
      <c r="AM4265">
        <v>89.119383509126905</v>
      </c>
      <c r="AN4265">
        <v>0.99999999423460495</v>
      </c>
    </row>
    <row r="4266" spans="1:40" x14ac:dyDescent="0.25">
      <c r="A4266" t="str">
        <f>"20190312172202839"</f>
        <v>20190312172202839</v>
      </c>
      <c r="B4266" t="str">
        <f>"1552382522835001"</f>
        <v>1552382522835001</v>
      </c>
      <c r="C4266" t="s">
        <v>40</v>
      </c>
      <c r="D4266">
        <v>3.1836250000000001</v>
      </c>
      <c r="E4266">
        <v>0.56807209999999997</v>
      </c>
      <c r="F4266" t="s">
        <v>41</v>
      </c>
      <c r="G4266">
        <v>-306.77030000000002</v>
      </c>
      <c r="H4266">
        <v>0.94866200000000001</v>
      </c>
      <c r="I4266">
        <v>215.1377</v>
      </c>
      <c r="J4266">
        <v>-307.11880000000002</v>
      </c>
      <c r="K4266">
        <v>1.109831</v>
      </c>
      <c r="L4266">
        <v>215.27260000000001</v>
      </c>
      <c r="M4266">
        <v>0.99986920000000001</v>
      </c>
      <c r="N4266">
        <v>0</v>
      </c>
      <c r="O4266">
        <v>1.1450719999999999E-2</v>
      </c>
      <c r="P4266">
        <v>0.99248740000000002</v>
      </c>
      <c r="Q4266">
        <v>0.1222748</v>
      </c>
      <c r="R4266">
        <v>-4.2296590000000002E-3</v>
      </c>
      <c r="S4266">
        <v>3.1051329999999999</v>
      </c>
      <c r="T4266">
        <v>-0.68653260000000005</v>
      </c>
      <c r="U4266">
        <v>-0.55558779999999997</v>
      </c>
      <c r="V4266">
        <v>1.557938E-2</v>
      </c>
      <c r="W4266">
        <v>0.13360610000000001</v>
      </c>
      <c r="X4266">
        <v>0.99091209999999996</v>
      </c>
      <c r="Y4266">
        <v>0.1828388</v>
      </c>
      <c r="Z4266">
        <v>-2.230265E-2</v>
      </c>
      <c r="AA4266">
        <v>0.98288989999999998</v>
      </c>
      <c r="AB4266">
        <v>38</v>
      </c>
      <c r="AC4266">
        <v>0.34850000000000098</v>
      </c>
      <c r="AD4266">
        <v>-0.16116899999999901</v>
      </c>
      <c r="AE4266">
        <v>-0.13490000000001601</v>
      </c>
      <c r="AF4266">
        <v>0.117100820474466</v>
      </c>
      <c r="AG4266">
        <v>-0.16116899999999901</v>
      </c>
      <c r="AH4266">
        <v>0.29252217733050501</v>
      </c>
      <c r="AI4266">
        <v>117.08979720892</v>
      </c>
      <c r="AJ4266">
        <v>68.183066345582304</v>
      </c>
      <c r="AK4266">
        <v>0.353917042464717</v>
      </c>
      <c r="AL4266">
        <v>82.321975243732297</v>
      </c>
      <c r="AM4266">
        <v>89.099254936421602</v>
      </c>
      <c r="AN4266">
        <v>1.0000000484824001</v>
      </c>
    </row>
    <row r="4267" spans="1:40" x14ac:dyDescent="0.25">
      <c r="A4267" t="str">
        <f>"20190312172202864"</f>
        <v>20190312172202864</v>
      </c>
      <c r="B4267" t="str">
        <f>"1552382522854521"</f>
        <v>1552382522854521</v>
      </c>
      <c r="C4267" t="s">
        <v>40</v>
      </c>
      <c r="D4267">
        <v>3.2117399999999998</v>
      </c>
      <c r="E4267">
        <v>0.56811820000000002</v>
      </c>
      <c r="F4267" t="s">
        <v>41</v>
      </c>
      <c r="G4267">
        <v>-306.42559999999997</v>
      </c>
      <c r="H4267">
        <v>0.95651379999999997</v>
      </c>
      <c r="I4267">
        <v>215.14830000000001</v>
      </c>
      <c r="J4267">
        <v>-306.71550000000002</v>
      </c>
      <c r="K4267">
        <v>1.1098460000000001</v>
      </c>
      <c r="L4267">
        <v>215.2773</v>
      </c>
      <c r="M4267">
        <v>0.99986730000000001</v>
      </c>
      <c r="N4267">
        <v>0</v>
      </c>
      <c r="O4267">
        <v>1.151114E-2</v>
      </c>
      <c r="P4267">
        <v>0.99247660000000004</v>
      </c>
      <c r="Q4267">
        <v>0.1223627</v>
      </c>
      <c r="R4267">
        <v>-4.224645E-3</v>
      </c>
      <c r="S4267">
        <v>3.1049190000000002</v>
      </c>
      <c r="T4267">
        <v>-0.68687180000000003</v>
      </c>
      <c r="U4267">
        <v>-0.55569460000000004</v>
      </c>
      <c r="V4267">
        <v>1.563399E-2</v>
      </c>
      <c r="W4267">
        <v>0.13380129999999901</v>
      </c>
      <c r="X4267">
        <v>0.99088480000000001</v>
      </c>
      <c r="Y4267">
        <v>0.18293400000000001</v>
      </c>
      <c r="Z4267">
        <v>-2.2338259999999999E-2</v>
      </c>
      <c r="AA4267">
        <v>0.98287139999999995</v>
      </c>
      <c r="AB4267">
        <v>38</v>
      </c>
      <c r="AC4267">
        <v>0.28990000000004501</v>
      </c>
      <c r="AD4267">
        <v>-0.153332199999999</v>
      </c>
      <c r="AE4267">
        <v>-0.12899999999999001</v>
      </c>
      <c r="AF4267">
        <v>0.107277980159519</v>
      </c>
      <c r="AG4267">
        <v>-0.153332199999999</v>
      </c>
      <c r="AH4267">
        <v>0.233800389356012</v>
      </c>
      <c r="AI4267">
        <v>120.79799661186701</v>
      </c>
      <c r="AJ4267">
        <v>65.352245207714105</v>
      </c>
      <c r="AK4267">
        <v>0.299469448603641</v>
      </c>
      <c r="AL4267">
        <v>82.310689004119098</v>
      </c>
      <c r="AM4267">
        <v>89.096073201464705</v>
      </c>
      <c r="AN4267">
        <v>0.99999994819802296</v>
      </c>
    </row>
    <row r="4268" spans="1:40" x14ac:dyDescent="0.25">
      <c r="A4268" t="str">
        <f>"20190312172202894"</f>
        <v>20190312172202894</v>
      </c>
      <c r="B4268" t="str">
        <f>"1552382522884784"</f>
        <v>1552382522884784</v>
      </c>
      <c r="C4268" t="s">
        <v>40</v>
      </c>
      <c r="D4268">
        <v>3.168158</v>
      </c>
      <c r="E4268">
        <v>0.56805209999999995</v>
      </c>
      <c r="F4268" t="s">
        <v>41</v>
      </c>
      <c r="G4268">
        <v>-305.7654</v>
      </c>
      <c r="H4268">
        <v>0.89940450000000005</v>
      </c>
      <c r="I4268">
        <v>215.1071</v>
      </c>
      <c r="J4268">
        <v>-306.17739999999998</v>
      </c>
      <c r="K4268">
        <v>1.1098709999999901</v>
      </c>
      <c r="L4268">
        <v>215.28360000000001</v>
      </c>
      <c r="M4268">
        <v>0.9998648</v>
      </c>
      <c r="N4268">
        <v>0</v>
      </c>
      <c r="O4268">
        <v>1.1592130000000001E-2</v>
      </c>
      <c r="P4268">
        <v>0.99243309999999996</v>
      </c>
      <c r="Q4268">
        <v>0.1227106</v>
      </c>
      <c r="R4268">
        <v>-4.3479779999999997E-3</v>
      </c>
      <c r="S4268">
        <v>3.105194</v>
      </c>
      <c r="T4268">
        <v>-0.68787849999999995</v>
      </c>
      <c r="U4268">
        <v>-0.55477909999999997</v>
      </c>
      <c r="V4268">
        <v>1.5837159999999999E-2</v>
      </c>
      <c r="W4268">
        <v>0.13428180000000001</v>
      </c>
      <c r="X4268">
        <v>0.99081660000000005</v>
      </c>
      <c r="Y4268">
        <v>0.18270829999999999</v>
      </c>
      <c r="Z4268">
        <v>-2.2362E-2</v>
      </c>
      <c r="AA4268">
        <v>0.98291280000000003</v>
      </c>
      <c r="AB4268">
        <v>38</v>
      </c>
      <c r="AC4268">
        <v>0.411999999999977</v>
      </c>
      <c r="AD4268">
        <v>-0.210466499999999</v>
      </c>
      <c r="AE4268">
        <v>-0.17650000000000399</v>
      </c>
      <c r="AF4268">
        <v>0.148517421012307</v>
      </c>
      <c r="AG4268">
        <v>-0.210466499999999</v>
      </c>
      <c r="AH4268">
        <v>0.33586942259601599</v>
      </c>
      <c r="AI4268">
        <v>119.817125908755</v>
      </c>
      <c r="AJ4268">
        <v>66.145561839042102</v>
      </c>
      <c r="AK4268">
        <v>0.42327513629007102</v>
      </c>
      <c r="AL4268">
        <v>82.282907890572702</v>
      </c>
      <c r="AM4268">
        <v>89.084265278819601</v>
      </c>
      <c r="AN4268">
        <v>0.999999976141832</v>
      </c>
    </row>
    <row r="4269" spans="1:40" x14ac:dyDescent="0.25">
      <c r="A4269" t="str">
        <f>"20190312172202916"</f>
        <v>20190312172202916</v>
      </c>
      <c r="B4269" t="str">
        <f>"1552382522905273"</f>
        <v>1552382522905273</v>
      </c>
      <c r="C4269" t="s">
        <v>40</v>
      </c>
      <c r="D4269">
        <v>3.1857449999999998</v>
      </c>
      <c r="E4269">
        <v>0.56800090000000003</v>
      </c>
      <c r="F4269" t="s">
        <v>41</v>
      </c>
      <c r="G4269">
        <v>-305.40879999999999</v>
      </c>
      <c r="H4269">
        <v>0.93990929999999995</v>
      </c>
      <c r="I4269">
        <v>215.14619999999999</v>
      </c>
      <c r="J4269">
        <v>-305.79950000000002</v>
      </c>
      <c r="K4269">
        <v>1.10988</v>
      </c>
      <c r="L4269">
        <v>215.28800000000001</v>
      </c>
      <c r="M4269">
        <v>0.9998631</v>
      </c>
      <c r="N4269">
        <v>0</v>
      </c>
      <c r="O4269">
        <v>1.1649619999999999E-2</v>
      </c>
      <c r="P4269">
        <v>0.99237039999999999</v>
      </c>
      <c r="Q4269">
        <v>0.1232125</v>
      </c>
      <c r="R4269">
        <v>-4.4755630000000001E-3</v>
      </c>
      <c r="S4269">
        <v>3.1053769999999998</v>
      </c>
      <c r="T4269">
        <v>-0.68672749999999905</v>
      </c>
      <c r="U4269">
        <v>-0.55441280000000004</v>
      </c>
      <c r="V4269">
        <v>1.6020989999999999E-2</v>
      </c>
      <c r="W4269">
        <v>0.134867299999999</v>
      </c>
      <c r="X4269">
        <v>0.99073420000000001</v>
      </c>
      <c r="Y4269">
        <v>0.18265780000000001</v>
      </c>
      <c r="Z4269">
        <v>-2.233139E-2</v>
      </c>
      <c r="AA4269">
        <v>0.98292290000000004</v>
      </c>
      <c r="AB4269">
        <v>38</v>
      </c>
      <c r="AC4269">
        <v>0.39070000000003802</v>
      </c>
      <c r="AD4269">
        <v>-0.169970699999999</v>
      </c>
      <c r="AE4269">
        <v>-0.14179999999998899</v>
      </c>
      <c r="AF4269">
        <v>0.12537536138602501</v>
      </c>
      <c r="AG4269">
        <v>-0.169970699999999</v>
      </c>
      <c r="AH4269">
        <v>0.33328531569342601</v>
      </c>
      <c r="AI4269">
        <v>115.516491186983</v>
      </c>
      <c r="AJ4269">
        <v>69.384690372230395</v>
      </c>
      <c r="AK4269">
        <v>0.394573341418339</v>
      </c>
      <c r="AL4269">
        <v>82.249053888169598</v>
      </c>
      <c r="AM4269">
        <v>89.073560687443106</v>
      </c>
      <c r="AN4269">
        <v>1.0000000578897501</v>
      </c>
    </row>
    <row r="4270" spans="1:40" x14ac:dyDescent="0.25">
      <c r="A4270" t="str">
        <f>"20190312172202941"</f>
        <v>20190312172202941</v>
      </c>
      <c r="B4270" t="str">
        <f>"1552382522934553"</f>
        <v>1552382522934553</v>
      </c>
      <c r="C4270" t="s">
        <v>40</v>
      </c>
      <c r="D4270">
        <v>3.1874980000000002</v>
      </c>
      <c r="E4270">
        <v>0.5681022</v>
      </c>
      <c r="F4270" t="s">
        <v>41</v>
      </c>
      <c r="G4270">
        <v>-305.0641</v>
      </c>
      <c r="H4270">
        <v>0.94769599999999998</v>
      </c>
      <c r="I4270">
        <v>215.15649999999999</v>
      </c>
      <c r="J4270">
        <v>-305.40620000000001</v>
      </c>
      <c r="K4270">
        <v>1.10989</v>
      </c>
      <c r="L4270">
        <v>215.29259999999999</v>
      </c>
      <c r="M4270">
        <v>0.99986160000000002</v>
      </c>
      <c r="N4270">
        <v>0</v>
      </c>
      <c r="O4270">
        <v>1.170917E-2</v>
      </c>
      <c r="P4270">
        <v>0.99234489999999997</v>
      </c>
      <c r="Q4270">
        <v>0.12340950000000001</v>
      </c>
      <c r="R4270">
        <v>-4.7055370000000001E-3</v>
      </c>
      <c r="S4270">
        <v>3.1056210000000002</v>
      </c>
      <c r="T4270">
        <v>-0.68505419999999995</v>
      </c>
      <c r="U4270">
        <v>-0.554367099999999</v>
      </c>
      <c r="V4270">
        <v>1.6309939999999998E-2</v>
      </c>
      <c r="W4270">
        <v>0.1351427</v>
      </c>
      <c r="X4270">
        <v>0.99069189999999996</v>
      </c>
      <c r="Y4270">
        <v>0.18270890000000001</v>
      </c>
      <c r="Z4270">
        <v>-2.2294990000000001E-2</v>
      </c>
      <c r="AA4270">
        <v>0.98291430000000002</v>
      </c>
      <c r="AB4270">
        <v>38</v>
      </c>
      <c r="AC4270">
        <v>0.342100000000016</v>
      </c>
      <c r="AD4270">
        <v>-0.162194</v>
      </c>
      <c r="AE4270">
        <v>-0.136099999999999</v>
      </c>
      <c r="AF4270">
        <v>0.117327283103522</v>
      </c>
      <c r="AG4270">
        <v>-0.162194</v>
      </c>
      <c r="AH4270">
        <v>0.285145448602941</v>
      </c>
      <c r="AI4270">
        <v>117.745404522941</v>
      </c>
      <c r="AJ4270">
        <v>67.634564242183401</v>
      </c>
      <c r="AK4270">
        <v>0.34839706062971698</v>
      </c>
      <c r="AL4270">
        <v>82.233128400337606</v>
      </c>
      <c r="AM4270">
        <v>89.056814421455599</v>
      </c>
      <c r="AN4270">
        <v>1.0000000021158499</v>
      </c>
    </row>
    <row r="4271" spans="1:40" x14ac:dyDescent="0.25">
      <c r="A4271" t="str">
        <f>"20190312172202963"</f>
        <v>20190312172202963</v>
      </c>
      <c r="B4271" t="str">
        <f>"1552382522955048"</f>
        <v>1552382522955048</v>
      </c>
      <c r="C4271" t="s">
        <v>40</v>
      </c>
      <c r="D4271">
        <v>3.2873230000000002</v>
      </c>
      <c r="E4271">
        <v>0.56804940000000004</v>
      </c>
      <c r="F4271" t="s">
        <v>41</v>
      </c>
      <c r="G4271">
        <v>-304.40429999999998</v>
      </c>
      <c r="H4271">
        <v>0.88886330000000002</v>
      </c>
      <c r="I4271">
        <v>215.11320000000001</v>
      </c>
      <c r="J4271">
        <v>-305.00920000000002</v>
      </c>
      <c r="K4271">
        <v>1.109901</v>
      </c>
      <c r="L4271">
        <v>215.29730000000001</v>
      </c>
      <c r="M4271">
        <v>0.99985990000000002</v>
      </c>
      <c r="N4271">
        <v>0</v>
      </c>
      <c r="O4271">
        <v>1.176954E-2</v>
      </c>
      <c r="P4271">
        <v>0.99231369999999997</v>
      </c>
      <c r="Q4271">
        <v>0.1236341</v>
      </c>
      <c r="R4271">
        <v>-5.3023899999999997E-3</v>
      </c>
      <c r="S4271">
        <v>3.1057130000000002</v>
      </c>
      <c r="T4271">
        <v>-0.68509799999999998</v>
      </c>
      <c r="U4271">
        <v>-0.55535889999999999</v>
      </c>
      <c r="V4271">
        <v>1.6966490000000001E-2</v>
      </c>
      <c r="W4271">
        <v>0.13543659999999999</v>
      </c>
      <c r="X4271">
        <v>0.99064079999999999</v>
      </c>
      <c r="Y4271">
        <v>0.18305779999999999</v>
      </c>
      <c r="Z4271">
        <v>-2.2345960000000002E-2</v>
      </c>
      <c r="AA4271">
        <v>0.98284819999999995</v>
      </c>
      <c r="AB4271">
        <v>38</v>
      </c>
      <c r="AC4271">
        <v>0.60490000000004296</v>
      </c>
      <c r="AD4271">
        <v>-0.2210377</v>
      </c>
      <c r="AE4271">
        <v>-0.18410000000000001</v>
      </c>
      <c r="AF4271">
        <v>0.1703850322697</v>
      </c>
      <c r="AG4271">
        <v>-0.2210377</v>
      </c>
      <c r="AH4271">
        <v>0.53705918849429601</v>
      </c>
      <c r="AI4271">
        <v>111.4201244879</v>
      </c>
      <c r="AJ4271">
        <v>72.398078625797496</v>
      </c>
      <c r="AK4271">
        <v>0.60524482318231199</v>
      </c>
      <c r="AL4271">
        <v>82.216133404482505</v>
      </c>
      <c r="AM4271">
        <v>89.018803547723806</v>
      </c>
      <c r="AN4271">
        <v>1.0000000645135501</v>
      </c>
    </row>
    <row r="4272" spans="1:40" x14ac:dyDescent="0.25">
      <c r="A4272" t="str">
        <f>"20190312172202986"</f>
        <v>20190312172202986</v>
      </c>
      <c r="B4272" t="str">
        <f>"1552382522974569"</f>
        <v>1552382522974569</v>
      </c>
      <c r="C4272" t="s">
        <v>40</v>
      </c>
      <c r="D4272">
        <v>3.2319819999999999</v>
      </c>
      <c r="E4272">
        <v>0.56798680000000001</v>
      </c>
      <c r="F4272" t="s">
        <v>41</v>
      </c>
      <c r="G4272">
        <v>-304.05869999999999</v>
      </c>
      <c r="H4272">
        <v>0.90041380000000004</v>
      </c>
      <c r="I4272">
        <v>215.12710000000001</v>
      </c>
      <c r="J4272">
        <v>-304.62990000000002</v>
      </c>
      <c r="K4272">
        <v>1.10991</v>
      </c>
      <c r="L4272">
        <v>215.30179999999999</v>
      </c>
      <c r="M4272">
        <v>0.99985869999999999</v>
      </c>
      <c r="N4272">
        <v>0</v>
      </c>
      <c r="O4272">
        <v>1.182681E-2</v>
      </c>
      <c r="P4272">
        <v>0.99230200000000002</v>
      </c>
      <c r="Q4272">
        <v>0.1237095</v>
      </c>
      <c r="R4272">
        <v>-5.723718E-3</v>
      </c>
      <c r="S4272">
        <v>3.105591</v>
      </c>
      <c r="T4272">
        <v>-0.68452089999999999</v>
      </c>
      <c r="U4272">
        <v>-0.55651859999999997</v>
      </c>
      <c r="V4272">
        <v>1.744474E-2</v>
      </c>
      <c r="W4272">
        <v>0.13557069999999999</v>
      </c>
      <c r="X4272">
        <v>0.99061410000000005</v>
      </c>
      <c r="Y4272">
        <v>0.18347289999999999</v>
      </c>
      <c r="Z4272">
        <v>-2.2384950000000001E-2</v>
      </c>
      <c r="AA4272">
        <v>0.98276980000000003</v>
      </c>
      <c r="AB4272">
        <v>38</v>
      </c>
      <c r="AC4272">
        <v>0.57120000000003202</v>
      </c>
      <c r="AD4272">
        <v>-0.20949619999999899</v>
      </c>
      <c r="AE4272">
        <v>-0.17469999999997299</v>
      </c>
      <c r="AF4272">
        <v>0.161569127539687</v>
      </c>
      <c r="AG4272">
        <v>-0.20949619999999899</v>
      </c>
      <c r="AH4272">
        <v>0.50675754047689503</v>
      </c>
      <c r="AI4272">
        <v>111.49802817664199</v>
      </c>
      <c r="AJ4272">
        <v>72.316197117620405</v>
      </c>
      <c r="AK4272">
        <v>0.57166112830816795</v>
      </c>
      <c r="AL4272">
        <v>82.208378123426101</v>
      </c>
      <c r="AM4272">
        <v>88.991124116269802</v>
      </c>
      <c r="AN4272">
        <v>1.0000000143854799</v>
      </c>
    </row>
    <row r="4273" spans="1:40" x14ac:dyDescent="0.25">
      <c r="A4273" t="str">
        <f>"20190312172203007"</f>
        <v>20190312172203007</v>
      </c>
      <c r="B4273" t="str">
        <f>"1552382522995065"</f>
        <v>1552382522995065</v>
      </c>
      <c r="C4273" t="s">
        <v>40</v>
      </c>
      <c r="D4273">
        <v>3.1940550000000001</v>
      </c>
      <c r="E4273">
        <v>0.56796230000000003</v>
      </c>
      <c r="F4273" t="s">
        <v>41</v>
      </c>
      <c r="G4273">
        <v>-303.71460000000002</v>
      </c>
      <c r="H4273">
        <v>0.90809039999999996</v>
      </c>
      <c r="I4273">
        <v>215.1377</v>
      </c>
      <c r="J4273">
        <v>-304.26609999999999</v>
      </c>
      <c r="K4273">
        <v>1.1099079999999999</v>
      </c>
      <c r="L4273">
        <v>215.30619999999999</v>
      </c>
      <c r="M4273">
        <v>0.99985740000000001</v>
      </c>
      <c r="N4273">
        <v>0</v>
      </c>
      <c r="O4273">
        <v>1.188199E-2</v>
      </c>
      <c r="P4273">
        <v>0.99232240000000005</v>
      </c>
      <c r="Q4273">
        <v>0.12350559999999999</v>
      </c>
      <c r="R4273">
        <v>-6.5463049999999997E-3</v>
      </c>
      <c r="S4273">
        <v>3.1054379999999999</v>
      </c>
      <c r="T4273">
        <v>-0.68477299999999997</v>
      </c>
      <c r="U4273">
        <v>-0.55616759999999998</v>
      </c>
      <c r="V4273">
        <v>1.8322450000000001E-2</v>
      </c>
      <c r="W4273">
        <v>0.1354167</v>
      </c>
      <c r="X4273">
        <v>0.99061929999999998</v>
      </c>
      <c r="Y4273">
        <v>0.1834239</v>
      </c>
      <c r="Z4273">
        <v>-2.2400920000000001E-2</v>
      </c>
      <c r="AA4273">
        <v>0.98277870000000001</v>
      </c>
      <c r="AB4273">
        <v>38</v>
      </c>
      <c r="AC4273">
        <v>0.55149999999997501</v>
      </c>
      <c r="AD4273">
        <v>-0.20181759999999899</v>
      </c>
      <c r="AE4273">
        <v>-0.16849999999999399</v>
      </c>
      <c r="AF4273">
        <v>0.155941624889711</v>
      </c>
      <c r="AG4273">
        <v>-0.20181759999999899</v>
      </c>
      <c r="AH4273">
        <v>0.48950392963543599</v>
      </c>
      <c r="AI4273">
        <v>111.446768836698</v>
      </c>
      <c r="AJ4273">
        <v>72.329643506980005</v>
      </c>
      <c r="AK4273">
        <v>0.55196216461958503</v>
      </c>
      <c r="AL4273">
        <v>82.217283657022506</v>
      </c>
      <c r="AM4273">
        <v>88.940380661171204</v>
      </c>
      <c r="AN4273">
        <v>0.99999999617269097</v>
      </c>
    </row>
    <row r="4274" spans="1:40" x14ac:dyDescent="0.25">
      <c r="A4274" t="str">
        <f>"20190312172203029"</f>
        <v>20190312172203029</v>
      </c>
      <c r="B4274" t="str">
        <f>"1552382523025321"</f>
        <v>1552382523025321</v>
      </c>
      <c r="C4274" t="s">
        <v>40</v>
      </c>
      <c r="D4274">
        <v>3.178849</v>
      </c>
      <c r="E4274">
        <v>0.5679573</v>
      </c>
      <c r="F4274" t="s">
        <v>41</v>
      </c>
      <c r="G4274">
        <v>-303.37169999999998</v>
      </c>
      <c r="H4274">
        <v>0.91244080000000005</v>
      </c>
      <c r="I4274">
        <v>215.14529999999999</v>
      </c>
      <c r="J4274">
        <v>-303.88630000000001</v>
      </c>
      <c r="K4274">
        <v>1.1099110000000001</v>
      </c>
      <c r="L4274">
        <v>215.3108</v>
      </c>
      <c r="M4274">
        <v>0.99985599999999997</v>
      </c>
      <c r="N4274">
        <v>0</v>
      </c>
      <c r="O4274">
        <v>1.193935E-2</v>
      </c>
      <c r="P4274">
        <v>0.99230300000000005</v>
      </c>
      <c r="Q4274">
        <v>0.123651</v>
      </c>
      <c r="R4274">
        <v>-6.7418749999999996E-3</v>
      </c>
      <c r="S4274">
        <v>3.1048279999999999</v>
      </c>
      <c r="T4274">
        <v>-0.68562519999999905</v>
      </c>
      <c r="U4274">
        <v>-0.55812069999999903</v>
      </c>
      <c r="V4274">
        <v>1.857433E-2</v>
      </c>
      <c r="W4274">
        <v>0.13560810000000001</v>
      </c>
      <c r="X4274">
        <v>0.99058840000000004</v>
      </c>
      <c r="Y4274">
        <v>0.18408359999999999</v>
      </c>
      <c r="Z4274">
        <v>-2.2515050000000002E-2</v>
      </c>
      <c r="AA4274">
        <v>0.98265270000000005</v>
      </c>
      <c r="AB4274">
        <v>38</v>
      </c>
      <c r="AC4274">
        <v>0.51460000000002903</v>
      </c>
      <c r="AD4274">
        <v>-0.19747020000000001</v>
      </c>
      <c r="AE4274">
        <v>-0.165500000000008</v>
      </c>
      <c r="AF4274">
        <v>0.15142500516868099</v>
      </c>
      <c r="AG4274">
        <v>-0.19747020000000001</v>
      </c>
      <c r="AH4274">
        <v>0.45223636727264899</v>
      </c>
      <c r="AI4274">
        <v>112.492393080846</v>
      </c>
      <c r="AJ4274">
        <v>71.487600592280003</v>
      </c>
      <c r="AK4274">
        <v>0.51617995308064601</v>
      </c>
      <c r="AL4274">
        <v>82.206214942568707</v>
      </c>
      <c r="AM4274">
        <v>88.9257838903211</v>
      </c>
      <c r="AN4274">
        <v>0.99999997036755905</v>
      </c>
    </row>
    <row r="4275" spans="1:40" x14ac:dyDescent="0.25">
      <c r="A4275" t="str">
        <f>"20190312172203052"</f>
        <v>20190312172203052</v>
      </c>
      <c r="B4275" t="str">
        <f>"1552382523044841"</f>
        <v>1552382523044841</v>
      </c>
      <c r="C4275" t="s">
        <v>40</v>
      </c>
      <c r="D4275">
        <v>3.179875</v>
      </c>
      <c r="E4275">
        <v>0.56795960000000001</v>
      </c>
      <c r="F4275" t="s">
        <v>41</v>
      </c>
      <c r="G4275">
        <v>-303.02760000000001</v>
      </c>
      <c r="H4275">
        <v>0.92030469999999998</v>
      </c>
      <c r="I4275">
        <v>215.15610000000001</v>
      </c>
      <c r="J4275">
        <v>-303.49430000000001</v>
      </c>
      <c r="K4275">
        <v>1.109912</v>
      </c>
      <c r="L4275">
        <v>215.31549999999999</v>
      </c>
      <c r="M4275">
        <v>0.99985480000000004</v>
      </c>
      <c r="N4275">
        <v>0</v>
      </c>
      <c r="O4275">
        <v>1.199857E-2</v>
      </c>
      <c r="P4275">
        <v>0.9923071</v>
      </c>
      <c r="Q4275">
        <v>0.12361179999999999</v>
      </c>
      <c r="R4275">
        <v>-6.8522260000000003E-3</v>
      </c>
      <c r="S4275">
        <v>3.1049190000000002</v>
      </c>
      <c r="T4275">
        <v>-0.68565149999999997</v>
      </c>
      <c r="U4275">
        <v>-0.55833440000000001</v>
      </c>
      <c r="V4275">
        <v>1.8743860000000001E-2</v>
      </c>
      <c r="W4275">
        <v>0.13561039999999999</v>
      </c>
      <c r="X4275">
        <v>0.99058489999999999</v>
      </c>
      <c r="Y4275">
        <v>0.1841981</v>
      </c>
      <c r="Z4275">
        <v>-2.2540359999999999E-2</v>
      </c>
      <c r="AA4275">
        <v>0.98263069999999997</v>
      </c>
      <c r="AB4275">
        <v>38</v>
      </c>
      <c r="AC4275">
        <v>0.466700000000003</v>
      </c>
      <c r="AD4275">
        <v>-0.18960730000000001</v>
      </c>
      <c r="AE4275">
        <v>-0.15939999999997601</v>
      </c>
      <c r="AF4275">
        <v>0.14374163269729301</v>
      </c>
      <c r="AG4275">
        <v>-0.18960730000000001</v>
      </c>
      <c r="AH4275">
        <v>0.40490328983229501</v>
      </c>
      <c r="AI4275">
        <v>113.811647485774</v>
      </c>
      <c r="AJ4275">
        <v>70.4550164285112</v>
      </c>
      <c r="AK4275">
        <v>0.46963737000028999</v>
      </c>
      <c r="AL4275">
        <v>82.206081997302107</v>
      </c>
      <c r="AM4275">
        <v>88.915977898764993</v>
      </c>
      <c r="AN4275">
        <v>0.99999997849193401</v>
      </c>
    </row>
    <row r="4276" spans="1:40" x14ac:dyDescent="0.25">
      <c r="A4276" t="str">
        <f>"20190312172203074"</f>
        <v>20190312172203074</v>
      </c>
      <c r="B4276" t="str">
        <f>"1552382523065340"</f>
        <v>1552382523065340</v>
      </c>
      <c r="C4276" t="s">
        <v>40</v>
      </c>
      <c r="D4276">
        <v>3.2897240000000001</v>
      </c>
      <c r="E4276">
        <v>0.56797830000000005</v>
      </c>
      <c r="F4276" t="s">
        <v>41</v>
      </c>
      <c r="G4276">
        <v>-302.68259999999998</v>
      </c>
      <c r="H4276">
        <v>0.93051090000000003</v>
      </c>
      <c r="I4276">
        <v>215.1694</v>
      </c>
      <c r="J4276">
        <v>-303.1234</v>
      </c>
      <c r="K4276">
        <v>1.109915</v>
      </c>
      <c r="L4276">
        <v>215.32</v>
      </c>
      <c r="M4276">
        <v>0.99985380000000001</v>
      </c>
      <c r="N4276">
        <v>0</v>
      </c>
      <c r="O4276">
        <v>1.205433E-2</v>
      </c>
      <c r="P4276">
        <v>0.99234350000000004</v>
      </c>
      <c r="Q4276">
        <v>0.1233297</v>
      </c>
      <c r="R4276">
        <v>-6.6906739999999998E-3</v>
      </c>
      <c r="S4276">
        <v>3.104889</v>
      </c>
      <c r="T4276">
        <v>-0.68623699999999999</v>
      </c>
      <c r="U4276">
        <v>-0.55841059999999998</v>
      </c>
      <c r="V4276">
        <v>1.8637979999999998E-2</v>
      </c>
      <c r="W4276">
        <v>0.13536289999999901</v>
      </c>
      <c r="X4276">
        <v>0.99062079999999997</v>
      </c>
      <c r="Y4276">
        <v>0.18426719999999999</v>
      </c>
      <c r="Z4276">
        <v>-2.2578910000000001E-2</v>
      </c>
      <c r="AA4276">
        <v>0.98261679999999996</v>
      </c>
      <c r="AB4276">
        <v>38</v>
      </c>
      <c r="AC4276">
        <v>0.44080000000002401</v>
      </c>
      <c r="AD4276">
        <v>-0.17940409999999901</v>
      </c>
      <c r="AE4276">
        <v>-0.15059999999999699</v>
      </c>
      <c r="AF4276">
        <v>0.13576473378148499</v>
      </c>
      <c r="AG4276">
        <v>-0.17940409999999901</v>
      </c>
      <c r="AH4276">
        <v>0.38225219849950898</v>
      </c>
      <c r="AI4276">
        <v>113.85824763299</v>
      </c>
      <c r="AJ4276">
        <v>70.446458648750294</v>
      </c>
      <c r="AK4276">
        <v>0.44354778467857903</v>
      </c>
      <c r="AL4276">
        <v>82.220395074728899</v>
      </c>
      <c r="AM4276">
        <v>88.922138909473702</v>
      </c>
      <c r="AN4276">
        <v>1.0000000291937601</v>
      </c>
    </row>
    <row r="4277" spans="1:40" x14ac:dyDescent="0.25">
      <c r="A4277" t="str">
        <f>"20190312172203095"</f>
        <v>20190312172203095</v>
      </c>
      <c r="B4277" t="str">
        <f>"1552382523084857"</f>
        <v>1552382523084857</v>
      </c>
      <c r="C4277" t="s">
        <v>40</v>
      </c>
      <c r="D4277">
        <v>3.2762280000000001</v>
      </c>
      <c r="E4277">
        <v>0.56797889999999995</v>
      </c>
      <c r="F4277" t="s">
        <v>41</v>
      </c>
      <c r="G4277">
        <v>-302.33929999999998</v>
      </c>
      <c r="H4277">
        <v>0.93615910000000002</v>
      </c>
      <c r="I4277">
        <v>215.179</v>
      </c>
      <c r="J4277">
        <v>-302.75330000000002</v>
      </c>
      <c r="K4277">
        <v>1.109912</v>
      </c>
      <c r="L4277">
        <v>215.3245</v>
      </c>
      <c r="M4277">
        <v>0.99985270000000004</v>
      </c>
      <c r="N4277">
        <v>0</v>
      </c>
      <c r="O4277">
        <v>1.2110289999999999E-2</v>
      </c>
      <c r="P4277">
        <v>0.99235059999999997</v>
      </c>
      <c r="Q4277">
        <v>0.1232647</v>
      </c>
      <c r="R4277">
        <v>-6.8001370000000004E-3</v>
      </c>
      <c r="S4277">
        <v>3.1049190000000002</v>
      </c>
      <c r="T4277">
        <v>-0.68809549999999997</v>
      </c>
      <c r="U4277">
        <v>-0.55686950000000002</v>
      </c>
      <c r="V4277">
        <v>1.880329E-2</v>
      </c>
      <c r="W4277">
        <v>0.13532739999999999</v>
      </c>
      <c r="X4277">
        <v>0.99062249999999996</v>
      </c>
      <c r="Y4277">
        <v>0.18383189999999999</v>
      </c>
      <c r="Z4277">
        <v>-2.2604249999999999E-2</v>
      </c>
      <c r="AA4277">
        <v>0.98269779999999995</v>
      </c>
      <c r="AB4277">
        <v>38</v>
      </c>
      <c r="AC4277">
        <v>0.414000000000044</v>
      </c>
      <c r="AD4277">
        <v>-0.17375289999999999</v>
      </c>
      <c r="AE4277">
        <v>-0.14549999999999799</v>
      </c>
      <c r="AF4277">
        <v>0.13010570256973999</v>
      </c>
      <c r="AG4277">
        <v>-0.17375289999999999</v>
      </c>
      <c r="AH4277">
        <v>0.35634115521040399</v>
      </c>
      <c r="AI4277">
        <v>114.609096312685</v>
      </c>
      <c r="AJ4277">
        <v>69.942075062813302</v>
      </c>
      <c r="AK4277">
        <v>0.417248826237128</v>
      </c>
      <c r="AL4277">
        <v>82.222447761110303</v>
      </c>
      <c r="AM4277">
        <v>88.912582946432806</v>
      </c>
      <c r="AN4277">
        <v>1.00000000320591</v>
      </c>
    </row>
    <row r="4278" spans="1:40" x14ac:dyDescent="0.25">
      <c r="A4278" t="str">
        <f>"20190312172203119"</f>
        <v>20190312172203119</v>
      </c>
      <c r="B4278" t="str">
        <f>"1552382523115113"</f>
        <v>1552382523115113</v>
      </c>
      <c r="C4278" t="s">
        <v>40</v>
      </c>
      <c r="D4278">
        <v>3.2047889999999999</v>
      </c>
      <c r="E4278">
        <v>0.56802339999999996</v>
      </c>
      <c r="F4278" t="s">
        <v>41</v>
      </c>
      <c r="G4278">
        <v>-301.99560000000002</v>
      </c>
      <c r="H4278">
        <v>0.94190499999999999</v>
      </c>
      <c r="I4278">
        <v>215.1885</v>
      </c>
      <c r="J4278">
        <v>-302.36090000000002</v>
      </c>
      <c r="K4278">
        <v>1.109917</v>
      </c>
      <c r="L4278">
        <v>215.32929999999999</v>
      </c>
      <c r="M4278">
        <v>0.99985179999999996</v>
      </c>
      <c r="N4278">
        <v>0</v>
      </c>
      <c r="O4278">
        <v>1.216913E-2</v>
      </c>
      <c r="P4278">
        <v>0.99231480000000005</v>
      </c>
      <c r="Q4278">
        <v>0.1235772</v>
      </c>
      <c r="R4278">
        <v>-6.3537639999999996E-3</v>
      </c>
      <c r="S4278">
        <v>3.1048279999999999</v>
      </c>
      <c r="T4278">
        <v>-0.68854740000000003</v>
      </c>
      <c r="U4278">
        <v>-0.55682369999999903</v>
      </c>
      <c r="V4278">
        <v>1.8414679999999999E-2</v>
      </c>
      <c r="W4278">
        <v>0.1356666</v>
      </c>
      <c r="X4278">
        <v>0.9905834</v>
      </c>
      <c r="Y4278">
        <v>0.18387210000000001</v>
      </c>
      <c r="Z4278">
        <v>-2.26366E-2</v>
      </c>
      <c r="AA4278">
        <v>0.98268949999999999</v>
      </c>
      <c r="AB4278">
        <v>38</v>
      </c>
      <c r="AC4278">
        <v>0.36529999999999002</v>
      </c>
      <c r="AD4278">
        <v>-0.16801199999999999</v>
      </c>
      <c r="AE4278">
        <v>-0.14079999999998399</v>
      </c>
      <c r="AF4278">
        <v>0.122646969015059</v>
      </c>
      <c r="AG4278">
        <v>-0.16801199999999999</v>
      </c>
      <c r="AH4278">
        <v>0.30701533079840199</v>
      </c>
      <c r="AI4278">
        <v>116.93936748437299</v>
      </c>
      <c r="AJ4278">
        <v>68.224201431463101</v>
      </c>
      <c r="AK4278">
        <v>0.37084865443713499</v>
      </c>
      <c r="AL4278">
        <v>82.202832104077402</v>
      </c>
      <c r="AM4278">
        <v>88.935009477895505</v>
      </c>
      <c r="AN4278">
        <v>0.99999999957531105</v>
      </c>
    </row>
    <row r="4279" spans="1:40" x14ac:dyDescent="0.25">
      <c r="A4279" t="str">
        <f>"20190312172203141"</f>
        <v>20190312172203141</v>
      </c>
      <c r="B4279" t="str">
        <f>"1552382523134636"</f>
        <v>1552382523134636</v>
      </c>
      <c r="C4279" t="s">
        <v>40</v>
      </c>
      <c r="D4279">
        <v>3.2126250000000001</v>
      </c>
      <c r="E4279">
        <v>0.56805319999999904</v>
      </c>
      <c r="F4279" t="s">
        <v>41</v>
      </c>
      <c r="G4279">
        <v>-301.64999999999998</v>
      </c>
      <c r="H4279">
        <v>0.95243169999999999</v>
      </c>
      <c r="I4279">
        <v>215.202</v>
      </c>
      <c r="J4279">
        <v>-301.97820000000002</v>
      </c>
      <c r="K4279">
        <v>1.1099220000000001</v>
      </c>
      <c r="L4279">
        <v>215.334</v>
      </c>
      <c r="M4279">
        <v>0.99985069999999998</v>
      </c>
      <c r="N4279">
        <v>0</v>
      </c>
      <c r="O4279">
        <v>1.222675E-2</v>
      </c>
      <c r="P4279">
        <v>0.99227489999999996</v>
      </c>
      <c r="Q4279">
        <v>0.12387670000000001</v>
      </c>
      <c r="R4279">
        <v>-6.7137169999999897E-3</v>
      </c>
      <c r="S4279">
        <v>3.1053470000000001</v>
      </c>
      <c r="T4279">
        <v>-0.68792359999999997</v>
      </c>
      <c r="U4279">
        <v>-0.55564880000000005</v>
      </c>
      <c r="V4279">
        <v>1.8831250000000001E-2</v>
      </c>
      <c r="W4279">
        <v>0.13598879999999999</v>
      </c>
      <c r="X4279">
        <v>0.99053139999999995</v>
      </c>
      <c r="Y4279">
        <v>0.18355540000000001</v>
      </c>
      <c r="Z4279">
        <v>-2.2591770000000001E-2</v>
      </c>
      <c r="AA4279">
        <v>0.98274980000000001</v>
      </c>
      <c r="AB4279">
        <v>38</v>
      </c>
      <c r="AC4279">
        <v>0.32820000000003802</v>
      </c>
      <c r="AD4279">
        <v>-0.157490299999999</v>
      </c>
      <c r="AE4279">
        <v>-0.132000000000005</v>
      </c>
      <c r="AF4279">
        <v>0.11350584910393099</v>
      </c>
      <c r="AG4279">
        <v>-0.157490299999999</v>
      </c>
      <c r="AH4279">
        <v>0.27254223963476099</v>
      </c>
      <c r="AI4279">
        <v>118.077382949308</v>
      </c>
      <c r="AJ4279">
        <v>67.389704296392196</v>
      </c>
      <c r="AK4279">
        <v>0.33461327642522798</v>
      </c>
      <c r="AL4279">
        <v>82.184198816508399</v>
      </c>
      <c r="AM4279">
        <v>88.910866239660805</v>
      </c>
      <c r="AN4279">
        <v>1.00000001204398</v>
      </c>
    </row>
    <row r="4280" spans="1:40" x14ac:dyDescent="0.25">
      <c r="A4280" t="str">
        <f>"20190312172203163"</f>
        <v>20190312172203163</v>
      </c>
      <c r="B4280" t="str">
        <f>"1552382523154662"</f>
        <v>1552382523154662</v>
      </c>
      <c r="C4280" t="s">
        <v>40</v>
      </c>
      <c r="D4280">
        <v>3.2312970000000001</v>
      </c>
      <c r="E4280">
        <v>0.56809290000000001</v>
      </c>
      <c r="F4280" t="s">
        <v>41</v>
      </c>
      <c r="G4280">
        <v>-300.9914</v>
      </c>
      <c r="H4280">
        <v>0.89145390000000002</v>
      </c>
      <c r="I4280">
        <v>215.15710000000001</v>
      </c>
      <c r="J4280">
        <v>-301.60180000000003</v>
      </c>
      <c r="K4280">
        <v>1.109931</v>
      </c>
      <c r="L4280">
        <v>215.33869999999999</v>
      </c>
      <c r="M4280">
        <v>0.99984980000000001</v>
      </c>
      <c r="N4280">
        <v>0</v>
      </c>
      <c r="O4280">
        <v>1.228313E-2</v>
      </c>
      <c r="P4280">
        <v>0.99214199999999997</v>
      </c>
      <c r="Q4280">
        <v>0.12491720000000001</v>
      </c>
      <c r="R4280">
        <v>-7.0680169999999898E-3</v>
      </c>
      <c r="S4280">
        <v>3.1054689999999998</v>
      </c>
      <c r="T4280">
        <v>-0.6875308</v>
      </c>
      <c r="U4280">
        <v>-0.55619810000000003</v>
      </c>
      <c r="V4280">
        <v>1.9239909999999999E-2</v>
      </c>
      <c r="W4280">
        <v>0.13704649999999999</v>
      </c>
      <c r="X4280">
        <v>0.99037770000000003</v>
      </c>
      <c r="Y4280">
        <v>0.18377180000000001</v>
      </c>
      <c r="Z4280">
        <v>-2.261372E-2</v>
      </c>
      <c r="AA4280">
        <v>0.98270880000000005</v>
      </c>
      <c r="AB4280">
        <v>38</v>
      </c>
      <c r="AC4280">
        <v>0.61040000000002603</v>
      </c>
      <c r="AD4280">
        <v>-0.21847710000000001</v>
      </c>
      <c r="AE4280">
        <v>-0.181599999999974</v>
      </c>
      <c r="AF4280">
        <v>0.169173942575189</v>
      </c>
      <c r="AG4280">
        <v>-0.21847710000000001</v>
      </c>
      <c r="AH4280">
        <v>0.54408797681384602</v>
      </c>
      <c r="AI4280">
        <v>110.978811485867</v>
      </c>
      <c r="AJ4280">
        <v>72.727899132112597</v>
      </c>
      <c r="AK4280">
        <v>0.61023257253626495</v>
      </c>
      <c r="AL4280">
        <v>82.123023862366495</v>
      </c>
      <c r="AM4280">
        <v>88.887064001724795</v>
      </c>
      <c r="AN4280">
        <v>0.99999995297817301</v>
      </c>
    </row>
    <row r="4281" spans="1:40" x14ac:dyDescent="0.25">
      <c r="A4281" t="str">
        <f>"20190312172203186"</f>
        <v>20190312172203186</v>
      </c>
      <c r="B4281" t="str">
        <f>"1552382523175155"</f>
        <v>1552382523175155</v>
      </c>
      <c r="C4281" t="s">
        <v>40</v>
      </c>
      <c r="D4281">
        <v>3.2347389999999998</v>
      </c>
      <c r="E4281">
        <v>0.56807059999999998</v>
      </c>
      <c r="F4281" t="s">
        <v>41</v>
      </c>
      <c r="G4281">
        <v>-300.6472</v>
      </c>
      <c r="H4281">
        <v>0.89945200000000003</v>
      </c>
      <c r="I4281">
        <v>215.16739999999999</v>
      </c>
      <c r="J4281">
        <v>-301.21510000000001</v>
      </c>
      <c r="K4281">
        <v>1.1099410000000001</v>
      </c>
      <c r="L4281">
        <v>215.34350000000001</v>
      </c>
      <c r="M4281">
        <v>0.99984879999999998</v>
      </c>
      <c r="N4281">
        <v>0</v>
      </c>
      <c r="O4281">
        <v>1.234149E-2</v>
      </c>
      <c r="P4281">
        <v>0.99207009999999995</v>
      </c>
      <c r="Q4281">
        <v>0.1255058</v>
      </c>
      <c r="R4281">
        <v>-6.7256599999999996E-3</v>
      </c>
      <c r="S4281">
        <v>3.1060490000000001</v>
      </c>
      <c r="T4281">
        <v>-0.68484369999999894</v>
      </c>
      <c r="U4281">
        <v>-0.55706789999999995</v>
      </c>
      <c r="V4281">
        <v>1.8954370000000002E-2</v>
      </c>
      <c r="W4281">
        <v>0.137652</v>
      </c>
      <c r="X4281">
        <v>0.99029929999999999</v>
      </c>
      <c r="Y4281">
        <v>0.18409249999999999</v>
      </c>
      <c r="Z4281">
        <v>-2.2570079999999999E-2</v>
      </c>
      <c r="AA4281">
        <v>0.98264969999999996</v>
      </c>
      <c r="AB4281">
        <v>38</v>
      </c>
      <c r="AC4281">
        <v>0.56790000000000795</v>
      </c>
      <c r="AD4281">
        <v>-0.21048900000000001</v>
      </c>
      <c r="AE4281">
        <v>-0.17610000000001899</v>
      </c>
      <c r="AF4281">
        <v>0.162704644609486</v>
      </c>
      <c r="AG4281">
        <v>-0.21048900000000001</v>
      </c>
      <c r="AH4281">
        <v>0.50268366996345104</v>
      </c>
      <c r="AI4281">
        <v>111.721458307036</v>
      </c>
      <c r="AJ4281">
        <v>72.064683320860098</v>
      </c>
      <c r="AK4281">
        <v>0.56874360879610997</v>
      </c>
      <c r="AL4281">
        <v>82.087999879866601</v>
      </c>
      <c r="AM4281">
        <v>88.903490270772593</v>
      </c>
      <c r="AN4281">
        <v>1.0000000224132899</v>
      </c>
    </row>
    <row r="4282" spans="1:40" x14ac:dyDescent="0.25">
      <c r="A4282" t="str">
        <f>"20190312172203207"</f>
        <v>20190312172203207</v>
      </c>
      <c r="B4282" t="str">
        <f>"1552382523194675"</f>
        <v>1552382523194675</v>
      </c>
      <c r="C4282" t="s">
        <v>40</v>
      </c>
      <c r="D4282">
        <v>3.2108819999999998</v>
      </c>
      <c r="E4282">
        <v>0.56805830000000002</v>
      </c>
      <c r="F4282" t="s">
        <v>41</v>
      </c>
      <c r="G4282">
        <v>-300.30239999999998</v>
      </c>
      <c r="H4282">
        <v>0.90920840000000003</v>
      </c>
      <c r="I4282">
        <v>215.1799</v>
      </c>
      <c r="J4282">
        <v>-300.84609999999998</v>
      </c>
      <c r="K4282">
        <v>1.1099460000000001</v>
      </c>
      <c r="L4282">
        <v>215.34809999999999</v>
      </c>
      <c r="M4282">
        <v>0.99984790000000001</v>
      </c>
      <c r="N4282">
        <v>0</v>
      </c>
      <c r="O4282">
        <v>1.239766E-2</v>
      </c>
      <c r="P4282">
        <v>0.99195339999999999</v>
      </c>
      <c r="Q4282">
        <v>0.12644729999999901</v>
      </c>
      <c r="R4282">
        <v>-6.2851850000000004E-3</v>
      </c>
      <c r="S4282">
        <v>3.1066590000000001</v>
      </c>
      <c r="T4282">
        <v>-0.68331469999999905</v>
      </c>
      <c r="U4282">
        <v>-0.55578609999999995</v>
      </c>
      <c r="V4282">
        <v>1.8568149999999999E-2</v>
      </c>
      <c r="W4282">
        <v>0.13860739999999999</v>
      </c>
      <c r="X4282">
        <v>0.99017330000000003</v>
      </c>
      <c r="Y4282">
        <v>0.18374940000000001</v>
      </c>
      <c r="Z4282">
        <v>-2.2492499999999999E-2</v>
      </c>
      <c r="AA4282">
        <v>0.98271569999999997</v>
      </c>
      <c r="AB4282">
        <v>38</v>
      </c>
      <c r="AC4282">
        <v>0.54370000000000096</v>
      </c>
      <c r="AD4282">
        <v>-0.20073759999999899</v>
      </c>
      <c r="AE4282">
        <v>-0.168199999999984</v>
      </c>
      <c r="AF4282">
        <v>0.155573708139261</v>
      </c>
      <c r="AG4282">
        <v>-0.20073759999999899</v>
      </c>
      <c r="AH4282">
        <v>0.48165184301775299</v>
      </c>
      <c r="AI4282">
        <v>111.63298350806799</v>
      </c>
      <c r="AJ4282">
        <v>72.099525854064893</v>
      </c>
      <c r="AK4282">
        <v>0.54450643761149298</v>
      </c>
      <c r="AL4282">
        <v>82.032729305255103</v>
      </c>
      <c r="AM4282">
        <v>88.925691139737694</v>
      </c>
      <c r="AN4282">
        <v>0.99999997578103605</v>
      </c>
    </row>
    <row r="4283" spans="1:40" x14ac:dyDescent="0.25">
      <c r="A4283" t="str">
        <f>"20190312172203230"</f>
        <v>20190312172203230</v>
      </c>
      <c r="B4283" t="str">
        <f>"1552382523224931"</f>
        <v>1552382523224931</v>
      </c>
      <c r="C4283" t="s">
        <v>40</v>
      </c>
      <c r="D4283">
        <v>3.2187269999999999</v>
      </c>
      <c r="E4283">
        <v>0.56804250000000001</v>
      </c>
      <c r="F4283" t="s">
        <v>41</v>
      </c>
      <c r="G4283">
        <v>-299.9588</v>
      </c>
      <c r="H4283">
        <v>0.91582699999999995</v>
      </c>
      <c r="I4283">
        <v>215.18960000000001</v>
      </c>
      <c r="J4283">
        <v>-300.45780000000002</v>
      </c>
      <c r="K4283">
        <v>1.109952</v>
      </c>
      <c r="L4283">
        <v>215.35300000000001</v>
      </c>
      <c r="M4283">
        <v>0.99984700000000004</v>
      </c>
      <c r="N4283">
        <v>0</v>
      </c>
      <c r="O4283">
        <v>1.245721E-2</v>
      </c>
      <c r="P4283">
        <v>0.99185080000000003</v>
      </c>
      <c r="Q4283">
        <v>0.12727330000000001</v>
      </c>
      <c r="R4283">
        <v>-5.8144640000000001E-3</v>
      </c>
      <c r="S4283">
        <v>3.1074830000000002</v>
      </c>
      <c r="T4283">
        <v>-0.67984069999999996</v>
      </c>
      <c r="U4283">
        <v>-0.55538940000000003</v>
      </c>
      <c r="V4283">
        <v>1.8154920000000001E-2</v>
      </c>
      <c r="W4283">
        <v>0.13945080000000001</v>
      </c>
      <c r="X4283">
        <v>0.99006260000000001</v>
      </c>
      <c r="Y4283">
        <v>0.18368889999999999</v>
      </c>
      <c r="Z4283">
        <v>-2.2381560000000002E-2</v>
      </c>
      <c r="AA4283">
        <v>0.98272959999999998</v>
      </c>
      <c r="AB4283">
        <v>38</v>
      </c>
      <c r="AC4283">
        <v>0.49900000000002298</v>
      </c>
      <c r="AD4283">
        <v>-0.19412499999999999</v>
      </c>
      <c r="AE4283">
        <v>-0.16339999999996699</v>
      </c>
      <c r="AF4283">
        <v>0.14920908396600999</v>
      </c>
      <c r="AG4283">
        <v>-0.19412499999999999</v>
      </c>
      <c r="AH4283">
        <v>0.43717037112849799</v>
      </c>
      <c r="AI4283">
        <v>112.79437266250601</v>
      </c>
      <c r="AJ4283">
        <v>71.154893980854894</v>
      </c>
      <c r="AK4283">
        <v>0.501064666241399</v>
      </c>
      <c r="AL4283">
        <v>81.983932651198501</v>
      </c>
      <c r="AM4283">
        <v>88.9494768032759</v>
      </c>
      <c r="AN4283">
        <v>1.0000000393298001</v>
      </c>
    </row>
    <row r="4284" spans="1:40" x14ac:dyDescent="0.25">
      <c r="A4284" t="str">
        <f>"20190312172203253"</f>
        <v>20190312172203253</v>
      </c>
      <c r="B4284" t="str">
        <f>"1552382523245427"</f>
        <v>1552382523245427</v>
      </c>
      <c r="C4284" t="s">
        <v>40</v>
      </c>
      <c r="D4284">
        <v>3.232113</v>
      </c>
      <c r="E4284">
        <v>0.56803130000000002</v>
      </c>
      <c r="F4284" t="s">
        <v>41</v>
      </c>
      <c r="G4284">
        <v>-299.6139</v>
      </c>
      <c r="H4284">
        <v>0.92602930000000006</v>
      </c>
      <c r="I4284">
        <v>215.20259999999999</v>
      </c>
      <c r="J4284">
        <v>-300.0652</v>
      </c>
      <c r="K4284">
        <v>1.1099600000000001</v>
      </c>
      <c r="L4284">
        <v>215.358</v>
      </c>
      <c r="M4284">
        <v>0.99984600000000001</v>
      </c>
      <c r="N4284">
        <v>0</v>
      </c>
      <c r="O4284">
        <v>1.251772E-2</v>
      </c>
      <c r="P4284">
        <v>0.9918283</v>
      </c>
      <c r="Q4284">
        <v>0.12747030000000001</v>
      </c>
      <c r="R4284">
        <v>-5.2974559999999999E-3</v>
      </c>
      <c r="S4284">
        <v>3.1083370000000001</v>
      </c>
      <c r="T4284">
        <v>-0.67744569999999904</v>
      </c>
      <c r="U4284">
        <v>-0.55368039999999996</v>
      </c>
      <c r="V4284">
        <v>1.7697609999999999E-2</v>
      </c>
      <c r="W4284">
        <v>0.1396675</v>
      </c>
      <c r="X4284">
        <v>0.99004029999999998</v>
      </c>
      <c r="Y4284">
        <v>0.18322040000000001</v>
      </c>
      <c r="Z4284">
        <v>-2.2262469999999999E-2</v>
      </c>
      <c r="AA4284">
        <v>0.98281969999999996</v>
      </c>
      <c r="AB4284">
        <v>38</v>
      </c>
      <c r="AC4284">
        <v>0.45130000000000298</v>
      </c>
      <c r="AD4284">
        <v>-0.1839307</v>
      </c>
      <c r="AE4284">
        <v>-0.155400000000014</v>
      </c>
      <c r="AF4284">
        <v>0.140215974862411</v>
      </c>
      <c r="AG4284">
        <v>-0.1839307</v>
      </c>
      <c r="AH4284">
        <v>0.39122400477411701</v>
      </c>
      <c r="AI4284">
        <v>113.872989742737</v>
      </c>
      <c r="AJ4284">
        <v>70.282152869699701</v>
      </c>
      <c r="AK4284">
        <v>0.45447469007702201</v>
      </c>
      <c r="AL4284">
        <v>81.971393678152097</v>
      </c>
      <c r="AM4284">
        <v>88.975909993505198</v>
      </c>
      <c r="AN4284">
        <v>1.00000000579002</v>
      </c>
    </row>
    <row r="4285" spans="1:40" x14ac:dyDescent="0.25">
      <c r="A4285" t="str">
        <f>"20190312172203274"</f>
        <v>20190312172203274</v>
      </c>
      <c r="B4285" t="str">
        <f>"1552382523264947"</f>
        <v>1552382523264947</v>
      </c>
      <c r="C4285" t="s">
        <v>40</v>
      </c>
      <c r="D4285">
        <v>3.2281680000000001</v>
      </c>
      <c r="E4285">
        <v>0.56807169999999996</v>
      </c>
      <c r="F4285" t="s">
        <v>41</v>
      </c>
      <c r="G4285">
        <v>-299.26900000000001</v>
      </c>
      <c r="H4285">
        <v>0.93645469999999997</v>
      </c>
      <c r="I4285">
        <v>215.2166</v>
      </c>
      <c r="J4285">
        <v>-299.70030000000003</v>
      </c>
      <c r="K4285">
        <v>1.10997099999999</v>
      </c>
      <c r="L4285">
        <v>215.36259999999999</v>
      </c>
      <c r="M4285">
        <v>0.99984499999999998</v>
      </c>
      <c r="N4285">
        <v>0</v>
      </c>
      <c r="O4285">
        <v>1.257542E-2</v>
      </c>
      <c r="P4285">
        <v>0.99180400000000002</v>
      </c>
      <c r="Q4285">
        <v>0.1276688</v>
      </c>
      <c r="R4285">
        <v>-5.0573850000000002E-3</v>
      </c>
      <c r="S4285">
        <v>3.1088260000000001</v>
      </c>
      <c r="T4285">
        <v>-0.67746200000000001</v>
      </c>
      <c r="U4285">
        <v>-0.55130000000000001</v>
      </c>
      <c r="V4285">
        <v>1.7513919999999999E-2</v>
      </c>
      <c r="W4285">
        <v>0.13988610000000001</v>
      </c>
      <c r="X4285">
        <v>0.99001269999999997</v>
      </c>
      <c r="Y4285">
        <v>0.18253559999999999</v>
      </c>
      <c r="Z4285">
        <v>-2.2200210000000001E-2</v>
      </c>
      <c r="AA4285">
        <v>0.98294859999999995</v>
      </c>
      <c r="AB4285">
        <v>38</v>
      </c>
      <c r="AC4285">
        <v>0.431300000000021</v>
      </c>
      <c r="AD4285">
        <v>-0.17351629999999901</v>
      </c>
      <c r="AE4285">
        <v>-0.145999999999986</v>
      </c>
      <c r="AF4285">
        <v>0.13221348347825901</v>
      </c>
      <c r="AG4285">
        <v>-0.17351629999999901</v>
      </c>
      <c r="AH4285">
        <v>0.374977943099426</v>
      </c>
      <c r="AI4285">
        <v>113.57669330106199</v>
      </c>
      <c r="AJ4285">
        <v>70.577857863374902</v>
      </c>
      <c r="AK4285">
        <v>0.4338165158108</v>
      </c>
      <c r="AL4285">
        <v>81.958744617170197</v>
      </c>
      <c r="AM4285">
        <v>88.986508923690195</v>
      </c>
      <c r="AN4285">
        <v>1.00000000226413</v>
      </c>
    </row>
    <row r="4286" spans="1:40" x14ac:dyDescent="0.25">
      <c r="A4286" t="str">
        <f>"20190312172203297"</f>
        <v>20190312172203297</v>
      </c>
      <c r="B4286" t="str">
        <f>"1552382523285447"</f>
        <v>1552382523285447</v>
      </c>
      <c r="C4286" t="s">
        <v>40</v>
      </c>
      <c r="D4286">
        <v>3.4272450000000001</v>
      </c>
      <c r="E4286">
        <v>0.56809129999999997</v>
      </c>
      <c r="F4286" t="s">
        <v>41</v>
      </c>
      <c r="G4286">
        <v>-298.92590000000001</v>
      </c>
      <c r="H4286">
        <v>0.94129549999999995</v>
      </c>
      <c r="I4286">
        <v>215.22540000000001</v>
      </c>
      <c r="J4286">
        <v>-299.32490000000001</v>
      </c>
      <c r="K4286">
        <v>1.109979</v>
      </c>
      <c r="L4286">
        <v>215.3674</v>
      </c>
      <c r="M4286">
        <v>0.99984390000000001</v>
      </c>
      <c r="N4286">
        <v>0</v>
      </c>
      <c r="O4286">
        <v>1.263748E-2</v>
      </c>
      <c r="P4286">
        <v>0.99173909999999998</v>
      </c>
      <c r="Q4286">
        <v>0.1282015</v>
      </c>
      <c r="R4286">
        <v>-4.253265E-3</v>
      </c>
      <c r="S4286">
        <v>3.1091920000000002</v>
      </c>
      <c r="T4286">
        <v>-0.67733140000000003</v>
      </c>
      <c r="U4286">
        <v>-0.55020139999999995</v>
      </c>
      <c r="V4286">
        <v>1.6769699999999998E-2</v>
      </c>
      <c r="W4286">
        <v>0.14044179999999901</v>
      </c>
      <c r="X4286">
        <v>0.98994689999999996</v>
      </c>
      <c r="Y4286">
        <v>0.1822474</v>
      </c>
      <c r="Z4286">
        <v>-2.2176629999999999E-2</v>
      </c>
      <c r="AA4286">
        <v>0.98300259999999995</v>
      </c>
      <c r="AB4286">
        <v>38</v>
      </c>
      <c r="AC4286">
        <v>0.39900000000000002</v>
      </c>
      <c r="AD4286">
        <v>-0.16868349999999999</v>
      </c>
      <c r="AE4286">
        <v>-0.14199999999999499</v>
      </c>
      <c r="AF4286">
        <v>0.126900192050838</v>
      </c>
      <c r="AG4286">
        <v>-0.16868349999999999</v>
      </c>
      <c r="AH4286">
        <v>0.34279338204204202</v>
      </c>
      <c r="AI4286">
        <v>114.772312621762</v>
      </c>
      <c r="AJ4286">
        <v>69.6857295862699</v>
      </c>
      <c r="AK4286">
        <v>0.40257307993283797</v>
      </c>
      <c r="AL4286">
        <v>81.926587839181295</v>
      </c>
      <c r="AM4286">
        <v>89.029502348568599</v>
      </c>
      <c r="AN4286">
        <v>0.99999999342246904</v>
      </c>
    </row>
    <row r="4287" spans="1:40" x14ac:dyDescent="0.25">
      <c r="A4287" t="str">
        <f>"20190312172203319"</f>
        <v>20190312172203319</v>
      </c>
      <c r="B4287" t="str">
        <f>"1552382523314724"</f>
        <v>1552382523314724</v>
      </c>
      <c r="C4287" t="s">
        <v>40</v>
      </c>
      <c r="D4287">
        <v>3.2270910000000002</v>
      </c>
      <c r="E4287">
        <v>0.56812189999999996</v>
      </c>
      <c r="F4287" t="s">
        <v>41</v>
      </c>
      <c r="G4287">
        <v>-298.58179999999999</v>
      </c>
      <c r="H4287">
        <v>0.94861419999999996</v>
      </c>
      <c r="I4287">
        <v>215.2362</v>
      </c>
      <c r="J4287">
        <v>-298.9366</v>
      </c>
      <c r="K4287">
        <v>1.1099889999999999</v>
      </c>
      <c r="L4287">
        <v>215.3724</v>
      </c>
      <c r="M4287">
        <v>0.99984280000000003</v>
      </c>
      <c r="N4287">
        <v>0</v>
      </c>
      <c r="O4287">
        <v>1.270482E-2</v>
      </c>
      <c r="P4287">
        <v>0.9917918</v>
      </c>
      <c r="Q4287">
        <v>0.12780949999999999</v>
      </c>
      <c r="R4287">
        <v>-3.7604420000000001E-3</v>
      </c>
      <c r="S4287">
        <v>3.1098940000000002</v>
      </c>
      <c r="T4287">
        <v>-0.6753422</v>
      </c>
      <c r="U4287">
        <v>-0.54870609999999997</v>
      </c>
      <c r="V4287">
        <v>1.6343360000000001E-2</v>
      </c>
      <c r="W4287">
        <v>0.14007820000000001</v>
      </c>
      <c r="X4287">
        <v>0.99000560000000004</v>
      </c>
      <c r="Y4287">
        <v>0.18185180000000001</v>
      </c>
      <c r="Z4287">
        <v>-2.208125E-2</v>
      </c>
      <c r="AA4287">
        <v>0.98307800000000001</v>
      </c>
      <c r="AB4287">
        <v>38</v>
      </c>
      <c r="AC4287">
        <v>0.354800000000011</v>
      </c>
      <c r="AD4287">
        <v>-0.16137479999999901</v>
      </c>
      <c r="AE4287">
        <v>-0.13620000000000199</v>
      </c>
      <c r="AF4287">
        <v>0.11920412862697</v>
      </c>
      <c r="AG4287">
        <v>-0.16137479999999901</v>
      </c>
      <c r="AH4287">
        <v>0.29911027576340798</v>
      </c>
      <c r="AI4287">
        <v>116.619200114603</v>
      </c>
      <c r="AJ4287">
        <v>68.271282747033098</v>
      </c>
      <c r="AK4287">
        <v>0.36016441720971998</v>
      </c>
      <c r="AL4287">
        <v>81.947629019380997</v>
      </c>
      <c r="AM4287">
        <v>89.054227066872798</v>
      </c>
      <c r="AN4287">
        <v>1.00000004778134</v>
      </c>
    </row>
    <row r="4288" spans="1:40" x14ac:dyDescent="0.25">
      <c r="A4288" t="str">
        <f>"20190312172203342"</f>
        <v>20190312172203342</v>
      </c>
      <c r="B4288" t="str">
        <f>"1552382523335223"</f>
        <v>1552382523335223</v>
      </c>
      <c r="C4288" t="s">
        <v>40</v>
      </c>
      <c r="D4288">
        <v>3.2494480000000001</v>
      </c>
      <c r="E4288">
        <v>0.56814779999999998</v>
      </c>
      <c r="F4288" t="s">
        <v>41</v>
      </c>
      <c r="G4288">
        <v>-298.23689999999999</v>
      </c>
      <c r="H4288">
        <v>0.95772710000000005</v>
      </c>
      <c r="I4288">
        <v>215.24889999999999</v>
      </c>
      <c r="J4288">
        <v>-298.54390000000001</v>
      </c>
      <c r="K4288">
        <v>1.1099969999999999</v>
      </c>
      <c r="L4288">
        <v>215.37739999999999</v>
      </c>
      <c r="M4288">
        <v>0.99984150000000005</v>
      </c>
      <c r="N4288">
        <v>0</v>
      </c>
      <c r="O4288">
        <v>1.2770139999999999E-2</v>
      </c>
      <c r="P4288">
        <v>0.9917878</v>
      </c>
      <c r="Q4288">
        <v>0.12787129999999999</v>
      </c>
      <c r="R4288">
        <v>-2.484076E-3</v>
      </c>
      <c r="S4288">
        <v>3.109985</v>
      </c>
      <c r="T4288">
        <v>-0.67685509999999904</v>
      </c>
      <c r="U4288">
        <v>-0.54785159999999999</v>
      </c>
      <c r="V4288">
        <v>1.5131510000000001E-2</v>
      </c>
      <c r="W4288">
        <v>0.14017170000000001</v>
      </c>
      <c r="X4288">
        <v>0.99001159999999999</v>
      </c>
      <c r="Y4288">
        <v>0.18163299999999999</v>
      </c>
      <c r="Z4288">
        <v>-2.2120089999999999E-2</v>
      </c>
      <c r="AA4288">
        <v>0.98311760000000004</v>
      </c>
      <c r="AB4288">
        <v>38</v>
      </c>
      <c r="AC4288">
        <v>0.30700000000001598</v>
      </c>
      <c r="AD4288">
        <v>-0.15226989999999899</v>
      </c>
      <c r="AE4288">
        <v>-0.128500000000002</v>
      </c>
      <c r="AF4288">
        <v>0.10949020564707899</v>
      </c>
      <c r="AG4288">
        <v>-0.15226989999999899</v>
      </c>
      <c r="AH4288">
        <v>0.25248096241831403</v>
      </c>
      <c r="AI4288">
        <v>118.956080585591</v>
      </c>
      <c r="AJ4288">
        <v>66.555682903244502</v>
      </c>
      <c r="AK4288">
        <v>0.31451687389125499</v>
      </c>
      <c r="AL4288">
        <v>81.942218242262399</v>
      </c>
      <c r="AM4288">
        <v>89.124349492271605</v>
      </c>
      <c r="AN4288">
        <v>1.00000001810516</v>
      </c>
    </row>
    <row r="4289" spans="1:40" x14ac:dyDescent="0.25">
      <c r="A4289" t="str">
        <f>"20190312172203365"</f>
        <v>20190312172203365</v>
      </c>
      <c r="B4289" t="str">
        <f>"1552382523355248"</f>
        <v>1552382523355248</v>
      </c>
      <c r="C4289" t="s">
        <v>40</v>
      </c>
      <c r="D4289">
        <v>3.1967789999999998</v>
      </c>
      <c r="E4289">
        <v>0.5681851</v>
      </c>
      <c r="F4289" t="s">
        <v>41</v>
      </c>
      <c r="G4289">
        <v>-297.57819999999998</v>
      </c>
      <c r="H4289">
        <v>0.89989339999999995</v>
      </c>
      <c r="I4289">
        <v>215.20820000000001</v>
      </c>
      <c r="J4289">
        <v>-298.17250000000001</v>
      </c>
      <c r="K4289">
        <v>1.1100000000000001</v>
      </c>
      <c r="L4289">
        <v>215.38229999999999</v>
      </c>
      <c r="M4289">
        <v>0.99984030000000002</v>
      </c>
      <c r="N4289">
        <v>0</v>
      </c>
      <c r="O4289">
        <v>1.2827369999999999E-2</v>
      </c>
      <c r="P4289">
        <v>0.99175270000000004</v>
      </c>
      <c r="Q4289">
        <v>0.12815009999999999</v>
      </c>
      <c r="R4289">
        <v>-1.9969599999999999E-3</v>
      </c>
      <c r="S4289">
        <v>3.1107480000000001</v>
      </c>
      <c r="T4289">
        <v>-0.67689690000000002</v>
      </c>
      <c r="U4289">
        <v>-0.54409790000000002</v>
      </c>
      <c r="V4289">
        <v>1.4701179999999999E-2</v>
      </c>
      <c r="W4289">
        <v>0.14048279999999999</v>
      </c>
      <c r="X4289">
        <v>0.98997400000000002</v>
      </c>
      <c r="Y4289">
        <v>0.1805215</v>
      </c>
      <c r="Z4289">
        <v>-2.2011960000000001E-2</v>
      </c>
      <c r="AA4289">
        <v>0.98332470000000005</v>
      </c>
      <c r="AB4289">
        <v>38</v>
      </c>
      <c r="AC4289">
        <v>0.59430000000003202</v>
      </c>
      <c r="AD4289">
        <v>-0.2101066</v>
      </c>
      <c r="AE4289">
        <v>-0.17409999999998099</v>
      </c>
      <c r="AF4289">
        <v>0.16295225556369999</v>
      </c>
      <c r="AG4289">
        <v>-0.2101066</v>
      </c>
      <c r="AH4289">
        <v>0.53090553272931795</v>
      </c>
      <c r="AI4289">
        <v>110.723212100531</v>
      </c>
      <c r="AJ4289">
        <v>72.937039024273503</v>
      </c>
      <c r="AK4289">
        <v>0.59376670977704504</v>
      </c>
      <c r="AL4289">
        <v>81.924215497210199</v>
      </c>
      <c r="AM4289">
        <v>89.149216384485797</v>
      </c>
      <c r="AN4289">
        <v>1.0000000312326101</v>
      </c>
    </row>
    <row r="4290" spans="1:40" x14ac:dyDescent="0.25">
      <c r="A4290" t="str">
        <f>"20190312172203387"</f>
        <v>20190312172203387</v>
      </c>
      <c r="B4290" t="str">
        <f>"1552382523374765"</f>
        <v>1552382523374765</v>
      </c>
      <c r="C4290" t="s">
        <v>40</v>
      </c>
      <c r="D4290">
        <v>3.2400639999999998</v>
      </c>
      <c r="E4290">
        <v>0.56823080000000004</v>
      </c>
      <c r="F4290" t="s">
        <v>41</v>
      </c>
      <c r="G4290">
        <v>-297.23509999999999</v>
      </c>
      <c r="H4290">
        <v>0.90612289999999995</v>
      </c>
      <c r="I4290">
        <v>215.21870000000001</v>
      </c>
      <c r="J4290">
        <v>-297.79300000000001</v>
      </c>
      <c r="K4290">
        <v>1.1100080000000001</v>
      </c>
      <c r="L4290">
        <v>215.38720000000001</v>
      </c>
      <c r="M4290">
        <v>0.99983909999999998</v>
      </c>
      <c r="N4290">
        <v>0</v>
      </c>
      <c r="O4290">
        <v>1.288273E-2</v>
      </c>
      <c r="P4290">
        <v>0.99169010000000002</v>
      </c>
      <c r="Q4290">
        <v>0.128638</v>
      </c>
      <c r="R4290">
        <v>-1.6891339999999999E-3</v>
      </c>
      <c r="S4290">
        <v>3.1112980000000001</v>
      </c>
      <c r="T4290">
        <v>-0.67675090000000004</v>
      </c>
      <c r="U4290">
        <v>-0.54251099999999997</v>
      </c>
      <c r="V4290">
        <v>1.4447990000000001E-2</v>
      </c>
      <c r="W4290">
        <v>0.14100399999999999</v>
      </c>
      <c r="X4290">
        <v>0.98990359999999999</v>
      </c>
      <c r="Y4290">
        <v>0.1800716</v>
      </c>
      <c r="Z4290">
        <v>-2.1968310000000001E-2</v>
      </c>
      <c r="AA4290">
        <v>0.98340819999999995</v>
      </c>
      <c r="AB4290">
        <v>38</v>
      </c>
      <c r="AC4290">
        <v>0.55790000000001705</v>
      </c>
      <c r="AD4290">
        <v>-0.20388510000000001</v>
      </c>
      <c r="AE4290">
        <v>-0.16849999999999399</v>
      </c>
      <c r="AF4290">
        <v>0.15651764420318101</v>
      </c>
      <c r="AG4290">
        <v>-0.20388510000000001</v>
      </c>
      <c r="AH4290">
        <v>0.495088829006047</v>
      </c>
      <c r="AI4290">
        <v>111.437961520882</v>
      </c>
      <c r="AJ4290">
        <v>72.456143431562793</v>
      </c>
      <c r="AK4290">
        <v>0.55783497161392004</v>
      </c>
      <c r="AL4290">
        <v>81.894052485084998</v>
      </c>
      <c r="AM4290">
        <v>89.163807389085406</v>
      </c>
      <c r="AN4290">
        <v>1.0000000048619999</v>
      </c>
    </row>
    <row r="4291" spans="1:40" x14ac:dyDescent="0.25">
      <c r="A4291" t="str">
        <f>"20190312172203409"</f>
        <v>20190312172203409</v>
      </c>
      <c r="B4291" t="str">
        <f>"1552382523405022"</f>
        <v>1552382523405022</v>
      </c>
      <c r="C4291" t="s">
        <v>40</v>
      </c>
      <c r="D4291">
        <v>3.1665890000000001</v>
      </c>
      <c r="E4291">
        <v>0.56829980000000002</v>
      </c>
      <c r="F4291" t="s">
        <v>41</v>
      </c>
      <c r="G4291">
        <v>-296.89139999999998</v>
      </c>
      <c r="H4291">
        <v>0.91422029999999999</v>
      </c>
      <c r="I4291">
        <v>215.23</v>
      </c>
      <c r="J4291">
        <v>-297.3974</v>
      </c>
      <c r="K4291">
        <v>1.1100099999999999</v>
      </c>
      <c r="L4291">
        <v>215.39240000000001</v>
      </c>
      <c r="M4291">
        <v>0.99983809999999995</v>
      </c>
      <c r="N4291">
        <v>0</v>
      </c>
      <c r="O4291">
        <v>1.293792E-2</v>
      </c>
      <c r="P4291">
        <v>0.99164339999999995</v>
      </c>
      <c r="Q4291">
        <v>0.12900739999999999</v>
      </c>
      <c r="R4291">
        <v>-8.8652969999999996E-4</v>
      </c>
      <c r="S4291">
        <v>3.1118769999999998</v>
      </c>
      <c r="T4291">
        <v>-0.67588130000000002</v>
      </c>
      <c r="U4291">
        <v>-0.54136660000000003</v>
      </c>
      <c r="V4291">
        <v>1.3699960000000001E-2</v>
      </c>
      <c r="W4291">
        <v>0.1414077</v>
      </c>
      <c r="X4291">
        <v>0.98985670000000003</v>
      </c>
      <c r="Y4291">
        <v>0.17976199999999901</v>
      </c>
      <c r="Z4291">
        <v>-2.191622E-2</v>
      </c>
      <c r="AA4291">
        <v>0.98346599999999995</v>
      </c>
      <c r="AB4291">
        <v>38</v>
      </c>
      <c r="AC4291">
        <v>0.50600000000002798</v>
      </c>
      <c r="AD4291">
        <v>-0.19578969999999901</v>
      </c>
      <c r="AE4291">
        <v>-0.162400000000019</v>
      </c>
      <c r="AF4291">
        <v>0.148743436310357</v>
      </c>
      <c r="AG4291">
        <v>-0.19578969999999901</v>
      </c>
      <c r="AH4291">
        <v>0.44363802453628298</v>
      </c>
      <c r="AI4291">
        <v>112.70613936573901</v>
      </c>
      <c r="AJ4291">
        <v>71.464672000028898</v>
      </c>
      <c r="AK4291">
        <v>0.50722077371294605</v>
      </c>
      <c r="AL4291">
        <v>81.870688496283606</v>
      </c>
      <c r="AM4291">
        <v>89.207057170146896</v>
      </c>
      <c r="AN4291">
        <v>1.0000000565290801</v>
      </c>
    </row>
    <row r="4292" spans="1:40" x14ac:dyDescent="0.25">
      <c r="A4292" t="str">
        <f>"20190312172203432"</f>
        <v>20190312172203432</v>
      </c>
      <c r="B4292" t="str">
        <f>"1552382523425521"</f>
        <v>1552382523425521</v>
      </c>
      <c r="C4292" t="s">
        <v>40</v>
      </c>
      <c r="D4292">
        <v>3.1890390000000002</v>
      </c>
      <c r="E4292">
        <v>0.56834580000000001</v>
      </c>
      <c r="F4292" t="s">
        <v>41</v>
      </c>
      <c r="G4292">
        <v>-296.54680000000002</v>
      </c>
      <c r="H4292">
        <v>0.92538710000000002</v>
      </c>
      <c r="I4292">
        <v>215.2448</v>
      </c>
      <c r="J4292">
        <v>-297.02339999999998</v>
      </c>
      <c r="K4292">
        <v>1.1100139999999901</v>
      </c>
      <c r="L4292">
        <v>215.3973</v>
      </c>
      <c r="M4292">
        <v>0.99983690000000003</v>
      </c>
      <c r="N4292">
        <v>0</v>
      </c>
      <c r="O4292">
        <v>1.2990079999999999E-2</v>
      </c>
      <c r="P4292">
        <v>0.99158440000000003</v>
      </c>
      <c r="Q4292">
        <v>0.1294602</v>
      </c>
      <c r="R4292">
        <v>1.7522039999999999E-4</v>
      </c>
      <c r="S4292">
        <v>3.1127009999999999</v>
      </c>
      <c r="T4292">
        <v>-0.67565109999999995</v>
      </c>
      <c r="U4292">
        <v>-0.53918459999999901</v>
      </c>
      <c r="V4292">
        <v>1.269024E-2</v>
      </c>
      <c r="W4292">
        <v>0.1418915</v>
      </c>
      <c r="X4292">
        <v>0.98980089999999998</v>
      </c>
      <c r="Y4292">
        <v>0.1791179</v>
      </c>
      <c r="Z4292">
        <v>-2.1847100000000001E-2</v>
      </c>
      <c r="AA4292">
        <v>0.98358500000000004</v>
      </c>
      <c r="AB4292">
        <v>38</v>
      </c>
      <c r="AC4292">
        <v>0.476599999999962</v>
      </c>
      <c r="AD4292">
        <v>-0.18462689999999901</v>
      </c>
      <c r="AE4292">
        <v>-0.15250000000000299</v>
      </c>
      <c r="AF4292">
        <v>0.139666148632767</v>
      </c>
      <c r="AG4292">
        <v>-0.18462689999999901</v>
      </c>
      <c r="AH4292">
        <v>0.41771563894828601</v>
      </c>
      <c r="AI4292">
        <v>112.742522717885</v>
      </c>
      <c r="AJ4292">
        <v>71.5122807047115</v>
      </c>
      <c r="AK4292">
        <v>0.47757730295680401</v>
      </c>
      <c r="AL4292">
        <v>81.842686239641395</v>
      </c>
      <c r="AM4292">
        <v>89.265450902988505</v>
      </c>
      <c r="AN4292">
        <v>1.0000000308021499</v>
      </c>
    </row>
    <row r="4293" spans="1:40" x14ac:dyDescent="0.25">
      <c r="A4293" t="str">
        <f>"20190312172203454"</f>
        <v>20190312172203454</v>
      </c>
      <c r="B4293" t="str">
        <f>"1552382523445543"</f>
        <v>1552382523445543</v>
      </c>
      <c r="C4293" t="s">
        <v>40</v>
      </c>
      <c r="D4293">
        <v>3.2297639999999999</v>
      </c>
      <c r="E4293">
        <v>0.57197790000000004</v>
      </c>
      <c r="F4293" t="s">
        <v>41</v>
      </c>
      <c r="G4293">
        <v>-296.20359999999999</v>
      </c>
      <c r="H4293">
        <v>0.93252729999999995</v>
      </c>
      <c r="I4293">
        <v>215.25569999999999</v>
      </c>
      <c r="J4293">
        <v>-296.64760000000001</v>
      </c>
      <c r="K4293">
        <v>1.11002</v>
      </c>
      <c r="L4293">
        <v>215.4023</v>
      </c>
      <c r="M4293">
        <v>0.9998359</v>
      </c>
      <c r="N4293">
        <v>0</v>
      </c>
      <c r="O4293">
        <v>1.3041809999999999E-2</v>
      </c>
      <c r="P4293">
        <v>0.99155000000000004</v>
      </c>
      <c r="Q4293">
        <v>0.12972439999999999</v>
      </c>
      <c r="R4293">
        <v>7.1635609999999995E-4</v>
      </c>
      <c r="S4293">
        <v>3.1135860000000002</v>
      </c>
      <c r="T4293">
        <v>-0.67417159999999998</v>
      </c>
      <c r="U4293">
        <v>-0.536972</v>
      </c>
      <c r="V4293">
        <v>1.220039E-2</v>
      </c>
      <c r="W4293">
        <v>0.1421888</v>
      </c>
      <c r="X4293">
        <v>0.98976430000000004</v>
      </c>
      <c r="Y4293">
        <v>0.17847689999999999</v>
      </c>
      <c r="Z4293">
        <v>-2.1738500000000001E-2</v>
      </c>
      <c r="AA4293">
        <v>0.98370389999999996</v>
      </c>
      <c r="AB4293">
        <v>38</v>
      </c>
      <c r="AC4293">
        <v>0.44400000000001599</v>
      </c>
      <c r="AD4293">
        <v>-0.177492699999999</v>
      </c>
      <c r="AE4293">
        <v>-0.146600000000006</v>
      </c>
      <c r="AF4293">
        <v>0.13318669727659899</v>
      </c>
      <c r="AG4293">
        <v>-0.177492699999999</v>
      </c>
      <c r="AH4293">
        <v>0.38637458665393498</v>
      </c>
      <c r="AI4293">
        <v>113.475364246014</v>
      </c>
      <c r="AJ4293">
        <v>70.980479892955998</v>
      </c>
      <c r="AK4293">
        <v>0.445564446625556</v>
      </c>
      <c r="AL4293">
        <v>81.825476953591604</v>
      </c>
      <c r="AM4293">
        <v>89.293775847339006</v>
      </c>
      <c r="AN4293">
        <v>0.99999993695803902</v>
      </c>
    </row>
    <row r="4294" spans="1:40" x14ac:dyDescent="0.25">
      <c r="A4294" t="str">
        <f>"20190312172203475"</f>
        <v>20190312172203475</v>
      </c>
      <c r="B4294" t="str">
        <f>"1552382523465064"</f>
        <v>1552382523465064</v>
      </c>
      <c r="C4294" t="s">
        <v>40</v>
      </c>
      <c r="D4294">
        <v>3.2193879999999999</v>
      </c>
      <c r="E4294">
        <v>0.57187060000000001</v>
      </c>
      <c r="F4294" t="s">
        <v>41</v>
      </c>
      <c r="G4294">
        <v>-295.86259999999999</v>
      </c>
      <c r="H4294">
        <v>0.93375459999999999</v>
      </c>
      <c r="I4294">
        <v>215.2602</v>
      </c>
      <c r="J4294">
        <v>-296.2833</v>
      </c>
      <c r="K4294">
        <v>1.110028</v>
      </c>
      <c r="L4294">
        <v>215.40710000000001</v>
      </c>
      <c r="M4294">
        <v>0.99983489999999997</v>
      </c>
      <c r="N4294">
        <v>0</v>
      </c>
      <c r="O4294">
        <v>1.308661E-2</v>
      </c>
      <c r="P4294">
        <v>0.99147050000000003</v>
      </c>
      <c r="Q4294">
        <v>0.1303243</v>
      </c>
      <c r="R4294">
        <v>1.4743579999999901E-3</v>
      </c>
      <c r="S4294">
        <v>3.1175839999999999</v>
      </c>
      <c r="T4294">
        <v>-0.70004980000000006</v>
      </c>
      <c r="U4294">
        <v>-0.56422419999999995</v>
      </c>
      <c r="V4294">
        <v>1.1485459999999999E-2</v>
      </c>
      <c r="W4294">
        <v>0.14282030000000001</v>
      </c>
      <c r="X4294">
        <v>0.98968199999999995</v>
      </c>
      <c r="Y4294">
        <v>0.1861429</v>
      </c>
      <c r="Z4294">
        <v>-2.3362589999999999E-2</v>
      </c>
      <c r="AA4294">
        <v>0.98224480000000003</v>
      </c>
      <c r="AB4294">
        <v>38</v>
      </c>
      <c r="AC4294">
        <v>0.42070000000001001</v>
      </c>
      <c r="AD4294">
        <v>-0.1762734</v>
      </c>
      <c r="AE4294">
        <v>-0.14690000000001599</v>
      </c>
      <c r="AF4294">
        <v>0.13177326349260601</v>
      </c>
      <c r="AG4294">
        <v>-0.1762734</v>
      </c>
      <c r="AH4294">
        <v>0.36208210109575201</v>
      </c>
      <c r="AI4294">
        <v>114.583085470333</v>
      </c>
      <c r="AJ4294">
        <v>70.001934388418107</v>
      </c>
      <c r="AK4294">
        <v>0.42372155061191602</v>
      </c>
      <c r="AL4294">
        <v>81.788922170403694</v>
      </c>
      <c r="AM4294">
        <v>89.335100726181494</v>
      </c>
      <c r="AN4294">
        <v>1.0000000075037501</v>
      </c>
    </row>
    <row r="4295" spans="1:40" x14ac:dyDescent="0.25">
      <c r="A4295" t="str">
        <f>"20190312172203499"</f>
        <v>20190312172203499</v>
      </c>
      <c r="B4295" t="str">
        <f>"1552382523495319"</f>
        <v>1552382523495319</v>
      </c>
      <c r="C4295" t="s">
        <v>40</v>
      </c>
      <c r="D4295">
        <v>3.3014139999999998</v>
      </c>
      <c r="E4295">
        <v>0.57064759999999903</v>
      </c>
      <c r="F4295" t="s">
        <v>41</v>
      </c>
      <c r="G4295">
        <v>-295.51990000000001</v>
      </c>
      <c r="H4295">
        <v>0.93958940000000002</v>
      </c>
      <c r="I4295">
        <v>215.26910000000001</v>
      </c>
      <c r="J4295">
        <v>-295.90129999999999</v>
      </c>
      <c r="K4295">
        <v>1.1100300000000001</v>
      </c>
      <c r="L4295">
        <v>215.41210000000001</v>
      </c>
      <c r="M4295">
        <v>0.99983379999999999</v>
      </c>
      <c r="N4295">
        <v>0</v>
      </c>
      <c r="O4295">
        <v>1.313928E-2</v>
      </c>
      <c r="P4295">
        <v>0.99138800000000005</v>
      </c>
      <c r="Q4295">
        <v>0.13094359999999999</v>
      </c>
      <c r="R4295">
        <v>1.9944939999999999E-3</v>
      </c>
      <c r="S4295">
        <v>3.1181640000000002</v>
      </c>
      <c r="T4295">
        <v>-0.69625709999999996</v>
      </c>
      <c r="U4295">
        <v>-0.56158450000000004</v>
      </c>
      <c r="V4295">
        <v>1.101765E-2</v>
      </c>
      <c r="W4295">
        <v>0.14347019999999999</v>
      </c>
      <c r="X4295">
        <v>0.98959330000000001</v>
      </c>
      <c r="Y4295">
        <v>0.18542529999999999</v>
      </c>
      <c r="Z4295">
        <v>-2.3169519999999999E-2</v>
      </c>
      <c r="AA4295">
        <v>0.98238519999999896</v>
      </c>
      <c r="AB4295">
        <v>38</v>
      </c>
      <c r="AC4295">
        <v>0.38139999999998497</v>
      </c>
      <c r="AD4295">
        <v>-0.170440599999999</v>
      </c>
      <c r="AE4295">
        <v>-0.14299999999999999</v>
      </c>
      <c r="AF4295">
        <v>0.12594730190791201</v>
      </c>
      <c r="AG4295">
        <v>-0.170440599999999</v>
      </c>
      <c r="AH4295">
        <v>0.322943864096774</v>
      </c>
      <c r="AI4295">
        <v>116.183402344177</v>
      </c>
      <c r="AJ4295">
        <v>68.694340361740998</v>
      </c>
      <c r="AK4295">
        <v>0.38627122639927303</v>
      </c>
      <c r="AL4295">
        <v>81.751298060185405</v>
      </c>
      <c r="AM4295">
        <v>89.362123041600398</v>
      </c>
      <c r="AN4295">
        <v>0.99999999315222599</v>
      </c>
    </row>
    <row r="4296" spans="1:40" x14ac:dyDescent="0.25">
      <c r="A4296" t="str">
        <f>"20190312172203512"</f>
        <v>20190312172203512</v>
      </c>
      <c r="B4296" t="str">
        <f>"1552382523505080"</f>
        <v>1552382523505080</v>
      </c>
      <c r="C4296" t="s">
        <v>40</v>
      </c>
      <c r="D4296">
        <v>3.2749440000000001</v>
      </c>
      <c r="E4296">
        <v>0.57064759999999903</v>
      </c>
      <c r="F4296" t="s">
        <v>41</v>
      </c>
      <c r="G4296">
        <v>-295.17590000000001</v>
      </c>
      <c r="H4296">
        <v>0.94858569999999998</v>
      </c>
      <c r="I4296">
        <v>215.28399999999999</v>
      </c>
      <c r="J4296">
        <v>-295.6379</v>
      </c>
      <c r="K4296">
        <v>1.1100350000000001</v>
      </c>
      <c r="L4296">
        <v>215.41569999999999</v>
      </c>
      <c r="M4296">
        <v>0.99983299999999997</v>
      </c>
      <c r="N4296">
        <v>0</v>
      </c>
      <c r="O4296">
        <v>1.317402E-2</v>
      </c>
      <c r="P4296">
        <v>0.99139929999999998</v>
      </c>
      <c r="Q4296">
        <v>0.13085139999999901</v>
      </c>
      <c r="R4296">
        <v>2.345635E-3</v>
      </c>
      <c r="S4296">
        <v>3.1188349999999998</v>
      </c>
      <c r="T4296">
        <v>-0.69423219999999997</v>
      </c>
      <c r="U4296">
        <v>-0.5502319</v>
      </c>
      <c r="V4296">
        <v>1.0701250000000001E-2</v>
      </c>
      <c r="W4296">
        <v>0.143397</v>
      </c>
      <c r="X4296">
        <v>0.98960740000000003</v>
      </c>
      <c r="Y4296">
        <v>0.18206040000000001</v>
      </c>
      <c r="Z4296">
        <v>-2.274632E-2</v>
      </c>
      <c r="AA4296">
        <v>0.98302420000000001</v>
      </c>
      <c r="AB4296">
        <v>38</v>
      </c>
      <c r="AC4296">
        <v>0.46199999999998898</v>
      </c>
      <c r="AD4296">
        <v>-0.16144929999999999</v>
      </c>
      <c r="AE4296">
        <v>-0.13169999999996601</v>
      </c>
      <c r="AF4296">
        <v>0.123793864780802</v>
      </c>
      <c r="AG4296">
        <v>-0.16144929999999999</v>
      </c>
      <c r="AH4296">
        <v>0.413520679640968</v>
      </c>
      <c r="AI4296">
        <v>110.507088756526</v>
      </c>
      <c r="AJ4296">
        <v>73.334108983314806</v>
      </c>
      <c r="AK4296">
        <v>0.46085805832011401</v>
      </c>
      <c r="AL4296">
        <v>81.755536081329197</v>
      </c>
      <c r="AM4296">
        <v>89.380448687803906</v>
      </c>
      <c r="AN4296">
        <v>1.0000000112476599</v>
      </c>
    </row>
    <row r="4297" spans="1:40" x14ac:dyDescent="0.25">
      <c r="A4297" t="str">
        <f>"20190312172203531"</f>
        <v>20190312172203531</v>
      </c>
      <c r="B4297" t="str">
        <f>"1552382523524603"</f>
        <v>1552382523524603</v>
      </c>
      <c r="C4297" t="s">
        <v>40</v>
      </c>
      <c r="D4297">
        <v>3.2194950000000002</v>
      </c>
      <c r="E4297">
        <v>0.52255410000000002</v>
      </c>
      <c r="F4297" t="s">
        <v>41</v>
      </c>
      <c r="G4297">
        <v>-294.84230000000002</v>
      </c>
      <c r="H4297">
        <v>0.93288559999999998</v>
      </c>
      <c r="I4297">
        <v>215.27529999999999</v>
      </c>
      <c r="J4297">
        <v>-295.32319999999999</v>
      </c>
      <c r="K4297">
        <v>1.1100350000000001</v>
      </c>
      <c r="L4297">
        <v>215.41980000000001</v>
      </c>
      <c r="M4297">
        <v>0.99983230000000001</v>
      </c>
      <c r="N4297">
        <v>0</v>
      </c>
      <c r="O4297">
        <v>1.3215060000000001E-2</v>
      </c>
      <c r="P4297">
        <v>0.99138150000000003</v>
      </c>
      <c r="Q4297">
        <v>0.13097120000000001</v>
      </c>
      <c r="R4297">
        <v>3.061275E-3</v>
      </c>
      <c r="S4297">
        <v>3.1190190000000002</v>
      </c>
      <c r="T4297">
        <v>-0.69455669999999903</v>
      </c>
      <c r="U4297">
        <v>-0.54911799999999999</v>
      </c>
      <c r="V4297">
        <v>1.002654E-2</v>
      </c>
      <c r="W4297">
        <v>0.14353859999999999</v>
      </c>
      <c r="X4297">
        <v>0.98959390000000003</v>
      </c>
      <c r="Y4297">
        <v>0.18175250000000001</v>
      </c>
      <c r="Z4297">
        <v>-2.273145E-2</v>
      </c>
      <c r="AA4297">
        <v>0.98308150000000005</v>
      </c>
      <c r="AB4297">
        <v>38</v>
      </c>
      <c r="AC4297">
        <v>0.48089999999996202</v>
      </c>
      <c r="AD4297">
        <v>-0.17714940000000001</v>
      </c>
      <c r="AE4297">
        <v>-0.144500000000022</v>
      </c>
      <c r="AF4297">
        <v>0.13414709920996201</v>
      </c>
      <c r="AG4297">
        <v>-0.17714940000000001</v>
      </c>
      <c r="AH4297">
        <v>0.42593634155767401</v>
      </c>
      <c r="AI4297">
        <v>111.63805424816</v>
      </c>
      <c r="AJ4297">
        <v>72.5183687815544</v>
      </c>
      <c r="AK4297">
        <v>0.48041557136123603</v>
      </c>
      <c r="AL4297">
        <v>81.747337882677101</v>
      </c>
      <c r="AM4297">
        <v>89.419500495838705</v>
      </c>
      <c r="AN4297">
        <v>0.99999997405577001</v>
      </c>
    </row>
    <row r="4298" spans="1:40" x14ac:dyDescent="0.25">
      <c r="A4298" t="str">
        <f>"20190312172203547"</f>
        <v>20190312172203547</v>
      </c>
      <c r="B4298" t="str">
        <f>"1552382523544627"</f>
        <v>1552382523544627</v>
      </c>
      <c r="C4298" t="s">
        <v>40</v>
      </c>
      <c r="D4298">
        <v>3.2745039999999999</v>
      </c>
      <c r="E4298">
        <v>0.51107669999999905</v>
      </c>
      <c r="F4298" t="s">
        <v>41</v>
      </c>
      <c r="G4298">
        <v>-294.46530000000001</v>
      </c>
      <c r="H4298">
        <v>1.015474</v>
      </c>
      <c r="I4298">
        <v>215.3734</v>
      </c>
      <c r="J4298">
        <v>-295.06040000000002</v>
      </c>
      <c r="K4298">
        <v>1.1100350000000001</v>
      </c>
      <c r="L4298">
        <v>215.42339999999999</v>
      </c>
      <c r="M4298">
        <v>0.99983160000000004</v>
      </c>
      <c r="N4298">
        <v>0</v>
      </c>
      <c r="O4298">
        <v>1.325075E-2</v>
      </c>
      <c r="P4298">
        <v>0.99135390000000001</v>
      </c>
      <c r="Q4298">
        <v>0.13117190000000001</v>
      </c>
      <c r="R4298">
        <v>3.4165900000000002E-3</v>
      </c>
      <c r="S4298">
        <v>3.0713200000000001</v>
      </c>
      <c r="T4298">
        <v>-0.33856370000000002</v>
      </c>
      <c r="U4298">
        <v>-0.1659088</v>
      </c>
      <c r="V4298">
        <v>9.706625E-3</v>
      </c>
      <c r="W4298">
        <v>0.1437552</v>
      </c>
      <c r="X4298">
        <v>0.98956569999999999</v>
      </c>
      <c r="Y4298">
        <v>6.6685010000000003E-2</v>
      </c>
      <c r="Z4298">
        <v>-5.1171690000000004E-3</v>
      </c>
      <c r="AA4298">
        <v>0.99776100000000001</v>
      </c>
      <c r="AB4298">
        <v>38</v>
      </c>
      <c r="AC4298">
        <v>0.59510000000000196</v>
      </c>
      <c r="AD4298">
        <v>-9.4561000000000103E-2</v>
      </c>
      <c r="AE4298">
        <v>-4.9999999999982898E-2</v>
      </c>
      <c r="AF4298">
        <v>5.6466049041636303E-2</v>
      </c>
      <c r="AG4298">
        <v>-9.4561000000000103E-2</v>
      </c>
      <c r="AH4298">
        <v>0.57984721773124703</v>
      </c>
      <c r="AI4298">
        <v>99.2193567229114</v>
      </c>
      <c r="AJ4298">
        <v>84.438022167173699</v>
      </c>
      <c r="AK4298">
        <v>0.59021436218211498</v>
      </c>
      <c r="AL4298">
        <v>81.734797987842697</v>
      </c>
      <c r="AM4298">
        <v>89.438005167267804</v>
      </c>
      <c r="AN4298">
        <v>1.00000002535621</v>
      </c>
    </row>
    <row r="4299" spans="1:40" x14ac:dyDescent="0.25">
      <c r="A4299" t="str">
        <f>"20190312172203565"</f>
        <v>20190312172203565</v>
      </c>
      <c r="B4299" t="str">
        <f>"1552382523555363"</f>
        <v>1552382523555363</v>
      </c>
      <c r="C4299" t="s">
        <v>40</v>
      </c>
      <c r="D4299">
        <v>3.1686879999999999</v>
      </c>
      <c r="E4299">
        <v>0.50786509999999996</v>
      </c>
      <c r="F4299" t="s">
        <v>41</v>
      </c>
      <c r="G4299">
        <v>-294.11529999999999</v>
      </c>
      <c r="H4299">
        <v>1.0360959999999999</v>
      </c>
      <c r="I4299">
        <v>215.40039999999999</v>
      </c>
      <c r="J4299">
        <v>-294.7604</v>
      </c>
      <c r="K4299">
        <v>1.1100350000000001</v>
      </c>
      <c r="L4299">
        <v>215.42740000000001</v>
      </c>
      <c r="M4299">
        <v>0.99983080000000002</v>
      </c>
      <c r="N4299">
        <v>0</v>
      </c>
      <c r="O4299">
        <v>1.329264E-2</v>
      </c>
      <c r="P4299">
        <v>0.9913071</v>
      </c>
      <c r="Q4299">
        <v>0.13150629999999999</v>
      </c>
      <c r="R4299">
        <v>4.0607170000000001E-3</v>
      </c>
      <c r="S4299">
        <v>3.0580440000000002</v>
      </c>
      <c r="T4299">
        <v>-0.23929130000000001</v>
      </c>
      <c r="U4299">
        <v>-7.3898320000000003E-2</v>
      </c>
      <c r="V4299">
        <v>9.1038909999999994E-3</v>
      </c>
      <c r="W4299">
        <v>0.14410629999999999</v>
      </c>
      <c r="X4299">
        <v>0.98952030000000002</v>
      </c>
      <c r="Y4299">
        <v>3.7291320000000003E-2</v>
      </c>
      <c r="Z4299">
        <v>-2.4950910000000001E-3</v>
      </c>
      <c r="AA4299">
        <v>0.99930129999999995</v>
      </c>
      <c r="AB4299">
        <v>38</v>
      </c>
      <c r="AC4299">
        <v>0.645100000000013</v>
      </c>
      <c r="AD4299">
        <v>-7.3939000000000199E-2</v>
      </c>
      <c r="AE4299">
        <v>-2.7000000000015199E-2</v>
      </c>
      <c r="AF4299">
        <v>3.5112920999810102E-2</v>
      </c>
      <c r="AG4299">
        <v>-7.3939000000000199E-2</v>
      </c>
      <c r="AH4299">
        <v>0.63633915638260796</v>
      </c>
      <c r="AI4299">
        <v>96.6177462848663</v>
      </c>
      <c r="AJ4299">
        <v>86.841646429695302</v>
      </c>
      <c r="AK4299">
        <v>0.64158196272017198</v>
      </c>
      <c r="AL4299">
        <v>81.714469276994095</v>
      </c>
      <c r="AM4299">
        <v>89.472876084779401</v>
      </c>
      <c r="AN4299">
        <v>0.99999996532155899</v>
      </c>
    </row>
    <row r="4300" spans="1:40" x14ac:dyDescent="0.25">
      <c r="A4300" t="str">
        <f>"20190312172203580"</f>
        <v>20190312172203580</v>
      </c>
      <c r="B4300" t="str">
        <f>"1552382523574883"</f>
        <v>1552382523574883</v>
      </c>
      <c r="C4300" t="s">
        <v>40</v>
      </c>
      <c r="D4300">
        <v>3.2215829999999999</v>
      </c>
      <c r="E4300">
        <v>0.50411079999999997</v>
      </c>
      <c r="F4300" t="s">
        <v>41</v>
      </c>
      <c r="G4300">
        <v>-293.77140000000003</v>
      </c>
      <c r="H4300">
        <v>1.042462</v>
      </c>
      <c r="I4300">
        <v>215.41229999999999</v>
      </c>
      <c r="J4300">
        <v>-294.49650000000003</v>
      </c>
      <c r="K4300">
        <v>1.110039</v>
      </c>
      <c r="L4300">
        <v>215.43100000000001</v>
      </c>
      <c r="M4300">
        <v>0.99983010000000005</v>
      </c>
      <c r="N4300">
        <v>0</v>
      </c>
      <c r="O4300">
        <v>1.332872E-2</v>
      </c>
      <c r="P4300">
        <v>0.99132189999999998</v>
      </c>
      <c r="Q4300">
        <v>0.1313868</v>
      </c>
      <c r="R4300">
        <v>4.3044229999999999E-3</v>
      </c>
      <c r="S4300">
        <v>3.05423</v>
      </c>
      <c r="T4300">
        <v>-0.20873149999999999</v>
      </c>
      <c r="U4300">
        <v>-4.6295169999999997E-2</v>
      </c>
      <c r="V4300">
        <v>8.8962439999999993E-3</v>
      </c>
      <c r="W4300">
        <v>0.14400060000000001</v>
      </c>
      <c r="X4300">
        <v>0.98953760000000002</v>
      </c>
      <c r="Y4300">
        <v>2.838562E-2</v>
      </c>
      <c r="Z4300">
        <v>-1.878649E-3</v>
      </c>
      <c r="AA4300">
        <v>0.99959529999999996</v>
      </c>
      <c r="AB4300">
        <v>38</v>
      </c>
      <c r="AC4300">
        <v>0.72509999999999697</v>
      </c>
      <c r="AD4300">
        <v>-6.7576999999999998E-2</v>
      </c>
      <c r="AE4300">
        <v>-1.8699999999995401E-2</v>
      </c>
      <c r="AF4300">
        <v>2.81197015795711E-2</v>
      </c>
      <c r="AG4300">
        <v>-6.7576999999999998E-2</v>
      </c>
      <c r="AH4300">
        <v>0.71854939490042202</v>
      </c>
      <c r="AI4300">
        <v>95.368575074920699</v>
      </c>
      <c r="AJ4300">
        <v>87.758931372436194</v>
      </c>
      <c r="AK4300">
        <v>0.72226767992046204</v>
      </c>
      <c r="AL4300">
        <v>81.720589469694403</v>
      </c>
      <c r="AM4300">
        <v>89.484907392446701</v>
      </c>
      <c r="AN4300">
        <v>0.99999998888571295</v>
      </c>
    </row>
    <row r="4301" spans="1:40" x14ac:dyDescent="0.25">
      <c r="A4301" t="str">
        <f>"20190312172203599"</f>
        <v>20190312172203599</v>
      </c>
      <c r="B4301" t="str">
        <f>"1552382523595379"</f>
        <v>1552382523595379</v>
      </c>
      <c r="C4301" t="s">
        <v>40</v>
      </c>
      <c r="D4301">
        <v>3.1678139999999999</v>
      </c>
      <c r="E4301">
        <v>0.50188290000000002</v>
      </c>
      <c r="F4301" t="s">
        <v>41</v>
      </c>
      <c r="G4301">
        <v>-293.41899999999998</v>
      </c>
      <c r="H4301">
        <v>1.047601</v>
      </c>
      <c r="I4301">
        <v>215.42519999999999</v>
      </c>
      <c r="J4301">
        <v>-294.1737</v>
      </c>
      <c r="K4301">
        <v>1.1100380000000001</v>
      </c>
      <c r="L4301">
        <v>215.43530000000001</v>
      </c>
      <c r="M4301">
        <v>0.99982939999999998</v>
      </c>
      <c r="N4301">
        <v>0</v>
      </c>
      <c r="O4301">
        <v>1.337166E-2</v>
      </c>
      <c r="P4301">
        <v>0.99127449999999995</v>
      </c>
      <c r="Q4301">
        <v>0.1317227</v>
      </c>
      <c r="R4301">
        <v>4.9198610000000002E-3</v>
      </c>
      <c r="S4301">
        <v>3.0497740000000002</v>
      </c>
      <c r="T4301">
        <v>-0.1768024</v>
      </c>
      <c r="U4301">
        <v>-1.5762330000000001E-2</v>
      </c>
      <c r="V4301">
        <v>8.3227749999999993E-3</v>
      </c>
      <c r="W4301">
        <v>0.14435120000000001</v>
      </c>
      <c r="X4301">
        <v>0.98949149999999997</v>
      </c>
      <c r="Y4301">
        <v>1.8486900000000001E-2</v>
      </c>
      <c r="Z4301">
        <v>-1.3099940000000001E-3</v>
      </c>
      <c r="AA4301">
        <v>0.99982819999999994</v>
      </c>
      <c r="AB4301">
        <v>38</v>
      </c>
      <c r="AC4301">
        <v>0.75469999999995696</v>
      </c>
      <c r="AD4301">
        <v>-6.2436999999999798E-2</v>
      </c>
      <c r="AE4301">
        <v>-1.01000000000226E-2</v>
      </c>
      <c r="AF4301">
        <v>2.0054273172120999E-2</v>
      </c>
      <c r="AG4301">
        <v>-6.2436999999999798E-2</v>
      </c>
      <c r="AH4301">
        <v>0.74936938555835497</v>
      </c>
      <c r="AI4301">
        <v>94.761151524320397</v>
      </c>
      <c r="AJ4301">
        <v>88.467043021641004</v>
      </c>
      <c r="AK4301">
        <v>0.75223336063589297</v>
      </c>
      <c r="AL4301">
        <v>81.700289427468505</v>
      </c>
      <c r="AM4301">
        <v>89.518087182923395</v>
      </c>
      <c r="AN4301">
        <v>0.99999998304869497</v>
      </c>
    </row>
    <row r="4302" spans="1:40" x14ac:dyDescent="0.25">
      <c r="A4302" t="str">
        <f>"20190312172203621"</f>
        <v>20190312172203621</v>
      </c>
      <c r="B4302" t="str">
        <f>"1552382523614898"</f>
        <v>1552382523614898</v>
      </c>
      <c r="C4302" t="s">
        <v>40</v>
      </c>
      <c r="D4302">
        <v>3.1484749999999999</v>
      </c>
      <c r="E4302">
        <v>0.50083359999999899</v>
      </c>
      <c r="F4302" t="s">
        <v>46</v>
      </c>
      <c r="G4302">
        <v>-272.60469999999998</v>
      </c>
      <c r="H4302" s="1">
        <v>-1.8769969999999999E-7</v>
      </c>
      <c r="I4302">
        <v>215.46270000000001</v>
      </c>
      <c r="J4302">
        <v>-293.79680000000002</v>
      </c>
      <c r="K4302">
        <v>1.1100410000000001</v>
      </c>
      <c r="L4302">
        <v>215.44049999999999</v>
      </c>
      <c r="M4302">
        <v>0.99982850000000001</v>
      </c>
      <c r="N4302">
        <v>0</v>
      </c>
      <c r="O4302">
        <v>1.3421799999999999E-2</v>
      </c>
      <c r="P4302">
        <v>0.99129440000000002</v>
      </c>
      <c r="Q4302">
        <v>0.131547</v>
      </c>
      <c r="R4302">
        <v>5.5804369999999997E-3</v>
      </c>
      <c r="S4302">
        <v>3.047272</v>
      </c>
      <c r="T4302">
        <v>-0.15682639999999901</v>
      </c>
      <c r="U4302">
        <v>3.860474E-3</v>
      </c>
      <c r="V4302">
        <v>7.7123399999999998E-3</v>
      </c>
      <c r="W4302">
        <v>0.14419119999999999</v>
      </c>
      <c r="X4302">
        <v>0.98951979999999995</v>
      </c>
      <c r="Y4302">
        <v>1.2122330000000001E-2</v>
      </c>
      <c r="Z4302">
        <v>-1.002057E-3</v>
      </c>
      <c r="AA4302">
        <v>0.99992599999999998</v>
      </c>
      <c r="AB4302">
        <v>38</v>
      </c>
      <c r="AC4302">
        <v>21.1921</v>
      </c>
      <c r="AD4302">
        <v>-1.1100411876997001</v>
      </c>
      <c r="AE4302">
        <v>2.22000000000264E-2</v>
      </c>
      <c r="AF4302">
        <v>0.26154370136187599</v>
      </c>
      <c r="AG4302">
        <v>-1.1100411876997001</v>
      </c>
      <c r="AH4302">
        <v>21.132508427066998</v>
      </c>
      <c r="AI4302">
        <v>93.006619884317203</v>
      </c>
      <c r="AJ4302">
        <v>89.290922549783602</v>
      </c>
      <c r="AK4302">
        <v>21.163258467593501</v>
      </c>
      <c r="AL4302">
        <v>81.709553885406507</v>
      </c>
      <c r="AM4302">
        <v>89.553444423439899</v>
      </c>
      <c r="AN4302">
        <v>1.00000000846887</v>
      </c>
    </row>
    <row r="4303" spans="1:40" x14ac:dyDescent="0.25">
      <c r="A4303" t="str">
        <f>"20190312172203643"</f>
        <v>20190312172203643</v>
      </c>
      <c r="B4303" t="str">
        <f>"1552382523635397"</f>
        <v>1552382523635397</v>
      </c>
      <c r="C4303" t="s">
        <v>40</v>
      </c>
      <c r="D4303">
        <v>3.2450290000000002</v>
      </c>
      <c r="E4303">
        <v>0.50003279999999894</v>
      </c>
      <c r="F4303" t="s">
        <v>46</v>
      </c>
      <c r="G4303">
        <v>-270.7072</v>
      </c>
      <c r="H4303" s="1">
        <v>-1.201067E-6</v>
      </c>
      <c r="I4303">
        <v>215.5453</v>
      </c>
      <c r="J4303">
        <v>-293.42430000000002</v>
      </c>
      <c r="K4303">
        <v>1.110042</v>
      </c>
      <c r="L4303">
        <v>215.44560000000001</v>
      </c>
      <c r="M4303">
        <v>0.99982760000000004</v>
      </c>
      <c r="N4303">
        <v>0</v>
      </c>
      <c r="O4303">
        <v>1.3472960000000001E-2</v>
      </c>
      <c r="P4303">
        <v>0.99132109999999996</v>
      </c>
      <c r="Q4303">
        <v>0.13133420000000001</v>
      </c>
      <c r="R4303">
        <v>5.8440779999999999E-3</v>
      </c>
      <c r="S4303">
        <v>3.0456850000000002</v>
      </c>
      <c r="T4303">
        <v>-0.14642239999999901</v>
      </c>
      <c r="U4303">
        <v>1.382446E-2</v>
      </c>
      <c r="V4303">
        <v>7.5000479999999996E-3</v>
      </c>
      <c r="W4303">
        <v>0.1439916</v>
      </c>
      <c r="X4303">
        <v>0.9895505</v>
      </c>
      <c r="Y4303">
        <v>8.9094989999999995E-3</v>
      </c>
      <c r="Z4303">
        <v>-8.6141250000000005E-4</v>
      </c>
      <c r="AA4303">
        <v>0.99995990000000001</v>
      </c>
      <c r="AB4303">
        <v>38</v>
      </c>
      <c r="AC4303">
        <v>22.717099999999999</v>
      </c>
      <c r="AD4303">
        <v>-1.1100432010670001</v>
      </c>
      <c r="AE4303">
        <v>9.9699999999984301E-2</v>
      </c>
      <c r="AF4303">
        <v>0.205908983125454</v>
      </c>
      <c r="AG4303">
        <v>-1.1100432010670001</v>
      </c>
      <c r="AH4303">
        <v>22.662272176796598</v>
      </c>
      <c r="AI4303">
        <v>92.804104541600694</v>
      </c>
      <c r="AJ4303">
        <v>89.479425938967495</v>
      </c>
      <c r="AK4303">
        <v>22.690376255866202</v>
      </c>
      <c r="AL4303">
        <v>81.721110753617495</v>
      </c>
      <c r="AM4303">
        <v>89.565749430284001</v>
      </c>
      <c r="AN4303">
        <v>1.0000000118204</v>
      </c>
    </row>
    <row r="4304" spans="1:40" x14ac:dyDescent="0.25">
      <c r="A4304" t="str">
        <f>"20190312172203666"</f>
        <v>20190312172203666</v>
      </c>
      <c r="B4304" t="str">
        <f>"1552382523655302"</f>
        <v>1552382523655302</v>
      </c>
      <c r="C4304" t="s">
        <v>40</v>
      </c>
      <c r="D4304">
        <v>3.1746880000000002</v>
      </c>
      <c r="E4304">
        <v>0.49956620000000002</v>
      </c>
      <c r="F4304" t="s">
        <v>46</v>
      </c>
      <c r="G4304">
        <v>-268.79079999999999</v>
      </c>
      <c r="H4304" s="1">
        <v>3.0975469999999998E-6</v>
      </c>
      <c r="I4304">
        <v>215.6156</v>
      </c>
      <c r="J4304">
        <v>-293.04610000000002</v>
      </c>
      <c r="K4304">
        <v>1.110044</v>
      </c>
      <c r="L4304">
        <v>215.45070000000001</v>
      </c>
      <c r="M4304">
        <v>0.99982680000000002</v>
      </c>
      <c r="N4304">
        <v>0</v>
      </c>
      <c r="O4304">
        <v>1.3524090000000001E-2</v>
      </c>
      <c r="P4304">
        <v>0.99129440000000002</v>
      </c>
      <c r="Q4304">
        <v>0.1315337</v>
      </c>
      <c r="R4304">
        <v>5.8861929999999996E-3</v>
      </c>
      <c r="S4304">
        <v>3.0443419999999999</v>
      </c>
      <c r="T4304">
        <v>-0.13718429999999901</v>
      </c>
      <c r="U4304">
        <v>2.1011350000000002E-2</v>
      </c>
      <c r="V4304">
        <v>7.5081509999999898E-3</v>
      </c>
      <c r="W4304">
        <v>0.14420250000000001</v>
      </c>
      <c r="X4304">
        <v>0.9895197</v>
      </c>
      <c r="Y4304">
        <v>6.6034689999999998E-3</v>
      </c>
      <c r="Z4304">
        <v>-7.5784099999999998E-4</v>
      </c>
      <c r="AA4304">
        <v>0.99997789999999998</v>
      </c>
      <c r="AB4304">
        <v>38</v>
      </c>
      <c r="AC4304">
        <v>24.255299999999998</v>
      </c>
      <c r="AD4304">
        <v>-1.110040902453</v>
      </c>
      <c r="AE4304">
        <v>0.164899999999988</v>
      </c>
      <c r="AF4304">
        <v>0.16283173526832201</v>
      </c>
      <c r="AG4304">
        <v>-1.110040902453</v>
      </c>
      <c r="AH4304">
        <v>24.204619282004799</v>
      </c>
      <c r="AI4304">
        <v>92.625725682487797</v>
      </c>
      <c r="AJ4304">
        <v>89.614559917041305</v>
      </c>
      <c r="AK4304">
        <v>24.2306066693743</v>
      </c>
      <c r="AL4304">
        <v>81.708899409391606</v>
      </c>
      <c r="AM4304">
        <v>89.565266756308006</v>
      </c>
      <c r="AN4304">
        <v>0.999999985012889</v>
      </c>
    </row>
    <row r="4305" spans="1:40" x14ac:dyDescent="0.25">
      <c r="A4305" t="str">
        <f>"20190312172203688"</f>
        <v>20190312172203688</v>
      </c>
      <c r="B4305" t="str">
        <f>"1552382523684583"</f>
        <v>1552382523684583</v>
      </c>
      <c r="C4305" t="s">
        <v>40</v>
      </c>
      <c r="D4305">
        <v>3.1445699999999999</v>
      </c>
      <c r="E4305">
        <v>0.49913069999999998</v>
      </c>
      <c r="F4305" t="s">
        <v>46</v>
      </c>
      <c r="G4305">
        <v>-267.09249999999997</v>
      </c>
      <c r="H4305" s="1">
        <v>2.1918630000000002E-6</v>
      </c>
      <c r="I4305">
        <v>215.66040000000001</v>
      </c>
      <c r="J4305">
        <v>-292.67189999999999</v>
      </c>
      <c r="K4305">
        <v>1.1100449999999999</v>
      </c>
      <c r="L4305">
        <v>215.45590000000001</v>
      </c>
      <c r="M4305">
        <v>0.99982599999999999</v>
      </c>
      <c r="N4305">
        <v>0</v>
      </c>
      <c r="O4305">
        <v>1.357445E-2</v>
      </c>
      <c r="P4305">
        <v>0.99130289999999999</v>
      </c>
      <c r="Q4305">
        <v>0.1314621</v>
      </c>
      <c r="R4305">
        <v>6.0308230000000003E-3</v>
      </c>
      <c r="S4305">
        <v>3.0434570000000001</v>
      </c>
      <c r="T4305">
        <v>-0.13016929999999999</v>
      </c>
      <c r="U4305">
        <v>2.4581909999999998E-2</v>
      </c>
      <c r="V4305">
        <v>7.4136899999999997E-3</v>
      </c>
      <c r="W4305">
        <v>0.1441412</v>
      </c>
      <c r="X4305">
        <v>0.9895294</v>
      </c>
      <c r="Y4305">
        <v>5.4817340000000003E-3</v>
      </c>
      <c r="Z4305">
        <v>-6.9750529999999995E-4</v>
      </c>
      <c r="AA4305">
        <v>0.99998469999999995</v>
      </c>
      <c r="AB4305">
        <v>38</v>
      </c>
      <c r="AC4305">
        <v>25.5794</v>
      </c>
      <c r="AD4305">
        <v>-1.110042808137</v>
      </c>
      <c r="AE4305">
        <v>0.20449999999999499</v>
      </c>
      <c r="AF4305">
        <v>0.14250520603641101</v>
      </c>
      <c r="AG4305">
        <v>-1.110042808137</v>
      </c>
      <c r="AH4305">
        <v>25.531740449272</v>
      </c>
      <c r="AI4305">
        <v>92.4894405842537</v>
      </c>
      <c r="AJ4305">
        <v>89.680207383642298</v>
      </c>
      <c r="AK4305">
        <v>25.556257025210801</v>
      </c>
      <c r="AL4305">
        <v>81.712449188011803</v>
      </c>
      <c r="AM4305">
        <v>89.570740192175805</v>
      </c>
      <c r="AN4305">
        <v>1.0000000409006</v>
      </c>
    </row>
    <row r="4306" spans="1:40" x14ac:dyDescent="0.25">
      <c r="A4306" t="str">
        <f>"20190312172203710"</f>
        <v>20190312172203710</v>
      </c>
      <c r="B4306" t="str">
        <f>"1552382523705078"</f>
        <v>1552382523705078</v>
      </c>
      <c r="C4306" t="s">
        <v>40</v>
      </c>
      <c r="D4306">
        <v>3.1332749999999998</v>
      </c>
      <c r="E4306">
        <v>0.49898870000000001</v>
      </c>
      <c r="F4306" t="s">
        <v>46</v>
      </c>
      <c r="G4306">
        <v>-265.45569999999998</v>
      </c>
      <c r="H4306" s="1">
        <v>1.318595E-6</v>
      </c>
      <c r="I4306">
        <v>215.71170000000001</v>
      </c>
      <c r="J4306">
        <v>-292.2894</v>
      </c>
      <c r="K4306">
        <v>1.110044</v>
      </c>
      <c r="L4306">
        <v>215.46109999999999</v>
      </c>
      <c r="M4306">
        <v>0.99982510000000002</v>
      </c>
      <c r="N4306">
        <v>0</v>
      </c>
      <c r="O4306">
        <v>1.362642E-2</v>
      </c>
      <c r="P4306">
        <v>0.99133850000000001</v>
      </c>
      <c r="Q4306">
        <v>0.1311872</v>
      </c>
      <c r="R4306">
        <v>6.1331579999999997E-3</v>
      </c>
      <c r="S4306">
        <v>3.0426030000000002</v>
      </c>
      <c r="T4306">
        <v>-0.124095899999999</v>
      </c>
      <c r="U4306">
        <v>2.8594970000000001E-2</v>
      </c>
      <c r="V4306">
        <v>7.3635119999999896E-3</v>
      </c>
      <c r="W4306">
        <v>0.14387549999999999</v>
      </c>
      <c r="X4306">
        <v>0.98956840000000001</v>
      </c>
      <c r="Y4306">
        <v>4.2151999999999997E-3</v>
      </c>
      <c r="Z4306">
        <v>-6.4147260000000002E-4</v>
      </c>
      <c r="AA4306">
        <v>0.99999090000000002</v>
      </c>
      <c r="AB4306">
        <v>38</v>
      </c>
      <c r="AC4306">
        <v>26.8337</v>
      </c>
      <c r="AD4306">
        <v>-1.110042681405</v>
      </c>
      <c r="AE4306">
        <v>0.25060000000001897</v>
      </c>
      <c r="AF4306">
        <v>0.114903925753798</v>
      </c>
      <c r="AG4306">
        <v>-1.110042681405</v>
      </c>
      <c r="AH4306">
        <v>26.78878449139</v>
      </c>
      <c r="AI4306">
        <v>92.372777050236607</v>
      </c>
      <c r="AJ4306">
        <v>89.754245302771807</v>
      </c>
      <c r="AK4306">
        <v>26.8120191741098</v>
      </c>
      <c r="AL4306">
        <v>81.727832685432304</v>
      </c>
      <c r="AM4306">
        <v>89.5736622416903</v>
      </c>
      <c r="AN4306">
        <v>0.99999999954389196</v>
      </c>
    </row>
    <row r="4307" spans="1:40" x14ac:dyDescent="0.25">
      <c r="A4307" t="str">
        <f>"20190312172203725"</f>
        <v>20190312172203725</v>
      </c>
      <c r="B4307" t="str">
        <f>"1552382523714839"</f>
        <v>1552382523714839</v>
      </c>
      <c r="C4307" t="s">
        <v>40</v>
      </c>
      <c r="D4307">
        <v>3.1614429999999998</v>
      </c>
      <c r="E4307">
        <v>0.49891479999999999</v>
      </c>
      <c r="F4307" t="s">
        <v>46</v>
      </c>
      <c r="G4307">
        <v>-264.63080000000002</v>
      </c>
      <c r="H4307" s="1">
        <v>8.7878119999999899E-7</v>
      </c>
      <c r="I4307">
        <v>215.73050000000001</v>
      </c>
      <c r="J4307">
        <v>-292.0378</v>
      </c>
      <c r="K4307">
        <v>1.1100449999999999</v>
      </c>
      <c r="L4307">
        <v>215.46459999999999</v>
      </c>
      <c r="M4307">
        <v>0.99982459999999995</v>
      </c>
      <c r="N4307">
        <v>0</v>
      </c>
      <c r="O4307">
        <v>1.3660540000000001E-2</v>
      </c>
      <c r="P4307">
        <v>0.99133059999999995</v>
      </c>
      <c r="Q4307">
        <v>0.13123580000000001</v>
      </c>
      <c r="R4307">
        <v>6.4009369999999998E-3</v>
      </c>
      <c r="S4307">
        <v>3.0421749999999999</v>
      </c>
      <c r="T4307">
        <v>-0.12209390000000001</v>
      </c>
      <c r="U4307">
        <v>2.963257E-2</v>
      </c>
      <c r="V4307">
        <v>7.1293809999999997E-3</v>
      </c>
      <c r="W4307">
        <v>0.14392839999999901</v>
      </c>
      <c r="X4307">
        <v>0.98956250000000001</v>
      </c>
      <c r="Y4307">
        <v>3.907659E-3</v>
      </c>
      <c r="Z4307">
        <v>-6.2641940000000005E-4</v>
      </c>
      <c r="AA4307">
        <v>0.9999922</v>
      </c>
      <c r="AB4307">
        <v>38</v>
      </c>
      <c r="AC4307">
        <v>27.406999999999901</v>
      </c>
      <c r="AD4307">
        <v>-1.1100441212187999</v>
      </c>
      <c r="AE4307">
        <v>0.26590000000001601</v>
      </c>
      <c r="AF4307">
        <v>0.10837220852656899</v>
      </c>
      <c r="AG4307">
        <v>-1.1100441212187999</v>
      </c>
      <c r="AH4307">
        <v>27.363191728454701</v>
      </c>
      <c r="AI4307">
        <v>92.323029099412395</v>
      </c>
      <c r="AJ4307">
        <v>89.773080649306493</v>
      </c>
      <c r="AK4307">
        <v>27.3859125109025</v>
      </c>
      <c r="AL4307">
        <v>81.724770505317096</v>
      </c>
      <c r="AM4307">
        <v>89.587215183996506</v>
      </c>
      <c r="AN4307">
        <v>1.0000000769031201</v>
      </c>
    </row>
    <row r="4308" spans="1:40" x14ac:dyDescent="0.25">
      <c r="A4308" t="str">
        <f>"20190312172203744"</f>
        <v>20190312172203744</v>
      </c>
      <c r="B4308" t="str">
        <f>"1552382523735334"</f>
        <v>1552382523735334</v>
      </c>
      <c r="C4308" t="s">
        <v>40</v>
      </c>
      <c r="D4308">
        <v>3.1577510000000002</v>
      </c>
      <c r="E4308">
        <v>0.49872119999999998</v>
      </c>
      <c r="F4308" t="s">
        <v>46</v>
      </c>
      <c r="G4308">
        <v>-264.077</v>
      </c>
      <c r="H4308" s="1">
        <v>5.8325920000000001E-7</v>
      </c>
      <c r="I4308">
        <v>215.74969999999999</v>
      </c>
      <c r="J4308">
        <v>-291.72140000000002</v>
      </c>
      <c r="K4308">
        <v>1.1100479999999999</v>
      </c>
      <c r="L4308">
        <v>215.46899999999999</v>
      </c>
      <c r="M4308">
        <v>0.99982400000000005</v>
      </c>
      <c r="N4308">
        <v>0</v>
      </c>
      <c r="O4308">
        <v>1.3703720000000001E-2</v>
      </c>
      <c r="P4308">
        <v>0.99128629999999995</v>
      </c>
      <c r="Q4308">
        <v>0.13156809999999999</v>
      </c>
      <c r="R4308">
        <v>6.453243E-3</v>
      </c>
      <c r="S4308">
        <v>3.041992</v>
      </c>
      <c r="T4308">
        <v>-0.12076720000000001</v>
      </c>
      <c r="U4308">
        <v>3.1021119999999999E-2</v>
      </c>
      <c r="V4308">
        <v>7.1190769999999997E-3</v>
      </c>
      <c r="W4308">
        <v>0.1442658</v>
      </c>
      <c r="X4308">
        <v>0.98951339999999999</v>
      </c>
      <c r="Y4308">
        <v>3.4944419999999999E-3</v>
      </c>
      <c r="Z4308">
        <v>-6.1316810000000002E-4</v>
      </c>
      <c r="AA4308">
        <v>0.99999369999999999</v>
      </c>
      <c r="AB4308">
        <v>38</v>
      </c>
      <c r="AC4308">
        <v>27.644400000000001</v>
      </c>
      <c r="AD4308">
        <v>-1.1100474167408001</v>
      </c>
      <c r="AE4308">
        <v>0.28069999999996698</v>
      </c>
      <c r="AF4308">
        <v>9.8030534197506805E-2</v>
      </c>
      <c r="AG4308">
        <v>-1.1100474167408001</v>
      </c>
      <c r="AH4308">
        <v>27.601151611792101</v>
      </c>
      <c r="AI4308">
        <v>92.303033415248706</v>
      </c>
      <c r="AJ4308">
        <v>89.796504423628306</v>
      </c>
      <c r="AK4308">
        <v>27.623638166435999</v>
      </c>
      <c r="AL4308">
        <v>81.705234684288897</v>
      </c>
      <c r="AM4308">
        <v>89.587791303610302</v>
      </c>
      <c r="AN4308">
        <v>1.0000000355432599</v>
      </c>
    </row>
    <row r="4309" spans="1:40" x14ac:dyDescent="0.25">
      <c r="A4309" t="str">
        <f>"20190312172203765"</f>
        <v>20190312172203765</v>
      </c>
      <c r="B4309" t="str">
        <f>"1552382523754854"</f>
        <v>1552382523754854</v>
      </c>
      <c r="C4309" t="s">
        <v>40</v>
      </c>
      <c r="D4309">
        <v>3.1455989999999998</v>
      </c>
      <c r="E4309">
        <v>0.49860149999999998</v>
      </c>
      <c r="F4309" t="s">
        <v>46</v>
      </c>
      <c r="G4309">
        <v>-263.08120000000002</v>
      </c>
      <c r="H4309" s="1">
        <v>5.2062880000000003E-8</v>
      </c>
      <c r="I4309">
        <v>215.7783</v>
      </c>
      <c r="J4309">
        <v>-291.34879999999998</v>
      </c>
      <c r="K4309">
        <v>1.1100509999999999</v>
      </c>
      <c r="L4309">
        <v>215.4742</v>
      </c>
      <c r="M4309">
        <v>0.99982320000000002</v>
      </c>
      <c r="N4309">
        <v>0</v>
      </c>
      <c r="O4309">
        <v>1.375411E-2</v>
      </c>
      <c r="P4309">
        <v>0.99125929999999995</v>
      </c>
      <c r="Q4309">
        <v>0.131747799999999</v>
      </c>
      <c r="R4309">
        <v>6.9100680000000001E-3</v>
      </c>
      <c r="S4309">
        <v>3.0418090000000002</v>
      </c>
      <c r="T4309">
        <v>-0.1178955</v>
      </c>
      <c r="U4309">
        <v>3.285217E-2</v>
      </c>
      <c r="V4309">
        <v>6.7118780000000001E-3</v>
      </c>
      <c r="W4309">
        <v>0.14445069999999999</v>
      </c>
      <c r="X4309">
        <v>0.98948930000000002</v>
      </c>
      <c r="Y4309">
        <v>2.9433469999999998E-3</v>
      </c>
      <c r="Z4309">
        <v>-5.8990919999999997E-4</v>
      </c>
      <c r="AA4309">
        <v>0.99999550000000004</v>
      </c>
      <c r="AB4309">
        <v>38</v>
      </c>
      <c r="AC4309">
        <v>28.267599999999899</v>
      </c>
      <c r="AD4309">
        <v>-1.1100509479371199</v>
      </c>
      <c r="AE4309">
        <v>0.30410000000000498</v>
      </c>
      <c r="AF4309">
        <v>8.4625926529764597E-2</v>
      </c>
      <c r="AG4309">
        <v>-1.1100509479371199</v>
      </c>
      <c r="AH4309">
        <v>28.225587451468201</v>
      </c>
      <c r="AI4309">
        <v>92.252147603400402</v>
      </c>
      <c r="AJ4309">
        <v>89.828216369020097</v>
      </c>
      <c r="AK4309">
        <v>28.247533726591701</v>
      </c>
      <c r="AL4309">
        <v>81.694528795129301</v>
      </c>
      <c r="AM4309">
        <v>89.611358724060594</v>
      </c>
      <c r="AN4309">
        <v>1.0000000644256299</v>
      </c>
    </row>
    <row r="4310" spans="1:40" x14ac:dyDescent="0.25">
      <c r="A4310" t="str">
        <f>"20190312172203782"</f>
        <v>20190312172203782</v>
      </c>
      <c r="B4310" t="str">
        <f>"1552382523775351"</f>
        <v>1552382523775351</v>
      </c>
      <c r="C4310" t="s">
        <v>40</v>
      </c>
      <c r="D4310">
        <v>3.153654</v>
      </c>
      <c r="E4310">
        <v>0.4984789</v>
      </c>
      <c r="F4310" t="s">
        <v>46</v>
      </c>
      <c r="G4310">
        <v>-262.11590000000001</v>
      </c>
      <c r="H4310" s="1">
        <v>-4.6298970000000002E-7</v>
      </c>
      <c r="I4310">
        <v>215.81</v>
      </c>
      <c r="J4310">
        <v>-291.084</v>
      </c>
      <c r="K4310">
        <v>1.1100509999999999</v>
      </c>
      <c r="L4310">
        <v>215.4778</v>
      </c>
      <c r="M4310">
        <v>0.99982269999999895</v>
      </c>
      <c r="N4310">
        <v>0</v>
      </c>
      <c r="O4310">
        <v>1.3789910000000001E-2</v>
      </c>
      <c r="P4310">
        <v>0.99125989999999997</v>
      </c>
      <c r="Q4310">
        <v>0.13173460000000001</v>
      </c>
      <c r="R4310">
        <v>7.069685E-3</v>
      </c>
      <c r="S4310">
        <v>3.041534</v>
      </c>
      <c r="T4310">
        <v>-0.1154951</v>
      </c>
      <c r="U4310">
        <v>3.4942630000000002E-2</v>
      </c>
      <c r="V4310">
        <v>6.5877679999999999E-3</v>
      </c>
      <c r="W4310">
        <v>0.144441299999999</v>
      </c>
      <c r="X4310">
        <v>0.98949149999999997</v>
      </c>
      <c r="Y4310">
        <v>2.2919120000000001E-3</v>
      </c>
      <c r="Z4310">
        <v>-5.6695200000000002E-4</v>
      </c>
      <c r="AA4310">
        <v>0.99999720000000003</v>
      </c>
      <c r="AB4310">
        <v>38</v>
      </c>
      <c r="AC4310">
        <v>28.9681</v>
      </c>
      <c r="AD4310">
        <v>-1.1100514629897</v>
      </c>
      <c r="AE4310">
        <v>0.3322</v>
      </c>
      <c r="AF4310">
        <v>6.7233213392066504E-2</v>
      </c>
      <c r="AG4310">
        <v>-1.1100514629897</v>
      </c>
      <c r="AH4310">
        <v>28.9274548223298</v>
      </c>
      <c r="AI4310">
        <v>92.197562900399802</v>
      </c>
      <c r="AJ4310">
        <v>89.866833343694495</v>
      </c>
      <c r="AK4310">
        <v>28.948823413973201</v>
      </c>
      <c r="AL4310">
        <v>81.695073031498595</v>
      </c>
      <c r="AM4310">
        <v>89.618545762071705</v>
      </c>
      <c r="AN4310">
        <v>1.0000000582025701</v>
      </c>
    </row>
    <row r="4311" spans="1:40" x14ac:dyDescent="0.25">
      <c r="A4311" t="str">
        <f>"20190312172203800"</f>
        <v>20190312172203800</v>
      </c>
      <c r="B4311" t="str">
        <f>"1552382523794870"</f>
        <v>1552382523794870</v>
      </c>
      <c r="C4311" t="s">
        <v>40</v>
      </c>
      <c r="D4311">
        <v>3.1386180000000001</v>
      </c>
      <c r="E4311">
        <v>0.49847619999999998</v>
      </c>
      <c r="F4311" t="s">
        <v>46</v>
      </c>
      <c r="G4311">
        <v>-261.71069999999997</v>
      </c>
      <c r="H4311" s="1">
        <v>-6.7932140000000002E-7</v>
      </c>
      <c r="I4311">
        <v>215.82560000000001</v>
      </c>
      <c r="J4311">
        <v>-290.75880000000001</v>
      </c>
      <c r="K4311">
        <v>1.1100479999999999</v>
      </c>
      <c r="L4311">
        <v>215.48240000000001</v>
      </c>
      <c r="M4311">
        <v>0.99982210000000005</v>
      </c>
      <c r="N4311">
        <v>0</v>
      </c>
      <c r="O4311">
        <v>1.3833760000000001E-2</v>
      </c>
      <c r="P4311">
        <v>0.99129100000000003</v>
      </c>
      <c r="Q4311">
        <v>0.13147790000000001</v>
      </c>
      <c r="R4311">
        <v>7.4836260000000002E-3</v>
      </c>
      <c r="S4311">
        <v>3.0414729999999999</v>
      </c>
      <c r="T4311">
        <v>-0.1149405</v>
      </c>
      <c r="U4311">
        <v>3.6010739999999999E-2</v>
      </c>
      <c r="V4311">
        <v>6.2177869999999998E-3</v>
      </c>
      <c r="W4311">
        <v>0.14418839999999999</v>
      </c>
      <c r="X4311">
        <v>0.98953069999999999</v>
      </c>
      <c r="Y4311">
        <v>1.984698E-3</v>
      </c>
      <c r="Z4311">
        <v>-5.6009449999999998E-4</v>
      </c>
      <c r="AA4311">
        <v>0.9999979</v>
      </c>
      <c r="AB4311">
        <v>38</v>
      </c>
      <c r="AC4311">
        <v>29.048100000000002</v>
      </c>
      <c r="AD4311">
        <v>-1.1100486793213999</v>
      </c>
      <c r="AE4311">
        <v>0.34319999999999501</v>
      </c>
      <c r="AF4311">
        <v>5.86247261687299E-2</v>
      </c>
      <c r="AG4311">
        <v>-1.1100486793213999</v>
      </c>
      <c r="AH4311">
        <v>29.007713351269299</v>
      </c>
      <c r="AI4311">
        <v>92.1914845728123</v>
      </c>
      <c r="AJ4311">
        <v>89.884205115696304</v>
      </c>
      <c r="AK4311">
        <v>29.0290040958761</v>
      </c>
      <c r="AL4311">
        <v>81.709715777646906</v>
      </c>
      <c r="AM4311">
        <v>89.639982605446207</v>
      </c>
      <c r="AN4311">
        <v>0.99999998090611297</v>
      </c>
    </row>
    <row r="4312" spans="1:40" x14ac:dyDescent="0.25">
      <c r="A4312" t="str">
        <f>"20190312172203824"</f>
        <v>20190312172203824</v>
      </c>
      <c r="B4312" t="str">
        <f>"1552382523815367"</f>
        <v>1552382523815367</v>
      </c>
      <c r="C4312" t="s">
        <v>40</v>
      </c>
      <c r="D4312">
        <v>3.1293280000000001</v>
      </c>
      <c r="E4312">
        <v>0.49845339999999999</v>
      </c>
      <c r="F4312" t="s">
        <v>46</v>
      </c>
      <c r="G4312">
        <v>-261.62759999999997</v>
      </c>
      <c r="H4312" s="1">
        <v>-7.2422359999999899E-7</v>
      </c>
      <c r="I4312">
        <v>215.84119999999999</v>
      </c>
      <c r="J4312">
        <v>-290.37470000000002</v>
      </c>
      <c r="K4312">
        <v>1.1100490000000001</v>
      </c>
      <c r="L4312">
        <v>215.48779999999999</v>
      </c>
      <c r="M4312">
        <v>0.99982130000000002</v>
      </c>
      <c r="N4312">
        <v>0</v>
      </c>
      <c r="O4312">
        <v>1.3885949999999999E-2</v>
      </c>
      <c r="P4312">
        <v>0.99129149999999999</v>
      </c>
      <c r="Q4312">
        <v>0.1314891</v>
      </c>
      <c r="R4312">
        <v>7.2178469999999899E-3</v>
      </c>
      <c r="S4312">
        <v>3.0414729999999999</v>
      </c>
      <c r="T4312">
        <v>-0.1158957</v>
      </c>
      <c r="U4312">
        <v>3.746033E-2</v>
      </c>
      <c r="V4312">
        <v>6.5352680000000003E-3</v>
      </c>
      <c r="W4312">
        <v>0.144203</v>
      </c>
      <c r="X4312">
        <v>0.98952660000000003</v>
      </c>
      <c r="Y4312">
        <v>1.560442E-3</v>
      </c>
      <c r="Z4312">
        <v>-5.5865190000000005E-4</v>
      </c>
      <c r="AA4312">
        <v>0.99999859999999896</v>
      </c>
      <c r="AB4312">
        <v>38</v>
      </c>
      <c r="AC4312">
        <v>28.7471</v>
      </c>
      <c r="AD4312">
        <v>-1.1100497242236</v>
      </c>
      <c r="AE4312">
        <v>0.353399999999993</v>
      </c>
      <c r="AF4312">
        <v>4.5779468184442298E-2</v>
      </c>
      <c r="AG4312">
        <v>-1.1100497242236</v>
      </c>
      <c r="AH4312">
        <v>28.7064388871636</v>
      </c>
      <c r="AI4312">
        <v>92.214465241305206</v>
      </c>
      <c r="AJ4312">
        <v>89.908627883031897</v>
      </c>
      <c r="AK4312">
        <v>28.727929610962502</v>
      </c>
      <c r="AL4312">
        <v>81.708871030933494</v>
      </c>
      <c r="AM4312">
        <v>89.621599024930404</v>
      </c>
      <c r="AN4312">
        <v>1.00000005352219</v>
      </c>
    </row>
    <row r="4313" spans="1:40" x14ac:dyDescent="0.25">
      <c r="A4313" t="str">
        <f>"20190312172203844"</f>
        <v>20190312172203844</v>
      </c>
      <c r="B4313" t="str">
        <f>"1552382523834887"</f>
        <v>1552382523834887</v>
      </c>
      <c r="C4313" t="s">
        <v>40</v>
      </c>
      <c r="D4313">
        <v>3.086522</v>
      </c>
      <c r="E4313">
        <v>0.49848740000000002</v>
      </c>
      <c r="F4313" t="s">
        <v>46</v>
      </c>
      <c r="G4313">
        <v>-261.11270000000002</v>
      </c>
      <c r="H4313" s="1">
        <v>-9.9838220000000006E-7</v>
      </c>
      <c r="I4313">
        <v>215.84540000000001</v>
      </c>
      <c r="J4313">
        <v>-290.01530000000002</v>
      </c>
      <c r="K4313">
        <v>1.110052</v>
      </c>
      <c r="L4313">
        <v>215.49279999999999</v>
      </c>
      <c r="M4313">
        <v>0.99982059999999995</v>
      </c>
      <c r="N4313">
        <v>0</v>
      </c>
      <c r="O4313">
        <v>1.393463E-2</v>
      </c>
      <c r="P4313">
        <v>0.99128349999999998</v>
      </c>
      <c r="Q4313">
        <v>0.1315607</v>
      </c>
      <c r="R4313">
        <v>7.0247460000000001E-3</v>
      </c>
      <c r="S4313">
        <v>3.0414119999999998</v>
      </c>
      <c r="T4313">
        <v>-0.1153758</v>
      </c>
      <c r="U4313">
        <v>3.7170410000000001E-2</v>
      </c>
      <c r="V4313">
        <v>6.7762889999999996E-3</v>
      </c>
      <c r="W4313">
        <v>0.14427760000000001</v>
      </c>
      <c r="X4313">
        <v>0.98951409999999995</v>
      </c>
      <c r="Y4313">
        <v>1.7041529999999999E-3</v>
      </c>
      <c r="Z4313">
        <v>-5.6072939999999996E-4</v>
      </c>
      <c r="AA4313">
        <v>0.99999839999999995</v>
      </c>
      <c r="AB4313">
        <v>38</v>
      </c>
      <c r="AC4313">
        <v>28.9026</v>
      </c>
      <c r="AD4313">
        <v>-1.1100529983822001</v>
      </c>
      <c r="AE4313">
        <v>0.35260000000002301</v>
      </c>
      <c r="AF4313">
        <v>5.0140476270125599E-2</v>
      </c>
      <c r="AG4313">
        <v>-1.1100529983822001</v>
      </c>
      <c r="AH4313">
        <v>28.862139654838199</v>
      </c>
      <c r="AI4313">
        <v>92.202536770183002</v>
      </c>
      <c r="AJ4313">
        <v>89.9004635547698</v>
      </c>
      <c r="AK4313">
        <v>28.883521897129601</v>
      </c>
      <c r="AL4313">
        <v>81.704551558793199</v>
      </c>
      <c r="AM4313">
        <v>89.607639050916205</v>
      </c>
      <c r="AN4313">
        <v>1.0000000490265799</v>
      </c>
    </row>
    <row r="4314" spans="1:40" x14ac:dyDescent="0.25">
      <c r="A4314" t="str">
        <f>"20190312172203877"</f>
        <v>20190312172203877</v>
      </c>
      <c r="B4314" t="str">
        <f>"1552382523874903"</f>
        <v>1552382523874903</v>
      </c>
      <c r="C4314" t="s">
        <v>40</v>
      </c>
      <c r="D4314">
        <v>3.1127910000000001</v>
      </c>
      <c r="E4314">
        <v>0.49845390000000001</v>
      </c>
      <c r="F4314" t="s">
        <v>46</v>
      </c>
      <c r="G4314">
        <v>-260.30059999999997</v>
      </c>
      <c r="H4314" s="1">
        <v>-1.4307290000000001E-6</v>
      </c>
      <c r="I4314">
        <v>215.84899999999999</v>
      </c>
      <c r="J4314">
        <v>-289.4538</v>
      </c>
      <c r="K4314">
        <v>1.1100479999999999</v>
      </c>
      <c r="L4314">
        <v>215.5008</v>
      </c>
      <c r="M4314">
        <v>0.99981949999999997</v>
      </c>
      <c r="N4314">
        <v>0</v>
      </c>
      <c r="O4314">
        <v>1.4011310000000001E-2</v>
      </c>
      <c r="P4314">
        <v>0.99131820000000004</v>
      </c>
      <c r="Q4314">
        <v>0.13129399999999999</v>
      </c>
      <c r="R4314">
        <v>7.124254E-3</v>
      </c>
      <c r="S4314">
        <v>3.0411990000000002</v>
      </c>
      <c r="T4314">
        <v>-0.11361</v>
      </c>
      <c r="U4314">
        <v>3.645325E-2</v>
      </c>
      <c r="V4314">
        <v>6.7531889999999997E-3</v>
      </c>
      <c r="W4314">
        <v>0.1440147</v>
      </c>
      <c r="X4314">
        <v>0.98955249999999995</v>
      </c>
      <c r="Y4314">
        <v>2.0158469999999999E-3</v>
      </c>
      <c r="Z4314">
        <v>-5.6087659999999996E-4</v>
      </c>
      <c r="AA4314">
        <v>0.99999780000000005</v>
      </c>
      <c r="AB4314">
        <v>38</v>
      </c>
      <c r="AC4314">
        <v>29.153199999999998</v>
      </c>
      <c r="AD4314">
        <v>-1.1100494307290001</v>
      </c>
      <c r="AE4314">
        <v>0.34820000000001899</v>
      </c>
      <c r="AF4314">
        <v>6.0254994647028E-2</v>
      </c>
      <c r="AG4314">
        <v>-1.1100494307290001</v>
      </c>
      <c r="AH4314">
        <v>29.1130144722027</v>
      </c>
      <c r="AI4314">
        <v>92.183566968350306</v>
      </c>
      <c r="AJ4314">
        <v>89.881415510522601</v>
      </c>
      <c r="AK4314">
        <v>29.134231619552398</v>
      </c>
      <c r="AL4314">
        <v>81.719773139175402</v>
      </c>
      <c r="AM4314">
        <v>89.608991719770302</v>
      </c>
      <c r="AN4314">
        <v>0.99999999481700397</v>
      </c>
    </row>
    <row r="4315" spans="1:40" x14ac:dyDescent="0.25">
      <c r="A4315" t="str">
        <f>"20190312172203901"</f>
        <v>20190312172203901</v>
      </c>
      <c r="B4315" t="str">
        <f>"1552382523895399"</f>
        <v>1552382523895399</v>
      </c>
      <c r="C4315" t="s">
        <v>40</v>
      </c>
      <c r="D4315">
        <v>3.0761530000000001</v>
      </c>
      <c r="E4315">
        <v>0.49842209999999998</v>
      </c>
      <c r="F4315" t="s">
        <v>46</v>
      </c>
      <c r="G4315">
        <v>-259.0179</v>
      </c>
      <c r="H4315" s="1">
        <v>3.2074899999999999E-6</v>
      </c>
      <c r="I4315">
        <v>215.8656</v>
      </c>
      <c r="J4315">
        <v>-289.06959999999998</v>
      </c>
      <c r="K4315">
        <v>1.110053</v>
      </c>
      <c r="L4315">
        <v>215.50620000000001</v>
      </c>
      <c r="M4315">
        <v>0.99981869999999995</v>
      </c>
      <c r="N4315">
        <v>0</v>
      </c>
      <c r="O4315">
        <v>1.4063519999999999E-2</v>
      </c>
      <c r="P4315">
        <v>0.99132659999999995</v>
      </c>
      <c r="Q4315">
        <v>0.13122159999999999</v>
      </c>
      <c r="R4315">
        <v>7.2497309999999997E-3</v>
      </c>
      <c r="S4315">
        <v>3.0407410000000001</v>
      </c>
      <c r="T4315">
        <v>-0.1109006</v>
      </c>
      <c r="U4315">
        <v>3.645325E-2</v>
      </c>
      <c r="V4315">
        <v>6.6798109999999999E-3</v>
      </c>
      <c r="W4315">
        <v>0.14394399999999999</v>
      </c>
      <c r="X4315">
        <v>0.98956330000000003</v>
      </c>
      <c r="Y4315">
        <v>2.0667099999999998E-3</v>
      </c>
      <c r="Z4315">
        <v>-5.5042290000000005E-4</v>
      </c>
      <c r="AA4315">
        <v>0.99999769999999999</v>
      </c>
      <c r="AB4315">
        <v>38</v>
      </c>
      <c r="AC4315">
        <v>30.051699999999901</v>
      </c>
      <c r="AD4315">
        <v>-1.1100497925099999</v>
      </c>
      <c r="AE4315">
        <v>0.359399999999993</v>
      </c>
      <c r="AF4315">
        <v>6.3216817393903404E-2</v>
      </c>
      <c r="AG4315">
        <v>-1.1100497925099999</v>
      </c>
      <c r="AH4315">
        <v>30.012838214091101</v>
      </c>
      <c r="AI4315">
        <v>92.118161884025298</v>
      </c>
      <c r="AJ4315">
        <v>89.879316596166305</v>
      </c>
      <c r="AK4315">
        <v>30.0334257881624</v>
      </c>
      <c r="AL4315">
        <v>81.723866727218294</v>
      </c>
      <c r="AM4315">
        <v>89.613244382326897</v>
      </c>
      <c r="AN4315">
        <v>1.0000000098589401</v>
      </c>
    </row>
    <row r="4316" spans="1:40" x14ac:dyDescent="0.25">
      <c r="A4316" t="str">
        <f>"20190312172203923"</f>
        <v>20190312172203923</v>
      </c>
      <c r="B4316" t="str">
        <f>"1552382523914919"</f>
        <v>1552382523914919</v>
      </c>
      <c r="C4316" t="s">
        <v>40</v>
      </c>
      <c r="D4316">
        <v>3.0841069999999999</v>
      </c>
      <c r="E4316">
        <v>0.49837609999999899</v>
      </c>
      <c r="F4316" t="s">
        <v>46</v>
      </c>
      <c r="G4316">
        <v>-258.22660000000002</v>
      </c>
      <c r="H4316" s="1">
        <v>2.7857209999999998E-6</v>
      </c>
      <c r="I4316">
        <v>215.88059999999999</v>
      </c>
      <c r="J4316">
        <v>-288.68340000000001</v>
      </c>
      <c r="K4316">
        <v>1.1100509999999999</v>
      </c>
      <c r="L4316">
        <v>215.51169999999999</v>
      </c>
      <c r="M4316">
        <v>0.99981799999999998</v>
      </c>
      <c r="N4316">
        <v>0</v>
      </c>
      <c r="O4316">
        <v>1.411608E-2</v>
      </c>
      <c r="P4316">
        <v>0.99135680000000004</v>
      </c>
      <c r="Q4316">
        <v>0.13098959999999901</v>
      </c>
      <c r="R4316">
        <v>7.3200339999999996E-3</v>
      </c>
      <c r="S4316">
        <v>3.0404659999999999</v>
      </c>
      <c r="T4316">
        <v>-0.1094275</v>
      </c>
      <c r="U4316">
        <v>3.6911010000000001E-2</v>
      </c>
      <c r="V4316">
        <v>6.6621859999999996E-3</v>
      </c>
      <c r="W4316">
        <v>0.14371320000000001</v>
      </c>
      <c r="X4316">
        <v>0.98959699999999995</v>
      </c>
      <c r="Y4316">
        <v>1.967978E-3</v>
      </c>
      <c r="Z4316">
        <v>-5.4327930000000002E-4</v>
      </c>
      <c r="AA4316">
        <v>0.9999979</v>
      </c>
      <c r="AB4316">
        <v>38</v>
      </c>
      <c r="AC4316">
        <v>30.456799999999902</v>
      </c>
      <c r="AD4316">
        <v>-1.110048214279</v>
      </c>
      <c r="AE4316">
        <v>0.36889999999999601</v>
      </c>
      <c r="AF4316">
        <v>6.1021750421673501E-2</v>
      </c>
      <c r="AG4316">
        <v>-1.110048214279</v>
      </c>
      <c r="AH4316">
        <v>30.418571905265601</v>
      </c>
      <c r="AI4316">
        <v>92.089931774875296</v>
      </c>
      <c r="AJ4316">
        <v>89.885060874043901</v>
      </c>
      <c r="AK4316">
        <v>30.438880522250901</v>
      </c>
      <c r="AL4316">
        <v>81.737229827751406</v>
      </c>
      <c r="AM4316">
        <v>89.614277960131304</v>
      </c>
      <c r="AN4316">
        <v>1.00000004549276</v>
      </c>
    </row>
    <row r="4317" spans="1:40" x14ac:dyDescent="0.25">
      <c r="A4317" t="str">
        <f>"20190312172203944"</f>
        <v>20190312172203944</v>
      </c>
      <c r="B4317" t="str">
        <f>"1552382523935418"</f>
        <v>1552382523935418</v>
      </c>
      <c r="C4317" t="s">
        <v>40</v>
      </c>
      <c r="D4317">
        <v>3.0650940000000002</v>
      </c>
      <c r="E4317">
        <v>0.49835770000000001</v>
      </c>
      <c r="F4317" t="s">
        <v>46</v>
      </c>
      <c r="G4317">
        <v>-257.654</v>
      </c>
      <c r="H4317" s="1">
        <v>2.4802669999999999E-6</v>
      </c>
      <c r="I4317">
        <v>215.8973</v>
      </c>
      <c r="J4317">
        <v>-288.32299999999998</v>
      </c>
      <c r="K4317">
        <v>1.110047</v>
      </c>
      <c r="L4317">
        <v>215.51689999999999</v>
      </c>
      <c r="M4317">
        <v>0.99981710000000001</v>
      </c>
      <c r="N4317">
        <v>0</v>
      </c>
      <c r="O4317">
        <v>1.41659E-2</v>
      </c>
      <c r="P4317">
        <v>0.99138490000000001</v>
      </c>
      <c r="Q4317">
        <v>0.13077510000000001</v>
      </c>
      <c r="R4317">
        <v>7.3306219999999898E-3</v>
      </c>
      <c r="S4317">
        <v>3.0402830000000001</v>
      </c>
      <c r="T4317">
        <v>-0.1087631</v>
      </c>
      <c r="U4317">
        <v>3.7780759999999997E-2</v>
      </c>
      <c r="V4317">
        <v>6.7013319999999999E-3</v>
      </c>
      <c r="W4317">
        <v>0.14349990000000001</v>
      </c>
      <c r="X4317">
        <v>0.9896277</v>
      </c>
      <c r="Y4317">
        <v>1.7312880000000001E-3</v>
      </c>
      <c r="Z4317">
        <v>-5.3756370000000004E-4</v>
      </c>
      <c r="AA4317">
        <v>0.99999830000000001</v>
      </c>
      <c r="AB4317">
        <v>38</v>
      </c>
      <c r="AC4317">
        <v>30.668999999999901</v>
      </c>
      <c r="AD4317">
        <v>-1.110044519733</v>
      </c>
      <c r="AE4317">
        <v>0.38040000000000801</v>
      </c>
      <c r="AF4317">
        <v>5.4057224800593801E-2</v>
      </c>
      <c r="AG4317">
        <v>-1.110044519733</v>
      </c>
      <c r="AH4317">
        <v>30.6311896401951</v>
      </c>
      <c r="AI4317">
        <v>92.075431877263696</v>
      </c>
      <c r="AJ4317">
        <v>89.898885820163898</v>
      </c>
      <c r="AK4317">
        <v>30.6513441759564</v>
      </c>
      <c r="AL4317">
        <v>81.749579112644099</v>
      </c>
      <c r="AM4317">
        <v>89.612023620409502</v>
      </c>
      <c r="AN4317">
        <v>1.00000005687893</v>
      </c>
    </row>
    <row r="4318" spans="1:40" x14ac:dyDescent="0.25">
      <c r="A4318" t="str">
        <f>"20190312172203966"</f>
        <v>20190312172203966</v>
      </c>
      <c r="B4318" t="str">
        <f>"1552382523954935"</f>
        <v>1552382523954935</v>
      </c>
      <c r="C4318" t="s">
        <v>40</v>
      </c>
      <c r="D4318">
        <v>3.232224</v>
      </c>
      <c r="E4318">
        <v>0.49835119999999999</v>
      </c>
      <c r="F4318" t="s">
        <v>46</v>
      </c>
      <c r="G4318">
        <v>-257.1687</v>
      </c>
      <c r="H4318" s="1">
        <v>2.2214999999999998E-6</v>
      </c>
      <c r="I4318">
        <v>215.90969999999999</v>
      </c>
      <c r="J4318">
        <v>-287.94889999999998</v>
      </c>
      <c r="K4318">
        <v>1.1100509999999999</v>
      </c>
      <c r="L4318">
        <v>215.5222</v>
      </c>
      <c r="M4318">
        <v>0.9998165</v>
      </c>
      <c r="N4318">
        <v>0</v>
      </c>
      <c r="O4318">
        <v>1.421679E-2</v>
      </c>
      <c r="P4318">
        <v>0.99140139999999999</v>
      </c>
      <c r="Q4318">
        <v>0.13065450000000001</v>
      </c>
      <c r="R4318">
        <v>7.3015689999999999E-3</v>
      </c>
      <c r="S4318">
        <v>3.0400390000000002</v>
      </c>
      <c r="T4318">
        <v>-0.10831830000000001</v>
      </c>
      <c r="U4318">
        <v>3.8330080000000002E-2</v>
      </c>
      <c r="V4318">
        <v>6.7809929999999999E-3</v>
      </c>
      <c r="W4318">
        <v>0.1433815</v>
      </c>
      <c r="X4318">
        <v>0.98964430000000003</v>
      </c>
      <c r="Y4318">
        <v>1.6006519999999999E-3</v>
      </c>
      <c r="Z4318">
        <v>-5.3489499999999997E-4</v>
      </c>
      <c r="AA4318">
        <v>0.99999859999999896</v>
      </c>
      <c r="AB4318">
        <v>38</v>
      </c>
      <c r="AC4318">
        <v>30.780199999999901</v>
      </c>
      <c r="AD4318">
        <v>-1.1100487784999999</v>
      </c>
      <c r="AE4318">
        <v>0.38749999999998802</v>
      </c>
      <c r="AF4318">
        <v>5.0105724489748101E-2</v>
      </c>
      <c r="AG4318">
        <v>-1.1100487784999999</v>
      </c>
      <c r="AH4318">
        <v>30.7426209007089</v>
      </c>
      <c r="AI4318">
        <v>92.067924104816996</v>
      </c>
      <c r="AJ4318">
        <v>89.906616810259905</v>
      </c>
      <c r="AK4318">
        <v>30.762695894849401</v>
      </c>
      <c r="AL4318">
        <v>81.756433664794997</v>
      </c>
      <c r="AM4318">
        <v>89.607418342421596</v>
      </c>
      <c r="AN4318">
        <v>1.0000000384654</v>
      </c>
    </row>
    <row r="4319" spans="1:40" x14ac:dyDescent="0.25">
      <c r="A4319" t="str">
        <f>"20190312172203990"</f>
        <v>20190312172203990</v>
      </c>
      <c r="B4319" t="str">
        <f>"1552382523985191"</f>
        <v>1552382523985191</v>
      </c>
      <c r="C4319" t="s">
        <v>40</v>
      </c>
      <c r="D4319">
        <v>3.0911919999999999</v>
      </c>
      <c r="E4319">
        <v>0.49833139999999998</v>
      </c>
      <c r="F4319" t="s">
        <v>46</v>
      </c>
      <c r="G4319">
        <v>-256.62610000000001</v>
      </c>
      <c r="H4319" s="1">
        <v>1.9325129999999999E-6</v>
      </c>
      <c r="I4319">
        <v>215.91550000000001</v>
      </c>
      <c r="J4319">
        <v>-287.55520000000001</v>
      </c>
      <c r="K4319">
        <v>1.11005</v>
      </c>
      <c r="L4319">
        <v>215.52789999999999</v>
      </c>
      <c r="M4319">
        <v>0.99981580000000003</v>
      </c>
      <c r="N4319">
        <v>0</v>
      </c>
      <c r="O4319">
        <v>1.4265160000000001E-2</v>
      </c>
      <c r="P4319">
        <v>0.99138579999999998</v>
      </c>
      <c r="Q4319">
        <v>0.13076380000000001</v>
      </c>
      <c r="R4319">
        <v>7.4377489999999996E-3</v>
      </c>
      <c r="S4319">
        <v>3.0399780000000001</v>
      </c>
      <c r="T4319">
        <v>-0.1077338</v>
      </c>
      <c r="U4319">
        <v>3.8162229999999998E-2</v>
      </c>
      <c r="V4319">
        <v>6.6921319999999999E-3</v>
      </c>
      <c r="W4319">
        <v>0.14349899999999999</v>
      </c>
      <c r="X4319">
        <v>0.98962779999999995</v>
      </c>
      <c r="Y4319">
        <v>1.7039970000000001E-3</v>
      </c>
      <c r="Z4319">
        <v>-5.3556570000000002E-4</v>
      </c>
      <c r="AA4319">
        <v>0.99999839999999995</v>
      </c>
      <c r="AB4319">
        <v>38</v>
      </c>
      <c r="AC4319">
        <v>30.929099999999998</v>
      </c>
      <c r="AD4319">
        <v>-1.1100480674869999</v>
      </c>
      <c r="AE4319">
        <v>0.38760000000001998</v>
      </c>
      <c r="AF4319">
        <v>5.3615330793044903E-2</v>
      </c>
      <c r="AG4319">
        <v>-1.1100480674869999</v>
      </c>
      <c r="AH4319">
        <v>30.8916967038435</v>
      </c>
      <c r="AI4319">
        <v>92.057951725392201</v>
      </c>
      <c r="AJ4319">
        <v>89.900558097646893</v>
      </c>
      <c r="AK4319">
        <v>30.911680746249999</v>
      </c>
      <c r="AL4319">
        <v>81.749630455478894</v>
      </c>
      <c r="AM4319">
        <v>89.612556281104304</v>
      </c>
      <c r="AN4319">
        <v>0.99999996508227196</v>
      </c>
    </row>
    <row r="4320" spans="1:40" x14ac:dyDescent="0.25">
      <c r="A4320" t="str">
        <f>"20190312172204012"</f>
        <v>20190312172204012</v>
      </c>
      <c r="B4320" t="str">
        <f>"1552382524004710"</f>
        <v>1552382524004710</v>
      </c>
      <c r="C4320" t="s">
        <v>40</v>
      </c>
      <c r="D4320">
        <v>3.0780500000000002</v>
      </c>
      <c r="E4320">
        <v>0.49834119999999998</v>
      </c>
      <c r="F4320" t="s">
        <v>46</v>
      </c>
      <c r="G4320">
        <v>-255.72890000000001</v>
      </c>
      <c r="H4320" s="1">
        <v>1.4542869999999901E-6</v>
      </c>
      <c r="I4320">
        <v>215.93289999999999</v>
      </c>
      <c r="J4320">
        <v>-287.17380000000003</v>
      </c>
      <c r="K4320">
        <v>1.110055</v>
      </c>
      <c r="L4320">
        <v>215.5334</v>
      </c>
      <c r="M4320">
        <v>0.99981469999999995</v>
      </c>
      <c r="N4320">
        <v>0</v>
      </c>
      <c r="O4320">
        <v>1.431206E-2</v>
      </c>
      <c r="P4320">
        <v>0.99132560000000003</v>
      </c>
      <c r="Q4320">
        <v>0.13121549999999901</v>
      </c>
      <c r="R4320">
        <v>7.5044059999999999E-3</v>
      </c>
      <c r="S4320">
        <v>3.0397949999999998</v>
      </c>
      <c r="T4320">
        <v>-0.1060228</v>
      </c>
      <c r="U4320">
        <v>3.8681029999999998E-2</v>
      </c>
      <c r="V4320">
        <v>6.671153E-3</v>
      </c>
      <c r="W4320">
        <v>0.14396700000000001</v>
      </c>
      <c r="X4320">
        <v>0.98956</v>
      </c>
      <c r="Y4320">
        <v>1.579879E-3</v>
      </c>
      <c r="Z4320">
        <v>-5.2656779999999998E-4</v>
      </c>
      <c r="AA4320">
        <v>0.99999859999999896</v>
      </c>
      <c r="AB4320">
        <v>38</v>
      </c>
      <c r="AC4320">
        <v>31.444900000000001</v>
      </c>
      <c r="AD4320">
        <v>-1.1100535457130001</v>
      </c>
      <c r="AE4320">
        <v>0.39949999999998898</v>
      </c>
      <c r="AF4320">
        <v>5.0556524293934098E-2</v>
      </c>
      <c r="AG4320">
        <v>-1.1100535457130001</v>
      </c>
      <c r="AH4320">
        <v>31.408262303659502</v>
      </c>
      <c r="AI4320">
        <v>92.024143789193502</v>
      </c>
      <c r="AJ4320">
        <v>89.907773536175398</v>
      </c>
      <c r="AK4320">
        <v>31.427913003761098</v>
      </c>
      <c r="AL4320">
        <v>81.722534950670607</v>
      </c>
      <c r="AM4320">
        <v>89.613744370231302</v>
      </c>
      <c r="AN4320">
        <v>0.99999999748567403</v>
      </c>
    </row>
    <row r="4321" spans="1:40" x14ac:dyDescent="0.25">
      <c r="A4321" t="str">
        <f>"20190312172204034"</f>
        <v>20190312172204034</v>
      </c>
      <c r="B4321" t="str">
        <f>"1552382524025207"</f>
        <v>1552382524025207</v>
      </c>
      <c r="C4321" t="s">
        <v>40</v>
      </c>
      <c r="D4321">
        <v>3.2468499999999998</v>
      </c>
      <c r="E4321">
        <v>0.48303869999999999</v>
      </c>
      <c r="F4321" t="s">
        <v>46</v>
      </c>
      <c r="G4321">
        <v>-254.87260000000001</v>
      </c>
      <c r="H4321" s="1">
        <v>9.9799969999999999E-7</v>
      </c>
      <c r="I4321">
        <v>215.94710000000001</v>
      </c>
      <c r="J4321">
        <v>-286.80020000000002</v>
      </c>
      <c r="K4321">
        <v>1.110061</v>
      </c>
      <c r="L4321">
        <v>215.53890000000001</v>
      </c>
      <c r="M4321">
        <v>0.99981350000000002</v>
      </c>
      <c r="N4321">
        <v>0</v>
      </c>
      <c r="O4321">
        <v>1.4367339999999999E-2</v>
      </c>
      <c r="P4321">
        <v>0.99133329999999997</v>
      </c>
      <c r="Q4321">
        <v>0.1311359</v>
      </c>
      <c r="R4321">
        <v>7.8464629999999997E-3</v>
      </c>
      <c r="S4321">
        <v>3.0397639999999999</v>
      </c>
      <c r="T4321">
        <v>-0.1044638</v>
      </c>
      <c r="U4321">
        <v>3.8925170000000002E-2</v>
      </c>
      <c r="V4321">
        <v>6.3859719999999898E-3</v>
      </c>
      <c r="W4321">
        <v>0.14391660000000001</v>
      </c>
      <c r="X4321">
        <v>0.98956920000000004</v>
      </c>
      <c r="Y4321">
        <v>1.5550060000000001E-3</v>
      </c>
      <c r="Z4321">
        <v>-5.2030619999999996E-4</v>
      </c>
      <c r="AA4321">
        <v>0.99999859999999896</v>
      </c>
      <c r="AB4321">
        <v>38</v>
      </c>
      <c r="AC4321">
        <v>31.927600000000002</v>
      </c>
      <c r="AD4321">
        <v>-1.1100600020003</v>
      </c>
      <c r="AE4321">
        <v>0.40819999999999301</v>
      </c>
      <c r="AF4321">
        <v>5.0533950940204797E-2</v>
      </c>
      <c r="AG4321">
        <v>-1.1100600020003</v>
      </c>
      <c r="AH4321">
        <v>31.8916244430349</v>
      </c>
      <c r="AI4321">
        <v>91.993501669197698</v>
      </c>
      <c r="AJ4321">
        <v>89.909211909448999</v>
      </c>
      <c r="AK4321">
        <v>31.910977680162301</v>
      </c>
      <c r="AL4321">
        <v>81.725452942453899</v>
      </c>
      <c r="AM4321">
        <v>89.630259142385398</v>
      </c>
      <c r="AN4321">
        <v>0.99999998499129195</v>
      </c>
    </row>
    <row r="4322" spans="1:40" x14ac:dyDescent="0.25">
      <c r="A4322" t="str">
        <f>"20190312172204056"</f>
        <v>20190312172204056</v>
      </c>
      <c r="B4322" t="str">
        <f>"1552382524044727"</f>
        <v>1552382524044727</v>
      </c>
      <c r="C4322" t="s">
        <v>40</v>
      </c>
      <c r="D4322">
        <v>3.1033460000000002</v>
      </c>
      <c r="E4322">
        <v>0.48242620000000003</v>
      </c>
      <c r="F4322" t="s">
        <v>45</v>
      </c>
      <c r="G4322">
        <v>-178.3623</v>
      </c>
      <c r="H4322">
        <v>8.0000479999999999E-2</v>
      </c>
      <c r="I4322">
        <v>221.30789999999999</v>
      </c>
      <c r="J4322">
        <v>-286.43819999999999</v>
      </c>
      <c r="K4322">
        <v>1.110066</v>
      </c>
      <c r="L4322">
        <v>215.54409999999999</v>
      </c>
      <c r="M4322">
        <v>0.99981209999999998</v>
      </c>
      <c r="N4322">
        <v>0</v>
      </c>
      <c r="O4322">
        <v>1.442506E-2</v>
      </c>
      <c r="P4322">
        <v>0.991309</v>
      </c>
      <c r="Q4322">
        <v>0.131288299999999</v>
      </c>
      <c r="R4322">
        <v>8.3643539999999992E-3</v>
      </c>
      <c r="S4322">
        <v>3.0287480000000002</v>
      </c>
      <c r="T4322">
        <v>-2.877033E-2</v>
      </c>
      <c r="U4322">
        <v>0.16113279999999999</v>
      </c>
      <c r="V4322">
        <v>5.9263340000000001E-3</v>
      </c>
      <c r="W4322">
        <v>0.14411009999999999</v>
      </c>
      <c r="X4322">
        <v>0.98954390000000003</v>
      </c>
      <c r="Y4322">
        <v>-3.8713490000000003E-2</v>
      </c>
      <c r="Z4322" s="1">
        <v>4.681754E-5</v>
      </c>
      <c r="AA4322">
        <v>0.99925039999999998</v>
      </c>
      <c r="AB4322">
        <v>38</v>
      </c>
      <c r="AC4322">
        <v>108.0759</v>
      </c>
      <c r="AD4322">
        <v>-1.03006552</v>
      </c>
      <c r="AE4322">
        <v>5.7637999999999998</v>
      </c>
      <c r="AF4322">
        <v>-4.2036873532566297</v>
      </c>
      <c r="AG4322">
        <v>-1.03006552</v>
      </c>
      <c r="AH4322">
        <v>108.138008037091</v>
      </c>
      <c r="AI4322">
        <v>90.545340950149196</v>
      </c>
      <c r="AJ4322">
        <v>92.226158378682996</v>
      </c>
      <c r="AK4322">
        <v>108.2245850284</v>
      </c>
      <c r="AL4322">
        <v>81.714249430578207</v>
      </c>
      <c r="AM4322">
        <v>89.656862250767503</v>
      </c>
      <c r="AN4322">
        <v>0.99999998619194896</v>
      </c>
    </row>
    <row r="4323" spans="1:40" x14ac:dyDescent="0.25">
      <c r="A4323" t="str">
        <f>"20190312172204078"</f>
        <v>20190312172204078</v>
      </c>
      <c r="B4323" t="str">
        <f>"1552382524074984"</f>
        <v>1552382524074984</v>
      </c>
      <c r="C4323" t="s">
        <v>40</v>
      </c>
      <c r="D4323">
        <v>3.0794260000000002</v>
      </c>
      <c r="E4323">
        <v>0.4818576</v>
      </c>
      <c r="F4323" t="s">
        <v>60</v>
      </c>
      <c r="G4323">
        <v>-168.35059999999999</v>
      </c>
      <c r="H4323">
        <v>0.173563</v>
      </c>
      <c r="I4323">
        <v>222.07660000000001</v>
      </c>
      <c r="J4323">
        <v>-286.05259999999998</v>
      </c>
      <c r="K4323">
        <v>1.110082</v>
      </c>
      <c r="L4323">
        <v>215.5497</v>
      </c>
      <c r="M4323">
        <v>0.99981070000000005</v>
      </c>
      <c r="N4323">
        <v>0</v>
      </c>
      <c r="O4323">
        <v>1.4485299999999901E-2</v>
      </c>
      <c r="P4323">
        <v>0.99133709999999997</v>
      </c>
      <c r="Q4323">
        <v>0.13107279999999999</v>
      </c>
      <c r="R4323">
        <v>8.4095750000000007E-3</v>
      </c>
      <c r="S4323">
        <v>3.028076</v>
      </c>
      <c r="T4323">
        <v>-2.401292E-2</v>
      </c>
      <c r="U4323">
        <v>0.16751099999999999</v>
      </c>
      <c r="V4323">
        <v>5.9416340000000003E-3</v>
      </c>
      <c r="W4323">
        <v>0.14394960000000001</v>
      </c>
      <c r="X4323">
        <v>0.98956719999999998</v>
      </c>
      <c r="Y4323">
        <v>-4.0763800000000003E-2</v>
      </c>
      <c r="Z4323" s="1">
        <v>4.6728920000000001E-5</v>
      </c>
      <c r="AA4323">
        <v>0.99916879999999997</v>
      </c>
      <c r="AB4323">
        <v>38</v>
      </c>
      <c r="AC4323">
        <v>117.702</v>
      </c>
      <c r="AD4323">
        <v>-0.93651899999999999</v>
      </c>
      <c r="AE4323">
        <v>6.5269000000000101</v>
      </c>
      <c r="AF4323">
        <v>-4.8208181875007403</v>
      </c>
      <c r="AG4323">
        <v>-0.93651899999999999</v>
      </c>
      <c r="AH4323">
        <v>117.776767530751</v>
      </c>
      <c r="AI4323">
        <v>90.455204922300098</v>
      </c>
      <c r="AJ4323">
        <v>92.343912469260999</v>
      </c>
      <c r="AK4323">
        <v>117.879108945677</v>
      </c>
      <c r="AL4323">
        <v>81.723542552251601</v>
      </c>
      <c r="AM4323">
        <v>89.655984494322993</v>
      </c>
      <c r="AN4323">
        <v>1.0000000168352901</v>
      </c>
    </row>
    <row r="4324" spans="1:40" x14ac:dyDescent="0.25">
      <c r="A4324" t="str">
        <f>"20190312172204102"</f>
        <v>20190312172204102</v>
      </c>
      <c r="B4324" t="str">
        <f>"1552382524095479"</f>
        <v>1552382524095479</v>
      </c>
      <c r="C4324" t="s">
        <v>40</v>
      </c>
      <c r="D4324">
        <v>3.0607280000000001</v>
      </c>
      <c r="E4324">
        <v>0.48146660000000002</v>
      </c>
      <c r="F4324" t="s">
        <v>60</v>
      </c>
      <c r="G4324">
        <v>-168.35059999999999</v>
      </c>
      <c r="H4324">
        <v>5.7454110000000003E-2</v>
      </c>
      <c r="I4324">
        <v>222.2389</v>
      </c>
      <c r="J4324">
        <v>-285.66489999999999</v>
      </c>
      <c r="K4324">
        <v>1.110098</v>
      </c>
      <c r="L4324">
        <v>215.55539999999999</v>
      </c>
      <c r="M4324">
        <v>0.9998089</v>
      </c>
      <c r="N4324">
        <v>0</v>
      </c>
      <c r="O4324">
        <v>1.454126E-2</v>
      </c>
      <c r="P4324">
        <v>0.99133830000000001</v>
      </c>
      <c r="Q4324">
        <v>0.13106960000000001</v>
      </c>
      <c r="R4324">
        <v>8.333076E-3</v>
      </c>
      <c r="S4324">
        <v>3.0283199999999999</v>
      </c>
      <c r="T4324">
        <v>-2.7081250000000001E-2</v>
      </c>
      <c r="U4324">
        <v>0.1721039</v>
      </c>
      <c r="V4324">
        <v>6.0726840000000001E-3</v>
      </c>
      <c r="W4324">
        <v>0.14401520000000001</v>
      </c>
      <c r="X4324">
        <v>0.98955680000000001</v>
      </c>
      <c r="Y4324">
        <v>-4.2213729999999998E-2</v>
      </c>
      <c r="Z4324" s="1">
        <v>5.8671239999999998E-5</v>
      </c>
      <c r="AA4324">
        <v>0.99910860000000001</v>
      </c>
      <c r="AB4324">
        <v>38</v>
      </c>
      <c r="AC4324">
        <v>117.3143</v>
      </c>
      <c r="AD4324">
        <v>-1.0526438899999999</v>
      </c>
      <c r="AE4324">
        <v>6.6835000000000004</v>
      </c>
      <c r="AF4324">
        <v>-4.97635050665499</v>
      </c>
      <c r="AG4324">
        <v>-1.0526438899999999</v>
      </c>
      <c r="AH4324">
        <v>117.389668373322</v>
      </c>
      <c r="AI4324">
        <v>90.513301738917605</v>
      </c>
      <c r="AJ4324">
        <v>92.427413540989903</v>
      </c>
      <c r="AK4324">
        <v>117.49981431611999</v>
      </c>
      <c r="AL4324">
        <v>81.719743881455898</v>
      </c>
      <c r="AM4324">
        <v>89.648393305141099</v>
      </c>
      <c r="AN4324">
        <v>0.99999995787412099</v>
      </c>
    </row>
    <row r="4325" spans="1:40" x14ac:dyDescent="0.25">
      <c r="A4325" t="str">
        <f>"20190312172204123"</f>
        <v>20190312172204123</v>
      </c>
      <c r="B4325" t="str">
        <f>"1552382524114999"</f>
        <v>1552382524114999</v>
      </c>
      <c r="C4325" t="s">
        <v>40</v>
      </c>
      <c r="D4325">
        <v>3.0868289999999998</v>
      </c>
      <c r="E4325">
        <v>0.48127120000000001</v>
      </c>
      <c r="F4325" t="s">
        <v>60</v>
      </c>
      <c r="G4325">
        <v>-168.35059999999999</v>
      </c>
      <c r="H4325">
        <v>0.1162748</v>
      </c>
      <c r="I4325">
        <v>222.33590000000001</v>
      </c>
      <c r="J4325">
        <v>-285.3023</v>
      </c>
      <c r="K4325">
        <v>1.1101129999999999</v>
      </c>
      <c r="L4325">
        <v>215.5607</v>
      </c>
      <c r="M4325">
        <v>0.99980720000000001</v>
      </c>
      <c r="N4325">
        <v>0</v>
      </c>
      <c r="O4325">
        <v>1.45912E-2</v>
      </c>
      <c r="P4325">
        <v>0.99132310000000001</v>
      </c>
      <c r="Q4325">
        <v>0.1311474</v>
      </c>
      <c r="R4325">
        <v>8.8852510000000003E-3</v>
      </c>
      <c r="S4325">
        <v>3.0281370000000001</v>
      </c>
      <c r="T4325">
        <v>-2.5651219999999999E-2</v>
      </c>
      <c r="U4325">
        <v>0.17501829999999999</v>
      </c>
      <c r="V4325">
        <v>5.5690729999999999E-3</v>
      </c>
      <c r="W4325">
        <v>0.14416199999999901</v>
      </c>
      <c r="X4325">
        <v>0.98953840000000004</v>
      </c>
      <c r="Y4325">
        <v>-4.3125740000000003E-2</v>
      </c>
      <c r="Z4325" s="1">
        <v>5.9012060000000001E-5</v>
      </c>
      <c r="AA4325">
        <v>0.9990696</v>
      </c>
      <c r="AB4325">
        <v>38</v>
      </c>
      <c r="AC4325">
        <v>116.9517</v>
      </c>
      <c r="AD4325">
        <v>-0.9938382</v>
      </c>
      <c r="AE4325">
        <v>6.7752000000000097</v>
      </c>
      <c r="AF4325">
        <v>-5.0675009055208902</v>
      </c>
      <c r="AG4325">
        <v>-0.9938382</v>
      </c>
      <c r="AH4325">
        <v>117.029691476179</v>
      </c>
      <c r="AI4325">
        <v>90.486099386843406</v>
      </c>
      <c r="AJ4325">
        <v>92.479414844714697</v>
      </c>
      <c r="AK4325">
        <v>117.143569890988</v>
      </c>
      <c r="AL4325">
        <v>81.711244273442105</v>
      </c>
      <c r="AM4325">
        <v>89.677545601171204</v>
      </c>
      <c r="AN4325">
        <v>0.99999997094631898</v>
      </c>
    </row>
    <row r="4326" spans="1:40" x14ac:dyDescent="0.25">
      <c r="A4326" t="str">
        <f>"20190312172204145"</f>
        <v>20190312172204145</v>
      </c>
      <c r="B4326" t="str">
        <f>"1552382524135495"</f>
        <v>1552382524135495</v>
      </c>
      <c r="C4326" t="s">
        <v>40</v>
      </c>
      <c r="D4326">
        <v>3.0648840000000002</v>
      </c>
      <c r="E4326">
        <v>0.48116110000000001</v>
      </c>
      <c r="F4326" t="s">
        <v>60</v>
      </c>
      <c r="G4326">
        <v>-168.35059999999999</v>
      </c>
      <c r="H4326">
        <v>0.1060705</v>
      </c>
      <c r="I4326">
        <v>222.43289999999999</v>
      </c>
      <c r="J4326">
        <v>-284.93389999999999</v>
      </c>
      <c r="K4326">
        <v>1.110125</v>
      </c>
      <c r="L4326">
        <v>215.56620000000001</v>
      </c>
      <c r="M4326">
        <v>0.99980570000000002</v>
      </c>
      <c r="N4326">
        <v>0</v>
      </c>
      <c r="O4326">
        <v>1.464113E-2</v>
      </c>
      <c r="P4326">
        <v>0.99134319999999998</v>
      </c>
      <c r="Q4326">
        <v>0.1309601</v>
      </c>
      <c r="R4326">
        <v>9.4169549999999994E-3</v>
      </c>
      <c r="S4326">
        <v>3.0281069999999999</v>
      </c>
      <c r="T4326">
        <v>-2.599514E-2</v>
      </c>
      <c r="U4326">
        <v>0.1779327</v>
      </c>
      <c r="V4326">
        <v>5.0865909999999997E-3</v>
      </c>
      <c r="W4326">
        <v>0.14404400000000001</v>
      </c>
      <c r="X4326">
        <v>0.98955820000000005</v>
      </c>
      <c r="Y4326">
        <v>-4.4034650000000002E-2</v>
      </c>
      <c r="Z4326" s="1">
        <v>6.3271959999999997E-5</v>
      </c>
      <c r="AA4326">
        <v>0.99902999999999997</v>
      </c>
      <c r="AB4326">
        <v>38</v>
      </c>
      <c r="AC4326">
        <v>116.58329999999999</v>
      </c>
      <c r="AD4326">
        <v>-1.0040545000000001</v>
      </c>
      <c r="AE4326">
        <v>6.8666999999999803</v>
      </c>
      <c r="AF4326">
        <v>-5.1585226111942104</v>
      </c>
      <c r="AG4326">
        <v>-1.0040545000000001</v>
      </c>
      <c r="AH4326">
        <v>116.662723373403</v>
      </c>
      <c r="AI4326">
        <v>90.492621043837403</v>
      </c>
      <c r="AJ4326">
        <v>92.531821356705507</v>
      </c>
      <c r="AK4326">
        <v>116.781032303488</v>
      </c>
      <c r="AL4326">
        <v>81.718076638302094</v>
      </c>
      <c r="AM4326">
        <v>89.705487125863002</v>
      </c>
      <c r="AN4326">
        <v>0.99999998926561995</v>
      </c>
    </row>
    <row r="4327" spans="1:40" x14ac:dyDescent="0.25">
      <c r="A4327" t="str">
        <f>"20190312172204167"</f>
        <v>20190312172204167</v>
      </c>
      <c r="B4327" t="str">
        <f>"1552382524164775"</f>
        <v>1552382524164775</v>
      </c>
      <c r="C4327" t="s">
        <v>40</v>
      </c>
      <c r="D4327">
        <v>3.0973190000000002</v>
      </c>
      <c r="E4327">
        <v>0.480993</v>
      </c>
      <c r="F4327" t="s">
        <v>60</v>
      </c>
      <c r="G4327">
        <v>-168.35059999999999</v>
      </c>
      <c r="H4327">
        <v>8.4561349999999993E-2</v>
      </c>
      <c r="I4327">
        <v>222.4973</v>
      </c>
      <c r="J4327">
        <v>-284.5575</v>
      </c>
      <c r="K4327">
        <v>1.1101350000000001</v>
      </c>
      <c r="L4327">
        <v>215.57169999999999</v>
      </c>
      <c r="M4327">
        <v>0.99980400000000003</v>
      </c>
      <c r="N4327">
        <v>0</v>
      </c>
      <c r="O4327">
        <v>1.4693100000000001E-2</v>
      </c>
      <c r="P4327">
        <v>0.99138859999999995</v>
      </c>
      <c r="Q4327">
        <v>0.13061310000000001</v>
      </c>
      <c r="R4327">
        <v>9.4366060000000002E-3</v>
      </c>
      <c r="S4327">
        <v>3.0280149999999999</v>
      </c>
      <c r="T4327">
        <v>-2.6635410000000002E-2</v>
      </c>
      <c r="U4327">
        <v>0.18002319999999999</v>
      </c>
      <c r="V4327">
        <v>5.1188149999999997E-3</v>
      </c>
      <c r="W4327">
        <v>0.14376369999999999</v>
      </c>
      <c r="X4327">
        <v>0.9895988</v>
      </c>
      <c r="Y4327">
        <v>-4.4671700000000002E-2</v>
      </c>
      <c r="Z4327" s="1">
        <v>6.717374E-5</v>
      </c>
      <c r="AA4327">
        <v>0.99900169999999999</v>
      </c>
      <c r="AB4327">
        <v>38</v>
      </c>
      <c r="AC4327">
        <v>116.2069</v>
      </c>
      <c r="AD4327">
        <v>-1.0255736499999999</v>
      </c>
      <c r="AE4327">
        <v>6.9256000000000002</v>
      </c>
      <c r="AF4327">
        <v>-5.2168574215310297</v>
      </c>
      <c r="AG4327">
        <v>-1.0255736499999999</v>
      </c>
      <c r="AH4327">
        <v>116.28709551735599</v>
      </c>
      <c r="AI4327">
        <v>90.504789296308104</v>
      </c>
      <c r="AJ4327">
        <v>92.568673932058203</v>
      </c>
      <c r="AK4327">
        <v>116.40857350956099</v>
      </c>
      <c r="AL4327">
        <v>81.734305603628698</v>
      </c>
      <c r="AM4327">
        <v>89.703633553385799</v>
      </c>
      <c r="AN4327">
        <v>0.99999999433306697</v>
      </c>
    </row>
    <row r="4328" spans="1:40" x14ac:dyDescent="0.25">
      <c r="A4328" t="str">
        <f>"20190312172204191"</f>
        <v>20190312172204191</v>
      </c>
      <c r="B4328" t="str">
        <f>"1552382524185274"</f>
        <v>1552382524185274</v>
      </c>
      <c r="C4328" t="s">
        <v>40</v>
      </c>
      <c r="D4328">
        <v>3.1126900000000002</v>
      </c>
      <c r="E4328">
        <v>0.48092839999999998</v>
      </c>
      <c r="F4328" t="s">
        <v>60</v>
      </c>
      <c r="G4328">
        <v>-168.35059999999999</v>
      </c>
      <c r="H4328">
        <v>5.6183820000000002E-2</v>
      </c>
      <c r="I4328">
        <v>222.53219999999999</v>
      </c>
      <c r="J4328">
        <v>-284.17360000000002</v>
      </c>
      <c r="K4328">
        <v>1.110139</v>
      </c>
      <c r="L4328">
        <v>215.57740000000001</v>
      </c>
      <c r="M4328">
        <v>0.99980239999999998</v>
      </c>
      <c r="N4328">
        <v>0</v>
      </c>
      <c r="O4328">
        <v>1.4745060000000001E-2</v>
      </c>
      <c r="P4328">
        <v>0.99138110000000002</v>
      </c>
      <c r="Q4328">
        <v>0.13063</v>
      </c>
      <c r="R4328">
        <v>9.9713049999999998E-3</v>
      </c>
      <c r="S4328">
        <v>3.0279539999999998</v>
      </c>
      <c r="T4328">
        <v>-2.7460809999999999E-2</v>
      </c>
      <c r="U4328">
        <v>0.181366</v>
      </c>
      <c r="V4328">
        <v>4.6358359999999999E-3</v>
      </c>
      <c r="W4328">
        <v>0.1438411</v>
      </c>
      <c r="X4328">
        <v>0.98958990000000002</v>
      </c>
      <c r="Y4328">
        <v>-4.50623E-2</v>
      </c>
      <c r="Z4328" s="1">
        <v>7.0554630000000006E-5</v>
      </c>
      <c r="AA4328">
        <v>0.99898419999999999</v>
      </c>
      <c r="AB4328">
        <v>38</v>
      </c>
      <c r="AC4328">
        <v>115.82299999999999</v>
      </c>
      <c r="AD4328">
        <v>-1.05395518</v>
      </c>
      <c r="AE4328">
        <v>6.9547999999999703</v>
      </c>
      <c r="AF4328">
        <v>-5.2456420944709699</v>
      </c>
      <c r="AG4328">
        <v>-1.05395518</v>
      </c>
      <c r="AH4328">
        <v>115.903401343255</v>
      </c>
      <c r="AI4328">
        <v>90.5204659338944</v>
      </c>
      <c r="AJ4328">
        <v>92.591366501378403</v>
      </c>
      <c r="AK4328">
        <v>116.02683321301301</v>
      </c>
      <c r="AL4328">
        <v>81.729824061262406</v>
      </c>
      <c r="AM4328">
        <v>89.7315939720784</v>
      </c>
      <c r="AN4328">
        <v>0.99999996160331805</v>
      </c>
    </row>
    <row r="4329" spans="1:40" x14ac:dyDescent="0.25">
      <c r="A4329" t="str">
        <f>"20190312172204213"</f>
        <v>20190312172204213</v>
      </c>
      <c r="B4329" t="str">
        <f>"1552382524204791"</f>
        <v>1552382524204791</v>
      </c>
      <c r="C4329" t="s">
        <v>40</v>
      </c>
      <c r="D4329">
        <v>3.0808610000000001</v>
      </c>
      <c r="E4329">
        <v>0.48082849999999999</v>
      </c>
      <c r="F4329" t="s">
        <v>60</v>
      </c>
      <c r="G4329">
        <v>-168.35059999999999</v>
      </c>
      <c r="H4329">
        <v>5.8686259999999997E-2</v>
      </c>
      <c r="I4329">
        <v>222.58930000000001</v>
      </c>
      <c r="J4329">
        <v>-283.78870000000001</v>
      </c>
      <c r="K4329">
        <v>1.110142</v>
      </c>
      <c r="L4329">
        <v>215.58320000000001</v>
      </c>
      <c r="M4329">
        <v>0.99980100000000005</v>
      </c>
      <c r="N4329">
        <v>0</v>
      </c>
      <c r="O4329">
        <v>1.47928E-2</v>
      </c>
      <c r="P4329">
        <v>0.99147039999999997</v>
      </c>
      <c r="Q4329">
        <v>0.12988849999999999</v>
      </c>
      <c r="R4329">
        <v>1.075128E-2</v>
      </c>
      <c r="S4329">
        <v>3.027863</v>
      </c>
      <c r="T4329">
        <v>-2.748573E-2</v>
      </c>
      <c r="U4329">
        <v>0.18330379999999999</v>
      </c>
      <c r="V4329">
        <v>3.9058109999999999E-3</v>
      </c>
      <c r="W4329">
        <v>0.1431559</v>
      </c>
      <c r="X4329">
        <v>0.98969240000000003</v>
      </c>
      <c r="Y4329">
        <v>-4.5653409999999998E-2</v>
      </c>
      <c r="Z4329" s="1">
        <v>7.2867059999999996E-5</v>
      </c>
      <c r="AA4329">
        <v>0.99895730000000005</v>
      </c>
      <c r="AB4329">
        <v>38</v>
      </c>
      <c r="AC4329">
        <v>115.43810000000001</v>
      </c>
      <c r="AD4329">
        <v>-1.05145574</v>
      </c>
      <c r="AE4329">
        <v>7.0061</v>
      </c>
      <c r="AF4329">
        <v>-5.2970897150546801</v>
      </c>
      <c r="AG4329">
        <v>-1.05145574</v>
      </c>
      <c r="AH4329">
        <v>115.51956702284301</v>
      </c>
      <c r="AI4329">
        <v>90.5209427603032</v>
      </c>
      <c r="AJ4329">
        <v>92.625429120965606</v>
      </c>
      <c r="AK4329">
        <v>115.645730936199</v>
      </c>
      <c r="AL4329">
        <v>81.769493651755397</v>
      </c>
      <c r="AM4329">
        <v>89.773883962251205</v>
      </c>
      <c r="AN4329">
        <v>0.99999995684106802</v>
      </c>
    </row>
    <row r="4330" spans="1:40" x14ac:dyDescent="0.25">
      <c r="A4330" t="str">
        <f>"20190312172204236"</f>
        <v>20190312172204236</v>
      </c>
      <c r="B4330" t="str">
        <f>"1552382524225287"</f>
        <v>1552382524225287</v>
      </c>
      <c r="C4330" t="s">
        <v>40</v>
      </c>
      <c r="D4330">
        <v>3.1204770000000002</v>
      </c>
      <c r="E4330">
        <v>0.48081220000000002</v>
      </c>
      <c r="F4330" t="s">
        <v>45</v>
      </c>
      <c r="G4330">
        <v>-179.93440000000001</v>
      </c>
      <c r="H4330">
        <v>7.3354269999999999E-2</v>
      </c>
      <c r="I4330">
        <v>221.9701</v>
      </c>
      <c r="J4330">
        <v>-283.41149999999999</v>
      </c>
      <c r="K4330">
        <v>1.110139</v>
      </c>
      <c r="L4330">
        <v>215.58879999999999</v>
      </c>
      <c r="M4330">
        <v>0.99979969999999996</v>
      </c>
      <c r="N4330">
        <v>0</v>
      </c>
      <c r="O4330">
        <v>1.483221E-2</v>
      </c>
      <c r="P4330">
        <v>0.99147280000000004</v>
      </c>
      <c r="Q4330">
        <v>0.12983610000000001</v>
      </c>
      <c r="R4330">
        <v>1.115757E-2</v>
      </c>
      <c r="S4330">
        <v>3.0277400000000001</v>
      </c>
      <c r="T4330">
        <v>-3.022623E-2</v>
      </c>
      <c r="U4330">
        <v>0.18620300000000001</v>
      </c>
      <c r="V4330">
        <v>3.5403510000000002E-3</v>
      </c>
      <c r="W4330">
        <v>0.14315159999999999</v>
      </c>
      <c r="X4330">
        <v>0.98969439999999997</v>
      </c>
      <c r="Y4330">
        <v>-4.656913E-2</v>
      </c>
      <c r="Z4330" s="1">
        <v>8.4306580000000002E-5</v>
      </c>
      <c r="AA4330">
        <v>0.99891509999999994</v>
      </c>
      <c r="AB4330">
        <v>38</v>
      </c>
      <c r="AC4330">
        <v>103.477099999999</v>
      </c>
      <c r="AD4330">
        <v>-1.0367847299999999</v>
      </c>
      <c r="AE4330">
        <v>6.3813000000000004</v>
      </c>
      <c r="AF4330">
        <v>-4.8451806848734602</v>
      </c>
      <c r="AG4330">
        <v>-1.0367847299999999</v>
      </c>
      <c r="AH4330">
        <v>103.550016492233</v>
      </c>
      <c r="AI4330">
        <v>90.573022500731199</v>
      </c>
      <c r="AJ4330">
        <v>92.678957312536895</v>
      </c>
      <c r="AK4330">
        <v>103.668493834854</v>
      </c>
      <c r="AL4330">
        <v>81.769742613965903</v>
      </c>
      <c r="AM4330">
        <v>89.795041474359607</v>
      </c>
      <c r="AN4330">
        <v>0.99999996002956004</v>
      </c>
    </row>
    <row r="4331" spans="1:40" x14ac:dyDescent="0.25">
      <c r="A4331" t="str">
        <f>"20190312172204257"</f>
        <v>20190312172204257</v>
      </c>
      <c r="B4331" t="str">
        <f>"1552382524254567"</f>
        <v>1552382524254567</v>
      </c>
      <c r="C4331" t="s">
        <v>40</v>
      </c>
      <c r="D4331">
        <v>3.0955810000000001</v>
      </c>
      <c r="E4331">
        <v>0.4809214</v>
      </c>
      <c r="F4331" t="s">
        <v>45</v>
      </c>
      <c r="G4331">
        <v>-179.94099999999901</v>
      </c>
      <c r="H4331">
        <v>6.6814239999999997E-2</v>
      </c>
      <c r="I4331">
        <v>221.994</v>
      </c>
      <c r="J4331">
        <v>-283.05360000000002</v>
      </c>
      <c r="K4331">
        <v>1.110134</v>
      </c>
      <c r="L4331">
        <v>215.5941</v>
      </c>
      <c r="M4331">
        <v>0.99979870000000004</v>
      </c>
      <c r="N4331">
        <v>0</v>
      </c>
      <c r="O4331">
        <v>1.4859590000000001E-2</v>
      </c>
      <c r="P4331">
        <v>0.99148890000000001</v>
      </c>
      <c r="Q4331">
        <v>0.12967329999999999</v>
      </c>
      <c r="R4331">
        <v>1.1603280000000001E-2</v>
      </c>
      <c r="S4331">
        <v>3.027679</v>
      </c>
      <c r="T4331">
        <v>-3.052902E-2</v>
      </c>
      <c r="U4331">
        <v>0.1874237</v>
      </c>
      <c r="V4331">
        <v>3.1246580000000002E-3</v>
      </c>
      <c r="W4331">
        <v>0.143029399999999</v>
      </c>
      <c r="X4331">
        <v>0.98971350000000002</v>
      </c>
      <c r="Y4331">
        <v>-4.6944159999999999E-2</v>
      </c>
      <c r="Z4331" s="1">
        <v>8.6764919999999995E-5</v>
      </c>
      <c r="AA4331">
        <v>0.99889749999999999</v>
      </c>
      <c r="AB4331">
        <v>38</v>
      </c>
      <c r="AC4331">
        <v>103.1126</v>
      </c>
      <c r="AD4331">
        <v>-1.0433197599999999</v>
      </c>
      <c r="AE4331">
        <v>6.3999000000000299</v>
      </c>
      <c r="AF4331">
        <v>-4.8663467393924504</v>
      </c>
      <c r="AG4331">
        <v>-1.0433197599999999</v>
      </c>
      <c r="AH4331">
        <v>103.18579829092</v>
      </c>
      <c r="AI4331">
        <v>90.578659298585094</v>
      </c>
      <c r="AJ4331">
        <v>92.700126330169994</v>
      </c>
      <c r="AK4331">
        <v>103.305754029696</v>
      </c>
      <c r="AL4331">
        <v>81.776817224438602</v>
      </c>
      <c r="AM4331">
        <v>89.819110155616201</v>
      </c>
      <c r="AN4331">
        <v>0.99999999241711302</v>
      </c>
    </row>
    <row r="4332" spans="1:40" x14ac:dyDescent="0.25">
      <c r="A4332" t="str">
        <f>"20190312172204279"</f>
        <v>20190312172204279</v>
      </c>
      <c r="B4332" t="str">
        <f>"1552382524275063"</f>
        <v>1552382524275063</v>
      </c>
      <c r="C4332" t="s">
        <v>40</v>
      </c>
      <c r="D4332">
        <v>3.0442650000000002</v>
      </c>
      <c r="E4332">
        <v>0.48097879999999898</v>
      </c>
      <c r="F4332" t="s">
        <v>45</v>
      </c>
      <c r="G4332">
        <v>-179.95779999999999</v>
      </c>
      <c r="H4332">
        <v>3.9922300000000001E-2</v>
      </c>
      <c r="I4332">
        <v>221.989</v>
      </c>
      <c r="J4332">
        <v>-282.6764</v>
      </c>
      <c r="K4332">
        <v>1.1101319999999999</v>
      </c>
      <c r="L4332">
        <v>215.59979999999999</v>
      </c>
      <c r="M4332">
        <v>0.99979779999999996</v>
      </c>
      <c r="N4332">
        <v>0</v>
      </c>
      <c r="O4332">
        <v>1.4879450000000001E-2</v>
      </c>
      <c r="P4332">
        <v>0.99146959999999995</v>
      </c>
      <c r="Q4332">
        <v>0.12982779999999999</v>
      </c>
      <c r="R4332">
        <v>1.1512059999999999E-2</v>
      </c>
      <c r="S4332">
        <v>3.0277099999999999</v>
      </c>
      <c r="T4332">
        <v>-3.1429890000000002E-2</v>
      </c>
      <c r="U4332">
        <v>0.18780520000000001</v>
      </c>
      <c r="V4332">
        <v>3.238299E-3</v>
      </c>
      <c r="W4332">
        <v>0.14322099999999999</v>
      </c>
      <c r="X4332">
        <v>0.98968540000000005</v>
      </c>
      <c r="Y4332">
        <v>-4.7048960000000001E-2</v>
      </c>
      <c r="Z4332" s="1">
        <v>8.9661189999999994E-5</v>
      </c>
      <c r="AA4332">
        <v>0.99889260000000002</v>
      </c>
      <c r="AB4332">
        <v>38</v>
      </c>
      <c r="AC4332">
        <v>102.7186</v>
      </c>
      <c r="AD4332">
        <v>-1.0702096999999999</v>
      </c>
      <c r="AE4332">
        <v>6.3892000000000104</v>
      </c>
      <c r="AF4332">
        <v>-4.8594309727189202</v>
      </c>
      <c r="AG4332">
        <v>-1.0702096999999999</v>
      </c>
      <c r="AH4332">
        <v>102.791187691929</v>
      </c>
      <c r="AI4332">
        <v>90.595847625011203</v>
      </c>
      <c r="AJ4332">
        <v>92.706630322972302</v>
      </c>
      <c r="AK4332">
        <v>102.91155272999301</v>
      </c>
      <c r="AL4332">
        <v>81.765724938193401</v>
      </c>
      <c r="AM4332">
        <v>89.812526078132095</v>
      </c>
      <c r="AN4332">
        <v>0.99999996619728604</v>
      </c>
    </row>
    <row r="4333" spans="1:40" x14ac:dyDescent="0.25">
      <c r="A4333" t="str">
        <f>"20190312172204302"</f>
        <v>20190312172204302</v>
      </c>
      <c r="B4333" t="str">
        <f>"1552382524295559"</f>
        <v>1552382524295559</v>
      </c>
      <c r="C4333" t="s">
        <v>40</v>
      </c>
      <c r="D4333">
        <v>3.0788850000000001</v>
      </c>
      <c r="E4333">
        <v>0.48107800000000001</v>
      </c>
      <c r="F4333" t="s">
        <v>45</v>
      </c>
      <c r="G4333">
        <v>-179.95779999999999</v>
      </c>
      <c r="H4333">
        <v>4.7232080000000003E-2</v>
      </c>
      <c r="I4333">
        <v>221.9469</v>
      </c>
      <c r="J4333">
        <v>-282.29750000000001</v>
      </c>
      <c r="K4333">
        <v>1.110131</v>
      </c>
      <c r="L4333">
        <v>215.6054</v>
      </c>
      <c r="M4333">
        <v>0.9997973</v>
      </c>
      <c r="N4333">
        <v>0</v>
      </c>
      <c r="O4333">
        <v>1.4891969999999999E-2</v>
      </c>
      <c r="P4333">
        <v>0.99144969999999999</v>
      </c>
      <c r="Q4333">
        <v>0.12999050000000001</v>
      </c>
      <c r="R4333">
        <v>1.140644E-2</v>
      </c>
      <c r="S4333">
        <v>3.0277400000000001</v>
      </c>
      <c r="T4333">
        <v>-3.1330110000000001E-2</v>
      </c>
      <c r="U4333">
        <v>0.187088</v>
      </c>
      <c r="V4333">
        <v>3.3587299999999999E-3</v>
      </c>
      <c r="W4333">
        <v>0.14341590000000001</v>
      </c>
      <c r="X4333">
        <v>0.9896568</v>
      </c>
      <c r="Y4333">
        <v>-4.6800139999999997E-2</v>
      </c>
      <c r="Z4333" s="1">
        <v>8.7960750000000003E-5</v>
      </c>
      <c r="AA4333">
        <v>0.99890429999999997</v>
      </c>
      <c r="AB4333">
        <v>38</v>
      </c>
      <c r="AC4333">
        <v>102.33969999999999</v>
      </c>
      <c r="AD4333">
        <v>-1.0628989200000001</v>
      </c>
      <c r="AE4333">
        <v>6.3414999999999901</v>
      </c>
      <c r="AF4333">
        <v>-4.8160994733932103</v>
      </c>
      <c r="AG4333">
        <v>-1.0628989200000001</v>
      </c>
      <c r="AH4333">
        <v>102.411790630371</v>
      </c>
      <c r="AI4333">
        <v>90.593976666454495</v>
      </c>
      <c r="AJ4333">
        <v>92.692453906654407</v>
      </c>
      <c r="AK4333">
        <v>102.530480484443</v>
      </c>
      <c r="AL4333">
        <v>81.754441718298693</v>
      </c>
      <c r="AM4333">
        <v>89.805548433884198</v>
      </c>
      <c r="AN4333">
        <v>0.99999999161313102</v>
      </c>
    </row>
    <row r="4334" spans="1:40" x14ac:dyDescent="0.25">
      <c r="A4334" t="str">
        <f>"20190312172204323"</f>
        <v>20190312172204323</v>
      </c>
      <c r="B4334" t="str">
        <f>"1552382524315079"</f>
        <v>1552382524315079</v>
      </c>
      <c r="C4334" t="s">
        <v>40</v>
      </c>
      <c r="D4334">
        <v>3.092562</v>
      </c>
      <c r="E4334">
        <v>0.48124020000000001</v>
      </c>
      <c r="F4334" t="s">
        <v>45</v>
      </c>
      <c r="G4334">
        <v>-179.95779999999999</v>
      </c>
      <c r="H4334">
        <v>4.9503119999999998E-2</v>
      </c>
      <c r="I4334">
        <v>221.89490000000001</v>
      </c>
      <c r="J4334">
        <v>-281.93270000000001</v>
      </c>
      <c r="K4334">
        <v>1.1101259999999999</v>
      </c>
      <c r="L4334">
        <v>215.61080000000001</v>
      </c>
      <c r="M4334">
        <v>0.99979700000000005</v>
      </c>
      <c r="N4334">
        <v>0</v>
      </c>
      <c r="O4334">
        <v>1.489789E-2</v>
      </c>
      <c r="P4334">
        <v>0.9914463</v>
      </c>
      <c r="Q4334">
        <v>0.1300877</v>
      </c>
      <c r="R4334">
        <v>1.05775E-2</v>
      </c>
      <c r="S4334">
        <v>3.0278320000000001</v>
      </c>
      <c r="T4334">
        <v>-3.1379820000000003E-2</v>
      </c>
      <c r="U4334">
        <v>0.18608089999999999</v>
      </c>
      <c r="V4334">
        <v>4.195219E-3</v>
      </c>
      <c r="W4334">
        <v>0.14353949999999999</v>
      </c>
      <c r="X4334">
        <v>0.98963570000000001</v>
      </c>
      <c r="Y4334">
        <v>-4.6461389999999998E-2</v>
      </c>
      <c r="Z4334" s="1">
        <v>8.6283440000000004E-5</v>
      </c>
      <c r="AA4334">
        <v>0.99892009999999998</v>
      </c>
      <c r="AB4334">
        <v>37</v>
      </c>
      <c r="AC4334">
        <v>101.97490000000001</v>
      </c>
      <c r="AD4334">
        <v>-1.0606228799999999</v>
      </c>
      <c r="AE4334">
        <v>6.2840999999999898</v>
      </c>
      <c r="AF4334">
        <v>-4.7635384690740796</v>
      </c>
      <c r="AG4334">
        <v>-1.0606228799999999</v>
      </c>
      <c r="AH4334">
        <v>102.04621191364799</v>
      </c>
      <c r="AI4334">
        <v>90.5948376845474</v>
      </c>
      <c r="AJ4334">
        <v>92.672638808015805</v>
      </c>
      <c r="AK4334">
        <v>102.162838574332</v>
      </c>
      <c r="AL4334">
        <v>81.747286020082697</v>
      </c>
      <c r="AM4334">
        <v>89.757115771988097</v>
      </c>
      <c r="AN4334">
        <v>1.0000000033185901</v>
      </c>
    </row>
    <row r="4335" spans="1:40" x14ac:dyDescent="0.25">
      <c r="A4335" t="str">
        <f>"20190312172204346"</f>
        <v>20190312172204346</v>
      </c>
      <c r="B4335" t="str">
        <f>"1552382524334603"</f>
        <v>1552382524334603</v>
      </c>
      <c r="C4335" t="s">
        <v>40</v>
      </c>
      <c r="D4335">
        <v>3.089979</v>
      </c>
      <c r="E4335">
        <v>0.48134290000000002</v>
      </c>
      <c r="F4335" t="s">
        <v>45</v>
      </c>
      <c r="G4335">
        <v>-179.94540000000001</v>
      </c>
      <c r="H4335">
        <v>6.2428499999999998E-2</v>
      </c>
      <c r="I4335">
        <v>221.75649999999999</v>
      </c>
      <c r="J4335">
        <v>-281.56189999999998</v>
      </c>
      <c r="K4335">
        <v>1.1101240000000001</v>
      </c>
      <c r="L4335">
        <v>215.6164</v>
      </c>
      <c r="M4335">
        <v>0.99979649999999998</v>
      </c>
      <c r="N4335">
        <v>0</v>
      </c>
      <c r="O4335">
        <v>1.490052E-2</v>
      </c>
      <c r="P4335">
        <v>0.99146009999999996</v>
      </c>
      <c r="Q4335">
        <v>0.1300355</v>
      </c>
      <c r="R4335">
        <v>9.8764979999999992E-3</v>
      </c>
      <c r="S4335">
        <v>3.0280149999999999</v>
      </c>
      <c r="T4335">
        <v>-3.1106229999999999E-2</v>
      </c>
      <c r="U4335">
        <v>0.1824646</v>
      </c>
      <c r="V4335">
        <v>4.900527E-3</v>
      </c>
      <c r="W4335">
        <v>0.14351120000000001</v>
      </c>
      <c r="X4335">
        <v>0.98963650000000003</v>
      </c>
      <c r="Y4335">
        <v>-4.5266519999999998E-2</v>
      </c>
      <c r="Z4335" s="1">
        <v>7.9370100000000001E-5</v>
      </c>
      <c r="AA4335">
        <v>0.9989749</v>
      </c>
      <c r="AB4335">
        <v>37</v>
      </c>
      <c r="AC4335">
        <v>101.61649999999899</v>
      </c>
      <c r="AD4335">
        <v>-1.0476954999999999</v>
      </c>
      <c r="AE4335">
        <v>6.1400999999999897</v>
      </c>
      <c r="AF4335">
        <v>-4.6246496680983702</v>
      </c>
      <c r="AG4335">
        <v>-1.0476954999999999</v>
      </c>
      <c r="AH4335">
        <v>101.685945600735</v>
      </c>
      <c r="AI4335">
        <v>90.589702215214402</v>
      </c>
      <c r="AJ4335">
        <v>92.604002372288306</v>
      </c>
      <c r="AK4335">
        <v>101.79644680993999</v>
      </c>
      <c r="AL4335">
        <v>81.748923935414496</v>
      </c>
      <c r="AM4335">
        <v>89.716282473871203</v>
      </c>
      <c r="AN4335">
        <v>0.99999994091128197</v>
      </c>
    </row>
    <row r="4336" spans="1:40" x14ac:dyDescent="0.25">
      <c r="A4336" t="str">
        <f>"20190312172204368"</f>
        <v>20190312172204368</v>
      </c>
      <c r="B4336" t="str">
        <f>"1552382524364856"</f>
        <v>1552382524364856</v>
      </c>
      <c r="C4336" t="s">
        <v>40</v>
      </c>
      <c r="D4336">
        <v>3.0966209999999998</v>
      </c>
      <c r="E4336">
        <v>0.48145939999999998</v>
      </c>
      <c r="F4336" t="s">
        <v>45</v>
      </c>
      <c r="G4336">
        <v>-179.9554</v>
      </c>
      <c r="H4336">
        <v>5.2379830000000002E-2</v>
      </c>
      <c r="I4336">
        <v>221.63679999999999</v>
      </c>
      <c r="J4336">
        <v>-281.18579999999997</v>
      </c>
      <c r="K4336">
        <v>1.1101219999999901</v>
      </c>
      <c r="L4336">
        <v>215.62200000000001</v>
      </c>
      <c r="M4336">
        <v>0.99979629999999997</v>
      </c>
      <c r="N4336">
        <v>0</v>
      </c>
      <c r="O4336">
        <v>1.490033E-2</v>
      </c>
      <c r="P4336">
        <v>0.99141520000000005</v>
      </c>
      <c r="Q4336">
        <v>0.13039829999999999</v>
      </c>
      <c r="R4336">
        <v>9.6145829999999995E-3</v>
      </c>
      <c r="S4336">
        <v>3.0281980000000002</v>
      </c>
      <c r="T4336">
        <v>-3.1524179999999999E-2</v>
      </c>
      <c r="U4336">
        <v>0.17942810000000001</v>
      </c>
      <c r="V4336">
        <v>5.1625430000000003E-3</v>
      </c>
      <c r="W4336">
        <v>0.14389399999999999</v>
      </c>
      <c r="X4336">
        <v>0.9895796</v>
      </c>
      <c r="Y4336">
        <v>-4.4264919999999999E-2</v>
      </c>
      <c r="Z4336" s="1">
        <v>7.5226969999999906E-5</v>
      </c>
      <c r="AA4336">
        <v>0.99901980000000001</v>
      </c>
      <c r="AB4336">
        <v>37</v>
      </c>
      <c r="AC4336">
        <v>101.23039999999899</v>
      </c>
      <c r="AD4336">
        <v>-1.05774216999999</v>
      </c>
      <c r="AE4336">
        <v>6.0147999999999797</v>
      </c>
      <c r="AF4336">
        <v>-4.50513583761707</v>
      </c>
      <c r="AG4336">
        <v>-1.05774216999999</v>
      </c>
      <c r="AH4336">
        <v>101.29776987870601</v>
      </c>
      <c r="AI4336">
        <v>90.597664873864105</v>
      </c>
      <c r="AJ4336">
        <v>92.546505071704601</v>
      </c>
      <c r="AK4336">
        <v>101.403418333964</v>
      </c>
      <c r="AL4336">
        <v>81.726761237757202</v>
      </c>
      <c r="AM4336">
        <v>89.701096059311993</v>
      </c>
      <c r="AN4336">
        <v>0.99999995991119195</v>
      </c>
    </row>
    <row r="4337" spans="1:40" x14ac:dyDescent="0.25">
      <c r="A4337" t="str">
        <f>"20190312172204392"</f>
        <v>20190312172204392</v>
      </c>
      <c r="B4337" t="str">
        <f>"1552382524385355"</f>
        <v>1552382524385355</v>
      </c>
      <c r="C4337" t="s">
        <v>40</v>
      </c>
      <c r="D4337">
        <v>3.0757310000000002</v>
      </c>
      <c r="E4337">
        <v>0.48148229999999997</v>
      </c>
      <c r="F4337" t="s">
        <v>45</v>
      </c>
      <c r="G4337">
        <v>-179.53749999999999</v>
      </c>
      <c r="H4337">
        <v>8.0000890000000005E-2</v>
      </c>
      <c r="I4337">
        <v>221.59030000000001</v>
      </c>
      <c r="J4337">
        <v>-280.79399999999998</v>
      </c>
      <c r="K4337">
        <v>1.11012</v>
      </c>
      <c r="L4337">
        <v>215.62780000000001</v>
      </c>
      <c r="M4337">
        <v>0.99979589999999996</v>
      </c>
      <c r="N4337">
        <v>0</v>
      </c>
      <c r="O4337">
        <v>1.4899509999999999E-2</v>
      </c>
      <c r="P4337">
        <v>0.99141849999999998</v>
      </c>
      <c r="Q4337">
        <v>0.1304043</v>
      </c>
      <c r="R4337">
        <v>9.1769339999999994E-3</v>
      </c>
      <c r="S4337">
        <v>3.0282900000000001</v>
      </c>
      <c r="T4337">
        <v>-3.068924E-2</v>
      </c>
      <c r="U4337">
        <v>0.17781069999999999</v>
      </c>
      <c r="V4337">
        <v>5.5999860000000004E-3</v>
      </c>
      <c r="W4337">
        <v>0.1439175</v>
      </c>
      <c r="X4337">
        <v>0.98957379999999995</v>
      </c>
      <c r="Y4337">
        <v>-4.3732319999999998E-2</v>
      </c>
      <c r="Z4337" s="1">
        <v>7.0545340000000007E-5</v>
      </c>
      <c r="AA4337">
        <v>0.99904329999999997</v>
      </c>
      <c r="AB4337">
        <v>37</v>
      </c>
      <c r="AC4337">
        <v>101.2565</v>
      </c>
      <c r="AD4337">
        <v>-1.03011911</v>
      </c>
      <c r="AE4337">
        <v>5.9625000000000004</v>
      </c>
      <c r="AF4337">
        <v>-4.45256609664784</v>
      </c>
      <c r="AG4337">
        <v>-1.03011911</v>
      </c>
      <c r="AH4337">
        <v>101.323654154332</v>
      </c>
      <c r="AI4337">
        <v>90.581922803374894</v>
      </c>
      <c r="AJ4337">
        <v>92.516186602551102</v>
      </c>
      <c r="AK4337">
        <v>101.426669971032</v>
      </c>
      <c r="AL4337">
        <v>81.725400593447205</v>
      </c>
      <c r="AM4337">
        <v>89.675767347360207</v>
      </c>
      <c r="AN4337">
        <v>0.99999995614794401</v>
      </c>
    </row>
    <row r="4338" spans="1:40" x14ac:dyDescent="0.25">
      <c r="A4338" t="str">
        <f>"20190312172204406"</f>
        <v>20190312172204406</v>
      </c>
      <c r="B4338" t="str">
        <f>"1552382524395112"</f>
        <v>1552382524395112</v>
      </c>
      <c r="C4338" t="s">
        <v>40</v>
      </c>
      <c r="D4338">
        <v>3.1440959999999998</v>
      </c>
      <c r="E4338">
        <v>0.48148229999999997</v>
      </c>
      <c r="F4338" t="s">
        <v>45</v>
      </c>
      <c r="G4338">
        <v>-179.95779999999999</v>
      </c>
      <c r="H4338">
        <v>4.8290600000000003E-2</v>
      </c>
      <c r="I4338">
        <v>221.49019999999999</v>
      </c>
      <c r="J4338">
        <v>-280.55500000000001</v>
      </c>
      <c r="K4338">
        <v>1.11012</v>
      </c>
      <c r="L4338">
        <v>215.63140000000001</v>
      </c>
      <c r="M4338">
        <v>0.99979580000000001</v>
      </c>
      <c r="N4338">
        <v>0</v>
      </c>
      <c r="O4338">
        <v>1.489907E-2</v>
      </c>
      <c r="P4338">
        <v>0.99142989999999998</v>
      </c>
      <c r="Q4338">
        <v>0.13032969999999999</v>
      </c>
      <c r="R4338">
        <v>8.9964079999999991E-3</v>
      </c>
      <c r="S4338">
        <v>3.0285030000000002</v>
      </c>
      <c r="T4338">
        <v>-3.1890870000000002E-2</v>
      </c>
      <c r="U4338">
        <v>0.17607120000000001</v>
      </c>
      <c r="V4338">
        <v>5.7808240000000004E-3</v>
      </c>
      <c r="W4338">
        <v>0.14385290000000001</v>
      </c>
      <c r="X4338">
        <v>0.98958219999999997</v>
      </c>
      <c r="Y4338">
        <v>-4.3156670000000001E-2</v>
      </c>
      <c r="Z4338" s="1">
        <v>7.0279730000000006E-5</v>
      </c>
      <c r="AA4338">
        <v>0.99906830000000002</v>
      </c>
      <c r="AB4338">
        <v>37</v>
      </c>
      <c r="AC4338">
        <v>100.5972</v>
      </c>
      <c r="AD4338">
        <v>-1.0618293999999999</v>
      </c>
      <c r="AE4338">
        <v>5.8587999999999703</v>
      </c>
      <c r="AF4338">
        <v>-4.3587211743686298</v>
      </c>
      <c r="AG4338">
        <v>-1.0618293999999999</v>
      </c>
      <c r="AH4338">
        <v>100.66215349959</v>
      </c>
      <c r="AI4338">
        <v>90.603793354612904</v>
      </c>
      <c r="AJ4338">
        <v>92.479386883888395</v>
      </c>
      <c r="AK4338">
        <v>100.76207162978299</v>
      </c>
      <c r="AL4338">
        <v>81.729141207721497</v>
      </c>
      <c r="AM4338">
        <v>89.665300113758093</v>
      </c>
      <c r="AN4338">
        <v>1.0000000026606799</v>
      </c>
    </row>
    <row r="4339" spans="1:40" x14ac:dyDescent="0.25">
      <c r="A4339" t="str">
        <f>"20190312172204503"</f>
        <v>20190312172204503</v>
      </c>
      <c r="B4339" t="str">
        <f>"1552382524494667"</f>
        <v>1552382524494667</v>
      </c>
      <c r="C4339" t="s">
        <v>40</v>
      </c>
      <c r="D4339">
        <v>2.9683389999999998</v>
      </c>
      <c r="E4339">
        <v>0.52987740000000005</v>
      </c>
      <c r="F4339" t="s">
        <v>45</v>
      </c>
      <c r="G4339">
        <v>-179.95779999999999</v>
      </c>
      <c r="H4339">
        <v>4.3035799999999999E-2</v>
      </c>
      <c r="I4339">
        <v>221.46199999999999</v>
      </c>
      <c r="J4339">
        <v>-278.94600000000003</v>
      </c>
      <c r="K4339">
        <v>1.1101289999999999</v>
      </c>
      <c r="L4339">
        <v>215.65539999999999</v>
      </c>
      <c r="M4339">
        <v>0.99979530000000005</v>
      </c>
      <c r="N4339">
        <v>0</v>
      </c>
      <c r="O4339">
        <v>1.489917E-2</v>
      </c>
      <c r="P4339">
        <v>0.99132149999999997</v>
      </c>
      <c r="Q4339">
        <v>0.13132289999999999</v>
      </c>
      <c r="R4339">
        <v>6.023858E-3</v>
      </c>
      <c r="S4339">
        <v>3.0285639999999998</v>
      </c>
      <c r="T4339">
        <v>-3.2125470000000003E-2</v>
      </c>
      <c r="U4339">
        <v>0.1755371</v>
      </c>
      <c r="V4339">
        <v>8.7529559999999992E-3</v>
      </c>
      <c r="W4339">
        <v>0.14488709999999999</v>
      </c>
      <c r="X4339">
        <v>0.98940939999999999</v>
      </c>
      <c r="Y4339">
        <v>-4.2979799999999999E-2</v>
      </c>
      <c r="Z4339" s="1">
        <v>6.9857209999999898E-5</v>
      </c>
      <c r="AA4339">
        <v>0.99907590000000002</v>
      </c>
      <c r="AB4339">
        <v>37</v>
      </c>
      <c r="AC4339">
        <v>98.988199999999907</v>
      </c>
      <c r="AD4339">
        <v>-1.0670932</v>
      </c>
      <c r="AE4339">
        <v>5.8066000000000297</v>
      </c>
      <c r="AF4339">
        <v>-4.3304736296115198</v>
      </c>
      <c r="AG4339">
        <v>-1.0670932</v>
      </c>
      <c r="AH4339">
        <v>99.052260755126099</v>
      </c>
      <c r="AI4339">
        <v>90.616636423882298</v>
      </c>
      <c r="AJ4339">
        <v>92.503324616155993</v>
      </c>
      <c r="AK4339">
        <v>99.152619987853697</v>
      </c>
      <c r="AL4339">
        <v>81.669257900845594</v>
      </c>
      <c r="AM4339">
        <v>89.493137669309505</v>
      </c>
      <c r="AN4339">
        <v>0.99999992339675103</v>
      </c>
    </row>
    <row r="4340" spans="1:40" x14ac:dyDescent="0.25">
      <c r="A4340" t="str">
        <f>"20190312172204518"</f>
        <v>20190312172204518</v>
      </c>
      <c r="B4340" t="str">
        <f>"1552382524515160"</f>
        <v>1552382524515160</v>
      </c>
      <c r="C4340" t="s">
        <v>40</v>
      </c>
      <c r="D4340">
        <v>3.122716</v>
      </c>
      <c r="E4340">
        <v>0.52858139999999998</v>
      </c>
      <c r="F4340" t="s">
        <v>41</v>
      </c>
      <c r="G4340">
        <v>-277.94330000000002</v>
      </c>
      <c r="H4340">
        <v>1.0219499999999999</v>
      </c>
      <c r="I4340">
        <v>215.5831</v>
      </c>
      <c r="J4340">
        <v>-278.69209999999998</v>
      </c>
      <c r="K4340">
        <v>1.1101240000000001</v>
      </c>
      <c r="L4340">
        <v>215.6591</v>
      </c>
      <c r="M4340">
        <v>0.99979499999999999</v>
      </c>
      <c r="N4340">
        <v>0</v>
      </c>
      <c r="O4340">
        <v>1.489949E-2</v>
      </c>
      <c r="P4340">
        <v>0.99124840000000003</v>
      </c>
      <c r="Q4340">
        <v>0.13190370000000001</v>
      </c>
      <c r="R4340">
        <v>5.2664859999999999E-3</v>
      </c>
      <c r="S4340">
        <v>3.0632929999999998</v>
      </c>
      <c r="T4340">
        <v>-0.2695282</v>
      </c>
      <c r="U4340">
        <v>-0.21998599999999999</v>
      </c>
      <c r="V4340">
        <v>9.5097399999999992E-3</v>
      </c>
      <c r="W4340">
        <v>0.14547119999999999</v>
      </c>
      <c r="X4340">
        <v>0.9893168</v>
      </c>
      <c r="Y4340">
        <v>8.6095450000000004E-2</v>
      </c>
      <c r="Z4340">
        <v>-5.0824909999999997E-3</v>
      </c>
      <c r="AA4340">
        <v>0.99627390000000005</v>
      </c>
      <c r="AB4340">
        <v>37</v>
      </c>
      <c r="AC4340">
        <v>0.74879999999996005</v>
      </c>
      <c r="AD4340">
        <v>-8.8173999999999905E-2</v>
      </c>
      <c r="AE4340">
        <v>-7.5999999999993406E-2</v>
      </c>
      <c r="AF4340">
        <v>8.5969455875164094E-2</v>
      </c>
      <c r="AG4340">
        <v>-8.8173999999999905E-2</v>
      </c>
      <c r="AH4340">
        <v>0.73746304061873202</v>
      </c>
      <c r="AI4340">
        <v>96.772709716773406</v>
      </c>
      <c r="AJ4340">
        <v>83.3507794432645</v>
      </c>
      <c r="AK4340">
        <v>0.74767448659031899</v>
      </c>
      <c r="AL4340">
        <v>81.635433868590098</v>
      </c>
      <c r="AM4340">
        <v>89.449265204558898</v>
      </c>
      <c r="AN4340">
        <v>1.00000001797327</v>
      </c>
    </row>
    <row r="4341" spans="1:40" x14ac:dyDescent="0.25">
      <c r="A4341" t="str">
        <f>"20190312172204531"</f>
        <v>20190312172204531</v>
      </c>
      <c r="B4341" t="str">
        <f>"1552382524524919"</f>
        <v>1552382524524919</v>
      </c>
      <c r="C4341" t="s">
        <v>40</v>
      </c>
      <c r="D4341">
        <v>3.0787849999999999</v>
      </c>
      <c r="E4341">
        <v>0.52995040000000004</v>
      </c>
      <c r="F4341" t="s">
        <v>46</v>
      </c>
      <c r="G4341">
        <v>-259.32569999999998</v>
      </c>
      <c r="H4341" s="1">
        <v>3.4391199999999999E-6</v>
      </c>
      <c r="I4341">
        <v>214.3141</v>
      </c>
      <c r="J4341">
        <v>-278.48219999999998</v>
      </c>
      <c r="K4341">
        <v>1.110128</v>
      </c>
      <c r="L4341">
        <v>215.66229999999999</v>
      </c>
      <c r="M4341">
        <v>0.99979510000000005</v>
      </c>
      <c r="N4341">
        <v>0</v>
      </c>
      <c r="O4341">
        <v>1.489965E-2</v>
      </c>
      <c r="P4341">
        <v>0.99125960000000002</v>
      </c>
      <c r="Q4341">
        <v>0.13184209999999999</v>
      </c>
      <c r="R4341">
        <v>4.7246179999999999E-3</v>
      </c>
      <c r="S4341">
        <v>3.0509029999999999</v>
      </c>
      <c r="T4341">
        <v>-0.17488389999999901</v>
      </c>
      <c r="U4341">
        <v>-0.2118835</v>
      </c>
      <c r="V4341">
        <v>1.005167E-2</v>
      </c>
      <c r="W4341">
        <v>0.14541270000000001</v>
      </c>
      <c r="X4341">
        <v>0.98931999999999998</v>
      </c>
      <c r="Y4341">
        <v>8.3978540000000004E-2</v>
      </c>
      <c r="Z4341">
        <v>-3.2545690000000001E-3</v>
      </c>
      <c r="AA4341">
        <v>0.99646219999999996</v>
      </c>
      <c r="AB4341">
        <v>37</v>
      </c>
      <c r="AC4341">
        <v>19.156499999999902</v>
      </c>
      <c r="AD4341">
        <v>-1.1101245608799899</v>
      </c>
      <c r="AE4341">
        <v>-1.3481999999999901</v>
      </c>
      <c r="AF4341">
        <v>1.62806179106768</v>
      </c>
      <c r="AG4341">
        <v>-1.1101245608799899</v>
      </c>
      <c r="AH4341">
        <v>19.0705557609596</v>
      </c>
      <c r="AI4341">
        <v>93.319463147255107</v>
      </c>
      <c r="AJ4341">
        <v>85.120465176999204</v>
      </c>
      <c r="AK4341">
        <v>19.172090620693201</v>
      </c>
      <c r="AL4341">
        <v>81.638821340773305</v>
      </c>
      <c r="AM4341">
        <v>89.417884554969405</v>
      </c>
      <c r="AN4341">
        <v>0.99999997589553902</v>
      </c>
    </row>
    <row r="4342" spans="1:40" x14ac:dyDescent="0.25">
      <c r="A4342" t="str">
        <f>"20190312172204544"</f>
        <v>20190312172204544</v>
      </c>
      <c r="B4342" t="str">
        <f>"1552382524534679"</f>
        <v>1552382524534679</v>
      </c>
      <c r="C4342" t="s">
        <v>40</v>
      </c>
      <c r="D4342">
        <v>3.092975</v>
      </c>
      <c r="E4342">
        <v>0.53045209999999998</v>
      </c>
      <c r="F4342" t="s">
        <v>46</v>
      </c>
      <c r="G4342">
        <v>-256.72649999999999</v>
      </c>
      <c r="H4342" s="1">
        <v>2.067045E-6</v>
      </c>
      <c r="I4342">
        <v>214.05959999999999</v>
      </c>
      <c r="J4342">
        <v>-278.26429999999999</v>
      </c>
      <c r="K4342">
        <v>1.1101289999999999</v>
      </c>
      <c r="L4342">
        <v>215.66550000000001</v>
      </c>
      <c r="M4342">
        <v>0.99979510000000005</v>
      </c>
      <c r="N4342">
        <v>0</v>
      </c>
      <c r="O4342">
        <v>1.489998E-2</v>
      </c>
      <c r="P4342">
        <v>0.9912398</v>
      </c>
      <c r="Q4342">
        <v>0.1320154</v>
      </c>
      <c r="R4342">
        <v>3.9658929999999998E-3</v>
      </c>
      <c r="S4342">
        <v>3.0482179999999999</v>
      </c>
      <c r="T4342">
        <v>-0.15554089999999901</v>
      </c>
      <c r="U4342">
        <v>-0.22454830000000001</v>
      </c>
      <c r="V4342">
        <v>1.0810500000000001E-2</v>
      </c>
      <c r="W4342">
        <v>0.1455882</v>
      </c>
      <c r="X4342">
        <v>0.9892862</v>
      </c>
      <c r="Y4342">
        <v>8.8185920000000001E-2</v>
      </c>
      <c r="Z4342">
        <v>-3.0043589999999998E-3</v>
      </c>
      <c r="AA4342">
        <v>0.99609950000000003</v>
      </c>
      <c r="AB4342">
        <v>37</v>
      </c>
      <c r="AC4342">
        <v>21.537800000000001</v>
      </c>
      <c r="AD4342">
        <v>-1.1101269329549901</v>
      </c>
      <c r="AE4342">
        <v>-1.6059000000000101</v>
      </c>
      <c r="AF4342">
        <v>1.92158775466417</v>
      </c>
      <c r="AG4342">
        <v>-1.1101269329549901</v>
      </c>
      <c r="AH4342">
        <v>21.454794665628199</v>
      </c>
      <c r="AI4342">
        <v>92.950202964813798</v>
      </c>
      <c r="AJ4342">
        <v>84.881988760777404</v>
      </c>
      <c r="AK4342">
        <v>21.569262747029999</v>
      </c>
      <c r="AL4342">
        <v>81.628657876140807</v>
      </c>
      <c r="AM4342">
        <v>89.373920942422103</v>
      </c>
      <c r="AN4342">
        <v>0.99999998819996405</v>
      </c>
    </row>
    <row r="4343" spans="1:40" x14ac:dyDescent="0.25">
      <c r="A4343" t="str">
        <f>"20190312172204558"</f>
        <v>20190312172204558</v>
      </c>
      <c r="B4343" t="str">
        <f>"1552382524555176"</f>
        <v>1552382524555176</v>
      </c>
      <c r="C4343" t="s">
        <v>40</v>
      </c>
      <c r="D4343">
        <v>3.2055210000000001</v>
      </c>
      <c r="E4343">
        <v>0.52980260000000001</v>
      </c>
      <c r="F4343" t="s">
        <v>46</v>
      </c>
      <c r="G4343">
        <v>-254.7088</v>
      </c>
      <c r="H4343" s="1">
        <v>1.0011189999999999E-6</v>
      </c>
      <c r="I4343">
        <v>213.881</v>
      </c>
      <c r="J4343">
        <v>-278.02330000000001</v>
      </c>
      <c r="K4343">
        <v>1.1101299999999901</v>
      </c>
      <c r="L4343">
        <v>215.66909999999999</v>
      </c>
      <c r="M4343">
        <v>0.99979510000000005</v>
      </c>
      <c r="N4343">
        <v>0</v>
      </c>
      <c r="O4343">
        <v>1.490008E-2</v>
      </c>
      <c r="P4343">
        <v>0.99123320000000004</v>
      </c>
      <c r="Q4343">
        <v>0.13208710000000001</v>
      </c>
      <c r="R4343">
        <v>3.1117269999999999E-3</v>
      </c>
      <c r="S4343">
        <v>3.04657</v>
      </c>
      <c r="T4343">
        <v>-0.14357919999999999</v>
      </c>
      <c r="U4343">
        <v>-0.23080439999999999</v>
      </c>
      <c r="V4343">
        <v>1.166468E-2</v>
      </c>
      <c r="W4343">
        <v>0.14566179999999901</v>
      </c>
      <c r="X4343">
        <v>0.98926570000000003</v>
      </c>
      <c r="Y4343">
        <v>9.0276729999999999E-2</v>
      </c>
      <c r="Z4343">
        <v>-2.8240370000000002E-3</v>
      </c>
      <c r="AA4343">
        <v>0.99591269999999998</v>
      </c>
      <c r="AB4343">
        <v>37</v>
      </c>
      <c r="AC4343">
        <v>23.314499999999999</v>
      </c>
      <c r="AD4343">
        <v>-1.1101289988809999</v>
      </c>
      <c r="AE4343">
        <v>-1.78810000000001</v>
      </c>
      <c r="AF4343">
        <v>2.1305198694740701</v>
      </c>
      <c r="AG4343">
        <v>-1.1101289988809999</v>
      </c>
      <c r="AH4343">
        <v>23.232899785859299</v>
      </c>
      <c r="AI4343">
        <v>92.724248837662003</v>
      </c>
      <c r="AJ4343">
        <v>84.760476022265195</v>
      </c>
      <c r="AK4343">
        <v>23.356779182245202</v>
      </c>
      <c r="AL4343">
        <v>81.624395779023899</v>
      </c>
      <c r="AM4343">
        <v>89.324442399860899</v>
      </c>
      <c r="AN4343">
        <v>1.00000002496761</v>
      </c>
    </row>
    <row r="4344" spans="1:40" x14ac:dyDescent="0.25">
      <c r="A4344" t="str">
        <f>"20190312172204581"</f>
        <v>20190312172204581</v>
      </c>
      <c r="B4344" t="str">
        <f>"1552382524574698"</f>
        <v>1552382524574698</v>
      </c>
      <c r="C4344" t="s">
        <v>40</v>
      </c>
      <c r="D4344">
        <v>3.1226129999999999</v>
      </c>
      <c r="E4344">
        <v>0.528555</v>
      </c>
      <c r="F4344" t="s">
        <v>46</v>
      </c>
      <c r="G4344">
        <v>-252.47229999999999</v>
      </c>
      <c r="H4344" s="1">
        <v>-1.8348689999999999E-7</v>
      </c>
      <c r="I4344">
        <v>213.75470000000001</v>
      </c>
      <c r="J4344">
        <v>-277.64330000000001</v>
      </c>
      <c r="K4344">
        <v>1.1101299999999901</v>
      </c>
      <c r="L4344">
        <v>215.6748</v>
      </c>
      <c r="M4344">
        <v>0.99979499999999999</v>
      </c>
      <c r="N4344">
        <v>0</v>
      </c>
      <c r="O4344">
        <v>1.490059E-2</v>
      </c>
      <c r="P4344">
        <v>0.99121029999999999</v>
      </c>
      <c r="Q4344">
        <v>0.13227410000000001</v>
      </c>
      <c r="R4344">
        <v>2.3998029999999998E-3</v>
      </c>
      <c r="S4344">
        <v>3.0449220000000001</v>
      </c>
      <c r="T4344">
        <v>-0.132295</v>
      </c>
      <c r="U4344">
        <v>-0.22813420000000001</v>
      </c>
      <c r="V4344">
        <v>1.237661E-2</v>
      </c>
      <c r="W4344">
        <v>0.14585139999999999</v>
      </c>
      <c r="X4344">
        <v>0.98922909999999997</v>
      </c>
      <c r="Y4344">
        <v>8.9467530000000003E-2</v>
      </c>
      <c r="Z4344">
        <v>-2.5862699999999999E-3</v>
      </c>
      <c r="AA4344">
        <v>0.99598640000000005</v>
      </c>
      <c r="AB4344">
        <v>37</v>
      </c>
      <c r="AC4344">
        <v>25.170999999999999</v>
      </c>
      <c r="AD4344">
        <v>-1.11013018348689</v>
      </c>
      <c r="AE4344">
        <v>-1.9200999999999899</v>
      </c>
      <c r="AF4344">
        <v>2.2905551555613402</v>
      </c>
      <c r="AG4344">
        <v>-1.11013018348689</v>
      </c>
      <c r="AH4344">
        <v>25.091068839056799</v>
      </c>
      <c r="AI4344">
        <v>92.522867338625701</v>
      </c>
      <c r="AJ4344">
        <v>84.783945534505307</v>
      </c>
      <c r="AK4344">
        <v>25.2198486797848</v>
      </c>
      <c r="AL4344">
        <v>81.613415121487904</v>
      </c>
      <c r="AM4344">
        <v>89.283188777790102</v>
      </c>
      <c r="AN4344">
        <v>1.0000000118219301</v>
      </c>
    </row>
    <row r="4345" spans="1:40" x14ac:dyDescent="0.25">
      <c r="A4345" t="str">
        <f>"20190312172204603"</f>
        <v>20190312172204603</v>
      </c>
      <c r="B4345" t="str">
        <f>"1552382524595195"</f>
        <v>1552382524595195</v>
      </c>
      <c r="C4345" t="s">
        <v>40</v>
      </c>
      <c r="D4345">
        <v>3.0658300000000001</v>
      </c>
      <c r="E4345">
        <v>0.52812859999999995</v>
      </c>
      <c r="F4345" t="s">
        <v>46</v>
      </c>
      <c r="G4345">
        <v>-250.8142</v>
      </c>
      <c r="H4345" s="1">
        <v>-1.0648190000000001E-6</v>
      </c>
      <c r="I4345">
        <v>213.73060000000001</v>
      </c>
      <c r="J4345">
        <v>-277.27589999999998</v>
      </c>
      <c r="K4345">
        <v>1.110125</v>
      </c>
      <c r="L4345">
        <v>215.68020000000001</v>
      </c>
      <c r="M4345">
        <v>0.99979499999999999</v>
      </c>
      <c r="N4345">
        <v>0</v>
      </c>
      <c r="O4345">
        <v>1.490087E-2</v>
      </c>
      <c r="P4345">
        <v>0.9912609</v>
      </c>
      <c r="Q4345">
        <v>0.131903399999999</v>
      </c>
      <c r="R4345">
        <v>1.8663340000000001E-3</v>
      </c>
      <c r="S4345">
        <v>3.0439449999999999</v>
      </c>
      <c r="T4345">
        <v>-0.12595149999999999</v>
      </c>
      <c r="U4345">
        <v>-0.2205811</v>
      </c>
      <c r="V4345">
        <v>1.2911099999999899E-2</v>
      </c>
      <c r="W4345">
        <v>0.14548440000000001</v>
      </c>
      <c r="X4345">
        <v>0.9892763</v>
      </c>
      <c r="Y4345">
        <v>8.7044460000000004E-2</v>
      </c>
      <c r="Z4345">
        <v>-2.4133449999999999E-3</v>
      </c>
      <c r="AA4345">
        <v>0.99620149999999996</v>
      </c>
      <c r="AB4345">
        <v>37</v>
      </c>
      <c r="AC4345">
        <v>26.461699999999901</v>
      </c>
      <c r="AD4345">
        <v>-1.1101260648189999</v>
      </c>
      <c r="AE4345">
        <v>-1.9496</v>
      </c>
      <c r="AF4345">
        <v>2.3396274330890598</v>
      </c>
      <c r="AG4345">
        <v>-1.1101260648189999</v>
      </c>
      <c r="AH4345">
        <v>26.383524167085501</v>
      </c>
      <c r="AI4345">
        <v>92.399977212009702</v>
      </c>
      <c r="AJ4345">
        <v>84.932403788438094</v>
      </c>
      <c r="AK4345">
        <v>26.510310897472301</v>
      </c>
      <c r="AL4345">
        <v>81.634669301029206</v>
      </c>
      <c r="AM4345">
        <v>89.252272047229098</v>
      </c>
      <c r="AN4345">
        <v>1.00000000244412</v>
      </c>
    </row>
    <row r="4346" spans="1:40" x14ac:dyDescent="0.25">
      <c r="A4346" t="str">
        <f>"20190312172204618"</f>
        <v>20190312172204618</v>
      </c>
      <c r="B4346" t="str">
        <f>"1552382524614712"</f>
        <v>1552382524614712</v>
      </c>
      <c r="C4346" t="s">
        <v>40</v>
      </c>
      <c r="D4346">
        <v>3.1273209999999998</v>
      </c>
      <c r="E4346">
        <v>0.52764619999999995</v>
      </c>
      <c r="F4346" t="s">
        <v>46</v>
      </c>
      <c r="G4346">
        <v>-250.34010000000001</v>
      </c>
      <c r="H4346" s="1">
        <v>-1.3176060000000001E-6</v>
      </c>
      <c r="I4346">
        <v>213.7424</v>
      </c>
      <c r="J4346">
        <v>-277.02269999999999</v>
      </c>
      <c r="K4346">
        <v>1.1101240000000001</v>
      </c>
      <c r="L4346">
        <v>215.684</v>
      </c>
      <c r="M4346">
        <v>0.99979499999999999</v>
      </c>
      <c r="N4346">
        <v>0</v>
      </c>
      <c r="O4346">
        <v>1.4901040000000001E-2</v>
      </c>
      <c r="P4346">
        <v>0.99124809999999997</v>
      </c>
      <c r="Q4346">
        <v>0.13199849999999999</v>
      </c>
      <c r="R4346">
        <v>1.9178960000000001E-3</v>
      </c>
      <c r="S4346">
        <v>3.0435490000000001</v>
      </c>
      <c r="T4346">
        <v>-0.1254362</v>
      </c>
      <c r="U4346">
        <v>-0.21896360000000001</v>
      </c>
      <c r="V4346">
        <v>1.2859560000000001E-2</v>
      </c>
      <c r="W4346">
        <v>0.14558019999999999</v>
      </c>
      <c r="X4346">
        <v>0.98926289999999995</v>
      </c>
      <c r="Y4346">
        <v>8.6528439999999998E-2</v>
      </c>
      <c r="Z4346">
        <v>-2.3932279999999998E-3</v>
      </c>
      <c r="AA4346">
        <v>0.99624650000000003</v>
      </c>
      <c r="AB4346">
        <v>37</v>
      </c>
      <c r="AC4346">
        <v>26.682599999999901</v>
      </c>
      <c r="AD4346">
        <v>-1.110125317606</v>
      </c>
      <c r="AE4346">
        <v>-1.94160000000002</v>
      </c>
      <c r="AF4346">
        <v>2.33499973393269</v>
      </c>
      <c r="AG4346">
        <v>-1.110125317606</v>
      </c>
      <c r="AH4346">
        <v>26.604892866402501</v>
      </c>
      <c r="AI4346">
        <v>92.380219178572204</v>
      </c>
      <c r="AJ4346">
        <v>84.984242187215401</v>
      </c>
      <c r="AK4346">
        <v>26.730224959977601</v>
      </c>
      <c r="AL4346">
        <v>81.6291214812736</v>
      </c>
      <c r="AM4346">
        <v>89.255246489257502</v>
      </c>
      <c r="AN4346">
        <v>1.0000000241159199</v>
      </c>
    </row>
    <row r="4347" spans="1:40" x14ac:dyDescent="0.25">
      <c r="A4347" t="str">
        <f>"20190312172204638"</f>
        <v>20190312172204638</v>
      </c>
      <c r="B4347" t="str">
        <f>"1552382524635207"</f>
        <v>1552382524635207</v>
      </c>
      <c r="C4347" t="s">
        <v>40</v>
      </c>
      <c r="D4347">
        <v>3.1332209999999998</v>
      </c>
      <c r="E4347">
        <v>0.52720619999999996</v>
      </c>
      <c r="F4347" t="s">
        <v>46</v>
      </c>
      <c r="G4347">
        <v>-249.7902</v>
      </c>
      <c r="H4347" s="1">
        <v>3.710497E-6</v>
      </c>
      <c r="I4347">
        <v>213.7595</v>
      </c>
      <c r="J4347">
        <v>-276.71980000000002</v>
      </c>
      <c r="K4347">
        <v>1.1101289999999999</v>
      </c>
      <c r="L4347">
        <v>215.6885</v>
      </c>
      <c r="M4347">
        <v>0.99979490000000004</v>
      </c>
      <c r="N4347">
        <v>0</v>
      </c>
      <c r="O4347">
        <v>1.490139E-2</v>
      </c>
      <c r="P4347">
        <v>0.99123879999999998</v>
      </c>
      <c r="Q4347">
        <v>0.13207240000000001</v>
      </c>
      <c r="R4347">
        <v>1.5920769999999999E-3</v>
      </c>
      <c r="S4347">
        <v>3.043396</v>
      </c>
      <c r="T4347">
        <v>-0.1240624</v>
      </c>
      <c r="U4347">
        <v>-0.2150726</v>
      </c>
      <c r="V4347">
        <v>1.3185540000000001E-2</v>
      </c>
      <c r="W4347">
        <v>0.14565520000000001</v>
      </c>
      <c r="X4347">
        <v>0.9892476</v>
      </c>
      <c r="Y4347">
        <v>8.5267919999999997E-2</v>
      </c>
      <c r="Z4347">
        <v>-2.3416280000000001E-3</v>
      </c>
      <c r="AA4347">
        <v>0.99635530000000005</v>
      </c>
      <c r="AB4347">
        <v>37</v>
      </c>
      <c r="AC4347">
        <v>26.929600000000001</v>
      </c>
      <c r="AD4347">
        <v>-1.1101252895029901</v>
      </c>
      <c r="AE4347">
        <v>-1.929</v>
      </c>
      <c r="AF4347">
        <v>2.3261791737384501</v>
      </c>
      <c r="AG4347">
        <v>-1.1101252895029901</v>
      </c>
      <c r="AH4347">
        <v>26.852462976544601</v>
      </c>
      <c r="AI4347">
        <v>92.3585311674194</v>
      </c>
      <c r="AJ4347">
        <v>85.048932955304295</v>
      </c>
      <c r="AK4347">
        <v>26.975882851418</v>
      </c>
      <c r="AL4347">
        <v>81.624778260390002</v>
      </c>
      <c r="AM4347">
        <v>89.236357956807595</v>
      </c>
      <c r="AN4347">
        <v>1.0000000549289401</v>
      </c>
    </row>
    <row r="4348" spans="1:40" x14ac:dyDescent="0.25">
      <c r="A4348" t="str">
        <f>"20190312172204659"</f>
        <v>20190312172204659</v>
      </c>
      <c r="B4348" t="str">
        <f>"1552382524654727"</f>
        <v>1552382524654727</v>
      </c>
      <c r="C4348" t="s">
        <v>40</v>
      </c>
      <c r="D4348">
        <v>3.090096</v>
      </c>
      <c r="E4348">
        <v>0.5269374</v>
      </c>
      <c r="F4348" t="s">
        <v>46</v>
      </c>
      <c r="G4348">
        <v>-249.08510000000001</v>
      </c>
      <c r="H4348" s="1">
        <v>3.3352770000000001E-6</v>
      </c>
      <c r="I4348">
        <v>213.7603</v>
      </c>
      <c r="J4348">
        <v>-276.35079999999999</v>
      </c>
      <c r="K4348">
        <v>1.110131</v>
      </c>
      <c r="L4348">
        <v>215.69399999999999</v>
      </c>
      <c r="M4348">
        <v>0.99979499999999999</v>
      </c>
      <c r="N4348">
        <v>0</v>
      </c>
      <c r="O4348">
        <v>1.490168E-2</v>
      </c>
      <c r="P4348">
        <v>0.99121919999999997</v>
      </c>
      <c r="Q4348">
        <v>0.1322237</v>
      </c>
      <c r="R4348">
        <v>1.3768859999999999E-3</v>
      </c>
      <c r="S4348">
        <v>3.0431520000000001</v>
      </c>
      <c r="T4348">
        <v>-0.1222478</v>
      </c>
      <c r="U4348">
        <v>-0.21234130000000001</v>
      </c>
      <c r="V4348">
        <v>1.3400769999999999E-2</v>
      </c>
      <c r="W4348">
        <v>0.14580660000000001</v>
      </c>
      <c r="X4348">
        <v>0.9892223</v>
      </c>
      <c r="Y4348">
        <v>8.4387030000000002E-2</v>
      </c>
      <c r="Z4348">
        <v>-2.2900080000000001E-3</v>
      </c>
      <c r="AA4348">
        <v>0.99643040000000005</v>
      </c>
      <c r="AB4348">
        <v>37</v>
      </c>
      <c r="AC4348">
        <v>27.265699999999899</v>
      </c>
      <c r="AD4348">
        <v>-1.1101276647229901</v>
      </c>
      <c r="AE4348">
        <v>-1.93370000000001</v>
      </c>
      <c r="AF4348">
        <v>2.3359751373772299</v>
      </c>
      <c r="AG4348">
        <v>-1.1101276647229901</v>
      </c>
      <c r="AH4348">
        <v>27.189007526514899</v>
      </c>
      <c r="AI4348">
        <v>92.329516563727907</v>
      </c>
      <c r="AJ4348">
        <v>85.0894255234562</v>
      </c>
      <c r="AK4348">
        <v>27.311742777628002</v>
      </c>
      <c r="AL4348">
        <v>81.616009204094894</v>
      </c>
      <c r="AM4348">
        <v>89.223874552451207</v>
      </c>
      <c r="AN4348">
        <v>0.99999995202872005</v>
      </c>
    </row>
    <row r="4349" spans="1:40" x14ac:dyDescent="0.25">
      <c r="A4349" t="str">
        <f>"20190312172204683"</f>
        <v>20190312172204683</v>
      </c>
      <c r="B4349" t="str">
        <f>"1552382524675227"</f>
        <v>1552382524675227</v>
      </c>
      <c r="C4349" t="s">
        <v>40</v>
      </c>
      <c r="D4349">
        <v>3.109086</v>
      </c>
      <c r="E4349">
        <v>0.52671809999999997</v>
      </c>
      <c r="F4349" t="s">
        <v>46</v>
      </c>
      <c r="G4349">
        <v>-248.58619999999999</v>
      </c>
      <c r="H4349" s="1">
        <v>3.069279E-6</v>
      </c>
      <c r="I4349">
        <v>213.7722</v>
      </c>
      <c r="J4349">
        <v>-275.97579999999999</v>
      </c>
      <c r="K4349">
        <v>1.110131</v>
      </c>
      <c r="L4349">
        <v>215.6996</v>
      </c>
      <c r="M4349">
        <v>0.99979479999999998</v>
      </c>
      <c r="N4349">
        <v>0</v>
      </c>
      <c r="O4349">
        <v>1.490236E-2</v>
      </c>
      <c r="P4349">
        <v>0.99116020000000005</v>
      </c>
      <c r="Q4349">
        <v>0.1326637</v>
      </c>
      <c r="R4349">
        <v>1.358377E-3</v>
      </c>
      <c r="S4349">
        <v>3.0430600000000001</v>
      </c>
      <c r="T4349">
        <v>-0.12167260000000001</v>
      </c>
      <c r="U4349">
        <v>-0.21063229999999999</v>
      </c>
      <c r="V4349">
        <v>1.3419159999999999E-2</v>
      </c>
      <c r="W4349">
        <v>0.14625099999999999</v>
      </c>
      <c r="X4349">
        <v>0.98915649999999999</v>
      </c>
      <c r="Y4349">
        <v>8.3834039999999999E-2</v>
      </c>
      <c r="Z4349">
        <v>-2.2683439999999998E-3</v>
      </c>
      <c r="AA4349">
        <v>0.9964771</v>
      </c>
      <c r="AB4349">
        <v>37</v>
      </c>
      <c r="AC4349">
        <v>27.389600000000002</v>
      </c>
      <c r="AD4349">
        <v>-1.1101279307209999</v>
      </c>
      <c r="AE4349">
        <v>-1.9274</v>
      </c>
      <c r="AF4349">
        <v>2.3315826762786398</v>
      </c>
      <c r="AG4349">
        <v>-1.1101279307209999</v>
      </c>
      <c r="AH4349">
        <v>27.313184427432901</v>
      </c>
      <c r="AI4349">
        <v>92.319046369969598</v>
      </c>
      <c r="AJ4349">
        <v>85.120790002605005</v>
      </c>
      <c r="AK4349">
        <v>27.434990529720501</v>
      </c>
      <c r="AL4349">
        <v>81.5902715041411</v>
      </c>
      <c r="AM4349">
        <v>89.222757905517895</v>
      </c>
      <c r="AN4349">
        <v>1.00000000517417</v>
      </c>
    </row>
    <row r="4350" spans="1:40" x14ac:dyDescent="0.25">
      <c r="A4350" t="str">
        <f>"20190312172204697"</f>
        <v>20190312172204697</v>
      </c>
      <c r="B4350" t="str">
        <f>"1552382524694745"</f>
        <v>1552382524694745</v>
      </c>
      <c r="C4350" t="s">
        <v>40</v>
      </c>
      <c r="D4350">
        <v>3.1553059999999999</v>
      </c>
      <c r="E4350">
        <v>0.52654309999999904</v>
      </c>
      <c r="F4350" t="s">
        <v>46</v>
      </c>
      <c r="G4350">
        <v>-247.8716</v>
      </c>
      <c r="H4350" s="1">
        <v>2.6892009999999998E-6</v>
      </c>
      <c r="I4350">
        <v>213.76769999999999</v>
      </c>
      <c r="J4350">
        <v>-275.71710000000002</v>
      </c>
      <c r="K4350">
        <v>1.110134</v>
      </c>
      <c r="L4350">
        <v>215.70339999999999</v>
      </c>
      <c r="M4350">
        <v>0.99979479999999998</v>
      </c>
      <c r="N4350">
        <v>0</v>
      </c>
      <c r="O4350">
        <v>1.490232E-2</v>
      </c>
      <c r="P4350">
        <v>0.9911548</v>
      </c>
      <c r="Q4350">
        <v>0.13270409999999999</v>
      </c>
      <c r="R4350">
        <v>1.411587E-3</v>
      </c>
      <c r="S4350">
        <v>3.0431210000000002</v>
      </c>
      <c r="T4350">
        <v>-0.1202047</v>
      </c>
      <c r="U4350">
        <v>-0.2091827</v>
      </c>
      <c r="V4350">
        <v>1.336587E-2</v>
      </c>
      <c r="W4350">
        <v>0.14629679999999901</v>
      </c>
      <c r="X4350">
        <v>0.98915050000000004</v>
      </c>
      <c r="Y4350">
        <v>8.3362430000000001E-2</v>
      </c>
      <c r="Z4350">
        <v>-2.2316889999999998E-3</v>
      </c>
      <c r="AA4350">
        <v>0.99651679999999998</v>
      </c>
      <c r="AB4350">
        <v>37</v>
      </c>
      <c r="AC4350">
        <v>27.845500000000001</v>
      </c>
      <c r="AD4350">
        <v>-1.1101313107989901</v>
      </c>
      <c r="AE4350">
        <v>-1.93569999999999</v>
      </c>
      <c r="AF4350">
        <v>2.3467745577041601</v>
      </c>
      <c r="AG4350">
        <v>-1.1101313107989901</v>
      </c>
      <c r="AH4350">
        <v>27.769632814530802</v>
      </c>
      <c r="AI4350">
        <v>92.281140327001296</v>
      </c>
      <c r="AJ4350">
        <v>85.169487804356194</v>
      </c>
      <c r="AK4350">
        <v>27.890719764928399</v>
      </c>
      <c r="AL4350">
        <v>81.5876192554922</v>
      </c>
      <c r="AM4350">
        <v>89.225839407873096</v>
      </c>
      <c r="AN4350">
        <v>1.0000000559106701</v>
      </c>
    </row>
    <row r="4351" spans="1:40" x14ac:dyDescent="0.25">
      <c r="A4351" t="str">
        <f>"20190312172204715"</f>
        <v>20190312172204715</v>
      </c>
      <c r="B4351" t="str">
        <f>"1552382524704503"</f>
        <v>1552382524704503</v>
      </c>
      <c r="C4351" t="s">
        <v>40</v>
      </c>
      <c r="D4351">
        <v>3.1472470000000001</v>
      </c>
      <c r="E4351">
        <v>0.52643019999999996</v>
      </c>
      <c r="F4351" t="s">
        <v>46</v>
      </c>
      <c r="G4351">
        <v>-246.44640000000001</v>
      </c>
      <c r="H4351" s="1">
        <v>1.9333880000000001E-6</v>
      </c>
      <c r="I4351">
        <v>213.70679999999999</v>
      </c>
      <c r="J4351">
        <v>-275.43450000000001</v>
      </c>
      <c r="K4351">
        <v>1.1101369999999999</v>
      </c>
      <c r="L4351">
        <v>215.70769999999999</v>
      </c>
      <c r="M4351">
        <v>0.99979470000000004</v>
      </c>
      <c r="N4351">
        <v>0</v>
      </c>
      <c r="O4351">
        <v>1.4902749999999999E-2</v>
      </c>
      <c r="P4351">
        <v>0.99107710000000004</v>
      </c>
      <c r="Q4351">
        <v>0.1332855</v>
      </c>
      <c r="R4351">
        <v>1.110027E-3</v>
      </c>
      <c r="S4351">
        <v>3.0425110000000002</v>
      </c>
      <c r="T4351">
        <v>-0.1153912</v>
      </c>
      <c r="U4351">
        <v>-0.20753479999999999</v>
      </c>
      <c r="V4351">
        <v>1.366673E-2</v>
      </c>
      <c r="W4351">
        <v>0.1468835</v>
      </c>
      <c r="X4351">
        <v>0.98905940000000003</v>
      </c>
      <c r="Y4351">
        <v>8.2845630000000003E-2</v>
      </c>
      <c r="Z4351">
        <v>-2.1330870000000001E-3</v>
      </c>
      <c r="AA4351">
        <v>0.99656009999999995</v>
      </c>
      <c r="AB4351">
        <v>37</v>
      </c>
      <c r="AC4351">
        <v>28.988099999999999</v>
      </c>
      <c r="AD4351">
        <v>-1.110135066612</v>
      </c>
      <c r="AE4351">
        <v>-2.0009000000000001</v>
      </c>
      <c r="AF4351">
        <v>2.4291751371696502</v>
      </c>
      <c r="AG4351">
        <v>-1.110135066612</v>
      </c>
      <c r="AH4351">
        <v>28.912855911581701</v>
      </c>
      <c r="AI4351">
        <v>92.191130488918006</v>
      </c>
      <c r="AJ4351">
        <v>85.197452123662799</v>
      </c>
      <c r="AK4351">
        <v>29.035952346652099</v>
      </c>
      <c r="AL4351">
        <v>81.553636409828798</v>
      </c>
      <c r="AM4351">
        <v>89.208342676267605</v>
      </c>
      <c r="AN4351">
        <v>1.00000001940475</v>
      </c>
    </row>
    <row r="4352" spans="1:40" x14ac:dyDescent="0.25">
      <c r="A4352" t="str">
        <f>"20190312172204730"</f>
        <v>20190312172204730</v>
      </c>
      <c r="B4352" t="str">
        <f>"1552382524725000"</f>
        <v>1552382524725000</v>
      </c>
      <c r="C4352" t="s">
        <v>40</v>
      </c>
      <c r="D4352">
        <v>3.144593</v>
      </c>
      <c r="E4352">
        <v>0.5262038</v>
      </c>
      <c r="F4352" t="s">
        <v>46</v>
      </c>
      <c r="G4352">
        <v>-245.06030000000001</v>
      </c>
      <c r="H4352" s="1">
        <v>1.1990779999999999E-6</v>
      </c>
      <c r="I4352">
        <v>213.63220000000001</v>
      </c>
      <c r="J4352">
        <v>-275.17450000000002</v>
      </c>
      <c r="K4352">
        <v>1.1101350000000001</v>
      </c>
      <c r="L4352">
        <v>215.7115</v>
      </c>
      <c r="M4352">
        <v>0.99979450000000003</v>
      </c>
      <c r="N4352">
        <v>0</v>
      </c>
      <c r="O4352">
        <v>1.4903069999999999E-2</v>
      </c>
      <c r="P4352">
        <v>0.99110450000000005</v>
      </c>
      <c r="Q4352">
        <v>0.13308200000000001</v>
      </c>
      <c r="R4352">
        <v>1.169214E-3</v>
      </c>
      <c r="S4352">
        <v>3.0422060000000002</v>
      </c>
      <c r="T4352">
        <v>-0.11118840000000001</v>
      </c>
      <c r="U4352">
        <v>-0.20787050000000001</v>
      </c>
      <c r="V4352">
        <v>1.36081E-2</v>
      </c>
      <c r="W4352">
        <v>0.14668639999999999</v>
      </c>
      <c r="X4352">
        <v>0.98908940000000001</v>
      </c>
      <c r="Y4352">
        <v>8.2967100000000002E-2</v>
      </c>
      <c r="Z4352">
        <v>-2.0578739999999999E-3</v>
      </c>
      <c r="AA4352">
        <v>0.99655009999999999</v>
      </c>
      <c r="AB4352">
        <v>37</v>
      </c>
      <c r="AC4352">
        <v>30.1142</v>
      </c>
      <c r="AD4352">
        <v>-1.1101338009219901</v>
      </c>
      <c r="AE4352">
        <v>-2.0792999999999799</v>
      </c>
      <c r="AF4352">
        <v>2.5244910366269702</v>
      </c>
      <c r="AG4352">
        <v>-1.1101338009219901</v>
      </c>
      <c r="AH4352">
        <v>30.039235551721099</v>
      </c>
      <c r="AI4352">
        <v>92.109039036604301</v>
      </c>
      <c r="AJ4352">
        <v>85.196162852771707</v>
      </c>
      <c r="AK4352">
        <v>30.1655618973316</v>
      </c>
      <c r="AL4352">
        <v>81.565052569868101</v>
      </c>
      <c r="AM4352">
        <v>89.211762346684395</v>
      </c>
      <c r="AN4352">
        <v>0.99999996076146402</v>
      </c>
    </row>
    <row r="4353" spans="1:40" x14ac:dyDescent="0.25">
      <c r="A4353" t="str">
        <f>"20190312172204749"</f>
        <v>20190312172204749</v>
      </c>
      <c r="B4353" t="str">
        <f>"1552382524744520"</f>
        <v>1552382524744520</v>
      </c>
      <c r="C4353" t="s">
        <v>40</v>
      </c>
      <c r="D4353">
        <v>3.141216</v>
      </c>
      <c r="E4353">
        <v>0.52606699999999995</v>
      </c>
      <c r="F4353" t="s">
        <v>46</v>
      </c>
      <c r="G4353">
        <v>-243.9616</v>
      </c>
      <c r="H4353" s="1">
        <v>6.1573209999999996E-7</v>
      </c>
      <c r="I4353">
        <v>213.60149999999999</v>
      </c>
      <c r="J4353">
        <v>-274.88010000000003</v>
      </c>
      <c r="K4353">
        <v>1.110136</v>
      </c>
      <c r="L4353">
        <v>215.7159</v>
      </c>
      <c r="M4353">
        <v>0.99979439999999997</v>
      </c>
      <c r="N4353">
        <v>0</v>
      </c>
      <c r="O4353">
        <v>1.4903319999999999E-2</v>
      </c>
      <c r="P4353">
        <v>0.99111590000000005</v>
      </c>
      <c r="Q4353">
        <v>0.1329987</v>
      </c>
      <c r="R4353">
        <v>7.9720979999999995E-4</v>
      </c>
      <c r="S4353">
        <v>3.0417179999999999</v>
      </c>
      <c r="T4353">
        <v>-0.1081833</v>
      </c>
      <c r="U4353">
        <v>-0.20562739999999999</v>
      </c>
      <c r="V4353">
        <v>1.3980619999999999E-2</v>
      </c>
      <c r="W4353">
        <v>0.14660999999999999</v>
      </c>
      <c r="X4353">
        <v>0.98909559999999996</v>
      </c>
      <c r="Y4353">
        <v>8.2250610000000002E-2</v>
      </c>
      <c r="Z4353">
        <v>-1.9899459999999998E-3</v>
      </c>
      <c r="AA4353">
        <v>0.99660970000000004</v>
      </c>
      <c r="AB4353">
        <v>37</v>
      </c>
      <c r="AC4353">
        <v>30.918500000000002</v>
      </c>
      <c r="AD4353">
        <v>-1.11013538426789</v>
      </c>
      <c r="AE4353">
        <v>-2.11440000000001</v>
      </c>
      <c r="AF4353">
        <v>2.5716970313268002</v>
      </c>
      <c r="AG4353">
        <v>-1.11013538426789</v>
      </c>
      <c r="AH4353">
        <v>30.843972489455599</v>
      </c>
      <c r="AI4353">
        <v>92.054176660464194</v>
      </c>
      <c r="AJ4353">
        <v>85.233838353525101</v>
      </c>
      <c r="AK4353">
        <v>30.9709002956426</v>
      </c>
      <c r="AL4353">
        <v>81.569478380179405</v>
      </c>
      <c r="AM4353">
        <v>89.190192352396394</v>
      </c>
      <c r="AN4353">
        <v>1.0000000278874701</v>
      </c>
    </row>
    <row r="4354" spans="1:40" x14ac:dyDescent="0.25">
      <c r="A4354" t="str">
        <f>"20190312172204771"</f>
        <v>20190312172204771</v>
      </c>
      <c r="B4354" t="str">
        <f>"1552382524765015"</f>
        <v>1552382524765015</v>
      </c>
      <c r="C4354" t="s">
        <v>40</v>
      </c>
      <c r="D4354">
        <v>3.1252360000000001</v>
      </c>
      <c r="E4354">
        <v>0.52576429999999996</v>
      </c>
      <c r="F4354" t="s">
        <v>46</v>
      </c>
      <c r="G4354">
        <v>-243.29689999999999</v>
      </c>
      <c r="H4354" s="1">
        <v>2.628317E-7</v>
      </c>
      <c r="I4354">
        <v>213.5823</v>
      </c>
      <c r="J4354">
        <v>-274.50349999999997</v>
      </c>
      <c r="K4354">
        <v>1.110141</v>
      </c>
      <c r="L4354">
        <v>215.72149999999999</v>
      </c>
      <c r="M4354">
        <v>0.99979430000000002</v>
      </c>
      <c r="N4354">
        <v>0</v>
      </c>
      <c r="O4354">
        <v>1.4903619999999999E-2</v>
      </c>
      <c r="P4354">
        <v>0.99115989999999998</v>
      </c>
      <c r="Q4354">
        <v>0.13267200000000001</v>
      </c>
      <c r="R4354">
        <v>4.0696889999999999E-4</v>
      </c>
      <c r="S4354">
        <v>3.0414119999999998</v>
      </c>
      <c r="T4354">
        <v>-0.106904</v>
      </c>
      <c r="U4354">
        <v>-0.20545959999999999</v>
      </c>
      <c r="V4354">
        <v>1.4371790000000001E-2</v>
      </c>
      <c r="W4354">
        <v>0.14629110000000001</v>
      </c>
      <c r="X4354">
        <v>0.98913720000000005</v>
      </c>
      <c r="Y4354">
        <v>8.2204330000000006E-2</v>
      </c>
      <c r="Z4354">
        <v>-1.9658290000000001E-3</v>
      </c>
      <c r="AA4354">
        <v>0.99661359999999999</v>
      </c>
      <c r="AB4354">
        <v>37</v>
      </c>
      <c r="AC4354">
        <v>31.206599999999899</v>
      </c>
      <c r="AD4354">
        <v>-1.1101407371683001</v>
      </c>
      <c r="AE4354">
        <v>-2.1391999999999798</v>
      </c>
      <c r="AF4354">
        <v>2.60082173179417</v>
      </c>
      <c r="AG4354">
        <v>-1.1101407371683001</v>
      </c>
      <c r="AH4354">
        <v>31.132035121068501</v>
      </c>
      <c r="AI4354">
        <v>92.035167718944507</v>
      </c>
      <c r="AJ4354">
        <v>85.224504888919199</v>
      </c>
      <c r="AK4354">
        <v>31.2602030850143</v>
      </c>
      <c r="AL4354">
        <v>81.587949066636199</v>
      </c>
      <c r="AM4354">
        <v>89.167572534194903</v>
      </c>
      <c r="AN4354">
        <v>1.00000001735542</v>
      </c>
    </row>
    <row r="4355" spans="1:40" x14ac:dyDescent="0.25">
      <c r="A4355" t="str">
        <f>"20190312172204787"</f>
        <v>20190312172204787</v>
      </c>
      <c r="B4355" t="str">
        <f>"1552382524784536"</f>
        <v>1552382524784536</v>
      </c>
      <c r="C4355" t="s">
        <v>40</v>
      </c>
      <c r="D4355">
        <v>3.1371319999999998</v>
      </c>
      <c r="E4355">
        <v>0.52563459999999995</v>
      </c>
      <c r="F4355" t="s">
        <v>46</v>
      </c>
      <c r="G4355">
        <v>-242.33789999999999</v>
      </c>
      <c r="H4355" s="1">
        <v>-2.4649739999999998E-7</v>
      </c>
      <c r="I4355">
        <v>213.55950000000001</v>
      </c>
      <c r="J4355">
        <v>-274.24299999999999</v>
      </c>
      <c r="K4355">
        <v>1.110139</v>
      </c>
      <c r="L4355">
        <v>215.72540000000001</v>
      </c>
      <c r="M4355">
        <v>0.99979439999999997</v>
      </c>
      <c r="N4355">
        <v>0</v>
      </c>
      <c r="O4355">
        <v>1.490257E-2</v>
      </c>
      <c r="P4355">
        <v>0.99114690000000005</v>
      </c>
      <c r="Q4355">
        <v>0.13276979999999999</v>
      </c>
      <c r="R4355" s="1">
        <v>-1.340173E-6</v>
      </c>
      <c r="S4355">
        <v>3.0408629999999999</v>
      </c>
      <c r="T4355">
        <v>-0.1049501</v>
      </c>
      <c r="U4355">
        <v>-0.2043915</v>
      </c>
      <c r="V4355">
        <v>1.477909E-2</v>
      </c>
      <c r="W4355">
        <v>0.14639349999999901</v>
      </c>
      <c r="X4355">
        <v>0.989116</v>
      </c>
      <c r="Y4355">
        <v>8.1869220000000006E-2</v>
      </c>
      <c r="Z4355">
        <v>-1.924479E-3</v>
      </c>
      <c r="AA4355">
        <v>0.9966412</v>
      </c>
      <c r="AB4355">
        <v>37</v>
      </c>
      <c r="AC4355">
        <v>31.905100000000001</v>
      </c>
      <c r="AD4355">
        <v>-1.1101392464974</v>
      </c>
      <c r="AE4355">
        <v>-2.1658999999999899</v>
      </c>
      <c r="AF4355">
        <v>2.63799321984202</v>
      </c>
      <c r="AG4355">
        <v>-1.1101392464974</v>
      </c>
      <c r="AH4355">
        <v>31.830915017170199</v>
      </c>
      <c r="AI4355">
        <v>91.990626773931893</v>
      </c>
      <c r="AJ4355">
        <v>85.262427782300705</v>
      </c>
      <c r="AK4355">
        <v>31.959326779593699</v>
      </c>
      <c r="AL4355">
        <v>81.582017724106507</v>
      </c>
      <c r="AM4355">
        <v>89.143966456306501</v>
      </c>
      <c r="AN4355">
        <v>0.99999996989973805</v>
      </c>
    </row>
    <row r="4356" spans="1:40" x14ac:dyDescent="0.25">
      <c r="A4356" t="str">
        <f>"20190312172204805"</f>
        <v>20190312172204805</v>
      </c>
      <c r="B4356" t="str">
        <f>"1552382524795272"</f>
        <v>1552382524795272</v>
      </c>
      <c r="C4356" t="s">
        <v>40</v>
      </c>
      <c r="D4356">
        <v>3.1180379999999999</v>
      </c>
      <c r="E4356">
        <v>0.52552909999999997</v>
      </c>
      <c r="F4356" t="s">
        <v>46</v>
      </c>
      <c r="G4356">
        <v>-241.70830000000001</v>
      </c>
      <c r="H4356" s="1">
        <v>-5.8057380000000004E-7</v>
      </c>
      <c r="I4356">
        <v>213.53749999999999</v>
      </c>
      <c r="J4356">
        <v>-273.95150000000001</v>
      </c>
      <c r="K4356">
        <v>1.110141</v>
      </c>
      <c r="L4356">
        <v>215.72980000000001</v>
      </c>
      <c r="M4356">
        <v>0.99979430000000002</v>
      </c>
      <c r="N4356">
        <v>0</v>
      </c>
      <c r="O4356">
        <v>1.489862E-2</v>
      </c>
      <c r="P4356">
        <v>0.99115770000000003</v>
      </c>
      <c r="Q4356">
        <v>0.13268829999999901</v>
      </c>
      <c r="R4356">
        <v>-6.7342819999999996E-4</v>
      </c>
      <c r="S4356">
        <v>3.0407099999999998</v>
      </c>
      <c r="T4356">
        <v>-0.1037542</v>
      </c>
      <c r="U4356">
        <v>-0.204483</v>
      </c>
      <c r="V4356">
        <v>1.5447880000000001E-2</v>
      </c>
      <c r="W4356">
        <v>0.14631749999999999</v>
      </c>
      <c r="X4356">
        <v>0.98911700000000002</v>
      </c>
      <c r="Y4356">
        <v>8.189979E-2</v>
      </c>
      <c r="Z4356">
        <v>-1.9030410000000001E-3</v>
      </c>
      <c r="AA4356">
        <v>0.99663880000000005</v>
      </c>
      <c r="AB4356">
        <v>37</v>
      </c>
      <c r="AC4356">
        <v>32.243200000000002</v>
      </c>
      <c r="AD4356">
        <v>-1.1101415805738</v>
      </c>
      <c r="AE4356">
        <v>-2.1923000000000101</v>
      </c>
      <c r="AF4356">
        <v>2.6693315318619502</v>
      </c>
      <c r="AG4356">
        <v>-1.1101415805738</v>
      </c>
      <c r="AH4356">
        <v>32.168996283553803</v>
      </c>
      <c r="AI4356">
        <v>91.969710184389498</v>
      </c>
      <c r="AJ4356">
        <v>85.256555381380593</v>
      </c>
      <c r="AK4356">
        <v>32.298638780097399</v>
      </c>
      <c r="AL4356">
        <v>81.586419381007602</v>
      </c>
      <c r="AM4356">
        <v>89.105235909014297</v>
      </c>
      <c r="AN4356">
        <v>0.99999994374586998</v>
      </c>
    </row>
    <row r="4357" spans="1:40" x14ac:dyDescent="0.25">
      <c r="A4357" t="str">
        <f>"20190312172204828"</f>
        <v>20190312172204828</v>
      </c>
      <c r="B4357" t="str">
        <f>"1552382524824551"</f>
        <v>1552382524824551</v>
      </c>
      <c r="C4357" t="s">
        <v>40</v>
      </c>
      <c r="D4357">
        <v>3.1512820000000001</v>
      </c>
      <c r="E4357">
        <v>0.52536419999999995</v>
      </c>
      <c r="F4357" t="s">
        <v>46</v>
      </c>
      <c r="G4357">
        <v>-241.1593</v>
      </c>
      <c r="H4357" s="1">
        <v>-8.7143730000000003E-7</v>
      </c>
      <c r="I4357">
        <v>213.5078</v>
      </c>
      <c r="J4357">
        <v>-273.57650000000001</v>
      </c>
      <c r="K4357">
        <v>1.1101319999999999</v>
      </c>
      <c r="L4357">
        <v>215.7353</v>
      </c>
      <c r="M4357">
        <v>0.99979430000000002</v>
      </c>
      <c r="N4357">
        <v>0</v>
      </c>
      <c r="O4357">
        <v>1.488425E-2</v>
      </c>
      <c r="P4357">
        <v>0.99111059999999995</v>
      </c>
      <c r="Q4357">
        <v>0.1330306</v>
      </c>
      <c r="R4357">
        <v>-1.690511E-3</v>
      </c>
      <c r="S4357">
        <v>3.040375</v>
      </c>
      <c r="T4357">
        <v>-0.1029283</v>
      </c>
      <c r="U4357">
        <v>-0.20600889999999999</v>
      </c>
      <c r="V4357">
        <v>1.645195E-2</v>
      </c>
      <c r="W4357">
        <v>0.14666940000000001</v>
      </c>
      <c r="X4357">
        <v>0.9890487</v>
      </c>
      <c r="Y4357">
        <v>8.2391370000000005E-2</v>
      </c>
      <c r="Z4357">
        <v>-1.8959020000000001E-3</v>
      </c>
      <c r="AA4357">
        <v>0.99659819999999999</v>
      </c>
      <c r="AB4357">
        <v>37</v>
      </c>
      <c r="AC4357">
        <v>32.417200000000001</v>
      </c>
      <c r="AD4357">
        <v>-1.1101328714373</v>
      </c>
      <c r="AE4357">
        <v>-2.2274999999999898</v>
      </c>
      <c r="AF4357">
        <v>2.70664545352167</v>
      </c>
      <c r="AG4357">
        <v>-1.1101328714373</v>
      </c>
      <c r="AH4357">
        <v>32.342699349640299</v>
      </c>
      <c r="AI4357">
        <v>91.959009656766597</v>
      </c>
      <c r="AJ4357">
        <v>85.216266753777205</v>
      </c>
      <c r="AK4357">
        <v>32.474736732182102</v>
      </c>
      <c r="AL4357">
        <v>81.5660372014285</v>
      </c>
      <c r="AM4357">
        <v>89.047023291689499</v>
      </c>
      <c r="AN4357">
        <v>0.999999955263425</v>
      </c>
    </row>
    <row r="4358" spans="1:40" x14ac:dyDescent="0.25">
      <c r="A4358" t="str">
        <f>"20190312172204850"</f>
        <v>20190312172204850</v>
      </c>
      <c r="B4358" t="str">
        <f>"1552382524845048"</f>
        <v>1552382524845048</v>
      </c>
      <c r="C4358" t="s">
        <v>40</v>
      </c>
      <c r="D4358">
        <v>3.1312449999999998</v>
      </c>
      <c r="E4358">
        <v>0.52527489999999999</v>
      </c>
      <c r="F4358" t="s">
        <v>46</v>
      </c>
      <c r="G4358">
        <v>-239.83459999999999</v>
      </c>
      <c r="H4358" s="1">
        <v>3.7485289999999999E-6</v>
      </c>
      <c r="I4358">
        <v>213.4306</v>
      </c>
      <c r="J4358">
        <v>-273.2</v>
      </c>
      <c r="K4358">
        <v>1.1101209999999999</v>
      </c>
      <c r="L4358">
        <v>215.74090000000001</v>
      </c>
      <c r="M4358">
        <v>0.99979470000000004</v>
      </c>
      <c r="N4358">
        <v>0</v>
      </c>
      <c r="O4358">
        <v>1.485568E-2</v>
      </c>
      <c r="P4358">
        <v>0.99114930000000001</v>
      </c>
      <c r="Q4358">
        <v>0.13271520000000001</v>
      </c>
      <c r="R4358">
        <v>-3.1500600000000001E-3</v>
      </c>
      <c r="S4358">
        <v>3.040009</v>
      </c>
      <c r="T4358">
        <v>-0.100018</v>
      </c>
      <c r="U4358">
        <v>-0.20764160000000001</v>
      </c>
      <c r="V4358">
        <v>1.7887429999999999E-2</v>
      </c>
      <c r="W4358">
        <v>0.146367</v>
      </c>
      <c r="X4358">
        <v>0.98906859999999996</v>
      </c>
      <c r="Y4358">
        <v>8.2906569999999999E-2</v>
      </c>
      <c r="Z4358">
        <v>-1.850038E-3</v>
      </c>
      <c r="AA4358">
        <v>0.99655559999999999</v>
      </c>
      <c r="AB4358">
        <v>37</v>
      </c>
      <c r="AC4358">
        <v>33.365399999999902</v>
      </c>
      <c r="AD4358">
        <v>-1.1101172514709901</v>
      </c>
      <c r="AE4358">
        <v>-2.31030000000001</v>
      </c>
      <c r="AF4358">
        <v>2.8026700403262801</v>
      </c>
      <c r="AG4358">
        <v>-1.1101172514709901</v>
      </c>
      <c r="AH4358">
        <v>33.290716279642801</v>
      </c>
      <c r="AI4358">
        <v>91.903158511136198</v>
      </c>
      <c r="AJ4358">
        <v>85.187745691153594</v>
      </c>
      <c r="AK4358">
        <v>33.4269219354494</v>
      </c>
      <c r="AL4358">
        <v>81.583552656996304</v>
      </c>
      <c r="AM4358">
        <v>88.963911571506998</v>
      </c>
      <c r="AN4358">
        <v>0.99999997717348199</v>
      </c>
    </row>
    <row r="4359" spans="1:40" x14ac:dyDescent="0.25">
      <c r="A4359" t="str">
        <f>"20190312172204872"</f>
        <v>20190312172204872</v>
      </c>
      <c r="B4359" t="str">
        <f>"1552382524865544"</f>
        <v>1552382524865544</v>
      </c>
      <c r="C4359" t="s">
        <v>40</v>
      </c>
      <c r="D4359">
        <v>3.1150159999999998</v>
      </c>
      <c r="E4359">
        <v>0.52526530000000005</v>
      </c>
      <c r="F4359" t="s">
        <v>46</v>
      </c>
      <c r="G4359">
        <v>-239.5556</v>
      </c>
      <c r="H4359" s="1">
        <v>3.60134E-6</v>
      </c>
      <c r="I4359">
        <v>213.4006</v>
      </c>
      <c r="J4359">
        <v>-272.83850000000001</v>
      </c>
      <c r="K4359">
        <v>1.1101110000000001</v>
      </c>
      <c r="L4359">
        <v>215.74619999999999</v>
      </c>
      <c r="M4359">
        <v>0.99979510000000005</v>
      </c>
      <c r="N4359">
        <v>0</v>
      </c>
      <c r="O4359">
        <v>1.481174E-2</v>
      </c>
      <c r="P4359">
        <v>0.99112180000000005</v>
      </c>
      <c r="Q4359">
        <v>0.13288710000000001</v>
      </c>
      <c r="R4359">
        <v>-4.3305009999999996E-3</v>
      </c>
      <c r="S4359">
        <v>3.03952</v>
      </c>
      <c r="T4359">
        <v>-0.1002907</v>
      </c>
      <c r="U4359">
        <v>-0.2114258</v>
      </c>
      <c r="V4359">
        <v>1.9028409999999999E-2</v>
      </c>
      <c r="W4359">
        <v>0.1465506</v>
      </c>
      <c r="X4359">
        <v>0.98902020000000002</v>
      </c>
      <c r="Y4359">
        <v>8.4107509999999996E-2</v>
      </c>
      <c r="Z4359">
        <v>-1.873633E-3</v>
      </c>
      <c r="AA4359">
        <v>0.99645490000000003</v>
      </c>
      <c r="AB4359">
        <v>37</v>
      </c>
      <c r="AC4359">
        <v>33.282899999999998</v>
      </c>
      <c r="AD4359">
        <v>-1.1101073986600001</v>
      </c>
      <c r="AE4359">
        <v>-2.3455999999999899</v>
      </c>
      <c r="AF4359">
        <v>2.8352287168711099</v>
      </c>
      <c r="AG4359">
        <v>-1.1101073986600001</v>
      </c>
      <c r="AH4359">
        <v>33.207742462782399</v>
      </c>
      <c r="AI4359">
        <v>91.907702270230502</v>
      </c>
      <c r="AJ4359">
        <v>85.120004347881803</v>
      </c>
      <c r="AK4359">
        <v>33.347039145747402</v>
      </c>
      <c r="AL4359">
        <v>81.572919161663293</v>
      </c>
      <c r="AM4359">
        <v>88.897784807538699</v>
      </c>
      <c r="AN4359">
        <v>1.0000000573777601</v>
      </c>
    </row>
    <row r="4360" spans="1:40" x14ac:dyDescent="0.25">
      <c r="A4360" t="str">
        <f>"20190312172204894"</f>
        <v>20190312172204894</v>
      </c>
      <c r="B4360" t="str">
        <f>"1552382524885064"</f>
        <v>1552382524885064</v>
      </c>
      <c r="C4360" t="s">
        <v>40</v>
      </c>
      <c r="D4360">
        <v>3.1130230000000001</v>
      </c>
      <c r="E4360">
        <v>0.52514229999999995</v>
      </c>
      <c r="F4360" t="s">
        <v>46</v>
      </c>
      <c r="G4360">
        <v>-238.9025</v>
      </c>
      <c r="H4360" s="1">
        <v>3.2561559999999999E-6</v>
      </c>
      <c r="I4360">
        <v>213.3468</v>
      </c>
      <c r="J4360">
        <v>-272.47770000000003</v>
      </c>
      <c r="K4360">
        <v>1.1100989999999999</v>
      </c>
      <c r="L4360">
        <v>215.75149999999999</v>
      </c>
      <c r="M4360">
        <v>0.99979600000000002</v>
      </c>
      <c r="N4360">
        <v>0</v>
      </c>
      <c r="O4360">
        <v>1.474759E-2</v>
      </c>
      <c r="P4360">
        <v>0.99101320000000004</v>
      </c>
      <c r="Q4360">
        <v>0.13362789999999999</v>
      </c>
      <c r="R4360">
        <v>-6.0653149999999999E-3</v>
      </c>
      <c r="S4360">
        <v>3.0392760000000001</v>
      </c>
      <c r="T4360">
        <v>-9.9420190000000006E-2</v>
      </c>
      <c r="U4360">
        <v>-0.21488950000000001</v>
      </c>
      <c r="V4360">
        <v>2.0703679999999999E-2</v>
      </c>
      <c r="W4360">
        <v>0.1473024</v>
      </c>
      <c r="X4360">
        <v>0.98887480000000005</v>
      </c>
      <c r="Y4360">
        <v>8.5179519999999995E-2</v>
      </c>
      <c r="Z4360">
        <v>-1.8728659999999999E-3</v>
      </c>
      <c r="AA4360">
        <v>0.99636389999999997</v>
      </c>
      <c r="AB4360">
        <v>37</v>
      </c>
      <c r="AC4360">
        <v>33.575200000000002</v>
      </c>
      <c r="AD4360">
        <v>-1.110095743844</v>
      </c>
      <c r="AE4360">
        <v>-2.4046999999999898</v>
      </c>
      <c r="AF4360">
        <v>2.89648871490314</v>
      </c>
      <c r="AG4360">
        <v>-1.110095743844</v>
      </c>
      <c r="AH4360">
        <v>33.499647461277199</v>
      </c>
      <c r="AI4360">
        <v>91.890896637633801</v>
      </c>
      <c r="AJ4360">
        <v>85.058310206289207</v>
      </c>
      <c r="AK4360">
        <v>33.642953786282199</v>
      </c>
      <c r="AL4360">
        <v>81.529371143112201</v>
      </c>
      <c r="AM4360">
        <v>88.8005961878237</v>
      </c>
      <c r="AN4360">
        <v>1.0000000047431701</v>
      </c>
    </row>
    <row r="4361" spans="1:40" x14ac:dyDescent="0.25">
      <c r="A4361" t="str">
        <f>"20190312172204916"</f>
        <v>20190312172204916</v>
      </c>
      <c r="B4361" t="str">
        <f>"1552382524905560"</f>
        <v>1552382524905560</v>
      </c>
      <c r="C4361" t="s">
        <v>40</v>
      </c>
      <c r="D4361">
        <v>3.1133039999999998</v>
      </c>
      <c r="E4361">
        <v>0.525003</v>
      </c>
      <c r="F4361" t="s">
        <v>46</v>
      </c>
      <c r="G4361">
        <v>-237.28989999999999</v>
      </c>
      <c r="H4361" s="1">
        <v>2.4036569999999998E-6</v>
      </c>
      <c r="I4361">
        <v>213.21809999999999</v>
      </c>
      <c r="J4361">
        <v>-272.12520000000001</v>
      </c>
      <c r="K4361">
        <v>1.1100909999999999</v>
      </c>
      <c r="L4361">
        <v>215.75659999999999</v>
      </c>
      <c r="M4361">
        <v>0.99979689999999999</v>
      </c>
      <c r="N4361">
        <v>0</v>
      </c>
      <c r="O4361">
        <v>1.466433E-2</v>
      </c>
      <c r="P4361">
        <v>0.990927</v>
      </c>
      <c r="Q4361">
        <v>0.1341445</v>
      </c>
      <c r="R4361">
        <v>-8.3225390000000003E-3</v>
      </c>
      <c r="S4361">
        <v>3.0387569999999999</v>
      </c>
      <c r="T4361">
        <v>-9.586596E-2</v>
      </c>
      <c r="U4361">
        <v>-0.21878049999999999</v>
      </c>
      <c r="V4361">
        <v>2.2883279999999999E-2</v>
      </c>
      <c r="W4361">
        <v>0.14783250000000001</v>
      </c>
      <c r="X4361">
        <v>0.98874770000000001</v>
      </c>
      <c r="Y4361">
        <v>8.6380960000000007E-2</v>
      </c>
      <c r="Z4361">
        <v>-1.822471E-3</v>
      </c>
      <c r="AA4361">
        <v>0.99626049999999999</v>
      </c>
      <c r="AB4361">
        <v>37</v>
      </c>
      <c r="AC4361">
        <v>34.835299999999997</v>
      </c>
      <c r="AD4361">
        <v>-1.1100885963429901</v>
      </c>
      <c r="AE4361">
        <v>-2.5384999999999902</v>
      </c>
      <c r="AF4361">
        <v>3.0460352637122199</v>
      </c>
      <c r="AG4361">
        <v>-1.1100885963429901</v>
      </c>
      <c r="AH4361">
        <v>34.759213360413497</v>
      </c>
      <c r="AI4361">
        <v>91.8222278157223</v>
      </c>
      <c r="AJ4361">
        <v>84.9918239361254</v>
      </c>
      <c r="AK4361">
        <v>34.910077928218001</v>
      </c>
      <c r="AL4361">
        <v>81.498662867997396</v>
      </c>
      <c r="AM4361">
        <v>88.674200355314895</v>
      </c>
      <c r="AN4361">
        <v>1.0000000534075399</v>
      </c>
    </row>
    <row r="4362" spans="1:40" x14ac:dyDescent="0.25">
      <c r="A4362" t="str">
        <f>"20190312172204938"</f>
        <v>20190312172204938</v>
      </c>
      <c r="B4362" t="str">
        <f>"1552382524934840"</f>
        <v>1552382524934840</v>
      </c>
      <c r="C4362" t="s">
        <v>40</v>
      </c>
      <c r="D4362">
        <v>3.2377899999999999</v>
      </c>
      <c r="E4362">
        <v>0.55828159999999905</v>
      </c>
      <c r="F4362" t="s">
        <v>46</v>
      </c>
      <c r="G4362">
        <v>-235.9545</v>
      </c>
      <c r="H4362" s="1">
        <v>1.6990139999999999E-6</v>
      </c>
      <c r="I4362">
        <v>213.08109999999999</v>
      </c>
      <c r="J4362">
        <v>-271.75470000000001</v>
      </c>
      <c r="K4362">
        <v>1.1100840000000001</v>
      </c>
      <c r="L4362">
        <v>215.7619</v>
      </c>
      <c r="M4362">
        <v>0.99979819999999997</v>
      </c>
      <c r="N4362">
        <v>0</v>
      </c>
      <c r="O4362">
        <v>1.4555459999999999E-2</v>
      </c>
      <c r="P4362">
        <v>0.99071330000000002</v>
      </c>
      <c r="Q4362">
        <v>0.1355353</v>
      </c>
      <c r="R4362">
        <v>-1.084767E-2</v>
      </c>
      <c r="S4362">
        <v>3.038208</v>
      </c>
      <c r="T4362">
        <v>-9.3243480000000004E-2</v>
      </c>
      <c r="U4362">
        <v>-0.2247314</v>
      </c>
      <c r="V4362">
        <v>2.5304159999999999E-2</v>
      </c>
      <c r="W4362">
        <v>0.14923620000000001</v>
      </c>
      <c r="X4362">
        <v>0.98847779999999996</v>
      </c>
      <c r="Y4362">
        <v>8.8228130000000002E-2</v>
      </c>
      <c r="Z4362">
        <v>-1.797798E-3</v>
      </c>
      <c r="AA4362">
        <v>0.9960987</v>
      </c>
      <c r="AB4362">
        <v>37</v>
      </c>
      <c r="AC4362">
        <v>35.800199999999997</v>
      </c>
      <c r="AD4362">
        <v>-1.1100823009859999</v>
      </c>
      <c r="AE4362">
        <v>-2.6808000000000001</v>
      </c>
      <c r="AF4362">
        <v>3.1985960516457501</v>
      </c>
      <c r="AG4362">
        <v>-1.1100823009859999</v>
      </c>
      <c r="AH4362">
        <v>35.723227131195102</v>
      </c>
      <c r="AI4362">
        <v>91.772778827587402</v>
      </c>
      <c r="AJ4362">
        <v>84.883478985230596</v>
      </c>
      <c r="AK4362">
        <v>35.883314452312199</v>
      </c>
      <c r="AL4362">
        <v>81.417334617662107</v>
      </c>
      <c r="AM4362">
        <v>88.533598832415393</v>
      </c>
      <c r="AN4362">
        <v>1.0000000524982899</v>
      </c>
    </row>
    <row r="4363" spans="1:40" x14ac:dyDescent="0.25">
      <c r="A4363" t="str">
        <f>"20190312172204961"</f>
        <v>20190312172204961</v>
      </c>
      <c r="B4363" t="str">
        <f>"1552382524955338"</f>
        <v>1552382524955338</v>
      </c>
      <c r="C4363" t="s">
        <v>40</v>
      </c>
      <c r="D4363">
        <v>3.2613850000000002</v>
      </c>
      <c r="E4363">
        <v>0.57765889999999998</v>
      </c>
      <c r="F4363" t="s">
        <v>45</v>
      </c>
      <c r="G4363">
        <v>-193.34700000000001</v>
      </c>
      <c r="H4363" s="1">
        <v>5.89177199999999E-6</v>
      </c>
      <c r="I4363">
        <v>202.87119999999999</v>
      </c>
      <c r="J4363">
        <v>-271.38389999999998</v>
      </c>
      <c r="K4363">
        <v>1.110074</v>
      </c>
      <c r="L4363">
        <v>215.7672</v>
      </c>
      <c r="M4363">
        <v>0.99979969999999996</v>
      </c>
      <c r="N4363">
        <v>0</v>
      </c>
      <c r="O4363">
        <v>1.4427529999999999E-2</v>
      </c>
      <c r="P4363">
        <v>0.99053429999999998</v>
      </c>
      <c r="Q4363">
        <v>0.1364628</v>
      </c>
      <c r="R4363">
        <v>-1.4837629999999999E-2</v>
      </c>
      <c r="S4363">
        <v>3.0285340000000001</v>
      </c>
      <c r="T4363">
        <v>-4.2877319999999997E-2</v>
      </c>
      <c r="U4363">
        <v>-0.4979095</v>
      </c>
      <c r="V4363">
        <v>2.9170620000000001E-2</v>
      </c>
      <c r="W4363">
        <v>0.15018010000000001</v>
      </c>
      <c r="X4363">
        <v>0.9882282</v>
      </c>
      <c r="Y4363">
        <v>0.17643059999999999</v>
      </c>
      <c r="Z4363">
        <v>-1.4435079999999901E-3</v>
      </c>
      <c r="AA4363">
        <v>0.98431210000000002</v>
      </c>
      <c r="AB4363">
        <v>37</v>
      </c>
      <c r="AC4363">
        <v>78.036899999999903</v>
      </c>
      <c r="AD4363">
        <v>-1.110068108228</v>
      </c>
      <c r="AE4363">
        <v>-12.896000000000001</v>
      </c>
      <c r="AF4363">
        <v>14.0178844522896</v>
      </c>
      <c r="AG4363">
        <v>-1.110068108228</v>
      </c>
      <c r="AH4363">
        <v>77.827371268965294</v>
      </c>
      <c r="AI4363">
        <v>90.804227015527701</v>
      </c>
      <c r="AJ4363">
        <v>79.789638844928703</v>
      </c>
      <c r="AK4363">
        <v>79.087502516895896</v>
      </c>
      <c r="AL4363">
        <v>81.362636080313806</v>
      </c>
      <c r="AM4363">
        <v>88.309228335659199</v>
      </c>
      <c r="AN4363">
        <v>0.99999998139121704</v>
      </c>
    </row>
    <row r="4364" spans="1:40" x14ac:dyDescent="0.25">
      <c r="A4364" t="str">
        <f>"20190312172204984"</f>
        <v>20190312172204984</v>
      </c>
      <c r="B4364" t="str">
        <f>"1552382524974859"</f>
        <v>1552382524974859</v>
      </c>
      <c r="C4364" t="s">
        <v>40</v>
      </c>
      <c r="D4364">
        <v>3.1434709999999999</v>
      </c>
      <c r="E4364">
        <v>0.58373240000000004</v>
      </c>
      <c r="F4364" t="s">
        <v>61</v>
      </c>
      <c r="G4364">
        <v>-168.4151</v>
      </c>
      <c r="H4364">
        <v>0.61917690000000003</v>
      </c>
      <c r="I4364">
        <v>193.1037</v>
      </c>
      <c r="J4364">
        <v>-271.01670000000001</v>
      </c>
      <c r="K4364">
        <v>1.1100669999999999</v>
      </c>
      <c r="L4364">
        <v>215.7723</v>
      </c>
      <c r="M4364">
        <v>0.99980139999999995</v>
      </c>
      <c r="N4364">
        <v>0</v>
      </c>
      <c r="O4364">
        <v>1.4286699999999999E-2</v>
      </c>
      <c r="P4364">
        <v>0.99040790000000001</v>
      </c>
      <c r="Q4364">
        <v>0.13687240000000001</v>
      </c>
      <c r="R4364">
        <v>-1.8929789999999998E-2</v>
      </c>
      <c r="S4364">
        <v>3.0206909999999998</v>
      </c>
      <c r="T4364">
        <v>-1.440001E-2</v>
      </c>
      <c r="U4364">
        <v>-0.664856</v>
      </c>
      <c r="V4364">
        <v>3.3126460000000003E-2</v>
      </c>
      <c r="W4364">
        <v>0.1506082</v>
      </c>
      <c r="X4364">
        <v>0.98803839999999998</v>
      </c>
      <c r="Y4364">
        <v>0.22888500000000001</v>
      </c>
      <c r="Z4364">
        <v>-6.0643809999999998E-4</v>
      </c>
      <c r="AA4364">
        <v>0.97345329999999997</v>
      </c>
      <c r="AB4364">
        <v>37</v>
      </c>
      <c r="AC4364">
        <v>102.6016</v>
      </c>
      <c r="AD4364">
        <v>-0.490890099999999</v>
      </c>
      <c r="AE4364">
        <v>-22.668600000000001</v>
      </c>
      <c r="AF4364">
        <v>24.131739098782699</v>
      </c>
      <c r="AG4364">
        <v>-0.490890099999999</v>
      </c>
      <c r="AH4364">
        <v>102.265003721631</v>
      </c>
      <c r="AI4364">
        <v>90.267676305562802</v>
      </c>
      <c r="AJ4364">
        <v>76.722650637250197</v>
      </c>
      <c r="AK4364">
        <v>105.074796174949</v>
      </c>
      <c r="AL4364">
        <v>81.337826041786599</v>
      </c>
      <c r="AM4364">
        <v>88.0797349084188</v>
      </c>
      <c r="AN4364">
        <v>1.0000000360669601</v>
      </c>
    </row>
    <row r="4365" spans="1:40" x14ac:dyDescent="0.25">
      <c r="A4365" t="str">
        <f>"20190312172205005"</f>
        <v>20190312172205005</v>
      </c>
      <c r="B4365" t="str">
        <f>"1552382524995352"</f>
        <v>1552382524995352</v>
      </c>
      <c r="C4365" t="s">
        <v>40</v>
      </c>
      <c r="D4365">
        <v>3.1348449999999999</v>
      </c>
      <c r="E4365">
        <v>0.58729330000000002</v>
      </c>
      <c r="F4365" t="s">
        <v>48</v>
      </c>
      <c r="G4365">
        <v>-234.535</v>
      </c>
      <c r="H4365">
        <v>1.1045370000000001</v>
      </c>
      <c r="I4365">
        <v>206.989</v>
      </c>
      <c r="J4365">
        <v>-270.65769999999998</v>
      </c>
      <c r="K4365">
        <v>1.1100639999999999</v>
      </c>
      <c r="L4365">
        <v>215.7773</v>
      </c>
      <c r="M4365">
        <v>0.9998032</v>
      </c>
      <c r="N4365">
        <v>0</v>
      </c>
      <c r="O4365">
        <v>1.413991E-2</v>
      </c>
      <c r="P4365">
        <v>0.99024330000000005</v>
      </c>
      <c r="Q4365">
        <v>0.13740629999999901</v>
      </c>
      <c r="R4365">
        <v>-2.3191440000000001E-2</v>
      </c>
      <c r="S4365">
        <v>3.0151979999999998</v>
      </c>
      <c r="T4365">
        <v>-4.5299529999999998E-4</v>
      </c>
      <c r="U4365">
        <v>-0.7259369</v>
      </c>
      <c r="V4365">
        <v>3.7243999999999999E-2</v>
      </c>
      <c r="W4365">
        <v>0.15115970000000001</v>
      </c>
      <c r="X4365">
        <v>0.98780749999999995</v>
      </c>
      <c r="Y4365">
        <v>0.24779599999999999</v>
      </c>
      <c r="Z4365" s="1">
        <v>-2.0447360000000001E-5</v>
      </c>
      <c r="AA4365">
        <v>0.96881220000000001</v>
      </c>
      <c r="AB4365">
        <v>37</v>
      </c>
      <c r="AC4365">
        <v>36.122699999999902</v>
      </c>
      <c r="AD4365">
        <v>-5.5269999999998298E-3</v>
      </c>
      <c r="AE4365">
        <v>-8.7882999999999907</v>
      </c>
      <c r="AF4365">
        <v>9.2982422100236501</v>
      </c>
      <c r="AG4365">
        <v>-5.5269999999998298E-3</v>
      </c>
      <c r="AH4365">
        <v>35.994809388136403</v>
      </c>
      <c r="AI4365">
        <v>90.008518143169496</v>
      </c>
      <c r="AJ4365">
        <v>75.515888510779106</v>
      </c>
      <c r="AK4365">
        <v>37.176385537492301</v>
      </c>
      <c r="AL4365">
        <v>81.305861277645405</v>
      </c>
      <c r="AM4365">
        <v>87.840759763161799</v>
      </c>
      <c r="AN4365">
        <v>1.0000000137481699</v>
      </c>
    </row>
    <row r="4366" spans="1:40" x14ac:dyDescent="0.25">
      <c r="A4366" t="str">
        <f>"20190312172205028"</f>
        <v>20190312172205028</v>
      </c>
      <c r="B4366" t="str">
        <f>"1552382525024632"</f>
        <v>1552382525024632</v>
      </c>
      <c r="C4366" t="s">
        <v>40</v>
      </c>
      <c r="D4366">
        <v>3.5310290000000002</v>
      </c>
      <c r="E4366">
        <v>0.58927799999999997</v>
      </c>
      <c r="F4366" t="s">
        <v>61</v>
      </c>
      <c r="G4366">
        <v>-168.41640000000001</v>
      </c>
      <c r="H4366">
        <v>1.138401</v>
      </c>
      <c r="I4366">
        <v>189.71860000000001</v>
      </c>
      <c r="J4366">
        <v>-270.29109999999997</v>
      </c>
      <c r="K4366">
        <v>1.1100570000000001</v>
      </c>
      <c r="L4366">
        <v>215.78229999999999</v>
      </c>
      <c r="M4366">
        <v>0.99980500000000005</v>
      </c>
      <c r="N4366">
        <v>0</v>
      </c>
      <c r="O4366">
        <v>1.398424E-2</v>
      </c>
      <c r="P4366">
        <v>0.99007400000000001</v>
      </c>
      <c r="Q4366">
        <v>0.13784479999999999</v>
      </c>
      <c r="R4366">
        <v>-2.743013E-2</v>
      </c>
      <c r="S4366">
        <v>3.0114749999999999</v>
      </c>
      <c r="T4366">
        <v>8.3565709999999999E-4</v>
      </c>
      <c r="U4366">
        <v>-0.7675476</v>
      </c>
      <c r="V4366">
        <v>4.1328829999999997E-2</v>
      </c>
      <c r="W4366">
        <v>0.1516131</v>
      </c>
      <c r="X4366">
        <v>0.98757550000000005</v>
      </c>
      <c r="Y4366">
        <v>0.26050679999999998</v>
      </c>
      <c r="Z4366" s="1">
        <v>3.9396880000000001E-5</v>
      </c>
      <c r="AA4366">
        <v>0.965472</v>
      </c>
      <c r="AB4366">
        <v>37</v>
      </c>
      <c r="AC4366">
        <v>101.874699999999</v>
      </c>
      <c r="AD4366">
        <v>2.8343999999999901E-2</v>
      </c>
      <c r="AE4366">
        <v>-26.063699999999901</v>
      </c>
      <c r="AF4366">
        <v>27.485927639826201</v>
      </c>
      <c r="AG4366">
        <v>2.8343999999999901E-2</v>
      </c>
      <c r="AH4366">
        <v>101.500212476594</v>
      </c>
      <c r="AI4366">
        <v>89.984556348324702</v>
      </c>
      <c r="AJ4366">
        <v>74.847884809106603</v>
      </c>
      <c r="AK4366">
        <v>105.155932568723</v>
      </c>
      <c r="AL4366">
        <v>81.279580234475105</v>
      </c>
      <c r="AM4366">
        <v>87.603639797308901</v>
      </c>
      <c r="AN4366">
        <v>0.999999986240514</v>
      </c>
    </row>
    <row r="4367" spans="1:40" x14ac:dyDescent="0.25">
      <c r="A4367" t="str">
        <f>"20190312172205050"</f>
        <v>20190312172205050</v>
      </c>
      <c r="B4367" t="str">
        <f>"1552382525045129"</f>
        <v>1552382525045129</v>
      </c>
      <c r="C4367" t="s">
        <v>40</v>
      </c>
      <c r="D4367">
        <v>3.2531249999999998</v>
      </c>
      <c r="E4367">
        <v>0.59010200000000002</v>
      </c>
      <c r="F4367" t="s">
        <v>61</v>
      </c>
      <c r="G4367">
        <v>-168.41669999999999</v>
      </c>
      <c r="H4367">
        <v>1.2471490000000001</v>
      </c>
      <c r="I4367">
        <v>188.81819999999999</v>
      </c>
      <c r="J4367">
        <v>-269.9153</v>
      </c>
      <c r="K4367">
        <v>1.110052</v>
      </c>
      <c r="L4367">
        <v>215.78739999999999</v>
      </c>
      <c r="M4367">
        <v>0.99980709999999995</v>
      </c>
      <c r="N4367">
        <v>0</v>
      </c>
      <c r="O4367">
        <v>1.382182E-2</v>
      </c>
      <c r="P4367">
        <v>0.98993620000000004</v>
      </c>
      <c r="Q4367">
        <v>0.13801150000000001</v>
      </c>
      <c r="R4367">
        <v>-3.1296480000000002E-2</v>
      </c>
      <c r="S4367">
        <v>3.0074770000000002</v>
      </c>
      <c r="T4367">
        <v>4.0481090000000003E-3</v>
      </c>
      <c r="U4367">
        <v>-0.79602050000000002</v>
      </c>
      <c r="V4367">
        <v>4.5034440000000002E-2</v>
      </c>
      <c r="W4367">
        <v>0.1517946</v>
      </c>
      <c r="X4367">
        <v>0.98738559999999997</v>
      </c>
      <c r="Y4367">
        <v>0.269208</v>
      </c>
      <c r="Z4367">
        <v>1.9641130000000001E-4</v>
      </c>
      <c r="AA4367">
        <v>0.96308210000000005</v>
      </c>
      <c r="AB4367">
        <v>37</v>
      </c>
      <c r="AC4367">
        <v>101.4986</v>
      </c>
      <c r="AD4367">
        <v>0.137097</v>
      </c>
      <c r="AE4367">
        <v>-26.969200000000001</v>
      </c>
      <c r="AF4367">
        <v>28.369606879966302</v>
      </c>
      <c r="AG4367">
        <v>0.137097</v>
      </c>
      <c r="AH4367">
        <v>101.115930322563</v>
      </c>
      <c r="AI4367">
        <v>89.925204230851804</v>
      </c>
      <c r="AJ4367">
        <v>74.3277309492901</v>
      </c>
      <c r="AK4367">
        <v>105.020401613727</v>
      </c>
      <c r="AL4367">
        <v>81.269059509426896</v>
      </c>
      <c r="AM4367">
        <v>87.388561914001201</v>
      </c>
      <c r="AN4367">
        <v>1.00000001223131</v>
      </c>
    </row>
    <row r="4368" spans="1:40" x14ac:dyDescent="0.25">
      <c r="A4368" t="str">
        <f>"20190312172205072"</f>
        <v>20190312172205072</v>
      </c>
      <c r="B4368" t="str">
        <f>"1552382525065624"</f>
        <v>1552382525065624</v>
      </c>
      <c r="C4368" t="s">
        <v>40</v>
      </c>
      <c r="D4368">
        <v>3.1409470000000002</v>
      </c>
      <c r="E4368">
        <v>0.59046259999999995</v>
      </c>
      <c r="F4368" t="s">
        <v>61</v>
      </c>
      <c r="G4368">
        <v>-168.4169</v>
      </c>
      <c r="H4368">
        <v>1.270508</v>
      </c>
      <c r="I4368">
        <v>188.27610000000001</v>
      </c>
      <c r="J4368">
        <v>-269.56099999999998</v>
      </c>
      <c r="K4368">
        <v>1.1100540000000001</v>
      </c>
      <c r="L4368">
        <v>215.79220000000001</v>
      </c>
      <c r="M4368">
        <v>0.9998089</v>
      </c>
      <c r="N4368">
        <v>0</v>
      </c>
      <c r="O4368">
        <v>1.3668100000000001E-2</v>
      </c>
      <c r="P4368">
        <v>0.98982519999999996</v>
      </c>
      <c r="Q4368">
        <v>0.13814960000000001</v>
      </c>
      <c r="R4368">
        <v>-3.4073079999999999E-2</v>
      </c>
      <c r="S4368">
        <v>3.0040589999999998</v>
      </c>
      <c r="T4368">
        <v>4.750013E-3</v>
      </c>
      <c r="U4368">
        <v>-0.81425479999999995</v>
      </c>
      <c r="V4368">
        <v>4.7658539999999999E-2</v>
      </c>
      <c r="W4368">
        <v>0.15194440000000001</v>
      </c>
      <c r="X4368">
        <v>0.98723939999999999</v>
      </c>
      <c r="Y4368">
        <v>0.27478029999999998</v>
      </c>
      <c r="Z4368">
        <v>2.346312E-4</v>
      </c>
      <c r="AA4368">
        <v>0.961507</v>
      </c>
      <c r="AB4368">
        <v>37</v>
      </c>
      <c r="AC4368">
        <v>101.144099999999</v>
      </c>
      <c r="AD4368">
        <v>0.16045399999999899</v>
      </c>
      <c r="AE4368">
        <v>-27.516099999999899</v>
      </c>
      <c r="AF4368">
        <v>28.8960441522959</v>
      </c>
      <c r="AG4368">
        <v>0.16045399999999899</v>
      </c>
      <c r="AH4368">
        <v>100.758284352093</v>
      </c>
      <c r="AI4368">
        <v>89.912294048425593</v>
      </c>
      <c r="AJ4368">
        <v>73.997860927123796</v>
      </c>
      <c r="AK4368">
        <v>104.820031381004</v>
      </c>
      <c r="AL4368">
        <v>81.260376077139298</v>
      </c>
      <c r="AM4368">
        <v>87.236217501612302</v>
      </c>
      <c r="AN4368">
        <v>1.0000000350193201</v>
      </c>
    </row>
    <row r="4369" spans="1:40" x14ac:dyDescent="0.25">
      <c r="A4369" t="str">
        <f>"20190312172205095"</f>
        <v>20190312172205095</v>
      </c>
      <c r="B4369" t="str">
        <f>"1552382525085144"</f>
        <v>1552382525085144</v>
      </c>
      <c r="C4369" t="s">
        <v>40</v>
      </c>
      <c r="D4369">
        <v>3.144882</v>
      </c>
      <c r="E4369">
        <v>0.5907616</v>
      </c>
      <c r="F4369" t="s">
        <v>61</v>
      </c>
      <c r="G4369">
        <v>-168.417</v>
      </c>
      <c r="H4369">
        <v>1.24725</v>
      </c>
      <c r="I4369">
        <v>187.96379999999999</v>
      </c>
      <c r="J4369">
        <v>-269.1927</v>
      </c>
      <c r="K4369">
        <v>1.1100460000000001</v>
      </c>
      <c r="L4369">
        <v>215.797</v>
      </c>
      <c r="M4369">
        <v>0.99981089999999995</v>
      </c>
      <c r="N4369">
        <v>0</v>
      </c>
      <c r="O4369">
        <v>1.3508030000000001E-2</v>
      </c>
      <c r="P4369">
        <v>0.98978489999999997</v>
      </c>
      <c r="Q4369">
        <v>0.1379523</v>
      </c>
      <c r="R4369">
        <v>-3.5991099999999998E-2</v>
      </c>
      <c r="S4369">
        <v>3.0018310000000001</v>
      </c>
      <c r="T4369">
        <v>4.0727849999999998E-3</v>
      </c>
      <c r="U4369">
        <v>-0.82591250000000005</v>
      </c>
      <c r="V4369">
        <v>4.9418669999999998E-2</v>
      </c>
      <c r="W4369">
        <v>0.1517597</v>
      </c>
      <c r="X4369">
        <v>0.98718119999999998</v>
      </c>
      <c r="Y4369">
        <v>0.27827950000000001</v>
      </c>
      <c r="Z4369">
        <v>2.0333910000000001E-4</v>
      </c>
      <c r="AA4369">
        <v>0.96050009999999997</v>
      </c>
      <c r="AB4369">
        <v>36</v>
      </c>
      <c r="AC4369">
        <v>100.7757</v>
      </c>
      <c r="AD4369">
        <v>0.13720399999999999</v>
      </c>
      <c r="AE4369">
        <v>-27.833200000000001</v>
      </c>
      <c r="AF4369">
        <v>29.192024190581702</v>
      </c>
      <c r="AG4369">
        <v>0.13720399999999999</v>
      </c>
      <c r="AH4369">
        <v>100.390322275648</v>
      </c>
      <c r="AI4369">
        <v>89.9248080573404</v>
      </c>
      <c r="AJ4369">
        <v>73.786348857125105</v>
      </c>
      <c r="AK4369">
        <v>104.548600697903</v>
      </c>
      <c r="AL4369">
        <v>81.271082168023597</v>
      </c>
      <c r="AM4369">
        <v>87.134143660818197</v>
      </c>
      <c r="AN4369">
        <v>0.99999996656104895</v>
      </c>
    </row>
    <row r="4370" spans="1:40" x14ac:dyDescent="0.25">
      <c r="A4370" t="str">
        <f>"20190312172205117"</f>
        <v>20190312172205117</v>
      </c>
      <c r="B4370" t="str">
        <f>"1552382525104664"</f>
        <v>1552382525104664</v>
      </c>
      <c r="C4370" t="s">
        <v>40</v>
      </c>
      <c r="D4370">
        <v>3.1445880000000002</v>
      </c>
      <c r="E4370">
        <v>0.59096499999999996</v>
      </c>
      <c r="F4370" t="s">
        <v>61</v>
      </c>
      <c r="G4370">
        <v>-168.4171</v>
      </c>
      <c r="H4370">
        <v>1.1837120000000001</v>
      </c>
      <c r="I4370">
        <v>187.79570000000001</v>
      </c>
      <c r="J4370">
        <v>-268.84129999999999</v>
      </c>
      <c r="K4370">
        <v>1.1100399999999999</v>
      </c>
      <c r="L4370">
        <v>215.80160000000001</v>
      </c>
      <c r="M4370">
        <v>0.99981279999999995</v>
      </c>
      <c r="N4370">
        <v>0</v>
      </c>
      <c r="O4370">
        <v>1.335472E-2</v>
      </c>
      <c r="P4370">
        <v>0.98977579999999998</v>
      </c>
      <c r="Q4370">
        <v>0.1376955</v>
      </c>
      <c r="R4370">
        <v>-3.7201690000000003E-2</v>
      </c>
      <c r="S4370">
        <v>3.0002749999999998</v>
      </c>
      <c r="T4370">
        <v>2.194166E-3</v>
      </c>
      <c r="U4370">
        <v>-0.83364869999999902</v>
      </c>
      <c r="V4370">
        <v>5.0478219999999997E-2</v>
      </c>
      <c r="W4370">
        <v>0.15151319999999999</v>
      </c>
      <c r="X4370">
        <v>0.98716550000000003</v>
      </c>
      <c r="Y4370">
        <v>0.28055970000000002</v>
      </c>
      <c r="Z4370">
        <v>1.102727E-4</v>
      </c>
      <c r="AA4370">
        <v>0.95983649999999998</v>
      </c>
      <c r="AB4370">
        <v>36</v>
      </c>
      <c r="AC4370">
        <v>100.424199999999</v>
      </c>
      <c r="AD4370">
        <v>7.3672000000000099E-2</v>
      </c>
      <c r="AE4370">
        <v>-28.0059</v>
      </c>
      <c r="AF4370">
        <v>29.344655874049099</v>
      </c>
      <c r="AG4370">
        <v>7.3672000000000099E-2</v>
      </c>
      <c r="AH4370">
        <v>100.04114502025899</v>
      </c>
      <c r="AI4370">
        <v>89.959512268653796</v>
      </c>
      <c r="AJ4370">
        <v>73.652222205019697</v>
      </c>
      <c r="AK4370">
        <v>104.256150671768</v>
      </c>
      <c r="AL4370">
        <v>81.2853712100801</v>
      </c>
      <c r="AM4370">
        <v>87.072758175978294</v>
      </c>
      <c r="AN4370">
        <v>1.0000000124294199</v>
      </c>
    </row>
    <row r="4371" spans="1:40" x14ac:dyDescent="0.25">
      <c r="A4371" t="str">
        <f>"20190312172205139"</f>
        <v>20190312172205139</v>
      </c>
      <c r="B4371" t="str">
        <f>"1552382525134920"</f>
        <v>1552382525134920</v>
      </c>
      <c r="C4371" t="s">
        <v>40</v>
      </c>
      <c r="D4371">
        <v>3.1520489999999999</v>
      </c>
      <c r="E4371">
        <v>0.59131009999999995</v>
      </c>
      <c r="F4371" t="s">
        <v>61</v>
      </c>
      <c r="G4371">
        <v>-168.4171</v>
      </c>
      <c r="H4371">
        <v>1.080338</v>
      </c>
      <c r="I4371">
        <v>187.7441</v>
      </c>
      <c r="J4371">
        <v>-268.46969999999999</v>
      </c>
      <c r="K4371">
        <v>1.110034</v>
      </c>
      <c r="L4371">
        <v>215.8064</v>
      </c>
      <c r="M4371">
        <v>0.9998148</v>
      </c>
      <c r="N4371">
        <v>0</v>
      </c>
      <c r="O4371">
        <v>1.319098E-2</v>
      </c>
      <c r="P4371">
        <v>0.98986870000000005</v>
      </c>
      <c r="Q4371">
        <v>0.13702349999999999</v>
      </c>
      <c r="R4371">
        <v>-3.7209760000000001E-2</v>
      </c>
      <c r="S4371">
        <v>2.999603</v>
      </c>
      <c r="T4371">
        <v>-8.8620189999999996E-4</v>
      </c>
      <c r="U4371">
        <v>-0.83805849999999904</v>
      </c>
      <c r="V4371">
        <v>5.0326410000000002E-2</v>
      </c>
      <c r="W4371">
        <v>0.15085379999999901</v>
      </c>
      <c r="X4371">
        <v>0.98727419999999999</v>
      </c>
      <c r="Y4371">
        <v>0.28176709999999999</v>
      </c>
      <c r="Z4371" s="1">
        <v>-4.4666519999999998E-5</v>
      </c>
      <c r="AA4371">
        <v>0.95948279999999997</v>
      </c>
      <c r="AB4371">
        <v>36</v>
      </c>
      <c r="AC4371">
        <v>100.052599999999</v>
      </c>
      <c r="AD4371">
        <v>-2.96959999999999E-2</v>
      </c>
      <c r="AE4371">
        <v>-28.0623</v>
      </c>
      <c r="AF4371">
        <v>29.379777011614198</v>
      </c>
      <c r="AG4371">
        <v>-2.96959999999999E-2</v>
      </c>
      <c r="AH4371">
        <v>99.673679510155495</v>
      </c>
      <c r="AI4371">
        <v>90.016373768218202</v>
      </c>
      <c r="AJ4371">
        <v>73.576611152441401</v>
      </c>
      <c r="AK4371">
        <v>103.913495592236</v>
      </c>
      <c r="AL4371">
        <v>81.323591088052297</v>
      </c>
      <c r="AM4371">
        <v>87.081867194767895</v>
      </c>
      <c r="AN4371">
        <v>0.99999998125178302</v>
      </c>
    </row>
    <row r="4372" spans="1:40" x14ac:dyDescent="0.25">
      <c r="A4372" t="str">
        <f>"20190312172205162"</f>
        <v>20190312172205162</v>
      </c>
      <c r="B4372" t="str">
        <f>"1552382525155034"</f>
        <v>1552382525155034</v>
      </c>
      <c r="C4372" t="s">
        <v>40</v>
      </c>
      <c r="D4372">
        <v>3.0946609999999999</v>
      </c>
      <c r="E4372">
        <v>0.591499</v>
      </c>
      <c r="F4372" t="s">
        <v>61</v>
      </c>
      <c r="G4372">
        <v>-168.417</v>
      </c>
      <c r="H4372">
        <v>0.83146620000000004</v>
      </c>
      <c r="I4372">
        <v>187.78720000000001</v>
      </c>
      <c r="J4372">
        <v>-268.10309999999998</v>
      </c>
      <c r="K4372">
        <v>1.110033</v>
      </c>
      <c r="L4372">
        <v>215.81110000000001</v>
      </c>
      <c r="M4372">
        <v>0.99981699999999996</v>
      </c>
      <c r="N4372">
        <v>0</v>
      </c>
      <c r="O4372">
        <v>1.3024000000000001E-2</v>
      </c>
      <c r="P4372">
        <v>0.99001320000000004</v>
      </c>
      <c r="Q4372">
        <v>0.1363531</v>
      </c>
      <c r="R4372">
        <v>-3.580216E-2</v>
      </c>
      <c r="S4372">
        <v>3.0002749999999998</v>
      </c>
      <c r="T4372">
        <v>-8.3523989999999999E-3</v>
      </c>
      <c r="U4372">
        <v>-0.84021000000000001</v>
      </c>
      <c r="V4372">
        <v>4.8757010000000003E-2</v>
      </c>
      <c r="W4372">
        <v>0.15019469999999999</v>
      </c>
      <c r="X4372">
        <v>0.98745349999999998</v>
      </c>
      <c r="Y4372">
        <v>0.28218840000000001</v>
      </c>
      <c r="Z4372">
        <v>-4.2096670000000002E-4</v>
      </c>
      <c r="AA4372">
        <v>0.95935890000000001</v>
      </c>
      <c r="AB4372">
        <v>36</v>
      </c>
      <c r="AC4372">
        <v>99.686099999999897</v>
      </c>
      <c r="AD4372">
        <v>-0.278566799999999</v>
      </c>
      <c r="AE4372">
        <v>-28.023900000000001</v>
      </c>
      <c r="AF4372">
        <v>29.319749717120299</v>
      </c>
      <c r="AG4372">
        <v>-0.278566799999999</v>
      </c>
      <c r="AH4372">
        <v>99.311905548660306</v>
      </c>
      <c r="AI4372">
        <v>90.154135567543193</v>
      </c>
      <c r="AJ4372">
        <v>73.551873782930102</v>
      </c>
      <c r="AK4372">
        <v>103.54989090599101</v>
      </c>
      <c r="AL4372">
        <v>81.361790599485303</v>
      </c>
      <c r="AM4372">
        <v>87.173229999438703</v>
      </c>
      <c r="AN4372">
        <v>1.00000005429723</v>
      </c>
    </row>
    <row r="4373" spans="1:40" x14ac:dyDescent="0.25">
      <c r="A4373" t="str">
        <f>"20190312172205184"</f>
        <v>20190312172205184</v>
      </c>
      <c r="B4373" t="str">
        <f>"1552382525175533"</f>
        <v>1552382525175533</v>
      </c>
      <c r="C4373" t="s">
        <v>40</v>
      </c>
      <c r="D4373">
        <v>3.1229070000000001</v>
      </c>
      <c r="E4373">
        <v>0.59137930000000005</v>
      </c>
      <c r="F4373" t="s">
        <v>61</v>
      </c>
      <c r="G4373">
        <v>-168.41679999999999</v>
      </c>
      <c r="H4373">
        <v>0.69351339999999995</v>
      </c>
      <c r="I4373">
        <v>188.0274</v>
      </c>
      <c r="J4373">
        <v>-267.74970000000002</v>
      </c>
      <c r="K4373">
        <v>1.1100300000000001</v>
      </c>
      <c r="L4373">
        <v>215.81549999999999</v>
      </c>
      <c r="M4373">
        <v>0.99981889999999995</v>
      </c>
      <c r="N4373">
        <v>0</v>
      </c>
      <c r="O4373">
        <v>1.285417E-2</v>
      </c>
      <c r="P4373">
        <v>0.99002780000000001</v>
      </c>
      <c r="Q4373">
        <v>0.13679759999999999</v>
      </c>
      <c r="R4373">
        <v>-3.3637399999999998E-2</v>
      </c>
      <c r="S4373">
        <v>3.001709</v>
      </c>
      <c r="T4373">
        <v>-1.254106E-2</v>
      </c>
      <c r="U4373">
        <v>-0.83660889999999999</v>
      </c>
      <c r="V4373">
        <v>4.642719E-2</v>
      </c>
      <c r="W4373">
        <v>0.15065249999999999</v>
      </c>
      <c r="X4373">
        <v>0.98749600000000004</v>
      </c>
      <c r="Y4373">
        <v>0.28083709999999901</v>
      </c>
      <c r="Z4373">
        <v>-6.2841850000000001E-4</v>
      </c>
      <c r="AA4373">
        <v>0.95975520000000003</v>
      </c>
      <c r="AB4373">
        <v>36</v>
      </c>
      <c r="AC4373">
        <v>99.332899999999995</v>
      </c>
      <c r="AD4373">
        <v>-0.41651659999999902</v>
      </c>
      <c r="AE4373">
        <v>-27.788099999999901</v>
      </c>
      <c r="AF4373">
        <v>29.062297575576601</v>
      </c>
      <c r="AG4373">
        <v>-0.41651659999999902</v>
      </c>
      <c r="AH4373">
        <v>98.965849766366603</v>
      </c>
      <c r="AI4373">
        <v>90.231368968094102</v>
      </c>
      <c r="AJ4373">
        <v>73.634603611710801</v>
      </c>
      <c r="AK4373">
        <v>103.14567391038899</v>
      </c>
      <c r="AL4373">
        <v>81.335258271723106</v>
      </c>
      <c r="AM4373">
        <v>87.308217274899704</v>
      </c>
      <c r="AN4373">
        <v>1.0000000048717701</v>
      </c>
    </row>
    <row r="4374" spans="1:40" x14ac:dyDescent="0.25">
      <c r="A4374" t="str">
        <f>"20190312172205206"</f>
        <v>20190312172205206</v>
      </c>
      <c r="B4374" t="str">
        <f>"1552382525195050"</f>
        <v>1552382525195050</v>
      </c>
      <c r="C4374" t="s">
        <v>40</v>
      </c>
      <c r="D4374">
        <v>3.0850019999999998</v>
      </c>
      <c r="E4374">
        <v>0.59135159999999998</v>
      </c>
      <c r="F4374" t="s">
        <v>61</v>
      </c>
      <c r="G4374">
        <v>-168.41669999999999</v>
      </c>
      <c r="H4374">
        <v>0.71464850000000002</v>
      </c>
      <c r="I4374">
        <v>188.4171</v>
      </c>
      <c r="J4374">
        <v>-267.39060000000001</v>
      </c>
      <c r="K4374">
        <v>1.1100319999999999</v>
      </c>
      <c r="L4374">
        <v>215.82</v>
      </c>
      <c r="M4374">
        <v>0.99982110000000002</v>
      </c>
      <c r="N4374">
        <v>0</v>
      </c>
      <c r="O4374">
        <v>1.2671170000000001E-2</v>
      </c>
      <c r="P4374">
        <v>0.99006039999999995</v>
      </c>
      <c r="Q4374">
        <v>0.1369716</v>
      </c>
      <c r="R4374">
        <v>-3.193112E-2</v>
      </c>
      <c r="S4374">
        <v>3.0036930000000002</v>
      </c>
      <c r="T4374">
        <v>-1.195478E-2</v>
      </c>
      <c r="U4374">
        <v>-0.82849119999999998</v>
      </c>
      <c r="V4374">
        <v>4.4543560000000003E-2</v>
      </c>
      <c r="W4374">
        <v>0.15084149999999999</v>
      </c>
      <c r="X4374">
        <v>0.98755389999999998</v>
      </c>
      <c r="Y4374">
        <v>0.2780879</v>
      </c>
      <c r="Z4374">
        <v>-5.9278580000000003E-4</v>
      </c>
      <c r="AA4374">
        <v>0.96055539999999995</v>
      </c>
      <c r="AB4374">
        <v>36</v>
      </c>
      <c r="AC4374">
        <v>98.9739</v>
      </c>
      <c r="AD4374">
        <v>-0.395383499999999</v>
      </c>
      <c r="AE4374">
        <v>-27.402899999999899</v>
      </c>
      <c r="AF4374">
        <v>28.654513656732799</v>
      </c>
      <c r="AG4374">
        <v>-0.395383499999999</v>
      </c>
      <c r="AH4374">
        <v>98.617229769666906</v>
      </c>
      <c r="AI4374">
        <v>90.220590143037498</v>
      </c>
      <c r="AJ4374">
        <v>73.798092747557007</v>
      </c>
      <c r="AK4374">
        <v>102.696618680749</v>
      </c>
      <c r="AL4374">
        <v>81.324304113899998</v>
      </c>
      <c r="AM4374">
        <v>87.417427695500393</v>
      </c>
      <c r="AN4374">
        <v>0.99999999613246604</v>
      </c>
    </row>
    <row r="4375" spans="1:40" x14ac:dyDescent="0.25">
      <c r="A4375" t="str">
        <f>"20190312172205230"</f>
        <v>20190312172205230</v>
      </c>
      <c r="B4375" t="str">
        <f>"1552382525225306"</f>
        <v>1552382525225306</v>
      </c>
      <c r="C4375" t="s">
        <v>40</v>
      </c>
      <c r="D4375">
        <v>3.0732780000000002</v>
      </c>
      <c r="E4375">
        <v>0.59133419999999903</v>
      </c>
      <c r="F4375" t="s">
        <v>48</v>
      </c>
      <c r="G4375">
        <v>-234.63210000000001</v>
      </c>
      <c r="H4375">
        <v>0.98675069999999998</v>
      </c>
      <c r="I4375">
        <v>206.85040000000001</v>
      </c>
      <c r="J4375">
        <v>-267.01659999999998</v>
      </c>
      <c r="K4375">
        <v>1.110026</v>
      </c>
      <c r="L4375">
        <v>215.8245</v>
      </c>
      <c r="M4375">
        <v>0.99982349999999998</v>
      </c>
      <c r="N4375">
        <v>0</v>
      </c>
      <c r="O4375">
        <v>1.246193E-2</v>
      </c>
      <c r="P4375">
        <v>0.99000679999999996</v>
      </c>
      <c r="Q4375">
        <v>0.13771659999999999</v>
      </c>
      <c r="R4375">
        <v>-3.0346399999999999E-2</v>
      </c>
      <c r="S4375">
        <v>3.0051269999999999</v>
      </c>
      <c r="T4375">
        <v>-1.130486E-2</v>
      </c>
      <c r="U4375">
        <v>-0.82283019999999996</v>
      </c>
      <c r="V4375">
        <v>4.2756309999999999E-2</v>
      </c>
      <c r="W4375">
        <v>0.15159990000000001</v>
      </c>
      <c r="X4375">
        <v>0.98751679999999997</v>
      </c>
      <c r="Y4375">
        <v>0.27608650000000001</v>
      </c>
      <c r="Z4375">
        <v>-5.5596829999999999E-4</v>
      </c>
      <c r="AA4375">
        <v>0.9611326</v>
      </c>
      <c r="AB4375">
        <v>36</v>
      </c>
      <c r="AC4375">
        <v>32.384499999999903</v>
      </c>
      <c r="AD4375">
        <v>-0.12327529999999901</v>
      </c>
      <c r="AE4375">
        <v>-8.9740999999999893</v>
      </c>
      <c r="AF4375">
        <v>9.3768900783373095</v>
      </c>
      <c r="AG4375">
        <v>-0.12327529999999901</v>
      </c>
      <c r="AH4375">
        <v>32.269704841121303</v>
      </c>
      <c r="AI4375">
        <v>90.210184069094595</v>
      </c>
      <c r="AJ4375">
        <v>73.797258883239493</v>
      </c>
      <c r="AK4375">
        <v>33.604688882266103</v>
      </c>
      <c r="AL4375">
        <v>81.280345776543498</v>
      </c>
      <c r="AM4375">
        <v>87.520824912455893</v>
      </c>
      <c r="AN4375">
        <v>1.00000003100353</v>
      </c>
    </row>
    <row r="4376" spans="1:40" x14ac:dyDescent="0.25">
      <c r="A4376" t="str">
        <f>"20190312172205252"</f>
        <v>20190312172205252</v>
      </c>
      <c r="B4376" t="str">
        <f>"1552382525244826"</f>
        <v>1552382525244826</v>
      </c>
      <c r="C4376" t="s">
        <v>40</v>
      </c>
      <c r="D4376">
        <v>3.1107070000000001</v>
      </c>
      <c r="E4376">
        <v>0.59134690000000001</v>
      </c>
      <c r="F4376" t="s">
        <v>48</v>
      </c>
      <c r="G4376">
        <v>-234.62479999999999</v>
      </c>
      <c r="H4376">
        <v>1.01932</v>
      </c>
      <c r="I4376">
        <v>207.012</v>
      </c>
      <c r="J4376">
        <v>-266.65179999999998</v>
      </c>
      <c r="K4376">
        <v>1.110012</v>
      </c>
      <c r="L4376">
        <v>215.8288</v>
      </c>
      <c r="M4376">
        <v>0.9998262</v>
      </c>
      <c r="N4376">
        <v>0</v>
      </c>
      <c r="O4376">
        <v>1.223049E-2</v>
      </c>
      <c r="P4376">
        <v>0.98995029999999995</v>
      </c>
      <c r="Q4376">
        <v>0.13833579999999901</v>
      </c>
      <c r="R4376">
        <v>-2.9359690000000001E-2</v>
      </c>
      <c r="S4376">
        <v>3.0063780000000002</v>
      </c>
      <c r="T4376">
        <v>-8.4141489999999992E-3</v>
      </c>
      <c r="U4376">
        <v>-0.81791689999999995</v>
      </c>
      <c r="V4376">
        <v>4.1547140000000003E-2</v>
      </c>
      <c r="W4376">
        <v>0.15223049999999999</v>
      </c>
      <c r="X4376">
        <v>0.98747130000000005</v>
      </c>
      <c r="Y4376">
        <v>0.27430060000000001</v>
      </c>
      <c r="Z4376">
        <v>-4.1063500000000001E-4</v>
      </c>
      <c r="AA4376">
        <v>0.9616439</v>
      </c>
      <c r="AB4376">
        <v>36</v>
      </c>
      <c r="AC4376">
        <v>32.026999999999902</v>
      </c>
      <c r="AD4376">
        <v>-9.0691999999999995E-2</v>
      </c>
      <c r="AE4376">
        <v>-8.8168000000000006</v>
      </c>
      <c r="AF4376">
        <v>9.2078164661486301</v>
      </c>
      <c r="AG4376">
        <v>-9.0691999999999995E-2</v>
      </c>
      <c r="AH4376">
        <v>31.9165216975771</v>
      </c>
      <c r="AI4376">
        <v>90.156428020380602</v>
      </c>
      <c r="AJ4376">
        <v>73.907315067233</v>
      </c>
      <c r="AK4376">
        <v>33.218315224963703</v>
      </c>
      <c r="AL4376">
        <v>81.243789885207406</v>
      </c>
      <c r="AM4376">
        <v>87.590742548109205</v>
      </c>
      <c r="AN4376">
        <v>0.99999992914805702</v>
      </c>
    </row>
    <row r="4377" spans="1:40" x14ac:dyDescent="0.25">
      <c r="A4377" t="str">
        <f>"20190312172205275"</f>
        <v>20190312172205275</v>
      </c>
      <c r="B4377" t="str">
        <f>"1552382525265323"</f>
        <v>1552382525265323</v>
      </c>
      <c r="C4377" t="s">
        <v>40</v>
      </c>
      <c r="D4377">
        <v>3.0632869999999999</v>
      </c>
      <c r="E4377">
        <v>0.59141350000000004</v>
      </c>
      <c r="F4377" t="s">
        <v>48</v>
      </c>
      <c r="G4377">
        <v>-234.4067</v>
      </c>
      <c r="H4377">
        <v>1.047282</v>
      </c>
      <c r="I4377">
        <v>207.08539999999999</v>
      </c>
      <c r="J4377">
        <v>-266.28460000000001</v>
      </c>
      <c r="K4377">
        <v>1.109988</v>
      </c>
      <c r="L4377">
        <v>215.833</v>
      </c>
      <c r="M4377">
        <v>0.99982939999999998</v>
      </c>
      <c r="N4377">
        <v>0</v>
      </c>
      <c r="O4377">
        <v>1.196053E-2</v>
      </c>
      <c r="P4377">
        <v>0.98987950000000002</v>
      </c>
      <c r="Q4377">
        <v>0.1388897</v>
      </c>
      <c r="R4377">
        <v>-2.913079E-2</v>
      </c>
      <c r="S4377">
        <v>3.0070800000000002</v>
      </c>
      <c r="T4377">
        <v>-5.8454279999999997E-3</v>
      </c>
      <c r="U4377">
        <v>-0.81538389999999905</v>
      </c>
      <c r="V4377">
        <v>4.1060480000000003E-2</v>
      </c>
      <c r="W4377">
        <v>0.1527927</v>
      </c>
      <c r="X4377">
        <v>0.98740490000000003</v>
      </c>
      <c r="Y4377">
        <v>0.27322999999999997</v>
      </c>
      <c r="Z4377">
        <v>-2.8370279999999999E-4</v>
      </c>
      <c r="AA4377">
        <v>0.96194869999999999</v>
      </c>
      <c r="AB4377">
        <v>36</v>
      </c>
      <c r="AC4377">
        <v>31.8779</v>
      </c>
      <c r="AD4377">
        <v>-6.2705999999999901E-2</v>
      </c>
      <c r="AE4377">
        <v>-8.7476000000000003</v>
      </c>
      <c r="AF4377">
        <v>9.1282556692661299</v>
      </c>
      <c r="AG4377">
        <v>-6.2705999999999901E-2</v>
      </c>
      <c r="AH4377">
        <v>31.7708687096227</v>
      </c>
      <c r="AI4377">
        <v>90.108687130982503</v>
      </c>
      <c r="AJ4377">
        <v>73.969833446805893</v>
      </c>
      <c r="AK4377">
        <v>33.056271449908103</v>
      </c>
      <c r="AL4377">
        <v>81.211197578477794</v>
      </c>
      <c r="AM4377">
        <v>87.618770636438398</v>
      </c>
      <c r="AN4377">
        <v>1.0000000043675601</v>
      </c>
    </row>
    <row r="4378" spans="1:40" x14ac:dyDescent="0.25">
      <c r="A4378" t="str">
        <f>"20190312172205296"</f>
        <v>20190312172205296</v>
      </c>
      <c r="B4378" t="str">
        <f>"1552382525284842"</f>
        <v>1552382525284842</v>
      </c>
      <c r="C4378" t="s">
        <v>40</v>
      </c>
      <c r="D4378">
        <v>3.075555</v>
      </c>
      <c r="E4378">
        <v>0.59150849999999999</v>
      </c>
      <c r="F4378" t="s">
        <v>61</v>
      </c>
      <c r="G4378">
        <v>-168.41650000000001</v>
      </c>
      <c r="H4378">
        <v>0.99169110000000005</v>
      </c>
      <c r="I4378">
        <v>189.3004</v>
      </c>
      <c r="J4378">
        <v>-265.93549999999999</v>
      </c>
      <c r="K4378">
        <v>1.109961</v>
      </c>
      <c r="L4378">
        <v>215.83690000000001</v>
      </c>
      <c r="M4378">
        <v>0.99983259999999996</v>
      </c>
      <c r="N4378">
        <v>0</v>
      </c>
      <c r="O4378">
        <v>1.1661070000000001E-2</v>
      </c>
      <c r="P4378">
        <v>0.98975190000000002</v>
      </c>
      <c r="Q4378">
        <v>0.13980909999999999</v>
      </c>
      <c r="R4378">
        <v>-2.9064309999999999E-2</v>
      </c>
      <c r="S4378">
        <v>3.0071720000000002</v>
      </c>
      <c r="T4378">
        <v>-3.6338569999999999E-3</v>
      </c>
      <c r="U4378">
        <v>-0.81526180000000004</v>
      </c>
      <c r="V4378">
        <v>4.0709269999999999E-2</v>
      </c>
      <c r="W4378">
        <v>0.153716299999999</v>
      </c>
      <c r="X4378">
        <v>0.98727609999999999</v>
      </c>
      <c r="Y4378">
        <v>0.27289849999999999</v>
      </c>
      <c r="Z4378">
        <v>-1.758094E-4</v>
      </c>
      <c r="AA4378">
        <v>0.96204279999999998</v>
      </c>
      <c r="AB4378">
        <v>36</v>
      </c>
      <c r="AC4378">
        <v>97.518999999999906</v>
      </c>
      <c r="AD4378">
        <v>-0.118269899999999</v>
      </c>
      <c r="AE4378">
        <v>-26.5365</v>
      </c>
      <c r="AF4378">
        <v>27.671946393129101</v>
      </c>
      <c r="AG4378">
        <v>-0.118269899999999</v>
      </c>
      <c r="AH4378">
        <v>97.2027602518815</v>
      </c>
      <c r="AI4378">
        <v>90.067049621417397</v>
      </c>
      <c r="AJ4378">
        <v>74.109262515324204</v>
      </c>
      <c r="AK4378">
        <v>101.06496527253201</v>
      </c>
      <c r="AL4378">
        <v>81.157646737056496</v>
      </c>
      <c r="AM4378">
        <v>87.638807636170796</v>
      </c>
      <c r="AN4378">
        <v>1.0000000215904099</v>
      </c>
    </row>
    <row r="4379" spans="1:40" x14ac:dyDescent="0.25">
      <c r="A4379" t="str">
        <f>"20190312172205319"</f>
        <v>20190312172205319</v>
      </c>
      <c r="B4379" t="str">
        <f>"1552382525315099"</f>
        <v>1552382525315099</v>
      </c>
      <c r="C4379" t="s">
        <v>40</v>
      </c>
      <c r="D4379">
        <v>3.0957460000000001</v>
      </c>
      <c r="E4379">
        <v>0.59172400000000003</v>
      </c>
      <c r="F4379" t="s">
        <v>61</v>
      </c>
      <c r="G4379">
        <v>-168.41650000000001</v>
      </c>
      <c r="H4379">
        <v>1.0770759999999999</v>
      </c>
      <c r="I4379">
        <v>189.3904</v>
      </c>
      <c r="J4379">
        <v>-265.56389999999999</v>
      </c>
      <c r="K4379">
        <v>1.109923</v>
      </c>
      <c r="L4379">
        <v>215.8409</v>
      </c>
      <c r="M4379">
        <v>0.99983690000000003</v>
      </c>
      <c r="N4379">
        <v>0</v>
      </c>
      <c r="O4379">
        <v>1.129167E-2</v>
      </c>
      <c r="P4379">
        <v>0.98967709999999998</v>
      </c>
      <c r="Q4379">
        <v>0.14035230000000001</v>
      </c>
      <c r="R4379">
        <v>-2.899769E-2</v>
      </c>
      <c r="S4379">
        <v>3.007263</v>
      </c>
      <c r="T4379">
        <v>-1.0130409999999999E-3</v>
      </c>
      <c r="U4379">
        <v>-0.81555180000000005</v>
      </c>
      <c r="V4379">
        <v>4.0292380000000003E-2</v>
      </c>
      <c r="W4379">
        <v>0.15426379999999901</v>
      </c>
      <c r="X4379">
        <v>0.98720779999999997</v>
      </c>
      <c r="Y4379">
        <v>0.27262219999999998</v>
      </c>
      <c r="Z4379" s="1">
        <v>-4.8841790000000003E-5</v>
      </c>
      <c r="AA4379">
        <v>0.96212120000000001</v>
      </c>
      <c r="AB4379">
        <v>36</v>
      </c>
      <c r="AC4379">
        <v>97.147399999999905</v>
      </c>
      <c r="AD4379">
        <v>-3.2847000000000001E-2</v>
      </c>
      <c r="AE4379">
        <v>-26.450500000000002</v>
      </c>
      <c r="AF4379">
        <v>27.5458758014917</v>
      </c>
      <c r="AG4379">
        <v>-3.2847000000000001E-2</v>
      </c>
      <c r="AH4379">
        <v>96.842495039565705</v>
      </c>
      <c r="AI4379">
        <v>90.018692112016595</v>
      </c>
      <c r="AJ4379">
        <v>74.122129620043395</v>
      </c>
      <c r="AK4379">
        <v>100.68388747999801</v>
      </c>
      <c r="AL4379">
        <v>81.125898588166606</v>
      </c>
      <c r="AM4379">
        <v>87.662799358257203</v>
      </c>
      <c r="AN4379">
        <v>1.0000000181286699</v>
      </c>
    </row>
    <row r="4380" spans="1:40" x14ac:dyDescent="0.25">
      <c r="A4380" t="str">
        <f>"20190312172205342"</f>
        <v>20190312172205342</v>
      </c>
      <c r="B4380" t="str">
        <f>"1552382525334618"</f>
        <v>1552382525334618</v>
      </c>
      <c r="C4380" t="s">
        <v>40</v>
      </c>
      <c r="D4380">
        <v>3.0835900000000001</v>
      </c>
      <c r="E4380">
        <v>0.59179740000000003</v>
      </c>
      <c r="F4380" t="s">
        <v>61</v>
      </c>
      <c r="G4380">
        <v>-168.41650000000001</v>
      </c>
      <c r="H4380">
        <v>1.1267100000000001</v>
      </c>
      <c r="I4380">
        <v>189.4496</v>
      </c>
      <c r="J4380">
        <v>-265.2081</v>
      </c>
      <c r="K4380">
        <v>1.109874</v>
      </c>
      <c r="L4380">
        <v>215.84460000000001</v>
      </c>
      <c r="M4380">
        <v>0.99984130000000004</v>
      </c>
      <c r="N4380">
        <v>0</v>
      </c>
      <c r="O4380">
        <v>1.0884649999999999E-2</v>
      </c>
      <c r="P4380">
        <v>0.98964850000000004</v>
      </c>
      <c r="Q4380">
        <v>0.14052039999999999</v>
      </c>
      <c r="R4380">
        <v>-2.9161070000000001E-2</v>
      </c>
      <c r="S4380">
        <v>3.0072939999999999</v>
      </c>
      <c r="T4380">
        <v>5.2070619999999997E-4</v>
      </c>
      <c r="U4380">
        <v>-0.8169708</v>
      </c>
      <c r="V4380">
        <v>4.006904E-2</v>
      </c>
      <c r="W4380">
        <v>0.1544353</v>
      </c>
      <c r="X4380">
        <v>0.98719009999999996</v>
      </c>
      <c r="Y4380">
        <v>0.27265099999999998</v>
      </c>
      <c r="Z4380" s="1">
        <v>2.5036249999999999E-5</v>
      </c>
      <c r="AA4380">
        <v>0.962113</v>
      </c>
      <c r="AB4380">
        <v>36</v>
      </c>
      <c r="AC4380">
        <v>96.791600000000003</v>
      </c>
      <c r="AD4380">
        <v>1.6836E-2</v>
      </c>
      <c r="AE4380">
        <v>-26.395</v>
      </c>
      <c r="AF4380">
        <v>27.4470827668388</v>
      </c>
      <c r="AG4380">
        <v>1.6836E-2</v>
      </c>
      <c r="AH4380">
        <v>96.4985333372924</v>
      </c>
      <c r="AI4380">
        <v>89.990385028901102</v>
      </c>
      <c r="AJ4380">
        <v>74.122655076322701</v>
      </c>
      <c r="AK4380">
        <v>100.326016426992</v>
      </c>
      <c r="AL4380">
        <v>81.115953390452503</v>
      </c>
      <c r="AM4380">
        <v>87.675698548057198</v>
      </c>
      <c r="AN4380">
        <v>1.0000000416953001</v>
      </c>
    </row>
    <row r="4381" spans="1:40" x14ac:dyDescent="0.25">
      <c r="A4381" t="str">
        <f>"20190312172205365"</f>
        <v>20190312172205365</v>
      </c>
      <c r="B4381" t="str">
        <f>"1552382525355114"</f>
        <v>1552382525355114</v>
      </c>
      <c r="C4381" t="s">
        <v>40</v>
      </c>
      <c r="D4381">
        <v>3.2023380000000001</v>
      </c>
      <c r="E4381">
        <v>0.55988319999999903</v>
      </c>
      <c r="F4381" t="s">
        <v>61</v>
      </c>
      <c r="G4381">
        <v>-168.41650000000001</v>
      </c>
      <c r="H4381">
        <v>1.131016</v>
      </c>
      <c r="I4381">
        <v>189.52199999999999</v>
      </c>
      <c r="J4381">
        <v>-264.82940000000002</v>
      </c>
      <c r="K4381">
        <v>1.1098349999999999</v>
      </c>
      <c r="L4381">
        <v>215.84819999999999</v>
      </c>
      <c r="M4381">
        <v>0.99984620000000002</v>
      </c>
      <c r="N4381">
        <v>0</v>
      </c>
      <c r="O4381">
        <v>1.0402410000000001E-2</v>
      </c>
      <c r="P4381">
        <v>0.98966229999999999</v>
      </c>
      <c r="Q4381">
        <v>0.14045450000000001</v>
      </c>
      <c r="R4381">
        <v>-2.900784E-2</v>
      </c>
      <c r="S4381">
        <v>3.0072019999999999</v>
      </c>
      <c r="T4381">
        <v>6.5791609999999996E-4</v>
      </c>
      <c r="U4381">
        <v>-0.81781009999999998</v>
      </c>
      <c r="V4381">
        <v>3.9454799999999998E-2</v>
      </c>
      <c r="W4381">
        <v>0.1543726</v>
      </c>
      <c r="X4381">
        <v>0.98722460000000001</v>
      </c>
      <c r="Y4381">
        <v>0.27244429999999997</v>
      </c>
      <c r="Z4381" s="1">
        <v>3.1507370000000001E-5</v>
      </c>
      <c r="AA4381">
        <v>0.96217160000000002</v>
      </c>
      <c r="AB4381">
        <v>36</v>
      </c>
      <c r="AC4381">
        <v>96.412899999999993</v>
      </c>
      <c r="AD4381">
        <v>2.1180999999999801E-2</v>
      </c>
      <c r="AE4381">
        <v>-26.326199999999901</v>
      </c>
      <c r="AF4381">
        <v>27.327800574047501</v>
      </c>
      <c r="AG4381">
        <v>2.1180999999999801E-2</v>
      </c>
      <c r="AH4381">
        <v>96.1337948453384</v>
      </c>
      <c r="AI4381">
        <v>89.987857206239198</v>
      </c>
      <c r="AJ4381">
        <v>74.131223862177393</v>
      </c>
      <c r="AK4381">
        <v>99.942561725299399</v>
      </c>
      <c r="AL4381">
        <v>81.119589029561695</v>
      </c>
      <c r="AM4381">
        <v>87.711370735472002</v>
      </c>
      <c r="AN4381">
        <v>0.99999999585947996</v>
      </c>
    </row>
    <row r="4382" spans="1:40" x14ac:dyDescent="0.25">
      <c r="A4382" t="str">
        <f>"20190312172205386"</f>
        <v>20190312172205386</v>
      </c>
      <c r="B4382" t="str">
        <f>"1552382525374635"</f>
        <v>1552382525374635</v>
      </c>
      <c r="C4382" t="s">
        <v>40</v>
      </c>
      <c r="D4382">
        <v>3.0976759999999999</v>
      </c>
      <c r="E4382">
        <v>0.53760680000000005</v>
      </c>
      <c r="F4382" t="s">
        <v>61</v>
      </c>
      <c r="G4382">
        <v>-168.4134</v>
      </c>
      <c r="H4382">
        <v>0.13587279999999999</v>
      </c>
      <c r="I4382">
        <v>197.8766</v>
      </c>
      <c r="J4382">
        <v>-264.49059999999997</v>
      </c>
      <c r="K4382">
        <v>1.109807</v>
      </c>
      <c r="L4382">
        <v>215.85130000000001</v>
      </c>
      <c r="M4382">
        <v>0.99985089999999999</v>
      </c>
      <c r="N4382">
        <v>0</v>
      </c>
      <c r="O4382">
        <v>9.9389249999999995E-3</v>
      </c>
      <c r="P4382">
        <v>0.98968080000000003</v>
      </c>
      <c r="Q4382">
        <v>0.14048869999999999</v>
      </c>
      <c r="R4382">
        <v>-2.8197659999999999E-2</v>
      </c>
      <c r="S4382">
        <v>3.0191650000000001</v>
      </c>
      <c r="T4382">
        <v>-3.0497549999999998E-2</v>
      </c>
      <c r="U4382">
        <v>-0.56275940000000002</v>
      </c>
      <c r="V4382">
        <v>3.8198160000000002E-2</v>
      </c>
      <c r="W4382">
        <v>0.154410299999999</v>
      </c>
      <c r="X4382">
        <v>0.98726809999999998</v>
      </c>
      <c r="Y4382">
        <v>0.19299230000000001</v>
      </c>
      <c r="Z4382">
        <v>-1.0659599999999999E-3</v>
      </c>
      <c r="AA4382">
        <v>0.98119970000000001</v>
      </c>
      <c r="AB4382">
        <v>36</v>
      </c>
      <c r="AC4382">
        <v>96.077199999999905</v>
      </c>
      <c r="AD4382">
        <v>-0.97393419999999897</v>
      </c>
      <c r="AE4382">
        <v>-17.974699999999999</v>
      </c>
      <c r="AF4382">
        <v>18.9269321767684</v>
      </c>
      <c r="AG4382">
        <v>-0.97393419999999897</v>
      </c>
      <c r="AH4382">
        <v>95.884266827997394</v>
      </c>
      <c r="AI4382">
        <v>90.570939684615595</v>
      </c>
      <c r="AJ4382">
        <v>78.8337361237012</v>
      </c>
      <c r="AK4382">
        <v>97.739295754535306</v>
      </c>
      <c r="AL4382">
        <v>81.117402539758899</v>
      </c>
      <c r="AM4382">
        <v>87.784287527527198</v>
      </c>
      <c r="AN4382">
        <v>0.99999997072554203</v>
      </c>
    </row>
    <row r="4383" spans="1:40" x14ac:dyDescent="0.25">
      <c r="A4383" t="str">
        <f>"20190312172205409"</f>
        <v>20190312172205409</v>
      </c>
      <c r="B4383" t="str">
        <f>"1552382525404891"</f>
        <v>1552382525404891</v>
      </c>
      <c r="C4383" t="s">
        <v>40</v>
      </c>
      <c r="D4383">
        <v>3.0338229999999999</v>
      </c>
      <c r="E4383">
        <v>0.5166596</v>
      </c>
      <c r="F4383" t="s">
        <v>45</v>
      </c>
      <c r="G4383">
        <v>-179.92949999999999</v>
      </c>
      <c r="H4383">
        <v>7.8257610000000005E-2</v>
      </c>
      <c r="I4383">
        <v>205.16130000000001</v>
      </c>
      <c r="J4383">
        <v>-264.11759999999998</v>
      </c>
      <c r="K4383">
        <v>1.109782</v>
      </c>
      <c r="L4383">
        <v>215.8544</v>
      </c>
      <c r="M4383">
        <v>0.99985599999999997</v>
      </c>
      <c r="N4383">
        <v>0</v>
      </c>
      <c r="O4383">
        <v>9.4007220000000002E-3</v>
      </c>
      <c r="P4383">
        <v>0.98962059999999996</v>
      </c>
      <c r="Q4383">
        <v>0.1410624</v>
      </c>
      <c r="R4383">
        <v>-2.7433280000000001E-2</v>
      </c>
      <c r="S4383">
        <v>3.0256349999999999</v>
      </c>
      <c r="T4383">
        <v>-3.6909339999999999E-2</v>
      </c>
      <c r="U4383">
        <v>-0.3824921</v>
      </c>
      <c r="V4383">
        <v>3.6911569999999998E-2</v>
      </c>
      <c r="W4383">
        <v>0.1549865</v>
      </c>
      <c r="X4383">
        <v>0.98722679999999996</v>
      </c>
      <c r="Y4383">
        <v>0.1347303</v>
      </c>
      <c r="Z4383">
        <v>-9.3273810000000005E-4</v>
      </c>
      <c r="AA4383">
        <v>0.99088189999999998</v>
      </c>
      <c r="AB4383">
        <v>36</v>
      </c>
      <c r="AC4383">
        <v>84.188099999999906</v>
      </c>
      <c r="AD4383">
        <v>-1.03152439</v>
      </c>
      <c r="AE4383">
        <v>-10.6930999999999</v>
      </c>
      <c r="AF4383">
        <v>11.4824388729867</v>
      </c>
      <c r="AG4383">
        <v>-1.03152439</v>
      </c>
      <c r="AH4383">
        <v>84.071425306912104</v>
      </c>
      <c r="AI4383">
        <v>90.6964965788314</v>
      </c>
      <c r="AJ4383">
        <v>82.222688270157605</v>
      </c>
      <c r="AK4383">
        <v>84.858205249549997</v>
      </c>
      <c r="AL4383">
        <v>81.083986853625007</v>
      </c>
      <c r="AM4383">
        <v>87.858756968971605</v>
      </c>
      <c r="AN4383">
        <v>1.0000000169101699</v>
      </c>
    </row>
    <row r="4384" spans="1:40" x14ac:dyDescent="0.25">
      <c r="A4384" t="str">
        <f>"20190312172205431"</f>
        <v>20190312172205431</v>
      </c>
      <c r="B4384" t="str">
        <f>"1552382525425386"</f>
        <v>1552382525425386</v>
      </c>
      <c r="C4384" t="s">
        <v>40</v>
      </c>
      <c r="D4384">
        <v>3.0383469999999999</v>
      </c>
      <c r="E4384">
        <v>0.50977839999999996</v>
      </c>
      <c r="F4384" t="s">
        <v>45</v>
      </c>
      <c r="G4384">
        <v>-181.57400000000001</v>
      </c>
      <c r="H4384" s="1">
        <v>2.883608E-6</v>
      </c>
      <c r="I4384">
        <v>210.05619999999999</v>
      </c>
      <c r="J4384">
        <v>-263.774</v>
      </c>
      <c r="K4384">
        <v>1.109772</v>
      </c>
      <c r="L4384">
        <v>215.85720000000001</v>
      </c>
      <c r="M4384">
        <v>0.99986059999999999</v>
      </c>
      <c r="N4384">
        <v>0</v>
      </c>
      <c r="O4384">
        <v>8.8877149999999992E-3</v>
      </c>
      <c r="P4384">
        <v>0.98958440000000003</v>
      </c>
      <c r="Q4384">
        <v>0.14151749999999999</v>
      </c>
      <c r="R4384">
        <v>-2.6378120000000001E-2</v>
      </c>
      <c r="S4384">
        <v>3.031342</v>
      </c>
      <c r="T4384">
        <v>-4.0755630000000001E-2</v>
      </c>
      <c r="U4384">
        <v>-0.2129364</v>
      </c>
      <c r="V4384">
        <v>3.5356239999999997E-2</v>
      </c>
      <c r="W4384">
        <v>0.15544479999999999</v>
      </c>
      <c r="X4384">
        <v>0.98721159999999997</v>
      </c>
      <c r="Y4384">
        <v>7.8928360000000003E-2</v>
      </c>
      <c r="Z4384">
        <v>-6.4926989999999896E-4</v>
      </c>
      <c r="AA4384">
        <v>0.99688010000000005</v>
      </c>
      <c r="AB4384">
        <v>36</v>
      </c>
      <c r="AC4384">
        <v>82.199999999999903</v>
      </c>
      <c r="AD4384">
        <v>-1.109769116392</v>
      </c>
      <c r="AE4384">
        <v>-5.8010000000000099</v>
      </c>
      <c r="AF4384">
        <v>6.5302296148927601</v>
      </c>
      <c r="AG4384">
        <v>-1.109769116392</v>
      </c>
      <c r="AH4384">
        <v>82.1302940281372</v>
      </c>
      <c r="AI4384">
        <v>90.771715380893596</v>
      </c>
      <c r="AJ4384">
        <v>85.453941601527703</v>
      </c>
      <c r="AK4384">
        <v>82.396970110940302</v>
      </c>
      <c r="AL4384">
        <v>81.057405419007296</v>
      </c>
      <c r="AM4384">
        <v>87.948871472589701</v>
      </c>
      <c r="AN4384">
        <v>0.99999994636426703</v>
      </c>
    </row>
    <row r="4385" spans="1:40" x14ac:dyDescent="0.25">
      <c r="A4385" t="str">
        <f>"20190312172205454"</f>
        <v>20190312172205454</v>
      </c>
      <c r="B4385" t="str">
        <f>"1552382525444907"</f>
        <v>1552382525444907</v>
      </c>
      <c r="C4385" t="s">
        <v>40</v>
      </c>
      <c r="D4385">
        <v>2.9599669999999998</v>
      </c>
      <c r="E4385">
        <v>0.50565139999999997</v>
      </c>
      <c r="F4385" t="s">
        <v>45</v>
      </c>
      <c r="G4385">
        <v>-186.20310000000001</v>
      </c>
      <c r="H4385" s="1">
        <v>3.5441530000000001E-6</v>
      </c>
      <c r="I4385">
        <v>211.8931</v>
      </c>
      <c r="J4385">
        <v>-263.40129999999999</v>
      </c>
      <c r="K4385">
        <v>1.109761</v>
      </c>
      <c r="L4385">
        <v>215.86</v>
      </c>
      <c r="M4385">
        <v>0.99986540000000002</v>
      </c>
      <c r="N4385">
        <v>0</v>
      </c>
      <c r="O4385">
        <v>8.3214199999999995E-3</v>
      </c>
      <c r="P4385">
        <v>0.98967799999999995</v>
      </c>
      <c r="Q4385">
        <v>0.14117070000000001</v>
      </c>
      <c r="R4385">
        <v>-2.4669960000000001E-2</v>
      </c>
      <c r="S4385">
        <v>3.0336609999999999</v>
      </c>
      <c r="T4385">
        <v>-4.3401120000000001E-2</v>
      </c>
      <c r="U4385">
        <v>-0.15502929999999901</v>
      </c>
      <c r="V4385">
        <v>3.3093820000000003E-2</v>
      </c>
      <c r="W4385">
        <v>0.1551061</v>
      </c>
      <c r="X4385">
        <v>0.98734339999999998</v>
      </c>
      <c r="Y4385">
        <v>5.9339179999999998E-2</v>
      </c>
      <c r="Z4385">
        <v>-5.4315400000000001E-4</v>
      </c>
      <c r="AA4385">
        <v>0.99823770000000001</v>
      </c>
      <c r="AB4385">
        <v>36</v>
      </c>
      <c r="AC4385">
        <v>77.1981999999999</v>
      </c>
      <c r="AD4385">
        <v>-1.109757455847</v>
      </c>
      <c r="AE4385">
        <v>-3.9668999999999999</v>
      </c>
      <c r="AF4385">
        <v>4.6082756922533399</v>
      </c>
      <c r="AG4385">
        <v>-1.109757455847</v>
      </c>
      <c r="AH4385">
        <v>77.146612447147803</v>
      </c>
      <c r="AI4385">
        <v>90.822679283672599</v>
      </c>
      <c r="AJ4385">
        <v>86.581555927614005</v>
      </c>
      <c r="AK4385">
        <v>77.292092600323897</v>
      </c>
      <c r="AL4385">
        <v>81.077050662210894</v>
      </c>
      <c r="AM4385">
        <v>88.080276208929902</v>
      </c>
      <c r="AN4385">
        <v>1.00000004635148</v>
      </c>
    </row>
    <row r="4386" spans="1:40" x14ac:dyDescent="0.25">
      <c r="A4386" t="str">
        <f>"20190312172205476"</f>
        <v>20190312172205476</v>
      </c>
      <c r="B4386" t="str">
        <f>"1552382525464936"</f>
        <v>1552382525464936</v>
      </c>
      <c r="C4386" t="s">
        <v>40</v>
      </c>
      <c r="D4386">
        <v>3.0029560000000002</v>
      </c>
      <c r="E4386">
        <v>0.50292990000000004</v>
      </c>
      <c r="F4386" t="s">
        <v>45</v>
      </c>
      <c r="G4386">
        <v>-188.53200000000001</v>
      </c>
      <c r="H4386" s="1">
        <v>3.863279E-6</v>
      </c>
      <c r="I4386">
        <v>212.96809999999999</v>
      </c>
      <c r="J4386">
        <v>-263.04680000000002</v>
      </c>
      <c r="K4386">
        <v>1.1097589999999999</v>
      </c>
      <c r="L4386">
        <v>215.86240000000001</v>
      </c>
      <c r="M4386">
        <v>0.99986980000000003</v>
      </c>
      <c r="N4386">
        <v>0</v>
      </c>
      <c r="O4386">
        <v>7.7784869999999997E-3</v>
      </c>
      <c r="P4386">
        <v>0.98980869999999999</v>
      </c>
      <c r="Q4386">
        <v>0.14071710000000001</v>
      </c>
      <c r="R4386">
        <v>-2.1863190000000001E-2</v>
      </c>
      <c r="S4386">
        <v>3.0347599999999999</v>
      </c>
      <c r="T4386">
        <v>-4.498303E-2</v>
      </c>
      <c r="U4386">
        <v>-0.117218</v>
      </c>
      <c r="V4386">
        <v>2.975415E-2</v>
      </c>
      <c r="W4386">
        <v>0.15466659999999999</v>
      </c>
      <c r="X4386">
        <v>0.98751860000000002</v>
      </c>
      <c r="Y4386">
        <v>4.6362729999999998E-2</v>
      </c>
      <c r="Z4386">
        <v>-4.5872440000000001E-4</v>
      </c>
      <c r="AA4386">
        <v>0.99892460000000005</v>
      </c>
      <c r="AB4386">
        <v>36</v>
      </c>
      <c r="AC4386">
        <v>74.514799999999994</v>
      </c>
      <c r="AD4386">
        <v>-1.1097551367209999</v>
      </c>
      <c r="AE4386">
        <v>-2.8943000000000101</v>
      </c>
      <c r="AF4386">
        <v>3.4731135695093598</v>
      </c>
      <c r="AG4386">
        <v>-1.1097551367209999</v>
      </c>
      <c r="AH4386">
        <v>74.473536096740304</v>
      </c>
      <c r="AI4386">
        <v>90.8527937209263</v>
      </c>
      <c r="AJ4386">
        <v>87.329914962059803</v>
      </c>
      <c r="AK4386">
        <v>74.562736357262693</v>
      </c>
      <c r="AL4386">
        <v>81.102539568353293</v>
      </c>
      <c r="AM4386">
        <v>88.274187834879996</v>
      </c>
      <c r="AN4386">
        <v>1.00000002597187</v>
      </c>
    </row>
    <row r="4387" spans="1:40" x14ac:dyDescent="0.25">
      <c r="A4387" t="str">
        <f>"20190312172205498"</f>
        <v>20190312172205498</v>
      </c>
      <c r="B4387" t="str">
        <f>"1552382525495191"</f>
        <v>1552382525495191</v>
      </c>
      <c r="C4387" t="s">
        <v>40</v>
      </c>
      <c r="D4387">
        <v>3.012254</v>
      </c>
      <c r="E4387">
        <v>0.50013019999999997</v>
      </c>
      <c r="F4387" t="s">
        <v>45</v>
      </c>
      <c r="G4387">
        <v>-195.06280000000001</v>
      </c>
      <c r="H4387" s="1">
        <v>3.128568E-6</v>
      </c>
      <c r="I4387">
        <v>213.90690000000001</v>
      </c>
      <c r="J4387">
        <v>-262.7011</v>
      </c>
      <c r="K4387">
        <v>1.1097490000000001</v>
      </c>
      <c r="L4387">
        <v>215.8646</v>
      </c>
      <c r="M4387">
        <v>0.99987349999999997</v>
      </c>
      <c r="N4387">
        <v>0</v>
      </c>
      <c r="O4387">
        <v>7.2491250000000004E-3</v>
      </c>
      <c r="P4387">
        <v>0.98984589999999995</v>
      </c>
      <c r="Q4387">
        <v>0.14083599999999999</v>
      </c>
      <c r="R4387">
        <v>-1.925083E-2</v>
      </c>
      <c r="S4387">
        <v>3.0360109999999998</v>
      </c>
      <c r="T4387">
        <v>-4.9559119999999998E-2</v>
      </c>
      <c r="U4387">
        <v>-8.7326050000000002E-2</v>
      </c>
      <c r="V4387">
        <v>2.6621189999999999E-2</v>
      </c>
      <c r="W4387">
        <v>0.15479989999999999</v>
      </c>
      <c r="X4387">
        <v>0.98758710000000005</v>
      </c>
      <c r="Y4387">
        <v>3.5991870000000002E-2</v>
      </c>
      <c r="Z4387">
        <v>-4.119959E-4</v>
      </c>
      <c r="AA4387">
        <v>0.99935200000000002</v>
      </c>
      <c r="AB4387">
        <v>36</v>
      </c>
      <c r="AC4387">
        <v>67.638299999999902</v>
      </c>
      <c r="AD4387">
        <v>-1.1097458714320001</v>
      </c>
      <c r="AE4387">
        <v>-1.95769999999998</v>
      </c>
      <c r="AF4387">
        <v>2.4473579307333999</v>
      </c>
      <c r="AG4387">
        <v>-1.1097458714320001</v>
      </c>
      <c r="AH4387">
        <v>67.604146151768205</v>
      </c>
      <c r="AI4387">
        <v>90.939830408431405</v>
      </c>
      <c r="AJ4387">
        <v>87.926723718981904</v>
      </c>
      <c r="AK4387">
        <v>67.657532275792704</v>
      </c>
      <c r="AL4387">
        <v>81.094808598674106</v>
      </c>
      <c r="AM4387">
        <v>88.455920938096995</v>
      </c>
      <c r="AN4387">
        <v>0.999999988441718</v>
      </c>
    </row>
    <row r="4388" spans="1:40" x14ac:dyDescent="0.25">
      <c r="A4388" t="str">
        <f>"20190312172205520"</f>
        <v>20190312172205520</v>
      </c>
      <c r="B4388" t="str">
        <f>"1552382525514711"</f>
        <v>1552382525514711</v>
      </c>
      <c r="C4388" t="s">
        <v>40</v>
      </c>
      <c r="D4388">
        <v>3.0157929999999999</v>
      </c>
      <c r="E4388">
        <v>0.49908390000000002</v>
      </c>
      <c r="F4388" t="s">
        <v>45</v>
      </c>
      <c r="G4388">
        <v>-197.81</v>
      </c>
      <c r="H4388" s="1">
        <v>2.5768570000000001E-6</v>
      </c>
      <c r="I4388">
        <v>214.64359999999999</v>
      </c>
      <c r="J4388">
        <v>-262.33980000000003</v>
      </c>
      <c r="K4388">
        <v>1.1097549999999901</v>
      </c>
      <c r="L4388">
        <v>215.86670000000001</v>
      </c>
      <c r="M4388">
        <v>0.99987729999999997</v>
      </c>
      <c r="N4388">
        <v>0</v>
      </c>
      <c r="O4388">
        <v>6.6960680000000003E-3</v>
      </c>
      <c r="P4388">
        <v>0.98986359999999995</v>
      </c>
      <c r="Q4388">
        <v>0.14105529999999999</v>
      </c>
      <c r="R4388">
        <v>-1.6543860000000001E-2</v>
      </c>
      <c r="S4388">
        <v>3.037048</v>
      </c>
      <c r="T4388">
        <v>-5.1938529999999997E-2</v>
      </c>
      <c r="U4388">
        <v>-5.7144170000000001E-2</v>
      </c>
      <c r="V4388">
        <v>2.3369689999999999E-2</v>
      </c>
      <c r="W4388">
        <v>0.15503359999999999</v>
      </c>
      <c r="X4388">
        <v>0.98763279999999998</v>
      </c>
      <c r="Y4388">
        <v>2.5502790000000001E-2</v>
      </c>
      <c r="Z4388">
        <v>-3.325426E-4</v>
      </c>
      <c r="AA4388">
        <v>0.99967470000000003</v>
      </c>
      <c r="AB4388">
        <v>36</v>
      </c>
      <c r="AC4388">
        <v>64.529799999999994</v>
      </c>
      <c r="AD4388">
        <v>-1.1097524231429901</v>
      </c>
      <c r="AE4388">
        <v>-1.2231000000000101</v>
      </c>
      <c r="AF4388">
        <v>1.65472262103599</v>
      </c>
      <c r="AG4388">
        <v>-1.1097524231429901</v>
      </c>
      <c r="AH4388">
        <v>64.501092593098804</v>
      </c>
      <c r="AI4388">
        <v>90.985362381804407</v>
      </c>
      <c r="AJ4388">
        <v>88.530446108274901</v>
      </c>
      <c r="AK4388">
        <v>64.531857272952706</v>
      </c>
      <c r="AL4388">
        <v>81.081255534510007</v>
      </c>
      <c r="AM4388">
        <v>88.644501491099305</v>
      </c>
      <c r="AN4388">
        <v>1.00000005358774</v>
      </c>
    </row>
    <row r="4389" spans="1:40" x14ac:dyDescent="0.25">
      <c r="A4389" t="str">
        <f>"20190312172205543"</f>
        <v>20190312172205543</v>
      </c>
      <c r="B4389" t="str">
        <f>"1552382525535208"</f>
        <v>1552382525535208</v>
      </c>
      <c r="C4389" t="s">
        <v>40</v>
      </c>
      <c r="D4389">
        <v>3.0126930000000001</v>
      </c>
      <c r="E4389">
        <v>0.49835429999999997</v>
      </c>
      <c r="F4389" t="s">
        <v>45</v>
      </c>
      <c r="G4389">
        <v>-199.42679999999999</v>
      </c>
      <c r="H4389" s="1">
        <v>2.2566990000000001E-6</v>
      </c>
      <c r="I4389">
        <v>215.02510000000001</v>
      </c>
      <c r="J4389">
        <v>-261.98090000000002</v>
      </c>
      <c r="K4389">
        <v>1.1097589999999999</v>
      </c>
      <c r="L4389">
        <v>215.86850000000001</v>
      </c>
      <c r="M4389">
        <v>0.99988060000000001</v>
      </c>
      <c r="N4389">
        <v>0</v>
      </c>
      <c r="O4389">
        <v>6.1482969999999996E-3</v>
      </c>
      <c r="P4389">
        <v>0.98974530000000005</v>
      </c>
      <c r="Q4389">
        <v>0.14217539999999901</v>
      </c>
      <c r="R4389">
        <v>-1.37994E-2</v>
      </c>
      <c r="S4389">
        <v>3.0376889999999999</v>
      </c>
      <c r="T4389">
        <v>-5.3583260000000001E-2</v>
      </c>
      <c r="U4389">
        <v>-4.0634160000000002E-2</v>
      </c>
      <c r="V4389">
        <v>2.008563E-2</v>
      </c>
      <c r="W4389">
        <v>0.15616450000000001</v>
      </c>
      <c r="X4389">
        <v>0.98752680000000004</v>
      </c>
      <c r="Y4389">
        <v>1.9519600000000002E-2</v>
      </c>
      <c r="Z4389">
        <v>-2.8058770000000002E-4</v>
      </c>
      <c r="AA4389">
        <v>0.99980939999999996</v>
      </c>
      <c r="AB4389">
        <v>36</v>
      </c>
      <c r="AC4389">
        <v>62.554099999999998</v>
      </c>
      <c r="AD4389">
        <v>-1.109756743301</v>
      </c>
      <c r="AE4389">
        <v>-0.84340000000000204</v>
      </c>
      <c r="AF4389">
        <v>1.22763758691444</v>
      </c>
      <c r="AG4389">
        <v>-1.109756743301</v>
      </c>
      <c r="AH4389">
        <v>62.528055290485803</v>
      </c>
      <c r="AI4389">
        <v>91.016590949836598</v>
      </c>
      <c r="AJ4389">
        <v>88.875234221205702</v>
      </c>
      <c r="AK4389">
        <v>62.5499508591666</v>
      </c>
      <c r="AL4389">
        <v>81.015660165786301</v>
      </c>
      <c r="AM4389">
        <v>88.834803092498007</v>
      </c>
      <c r="AN4389">
        <v>0.99999998215549302</v>
      </c>
    </row>
    <row r="4390" spans="1:40" x14ac:dyDescent="0.25">
      <c r="A4390" t="str">
        <f>"20190312172205564"</f>
        <v>20190312172205564</v>
      </c>
      <c r="B4390" t="str">
        <f>"1552382525555237"</f>
        <v>1552382525555237</v>
      </c>
      <c r="C4390" t="s">
        <v>40</v>
      </c>
      <c r="D4390">
        <v>3.0302020000000001</v>
      </c>
      <c r="E4390">
        <v>0.49776500000000001</v>
      </c>
      <c r="F4390" t="s">
        <v>45</v>
      </c>
      <c r="G4390">
        <v>-196.82079999999999</v>
      </c>
      <c r="H4390" s="1">
        <v>2.694124E-6</v>
      </c>
      <c r="I4390">
        <v>215.3092</v>
      </c>
      <c r="J4390">
        <v>-261.62650000000002</v>
      </c>
      <c r="K4390">
        <v>1.1097619999999999</v>
      </c>
      <c r="L4390">
        <v>215.87020000000001</v>
      </c>
      <c r="M4390">
        <v>0.99988379999999999</v>
      </c>
      <c r="N4390">
        <v>0</v>
      </c>
      <c r="O4390">
        <v>5.6084759999999899E-3</v>
      </c>
      <c r="P4390">
        <v>0.98970080000000005</v>
      </c>
      <c r="Q4390">
        <v>0.1427002</v>
      </c>
      <c r="R4390">
        <v>-1.1369550000000001E-2</v>
      </c>
      <c r="S4390">
        <v>3.0381469999999999</v>
      </c>
      <c r="T4390">
        <v>-5.174339E-2</v>
      </c>
      <c r="U4390">
        <v>-2.607727E-2</v>
      </c>
      <c r="V4390">
        <v>1.7123200000000002E-2</v>
      </c>
      <c r="W4390">
        <v>0.1567009</v>
      </c>
      <c r="X4390">
        <v>0.98749759999999998</v>
      </c>
      <c r="Y4390">
        <v>1.41888E-2</v>
      </c>
      <c r="Z4390">
        <v>-2.1633580000000001E-4</v>
      </c>
      <c r="AA4390">
        <v>0.99989930000000005</v>
      </c>
      <c r="AB4390">
        <v>36</v>
      </c>
      <c r="AC4390">
        <v>64.805700000000002</v>
      </c>
      <c r="AD4390">
        <v>-1.109759305876</v>
      </c>
      <c r="AE4390">
        <v>-0.56100000000000705</v>
      </c>
      <c r="AF4390">
        <v>0.92421790672516502</v>
      </c>
      <c r="AG4390">
        <v>-1.109759305876</v>
      </c>
      <c r="AH4390">
        <v>64.782538127686905</v>
      </c>
      <c r="AI4390">
        <v>90.981311320001097</v>
      </c>
      <c r="AJ4390">
        <v>89.182647133363304</v>
      </c>
      <c r="AK4390">
        <v>64.798634173270202</v>
      </c>
      <c r="AL4390">
        <v>80.984543265342197</v>
      </c>
      <c r="AM4390">
        <v>89.006591226206396</v>
      </c>
      <c r="AN4390">
        <v>0.99999994302240303</v>
      </c>
    </row>
    <row r="4391" spans="1:40" x14ac:dyDescent="0.25">
      <c r="A4391" t="str">
        <f>"20190312172205587"</f>
        <v>20190312172205587</v>
      </c>
      <c r="B4391" t="str">
        <f>"1552382525574757"</f>
        <v>1552382525574757</v>
      </c>
      <c r="C4391" t="s">
        <v>40</v>
      </c>
      <c r="D4391">
        <v>3.0367820000000001</v>
      </c>
      <c r="E4391">
        <v>0.497361</v>
      </c>
      <c r="F4391" t="s">
        <v>45</v>
      </c>
      <c r="G4391">
        <v>-195.9342</v>
      </c>
      <c r="H4391" s="1">
        <v>2.8287429999999998E-6</v>
      </c>
      <c r="I4391">
        <v>215.56829999999999</v>
      </c>
      <c r="J4391">
        <v>-261.2765</v>
      </c>
      <c r="K4391">
        <v>1.1097619999999999</v>
      </c>
      <c r="L4391">
        <v>215.8716</v>
      </c>
      <c r="M4391">
        <v>0.99988639999999995</v>
      </c>
      <c r="N4391">
        <v>0</v>
      </c>
      <c r="O4391">
        <v>5.0762200000000002E-3</v>
      </c>
      <c r="P4391">
        <v>0.98977079999999995</v>
      </c>
      <c r="Q4391">
        <v>0.1423661</v>
      </c>
      <c r="R4391">
        <v>-9.2557620000000007E-3</v>
      </c>
      <c r="S4391">
        <v>3.0384519999999999</v>
      </c>
      <c r="T4391">
        <v>-5.1329489999999998E-2</v>
      </c>
      <c r="U4391">
        <v>-1.396179E-2</v>
      </c>
      <c r="V4391">
        <v>1.4483380000000001E-2</v>
      </c>
      <c r="W4391">
        <v>0.15638350000000001</v>
      </c>
      <c r="X4391">
        <v>0.98759019999999997</v>
      </c>
      <c r="Y4391">
        <v>9.669502E-3</v>
      </c>
      <c r="Z4391">
        <v>-1.674248E-4</v>
      </c>
      <c r="AA4391">
        <v>0.99995319999999999</v>
      </c>
      <c r="AB4391">
        <v>36</v>
      </c>
      <c r="AC4391">
        <v>65.342299999999994</v>
      </c>
      <c r="AD4391">
        <v>-1.1097591712570001</v>
      </c>
      <c r="AE4391">
        <v>-0.30330000000000701</v>
      </c>
      <c r="AF4391">
        <v>0.63483827680278704</v>
      </c>
      <c r="AG4391">
        <v>-1.1097591712570001</v>
      </c>
      <c r="AH4391">
        <v>65.321076805298702</v>
      </c>
      <c r="AI4391">
        <v>90.973275419486299</v>
      </c>
      <c r="AJ4391">
        <v>89.443174996940002</v>
      </c>
      <c r="AK4391">
        <v>65.333587533975404</v>
      </c>
      <c r="AL4391">
        <v>81.002956335026397</v>
      </c>
      <c r="AM4391">
        <v>89.159796175689607</v>
      </c>
      <c r="AN4391">
        <v>0.99999998525225697</v>
      </c>
    </row>
    <row r="4392" spans="1:40" x14ac:dyDescent="0.25">
      <c r="A4392" t="str">
        <f>"20190312172205609"</f>
        <v>20190312172205609</v>
      </c>
      <c r="B4392" t="str">
        <f>"1552382525605012"</f>
        <v>1552382525605012</v>
      </c>
      <c r="C4392" t="s">
        <v>40</v>
      </c>
      <c r="D4392">
        <v>3.047123</v>
      </c>
      <c r="E4392">
        <v>0.49695679999999998</v>
      </c>
      <c r="F4392" t="s">
        <v>45</v>
      </c>
      <c r="G4392">
        <v>-198.39840000000001</v>
      </c>
      <c r="H4392" s="1">
        <v>2.37426E-6</v>
      </c>
      <c r="I4392">
        <v>215.7671</v>
      </c>
      <c r="J4392">
        <v>-260.91250000000002</v>
      </c>
      <c r="K4392">
        <v>1.1097600000000001</v>
      </c>
      <c r="L4392">
        <v>215.87289999999999</v>
      </c>
      <c r="M4392">
        <v>0.99988880000000002</v>
      </c>
      <c r="N4392">
        <v>0</v>
      </c>
      <c r="O4392">
        <v>4.5225040000000001E-3</v>
      </c>
      <c r="P4392">
        <v>0.98977329999999997</v>
      </c>
      <c r="Q4392">
        <v>0.14243789999999901</v>
      </c>
      <c r="R4392">
        <v>-7.781825E-3</v>
      </c>
      <c r="S4392">
        <v>3.0386660000000001</v>
      </c>
      <c r="T4392">
        <v>-5.3630589999999999E-2</v>
      </c>
      <c r="U4392">
        <v>-5.0506589999999999E-3</v>
      </c>
      <c r="V4392">
        <v>1.2461710000000001E-2</v>
      </c>
      <c r="W4392">
        <v>0.15647249999999999</v>
      </c>
      <c r="X4392">
        <v>0.98760369999999997</v>
      </c>
      <c r="Y4392">
        <v>6.183399E-3</v>
      </c>
      <c r="Z4392">
        <v>-1.3438339999999999E-4</v>
      </c>
      <c r="AA4392">
        <v>0.99998089999999995</v>
      </c>
      <c r="AB4392">
        <v>36</v>
      </c>
      <c r="AC4392">
        <v>62.514099999999999</v>
      </c>
      <c r="AD4392">
        <v>-1.1097576257399999</v>
      </c>
      <c r="AE4392">
        <v>-0.105799999999987</v>
      </c>
      <c r="AF4392">
        <v>0.38842532784192202</v>
      </c>
      <c r="AG4392">
        <v>-1.1097576257399999</v>
      </c>
      <c r="AH4392">
        <v>62.493288104253502</v>
      </c>
      <c r="AI4392">
        <v>91.017333539662005</v>
      </c>
      <c r="AJ4392">
        <v>89.643884230841806</v>
      </c>
      <c r="AK4392">
        <v>62.504347803208297</v>
      </c>
      <c r="AL4392">
        <v>80.997793612055801</v>
      </c>
      <c r="AM4392">
        <v>89.277072880273295</v>
      </c>
      <c r="AN4392">
        <v>1.00000000286303</v>
      </c>
    </row>
    <row r="4393" spans="1:40" x14ac:dyDescent="0.25">
      <c r="A4393" t="str">
        <f>"20190312172205632"</f>
        <v>20190312172205632</v>
      </c>
      <c r="B4393" t="str">
        <f>"1552382525625508"</f>
        <v>1552382525625508</v>
      </c>
      <c r="C4393" t="s">
        <v>40</v>
      </c>
      <c r="D4393">
        <v>3.0526599999999999</v>
      </c>
      <c r="E4393">
        <v>0.49685839999999998</v>
      </c>
      <c r="F4393" t="s">
        <v>45</v>
      </c>
      <c r="G4393">
        <v>-200.70259999999999</v>
      </c>
      <c r="H4393" s="1">
        <v>2.4157049999999999E-6</v>
      </c>
      <c r="I4393">
        <v>215.9074</v>
      </c>
      <c r="J4393">
        <v>-260.55689999999998</v>
      </c>
      <c r="K4393">
        <v>1.1097589999999999</v>
      </c>
      <c r="L4393">
        <v>215.874</v>
      </c>
      <c r="M4393">
        <v>0.99989099999999997</v>
      </c>
      <c r="N4393">
        <v>0</v>
      </c>
      <c r="O4393">
        <v>3.9807289999999997E-3</v>
      </c>
      <c r="P4393">
        <v>0.98979629999999996</v>
      </c>
      <c r="Q4393">
        <v>0.14230489999999901</v>
      </c>
      <c r="R4393">
        <v>-7.2775100000000001E-3</v>
      </c>
      <c r="S4393">
        <v>3.0390630000000001</v>
      </c>
      <c r="T4393">
        <v>-5.6014420000000002E-2</v>
      </c>
      <c r="U4393">
        <v>1.739502E-3</v>
      </c>
      <c r="V4393">
        <v>1.142134E-2</v>
      </c>
      <c r="W4393">
        <v>0.1563552</v>
      </c>
      <c r="X4393">
        <v>0.98763480000000003</v>
      </c>
      <c r="Y4393">
        <v>3.4074999999999999E-3</v>
      </c>
      <c r="Z4393">
        <v>-1.047717E-4</v>
      </c>
      <c r="AA4393">
        <v>0.99999420000000006</v>
      </c>
      <c r="AB4393">
        <v>36</v>
      </c>
      <c r="AC4393">
        <v>59.854300000000002</v>
      </c>
      <c r="AD4393">
        <v>-1.1097565842949999</v>
      </c>
      <c r="AE4393">
        <v>3.3399999999971897E-2</v>
      </c>
      <c r="AF4393">
        <v>0.20481768803584299</v>
      </c>
      <c r="AG4393">
        <v>-1.1097565842949999</v>
      </c>
      <c r="AH4393">
        <v>59.8333898750518</v>
      </c>
      <c r="AI4393">
        <v>91.062562335640294</v>
      </c>
      <c r="AJ4393">
        <v>89.803869657362299</v>
      </c>
      <c r="AK4393">
        <v>59.8440310632704</v>
      </c>
      <c r="AL4393">
        <v>81.004597652203699</v>
      </c>
      <c r="AM4393">
        <v>89.337441927769902</v>
      </c>
      <c r="AN4393">
        <v>0.99999994687273597</v>
      </c>
    </row>
    <row r="4394" spans="1:40" x14ac:dyDescent="0.25">
      <c r="A4394" t="str">
        <f>"20190312172205654"</f>
        <v>20190312172205654</v>
      </c>
      <c r="B4394" t="str">
        <f>"1552382525645028"</f>
        <v>1552382525645028</v>
      </c>
      <c r="C4394" t="s">
        <v>40</v>
      </c>
      <c r="D4394">
        <v>3.1003069999999999</v>
      </c>
      <c r="E4394">
        <v>0.49674770000000001</v>
      </c>
      <c r="F4394" t="s">
        <v>45</v>
      </c>
      <c r="G4394">
        <v>-202.7483</v>
      </c>
      <c r="H4394" s="1">
        <v>3.3197900000000001E-6</v>
      </c>
      <c r="I4394">
        <v>215.94239999999999</v>
      </c>
      <c r="J4394">
        <v>-260.2047</v>
      </c>
      <c r="K4394">
        <v>1.109764</v>
      </c>
      <c r="L4394">
        <v>215.87479999999999</v>
      </c>
      <c r="M4394">
        <v>0.99989280000000003</v>
      </c>
      <c r="N4394">
        <v>0</v>
      </c>
      <c r="O4394">
        <v>3.4437399999999998E-3</v>
      </c>
      <c r="P4394">
        <v>0.98984119999999998</v>
      </c>
      <c r="Q4394">
        <v>0.141982</v>
      </c>
      <c r="R4394">
        <v>-7.4651619999999896E-3</v>
      </c>
      <c r="S4394">
        <v>3.0393680000000001</v>
      </c>
      <c r="T4394">
        <v>-5.8346870000000002E-2</v>
      </c>
      <c r="U4394">
        <v>3.6010740000000001E-3</v>
      </c>
      <c r="V4394">
        <v>1.1077170000000001E-2</v>
      </c>
      <c r="W4394">
        <v>0.15604579999999901</v>
      </c>
      <c r="X4394">
        <v>0.98768769999999995</v>
      </c>
      <c r="Y4394">
        <v>2.258234E-3</v>
      </c>
      <c r="Z4394" s="1">
        <v>-8.7783789999999997E-5</v>
      </c>
      <c r="AA4394">
        <v>0.99999740000000004</v>
      </c>
      <c r="AB4394">
        <v>36</v>
      </c>
      <c r="AC4394">
        <v>57.456400000000002</v>
      </c>
      <c r="AD4394">
        <v>-1.10976068021</v>
      </c>
      <c r="AE4394">
        <v>6.7599999999998703E-2</v>
      </c>
      <c r="AF4394">
        <v>0.130236757204161</v>
      </c>
      <c r="AG4394">
        <v>-1.10976068021</v>
      </c>
      <c r="AH4394">
        <v>57.434865275739398</v>
      </c>
      <c r="AI4394">
        <v>91.106932668142093</v>
      </c>
      <c r="AJ4394">
        <v>89.870078850188605</v>
      </c>
      <c r="AK4394">
        <v>57.4457333456768</v>
      </c>
      <c r="AL4394">
        <v>81.022545694935303</v>
      </c>
      <c r="AM4394">
        <v>89.357440128360494</v>
      </c>
      <c r="AN4394">
        <v>0.99999999406206896</v>
      </c>
    </row>
    <row r="4395" spans="1:40" x14ac:dyDescent="0.25">
      <c r="A4395" t="str">
        <f>"20190312172205676"</f>
        <v>20190312172205676</v>
      </c>
      <c r="B4395" t="str">
        <f>"1552382525665055"</f>
        <v>1552382525665055</v>
      </c>
      <c r="C4395" t="s">
        <v>40</v>
      </c>
      <c r="D4395">
        <v>2.9839319999999998</v>
      </c>
      <c r="E4395">
        <v>0.46781450000000002</v>
      </c>
      <c r="F4395" t="s">
        <v>45</v>
      </c>
      <c r="G4395">
        <v>-204.24109999999999</v>
      </c>
      <c r="H4395" s="1">
        <v>3.982417E-6</v>
      </c>
      <c r="I4395">
        <v>215.93549999999999</v>
      </c>
      <c r="J4395">
        <v>-259.84750000000003</v>
      </c>
      <c r="K4395">
        <v>1.1097680000000001</v>
      </c>
      <c r="L4395">
        <v>215.87549999999999</v>
      </c>
      <c r="M4395">
        <v>0.99989439999999996</v>
      </c>
      <c r="N4395">
        <v>0</v>
      </c>
      <c r="O4395">
        <v>2.8991350000000002E-3</v>
      </c>
      <c r="P4395">
        <v>0.98981620000000003</v>
      </c>
      <c r="Q4395">
        <v>0.1421636</v>
      </c>
      <c r="R4395">
        <v>-7.3136640000000001E-3</v>
      </c>
      <c r="S4395">
        <v>3.0394589999999999</v>
      </c>
      <c r="T4395">
        <v>-6.0272569999999998E-2</v>
      </c>
      <c r="U4395">
        <v>3.2958979999999998E-3</v>
      </c>
      <c r="V4395">
        <v>1.038682E-2</v>
      </c>
      <c r="W4395">
        <v>0.15623890000000001</v>
      </c>
      <c r="X4395">
        <v>0.98766469999999995</v>
      </c>
      <c r="Y4395">
        <v>1.814136E-3</v>
      </c>
      <c r="Z4395" s="1">
        <v>-7.5475439999999995E-5</v>
      </c>
      <c r="AA4395">
        <v>0.99999830000000001</v>
      </c>
      <c r="AB4395">
        <v>36</v>
      </c>
      <c r="AC4395">
        <v>55.606400000000001</v>
      </c>
      <c r="AD4395">
        <v>-1.1097640175829999</v>
      </c>
      <c r="AE4395">
        <v>6.0000000000002197E-2</v>
      </c>
      <c r="AF4395">
        <v>0.101186757821777</v>
      </c>
      <c r="AG4395">
        <v>-1.1097640175829999</v>
      </c>
      <c r="AH4395">
        <v>55.584200998871097</v>
      </c>
      <c r="AI4395">
        <v>91.143782609297006</v>
      </c>
      <c r="AJ4395">
        <v>89.895697560505297</v>
      </c>
      <c r="AK4395">
        <v>55.595370451302799</v>
      </c>
      <c r="AL4395">
        <v>81.011344725120495</v>
      </c>
      <c r="AM4395">
        <v>89.397468583876801</v>
      </c>
      <c r="AN4395">
        <v>1.0000000197645</v>
      </c>
    </row>
    <row r="4396" spans="1:40" x14ac:dyDescent="0.25">
      <c r="A4396" t="str">
        <f>"20190312172205700"</f>
        <v>20190312172205700</v>
      </c>
      <c r="B4396" t="str">
        <f>"1552382525695310"</f>
        <v>1552382525695310</v>
      </c>
      <c r="C4396" t="s">
        <v>40</v>
      </c>
      <c r="D4396">
        <v>2.9980540000000002</v>
      </c>
      <c r="E4396">
        <v>0.46579880000000001</v>
      </c>
      <c r="F4396" t="s">
        <v>46</v>
      </c>
      <c r="G4396">
        <v>-210.86930000000001</v>
      </c>
      <c r="H4396">
        <v>7.7866359999999996E-2</v>
      </c>
      <c r="I4396">
        <v>219.64420000000001</v>
      </c>
      <c r="J4396">
        <v>-259.47770000000003</v>
      </c>
      <c r="K4396">
        <v>1.109769</v>
      </c>
      <c r="L4396">
        <v>215.876</v>
      </c>
      <c r="M4396">
        <v>0.9998956</v>
      </c>
      <c r="N4396">
        <v>0</v>
      </c>
      <c r="O4396">
        <v>2.336093E-3</v>
      </c>
      <c r="P4396">
        <v>0.98980889999999999</v>
      </c>
      <c r="Q4396">
        <v>0.14222290000000001</v>
      </c>
      <c r="R4396">
        <v>-7.1724730000000004E-3</v>
      </c>
      <c r="S4396">
        <v>3.0418090000000002</v>
      </c>
      <c r="T4396">
        <v>-6.4086679999999993E-2</v>
      </c>
      <c r="U4396">
        <v>0.2340546</v>
      </c>
      <c r="V4396">
        <v>9.6882129999999993E-3</v>
      </c>
      <c r="W4396">
        <v>0.15631289999999901</v>
      </c>
      <c r="X4396">
        <v>0.98766010000000004</v>
      </c>
      <c r="Y4396">
        <v>-7.4373529999999993E-2</v>
      </c>
      <c r="Z4396">
        <v>7.3308649999999896E-4</v>
      </c>
      <c r="AA4396">
        <v>0.99723019999999996</v>
      </c>
      <c r="AB4396">
        <v>36</v>
      </c>
      <c r="AC4396">
        <v>48.608400000000003</v>
      </c>
      <c r="AD4396">
        <v>-1.03190264</v>
      </c>
      <c r="AE4396">
        <v>3.76820000000003</v>
      </c>
      <c r="AF4396">
        <v>-3.6529879833310201</v>
      </c>
      <c r="AG4396">
        <v>-1.03190264</v>
      </c>
      <c r="AH4396">
        <v>48.595301672704601</v>
      </c>
      <c r="AI4396">
        <v>91.213049661642899</v>
      </c>
      <c r="AJ4396">
        <v>94.2989318101626</v>
      </c>
      <c r="AK4396">
        <v>48.743332763835099</v>
      </c>
      <c r="AL4396">
        <v>81.007052176495193</v>
      </c>
      <c r="AM4396">
        <v>89.437988926595807</v>
      </c>
      <c r="AN4396">
        <v>1.0000000286547699</v>
      </c>
    </row>
    <row r="4397" spans="1:40" x14ac:dyDescent="0.25">
      <c r="A4397" t="str">
        <f>"20190312172205721"</f>
        <v>20190312172205721</v>
      </c>
      <c r="B4397" t="str">
        <f>"1552382525714831"</f>
        <v>1552382525714831</v>
      </c>
      <c r="C4397" t="s">
        <v>40</v>
      </c>
      <c r="D4397">
        <v>2.9797880000000001</v>
      </c>
      <c r="E4397">
        <v>0.46515200000000001</v>
      </c>
      <c r="F4397" t="s">
        <v>45</v>
      </c>
      <c r="G4397">
        <v>-208.7509</v>
      </c>
      <c r="H4397">
        <v>8.0000650000000006E-2</v>
      </c>
      <c r="I4397">
        <v>220.0539</v>
      </c>
      <c r="J4397">
        <v>-259.14060000000001</v>
      </c>
      <c r="K4397">
        <v>1.1097619999999999</v>
      </c>
      <c r="L4397">
        <v>215.87629999999999</v>
      </c>
      <c r="M4397">
        <v>0.99989640000000002</v>
      </c>
      <c r="N4397">
        <v>0</v>
      </c>
      <c r="O4397">
        <v>1.822693E-3</v>
      </c>
      <c r="P4397">
        <v>0.9899384</v>
      </c>
      <c r="Q4397">
        <v>0.14136689999999999</v>
      </c>
      <c r="R4397">
        <v>-6.1283500000000003E-3</v>
      </c>
      <c r="S4397">
        <v>3.0415649999999999</v>
      </c>
      <c r="T4397">
        <v>-6.1744569999999999E-2</v>
      </c>
      <c r="U4397">
        <v>0.25050349999999999</v>
      </c>
      <c r="V4397">
        <v>8.1346349999999994E-3</v>
      </c>
      <c r="W4397">
        <v>0.15547629999999901</v>
      </c>
      <c r="X4397">
        <v>0.98780610000000002</v>
      </c>
      <c r="Y4397">
        <v>-8.0249260000000003E-2</v>
      </c>
      <c r="Z4397">
        <v>7.7614289999999896E-4</v>
      </c>
      <c r="AA4397">
        <v>0.99677459999999996</v>
      </c>
      <c r="AB4397">
        <v>35</v>
      </c>
      <c r="AC4397">
        <v>50.389699999999998</v>
      </c>
      <c r="AD4397">
        <v>-1.02976135</v>
      </c>
      <c r="AE4397">
        <v>4.1776000000000098</v>
      </c>
      <c r="AF4397">
        <v>-4.0840447739225301</v>
      </c>
      <c r="AG4397">
        <v>-1.02976135</v>
      </c>
      <c r="AH4397">
        <v>50.376336588012698</v>
      </c>
      <c r="AI4397">
        <v>91.167212774848096</v>
      </c>
      <c r="AJ4397">
        <v>94.634872409717104</v>
      </c>
      <c r="AK4397">
        <v>50.552103004544698</v>
      </c>
      <c r="AL4397">
        <v>81.055578617234602</v>
      </c>
      <c r="AM4397">
        <v>89.528176918633207</v>
      </c>
      <c r="AN4397">
        <v>0.99999997167274102</v>
      </c>
    </row>
    <row r="4398" spans="1:40" x14ac:dyDescent="0.25">
      <c r="A4398" t="str">
        <f>"20190312172205743"</f>
        <v>20190312172205743</v>
      </c>
      <c r="B4398" t="str">
        <f>"1552382525735328"</f>
        <v>1552382525735328</v>
      </c>
      <c r="C4398" t="s">
        <v>40</v>
      </c>
      <c r="D4398">
        <v>2.993573</v>
      </c>
      <c r="E4398">
        <v>0.46458179999999999</v>
      </c>
      <c r="F4398" t="s">
        <v>46</v>
      </c>
      <c r="G4398">
        <v>-212.3124</v>
      </c>
      <c r="H4398">
        <v>8.0000470000000004E-2</v>
      </c>
      <c r="I4398">
        <v>219.8664</v>
      </c>
      <c r="J4398">
        <v>-258.79219999999998</v>
      </c>
      <c r="K4398">
        <v>1.1097429999999999</v>
      </c>
      <c r="L4398">
        <v>215.87639999999999</v>
      </c>
      <c r="M4398">
        <v>0.99989709999999998</v>
      </c>
      <c r="N4398">
        <v>0</v>
      </c>
      <c r="O4398">
        <v>1.291651E-3</v>
      </c>
      <c r="P4398">
        <v>0.99044710000000002</v>
      </c>
      <c r="Q4398">
        <v>0.13783779999999901</v>
      </c>
      <c r="R4398">
        <v>-3.9846409999999997E-3</v>
      </c>
      <c r="S4398">
        <v>3.0416259999999999</v>
      </c>
      <c r="T4398">
        <v>-6.688595E-2</v>
      </c>
      <c r="U4398">
        <v>0.25917050000000003</v>
      </c>
      <c r="V4398">
        <v>5.4610630000000004E-3</v>
      </c>
      <c r="W4398">
        <v>0.15197459999999999</v>
      </c>
      <c r="X4398">
        <v>0.98836930000000001</v>
      </c>
      <c r="Y4398">
        <v>-8.3593299999999995E-2</v>
      </c>
      <c r="Z4398">
        <v>8.8899259999999903E-4</v>
      </c>
      <c r="AA4398">
        <v>0.99649949999999998</v>
      </c>
      <c r="AB4398">
        <v>35</v>
      </c>
      <c r="AC4398">
        <v>46.479799999999898</v>
      </c>
      <c r="AD4398">
        <v>-1.0297425299999901</v>
      </c>
      <c r="AE4398">
        <v>3.99</v>
      </c>
      <c r="AF4398">
        <v>-3.92804097614763</v>
      </c>
      <c r="AG4398">
        <v>-1.0297425299999901</v>
      </c>
      <c r="AH4398">
        <v>46.4622772980495</v>
      </c>
      <c r="AI4398">
        <v>91.2651256852605</v>
      </c>
      <c r="AJ4398">
        <v>94.832441898366</v>
      </c>
      <c r="AK4398">
        <v>46.639394156755799</v>
      </c>
      <c r="AL4398">
        <v>81.258624997003693</v>
      </c>
      <c r="AM4398">
        <v>89.683425337617606</v>
      </c>
      <c r="AN4398">
        <v>0.99999998771836895</v>
      </c>
    </row>
    <row r="4399" spans="1:40" x14ac:dyDescent="0.25">
      <c r="A4399" t="str">
        <f>"20190312172205765"</f>
        <v>20190312172205765</v>
      </c>
      <c r="B4399" t="str">
        <f>"1552382525754847"</f>
        <v>1552382525754847</v>
      </c>
      <c r="C4399" t="s">
        <v>40</v>
      </c>
      <c r="D4399">
        <v>2.9959440000000002</v>
      </c>
      <c r="E4399">
        <v>0.46462330000000002</v>
      </c>
      <c r="F4399" t="s">
        <v>46</v>
      </c>
      <c r="G4399">
        <v>-216.54839999999999</v>
      </c>
      <c r="H4399">
        <v>7.0591959999999995E-2</v>
      </c>
      <c r="I4399">
        <v>219.6369</v>
      </c>
      <c r="J4399">
        <v>-258.44200000000001</v>
      </c>
      <c r="K4399">
        <v>1.1096969999999999</v>
      </c>
      <c r="L4399">
        <v>215.87629999999999</v>
      </c>
      <c r="M4399">
        <v>0.99989729999999999</v>
      </c>
      <c r="N4399">
        <v>0</v>
      </c>
      <c r="O4399">
        <v>7.5728589999999999E-4</v>
      </c>
      <c r="P4399">
        <v>0.992012</v>
      </c>
      <c r="Q4399">
        <v>0.12613959999999999</v>
      </c>
      <c r="R4399">
        <v>-1.0879819999999999E-3</v>
      </c>
      <c r="S4399">
        <v>3.0404659999999999</v>
      </c>
      <c r="T4399">
        <v>-7.4792029999999995E-2</v>
      </c>
      <c r="U4399">
        <v>0.27066040000000002</v>
      </c>
      <c r="V4399">
        <v>2.0208650000000002E-3</v>
      </c>
      <c r="W4399">
        <v>0.14031859999999999</v>
      </c>
      <c r="X4399">
        <v>0.9901044</v>
      </c>
      <c r="Y4399">
        <v>-8.7888190000000005E-2</v>
      </c>
      <c r="Z4399">
        <v>1.060089E-3</v>
      </c>
      <c r="AA4399">
        <v>0.99612979999999995</v>
      </c>
      <c r="AB4399">
        <v>35</v>
      </c>
      <c r="AC4399">
        <v>41.893599999999999</v>
      </c>
      <c r="AD4399">
        <v>-1.0391050399999999</v>
      </c>
      <c r="AE4399">
        <v>3.7606000000000099</v>
      </c>
      <c r="AF4399">
        <v>-3.72659592562565</v>
      </c>
      <c r="AG4399">
        <v>-1.0391050399999999</v>
      </c>
      <c r="AH4399">
        <v>41.8708826372457</v>
      </c>
      <c r="AI4399">
        <v>91.416016152955706</v>
      </c>
      <c r="AJ4399">
        <v>95.086042707377501</v>
      </c>
      <c r="AK4399">
        <v>42.0492338729143</v>
      </c>
      <c r="AL4399">
        <v>81.933717802896794</v>
      </c>
      <c r="AM4399">
        <v>89.8830558932179</v>
      </c>
      <c r="AN4399">
        <v>1.0000000581503301</v>
      </c>
    </row>
    <row r="4400" spans="1:40" x14ac:dyDescent="0.25">
      <c r="A4400" t="str">
        <f>"20190312172205788"</f>
        <v>20190312172205788</v>
      </c>
      <c r="B4400" t="str">
        <f>"1552382525775343"</f>
        <v>1552382525775343</v>
      </c>
      <c r="C4400" t="s">
        <v>40</v>
      </c>
      <c r="D4400">
        <v>3.0300379999999998</v>
      </c>
      <c r="E4400">
        <v>0.4648138</v>
      </c>
      <c r="F4400" t="s">
        <v>46</v>
      </c>
      <c r="G4400">
        <v>-227.87909999999999</v>
      </c>
      <c r="H4400" s="1">
        <v>2.478229E-6</v>
      </c>
      <c r="I4400">
        <v>218.6849</v>
      </c>
      <c r="J4400">
        <v>-258.08699999999999</v>
      </c>
      <c r="K4400">
        <v>1.1096729999999999</v>
      </c>
      <c r="L4400">
        <v>215.876</v>
      </c>
      <c r="M4400">
        <v>0.99989760000000005</v>
      </c>
      <c r="N4400">
        <v>0</v>
      </c>
      <c r="O4400">
        <v>2.151807E-4</v>
      </c>
      <c r="P4400">
        <v>0.99296139999999999</v>
      </c>
      <c r="Q4400">
        <v>0.1184122</v>
      </c>
      <c r="R4400">
        <v>2.5682180000000002E-3</v>
      </c>
      <c r="S4400">
        <v>3.0384669999999998</v>
      </c>
      <c r="T4400">
        <v>-0.1103224</v>
      </c>
      <c r="U4400">
        <v>0.27922059999999999</v>
      </c>
      <c r="V4400">
        <v>-2.182879E-3</v>
      </c>
      <c r="W4400">
        <v>0.13262449999999901</v>
      </c>
      <c r="X4400">
        <v>0.99116400000000004</v>
      </c>
      <c r="Y4400">
        <v>-9.1235860000000002E-2</v>
      </c>
      <c r="Z4400">
        <v>1.6445030000000001E-3</v>
      </c>
      <c r="AA4400">
        <v>0.99582800000000005</v>
      </c>
      <c r="AB4400">
        <v>35</v>
      </c>
      <c r="AC4400">
        <v>30.207899999999899</v>
      </c>
      <c r="AD4400">
        <v>-1.1096705217709999</v>
      </c>
      <c r="AE4400">
        <v>2.8089000000000199</v>
      </c>
      <c r="AF4400">
        <v>-2.7986549258653799</v>
      </c>
      <c r="AG4400">
        <v>-1.1096705217709999</v>
      </c>
      <c r="AH4400">
        <v>30.168143268332699</v>
      </c>
      <c r="AI4400">
        <v>92.097554460185506</v>
      </c>
      <c r="AJ4400">
        <v>95.300076996889004</v>
      </c>
      <c r="AK4400">
        <v>30.317993111675499</v>
      </c>
      <c r="AL4400">
        <v>82.378721796570701</v>
      </c>
      <c r="AM4400">
        <v>90.126184518081601</v>
      </c>
      <c r="AN4400">
        <v>1.0000000489284799</v>
      </c>
    </row>
    <row r="4401" spans="1:40" x14ac:dyDescent="0.25">
      <c r="A4401" t="str">
        <f>"20190312172205810"</f>
        <v>20190312172205810</v>
      </c>
      <c r="B4401" t="str">
        <f>"1552382525805599"</f>
        <v>1552382525805599</v>
      </c>
      <c r="C4401" t="s">
        <v>40</v>
      </c>
      <c r="D4401">
        <v>3.0665170000000002</v>
      </c>
      <c r="E4401">
        <v>0.4649625</v>
      </c>
      <c r="F4401" t="s">
        <v>46</v>
      </c>
      <c r="G4401">
        <v>-232.7919</v>
      </c>
      <c r="H4401" s="1">
        <v>-2.1124840000000001E-7</v>
      </c>
      <c r="I4401">
        <v>218.28110000000001</v>
      </c>
      <c r="J4401">
        <v>-257.73</v>
      </c>
      <c r="K4401">
        <v>1.10968</v>
      </c>
      <c r="L4401">
        <v>215.87549999999999</v>
      </c>
      <c r="M4401">
        <v>0.99989729999999999</v>
      </c>
      <c r="N4401">
        <v>0</v>
      </c>
      <c r="O4401">
        <v>-3.2803879999999898E-4</v>
      </c>
      <c r="P4401">
        <v>0.99294950000000004</v>
      </c>
      <c r="Q4401">
        <v>0.11846719999999999</v>
      </c>
      <c r="R4401">
        <v>4.1150659999999997E-3</v>
      </c>
      <c r="S4401">
        <v>3.0363769999999999</v>
      </c>
      <c r="T4401">
        <v>-0.13320309999999999</v>
      </c>
      <c r="U4401">
        <v>0.28871149999999901</v>
      </c>
      <c r="V4401">
        <v>-4.2699399999999998E-3</v>
      </c>
      <c r="W4401">
        <v>0.13269349999999999</v>
      </c>
      <c r="X4401">
        <v>0.99114789999999997</v>
      </c>
      <c r="Y4401">
        <v>-9.4893119999999997E-2</v>
      </c>
      <c r="Z4401">
        <v>2.0901159999999999E-3</v>
      </c>
      <c r="AA4401">
        <v>0.99548519999999896</v>
      </c>
      <c r="AB4401">
        <v>35</v>
      </c>
      <c r="AC4401">
        <v>24.938099999999999</v>
      </c>
      <c r="AD4401">
        <v>-1.1096802112483899</v>
      </c>
      <c r="AE4401">
        <v>2.4056000000000202</v>
      </c>
      <c r="AF4401">
        <v>-2.4090553794629899</v>
      </c>
      <c r="AG4401">
        <v>-1.1096802112483899</v>
      </c>
      <c r="AH4401">
        <v>24.8884841439342</v>
      </c>
      <c r="AI4401">
        <v>92.541043874325595</v>
      </c>
      <c r="AJ4401">
        <v>95.528663181021301</v>
      </c>
      <c r="AK4401">
        <v>25.0294143154693</v>
      </c>
      <c r="AL4401">
        <v>82.374732594930293</v>
      </c>
      <c r="AM4401">
        <v>90.246833017822397</v>
      </c>
      <c r="AN4401">
        <v>0.99999997850213096</v>
      </c>
    </row>
    <row r="4402" spans="1:40" x14ac:dyDescent="0.25">
      <c r="A4402" t="str">
        <f>"20190312172205832"</f>
        <v>20190312172205832</v>
      </c>
      <c r="B4402" t="str">
        <f>"1552382525825119"</f>
        <v>1552382525825119</v>
      </c>
      <c r="C4402" t="s">
        <v>40</v>
      </c>
      <c r="D4402">
        <v>3.0822980000000002</v>
      </c>
      <c r="E4402">
        <v>0.46515380000000001</v>
      </c>
      <c r="F4402" t="s">
        <v>46</v>
      </c>
      <c r="G4402">
        <v>-231.24780000000001</v>
      </c>
      <c r="H4402" s="1">
        <v>-1.0395050000000001E-6</v>
      </c>
      <c r="I4402">
        <v>218.4308</v>
      </c>
      <c r="J4402">
        <v>-257.38</v>
      </c>
      <c r="K4402">
        <v>1.109696</v>
      </c>
      <c r="L4402">
        <v>215.87479999999999</v>
      </c>
      <c r="M4402">
        <v>0.99989680000000003</v>
      </c>
      <c r="N4402">
        <v>0</v>
      </c>
      <c r="O4402">
        <v>-8.5637189999999996E-4</v>
      </c>
      <c r="P4402">
        <v>0.99262059999999996</v>
      </c>
      <c r="Q4402">
        <v>0.12119340000000001</v>
      </c>
      <c r="R4402">
        <v>4.0793870000000003E-3</v>
      </c>
      <c r="S4402">
        <v>3.035263</v>
      </c>
      <c r="T4402">
        <v>-0.1271862</v>
      </c>
      <c r="U4402">
        <v>0.2928772</v>
      </c>
      <c r="V4402">
        <v>-4.7559059999999998E-3</v>
      </c>
      <c r="W4402">
        <v>0.1354252</v>
      </c>
      <c r="X4402">
        <v>0.9907762</v>
      </c>
      <c r="Y4402">
        <v>-9.6812990000000002E-2</v>
      </c>
      <c r="Z4402">
        <v>2.0585790000000001E-3</v>
      </c>
      <c r="AA4402">
        <v>0.99530050000000003</v>
      </c>
      <c r="AB4402">
        <v>35</v>
      </c>
      <c r="AC4402">
        <v>26.132199999999902</v>
      </c>
      <c r="AD4402">
        <v>-1.1096970395049901</v>
      </c>
      <c r="AE4402">
        <v>2.5560000000000098</v>
      </c>
      <c r="AF4402">
        <v>-2.5737830420835199</v>
      </c>
      <c r="AG4402">
        <v>-1.1096970395049901</v>
      </c>
      <c r="AH4402">
        <v>26.083412000259798</v>
      </c>
      <c r="AI4402">
        <v>92.424372084983204</v>
      </c>
      <c r="AJ4402">
        <v>95.635423203761107</v>
      </c>
      <c r="AK4402">
        <v>26.233569491064401</v>
      </c>
      <c r="AL4402">
        <v>82.216792465646506</v>
      </c>
      <c r="AM4402">
        <v>90.275028052432404</v>
      </c>
      <c r="AN4402">
        <v>1.0000000409616701</v>
      </c>
    </row>
    <row r="4403" spans="1:40" x14ac:dyDescent="0.25">
      <c r="A4403" t="str">
        <f>"20190312172205855"</f>
        <v>20190312172205855</v>
      </c>
      <c r="B4403" t="str">
        <f>"1552382525844639"</f>
        <v>1552382525844639</v>
      </c>
      <c r="C4403" t="s">
        <v>40</v>
      </c>
      <c r="D4403">
        <v>3.0408729999999999</v>
      </c>
      <c r="E4403">
        <v>0.46531349999999999</v>
      </c>
      <c r="F4403" t="s">
        <v>46</v>
      </c>
      <c r="G4403">
        <v>-228.35130000000001</v>
      </c>
      <c r="H4403" s="1">
        <v>2.7304000000000002E-6</v>
      </c>
      <c r="I4403">
        <v>218.6643</v>
      </c>
      <c r="J4403">
        <v>-257.02460000000002</v>
      </c>
      <c r="K4403">
        <v>1.109712</v>
      </c>
      <c r="L4403">
        <v>215.874</v>
      </c>
      <c r="M4403">
        <v>0.99989609999999995</v>
      </c>
      <c r="N4403">
        <v>0</v>
      </c>
      <c r="O4403">
        <v>-1.382851E-3</v>
      </c>
      <c r="P4403">
        <v>0.99255230000000005</v>
      </c>
      <c r="Q4403">
        <v>0.12172910000000001</v>
      </c>
      <c r="R4403">
        <v>4.7389449999999996E-3</v>
      </c>
      <c r="S4403">
        <v>3.0352779999999999</v>
      </c>
      <c r="T4403">
        <v>-0.1160308</v>
      </c>
      <c r="U4403">
        <v>0.29167179999999998</v>
      </c>
      <c r="V4403">
        <v>-5.9398580000000001E-3</v>
      </c>
      <c r="W4403">
        <v>0.13597279999999901</v>
      </c>
      <c r="X4403">
        <v>0.99069479999999999</v>
      </c>
      <c r="Y4403">
        <v>-9.695869E-2</v>
      </c>
      <c r="Z4403">
        <v>1.9010400000000001E-3</v>
      </c>
      <c r="AA4403">
        <v>0.99528660000000002</v>
      </c>
      <c r="AB4403">
        <v>35</v>
      </c>
      <c r="AC4403">
        <v>28.673300000000001</v>
      </c>
      <c r="AD4403">
        <v>-1.1097092695999999</v>
      </c>
      <c r="AE4403">
        <v>2.79029999999997</v>
      </c>
      <c r="AF4403">
        <v>-2.82575950822699</v>
      </c>
      <c r="AG4403">
        <v>-1.1097092695999999</v>
      </c>
      <c r="AH4403">
        <v>28.626937517948999</v>
      </c>
      <c r="AI4403">
        <v>92.209205407219002</v>
      </c>
      <c r="AJ4403">
        <v>95.637393181129298</v>
      </c>
      <c r="AK4403">
        <v>28.7874612134854</v>
      </c>
      <c r="AL4403">
        <v>82.185124328349005</v>
      </c>
      <c r="AM4403">
        <v>90.343521250309095</v>
      </c>
      <c r="AN4403">
        <v>1.0000000354999601</v>
      </c>
    </row>
    <row r="4404" spans="1:40" x14ac:dyDescent="0.25">
      <c r="A4404" t="str">
        <f>"20190312172205890"</f>
        <v>20190312172205890</v>
      </c>
      <c r="B4404" t="str">
        <f>"1552382525885630"</f>
        <v>1552382525885630</v>
      </c>
      <c r="C4404" t="s">
        <v>40</v>
      </c>
      <c r="D4404">
        <v>3.0841750000000001</v>
      </c>
      <c r="E4404">
        <v>0.46553949999999999</v>
      </c>
      <c r="F4404" t="s">
        <v>46</v>
      </c>
      <c r="G4404">
        <v>-226.74160000000001</v>
      </c>
      <c r="H4404" s="1">
        <v>1.8684030000000001E-6</v>
      </c>
      <c r="I4404">
        <v>218.78829999999999</v>
      </c>
      <c r="J4404">
        <v>-256.48439999999999</v>
      </c>
      <c r="K4404">
        <v>1.1097539999999999</v>
      </c>
      <c r="L4404">
        <v>215.8724</v>
      </c>
      <c r="M4404">
        <v>0.99989450000000002</v>
      </c>
      <c r="N4404">
        <v>0</v>
      </c>
      <c r="O4404">
        <v>-2.144539E-3</v>
      </c>
      <c r="P4404">
        <v>0.99250300000000002</v>
      </c>
      <c r="Q4404">
        <v>0.1221797</v>
      </c>
      <c r="R4404">
        <v>3.2292689999999999E-3</v>
      </c>
      <c r="S4404">
        <v>3.0347599999999999</v>
      </c>
      <c r="T4404">
        <v>-0.1112078</v>
      </c>
      <c r="U4404">
        <v>0.29205320000000001</v>
      </c>
      <c r="V4404">
        <v>-5.1931240000000004E-3</v>
      </c>
      <c r="W4404">
        <v>0.13644419999999999</v>
      </c>
      <c r="X4404">
        <v>0.99063409999999996</v>
      </c>
      <c r="Y4404">
        <v>-9.7861660000000003E-2</v>
      </c>
      <c r="Z4404">
        <v>1.866716E-3</v>
      </c>
      <c r="AA4404">
        <v>0.99519820000000003</v>
      </c>
      <c r="AB4404">
        <v>35</v>
      </c>
      <c r="AC4404">
        <v>29.7427999999999</v>
      </c>
      <c r="AD4404">
        <v>-1.109752131597</v>
      </c>
      <c r="AE4404">
        <v>2.9158999999999899</v>
      </c>
      <c r="AF4404">
        <v>-2.9755814296940599</v>
      </c>
      <c r="AG4404">
        <v>-1.109752131597</v>
      </c>
      <c r="AH4404">
        <v>29.695530394909401</v>
      </c>
      <c r="AI4404">
        <v>92.129551076909294</v>
      </c>
      <c r="AJ4404">
        <v>95.722109167628005</v>
      </c>
      <c r="AK4404">
        <v>29.864864976646299</v>
      </c>
      <c r="AL4404">
        <v>82.157860367882606</v>
      </c>
      <c r="AM4404">
        <v>90.300354451901697</v>
      </c>
      <c r="AN4404">
        <v>0.99999995416666299</v>
      </c>
    </row>
    <row r="4405" spans="1:40" x14ac:dyDescent="0.25">
      <c r="A4405" t="str">
        <f>"20190312172205911"</f>
        <v>20190312172205911</v>
      </c>
      <c r="B4405" t="str">
        <f>"1552382525905151"</f>
        <v>1552382525905151</v>
      </c>
      <c r="C4405" t="s">
        <v>40</v>
      </c>
      <c r="D4405">
        <v>3.0770430000000002</v>
      </c>
      <c r="E4405">
        <v>0.46574569999999998</v>
      </c>
      <c r="F4405" t="s">
        <v>46</v>
      </c>
      <c r="G4405">
        <v>-224.27760000000001</v>
      </c>
      <c r="H4405" s="1">
        <v>5.5208600000000001E-7</v>
      </c>
      <c r="I4405">
        <v>218.90450000000001</v>
      </c>
      <c r="J4405">
        <v>-256.14710000000002</v>
      </c>
      <c r="K4405">
        <v>1.1097809999999999</v>
      </c>
      <c r="L4405">
        <v>215.87119999999999</v>
      </c>
      <c r="M4405">
        <v>0.99989300000000003</v>
      </c>
      <c r="N4405">
        <v>0</v>
      </c>
      <c r="O4405">
        <v>-2.5917480000000001E-3</v>
      </c>
      <c r="P4405">
        <v>0.99242969999999997</v>
      </c>
      <c r="Q4405">
        <v>0.1228071</v>
      </c>
      <c r="R4405">
        <v>1.3162499999999999E-3</v>
      </c>
      <c r="S4405">
        <v>3.0346069999999998</v>
      </c>
      <c r="T4405">
        <v>-0.1045638</v>
      </c>
      <c r="U4405">
        <v>0.28569029999999901</v>
      </c>
      <c r="V4405">
        <v>-3.729853E-3</v>
      </c>
      <c r="W4405">
        <v>0.13708239999999999</v>
      </c>
      <c r="X4405">
        <v>0.99055260000000001</v>
      </c>
      <c r="Y4405">
        <v>-9.6251790000000004E-2</v>
      </c>
      <c r="Z4405">
        <v>1.743227E-3</v>
      </c>
      <c r="AA4405">
        <v>0.99535549999999995</v>
      </c>
      <c r="AB4405">
        <v>35</v>
      </c>
      <c r="AC4405">
        <v>31.869499999999999</v>
      </c>
      <c r="AD4405">
        <v>-1.1097804479140001</v>
      </c>
      <c r="AE4405">
        <v>3.0333000000000201</v>
      </c>
      <c r="AF4405">
        <v>-3.1121561117071499</v>
      </c>
      <c r="AG4405">
        <v>-1.1097804479140001</v>
      </c>
      <c r="AH4405">
        <v>31.823287562517802</v>
      </c>
      <c r="AI4405">
        <v>91.987803575791503</v>
      </c>
      <c r="AJ4405">
        <v>95.585475597730294</v>
      </c>
      <c r="AK4405">
        <v>31.994355120753902</v>
      </c>
      <c r="AL4405">
        <v>82.120947518762506</v>
      </c>
      <c r="AM4405">
        <v>90.215742026332194</v>
      </c>
      <c r="AN4405">
        <v>0.99999997477996005</v>
      </c>
    </row>
    <row r="4406" spans="1:40" x14ac:dyDescent="0.25">
      <c r="A4406" t="str">
        <f>"20190312172205933"</f>
        <v>20190312172205933</v>
      </c>
      <c r="B4406" t="str">
        <f>"1552382525924671"</f>
        <v>1552382525924671</v>
      </c>
      <c r="C4406" t="s">
        <v>40</v>
      </c>
      <c r="D4406">
        <v>3.0994359999999999</v>
      </c>
      <c r="E4406">
        <v>0.4659433</v>
      </c>
      <c r="F4406" t="s">
        <v>46</v>
      </c>
      <c r="G4406">
        <v>-223.08109999999999</v>
      </c>
      <c r="H4406" s="1">
        <v>-8.4646519999999996E-8</v>
      </c>
      <c r="I4406">
        <v>218.905</v>
      </c>
      <c r="J4406">
        <v>-255.80439999999999</v>
      </c>
      <c r="K4406">
        <v>1.1098079999999999</v>
      </c>
      <c r="L4406">
        <v>215.8699</v>
      </c>
      <c r="M4406">
        <v>0.9998918</v>
      </c>
      <c r="N4406">
        <v>0</v>
      </c>
      <c r="O4406">
        <v>-3.0197010000000001E-3</v>
      </c>
      <c r="P4406">
        <v>0.99243899999999996</v>
      </c>
      <c r="Q4406">
        <v>0.1227341</v>
      </c>
      <c r="R4406">
        <v>-1.184561E-3</v>
      </c>
      <c r="S4406">
        <v>3.035126</v>
      </c>
      <c r="T4406">
        <v>-0.10186679999999999</v>
      </c>
      <c r="U4406">
        <v>0.27847290000000002</v>
      </c>
      <c r="V4406">
        <v>-1.6615169999999999E-3</v>
      </c>
      <c r="W4406">
        <v>0.13701959999999999</v>
      </c>
      <c r="X4406">
        <v>0.99056699999999998</v>
      </c>
      <c r="Y4406">
        <v>-9.4318899999999997E-2</v>
      </c>
      <c r="Z4406">
        <v>1.6801590000000001E-3</v>
      </c>
      <c r="AA4406">
        <v>0.9955406</v>
      </c>
      <c r="AB4406">
        <v>35</v>
      </c>
      <c r="AC4406">
        <v>32.723299999999902</v>
      </c>
      <c r="AD4406">
        <v>-1.1098080846465199</v>
      </c>
      <c r="AE4406">
        <v>3.0350999999999999</v>
      </c>
      <c r="AF4406">
        <v>-3.1303411070328901</v>
      </c>
      <c r="AG4406">
        <v>-1.1098080846465199</v>
      </c>
      <c r="AH4406">
        <v>32.676719831255497</v>
      </c>
      <c r="AI4406">
        <v>91.936346067883093</v>
      </c>
      <c r="AJ4406">
        <v>95.472081684525307</v>
      </c>
      <c r="AK4406">
        <v>32.845071599274803</v>
      </c>
      <c r="AL4406">
        <v>82.124580616956905</v>
      </c>
      <c r="AM4406">
        <v>90.096104374979802</v>
      </c>
      <c r="AN4406">
        <v>1.0000000564559399</v>
      </c>
    </row>
    <row r="4407" spans="1:40" x14ac:dyDescent="0.25">
      <c r="A4407" t="str">
        <f>"20190312172205955"</f>
        <v>20190312172205955</v>
      </c>
      <c r="B4407" t="str">
        <f>"1552382525945167"</f>
        <v>1552382525945167</v>
      </c>
      <c r="C4407" t="s">
        <v>40</v>
      </c>
      <c r="D4407">
        <v>3.1077379999999999</v>
      </c>
      <c r="E4407">
        <v>0.46616730000000001</v>
      </c>
      <c r="F4407" t="s">
        <v>46</v>
      </c>
      <c r="G4407">
        <v>-222.5359</v>
      </c>
      <c r="H4407" s="1">
        <v>-3.7128070000000002E-7</v>
      </c>
      <c r="I4407">
        <v>218.8252</v>
      </c>
      <c r="J4407">
        <v>-255.45259999999999</v>
      </c>
      <c r="K4407">
        <v>1.1098349999999999</v>
      </c>
      <c r="L4407">
        <v>215.86840000000001</v>
      </c>
      <c r="M4407">
        <v>0.99989030000000001</v>
      </c>
      <c r="N4407">
        <v>0</v>
      </c>
      <c r="O4407">
        <v>-3.4237299999999998E-3</v>
      </c>
      <c r="P4407">
        <v>0.9924752</v>
      </c>
      <c r="Q4407">
        <v>0.12238540000000001</v>
      </c>
      <c r="R4407">
        <v>-3.8837089999999999E-3</v>
      </c>
      <c r="S4407">
        <v>3.0356900000000002</v>
      </c>
      <c r="T4407">
        <v>-0.10126789999999999</v>
      </c>
      <c r="U4407">
        <v>0.26966859999999998</v>
      </c>
      <c r="V4407">
        <v>6.2679139999999897E-4</v>
      </c>
      <c r="W4407">
        <v>0.13668089999999999</v>
      </c>
      <c r="X4407">
        <v>0.99061500000000002</v>
      </c>
      <c r="Y4407">
        <v>-9.1841820000000005E-2</v>
      </c>
      <c r="Z4407">
        <v>1.642421E-3</v>
      </c>
      <c r="AA4407">
        <v>0.9957722</v>
      </c>
      <c r="AB4407">
        <v>35</v>
      </c>
      <c r="AC4407">
        <v>32.916699999999899</v>
      </c>
      <c r="AD4407">
        <v>-1.1098353712806901</v>
      </c>
      <c r="AE4407">
        <v>2.9567999999999799</v>
      </c>
      <c r="AF4407">
        <v>-3.0660346900595501</v>
      </c>
      <c r="AG4407">
        <v>-1.1098353712806901</v>
      </c>
      <c r="AH4407">
        <v>32.869315906151797</v>
      </c>
      <c r="AI4407">
        <v>91.925509863875206</v>
      </c>
      <c r="AJ4407">
        <v>95.329103390807106</v>
      </c>
      <c r="AK4407">
        <v>33.030655933698903</v>
      </c>
      <c r="AL4407">
        <v>82.144171112979905</v>
      </c>
      <c r="AM4407">
        <v>89.9637472710764</v>
      </c>
      <c r="AN4407">
        <v>1.00000006975863</v>
      </c>
    </row>
    <row r="4408" spans="1:40" x14ac:dyDescent="0.25">
      <c r="A4408" t="str">
        <f>"20190312172205977"</f>
        <v>20190312172205977</v>
      </c>
      <c r="B4408" t="str">
        <f>"1552382525965663"</f>
        <v>1552382525965663</v>
      </c>
      <c r="C4408" t="s">
        <v>40</v>
      </c>
      <c r="D4408">
        <v>3.2410350000000001</v>
      </c>
      <c r="E4408">
        <v>0.4663022</v>
      </c>
      <c r="F4408" t="s">
        <v>46</v>
      </c>
      <c r="G4408">
        <v>-222.34979999999999</v>
      </c>
      <c r="H4408" s="1">
        <v>-4.6506019999999999E-7</v>
      </c>
      <c r="I4408">
        <v>218.7047</v>
      </c>
      <c r="J4408">
        <v>-255.11340000000001</v>
      </c>
      <c r="K4408">
        <v>1.109866</v>
      </c>
      <c r="L4408">
        <v>215.86680000000001</v>
      </c>
      <c r="M4408">
        <v>0.99988880000000002</v>
      </c>
      <c r="N4408">
        <v>0</v>
      </c>
      <c r="O4408">
        <v>-3.7768200000000002E-3</v>
      </c>
      <c r="P4408">
        <v>0.99239370000000005</v>
      </c>
      <c r="Q4408">
        <v>0.1229524</v>
      </c>
      <c r="R4408">
        <v>-6.1163349999999997E-3</v>
      </c>
      <c r="S4408">
        <v>3.0363159999999998</v>
      </c>
      <c r="T4408">
        <v>-0.1017984</v>
      </c>
      <c r="U4408">
        <v>0.26016240000000002</v>
      </c>
      <c r="V4408">
        <v>2.500492E-3</v>
      </c>
      <c r="W4408">
        <v>0.13725479999999901</v>
      </c>
      <c r="X4408">
        <v>0.99053259999999999</v>
      </c>
      <c r="Y4408">
        <v>-8.9081779999999999E-2</v>
      </c>
      <c r="Z4408">
        <v>1.6165489999999999E-3</v>
      </c>
      <c r="AA4408">
        <v>0.99602299999999999</v>
      </c>
      <c r="AB4408">
        <v>35</v>
      </c>
      <c r="AC4408">
        <v>32.763599999999997</v>
      </c>
      <c r="AD4408">
        <v>-1.1098664650601999</v>
      </c>
      <c r="AE4408">
        <v>2.8378999999999901</v>
      </c>
      <c r="AF4408">
        <v>-2.9582654799877699</v>
      </c>
      <c r="AG4408">
        <v>-1.1098664650601999</v>
      </c>
      <c r="AH4408">
        <v>32.7153850987021</v>
      </c>
      <c r="AI4408">
        <v>91.935119778164903</v>
      </c>
      <c r="AJ4408">
        <v>95.166878358288201</v>
      </c>
      <c r="AK4408">
        <v>32.867606550777801</v>
      </c>
      <c r="AL4408">
        <v>82.110975525732101</v>
      </c>
      <c r="AM4408">
        <v>89.855363332836703</v>
      </c>
      <c r="AN4408">
        <v>0.99999998212301999</v>
      </c>
    </row>
    <row r="4409" spans="1:40" x14ac:dyDescent="0.25">
      <c r="A4409" t="str">
        <f>"20190312172206000"</f>
        <v>20190312172206000</v>
      </c>
      <c r="B4409" t="str">
        <f>"1552382525994943"</f>
        <v>1552382525994943</v>
      </c>
      <c r="C4409" t="s">
        <v>40</v>
      </c>
      <c r="D4409">
        <v>3.227433</v>
      </c>
      <c r="E4409">
        <v>0.46642260000000002</v>
      </c>
      <c r="F4409" t="s">
        <v>46</v>
      </c>
      <c r="G4409">
        <v>-221.1566</v>
      </c>
      <c r="H4409" s="1">
        <v>-1.099669E-6</v>
      </c>
      <c r="I4409">
        <v>218.6969</v>
      </c>
      <c r="J4409">
        <v>-254.75550000000001</v>
      </c>
      <c r="K4409">
        <v>1.1098870000000001</v>
      </c>
      <c r="L4409">
        <v>215.86510000000001</v>
      </c>
      <c r="M4409">
        <v>0.99988750000000004</v>
      </c>
      <c r="N4409">
        <v>0</v>
      </c>
      <c r="O4409">
        <v>-4.1125700000000003E-3</v>
      </c>
      <c r="P4409">
        <v>0.99252459999999998</v>
      </c>
      <c r="Q4409">
        <v>0.1218229</v>
      </c>
      <c r="R4409">
        <v>-7.3694160000000002E-3</v>
      </c>
      <c r="S4409">
        <v>3.0368499999999998</v>
      </c>
      <c r="T4409">
        <v>-9.925842E-2</v>
      </c>
      <c r="U4409">
        <v>0.25309749999999998</v>
      </c>
      <c r="V4409">
        <v>3.4081300000000001E-3</v>
      </c>
      <c r="W4409">
        <v>0.13613529999999999</v>
      </c>
      <c r="X4409">
        <v>0.99068440000000002</v>
      </c>
      <c r="Y4409">
        <v>-8.7103890000000003E-2</v>
      </c>
      <c r="Z4409">
        <v>1.5548090000000001E-3</v>
      </c>
      <c r="AA4409">
        <v>0.99619800000000003</v>
      </c>
      <c r="AB4409">
        <v>35</v>
      </c>
      <c r="AC4409">
        <v>33.5989</v>
      </c>
      <c r="AD4409">
        <v>-1.1098880996689999</v>
      </c>
      <c r="AE4409">
        <v>2.8317999999999799</v>
      </c>
      <c r="AF4409">
        <v>-2.96675373710316</v>
      </c>
      <c r="AG4409">
        <v>-1.1098880996689999</v>
      </c>
      <c r="AH4409">
        <v>33.550616088690496</v>
      </c>
      <c r="AI4409">
        <v>91.887351950749405</v>
      </c>
      <c r="AJ4409">
        <v>95.053304910077202</v>
      </c>
      <c r="AK4409">
        <v>33.699811857948099</v>
      </c>
      <c r="AL4409">
        <v>82.175726159006601</v>
      </c>
      <c r="AM4409">
        <v>89.802893136600105</v>
      </c>
      <c r="AN4409">
        <v>1.0000000078297699</v>
      </c>
    </row>
    <row r="4410" spans="1:40" x14ac:dyDescent="0.25">
      <c r="A4410" t="str">
        <f>"20190312172206023"</f>
        <v>20190312172206023</v>
      </c>
      <c r="B4410" t="str">
        <f>"1552382526015439"</f>
        <v>1552382526015439</v>
      </c>
      <c r="C4410" t="s">
        <v>40</v>
      </c>
      <c r="D4410">
        <v>3.1420129999999999</v>
      </c>
      <c r="E4410">
        <v>0.46640209999999999</v>
      </c>
      <c r="F4410" t="s">
        <v>46</v>
      </c>
      <c r="G4410">
        <v>-222.03989999999999</v>
      </c>
      <c r="H4410" s="1">
        <v>-6.2277929999999997E-7</v>
      </c>
      <c r="I4410">
        <v>218.5402</v>
      </c>
      <c r="J4410">
        <v>-254.40559999999999</v>
      </c>
      <c r="K4410">
        <v>1.1099190000000001</v>
      </c>
      <c r="L4410">
        <v>215.86340000000001</v>
      </c>
      <c r="M4410">
        <v>0.9998861</v>
      </c>
      <c r="N4410">
        <v>0</v>
      </c>
      <c r="O4410">
        <v>-4.4041150000000001E-3</v>
      </c>
      <c r="P4410">
        <v>0.99260910000000002</v>
      </c>
      <c r="Q4410">
        <v>0.1210919</v>
      </c>
      <c r="R4410">
        <v>-8.0064139999999999E-3</v>
      </c>
      <c r="S4410">
        <v>3.037064</v>
      </c>
      <c r="T4410">
        <v>-0.10303329999999999</v>
      </c>
      <c r="U4410">
        <v>0.2483368</v>
      </c>
      <c r="V4410">
        <v>3.7448389999999998E-3</v>
      </c>
      <c r="W4410">
        <v>0.1354129</v>
      </c>
      <c r="X4410">
        <v>0.99078219999999995</v>
      </c>
      <c r="Y4410">
        <v>-8.5834289999999994E-2</v>
      </c>
      <c r="Z4410">
        <v>1.602277E-3</v>
      </c>
      <c r="AA4410">
        <v>0.99630810000000003</v>
      </c>
      <c r="AB4410">
        <v>35</v>
      </c>
      <c r="AC4410">
        <v>32.365699999999997</v>
      </c>
      <c r="AD4410">
        <v>-1.1099196227793</v>
      </c>
      <c r="AE4410">
        <v>2.6767999999999801</v>
      </c>
      <c r="AF4410">
        <v>-2.8160419434629298</v>
      </c>
      <c r="AG4410">
        <v>-1.1099196227793</v>
      </c>
      <c r="AH4410">
        <v>32.315850126544603</v>
      </c>
      <c r="AI4410">
        <v>91.959685957192406</v>
      </c>
      <c r="AJ4410">
        <v>94.980242408836901</v>
      </c>
      <c r="AK4410">
        <v>32.457297841897898</v>
      </c>
      <c r="AL4410">
        <v>82.217503611805199</v>
      </c>
      <c r="AM4410">
        <v>89.783441357832999</v>
      </c>
      <c r="AN4410">
        <v>1.00000002257119</v>
      </c>
    </row>
    <row r="4411" spans="1:40" x14ac:dyDescent="0.25">
      <c r="A4411" t="str">
        <f>"20190312172206044"</f>
        <v>20190312172206044</v>
      </c>
      <c r="B4411" t="str">
        <f>"1552382526034960"</f>
        <v>1552382526034960</v>
      </c>
      <c r="C4411" t="s">
        <v>40</v>
      </c>
      <c r="D4411">
        <v>3.2397200000000002</v>
      </c>
      <c r="E4411">
        <v>0.46636879999999997</v>
      </c>
      <c r="F4411" t="s">
        <v>46</v>
      </c>
      <c r="G4411">
        <v>-222.44370000000001</v>
      </c>
      <c r="H4411" s="1">
        <v>-4.0431689999999999E-7</v>
      </c>
      <c r="I4411">
        <v>218.45830000000001</v>
      </c>
      <c r="J4411">
        <v>-254.06989999999999</v>
      </c>
      <c r="K4411">
        <v>1.109947</v>
      </c>
      <c r="L4411">
        <v>215.86160000000001</v>
      </c>
      <c r="M4411">
        <v>0.99988489999999997</v>
      </c>
      <c r="N4411">
        <v>0</v>
      </c>
      <c r="O4411">
        <v>-4.6598509999999996E-3</v>
      </c>
      <c r="P4411">
        <v>0.99259299999999995</v>
      </c>
      <c r="Q4411">
        <v>0.12119580000000001</v>
      </c>
      <c r="R4411">
        <v>-8.4115560000000006E-3</v>
      </c>
      <c r="S4411">
        <v>3.037201</v>
      </c>
      <c r="T4411">
        <v>-0.10547089999999899</v>
      </c>
      <c r="U4411">
        <v>0.246582</v>
      </c>
      <c r="V4411">
        <v>3.8879299999999999E-3</v>
      </c>
      <c r="W4411">
        <v>0.13552210000000001</v>
      </c>
      <c r="X4411">
        <v>0.9907667</v>
      </c>
      <c r="Y4411">
        <v>-8.5511190000000001E-2</v>
      </c>
      <c r="Z4411">
        <v>1.643392E-3</v>
      </c>
      <c r="AA4411">
        <v>0.99633590000000005</v>
      </c>
      <c r="AB4411">
        <v>35</v>
      </c>
      <c r="AC4411">
        <v>31.626199999999901</v>
      </c>
      <c r="AD4411">
        <v>-1.1099474043169</v>
      </c>
      <c r="AE4411">
        <v>2.59669999999999</v>
      </c>
      <c r="AF4411">
        <v>-2.7407073754909499</v>
      </c>
      <c r="AG4411">
        <v>-1.1099474043169</v>
      </c>
      <c r="AH4411">
        <v>31.5751238864496</v>
      </c>
      <c r="AI4411">
        <v>92.005730706411299</v>
      </c>
      <c r="AJ4411">
        <v>94.960815781479695</v>
      </c>
      <c r="AK4411">
        <v>31.713276535278801</v>
      </c>
      <c r="AL4411">
        <v>82.211188560656495</v>
      </c>
      <c r="AM4411">
        <v>89.775163177555797</v>
      </c>
      <c r="AN4411">
        <v>1.00000000470849</v>
      </c>
    </row>
    <row r="4412" spans="1:40" x14ac:dyDescent="0.25">
      <c r="A4412" t="str">
        <f>"20190312172206068"</f>
        <v>20190312172206068</v>
      </c>
      <c r="B4412" t="str">
        <f>"1552382526055455"</f>
        <v>1552382526055455</v>
      </c>
      <c r="C4412" t="s">
        <v>40</v>
      </c>
      <c r="D4412">
        <v>3.2384170000000001</v>
      </c>
      <c r="E4412">
        <v>0.46634530000000002</v>
      </c>
      <c r="F4412" t="s">
        <v>46</v>
      </c>
      <c r="G4412">
        <v>-221.6584</v>
      </c>
      <c r="H4412" s="1">
        <v>-8.2342320000000001E-7</v>
      </c>
      <c r="I4412">
        <v>218.48599999999999</v>
      </c>
      <c r="J4412">
        <v>-253.7063</v>
      </c>
      <c r="K4412">
        <v>1.1099669999999999</v>
      </c>
      <c r="L4412">
        <v>215.8597</v>
      </c>
      <c r="M4412">
        <v>0.99988350000000004</v>
      </c>
      <c r="N4412">
        <v>0</v>
      </c>
      <c r="O4412">
        <v>-4.9107040000000001E-3</v>
      </c>
      <c r="P4412">
        <v>0.99260479999999995</v>
      </c>
      <c r="Q4412">
        <v>0.12107809999999999</v>
      </c>
      <c r="R4412">
        <v>-8.7149259999999996E-3</v>
      </c>
      <c r="S4412">
        <v>3.0371700000000001</v>
      </c>
      <c r="T4412">
        <v>-0.1040095</v>
      </c>
      <c r="U4412">
        <v>0.2459259</v>
      </c>
      <c r="V4412">
        <v>3.9337399999999998E-3</v>
      </c>
      <c r="W4412">
        <v>0.13540959999999999</v>
      </c>
      <c r="X4412">
        <v>0.99078189999999999</v>
      </c>
      <c r="Y4412">
        <v>-8.5549449999999999E-2</v>
      </c>
      <c r="Z4412">
        <v>1.6298949999999999E-3</v>
      </c>
      <c r="AA4412">
        <v>0.99633260000000001</v>
      </c>
      <c r="AB4412">
        <v>35</v>
      </c>
      <c r="AC4412">
        <v>32.047899999999998</v>
      </c>
      <c r="AD4412">
        <v>-1.1099678234232</v>
      </c>
      <c r="AE4412">
        <v>2.6262999999999801</v>
      </c>
      <c r="AF4412">
        <v>-2.7803495709294701</v>
      </c>
      <c r="AG4412">
        <v>-1.1099678234232</v>
      </c>
      <c r="AH4412">
        <v>31.9964895314363</v>
      </c>
      <c r="AI4412">
        <v>91.979358184155103</v>
      </c>
      <c r="AJ4412">
        <v>94.966268198504693</v>
      </c>
      <c r="AK4412">
        <v>32.136236784056003</v>
      </c>
      <c r="AL4412">
        <v>82.217694297976493</v>
      </c>
      <c r="AM4412">
        <v>89.772517528416998</v>
      </c>
      <c r="AN4412">
        <v>1.00000000372507</v>
      </c>
    </row>
    <row r="4413" spans="1:40" x14ac:dyDescent="0.25">
      <c r="A4413" t="str">
        <f>"20190312172206089"</f>
        <v>20190312172206089</v>
      </c>
      <c r="B4413" t="str">
        <f>"1552382526085712"</f>
        <v>1552382526085712</v>
      </c>
      <c r="C4413" t="s">
        <v>40</v>
      </c>
      <c r="D4413">
        <v>3.1288819999999999</v>
      </c>
      <c r="E4413">
        <v>0.46630100000000002</v>
      </c>
      <c r="F4413" t="s">
        <v>46</v>
      </c>
      <c r="G4413">
        <v>-221.2929</v>
      </c>
      <c r="H4413" s="1">
        <v>-1.017368E-6</v>
      </c>
      <c r="I4413">
        <v>218.47370000000001</v>
      </c>
      <c r="J4413">
        <v>-253.369</v>
      </c>
      <c r="K4413">
        <v>1.1099909999999999</v>
      </c>
      <c r="L4413">
        <v>215.8578</v>
      </c>
      <c r="M4413">
        <v>0.99988250000000001</v>
      </c>
      <c r="N4413">
        <v>0</v>
      </c>
      <c r="O4413">
        <v>-5.1198789999999999E-3</v>
      </c>
      <c r="P4413">
        <v>0.99264790000000003</v>
      </c>
      <c r="Q4413">
        <v>0.1207495</v>
      </c>
      <c r="R4413">
        <v>-8.3571489999999995E-3</v>
      </c>
      <c r="S4413">
        <v>3.0371549999999998</v>
      </c>
      <c r="T4413">
        <v>-0.1040046</v>
      </c>
      <c r="U4413">
        <v>0.24493409999999999</v>
      </c>
      <c r="V4413">
        <v>3.360469E-3</v>
      </c>
      <c r="W4413">
        <v>0.13508599999999901</v>
      </c>
      <c r="X4413">
        <v>0.99082820000000005</v>
      </c>
      <c r="Y4413">
        <v>-8.5434949999999996E-2</v>
      </c>
      <c r="Z4413">
        <v>1.635042E-3</v>
      </c>
      <c r="AA4413">
        <v>0.99634239999999996</v>
      </c>
      <c r="AB4413">
        <v>35</v>
      </c>
      <c r="AC4413">
        <v>32.076099999999997</v>
      </c>
      <c r="AD4413">
        <v>-1.109992017368</v>
      </c>
      <c r="AE4413">
        <v>2.6159000000000101</v>
      </c>
      <c r="AF4413">
        <v>-2.7768053405517499</v>
      </c>
      <c r="AG4413">
        <v>-1.109992017368</v>
      </c>
      <c r="AH4413">
        <v>32.0241893202938</v>
      </c>
      <c r="AI4413">
        <v>91.977722180638906</v>
      </c>
      <c r="AJ4413">
        <v>94.955700261663694</v>
      </c>
      <c r="AK4413">
        <v>32.1635108749023</v>
      </c>
      <c r="AL4413">
        <v>82.236407284765093</v>
      </c>
      <c r="AM4413">
        <v>89.805677762665397</v>
      </c>
      <c r="AN4413">
        <v>1.00000002103156</v>
      </c>
    </row>
    <row r="4414" spans="1:40" x14ac:dyDescent="0.25">
      <c r="A4414" t="str">
        <f>"20190312172206113"</f>
        <v>20190312172206113</v>
      </c>
      <c r="B4414" t="str">
        <f>"1552382526105232"</f>
        <v>1552382526105232</v>
      </c>
      <c r="C4414" t="s">
        <v>40</v>
      </c>
      <c r="D4414">
        <v>3.1674709999999999</v>
      </c>
      <c r="E4414">
        <v>0.46625929999999999</v>
      </c>
      <c r="F4414" t="s">
        <v>46</v>
      </c>
      <c r="G4414">
        <v>-220.9435</v>
      </c>
      <c r="H4414" s="1">
        <v>-1.2037959999999999E-6</v>
      </c>
      <c r="I4414">
        <v>218.48429999999999</v>
      </c>
      <c r="J4414">
        <v>-253.0095</v>
      </c>
      <c r="K4414">
        <v>1.11002</v>
      </c>
      <c r="L4414">
        <v>215.85570000000001</v>
      </c>
      <c r="M4414">
        <v>0.99988129999999997</v>
      </c>
      <c r="N4414">
        <v>0</v>
      </c>
      <c r="O4414">
        <v>-5.3172009999999997E-3</v>
      </c>
      <c r="P4414">
        <v>0.99258800000000003</v>
      </c>
      <c r="Q4414">
        <v>0.1212274</v>
      </c>
      <c r="R4414">
        <v>-8.5361669999999903E-3</v>
      </c>
      <c r="S4414">
        <v>3.0369259999999998</v>
      </c>
      <c r="T4414">
        <v>-0.1039602</v>
      </c>
      <c r="U4414">
        <v>0.2460022</v>
      </c>
      <c r="V4414">
        <v>3.336168E-3</v>
      </c>
      <c r="W4414">
        <v>0.13556599999999999</v>
      </c>
      <c r="X4414">
        <v>0.9907627</v>
      </c>
      <c r="Y4414">
        <v>-8.5985329999999999E-2</v>
      </c>
      <c r="Z4414">
        <v>1.6505879999999999E-3</v>
      </c>
      <c r="AA4414">
        <v>0.99629500000000004</v>
      </c>
      <c r="AB4414">
        <v>35</v>
      </c>
      <c r="AC4414">
        <v>32.066000000000003</v>
      </c>
      <c r="AD4414">
        <v>-1.110021203796</v>
      </c>
      <c r="AE4414">
        <v>2.6285999999999698</v>
      </c>
      <c r="AF4414">
        <v>-2.7957541835594402</v>
      </c>
      <c r="AG4414">
        <v>-1.110021203796</v>
      </c>
      <c r="AH4414">
        <v>32.013462033036802</v>
      </c>
      <c r="AI4414">
        <v>91.978330325702501</v>
      </c>
      <c r="AJ4414">
        <v>94.991011117976598</v>
      </c>
      <c r="AK4414">
        <v>32.154473092688903</v>
      </c>
      <c r="AL4414">
        <v>82.208649802551093</v>
      </c>
      <c r="AM4414">
        <v>89.807070226094694</v>
      </c>
      <c r="AN4414">
        <v>0.99999999904210701</v>
      </c>
    </row>
    <row r="4415" spans="1:40" x14ac:dyDescent="0.25">
      <c r="A4415" t="str">
        <f>"20190312172206134"</f>
        <v>20190312172206134</v>
      </c>
      <c r="B4415" t="str">
        <f>"1552382526124752"</f>
        <v>1552382526124752</v>
      </c>
      <c r="C4415" t="s">
        <v>40</v>
      </c>
      <c r="D4415">
        <v>3.2361420000000001</v>
      </c>
      <c r="E4415">
        <v>0.46619860000000002</v>
      </c>
      <c r="F4415" t="s">
        <v>46</v>
      </c>
      <c r="G4415">
        <v>-219.97479999999999</v>
      </c>
      <c r="H4415" s="1">
        <v>-1.721178E-6</v>
      </c>
      <c r="I4415">
        <v>218.5275</v>
      </c>
      <c r="J4415">
        <v>-252.67859999999999</v>
      </c>
      <c r="K4415">
        <v>1.110052</v>
      </c>
      <c r="L4415">
        <v>215.8537</v>
      </c>
      <c r="M4415">
        <v>0.99988049999999995</v>
      </c>
      <c r="N4415">
        <v>0</v>
      </c>
      <c r="O4415">
        <v>-5.4742259999999996E-3</v>
      </c>
      <c r="P4415">
        <v>0.99241840000000003</v>
      </c>
      <c r="Q4415">
        <v>0.1226129</v>
      </c>
      <c r="R4415">
        <v>-8.4663869999999902E-3</v>
      </c>
      <c r="S4415">
        <v>3.0369570000000001</v>
      </c>
      <c r="T4415">
        <v>-0.1020467</v>
      </c>
      <c r="U4415">
        <v>0.2456207</v>
      </c>
      <c r="V4415">
        <v>3.1038630000000001E-3</v>
      </c>
      <c r="W4415">
        <v>0.13695060000000001</v>
      </c>
      <c r="X4415">
        <v>0.99057300000000004</v>
      </c>
      <c r="Y4415">
        <v>-8.6018499999999998E-2</v>
      </c>
      <c r="Z4415">
        <v>1.6260409999999999E-3</v>
      </c>
      <c r="AA4415">
        <v>0.99629219999999996</v>
      </c>
      <c r="AB4415">
        <v>35</v>
      </c>
      <c r="AC4415">
        <v>32.703800000000001</v>
      </c>
      <c r="AD4415">
        <v>-1.1100537211779999</v>
      </c>
      <c r="AE4415">
        <v>2.6738</v>
      </c>
      <c r="AF4415">
        <v>-2.8495454606877502</v>
      </c>
      <c r="AG4415">
        <v>-1.1100537211779999</v>
      </c>
      <c r="AH4415">
        <v>32.651303453719102</v>
      </c>
      <c r="AI4415">
        <v>91.939780179599097</v>
      </c>
      <c r="AJ4415">
        <v>94.987681737628904</v>
      </c>
      <c r="AK4415">
        <v>32.794202930141097</v>
      </c>
      <c r="AL4415">
        <v>82.128571079087905</v>
      </c>
      <c r="AM4415">
        <v>89.820469901690501</v>
      </c>
      <c r="AN4415">
        <v>0.99999998456744099</v>
      </c>
    </row>
    <row r="4416" spans="1:40" x14ac:dyDescent="0.25">
      <c r="A4416" t="str">
        <f>"20190312172206155"</f>
        <v>20190312172206155</v>
      </c>
      <c r="B4416" t="str">
        <f>"1552382526145248"</f>
        <v>1552382526145248</v>
      </c>
      <c r="C4416" t="s">
        <v>40</v>
      </c>
      <c r="D4416">
        <v>3.2337349999999998</v>
      </c>
      <c r="E4416">
        <v>0.46613880000000002</v>
      </c>
      <c r="F4416" t="s">
        <v>46</v>
      </c>
      <c r="G4416">
        <v>-217.9768</v>
      </c>
      <c r="H4416" s="1">
        <v>2.5309650000000001E-6</v>
      </c>
      <c r="I4416">
        <v>218.6678</v>
      </c>
      <c r="J4416">
        <v>-252.33789999999999</v>
      </c>
      <c r="K4416">
        <v>1.110087</v>
      </c>
      <c r="L4416">
        <v>215.85169999999999</v>
      </c>
      <c r="M4416">
        <v>0.99987969999999904</v>
      </c>
      <c r="N4416">
        <v>0</v>
      </c>
      <c r="O4416">
        <v>-5.6107020000000004E-3</v>
      </c>
      <c r="P4416">
        <v>0.99223980000000001</v>
      </c>
      <c r="Q4416">
        <v>0.1240333</v>
      </c>
      <c r="R4416">
        <v>-8.7232159999999902E-3</v>
      </c>
      <c r="S4416">
        <v>3.0370180000000002</v>
      </c>
      <c r="T4416">
        <v>-9.7148899999999996E-2</v>
      </c>
      <c r="U4416">
        <v>0.24627689999999999</v>
      </c>
      <c r="V4416">
        <v>3.2177830000000001E-3</v>
      </c>
      <c r="W4416">
        <v>0.13836979999999999</v>
      </c>
      <c r="X4416">
        <v>0.99037540000000002</v>
      </c>
      <c r="Y4416">
        <v>-8.6371260000000005E-2</v>
      </c>
      <c r="Z4416">
        <v>1.557983E-3</v>
      </c>
      <c r="AA4416">
        <v>0.99626179999999998</v>
      </c>
      <c r="AB4416">
        <v>35</v>
      </c>
      <c r="AC4416">
        <v>34.361099999999901</v>
      </c>
      <c r="AD4416">
        <v>-1.110084469035</v>
      </c>
      <c r="AE4416">
        <v>2.8161</v>
      </c>
      <c r="AF4416">
        <v>-3.0057495310936302</v>
      </c>
      <c r="AG4416">
        <v>-1.110084469035</v>
      </c>
      <c r="AH4416">
        <v>34.309187319440703</v>
      </c>
      <c r="AI4416">
        <v>91.846110253200195</v>
      </c>
      <c r="AJ4416">
        <v>95.006769306699994</v>
      </c>
      <c r="AK4416">
        <v>34.458484474691197</v>
      </c>
      <c r="AL4416">
        <v>82.046475386528797</v>
      </c>
      <c r="AM4416">
        <v>89.813843582391897</v>
      </c>
      <c r="AN4416">
        <v>0.99999999430231701</v>
      </c>
    </row>
    <row r="4417" spans="1:40" x14ac:dyDescent="0.25">
      <c r="A4417" t="str">
        <f>"20190312172206178"</f>
        <v>20190312172206178</v>
      </c>
      <c r="B4417" t="str">
        <f>"1552382526175503"</f>
        <v>1552382526175503</v>
      </c>
      <c r="C4417" t="s">
        <v>40</v>
      </c>
      <c r="D4417">
        <v>3.1623950000000001</v>
      </c>
      <c r="E4417">
        <v>0.46604370000000001</v>
      </c>
      <c r="F4417" t="s">
        <v>46</v>
      </c>
      <c r="G4417">
        <v>-215.62209999999999</v>
      </c>
      <c r="H4417" s="1">
        <v>1.270902E-6</v>
      </c>
      <c r="I4417">
        <v>218.82839999999999</v>
      </c>
      <c r="J4417">
        <v>-251.99260000000001</v>
      </c>
      <c r="K4417">
        <v>1.1101240000000001</v>
      </c>
      <c r="L4417">
        <v>215.84970000000001</v>
      </c>
      <c r="M4417">
        <v>0.99987910000000002</v>
      </c>
      <c r="N4417">
        <v>0</v>
      </c>
      <c r="O4417">
        <v>-5.7205700000000003E-3</v>
      </c>
      <c r="P4417">
        <v>0.99210540000000003</v>
      </c>
      <c r="Q4417">
        <v>0.1250868</v>
      </c>
      <c r="R4417">
        <v>-8.9784229999999993E-3</v>
      </c>
      <c r="S4417">
        <v>3.0371250000000001</v>
      </c>
      <c r="T4417">
        <v>-9.1826199999999997E-2</v>
      </c>
      <c r="U4417">
        <v>0.24623110000000001</v>
      </c>
      <c r="V4417">
        <v>3.3552399999999998E-3</v>
      </c>
      <c r="W4417">
        <v>0.13942189999999999</v>
      </c>
      <c r="X4417">
        <v>0.99022739999999998</v>
      </c>
      <c r="Y4417">
        <v>-8.6467879999999997E-2</v>
      </c>
      <c r="Z4417">
        <v>1.4773869999999999E-3</v>
      </c>
      <c r="AA4417">
        <v>0.99625359999999996</v>
      </c>
      <c r="AB4417">
        <v>35</v>
      </c>
      <c r="AC4417">
        <v>36.3705</v>
      </c>
      <c r="AD4417">
        <v>-1.11012272909799</v>
      </c>
      <c r="AE4417">
        <v>2.9786999999999701</v>
      </c>
      <c r="AF4417">
        <v>-3.1837866450535302</v>
      </c>
      <c r="AG4417">
        <v>-1.11012272909799</v>
      </c>
      <c r="AH4417">
        <v>36.319252453365799</v>
      </c>
      <c r="AI4417">
        <v>91.744055414305294</v>
      </c>
      <c r="AJ4417">
        <v>95.009806289315705</v>
      </c>
      <c r="AK4417">
        <v>36.475429656773102</v>
      </c>
      <c r="AL4417">
        <v>81.985604628491004</v>
      </c>
      <c r="AM4417">
        <v>89.805862415485606</v>
      </c>
      <c r="AN4417">
        <v>1.0000000137729099</v>
      </c>
    </row>
    <row r="4418" spans="1:40" x14ac:dyDescent="0.25">
      <c r="A4418" t="str">
        <f>"20190312172206201"</f>
        <v>20190312172206201</v>
      </c>
      <c r="B4418" t="str">
        <f>"1552382526195023"</f>
        <v>1552382526195023</v>
      </c>
      <c r="C4418" t="s">
        <v>40</v>
      </c>
      <c r="D4418">
        <v>3.1468150000000001</v>
      </c>
      <c r="E4418">
        <v>0.46596870000000001</v>
      </c>
      <c r="F4418" t="s">
        <v>46</v>
      </c>
      <c r="G4418">
        <v>-213.47980000000001</v>
      </c>
      <c r="H4418" s="1">
        <v>1.2467779999999999E-7</v>
      </c>
      <c r="I4418">
        <v>218.97030000000001</v>
      </c>
      <c r="J4418">
        <v>-251.64340000000001</v>
      </c>
      <c r="K4418">
        <v>1.11016</v>
      </c>
      <c r="L4418">
        <v>215.8476</v>
      </c>
      <c r="M4418">
        <v>0.99987870000000001</v>
      </c>
      <c r="N4418">
        <v>0</v>
      </c>
      <c r="O4418">
        <v>-5.8003919999999997E-3</v>
      </c>
      <c r="P4418">
        <v>0.992039</v>
      </c>
      <c r="Q4418">
        <v>0.12558169999999999</v>
      </c>
      <c r="R4418">
        <v>-9.3925520000000002E-3</v>
      </c>
      <c r="S4418">
        <v>3.03714</v>
      </c>
      <c r="T4418">
        <v>-8.7544919999999998E-2</v>
      </c>
      <c r="U4418">
        <v>0.2460938</v>
      </c>
      <c r="V4418">
        <v>3.6809299999999998E-3</v>
      </c>
      <c r="W4418">
        <v>0.13991579999999901</v>
      </c>
      <c r="X4418">
        <v>0.99015649999999999</v>
      </c>
      <c r="Y4418">
        <v>-8.6506029999999998E-2</v>
      </c>
      <c r="Z4418">
        <v>1.411376E-3</v>
      </c>
      <c r="AA4418">
        <v>0.99625030000000003</v>
      </c>
      <c r="AB4418">
        <v>35</v>
      </c>
      <c r="AC4418">
        <v>38.163600000000002</v>
      </c>
      <c r="AD4418">
        <v>-1.1101598753222</v>
      </c>
      <c r="AE4418">
        <v>3.1227</v>
      </c>
      <c r="AF4418">
        <v>-3.34122588983979</v>
      </c>
      <c r="AG4418">
        <v>-1.1101598753222</v>
      </c>
      <c r="AH4418">
        <v>38.112806565819497</v>
      </c>
      <c r="AI4418">
        <v>91.662083687099198</v>
      </c>
      <c r="AJ4418">
        <v>95.010125946061294</v>
      </c>
      <c r="AK4418">
        <v>38.275086802243599</v>
      </c>
      <c r="AL4418">
        <v>81.957025506050599</v>
      </c>
      <c r="AM4418">
        <v>89.787002577735507</v>
      </c>
      <c r="AN4418">
        <v>0.99999993741377502</v>
      </c>
    </row>
    <row r="4419" spans="1:40" x14ac:dyDescent="0.25">
      <c r="A4419" t="str">
        <f>"20190312172206223"</f>
        <v>20190312172206223</v>
      </c>
      <c r="B4419" t="str">
        <f>"1552382526215523"</f>
        <v>1552382526215523</v>
      </c>
      <c r="C4419" t="s">
        <v>40</v>
      </c>
      <c r="D4419">
        <v>3.1418520000000001</v>
      </c>
      <c r="E4419">
        <v>0.46589320000000001</v>
      </c>
      <c r="F4419" t="s">
        <v>46</v>
      </c>
      <c r="G4419">
        <v>-212.28620000000001</v>
      </c>
      <c r="H4419" s="1">
        <v>-5.1307929999999999E-7</v>
      </c>
      <c r="I4419">
        <v>219.02940000000001</v>
      </c>
      <c r="J4419">
        <v>-251.30340000000001</v>
      </c>
      <c r="K4419">
        <v>1.1101920000000001</v>
      </c>
      <c r="L4419">
        <v>215.84549999999999</v>
      </c>
      <c r="M4419">
        <v>0.9998785</v>
      </c>
      <c r="N4419">
        <v>0</v>
      </c>
      <c r="O4419">
        <v>-5.8485450000000001E-3</v>
      </c>
      <c r="P4419">
        <v>0.99203859999999999</v>
      </c>
      <c r="Q4419">
        <v>0.1255483</v>
      </c>
      <c r="R4419">
        <v>-9.8722110000000005E-3</v>
      </c>
      <c r="S4419">
        <v>3.0372469999999998</v>
      </c>
      <c r="T4419">
        <v>-8.5672499999999999E-2</v>
      </c>
      <c r="U4419">
        <v>0.2455444</v>
      </c>
      <c r="V4419">
        <v>4.1037549999999997E-3</v>
      </c>
      <c r="W4419">
        <v>0.1398818</v>
      </c>
      <c r="X4419">
        <v>0.99015969999999998</v>
      </c>
      <c r="Y4419">
        <v>-8.6373829999999999E-2</v>
      </c>
      <c r="Z4419">
        <v>1.3806580000000001E-3</v>
      </c>
      <c r="AA4419">
        <v>0.99626179999999998</v>
      </c>
      <c r="AB4419">
        <v>35</v>
      </c>
      <c r="AC4419">
        <v>39.017200000000003</v>
      </c>
      <c r="AD4419">
        <v>-1.1101925130793</v>
      </c>
      <c r="AE4419">
        <v>3.1839000000000199</v>
      </c>
      <c r="AF4419">
        <v>-3.4093211938530001</v>
      </c>
      <c r="AG4419">
        <v>-1.1101925130793</v>
      </c>
      <c r="AH4419">
        <v>38.966569773135497</v>
      </c>
      <c r="AI4419">
        <v>91.625759188993698</v>
      </c>
      <c r="AJ4419">
        <v>95.000274452030993</v>
      </c>
      <c r="AK4419">
        <v>39.131183962456198</v>
      </c>
      <c r="AL4419">
        <v>81.958993377763605</v>
      </c>
      <c r="AM4419">
        <v>89.762536795437796</v>
      </c>
      <c r="AN4419">
        <v>0.99999999514021498</v>
      </c>
    </row>
    <row r="4420" spans="1:40" x14ac:dyDescent="0.25">
      <c r="A4420" t="str">
        <f>"20190312172206244"</f>
        <v>20190312172206244</v>
      </c>
      <c r="B4420" t="str">
        <f>"1552382526235039"</f>
        <v>1552382526235039</v>
      </c>
      <c r="C4420" t="s">
        <v>40</v>
      </c>
      <c r="D4420">
        <v>3.2331590000000001</v>
      </c>
      <c r="E4420">
        <v>0.46582440000000003</v>
      </c>
      <c r="F4420" t="s">
        <v>46</v>
      </c>
      <c r="G4420">
        <v>-211.8817</v>
      </c>
      <c r="H4420" s="1">
        <v>-7.2785209999999898E-7</v>
      </c>
      <c r="I4420">
        <v>219.0188</v>
      </c>
      <c r="J4420">
        <v>-250.9633</v>
      </c>
      <c r="K4420">
        <v>1.110215</v>
      </c>
      <c r="L4420">
        <v>215.84350000000001</v>
      </c>
      <c r="M4420">
        <v>0.99987820000000005</v>
      </c>
      <c r="N4420">
        <v>0</v>
      </c>
      <c r="O4420">
        <v>-5.8759110000000002E-3</v>
      </c>
      <c r="P4420">
        <v>0.99201159999999999</v>
      </c>
      <c r="Q4420">
        <v>0.12571089999999999</v>
      </c>
      <c r="R4420">
        <v>-1.047492E-2</v>
      </c>
      <c r="S4420">
        <v>3.0373380000000001</v>
      </c>
      <c r="T4420">
        <v>-8.5537429999999998E-2</v>
      </c>
      <c r="U4420">
        <v>0.2444916</v>
      </c>
      <c r="V4420">
        <v>4.6719279999999997E-3</v>
      </c>
      <c r="W4420">
        <v>0.1400438</v>
      </c>
      <c r="X4420">
        <v>0.99013430000000002</v>
      </c>
      <c r="Y4420">
        <v>-8.6055789999999993E-2</v>
      </c>
      <c r="Z4420">
        <v>1.3747589999999999E-3</v>
      </c>
      <c r="AA4420">
        <v>0.99628939999999999</v>
      </c>
      <c r="AB4420">
        <v>34</v>
      </c>
      <c r="AC4420">
        <v>39.081600000000002</v>
      </c>
      <c r="AD4420">
        <v>-1.1102157278521001</v>
      </c>
      <c r="AE4420">
        <v>3.1752999999999898</v>
      </c>
      <c r="AF4420">
        <v>-3.4021816498992701</v>
      </c>
      <c r="AG4420">
        <v>-1.1102157278521001</v>
      </c>
      <c r="AH4420">
        <v>39.030974264824501</v>
      </c>
      <c r="AI4420">
        <v>91.623157920082207</v>
      </c>
      <c r="AJ4420">
        <v>94.981663946583396</v>
      </c>
      <c r="AK4420">
        <v>39.194698251200698</v>
      </c>
      <c r="AL4420">
        <v>81.949619329198697</v>
      </c>
      <c r="AM4420">
        <v>89.729653068219093</v>
      </c>
      <c r="AN4420">
        <v>1.0000000124330799</v>
      </c>
    </row>
    <row r="4421" spans="1:40" x14ac:dyDescent="0.25">
      <c r="A4421" t="str">
        <f>"20190312172206268"</f>
        <v>20190312172206268</v>
      </c>
      <c r="B4421" t="str">
        <f>"1552382526265295"</f>
        <v>1552382526265295</v>
      </c>
      <c r="C4421" t="s">
        <v>40</v>
      </c>
      <c r="D4421">
        <v>3.23367</v>
      </c>
      <c r="E4421">
        <v>0.46574209999999999</v>
      </c>
      <c r="F4421" t="s">
        <v>46</v>
      </c>
      <c r="G4421">
        <v>-211.21780000000001</v>
      </c>
      <c r="H4421" s="1">
        <v>-1.081349E-6</v>
      </c>
      <c r="I4421">
        <v>219.02269999999999</v>
      </c>
      <c r="J4421">
        <v>-250.61170000000001</v>
      </c>
      <c r="K4421">
        <v>1.110233</v>
      </c>
      <c r="L4421">
        <v>215.84139999999999</v>
      </c>
      <c r="M4421">
        <v>0.99987820000000005</v>
      </c>
      <c r="N4421">
        <v>0</v>
      </c>
      <c r="O4421">
        <v>-5.8889299999999997E-3</v>
      </c>
      <c r="P4421">
        <v>0.99187380000000003</v>
      </c>
      <c r="Q4421">
        <v>0.1267568</v>
      </c>
      <c r="R4421">
        <v>-1.0915370000000001E-2</v>
      </c>
      <c r="S4421">
        <v>3.0374599999999998</v>
      </c>
      <c r="T4421">
        <v>-8.4845779999999996E-2</v>
      </c>
      <c r="U4421">
        <v>0.24296570000000001</v>
      </c>
      <c r="V4421">
        <v>5.094248E-3</v>
      </c>
      <c r="W4421">
        <v>0.14108660000000001</v>
      </c>
      <c r="X4421">
        <v>0.98998419999999998</v>
      </c>
      <c r="Y4421">
        <v>-8.5569019999999996E-2</v>
      </c>
      <c r="Z4421">
        <v>1.357196E-3</v>
      </c>
      <c r="AA4421">
        <v>0.99633130000000003</v>
      </c>
      <c r="AB4421">
        <v>34</v>
      </c>
      <c r="AC4421">
        <v>39.393900000000002</v>
      </c>
      <c r="AD4421">
        <v>-1.1102340813489999</v>
      </c>
      <c r="AE4421">
        <v>3.18129999999999</v>
      </c>
      <c r="AF4421">
        <v>-3.4105656035215901</v>
      </c>
      <c r="AG4421">
        <v>-1.1102340813489999</v>
      </c>
      <c r="AH4421">
        <v>39.343433311727402</v>
      </c>
      <c r="AI4421">
        <v>91.610367023914904</v>
      </c>
      <c r="AJ4421">
        <v>94.954415828339506</v>
      </c>
      <c r="AK4421">
        <v>39.506585808010001</v>
      </c>
      <c r="AL4421">
        <v>81.889272418049003</v>
      </c>
      <c r="AM4421">
        <v>89.705170714844598</v>
      </c>
      <c r="AN4421">
        <v>1.0000000481559399</v>
      </c>
    </row>
    <row r="4422" spans="1:40" x14ac:dyDescent="0.25">
      <c r="A4422" t="str">
        <f>"20190312172206290"</f>
        <v>20190312172206290</v>
      </c>
      <c r="B4422" t="str">
        <f>"1552382526284815"</f>
        <v>1552382526284815</v>
      </c>
      <c r="C4422" t="s">
        <v>40</v>
      </c>
      <c r="D4422">
        <v>3.2306729999999999</v>
      </c>
      <c r="E4422">
        <v>0.46565689999999998</v>
      </c>
      <c r="F4422" t="s">
        <v>45</v>
      </c>
      <c r="G4422">
        <v>-208.9255</v>
      </c>
      <c r="H4422" s="1">
        <v>5.7773179999999998E-6</v>
      </c>
      <c r="I4422">
        <v>219.16630000000001</v>
      </c>
      <c r="J4422">
        <v>-250.27010000000001</v>
      </c>
      <c r="K4422">
        <v>1.11025</v>
      </c>
      <c r="L4422">
        <v>215.83930000000001</v>
      </c>
      <c r="M4422">
        <v>0.99987800000000004</v>
      </c>
      <c r="N4422">
        <v>0</v>
      </c>
      <c r="O4422">
        <v>-5.891673E-3</v>
      </c>
      <c r="P4422">
        <v>0.99181189999999997</v>
      </c>
      <c r="Q4422">
        <v>0.12718399999999999</v>
      </c>
      <c r="R4422">
        <v>-1.154472E-2</v>
      </c>
      <c r="S4422">
        <v>3.0375670000000001</v>
      </c>
      <c r="T4422">
        <v>-8.0899479999999996E-2</v>
      </c>
      <c r="U4422">
        <v>0.2422791</v>
      </c>
      <c r="V4422">
        <v>5.716807E-3</v>
      </c>
      <c r="W4422">
        <v>0.141511</v>
      </c>
      <c r="X4422">
        <v>0.98992020000000003</v>
      </c>
      <c r="Y4422">
        <v>-8.5348469999999996E-2</v>
      </c>
      <c r="Z4422">
        <v>1.2912010000000001E-3</v>
      </c>
      <c r="AA4422">
        <v>0.99635030000000002</v>
      </c>
      <c r="AB4422">
        <v>34</v>
      </c>
      <c r="AC4422">
        <v>41.3446</v>
      </c>
      <c r="AD4422">
        <v>-1.110244222682</v>
      </c>
      <c r="AE4422">
        <v>3.3269999999999902</v>
      </c>
      <c r="AF4422">
        <v>-3.5680002451978501</v>
      </c>
      <c r="AG4422">
        <v>-1.110244222682</v>
      </c>
      <c r="AH4422">
        <v>41.294692332750699</v>
      </c>
      <c r="AI4422">
        <v>91.534362528009098</v>
      </c>
      <c r="AJ4422">
        <v>94.938283355563399</v>
      </c>
      <c r="AK4422">
        <v>41.463416198382298</v>
      </c>
      <c r="AL4422">
        <v>81.864709451417397</v>
      </c>
      <c r="AM4422">
        <v>89.669119518804905</v>
      </c>
      <c r="AN4422">
        <v>1.0000000236856501</v>
      </c>
    </row>
    <row r="4423" spans="1:40" x14ac:dyDescent="0.25">
      <c r="A4423" t="str">
        <f>"20190312172206312"</f>
        <v>20190312172206312</v>
      </c>
      <c r="B4423" t="str">
        <f>"1552382526305314"</f>
        <v>1552382526305314</v>
      </c>
      <c r="C4423" t="s">
        <v>40</v>
      </c>
      <c r="D4423">
        <v>3.2038160000000002</v>
      </c>
      <c r="E4423">
        <v>0.46557100000000001</v>
      </c>
      <c r="F4423" t="s">
        <v>45</v>
      </c>
      <c r="G4423">
        <v>-207.6163</v>
      </c>
      <c r="H4423" s="1">
        <v>5.1915939999999998E-6</v>
      </c>
      <c r="I4423">
        <v>219.22479999999999</v>
      </c>
      <c r="J4423">
        <v>-249.92930000000001</v>
      </c>
      <c r="K4423">
        <v>1.1102620000000001</v>
      </c>
      <c r="L4423">
        <v>215.8373</v>
      </c>
      <c r="M4423">
        <v>0.99987820000000005</v>
      </c>
      <c r="N4423">
        <v>0</v>
      </c>
      <c r="O4423">
        <v>-5.8897130000000004E-3</v>
      </c>
      <c r="P4423">
        <v>0.99180380000000001</v>
      </c>
      <c r="Q4423">
        <v>0.12721289999999999</v>
      </c>
      <c r="R4423">
        <v>-1.192387E-2</v>
      </c>
      <c r="S4423">
        <v>3.0377040000000002</v>
      </c>
      <c r="T4423">
        <v>-7.9069020000000004E-2</v>
      </c>
      <c r="U4423">
        <v>0.24110409999999999</v>
      </c>
      <c r="V4423">
        <v>6.0950730000000003E-3</v>
      </c>
      <c r="W4423">
        <v>0.14153789999999999</v>
      </c>
      <c r="X4423">
        <v>0.98991410000000002</v>
      </c>
      <c r="Y4423">
        <v>-8.4961590000000003E-2</v>
      </c>
      <c r="Z4423">
        <v>1.2568810000000001E-3</v>
      </c>
      <c r="AA4423">
        <v>0.99638340000000003</v>
      </c>
      <c r="AB4423">
        <v>34</v>
      </c>
      <c r="AC4423">
        <v>42.313000000000002</v>
      </c>
      <c r="AD4423">
        <v>-1.1102568084060001</v>
      </c>
      <c r="AE4423">
        <v>3.3874999999999802</v>
      </c>
      <c r="AF4423">
        <v>-3.6341925132983</v>
      </c>
      <c r="AG4423">
        <v>-1.1102568084060001</v>
      </c>
      <c r="AH4423">
        <v>42.263399735441403</v>
      </c>
      <c r="AI4423">
        <v>91.499280178853695</v>
      </c>
      <c r="AJ4423">
        <v>94.914724033803594</v>
      </c>
      <c r="AK4423">
        <v>42.433889553068703</v>
      </c>
      <c r="AL4423">
        <v>81.863152544860498</v>
      </c>
      <c r="AM4423">
        <v>89.647224394792005</v>
      </c>
      <c r="AN4423">
        <v>1.0000000262150399</v>
      </c>
    </row>
    <row r="4424" spans="1:40" x14ac:dyDescent="0.25">
      <c r="A4424" t="str">
        <f>"20190312172206334"</f>
        <v>20190312172206334</v>
      </c>
      <c r="B4424" t="str">
        <f>"1552382526324831"</f>
        <v>1552382526324831</v>
      </c>
      <c r="C4424" t="s">
        <v>40</v>
      </c>
      <c r="D4424">
        <v>3.1259549999999998</v>
      </c>
      <c r="E4424">
        <v>0.46548250000000002</v>
      </c>
      <c r="F4424" t="s">
        <v>45</v>
      </c>
      <c r="G4424">
        <v>-207.1147</v>
      </c>
      <c r="H4424" s="1">
        <v>4.969215E-6</v>
      </c>
      <c r="I4424">
        <v>219.2243</v>
      </c>
      <c r="J4424">
        <v>-249.59209999999999</v>
      </c>
      <c r="K4424">
        <v>1.110269</v>
      </c>
      <c r="L4424">
        <v>215.83539999999999</v>
      </c>
      <c r="M4424">
        <v>0.99987820000000005</v>
      </c>
      <c r="N4424">
        <v>0</v>
      </c>
      <c r="O4424">
        <v>-5.8856759999999899E-3</v>
      </c>
      <c r="P4424">
        <v>0.99177280000000001</v>
      </c>
      <c r="Q4424">
        <v>0.1274178</v>
      </c>
      <c r="R4424">
        <v>-1.231022E-2</v>
      </c>
      <c r="S4424">
        <v>3.037766</v>
      </c>
      <c r="T4424">
        <v>-7.8774570000000002E-2</v>
      </c>
      <c r="U4424">
        <v>0.24031069999999999</v>
      </c>
      <c r="V4424">
        <v>6.4835219999999898E-3</v>
      </c>
      <c r="W4424">
        <v>0.14174329999999999</v>
      </c>
      <c r="X4424">
        <v>0.98988220000000005</v>
      </c>
      <c r="Y4424">
        <v>-8.4697659999999994E-2</v>
      </c>
      <c r="Z4424">
        <v>1.2486699999999999E-3</v>
      </c>
      <c r="AA4424">
        <v>0.99640589999999996</v>
      </c>
      <c r="AB4424">
        <v>34</v>
      </c>
      <c r="AC4424">
        <v>42.477399999999903</v>
      </c>
      <c r="AD4424">
        <v>-1.110264030785</v>
      </c>
      <c r="AE4424">
        <v>3.3889</v>
      </c>
      <c r="AF4424">
        <v>-3.63640700963319</v>
      </c>
      <c r="AG4424">
        <v>-1.110264030785</v>
      </c>
      <c r="AH4424">
        <v>42.427913380146201</v>
      </c>
      <c r="AI4424">
        <v>91.493514867017197</v>
      </c>
      <c r="AJ4424">
        <v>94.898728781632101</v>
      </c>
      <c r="AK4424">
        <v>42.597933939933696</v>
      </c>
      <c r="AL4424">
        <v>81.851263792739402</v>
      </c>
      <c r="AM4424">
        <v>89.624729957762796</v>
      </c>
      <c r="AN4424">
        <v>0.99999998451462702</v>
      </c>
    </row>
    <row r="4425" spans="1:40" x14ac:dyDescent="0.25">
      <c r="A4425" t="str">
        <f>"20190312172206357"</f>
        <v>20190312172206357</v>
      </c>
      <c r="B4425" t="str">
        <f>"1552382526345327"</f>
        <v>1552382526345327</v>
      </c>
      <c r="C4425" t="s">
        <v>40</v>
      </c>
      <c r="D4425">
        <v>3.185222</v>
      </c>
      <c r="E4425">
        <v>0.46537859999999998</v>
      </c>
      <c r="F4425" t="s">
        <v>45</v>
      </c>
      <c r="G4425">
        <v>-206.34299999999999</v>
      </c>
      <c r="H4425" s="1">
        <v>4.6248869999999998E-6</v>
      </c>
      <c r="I4425">
        <v>219.2483</v>
      </c>
      <c r="J4425">
        <v>-249.25239999999999</v>
      </c>
      <c r="K4425">
        <v>1.110279</v>
      </c>
      <c r="L4425">
        <v>215.83330000000001</v>
      </c>
      <c r="M4425">
        <v>0.9998783</v>
      </c>
      <c r="N4425">
        <v>0</v>
      </c>
      <c r="O4425">
        <v>-5.8819369999999899E-3</v>
      </c>
      <c r="P4425">
        <v>0.99174709999999999</v>
      </c>
      <c r="Q4425">
        <v>0.1275318</v>
      </c>
      <c r="R4425">
        <v>-1.3176190000000001E-2</v>
      </c>
      <c r="S4425">
        <v>3.0378880000000001</v>
      </c>
      <c r="T4425">
        <v>-7.7986600000000003E-2</v>
      </c>
      <c r="U4425">
        <v>0.23973079999999999</v>
      </c>
      <c r="V4425">
        <v>7.3517790000000001E-3</v>
      </c>
      <c r="W4425">
        <v>0.14186219999999999</v>
      </c>
      <c r="X4425">
        <v>0.98985909999999999</v>
      </c>
      <c r="Y4425">
        <v>-8.4502460000000001E-2</v>
      </c>
      <c r="Z4425">
        <v>1.2335460000000001E-3</v>
      </c>
      <c r="AA4425">
        <v>0.99642249999999999</v>
      </c>
      <c r="AB4425">
        <v>34</v>
      </c>
      <c r="AC4425">
        <v>42.909399999999998</v>
      </c>
      <c r="AD4425">
        <v>-1.110274375113</v>
      </c>
      <c r="AE4425">
        <v>3.4149999999999898</v>
      </c>
      <c r="AF4425">
        <v>-3.6649194032156802</v>
      </c>
      <c r="AG4425">
        <v>-1.110274375113</v>
      </c>
      <c r="AH4425">
        <v>42.860054117013497</v>
      </c>
      <c r="AI4425">
        <v>91.478501824434701</v>
      </c>
      <c r="AJ4425">
        <v>94.887414749747407</v>
      </c>
      <c r="AK4425">
        <v>43.030786448000498</v>
      </c>
      <c r="AL4425">
        <v>81.844381786463401</v>
      </c>
      <c r="AM4425">
        <v>89.574466544095401</v>
      </c>
      <c r="AN4425">
        <v>0.99999998514805699</v>
      </c>
    </row>
    <row r="4426" spans="1:40" x14ac:dyDescent="0.25">
      <c r="A4426" t="str">
        <f>"20190312172206379"</f>
        <v>20190312172206379</v>
      </c>
      <c r="B4426" t="str">
        <f>"1552382526374610"</f>
        <v>1552382526374610</v>
      </c>
      <c r="C4426" t="s">
        <v>40</v>
      </c>
      <c r="D4426">
        <v>3.1264910000000001</v>
      </c>
      <c r="E4426">
        <v>0.46525709999999998</v>
      </c>
      <c r="F4426" t="s">
        <v>45</v>
      </c>
      <c r="G4426">
        <v>-205.6079</v>
      </c>
      <c r="H4426" s="1">
        <v>4.2988269999999999E-6</v>
      </c>
      <c r="I4426">
        <v>219.2492</v>
      </c>
      <c r="J4426">
        <v>-248.91050000000001</v>
      </c>
      <c r="K4426">
        <v>1.110285</v>
      </c>
      <c r="L4426">
        <v>215.8313</v>
      </c>
      <c r="M4426">
        <v>0.99987809999999999</v>
      </c>
      <c r="N4426">
        <v>0</v>
      </c>
      <c r="O4426">
        <v>-5.8795409999999899E-3</v>
      </c>
      <c r="P4426">
        <v>0.99173840000000002</v>
      </c>
      <c r="Q4426">
        <v>0.12756019999999901</v>
      </c>
      <c r="R4426">
        <v>-1.35568999999999E-2</v>
      </c>
      <c r="S4426">
        <v>3.0380549999999999</v>
      </c>
      <c r="T4426">
        <v>-7.7285290000000006E-2</v>
      </c>
      <c r="U4426">
        <v>0.23777770000000001</v>
      </c>
      <c r="V4426">
        <v>7.7335469999999899E-3</v>
      </c>
      <c r="W4426">
        <v>0.14189669999999999</v>
      </c>
      <c r="X4426">
        <v>0.98985120000000004</v>
      </c>
      <c r="Y4426">
        <v>-8.3859820000000002E-2</v>
      </c>
      <c r="Z4426">
        <v>1.214199E-3</v>
      </c>
      <c r="AA4426">
        <v>0.99647680000000005</v>
      </c>
      <c r="AB4426">
        <v>34</v>
      </c>
      <c r="AC4426">
        <v>43.302599999999998</v>
      </c>
      <c r="AD4426">
        <v>-1.110280701173</v>
      </c>
      <c r="AE4426">
        <v>3.4178999999999999</v>
      </c>
      <c r="AF4426">
        <v>-3.6700691507671399</v>
      </c>
      <c r="AG4426">
        <v>-1.110280701173</v>
      </c>
      <c r="AH4426">
        <v>43.253494277261503</v>
      </c>
      <c r="AI4426">
        <v>91.465148967551698</v>
      </c>
      <c r="AJ4426">
        <v>94.849943457060306</v>
      </c>
      <c r="AK4426">
        <v>43.423114789244501</v>
      </c>
      <c r="AL4426">
        <v>81.842384507802606</v>
      </c>
      <c r="AM4426">
        <v>89.552366468382502</v>
      </c>
      <c r="AN4426">
        <v>0.99999993968076395</v>
      </c>
    </row>
    <row r="4427" spans="1:40" x14ac:dyDescent="0.25">
      <c r="A4427" t="str">
        <f>"20190312172206401"</f>
        <v>20190312172206401</v>
      </c>
      <c r="B4427" t="str">
        <f>"1552382526395103"</f>
        <v>1552382526395103</v>
      </c>
      <c r="C4427" t="s">
        <v>40</v>
      </c>
      <c r="D4427">
        <v>3.1785459999999999</v>
      </c>
      <c r="E4427">
        <v>0.46519060000000001</v>
      </c>
      <c r="F4427" t="s">
        <v>45</v>
      </c>
      <c r="G4427">
        <v>-205.42330000000001</v>
      </c>
      <c r="H4427" s="1">
        <v>4.2188460000000002E-6</v>
      </c>
      <c r="I4427">
        <v>219.2278</v>
      </c>
      <c r="J4427">
        <v>-248.56190000000001</v>
      </c>
      <c r="K4427">
        <v>1.1102890000000001</v>
      </c>
      <c r="L4427">
        <v>215.82929999999999</v>
      </c>
      <c r="M4427">
        <v>0.99987800000000004</v>
      </c>
      <c r="N4427">
        <v>0</v>
      </c>
      <c r="O4427">
        <v>-5.8783500000000001E-3</v>
      </c>
      <c r="P4427">
        <v>0.99171260000000006</v>
      </c>
      <c r="Q4427">
        <v>0.1276448</v>
      </c>
      <c r="R4427">
        <v>-1.460903E-2</v>
      </c>
      <c r="S4427">
        <v>3.0381930000000001</v>
      </c>
      <c r="T4427">
        <v>-7.7568650000000003E-2</v>
      </c>
      <c r="U4427">
        <v>0.23728940000000001</v>
      </c>
      <c r="V4427">
        <v>8.7861650000000003E-3</v>
      </c>
      <c r="W4427">
        <v>0.14198820000000001</v>
      </c>
      <c r="X4427">
        <v>0.98982939999999997</v>
      </c>
      <c r="Y4427">
        <v>-8.3695809999999995E-2</v>
      </c>
      <c r="Z4427">
        <v>1.2164820000000001E-3</v>
      </c>
      <c r="AA4427">
        <v>0.9964906</v>
      </c>
      <c r="AB4427">
        <v>34</v>
      </c>
      <c r="AC4427">
        <v>43.138599999999997</v>
      </c>
      <c r="AD4427">
        <v>-1.11028478115399</v>
      </c>
      <c r="AE4427">
        <v>3.3985000000000101</v>
      </c>
      <c r="AF4427">
        <v>-3.6496489108909902</v>
      </c>
      <c r="AG4427">
        <v>-1.11028478115399</v>
      </c>
      <c r="AH4427">
        <v>43.089507342027197</v>
      </c>
      <c r="AI4427">
        <v>91.470746566062999</v>
      </c>
      <c r="AJ4427">
        <v>94.841354327763895</v>
      </c>
      <c r="AK4427">
        <v>43.2580433266074</v>
      </c>
      <c r="AL4427">
        <v>81.837089171451694</v>
      </c>
      <c r="AM4427">
        <v>89.4914305921899</v>
      </c>
      <c r="AN4427">
        <v>1.0000000433695</v>
      </c>
    </row>
    <row r="4428" spans="1:40" x14ac:dyDescent="0.25">
      <c r="A4428" t="str">
        <f>"20190312172206419"</f>
        <v>20190312172206419</v>
      </c>
      <c r="B4428" t="str">
        <f>"1552382526414623"</f>
        <v>1552382526414623</v>
      </c>
      <c r="C4428" t="s">
        <v>40</v>
      </c>
      <c r="D4428">
        <v>3.395956</v>
      </c>
      <c r="E4428">
        <v>0.46515309999999999</v>
      </c>
      <c r="F4428" t="s">
        <v>45</v>
      </c>
      <c r="G4428">
        <v>-205.19220000000001</v>
      </c>
      <c r="H4428" s="1">
        <v>4.1207549999999998E-6</v>
      </c>
      <c r="I4428">
        <v>219.17779999999999</v>
      </c>
      <c r="J4428">
        <v>-248.29429999999999</v>
      </c>
      <c r="K4428">
        <v>1.1102920000000001</v>
      </c>
      <c r="L4428">
        <v>215.82769999999999</v>
      </c>
      <c r="M4428">
        <v>0.99987800000000004</v>
      </c>
      <c r="N4428">
        <v>0</v>
      </c>
      <c r="O4428">
        <v>-5.8778809999999997E-3</v>
      </c>
      <c r="P4428">
        <v>0.99165700000000001</v>
      </c>
      <c r="Q4428">
        <v>0.12801170000000001</v>
      </c>
      <c r="R4428">
        <v>-1.517451E-2</v>
      </c>
      <c r="S4428">
        <v>3.0385439999999999</v>
      </c>
      <c r="T4428">
        <v>-7.778823E-2</v>
      </c>
      <c r="U4428">
        <v>0.2346039</v>
      </c>
      <c r="V4428">
        <v>9.3516729999999996E-3</v>
      </c>
      <c r="W4428">
        <v>0.14235880000000001</v>
      </c>
      <c r="X4428">
        <v>0.98977090000000001</v>
      </c>
      <c r="Y4428">
        <v>-8.2811040000000002E-2</v>
      </c>
      <c r="Z4428">
        <v>1.2085069999999999E-3</v>
      </c>
      <c r="AA4428">
        <v>0.99656449999999996</v>
      </c>
      <c r="AB4428">
        <v>34</v>
      </c>
      <c r="AC4428">
        <v>43.102099999999901</v>
      </c>
      <c r="AD4428">
        <v>-1.1102878792449999</v>
      </c>
      <c r="AE4428">
        <v>3.3500999999999901</v>
      </c>
      <c r="AF4428">
        <v>-3.6010425371663302</v>
      </c>
      <c r="AG4428">
        <v>-1.1102878792449999</v>
      </c>
      <c r="AH4428">
        <v>43.053265216392298</v>
      </c>
      <c r="AI4428">
        <v>91.472118268931894</v>
      </c>
      <c r="AJ4428">
        <v>94.781179894882797</v>
      </c>
      <c r="AK4428">
        <v>43.217865429961897</v>
      </c>
      <c r="AL4428">
        <v>81.815636741817599</v>
      </c>
      <c r="AM4428">
        <v>89.458667201629694</v>
      </c>
      <c r="AN4428">
        <v>0.99999995810607301</v>
      </c>
    </row>
    <row r="4429" spans="1:40" x14ac:dyDescent="0.25">
      <c r="A4429" t="str">
        <f>"20190312172206435"</f>
        <v>20190312172206435</v>
      </c>
      <c r="B4429" t="str">
        <f>"1552382526425359"</f>
        <v>1552382526425359</v>
      </c>
      <c r="C4429" t="s">
        <v>40</v>
      </c>
      <c r="D4429">
        <v>3.1646109999999998</v>
      </c>
      <c r="E4429">
        <v>0.46513339999999997</v>
      </c>
      <c r="F4429" t="s">
        <v>45</v>
      </c>
      <c r="G4429">
        <v>-204.70930000000001</v>
      </c>
      <c r="H4429" s="1">
        <v>3.9066290000000002E-6</v>
      </c>
      <c r="I4429">
        <v>219.17740000000001</v>
      </c>
      <c r="J4429">
        <v>-248.0581</v>
      </c>
      <c r="K4429">
        <v>1.110295</v>
      </c>
      <c r="L4429">
        <v>215.8263</v>
      </c>
      <c r="M4429">
        <v>0.99987789999999999</v>
      </c>
      <c r="N4429">
        <v>0</v>
      </c>
      <c r="O4429">
        <v>-5.877653E-3</v>
      </c>
      <c r="P4429">
        <v>0.99163330000000005</v>
      </c>
      <c r="Q4429">
        <v>0.12808069999999999</v>
      </c>
      <c r="R4429">
        <v>-1.609652E-2</v>
      </c>
      <c r="S4429">
        <v>3.038818</v>
      </c>
      <c r="T4429">
        <v>-7.7411170000000001E-2</v>
      </c>
      <c r="U4429">
        <v>0.23355100000000001</v>
      </c>
      <c r="V4429">
        <v>1.0273930000000001E-2</v>
      </c>
      <c r="W4429">
        <v>0.14243140000000001</v>
      </c>
      <c r="X4429">
        <v>0.9897513</v>
      </c>
      <c r="Y4429">
        <v>-8.2461060000000003E-2</v>
      </c>
      <c r="Z4429">
        <v>1.1981019999999999E-3</v>
      </c>
      <c r="AA4429">
        <v>0.99659359999999997</v>
      </c>
      <c r="AB4429">
        <v>34</v>
      </c>
      <c r="AC4429">
        <v>43.348799999999898</v>
      </c>
      <c r="AD4429">
        <v>-1.110291093371</v>
      </c>
      <c r="AE4429">
        <v>3.3511000000000002</v>
      </c>
      <c r="AF4429">
        <v>-3.60350807457404</v>
      </c>
      <c r="AG4429">
        <v>-1.110291093371</v>
      </c>
      <c r="AH4429">
        <v>43.300115233182702</v>
      </c>
      <c r="AI4429">
        <v>91.463784655782206</v>
      </c>
      <c r="AJ4429">
        <v>94.757288145560594</v>
      </c>
      <c r="AK4429">
        <v>43.463985044660099</v>
      </c>
      <c r="AL4429">
        <v>81.811434149284807</v>
      </c>
      <c r="AM4429">
        <v>89.405273136040293</v>
      </c>
      <c r="AN4429">
        <v>0.99999994659764502</v>
      </c>
    </row>
    <row r="4430" spans="1:40" x14ac:dyDescent="0.25">
      <c r="A4430" t="str">
        <f>"20190312172206457"</f>
        <v>20190312172206457</v>
      </c>
      <c r="B4430" t="str">
        <f>"1552382526444879"</f>
        <v>1552382526444879</v>
      </c>
      <c r="C4430" t="s">
        <v>40</v>
      </c>
      <c r="D4430">
        <v>3.1363180000000002</v>
      </c>
      <c r="E4430">
        <v>0.46510059999999898</v>
      </c>
      <c r="F4430" t="s">
        <v>45</v>
      </c>
      <c r="G4430">
        <v>-204.41309999999999</v>
      </c>
      <c r="H4430" s="1">
        <v>3.7775799999999999E-6</v>
      </c>
      <c r="I4430">
        <v>219.15100000000001</v>
      </c>
      <c r="J4430">
        <v>-247.7157</v>
      </c>
      <c r="K4430">
        <v>1.110298</v>
      </c>
      <c r="L4430">
        <v>215.82429999999999</v>
      </c>
      <c r="M4430">
        <v>0.99987789999999999</v>
      </c>
      <c r="N4430">
        <v>0</v>
      </c>
      <c r="O4430">
        <v>-5.8681769999999996E-3</v>
      </c>
      <c r="P4430">
        <v>0.99172519999999997</v>
      </c>
      <c r="Q4430">
        <v>0.1272828</v>
      </c>
      <c r="R4430">
        <v>-1.6742900000000002E-2</v>
      </c>
      <c r="S4430">
        <v>3.0390630000000001</v>
      </c>
      <c r="T4430">
        <v>-7.7311160000000004E-2</v>
      </c>
      <c r="U4430">
        <v>0.2315063</v>
      </c>
      <c r="V4430">
        <v>1.092737E-2</v>
      </c>
      <c r="W4430">
        <v>0.1416404</v>
      </c>
      <c r="X4430">
        <v>0.98985789999999996</v>
      </c>
      <c r="Y4430">
        <v>-8.1779160000000004E-2</v>
      </c>
      <c r="Z4430">
        <v>1.187589E-3</v>
      </c>
      <c r="AA4430">
        <v>0.99664969999999997</v>
      </c>
      <c r="AB4430">
        <v>34</v>
      </c>
      <c r="AC4430">
        <v>43.302599999999998</v>
      </c>
      <c r="AD4430">
        <v>-1.1102942224200001</v>
      </c>
      <c r="AE4430">
        <v>3.3266999999999798</v>
      </c>
      <c r="AF4430">
        <v>-3.5784379222076801</v>
      </c>
      <c r="AG4430">
        <v>-1.1102942224200001</v>
      </c>
      <c r="AH4430">
        <v>43.254060966985399</v>
      </c>
      <c r="AI4430">
        <v>91.465405918832104</v>
      </c>
      <c r="AJ4430">
        <v>94.729348686439394</v>
      </c>
      <c r="AK4430">
        <v>43.416031156234403</v>
      </c>
      <c r="AL4430">
        <v>81.857220042185801</v>
      </c>
      <c r="AM4430">
        <v>89.367518559236501</v>
      </c>
      <c r="AN4430">
        <v>1.00000003625984</v>
      </c>
    </row>
    <row r="4431" spans="1:40" x14ac:dyDescent="0.25">
      <c r="A4431" t="str">
        <f>"20190312172206480"</f>
        <v>20190312172206480</v>
      </c>
      <c r="B4431" t="str">
        <f>"1552382526475135"</f>
        <v>1552382526475135</v>
      </c>
      <c r="C4431" t="s">
        <v>40</v>
      </c>
      <c r="D4431">
        <v>3.0895079999999999</v>
      </c>
      <c r="E4431">
        <v>0.46502300000000002</v>
      </c>
      <c r="F4431" t="s">
        <v>45</v>
      </c>
      <c r="G4431">
        <v>-205.78290000000001</v>
      </c>
      <c r="H4431" s="1">
        <v>4.398566E-6</v>
      </c>
      <c r="I4431">
        <v>218.99610000000001</v>
      </c>
      <c r="J4431">
        <v>-247.369</v>
      </c>
      <c r="K4431">
        <v>1.110311</v>
      </c>
      <c r="L4431">
        <v>215.82230000000001</v>
      </c>
      <c r="M4431">
        <v>0.99987789999999999</v>
      </c>
      <c r="N4431">
        <v>0</v>
      </c>
      <c r="O4431">
        <v>-5.8392599999999998E-3</v>
      </c>
      <c r="P4431">
        <v>0.99175959999999996</v>
      </c>
      <c r="Q4431">
        <v>0.126918</v>
      </c>
      <c r="R4431">
        <v>-1.7456240000000001E-2</v>
      </c>
      <c r="S4431">
        <v>3.0392459999999999</v>
      </c>
      <c r="T4431">
        <v>-8.0472950000000001E-2</v>
      </c>
      <c r="U4431">
        <v>0.22988890000000001</v>
      </c>
      <c r="V4431">
        <v>1.1664799999999999E-2</v>
      </c>
      <c r="W4431">
        <v>0.14128060000000001</v>
      </c>
      <c r="X4431">
        <v>0.98990089999999997</v>
      </c>
      <c r="Y4431">
        <v>-8.1216280000000002E-2</v>
      </c>
      <c r="Z4431">
        <v>1.227887E-3</v>
      </c>
      <c r="AA4431">
        <v>0.99669580000000002</v>
      </c>
      <c r="AB4431">
        <v>34</v>
      </c>
      <c r="AC4431">
        <v>41.586100000000002</v>
      </c>
      <c r="AD4431">
        <v>-1.110306601434</v>
      </c>
      <c r="AE4431">
        <v>3.1738</v>
      </c>
      <c r="AF4431">
        <v>-3.4141837833422302</v>
      </c>
      <c r="AG4431">
        <v>-1.110306601434</v>
      </c>
      <c r="AH4431">
        <v>41.5374183816797</v>
      </c>
      <c r="AI4431">
        <v>91.526023469940498</v>
      </c>
      <c r="AJ4431">
        <v>94.698885207667203</v>
      </c>
      <c r="AK4431">
        <v>41.692284147913099</v>
      </c>
      <c r="AL4431">
        <v>81.878044454304103</v>
      </c>
      <c r="AM4431">
        <v>89.324868907117903</v>
      </c>
      <c r="AN4431">
        <v>1.0000000336581001</v>
      </c>
    </row>
    <row r="4432" spans="1:40" x14ac:dyDescent="0.25">
      <c r="A4432" t="str">
        <f>"20190312172206502"</f>
        <v>20190312172206502</v>
      </c>
      <c r="B4432" t="str">
        <f>"1552382526494659"</f>
        <v>1552382526494659</v>
      </c>
      <c r="C4432" t="s">
        <v>40</v>
      </c>
      <c r="D4432">
        <v>3.193492</v>
      </c>
      <c r="E4432">
        <v>0.46499750000000001</v>
      </c>
      <c r="F4432" t="s">
        <v>45</v>
      </c>
      <c r="G4432">
        <v>-206.54150000000001</v>
      </c>
      <c r="H4432" s="1">
        <v>4.7443599999999996E-6</v>
      </c>
      <c r="I4432">
        <v>218.88890000000001</v>
      </c>
      <c r="J4432">
        <v>-247.0308</v>
      </c>
      <c r="K4432">
        <v>1.110331</v>
      </c>
      <c r="L4432">
        <v>215.82040000000001</v>
      </c>
      <c r="M4432">
        <v>0.99987820000000005</v>
      </c>
      <c r="N4432">
        <v>0</v>
      </c>
      <c r="O4432">
        <v>-5.7823040000000003E-3</v>
      </c>
      <c r="P4432">
        <v>0.99173670000000003</v>
      </c>
      <c r="Q4432">
        <v>0.12701589999999999</v>
      </c>
      <c r="R4432">
        <v>-1.8042430000000002E-2</v>
      </c>
      <c r="S4432">
        <v>3.03952</v>
      </c>
      <c r="T4432">
        <v>-8.2659960000000005E-2</v>
      </c>
      <c r="U4432">
        <v>0.228302</v>
      </c>
      <c r="V4432">
        <v>1.230053E-2</v>
      </c>
      <c r="W4432">
        <v>0.1413817</v>
      </c>
      <c r="X4432">
        <v>0.9898787</v>
      </c>
      <c r="Y4432">
        <v>-8.0633860000000002E-2</v>
      </c>
      <c r="Z4432">
        <v>1.2517030000000001E-3</v>
      </c>
      <c r="AA4432">
        <v>0.99674300000000005</v>
      </c>
      <c r="AB4432">
        <v>34</v>
      </c>
      <c r="AC4432">
        <v>40.489299999999901</v>
      </c>
      <c r="AD4432">
        <v>-1.11032625564</v>
      </c>
      <c r="AE4432">
        <v>3.0684999999999998</v>
      </c>
      <c r="AF4432">
        <v>-3.3001271968940502</v>
      </c>
      <c r="AG4432">
        <v>-1.11032625564</v>
      </c>
      <c r="AH4432">
        <v>40.440640215867298</v>
      </c>
      <c r="AI4432">
        <v>91.567492987207004</v>
      </c>
      <c r="AJ4432">
        <v>94.665240473823999</v>
      </c>
      <c r="AK4432">
        <v>40.590258005818001</v>
      </c>
      <c r="AL4432">
        <v>81.872192551143698</v>
      </c>
      <c r="AM4432">
        <v>89.2880620797158</v>
      </c>
      <c r="AN4432">
        <v>0.99999996442342898</v>
      </c>
    </row>
    <row r="4433" spans="1:40" x14ac:dyDescent="0.25">
      <c r="A4433" t="str">
        <f>"20190312172206523"</f>
        <v>20190312172206523</v>
      </c>
      <c r="B4433" t="str">
        <f>"1552382526515151"</f>
        <v>1552382526515151</v>
      </c>
      <c r="C4433" t="s">
        <v>40</v>
      </c>
      <c r="D4433">
        <v>3.1338349999999999</v>
      </c>
      <c r="E4433">
        <v>0.46250629999999998</v>
      </c>
      <c r="F4433" t="s">
        <v>45</v>
      </c>
      <c r="G4433">
        <v>-206.41120000000001</v>
      </c>
      <c r="H4433" s="1">
        <v>4.6905460000000002E-6</v>
      </c>
      <c r="I4433">
        <v>218.8432</v>
      </c>
      <c r="J4433">
        <v>-246.7022</v>
      </c>
      <c r="K4433">
        <v>1.110355</v>
      </c>
      <c r="L4433">
        <v>215.8185</v>
      </c>
      <c r="M4433">
        <v>0.99987879999999996</v>
      </c>
      <c r="N4433">
        <v>0</v>
      </c>
      <c r="O4433">
        <v>-5.702899E-3</v>
      </c>
      <c r="P4433">
        <v>0.99164110000000005</v>
      </c>
      <c r="Q4433">
        <v>0.12765099999999999</v>
      </c>
      <c r="R4433">
        <v>-1.8800689999999998E-2</v>
      </c>
      <c r="S4433">
        <v>3.0397340000000002</v>
      </c>
      <c r="T4433">
        <v>-8.3090310000000001E-2</v>
      </c>
      <c r="U4433">
        <v>0.22621150000000001</v>
      </c>
      <c r="V4433">
        <v>1.3130330000000001E-2</v>
      </c>
      <c r="W4433">
        <v>0.142018899999999</v>
      </c>
      <c r="X4433">
        <v>0.98977680000000001</v>
      </c>
      <c r="Y4433">
        <v>-7.9867779999999999E-2</v>
      </c>
      <c r="Z4433">
        <v>1.2455389999999999E-3</v>
      </c>
      <c r="AA4433">
        <v>0.99680469999999999</v>
      </c>
      <c r="AB4433">
        <v>34</v>
      </c>
      <c r="AC4433">
        <v>40.290999999999997</v>
      </c>
      <c r="AD4433">
        <v>-1.1103503094539999</v>
      </c>
      <c r="AE4433">
        <v>3.02469999999999</v>
      </c>
      <c r="AF4433">
        <v>-3.25199450757155</v>
      </c>
      <c r="AG4433">
        <v>-1.1103503094539999</v>
      </c>
      <c r="AH4433">
        <v>40.242701917236403</v>
      </c>
      <c r="AI4433">
        <v>91.575334053799097</v>
      </c>
      <c r="AJ4433">
        <v>94.620006937012604</v>
      </c>
      <c r="AK4433">
        <v>40.389149578649501</v>
      </c>
      <c r="AL4433">
        <v>81.835311363800102</v>
      </c>
      <c r="AM4433">
        <v>89.239961610276197</v>
      </c>
      <c r="AN4433">
        <v>0.99999994367067702</v>
      </c>
    </row>
    <row r="4434" spans="1:40" x14ac:dyDescent="0.25">
      <c r="A4434" t="str">
        <f>"20190312172206547"</f>
        <v>20190312172206547</v>
      </c>
      <c r="B4434" t="str">
        <f>"1552382526534671"</f>
        <v>1552382526534671</v>
      </c>
      <c r="C4434" t="s">
        <v>40</v>
      </c>
      <c r="D4434">
        <v>3.2507199999999998</v>
      </c>
      <c r="E4434">
        <v>0.46255619999999997</v>
      </c>
      <c r="F4434" t="s">
        <v>46</v>
      </c>
      <c r="G4434">
        <v>-219.48660000000001</v>
      </c>
      <c r="H4434" s="1">
        <v>3.363629E-6</v>
      </c>
      <c r="I4434">
        <v>217.99889999999999</v>
      </c>
      <c r="J4434">
        <v>-246.3638</v>
      </c>
      <c r="K4434">
        <v>1.110385</v>
      </c>
      <c r="L4434">
        <v>215.8167</v>
      </c>
      <c r="M4434">
        <v>0.99987930000000003</v>
      </c>
      <c r="N4434">
        <v>0</v>
      </c>
      <c r="O4434">
        <v>-5.5937919999999898E-3</v>
      </c>
      <c r="P4434">
        <v>0.99157019999999996</v>
      </c>
      <c r="Q4434">
        <v>0.12813519999999901</v>
      </c>
      <c r="R4434">
        <v>-1.9231499999999999E-2</v>
      </c>
      <c r="S4434">
        <v>3.0459139999999998</v>
      </c>
      <c r="T4434">
        <v>-0.1242682</v>
      </c>
      <c r="U4434">
        <v>0.2440186</v>
      </c>
      <c r="V4434">
        <v>1.366173E-2</v>
      </c>
      <c r="W4434">
        <v>0.14250460000000001</v>
      </c>
      <c r="X4434">
        <v>0.98969980000000002</v>
      </c>
      <c r="Y4434">
        <v>-8.5357660000000002E-2</v>
      </c>
      <c r="Z4434">
        <v>1.9655139999999998E-3</v>
      </c>
      <c r="AA4434">
        <v>0.99634840000000002</v>
      </c>
      <c r="AB4434">
        <v>34</v>
      </c>
      <c r="AC4434">
        <v>26.877199999999899</v>
      </c>
      <c r="AD4434">
        <v>-1.110381636371</v>
      </c>
      <c r="AE4434">
        <v>2.1821999999999901</v>
      </c>
      <c r="AF4434">
        <v>-2.32857877929403</v>
      </c>
      <c r="AG4434">
        <v>-1.110381636371</v>
      </c>
      <c r="AH4434">
        <v>26.8190969347113</v>
      </c>
      <c r="AI4434">
        <v>92.361966757152004</v>
      </c>
      <c r="AJ4434">
        <v>94.962284217991396</v>
      </c>
      <c r="AK4434">
        <v>26.9428875012165</v>
      </c>
      <c r="AL4434">
        <v>81.807196895142894</v>
      </c>
      <c r="AM4434">
        <v>89.209144270034201</v>
      </c>
      <c r="AN4434">
        <v>0.99999994900389499</v>
      </c>
    </row>
    <row r="4435" spans="1:40" x14ac:dyDescent="0.25">
      <c r="A4435" t="str">
        <f>"20190312172206568"</f>
        <v>20190312172206568</v>
      </c>
      <c r="B4435" t="str">
        <f>"1552382526564927"</f>
        <v>1552382526564927</v>
      </c>
      <c r="C4435" t="s">
        <v>40</v>
      </c>
      <c r="D4435">
        <v>3.2502659999999999</v>
      </c>
      <c r="E4435">
        <v>0.50048890000000001</v>
      </c>
      <c r="F4435" t="s">
        <v>46</v>
      </c>
      <c r="G4435">
        <v>-217.82910000000001</v>
      </c>
      <c r="H4435" s="1">
        <v>2.4779340000000001E-6</v>
      </c>
      <c r="I4435">
        <v>218.08330000000001</v>
      </c>
      <c r="J4435">
        <v>-246.02610000000001</v>
      </c>
      <c r="K4435">
        <v>1.1104069999999999</v>
      </c>
      <c r="L4435">
        <v>215.815</v>
      </c>
      <c r="M4435">
        <v>0.99987999999999999</v>
      </c>
      <c r="N4435">
        <v>0</v>
      </c>
      <c r="O4435">
        <v>-5.4569299999999996E-3</v>
      </c>
      <c r="P4435">
        <v>0.99149659999999995</v>
      </c>
      <c r="Q4435">
        <v>0.12869839999999999</v>
      </c>
      <c r="R4435">
        <v>-1.9274119999999999E-2</v>
      </c>
      <c r="S4435">
        <v>3.0455320000000001</v>
      </c>
      <c r="T4435">
        <v>-0.1185122</v>
      </c>
      <c r="U4435">
        <v>0.24191280000000001</v>
      </c>
      <c r="V4435">
        <v>1.383266E-2</v>
      </c>
      <c r="W4435">
        <v>0.1430691</v>
      </c>
      <c r="X4435">
        <v>0.98961600000000005</v>
      </c>
      <c r="Y4435">
        <v>-8.4554110000000002E-2</v>
      </c>
      <c r="Z4435">
        <v>1.853908E-3</v>
      </c>
      <c r="AA4435">
        <v>0.9964172</v>
      </c>
      <c r="AB4435">
        <v>34</v>
      </c>
      <c r="AC4435">
        <v>28.196999999999999</v>
      </c>
      <c r="AD4435">
        <v>-1.1104045220659999</v>
      </c>
      <c r="AE4435">
        <v>2.2683</v>
      </c>
      <c r="AF4435">
        <v>-2.4184250637083702</v>
      </c>
      <c r="AG4435">
        <v>-1.1104045220659999</v>
      </c>
      <c r="AH4435">
        <v>28.140840526491601</v>
      </c>
      <c r="AI4435">
        <v>92.251361856124603</v>
      </c>
      <c r="AJ4435">
        <v>94.911932845483705</v>
      </c>
      <c r="AK4435">
        <v>28.266387875510901</v>
      </c>
      <c r="AL4435">
        <v>81.774518748693794</v>
      </c>
      <c r="AM4435">
        <v>89.199182887702307</v>
      </c>
      <c r="AN4435">
        <v>0.99999996865674201</v>
      </c>
    </row>
    <row r="4436" spans="1:40" x14ac:dyDescent="0.25">
      <c r="A4436" t="str">
        <f>"20190312172206586"</f>
        <v>20190312172206586</v>
      </c>
      <c r="B4436" t="str">
        <f>"1552382526574688"</f>
        <v>1552382526574688</v>
      </c>
      <c r="C4436" t="s">
        <v>40</v>
      </c>
      <c r="D4436">
        <v>3.2624900000000001</v>
      </c>
      <c r="E4436">
        <v>0.50482450000000001</v>
      </c>
      <c r="F4436" t="s">
        <v>46</v>
      </c>
      <c r="G4436">
        <v>-216.91900000000001</v>
      </c>
      <c r="H4436" s="1">
        <v>2.118494E-6</v>
      </c>
      <c r="I4436">
        <v>215.226</v>
      </c>
      <c r="J4436">
        <v>-245.7628</v>
      </c>
      <c r="K4436">
        <v>1.1104259999999999</v>
      </c>
      <c r="L4436">
        <v>215.81360000000001</v>
      </c>
      <c r="M4436">
        <v>0.99988060000000001</v>
      </c>
      <c r="N4436">
        <v>0</v>
      </c>
      <c r="O4436">
        <v>-5.333529E-3</v>
      </c>
      <c r="P4436">
        <v>0.99148599999999998</v>
      </c>
      <c r="Q4436">
        <v>0.128751</v>
      </c>
      <c r="R4436">
        <v>-1.9467180000000001E-2</v>
      </c>
      <c r="S4436">
        <v>3.0395810000000001</v>
      </c>
      <c r="T4436">
        <v>-0.1159565</v>
      </c>
      <c r="U4436">
        <v>-6.1508180000000003E-2</v>
      </c>
      <c r="V4436">
        <v>1.414264E-2</v>
      </c>
      <c r="W4436">
        <v>0.14312279999999999</v>
      </c>
      <c r="X4436">
        <v>0.98960389999999998</v>
      </c>
      <c r="Y4436">
        <v>1.4891359999999999E-2</v>
      </c>
      <c r="Z4436" s="1">
        <v>-8.0520749999999898E-5</v>
      </c>
      <c r="AA4436">
        <v>0.99988909999999998</v>
      </c>
      <c r="AB4436">
        <v>34</v>
      </c>
      <c r="AC4436">
        <v>28.843799999999899</v>
      </c>
      <c r="AD4436">
        <v>-1.1104238815059999</v>
      </c>
      <c r="AE4436">
        <v>-0.587600000000009</v>
      </c>
      <c r="AF4436">
        <v>0.43309459902756398</v>
      </c>
      <c r="AG4436">
        <v>-1.1104238815059999</v>
      </c>
      <c r="AH4436">
        <v>28.803851968191001</v>
      </c>
      <c r="AI4436">
        <v>92.207480145419893</v>
      </c>
      <c r="AJ4436">
        <v>89.138565810386694</v>
      </c>
      <c r="AK4436">
        <v>28.828501527720601</v>
      </c>
      <c r="AL4436">
        <v>81.771410352269598</v>
      </c>
      <c r="AM4436">
        <v>89.181229556475202</v>
      </c>
      <c r="AN4436">
        <v>1.0000000145206001</v>
      </c>
    </row>
    <row r="4437" spans="1:40" x14ac:dyDescent="0.25">
      <c r="A4437" t="str">
        <f>"20190312172206602"</f>
        <v>20190312172206602</v>
      </c>
      <c r="B4437" t="str">
        <f>"1552382526595187"</f>
        <v>1552382526595187</v>
      </c>
      <c r="C4437" t="s">
        <v>40</v>
      </c>
      <c r="D4437">
        <v>3.2528649999999999</v>
      </c>
      <c r="E4437">
        <v>0.51029590000000002</v>
      </c>
      <c r="F4437" t="s">
        <v>46</v>
      </c>
      <c r="G4437">
        <v>-216.48310000000001</v>
      </c>
      <c r="H4437" s="1">
        <v>1.901678E-6</v>
      </c>
      <c r="I4437">
        <v>214.8802</v>
      </c>
      <c r="J4437">
        <v>-245.518</v>
      </c>
      <c r="K4437">
        <v>1.110444</v>
      </c>
      <c r="L4437">
        <v>215.8125</v>
      </c>
      <c r="M4437">
        <v>0.99988129999999997</v>
      </c>
      <c r="N4437">
        <v>0</v>
      </c>
      <c r="O4437">
        <v>-5.2087469999999997E-3</v>
      </c>
      <c r="P4437">
        <v>0.99142889999999995</v>
      </c>
      <c r="Q4437">
        <v>0.1291842</v>
      </c>
      <c r="R4437">
        <v>-1.9499389999999998E-2</v>
      </c>
      <c r="S4437">
        <v>3.038834</v>
      </c>
      <c r="T4437">
        <v>-0.11524710000000001</v>
      </c>
      <c r="U4437">
        <v>-9.6878049999999993E-2</v>
      </c>
      <c r="V4437">
        <v>1.429453E-2</v>
      </c>
      <c r="W4437">
        <v>0.14355609999999999</v>
      </c>
      <c r="X4437">
        <v>0.98953899999999995</v>
      </c>
      <c r="Y4437">
        <v>2.6641350000000001E-2</v>
      </c>
      <c r="Z4437">
        <v>-3.074385E-4</v>
      </c>
      <c r="AA4437">
        <v>0.99964500000000001</v>
      </c>
      <c r="AB4437">
        <v>34</v>
      </c>
      <c r="AC4437">
        <v>29.0349</v>
      </c>
      <c r="AD4437">
        <v>-1.110442098322</v>
      </c>
      <c r="AE4437">
        <v>-0.93229999999999802</v>
      </c>
      <c r="AF4437">
        <v>0.77989643151776999</v>
      </c>
      <c r="AG4437">
        <v>-1.110442098322</v>
      </c>
      <c r="AH4437">
        <v>28.996992849237301</v>
      </c>
      <c r="AI4437">
        <v>92.192282685789195</v>
      </c>
      <c r="AJ4437">
        <v>88.459357349115294</v>
      </c>
      <c r="AK4437">
        <v>29.028725676411302</v>
      </c>
      <c r="AL4437">
        <v>81.746325427693904</v>
      </c>
      <c r="AM4437">
        <v>89.172383022407004</v>
      </c>
      <c r="AN4437">
        <v>1.0000000599780601</v>
      </c>
    </row>
    <row r="4438" spans="1:40" x14ac:dyDescent="0.25">
      <c r="A4438" t="str">
        <f>"20190312172206624"</f>
        <v>20190312172206624</v>
      </c>
      <c r="B4438" t="str">
        <f>"1552382526614704"</f>
        <v>1552382526614704</v>
      </c>
      <c r="C4438" t="s">
        <v>40</v>
      </c>
      <c r="D4438">
        <v>3.2528090000000001</v>
      </c>
      <c r="E4438">
        <v>0.51333260000000003</v>
      </c>
      <c r="F4438" t="s">
        <v>46</v>
      </c>
      <c r="G4438">
        <v>-216.20009999999999</v>
      </c>
      <c r="H4438" s="1">
        <v>1.7697270000000001E-6</v>
      </c>
      <c r="I4438">
        <v>214.4537</v>
      </c>
      <c r="J4438">
        <v>-245.18729999999999</v>
      </c>
      <c r="K4438">
        <v>1.1104609999999999</v>
      </c>
      <c r="L4438">
        <v>215.8109</v>
      </c>
      <c r="M4438">
        <v>0.99988220000000005</v>
      </c>
      <c r="N4438">
        <v>0</v>
      </c>
      <c r="O4438">
        <v>-5.0279259999999899E-3</v>
      </c>
      <c r="P4438">
        <v>0.99138820000000005</v>
      </c>
      <c r="Q4438">
        <v>0.1295046</v>
      </c>
      <c r="R4438">
        <v>-1.9444139999999999E-2</v>
      </c>
      <c r="S4438">
        <v>3.0381619999999998</v>
      </c>
      <c r="T4438">
        <v>-0.1150733</v>
      </c>
      <c r="U4438">
        <v>-0.14080809999999999</v>
      </c>
      <c r="V4438">
        <v>1.441403E-2</v>
      </c>
      <c r="W4438">
        <v>0.143876</v>
      </c>
      <c r="X4438">
        <v>0.98949069999999995</v>
      </c>
      <c r="Y4438">
        <v>4.1247220000000001E-2</v>
      </c>
      <c r="Z4438">
        <v>-5.9015969999999995E-4</v>
      </c>
      <c r="AA4438">
        <v>0.99914879999999995</v>
      </c>
      <c r="AB4438">
        <v>34</v>
      </c>
      <c r="AC4438">
        <v>28.987200000000001</v>
      </c>
      <c r="AD4438">
        <v>-1.1104592302730001</v>
      </c>
      <c r="AE4438">
        <v>-1.3572</v>
      </c>
      <c r="AF4438">
        <v>1.2096506777668901</v>
      </c>
      <c r="AG4438">
        <v>-1.1104592302730001</v>
      </c>
      <c r="AH4438">
        <v>28.951263669706801</v>
      </c>
      <c r="AI4438">
        <v>92.194656210991297</v>
      </c>
      <c r="AJ4438">
        <v>87.6074416014946</v>
      </c>
      <c r="AK4438">
        <v>28.997793752925499</v>
      </c>
      <c r="AL4438">
        <v>81.727803377884101</v>
      </c>
      <c r="AM4438">
        <v>89.165424520018703</v>
      </c>
      <c r="AN4438">
        <v>0.99999995651166396</v>
      </c>
    </row>
    <row r="4439" spans="1:40" x14ac:dyDescent="0.25">
      <c r="A4439" t="str">
        <f>"20190312172206646"</f>
        <v>20190312172206646</v>
      </c>
      <c r="B4439" t="str">
        <f>"1552382526644960"</f>
        <v>1552382526644960</v>
      </c>
      <c r="C4439" t="s">
        <v>40</v>
      </c>
      <c r="D4439">
        <v>3.2460170000000002</v>
      </c>
      <c r="E4439">
        <v>0.51600159999999995</v>
      </c>
      <c r="F4439" t="s">
        <v>46</v>
      </c>
      <c r="G4439">
        <v>-216.08699999999999</v>
      </c>
      <c r="H4439" s="1">
        <v>1.719038E-6</v>
      </c>
      <c r="I4439">
        <v>214.2354</v>
      </c>
      <c r="J4439">
        <v>-244.8503</v>
      </c>
      <c r="K4439">
        <v>1.1104719999999999</v>
      </c>
      <c r="L4439">
        <v>215.80940000000001</v>
      </c>
      <c r="M4439">
        <v>0.99988319999999997</v>
      </c>
      <c r="N4439">
        <v>0</v>
      </c>
      <c r="O4439">
        <v>-4.8361949999999997E-3</v>
      </c>
      <c r="P4439">
        <v>0.99141069999999998</v>
      </c>
      <c r="Q4439">
        <v>0.12933720000000001</v>
      </c>
      <c r="R4439">
        <v>-1.9416099999999999E-2</v>
      </c>
      <c r="S4439">
        <v>3.037979</v>
      </c>
      <c r="T4439">
        <v>-0.11592810000000001</v>
      </c>
      <c r="U4439">
        <v>-0.1644745</v>
      </c>
      <c r="V4439">
        <v>1.4572460000000001E-2</v>
      </c>
      <c r="W4439">
        <v>0.143709</v>
      </c>
      <c r="X4439">
        <v>0.98951270000000002</v>
      </c>
      <c r="Y4439">
        <v>4.9197820000000003E-2</v>
      </c>
      <c r="Z4439">
        <v>-7.5329899999999905E-4</v>
      </c>
      <c r="AA4439">
        <v>0.99878880000000003</v>
      </c>
      <c r="AB4439">
        <v>34</v>
      </c>
      <c r="AC4439">
        <v>28.763299999999902</v>
      </c>
      <c r="AD4439">
        <v>-1.110470280962</v>
      </c>
      <c r="AE4439">
        <v>-1.5740000000000101</v>
      </c>
      <c r="AF4439">
        <v>1.43273290473578</v>
      </c>
      <c r="AG4439">
        <v>-1.110470280962</v>
      </c>
      <c r="AH4439">
        <v>28.7278850169922</v>
      </c>
      <c r="AI4439">
        <v>92.210908933936295</v>
      </c>
      <c r="AJ4439">
        <v>87.144878911485705</v>
      </c>
      <c r="AK4439">
        <v>28.785017723995601</v>
      </c>
      <c r="AL4439">
        <v>81.737472685256094</v>
      </c>
      <c r="AM4439">
        <v>89.156271463860406</v>
      </c>
      <c r="AN4439">
        <v>1.00000000836637</v>
      </c>
    </row>
    <row r="4440" spans="1:40" x14ac:dyDescent="0.25">
      <c r="A4440" t="str">
        <f>"20190312172206670"</f>
        <v>20190312172206670</v>
      </c>
      <c r="B4440" t="str">
        <f>"1552382526665455"</f>
        <v>1552382526665455</v>
      </c>
      <c r="C4440" t="s">
        <v>40</v>
      </c>
      <c r="D4440">
        <v>3.2310050000000001</v>
      </c>
      <c r="E4440">
        <v>0.51736490000000002</v>
      </c>
      <c r="F4440" t="s">
        <v>46</v>
      </c>
      <c r="G4440">
        <v>-216.2901</v>
      </c>
      <c r="H4440" s="1">
        <v>1.834623E-6</v>
      </c>
      <c r="I4440">
        <v>214.0641</v>
      </c>
      <c r="J4440">
        <v>-244.50139999999999</v>
      </c>
      <c r="K4440">
        <v>1.1104810000000001</v>
      </c>
      <c r="L4440">
        <v>215.80789999999999</v>
      </c>
      <c r="M4440">
        <v>0.9998842</v>
      </c>
      <c r="N4440">
        <v>0</v>
      </c>
      <c r="O4440">
        <v>-4.6339040000000003E-3</v>
      </c>
      <c r="P4440">
        <v>0.99151129999999998</v>
      </c>
      <c r="Q4440">
        <v>0.1286101</v>
      </c>
      <c r="R4440">
        <v>-1.9112489999999999E-2</v>
      </c>
      <c r="S4440">
        <v>3.037766</v>
      </c>
      <c r="T4440">
        <v>-0.1181138</v>
      </c>
      <c r="U4440">
        <v>-0.18563840000000001</v>
      </c>
      <c r="V4440">
        <v>1.4467010000000001E-2</v>
      </c>
      <c r="W4440">
        <v>0.1429822</v>
      </c>
      <c r="X4440">
        <v>0.98961949999999999</v>
      </c>
      <c r="Y4440">
        <v>5.6331069999999997E-2</v>
      </c>
      <c r="Z4440">
        <v>-9.1374329999999995E-4</v>
      </c>
      <c r="AA4440">
        <v>0.99841170000000001</v>
      </c>
      <c r="AB4440">
        <v>34</v>
      </c>
      <c r="AC4440">
        <v>28.211299999999898</v>
      </c>
      <c r="AD4440">
        <v>-1.1104791653769901</v>
      </c>
      <c r="AE4440">
        <v>-1.74379999999999</v>
      </c>
      <c r="AF4440">
        <v>1.61055312512251</v>
      </c>
      <c r="AG4440">
        <v>-1.1104791653769901</v>
      </c>
      <c r="AH4440">
        <v>28.175588288437702</v>
      </c>
      <c r="AI4440">
        <v>92.253345108254294</v>
      </c>
      <c r="AJ4440">
        <v>86.728459082166694</v>
      </c>
      <c r="AK4440">
        <v>28.243420839996102</v>
      </c>
      <c r="AL4440">
        <v>81.779549561471896</v>
      </c>
      <c r="AM4440">
        <v>89.162466407258606</v>
      </c>
      <c r="AN4440">
        <v>0.99999997933771401</v>
      </c>
    </row>
    <row r="4441" spans="1:40" x14ac:dyDescent="0.25">
      <c r="A4441" t="str">
        <f>"20190312172206692"</f>
        <v>20190312172206692</v>
      </c>
      <c r="B4441" t="str">
        <f>"1552382526684975"</f>
        <v>1552382526684975</v>
      </c>
      <c r="C4441" t="s">
        <v>40</v>
      </c>
      <c r="D4441">
        <v>3.2569669999999999</v>
      </c>
      <c r="E4441">
        <v>0.51831389999999999</v>
      </c>
      <c r="F4441" t="s">
        <v>46</v>
      </c>
      <c r="G4441">
        <v>-216.6952</v>
      </c>
      <c r="H4441" s="1">
        <v>2.0522859999999999E-6</v>
      </c>
      <c r="I4441">
        <v>214.01650000000001</v>
      </c>
      <c r="J4441">
        <v>-244.1643</v>
      </c>
      <c r="K4441">
        <v>1.110484</v>
      </c>
      <c r="L4441">
        <v>215.8065</v>
      </c>
      <c r="M4441">
        <v>0.99988509999999997</v>
      </c>
      <c r="N4441">
        <v>0</v>
      </c>
      <c r="O4441">
        <v>-4.436906E-3</v>
      </c>
      <c r="P4441">
        <v>0.99150899999999997</v>
      </c>
      <c r="Q4441">
        <v>0.12864049999999999</v>
      </c>
      <c r="R4441">
        <v>-1.902589E-2</v>
      </c>
      <c r="S4441">
        <v>3.0376430000000001</v>
      </c>
      <c r="T4441">
        <v>-0.1213127</v>
      </c>
      <c r="U4441">
        <v>-0.19569400000000001</v>
      </c>
      <c r="V4441">
        <v>1.457432E-2</v>
      </c>
      <c r="W4441">
        <v>0.14301240000000001</v>
      </c>
      <c r="X4441">
        <v>0.98961359999999998</v>
      </c>
      <c r="Y4441">
        <v>5.9816910000000001E-2</v>
      </c>
      <c r="Z4441">
        <v>-1.015775E-3</v>
      </c>
      <c r="AA4441">
        <v>0.99820880000000001</v>
      </c>
      <c r="AB4441">
        <v>34</v>
      </c>
      <c r="AC4441">
        <v>27.469100000000001</v>
      </c>
      <c r="AD4441">
        <v>-1.110481947714</v>
      </c>
      <c r="AE4441">
        <v>-1.78999999999999</v>
      </c>
      <c r="AF4441">
        <v>1.66538151802168</v>
      </c>
      <c r="AG4441">
        <v>-1.110481947714</v>
      </c>
      <c r="AH4441">
        <v>27.432129455020998</v>
      </c>
      <c r="AI4441">
        <v>92.313873307994001</v>
      </c>
      <c r="AJ4441">
        <v>86.525885273635296</v>
      </c>
      <c r="AK4441">
        <v>27.505061210508099</v>
      </c>
      <c r="AL4441">
        <v>81.777801576306501</v>
      </c>
      <c r="AM4441">
        <v>89.156249811834698</v>
      </c>
      <c r="AN4441">
        <v>1.0000000173310899</v>
      </c>
    </row>
    <row r="4442" spans="1:40" x14ac:dyDescent="0.25">
      <c r="A4442" t="str">
        <f>"20190312172206714"</f>
        <v>20190312172206714</v>
      </c>
      <c r="B4442" t="str">
        <f>"1552382526705472"</f>
        <v>1552382526705472</v>
      </c>
      <c r="C4442" t="s">
        <v>40</v>
      </c>
      <c r="D4442">
        <v>3.2298279999999999</v>
      </c>
      <c r="E4442">
        <v>0.51905459999999903</v>
      </c>
      <c r="F4442" t="s">
        <v>46</v>
      </c>
      <c r="G4442">
        <v>-216.63890000000001</v>
      </c>
      <c r="H4442" s="1">
        <v>2.0245369999999998E-6</v>
      </c>
      <c r="I4442">
        <v>213.96530000000001</v>
      </c>
      <c r="J4442">
        <v>-243.84389999999999</v>
      </c>
      <c r="K4442">
        <v>1.1104849999999999</v>
      </c>
      <c r="L4442">
        <v>215.80529999999999</v>
      </c>
      <c r="M4442">
        <v>0.99988580000000005</v>
      </c>
      <c r="N4442">
        <v>0</v>
      </c>
      <c r="O4442">
        <v>-4.2500749999999999E-3</v>
      </c>
      <c r="P4442">
        <v>0.991479</v>
      </c>
      <c r="Q4442">
        <v>0.12889800000000001</v>
      </c>
      <c r="R4442">
        <v>-1.8835580000000001E-2</v>
      </c>
      <c r="S4442">
        <v>3.0376889999999999</v>
      </c>
      <c r="T4442">
        <v>-0.12255199999999999</v>
      </c>
      <c r="U4442">
        <v>-0.2032013</v>
      </c>
      <c r="V4442">
        <v>1.4568609999999999E-2</v>
      </c>
      <c r="W4442">
        <v>0.1432706</v>
      </c>
      <c r="X4442">
        <v>0.98957629999999996</v>
      </c>
      <c r="Y4442">
        <v>6.2455429999999999E-2</v>
      </c>
      <c r="Z4442">
        <v>-1.086715E-3</v>
      </c>
      <c r="AA4442">
        <v>0.99804720000000002</v>
      </c>
      <c r="AB4442">
        <v>34</v>
      </c>
      <c r="AC4442">
        <v>27.204999999999899</v>
      </c>
      <c r="AD4442">
        <v>-1.1104829754629999</v>
      </c>
      <c r="AE4442">
        <v>-1.8399999999999701</v>
      </c>
      <c r="AF4442">
        <v>1.7214926423350401</v>
      </c>
      <c r="AG4442">
        <v>-1.1104829754629999</v>
      </c>
      <c r="AH4442">
        <v>27.167514897736702</v>
      </c>
      <c r="AI4442">
        <v>92.336004854203097</v>
      </c>
      <c r="AJ4442">
        <v>86.374251849757698</v>
      </c>
      <c r="AK4442">
        <v>27.2446430528123</v>
      </c>
      <c r="AL4442">
        <v>81.762853580089399</v>
      </c>
      <c r="AM4442">
        <v>89.156548546402703</v>
      </c>
      <c r="AN4442">
        <v>0.99999998137168999</v>
      </c>
    </row>
    <row r="4443" spans="1:40" x14ac:dyDescent="0.25">
      <c r="A4443" t="str">
        <f>"20190312172206731"</f>
        <v>20190312172206731</v>
      </c>
      <c r="B4443" t="str">
        <f>"1552382526724991"</f>
        <v>1552382526724991</v>
      </c>
      <c r="C4443" t="s">
        <v>40</v>
      </c>
      <c r="D4443">
        <v>3.230003</v>
      </c>
      <c r="E4443">
        <v>0.5197387</v>
      </c>
      <c r="F4443" t="s">
        <v>46</v>
      </c>
      <c r="G4443">
        <v>-216.62719999999999</v>
      </c>
      <c r="H4443" s="1">
        <v>2.0194640000000002E-6</v>
      </c>
      <c r="I4443">
        <v>213.9391</v>
      </c>
      <c r="J4443">
        <v>-243.57589999999999</v>
      </c>
      <c r="K4443">
        <v>1.110487</v>
      </c>
      <c r="L4443">
        <v>215.80430000000001</v>
      </c>
      <c r="M4443">
        <v>0.99988639999999995</v>
      </c>
      <c r="N4443">
        <v>0</v>
      </c>
      <c r="O4443">
        <v>-4.0944980000000002E-3</v>
      </c>
      <c r="P4443">
        <v>0.99148919999999996</v>
      </c>
      <c r="Q4443">
        <v>0.12884419999999999</v>
      </c>
      <c r="R4443">
        <v>-1.8666060000000002E-2</v>
      </c>
      <c r="S4443">
        <v>3.0379179999999999</v>
      </c>
      <c r="T4443">
        <v>-0.1239516</v>
      </c>
      <c r="U4443">
        <v>-0.208313</v>
      </c>
      <c r="V4443">
        <v>1.455271E-2</v>
      </c>
      <c r="W4443">
        <v>0.1432187</v>
      </c>
      <c r="X4443">
        <v>0.98958409999999997</v>
      </c>
      <c r="Y4443">
        <v>6.4274570000000003E-2</v>
      </c>
      <c r="Z4443">
        <v>-1.1423609999999999E-3</v>
      </c>
      <c r="AA4443">
        <v>0.99793160000000003</v>
      </c>
      <c r="AB4443">
        <v>34</v>
      </c>
      <c r="AC4443">
        <v>26.948699999999999</v>
      </c>
      <c r="AD4443">
        <v>-1.110484980536</v>
      </c>
      <c r="AE4443">
        <v>-1.86520000000001</v>
      </c>
      <c r="AF4443">
        <v>1.75187077578618</v>
      </c>
      <c r="AG4443">
        <v>-1.110484980536</v>
      </c>
      <c r="AH4443">
        <v>26.910634249319202</v>
      </c>
      <c r="AI4443">
        <v>92.358021601527497</v>
      </c>
      <c r="AJ4443">
        <v>86.275325002282003</v>
      </c>
      <c r="AK4443">
        <v>26.990451345016101</v>
      </c>
      <c r="AL4443">
        <v>81.765858654888603</v>
      </c>
      <c r="AM4443">
        <v>89.157475586030998</v>
      </c>
      <c r="AN4443">
        <v>1.0000000341854201</v>
      </c>
    </row>
    <row r="4444" spans="1:40" x14ac:dyDescent="0.25">
      <c r="A4444" t="str">
        <f>"20190312172206747"</f>
        <v>20190312172206747</v>
      </c>
      <c r="B4444" t="str">
        <f>"1552382526744512"</f>
        <v>1552382526744512</v>
      </c>
      <c r="C4444" t="s">
        <v>40</v>
      </c>
      <c r="D4444">
        <v>3.2246990000000002</v>
      </c>
      <c r="E4444">
        <v>0.52033409999999902</v>
      </c>
      <c r="F4444" t="s">
        <v>46</v>
      </c>
      <c r="G4444">
        <v>-216.51910000000001</v>
      </c>
      <c r="H4444" s="1">
        <v>1.9634729999999998E-6</v>
      </c>
      <c r="I4444">
        <v>213.90479999999999</v>
      </c>
      <c r="J4444">
        <v>-243.3416</v>
      </c>
      <c r="K4444">
        <v>1.110487</v>
      </c>
      <c r="L4444">
        <v>215.80350000000001</v>
      </c>
      <c r="M4444">
        <v>0.99988699999999997</v>
      </c>
      <c r="N4444">
        <v>0</v>
      </c>
      <c r="O4444">
        <v>-3.9593110000000001E-3</v>
      </c>
      <c r="P4444">
        <v>0.99145870000000003</v>
      </c>
      <c r="Q4444">
        <v>0.12901969999999999</v>
      </c>
      <c r="R4444">
        <v>-1.9086519999999999E-2</v>
      </c>
      <c r="S4444">
        <v>3.0379179999999999</v>
      </c>
      <c r="T4444">
        <v>-0.1246848</v>
      </c>
      <c r="U4444">
        <v>-0.21327209999999999</v>
      </c>
      <c r="V4444">
        <v>1.51066E-2</v>
      </c>
      <c r="W4444">
        <v>0.14339470000000001</v>
      </c>
      <c r="X4444">
        <v>0.98955029999999999</v>
      </c>
      <c r="Y4444">
        <v>6.6028480000000001E-2</v>
      </c>
      <c r="Z4444">
        <v>-1.19052E-3</v>
      </c>
      <c r="AA4444">
        <v>0.99781699999999995</v>
      </c>
      <c r="AB4444">
        <v>34</v>
      </c>
      <c r="AC4444">
        <v>26.822499999999899</v>
      </c>
      <c r="AD4444">
        <v>-1.110485036527</v>
      </c>
      <c r="AE4444">
        <v>-1.89870000000002</v>
      </c>
      <c r="AF4444">
        <v>1.78942343346396</v>
      </c>
      <c r="AG4444">
        <v>-1.110485036527</v>
      </c>
      <c r="AH4444">
        <v>26.784127258133498</v>
      </c>
      <c r="AI4444">
        <v>92.368880837302996</v>
      </c>
      <c r="AJ4444">
        <v>86.177800529826598</v>
      </c>
      <c r="AK4444">
        <v>26.866795235391798</v>
      </c>
      <c r="AL4444">
        <v>81.755669333565294</v>
      </c>
      <c r="AM4444">
        <v>89.125383325652805</v>
      </c>
      <c r="AN4444">
        <v>1.0000000227908601</v>
      </c>
    </row>
    <row r="4445" spans="1:40" x14ac:dyDescent="0.25">
      <c r="A4445" t="str">
        <f>"20190312172206770"</f>
        <v>20190312172206770</v>
      </c>
      <c r="B4445" t="str">
        <f>"1552382526765007"</f>
        <v>1552382526765007</v>
      </c>
      <c r="C4445" t="s">
        <v>40</v>
      </c>
      <c r="D4445">
        <v>3.1990409999999998</v>
      </c>
      <c r="E4445">
        <v>0.52080150000000003</v>
      </c>
      <c r="F4445" t="s">
        <v>46</v>
      </c>
      <c r="G4445">
        <v>-216.3279</v>
      </c>
      <c r="H4445" s="1">
        <v>1.8638400000000001E-6</v>
      </c>
      <c r="I4445">
        <v>213.85599999999999</v>
      </c>
      <c r="J4445">
        <v>-243.00120000000001</v>
      </c>
      <c r="K4445">
        <v>1.110492</v>
      </c>
      <c r="L4445">
        <v>215.80240000000001</v>
      </c>
      <c r="M4445">
        <v>0.99988790000000005</v>
      </c>
      <c r="N4445">
        <v>0</v>
      </c>
      <c r="O4445">
        <v>-3.7636879999999998E-3</v>
      </c>
      <c r="P4445">
        <v>0.99150669999999996</v>
      </c>
      <c r="Q4445">
        <v>0.12859110000000001</v>
      </c>
      <c r="R4445">
        <v>-1.9472860000000002E-2</v>
      </c>
      <c r="S4445">
        <v>3.0378880000000001</v>
      </c>
      <c r="T4445">
        <v>-0.1248821</v>
      </c>
      <c r="U4445">
        <v>-0.21900939999999999</v>
      </c>
      <c r="V4445">
        <v>1.5686769999999999E-2</v>
      </c>
      <c r="W4445">
        <v>0.14296800000000001</v>
      </c>
      <c r="X4445">
        <v>0.98960300000000001</v>
      </c>
      <c r="Y4445">
        <v>6.8097160000000004E-2</v>
      </c>
      <c r="Z4445">
        <v>-1.2428109999999999E-3</v>
      </c>
      <c r="AA4445">
        <v>0.99767790000000001</v>
      </c>
      <c r="AB4445">
        <v>33</v>
      </c>
      <c r="AC4445">
        <v>26.673300000000001</v>
      </c>
      <c r="AD4445">
        <v>-1.1104901361599999</v>
      </c>
      <c r="AE4445">
        <v>-1.9464000000000099</v>
      </c>
      <c r="AF4445">
        <v>1.8428084510527101</v>
      </c>
      <c r="AG4445">
        <v>-1.1104901361599999</v>
      </c>
      <c r="AH4445">
        <v>26.634516141077</v>
      </c>
      <c r="AI4445">
        <v>92.381799710003094</v>
      </c>
      <c r="AJ4445">
        <v>86.042085132548294</v>
      </c>
      <c r="AK4445">
        <v>26.721275819074702</v>
      </c>
      <c r="AL4445">
        <v>81.780371866530899</v>
      </c>
      <c r="AM4445">
        <v>89.091847491893603</v>
      </c>
      <c r="AN4445">
        <v>1.00000001069301</v>
      </c>
    </row>
    <row r="4446" spans="1:40" x14ac:dyDescent="0.25">
      <c r="A4446" t="str">
        <f>"20190312172206787"</f>
        <v>20190312172206787</v>
      </c>
      <c r="B4446" t="str">
        <f>"1552382526784528"</f>
        <v>1552382526784528</v>
      </c>
      <c r="C4446" t="s">
        <v>40</v>
      </c>
      <c r="D4446">
        <v>3.2161140000000001</v>
      </c>
      <c r="E4446">
        <v>0.52120080000000002</v>
      </c>
      <c r="F4446" t="s">
        <v>46</v>
      </c>
      <c r="G4446">
        <v>-216.22239999999999</v>
      </c>
      <c r="H4446" s="1">
        <v>1.8088970000000001E-6</v>
      </c>
      <c r="I4446">
        <v>213.8279</v>
      </c>
      <c r="J4446">
        <v>-242.7441</v>
      </c>
      <c r="K4446">
        <v>1.1104940000000001</v>
      </c>
      <c r="L4446">
        <v>215.8015</v>
      </c>
      <c r="M4446">
        <v>0.99988829999999995</v>
      </c>
      <c r="N4446">
        <v>0</v>
      </c>
      <c r="O4446">
        <v>-3.616349E-3</v>
      </c>
      <c r="P4446">
        <v>0.99151829999999996</v>
      </c>
      <c r="Q4446">
        <v>0.12847610000000001</v>
      </c>
      <c r="R4446">
        <v>-1.9645369999999999E-2</v>
      </c>
      <c r="S4446">
        <v>3.0376590000000001</v>
      </c>
      <c r="T4446">
        <v>-0.12596849999999901</v>
      </c>
      <c r="U4446">
        <v>-0.22396849999999999</v>
      </c>
      <c r="V4446">
        <v>1.6005200000000001E-2</v>
      </c>
      <c r="W4446">
        <v>0.14285429999999999</v>
      </c>
      <c r="X4446">
        <v>0.98961429999999995</v>
      </c>
      <c r="Y4446">
        <v>6.9866999999999999E-2</v>
      </c>
      <c r="Z4446">
        <v>-1.2963639999999999E-3</v>
      </c>
      <c r="AA4446">
        <v>0.99755550000000004</v>
      </c>
      <c r="AB4446">
        <v>33</v>
      </c>
      <c r="AC4446">
        <v>26.521699999999999</v>
      </c>
      <c r="AD4446">
        <v>-1.1104921911029999</v>
      </c>
      <c r="AE4446">
        <v>-1.9736</v>
      </c>
      <c r="AF4446">
        <v>1.8743972092058401</v>
      </c>
      <c r="AG4446">
        <v>-1.1104921911029999</v>
      </c>
      <c r="AH4446">
        <v>26.482491433245102</v>
      </c>
      <c r="AI4446">
        <v>92.395196223532594</v>
      </c>
      <c r="AJ4446">
        <v>85.951428884373598</v>
      </c>
      <c r="AK4446">
        <v>26.571957216514601</v>
      </c>
      <c r="AL4446">
        <v>81.786953788115099</v>
      </c>
      <c r="AM4446">
        <v>89.073426418257895</v>
      </c>
      <c r="AN4446">
        <v>0.99999999011000995</v>
      </c>
    </row>
    <row r="4447" spans="1:40" x14ac:dyDescent="0.25">
      <c r="A4447" t="str">
        <f>"20190312172206804"</f>
        <v>20190312172206804</v>
      </c>
      <c r="B4447" t="str">
        <f>"1552382526795267"</f>
        <v>1552382526795267</v>
      </c>
      <c r="C4447" t="s">
        <v>40</v>
      </c>
      <c r="D4447">
        <v>3.2425099999999998</v>
      </c>
      <c r="E4447">
        <v>0.52143249999999997</v>
      </c>
      <c r="F4447" t="s">
        <v>46</v>
      </c>
      <c r="G4447">
        <v>-216.06280000000001</v>
      </c>
      <c r="H4447" s="1">
        <v>1.72516E-6</v>
      </c>
      <c r="I4447">
        <v>213.80070000000001</v>
      </c>
      <c r="J4447">
        <v>-242.5033</v>
      </c>
      <c r="K4447">
        <v>1.1104940000000001</v>
      </c>
      <c r="L4447">
        <v>215.80080000000001</v>
      </c>
      <c r="M4447">
        <v>0.99988880000000002</v>
      </c>
      <c r="N4447">
        <v>0</v>
      </c>
      <c r="O4447">
        <v>-3.4785480000000001E-3</v>
      </c>
      <c r="P4447">
        <v>0.99149480000000001</v>
      </c>
      <c r="Q4447">
        <v>0.12853899999999999</v>
      </c>
      <c r="R4447">
        <v>-2.0391119999999999E-2</v>
      </c>
      <c r="S4447">
        <v>3.0375369999999999</v>
      </c>
      <c r="T4447">
        <v>-0.1264237</v>
      </c>
      <c r="U4447">
        <v>-0.22778319999999999</v>
      </c>
      <c r="V4447">
        <v>1.6887719999999998E-2</v>
      </c>
      <c r="W4447">
        <v>0.1429175</v>
      </c>
      <c r="X4447">
        <v>0.98959050000000004</v>
      </c>
      <c r="Y4447">
        <v>7.1251540000000002E-2</v>
      </c>
      <c r="Z4447">
        <v>-1.3355210000000001E-3</v>
      </c>
      <c r="AA4447">
        <v>0.9974575</v>
      </c>
      <c r="AB4447">
        <v>33</v>
      </c>
      <c r="AC4447">
        <v>26.440499999999901</v>
      </c>
      <c r="AD4447">
        <v>-1.1104922748399999</v>
      </c>
      <c r="AE4447">
        <v>-2.0001000000000002</v>
      </c>
      <c r="AF4447">
        <v>1.90476284415247</v>
      </c>
      <c r="AG4447">
        <v>-1.1104922748399999</v>
      </c>
      <c r="AH4447">
        <v>26.400992524258999</v>
      </c>
      <c r="AI4447">
        <v>92.402348123379895</v>
      </c>
      <c r="AJ4447">
        <v>85.873408809510494</v>
      </c>
      <c r="AK4447">
        <v>26.492899442132099</v>
      </c>
      <c r="AL4447">
        <v>81.783295089497301</v>
      </c>
      <c r="AM4447">
        <v>89.022321689418703</v>
      </c>
      <c r="AN4447">
        <v>0.99999998229164899</v>
      </c>
    </row>
    <row r="4448" spans="1:40" x14ac:dyDescent="0.25">
      <c r="A4448" t="str">
        <f>"20190312172206826"</f>
        <v>20190312172206826</v>
      </c>
      <c r="B4448" t="str">
        <f>"1552382526814785"</f>
        <v>1552382526814785</v>
      </c>
      <c r="C4448" t="s">
        <v>40</v>
      </c>
      <c r="D4448">
        <v>3.2420230000000001</v>
      </c>
      <c r="E4448">
        <v>0.52173890000000001</v>
      </c>
      <c r="F4448" t="s">
        <v>46</v>
      </c>
      <c r="G4448">
        <v>-215.80680000000001</v>
      </c>
      <c r="H4448" s="1">
        <v>1.5905719999999999E-6</v>
      </c>
      <c r="I4448">
        <v>213.76339999999999</v>
      </c>
      <c r="J4448">
        <v>-242.17150000000001</v>
      </c>
      <c r="K4448">
        <v>1.110498</v>
      </c>
      <c r="L4448">
        <v>215.7998</v>
      </c>
      <c r="M4448">
        <v>0.99988929999999998</v>
      </c>
      <c r="N4448">
        <v>0</v>
      </c>
      <c r="O4448">
        <v>-3.2884199999999998E-3</v>
      </c>
      <c r="P4448">
        <v>0.99144719999999997</v>
      </c>
      <c r="Q4448">
        <v>0.12875539999999999</v>
      </c>
      <c r="R4448">
        <v>-2.1314380000000001E-2</v>
      </c>
      <c r="S4448">
        <v>3.0373380000000001</v>
      </c>
      <c r="T4448">
        <v>-0.12634380000000001</v>
      </c>
      <c r="U4448">
        <v>-0.23179630000000001</v>
      </c>
      <c r="V4448">
        <v>1.799949E-2</v>
      </c>
      <c r="W4448">
        <v>0.14313419999999999</v>
      </c>
      <c r="X4448">
        <v>0.98953959999999996</v>
      </c>
      <c r="Y4448">
        <v>7.2754959999999994E-2</v>
      </c>
      <c r="Z4448">
        <v>-1.3738019999999999E-3</v>
      </c>
      <c r="AA4448">
        <v>0.99734889999999998</v>
      </c>
      <c r="AB4448">
        <v>33</v>
      </c>
      <c r="AC4448">
        <v>26.364699999999999</v>
      </c>
      <c r="AD4448">
        <v>-1.1104964094280001</v>
      </c>
      <c r="AE4448">
        <v>-2.0364000000000102</v>
      </c>
      <c r="AF4448">
        <v>1.94624920395232</v>
      </c>
      <c r="AG4448">
        <v>-1.1104964094280001</v>
      </c>
      <c r="AH4448">
        <v>26.3248276334749</v>
      </c>
      <c r="AI4448">
        <v>92.408987547537805</v>
      </c>
      <c r="AJ4448">
        <v>85.771696677093104</v>
      </c>
      <c r="AK4448">
        <v>26.4200234324537</v>
      </c>
      <c r="AL4448">
        <v>81.770750268516494</v>
      </c>
      <c r="AM4448">
        <v>88.957918316422095</v>
      </c>
      <c r="AN4448">
        <v>1.0000000004090299</v>
      </c>
    </row>
    <row r="4449" spans="1:40" x14ac:dyDescent="0.25">
      <c r="A4449" t="str">
        <f>"20190312172206848"</f>
        <v>20190312172206848</v>
      </c>
      <c r="B4449" t="str">
        <f>"1552382526845041"</f>
        <v>1552382526845041</v>
      </c>
      <c r="C4449" t="s">
        <v>40</v>
      </c>
      <c r="D4449">
        <v>3.2102659999999998</v>
      </c>
      <c r="E4449">
        <v>0.52207109999999901</v>
      </c>
      <c r="F4449" t="s">
        <v>46</v>
      </c>
      <c r="G4449">
        <v>-215.398</v>
      </c>
      <c r="H4449" s="1">
        <v>1.3753129999999999E-6</v>
      </c>
      <c r="I4449">
        <v>213.71109999999999</v>
      </c>
      <c r="J4449">
        <v>-241.83670000000001</v>
      </c>
      <c r="K4449">
        <v>1.110501</v>
      </c>
      <c r="L4449">
        <v>215.7989</v>
      </c>
      <c r="M4449">
        <v>0.99988999999999995</v>
      </c>
      <c r="N4449">
        <v>0</v>
      </c>
      <c r="O4449">
        <v>-3.0965039999999999E-3</v>
      </c>
      <c r="P4449">
        <v>0.99138470000000001</v>
      </c>
      <c r="Q4449">
        <v>0.1290077</v>
      </c>
      <c r="R4449">
        <v>-2.2659100000000001E-2</v>
      </c>
      <c r="S4449">
        <v>3.0371250000000001</v>
      </c>
      <c r="T4449">
        <v>-0.1259719</v>
      </c>
      <c r="U4449">
        <v>-0.2369385</v>
      </c>
      <c r="V4449">
        <v>1.953471E-2</v>
      </c>
      <c r="W4449">
        <v>0.1433857</v>
      </c>
      <c r="X4449">
        <v>0.98947410000000002</v>
      </c>
      <c r="Y4449">
        <v>7.462879E-2</v>
      </c>
      <c r="Z4449">
        <v>-1.4164990000000001E-3</v>
      </c>
      <c r="AA4449">
        <v>0.99721040000000005</v>
      </c>
      <c r="AB4449">
        <v>33</v>
      </c>
      <c r="AC4449">
        <v>26.438700000000001</v>
      </c>
      <c r="AD4449">
        <v>-1.110499624687</v>
      </c>
      <c r="AE4449">
        <v>-2.0878000000000099</v>
      </c>
      <c r="AF4449">
        <v>2.0024030163748798</v>
      </c>
      <c r="AG4449">
        <v>-1.110499624687</v>
      </c>
      <c r="AH4449">
        <v>26.398753782966899</v>
      </c>
      <c r="AI4449">
        <v>92.401913272355401</v>
      </c>
      <c r="AJ4449">
        <v>85.6622965787016</v>
      </c>
      <c r="AK4449">
        <v>26.497868377477602</v>
      </c>
      <c r="AL4449">
        <v>81.756190433269495</v>
      </c>
      <c r="AM4449">
        <v>88.868983983917403</v>
      </c>
      <c r="AN4449">
        <v>1.0000000292150399</v>
      </c>
    </row>
    <row r="4450" spans="1:40" x14ac:dyDescent="0.25">
      <c r="A4450" t="str">
        <f>"20190312172206883"</f>
        <v>20190312172206883</v>
      </c>
      <c r="B4450" t="str">
        <f>"1552382526875295"</f>
        <v>1552382526875295</v>
      </c>
      <c r="C4450" t="s">
        <v>40</v>
      </c>
      <c r="D4450">
        <v>3.2187169999999998</v>
      </c>
      <c r="E4450">
        <v>0.52232120000000004</v>
      </c>
      <c r="F4450" t="s">
        <v>46</v>
      </c>
      <c r="G4450">
        <v>-214.94499999999999</v>
      </c>
      <c r="H4450" s="1">
        <v>1.1373450000000001E-6</v>
      </c>
      <c r="I4450">
        <v>213.64019999999999</v>
      </c>
      <c r="J4450">
        <v>-241.3347</v>
      </c>
      <c r="K4450">
        <v>1.110487</v>
      </c>
      <c r="L4450">
        <v>215.79769999999999</v>
      </c>
      <c r="M4450">
        <v>0.99989079999999997</v>
      </c>
      <c r="N4450">
        <v>0</v>
      </c>
      <c r="O4450">
        <v>-2.808867E-3</v>
      </c>
      <c r="P4450">
        <v>0.99144129999999997</v>
      </c>
      <c r="Q4450">
        <v>0.1282973</v>
      </c>
      <c r="R4450">
        <v>-2.416691E-2</v>
      </c>
      <c r="S4450">
        <v>3.0368040000000001</v>
      </c>
      <c r="T4450">
        <v>-0.1254053</v>
      </c>
      <c r="U4450">
        <v>-0.2437744</v>
      </c>
      <c r="V4450">
        <v>2.1327619999999999E-2</v>
      </c>
      <c r="W4450">
        <v>0.14267589999999999</v>
      </c>
      <c r="X4450">
        <v>0.98953959999999996</v>
      </c>
      <c r="Y4450">
        <v>7.7152529999999997E-2</v>
      </c>
      <c r="Z4450">
        <v>-1.474015E-3</v>
      </c>
      <c r="AA4450">
        <v>0.99701819999999997</v>
      </c>
      <c r="AB4450">
        <v>33</v>
      </c>
      <c r="AC4450">
        <v>26.389700000000001</v>
      </c>
      <c r="AD4450">
        <v>-1.110485862655</v>
      </c>
      <c r="AE4450">
        <v>-2.1575000000000002</v>
      </c>
      <c r="AF4450">
        <v>2.0797003492354902</v>
      </c>
      <c r="AG4450">
        <v>-1.110485862655</v>
      </c>
      <c r="AH4450">
        <v>26.349308403144299</v>
      </c>
      <c r="AI4450">
        <v>92.405816785911597</v>
      </c>
      <c r="AJ4450">
        <v>85.487109783675507</v>
      </c>
      <c r="AK4450">
        <v>26.454572113677699</v>
      </c>
      <c r="AL4450">
        <v>81.797280810355304</v>
      </c>
      <c r="AM4450">
        <v>88.765291002111397</v>
      </c>
      <c r="AN4450">
        <v>0.99999994989191598</v>
      </c>
    </row>
    <row r="4451" spans="1:40" x14ac:dyDescent="0.25">
      <c r="A4451" t="str">
        <f>"20190312172206904"</f>
        <v>20190312172206904</v>
      </c>
      <c r="B4451" t="str">
        <f>"1552382526894815"</f>
        <v>1552382526894815</v>
      </c>
      <c r="C4451" t="s">
        <v>40</v>
      </c>
      <c r="D4451">
        <v>3.2314880000000001</v>
      </c>
      <c r="E4451">
        <v>0.52258479999999996</v>
      </c>
      <c r="F4451" t="s">
        <v>46</v>
      </c>
      <c r="G4451">
        <v>-214.989</v>
      </c>
      <c r="H4451" s="1">
        <v>1.1616419999999999E-6</v>
      </c>
      <c r="I4451">
        <v>213.6199</v>
      </c>
      <c r="J4451">
        <v>-241.0061</v>
      </c>
      <c r="K4451">
        <v>1.11049</v>
      </c>
      <c r="L4451">
        <v>215.79689999999999</v>
      </c>
      <c r="M4451">
        <v>0.99989130000000004</v>
      </c>
      <c r="N4451">
        <v>0</v>
      </c>
      <c r="O4451">
        <v>-2.6205239999999999E-3</v>
      </c>
      <c r="P4451">
        <v>0.99151089999999997</v>
      </c>
      <c r="Q4451">
        <v>0.1276243</v>
      </c>
      <c r="R4451">
        <v>-2.486033E-2</v>
      </c>
      <c r="S4451">
        <v>3.036346</v>
      </c>
      <c r="T4451">
        <v>-0.12798329999999999</v>
      </c>
      <c r="U4451">
        <v>-0.25099179999999999</v>
      </c>
      <c r="V4451">
        <v>2.2208370000000002E-2</v>
      </c>
      <c r="W4451">
        <v>0.1420033</v>
      </c>
      <c r="X4451">
        <v>0.98961699999999997</v>
      </c>
      <c r="Y4451">
        <v>7.9701330000000001E-2</v>
      </c>
      <c r="Z4451">
        <v>-1.5658950000000001E-3</v>
      </c>
      <c r="AA4451">
        <v>0.99681759999999997</v>
      </c>
      <c r="AB4451">
        <v>33</v>
      </c>
      <c r="AC4451">
        <v>26.017099999999999</v>
      </c>
      <c r="AD4451">
        <v>-1.1104888383580001</v>
      </c>
      <c r="AE4451">
        <v>-2.1769999999999898</v>
      </c>
      <c r="AF4451">
        <v>2.1049986012097999</v>
      </c>
      <c r="AG4451">
        <v>-1.1104888383580001</v>
      </c>
      <c r="AH4451">
        <v>25.975721518614801</v>
      </c>
      <c r="AI4451">
        <v>92.439974093723606</v>
      </c>
      <c r="AJ4451">
        <v>85.367036857070204</v>
      </c>
      <c r="AK4451">
        <v>26.084522479505701</v>
      </c>
      <c r="AL4451">
        <v>81.836214610027397</v>
      </c>
      <c r="AM4451">
        <v>88.714419489991499</v>
      </c>
      <c r="AN4451">
        <v>0.99999997779897298</v>
      </c>
    </row>
    <row r="4452" spans="1:40" x14ac:dyDescent="0.25">
      <c r="A4452" t="str">
        <f>"20190312172206926"</f>
        <v>20190312172206926</v>
      </c>
      <c r="B4452" t="str">
        <f>"1552382526915312"</f>
        <v>1552382526915312</v>
      </c>
      <c r="C4452" t="s">
        <v>40</v>
      </c>
      <c r="D4452">
        <v>3.2368429999999999</v>
      </c>
      <c r="E4452">
        <v>0.52274920000000002</v>
      </c>
      <c r="F4452" t="s">
        <v>46</v>
      </c>
      <c r="G4452">
        <v>-215.24950000000001</v>
      </c>
      <c r="H4452" s="1">
        <v>1.2997640000000001E-6</v>
      </c>
      <c r="I4452">
        <v>213.63140000000001</v>
      </c>
      <c r="J4452">
        <v>-240.684</v>
      </c>
      <c r="K4452">
        <v>1.110493</v>
      </c>
      <c r="L4452">
        <v>215.7963</v>
      </c>
      <c r="M4452">
        <v>0.9998918</v>
      </c>
      <c r="N4452">
        <v>0</v>
      </c>
      <c r="O4452">
        <v>-2.435638E-3</v>
      </c>
      <c r="P4452">
        <v>0.99148480000000005</v>
      </c>
      <c r="Q4452">
        <v>0.12772149999999999</v>
      </c>
      <c r="R4452">
        <v>-2.5402040000000001E-2</v>
      </c>
      <c r="S4452">
        <v>3.0361180000000001</v>
      </c>
      <c r="T4452">
        <v>-0.1309013</v>
      </c>
      <c r="U4452">
        <v>-0.2552643</v>
      </c>
      <c r="V4452">
        <v>2.293328E-2</v>
      </c>
      <c r="W4452">
        <v>0.14209920000000001</v>
      </c>
      <c r="X4452">
        <v>0.98958670000000004</v>
      </c>
      <c r="Y4452">
        <v>8.128001E-2</v>
      </c>
      <c r="Z4452">
        <v>-1.643502E-3</v>
      </c>
      <c r="AA4452">
        <v>0.99668999999999996</v>
      </c>
      <c r="AB4452">
        <v>33</v>
      </c>
      <c r="AC4452">
        <v>25.4345</v>
      </c>
      <c r="AD4452">
        <v>-1.110491700236</v>
      </c>
      <c r="AE4452">
        <v>-2.1648999999999798</v>
      </c>
      <c r="AF4452">
        <v>2.0989654091284899</v>
      </c>
      <c r="AG4452">
        <v>-1.110491700236</v>
      </c>
      <c r="AH4452">
        <v>25.391642854943399</v>
      </c>
      <c r="AI4452">
        <v>92.4957069044533</v>
      </c>
      <c r="AJ4452">
        <v>85.274466873939602</v>
      </c>
      <c r="AK4452">
        <v>25.502438598651899</v>
      </c>
      <c r="AL4452">
        <v>81.830663650763995</v>
      </c>
      <c r="AM4452">
        <v>88.6724306213506</v>
      </c>
      <c r="AN4452">
        <v>0.99999997739454305</v>
      </c>
    </row>
    <row r="4453" spans="1:40" x14ac:dyDescent="0.25">
      <c r="A4453" t="str">
        <f>"20190312172206948"</f>
        <v>20190312172206948</v>
      </c>
      <c r="B4453" t="str">
        <f>"1552382526944592"</f>
        <v>1552382526944592</v>
      </c>
      <c r="C4453" t="s">
        <v>40</v>
      </c>
      <c r="D4453">
        <v>3.245482</v>
      </c>
      <c r="E4453">
        <v>0.52296509999999996</v>
      </c>
      <c r="F4453" t="s">
        <v>46</v>
      </c>
      <c r="G4453">
        <v>-214.93459999999999</v>
      </c>
      <c r="H4453" s="1">
        <v>1.133231E-6</v>
      </c>
      <c r="I4453">
        <v>213.6087</v>
      </c>
      <c r="J4453">
        <v>-240.3561</v>
      </c>
      <c r="K4453">
        <v>1.1104940000000001</v>
      </c>
      <c r="L4453">
        <v>215.79570000000001</v>
      </c>
      <c r="M4453">
        <v>0.99989240000000001</v>
      </c>
      <c r="N4453">
        <v>0</v>
      </c>
      <c r="O4453">
        <v>-2.2477679999999998E-3</v>
      </c>
      <c r="P4453">
        <v>0.99147640000000004</v>
      </c>
      <c r="Q4453">
        <v>0.127695899999999</v>
      </c>
      <c r="R4453">
        <v>-2.585345E-2</v>
      </c>
      <c r="S4453">
        <v>3.036041</v>
      </c>
      <c r="T4453">
        <v>-0.1309353</v>
      </c>
      <c r="U4453">
        <v>-0.25793460000000001</v>
      </c>
      <c r="V4453">
        <v>2.3571160000000001E-2</v>
      </c>
      <c r="W4453">
        <v>0.14207229999999901</v>
      </c>
      <c r="X4453">
        <v>0.9895756</v>
      </c>
      <c r="Y4453">
        <v>8.2338529999999993E-2</v>
      </c>
      <c r="Z4453">
        <v>-1.674767E-3</v>
      </c>
      <c r="AA4453">
        <v>0.99660300000000002</v>
      </c>
      <c r="AB4453">
        <v>33</v>
      </c>
      <c r="AC4453">
        <v>25.421500000000002</v>
      </c>
      <c r="AD4453">
        <v>-1.1104928667689999</v>
      </c>
      <c r="AE4453">
        <v>-2.18700000000001</v>
      </c>
      <c r="AF4453">
        <v>2.1258200977586599</v>
      </c>
      <c r="AG4453">
        <v>-1.1104928667689999</v>
      </c>
      <c r="AH4453">
        <v>25.3782805063029</v>
      </c>
      <c r="AI4453">
        <v>92.496794870115096</v>
      </c>
      <c r="AJ4453">
        <v>85.211778178124106</v>
      </c>
      <c r="AK4453">
        <v>25.491359849011101</v>
      </c>
      <c r="AL4453">
        <v>81.832220915675094</v>
      </c>
      <c r="AM4453">
        <v>88.635503282209399</v>
      </c>
      <c r="AN4453">
        <v>1.0000000030631899</v>
      </c>
    </row>
    <row r="4454" spans="1:40" x14ac:dyDescent="0.25">
      <c r="A4454" t="str">
        <f>"20190312172206971"</f>
        <v>20190312172206971</v>
      </c>
      <c r="B4454" t="str">
        <f>"1552382526965087"</f>
        <v>1552382526965087</v>
      </c>
      <c r="C4454" t="s">
        <v>40</v>
      </c>
      <c r="D4454">
        <v>3.2450760000000001</v>
      </c>
      <c r="E4454">
        <v>0.52311509999999894</v>
      </c>
      <c r="F4454" t="s">
        <v>46</v>
      </c>
      <c r="G4454">
        <v>-214.7321</v>
      </c>
      <c r="H4454" s="1">
        <v>1.0260560000000001E-6</v>
      </c>
      <c r="I4454">
        <v>213.59460000000001</v>
      </c>
      <c r="J4454">
        <v>-240.02010000000001</v>
      </c>
      <c r="K4454">
        <v>1.1104940000000001</v>
      </c>
      <c r="L4454">
        <v>215.79509999999999</v>
      </c>
      <c r="M4454">
        <v>0.99989280000000003</v>
      </c>
      <c r="N4454">
        <v>0</v>
      </c>
      <c r="O4454">
        <v>-2.0548879999999999E-3</v>
      </c>
      <c r="P4454">
        <v>0.99151310000000004</v>
      </c>
      <c r="Q4454">
        <v>0.12726419999999999</v>
      </c>
      <c r="R4454">
        <v>-2.6571819999999999E-2</v>
      </c>
      <c r="S4454">
        <v>3.0359340000000001</v>
      </c>
      <c r="T4454">
        <v>-0.1315712</v>
      </c>
      <c r="U4454">
        <v>-0.26078800000000002</v>
      </c>
      <c r="V4454">
        <v>2.44808E-2</v>
      </c>
      <c r="W4454">
        <v>0.1416394</v>
      </c>
      <c r="X4454">
        <v>0.98961560000000004</v>
      </c>
      <c r="Y4454">
        <v>8.3461629999999995E-2</v>
      </c>
      <c r="Z4454">
        <v>-1.715505E-3</v>
      </c>
      <c r="AA4454">
        <v>0.99650950000000005</v>
      </c>
      <c r="AB4454">
        <v>33</v>
      </c>
      <c r="AC4454">
        <v>25.288</v>
      </c>
      <c r="AD4454">
        <v>-1.1104929739439999</v>
      </c>
      <c r="AE4454">
        <v>-2.2004999999999701</v>
      </c>
      <c r="AF4454">
        <v>2.1444216064271102</v>
      </c>
      <c r="AG4454">
        <v>-1.1104929739439999</v>
      </c>
      <c r="AH4454">
        <v>25.2441532569438</v>
      </c>
      <c r="AI4454">
        <v>92.509796001668207</v>
      </c>
      <c r="AJ4454">
        <v>85.144537296610494</v>
      </c>
      <c r="AK4454">
        <v>25.359396923652501</v>
      </c>
      <c r="AL4454">
        <v>81.857277890518702</v>
      </c>
      <c r="AM4454">
        <v>88.5829240099429</v>
      </c>
      <c r="AN4454">
        <v>1.0000000324821701</v>
      </c>
    </row>
    <row r="4455" spans="1:40" x14ac:dyDescent="0.25">
      <c r="A4455" t="str">
        <f>"20190312172206993"</f>
        <v>20190312172206993</v>
      </c>
      <c r="B4455" t="str">
        <f>"1552382526984607"</f>
        <v>1552382526984607</v>
      </c>
      <c r="C4455" t="s">
        <v>40</v>
      </c>
      <c r="D4455">
        <v>3.2198159999999998</v>
      </c>
      <c r="E4455">
        <v>0.5232251</v>
      </c>
      <c r="F4455" t="s">
        <v>46</v>
      </c>
      <c r="G4455">
        <v>-214.74449999999999</v>
      </c>
      <c r="H4455" s="1">
        <v>1.0326249999999999E-6</v>
      </c>
      <c r="I4455">
        <v>213.59520000000001</v>
      </c>
      <c r="J4455">
        <v>-239.69220000000001</v>
      </c>
      <c r="K4455">
        <v>1.110495</v>
      </c>
      <c r="L4455">
        <v>215.79470000000001</v>
      </c>
      <c r="M4455">
        <v>0.99989329999999998</v>
      </c>
      <c r="N4455">
        <v>0</v>
      </c>
      <c r="O4455">
        <v>-1.866894E-3</v>
      </c>
      <c r="P4455">
        <v>0.99150430000000001</v>
      </c>
      <c r="Q4455">
        <v>0.12705719999999901</v>
      </c>
      <c r="R4455">
        <v>-2.7858399999999998E-2</v>
      </c>
      <c r="S4455">
        <v>3.0357210000000001</v>
      </c>
      <c r="T4455">
        <v>-0.13337539999999901</v>
      </c>
      <c r="U4455">
        <v>-0.26422119999999999</v>
      </c>
      <c r="V4455">
        <v>2.5954069999999999E-2</v>
      </c>
      <c r="W4455">
        <v>0.14143029999999901</v>
      </c>
      <c r="X4455">
        <v>0.98960789999999998</v>
      </c>
      <c r="Y4455">
        <v>8.4769990000000003E-2</v>
      </c>
      <c r="Z4455">
        <v>-1.7759589999999999E-3</v>
      </c>
      <c r="AA4455">
        <v>0.99639900000000003</v>
      </c>
      <c r="AB4455">
        <v>33</v>
      </c>
      <c r="AC4455">
        <v>24.947700000000001</v>
      </c>
      <c r="AD4455">
        <v>-1.1104939673750001</v>
      </c>
      <c r="AE4455">
        <v>-2.1995</v>
      </c>
      <c r="AF4455">
        <v>2.1486919927138302</v>
      </c>
      <c r="AG4455">
        <v>-1.1104939673750001</v>
      </c>
      <c r="AH4455">
        <v>24.902801435828501</v>
      </c>
      <c r="AI4455">
        <v>92.543867602219194</v>
      </c>
      <c r="AJ4455">
        <v>85.068553672280402</v>
      </c>
      <c r="AK4455">
        <v>25.019983882557401</v>
      </c>
      <c r="AL4455">
        <v>81.869379754447806</v>
      </c>
      <c r="AM4455">
        <v>88.497669771827702</v>
      </c>
      <c r="AN4455">
        <v>0.99999996962503201</v>
      </c>
    </row>
    <row r="4456" spans="1:40" x14ac:dyDescent="0.25">
      <c r="A4456" t="str">
        <f>"20190312172207015"</f>
        <v>20190312172207015</v>
      </c>
      <c r="B4456" t="str">
        <f>"1552382527005104"</f>
        <v>1552382527005104</v>
      </c>
      <c r="C4456" t="s">
        <v>40</v>
      </c>
      <c r="D4456">
        <v>3.2522340000000001</v>
      </c>
      <c r="E4456">
        <v>0.52333809999999903</v>
      </c>
      <c r="F4456" t="s">
        <v>46</v>
      </c>
      <c r="G4456">
        <v>-214.61410000000001</v>
      </c>
      <c r="H4456" s="1">
        <v>9.641936000000001E-7</v>
      </c>
      <c r="I4456">
        <v>213.57310000000001</v>
      </c>
      <c r="J4456">
        <v>-239.37020000000001</v>
      </c>
      <c r="K4456">
        <v>1.1104969999999901</v>
      </c>
      <c r="L4456">
        <v>215.79429999999999</v>
      </c>
      <c r="M4456">
        <v>0.99989349999999999</v>
      </c>
      <c r="N4456">
        <v>0</v>
      </c>
      <c r="O4456">
        <v>-1.68188E-3</v>
      </c>
      <c r="P4456">
        <v>0.99150400000000005</v>
      </c>
      <c r="Q4456">
        <v>0.12674730000000001</v>
      </c>
      <c r="R4456">
        <v>-2.9247160000000001E-2</v>
      </c>
      <c r="S4456">
        <v>3.035355</v>
      </c>
      <c r="T4456">
        <v>-0.13440949999999999</v>
      </c>
      <c r="U4456">
        <v>-0.26889039999999997</v>
      </c>
      <c r="V4456">
        <v>2.7526620000000002E-2</v>
      </c>
      <c r="W4456">
        <v>0.14111870000000001</v>
      </c>
      <c r="X4456">
        <v>0.98960990000000004</v>
      </c>
      <c r="Y4456">
        <v>8.6482530000000002E-2</v>
      </c>
      <c r="Z4456">
        <v>-1.835808E-3</v>
      </c>
      <c r="AA4456">
        <v>0.99625169999999996</v>
      </c>
      <c r="AB4456">
        <v>33</v>
      </c>
      <c r="AC4456">
        <v>24.7561</v>
      </c>
      <c r="AD4456">
        <v>-1.11049603580639</v>
      </c>
      <c r="AE4456">
        <v>-2.2211999999999801</v>
      </c>
      <c r="AF4456">
        <v>2.17521369755843</v>
      </c>
      <c r="AG4456">
        <v>-1.11049603580639</v>
      </c>
      <c r="AH4456">
        <v>24.710476004917201</v>
      </c>
      <c r="AI4456">
        <v>92.5632589916098</v>
      </c>
      <c r="AJ4456">
        <v>84.969334662108196</v>
      </c>
      <c r="AK4456">
        <v>24.830875547696099</v>
      </c>
      <c r="AL4456">
        <v>81.887414065422604</v>
      </c>
      <c r="AM4456">
        <v>88.406692793952701</v>
      </c>
      <c r="AN4456">
        <v>0.999999978238162</v>
      </c>
    </row>
    <row r="4457" spans="1:40" x14ac:dyDescent="0.25">
      <c r="A4457" t="str">
        <f>"20190312172207037"</f>
        <v>20190312172207037</v>
      </c>
      <c r="B4457" t="str">
        <f>"1552382527035360"</f>
        <v>1552382527035360</v>
      </c>
      <c r="C4457" t="s">
        <v>40</v>
      </c>
      <c r="D4457">
        <v>3.248491</v>
      </c>
      <c r="E4457">
        <v>0.52348509999999904</v>
      </c>
      <c r="F4457" t="s">
        <v>46</v>
      </c>
      <c r="G4457">
        <v>-214.5386</v>
      </c>
      <c r="H4457" s="1">
        <v>9.2481939999999999E-7</v>
      </c>
      <c r="I4457">
        <v>213.55439999999999</v>
      </c>
      <c r="J4457">
        <v>-239.0412</v>
      </c>
      <c r="K4457">
        <v>1.110495</v>
      </c>
      <c r="L4457">
        <v>215.79390000000001</v>
      </c>
      <c r="M4457">
        <v>0.9998939</v>
      </c>
      <c r="N4457">
        <v>0</v>
      </c>
      <c r="O4457">
        <v>-1.4925750000000001E-3</v>
      </c>
      <c r="P4457">
        <v>0.99150590000000005</v>
      </c>
      <c r="Q4457">
        <v>0.12634029999999999</v>
      </c>
      <c r="R4457">
        <v>-3.0894850000000001E-2</v>
      </c>
      <c r="S4457">
        <v>3.0349879999999998</v>
      </c>
      <c r="T4457">
        <v>-0.13572779999999901</v>
      </c>
      <c r="U4457">
        <v>-0.2737579</v>
      </c>
      <c r="V4457">
        <v>2.9362320000000001E-2</v>
      </c>
      <c r="W4457">
        <v>0.1407099</v>
      </c>
      <c r="X4457">
        <v>0.98961540000000003</v>
      </c>
      <c r="Y4457">
        <v>8.8263129999999995E-2</v>
      </c>
      <c r="Z4457">
        <v>-1.902045E-3</v>
      </c>
      <c r="AA4457">
        <v>0.99609539999999996</v>
      </c>
      <c r="AB4457">
        <v>33</v>
      </c>
      <c r="AC4457">
        <v>24.502600000000001</v>
      </c>
      <c r="AD4457">
        <v>-1.1104940751806001</v>
      </c>
      <c r="AE4457">
        <v>-2.23950000000002</v>
      </c>
      <c r="AF4457">
        <v>2.1984434238544699</v>
      </c>
      <c r="AG4457">
        <v>-1.1104940751806001</v>
      </c>
      <c r="AH4457">
        <v>24.4560981161064</v>
      </c>
      <c r="AI4457">
        <v>92.589454006783697</v>
      </c>
      <c r="AJ4457">
        <v>84.8632904050191</v>
      </c>
      <c r="AK4457">
        <v>24.579810529040401</v>
      </c>
      <c r="AL4457">
        <v>81.911073079402996</v>
      </c>
      <c r="AM4457">
        <v>88.300507853795096</v>
      </c>
      <c r="AN4457">
        <v>1.00000003085547</v>
      </c>
    </row>
    <row r="4458" spans="1:40" x14ac:dyDescent="0.25">
      <c r="A4458" t="str">
        <f>"20190312172207061"</f>
        <v>20190312172207061</v>
      </c>
      <c r="B4458" t="str">
        <f>"1552382527054880"</f>
        <v>1552382527054880</v>
      </c>
      <c r="C4458" t="s">
        <v>40</v>
      </c>
      <c r="D4458">
        <v>3.2449270000000001</v>
      </c>
      <c r="E4458">
        <v>0.52361449999999998</v>
      </c>
      <c r="F4458" t="s">
        <v>46</v>
      </c>
      <c r="G4458">
        <v>-214.52610000000001</v>
      </c>
      <c r="H4458" s="1">
        <v>9.1916819999999997E-7</v>
      </c>
      <c r="I4458">
        <v>213.5318</v>
      </c>
      <c r="J4458">
        <v>-238.7</v>
      </c>
      <c r="K4458">
        <v>1.110492</v>
      </c>
      <c r="L4458">
        <v>215.7936</v>
      </c>
      <c r="M4458">
        <v>0.99989430000000001</v>
      </c>
      <c r="N4458">
        <v>0</v>
      </c>
      <c r="O4458">
        <v>-1.2964700000000001E-3</v>
      </c>
      <c r="P4458">
        <v>0.99142249999999998</v>
      </c>
      <c r="Q4458">
        <v>0.1264604</v>
      </c>
      <c r="R4458">
        <v>-3.3002820000000002E-2</v>
      </c>
      <c r="S4458">
        <v>3.0345</v>
      </c>
      <c r="T4458">
        <v>-0.13745769999999999</v>
      </c>
      <c r="U4458">
        <v>-0.27999879999999999</v>
      </c>
      <c r="V4458">
        <v>3.166501E-2</v>
      </c>
      <c r="W4458">
        <v>0.14082649999999999</v>
      </c>
      <c r="X4458">
        <v>0.98952779999999996</v>
      </c>
      <c r="Y4458">
        <v>9.0499590000000005E-2</v>
      </c>
      <c r="Z4458">
        <v>-1.985775E-3</v>
      </c>
      <c r="AA4458">
        <v>0.99589450000000002</v>
      </c>
      <c r="AB4458">
        <v>33</v>
      </c>
      <c r="AC4458">
        <v>24.1738999999999</v>
      </c>
      <c r="AD4458">
        <v>-1.1104910808318</v>
      </c>
      <c r="AE4458">
        <v>-2.2617999999999898</v>
      </c>
      <c r="AF4458">
        <v>2.2257978174628601</v>
      </c>
      <c r="AG4458">
        <v>-1.1104910808318</v>
      </c>
      <c r="AH4458">
        <v>24.126341235943901</v>
      </c>
      <c r="AI4458">
        <v>92.624230962444898</v>
      </c>
      <c r="AJ4458">
        <v>84.729045304833704</v>
      </c>
      <c r="AK4458">
        <v>24.254230719568</v>
      </c>
      <c r="AL4458">
        <v>81.904325123745295</v>
      </c>
      <c r="AM4458">
        <v>88.167153529771397</v>
      </c>
      <c r="AN4458">
        <v>1.00000002146669</v>
      </c>
    </row>
    <row r="4459" spans="1:40" x14ac:dyDescent="0.25">
      <c r="A4459" t="str">
        <f>"20190312172207083"</f>
        <v>20190312172207083</v>
      </c>
      <c r="B4459" t="str">
        <f>"1552382527075376"</f>
        <v>1552382527075376</v>
      </c>
      <c r="C4459" t="s">
        <v>40</v>
      </c>
      <c r="D4459">
        <v>3.233695</v>
      </c>
      <c r="E4459">
        <v>0.52367509999999995</v>
      </c>
      <c r="F4459" t="s">
        <v>46</v>
      </c>
      <c r="G4459">
        <v>-214.20769999999999</v>
      </c>
      <c r="H4459" s="1">
        <v>7.5226599999999999E-7</v>
      </c>
      <c r="I4459">
        <v>213.47460000000001</v>
      </c>
      <c r="J4459">
        <v>-238.3717</v>
      </c>
      <c r="K4459">
        <v>1.11049</v>
      </c>
      <c r="L4459">
        <v>215.79329999999999</v>
      </c>
      <c r="M4459">
        <v>0.99989450000000002</v>
      </c>
      <c r="N4459">
        <v>0</v>
      </c>
      <c r="O4459">
        <v>-1.1078780000000001E-3</v>
      </c>
      <c r="P4459">
        <v>0.99130180000000001</v>
      </c>
      <c r="Q4459">
        <v>0.12692300000000001</v>
      </c>
      <c r="R4459">
        <v>-3.4806429999999999E-2</v>
      </c>
      <c r="S4459">
        <v>3.0339510000000001</v>
      </c>
      <c r="T4459">
        <v>-0.13756099999999999</v>
      </c>
      <c r="U4459">
        <v>-0.28726200000000002</v>
      </c>
      <c r="V4459">
        <v>3.3655850000000001E-2</v>
      </c>
      <c r="W4459">
        <v>0.14128540000000001</v>
      </c>
      <c r="X4459">
        <v>0.98939659999999996</v>
      </c>
      <c r="Y4459">
        <v>9.3064170000000002E-2</v>
      </c>
      <c r="Z4459">
        <v>-2.0539109999999998E-3</v>
      </c>
      <c r="AA4459">
        <v>0.99565800000000004</v>
      </c>
      <c r="AB4459">
        <v>33</v>
      </c>
      <c r="AC4459">
        <v>24.164000000000001</v>
      </c>
      <c r="AD4459">
        <v>-1.110489247734</v>
      </c>
      <c r="AE4459">
        <v>-2.31869999999997</v>
      </c>
      <c r="AF4459">
        <v>2.2871386705614198</v>
      </c>
      <c r="AG4459">
        <v>-1.110489247734</v>
      </c>
      <c r="AH4459">
        <v>24.1160861301497</v>
      </c>
      <c r="AI4459">
        <v>92.624713139940994</v>
      </c>
      <c r="AJ4459">
        <v>84.582345816158593</v>
      </c>
      <c r="AK4459">
        <v>24.249738140947201</v>
      </c>
      <c r="AL4459">
        <v>81.877766015336505</v>
      </c>
      <c r="AM4459">
        <v>88.051746993322197</v>
      </c>
      <c r="AN4459">
        <v>0.99999995629197003</v>
      </c>
    </row>
    <row r="4460" spans="1:40" x14ac:dyDescent="0.25">
      <c r="A4460" t="str">
        <f>"20190312172207104"</f>
        <v>20190312172207104</v>
      </c>
      <c r="B4460" t="str">
        <f>"1552382527094896"</f>
        <v>1552382527094896</v>
      </c>
      <c r="C4460" t="s">
        <v>40</v>
      </c>
      <c r="D4460">
        <v>3.2223009999999999</v>
      </c>
      <c r="E4460">
        <v>0.52372549999999995</v>
      </c>
      <c r="F4460" t="s">
        <v>46</v>
      </c>
      <c r="G4460">
        <v>-213.66739999999999</v>
      </c>
      <c r="H4460" s="1">
        <v>4.677404E-7</v>
      </c>
      <c r="I4460">
        <v>213.4058</v>
      </c>
      <c r="J4460">
        <v>-238.0557</v>
      </c>
      <c r="K4460">
        <v>1.1104959999999999</v>
      </c>
      <c r="L4460">
        <v>215.79320000000001</v>
      </c>
      <c r="M4460">
        <v>0.99989470000000003</v>
      </c>
      <c r="N4460">
        <v>0</v>
      </c>
      <c r="O4460">
        <v>-9.2619920000000001E-4</v>
      </c>
      <c r="P4460">
        <v>0.99117670000000002</v>
      </c>
      <c r="Q4460">
        <v>0.1271515</v>
      </c>
      <c r="R4460">
        <v>-3.7433170000000002E-2</v>
      </c>
      <c r="S4460">
        <v>3.033493</v>
      </c>
      <c r="T4460">
        <v>-0.13635949999999999</v>
      </c>
      <c r="U4460">
        <v>-0.29316710000000001</v>
      </c>
      <c r="V4460">
        <v>3.6462849999999998E-2</v>
      </c>
      <c r="W4460">
        <v>0.14151050000000001</v>
      </c>
      <c r="X4460">
        <v>0.98926499999999995</v>
      </c>
      <c r="Y4460">
        <v>9.5178899999999997E-2</v>
      </c>
      <c r="Z4460">
        <v>-2.091646E-3</v>
      </c>
      <c r="AA4460">
        <v>0.99545799999999995</v>
      </c>
      <c r="AB4460">
        <v>33</v>
      </c>
      <c r="AC4460">
        <v>24.388300000000001</v>
      </c>
      <c r="AD4460">
        <v>-1.1104955322596</v>
      </c>
      <c r="AE4460">
        <v>-2.3874000000000102</v>
      </c>
      <c r="AF4460">
        <v>2.3599616224121598</v>
      </c>
      <c r="AG4460">
        <v>-1.1104955322596</v>
      </c>
      <c r="AH4460">
        <v>24.340513821823802</v>
      </c>
      <c r="AI4460">
        <v>92.600038011805907</v>
      </c>
      <c r="AJ4460">
        <v>84.462133489794297</v>
      </c>
      <c r="AK4460">
        <v>24.479853600396002</v>
      </c>
      <c r="AL4460">
        <v>81.864738201716406</v>
      </c>
      <c r="AM4460">
        <v>87.889117572825995</v>
      </c>
      <c r="AN4460">
        <v>1.0000000006326799</v>
      </c>
    </row>
    <row r="4461" spans="1:40" x14ac:dyDescent="0.25">
      <c r="A4461" t="str">
        <f>"20190312172207127"</f>
        <v>20190312172207127</v>
      </c>
      <c r="B4461" t="str">
        <f>"1552382527115393"</f>
        <v>1552382527115393</v>
      </c>
      <c r="C4461" t="s">
        <v>40</v>
      </c>
      <c r="D4461">
        <v>3.2133099999999999</v>
      </c>
      <c r="E4461">
        <v>0.52377399999999996</v>
      </c>
      <c r="F4461" t="s">
        <v>46</v>
      </c>
      <c r="G4461">
        <v>-213.30510000000001</v>
      </c>
      <c r="H4461" s="1">
        <v>2.7791249999999999E-7</v>
      </c>
      <c r="I4461">
        <v>213.3374</v>
      </c>
      <c r="J4461">
        <v>-237.73249999999999</v>
      </c>
      <c r="K4461">
        <v>1.1104969999999901</v>
      </c>
      <c r="L4461">
        <v>215.79310000000001</v>
      </c>
      <c r="M4461">
        <v>0.99989490000000003</v>
      </c>
      <c r="N4461">
        <v>0</v>
      </c>
      <c r="O4461">
        <v>-7.4034709999999996E-4</v>
      </c>
      <c r="P4461">
        <v>0.99113359999999995</v>
      </c>
      <c r="Q4461">
        <v>0.12686359999999999</v>
      </c>
      <c r="R4461">
        <v>-3.9494870000000001E-2</v>
      </c>
      <c r="S4461">
        <v>3.0328059999999999</v>
      </c>
      <c r="T4461">
        <v>-0.1360739</v>
      </c>
      <c r="U4461">
        <v>-0.30091859999999998</v>
      </c>
      <c r="V4461">
        <v>3.8708890000000003E-2</v>
      </c>
      <c r="W4461">
        <v>0.14121929999999999</v>
      </c>
      <c r="X4461">
        <v>0.98922129999999997</v>
      </c>
      <c r="Y4461">
        <v>9.7902719999999999E-2</v>
      </c>
      <c r="Z4461">
        <v>-2.1567219999999998E-3</v>
      </c>
      <c r="AA4461">
        <v>0.99519369999999996</v>
      </c>
      <c r="AB4461">
        <v>33</v>
      </c>
      <c r="AC4461">
        <v>24.427399999999899</v>
      </c>
      <c r="AD4461">
        <v>-1.1104967220874999</v>
      </c>
      <c r="AE4461">
        <v>-2.4557000000000002</v>
      </c>
      <c r="AF4461">
        <v>2.4326354201380198</v>
      </c>
      <c r="AG4461">
        <v>-1.1104967220874999</v>
      </c>
      <c r="AH4461">
        <v>24.379330613314998</v>
      </c>
      <c r="AI4461">
        <v>92.595192877897205</v>
      </c>
      <c r="AJ4461">
        <v>84.301734258840597</v>
      </c>
      <c r="AK4461">
        <v>24.525551557720298</v>
      </c>
      <c r="AL4461">
        <v>81.881592181944299</v>
      </c>
      <c r="AM4461">
        <v>87.759121174390103</v>
      </c>
      <c r="AN4461">
        <v>1.0000000246156</v>
      </c>
    </row>
    <row r="4462" spans="1:40" x14ac:dyDescent="0.25">
      <c r="A4462" t="str">
        <f>"20190312172207149"</f>
        <v>20190312172207149</v>
      </c>
      <c r="B4462" t="str">
        <f>"1552382527144675"</f>
        <v>1552382527144675</v>
      </c>
      <c r="C4462" t="s">
        <v>40</v>
      </c>
      <c r="D4462">
        <v>3.2082600000000001</v>
      </c>
      <c r="E4462">
        <v>0.5238313</v>
      </c>
      <c r="F4462" t="s">
        <v>46</v>
      </c>
      <c r="G4462">
        <v>-213.18299999999999</v>
      </c>
      <c r="H4462" s="1">
        <v>2.14436E-7</v>
      </c>
      <c r="I4462">
        <v>213.3031</v>
      </c>
      <c r="J4462">
        <v>-237.4023</v>
      </c>
      <c r="K4462">
        <v>1.1104989999999999</v>
      </c>
      <c r="L4462">
        <v>215.79300000000001</v>
      </c>
      <c r="M4462">
        <v>0.99989510000000004</v>
      </c>
      <c r="N4462">
        <v>0</v>
      </c>
      <c r="O4462">
        <v>-5.5067720000000003E-4</v>
      </c>
      <c r="P4462">
        <v>0.99119900000000005</v>
      </c>
      <c r="Q4462">
        <v>0.12594140000000001</v>
      </c>
      <c r="R4462">
        <v>-4.0782489999999998E-2</v>
      </c>
      <c r="S4462">
        <v>3.0321199999999999</v>
      </c>
      <c r="T4462">
        <v>-0.137158</v>
      </c>
      <c r="U4462">
        <v>-0.30754090000000001</v>
      </c>
      <c r="V4462">
        <v>4.0185070000000003E-2</v>
      </c>
      <c r="W4462">
        <v>0.14029539999999999</v>
      </c>
      <c r="X4462">
        <v>0.98929389999999995</v>
      </c>
      <c r="Y4462">
        <v>0.10026110000000001</v>
      </c>
      <c r="Z4462">
        <v>-2.2358719999999999E-3</v>
      </c>
      <c r="AA4462">
        <v>0.99495860000000003</v>
      </c>
      <c r="AB4462">
        <v>33</v>
      </c>
      <c r="AC4462">
        <v>24.2193</v>
      </c>
      <c r="AD4462">
        <v>-1.1104987855639901</v>
      </c>
      <c r="AE4462">
        <v>-2.4899</v>
      </c>
      <c r="AF4462">
        <v>2.4714196660738899</v>
      </c>
      <c r="AG4462">
        <v>-1.1104987855639901</v>
      </c>
      <c r="AH4462">
        <v>24.170383522638701</v>
      </c>
      <c r="AI4462">
        <v>92.616956662101003</v>
      </c>
      <c r="AJ4462">
        <v>84.161801196012206</v>
      </c>
      <c r="AK4462">
        <v>24.3217713653845</v>
      </c>
      <c r="AL4462">
        <v>81.935060115464594</v>
      </c>
      <c r="AM4462">
        <v>87.673926991342896</v>
      </c>
      <c r="AN4462">
        <v>1.0000000298446301</v>
      </c>
    </row>
    <row r="4463" spans="1:40" x14ac:dyDescent="0.25">
      <c r="A4463" t="str">
        <f>"20190312172207172"</f>
        <v>20190312172207172</v>
      </c>
      <c r="B4463" t="str">
        <f>"1552382527164698"</f>
        <v>1552382527164698</v>
      </c>
      <c r="C4463" t="s">
        <v>40</v>
      </c>
      <c r="D4463">
        <v>3.2154959999999999</v>
      </c>
      <c r="E4463">
        <v>0.52388040000000002</v>
      </c>
      <c r="F4463" t="s">
        <v>46</v>
      </c>
      <c r="G4463">
        <v>-213.4128</v>
      </c>
      <c r="H4463" s="1">
        <v>3.3581100000000002E-7</v>
      </c>
      <c r="I4463">
        <v>213.32470000000001</v>
      </c>
      <c r="J4463">
        <v>-237.06970000000001</v>
      </c>
      <c r="K4463">
        <v>1.1104989999999999</v>
      </c>
      <c r="L4463">
        <v>215.79300000000001</v>
      </c>
      <c r="M4463">
        <v>0.99989519999999998</v>
      </c>
      <c r="N4463">
        <v>0</v>
      </c>
      <c r="O4463">
        <v>-3.5921979999999998E-4</v>
      </c>
      <c r="P4463">
        <v>0.99118220000000001</v>
      </c>
      <c r="Q4463">
        <v>0.1255279</v>
      </c>
      <c r="R4463">
        <v>-4.2432079999999997E-2</v>
      </c>
      <c r="S4463">
        <v>3.031631</v>
      </c>
      <c r="T4463">
        <v>-0.14033760000000001</v>
      </c>
      <c r="U4463">
        <v>-0.31193539999999997</v>
      </c>
      <c r="V4463">
        <v>4.2024600000000002E-2</v>
      </c>
      <c r="W4463">
        <v>0.13987949999999999</v>
      </c>
      <c r="X4463">
        <v>0.9892763</v>
      </c>
      <c r="Y4463">
        <v>0.1018882</v>
      </c>
      <c r="Z4463">
        <v>-2.3342250000000001E-3</v>
      </c>
      <c r="AA4463">
        <v>0.99479309999999999</v>
      </c>
      <c r="AB4463">
        <v>33</v>
      </c>
      <c r="AC4463">
        <v>23.6569</v>
      </c>
      <c r="AD4463">
        <v>-1.110498664189</v>
      </c>
      <c r="AE4463">
        <v>-2.4683000000000002</v>
      </c>
      <c r="AF4463">
        <v>2.4544506941458799</v>
      </c>
      <c r="AG4463">
        <v>-1.110498664189</v>
      </c>
      <c r="AH4463">
        <v>23.6063279823749</v>
      </c>
      <c r="AI4463">
        <v>92.678925865519702</v>
      </c>
      <c r="AJ4463">
        <v>84.064042410750304</v>
      </c>
      <c r="AK4463">
        <v>23.759550843915701</v>
      </c>
      <c r="AL4463">
        <v>81.959126260083494</v>
      </c>
      <c r="AM4463">
        <v>87.567529495519594</v>
      </c>
      <c r="AN4463">
        <v>0.99999996963354898</v>
      </c>
    </row>
    <row r="4464" spans="1:40" x14ac:dyDescent="0.25">
      <c r="A4464" t="str">
        <f>"20190312172207193"</f>
        <v>20190312172207193</v>
      </c>
      <c r="B4464" t="str">
        <f>"1552382527185194"</f>
        <v>1552382527185194</v>
      </c>
      <c r="C4464" t="s">
        <v>40</v>
      </c>
      <c r="D4464">
        <v>3.338292</v>
      </c>
      <c r="E4464">
        <v>0.52395979999999998</v>
      </c>
      <c r="F4464" t="s">
        <v>46</v>
      </c>
      <c r="G4464">
        <v>-213.37540000000001</v>
      </c>
      <c r="H4464" s="1">
        <v>3.1605820000000002E-7</v>
      </c>
      <c r="I4464">
        <v>213.3201</v>
      </c>
      <c r="J4464">
        <v>-236.7542</v>
      </c>
      <c r="K4464">
        <v>1.1104940000000001</v>
      </c>
      <c r="L4464">
        <v>215.79310000000001</v>
      </c>
      <c r="M4464">
        <v>0.99989530000000004</v>
      </c>
      <c r="N4464">
        <v>0</v>
      </c>
      <c r="O4464">
        <v>-1.7765820000000001E-4</v>
      </c>
      <c r="P4464">
        <v>0.99118200000000001</v>
      </c>
      <c r="Q4464">
        <v>0.1250965</v>
      </c>
      <c r="R4464">
        <v>-4.3697960000000001E-2</v>
      </c>
      <c r="S4464">
        <v>3.0311430000000001</v>
      </c>
      <c r="T4464">
        <v>-0.142062299999999</v>
      </c>
      <c r="U4464">
        <v>-0.31634519999999999</v>
      </c>
      <c r="V4464">
        <v>4.3470689999999999E-2</v>
      </c>
      <c r="W4464">
        <v>0.1394456</v>
      </c>
      <c r="X4464">
        <v>0.98927509999999996</v>
      </c>
      <c r="Y4464">
        <v>0.1035123</v>
      </c>
      <c r="Z4464">
        <v>-2.4094989999999998E-3</v>
      </c>
      <c r="AA4464">
        <v>0.99462530000000005</v>
      </c>
      <c r="AB4464">
        <v>33</v>
      </c>
      <c r="AC4464">
        <v>23.378799999999899</v>
      </c>
      <c r="AD4464">
        <v>-1.1104936839418</v>
      </c>
      <c r="AE4464">
        <v>-2.4730000000000101</v>
      </c>
      <c r="AF4464">
        <v>2.4633496525141099</v>
      </c>
      <c r="AG4464">
        <v>-1.1104936839418</v>
      </c>
      <c r="AH4464">
        <v>23.327189389984301</v>
      </c>
      <c r="AI4464">
        <v>92.710466771859302</v>
      </c>
      <c r="AJ4464">
        <v>83.971910342363302</v>
      </c>
      <c r="AK4464">
        <v>23.483165301313502</v>
      </c>
      <c r="AL4464">
        <v>81.984233210579504</v>
      </c>
      <c r="AM4464">
        <v>87.483929557921201</v>
      </c>
      <c r="AN4464">
        <v>0.99999999986422305</v>
      </c>
    </row>
    <row r="4465" spans="1:40" x14ac:dyDescent="0.25">
      <c r="A4465" t="str">
        <f>"20190312172207261"</f>
        <v>20190312172207261</v>
      </c>
      <c r="B4465" t="str">
        <f>"1552382527255470"</f>
        <v>1552382527255470</v>
      </c>
      <c r="C4465" t="s">
        <v>40</v>
      </c>
      <c r="D4465">
        <v>3.2259259999999998</v>
      </c>
      <c r="E4465">
        <v>0.52401260000000005</v>
      </c>
      <c r="F4465" t="s">
        <v>46</v>
      </c>
      <c r="G4465">
        <v>-213.3562</v>
      </c>
      <c r="H4465" s="1">
        <v>3.0584009999999998E-7</v>
      </c>
      <c r="I4465">
        <v>213.32050000000001</v>
      </c>
      <c r="J4465">
        <v>-235.77209999999999</v>
      </c>
      <c r="K4465">
        <v>1.110484</v>
      </c>
      <c r="L4465">
        <v>215.7937</v>
      </c>
      <c r="M4465">
        <v>0.99989530000000004</v>
      </c>
      <c r="N4465">
        <v>0</v>
      </c>
      <c r="O4465">
        <v>3.8807030000000001E-4</v>
      </c>
      <c r="P4465">
        <v>0.99138349999999997</v>
      </c>
      <c r="Q4465">
        <v>0.1223298</v>
      </c>
      <c r="R4465">
        <v>-4.6842290000000002E-2</v>
      </c>
      <c r="S4465">
        <v>3.0307309999999998</v>
      </c>
      <c r="T4465">
        <v>-0.14384149999999901</v>
      </c>
      <c r="U4465">
        <v>-0.32026670000000002</v>
      </c>
      <c r="V4465">
        <v>4.717731E-2</v>
      </c>
      <c r="W4465">
        <v>0.1366733</v>
      </c>
      <c r="X4465">
        <v>0.98949209999999999</v>
      </c>
      <c r="Y4465">
        <v>0.105356199999999</v>
      </c>
      <c r="Z4465">
        <v>-2.5101820000000001E-3</v>
      </c>
      <c r="AA4465">
        <v>0.99443139999999997</v>
      </c>
      <c r="AB4465">
        <v>33</v>
      </c>
      <c r="AC4465">
        <v>22.415899999999901</v>
      </c>
      <c r="AD4465">
        <v>-1.1104836941598999</v>
      </c>
      <c r="AE4465">
        <v>-2.4731999999999901</v>
      </c>
      <c r="AF4465">
        <v>2.4758963748244001</v>
      </c>
      <c r="AG4465">
        <v>-1.1104836941598999</v>
      </c>
      <c r="AH4465">
        <v>22.360720503203499</v>
      </c>
      <c r="AI4465">
        <v>92.825859901298003</v>
      </c>
      <c r="AJ4465">
        <v>83.681647761204502</v>
      </c>
      <c r="AK4465">
        <v>22.524765444200501</v>
      </c>
      <c r="AL4465">
        <v>82.144609760925803</v>
      </c>
      <c r="AM4465">
        <v>87.270301276176795</v>
      </c>
      <c r="AN4465">
        <v>0.99999995273706599</v>
      </c>
    </row>
    <row r="4466" spans="1:40" x14ac:dyDescent="0.25">
      <c r="A4466" t="str">
        <f>"20190312172207284"</f>
        <v>20190312172207284</v>
      </c>
      <c r="B4466" t="str">
        <f>"1552382527275404"</f>
        <v>1552382527275404</v>
      </c>
      <c r="C4466" t="s">
        <v>40</v>
      </c>
      <c r="D4466">
        <v>3.2342360000000001</v>
      </c>
      <c r="E4466">
        <v>0.52447730000000004</v>
      </c>
      <c r="F4466" t="s">
        <v>46</v>
      </c>
      <c r="G4466">
        <v>-214.6514</v>
      </c>
      <c r="H4466" s="1">
        <v>9.8757199999999994E-7</v>
      </c>
      <c r="I4466">
        <v>213.4931</v>
      </c>
      <c r="J4466">
        <v>-235.4436</v>
      </c>
      <c r="K4466">
        <v>1.110484</v>
      </c>
      <c r="L4466">
        <v>215.79400000000001</v>
      </c>
      <c r="M4466">
        <v>0.99989550000000005</v>
      </c>
      <c r="N4466">
        <v>0</v>
      </c>
      <c r="O4466">
        <v>5.7720220000000004E-4</v>
      </c>
      <c r="P4466">
        <v>0.99139259999999996</v>
      </c>
      <c r="Q4466">
        <v>0.1216723</v>
      </c>
      <c r="R4466">
        <v>-4.8344890000000001E-2</v>
      </c>
      <c r="S4466">
        <v>3.030106</v>
      </c>
      <c r="T4466">
        <v>-0.15931699999999999</v>
      </c>
      <c r="U4466">
        <v>-0.33006289999999999</v>
      </c>
      <c r="V4466">
        <v>4.8867760000000003E-2</v>
      </c>
      <c r="W4466">
        <v>0.136013</v>
      </c>
      <c r="X4466">
        <v>0.98950110000000002</v>
      </c>
      <c r="Y4466">
        <v>0.108712</v>
      </c>
      <c r="Z4466">
        <v>-2.8777949999999998E-3</v>
      </c>
      <c r="AA4466">
        <v>0.99406910000000004</v>
      </c>
      <c r="AB4466">
        <v>32</v>
      </c>
      <c r="AC4466">
        <v>20.792200000000001</v>
      </c>
      <c r="AD4466">
        <v>-1.1104830124280001</v>
      </c>
      <c r="AE4466">
        <v>-2.3009000000000102</v>
      </c>
      <c r="AF4466">
        <v>2.3064027909498401</v>
      </c>
      <c r="AG4466">
        <v>-1.1104830124280001</v>
      </c>
      <c r="AH4466">
        <v>20.7324448361272</v>
      </c>
      <c r="AI4466">
        <v>93.047217384068304</v>
      </c>
      <c r="AJ4466">
        <v>83.652170688854397</v>
      </c>
      <c r="AK4466">
        <v>20.8898763815886</v>
      </c>
      <c r="AL4466">
        <v>82.182799242936696</v>
      </c>
      <c r="AM4466">
        <v>87.172672781269597</v>
      </c>
      <c r="AN4466">
        <v>1.00000001051881</v>
      </c>
    </row>
    <row r="4467" spans="1:40" x14ac:dyDescent="0.25">
      <c r="A4467" t="str">
        <f>"20190312172207305"</f>
        <v>20190312172207305</v>
      </c>
      <c r="B4467" t="str">
        <f>"1552382527294923"</f>
        <v>1552382527294923</v>
      </c>
      <c r="C4467" t="s">
        <v>40</v>
      </c>
      <c r="D4467">
        <v>3.4393799999999999</v>
      </c>
      <c r="E4467">
        <v>0.52490409999999998</v>
      </c>
      <c r="F4467" t="s">
        <v>46</v>
      </c>
      <c r="G4467">
        <v>-216.15369999999999</v>
      </c>
      <c r="H4467" s="1">
        <v>1.7806130000000001E-6</v>
      </c>
      <c r="I4467">
        <v>213.6397</v>
      </c>
      <c r="J4467">
        <v>-235.12950000000001</v>
      </c>
      <c r="K4467">
        <v>1.110484</v>
      </c>
      <c r="L4467">
        <v>215.7944</v>
      </c>
      <c r="M4467">
        <v>0.99989519999999998</v>
      </c>
      <c r="N4467">
        <v>0</v>
      </c>
      <c r="O4467">
        <v>7.5870319999999996E-4</v>
      </c>
      <c r="P4467">
        <v>0.99127189999999998</v>
      </c>
      <c r="Q4467">
        <v>0.12222420000000001</v>
      </c>
      <c r="R4467">
        <v>-4.9410009999999997E-2</v>
      </c>
      <c r="S4467">
        <v>3.0309750000000002</v>
      </c>
      <c r="T4467">
        <v>-0.17448759999999999</v>
      </c>
      <c r="U4467">
        <v>-0.338501</v>
      </c>
      <c r="V4467">
        <v>5.0112780000000003E-2</v>
      </c>
      <c r="W4467">
        <v>0.1365604</v>
      </c>
      <c r="X4467">
        <v>0.9893634</v>
      </c>
      <c r="Y4467">
        <v>0.1115609</v>
      </c>
      <c r="Z4467">
        <v>-3.242113E-3</v>
      </c>
      <c r="AA4467">
        <v>0.99375230000000003</v>
      </c>
      <c r="AB4467">
        <v>32</v>
      </c>
      <c r="AC4467">
        <v>18.9758</v>
      </c>
      <c r="AD4467">
        <v>-1.1104822193870001</v>
      </c>
      <c r="AE4467">
        <v>-2.1546999999999898</v>
      </c>
      <c r="AF4467">
        <v>2.16178864100393</v>
      </c>
      <c r="AG4467">
        <v>-1.1104822193870001</v>
      </c>
      <c r="AH4467">
        <v>18.910222060709</v>
      </c>
      <c r="AI4467">
        <v>93.339074454494906</v>
      </c>
      <c r="AJ4467">
        <v>83.478342733902394</v>
      </c>
      <c r="AK4467">
        <v>19.0657546211335</v>
      </c>
      <c r="AL4467">
        <v>82.151139937595005</v>
      </c>
      <c r="AM4467">
        <v>87.100358580620806</v>
      </c>
      <c r="AN4467">
        <v>0.99999998541352397</v>
      </c>
    </row>
    <row r="4468" spans="1:40" x14ac:dyDescent="0.25">
      <c r="A4468" t="str">
        <f>"20190312172207329"</f>
        <v>20190312172207329</v>
      </c>
      <c r="B4468" t="str">
        <f>"1552382527325180"</f>
        <v>1552382527325180</v>
      </c>
      <c r="C4468" t="s">
        <v>40</v>
      </c>
      <c r="D4468">
        <v>3.1955710000000002</v>
      </c>
      <c r="E4468">
        <v>0.52559699999999998</v>
      </c>
      <c r="F4468" t="s">
        <v>46</v>
      </c>
      <c r="G4468">
        <v>-217.13290000000001</v>
      </c>
      <c r="H4468" s="1">
        <v>2.296985E-6</v>
      </c>
      <c r="I4468">
        <v>213.7465</v>
      </c>
      <c r="J4468">
        <v>-234.8038</v>
      </c>
      <c r="K4468">
        <v>1.1104860000000001</v>
      </c>
      <c r="L4468">
        <v>215.79490000000001</v>
      </c>
      <c r="M4468">
        <v>0.99989510000000004</v>
      </c>
      <c r="N4468">
        <v>0</v>
      </c>
      <c r="O4468">
        <v>9.4628520000000001E-4</v>
      </c>
      <c r="P4468">
        <v>0.99116470000000001</v>
      </c>
      <c r="Q4468">
        <v>0.1224537</v>
      </c>
      <c r="R4468">
        <v>-5.0968810000000003E-2</v>
      </c>
      <c r="S4468">
        <v>3.0322719999999999</v>
      </c>
      <c r="T4468">
        <v>-0.1871062</v>
      </c>
      <c r="U4468">
        <v>-0.34504699999999999</v>
      </c>
      <c r="V4468">
        <v>5.185733E-2</v>
      </c>
      <c r="W4468">
        <v>0.13678570000000001</v>
      </c>
      <c r="X4468">
        <v>0.98924239999999997</v>
      </c>
      <c r="Y4468">
        <v>0.11378679999999999</v>
      </c>
      <c r="Z4468">
        <v>-3.5541729999999999E-3</v>
      </c>
      <c r="AA4468">
        <v>0.99349889999999996</v>
      </c>
      <c r="AB4468">
        <v>32</v>
      </c>
      <c r="AC4468">
        <v>17.6708999999999</v>
      </c>
      <c r="AD4468">
        <v>-1.1104837030149901</v>
      </c>
      <c r="AE4468">
        <v>-2.0484000000000102</v>
      </c>
      <c r="AF4468">
        <v>2.0571063709247301</v>
      </c>
      <c r="AG4468">
        <v>-1.1104837030149901</v>
      </c>
      <c r="AH4468">
        <v>17.600368077519601</v>
      </c>
      <c r="AI4468">
        <v>93.585908673789604</v>
      </c>
      <c r="AJ4468">
        <v>83.333595449988707</v>
      </c>
      <c r="AK4468">
        <v>17.754937824169701</v>
      </c>
      <c r="AL4468">
        <v>82.138109177133103</v>
      </c>
      <c r="AM4468">
        <v>86.999229904334001</v>
      </c>
      <c r="AN4468">
        <v>1.0000000181784801</v>
      </c>
    </row>
    <row r="4469" spans="1:40" x14ac:dyDescent="0.25">
      <c r="A4469" t="str">
        <f>"20190312172207351"</f>
        <v>20190312172207351</v>
      </c>
      <c r="B4469" t="str">
        <f>"1552382527345675"</f>
        <v>1552382527345675</v>
      </c>
      <c r="C4469" t="s">
        <v>40</v>
      </c>
      <c r="D4469">
        <v>3.165438</v>
      </c>
      <c r="E4469">
        <v>0.52604869999999904</v>
      </c>
      <c r="F4469" t="s">
        <v>41</v>
      </c>
      <c r="G4469">
        <v>-233.89670000000001</v>
      </c>
      <c r="H4469">
        <v>1.049412</v>
      </c>
      <c r="I4469">
        <v>215.68860000000001</v>
      </c>
      <c r="J4469">
        <v>-234.47489999999999</v>
      </c>
      <c r="K4469">
        <v>1.1104909999999999</v>
      </c>
      <c r="L4469">
        <v>215.7953</v>
      </c>
      <c r="M4469">
        <v>0.99989519999999998</v>
      </c>
      <c r="N4469">
        <v>0</v>
      </c>
      <c r="O4469">
        <v>1.134157E-3</v>
      </c>
      <c r="P4469">
        <v>0.99093960000000003</v>
      </c>
      <c r="Q4469">
        <v>0.1235576</v>
      </c>
      <c r="R4469">
        <v>-5.2653980000000003E-2</v>
      </c>
      <c r="S4469">
        <v>3.0337369999999999</v>
      </c>
      <c r="T4469">
        <v>-0.20436009999999999</v>
      </c>
      <c r="U4469">
        <v>-0.35494999999999999</v>
      </c>
      <c r="V4469">
        <v>5.3728640000000001E-2</v>
      </c>
      <c r="W4469">
        <v>0.1378829</v>
      </c>
      <c r="X4469">
        <v>0.98899009999999998</v>
      </c>
      <c r="Y4469">
        <v>0.11707040000000001</v>
      </c>
      <c r="Z4469">
        <v>-4.0013380000000001E-3</v>
      </c>
      <c r="AA4469">
        <v>0.99311550000000004</v>
      </c>
      <c r="AB4469">
        <v>32</v>
      </c>
      <c r="AC4469">
        <v>0.57819999999998095</v>
      </c>
      <c r="AD4469">
        <v>-6.10789999999998E-2</v>
      </c>
      <c r="AE4469">
        <v>-0.106699999999989</v>
      </c>
      <c r="AF4469">
        <v>0.106209601790206</v>
      </c>
      <c r="AG4469">
        <v>-6.10789999999998E-2</v>
      </c>
      <c r="AH4469">
        <v>0.57190683308477896</v>
      </c>
      <c r="AI4469">
        <v>95.994291009169601</v>
      </c>
      <c r="AJ4469">
        <v>79.479377145027996</v>
      </c>
      <c r="AK4469">
        <v>0.58488336399875096</v>
      </c>
      <c r="AL4469">
        <v>82.074642258467705</v>
      </c>
      <c r="AM4469">
        <v>86.890362086745299</v>
      </c>
      <c r="AN4469">
        <v>0.99999993938333198</v>
      </c>
    </row>
    <row r="4470" spans="1:40" x14ac:dyDescent="0.25">
      <c r="A4470" t="str">
        <f>"20190312172207373"</f>
        <v>20190312172207373</v>
      </c>
      <c r="B4470" t="str">
        <f>"1552382527365705"</f>
        <v>1552382527365705</v>
      </c>
      <c r="C4470" t="s">
        <v>40</v>
      </c>
      <c r="D4470">
        <v>3.1839650000000002</v>
      </c>
      <c r="E4470">
        <v>0.52647889999999997</v>
      </c>
      <c r="F4470" t="s">
        <v>41</v>
      </c>
      <c r="G4470">
        <v>-233.6078</v>
      </c>
      <c r="H4470">
        <v>1.049914</v>
      </c>
      <c r="I4470">
        <v>215.69130000000001</v>
      </c>
      <c r="J4470">
        <v>-234.15450000000001</v>
      </c>
      <c r="K4470">
        <v>1.1104940000000001</v>
      </c>
      <c r="L4470">
        <v>215.79589999999999</v>
      </c>
      <c r="M4470">
        <v>0.99989490000000003</v>
      </c>
      <c r="N4470">
        <v>0</v>
      </c>
      <c r="O4470">
        <v>1.3133589999999901E-3</v>
      </c>
      <c r="P4470">
        <v>0.99086229999999997</v>
      </c>
      <c r="Q4470">
        <v>0.12382029999999999</v>
      </c>
      <c r="R4470">
        <v>-5.3485240000000003E-2</v>
      </c>
      <c r="S4470">
        <v>3.0345460000000002</v>
      </c>
      <c r="T4470">
        <v>-0.2121227</v>
      </c>
      <c r="U4470">
        <v>-0.36373899999999998</v>
      </c>
      <c r="V4470">
        <v>5.4738080000000001E-2</v>
      </c>
      <c r="W4470">
        <v>0.13814079999999901</v>
      </c>
      <c r="X4470">
        <v>0.98889879999999997</v>
      </c>
      <c r="Y4470">
        <v>0.1200263</v>
      </c>
      <c r="Z4470">
        <v>-4.2664529999999999E-3</v>
      </c>
      <c r="AA4470">
        <v>0.99276160000000002</v>
      </c>
      <c r="AB4470">
        <v>32</v>
      </c>
      <c r="AC4470">
        <v>0.54670000000001495</v>
      </c>
      <c r="AD4470">
        <v>-6.0580000000000002E-2</v>
      </c>
      <c r="AE4470">
        <v>-0.104599999999976</v>
      </c>
      <c r="AF4470">
        <v>0.104085078576918</v>
      </c>
      <c r="AG4470">
        <v>-6.0580000000000002E-2</v>
      </c>
      <c r="AH4470">
        <v>0.54016373304091603</v>
      </c>
      <c r="AI4470">
        <v>96.284393495819799</v>
      </c>
      <c r="AJ4470">
        <v>79.093256020640993</v>
      </c>
      <c r="AK4470">
        <v>0.55342614545669999</v>
      </c>
      <c r="AL4470">
        <v>82.059723289592299</v>
      </c>
      <c r="AM4470">
        <v>86.831765021186499</v>
      </c>
      <c r="AN4470">
        <v>0.99999998733408302</v>
      </c>
    </row>
    <row r="4471" spans="1:40" x14ac:dyDescent="0.25">
      <c r="A4471" t="str">
        <f>"20190312172207394"</f>
        <v>20190312172207394</v>
      </c>
      <c r="B4471" t="str">
        <f>"1552382527385222"</f>
        <v>1552382527385222</v>
      </c>
      <c r="C4471" t="s">
        <v>40</v>
      </c>
      <c r="D4471">
        <v>3.167049</v>
      </c>
      <c r="E4471">
        <v>0.52695259999999999</v>
      </c>
      <c r="F4471" t="s">
        <v>41</v>
      </c>
      <c r="G4471">
        <v>-233.3201</v>
      </c>
      <c r="H4471">
        <v>1.0494410000000001</v>
      </c>
      <c r="I4471">
        <v>215.6942</v>
      </c>
      <c r="J4471">
        <v>-233.84</v>
      </c>
      <c r="K4471">
        <v>1.110492</v>
      </c>
      <c r="L4471">
        <v>215.79650000000001</v>
      </c>
      <c r="M4471">
        <v>0.99989459999999997</v>
      </c>
      <c r="N4471">
        <v>0</v>
      </c>
      <c r="O4471">
        <v>1.4841310000000001E-3</v>
      </c>
      <c r="P4471">
        <v>0.99079510000000004</v>
      </c>
      <c r="Q4471">
        <v>0.123707399999999</v>
      </c>
      <c r="R4471">
        <v>-5.4967429999999998E-2</v>
      </c>
      <c r="S4471">
        <v>3.0354920000000001</v>
      </c>
      <c r="T4471">
        <v>-0.22216350000000001</v>
      </c>
      <c r="U4471">
        <v>-0.36967470000000002</v>
      </c>
      <c r="V4471">
        <v>5.6390759999999998E-2</v>
      </c>
      <c r="W4471">
        <v>0.1380237</v>
      </c>
      <c r="X4471">
        <v>0.98882230000000004</v>
      </c>
      <c r="Y4471">
        <v>0.1220386</v>
      </c>
      <c r="Z4471">
        <v>-4.5516979999999999E-3</v>
      </c>
      <c r="AA4471">
        <v>0.99251489999999998</v>
      </c>
      <c r="AB4471">
        <v>32</v>
      </c>
      <c r="AC4471">
        <v>0.51990000000000602</v>
      </c>
      <c r="AD4471">
        <v>-6.1050999999999897E-2</v>
      </c>
      <c r="AE4471">
        <v>-0.10230000000001301</v>
      </c>
      <c r="AF4471">
        <v>0.101721176015174</v>
      </c>
      <c r="AG4471">
        <v>-6.1050999999999897E-2</v>
      </c>
      <c r="AH4471">
        <v>0.51293811517729804</v>
      </c>
      <c r="AI4471">
        <v>96.659056194214003</v>
      </c>
      <c r="AJ4471">
        <v>78.783158388101199</v>
      </c>
      <c r="AK4471">
        <v>0.52647880513136402</v>
      </c>
      <c r="AL4471">
        <v>82.066497620719701</v>
      </c>
      <c r="AM4471">
        <v>86.736059871296007</v>
      </c>
      <c r="AN4471">
        <v>1.00000000027617</v>
      </c>
    </row>
    <row r="4472" spans="1:40" x14ac:dyDescent="0.25">
      <c r="A4472" t="str">
        <f>"20190312172207417"</f>
        <v>20190312172207417</v>
      </c>
      <c r="B4472" t="str">
        <f>"1552382527415478"</f>
        <v>1552382527415478</v>
      </c>
      <c r="C4472" t="s">
        <v>40</v>
      </c>
      <c r="D4472">
        <v>3.1898849999999999</v>
      </c>
      <c r="E4472">
        <v>0.52757749999999903</v>
      </c>
      <c r="F4472" t="s">
        <v>41</v>
      </c>
      <c r="G4472">
        <v>-233.03270000000001</v>
      </c>
      <c r="H4472">
        <v>1.048665</v>
      </c>
      <c r="I4472">
        <v>215.69589999999999</v>
      </c>
      <c r="J4472">
        <v>-233.5206</v>
      </c>
      <c r="K4472">
        <v>1.1104879999999999</v>
      </c>
      <c r="L4472">
        <v>215.7971</v>
      </c>
      <c r="M4472">
        <v>0.99989439999999996</v>
      </c>
      <c r="N4472">
        <v>0</v>
      </c>
      <c r="O4472">
        <v>1.6520230000000001E-3</v>
      </c>
      <c r="P4472">
        <v>0.99066240000000005</v>
      </c>
      <c r="Q4472">
        <v>0.12408959999999999</v>
      </c>
      <c r="R4472">
        <v>-5.6479599999999901E-2</v>
      </c>
      <c r="S4472">
        <v>3.0359500000000001</v>
      </c>
      <c r="T4472">
        <v>-0.2325362</v>
      </c>
      <c r="U4472">
        <v>-0.37799070000000001</v>
      </c>
      <c r="V4472">
        <v>5.8070589999999998E-2</v>
      </c>
      <c r="W4472">
        <v>0.13840050000000001</v>
      </c>
      <c r="X4472">
        <v>0.98867240000000001</v>
      </c>
      <c r="Y4472">
        <v>0.12482559999999999</v>
      </c>
      <c r="Z4472">
        <v>-4.8810729999999997E-3</v>
      </c>
      <c r="AA4472">
        <v>0.99216669999999996</v>
      </c>
      <c r="AB4472">
        <v>32</v>
      </c>
      <c r="AC4472">
        <v>0.487899999999996</v>
      </c>
      <c r="AD4472">
        <v>-6.1822999999999899E-2</v>
      </c>
      <c r="AE4472">
        <v>-0.10120000000000499</v>
      </c>
      <c r="AF4472">
        <v>0.100459518305532</v>
      </c>
      <c r="AG4472">
        <v>-6.1822999999999899E-2</v>
      </c>
      <c r="AH4472">
        <v>0.48033792564859201</v>
      </c>
      <c r="AI4472">
        <v>97.180381209585704</v>
      </c>
      <c r="AJ4472">
        <v>78.187234242071199</v>
      </c>
      <c r="AK4472">
        <v>0.49460966525490802</v>
      </c>
      <c r="AL4472">
        <v>82.044699388641604</v>
      </c>
      <c r="AM4472">
        <v>86.638541297953694</v>
      </c>
      <c r="AN4472">
        <v>1.0000000031724701</v>
      </c>
    </row>
    <row r="4473" spans="1:40" x14ac:dyDescent="0.25">
      <c r="A4473" t="str">
        <f>"20190312172207441"</f>
        <v>20190312172207441</v>
      </c>
      <c r="B4473" t="str">
        <f>"1552382527434998"</f>
        <v>1552382527434998</v>
      </c>
      <c r="C4473" t="s">
        <v>40</v>
      </c>
      <c r="D4473">
        <v>3.1940629999999999</v>
      </c>
      <c r="E4473">
        <v>0.52789799999999998</v>
      </c>
      <c r="F4473" t="s">
        <v>41</v>
      </c>
      <c r="G4473">
        <v>-232.7458</v>
      </c>
      <c r="H4473">
        <v>1.0479160000000001</v>
      </c>
      <c r="I4473">
        <v>215.6979</v>
      </c>
      <c r="J4473">
        <v>-233.18379999999999</v>
      </c>
      <c r="K4473">
        <v>1.110484</v>
      </c>
      <c r="L4473">
        <v>215.7979</v>
      </c>
      <c r="M4473">
        <v>0.99989419999999996</v>
      </c>
      <c r="N4473">
        <v>0</v>
      </c>
      <c r="O4473">
        <v>1.8222259999999999E-3</v>
      </c>
      <c r="P4473">
        <v>0.9906703</v>
      </c>
      <c r="Q4473">
        <v>0.1236068</v>
      </c>
      <c r="R4473">
        <v>-5.7392999999999902E-2</v>
      </c>
      <c r="S4473">
        <v>3.03688</v>
      </c>
      <c r="T4473">
        <v>-0.24538599999999999</v>
      </c>
      <c r="U4473">
        <v>-0.38821410000000001</v>
      </c>
      <c r="V4473">
        <v>5.9154850000000002E-2</v>
      </c>
      <c r="W4473">
        <v>0.1379136</v>
      </c>
      <c r="X4473">
        <v>0.98867609999999995</v>
      </c>
      <c r="Y4473">
        <v>0.1281919</v>
      </c>
      <c r="Z4473">
        <v>-5.296228E-3</v>
      </c>
      <c r="AA4473">
        <v>0.99173520000000004</v>
      </c>
      <c r="AB4473">
        <v>32</v>
      </c>
      <c r="AC4473">
        <v>0.43799999999998801</v>
      </c>
      <c r="AD4473">
        <v>-6.2567999999999901E-2</v>
      </c>
      <c r="AE4473">
        <v>-9.9999999999994302E-2</v>
      </c>
      <c r="AF4473">
        <v>9.8880273920608497E-2</v>
      </c>
      <c r="AG4473">
        <v>-6.2567999999999901E-2</v>
      </c>
      <c r="AH4473">
        <v>0.429487148590255</v>
      </c>
      <c r="AI4473">
        <v>98.080104166796403</v>
      </c>
      <c r="AJ4473">
        <v>77.034790150074699</v>
      </c>
      <c r="AK4473">
        <v>0.44514185828654901</v>
      </c>
      <c r="AL4473">
        <v>82.072866348290106</v>
      </c>
      <c r="AM4473">
        <v>86.575938861836207</v>
      </c>
      <c r="AN4473">
        <v>0.99999994402734405</v>
      </c>
    </row>
    <row r="4474" spans="1:40" x14ac:dyDescent="0.25">
      <c r="A4474" t="str">
        <f>"20190312172207457"</f>
        <v>20190312172207457</v>
      </c>
      <c r="B4474" t="str">
        <f>"1552382527445735"</f>
        <v>1552382527445735</v>
      </c>
      <c r="C4474" t="s">
        <v>40</v>
      </c>
      <c r="D4474">
        <v>3.1867839999999998</v>
      </c>
      <c r="E4474">
        <v>0.52810780000000002</v>
      </c>
      <c r="F4474" t="s">
        <v>41</v>
      </c>
      <c r="G4474">
        <v>-232.1841</v>
      </c>
      <c r="H4474">
        <v>1.02634</v>
      </c>
      <c r="I4474">
        <v>215.6679</v>
      </c>
      <c r="J4474">
        <v>-232.94470000000001</v>
      </c>
      <c r="K4474">
        <v>1.110479</v>
      </c>
      <c r="L4474">
        <v>215.79839999999999</v>
      </c>
      <c r="M4474">
        <v>0.99989410000000001</v>
      </c>
      <c r="N4474">
        <v>0</v>
      </c>
      <c r="O4474">
        <v>1.9359970000000001E-3</v>
      </c>
      <c r="P4474">
        <v>0.99063009999999996</v>
      </c>
      <c r="Q4474">
        <v>0.12368659999999999</v>
      </c>
      <c r="R4474">
        <v>-5.7914569999999999E-2</v>
      </c>
      <c r="S4474">
        <v>3.0373230000000002</v>
      </c>
      <c r="T4474">
        <v>-0.2558125</v>
      </c>
      <c r="U4474">
        <v>-0.39401249999999999</v>
      </c>
      <c r="V4474">
        <v>5.979052E-2</v>
      </c>
      <c r="W4474">
        <v>0.13798969999999999</v>
      </c>
      <c r="X4474">
        <v>0.98862729999999999</v>
      </c>
      <c r="Y4474">
        <v>0.13010579999999999</v>
      </c>
      <c r="Z4474">
        <v>-5.6086829999999997E-3</v>
      </c>
      <c r="AA4474">
        <v>0.99148429999999999</v>
      </c>
      <c r="AB4474">
        <v>32</v>
      </c>
      <c r="AC4474">
        <v>0.76060000000001005</v>
      </c>
      <c r="AD4474">
        <v>-8.4138999999999894E-2</v>
      </c>
      <c r="AE4474">
        <v>-0.13049999999998299</v>
      </c>
      <c r="AF4474">
        <v>0.13042206656248401</v>
      </c>
      <c r="AG4474">
        <v>-8.4138999999999894E-2</v>
      </c>
      <c r="AH4474">
        <v>0.75141364913678599</v>
      </c>
      <c r="AI4474">
        <v>96.2956836781471</v>
      </c>
      <c r="AJ4474">
        <v>80.153331333571302</v>
      </c>
      <c r="AK4474">
        <v>0.76727554299383804</v>
      </c>
      <c r="AL4474">
        <v>82.068464503039394</v>
      </c>
      <c r="AM4474">
        <v>86.539062906552303</v>
      </c>
      <c r="AN4474">
        <v>1.0000000009466199</v>
      </c>
    </row>
    <row r="4475" spans="1:40" x14ac:dyDescent="0.25">
      <c r="A4475" t="str">
        <f>"20190312172207474"</f>
        <v>20190312172207474</v>
      </c>
      <c r="B4475" t="str">
        <f>"1552382527465761"</f>
        <v>1552382527465761</v>
      </c>
      <c r="C4475" t="s">
        <v>40</v>
      </c>
      <c r="D4475">
        <v>3.2027000000000001</v>
      </c>
      <c r="E4475">
        <v>0.52854599999999996</v>
      </c>
      <c r="F4475" t="s">
        <v>41</v>
      </c>
      <c r="G4475">
        <v>-232.17429999999999</v>
      </c>
      <c r="H4475">
        <v>1.0445279999999999</v>
      </c>
      <c r="I4475">
        <v>215.69739999999999</v>
      </c>
      <c r="J4475">
        <v>-232.70820000000001</v>
      </c>
      <c r="K4475">
        <v>1.1104689999999999</v>
      </c>
      <c r="L4475">
        <v>215.79900000000001</v>
      </c>
      <c r="M4475">
        <v>0.99989380000000005</v>
      </c>
      <c r="N4475">
        <v>0</v>
      </c>
      <c r="O4475">
        <v>2.0438639999999998E-3</v>
      </c>
      <c r="P4475">
        <v>0.99057430000000002</v>
      </c>
      <c r="Q4475">
        <v>0.1237173</v>
      </c>
      <c r="R4475">
        <v>-5.8797229999999999E-2</v>
      </c>
      <c r="S4475">
        <v>3.0376590000000001</v>
      </c>
      <c r="T4475">
        <v>-0.26025090000000001</v>
      </c>
      <c r="U4475">
        <v>-0.39744570000000001</v>
      </c>
      <c r="V4475">
        <v>6.0781719999999997E-2</v>
      </c>
      <c r="W4475">
        <v>0.13801659999999999</v>
      </c>
      <c r="X4475">
        <v>0.98856310000000003</v>
      </c>
      <c r="Y4475">
        <v>0.13128000000000001</v>
      </c>
      <c r="Z4475">
        <v>-5.7637959999999999E-3</v>
      </c>
      <c r="AA4475">
        <v>0.9913286</v>
      </c>
      <c r="AB4475">
        <v>32</v>
      </c>
      <c r="AC4475">
        <v>0.53390000000001603</v>
      </c>
      <c r="AD4475">
        <v>-6.5941E-2</v>
      </c>
      <c r="AE4475">
        <v>-0.10160000000001899</v>
      </c>
      <c r="AF4475">
        <v>0.10120131940351899</v>
      </c>
      <c r="AG4475">
        <v>-6.5941E-2</v>
      </c>
      <c r="AH4475">
        <v>0.52594863174730699</v>
      </c>
      <c r="AI4475">
        <v>97.018759374256206</v>
      </c>
      <c r="AJ4475">
        <v>79.108448099412001</v>
      </c>
      <c r="AK4475">
        <v>0.53964051531262702</v>
      </c>
      <c r="AL4475">
        <v>82.066908357639306</v>
      </c>
      <c r="AM4475">
        <v>86.481602943836805</v>
      </c>
      <c r="AN4475">
        <v>1.0000000010216601</v>
      </c>
    </row>
    <row r="4476" spans="1:40" x14ac:dyDescent="0.25">
      <c r="A4476" t="str">
        <f>"20190312172207496"</f>
        <v>20190312172207496</v>
      </c>
      <c r="B4476" t="str">
        <f>"1552382527485281"</f>
        <v>1552382527485281</v>
      </c>
      <c r="C4476" t="s">
        <v>40</v>
      </c>
      <c r="D4476">
        <v>3.1849980000000002</v>
      </c>
      <c r="E4476">
        <v>0.52889869999999894</v>
      </c>
      <c r="F4476" t="s">
        <v>41</v>
      </c>
      <c r="G4476">
        <v>-231.892</v>
      </c>
      <c r="H4476">
        <v>1.037936</v>
      </c>
      <c r="I4476">
        <v>215.69030000000001</v>
      </c>
      <c r="J4476">
        <v>-232.38929999999999</v>
      </c>
      <c r="K4476">
        <v>1.1104510000000001</v>
      </c>
      <c r="L4476">
        <v>215.7998</v>
      </c>
      <c r="M4476">
        <v>0.99989349999999999</v>
      </c>
      <c r="N4476">
        <v>0</v>
      </c>
      <c r="O4476">
        <v>2.1763939999999999E-3</v>
      </c>
      <c r="P4476">
        <v>0.99049750000000003</v>
      </c>
      <c r="Q4476">
        <v>0.124097</v>
      </c>
      <c r="R4476">
        <v>-5.9284660000000003E-2</v>
      </c>
      <c r="S4476">
        <v>3.0383</v>
      </c>
      <c r="T4476">
        <v>-0.27008690000000002</v>
      </c>
      <c r="U4476">
        <v>-0.4040222</v>
      </c>
      <c r="V4476">
        <v>6.1403550000000001E-2</v>
      </c>
      <c r="W4476">
        <v>0.13839019999999999</v>
      </c>
      <c r="X4476">
        <v>0.98847249999999998</v>
      </c>
      <c r="Y4476">
        <v>0.13344790000000001</v>
      </c>
      <c r="Z4476">
        <v>-6.0861780000000002E-3</v>
      </c>
      <c r="AA4476">
        <v>0.9910371</v>
      </c>
      <c r="AB4476">
        <v>32</v>
      </c>
      <c r="AC4476">
        <v>0.49729999999999502</v>
      </c>
      <c r="AD4476">
        <v>-7.2515000000000093E-2</v>
      </c>
      <c r="AE4476">
        <v>-0.109499999999997</v>
      </c>
      <c r="AF4476">
        <v>0.108384196433052</v>
      </c>
      <c r="AG4476">
        <v>-7.2515000000000093E-2</v>
      </c>
      <c r="AH4476">
        <v>0.48718069958346499</v>
      </c>
      <c r="AI4476">
        <v>98.266887155451101</v>
      </c>
      <c r="AJ4476">
        <v>77.457540495228798</v>
      </c>
      <c r="AK4476">
        <v>0.50433182856931802</v>
      </c>
      <c r="AL4476">
        <v>82.045295750943893</v>
      </c>
      <c r="AM4476">
        <v>86.445374700748602</v>
      </c>
      <c r="AN4476">
        <v>1.00000006333244</v>
      </c>
    </row>
    <row r="4477" spans="1:40" x14ac:dyDescent="0.25">
      <c r="A4477" t="str">
        <f>"20190312172207518"</f>
        <v>20190312172207518</v>
      </c>
      <c r="B4477" t="str">
        <f>"1552382527515537"</f>
        <v>1552382527515537</v>
      </c>
      <c r="C4477" t="s">
        <v>40</v>
      </c>
      <c r="D4477">
        <v>3.2249910000000002</v>
      </c>
      <c r="E4477">
        <v>0.52934289999999995</v>
      </c>
      <c r="F4477" t="s">
        <v>41</v>
      </c>
      <c r="G4477">
        <v>-231.6053</v>
      </c>
      <c r="H4477">
        <v>1.0386690000000001</v>
      </c>
      <c r="I4477">
        <v>215.6943</v>
      </c>
      <c r="J4477">
        <v>-232.07509999999999</v>
      </c>
      <c r="K4477">
        <v>1.110436</v>
      </c>
      <c r="L4477">
        <v>215.8006</v>
      </c>
      <c r="M4477">
        <v>0.99989340000000004</v>
      </c>
      <c r="N4477">
        <v>0</v>
      </c>
      <c r="O4477">
        <v>2.2868509999999999E-3</v>
      </c>
      <c r="P4477">
        <v>0.99051739999999999</v>
      </c>
      <c r="Q4477">
        <v>0.123677</v>
      </c>
      <c r="R4477">
        <v>-5.9825860000000002E-2</v>
      </c>
      <c r="S4477">
        <v>3.0391689999999998</v>
      </c>
      <c r="T4477">
        <v>-0.27832089999999998</v>
      </c>
      <c r="U4477">
        <v>-0.40887449999999997</v>
      </c>
      <c r="V4477">
        <v>6.2059080000000003E-2</v>
      </c>
      <c r="W4477">
        <v>0.13796510000000001</v>
      </c>
      <c r="X4477">
        <v>0.98849089999999995</v>
      </c>
      <c r="Y4477">
        <v>0.13503560000000001</v>
      </c>
      <c r="Z4477">
        <v>-6.3508180000000003E-3</v>
      </c>
      <c r="AA4477">
        <v>0.99082040000000005</v>
      </c>
      <c r="AB4477">
        <v>32</v>
      </c>
      <c r="AC4477">
        <v>0.469799999999992</v>
      </c>
      <c r="AD4477">
        <v>-7.17669999999999E-2</v>
      </c>
      <c r="AE4477">
        <v>-0.106300000000004</v>
      </c>
      <c r="AF4477">
        <v>0.105042328213286</v>
      </c>
      <c r="AG4477">
        <v>-7.17669999999999E-2</v>
      </c>
      <c r="AH4477">
        <v>0.45935821444143698</v>
      </c>
      <c r="AI4477">
        <v>98.659710503484703</v>
      </c>
      <c r="AJ4477">
        <v>77.1195263047927</v>
      </c>
      <c r="AK4477">
        <v>0.47664909753433199</v>
      </c>
      <c r="AL4477">
        <v>82.069887413798099</v>
      </c>
      <c r="AM4477">
        <v>86.407591902975199</v>
      </c>
      <c r="AN4477">
        <v>0.99999997880563296</v>
      </c>
    </row>
    <row r="4478" spans="1:40" x14ac:dyDescent="0.25">
      <c r="A4478" t="str">
        <f>"20190312172207537"</f>
        <v>20190312172207537</v>
      </c>
      <c r="B4478" t="str">
        <f>"1552382527525298"</f>
        <v>1552382527525298</v>
      </c>
      <c r="C4478" t="s">
        <v>40</v>
      </c>
      <c r="D4478">
        <v>3.2029640000000001</v>
      </c>
      <c r="E4478">
        <v>0.52948600000000001</v>
      </c>
      <c r="F4478" t="s">
        <v>41</v>
      </c>
      <c r="G4478">
        <v>-231.31979999999999</v>
      </c>
      <c r="H4478">
        <v>1.0375559999999999</v>
      </c>
      <c r="I4478">
        <v>215.69739999999999</v>
      </c>
      <c r="J4478">
        <v>-231.8125</v>
      </c>
      <c r="K4478">
        <v>1.1104179999999999</v>
      </c>
      <c r="L4478">
        <v>215.8013</v>
      </c>
      <c r="M4478">
        <v>0.99989329999999998</v>
      </c>
      <c r="N4478">
        <v>0</v>
      </c>
      <c r="O4478">
        <v>2.3576259999999998E-3</v>
      </c>
      <c r="P4478">
        <v>0.9905427</v>
      </c>
      <c r="Q4478">
        <v>0.12327630000000001</v>
      </c>
      <c r="R4478">
        <v>-6.0237609999999997E-2</v>
      </c>
      <c r="S4478">
        <v>3.040314</v>
      </c>
      <c r="T4478">
        <v>-0.2934947</v>
      </c>
      <c r="U4478">
        <v>-0.41465760000000002</v>
      </c>
      <c r="V4478">
        <v>6.254672E-2</v>
      </c>
      <c r="W4478">
        <v>0.1375594</v>
      </c>
      <c r="X4478">
        <v>0.98851670000000003</v>
      </c>
      <c r="Y4478">
        <v>0.13683589999999901</v>
      </c>
      <c r="Z4478">
        <v>-6.785274E-3</v>
      </c>
      <c r="AA4478">
        <v>0.99057050000000002</v>
      </c>
      <c r="AB4478">
        <v>32</v>
      </c>
      <c r="AC4478">
        <v>0.49270000000001302</v>
      </c>
      <c r="AD4478">
        <v>-7.2862000000000204E-2</v>
      </c>
      <c r="AE4478">
        <v>-0.10390000000001</v>
      </c>
      <c r="AF4478">
        <v>0.10290674339846501</v>
      </c>
      <c r="AG4478">
        <v>-7.2862000000000204E-2</v>
      </c>
      <c r="AH4478">
        <v>0.48235398190627699</v>
      </c>
      <c r="AI4478">
        <v>98.403549916884899</v>
      </c>
      <c r="AJ4478">
        <v>77.956906715499102</v>
      </c>
      <c r="AK4478">
        <v>0.49856196479647202</v>
      </c>
      <c r="AL4478">
        <v>82.093356035624495</v>
      </c>
      <c r="AM4478">
        <v>86.379532969319101</v>
      </c>
      <c r="AN4478">
        <v>0.99999997344500302</v>
      </c>
    </row>
    <row r="4479" spans="1:40" x14ac:dyDescent="0.25">
      <c r="A4479" t="str">
        <f>"20190312172207552"</f>
        <v>20190312172207552</v>
      </c>
      <c r="B4479" t="str">
        <f>"1552382527544817"</f>
        <v>1552382527544817</v>
      </c>
      <c r="C4479" t="s">
        <v>40</v>
      </c>
      <c r="D4479">
        <v>3.20445</v>
      </c>
      <c r="E4479">
        <v>0.52974650000000001</v>
      </c>
      <c r="F4479" t="s">
        <v>41</v>
      </c>
      <c r="G4479">
        <v>-231.03579999999999</v>
      </c>
      <c r="H4479">
        <v>1.034014</v>
      </c>
      <c r="I4479">
        <v>215.69460000000001</v>
      </c>
      <c r="J4479">
        <v>-231.58969999999999</v>
      </c>
      <c r="K4479">
        <v>1.1104019999999999</v>
      </c>
      <c r="L4479">
        <v>215.80189999999999</v>
      </c>
      <c r="M4479">
        <v>0.99989320000000004</v>
      </c>
      <c r="N4479">
        <v>0</v>
      </c>
      <c r="O4479">
        <v>2.4021239999999998E-3</v>
      </c>
      <c r="P4479">
        <v>0.99050039999999995</v>
      </c>
      <c r="Q4479">
        <v>0.1231095</v>
      </c>
      <c r="R4479">
        <v>-6.1264730000000003E-2</v>
      </c>
      <c r="S4479">
        <v>3.040527</v>
      </c>
      <c r="T4479">
        <v>-0.2991837</v>
      </c>
      <c r="U4479">
        <v>-0.41722110000000001</v>
      </c>
      <c r="V4479">
        <v>6.3623150000000003E-2</v>
      </c>
      <c r="W4479">
        <v>0.1373875</v>
      </c>
      <c r="X4479">
        <v>0.98847189999999996</v>
      </c>
      <c r="Y4479">
        <v>0.1376617</v>
      </c>
      <c r="Z4479">
        <v>-6.9599989999999997E-3</v>
      </c>
      <c r="AA4479">
        <v>0.99045490000000003</v>
      </c>
      <c r="AB4479">
        <v>32</v>
      </c>
      <c r="AC4479">
        <v>0.55389999999999795</v>
      </c>
      <c r="AD4479">
        <v>-7.6388000000000095E-2</v>
      </c>
      <c r="AE4479">
        <v>-0.10729999999997999</v>
      </c>
      <c r="AF4479">
        <v>0.10667489748433399</v>
      </c>
      <c r="AG4479">
        <v>-7.6388000000000095E-2</v>
      </c>
      <c r="AH4479">
        <v>0.54367447860510898</v>
      </c>
      <c r="AI4479">
        <v>97.850121253008396</v>
      </c>
      <c r="AJ4479">
        <v>78.898964350788205</v>
      </c>
      <c r="AK4479">
        <v>0.55928221765386998</v>
      </c>
      <c r="AL4479">
        <v>82.103299512757005</v>
      </c>
      <c r="AM4479">
        <v>86.3172282463551</v>
      </c>
      <c r="AN4479">
        <v>0.99999996373088995</v>
      </c>
    </row>
    <row r="4480" spans="1:40" x14ac:dyDescent="0.25">
      <c r="A4480" t="str">
        <f>"20190312172207573"</f>
        <v>20190312172207573</v>
      </c>
      <c r="B4480" t="str">
        <f>"1552382527564736"</f>
        <v>1552382527564736</v>
      </c>
      <c r="C4480" t="s">
        <v>40</v>
      </c>
      <c r="D4480">
        <v>3.1976979999999999</v>
      </c>
      <c r="E4480">
        <v>0.52998999999999996</v>
      </c>
      <c r="F4480" t="s">
        <v>41</v>
      </c>
      <c r="G4480">
        <v>-230.7543</v>
      </c>
      <c r="H4480">
        <v>1.0257259999999999</v>
      </c>
      <c r="I4480">
        <v>215.68559999999999</v>
      </c>
      <c r="J4480">
        <v>-231.28030000000001</v>
      </c>
      <c r="K4480">
        <v>1.110387</v>
      </c>
      <c r="L4480">
        <v>215.80269999999999</v>
      </c>
      <c r="M4480">
        <v>0.99989309999999998</v>
      </c>
      <c r="N4480">
        <v>0</v>
      </c>
      <c r="O4480">
        <v>2.4452089999999998E-3</v>
      </c>
      <c r="P4480">
        <v>0.99049129999999996</v>
      </c>
      <c r="Q4480">
        <v>0.1227265</v>
      </c>
      <c r="R4480">
        <v>-6.2174670000000001E-2</v>
      </c>
      <c r="S4480">
        <v>3.0409389999999998</v>
      </c>
      <c r="T4480">
        <v>-0.30828460000000002</v>
      </c>
      <c r="U4480">
        <v>-0.42277530000000002</v>
      </c>
      <c r="V4480">
        <v>6.4583230000000005E-2</v>
      </c>
      <c r="W4480">
        <v>0.136997799999999</v>
      </c>
      <c r="X4480">
        <v>0.9884638</v>
      </c>
      <c r="Y4480">
        <v>0.1394118</v>
      </c>
      <c r="Z4480">
        <v>-7.2612249999999996E-3</v>
      </c>
      <c r="AA4480">
        <v>0.99020790000000003</v>
      </c>
      <c r="AB4480">
        <v>32</v>
      </c>
      <c r="AC4480">
        <v>0.52600000000001002</v>
      </c>
      <c r="AD4480">
        <v>-8.4661000000000097E-2</v>
      </c>
      <c r="AE4480">
        <v>-0.117099999999993</v>
      </c>
      <c r="AF4480">
        <v>0.11553429886264199</v>
      </c>
      <c r="AG4480">
        <v>-8.4661000000000097E-2</v>
      </c>
      <c r="AH4480">
        <v>0.51304878454521097</v>
      </c>
      <c r="AI4480">
        <v>99.145246864220198</v>
      </c>
      <c r="AJ4480">
        <v>77.309165682216104</v>
      </c>
      <c r="AK4480">
        <v>0.53266754590269605</v>
      </c>
      <c r="AL4480">
        <v>82.125841404379599</v>
      </c>
      <c r="AM4480">
        <v>86.261780696379304</v>
      </c>
      <c r="AN4480">
        <v>1.0000000373562501</v>
      </c>
    </row>
    <row r="4481" spans="1:40" x14ac:dyDescent="0.25">
      <c r="A4481" t="str">
        <f>"20190312172207595"</f>
        <v>20190312172207595</v>
      </c>
      <c r="B4481" t="str">
        <f>"1552382527585232"</f>
        <v>1552382527585232</v>
      </c>
      <c r="C4481" t="s">
        <v>40</v>
      </c>
      <c r="D4481">
        <v>3.202334</v>
      </c>
      <c r="E4481">
        <v>0.53021249999999998</v>
      </c>
      <c r="F4481" t="s">
        <v>41</v>
      </c>
      <c r="G4481">
        <v>-230.4693</v>
      </c>
      <c r="H4481">
        <v>1.0256259999999999</v>
      </c>
      <c r="I4481">
        <v>215.68870000000001</v>
      </c>
      <c r="J4481">
        <v>-230.96119999999999</v>
      </c>
      <c r="K4481">
        <v>1.110363</v>
      </c>
      <c r="L4481">
        <v>215.80350000000001</v>
      </c>
      <c r="M4481">
        <v>0.99989320000000004</v>
      </c>
      <c r="N4481">
        <v>0</v>
      </c>
      <c r="O4481">
        <v>2.4686130000000001E-3</v>
      </c>
      <c r="P4481">
        <v>0.99037889999999995</v>
      </c>
      <c r="Q4481">
        <v>0.123081</v>
      </c>
      <c r="R4481">
        <v>-6.3252829999999996E-2</v>
      </c>
      <c r="S4481">
        <v>3.0413359999999998</v>
      </c>
      <c r="T4481">
        <v>-0.31779590000000002</v>
      </c>
      <c r="U4481">
        <v>-0.42752079999999998</v>
      </c>
      <c r="V4481">
        <v>6.5690929999999995E-2</v>
      </c>
      <c r="W4481">
        <v>0.13734399999999999</v>
      </c>
      <c r="X4481">
        <v>0.98834270000000002</v>
      </c>
      <c r="Y4481">
        <v>0.14088049999999999</v>
      </c>
      <c r="Z4481">
        <v>-7.5608899999999998E-3</v>
      </c>
      <c r="AA4481">
        <v>0.98999769999999998</v>
      </c>
      <c r="AB4481">
        <v>32</v>
      </c>
      <c r="AC4481">
        <v>0.49189999999998602</v>
      </c>
      <c r="AD4481">
        <v>-8.4737000000000007E-2</v>
      </c>
      <c r="AE4481">
        <v>-0.114800000000002</v>
      </c>
      <c r="AF4481">
        <v>0.112838549712765</v>
      </c>
      <c r="AG4481">
        <v>-8.4737000000000007E-2</v>
      </c>
      <c r="AH4481">
        <v>0.478158588692631</v>
      </c>
      <c r="AI4481">
        <v>99.785965745281004</v>
      </c>
      <c r="AJ4481">
        <v>76.721944293097494</v>
      </c>
      <c r="AK4481">
        <v>0.49854642051749698</v>
      </c>
      <c r="AL4481">
        <v>82.105815882184103</v>
      </c>
      <c r="AM4481">
        <v>86.197386567428495</v>
      </c>
      <c r="AN4481">
        <v>0.99999998263177703</v>
      </c>
    </row>
    <row r="4482" spans="1:40" x14ac:dyDescent="0.25">
      <c r="A4482" t="str">
        <f>"20190312172207618"</f>
        <v>20190312172207618</v>
      </c>
      <c r="B4482" t="str">
        <f>"1552382527615488"</f>
        <v>1552382527615488</v>
      </c>
      <c r="C4482" t="s">
        <v>40</v>
      </c>
      <c r="D4482">
        <v>3.219719</v>
      </c>
      <c r="E4482">
        <v>0.53057769999999904</v>
      </c>
      <c r="F4482" t="s">
        <v>41</v>
      </c>
      <c r="G4482">
        <v>-230.18369999999999</v>
      </c>
      <c r="H4482">
        <v>1.0274669999999999</v>
      </c>
      <c r="I4482">
        <v>215.69280000000001</v>
      </c>
      <c r="J4482">
        <v>-230.64340000000001</v>
      </c>
      <c r="K4482">
        <v>1.110341</v>
      </c>
      <c r="L4482">
        <v>215.80430000000001</v>
      </c>
      <c r="M4482">
        <v>0.99989320000000004</v>
      </c>
      <c r="N4482">
        <v>0</v>
      </c>
      <c r="O4482">
        <v>2.4622709999999998E-3</v>
      </c>
      <c r="P4482">
        <v>0.99029809999999996</v>
      </c>
      <c r="Q4482">
        <v>0.122831</v>
      </c>
      <c r="R4482">
        <v>-6.4982910000000005E-2</v>
      </c>
      <c r="S4482">
        <v>3.0418400000000001</v>
      </c>
      <c r="T4482">
        <v>-0.32446659999999999</v>
      </c>
      <c r="U4482">
        <v>-0.43261719999999998</v>
      </c>
      <c r="V4482">
        <v>6.7420969999999997E-2</v>
      </c>
      <c r="W4482">
        <v>0.1370866</v>
      </c>
      <c r="X4482">
        <v>0.98826190000000003</v>
      </c>
      <c r="Y4482">
        <v>0.14243710000000001</v>
      </c>
      <c r="Z4482">
        <v>-7.7982750000000003E-3</v>
      </c>
      <c r="AA4482">
        <v>0.98977320000000002</v>
      </c>
      <c r="AB4482">
        <v>32</v>
      </c>
      <c r="AC4482">
        <v>0.45970000000002598</v>
      </c>
      <c r="AD4482">
        <v>-8.28740000000001E-2</v>
      </c>
      <c r="AE4482">
        <v>-0.111500000000006</v>
      </c>
      <c r="AF4482">
        <v>0.109277462966966</v>
      </c>
      <c r="AG4482">
        <v>-8.28740000000001E-2</v>
      </c>
      <c r="AH4482">
        <v>0.44574217943452898</v>
      </c>
      <c r="AI4482">
        <v>100.235950463132</v>
      </c>
      <c r="AJ4482">
        <v>76.225135051929101</v>
      </c>
      <c r="AK4482">
        <v>0.46636440078069902</v>
      </c>
      <c r="AL4482">
        <v>82.120704410656501</v>
      </c>
      <c r="AM4482">
        <v>86.0972281339766</v>
      </c>
      <c r="AN4482">
        <v>0.99999995304345402</v>
      </c>
    </row>
    <row r="4483" spans="1:40" x14ac:dyDescent="0.25">
      <c r="A4483" t="str">
        <f>"20190312172207641"</f>
        <v>20190312172207641</v>
      </c>
      <c r="B4483" t="str">
        <f>"1552382527635008"</f>
        <v>1552382527635008</v>
      </c>
      <c r="C4483" t="s">
        <v>40</v>
      </c>
      <c r="D4483">
        <v>3.2347009999999998</v>
      </c>
      <c r="E4483">
        <v>0.53086</v>
      </c>
      <c r="F4483" t="s">
        <v>41</v>
      </c>
      <c r="G4483">
        <v>-229.89920000000001</v>
      </c>
      <c r="H4483">
        <v>1.02794599999999</v>
      </c>
      <c r="I4483">
        <v>215.69649999999999</v>
      </c>
      <c r="J4483">
        <v>-230.32249999999999</v>
      </c>
      <c r="K4483">
        <v>1.1103190000000001</v>
      </c>
      <c r="L4483">
        <v>215.80500000000001</v>
      </c>
      <c r="M4483">
        <v>0.99989340000000004</v>
      </c>
      <c r="N4483">
        <v>0</v>
      </c>
      <c r="O4483">
        <v>2.4099500000000001E-3</v>
      </c>
      <c r="P4483">
        <v>0.99017469999999996</v>
      </c>
      <c r="Q4483">
        <v>0.1229095</v>
      </c>
      <c r="R4483">
        <v>-6.6692550000000003E-2</v>
      </c>
      <c r="S4483">
        <v>3.0422669999999998</v>
      </c>
      <c r="T4483">
        <v>-0.33688040000000002</v>
      </c>
      <c r="U4483">
        <v>-0.44056699999999999</v>
      </c>
      <c r="V4483">
        <v>6.908773E-2</v>
      </c>
      <c r="W4483">
        <v>0.13715559999999999</v>
      </c>
      <c r="X4483">
        <v>0.98813720000000005</v>
      </c>
      <c r="Y4483">
        <v>0.1448237</v>
      </c>
      <c r="Z4483">
        <v>-8.2175900000000003E-3</v>
      </c>
      <c r="AA4483">
        <v>0.98942330000000001</v>
      </c>
      <c r="AB4483">
        <v>32</v>
      </c>
      <c r="AC4483">
        <v>0.42329999999998302</v>
      </c>
      <c r="AD4483">
        <v>-8.2373000000000196E-2</v>
      </c>
      <c r="AE4483">
        <v>-0.10850000000002</v>
      </c>
      <c r="AF4483">
        <v>0.105761830783349</v>
      </c>
      <c r="AG4483">
        <v>-8.2373000000000196E-2</v>
      </c>
      <c r="AH4483">
        <v>0.40852106625787099</v>
      </c>
      <c r="AI4483">
        <v>101.04533631251201</v>
      </c>
      <c r="AJ4483">
        <v>75.485395903167301</v>
      </c>
      <c r="AK4483">
        <v>0.42995387840571198</v>
      </c>
      <c r="AL4483">
        <v>82.116713275010994</v>
      </c>
      <c r="AM4483">
        <v>86.000551289485898</v>
      </c>
      <c r="AN4483">
        <v>0.99999994953587501</v>
      </c>
    </row>
    <row r="4484" spans="1:40" x14ac:dyDescent="0.25">
      <c r="A4484" t="str">
        <f>"20190312172207663"</f>
        <v>20190312172207663</v>
      </c>
      <c r="B4484" t="str">
        <f>"1552382527655508"</f>
        <v>1552382527655508</v>
      </c>
      <c r="C4484" t="s">
        <v>40</v>
      </c>
      <c r="D4484">
        <v>3.251868</v>
      </c>
      <c r="E4484">
        <v>0.53112349999999997</v>
      </c>
      <c r="F4484" t="s">
        <v>41</v>
      </c>
      <c r="G4484">
        <v>-229.34440000000001</v>
      </c>
      <c r="H4484">
        <v>0.9994286</v>
      </c>
      <c r="I4484">
        <v>215.66079999999999</v>
      </c>
      <c r="J4484">
        <v>-230.0076</v>
      </c>
      <c r="K4484">
        <v>1.1102829999999999</v>
      </c>
      <c r="L4484">
        <v>215.8057</v>
      </c>
      <c r="M4484">
        <v>0.9998937</v>
      </c>
      <c r="N4484">
        <v>0</v>
      </c>
      <c r="O4484">
        <v>2.307927E-3</v>
      </c>
      <c r="P4484">
        <v>0.9900506</v>
      </c>
      <c r="Q4484">
        <v>0.1230475</v>
      </c>
      <c r="R4484">
        <v>-6.8258929999999995E-2</v>
      </c>
      <c r="S4484">
        <v>3.042389</v>
      </c>
      <c r="T4484">
        <v>-0.34498980000000001</v>
      </c>
      <c r="U4484">
        <v>-0.44819639999999999</v>
      </c>
      <c r="V4484">
        <v>7.0565600000000006E-2</v>
      </c>
      <c r="W4484">
        <v>0.13728170000000001</v>
      </c>
      <c r="X4484">
        <v>0.98801530000000004</v>
      </c>
      <c r="Y4484">
        <v>0.1470902</v>
      </c>
      <c r="Z4484">
        <v>-8.5282840000000006E-3</v>
      </c>
      <c r="AA4484">
        <v>0.98908629999999997</v>
      </c>
      <c r="AB4484">
        <v>32</v>
      </c>
      <c r="AC4484">
        <v>0.66319999999998902</v>
      </c>
      <c r="AD4484">
        <v>-0.11085439999999901</v>
      </c>
      <c r="AE4484">
        <v>-0.144900000000006</v>
      </c>
      <c r="AF4484">
        <v>0.14262703585299299</v>
      </c>
      <c r="AG4484">
        <v>-0.11085439999999901</v>
      </c>
      <c r="AH4484">
        <v>0.64564668732438102</v>
      </c>
      <c r="AI4484">
        <v>99.5173090650445</v>
      </c>
      <c r="AJ4484">
        <v>77.543093557537404</v>
      </c>
      <c r="AK4484">
        <v>0.670440761147857</v>
      </c>
      <c r="AL4484">
        <v>82.109419690401694</v>
      </c>
      <c r="AM4484">
        <v>85.914782561819607</v>
      </c>
      <c r="AN4484">
        <v>1.00000000104617</v>
      </c>
    </row>
    <row r="4485" spans="1:40" x14ac:dyDescent="0.25">
      <c r="A4485" t="str">
        <f>"20190312172207686"</f>
        <v>20190312172207686</v>
      </c>
      <c r="B4485" t="str">
        <f>"1552382527675024"</f>
        <v>1552382527675024</v>
      </c>
      <c r="C4485" t="s">
        <v>40</v>
      </c>
      <c r="D4485">
        <v>3.261816</v>
      </c>
      <c r="E4485">
        <v>0.53134579999999998</v>
      </c>
      <c r="F4485" t="s">
        <v>41</v>
      </c>
      <c r="G4485">
        <v>-229.06039999999999</v>
      </c>
      <c r="H4485">
        <v>1.000567</v>
      </c>
      <c r="I4485">
        <v>215.6636</v>
      </c>
      <c r="J4485">
        <v>-229.68700000000001</v>
      </c>
      <c r="K4485">
        <v>1.1102430000000001</v>
      </c>
      <c r="L4485">
        <v>215.80629999999999</v>
      </c>
      <c r="M4485">
        <v>0.99989399999999995</v>
      </c>
      <c r="N4485">
        <v>0</v>
      </c>
      <c r="O4485">
        <v>2.1613679999999999E-3</v>
      </c>
      <c r="P4485">
        <v>0.98987199999999997</v>
      </c>
      <c r="Q4485">
        <v>0.1233741</v>
      </c>
      <c r="R4485">
        <v>-7.0229970000000003E-2</v>
      </c>
      <c r="S4485">
        <v>3.0425719999999998</v>
      </c>
      <c r="T4485">
        <v>-0.3525469</v>
      </c>
      <c r="U4485">
        <v>-0.45556639999999998</v>
      </c>
      <c r="V4485">
        <v>7.2405319999999995E-2</v>
      </c>
      <c r="W4485">
        <v>0.13759440000000001</v>
      </c>
      <c r="X4485">
        <v>0.98783869999999896</v>
      </c>
      <c r="Y4485">
        <v>0.14922650000000001</v>
      </c>
      <c r="Z4485">
        <v>-8.8176929999999997E-3</v>
      </c>
      <c r="AA4485">
        <v>0.98876370000000002</v>
      </c>
      <c r="AB4485">
        <v>32</v>
      </c>
      <c r="AC4485">
        <v>0.62660000000002403</v>
      </c>
      <c r="AD4485">
        <v>-0.109676</v>
      </c>
      <c r="AE4485">
        <v>-0.14269999999999</v>
      </c>
      <c r="AF4485">
        <v>0.139977128251668</v>
      </c>
      <c r="AG4485">
        <v>-0.109676</v>
      </c>
      <c r="AH4485">
        <v>0.60856493579638604</v>
      </c>
      <c r="AI4485">
        <v>99.961519305671899</v>
      </c>
      <c r="AJ4485">
        <v>77.046592297581995</v>
      </c>
      <c r="AK4485">
        <v>0.634013960800899</v>
      </c>
      <c r="AL4485">
        <v>82.091331827891494</v>
      </c>
      <c r="AM4485">
        <v>85.807904743173594</v>
      </c>
      <c r="AN4485">
        <v>1.0000000232466699</v>
      </c>
    </row>
    <row r="4486" spans="1:40" x14ac:dyDescent="0.25">
      <c r="A4486" t="str">
        <f>"20190312172207709"</f>
        <v>20190312172207709</v>
      </c>
      <c r="B4486" t="str">
        <f>"1552382527705280"</f>
        <v>1552382527705280</v>
      </c>
      <c r="C4486" t="s">
        <v>40</v>
      </c>
      <c r="D4486">
        <v>3.2699690000000001</v>
      </c>
      <c r="E4486">
        <v>0.53162799999999999</v>
      </c>
      <c r="F4486" t="s">
        <v>41</v>
      </c>
      <c r="G4486">
        <v>-228.7764</v>
      </c>
      <c r="H4486">
        <v>1.0027330000000001</v>
      </c>
      <c r="I4486">
        <v>215.66749999999999</v>
      </c>
      <c r="J4486">
        <v>-229.36930000000001</v>
      </c>
      <c r="K4486">
        <v>1.1102050000000001</v>
      </c>
      <c r="L4486">
        <v>215.80680000000001</v>
      </c>
      <c r="M4486">
        <v>0.99989439999999996</v>
      </c>
      <c r="N4486">
        <v>0</v>
      </c>
      <c r="O4486">
        <v>1.964295E-3</v>
      </c>
      <c r="P4486">
        <v>0.9896104</v>
      </c>
      <c r="Q4486">
        <v>0.1241708</v>
      </c>
      <c r="R4486">
        <v>-7.2479550000000004E-2</v>
      </c>
      <c r="S4486">
        <v>3.042618</v>
      </c>
      <c r="T4486">
        <v>-0.35929309999999998</v>
      </c>
      <c r="U4486">
        <v>-0.46325680000000002</v>
      </c>
      <c r="V4486">
        <v>7.4473830000000005E-2</v>
      </c>
      <c r="W4486">
        <v>0.13837550000000001</v>
      </c>
      <c r="X4486">
        <v>0.9875758</v>
      </c>
      <c r="Y4486">
        <v>0.15142139999999901</v>
      </c>
      <c r="Z4486">
        <v>-9.088835E-3</v>
      </c>
      <c r="AA4486">
        <v>0.98842750000000001</v>
      </c>
      <c r="AB4486">
        <v>32</v>
      </c>
      <c r="AC4486">
        <v>0.59290000000001397</v>
      </c>
      <c r="AD4486">
        <v>-0.107471999999999</v>
      </c>
      <c r="AE4486">
        <v>-0.13930000000001899</v>
      </c>
      <c r="AF4486">
        <v>0.136222756287351</v>
      </c>
      <c r="AG4486">
        <v>-0.107471999999999</v>
      </c>
      <c r="AH4486">
        <v>0.57472919095187702</v>
      </c>
      <c r="AI4486">
        <v>100.31241939961799</v>
      </c>
      <c r="AJ4486">
        <v>76.665776027316497</v>
      </c>
      <c r="AK4486">
        <v>0.60035032526577503</v>
      </c>
      <c r="AL4486">
        <v>82.046146038646199</v>
      </c>
      <c r="AM4486">
        <v>85.687444889097307</v>
      </c>
      <c r="AN4486">
        <v>1.0000000455503699</v>
      </c>
    </row>
    <row r="4487" spans="1:40" x14ac:dyDescent="0.25">
      <c r="A4487" t="str">
        <f>"20190312172207730"</f>
        <v>20190312172207730</v>
      </c>
      <c r="B4487" t="str">
        <f>"1552382527724805"</f>
        <v>1552382527724805</v>
      </c>
      <c r="C4487" t="s">
        <v>40</v>
      </c>
      <c r="D4487">
        <v>3.2488239999999999</v>
      </c>
      <c r="E4487">
        <v>0.53179849999999995</v>
      </c>
      <c r="F4487" t="s">
        <v>41</v>
      </c>
      <c r="G4487">
        <v>-228.49289999999999</v>
      </c>
      <c r="H4487">
        <v>1.0042120000000001</v>
      </c>
      <c r="I4487">
        <v>215.67070000000001</v>
      </c>
      <c r="J4487">
        <v>-229.0591</v>
      </c>
      <c r="K4487">
        <v>1.110169</v>
      </c>
      <c r="L4487">
        <v>215.80719999999999</v>
      </c>
      <c r="M4487">
        <v>0.99989499999999998</v>
      </c>
      <c r="N4487">
        <v>0</v>
      </c>
      <c r="O4487">
        <v>1.715591E-3</v>
      </c>
      <c r="P4487">
        <v>0.98935660000000003</v>
      </c>
      <c r="Q4487">
        <v>0.1248396</v>
      </c>
      <c r="R4487">
        <v>-7.4756149999999993E-2</v>
      </c>
      <c r="S4487">
        <v>3.0431210000000002</v>
      </c>
      <c r="T4487">
        <v>-0.36808180000000001</v>
      </c>
      <c r="U4487">
        <v>-0.4717865</v>
      </c>
      <c r="V4487">
        <v>7.651906E-2</v>
      </c>
      <c r="W4487">
        <v>0.1390286</v>
      </c>
      <c r="X4487">
        <v>0.98732759999999997</v>
      </c>
      <c r="Y4487">
        <v>0.15379179999999901</v>
      </c>
      <c r="Z4487">
        <v>-9.4183329999999992E-3</v>
      </c>
      <c r="AA4487">
        <v>0.9880584</v>
      </c>
      <c r="AB4487">
        <v>32</v>
      </c>
      <c r="AC4487">
        <v>0.56620000000000903</v>
      </c>
      <c r="AD4487">
        <v>-0.105956999999999</v>
      </c>
      <c r="AE4487">
        <v>-0.136499999999983</v>
      </c>
      <c r="AF4487">
        <v>0.13306718302832701</v>
      </c>
      <c r="AG4487">
        <v>-0.105956999999999</v>
      </c>
      <c r="AH4487">
        <v>0.54783348524796405</v>
      </c>
      <c r="AI4487">
        <v>100.644344444677</v>
      </c>
      <c r="AJ4487">
        <v>76.347417220267502</v>
      </c>
      <c r="AK4487">
        <v>0.57363340959799902</v>
      </c>
      <c r="AL4487">
        <v>82.008360204333897</v>
      </c>
      <c r="AM4487">
        <v>85.568367734780693</v>
      </c>
      <c r="AN4487">
        <v>0.99999995394149999</v>
      </c>
    </row>
    <row r="4488" spans="1:40" x14ac:dyDescent="0.25">
      <c r="A4488" t="str">
        <f>"20190312172207750"</f>
        <v>20190312172207750</v>
      </c>
      <c r="B4488" t="str">
        <f>"1552382527745296"</f>
        <v>1552382527745296</v>
      </c>
      <c r="C4488" t="s">
        <v>40</v>
      </c>
      <c r="D4488">
        <v>3.2928470000000001</v>
      </c>
      <c r="E4488">
        <v>0.53196730000000003</v>
      </c>
      <c r="F4488" t="s">
        <v>41</v>
      </c>
      <c r="G4488">
        <v>-228.20959999999999</v>
      </c>
      <c r="H4488">
        <v>1.006</v>
      </c>
      <c r="I4488">
        <v>215.673</v>
      </c>
      <c r="J4488">
        <v>-228.78380000000001</v>
      </c>
      <c r="K4488">
        <v>1.110131</v>
      </c>
      <c r="L4488">
        <v>215.8074</v>
      </c>
      <c r="M4488">
        <v>0.99989550000000005</v>
      </c>
      <c r="N4488">
        <v>0</v>
      </c>
      <c r="O4488">
        <v>1.4460829999999999E-3</v>
      </c>
      <c r="P4488">
        <v>0.98921040000000005</v>
      </c>
      <c r="Q4488">
        <v>0.12527830000000001</v>
      </c>
      <c r="R4488">
        <v>-7.5949899999999904E-2</v>
      </c>
      <c r="S4488">
        <v>3.0431059999999999</v>
      </c>
      <c r="T4488">
        <v>-0.37319400000000003</v>
      </c>
      <c r="U4488">
        <v>-0.48004150000000001</v>
      </c>
      <c r="V4488">
        <v>7.7459680000000003E-2</v>
      </c>
      <c r="W4488">
        <v>0.139455</v>
      </c>
      <c r="X4488">
        <v>0.98719420000000002</v>
      </c>
      <c r="Y4488">
        <v>0.15609700000000001</v>
      </c>
      <c r="Z4488">
        <v>-9.6535030000000008E-3</v>
      </c>
      <c r="AA4488">
        <v>0.98769459999999998</v>
      </c>
      <c r="AB4488">
        <v>32</v>
      </c>
      <c r="AC4488">
        <v>0.57420000000001803</v>
      </c>
      <c r="AD4488">
        <v>-0.104130999999999</v>
      </c>
      <c r="AE4488">
        <v>-0.13439999999999899</v>
      </c>
      <c r="AF4488">
        <v>0.131141363460023</v>
      </c>
      <c r="AG4488">
        <v>-0.104130999999999</v>
      </c>
      <c r="AH4488">
        <v>0.55664898617432601</v>
      </c>
      <c r="AI4488">
        <v>100.319521079569</v>
      </c>
      <c r="AJ4488">
        <v>76.743375846376296</v>
      </c>
      <c r="AK4488">
        <v>0.58129116299842298</v>
      </c>
      <c r="AL4488">
        <v>81.983689670271104</v>
      </c>
      <c r="AM4488">
        <v>85.513508650352193</v>
      </c>
      <c r="AN4488">
        <v>1.0000000437821699</v>
      </c>
    </row>
    <row r="4489" spans="1:40" x14ac:dyDescent="0.25">
      <c r="A4489" t="str">
        <f>"20190312172207764"</f>
        <v>20190312172207764</v>
      </c>
      <c r="B4489" t="str">
        <f>"1552382527755057"</f>
        <v>1552382527755057</v>
      </c>
      <c r="C4489" t="s">
        <v>40</v>
      </c>
      <c r="D4489">
        <v>3.2907540000000002</v>
      </c>
      <c r="E4489">
        <v>0.53205059999999904</v>
      </c>
      <c r="F4489" t="s">
        <v>41</v>
      </c>
      <c r="G4489">
        <v>-227.92840000000001</v>
      </c>
      <c r="H4489">
        <v>1.0037780000000001</v>
      </c>
      <c r="I4489">
        <v>215.67070000000001</v>
      </c>
      <c r="J4489">
        <v>-228.5812</v>
      </c>
      <c r="K4489">
        <v>1.1101080000000001</v>
      </c>
      <c r="L4489">
        <v>215.8074</v>
      </c>
      <c r="M4489">
        <v>0.9998958</v>
      </c>
      <c r="N4489">
        <v>0</v>
      </c>
      <c r="O4489">
        <v>1.2211489999999999E-3</v>
      </c>
      <c r="P4489">
        <v>0.98890639999999996</v>
      </c>
      <c r="Q4489">
        <v>0.12619629999999901</v>
      </c>
      <c r="R4489">
        <v>-7.8348290000000001E-2</v>
      </c>
      <c r="S4489">
        <v>3.0433650000000001</v>
      </c>
      <c r="T4489">
        <v>-0.37848419999999999</v>
      </c>
      <c r="U4489">
        <v>-0.48544310000000002</v>
      </c>
      <c r="V4489">
        <v>7.9646069999999999E-2</v>
      </c>
      <c r="W4489">
        <v>0.14035919999999999</v>
      </c>
      <c r="X4489">
        <v>0.98689199999999999</v>
      </c>
      <c r="Y4489">
        <v>0.15753049999999999</v>
      </c>
      <c r="Z4489">
        <v>-9.8477180000000001E-3</v>
      </c>
      <c r="AA4489">
        <v>0.98746500000000004</v>
      </c>
      <c r="AB4489">
        <v>32</v>
      </c>
      <c r="AC4489">
        <v>0.65279999999998495</v>
      </c>
      <c r="AD4489">
        <v>-0.10632999999999999</v>
      </c>
      <c r="AE4489">
        <v>-0.13669999999999</v>
      </c>
      <c r="AF4489">
        <v>0.13408909317370801</v>
      </c>
      <c r="AG4489">
        <v>-0.10632999999999999</v>
      </c>
      <c r="AH4489">
        <v>0.63645618077894495</v>
      </c>
      <c r="AI4489">
        <v>99.284416532572195</v>
      </c>
      <c r="AJ4489">
        <v>78.102866941204695</v>
      </c>
      <c r="AK4489">
        <v>0.65906177545042699</v>
      </c>
      <c r="AL4489">
        <v>81.931367956613897</v>
      </c>
      <c r="AM4489">
        <v>85.386004845249204</v>
      </c>
      <c r="AN4489">
        <v>1.00000001057754</v>
      </c>
    </row>
    <row r="4490" spans="1:40" x14ac:dyDescent="0.25">
      <c r="A4490" t="str">
        <f>"20190312172207786"</f>
        <v>20190312172207786</v>
      </c>
      <c r="B4490" t="str">
        <f>"1552382527775552"</f>
        <v>1552382527775552</v>
      </c>
      <c r="C4490" t="s">
        <v>40</v>
      </c>
      <c r="D4490">
        <v>3.3035909999999999</v>
      </c>
      <c r="E4490">
        <v>0.53218379999999998</v>
      </c>
      <c r="F4490" t="s">
        <v>41</v>
      </c>
      <c r="G4490">
        <v>-227.6508</v>
      </c>
      <c r="H4490">
        <v>0.99429350000000005</v>
      </c>
      <c r="I4490">
        <v>215.65620000000001</v>
      </c>
      <c r="J4490">
        <v>-228.274</v>
      </c>
      <c r="K4490">
        <v>1.1100639999999999</v>
      </c>
      <c r="L4490">
        <v>215.8074</v>
      </c>
      <c r="M4490">
        <v>0.99989620000000001</v>
      </c>
      <c r="N4490">
        <v>0</v>
      </c>
      <c r="O4490">
        <v>8.3148809999999897E-4</v>
      </c>
      <c r="P4490">
        <v>0.98861089999999996</v>
      </c>
      <c r="Q4490">
        <v>0.1269943</v>
      </c>
      <c r="R4490">
        <v>-8.0754010000000001E-2</v>
      </c>
      <c r="S4490">
        <v>3.042862</v>
      </c>
      <c r="T4490">
        <v>-0.37883650000000002</v>
      </c>
      <c r="U4490">
        <v>-0.49400329999999898</v>
      </c>
      <c r="V4490">
        <v>8.1682379999999999E-2</v>
      </c>
      <c r="W4490">
        <v>0.1411405</v>
      </c>
      <c r="X4490">
        <v>0.98661410000000005</v>
      </c>
      <c r="Y4490">
        <v>0.159861999999999</v>
      </c>
      <c r="Z4490">
        <v>-9.9518750000000007E-3</v>
      </c>
      <c r="AA4490">
        <v>0.9870892</v>
      </c>
      <c r="AB4490">
        <v>32</v>
      </c>
      <c r="AC4490">
        <v>0.62319999999999698</v>
      </c>
      <c r="AD4490">
        <v>-0.1157705</v>
      </c>
      <c r="AE4490">
        <v>-0.15119999999998801</v>
      </c>
      <c r="AF4490">
        <v>0.14692956875198099</v>
      </c>
      <c r="AG4490">
        <v>-0.1157705</v>
      </c>
      <c r="AH4490">
        <v>0.60340823159874701</v>
      </c>
      <c r="AI4490">
        <v>100.55954089072399</v>
      </c>
      <c r="AJ4490">
        <v>76.314834486324798</v>
      </c>
      <c r="AK4490">
        <v>0.63173776268719395</v>
      </c>
      <c r="AL4490">
        <v>81.886152707144902</v>
      </c>
      <c r="AM4490">
        <v>85.267241179376995</v>
      </c>
      <c r="AN4490">
        <v>1.0000000171307599</v>
      </c>
    </row>
    <row r="4491" spans="1:40" x14ac:dyDescent="0.25">
      <c r="A4491" t="str">
        <f>"20190312172207808"</f>
        <v>20190312172207808</v>
      </c>
      <c r="B4491" t="str">
        <f>"1552382527804832"</f>
        <v>1552382527804832</v>
      </c>
      <c r="C4491" t="s">
        <v>40</v>
      </c>
      <c r="D4491">
        <v>3.3189039999999999</v>
      </c>
      <c r="E4491">
        <v>0.53235929999999998</v>
      </c>
      <c r="F4491" t="s">
        <v>41</v>
      </c>
      <c r="G4491">
        <v>-227.36840000000001</v>
      </c>
      <c r="H4491">
        <v>0.99613359999999995</v>
      </c>
      <c r="I4491">
        <v>215.65770000000001</v>
      </c>
      <c r="J4491">
        <v>-227.95509999999999</v>
      </c>
      <c r="K4491">
        <v>1.11002</v>
      </c>
      <c r="L4491">
        <v>215.80719999999999</v>
      </c>
      <c r="M4491">
        <v>0.99989649999999997</v>
      </c>
      <c r="N4491">
        <v>0</v>
      </c>
      <c r="O4491">
        <v>3.7429210000000001E-4</v>
      </c>
      <c r="P4491">
        <v>0.98826519999999995</v>
      </c>
      <c r="Q4491">
        <v>0.1279563</v>
      </c>
      <c r="R4491">
        <v>-8.3420960000000002E-2</v>
      </c>
      <c r="S4491">
        <v>3.0427249999999999</v>
      </c>
      <c r="T4491">
        <v>-0.38284279999999998</v>
      </c>
      <c r="U4491">
        <v>-0.50234990000000002</v>
      </c>
      <c r="V4491">
        <v>8.3913660000000001E-2</v>
      </c>
      <c r="W4491">
        <v>0.1420836</v>
      </c>
      <c r="X4491">
        <v>0.98629140000000004</v>
      </c>
      <c r="Y4491">
        <v>0.1620164</v>
      </c>
      <c r="Z4491">
        <v>-1.013175E-2</v>
      </c>
      <c r="AA4491">
        <v>0.9867361</v>
      </c>
      <c r="AB4491">
        <v>32</v>
      </c>
      <c r="AC4491">
        <v>0.58669999999997902</v>
      </c>
      <c r="AD4491">
        <v>-0.1138864</v>
      </c>
      <c r="AE4491">
        <v>-0.149499999999989</v>
      </c>
      <c r="AF4491">
        <v>0.144603167992578</v>
      </c>
      <c r="AG4491">
        <v>-0.1138864</v>
      </c>
      <c r="AH4491">
        <v>0.56659632428604301</v>
      </c>
      <c r="AI4491">
        <v>101.02086735576501</v>
      </c>
      <c r="AJ4491">
        <v>75.682949949766297</v>
      </c>
      <c r="AK4491">
        <v>0.595744561865994</v>
      </c>
      <c r="AL4491">
        <v>81.831566720088205</v>
      </c>
      <c r="AM4491">
        <v>85.136987038834604</v>
      </c>
      <c r="AN4491">
        <v>0.99999998871875695</v>
      </c>
    </row>
    <row r="4492" spans="1:40" x14ac:dyDescent="0.25">
      <c r="A4492" t="str">
        <f>"20190312172207832"</f>
        <v>20190312172207832</v>
      </c>
      <c r="B4492" t="str">
        <f>"1552382527825328"</f>
        <v>1552382527825328</v>
      </c>
      <c r="C4492" t="s">
        <v>40</v>
      </c>
      <c r="D4492">
        <v>3.3214190000000001</v>
      </c>
      <c r="E4492">
        <v>0.53244179999999997</v>
      </c>
      <c r="F4492" t="s">
        <v>41</v>
      </c>
      <c r="G4492">
        <v>-227.08590000000001</v>
      </c>
      <c r="H4492">
        <v>0.99887550000000003</v>
      </c>
      <c r="I4492">
        <v>215.66079999999999</v>
      </c>
      <c r="J4492">
        <v>-227.63579999999999</v>
      </c>
      <c r="K4492">
        <v>1.10998</v>
      </c>
      <c r="L4492">
        <v>215.80680000000001</v>
      </c>
      <c r="M4492">
        <v>0.99989669999999997</v>
      </c>
      <c r="N4492">
        <v>0</v>
      </c>
      <c r="O4492">
        <v>-1.3267070000000001E-4</v>
      </c>
      <c r="P4492">
        <v>0.98795279999999996</v>
      </c>
      <c r="Q4492">
        <v>0.12858449999999999</v>
      </c>
      <c r="R4492">
        <v>-8.6112019999999997E-2</v>
      </c>
      <c r="S4492">
        <v>3.042786</v>
      </c>
      <c r="T4492">
        <v>-0.38916079999999997</v>
      </c>
      <c r="U4492">
        <v>-0.5122681</v>
      </c>
      <c r="V4492">
        <v>8.6119260000000003E-2</v>
      </c>
      <c r="W4492">
        <v>0.1426934</v>
      </c>
      <c r="X4492">
        <v>0.98601320000000003</v>
      </c>
      <c r="Y4492">
        <v>0.16458499999999901</v>
      </c>
      <c r="Z4492">
        <v>-1.0393060000000001E-2</v>
      </c>
      <c r="AA4492">
        <v>0.98630819999999997</v>
      </c>
      <c r="AB4492">
        <v>31</v>
      </c>
      <c r="AC4492">
        <v>0.54989999999997896</v>
      </c>
      <c r="AD4492">
        <v>-0.11110449999999999</v>
      </c>
      <c r="AE4492">
        <v>-0.14600000000001501</v>
      </c>
      <c r="AF4492">
        <v>0.14056666424326</v>
      </c>
      <c r="AG4492">
        <v>-0.11110449999999999</v>
      </c>
      <c r="AH4492">
        <v>0.52971905265313002</v>
      </c>
      <c r="AI4492">
        <v>101.460040604661</v>
      </c>
      <c r="AJ4492">
        <v>75.138459549487806</v>
      </c>
      <c r="AK4492">
        <v>0.559200743705207</v>
      </c>
      <c r="AL4492">
        <v>81.796268033819501</v>
      </c>
      <c r="AM4492">
        <v>85.008403194299007</v>
      </c>
      <c r="AN4492">
        <v>0.99999998196037299</v>
      </c>
    </row>
    <row r="4493" spans="1:40" x14ac:dyDescent="0.25">
      <c r="A4493" t="str">
        <f>"20190312172207853"</f>
        <v>20190312172207853</v>
      </c>
      <c r="B4493" t="str">
        <f>"1552382527844849"</f>
        <v>1552382527844849</v>
      </c>
      <c r="C4493" t="s">
        <v>40</v>
      </c>
      <c r="D4493">
        <v>3.3625519999999902</v>
      </c>
      <c r="E4493">
        <v>0.53250839999999999</v>
      </c>
      <c r="F4493" t="s">
        <v>41</v>
      </c>
      <c r="G4493">
        <v>-226.80340000000001</v>
      </c>
      <c r="H4493">
        <v>1.0024109999999999</v>
      </c>
      <c r="I4493">
        <v>215.66409999999999</v>
      </c>
      <c r="J4493">
        <v>-227.32400000000001</v>
      </c>
      <c r="K4493">
        <v>1.1099410000000001</v>
      </c>
      <c r="L4493">
        <v>215.80619999999999</v>
      </c>
      <c r="M4493">
        <v>0.99989649999999997</v>
      </c>
      <c r="N4493">
        <v>0</v>
      </c>
      <c r="O4493">
        <v>-6.7287629999999998E-4</v>
      </c>
      <c r="P4493">
        <v>0.98747890000000005</v>
      </c>
      <c r="Q4493">
        <v>0.12928439999999999</v>
      </c>
      <c r="R4493">
        <v>-9.0396279999999996E-2</v>
      </c>
      <c r="S4493">
        <v>3.0422669999999998</v>
      </c>
      <c r="T4493">
        <v>-0.39313530000000002</v>
      </c>
      <c r="U4493">
        <v>-0.52160640000000003</v>
      </c>
      <c r="V4493">
        <v>8.9883770000000002E-2</v>
      </c>
      <c r="W4493">
        <v>0.143372</v>
      </c>
      <c r="X4493">
        <v>0.98557870000000003</v>
      </c>
      <c r="Y4493">
        <v>0.16698060000000001</v>
      </c>
      <c r="Z4493">
        <v>-1.0581470000000001E-2</v>
      </c>
      <c r="AA4493">
        <v>0.98590339999999999</v>
      </c>
      <c r="AB4493">
        <v>31</v>
      </c>
      <c r="AC4493">
        <v>0.52060000000000095</v>
      </c>
      <c r="AD4493">
        <v>-0.107529999999999</v>
      </c>
      <c r="AE4493">
        <v>-0.142099999999999</v>
      </c>
      <c r="AF4493">
        <v>0.13633642309899799</v>
      </c>
      <c r="AG4493">
        <v>-0.107529999999999</v>
      </c>
      <c r="AH4493">
        <v>0.50081091515491605</v>
      </c>
      <c r="AI4493">
        <v>101.70451411638599</v>
      </c>
      <c r="AJ4493">
        <v>74.771332659414895</v>
      </c>
      <c r="AK4493">
        <v>0.53005838725722898</v>
      </c>
      <c r="AL4493">
        <v>81.756983322829299</v>
      </c>
      <c r="AM4493">
        <v>84.789098368583097</v>
      </c>
      <c r="AN4493">
        <v>0.99999999819355101</v>
      </c>
    </row>
    <row r="4494" spans="1:40" x14ac:dyDescent="0.25">
      <c r="A4494" t="str">
        <f>"20190312172207887"</f>
        <v>20190312172207887</v>
      </c>
      <c r="B4494" t="str">
        <f>"1552382527875104"</f>
        <v>1552382527875104</v>
      </c>
      <c r="C4494" t="s">
        <v>40</v>
      </c>
      <c r="D4494">
        <v>3.3696510000000002</v>
      </c>
      <c r="E4494">
        <v>0.53258470000000002</v>
      </c>
      <c r="F4494" t="s">
        <v>41</v>
      </c>
      <c r="G4494">
        <v>-226.5214</v>
      </c>
      <c r="H4494">
        <v>1.0052840000000001</v>
      </c>
      <c r="I4494">
        <v>215.66470000000001</v>
      </c>
      <c r="J4494">
        <v>-226.85120000000001</v>
      </c>
      <c r="K4494">
        <v>1.109888</v>
      </c>
      <c r="L4494">
        <v>215.8049</v>
      </c>
      <c r="M4494">
        <v>0.99989550000000005</v>
      </c>
      <c r="N4494">
        <v>0</v>
      </c>
      <c r="O4494">
        <v>-1.5642309999999999E-3</v>
      </c>
      <c r="P4494">
        <v>0.98719889999999999</v>
      </c>
      <c r="Q4494">
        <v>0.1284121</v>
      </c>
      <c r="R4494">
        <v>-9.4599459999999996E-2</v>
      </c>
      <c r="S4494">
        <v>3.0409700000000002</v>
      </c>
      <c r="T4494">
        <v>-0.39661380000000002</v>
      </c>
      <c r="U4494">
        <v>-0.5354004</v>
      </c>
      <c r="V4494">
        <v>9.3223479999999997E-2</v>
      </c>
      <c r="W4494">
        <v>0.14247770000000001</v>
      </c>
      <c r="X4494">
        <v>0.98539810000000005</v>
      </c>
      <c r="Y4494">
        <v>0.17046700000000001</v>
      </c>
      <c r="Z4494">
        <v>-1.0784500000000001E-2</v>
      </c>
      <c r="AA4494">
        <v>0.98530439999999997</v>
      </c>
      <c r="AB4494">
        <v>31</v>
      </c>
      <c r="AC4494">
        <v>0.32980000000000498</v>
      </c>
      <c r="AD4494">
        <v>-0.104603999999999</v>
      </c>
      <c r="AE4494">
        <v>-0.140199999999993</v>
      </c>
      <c r="AF4494">
        <v>0.128716942471234</v>
      </c>
      <c r="AG4494">
        <v>-0.104603999999999</v>
      </c>
      <c r="AH4494">
        <v>0.304108271544338</v>
      </c>
      <c r="AI4494">
        <v>107.576321599431</v>
      </c>
      <c r="AJ4494">
        <v>67.058991069356097</v>
      </c>
      <c r="AK4494">
        <v>0.34639845397580499</v>
      </c>
      <c r="AL4494">
        <v>81.808754163147597</v>
      </c>
      <c r="AM4494">
        <v>84.595623922693804</v>
      </c>
      <c r="AN4494">
        <v>0.99999996385210399</v>
      </c>
    </row>
    <row r="4495" spans="1:40" x14ac:dyDescent="0.25">
      <c r="A4495" t="str">
        <f>"20190312172207909"</f>
        <v>20190312172207909</v>
      </c>
      <c r="B4495" t="str">
        <f>"1552382527905360"</f>
        <v>1552382527905360</v>
      </c>
      <c r="C4495" t="s">
        <v>40</v>
      </c>
      <c r="D4495">
        <v>3.3852220000000002</v>
      </c>
      <c r="E4495">
        <v>0.53264119999999904</v>
      </c>
      <c r="F4495" t="s">
        <v>41</v>
      </c>
      <c r="G4495">
        <v>-225.9675</v>
      </c>
      <c r="H4495">
        <v>0.99145309999999998</v>
      </c>
      <c r="I4495">
        <v>215.64519999999999</v>
      </c>
      <c r="J4495">
        <v>-226.54910000000001</v>
      </c>
      <c r="K4495">
        <v>1.1098629999999901</v>
      </c>
      <c r="L4495">
        <v>215.8038</v>
      </c>
      <c r="M4495">
        <v>0.99989450000000002</v>
      </c>
      <c r="N4495">
        <v>0</v>
      </c>
      <c r="O4495">
        <v>-2.1660569999999999E-3</v>
      </c>
      <c r="P4495">
        <v>0.98688770000000003</v>
      </c>
      <c r="Q4495">
        <v>0.1283301</v>
      </c>
      <c r="R4495">
        <v>-9.7900870000000001E-2</v>
      </c>
      <c r="S4495">
        <v>3.039307</v>
      </c>
      <c r="T4495">
        <v>-0.40737570000000001</v>
      </c>
      <c r="U4495">
        <v>-0.5489349</v>
      </c>
      <c r="V4495">
        <v>9.5939739999999996E-2</v>
      </c>
      <c r="W4495">
        <v>0.14238049999999999</v>
      </c>
      <c r="X4495">
        <v>0.98515149999999996</v>
      </c>
      <c r="Y4495">
        <v>0.17411489999999999</v>
      </c>
      <c r="Z4495">
        <v>-1.1238089999999999E-2</v>
      </c>
      <c r="AA4495">
        <v>0.98466120000000001</v>
      </c>
      <c r="AB4495">
        <v>31</v>
      </c>
      <c r="AC4495">
        <v>0.581600000000008</v>
      </c>
      <c r="AD4495">
        <v>-0.118409899999999</v>
      </c>
      <c r="AE4495">
        <v>-0.15860000000000599</v>
      </c>
      <c r="AF4495">
        <v>0.15149486010556801</v>
      </c>
      <c r="AG4495">
        <v>-0.118409899999999</v>
      </c>
      <c r="AH4495">
        <v>0.56032420663204596</v>
      </c>
      <c r="AI4495">
        <v>101.530088441223</v>
      </c>
      <c r="AJ4495">
        <v>74.870667295938205</v>
      </c>
      <c r="AK4495">
        <v>0.59239751315670397</v>
      </c>
      <c r="AL4495">
        <v>81.814381461393793</v>
      </c>
      <c r="AM4495">
        <v>84.4377461087455</v>
      </c>
      <c r="AN4495">
        <v>1.0000000592218801</v>
      </c>
    </row>
    <row r="4496" spans="1:40" x14ac:dyDescent="0.25">
      <c r="A4496" t="str">
        <f>"20190312172207931"</f>
        <v>20190312172207931</v>
      </c>
      <c r="B4496" t="str">
        <f>"1552382527924880"</f>
        <v>1552382527924880</v>
      </c>
      <c r="C4496" t="s">
        <v>40</v>
      </c>
      <c r="D4496">
        <v>3.3565309999999999</v>
      </c>
      <c r="E4496">
        <v>0.53269419999999901</v>
      </c>
      <c r="F4496" t="s">
        <v>41</v>
      </c>
      <c r="G4496">
        <v>-225.6876</v>
      </c>
      <c r="H4496">
        <v>0.99218320000000004</v>
      </c>
      <c r="I4496">
        <v>215.64500000000001</v>
      </c>
      <c r="J4496">
        <v>-226.23050000000001</v>
      </c>
      <c r="K4496">
        <v>1.1098460000000001</v>
      </c>
      <c r="L4496">
        <v>215.80240000000001</v>
      </c>
      <c r="M4496">
        <v>0.99989300000000003</v>
      </c>
      <c r="N4496">
        <v>0</v>
      </c>
      <c r="O4496">
        <v>-2.8190429999999998E-3</v>
      </c>
      <c r="P4496">
        <v>0.98636559999999995</v>
      </c>
      <c r="Q4496">
        <v>0.12934789999999999</v>
      </c>
      <c r="R4496">
        <v>-0.10174560000000001</v>
      </c>
      <c r="S4496">
        <v>3.038376</v>
      </c>
      <c r="T4496">
        <v>-0.4150935</v>
      </c>
      <c r="U4496">
        <v>-0.55928040000000001</v>
      </c>
      <c r="V4496">
        <v>9.914953E-2</v>
      </c>
      <c r="W4496">
        <v>0.14338010000000001</v>
      </c>
      <c r="X4496">
        <v>0.98468849999999997</v>
      </c>
      <c r="Y4496">
        <v>0.17669509999999999</v>
      </c>
      <c r="Z4496">
        <v>-1.153504E-2</v>
      </c>
      <c r="AA4496">
        <v>0.98419800000000002</v>
      </c>
      <c r="AB4496">
        <v>31</v>
      </c>
      <c r="AC4496">
        <v>0.54290000000000205</v>
      </c>
      <c r="AD4496">
        <v>-0.117662799999999</v>
      </c>
      <c r="AE4496">
        <v>-0.15739999999999499</v>
      </c>
      <c r="AF4496">
        <v>0.14939547921927401</v>
      </c>
      <c r="AG4496">
        <v>-0.117662799999999</v>
      </c>
      <c r="AH4496">
        <v>0.520776455821648</v>
      </c>
      <c r="AI4496">
        <v>102.253082168275</v>
      </c>
      <c r="AJ4496">
        <v>73.993368514358806</v>
      </c>
      <c r="AK4496">
        <v>0.55441109355166596</v>
      </c>
      <c r="AL4496">
        <v>81.756514083304694</v>
      </c>
      <c r="AM4496">
        <v>84.250195169646702</v>
      </c>
      <c r="AN4496">
        <v>0.99999996220373899</v>
      </c>
    </row>
    <row r="4497" spans="1:40" x14ac:dyDescent="0.25">
      <c r="A4497" t="str">
        <f>"20190312172207954"</f>
        <v>20190312172207954</v>
      </c>
      <c r="B4497" t="str">
        <f>"1552382527945380"</f>
        <v>1552382527945380</v>
      </c>
      <c r="C4497" t="s">
        <v>40</v>
      </c>
      <c r="D4497">
        <v>3.3612090000000001</v>
      </c>
      <c r="E4497">
        <v>0.53279089999999996</v>
      </c>
      <c r="F4497" t="s">
        <v>41</v>
      </c>
      <c r="G4497">
        <v>-225.40610000000001</v>
      </c>
      <c r="H4497">
        <v>0.99704440000000005</v>
      </c>
      <c r="I4497">
        <v>215.6473</v>
      </c>
      <c r="J4497">
        <v>-225.9194</v>
      </c>
      <c r="K4497">
        <v>1.1098330000000001</v>
      </c>
      <c r="L4497">
        <v>215.80080000000001</v>
      </c>
      <c r="M4497">
        <v>0.99989090000000003</v>
      </c>
      <c r="N4497">
        <v>0</v>
      </c>
      <c r="O4497">
        <v>-3.4707330000000002E-3</v>
      </c>
      <c r="P4497">
        <v>0.98591490000000004</v>
      </c>
      <c r="Q4497">
        <v>0.12994020000000001</v>
      </c>
      <c r="R4497">
        <v>-0.1052983</v>
      </c>
      <c r="S4497">
        <v>3.0371250000000001</v>
      </c>
      <c r="T4497">
        <v>-0.41559459999999998</v>
      </c>
      <c r="U4497">
        <v>-0.57066349999999999</v>
      </c>
      <c r="V4497">
        <v>0.1020663</v>
      </c>
      <c r="W4497">
        <v>0.14395620000000001</v>
      </c>
      <c r="X4497">
        <v>0.98430640000000003</v>
      </c>
      <c r="Y4497">
        <v>0.17966599999999999</v>
      </c>
      <c r="Z4497">
        <v>-1.1662189999999999E-2</v>
      </c>
      <c r="AA4497">
        <v>0.98365860000000005</v>
      </c>
      <c r="AB4497">
        <v>31</v>
      </c>
      <c r="AC4497">
        <v>0.51329999999998599</v>
      </c>
      <c r="AD4497">
        <v>-0.1127886</v>
      </c>
      <c r="AE4497">
        <v>-0.15350000000000799</v>
      </c>
      <c r="AF4497">
        <v>0.14527876460386399</v>
      </c>
      <c r="AG4497">
        <v>-0.1127886</v>
      </c>
      <c r="AH4497">
        <v>0.49202375267008602</v>
      </c>
      <c r="AI4497">
        <v>102.399257391098</v>
      </c>
      <c r="AJ4497">
        <v>73.549827070680493</v>
      </c>
      <c r="AK4497">
        <v>0.52527569991989798</v>
      </c>
      <c r="AL4497">
        <v>81.723160305527799</v>
      </c>
      <c r="AM4497">
        <v>84.079950536131307</v>
      </c>
      <c r="AN4497">
        <v>1.00000000309754</v>
      </c>
    </row>
    <row r="4498" spans="1:40" x14ac:dyDescent="0.25">
      <c r="A4498" t="str">
        <f>"20190312172207976"</f>
        <v>20190312172207976</v>
      </c>
      <c r="B4498" t="str">
        <f>"1552382527964897"</f>
        <v>1552382527964897</v>
      </c>
      <c r="C4498" t="s">
        <v>40</v>
      </c>
      <c r="D4498">
        <v>3.4150809999999998</v>
      </c>
      <c r="E4498">
        <v>0.53290930000000003</v>
      </c>
      <c r="F4498" t="s">
        <v>41</v>
      </c>
      <c r="G4498">
        <v>-225.125</v>
      </c>
      <c r="H4498">
        <v>1.0015670000000001</v>
      </c>
      <c r="I4498">
        <v>215.64830000000001</v>
      </c>
      <c r="J4498">
        <v>-225.61510000000001</v>
      </c>
      <c r="K4498">
        <v>1.1098190000000001</v>
      </c>
      <c r="L4498">
        <v>215.79910000000001</v>
      </c>
      <c r="M4498">
        <v>0.99988840000000001</v>
      </c>
      <c r="N4498">
        <v>0</v>
      </c>
      <c r="O4498">
        <v>-4.1211900000000003E-3</v>
      </c>
      <c r="P4498">
        <v>0.98547510000000005</v>
      </c>
      <c r="Q4498">
        <v>0.1305772</v>
      </c>
      <c r="R4498">
        <v>-0.1085752</v>
      </c>
      <c r="S4498">
        <v>3.035263</v>
      </c>
      <c r="T4498">
        <v>-0.41373589999999999</v>
      </c>
      <c r="U4498">
        <v>-0.58189389999999996</v>
      </c>
      <c r="V4498">
        <v>0.1047085</v>
      </c>
      <c r="W4498">
        <v>0.1445786</v>
      </c>
      <c r="X4498">
        <v>0.98393759999999997</v>
      </c>
      <c r="Y4498">
        <v>0.18264069999999999</v>
      </c>
      <c r="Z4498">
        <v>-1.172606E-2</v>
      </c>
      <c r="AA4498">
        <v>0.98310980000000003</v>
      </c>
      <c r="AB4498">
        <v>31</v>
      </c>
      <c r="AC4498">
        <v>0.49010000000001203</v>
      </c>
      <c r="AD4498">
        <v>-0.108252</v>
      </c>
      <c r="AE4498">
        <v>-0.15080000000000299</v>
      </c>
      <c r="AF4498">
        <v>0.142430937172915</v>
      </c>
      <c r="AG4498">
        <v>-0.108252</v>
      </c>
      <c r="AH4498">
        <v>0.46978047601599998</v>
      </c>
      <c r="AI4498">
        <v>102.43575620975</v>
      </c>
      <c r="AJ4498">
        <v>73.133422841967601</v>
      </c>
      <c r="AK4498">
        <v>0.502691518740643</v>
      </c>
      <c r="AL4498">
        <v>81.687122560934995</v>
      </c>
      <c r="AM4498">
        <v>83.925569359449796</v>
      </c>
      <c r="AN4498">
        <v>1.0000000211219799</v>
      </c>
    </row>
    <row r="4499" spans="1:40" x14ac:dyDescent="0.25">
      <c r="A4499" t="str">
        <f>"20190312172207998"</f>
        <v>20190312172207998</v>
      </c>
      <c r="B4499" t="str">
        <f>"1552382527985392"</f>
        <v>1552382527985392</v>
      </c>
      <c r="C4499" t="s">
        <v>40</v>
      </c>
      <c r="D4499">
        <v>3.3864190000000001</v>
      </c>
      <c r="E4499">
        <v>0.53301430000000005</v>
      </c>
      <c r="F4499" t="s">
        <v>41</v>
      </c>
      <c r="G4499">
        <v>-224.84450000000001</v>
      </c>
      <c r="H4499">
        <v>1.005531</v>
      </c>
      <c r="I4499">
        <v>215.64840000000001</v>
      </c>
      <c r="J4499">
        <v>-225.3049</v>
      </c>
      <c r="K4499">
        <v>1.1098049999999999</v>
      </c>
      <c r="L4499">
        <v>215.7971</v>
      </c>
      <c r="M4499">
        <v>0.99988560000000004</v>
      </c>
      <c r="N4499">
        <v>0</v>
      </c>
      <c r="O4499">
        <v>-4.8001670000000001E-3</v>
      </c>
      <c r="P4499">
        <v>0.98499570000000003</v>
      </c>
      <c r="Q4499">
        <v>0.13134849999999901</v>
      </c>
      <c r="R4499">
        <v>-0.11194519999999999</v>
      </c>
      <c r="S4499">
        <v>3.0332029999999999</v>
      </c>
      <c r="T4499">
        <v>-0.4104893</v>
      </c>
      <c r="U4499">
        <v>-0.593429599999999</v>
      </c>
      <c r="V4499">
        <v>0.10741680000000001</v>
      </c>
      <c r="W4499">
        <v>0.1453335</v>
      </c>
      <c r="X4499">
        <v>0.98353429999999997</v>
      </c>
      <c r="Y4499">
        <v>0.1857027</v>
      </c>
      <c r="Z4499">
        <v>-1.1752159999999999E-2</v>
      </c>
      <c r="AA4499">
        <v>0.98253570000000001</v>
      </c>
      <c r="AB4499">
        <v>31</v>
      </c>
      <c r="AC4499">
        <v>0.46039999999999198</v>
      </c>
      <c r="AD4499">
        <v>-0.10427399999999901</v>
      </c>
      <c r="AE4499">
        <v>-0.14869999999999001</v>
      </c>
      <c r="AF4499">
        <v>0.13998569211405501</v>
      </c>
      <c r="AG4499">
        <v>-0.10427399999999901</v>
      </c>
      <c r="AH4499">
        <v>0.44064068394165101</v>
      </c>
      <c r="AI4499">
        <v>102.709518275015</v>
      </c>
      <c r="AJ4499">
        <v>72.375638821723399</v>
      </c>
      <c r="AK4499">
        <v>0.473954927622044</v>
      </c>
      <c r="AL4499">
        <v>81.6434077327078</v>
      </c>
      <c r="AM4499">
        <v>83.767138923727103</v>
      </c>
      <c r="AN4499">
        <v>0.99999995721048895</v>
      </c>
    </row>
    <row r="4500" spans="1:40" x14ac:dyDescent="0.25">
      <c r="A4500" t="str">
        <f>"20190312172208021"</f>
        <v>20190312172208021</v>
      </c>
      <c r="B4500" t="str">
        <f>"1552382528015652"</f>
        <v>1552382528015652</v>
      </c>
      <c r="C4500" t="s">
        <v>40</v>
      </c>
      <c r="D4500">
        <v>3.38916</v>
      </c>
      <c r="E4500">
        <v>0.53317409999999998</v>
      </c>
      <c r="F4500" t="s">
        <v>41</v>
      </c>
      <c r="G4500">
        <v>-224.56389999999999</v>
      </c>
      <c r="H4500">
        <v>1.01033</v>
      </c>
      <c r="I4500">
        <v>215.649</v>
      </c>
      <c r="J4500">
        <v>-224.9847</v>
      </c>
      <c r="K4500">
        <v>1.1097919999999999</v>
      </c>
      <c r="L4500">
        <v>215.79470000000001</v>
      </c>
      <c r="M4500">
        <v>0.99988180000000004</v>
      </c>
      <c r="N4500">
        <v>0</v>
      </c>
      <c r="O4500">
        <v>-5.5256259999999996E-3</v>
      </c>
      <c r="P4500">
        <v>0.98449759999999997</v>
      </c>
      <c r="Q4500">
        <v>0.13225490000000001</v>
      </c>
      <c r="R4500">
        <v>-0.115210199999999</v>
      </c>
      <c r="S4500">
        <v>3.0311889999999999</v>
      </c>
      <c r="T4500">
        <v>-0.40697800000000001</v>
      </c>
      <c r="U4500">
        <v>-0.60531619999999997</v>
      </c>
      <c r="V4500">
        <v>0.1099778</v>
      </c>
      <c r="W4500">
        <v>0.14622270000000001</v>
      </c>
      <c r="X4500">
        <v>0.98311939999999998</v>
      </c>
      <c r="Y4500">
        <v>0.18882570000000001</v>
      </c>
      <c r="Z4500">
        <v>-1.17664E-2</v>
      </c>
      <c r="AA4500">
        <v>0.98194009999999998</v>
      </c>
      <c r="AB4500">
        <v>31</v>
      </c>
      <c r="AC4500">
        <v>0.420800000000014</v>
      </c>
      <c r="AD4500">
        <v>-9.9462000000000106E-2</v>
      </c>
      <c r="AE4500">
        <v>-0.14570000000000499</v>
      </c>
      <c r="AF4500">
        <v>0.13655976713008899</v>
      </c>
      <c r="AG4500">
        <v>-9.9462000000000106E-2</v>
      </c>
      <c r="AH4500">
        <v>0.40156574774049703</v>
      </c>
      <c r="AI4500">
        <v>103.197235051839</v>
      </c>
      <c r="AJ4500">
        <v>71.218460846395104</v>
      </c>
      <c r="AK4500">
        <v>0.43565618232846098</v>
      </c>
      <c r="AL4500">
        <v>81.591910336403899</v>
      </c>
      <c r="AM4500">
        <v>83.617077808261897</v>
      </c>
      <c r="AN4500">
        <v>0.99999997457224399</v>
      </c>
    </row>
    <row r="4501" spans="1:40" x14ac:dyDescent="0.25">
      <c r="A4501" t="str">
        <f>"20190312172208042"</f>
        <v>20190312172208042</v>
      </c>
      <c r="B4501" t="str">
        <f>"1552382528035168"</f>
        <v>1552382528035168</v>
      </c>
      <c r="C4501" t="s">
        <v>40</v>
      </c>
      <c r="D4501">
        <v>3.4059360000000001</v>
      </c>
      <c r="E4501">
        <v>0.53320179999999995</v>
      </c>
      <c r="F4501" t="s">
        <v>41</v>
      </c>
      <c r="G4501">
        <v>-224.02099999999999</v>
      </c>
      <c r="H4501">
        <v>0.98164390000000001</v>
      </c>
      <c r="I4501">
        <v>215.59809999999999</v>
      </c>
      <c r="J4501">
        <v>-224.67570000000001</v>
      </c>
      <c r="K4501">
        <v>1.109772</v>
      </c>
      <c r="L4501">
        <v>215.79220000000001</v>
      </c>
      <c r="M4501">
        <v>0.99987760000000003</v>
      </c>
      <c r="N4501">
        <v>0</v>
      </c>
      <c r="O4501">
        <v>-6.2605050000000004E-3</v>
      </c>
      <c r="P4501">
        <v>0.98390219999999995</v>
      </c>
      <c r="Q4501">
        <v>0.1331407</v>
      </c>
      <c r="R4501">
        <v>-0.11920790000000001</v>
      </c>
      <c r="S4501">
        <v>3.0291290000000002</v>
      </c>
      <c r="T4501">
        <v>-0.40283269999999999</v>
      </c>
      <c r="U4501">
        <v>-0.61726380000000003</v>
      </c>
      <c r="V4501">
        <v>0.1132654</v>
      </c>
      <c r="W4501">
        <v>0.14708679999999999</v>
      </c>
      <c r="X4501">
        <v>0.98261710000000002</v>
      </c>
      <c r="Y4501">
        <v>0.191964</v>
      </c>
      <c r="Z4501">
        <v>-1.176021E-2</v>
      </c>
      <c r="AA4501">
        <v>0.98133150000000002</v>
      </c>
      <c r="AB4501">
        <v>31</v>
      </c>
      <c r="AC4501">
        <v>0.65470000000001904</v>
      </c>
      <c r="AD4501">
        <v>-0.128128099999999</v>
      </c>
      <c r="AE4501">
        <v>-0.19410000000002001</v>
      </c>
      <c r="AF4501">
        <v>0.18353546804458001</v>
      </c>
      <c r="AG4501">
        <v>-0.128128099999999</v>
      </c>
      <c r="AH4501">
        <v>0.63359606053107298</v>
      </c>
      <c r="AI4501">
        <v>100.9921690245</v>
      </c>
      <c r="AJ4501">
        <v>73.845141761645493</v>
      </c>
      <c r="AK4501">
        <v>0.67197175979385304</v>
      </c>
      <c r="AL4501">
        <v>81.541859864829703</v>
      </c>
      <c r="AM4501">
        <v>83.424586369032895</v>
      </c>
      <c r="AN4501">
        <v>0.999999971391904</v>
      </c>
    </row>
    <row r="4502" spans="1:40" x14ac:dyDescent="0.25">
      <c r="A4502" t="str">
        <f>"20190312172208065"</f>
        <v>20190312172208065</v>
      </c>
      <c r="B4502" t="str">
        <f>"1552382528055664"</f>
        <v>1552382528055664</v>
      </c>
      <c r="C4502" t="s">
        <v>40</v>
      </c>
      <c r="D4502">
        <v>3.3733919999999999</v>
      </c>
      <c r="E4502">
        <v>0.53323540000000003</v>
      </c>
      <c r="F4502" t="s">
        <v>41</v>
      </c>
      <c r="G4502">
        <v>-223.74119999999999</v>
      </c>
      <c r="H4502">
        <v>0.98686269999999998</v>
      </c>
      <c r="I4502">
        <v>215.59809999999999</v>
      </c>
      <c r="J4502">
        <v>-224.37360000000001</v>
      </c>
      <c r="K4502">
        <v>1.10975</v>
      </c>
      <c r="L4502">
        <v>215.7895</v>
      </c>
      <c r="M4502">
        <v>0.9998726</v>
      </c>
      <c r="N4502">
        <v>0</v>
      </c>
      <c r="O4502">
        <v>-7.0088900000000003E-3</v>
      </c>
      <c r="P4502">
        <v>0.98331040000000003</v>
      </c>
      <c r="Q4502">
        <v>0.13406289999999901</v>
      </c>
      <c r="R4502">
        <v>-0.1229957</v>
      </c>
      <c r="S4502">
        <v>3.026764</v>
      </c>
      <c r="T4502">
        <v>-0.3980823</v>
      </c>
      <c r="U4502">
        <v>-0.62887569999999904</v>
      </c>
      <c r="V4502">
        <v>0.1163314</v>
      </c>
      <c r="W4502">
        <v>0.1479867</v>
      </c>
      <c r="X4502">
        <v>0.98212370000000004</v>
      </c>
      <c r="Y4502">
        <v>0.1950074</v>
      </c>
      <c r="Z4502">
        <v>-1.1727349999999999E-2</v>
      </c>
      <c r="AA4502">
        <v>0.98073169999999998</v>
      </c>
      <c r="AB4502">
        <v>31</v>
      </c>
      <c r="AC4502">
        <v>0.63240000000001795</v>
      </c>
      <c r="AD4502">
        <v>-0.12288729999999901</v>
      </c>
      <c r="AE4502">
        <v>-0.191400000000015</v>
      </c>
      <c r="AF4502">
        <v>0.18071138560821401</v>
      </c>
      <c r="AG4502">
        <v>-0.12288729999999901</v>
      </c>
      <c r="AH4502">
        <v>0.61253765458196896</v>
      </c>
      <c r="AI4502">
        <v>100.89177567012101</v>
      </c>
      <c r="AJ4502">
        <v>73.562841278584102</v>
      </c>
      <c r="AK4502">
        <v>0.65035395875669899</v>
      </c>
      <c r="AL4502">
        <v>81.489729229536906</v>
      </c>
      <c r="AM4502">
        <v>83.244856636726496</v>
      </c>
      <c r="AN4502">
        <v>1.0000000100522699</v>
      </c>
    </row>
    <row r="4503" spans="1:40" x14ac:dyDescent="0.25">
      <c r="A4503" t="str">
        <f>"20190312172208087"</f>
        <v>20190312172208087</v>
      </c>
      <c r="B4503" t="str">
        <f>"1552382528084944"</f>
        <v>1552382528084944</v>
      </c>
      <c r="C4503" t="s">
        <v>40</v>
      </c>
      <c r="D4503">
        <v>3.3420320000000001</v>
      </c>
      <c r="E4503">
        <v>0.53327419999999903</v>
      </c>
      <c r="F4503" t="s">
        <v>41</v>
      </c>
      <c r="G4503">
        <v>-223.46209999999999</v>
      </c>
      <c r="H4503">
        <v>0.99138119999999996</v>
      </c>
      <c r="I4503">
        <v>215.59630000000001</v>
      </c>
      <c r="J4503">
        <v>-224.05860000000001</v>
      </c>
      <c r="K4503">
        <v>1.109715</v>
      </c>
      <c r="L4503">
        <v>215.78639999999999</v>
      </c>
      <c r="M4503">
        <v>0.99986649999999999</v>
      </c>
      <c r="N4503">
        <v>0</v>
      </c>
      <c r="O4503">
        <v>-7.8308949999999992E-3</v>
      </c>
      <c r="P4503">
        <v>0.98285049999999996</v>
      </c>
      <c r="Q4503">
        <v>0.1350151</v>
      </c>
      <c r="R4503">
        <v>-0.12560289999999999</v>
      </c>
      <c r="S4503">
        <v>3.0243989999999998</v>
      </c>
      <c r="T4503">
        <v>-0.39285189999999998</v>
      </c>
      <c r="U4503">
        <v>-0.64035030000000004</v>
      </c>
      <c r="V4503">
        <v>0.11814570000000001</v>
      </c>
      <c r="W4503">
        <v>0.14891940000000001</v>
      </c>
      <c r="X4503">
        <v>0.98176600000000003</v>
      </c>
      <c r="Y4503">
        <v>0.1979398</v>
      </c>
      <c r="Z4503">
        <v>-1.1661349999999999E-2</v>
      </c>
      <c r="AA4503">
        <v>0.98014480000000004</v>
      </c>
      <c r="AB4503">
        <v>31</v>
      </c>
      <c r="AC4503">
        <v>0.59650000000002001</v>
      </c>
      <c r="AD4503">
        <v>-0.1183338</v>
      </c>
      <c r="AE4503">
        <v>-0.19009999999997201</v>
      </c>
      <c r="AF4503">
        <v>0.179026622143515</v>
      </c>
      <c r="AG4503">
        <v>-0.1183338</v>
      </c>
      <c r="AH4503">
        <v>0.57734420567287903</v>
      </c>
      <c r="AI4503">
        <v>101.07650917994</v>
      </c>
      <c r="AJ4503">
        <v>72.772044338451096</v>
      </c>
      <c r="AK4503">
        <v>0.61593810686026296</v>
      </c>
      <c r="AL4503">
        <v>81.435690042739296</v>
      </c>
      <c r="AM4503">
        <v>83.138024509262095</v>
      </c>
      <c r="AN4503">
        <v>0.99999993644042295</v>
      </c>
    </row>
    <row r="4504" spans="1:40" x14ac:dyDescent="0.25">
      <c r="A4504" t="str">
        <f>"20190312172208110"</f>
        <v>20190312172208110</v>
      </c>
      <c r="B4504" t="str">
        <f>"1552382528105440"</f>
        <v>1552382528105440</v>
      </c>
      <c r="C4504" t="s">
        <v>40</v>
      </c>
      <c r="D4504">
        <v>3.346546</v>
      </c>
      <c r="E4504">
        <v>0.53330140000000004</v>
      </c>
      <c r="F4504" t="s">
        <v>41</v>
      </c>
      <c r="G4504">
        <v>-223.18260000000001</v>
      </c>
      <c r="H4504">
        <v>0.99777830000000001</v>
      </c>
      <c r="I4504">
        <v>215.5984</v>
      </c>
      <c r="J4504">
        <v>-223.74760000000001</v>
      </c>
      <c r="K4504">
        <v>1.1096839999999999</v>
      </c>
      <c r="L4504">
        <v>215.78309999999999</v>
      </c>
      <c r="M4504">
        <v>0.99985950000000001</v>
      </c>
      <c r="N4504">
        <v>0</v>
      </c>
      <c r="O4504">
        <v>-8.690985E-3</v>
      </c>
      <c r="P4504">
        <v>0.982514</v>
      </c>
      <c r="Q4504">
        <v>0.1351618</v>
      </c>
      <c r="R4504">
        <v>-0.12805449999999999</v>
      </c>
      <c r="S4504">
        <v>3.0225070000000001</v>
      </c>
      <c r="T4504">
        <v>-0.38625589999999999</v>
      </c>
      <c r="U4504">
        <v>-0.64877320000000005</v>
      </c>
      <c r="V4504">
        <v>0.1197661</v>
      </c>
      <c r="W4504">
        <v>0.14904719999999999</v>
      </c>
      <c r="X4504">
        <v>0.98155029999999999</v>
      </c>
      <c r="Y4504">
        <v>0.1998751</v>
      </c>
      <c r="Z4504">
        <v>-1.1484390000000001E-2</v>
      </c>
      <c r="AA4504">
        <v>0.97975409999999996</v>
      </c>
      <c r="AB4504">
        <v>31</v>
      </c>
      <c r="AC4504">
        <v>0.56499999999999695</v>
      </c>
      <c r="AD4504">
        <v>-0.1119057</v>
      </c>
      <c r="AE4504">
        <v>-0.18469999999999201</v>
      </c>
      <c r="AF4504">
        <v>0.17362845019793399</v>
      </c>
      <c r="AG4504">
        <v>-0.1119057</v>
      </c>
      <c r="AH4504">
        <v>0.54719075730857503</v>
      </c>
      <c r="AI4504">
        <v>101.03042621834101</v>
      </c>
      <c r="AJ4504">
        <v>72.395308277371896</v>
      </c>
      <c r="AK4504">
        <v>0.58488242347890596</v>
      </c>
      <c r="AL4504">
        <v>81.428285452994203</v>
      </c>
      <c r="AM4504">
        <v>83.043312912948295</v>
      </c>
      <c r="AN4504">
        <v>0.99999998898356901</v>
      </c>
    </row>
    <row r="4505" spans="1:40" x14ac:dyDescent="0.25">
      <c r="A4505" t="str">
        <f>"20190312172208132"</f>
        <v>20190312172208132</v>
      </c>
      <c r="B4505" t="str">
        <f>"1552382528124960"</f>
        <v>1552382528124960</v>
      </c>
      <c r="C4505" t="s">
        <v>40</v>
      </c>
      <c r="D4505">
        <v>3.6757</v>
      </c>
      <c r="E4505">
        <v>0.53330889999999997</v>
      </c>
      <c r="F4505" t="s">
        <v>41</v>
      </c>
      <c r="G4505">
        <v>-222.904</v>
      </c>
      <c r="H4505">
        <v>1.0025809999999999</v>
      </c>
      <c r="I4505">
        <v>215.59960000000001</v>
      </c>
      <c r="J4505">
        <v>-223.44210000000001</v>
      </c>
      <c r="K4505">
        <v>1.1096429999999999</v>
      </c>
      <c r="L4505">
        <v>215.77950000000001</v>
      </c>
      <c r="M4505">
        <v>0.99985139999999995</v>
      </c>
      <c r="N4505">
        <v>0</v>
      </c>
      <c r="O4505">
        <v>-9.5834149999999996E-3</v>
      </c>
      <c r="P4505">
        <v>0.98216749999999997</v>
      </c>
      <c r="Q4505">
        <v>0.13512829999999901</v>
      </c>
      <c r="R4505">
        <v>-0.13072029999999901</v>
      </c>
      <c r="S4505">
        <v>3.0205989999999998</v>
      </c>
      <c r="T4505">
        <v>-0.38353359999999997</v>
      </c>
      <c r="U4505">
        <v>-0.65629579999999998</v>
      </c>
      <c r="V4505">
        <v>0.12157</v>
      </c>
      <c r="W4505">
        <v>0.14899490000000001</v>
      </c>
      <c r="X4505">
        <v>0.98133649999999994</v>
      </c>
      <c r="Y4505">
        <v>0.20147329999999999</v>
      </c>
      <c r="Z4505">
        <v>-1.139651E-2</v>
      </c>
      <c r="AA4505">
        <v>0.97942770000000001</v>
      </c>
      <c r="AB4505">
        <v>31</v>
      </c>
      <c r="AC4505">
        <v>0.53809999999998503</v>
      </c>
      <c r="AD4505">
        <v>-0.107062</v>
      </c>
      <c r="AE4505">
        <v>-0.179900000000003</v>
      </c>
      <c r="AF4505">
        <v>0.168726616284118</v>
      </c>
      <c r="AG4505">
        <v>-0.107062</v>
      </c>
      <c r="AH4505">
        <v>0.52124001221316396</v>
      </c>
      <c r="AI4505">
        <v>101.05714313906201</v>
      </c>
      <c r="AJ4505">
        <v>72.063110995155796</v>
      </c>
      <c r="AK4505">
        <v>0.55823121841999102</v>
      </c>
      <c r="AL4505">
        <v>81.431316262875896</v>
      </c>
      <c r="AM4505">
        <v>82.938059376124997</v>
      </c>
      <c r="AN4505">
        <v>1.0000000356791201</v>
      </c>
    </row>
    <row r="4506" spans="1:40" x14ac:dyDescent="0.25">
      <c r="A4506" t="str">
        <f>"20190312172208154"</f>
        <v>20190312172208154</v>
      </c>
      <c r="B4506" t="str">
        <f>"1552382528145456"</f>
        <v>1552382528145456</v>
      </c>
      <c r="C4506" t="s">
        <v>40</v>
      </c>
      <c r="D4506">
        <v>3.3562599999999998</v>
      </c>
      <c r="E4506">
        <v>0.53331649999999997</v>
      </c>
      <c r="F4506" t="s">
        <v>41</v>
      </c>
      <c r="G4506">
        <v>-222.62620000000001</v>
      </c>
      <c r="H4506">
        <v>1.0064930000000001</v>
      </c>
      <c r="I4506">
        <v>215.6</v>
      </c>
      <c r="J4506">
        <v>-223.13939999999999</v>
      </c>
      <c r="K4506">
        <v>1.109602</v>
      </c>
      <c r="L4506">
        <v>215.7756</v>
      </c>
      <c r="M4506">
        <v>0.99984200000000001</v>
      </c>
      <c r="N4506">
        <v>0</v>
      </c>
      <c r="O4506">
        <v>-1.051005E-2</v>
      </c>
      <c r="P4506">
        <v>0.98186090000000004</v>
      </c>
      <c r="Q4506">
        <v>0.13450619999999999</v>
      </c>
      <c r="R4506">
        <v>-0.13363050000000001</v>
      </c>
      <c r="S4506">
        <v>3.0185550000000001</v>
      </c>
      <c r="T4506">
        <v>-0.38155060000000002</v>
      </c>
      <c r="U4506">
        <v>-0.66429139999999998</v>
      </c>
      <c r="V4506">
        <v>0.12358329999999999</v>
      </c>
      <c r="W4506">
        <v>0.1483536</v>
      </c>
      <c r="X4506">
        <v>0.9811822</v>
      </c>
      <c r="Y4506">
        <v>0.20318729999999999</v>
      </c>
      <c r="Z4506">
        <v>-1.133374E-2</v>
      </c>
      <c r="AA4506">
        <v>0.97907429999999995</v>
      </c>
      <c r="AB4506">
        <v>31</v>
      </c>
      <c r="AC4506">
        <v>0.513199999999983</v>
      </c>
      <c r="AD4506">
        <v>-0.10310899999999899</v>
      </c>
      <c r="AE4506">
        <v>-0.175600000000002</v>
      </c>
      <c r="AF4506">
        <v>0.16426032755148701</v>
      </c>
      <c r="AG4506">
        <v>-0.10310899999999899</v>
      </c>
      <c r="AH4506">
        <v>0.49705594567023098</v>
      </c>
      <c r="AI4506">
        <v>101.142523895255</v>
      </c>
      <c r="AJ4506">
        <v>71.713010961228505</v>
      </c>
      <c r="AK4506">
        <v>0.53355181024381304</v>
      </c>
      <c r="AL4506">
        <v>81.468473258950198</v>
      </c>
      <c r="AM4506">
        <v>82.821200790523093</v>
      </c>
      <c r="AN4506">
        <v>1.00000006613434</v>
      </c>
    </row>
    <row r="4507" spans="1:40" x14ac:dyDescent="0.25">
      <c r="A4507" t="str">
        <f>"20190312172208176"</f>
        <v>20190312172208176</v>
      </c>
      <c r="B4507" t="str">
        <f>"1552382528164976"</f>
        <v>1552382528164976</v>
      </c>
      <c r="C4507" t="s">
        <v>40</v>
      </c>
      <c r="D4507">
        <v>3.3750290000000001</v>
      </c>
      <c r="E4507">
        <v>0.53331819999999996</v>
      </c>
      <c r="F4507" t="s">
        <v>41</v>
      </c>
      <c r="G4507">
        <v>-222.34899999999999</v>
      </c>
      <c r="H4507">
        <v>1.009611</v>
      </c>
      <c r="I4507">
        <v>215.5992</v>
      </c>
      <c r="J4507">
        <v>-222.83240000000001</v>
      </c>
      <c r="K4507">
        <v>1.1095660000000001</v>
      </c>
      <c r="L4507">
        <v>215.7713</v>
      </c>
      <c r="M4507">
        <v>0.99983140000000004</v>
      </c>
      <c r="N4507">
        <v>0</v>
      </c>
      <c r="O4507">
        <v>-1.1487880000000001E-2</v>
      </c>
      <c r="P4507">
        <v>0.98159439999999998</v>
      </c>
      <c r="Q4507">
        <v>0.1337719</v>
      </c>
      <c r="R4507">
        <v>-0.13629939999999999</v>
      </c>
      <c r="S4507">
        <v>3.0161739999999999</v>
      </c>
      <c r="T4507">
        <v>-0.38157210000000003</v>
      </c>
      <c r="U4507">
        <v>-0.67247009999999996</v>
      </c>
      <c r="V4507">
        <v>0.12530350000000001</v>
      </c>
      <c r="W4507">
        <v>0.14760229999999999</v>
      </c>
      <c r="X4507">
        <v>0.98107730000000004</v>
      </c>
      <c r="Y4507">
        <v>0.2049155</v>
      </c>
      <c r="Z4507">
        <v>-1.1325709999999999E-2</v>
      </c>
      <c r="AA4507">
        <v>0.97871410000000003</v>
      </c>
      <c r="AB4507">
        <v>31</v>
      </c>
      <c r="AC4507">
        <v>0.48339999999998901</v>
      </c>
      <c r="AD4507">
        <v>-9.9955000000000002E-2</v>
      </c>
      <c r="AE4507">
        <v>-0.1721</v>
      </c>
      <c r="AF4507">
        <v>0.16044649743829201</v>
      </c>
      <c r="AG4507">
        <v>-9.9955000000000002E-2</v>
      </c>
      <c r="AH4507">
        <v>0.46760166217702398</v>
      </c>
      <c r="AI4507">
        <v>101.430513519287</v>
      </c>
      <c r="AJ4507">
        <v>71.061549704128794</v>
      </c>
      <c r="AK4507">
        <v>0.50436633019654598</v>
      </c>
      <c r="AL4507">
        <v>81.5119985170262</v>
      </c>
      <c r="AM4507">
        <v>82.721570802117895</v>
      </c>
      <c r="AN4507">
        <v>1.00000003732641</v>
      </c>
    </row>
    <row r="4508" spans="1:40" x14ac:dyDescent="0.25">
      <c r="A4508" t="str">
        <f>"20190312172208200"</f>
        <v>20190312172208200</v>
      </c>
      <c r="B4508" t="str">
        <f>"1552382528195232"</f>
        <v>1552382528195232</v>
      </c>
      <c r="C4508" t="s">
        <v>40</v>
      </c>
      <c r="D4508">
        <v>3.35826</v>
      </c>
      <c r="E4508">
        <v>0.53330649999999902</v>
      </c>
      <c r="F4508" t="s">
        <v>41</v>
      </c>
      <c r="G4508">
        <v>-222.0719</v>
      </c>
      <c r="H4508">
        <v>1.0132429999999999</v>
      </c>
      <c r="I4508">
        <v>215.5994</v>
      </c>
      <c r="J4508">
        <v>-222.51990000000001</v>
      </c>
      <c r="K4508">
        <v>1.1095389999999901</v>
      </c>
      <c r="L4508">
        <v>215.76669999999999</v>
      </c>
      <c r="M4508">
        <v>0.99981900000000001</v>
      </c>
      <c r="N4508">
        <v>0</v>
      </c>
      <c r="O4508">
        <v>-1.25141E-2</v>
      </c>
      <c r="P4508">
        <v>0.9813598</v>
      </c>
      <c r="Q4508">
        <v>0.13305139999999999</v>
      </c>
      <c r="R4508">
        <v>-0.13867470000000001</v>
      </c>
      <c r="S4508">
        <v>3.0138699999999998</v>
      </c>
      <c r="T4508">
        <v>-0.38186629999999999</v>
      </c>
      <c r="U4508">
        <v>-0.6801758</v>
      </c>
      <c r="V4508">
        <v>0.12667980000000001</v>
      </c>
      <c r="W4508">
        <v>0.14686749999999901</v>
      </c>
      <c r="X4508">
        <v>0.98101079999999996</v>
      </c>
      <c r="Y4508">
        <v>0.20644509999999999</v>
      </c>
      <c r="Z4508">
        <v>-1.130716E-2</v>
      </c>
      <c r="AA4508">
        <v>0.97839279999999995</v>
      </c>
      <c r="AB4508">
        <v>31</v>
      </c>
      <c r="AC4508">
        <v>0.448000000000007</v>
      </c>
      <c r="AD4508">
        <v>-9.6295999999999701E-2</v>
      </c>
      <c r="AE4508">
        <v>-0.16729999999998299</v>
      </c>
      <c r="AF4508">
        <v>0.15537975832037901</v>
      </c>
      <c r="AG4508">
        <v>-9.6295999999999701E-2</v>
      </c>
      <c r="AH4508">
        <v>0.43252112674524001</v>
      </c>
      <c r="AI4508">
        <v>101.833910777873</v>
      </c>
      <c r="AJ4508">
        <v>70.239579910722099</v>
      </c>
      <c r="AK4508">
        <v>0.46956396155653901</v>
      </c>
      <c r="AL4508">
        <v>81.5545631302723</v>
      </c>
      <c r="AM4508">
        <v>82.642004484937004</v>
      </c>
      <c r="AN4508">
        <v>1.00000001200046</v>
      </c>
    </row>
    <row r="4509" spans="1:40" x14ac:dyDescent="0.25">
      <c r="A4509" t="str">
        <f>"20190312172208222"</f>
        <v>20190312172208222</v>
      </c>
      <c r="B4509" t="str">
        <f>"1552382528215732"</f>
        <v>1552382528215732</v>
      </c>
      <c r="C4509" t="s">
        <v>40</v>
      </c>
      <c r="D4509">
        <v>3.3339460000000001</v>
      </c>
      <c r="E4509">
        <v>0.5333002</v>
      </c>
      <c r="F4509" t="s">
        <v>41</v>
      </c>
      <c r="G4509">
        <v>-221.79470000000001</v>
      </c>
      <c r="H4509">
        <v>1.0178119999999999</v>
      </c>
      <c r="I4509">
        <v>215.6011</v>
      </c>
      <c r="J4509">
        <v>-222.2098</v>
      </c>
      <c r="K4509">
        <v>1.1095250000000001</v>
      </c>
      <c r="L4509">
        <v>215.76169999999999</v>
      </c>
      <c r="M4509">
        <v>0.99980559999999996</v>
      </c>
      <c r="N4509">
        <v>0</v>
      </c>
      <c r="O4509">
        <v>-1.355555E-2</v>
      </c>
      <c r="P4509">
        <v>0.98110260000000005</v>
      </c>
      <c r="Q4509">
        <v>0.13258200000000001</v>
      </c>
      <c r="R4509">
        <v>-0.14092589999999999</v>
      </c>
      <c r="S4509">
        <v>3.0115660000000002</v>
      </c>
      <c r="T4509">
        <v>-0.3810402</v>
      </c>
      <c r="U4509">
        <v>-0.68688959999999999</v>
      </c>
      <c r="V4509">
        <v>0.12791549999999999</v>
      </c>
      <c r="W4509">
        <v>0.14638590000000001</v>
      </c>
      <c r="X4509">
        <v>0.98092239999999997</v>
      </c>
      <c r="Y4509">
        <v>0.20766499999999999</v>
      </c>
      <c r="Z4509">
        <v>-1.1234920000000001E-2</v>
      </c>
      <c r="AA4509">
        <v>0.97813550000000005</v>
      </c>
      <c r="AB4509">
        <v>31</v>
      </c>
      <c r="AC4509">
        <v>0.41509999999999497</v>
      </c>
      <c r="AD4509">
        <v>-9.1712999999999906E-2</v>
      </c>
      <c r="AE4509">
        <v>-0.160599999999988</v>
      </c>
      <c r="AF4509">
        <v>0.14864628454574499</v>
      </c>
      <c r="AG4509">
        <v>-9.1712999999999906E-2</v>
      </c>
      <c r="AH4509">
        <v>0.40024483728996402</v>
      </c>
      <c r="AI4509">
        <v>102.123285448985</v>
      </c>
      <c r="AJ4509">
        <v>69.625588079785899</v>
      </c>
      <c r="AK4509">
        <v>0.43669545687529698</v>
      </c>
      <c r="AL4509">
        <v>81.582458006974505</v>
      </c>
      <c r="AM4509">
        <v>82.570366715184306</v>
      </c>
      <c r="AN4509">
        <v>0.99999998084040898</v>
      </c>
    </row>
    <row r="4510" spans="1:40" x14ac:dyDescent="0.25">
      <c r="A4510" t="str">
        <f>"20190312172208244"</f>
        <v>20190312172208244</v>
      </c>
      <c r="B4510" t="str">
        <f>"1552382528235249"</f>
        <v>1552382528235249</v>
      </c>
      <c r="C4510" t="s">
        <v>40</v>
      </c>
      <c r="D4510">
        <v>3.319464</v>
      </c>
      <c r="E4510">
        <v>0.53329839999999995</v>
      </c>
      <c r="F4510" t="s">
        <v>41</v>
      </c>
      <c r="G4510">
        <v>-221.25620000000001</v>
      </c>
      <c r="H4510">
        <v>0.98898200000000003</v>
      </c>
      <c r="I4510">
        <v>215.54159999999999</v>
      </c>
      <c r="J4510">
        <v>-221.9111</v>
      </c>
      <c r="K4510">
        <v>1.109513</v>
      </c>
      <c r="L4510">
        <v>215.75649999999999</v>
      </c>
      <c r="M4510">
        <v>0.99979130000000005</v>
      </c>
      <c r="N4510">
        <v>0</v>
      </c>
      <c r="O4510">
        <v>-1.457088E-2</v>
      </c>
      <c r="P4510">
        <v>0.98076739999999996</v>
      </c>
      <c r="Q4510">
        <v>0.13234370000000001</v>
      </c>
      <c r="R4510">
        <v>-0.1434597</v>
      </c>
      <c r="S4510">
        <v>3.009598</v>
      </c>
      <c r="T4510">
        <v>-0.38050119999999998</v>
      </c>
      <c r="U4510">
        <v>-0.69331359999999997</v>
      </c>
      <c r="V4510">
        <v>0.1294593</v>
      </c>
      <c r="W4510">
        <v>0.1461354</v>
      </c>
      <c r="X4510">
        <v>0.9807572</v>
      </c>
      <c r="Y4510">
        <v>0.20879629999999999</v>
      </c>
      <c r="Z4510">
        <v>-1.116784E-2</v>
      </c>
      <c r="AA4510">
        <v>0.97789539999999997</v>
      </c>
      <c r="AB4510">
        <v>31</v>
      </c>
      <c r="AC4510">
        <v>0.65489999999999704</v>
      </c>
      <c r="AD4510">
        <v>-0.120531</v>
      </c>
      <c r="AE4510">
        <v>-0.21490000000000001</v>
      </c>
      <c r="AF4510">
        <v>0.19924098725116801</v>
      </c>
      <c r="AG4510">
        <v>-0.120531</v>
      </c>
      <c r="AH4510">
        <v>0.63843874537482104</v>
      </c>
      <c r="AI4510">
        <v>100.216086908115</v>
      </c>
      <c r="AJ4510">
        <v>72.668144673558501</v>
      </c>
      <c r="AK4510">
        <v>0.67957981470729101</v>
      </c>
      <c r="AL4510">
        <v>81.596966578591804</v>
      </c>
      <c r="AM4510">
        <v>82.480467020434403</v>
      </c>
      <c r="AN4510">
        <v>0.99999997542074404</v>
      </c>
    </row>
    <row r="4511" spans="1:40" x14ac:dyDescent="0.25">
      <c r="A4511" t="str">
        <f>"20190312172208266"</f>
        <v>20190312172208266</v>
      </c>
      <c r="B4511" t="str">
        <f>"1552382528255744"</f>
        <v>1552382528255744</v>
      </c>
      <c r="C4511" t="s">
        <v>40</v>
      </c>
      <c r="D4511">
        <v>3.2954159999999999</v>
      </c>
      <c r="E4511">
        <v>0.53329009999999999</v>
      </c>
      <c r="F4511" t="s">
        <v>41</v>
      </c>
      <c r="G4511">
        <v>-220.98070000000001</v>
      </c>
      <c r="H4511">
        <v>0.99217949999999999</v>
      </c>
      <c r="I4511">
        <v>215.53970000000001</v>
      </c>
      <c r="J4511">
        <v>-221.60300000000001</v>
      </c>
      <c r="K4511">
        <v>1.10951</v>
      </c>
      <c r="L4511">
        <v>215.7509</v>
      </c>
      <c r="M4511">
        <v>0.99977550000000004</v>
      </c>
      <c r="N4511">
        <v>0</v>
      </c>
      <c r="O4511">
        <v>-1.5624020000000001E-2</v>
      </c>
      <c r="P4511">
        <v>0.98045709999999997</v>
      </c>
      <c r="Q4511">
        <v>0.13241600000000001</v>
      </c>
      <c r="R4511">
        <v>-0.1455002</v>
      </c>
      <c r="S4511">
        <v>3.0075379999999998</v>
      </c>
      <c r="T4511">
        <v>-0.37928719999999999</v>
      </c>
      <c r="U4511">
        <v>-0.70048520000000003</v>
      </c>
      <c r="V4511">
        <v>0.13047120000000001</v>
      </c>
      <c r="W4511">
        <v>0.1461991</v>
      </c>
      <c r="X4511">
        <v>0.98061359999999997</v>
      </c>
      <c r="Y4511">
        <v>0.21013219999999999</v>
      </c>
      <c r="Z4511">
        <v>-1.108929E-2</v>
      </c>
      <c r="AA4511">
        <v>0.97761010000000004</v>
      </c>
      <c r="AB4511">
        <v>31</v>
      </c>
      <c r="AC4511">
        <v>0.62229999999996699</v>
      </c>
      <c r="AD4511">
        <v>-0.1173305</v>
      </c>
      <c r="AE4511">
        <v>-0.21119999999999001</v>
      </c>
      <c r="AF4511">
        <v>0.195227154507888</v>
      </c>
      <c r="AG4511">
        <v>-0.1173305</v>
      </c>
      <c r="AH4511">
        <v>0.60620036592362103</v>
      </c>
      <c r="AI4511">
        <v>100.43868607881799</v>
      </c>
      <c r="AJ4511">
        <v>72.148817854006296</v>
      </c>
      <c r="AK4511">
        <v>0.64757931694382298</v>
      </c>
      <c r="AL4511">
        <v>81.593277181552693</v>
      </c>
      <c r="AM4511">
        <v>82.421275286687603</v>
      </c>
      <c r="AN4511">
        <v>0.99999997168760402</v>
      </c>
    </row>
    <row r="4512" spans="1:40" x14ac:dyDescent="0.25">
      <c r="A4512" t="str">
        <f>"20190312172208289"</f>
        <v>20190312172208289</v>
      </c>
      <c r="B4512" t="str">
        <f>"1552382528285024"</f>
        <v>1552382528285024</v>
      </c>
      <c r="C4512" t="s">
        <v>40</v>
      </c>
      <c r="D4512">
        <v>3.3040500000000002</v>
      </c>
      <c r="E4512">
        <v>0.53327329999999995</v>
      </c>
      <c r="F4512" t="s">
        <v>41</v>
      </c>
      <c r="G4512">
        <v>-220.70500000000001</v>
      </c>
      <c r="H4512">
        <v>0.99692760000000002</v>
      </c>
      <c r="I4512">
        <v>215.5394</v>
      </c>
      <c r="J4512">
        <v>-221.2911</v>
      </c>
      <c r="K4512">
        <v>1.1095120000000001</v>
      </c>
      <c r="L4512">
        <v>215.7448</v>
      </c>
      <c r="M4512">
        <v>0.99975820000000004</v>
      </c>
      <c r="N4512">
        <v>0</v>
      </c>
      <c r="O4512">
        <v>-1.6690440000000001E-2</v>
      </c>
      <c r="P4512">
        <v>0.98007259999999996</v>
      </c>
      <c r="Q4512">
        <v>0.1330471</v>
      </c>
      <c r="R4512">
        <v>-0.14750089999999999</v>
      </c>
      <c r="S4512">
        <v>3.0057529999999999</v>
      </c>
      <c r="T4512">
        <v>-0.37693460000000001</v>
      </c>
      <c r="U4512">
        <v>-0.70713809999999999</v>
      </c>
      <c r="V4512">
        <v>0.1314321</v>
      </c>
      <c r="W4512">
        <v>0.14682129999999999</v>
      </c>
      <c r="X4512">
        <v>0.98039229999999999</v>
      </c>
      <c r="Y4512">
        <v>0.2112858</v>
      </c>
      <c r="Z4512">
        <v>-1.0964420000000001E-2</v>
      </c>
      <c r="AA4512">
        <v>0.97736279999999998</v>
      </c>
      <c r="AB4512">
        <v>31</v>
      </c>
      <c r="AC4512">
        <v>0.58609999999998696</v>
      </c>
      <c r="AD4512">
        <v>-0.1125844</v>
      </c>
      <c r="AE4512">
        <v>-0.205399999999997</v>
      </c>
      <c r="AF4512">
        <v>0.18936505370287601</v>
      </c>
      <c r="AG4512">
        <v>-0.1125844</v>
      </c>
      <c r="AH4512">
        <v>0.57069237947291396</v>
      </c>
      <c r="AI4512">
        <v>100.60516944568199</v>
      </c>
      <c r="AJ4512">
        <v>71.643312592974596</v>
      </c>
      <c r="AK4512">
        <v>0.61173863918810101</v>
      </c>
      <c r="AL4512">
        <v>81.557238902812003</v>
      </c>
      <c r="AM4512">
        <v>82.364412185628296</v>
      </c>
      <c r="AN4512">
        <v>0.99999997647169403</v>
      </c>
    </row>
    <row r="4513" spans="1:40" x14ac:dyDescent="0.25">
      <c r="A4513" t="str">
        <f>"20190312172208312"</f>
        <v>20190312172208312</v>
      </c>
      <c r="B4513" t="str">
        <f>"1552382528305521"</f>
        <v>1552382528305521</v>
      </c>
      <c r="C4513" t="s">
        <v>40</v>
      </c>
      <c r="D4513">
        <v>3.3129719999999998</v>
      </c>
      <c r="E4513">
        <v>0.53327539999999996</v>
      </c>
      <c r="F4513" t="s">
        <v>41</v>
      </c>
      <c r="G4513">
        <v>-220.42910000000001</v>
      </c>
      <c r="H4513">
        <v>1.002766</v>
      </c>
      <c r="I4513">
        <v>215.5401</v>
      </c>
      <c r="J4513">
        <v>-220.98439999999999</v>
      </c>
      <c r="K4513">
        <v>1.109513</v>
      </c>
      <c r="L4513">
        <v>215.73859999999999</v>
      </c>
      <c r="M4513">
        <v>0.99974030000000003</v>
      </c>
      <c r="N4513">
        <v>0</v>
      </c>
      <c r="O4513">
        <v>-1.7738480000000001E-2</v>
      </c>
      <c r="P4513">
        <v>0.97964030000000002</v>
      </c>
      <c r="Q4513">
        <v>0.13325419999999999</v>
      </c>
      <c r="R4513">
        <v>-0.150161299999999</v>
      </c>
      <c r="S4513">
        <v>3.0041660000000001</v>
      </c>
      <c r="T4513">
        <v>-0.3720695</v>
      </c>
      <c r="U4513">
        <v>-0.71328740000000002</v>
      </c>
      <c r="V4513">
        <v>0.13307099999999999</v>
      </c>
      <c r="W4513">
        <v>0.1470175</v>
      </c>
      <c r="X4513">
        <v>0.98014179999999995</v>
      </c>
      <c r="Y4513">
        <v>0.21230769999999999</v>
      </c>
      <c r="Z4513">
        <v>-1.0761740000000001E-2</v>
      </c>
      <c r="AA4513">
        <v>0.9771436</v>
      </c>
      <c r="AB4513">
        <v>31</v>
      </c>
      <c r="AC4513">
        <v>0.55529999999998803</v>
      </c>
      <c r="AD4513">
        <v>-0.106746999999999</v>
      </c>
      <c r="AE4513">
        <v>-0.19849999999999501</v>
      </c>
      <c r="AF4513">
        <v>0.18263330420836099</v>
      </c>
      <c r="AG4513">
        <v>-0.106746999999999</v>
      </c>
      <c r="AH4513">
        <v>0.541007100111356</v>
      </c>
      <c r="AI4513">
        <v>100.589027861391</v>
      </c>
      <c r="AJ4513">
        <v>71.346334293620203</v>
      </c>
      <c r="AK4513">
        <v>0.58089459300802704</v>
      </c>
      <c r="AL4513">
        <v>81.545874279718305</v>
      </c>
      <c r="AM4513">
        <v>82.268392277013206</v>
      </c>
      <c r="AN4513">
        <v>0.999999992227245</v>
      </c>
    </row>
    <row r="4514" spans="1:40" x14ac:dyDescent="0.25">
      <c r="A4514" t="str">
        <f>"20190312172208333"</f>
        <v>20190312172208333</v>
      </c>
      <c r="B4514" t="str">
        <f>"1552382528325041"</f>
        <v>1552382528325041</v>
      </c>
      <c r="C4514" t="s">
        <v>40</v>
      </c>
      <c r="D4514">
        <v>3.3100299999999998</v>
      </c>
      <c r="E4514">
        <v>0.53328350000000002</v>
      </c>
      <c r="F4514" t="s">
        <v>41</v>
      </c>
      <c r="G4514">
        <v>-220.1542</v>
      </c>
      <c r="H4514">
        <v>1.007234</v>
      </c>
      <c r="I4514">
        <v>215.53909999999999</v>
      </c>
      <c r="J4514">
        <v>-220.68340000000001</v>
      </c>
      <c r="K4514">
        <v>1.1095139999999999</v>
      </c>
      <c r="L4514">
        <v>215.73220000000001</v>
      </c>
      <c r="M4514">
        <v>0.99972150000000004</v>
      </c>
      <c r="N4514">
        <v>0</v>
      </c>
      <c r="O4514">
        <v>-1.876601E-2</v>
      </c>
      <c r="P4514">
        <v>0.97931769999999996</v>
      </c>
      <c r="Q4514">
        <v>0.13364529999999999</v>
      </c>
      <c r="R4514">
        <v>-0.1519085</v>
      </c>
      <c r="S4514">
        <v>3.0022129999999998</v>
      </c>
      <c r="T4514">
        <v>-0.36991940000000001</v>
      </c>
      <c r="U4514">
        <v>-0.72059629999999997</v>
      </c>
      <c r="V4514">
        <v>0.133815299999999</v>
      </c>
      <c r="W4514">
        <v>0.1474019</v>
      </c>
      <c r="X4514">
        <v>0.97998269999999998</v>
      </c>
      <c r="Y4514">
        <v>0.2137096</v>
      </c>
      <c r="Z4514">
        <v>-1.0664389999999999E-2</v>
      </c>
      <c r="AA4514">
        <v>0.97683900000000001</v>
      </c>
      <c r="AB4514">
        <v>31</v>
      </c>
      <c r="AC4514">
        <v>0.529200000000003</v>
      </c>
      <c r="AD4514">
        <v>-0.102279999999999</v>
      </c>
      <c r="AE4514">
        <v>-0.19310000000001501</v>
      </c>
      <c r="AF4514">
        <v>0.17728960445178399</v>
      </c>
      <c r="AG4514">
        <v>-0.102279999999999</v>
      </c>
      <c r="AH4514">
        <v>0.51572972239399295</v>
      </c>
      <c r="AI4514">
        <v>100.622345773653</v>
      </c>
      <c r="AJ4514">
        <v>71.028845793495293</v>
      </c>
      <c r="AK4514">
        <v>0.55486029665786596</v>
      </c>
      <c r="AL4514">
        <v>81.523607028405706</v>
      </c>
      <c r="AM4514">
        <v>82.224428101397393</v>
      </c>
      <c r="AN4514">
        <v>0.99999997346849401</v>
      </c>
    </row>
    <row r="4515" spans="1:40" x14ac:dyDescent="0.25">
      <c r="A4515" t="str">
        <f>"20190312172208356"</f>
        <v>20190312172208356</v>
      </c>
      <c r="B4515" t="str">
        <f>"1552382528345536"</f>
        <v>1552382528345536</v>
      </c>
      <c r="C4515" t="s">
        <v>40</v>
      </c>
      <c r="D4515">
        <v>3.2745359999999999</v>
      </c>
      <c r="E4515">
        <v>0.5332848</v>
      </c>
      <c r="F4515" t="s">
        <v>41</v>
      </c>
      <c r="G4515">
        <v>-219.87970000000001</v>
      </c>
      <c r="H4515">
        <v>1.0112589999999999</v>
      </c>
      <c r="I4515">
        <v>215.53749999999999</v>
      </c>
      <c r="J4515">
        <v>-220.37950000000001</v>
      </c>
      <c r="K4515">
        <v>1.10951</v>
      </c>
      <c r="L4515">
        <v>215.7253</v>
      </c>
      <c r="M4515">
        <v>0.99970150000000002</v>
      </c>
      <c r="N4515">
        <v>0</v>
      </c>
      <c r="O4515">
        <v>-1.9807990000000001E-2</v>
      </c>
      <c r="P4515">
        <v>0.97912529999999998</v>
      </c>
      <c r="Q4515">
        <v>0.13335849999999999</v>
      </c>
      <c r="R4515">
        <v>-0.15339410000000001</v>
      </c>
      <c r="S4515">
        <v>3.0007480000000002</v>
      </c>
      <c r="T4515">
        <v>-0.36686849999999999</v>
      </c>
      <c r="U4515">
        <v>-0.72630309999999998</v>
      </c>
      <c r="V4515">
        <v>0.1342814</v>
      </c>
      <c r="W4515">
        <v>0.14710989999999999</v>
      </c>
      <c r="X4515">
        <v>0.97996280000000002</v>
      </c>
      <c r="Y4515">
        <v>0.21457909999999999</v>
      </c>
      <c r="Z4515">
        <v>-1.0506980000000001E-2</v>
      </c>
      <c r="AA4515">
        <v>0.97665009999999997</v>
      </c>
      <c r="AB4515">
        <v>31</v>
      </c>
      <c r="AC4515">
        <v>0.49979999999999303</v>
      </c>
      <c r="AD4515">
        <v>-9.8251000000000005E-2</v>
      </c>
      <c r="AE4515">
        <v>-0.18780000000000999</v>
      </c>
      <c r="AF4515">
        <v>0.17203644743796001</v>
      </c>
      <c r="AG4515">
        <v>-9.8251000000000005E-2</v>
      </c>
      <c r="AH4515">
        <v>0.486933268848668</v>
      </c>
      <c r="AI4515">
        <v>100.771800046895</v>
      </c>
      <c r="AJ4515">
        <v>70.541379639996805</v>
      </c>
      <c r="AK4515">
        <v>0.52569364325595902</v>
      </c>
      <c r="AL4515">
        <v>81.540521621566896</v>
      </c>
      <c r="AM4515">
        <v>82.197521073898301</v>
      </c>
      <c r="AN4515">
        <v>0.999999953223904</v>
      </c>
    </row>
    <row r="4516" spans="1:40" x14ac:dyDescent="0.25">
      <c r="A4516" t="str">
        <f>"20190312172208377"</f>
        <v>20190312172208377</v>
      </c>
      <c r="B4516" t="str">
        <f>"1552382528374817"</f>
        <v>1552382528374817</v>
      </c>
      <c r="C4516" t="s">
        <v>40</v>
      </c>
      <c r="D4516">
        <v>3.2988979999999999</v>
      </c>
      <c r="E4516">
        <v>0.53330140000000004</v>
      </c>
      <c r="F4516" t="s">
        <v>41</v>
      </c>
      <c r="G4516">
        <v>-219.6053</v>
      </c>
      <c r="H4516">
        <v>1.0151139999999901</v>
      </c>
      <c r="I4516">
        <v>215.53620000000001</v>
      </c>
      <c r="J4516">
        <v>-220.0763</v>
      </c>
      <c r="K4516">
        <v>1.1095029999999999</v>
      </c>
      <c r="L4516">
        <v>215.7182</v>
      </c>
      <c r="M4516">
        <v>0.99968009999999996</v>
      </c>
      <c r="N4516">
        <v>0</v>
      </c>
      <c r="O4516">
        <v>-2.0858519999999998E-2</v>
      </c>
      <c r="P4516">
        <v>0.97897179999999995</v>
      </c>
      <c r="Q4516">
        <v>0.13316639999999999</v>
      </c>
      <c r="R4516">
        <v>-0.1545337</v>
      </c>
      <c r="S4516">
        <v>2.9990999999999999</v>
      </c>
      <c r="T4516">
        <v>-0.36569950000000001</v>
      </c>
      <c r="U4516">
        <v>-0.73187259999999998</v>
      </c>
      <c r="V4516">
        <v>0.13439400000000001</v>
      </c>
      <c r="W4516">
        <v>0.1469123</v>
      </c>
      <c r="X4516">
        <v>0.97997710000000005</v>
      </c>
      <c r="Y4516">
        <v>0.2153978</v>
      </c>
      <c r="Z4516">
        <v>-1.040045E-2</v>
      </c>
      <c r="AA4516">
        <v>0.97647099999999998</v>
      </c>
      <c r="AB4516">
        <v>30</v>
      </c>
      <c r="AC4516">
        <v>0.47100000000000303</v>
      </c>
      <c r="AD4516">
        <v>-9.4389000000000195E-2</v>
      </c>
      <c r="AE4516">
        <v>-0.18199999999998701</v>
      </c>
      <c r="AF4516">
        <v>0.166323169817615</v>
      </c>
      <c r="AG4516">
        <v>-9.4389000000000195E-2</v>
      </c>
      <c r="AH4516">
        <v>0.458666875174773</v>
      </c>
      <c r="AI4516">
        <v>100.94933909788</v>
      </c>
      <c r="AJ4516">
        <v>70.068189444540806</v>
      </c>
      <c r="AK4516">
        <v>0.49693861041558302</v>
      </c>
      <c r="AL4516">
        <v>81.551968401858204</v>
      </c>
      <c r="AM4516">
        <v>82.191171634086004</v>
      </c>
      <c r="AN4516">
        <v>1.0000000438258401</v>
      </c>
    </row>
    <row r="4517" spans="1:40" x14ac:dyDescent="0.25">
      <c r="A4517" t="str">
        <f>"20190312172208401"</f>
        <v>20190312172208401</v>
      </c>
      <c r="B4517" t="str">
        <f>"1552382528395315"</f>
        <v>1552382528395315</v>
      </c>
      <c r="C4517" t="s">
        <v>40</v>
      </c>
      <c r="D4517">
        <v>3.3006259999999998</v>
      </c>
      <c r="E4517">
        <v>0.53332349999999995</v>
      </c>
      <c r="F4517" t="s">
        <v>41</v>
      </c>
      <c r="G4517">
        <v>-219.3312</v>
      </c>
      <c r="H4517">
        <v>1.01915</v>
      </c>
      <c r="I4517">
        <v>215.535</v>
      </c>
      <c r="J4517">
        <v>-219.76920000000001</v>
      </c>
      <c r="K4517">
        <v>1.1094820000000001</v>
      </c>
      <c r="L4517">
        <v>215.7106</v>
      </c>
      <c r="M4517">
        <v>0.99965689999999996</v>
      </c>
      <c r="N4517">
        <v>0</v>
      </c>
      <c r="O4517">
        <v>-2.1946500000000001E-2</v>
      </c>
      <c r="P4517">
        <v>0.97860389999999997</v>
      </c>
      <c r="Q4517">
        <v>0.13313910000000001</v>
      </c>
      <c r="R4517">
        <v>-0.15687129999999999</v>
      </c>
      <c r="S4517">
        <v>2.9975589999999999</v>
      </c>
      <c r="T4517">
        <v>-0.36341770000000001</v>
      </c>
      <c r="U4517">
        <v>-0.73680109999999999</v>
      </c>
      <c r="V4517">
        <v>0.13567489999999999</v>
      </c>
      <c r="W4517">
        <v>0.1468718</v>
      </c>
      <c r="X4517">
        <v>0.97980659999999997</v>
      </c>
      <c r="Y4517">
        <v>0.21598529999999999</v>
      </c>
      <c r="Z4517">
        <v>-1.02448E-2</v>
      </c>
      <c r="AA4517">
        <v>0.97634290000000001</v>
      </c>
      <c r="AB4517">
        <v>30</v>
      </c>
      <c r="AC4517">
        <v>0.43800000000001599</v>
      </c>
      <c r="AD4517">
        <v>-9.0331999999999996E-2</v>
      </c>
      <c r="AE4517">
        <v>-0.175600000000002</v>
      </c>
      <c r="AF4517">
        <v>0.16007823534033799</v>
      </c>
      <c r="AG4517">
        <v>-9.0331999999999996E-2</v>
      </c>
      <c r="AH4517">
        <v>0.42613343555017802</v>
      </c>
      <c r="AI4517">
        <v>101.224015425326</v>
      </c>
      <c r="AJ4517">
        <v>69.411168410070601</v>
      </c>
      <c r="AK4517">
        <v>0.46408470837496302</v>
      </c>
      <c r="AL4517">
        <v>81.554313859763298</v>
      </c>
      <c r="AM4517">
        <v>82.116323020905</v>
      </c>
      <c r="AN4517">
        <v>0.99999998876440399</v>
      </c>
    </row>
    <row r="4518" spans="1:40" x14ac:dyDescent="0.25">
      <c r="A4518" t="str">
        <f>"20190312172208423"</f>
        <v>20190312172208423</v>
      </c>
      <c r="B4518" t="str">
        <f>"1552382528414833"</f>
        <v>1552382528414833</v>
      </c>
      <c r="C4518" t="s">
        <v>40</v>
      </c>
      <c r="D4518">
        <v>3.3040449999999999</v>
      </c>
      <c r="E4518">
        <v>0.53333710000000001</v>
      </c>
      <c r="F4518" t="s">
        <v>46</v>
      </c>
      <c r="G4518">
        <v>-210.58099999999999</v>
      </c>
      <c r="H4518" s="1">
        <v>-1.175575E-6</v>
      </c>
      <c r="I4518">
        <v>213.42619999999999</v>
      </c>
      <c r="J4518">
        <v>-219.46549999999999</v>
      </c>
      <c r="K4518">
        <v>1.109464</v>
      </c>
      <c r="L4518">
        <v>215.70269999999999</v>
      </c>
      <c r="M4518">
        <v>0.99963190000000002</v>
      </c>
      <c r="N4518">
        <v>0</v>
      </c>
      <c r="O4518">
        <v>-2.3061020000000002E-2</v>
      </c>
      <c r="P4518">
        <v>0.97821559999999996</v>
      </c>
      <c r="Q4518">
        <v>0.1331398</v>
      </c>
      <c r="R4518">
        <v>-0.159275</v>
      </c>
      <c r="S4518">
        <v>2.995422</v>
      </c>
      <c r="T4518">
        <v>-0.36169980000000002</v>
      </c>
      <c r="U4518">
        <v>-0.7447357</v>
      </c>
      <c r="V4518">
        <v>0.1370006</v>
      </c>
      <c r="W4518">
        <v>0.14685670000000001</v>
      </c>
      <c r="X4518">
        <v>0.97962439999999995</v>
      </c>
      <c r="Y4518">
        <v>0.21750439999999999</v>
      </c>
      <c r="Z4518">
        <v>-1.01587E-2</v>
      </c>
      <c r="AA4518">
        <v>0.97600640000000005</v>
      </c>
      <c r="AB4518">
        <v>30</v>
      </c>
      <c r="AC4518">
        <v>8.8844999999999992</v>
      </c>
      <c r="AD4518">
        <v>-1.109465175575</v>
      </c>
      <c r="AE4518">
        <v>-2.2764999999999902</v>
      </c>
      <c r="AF4518">
        <v>2.0411194267208801</v>
      </c>
      <c r="AG4518">
        <v>-1.109465175575</v>
      </c>
      <c r="AH4518">
        <v>8.8057821860413394</v>
      </c>
      <c r="AI4518">
        <v>96.997410572282206</v>
      </c>
      <c r="AJ4518">
        <v>76.949699224314699</v>
      </c>
      <c r="AK4518">
        <v>9.1070786423503591</v>
      </c>
      <c r="AL4518">
        <v>81.555188690013395</v>
      </c>
      <c r="AM4518">
        <v>82.038811611425601</v>
      </c>
      <c r="AN4518">
        <v>1.0000000099052999</v>
      </c>
    </row>
    <row r="4519" spans="1:40" x14ac:dyDescent="0.25">
      <c r="A4519" t="str">
        <f>"20190312172208445"</f>
        <v>20190312172208445</v>
      </c>
      <c r="B4519" t="str">
        <f>"1552382528435329"</f>
        <v>1552382528435329</v>
      </c>
      <c r="C4519" t="s">
        <v>40</v>
      </c>
      <c r="D4519">
        <v>3.3109269999999902</v>
      </c>
      <c r="E4519">
        <v>0.53335580000000005</v>
      </c>
      <c r="F4519" t="s">
        <v>46</v>
      </c>
      <c r="G4519">
        <v>-210.24440000000001</v>
      </c>
      <c r="H4519" s="1">
        <v>-1.3529340000000001E-6</v>
      </c>
      <c r="I4519">
        <v>213.38499999999999</v>
      </c>
      <c r="J4519">
        <v>-219.16890000000001</v>
      </c>
      <c r="K4519">
        <v>1.1094379999999999</v>
      </c>
      <c r="L4519">
        <v>215.69470000000001</v>
      </c>
      <c r="M4519">
        <v>0.99960539999999998</v>
      </c>
      <c r="N4519">
        <v>0</v>
      </c>
      <c r="O4519">
        <v>-2.418468E-2</v>
      </c>
      <c r="P4519">
        <v>0.97773330000000003</v>
      </c>
      <c r="Q4519">
        <v>0.13348779999999999</v>
      </c>
      <c r="R4519">
        <v>-0.16192179999999901</v>
      </c>
      <c r="S4519">
        <v>2.9933010000000002</v>
      </c>
      <c r="T4519">
        <v>-0.36014479999999999</v>
      </c>
      <c r="U4519">
        <v>-0.75234990000000002</v>
      </c>
      <c r="V4519">
        <v>0.13856550000000001</v>
      </c>
      <c r="W4519">
        <v>0.14718539999999999</v>
      </c>
      <c r="X4519">
        <v>0.97935490000000003</v>
      </c>
      <c r="Y4519">
        <v>0.21891459999999999</v>
      </c>
      <c r="Z4519">
        <v>-1.0069989999999999E-2</v>
      </c>
      <c r="AA4519">
        <v>0.975692</v>
      </c>
      <c r="AB4519">
        <v>30</v>
      </c>
      <c r="AC4519">
        <v>8.9244999999999894</v>
      </c>
      <c r="AD4519">
        <v>-1.1094393529340001</v>
      </c>
      <c r="AE4519">
        <v>-2.3097000000000198</v>
      </c>
      <c r="AF4519">
        <v>2.0632818745022798</v>
      </c>
      <c r="AG4519">
        <v>-1.1094393529340001</v>
      </c>
      <c r="AH4519">
        <v>8.8495784596216893</v>
      </c>
      <c r="AI4519">
        <v>96.960897434988894</v>
      </c>
      <c r="AJ4519">
        <v>76.875923642660098</v>
      </c>
      <c r="AK4519">
        <v>9.1543993076819898</v>
      </c>
      <c r="AL4519">
        <v>81.536148411046995</v>
      </c>
      <c r="AM4519">
        <v>81.946873611714906</v>
      </c>
      <c r="AN4519">
        <v>0.99999997995870904</v>
      </c>
    </row>
    <row r="4520" spans="1:40" x14ac:dyDescent="0.25">
      <c r="A4520" t="str">
        <f>"20190312172208467"</f>
        <v>20190312172208467</v>
      </c>
      <c r="B4520" t="str">
        <f>"1552382528454849"</f>
        <v>1552382528454849</v>
      </c>
      <c r="C4520" t="s">
        <v>40</v>
      </c>
      <c r="D4520">
        <v>3.3192339999999998</v>
      </c>
      <c r="E4520">
        <v>0.53338469999999905</v>
      </c>
      <c r="F4520" t="s">
        <v>45</v>
      </c>
      <c r="G4520">
        <v>-209.88800000000001</v>
      </c>
      <c r="H4520" s="1">
        <v>6.7140119999999999E-6</v>
      </c>
      <c r="I4520">
        <v>213.3338</v>
      </c>
      <c r="J4520">
        <v>-218.8622</v>
      </c>
      <c r="K4520">
        <v>1.1094010000000001</v>
      </c>
      <c r="L4520">
        <v>215.6859</v>
      </c>
      <c r="M4520">
        <v>0.99957530000000006</v>
      </c>
      <c r="N4520">
        <v>0</v>
      </c>
      <c r="O4520">
        <v>-2.5399459999999999E-2</v>
      </c>
      <c r="P4520">
        <v>0.9772073</v>
      </c>
      <c r="Q4520">
        <v>0.13341049999999999</v>
      </c>
      <c r="R4520">
        <v>-0.1651301</v>
      </c>
      <c r="S4520">
        <v>2.991104</v>
      </c>
      <c r="T4520">
        <v>-0.35755369999999997</v>
      </c>
      <c r="U4520">
        <v>-0.76086430000000005</v>
      </c>
      <c r="V4520">
        <v>0.14060549999999999</v>
      </c>
      <c r="W4520">
        <v>0.14708450000000001</v>
      </c>
      <c r="X4520">
        <v>0.97907929999999999</v>
      </c>
      <c r="Y4520">
        <v>0.22052430000000001</v>
      </c>
      <c r="Z4520">
        <v>-9.9538990000000004E-3</v>
      </c>
      <c r="AA4520">
        <v>0.97533069999999999</v>
      </c>
      <c r="AB4520">
        <v>30</v>
      </c>
      <c r="AC4520">
        <v>8.9741999999999909</v>
      </c>
      <c r="AD4520">
        <v>-1.1093942859879999</v>
      </c>
      <c r="AE4520">
        <v>-2.3521000000000001</v>
      </c>
      <c r="AF4520">
        <v>2.0934423212968598</v>
      </c>
      <c r="AG4520">
        <v>-1.1093942859879999</v>
      </c>
      <c r="AH4520">
        <v>8.9037316483729896</v>
      </c>
      <c r="AI4520">
        <v>96.915699578818703</v>
      </c>
      <c r="AJ4520">
        <v>76.768951999293904</v>
      </c>
      <c r="AK4520">
        <v>9.2135603162197004</v>
      </c>
      <c r="AL4520">
        <v>81.541993476176302</v>
      </c>
      <c r="AM4520">
        <v>81.827633770454796</v>
      </c>
      <c r="AN4520">
        <v>1.00000001622949</v>
      </c>
    </row>
    <row r="4521" spans="1:40" x14ac:dyDescent="0.25">
      <c r="A4521" t="str">
        <f>"20190312172208489"</f>
        <v>20190312172208489</v>
      </c>
      <c r="B4521" t="str">
        <f>"1552382528485105"</f>
        <v>1552382528485105</v>
      </c>
      <c r="C4521" t="s">
        <v>40</v>
      </c>
      <c r="D4521">
        <v>3.3624999999999998</v>
      </c>
      <c r="E4521">
        <v>0.53348899999999999</v>
      </c>
      <c r="F4521" t="s">
        <v>45</v>
      </c>
      <c r="G4521">
        <v>-209.5566</v>
      </c>
      <c r="H4521" s="1">
        <v>6.5714640000000004E-6</v>
      </c>
      <c r="I4521">
        <v>213.2835</v>
      </c>
      <c r="J4521">
        <v>-218.5564</v>
      </c>
      <c r="K4521">
        <v>1.109361</v>
      </c>
      <c r="L4521">
        <v>215.67679999999999</v>
      </c>
      <c r="M4521">
        <v>0.99954180000000004</v>
      </c>
      <c r="N4521">
        <v>0</v>
      </c>
      <c r="O4521">
        <v>-2.6682999999999998E-2</v>
      </c>
      <c r="P4521">
        <v>0.97651030000000005</v>
      </c>
      <c r="Q4521">
        <v>0.13377919999999999</v>
      </c>
      <c r="R4521">
        <v>-0.16891110000000001</v>
      </c>
      <c r="S4521">
        <v>2.988235</v>
      </c>
      <c r="T4521">
        <v>-0.35625050000000003</v>
      </c>
      <c r="U4521">
        <v>-0.77148439999999996</v>
      </c>
      <c r="V4521">
        <v>0.14316139999999999</v>
      </c>
      <c r="W4521">
        <v>0.14742259999999999</v>
      </c>
      <c r="X4521">
        <v>0.97865800000000003</v>
      </c>
      <c r="Y4521">
        <v>0.22275010000000001</v>
      </c>
      <c r="Z4521">
        <v>-9.9031139999999993E-3</v>
      </c>
      <c r="AA4521">
        <v>0.97482530000000001</v>
      </c>
      <c r="AB4521">
        <v>30</v>
      </c>
      <c r="AC4521">
        <v>8.9997999999999898</v>
      </c>
      <c r="AD4521">
        <v>-1.109354428536</v>
      </c>
      <c r="AE4521">
        <v>-2.39329999999998</v>
      </c>
      <c r="AF4521">
        <v>2.1221667330724698</v>
      </c>
      <c r="AG4521">
        <v>-1.109354428536</v>
      </c>
      <c r="AH4521">
        <v>8.9336877272931901</v>
      </c>
      <c r="AI4521">
        <v>96.888781230916905</v>
      </c>
      <c r="AJ4521">
        <v>76.6372566619807</v>
      </c>
      <c r="AK4521">
        <v>9.2490559139763509</v>
      </c>
      <c r="AL4521">
        <v>81.522408518092604</v>
      </c>
      <c r="AM4521">
        <v>81.677607861019297</v>
      </c>
      <c r="AN4521">
        <v>1.0000000452023501</v>
      </c>
    </row>
    <row r="4522" spans="1:40" x14ac:dyDescent="0.25">
      <c r="A4522" t="str">
        <f>"20190312172208513"</f>
        <v>20190312172208513</v>
      </c>
      <c r="B4522" t="str">
        <f>"1552382528505601"</f>
        <v>1552382528505601</v>
      </c>
      <c r="C4522" t="s">
        <v>40</v>
      </c>
      <c r="D4522">
        <v>3.3519290000000002</v>
      </c>
      <c r="E4522">
        <v>0.56425029999999998</v>
      </c>
      <c r="F4522" t="s">
        <v>45</v>
      </c>
      <c r="G4522">
        <v>-209.17529999999999</v>
      </c>
      <c r="H4522" s="1">
        <v>6.4087329999999996E-6</v>
      </c>
      <c r="I4522">
        <v>213.21090000000001</v>
      </c>
      <c r="J4522">
        <v>-218.25</v>
      </c>
      <c r="K4522">
        <v>1.1093040000000001</v>
      </c>
      <c r="L4522">
        <v>215.6671</v>
      </c>
      <c r="M4522">
        <v>0.99950410000000001</v>
      </c>
      <c r="N4522">
        <v>0</v>
      </c>
      <c r="O4522">
        <v>-2.8058400000000001E-2</v>
      </c>
      <c r="P4522">
        <v>0.97562020000000005</v>
      </c>
      <c r="Q4522">
        <v>0.13435050000000001</v>
      </c>
      <c r="R4522">
        <v>-0.17353689999999999</v>
      </c>
      <c r="S4522">
        <v>2.9847869999999999</v>
      </c>
      <c r="T4522">
        <v>-0.35296480000000002</v>
      </c>
      <c r="U4522">
        <v>-0.784591699999999</v>
      </c>
      <c r="V4522">
        <v>0.14648369999999999</v>
      </c>
      <c r="W4522">
        <v>0.14795420000000001</v>
      </c>
      <c r="X4522">
        <v>0.97808589999999995</v>
      </c>
      <c r="Y4522">
        <v>0.2257016</v>
      </c>
      <c r="Z4522">
        <v>-9.8299719999999993E-3</v>
      </c>
      <c r="AA4522">
        <v>0.97414690000000004</v>
      </c>
      <c r="AB4522">
        <v>30</v>
      </c>
      <c r="AC4522">
        <v>9.0747</v>
      </c>
      <c r="AD4522">
        <v>-1.109297591267</v>
      </c>
      <c r="AE4522">
        <v>-2.4561999999999902</v>
      </c>
      <c r="AF4522">
        <v>2.17036757075044</v>
      </c>
      <c r="AG4522">
        <v>-1.109297591267</v>
      </c>
      <c r="AH4522">
        <v>9.0145427403168998</v>
      </c>
      <c r="AI4522">
        <v>96.822313571115899</v>
      </c>
      <c r="AJ4522">
        <v>76.462942845433503</v>
      </c>
      <c r="AK4522">
        <v>9.3382555841632406</v>
      </c>
      <c r="AL4522">
        <v>81.491611757646595</v>
      </c>
      <c r="AM4522">
        <v>81.482364955502405</v>
      </c>
      <c r="AN4522">
        <v>0.99999997372106897</v>
      </c>
    </row>
    <row r="4523" spans="1:40" x14ac:dyDescent="0.25">
      <c r="A4523" t="str">
        <f>"20190312172208534"</f>
        <v>20190312172208534</v>
      </c>
      <c r="B4523" t="str">
        <f>"1552382528525121"</f>
        <v>1552382528525121</v>
      </c>
      <c r="C4523" t="s">
        <v>40</v>
      </c>
      <c r="D4523">
        <v>3.3712840000000002</v>
      </c>
      <c r="E4523">
        <v>0.56766539999999999</v>
      </c>
      <c r="F4523" t="s">
        <v>45</v>
      </c>
      <c r="G4523">
        <v>-203.57050000000001</v>
      </c>
      <c r="H4523" s="1">
        <v>4.1645459999999997E-6</v>
      </c>
      <c r="I4523">
        <v>210.4503</v>
      </c>
      <c r="J4523">
        <v>-217.95750000000001</v>
      </c>
      <c r="K4523">
        <v>1.1092329999999999</v>
      </c>
      <c r="L4523">
        <v>215.6575</v>
      </c>
      <c r="M4523">
        <v>0.99946349999999995</v>
      </c>
      <c r="N4523">
        <v>0</v>
      </c>
      <c r="O4523">
        <v>-2.9474500000000001E-2</v>
      </c>
      <c r="P4523">
        <v>0.97443979999999997</v>
      </c>
      <c r="Q4523">
        <v>0.13518769999999999</v>
      </c>
      <c r="R4523">
        <v>-0.17942049999999901</v>
      </c>
      <c r="S4523">
        <v>2.920731</v>
      </c>
      <c r="T4523">
        <v>-0.22071260000000001</v>
      </c>
      <c r="U4523">
        <v>-1.0379640000000001</v>
      </c>
      <c r="V4523">
        <v>0.15103939999999999</v>
      </c>
      <c r="W4523">
        <v>0.14873929999999999</v>
      </c>
      <c r="X4523">
        <v>0.97727359999999996</v>
      </c>
      <c r="Y4523">
        <v>0.30624119999999999</v>
      </c>
      <c r="Z4523">
        <v>-9.0568509999999994E-3</v>
      </c>
      <c r="AA4523">
        <v>0.9519109</v>
      </c>
      <c r="AB4523">
        <v>30</v>
      </c>
      <c r="AC4523">
        <v>14.387</v>
      </c>
      <c r="AD4523">
        <v>-1.1092288354540001</v>
      </c>
      <c r="AE4523">
        <v>-5.2072000000000003</v>
      </c>
      <c r="AF4523">
        <v>4.75584846349998</v>
      </c>
      <c r="AG4523">
        <v>-1.1092288354540001</v>
      </c>
      <c r="AH4523">
        <v>14.458253491119599</v>
      </c>
      <c r="AI4523">
        <v>94.168232222589594</v>
      </c>
      <c r="AJ4523">
        <v>71.792073280962995</v>
      </c>
      <c r="AK4523">
        <v>15.260720075758201</v>
      </c>
      <c r="AL4523">
        <v>81.446125645171307</v>
      </c>
      <c r="AM4523">
        <v>81.214345850550401</v>
      </c>
      <c r="AN4523">
        <v>0.99999998448690397</v>
      </c>
    </row>
    <row r="4524" spans="1:40" x14ac:dyDescent="0.25">
      <c r="A4524" t="str">
        <f>"20190312172208557"</f>
        <v>20190312172208557</v>
      </c>
      <c r="B4524" t="str">
        <f>"1552382528545617"</f>
        <v>1552382528545617</v>
      </c>
      <c r="C4524" t="s">
        <v>40</v>
      </c>
      <c r="D4524">
        <v>3.339029</v>
      </c>
      <c r="E4524">
        <v>0.56866470000000002</v>
      </c>
      <c r="F4524" t="s">
        <v>45</v>
      </c>
      <c r="G4524">
        <v>-202.90029999999999</v>
      </c>
      <c r="H4524" s="1">
        <v>3.9026240000000004E-6</v>
      </c>
      <c r="I4524">
        <v>210.0471</v>
      </c>
      <c r="J4524">
        <v>-217.65369999999999</v>
      </c>
      <c r="K4524">
        <v>1.1091409999999999</v>
      </c>
      <c r="L4524">
        <v>215.64680000000001</v>
      </c>
      <c r="M4524">
        <v>0.99941500000000005</v>
      </c>
      <c r="N4524">
        <v>0</v>
      </c>
      <c r="O4524">
        <v>-3.1073070000000001E-2</v>
      </c>
      <c r="P4524">
        <v>0.97328119999999996</v>
      </c>
      <c r="Q4524">
        <v>0.13552220000000001</v>
      </c>
      <c r="R4524">
        <v>-0.18535699999999999</v>
      </c>
      <c r="S4524">
        <v>2.9088750000000001</v>
      </c>
      <c r="T4524">
        <v>-0.2142906</v>
      </c>
      <c r="U4524">
        <v>-1.083847</v>
      </c>
      <c r="V4524">
        <v>0.15547759999999999</v>
      </c>
      <c r="W4524">
        <v>0.14901420000000001</v>
      </c>
      <c r="X4524">
        <v>0.97653540000000005</v>
      </c>
      <c r="Y4524">
        <v>0.31917830000000003</v>
      </c>
      <c r="Z4524">
        <v>-9.151803E-3</v>
      </c>
      <c r="AA4524">
        <v>0.94765049999999995</v>
      </c>
      <c r="AB4524">
        <v>30</v>
      </c>
      <c r="AC4524">
        <v>14.753399999999999</v>
      </c>
      <c r="AD4524">
        <v>-1.109137097376</v>
      </c>
      <c r="AE4524">
        <v>-5.5997000000000101</v>
      </c>
      <c r="AF4524">
        <v>5.1132551375244297</v>
      </c>
      <c r="AG4524">
        <v>-1.109137097376</v>
      </c>
      <c r="AH4524">
        <v>14.846946344885501</v>
      </c>
      <c r="AI4524">
        <v>94.040273166004198</v>
      </c>
      <c r="AJ4524">
        <v>70.996406717651297</v>
      </c>
      <c r="AK4524">
        <v>15.741898836230099</v>
      </c>
      <c r="AL4524">
        <v>81.430197245036794</v>
      </c>
      <c r="AM4524">
        <v>80.953667854207893</v>
      </c>
      <c r="AN4524">
        <v>0.99999995167827804</v>
      </c>
    </row>
    <row r="4525" spans="1:40" x14ac:dyDescent="0.25">
      <c r="A4525" t="str">
        <f>"20190312172208579"</f>
        <v>20190312172208579</v>
      </c>
      <c r="B4525" t="str">
        <f>"1552382528574900"</f>
        <v>1552382528574900</v>
      </c>
      <c r="C4525" t="s">
        <v>40</v>
      </c>
      <c r="D4525">
        <v>3.3522059999999998</v>
      </c>
      <c r="E4525">
        <v>0.56982580000000005</v>
      </c>
      <c r="F4525" t="s">
        <v>45</v>
      </c>
      <c r="G4525">
        <v>-202.60239999999999</v>
      </c>
      <c r="H4525" s="1">
        <v>3.7847380000000002E-6</v>
      </c>
      <c r="I4525">
        <v>209.88419999999999</v>
      </c>
      <c r="J4525">
        <v>-217.35910000000001</v>
      </c>
      <c r="K4525">
        <v>1.1090390000000001</v>
      </c>
      <c r="L4525">
        <v>215.63589999999999</v>
      </c>
      <c r="M4525">
        <v>0.99936100000000005</v>
      </c>
      <c r="N4525">
        <v>0</v>
      </c>
      <c r="O4525">
        <v>-3.2769119999999999E-2</v>
      </c>
      <c r="P4525">
        <v>0.97197480000000003</v>
      </c>
      <c r="Q4525">
        <v>0.13623460000000001</v>
      </c>
      <c r="R4525">
        <v>-0.1915876</v>
      </c>
      <c r="S4525">
        <v>2.9006349999999999</v>
      </c>
      <c r="T4525">
        <v>-0.21374879999999999</v>
      </c>
      <c r="U4525">
        <v>-1.1105499999999999</v>
      </c>
      <c r="V4525">
        <v>0.16012750000000001</v>
      </c>
      <c r="W4525">
        <v>0.14965829999999999</v>
      </c>
      <c r="X4525">
        <v>0.97568520000000003</v>
      </c>
      <c r="Y4525">
        <v>0.32606469999999999</v>
      </c>
      <c r="Z4525">
        <v>-9.263271E-3</v>
      </c>
      <c r="AA4525">
        <v>0.94530210000000003</v>
      </c>
      <c r="AB4525">
        <v>30</v>
      </c>
      <c r="AC4525">
        <v>14.7567</v>
      </c>
      <c r="AD4525">
        <v>-1.109035215262</v>
      </c>
      <c r="AE4525">
        <v>-5.7516999999999996</v>
      </c>
      <c r="AF4525">
        <v>5.2393070746322898</v>
      </c>
      <c r="AG4525">
        <v>-1.109035215262</v>
      </c>
      <c r="AH4525">
        <v>14.8643858270288</v>
      </c>
      <c r="AI4525">
        <v>94.025099627543597</v>
      </c>
      <c r="AJ4525">
        <v>70.583779332823696</v>
      </c>
      <c r="AK4525">
        <v>15.7996918876844</v>
      </c>
      <c r="AL4525">
        <v>81.392875071417095</v>
      </c>
      <c r="AM4525">
        <v>80.679817600253401</v>
      </c>
      <c r="AN4525">
        <v>1.0000000162570899</v>
      </c>
    </row>
    <row r="4526" spans="1:40" x14ac:dyDescent="0.25">
      <c r="A4526" t="str">
        <f>"20190312172208602"</f>
        <v>20190312172208602</v>
      </c>
      <c r="B4526" t="str">
        <f>"1552382528595396"</f>
        <v>1552382528595396</v>
      </c>
      <c r="C4526" t="s">
        <v>40</v>
      </c>
      <c r="D4526">
        <v>3.3808829999999999</v>
      </c>
      <c r="E4526">
        <v>0.57071439999999996</v>
      </c>
      <c r="F4526" t="s">
        <v>45</v>
      </c>
      <c r="G4526">
        <v>-202.2285</v>
      </c>
      <c r="H4526" s="1">
        <v>3.6375969999999998E-6</v>
      </c>
      <c r="I4526">
        <v>209.6705</v>
      </c>
      <c r="J4526">
        <v>-217.05340000000001</v>
      </c>
      <c r="K4526">
        <v>1.108905</v>
      </c>
      <c r="L4526">
        <v>215.62379999999999</v>
      </c>
      <c r="M4526">
        <v>0.9992953</v>
      </c>
      <c r="N4526">
        <v>0</v>
      </c>
      <c r="O4526">
        <v>-3.4711819999999997E-2</v>
      </c>
      <c r="P4526">
        <v>0.9705975</v>
      </c>
      <c r="Q4526">
        <v>0.1366433</v>
      </c>
      <c r="R4526">
        <v>-0.1981636</v>
      </c>
      <c r="S4526">
        <v>2.8915250000000001</v>
      </c>
      <c r="T4526">
        <v>-0.21194099999999999</v>
      </c>
      <c r="U4526">
        <v>-1.140015</v>
      </c>
      <c r="V4526">
        <v>0.16489470000000001</v>
      </c>
      <c r="W4526">
        <v>0.1499878</v>
      </c>
      <c r="X4526">
        <v>0.97484020000000005</v>
      </c>
      <c r="Y4526">
        <v>0.333574599999999</v>
      </c>
      <c r="Z4526">
        <v>-9.3241820000000003E-3</v>
      </c>
      <c r="AA4526">
        <v>0.9426776</v>
      </c>
      <c r="AB4526">
        <v>30</v>
      </c>
      <c r="AC4526">
        <v>14.8249</v>
      </c>
      <c r="AD4526">
        <v>-1.108901362403</v>
      </c>
      <c r="AE4526">
        <v>-5.9532999999999801</v>
      </c>
      <c r="AF4526">
        <v>5.4089989602336797</v>
      </c>
      <c r="AG4526">
        <v>-1.108901362403</v>
      </c>
      <c r="AH4526">
        <v>14.950602226767799</v>
      </c>
      <c r="AI4526">
        <v>93.989728674231102</v>
      </c>
      <c r="AJ4526">
        <v>70.110313032950899</v>
      </c>
      <c r="AK4526">
        <v>15.937610828677601</v>
      </c>
      <c r="AL4526">
        <v>81.373780525497196</v>
      </c>
      <c r="AM4526">
        <v>80.399267360035907</v>
      </c>
      <c r="AN4526">
        <v>1.00000000888648</v>
      </c>
    </row>
    <row r="4527" spans="1:40" x14ac:dyDescent="0.25">
      <c r="A4527" t="str">
        <f>"20190312172208623"</f>
        <v>20190312172208623</v>
      </c>
      <c r="B4527" t="str">
        <f>"1552382528614913"</f>
        <v>1552382528614913</v>
      </c>
      <c r="C4527" t="s">
        <v>40</v>
      </c>
      <c r="D4527">
        <v>3.3727399999999998</v>
      </c>
      <c r="E4527">
        <v>0.57101349999999995</v>
      </c>
      <c r="F4527" t="s">
        <v>45</v>
      </c>
      <c r="G4527">
        <v>-202.0419</v>
      </c>
      <c r="H4527" s="1">
        <v>3.5723410000000002E-6</v>
      </c>
      <c r="I4527">
        <v>209.54400000000001</v>
      </c>
      <c r="J4527">
        <v>-216.7543</v>
      </c>
      <c r="K4527">
        <v>1.1087739999999999</v>
      </c>
      <c r="L4527">
        <v>215.6112</v>
      </c>
      <c r="M4527">
        <v>0.99922060000000001</v>
      </c>
      <c r="N4527">
        <v>0</v>
      </c>
      <c r="O4527">
        <v>-3.6801260000000002E-2</v>
      </c>
      <c r="P4527">
        <v>0.96924390000000005</v>
      </c>
      <c r="Q4527">
        <v>0.13697129999999999</v>
      </c>
      <c r="R4527">
        <v>-0.20446259999999999</v>
      </c>
      <c r="S4527">
        <v>2.8825069999999999</v>
      </c>
      <c r="T4527">
        <v>-0.21293190000000001</v>
      </c>
      <c r="U4527">
        <v>-1.167435</v>
      </c>
      <c r="V4527">
        <v>0.16924700000000001</v>
      </c>
      <c r="W4527">
        <v>0.15023429999999999</v>
      </c>
      <c r="X4527">
        <v>0.97405600000000003</v>
      </c>
      <c r="Y4527">
        <v>0.340312</v>
      </c>
      <c r="Z4527">
        <v>-9.4704190000000008E-3</v>
      </c>
      <c r="AA4527">
        <v>0.94026489999999996</v>
      </c>
      <c r="AB4527">
        <v>30</v>
      </c>
      <c r="AC4527">
        <v>14.712400000000001</v>
      </c>
      <c r="AD4527">
        <v>-1.108770427659</v>
      </c>
      <c r="AE4527">
        <v>-6.0671999999999802</v>
      </c>
      <c r="AF4527">
        <v>5.4949263940468196</v>
      </c>
      <c r="AG4527">
        <v>-1.108770427659</v>
      </c>
      <c r="AH4527">
        <v>14.853634472600399</v>
      </c>
      <c r="AI4527">
        <v>94.004710283419996</v>
      </c>
      <c r="AJ4527">
        <v>69.698642234563096</v>
      </c>
      <c r="AK4527">
        <v>15.8762100320847</v>
      </c>
      <c r="AL4527">
        <v>81.359495100331301</v>
      </c>
      <c r="AM4527">
        <v>80.142988399970406</v>
      </c>
      <c r="AN4527">
        <v>0.99999999152074404</v>
      </c>
    </row>
    <row r="4528" spans="1:40" x14ac:dyDescent="0.25">
      <c r="A4528" t="str">
        <f>"20190312172208646"</f>
        <v>20190312172208646</v>
      </c>
      <c r="B4528" t="str">
        <f>"1552382528635409"</f>
        <v>1552382528635409</v>
      </c>
      <c r="C4528" t="s">
        <v>40</v>
      </c>
      <c r="D4528">
        <v>3.3856619999999999</v>
      </c>
      <c r="E4528">
        <v>0.57132099999999997</v>
      </c>
      <c r="F4528" t="s">
        <v>45</v>
      </c>
      <c r="G4528">
        <v>-201.91720000000001</v>
      </c>
      <c r="H4528" s="1">
        <v>3.5291120000000001E-6</v>
      </c>
      <c r="I4528">
        <v>209.47540000000001</v>
      </c>
      <c r="J4528">
        <v>-216.45660000000001</v>
      </c>
      <c r="K4528">
        <v>1.1086480000000001</v>
      </c>
      <c r="L4528">
        <v>215.59780000000001</v>
      </c>
      <c r="M4528">
        <v>0.99913569999999996</v>
      </c>
      <c r="N4528">
        <v>0</v>
      </c>
      <c r="O4528">
        <v>-3.9035640000000003E-2</v>
      </c>
      <c r="P4528">
        <v>0.96786220000000001</v>
      </c>
      <c r="Q4528">
        <v>0.13733020000000001</v>
      </c>
      <c r="R4528">
        <v>-0.21067340000000001</v>
      </c>
      <c r="S4528">
        <v>2.874771</v>
      </c>
      <c r="T4528">
        <v>-0.21483050000000001</v>
      </c>
      <c r="U4528">
        <v>-1.188828</v>
      </c>
      <c r="V4528">
        <v>0.17337149999999901</v>
      </c>
      <c r="W4528">
        <v>0.15051389999999901</v>
      </c>
      <c r="X4528">
        <v>0.97328720000000002</v>
      </c>
      <c r="Y4528">
        <v>0.3450569</v>
      </c>
      <c r="Z4528">
        <v>-9.5761470000000001E-3</v>
      </c>
      <c r="AA4528">
        <v>0.9385329</v>
      </c>
      <c r="AB4528">
        <v>30</v>
      </c>
      <c r="AC4528">
        <v>14.539400000000001</v>
      </c>
      <c r="AD4528">
        <v>-1.1086444708880001</v>
      </c>
      <c r="AE4528">
        <v>-6.1223999999999901</v>
      </c>
      <c r="AF4528">
        <v>5.5228451976523401</v>
      </c>
      <c r="AG4528">
        <v>-1.1086444708880001</v>
      </c>
      <c r="AH4528">
        <v>14.694761668684199</v>
      </c>
      <c r="AI4528">
        <v>94.039622495129194</v>
      </c>
      <c r="AJ4528">
        <v>69.401887883122797</v>
      </c>
      <c r="AK4528">
        <v>15.737437279922499</v>
      </c>
      <c r="AL4528">
        <v>81.343291389228497</v>
      </c>
      <c r="AM4528">
        <v>79.899849125665199</v>
      </c>
      <c r="AN4528">
        <v>1.00000004239464</v>
      </c>
    </row>
    <row r="4529" spans="1:40" x14ac:dyDescent="0.25">
      <c r="A4529" t="str">
        <f>"20190312172208668"</f>
        <v>20190312172208668</v>
      </c>
      <c r="B4529" t="str">
        <f>"1552382528665665"</f>
        <v>1552382528665665</v>
      </c>
      <c r="C4529" t="s">
        <v>40</v>
      </c>
      <c r="D4529">
        <v>3.3379129999999999</v>
      </c>
      <c r="E4529">
        <v>0.57130159999999997</v>
      </c>
      <c r="F4529" t="s">
        <v>45</v>
      </c>
      <c r="G4529">
        <v>-201.7655</v>
      </c>
      <c r="H4529" s="1">
        <v>3.4758790000000001E-6</v>
      </c>
      <c r="I4529">
        <v>209.39580000000001</v>
      </c>
      <c r="J4529">
        <v>-216.15639999999999</v>
      </c>
      <c r="K4529">
        <v>1.1085290000000001</v>
      </c>
      <c r="L4529">
        <v>215.58349999999999</v>
      </c>
      <c r="M4529">
        <v>0.99903830000000005</v>
      </c>
      <c r="N4529">
        <v>0</v>
      </c>
      <c r="O4529">
        <v>-4.1451830000000002E-2</v>
      </c>
      <c r="P4529">
        <v>0.96636889999999998</v>
      </c>
      <c r="Q4529">
        <v>0.13762959999999999</v>
      </c>
      <c r="R4529">
        <v>-0.2172306</v>
      </c>
      <c r="S4529">
        <v>2.8668520000000002</v>
      </c>
      <c r="T4529">
        <v>-0.2163438</v>
      </c>
      <c r="U4529">
        <v>-1.2102809999999999</v>
      </c>
      <c r="V4529">
        <v>0.1776713</v>
      </c>
      <c r="W4529">
        <v>0.15073310000000001</v>
      </c>
      <c r="X4529">
        <v>0.97247749999999999</v>
      </c>
      <c r="Y4529">
        <v>0.3496592</v>
      </c>
      <c r="Z4529">
        <v>-9.6472239999999994E-3</v>
      </c>
      <c r="AA4529">
        <v>0.93682730000000003</v>
      </c>
      <c r="AB4529">
        <v>30</v>
      </c>
      <c r="AC4529">
        <v>14.390899999999901</v>
      </c>
      <c r="AD4529">
        <v>-1.1085255241209999</v>
      </c>
      <c r="AE4529">
        <v>-6.1876999999999702</v>
      </c>
      <c r="AF4529">
        <v>5.5579577068994199</v>
      </c>
      <c r="AG4529">
        <v>-1.1085255241209999</v>
      </c>
      <c r="AH4529">
        <v>14.562122820621999</v>
      </c>
      <c r="AI4529">
        <v>94.068015016657199</v>
      </c>
      <c r="AJ4529">
        <v>69.109533908439104</v>
      </c>
      <c r="AK4529">
        <v>15.626104561028299</v>
      </c>
      <c r="AL4529">
        <v>81.330587047314793</v>
      </c>
      <c r="AM4529">
        <v>79.646272797089395</v>
      </c>
      <c r="AN4529">
        <v>1.0000000231427699</v>
      </c>
    </row>
    <row r="4530" spans="1:40" x14ac:dyDescent="0.25">
      <c r="A4530" t="str">
        <f>"20190312172208692"</f>
        <v>20190312172208692</v>
      </c>
      <c r="B4530" t="str">
        <f>"1552382528685186"</f>
        <v>1552382528685186</v>
      </c>
      <c r="C4530" t="s">
        <v>40</v>
      </c>
      <c r="D4530">
        <v>3.3710840000000002</v>
      </c>
      <c r="E4530">
        <v>0.57120269999999995</v>
      </c>
      <c r="F4530" t="s">
        <v>45</v>
      </c>
      <c r="G4530">
        <v>-201.66919999999999</v>
      </c>
      <c r="H4530" s="1">
        <v>3.4412179999999998E-6</v>
      </c>
      <c r="I4530">
        <v>209.35</v>
      </c>
      <c r="J4530">
        <v>-215.85069999999999</v>
      </c>
      <c r="K4530">
        <v>1.1084069999999999</v>
      </c>
      <c r="L4530">
        <v>215.56800000000001</v>
      </c>
      <c r="M4530">
        <v>0.99892539999999996</v>
      </c>
      <c r="N4530">
        <v>0</v>
      </c>
      <c r="O4530">
        <v>-4.4088170000000003E-2</v>
      </c>
      <c r="P4530">
        <v>0.96468960000000004</v>
      </c>
      <c r="Q4530">
        <v>0.1378993</v>
      </c>
      <c r="R4530">
        <v>-0.22440560000000001</v>
      </c>
      <c r="S4530">
        <v>2.8590239999999998</v>
      </c>
      <c r="T4530">
        <v>-0.21876509999999999</v>
      </c>
      <c r="U4530">
        <v>-1.2301789999999999</v>
      </c>
      <c r="V4530">
        <v>0.18238760000000001</v>
      </c>
      <c r="W4530">
        <v>0.1509151</v>
      </c>
      <c r="X4530">
        <v>0.97157570000000004</v>
      </c>
      <c r="Y4530">
        <v>0.3535973</v>
      </c>
      <c r="Z4530">
        <v>-9.7189600000000004E-3</v>
      </c>
      <c r="AA4530">
        <v>0.93534729999999999</v>
      </c>
      <c r="AB4530">
        <v>30</v>
      </c>
      <c r="AC4530">
        <v>14.1815</v>
      </c>
      <c r="AD4530">
        <v>-1.10840355878199</v>
      </c>
      <c r="AE4530">
        <v>-6.2179999999999804</v>
      </c>
      <c r="AF4530">
        <v>5.55817385659563</v>
      </c>
      <c r="AG4530">
        <v>-1.10840355878199</v>
      </c>
      <c r="AH4530">
        <v>14.368256989676199</v>
      </c>
      <c r="AI4530">
        <v>94.115165430853807</v>
      </c>
      <c r="AJ4530">
        <v>68.851684167413296</v>
      </c>
      <c r="AK4530">
        <v>15.4456681302766</v>
      </c>
      <c r="AL4530">
        <v>81.320038103799206</v>
      </c>
      <c r="AM4530">
        <v>79.367974008198701</v>
      </c>
      <c r="AN4530">
        <v>0.99999997243612904</v>
      </c>
    </row>
    <row r="4531" spans="1:40" x14ac:dyDescent="0.25">
      <c r="A4531" t="str">
        <f>"20190312172208714"</f>
        <v>20190312172208714</v>
      </c>
      <c r="B4531" t="str">
        <f>"1552382528704705"</f>
        <v>1552382528704705</v>
      </c>
      <c r="C4531" t="s">
        <v>40</v>
      </c>
      <c r="D4531">
        <v>3.3506200000000002</v>
      </c>
      <c r="E4531">
        <v>0.57113179999999997</v>
      </c>
      <c r="F4531" t="s">
        <v>45</v>
      </c>
      <c r="G4531">
        <v>-201.5112</v>
      </c>
      <c r="H4531" s="1">
        <v>3.3845949999999998E-6</v>
      </c>
      <c r="I4531">
        <v>209.27369999999999</v>
      </c>
      <c r="J4531">
        <v>-215.55359999999999</v>
      </c>
      <c r="K4531">
        <v>1.1082829999999999</v>
      </c>
      <c r="L4531">
        <v>215.5521</v>
      </c>
      <c r="M4531">
        <v>0.99880119999999895</v>
      </c>
      <c r="N4531">
        <v>0</v>
      </c>
      <c r="O4531">
        <v>-4.6818760000000001E-2</v>
      </c>
      <c r="P4531">
        <v>0.96280060000000001</v>
      </c>
      <c r="Q4531">
        <v>0.13866120000000001</v>
      </c>
      <c r="R4531">
        <v>-0.2319233</v>
      </c>
      <c r="S4531">
        <v>2.8502350000000001</v>
      </c>
      <c r="T4531">
        <v>-0.2203147</v>
      </c>
      <c r="U4531">
        <v>-1.2511139999999901</v>
      </c>
      <c r="V4531">
        <v>0.18737229999999999</v>
      </c>
      <c r="W4531">
        <v>0.15158339999999901</v>
      </c>
      <c r="X4531">
        <v>0.97052260000000001</v>
      </c>
      <c r="Y4531">
        <v>0.357844</v>
      </c>
      <c r="Z4531">
        <v>-9.7579750000000003E-3</v>
      </c>
      <c r="AA4531">
        <v>0.93373039999999996</v>
      </c>
      <c r="AB4531">
        <v>30</v>
      </c>
      <c r="AC4531">
        <v>14.042399999999899</v>
      </c>
      <c r="AD4531">
        <v>-1.1082796154050001</v>
      </c>
      <c r="AE4531">
        <v>-6.2784000000000004</v>
      </c>
      <c r="AF4531">
        <v>5.5850057558166304</v>
      </c>
      <c r="AG4531">
        <v>-1.1082796154050001</v>
      </c>
      <c r="AH4531">
        <v>14.2470153010222</v>
      </c>
      <c r="AI4531">
        <v>94.142370934517999</v>
      </c>
      <c r="AJ4531">
        <v>68.594207891963904</v>
      </c>
      <c r="AK4531">
        <v>15.3426861398514</v>
      </c>
      <c r="AL4531">
        <v>81.281302039135198</v>
      </c>
      <c r="AM4531">
        <v>79.072729413491402</v>
      </c>
      <c r="AN4531">
        <v>1.0000000115368</v>
      </c>
    </row>
    <row r="4532" spans="1:40" x14ac:dyDescent="0.25">
      <c r="A4532" t="str">
        <f>"20190312172208734"</f>
        <v>20190312172208734</v>
      </c>
      <c r="B4532" t="str">
        <f>"1552382528725202"</f>
        <v>1552382528725202</v>
      </c>
      <c r="C4532" t="s">
        <v>40</v>
      </c>
      <c r="D4532">
        <v>3.3337479999999999</v>
      </c>
      <c r="E4532">
        <v>0.57100499999999998</v>
      </c>
      <c r="F4532" t="s">
        <v>45</v>
      </c>
      <c r="G4532">
        <v>-201.24279999999999</v>
      </c>
      <c r="H4532" s="1">
        <v>3.2893489999999999E-6</v>
      </c>
      <c r="I4532">
        <v>209.1386</v>
      </c>
      <c r="J4532">
        <v>-215.2636</v>
      </c>
      <c r="K4532">
        <v>1.1081529999999999</v>
      </c>
      <c r="L4532">
        <v>215.53550000000001</v>
      </c>
      <c r="M4532">
        <v>0.99866469999999896</v>
      </c>
      <c r="N4532">
        <v>0</v>
      </c>
      <c r="O4532">
        <v>-4.9642569999999997E-2</v>
      </c>
      <c r="P4532">
        <v>0.96077409999999996</v>
      </c>
      <c r="Q4532">
        <v>0.13890810000000001</v>
      </c>
      <c r="R4532">
        <v>-0.24003720000000001</v>
      </c>
      <c r="S4532">
        <v>2.8409420000000001</v>
      </c>
      <c r="T4532">
        <v>-0.2200125</v>
      </c>
      <c r="U4532">
        <v>-1.2731779999999999</v>
      </c>
      <c r="V4532">
        <v>0.1928742</v>
      </c>
      <c r="W4532">
        <v>0.15172949999999999</v>
      </c>
      <c r="X4532">
        <v>0.96942130000000004</v>
      </c>
      <c r="Y4532">
        <v>0.3623768</v>
      </c>
      <c r="Z4532">
        <v>-9.7193249999999991E-3</v>
      </c>
      <c r="AA4532">
        <v>0.93198099999999995</v>
      </c>
      <c r="AB4532">
        <v>30</v>
      </c>
      <c r="AC4532">
        <v>14.020799999999999</v>
      </c>
      <c r="AD4532">
        <v>-1.1081497106510001</v>
      </c>
      <c r="AE4532">
        <v>-6.3969000000000102</v>
      </c>
      <c r="AF4532">
        <v>5.6636281630364298</v>
      </c>
      <c r="AG4532">
        <v>-1.1081497106510001</v>
      </c>
      <c r="AH4532">
        <v>14.247435000100699</v>
      </c>
      <c r="AI4532">
        <v>94.134010053265499</v>
      </c>
      <c r="AJ4532">
        <v>68.321231956108207</v>
      </c>
      <c r="AK4532">
        <v>15.3718601292248</v>
      </c>
      <c r="AL4532">
        <v>81.2728328696966</v>
      </c>
      <c r="AM4532">
        <v>78.747480598697706</v>
      </c>
      <c r="AN4532">
        <v>0.99999997754478898</v>
      </c>
    </row>
    <row r="4533" spans="1:40" x14ac:dyDescent="0.25">
      <c r="A4533" t="str">
        <f>"20190312172208758"</f>
        <v>20190312172208758</v>
      </c>
      <c r="B4533" t="str">
        <f>"1552382528744721"</f>
        <v>1552382528744721</v>
      </c>
      <c r="C4533" t="s">
        <v>40</v>
      </c>
      <c r="D4533">
        <v>3.3394210000000002</v>
      </c>
      <c r="E4533">
        <v>0.57089140000000005</v>
      </c>
      <c r="F4533" t="s">
        <v>45</v>
      </c>
      <c r="G4533">
        <v>-201.1086</v>
      </c>
      <c r="H4533" s="1">
        <v>3.2447929999999999E-6</v>
      </c>
      <c r="I4533">
        <v>209.05369999999999</v>
      </c>
      <c r="J4533">
        <v>-214.96539999999999</v>
      </c>
      <c r="K4533">
        <v>1.1080179999999999</v>
      </c>
      <c r="L4533">
        <v>215.51750000000001</v>
      </c>
      <c r="M4533">
        <v>0.99850760000000005</v>
      </c>
      <c r="N4533">
        <v>0</v>
      </c>
      <c r="O4533">
        <v>-5.2709560000000003E-2</v>
      </c>
      <c r="P4533">
        <v>0.95882350000000005</v>
      </c>
      <c r="Q4533">
        <v>0.138811299999999</v>
      </c>
      <c r="R4533">
        <v>-0.24776889999999999</v>
      </c>
      <c r="S4533">
        <v>2.8306879999999999</v>
      </c>
      <c r="T4533">
        <v>-0.22160489999999999</v>
      </c>
      <c r="U4533">
        <v>-1.296219</v>
      </c>
      <c r="V4533">
        <v>0.1977621</v>
      </c>
      <c r="W4533">
        <v>0.1515311</v>
      </c>
      <c r="X4533">
        <v>0.96846710000000003</v>
      </c>
      <c r="Y4533">
        <v>0.36704320000000001</v>
      </c>
      <c r="Z4533">
        <v>-9.7530889999999995E-3</v>
      </c>
      <c r="AA4533">
        <v>0.9301528</v>
      </c>
      <c r="AB4533">
        <v>30</v>
      </c>
      <c r="AC4533">
        <v>13.8567999999999</v>
      </c>
      <c r="AD4533">
        <v>-1.1080147552070001</v>
      </c>
      <c r="AE4533">
        <v>-6.4638000000000098</v>
      </c>
      <c r="AF4533">
        <v>5.69444935491775</v>
      </c>
      <c r="AG4533">
        <v>-1.1080147552070001</v>
      </c>
      <c r="AH4533">
        <v>14.104207744398799</v>
      </c>
      <c r="AI4533">
        <v>94.166408884621802</v>
      </c>
      <c r="AJ4533">
        <v>68.014041881613394</v>
      </c>
      <c r="AK4533">
        <v>15.2506762555186</v>
      </c>
      <c r="AL4533">
        <v>81.284333729590102</v>
      </c>
      <c r="AM4533">
        <v>78.458805212498305</v>
      </c>
      <c r="AN4533">
        <v>1.00000002312301</v>
      </c>
    </row>
    <row r="4534" spans="1:40" x14ac:dyDescent="0.25">
      <c r="A4534" t="str">
        <f>"20190312172208781"</f>
        <v>20190312172208781</v>
      </c>
      <c r="B4534" t="str">
        <f>"1552382528774977"</f>
        <v>1552382528774977</v>
      </c>
      <c r="C4534" t="s">
        <v>40</v>
      </c>
      <c r="D4534">
        <v>3.3348960000000001</v>
      </c>
      <c r="E4534">
        <v>0.57056779999999996</v>
      </c>
      <c r="F4534" t="s">
        <v>45</v>
      </c>
      <c r="G4534">
        <v>-200.99359999999999</v>
      </c>
      <c r="H4534" s="1">
        <v>3.20553E-6</v>
      </c>
      <c r="I4534">
        <v>208.98699999999999</v>
      </c>
      <c r="J4534">
        <v>-214.65950000000001</v>
      </c>
      <c r="K4534">
        <v>1.1078840000000001</v>
      </c>
      <c r="L4534">
        <v>215.49789999999999</v>
      </c>
      <c r="M4534">
        <v>0.99832659999999995</v>
      </c>
      <c r="N4534">
        <v>0</v>
      </c>
      <c r="O4534">
        <v>-5.6032659999999998E-2</v>
      </c>
      <c r="P4534">
        <v>0.95668169999999997</v>
      </c>
      <c r="Q4534">
        <v>0.14016049999999999</v>
      </c>
      <c r="R4534">
        <v>-0.25517709999999999</v>
      </c>
      <c r="S4534">
        <v>2.8205719999999999</v>
      </c>
      <c r="T4534">
        <v>-0.22368150000000001</v>
      </c>
      <c r="U4534">
        <v>-1.318344</v>
      </c>
      <c r="V4534">
        <v>0.2021066</v>
      </c>
      <c r="W4534">
        <v>0.15277579999999999</v>
      </c>
      <c r="X4534">
        <v>0.96737399999999996</v>
      </c>
      <c r="Y4534">
        <v>0.37119400000000002</v>
      </c>
      <c r="Z4534">
        <v>-9.7688419999999998E-3</v>
      </c>
      <c r="AA4534">
        <v>0.92850390000000005</v>
      </c>
      <c r="AB4534">
        <v>30</v>
      </c>
      <c r="AC4534">
        <v>13.665900000000001</v>
      </c>
      <c r="AD4534">
        <v>-1.10788079447</v>
      </c>
      <c r="AE4534">
        <v>-6.5108999999999897</v>
      </c>
      <c r="AF4534">
        <v>5.7042996798962102</v>
      </c>
      <c r="AG4534">
        <v>-1.10788079447</v>
      </c>
      <c r="AH4534">
        <v>13.9346471176303</v>
      </c>
      <c r="AI4534">
        <v>94.208188061042407</v>
      </c>
      <c r="AJ4534">
        <v>67.737726004330895</v>
      </c>
      <c r="AK4534">
        <v>15.097709262855201</v>
      </c>
      <c r="AL4534">
        <v>81.212177247452701</v>
      </c>
      <c r="AM4534">
        <v>78.199339293199102</v>
      </c>
      <c r="AN4534">
        <v>0.99999998935259904</v>
      </c>
    </row>
    <row r="4535" spans="1:40" x14ac:dyDescent="0.25">
      <c r="A4535" t="str">
        <f>"20190312172208803"</f>
        <v>20190312172208803</v>
      </c>
      <c r="B4535" t="str">
        <f>"1552382528795476"</f>
        <v>1552382528795476</v>
      </c>
      <c r="C4535" t="s">
        <v>40</v>
      </c>
      <c r="D4535">
        <v>3.392992</v>
      </c>
      <c r="E4535">
        <v>0.57032229999999995</v>
      </c>
      <c r="F4535" t="s">
        <v>45</v>
      </c>
      <c r="G4535">
        <v>-200.61</v>
      </c>
      <c r="H4535" s="1">
        <v>3.080008E-6</v>
      </c>
      <c r="I4535">
        <v>208.81100000000001</v>
      </c>
      <c r="J4535">
        <v>-214.36689999999999</v>
      </c>
      <c r="K4535">
        <v>1.1077650000000001</v>
      </c>
      <c r="L4535">
        <v>215.4778</v>
      </c>
      <c r="M4535">
        <v>0.99813220000000002</v>
      </c>
      <c r="N4535">
        <v>0</v>
      </c>
      <c r="O4535">
        <v>-5.9391850000000003E-2</v>
      </c>
      <c r="P4535">
        <v>0.95450880000000005</v>
      </c>
      <c r="Q4535">
        <v>0.14179439999999999</v>
      </c>
      <c r="R4535">
        <v>-0.2623123</v>
      </c>
      <c r="S4535">
        <v>2.8113860000000002</v>
      </c>
      <c r="T4535">
        <v>-0.2216929</v>
      </c>
      <c r="U4535">
        <v>-1.338074</v>
      </c>
      <c r="V4535">
        <v>0.20615310000000001</v>
      </c>
      <c r="W4535">
        <v>0.1543081</v>
      </c>
      <c r="X4535">
        <v>0.96627629999999998</v>
      </c>
      <c r="Y4535">
        <v>0.37457079999999998</v>
      </c>
      <c r="Z4535">
        <v>-9.5742940000000006E-3</v>
      </c>
      <c r="AA4535">
        <v>0.92714890000000005</v>
      </c>
      <c r="AB4535">
        <v>30</v>
      </c>
      <c r="AC4535">
        <v>13.7568999999999</v>
      </c>
      <c r="AD4535">
        <v>-1.1077619199919999</v>
      </c>
      <c r="AE4535">
        <v>-6.6668000000000198</v>
      </c>
      <c r="AF4535">
        <v>5.8074032905145003</v>
      </c>
      <c r="AG4535">
        <v>-1.1077619199919999</v>
      </c>
      <c r="AH4535">
        <v>14.054803816641099</v>
      </c>
      <c r="AI4535">
        <v>94.166286926875898</v>
      </c>
      <c r="AJ4535">
        <v>67.549731048451804</v>
      </c>
      <c r="AK4535">
        <v>15.2476417774793</v>
      </c>
      <c r="AL4535">
        <v>81.123329365744894</v>
      </c>
      <c r="AM4535">
        <v>77.956622011743704</v>
      </c>
      <c r="AN4535">
        <v>0.99999998915345401</v>
      </c>
    </row>
    <row r="4536" spans="1:40" x14ac:dyDescent="0.25">
      <c r="A4536" t="str">
        <f>"20190312172208825"</f>
        <v>20190312172208825</v>
      </c>
      <c r="B4536" t="str">
        <f>"1552382528814993"</f>
        <v>1552382528814993</v>
      </c>
      <c r="C4536" t="s">
        <v>40</v>
      </c>
      <c r="D4536">
        <v>3.3797579999999998</v>
      </c>
      <c r="E4536">
        <v>0.57021489999999997</v>
      </c>
      <c r="F4536" t="s">
        <v>45</v>
      </c>
      <c r="G4536">
        <v>-200.1301</v>
      </c>
      <c r="H4536" s="1">
        <v>2.9716679999999998E-6</v>
      </c>
      <c r="I4536">
        <v>208.57730000000001</v>
      </c>
      <c r="J4536">
        <v>-214.06440000000001</v>
      </c>
      <c r="K4536">
        <v>1.1076469999999901</v>
      </c>
      <c r="L4536">
        <v>215.45599999999999</v>
      </c>
      <c r="M4536">
        <v>0.99791039999999998</v>
      </c>
      <c r="N4536">
        <v>0</v>
      </c>
      <c r="O4536">
        <v>-6.3009609999999994E-2</v>
      </c>
      <c r="P4536">
        <v>0.95233259999999997</v>
      </c>
      <c r="Q4536">
        <v>0.14295629999999901</v>
      </c>
      <c r="R4536">
        <v>-0.26949260000000003</v>
      </c>
      <c r="S4536">
        <v>2.8021090000000002</v>
      </c>
      <c r="T4536">
        <v>-0.21803239999999999</v>
      </c>
      <c r="U4536">
        <v>-1.358185</v>
      </c>
      <c r="V4536">
        <v>0.2099973</v>
      </c>
      <c r="W4536">
        <v>0.15537509999999999</v>
      </c>
      <c r="X4536">
        <v>0.96527700000000005</v>
      </c>
      <c r="Y4536">
        <v>0.3778281</v>
      </c>
      <c r="Z4536">
        <v>-9.2868229999999996E-3</v>
      </c>
      <c r="AA4536">
        <v>0.92582920000000002</v>
      </c>
      <c r="AB4536">
        <v>30</v>
      </c>
      <c r="AC4536">
        <v>13.9343</v>
      </c>
      <c r="AD4536">
        <v>-1.1076440283319999</v>
      </c>
      <c r="AE4536">
        <v>-6.8786999999999798</v>
      </c>
      <c r="AF4536">
        <v>5.9566803710149596</v>
      </c>
      <c r="AG4536">
        <v>-1.1076440283319999</v>
      </c>
      <c r="AH4536">
        <v>14.267586079982401</v>
      </c>
      <c r="AI4536">
        <v>94.097705217681195</v>
      </c>
      <c r="AJ4536">
        <v>67.339589603300098</v>
      </c>
      <c r="AK4536">
        <v>15.500739623825799</v>
      </c>
      <c r="AL4536">
        <v>81.061448420970905</v>
      </c>
      <c r="AM4536">
        <v>77.726471248946098</v>
      </c>
      <c r="AN4536">
        <v>0.99999998721814998</v>
      </c>
    </row>
    <row r="4537" spans="1:40" x14ac:dyDescent="0.25">
      <c r="A4537" t="str">
        <f>"20190312172208848"</f>
        <v>20190312172208848</v>
      </c>
      <c r="B4537" t="str">
        <f>"1552382528835489"</f>
        <v>1552382528835489</v>
      </c>
      <c r="C4537" t="s">
        <v>40</v>
      </c>
      <c r="D4537">
        <v>3.3488349999999998</v>
      </c>
      <c r="E4537">
        <v>0.56571490000000002</v>
      </c>
      <c r="F4537" t="s">
        <v>45</v>
      </c>
      <c r="G4537">
        <v>-199.70310000000001</v>
      </c>
      <c r="H4537" s="1">
        <v>3.0123930000000002E-6</v>
      </c>
      <c r="I4537">
        <v>208.3631</v>
      </c>
      <c r="J4537">
        <v>-213.7723</v>
      </c>
      <c r="K4537">
        <v>1.1075379999999999</v>
      </c>
      <c r="L4537">
        <v>215.43360000000001</v>
      </c>
      <c r="M4537">
        <v>0.99767399999999995</v>
      </c>
      <c r="N4537">
        <v>0</v>
      </c>
      <c r="O4537">
        <v>-6.6645570000000001E-2</v>
      </c>
      <c r="P4537">
        <v>0.95043299999999997</v>
      </c>
      <c r="Q4537">
        <v>0.14276800000000001</v>
      </c>
      <c r="R4537">
        <v>-0.2762154</v>
      </c>
      <c r="S4537">
        <v>2.792252</v>
      </c>
      <c r="T4537">
        <v>-0.21535889999999999</v>
      </c>
      <c r="U4537">
        <v>-1.379059</v>
      </c>
      <c r="V4537">
        <v>0.21334400000000001</v>
      </c>
      <c r="W4537">
        <v>0.1551023</v>
      </c>
      <c r="X4537">
        <v>0.96458670000000002</v>
      </c>
      <c r="Y4537">
        <v>0.38133250000000002</v>
      </c>
      <c r="Z4537">
        <v>-9.053485E-3</v>
      </c>
      <c r="AA4537">
        <v>0.92439360000000004</v>
      </c>
      <c r="AB4537">
        <v>30</v>
      </c>
      <c r="AC4537">
        <v>14.069199999999899</v>
      </c>
      <c r="AD4537">
        <v>-1.107534987607</v>
      </c>
      <c r="AE4537">
        <v>-7.0705000000000098</v>
      </c>
      <c r="AF4537">
        <v>6.0869165699654602</v>
      </c>
      <c r="AG4537">
        <v>-1.107534987607</v>
      </c>
      <c r="AH4537">
        <v>14.437749987332801</v>
      </c>
      <c r="AI4537">
        <v>94.043275288227207</v>
      </c>
      <c r="AJ4537">
        <v>67.139842692537997</v>
      </c>
      <c r="AK4537">
        <v>15.7075081338582</v>
      </c>
      <c r="AL4537">
        <v>81.077270130883207</v>
      </c>
      <c r="AM4537">
        <v>77.528295754498899</v>
      </c>
      <c r="AN4537">
        <v>0.99999994380908797</v>
      </c>
    </row>
    <row r="4538" spans="1:40" x14ac:dyDescent="0.25">
      <c r="A4538" t="str">
        <f>"20190312172208870"</f>
        <v>20190312172208870</v>
      </c>
      <c r="B4538" t="str">
        <f>"1552382528864769"</f>
        <v>1552382528864769</v>
      </c>
      <c r="C4538" t="s">
        <v>40</v>
      </c>
      <c r="D4538">
        <v>3.3478509999999999</v>
      </c>
      <c r="E4538">
        <v>0.565121599999999</v>
      </c>
      <c r="F4538" t="s">
        <v>45</v>
      </c>
      <c r="G4538">
        <v>-200.85220000000001</v>
      </c>
      <c r="H4538" s="1">
        <v>3.1187520000000001E-6</v>
      </c>
      <c r="I4538">
        <v>209.12389999999999</v>
      </c>
      <c r="J4538">
        <v>-213.4776</v>
      </c>
      <c r="K4538">
        <v>1.1074250000000001</v>
      </c>
      <c r="L4538">
        <v>215.40989999999999</v>
      </c>
      <c r="M4538">
        <v>0.99741170000000001</v>
      </c>
      <c r="N4538">
        <v>0</v>
      </c>
      <c r="O4538">
        <v>-7.0464120000000005E-2</v>
      </c>
      <c r="P4538">
        <v>0.94868450000000004</v>
      </c>
      <c r="Q4538">
        <v>0.14214579999999999</v>
      </c>
      <c r="R4538">
        <v>-0.28247610000000001</v>
      </c>
      <c r="S4538">
        <v>2.7956699999999999</v>
      </c>
      <c r="T4538">
        <v>-0.23965110000000001</v>
      </c>
      <c r="U4538">
        <v>-1.3653109999999999</v>
      </c>
      <c r="V4538">
        <v>0.21604660000000001</v>
      </c>
      <c r="W4538">
        <v>0.15440129999999999</v>
      </c>
      <c r="X4538">
        <v>0.9640976</v>
      </c>
      <c r="Y4538">
        <v>0.37352629999999998</v>
      </c>
      <c r="Z4538">
        <v>-9.4481040000000006E-3</v>
      </c>
      <c r="AA4538">
        <v>0.92757149999999999</v>
      </c>
      <c r="AB4538">
        <v>30</v>
      </c>
      <c r="AC4538">
        <v>12.6253999999999</v>
      </c>
      <c r="AD4538">
        <v>-1.1074218812479999</v>
      </c>
      <c r="AE4538">
        <v>-6.2859999999999996</v>
      </c>
      <c r="AF4538">
        <v>5.3476725822375704</v>
      </c>
      <c r="AG4538">
        <v>-1.1074218812479999</v>
      </c>
      <c r="AH4538">
        <v>12.957108125412001</v>
      </c>
      <c r="AI4538">
        <v>94.517214597564603</v>
      </c>
      <c r="AJ4538">
        <v>67.573024868640204</v>
      </c>
      <c r="AK4538">
        <v>14.0609614267126</v>
      </c>
      <c r="AL4538">
        <v>81.117925068391003</v>
      </c>
      <c r="AM4538">
        <v>77.369141560667202</v>
      </c>
      <c r="AN4538">
        <v>1.0000000385695</v>
      </c>
    </row>
    <row r="4539" spans="1:40" x14ac:dyDescent="0.25">
      <c r="A4539" t="str">
        <f>"20190312172208893"</f>
        <v>20190312172208893</v>
      </c>
      <c r="B4539" t="str">
        <f>"1552382528885280"</f>
        <v>1552382528885280</v>
      </c>
      <c r="C4539" t="s">
        <v>40</v>
      </c>
      <c r="D4539">
        <v>3.3550529999999998</v>
      </c>
      <c r="E4539">
        <v>0.56486179999999997</v>
      </c>
      <c r="F4539" t="s">
        <v>45</v>
      </c>
      <c r="G4539">
        <v>-200.71549999999999</v>
      </c>
      <c r="H4539" s="1">
        <v>3.0639719999999999E-6</v>
      </c>
      <c r="I4539">
        <v>209.0907</v>
      </c>
      <c r="J4539">
        <v>-213.17670000000001</v>
      </c>
      <c r="K4539">
        <v>1.107308</v>
      </c>
      <c r="L4539">
        <v>215.3843</v>
      </c>
      <c r="M4539">
        <v>0.99711629999999996</v>
      </c>
      <c r="N4539">
        <v>0</v>
      </c>
      <c r="O4539">
        <v>-7.4523290000000006E-2</v>
      </c>
      <c r="P4539">
        <v>0.94630809999999999</v>
      </c>
      <c r="Q4539">
        <v>0.14209150000000001</v>
      </c>
      <c r="R4539">
        <v>-0.29036390000000001</v>
      </c>
      <c r="S4539">
        <v>2.7875369999999999</v>
      </c>
      <c r="T4539">
        <v>-0.24188580000000001</v>
      </c>
      <c r="U4539">
        <v>-1.3802639999999999</v>
      </c>
      <c r="V4539">
        <v>0.2201987</v>
      </c>
      <c r="W4539">
        <v>0.15424589999999999</v>
      </c>
      <c r="X4539">
        <v>0.9631826</v>
      </c>
      <c r="Y4539">
        <v>0.3748129</v>
      </c>
      <c r="Z4539">
        <v>-9.2741430000000003E-3</v>
      </c>
      <c r="AA4539">
        <v>0.92705409999999999</v>
      </c>
      <c r="AB4539">
        <v>30</v>
      </c>
      <c r="AC4539">
        <v>12.4612</v>
      </c>
      <c r="AD4539">
        <v>-1.1073049360280001</v>
      </c>
      <c r="AE4539">
        <v>-6.2935999999999899</v>
      </c>
      <c r="AF4539">
        <v>5.3139189768933299</v>
      </c>
      <c r="AG4539">
        <v>-1.1073049360280001</v>
      </c>
      <c r="AH4539">
        <v>12.8149862401122</v>
      </c>
      <c r="AI4539">
        <v>94.563500371455405</v>
      </c>
      <c r="AJ4539">
        <v>67.477953784519201</v>
      </c>
      <c r="AK4539">
        <v>13.9171739749348</v>
      </c>
      <c r="AL4539">
        <v>81.126936382186102</v>
      </c>
      <c r="AM4539">
        <v>77.122585823675806</v>
      </c>
      <c r="AN4539">
        <v>0.99999999304562903</v>
      </c>
    </row>
    <row r="4540" spans="1:40" x14ac:dyDescent="0.25">
      <c r="A4540" t="str">
        <f>"20190312172208926"</f>
        <v>20190312172208926</v>
      </c>
      <c r="B4540" t="str">
        <f>"1552382528915521"</f>
        <v>1552382528915521</v>
      </c>
      <c r="C4540" t="s">
        <v>40</v>
      </c>
      <c r="D4540">
        <v>3.3306990000000001</v>
      </c>
      <c r="E4540">
        <v>0.56429640000000003</v>
      </c>
      <c r="F4540" t="s">
        <v>45</v>
      </c>
      <c r="G4540">
        <v>-200.60730000000001</v>
      </c>
      <c r="H4540" s="1">
        <v>3.0257460000000001E-6</v>
      </c>
      <c r="I4540">
        <v>209.03530000000001</v>
      </c>
      <c r="J4540">
        <v>-212.73830000000001</v>
      </c>
      <c r="K4540">
        <v>1.107111</v>
      </c>
      <c r="L4540">
        <v>215.34450000000001</v>
      </c>
      <c r="M4540">
        <v>0.99663199999999996</v>
      </c>
      <c r="N4540">
        <v>0</v>
      </c>
      <c r="O4540">
        <v>-8.0741489999999999E-2</v>
      </c>
      <c r="P4540">
        <v>0.94350040000000002</v>
      </c>
      <c r="Q4540">
        <v>0.1419926</v>
      </c>
      <c r="R4540">
        <v>-0.29940800000000001</v>
      </c>
      <c r="S4540">
        <v>2.7765960000000001</v>
      </c>
      <c r="T4540">
        <v>-0.24460460000000001</v>
      </c>
      <c r="U4540">
        <v>-1.402512</v>
      </c>
      <c r="V4540">
        <v>0.22348390000000001</v>
      </c>
      <c r="W4540">
        <v>0.1540193</v>
      </c>
      <c r="X4540">
        <v>0.96246189999999998</v>
      </c>
      <c r="Y4540">
        <v>0.37641229999999998</v>
      </c>
      <c r="Z4540">
        <v>-8.9519549999999993E-3</v>
      </c>
      <c r="AA4540">
        <v>0.92640900000000004</v>
      </c>
      <c r="AB4540">
        <v>30</v>
      </c>
      <c r="AC4540">
        <v>12.130999999999901</v>
      </c>
      <c r="AD4540">
        <v>-1.107107974254</v>
      </c>
      <c r="AE4540">
        <v>-6.3091999999999997</v>
      </c>
      <c r="AF4540">
        <v>5.2744437293398203</v>
      </c>
      <c r="AG4540">
        <v>-1.107107974254</v>
      </c>
      <c r="AH4540">
        <v>12.5187830617011</v>
      </c>
      <c r="AI4540">
        <v>94.659174432257103</v>
      </c>
      <c r="AJ4540">
        <v>67.153218059552401</v>
      </c>
      <c r="AK4540">
        <v>13.6295771785688</v>
      </c>
      <c r="AL4540">
        <v>81.140076277723196</v>
      </c>
      <c r="AM4540">
        <v>76.927561573769196</v>
      </c>
      <c r="AN4540">
        <v>0.99999995364165395</v>
      </c>
    </row>
    <row r="4541" spans="1:40" x14ac:dyDescent="0.25">
      <c r="A4541" t="str">
        <f>"20190312172208947"</f>
        <v>20190312172208947</v>
      </c>
      <c r="B4541" t="str">
        <f>"1552382528935041"</f>
        <v>1552382528935041</v>
      </c>
      <c r="C4541" t="s">
        <v>40</v>
      </c>
      <c r="D4541">
        <v>3.3363960000000001</v>
      </c>
      <c r="E4541">
        <v>0.56408999999999998</v>
      </c>
      <c r="F4541" t="s">
        <v>45</v>
      </c>
      <c r="G4541">
        <v>-200.2902</v>
      </c>
      <c r="H4541" s="1">
        <v>2.9363569999999998E-6</v>
      </c>
      <c r="I4541">
        <v>208.92509999999999</v>
      </c>
      <c r="J4541">
        <v>-212.44990000000001</v>
      </c>
      <c r="K4541">
        <v>1.1069850000000001</v>
      </c>
      <c r="L4541">
        <v>215.31659999999999</v>
      </c>
      <c r="M4541">
        <v>0.99627560000000004</v>
      </c>
      <c r="N4541">
        <v>0</v>
      </c>
      <c r="O4541">
        <v>-8.5026180000000007E-2</v>
      </c>
      <c r="P4541">
        <v>0.9416158</v>
      </c>
      <c r="Q4541">
        <v>0.14199589999999901</v>
      </c>
      <c r="R4541">
        <v>-0.30528240000000001</v>
      </c>
      <c r="S4541">
        <v>2.7642519999999999</v>
      </c>
      <c r="T4541">
        <v>-0.24584780000000001</v>
      </c>
      <c r="U4541">
        <v>-1.425522</v>
      </c>
      <c r="V4541">
        <v>0.22539409999999999</v>
      </c>
      <c r="W4541">
        <v>0.1539401</v>
      </c>
      <c r="X4541">
        <v>0.96202909999999997</v>
      </c>
      <c r="Y4541">
        <v>0.38019269999999999</v>
      </c>
      <c r="Z4541">
        <v>-8.8219230000000006E-3</v>
      </c>
      <c r="AA4541">
        <v>0.92486520000000005</v>
      </c>
      <c r="AB4541">
        <v>29</v>
      </c>
      <c r="AC4541">
        <v>12.159700000000001</v>
      </c>
      <c r="AD4541">
        <v>-1.1069820636429999</v>
      </c>
      <c r="AE4541">
        <v>-6.3914999999999997</v>
      </c>
      <c r="AF4541">
        <v>5.2999349374161202</v>
      </c>
      <c r="AG4541">
        <v>-1.1069820636429999</v>
      </c>
      <c r="AH4541">
        <v>12.577484424309</v>
      </c>
      <c r="AI4541">
        <v>94.636899489837006</v>
      </c>
      <c r="AJ4541">
        <v>67.1502817564363</v>
      </c>
      <c r="AK4541">
        <v>13.6933499945706</v>
      </c>
      <c r="AL4541">
        <v>81.144669484916903</v>
      </c>
      <c r="AM4541">
        <v>76.813988862292106</v>
      </c>
      <c r="AN4541">
        <v>1.00000002197481</v>
      </c>
    </row>
    <row r="4542" spans="1:40" x14ac:dyDescent="0.25">
      <c r="A4542" t="str">
        <f>"20190312172208973"</f>
        <v>20190312172208973</v>
      </c>
      <c r="B4542" t="str">
        <f>"1552382528965297"</f>
        <v>1552382528965297</v>
      </c>
      <c r="C4542" t="s">
        <v>40</v>
      </c>
      <c r="D4542">
        <v>3.345237</v>
      </c>
      <c r="E4542">
        <v>0.56130599999999997</v>
      </c>
      <c r="F4542" t="s">
        <v>45</v>
      </c>
      <c r="G4542">
        <v>-200.05459999999999</v>
      </c>
      <c r="H4542" s="1">
        <v>2.877079E-6</v>
      </c>
      <c r="I4542">
        <v>208.83320000000001</v>
      </c>
      <c r="J4542">
        <v>-212.12799999999999</v>
      </c>
      <c r="K4542">
        <v>1.1068559999999901</v>
      </c>
      <c r="L4542">
        <v>215.28380000000001</v>
      </c>
      <c r="M4542">
        <v>0.99584110000000003</v>
      </c>
      <c r="N4542">
        <v>0</v>
      </c>
      <c r="O4542">
        <v>-8.9970770000000005E-2</v>
      </c>
      <c r="P4542">
        <v>0.93952060000000004</v>
      </c>
      <c r="Q4542">
        <v>0.142351799999999</v>
      </c>
      <c r="R4542">
        <v>-0.3115079</v>
      </c>
      <c r="S4542">
        <v>2.755798</v>
      </c>
      <c r="T4542">
        <v>-0.24611069999999999</v>
      </c>
      <c r="U4542">
        <v>-1.441422</v>
      </c>
      <c r="V4542">
        <v>0.2270442</v>
      </c>
      <c r="W4542">
        <v>0.1542134</v>
      </c>
      <c r="X4542">
        <v>0.96159720000000004</v>
      </c>
      <c r="Y4542">
        <v>0.38096720000000001</v>
      </c>
      <c r="Z4542">
        <v>-8.468494E-3</v>
      </c>
      <c r="AA4542">
        <v>0.92454979999999998</v>
      </c>
      <c r="AB4542">
        <v>29</v>
      </c>
      <c r="AC4542">
        <v>12.0733999999999</v>
      </c>
      <c r="AD4542">
        <v>-1.1068531229209999</v>
      </c>
      <c r="AE4542">
        <v>-6.4505999999999997</v>
      </c>
      <c r="AF4542">
        <v>5.3033936787937197</v>
      </c>
      <c r="AG4542">
        <v>-1.1068531229209999</v>
      </c>
      <c r="AH4542">
        <v>12.5229716334859</v>
      </c>
      <c r="AI4542">
        <v>94.652949382701806</v>
      </c>
      <c r="AJ4542">
        <v>67.047671352127296</v>
      </c>
      <c r="AK4542">
        <v>13.6446299649745</v>
      </c>
      <c r="AL4542">
        <v>81.128821181125005</v>
      </c>
      <c r="AM4542">
        <v>76.715109999408995</v>
      </c>
      <c r="AN4542">
        <v>1.00000000827052</v>
      </c>
    </row>
    <row r="4543" spans="1:40" x14ac:dyDescent="0.25">
      <c r="A4543" t="str">
        <f>"20190312172208994"</f>
        <v>20190312172208994</v>
      </c>
      <c r="B4543" t="str">
        <f>"1552382528984817"</f>
        <v>1552382528984817</v>
      </c>
      <c r="C4543" t="s">
        <v>40</v>
      </c>
      <c r="D4543">
        <v>3.3134440000000001</v>
      </c>
      <c r="E4543">
        <v>0.56128250000000002</v>
      </c>
      <c r="F4543" t="s">
        <v>45</v>
      </c>
      <c r="G4543">
        <v>-200.11170000000001</v>
      </c>
      <c r="H4543" s="1">
        <v>2.8520349999999999E-6</v>
      </c>
      <c r="I4543">
        <v>209.0043</v>
      </c>
      <c r="J4543">
        <v>-211.8476</v>
      </c>
      <c r="K4543">
        <v>1.1067579999999999</v>
      </c>
      <c r="L4543">
        <v>215.25370000000001</v>
      </c>
      <c r="M4543">
        <v>0.99542799999999998</v>
      </c>
      <c r="N4543">
        <v>0</v>
      </c>
      <c r="O4543">
        <v>-9.4430929999999996E-2</v>
      </c>
      <c r="P4543">
        <v>0.93735409999999997</v>
      </c>
      <c r="Q4543">
        <v>0.1427273</v>
      </c>
      <c r="R4543">
        <v>-0.31779980000000002</v>
      </c>
      <c r="S4543">
        <v>2.7543329999999999</v>
      </c>
      <c r="T4543">
        <v>-0.25370870000000001</v>
      </c>
      <c r="U4543">
        <v>-1.439346</v>
      </c>
      <c r="V4543">
        <v>0.2292351</v>
      </c>
      <c r="W4543">
        <v>0.15451019999999999</v>
      </c>
      <c r="X4543">
        <v>0.96102960000000004</v>
      </c>
      <c r="Y4543">
        <v>0.3764498</v>
      </c>
      <c r="Z4543">
        <v>-8.1594389999999992E-3</v>
      </c>
      <c r="AA4543">
        <v>0.92640109999999998</v>
      </c>
      <c r="AB4543">
        <v>29</v>
      </c>
      <c r="AC4543">
        <v>11.7358999999999</v>
      </c>
      <c r="AD4543">
        <v>-1.106755147965</v>
      </c>
      <c r="AE4543">
        <v>-6.2493999999999996</v>
      </c>
      <c r="AF4543">
        <v>5.0779384809849404</v>
      </c>
      <c r="AG4543">
        <v>-1.106755147965</v>
      </c>
      <c r="AH4543">
        <v>12.189187997231899</v>
      </c>
      <c r="AI4543">
        <v>94.7910935825943</v>
      </c>
      <c r="AJ4543">
        <v>67.383699171717595</v>
      </c>
      <c r="AK4543">
        <v>13.2509120518581</v>
      </c>
      <c r="AL4543">
        <v>81.111609539490303</v>
      </c>
      <c r="AM4543">
        <v>76.583890885692</v>
      </c>
      <c r="AN4543">
        <v>1.0000000125260999</v>
      </c>
    </row>
    <row r="4544" spans="1:40" x14ac:dyDescent="0.25">
      <c r="A4544" t="str">
        <f>"20190312172209015"</f>
        <v>20190312172209015</v>
      </c>
      <c r="B4544" t="str">
        <f>"1552382529005313"</f>
        <v>1552382529005313</v>
      </c>
      <c r="C4544" t="s">
        <v>40</v>
      </c>
      <c r="D4544">
        <v>3.325539</v>
      </c>
      <c r="E4544">
        <v>0.56117839999999997</v>
      </c>
      <c r="F4544" t="s">
        <v>45</v>
      </c>
      <c r="G4544">
        <v>-199.77119999999999</v>
      </c>
      <c r="H4544" s="1">
        <v>2.8744430000000001E-6</v>
      </c>
      <c r="I4544">
        <v>208.83850000000001</v>
      </c>
      <c r="J4544">
        <v>-211.57390000000001</v>
      </c>
      <c r="K4544">
        <v>1.106662</v>
      </c>
      <c r="L4544">
        <v>215.22300000000001</v>
      </c>
      <c r="M4544">
        <v>0.99499159999999998</v>
      </c>
      <c r="N4544">
        <v>0</v>
      </c>
      <c r="O4544">
        <v>-9.8921780000000001E-2</v>
      </c>
      <c r="P4544">
        <v>0.93523869999999998</v>
      </c>
      <c r="Q4544">
        <v>0.14283680000000001</v>
      </c>
      <c r="R4544">
        <v>-0.32392330000000003</v>
      </c>
      <c r="S4544">
        <v>2.7445369999999998</v>
      </c>
      <c r="T4544">
        <v>-0.25152609999999997</v>
      </c>
      <c r="U4544">
        <v>-1.4579470000000001</v>
      </c>
      <c r="V4544">
        <v>0.2312283</v>
      </c>
      <c r="W4544">
        <v>0.1545445</v>
      </c>
      <c r="X4544">
        <v>0.96054640000000002</v>
      </c>
      <c r="Y4544">
        <v>0.37855850000000002</v>
      </c>
      <c r="Z4544">
        <v>-7.8146680000000003E-3</v>
      </c>
      <c r="AA4544">
        <v>0.92554440000000004</v>
      </c>
      <c r="AB4544">
        <v>29</v>
      </c>
      <c r="AC4544">
        <v>11.8027</v>
      </c>
      <c r="AD4544">
        <v>-1.106659125557</v>
      </c>
      <c r="AE4544">
        <v>-6.3844999999999699</v>
      </c>
      <c r="AF4544">
        <v>5.1504840236340996</v>
      </c>
      <c r="AG4544">
        <v>-1.106659125557</v>
      </c>
      <c r="AH4544">
        <v>12.2928213669323</v>
      </c>
      <c r="AI4544">
        <v>94.746460781893404</v>
      </c>
      <c r="AJ4544">
        <v>67.267141191353602</v>
      </c>
      <c r="AK4544">
        <v>13.374065846151501</v>
      </c>
      <c r="AL4544">
        <v>81.109619911984495</v>
      </c>
      <c r="AM4544">
        <v>76.464952812569095</v>
      </c>
      <c r="AN4544">
        <v>0.99999995787704898</v>
      </c>
    </row>
    <row r="4545" spans="1:40" x14ac:dyDescent="0.25">
      <c r="A4545" t="str">
        <f>"20190312172209037"</f>
        <v>20190312172209037</v>
      </c>
      <c r="B4545" t="str">
        <f>"1552382529024833"</f>
        <v>1552382529024833</v>
      </c>
      <c r="C4545" t="s">
        <v>40</v>
      </c>
      <c r="D4545">
        <v>3.3276309999999998</v>
      </c>
      <c r="E4545">
        <v>0.5610811</v>
      </c>
      <c r="F4545" t="s">
        <v>45</v>
      </c>
      <c r="G4545">
        <v>-199.49690000000001</v>
      </c>
      <c r="H4545" s="1">
        <v>2.958098E-6</v>
      </c>
      <c r="I4545">
        <v>208.7063</v>
      </c>
      <c r="J4545">
        <v>-211.2801</v>
      </c>
      <c r="K4545">
        <v>1.1065590000000001</v>
      </c>
      <c r="L4545">
        <v>215.1885</v>
      </c>
      <c r="M4545">
        <v>0.99448550000000002</v>
      </c>
      <c r="N4545">
        <v>0</v>
      </c>
      <c r="O4545">
        <v>-0.1038858</v>
      </c>
      <c r="P4545">
        <v>0.93286349999999996</v>
      </c>
      <c r="Q4545">
        <v>0.1430942</v>
      </c>
      <c r="R4545">
        <v>-0.33059040000000001</v>
      </c>
      <c r="S4545">
        <v>2.7348940000000002</v>
      </c>
      <c r="T4545">
        <v>-0.25060840000000001</v>
      </c>
      <c r="U4545">
        <v>-1.4757389999999999</v>
      </c>
      <c r="V4545">
        <v>0.23334189999999999</v>
      </c>
      <c r="W4545">
        <v>0.1547212</v>
      </c>
      <c r="X4545">
        <v>0.96000669999999999</v>
      </c>
      <c r="Y4545">
        <v>0.3799844</v>
      </c>
      <c r="Z4545">
        <v>-7.4428119999999896E-3</v>
      </c>
      <c r="AA4545">
        <v>0.92496290000000003</v>
      </c>
      <c r="AB4545">
        <v>29</v>
      </c>
      <c r="AC4545">
        <v>11.7831999999999</v>
      </c>
      <c r="AD4545">
        <v>-1.106556041902</v>
      </c>
      <c r="AE4545">
        <v>-6.4821999999999997</v>
      </c>
      <c r="AF4545">
        <v>5.1877637021007299</v>
      </c>
      <c r="AG4545">
        <v>-1.106556041902</v>
      </c>
      <c r="AH4545">
        <v>12.3095711187049</v>
      </c>
      <c r="AI4545">
        <v>94.735451501575199</v>
      </c>
      <c r="AJ4545">
        <v>67.147424757689706</v>
      </c>
      <c r="AK4545">
        <v>13.403838988482301</v>
      </c>
      <c r="AL4545">
        <v>81.099372672239596</v>
      </c>
      <c r="AM4545">
        <v>76.338455301890605</v>
      </c>
      <c r="AN4545">
        <v>0.99999997803496898</v>
      </c>
    </row>
    <row r="4546" spans="1:40" x14ac:dyDescent="0.25">
      <c r="A4546" t="str">
        <f>"20190312172209059"</f>
        <v>20190312172209059</v>
      </c>
      <c r="B4546" t="str">
        <f>"1552382529055089"</f>
        <v>1552382529055089</v>
      </c>
      <c r="C4546" t="s">
        <v>40</v>
      </c>
      <c r="D4546">
        <v>3.2965819999999999</v>
      </c>
      <c r="E4546">
        <v>0.56141229999999998</v>
      </c>
      <c r="F4546" t="s">
        <v>45</v>
      </c>
      <c r="G4546">
        <v>-199.19749999999999</v>
      </c>
      <c r="H4546" s="1">
        <v>3.0510979999999998E-6</v>
      </c>
      <c r="I4546">
        <v>208.5557</v>
      </c>
      <c r="J4546">
        <v>-210.98339999999999</v>
      </c>
      <c r="K4546">
        <v>1.1064560000000001</v>
      </c>
      <c r="L4546">
        <v>215.15199999999999</v>
      </c>
      <c r="M4546">
        <v>0.99393399999999998</v>
      </c>
      <c r="N4546">
        <v>0</v>
      </c>
      <c r="O4546">
        <v>-0.1090346</v>
      </c>
      <c r="P4546">
        <v>0.93023290000000003</v>
      </c>
      <c r="Q4546">
        <v>0.1436994</v>
      </c>
      <c r="R4546">
        <v>-0.3376652</v>
      </c>
      <c r="S4546">
        <v>2.7242130000000002</v>
      </c>
      <c r="T4546">
        <v>-0.2494915</v>
      </c>
      <c r="U4546">
        <v>-1.4954829999999999</v>
      </c>
      <c r="V4546">
        <v>0.23572180000000001</v>
      </c>
      <c r="W4546">
        <v>0.155241299999999</v>
      </c>
      <c r="X4546">
        <v>0.95934109999999995</v>
      </c>
      <c r="Y4546">
        <v>0.38189309999999999</v>
      </c>
      <c r="Z4546">
        <v>-7.0735420000000004E-3</v>
      </c>
      <c r="AA4546">
        <v>0.92417939999999998</v>
      </c>
      <c r="AB4546">
        <v>29</v>
      </c>
      <c r="AC4546">
        <v>11.7858999999999</v>
      </c>
      <c r="AD4546">
        <v>-1.1064529489020001</v>
      </c>
      <c r="AE4546">
        <v>-6.59630000000001</v>
      </c>
      <c r="AF4546">
        <v>5.23661700369715</v>
      </c>
      <c r="AG4546">
        <v>-1.1064529489020001</v>
      </c>
      <c r="AH4546">
        <v>12.3520204017686</v>
      </c>
      <c r="AI4546">
        <v>94.714592427568405</v>
      </c>
      <c r="AJ4546">
        <v>67.025570469591202</v>
      </c>
      <c r="AK4546">
        <v>13.461753369351699</v>
      </c>
      <c r="AL4546">
        <v>81.069208759523406</v>
      </c>
      <c r="AM4546">
        <v>76.195210975249793</v>
      </c>
      <c r="AN4546">
        <v>0.99999998718506899</v>
      </c>
    </row>
    <row r="4547" spans="1:40" x14ac:dyDescent="0.25">
      <c r="A4547" t="str">
        <f>"20190312172209082"</f>
        <v>20190312172209082</v>
      </c>
      <c r="B4547" t="str">
        <f>"1552382529075177"</f>
        <v>1552382529075177</v>
      </c>
      <c r="C4547" t="s">
        <v>40</v>
      </c>
      <c r="D4547">
        <v>3.2942979999999999</v>
      </c>
      <c r="E4547">
        <v>0.56154959999999998</v>
      </c>
      <c r="F4547" t="s">
        <v>45</v>
      </c>
      <c r="G4547">
        <v>-198.89070000000001</v>
      </c>
      <c r="H4547" s="1">
        <v>3.152964E-6</v>
      </c>
      <c r="I4547">
        <v>208.37649999999999</v>
      </c>
      <c r="J4547">
        <v>-210.68639999999999</v>
      </c>
      <c r="K4547">
        <v>1.1063510000000001</v>
      </c>
      <c r="L4547">
        <v>215.11369999999999</v>
      </c>
      <c r="M4547">
        <v>0.99333740000000004</v>
      </c>
      <c r="N4547">
        <v>0</v>
      </c>
      <c r="O4547">
        <v>-0.1143414</v>
      </c>
      <c r="P4547">
        <v>0.92729870000000003</v>
      </c>
      <c r="Q4547">
        <v>0.1449501</v>
      </c>
      <c r="R4547">
        <v>-0.3451188</v>
      </c>
      <c r="S4547">
        <v>2.7118069999999999</v>
      </c>
      <c r="T4547">
        <v>-0.24812339999999999</v>
      </c>
      <c r="U4547">
        <v>-1.5194240000000001</v>
      </c>
      <c r="V4547">
        <v>0.2383748</v>
      </c>
      <c r="W4547">
        <v>0.15640229999999999</v>
      </c>
      <c r="X4547">
        <v>0.95849660000000003</v>
      </c>
      <c r="Y4547">
        <v>0.3849861</v>
      </c>
      <c r="Z4547">
        <v>-6.7385300000000004E-3</v>
      </c>
      <c r="AA4547">
        <v>0.92289779999999999</v>
      </c>
      <c r="AB4547">
        <v>29</v>
      </c>
      <c r="AC4547">
        <v>11.795699999999901</v>
      </c>
      <c r="AD4547">
        <v>-1.106347847036</v>
      </c>
      <c r="AE4547">
        <v>-6.7371999999999996</v>
      </c>
      <c r="AF4547">
        <v>5.3089137852353998</v>
      </c>
      <c r="AG4547">
        <v>-1.106347847036</v>
      </c>
      <c r="AH4547">
        <v>12.4064486878345</v>
      </c>
      <c r="AI4547">
        <v>94.686878992888296</v>
      </c>
      <c r="AJ4547">
        <v>66.833159118868394</v>
      </c>
      <c r="AK4547">
        <v>13.5398870077107</v>
      </c>
      <c r="AL4547">
        <v>81.001865693108897</v>
      </c>
      <c r="AM4547">
        <v>76.034067040093007</v>
      </c>
      <c r="AN4547">
        <v>0.99999997846594402</v>
      </c>
    </row>
    <row r="4548" spans="1:40" x14ac:dyDescent="0.25">
      <c r="A4548" t="str">
        <f>"20190312172209104"</f>
        <v>20190312172209104</v>
      </c>
      <c r="B4548" t="str">
        <f>"1552382529095670"</f>
        <v>1552382529095670</v>
      </c>
      <c r="C4548" t="s">
        <v>40</v>
      </c>
      <c r="D4548">
        <v>3.2964440000000002</v>
      </c>
      <c r="E4548">
        <v>0.56162630000000002</v>
      </c>
      <c r="F4548" t="s">
        <v>45</v>
      </c>
      <c r="G4548">
        <v>-198.51310000000001</v>
      </c>
      <c r="H4548" s="1">
        <v>3.2770449999999999E-6</v>
      </c>
      <c r="I4548">
        <v>208.1609</v>
      </c>
      <c r="J4548">
        <v>-210.40100000000001</v>
      </c>
      <c r="K4548">
        <v>1.106252</v>
      </c>
      <c r="L4548">
        <v>215.07509999999999</v>
      </c>
      <c r="M4548">
        <v>0.99272190000000005</v>
      </c>
      <c r="N4548">
        <v>0</v>
      </c>
      <c r="O4548">
        <v>-0.11956700000000001</v>
      </c>
      <c r="P4548">
        <v>0.92447349999999995</v>
      </c>
      <c r="Q4548">
        <v>0.1448567</v>
      </c>
      <c r="R4548">
        <v>-0.352655</v>
      </c>
      <c r="S4548">
        <v>2.6996920000000002</v>
      </c>
      <c r="T4548">
        <v>-0.24535599999999999</v>
      </c>
      <c r="U4548">
        <v>-1.5419309999999999</v>
      </c>
      <c r="V4548">
        <v>0.24117069999999999</v>
      </c>
      <c r="W4548">
        <v>0.15622429999999901</v>
      </c>
      <c r="X4548">
        <v>0.95782599999999996</v>
      </c>
      <c r="Y4548">
        <v>0.38774069999999999</v>
      </c>
      <c r="Z4548">
        <v>-6.3624229999999999E-3</v>
      </c>
      <c r="AA4548">
        <v>0.92174659999999997</v>
      </c>
      <c r="AB4548">
        <v>29</v>
      </c>
      <c r="AC4548">
        <v>11.887899999999901</v>
      </c>
      <c r="AD4548">
        <v>-1.106248722955</v>
      </c>
      <c r="AE4548">
        <v>-6.9141999999999904</v>
      </c>
      <c r="AF4548">
        <v>5.4080468368247798</v>
      </c>
      <c r="AG4548">
        <v>-1.106248722955</v>
      </c>
      <c r="AH4548">
        <v>12.548200580567199</v>
      </c>
      <c r="AI4548">
        <v>94.628625490106899</v>
      </c>
      <c r="AJ4548">
        <v>66.684834279115506</v>
      </c>
      <c r="AK4548">
        <v>13.708686831220399</v>
      </c>
      <c r="AL4548">
        <v>81.012191394933893</v>
      </c>
      <c r="AM4548">
        <v>75.867288080168606</v>
      </c>
      <c r="AN4548">
        <v>0.99999999236248904</v>
      </c>
    </row>
    <row r="4549" spans="1:40" x14ac:dyDescent="0.25">
      <c r="A4549" t="str">
        <f>"20190312172209126"</f>
        <v>20190312172209126</v>
      </c>
      <c r="B4549" t="str">
        <f>"1552382529115190"</f>
        <v>1552382529115190</v>
      </c>
      <c r="C4549" t="s">
        <v>40</v>
      </c>
      <c r="D4549">
        <v>3.3312460000000002</v>
      </c>
      <c r="E4549">
        <v>0.56160710000000003</v>
      </c>
      <c r="F4549" t="s">
        <v>45</v>
      </c>
      <c r="G4549">
        <v>-198.315</v>
      </c>
      <c r="H4549" s="1">
        <v>3.3444499999999998E-6</v>
      </c>
      <c r="I4549">
        <v>208.03899999999999</v>
      </c>
      <c r="J4549">
        <v>-210.11109999999999</v>
      </c>
      <c r="K4549">
        <v>1.1061700000000001</v>
      </c>
      <c r="L4549">
        <v>215.0343</v>
      </c>
      <c r="M4549">
        <v>0.99205520000000003</v>
      </c>
      <c r="N4549">
        <v>0</v>
      </c>
      <c r="O4549">
        <v>-0.1249762</v>
      </c>
      <c r="P4549">
        <v>0.92159170000000001</v>
      </c>
      <c r="Q4549">
        <v>0.1444578</v>
      </c>
      <c r="R4549">
        <v>-0.3602785</v>
      </c>
      <c r="S4549">
        <v>2.6869049999999999</v>
      </c>
      <c r="T4549">
        <v>-0.2459382</v>
      </c>
      <c r="U4549">
        <v>-1.564255</v>
      </c>
      <c r="V4549">
        <v>0.2438853</v>
      </c>
      <c r="W4549">
        <v>0.15574669999999999</v>
      </c>
      <c r="X4549">
        <v>0.95721619999999996</v>
      </c>
      <c r="Y4549">
        <v>0.39034669999999999</v>
      </c>
      <c r="Z4549">
        <v>-6.0547680000000003E-3</v>
      </c>
      <c r="AA4549">
        <v>0.92064800000000002</v>
      </c>
      <c r="AB4549">
        <v>29</v>
      </c>
      <c r="AC4549">
        <v>11.7960999999999</v>
      </c>
      <c r="AD4549">
        <v>-1.10616665555</v>
      </c>
      <c r="AE4549">
        <v>-6.9952999999999799</v>
      </c>
      <c r="AF4549">
        <v>5.4307282878322702</v>
      </c>
      <c r="AG4549">
        <v>-1.10616665555</v>
      </c>
      <c r="AH4549">
        <v>12.4966337037619</v>
      </c>
      <c r="AI4549">
        <v>94.641241960148307</v>
      </c>
      <c r="AJ4549">
        <v>66.5114248183596</v>
      </c>
      <c r="AK4549">
        <v>13.670488957316399</v>
      </c>
      <c r="AL4549">
        <v>81.039894711866594</v>
      </c>
      <c r="AM4549">
        <v>75.705960681949904</v>
      </c>
      <c r="AN4549">
        <v>0.99999996382970902</v>
      </c>
    </row>
    <row r="4550" spans="1:40" x14ac:dyDescent="0.25">
      <c r="A4550" t="str">
        <f>"20190312172209149"</f>
        <v>20190312172209149</v>
      </c>
      <c r="B4550" t="str">
        <f>"1552382529145446"</f>
        <v>1552382529145446</v>
      </c>
      <c r="C4550" t="s">
        <v>40</v>
      </c>
      <c r="D4550">
        <v>3.2907799999999998</v>
      </c>
      <c r="E4550">
        <v>0.56165549999999997</v>
      </c>
      <c r="F4550" t="s">
        <v>45</v>
      </c>
      <c r="G4550">
        <v>-198.16480000000001</v>
      </c>
      <c r="H4550" s="1">
        <v>3.396484E-6</v>
      </c>
      <c r="I4550">
        <v>207.94309999999999</v>
      </c>
      <c r="J4550">
        <v>-209.8245</v>
      </c>
      <c r="K4550">
        <v>1.1060950000000001</v>
      </c>
      <c r="L4550">
        <v>214.9923</v>
      </c>
      <c r="M4550">
        <v>0.99135300000000004</v>
      </c>
      <c r="N4550">
        <v>0</v>
      </c>
      <c r="O4550">
        <v>-0.1304285</v>
      </c>
      <c r="P4550">
        <v>0.91870090000000004</v>
      </c>
      <c r="Q4550">
        <v>0.14355279999999901</v>
      </c>
      <c r="R4550">
        <v>-0.36794199999999999</v>
      </c>
      <c r="S4550">
        <v>2.6736149999999999</v>
      </c>
      <c r="T4550">
        <v>-0.2475619</v>
      </c>
      <c r="U4550">
        <v>-1.587021</v>
      </c>
      <c r="V4550">
        <v>0.24659970000000001</v>
      </c>
      <c r="W4550">
        <v>0.15476879999999901</v>
      </c>
      <c r="X4550">
        <v>0.95667930000000001</v>
      </c>
      <c r="Y4550">
        <v>0.39308670000000001</v>
      </c>
      <c r="Z4550">
        <v>-5.7718259999999999E-3</v>
      </c>
      <c r="AA4550">
        <v>0.9194833</v>
      </c>
      <c r="AB4550">
        <v>29</v>
      </c>
      <c r="AC4550">
        <v>11.6596999999999</v>
      </c>
      <c r="AD4550">
        <v>-1.106091603516</v>
      </c>
      <c r="AE4550">
        <v>-7.0492000000000097</v>
      </c>
      <c r="AF4550">
        <v>5.4322554219732098</v>
      </c>
      <c r="AG4550">
        <v>-1.106091603516</v>
      </c>
      <c r="AH4550">
        <v>12.3978839518897</v>
      </c>
      <c r="AI4550">
        <v>94.671615009040195</v>
      </c>
      <c r="AJ4550">
        <v>66.338895448126905</v>
      </c>
      <c r="AK4550">
        <v>13.580882301582999</v>
      </c>
      <c r="AL4550">
        <v>81.096612681604597</v>
      </c>
      <c r="AM4550">
        <v>75.545725785502896</v>
      </c>
      <c r="AN4550">
        <v>1.0000000382709999</v>
      </c>
    </row>
    <row r="4551" spans="1:40" x14ac:dyDescent="0.25">
      <c r="A4551" t="str">
        <f>"20190312172209171"</f>
        <v>20190312172209171</v>
      </c>
      <c r="B4551" t="str">
        <f>"1552382529164966"</f>
        <v>1552382529164966</v>
      </c>
      <c r="C4551" t="s">
        <v>40</v>
      </c>
      <c r="D4551">
        <v>3.3106369999999998</v>
      </c>
      <c r="E4551">
        <v>0.56169409999999997</v>
      </c>
      <c r="F4551" t="s">
        <v>45</v>
      </c>
      <c r="G4551">
        <v>-198.11760000000001</v>
      </c>
      <c r="H4551" s="1">
        <v>3.414505E-6</v>
      </c>
      <c r="I4551">
        <v>207.9067</v>
      </c>
      <c r="J4551">
        <v>-209.5352</v>
      </c>
      <c r="K4551">
        <v>1.106026</v>
      </c>
      <c r="L4551">
        <v>214.94820000000001</v>
      </c>
      <c r="M4551">
        <v>0.99059870000000005</v>
      </c>
      <c r="N4551">
        <v>0</v>
      </c>
      <c r="O4551">
        <v>-0.13603870000000001</v>
      </c>
      <c r="P4551">
        <v>0.91554639999999998</v>
      </c>
      <c r="Q4551">
        <v>0.14404429999999999</v>
      </c>
      <c r="R4551">
        <v>-0.37553439999999999</v>
      </c>
      <c r="S4551">
        <v>2.659958</v>
      </c>
      <c r="T4551">
        <v>-0.2513185</v>
      </c>
      <c r="U4551">
        <v>-1.6099399999999999</v>
      </c>
      <c r="V4551">
        <v>0.24915100000000001</v>
      </c>
      <c r="W4551">
        <v>0.15518479999999901</v>
      </c>
      <c r="X4551">
        <v>0.95595059999999998</v>
      </c>
      <c r="Y4551">
        <v>0.39575359999999998</v>
      </c>
      <c r="Z4551">
        <v>-5.5146319999999898E-3</v>
      </c>
      <c r="AA4551">
        <v>0.91834020000000005</v>
      </c>
      <c r="AB4551">
        <v>29</v>
      </c>
      <c r="AC4551">
        <v>11.417599999999901</v>
      </c>
      <c r="AD4551">
        <v>-1.1060225854950001</v>
      </c>
      <c r="AE4551">
        <v>-7.0415000000000099</v>
      </c>
      <c r="AF4551">
        <v>5.3860135663334496</v>
      </c>
      <c r="AG4551">
        <v>-1.1060225854950001</v>
      </c>
      <c r="AH4551">
        <v>12.186604199660801</v>
      </c>
      <c r="AI4551">
        <v>94.745318624830404</v>
      </c>
      <c r="AJ4551">
        <v>66.1564021976547</v>
      </c>
      <c r="AK4551">
        <v>13.3695830157691</v>
      </c>
      <c r="AL4551">
        <v>81.072486216121106</v>
      </c>
      <c r="AM4551">
        <v>75.391888733340195</v>
      </c>
      <c r="AN4551">
        <v>1.00000004629619</v>
      </c>
    </row>
    <row r="4552" spans="1:40" x14ac:dyDescent="0.25">
      <c r="A4552" t="str">
        <f>"20190312172209194"</f>
        <v>20190312172209194</v>
      </c>
      <c r="B4552" t="str">
        <f>"1552382529185462"</f>
        <v>1552382529185462</v>
      </c>
      <c r="C4552" t="s">
        <v>40</v>
      </c>
      <c r="D4552">
        <v>3.3063259999999999</v>
      </c>
      <c r="E4552">
        <v>0.56176429999999999</v>
      </c>
      <c r="F4552" t="s">
        <v>45</v>
      </c>
      <c r="G4552">
        <v>-197.899</v>
      </c>
      <c r="H4552" s="1">
        <v>3.488931E-6</v>
      </c>
      <c r="I4552">
        <v>207.77199999999999</v>
      </c>
      <c r="J4552">
        <v>-209.24950000000001</v>
      </c>
      <c r="K4552">
        <v>1.1059509999999999</v>
      </c>
      <c r="L4552">
        <v>214.90280000000001</v>
      </c>
      <c r="M4552">
        <v>0.98980520000000005</v>
      </c>
      <c r="N4552">
        <v>0</v>
      </c>
      <c r="O4552">
        <v>-0.14169670000000001</v>
      </c>
      <c r="P4552">
        <v>0.91214150000000005</v>
      </c>
      <c r="Q4552">
        <v>0.145043899999999</v>
      </c>
      <c r="R4552">
        <v>-0.38335409999999998</v>
      </c>
      <c r="S4552">
        <v>2.6467589999999999</v>
      </c>
      <c r="T4552">
        <v>-0.2515754</v>
      </c>
      <c r="U4552">
        <v>-1.6322779999999999</v>
      </c>
      <c r="V4552">
        <v>0.25193559999999998</v>
      </c>
      <c r="W4552">
        <v>0.15610089999999999</v>
      </c>
      <c r="X4552">
        <v>0.95507120000000001</v>
      </c>
      <c r="Y4552">
        <v>0.39817580000000002</v>
      </c>
      <c r="Z4552">
        <v>-5.1592599999999997E-3</v>
      </c>
      <c r="AA4552">
        <v>0.91729459999999996</v>
      </c>
      <c r="AB4552">
        <v>29</v>
      </c>
      <c r="AC4552">
        <v>11.3505</v>
      </c>
      <c r="AD4552">
        <v>-1.105947511069</v>
      </c>
      <c r="AE4552">
        <v>-7.13079999999999</v>
      </c>
      <c r="AF4552">
        <v>5.4134902702457897</v>
      </c>
      <c r="AG4552">
        <v>-1.105947511069</v>
      </c>
      <c r="AH4552">
        <v>12.1636670132826</v>
      </c>
      <c r="AI4552">
        <v>94.748484575869995</v>
      </c>
      <c r="AJ4552">
        <v>66.008347146576298</v>
      </c>
      <c r="AK4552">
        <v>13.359782633460201</v>
      </c>
      <c r="AL4552">
        <v>81.0193497403652</v>
      </c>
      <c r="AM4552">
        <v>75.222718746220906</v>
      </c>
      <c r="AN4552">
        <v>1.0000000172987999</v>
      </c>
    </row>
    <row r="4553" spans="1:40" x14ac:dyDescent="0.25">
      <c r="A4553" t="str">
        <f>"20190312172209215"</f>
        <v>20190312172209215</v>
      </c>
      <c r="B4553" t="str">
        <f>"1552382529204982"</f>
        <v>1552382529204982</v>
      </c>
      <c r="C4553" t="s">
        <v>40</v>
      </c>
      <c r="D4553">
        <v>3.3171759999999999</v>
      </c>
      <c r="E4553">
        <v>0.56171719999999903</v>
      </c>
      <c r="F4553" t="s">
        <v>45</v>
      </c>
      <c r="G4553">
        <v>-197.60380000000001</v>
      </c>
      <c r="H4553" s="1">
        <v>3.5926830000000001E-6</v>
      </c>
      <c r="I4553">
        <v>207.578</v>
      </c>
      <c r="J4553">
        <v>-208.96700000000001</v>
      </c>
      <c r="K4553">
        <v>1.105866</v>
      </c>
      <c r="L4553">
        <v>214.8562</v>
      </c>
      <c r="M4553">
        <v>0.98896910000000005</v>
      </c>
      <c r="N4553">
        <v>0</v>
      </c>
      <c r="O4553">
        <v>-0.14741860000000001</v>
      </c>
      <c r="P4553">
        <v>0.90853830000000002</v>
      </c>
      <c r="Q4553">
        <v>0.1460649</v>
      </c>
      <c r="R4553">
        <v>-0.39143820000000001</v>
      </c>
      <c r="S4553">
        <v>2.6327669999999999</v>
      </c>
      <c r="T4553">
        <v>-0.25002239999999998</v>
      </c>
      <c r="U4553">
        <v>-1.6559140000000001</v>
      </c>
      <c r="V4553">
        <v>0.25496750000000001</v>
      </c>
      <c r="W4553">
        <v>0.15702679999999899</v>
      </c>
      <c r="X4553">
        <v>0.95411429999999997</v>
      </c>
      <c r="Y4553">
        <v>0.40098780000000001</v>
      </c>
      <c r="Z4553">
        <v>-4.7802699999999997E-3</v>
      </c>
      <c r="AA4553">
        <v>0.91607090000000002</v>
      </c>
      <c r="AB4553">
        <v>29</v>
      </c>
      <c r="AC4553">
        <v>11.363200000000001</v>
      </c>
      <c r="AD4553">
        <v>-1.105862407317</v>
      </c>
      <c r="AE4553">
        <v>-7.2781999999999902</v>
      </c>
      <c r="AF4553">
        <v>5.4864951344912596</v>
      </c>
      <c r="AG4553">
        <v>-1.105862407317</v>
      </c>
      <c r="AH4553">
        <v>12.229940221368601</v>
      </c>
      <c r="AI4553">
        <v>94.716282380420097</v>
      </c>
      <c r="AJ4553">
        <v>65.838434311834007</v>
      </c>
      <c r="AK4553">
        <v>13.449758300540701</v>
      </c>
      <c r="AL4553">
        <v>80.965636751657996</v>
      </c>
      <c r="AM4553">
        <v>75.038479302539699</v>
      </c>
      <c r="AN4553">
        <v>0.99999996971948901</v>
      </c>
    </row>
    <row r="4554" spans="1:40" x14ac:dyDescent="0.25">
      <c r="A4554" t="str">
        <f>"20190312172209238"</f>
        <v>20190312172209238</v>
      </c>
      <c r="B4554" t="str">
        <f>"1552382529235238"</f>
        <v>1552382529235238</v>
      </c>
      <c r="C4554" t="s">
        <v>40</v>
      </c>
      <c r="D4554">
        <v>3.3164989999999999</v>
      </c>
      <c r="E4554">
        <v>0.56161700000000003</v>
      </c>
      <c r="F4554" t="s">
        <v>45</v>
      </c>
      <c r="G4554">
        <v>-197.3005</v>
      </c>
      <c r="H4554" s="1">
        <v>3.6998449999999999E-6</v>
      </c>
      <c r="I4554">
        <v>207.37649999999999</v>
      </c>
      <c r="J4554">
        <v>-208.6798</v>
      </c>
      <c r="K4554">
        <v>1.1057600000000001</v>
      </c>
      <c r="L4554">
        <v>214.80699999999999</v>
      </c>
      <c r="M4554">
        <v>0.988062</v>
      </c>
      <c r="N4554">
        <v>0</v>
      </c>
      <c r="O4554">
        <v>-0.15337919999999999</v>
      </c>
      <c r="P4554">
        <v>0.90470649999999997</v>
      </c>
      <c r="Q4554">
        <v>0.14712039999999901</v>
      </c>
      <c r="R4554">
        <v>-0.3998275</v>
      </c>
      <c r="S4554">
        <v>2.618576</v>
      </c>
      <c r="T4554">
        <v>-0.2482145</v>
      </c>
      <c r="U4554">
        <v>-1.6788479999999999</v>
      </c>
      <c r="V4554">
        <v>0.25812679999999999</v>
      </c>
      <c r="W4554">
        <v>0.15797559999999999</v>
      </c>
      <c r="X4554">
        <v>0.9531077</v>
      </c>
      <c r="Y4554">
        <v>0.40342749999999999</v>
      </c>
      <c r="Z4554">
        <v>-4.3647209999999898E-3</v>
      </c>
      <c r="AA4554">
        <v>0.91500119999999896</v>
      </c>
      <c r="AB4554">
        <v>29</v>
      </c>
      <c r="AC4554">
        <v>11.379300000000001</v>
      </c>
      <c r="AD4554">
        <v>-1.1057563001549999</v>
      </c>
      <c r="AE4554">
        <v>-7.4305000000000199</v>
      </c>
      <c r="AF4554">
        <v>5.5602217390717303</v>
      </c>
      <c r="AG4554">
        <v>-1.1057563001549999</v>
      </c>
      <c r="AH4554">
        <v>12.3029837321203</v>
      </c>
      <c r="AI4554">
        <v>94.682145724522002</v>
      </c>
      <c r="AJ4554">
        <v>65.679842629991398</v>
      </c>
      <c r="AK4554">
        <v>13.5462973352793</v>
      </c>
      <c r="AL4554">
        <v>80.910587812690693</v>
      </c>
      <c r="AM4554">
        <v>74.846297976622495</v>
      </c>
      <c r="AN4554">
        <v>1.00000001143644</v>
      </c>
    </row>
    <row r="4555" spans="1:40" x14ac:dyDescent="0.25">
      <c r="A4555" t="str">
        <f>"20190312172209261"</f>
        <v>20190312172209261</v>
      </c>
      <c r="B4555" t="str">
        <f>"1552382529254762"</f>
        <v>1552382529254762</v>
      </c>
      <c r="C4555" t="s">
        <v>40</v>
      </c>
      <c r="D4555">
        <v>3.3486280000000002</v>
      </c>
      <c r="E4555">
        <v>0.56158249999999998</v>
      </c>
      <c r="F4555" t="s">
        <v>45</v>
      </c>
      <c r="G4555">
        <v>-197.01900000000001</v>
      </c>
      <c r="H4555" s="1">
        <v>3.8014120000000001E-6</v>
      </c>
      <c r="I4555">
        <v>207.1815</v>
      </c>
      <c r="J4555">
        <v>-208.38630000000001</v>
      </c>
      <c r="K4555">
        <v>1.105631</v>
      </c>
      <c r="L4555">
        <v>214.75450000000001</v>
      </c>
      <c r="M4555">
        <v>0.98706760000000004</v>
      </c>
      <c r="N4555">
        <v>0</v>
      </c>
      <c r="O4555">
        <v>-0.15965279999999901</v>
      </c>
      <c r="P4555">
        <v>0.90082580000000001</v>
      </c>
      <c r="Q4555">
        <v>0.14778079999999999</v>
      </c>
      <c r="R4555">
        <v>-0.40825739999999999</v>
      </c>
      <c r="S4555">
        <v>2.6036679999999999</v>
      </c>
      <c r="T4555">
        <v>-0.246896</v>
      </c>
      <c r="U4555">
        <v>-1.7026209999999999</v>
      </c>
      <c r="V4555">
        <v>0.2610497</v>
      </c>
      <c r="W4555">
        <v>0.15852179999999999</v>
      </c>
      <c r="X4555">
        <v>0.95222050000000003</v>
      </c>
      <c r="Y4555">
        <v>0.40588649999999998</v>
      </c>
      <c r="Z4555">
        <v>-3.9370840000000004E-3</v>
      </c>
      <c r="AA4555">
        <v>0.91391500000000003</v>
      </c>
      <c r="AB4555">
        <v>29</v>
      </c>
      <c r="AC4555">
        <v>11.3673</v>
      </c>
      <c r="AD4555">
        <v>-1.105627198588</v>
      </c>
      <c r="AE4555">
        <v>-7.5730000000000004</v>
      </c>
      <c r="AF4555">
        <v>5.6239826343600097</v>
      </c>
      <c r="AG4555">
        <v>-1.105627198588</v>
      </c>
      <c r="AH4555">
        <v>12.3497228614491</v>
      </c>
      <c r="AI4555">
        <v>94.657934030247603</v>
      </c>
      <c r="AJ4555">
        <v>65.515792163683301</v>
      </c>
      <c r="AK4555">
        <v>13.614964081055801</v>
      </c>
      <c r="AL4555">
        <v>80.878893324309004</v>
      </c>
      <c r="AM4555">
        <v>74.669122648166606</v>
      </c>
      <c r="AN4555">
        <v>0.99999999378279003</v>
      </c>
    </row>
    <row r="4556" spans="1:40" x14ac:dyDescent="0.25">
      <c r="A4556" t="str">
        <f>"20190312172209283"</f>
        <v>20190312172209283</v>
      </c>
      <c r="B4556" t="str">
        <f>"1552382529275257"</f>
        <v>1552382529275257</v>
      </c>
      <c r="C4556" t="s">
        <v>40</v>
      </c>
      <c r="D4556">
        <v>3.3863500000000002</v>
      </c>
      <c r="E4556">
        <v>0.55822050000000001</v>
      </c>
      <c r="F4556" t="s">
        <v>45</v>
      </c>
      <c r="G4556">
        <v>-196.744</v>
      </c>
      <c r="H4556" s="1">
        <v>3.9012689999999996E-6</v>
      </c>
      <c r="I4556">
        <v>206.98859999999999</v>
      </c>
      <c r="J4556">
        <v>-208.10570000000001</v>
      </c>
      <c r="K4556">
        <v>1.1054999999999999</v>
      </c>
      <c r="L4556">
        <v>214.70230000000001</v>
      </c>
      <c r="M4556">
        <v>0.98604460000000005</v>
      </c>
      <c r="N4556">
        <v>0</v>
      </c>
      <c r="O4556">
        <v>-0.165852799999999</v>
      </c>
      <c r="P4556">
        <v>0.89699139999999999</v>
      </c>
      <c r="Q4556">
        <v>0.14907049999999999</v>
      </c>
      <c r="R4556">
        <v>-0.41615449999999998</v>
      </c>
      <c r="S4556">
        <v>2.5881810000000001</v>
      </c>
      <c r="T4556">
        <v>-0.2457896</v>
      </c>
      <c r="U4556">
        <v>-1.7264250000000001</v>
      </c>
      <c r="V4556">
        <v>0.26353700000000002</v>
      </c>
      <c r="W4556">
        <v>0.159696799999999</v>
      </c>
      <c r="X4556">
        <v>0.95133860000000003</v>
      </c>
      <c r="Y4556">
        <v>0.40850130000000001</v>
      </c>
      <c r="Z4556">
        <v>-3.5293490000000002E-3</v>
      </c>
      <c r="AA4556">
        <v>0.91275099999999998</v>
      </c>
      <c r="AB4556">
        <v>29</v>
      </c>
      <c r="AC4556">
        <v>11.3616999999999</v>
      </c>
      <c r="AD4556">
        <v>-1.1054960987310001</v>
      </c>
      <c r="AE4556">
        <v>-7.71370000000001</v>
      </c>
      <c r="AF4556">
        <v>5.6854366746392202</v>
      </c>
      <c r="AG4556">
        <v>-1.1054960987310001</v>
      </c>
      <c r="AH4556">
        <v>12.4034074659415</v>
      </c>
      <c r="AI4556">
        <v>94.632110126552405</v>
      </c>
      <c r="AJ4556">
        <v>65.374367779905796</v>
      </c>
      <c r="AK4556">
        <v>13.6890769802721</v>
      </c>
      <c r="AL4556">
        <v>80.810701915336907</v>
      </c>
      <c r="AM4556">
        <v>74.516361886214</v>
      </c>
      <c r="AN4556">
        <v>0.99999997507459903</v>
      </c>
    </row>
    <row r="4557" spans="1:40" x14ac:dyDescent="0.25">
      <c r="A4557" t="str">
        <f>"20190312172209306"</f>
        <v>20190312172209306</v>
      </c>
      <c r="B4557" t="str">
        <f>"1552382529294775"</f>
        <v>1552382529294775</v>
      </c>
      <c r="C4557" t="s">
        <v>40</v>
      </c>
      <c r="D4557">
        <v>3.4089309999999999</v>
      </c>
      <c r="E4557">
        <v>0.55778169999999905</v>
      </c>
      <c r="F4557" t="s">
        <v>45</v>
      </c>
      <c r="G4557">
        <v>-197.60939999999999</v>
      </c>
      <c r="H4557" s="1">
        <v>3.560636E-6</v>
      </c>
      <c r="I4557">
        <v>207.6953</v>
      </c>
      <c r="J4557">
        <v>-207.8142</v>
      </c>
      <c r="K4557">
        <v>1.1053740000000001</v>
      </c>
      <c r="L4557">
        <v>214.64599999999999</v>
      </c>
      <c r="M4557">
        <v>0.98490800000000001</v>
      </c>
      <c r="N4557">
        <v>0</v>
      </c>
      <c r="O4557">
        <v>-0.17247270000000001</v>
      </c>
      <c r="P4557">
        <v>0.89264140000000003</v>
      </c>
      <c r="Q4557">
        <v>0.15011759999999999</v>
      </c>
      <c r="R4557">
        <v>-0.42503669999999999</v>
      </c>
      <c r="S4557">
        <v>2.5881810000000001</v>
      </c>
      <c r="T4557">
        <v>-0.27259339999999999</v>
      </c>
      <c r="U4557">
        <v>-1.7277979999999999</v>
      </c>
      <c r="V4557">
        <v>0.26668920000000002</v>
      </c>
      <c r="W4557">
        <v>0.16061839999999999</v>
      </c>
      <c r="X4557">
        <v>0.95030440000000005</v>
      </c>
      <c r="Y4557">
        <v>0.4025765</v>
      </c>
      <c r="Z4557">
        <v>-3.0201249999999998E-3</v>
      </c>
      <c r="AA4557">
        <v>0.91538140000000001</v>
      </c>
      <c r="AB4557">
        <v>29</v>
      </c>
      <c r="AC4557">
        <v>10.204800000000001</v>
      </c>
      <c r="AD4557">
        <v>-1.105370439364</v>
      </c>
      <c r="AE4557">
        <v>-6.9506999999999799</v>
      </c>
      <c r="AF4557">
        <v>5.0458422284403701</v>
      </c>
      <c r="AG4557">
        <v>-1.105370439364</v>
      </c>
      <c r="AH4557">
        <v>11.1613184462952</v>
      </c>
      <c r="AI4557">
        <v>95.156542548390107</v>
      </c>
      <c r="AJ4557">
        <v>65.673083351535595</v>
      </c>
      <c r="AK4557">
        <v>12.298674605913501</v>
      </c>
      <c r="AL4557">
        <v>80.757207132302497</v>
      </c>
      <c r="AM4557">
        <v>74.3239920040821</v>
      </c>
      <c r="AN4557">
        <v>0.99999992623727696</v>
      </c>
    </row>
    <row r="4558" spans="1:40" x14ac:dyDescent="0.25">
      <c r="A4558" t="str">
        <f>"20190312172209327"</f>
        <v>20190312172209327</v>
      </c>
      <c r="B4558" t="str">
        <f>"1552382529315270"</f>
        <v>1552382529315270</v>
      </c>
      <c r="C4558" t="s">
        <v>40</v>
      </c>
      <c r="D4558">
        <v>3.3780429999999999</v>
      </c>
      <c r="E4558">
        <v>0.55756850000000002</v>
      </c>
      <c r="F4558" t="s">
        <v>45</v>
      </c>
      <c r="G4558">
        <v>-197.31649999999999</v>
      </c>
      <c r="H4558" s="1">
        <v>3.663333E-6</v>
      </c>
      <c r="I4558">
        <v>207.50370000000001</v>
      </c>
      <c r="J4558">
        <v>-207.5343</v>
      </c>
      <c r="K4558">
        <v>1.105248</v>
      </c>
      <c r="L4558">
        <v>214.58969999999999</v>
      </c>
      <c r="M4558">
        <v>0.98373889999999997</v>
      </c>
      <c r="N4558">
        <v>0</v>
      </c>
      <c r="O4558">
        <v>-0.1790196</v>
      </c>
      <c r="P4558">
        <v>0.88835959999999903</v>
      </c>
      <c r="Q4558">
        <v>0.1507696</v>
      </c>
      <c r="R4558">
        <v>-0.43368889999999999</v>
      </c>
      <c r="S4558">
        <v>2.5728759999999999</v>
      </c>
      <c r="T4558">
        <v>-0.27091480000000001</v>
      </c>
      <c r="U4558">
        <v>-1.7505040000000001</v>
      </c>
      <c r="V4558">
        <v>0.26968490000000001</v>
      </c>
      <c r="W4558">
        <v>0.1611493</v>
      </c>
      <c r="X4558">
        <v>0.94936869999999995</v>
      </c>
      <c r="Y4558">
        <v>0.40456890000000001</v>
      </c>
      <c r="Z4558">
        <v>-2.5084349999999998E-3</v>
      </c>
      <c r="AA4558">
        <v>0.91450410000000004</v>
      </c>
      <c r="AB4558">
        <v>29</v>
      </c>
      <c r="AC4558">
        <v>10.2178</v>
      </c>
      <c r="AD4558">
        <v>-1.1052443366669999</v>
      </c>
      <c r="AE4558">
        <v>-7.0859999999999799</v>
      </c>
      <c r="AF4558">
        <v>5.10181878204863</v>
      </c>
      <c r="AG4558">
        <v>-1.1052443366669999</v>
      </c>
      <c r="AH4558">
        <v>11.2326221112592</v>
      </c>
      <c r="AI4558">
        <v>95.119354837083094</v>
      </c>
      <c r="AJ4558">
        <v>65.572612662653398</v>
      </c>
      <c r="AK4558">
        <v>12.386360216905899</v>
      </c>
      <c r="AL4558">
        <v>80.726387874373302</v>
      </c>
      <c r="AM4558">
        <v>74.141868853722798</v>
      </c>
      <c r="AN4558">
        <v>0.99999998535909396</v>
      </c>
    </row>
    <row r="4559" spans="1:40" x14ac:dyDescent="0.25">
      <c r="A4559" t="str">
        <f>"20190312172209350"</f>
        <v>20190312172209350</v>
      </c>
      <c r="B4559" t="str">
        <f>"1552382529345530"</f>
        <v>1552382529345530</v>
      </c>
      <c r="C4559" t="s">
        <v>40</v>
      </c>
      <c r="D4559">
        <v>3.3716550000000001</v>
      </c>
      <c r="E4559">
        <v>0.5578765</v>
      </c>
      <c r="F4559" t="s">
        <v>45</v>
      </c>
      <c r="G4559">
        <v>-197.20320000000001</v>
      </c>
      <c r="H4559" s="1">
        <v>3.7060569999999998E-6</v>
      </c>
      <c r="I4559">
        <v>207.41820000000001</v>
      </c>
      <c r="J4559">
        <v>-207.25299999999999</v>
      </c>
      <c r="K4559">
        <v>1.105111</v>
      </c>
      <c r="L4559">
        <v>214.53110000000001</v>
      </c>
      <c r="M4559">
        <v>0.98247870000000004</v>
      </c>
      <c r="N4559">
        <v>0</v>
      </c>
      <c r="O4559">
        <v>-0.18581010000000001</v>
      </c>
      <c r="P4559">
        <v>0.88386669999999901</v>
      </c>
      <c r="Q4559">
        <v>0.15173229999999999</v>
      </c>
      <c r="R4559">
        <v>-0.44244410000000001</v>
      </c>
      <c r="S4559">
        <v>2.5569000000000002</v>
      </c>
      <c r="T4559">
        <v>-0.27354319999999999</v>
      </c>
      <c r="U4559">
        <v>-1.774918</v>
      </c>
      <c r="V4559">
        <v>0.27260959999999901</v>
      </c>
      <c r="W4559">
        <v>0.16198409999999999</v>
      </c>
      <c r="X4559">
        <v>0.94839079999999998</v>
      </c>
      <c r="Y4559">
        <v>0.40682289999999999</v>
      </c>
      <c r="Z4559">
        <v>-2.024082E-3</v>
      </c>
      <c r="AA4559">
        <v>0.91350480000000001</v>
      </c>
      <c r="AB4559">
        <v>29</v>
      </c>
      <c r="AC4559">
        <v>10.0497999999999</v>
      </c>
      <c r="AD4559">
        <v>-1.105107293943</v>
      </c>
      <c r="AE4559">
        <v>-7.11289999999999</v>
      </c>
      <c r="AF4559">
        <v>5.08052671385735</v>
      </c>
      <c r="AG4559">
        <v>-1.105107293943</v>
      </c>
      <c r="AH4559">
        <v>11.107058701346499</v>
      </c>
      <c r="AI4559">
        <v>95.170029331946694</v>
      </c>
      <c r="AJ4559">
        <v>65.419969092977396</v>
      </c>
      <c r="AK4559">
        <v>12.263758266392101</v>
      </c>
      <c r="AL4559">
        <v>80.677920494997906</v>
      </c>
      <c r="AM4559">
        <v>73.963000537697496</v>
      </c>
      <c r="AN4559">
        <v>0.99999997609480396</v>
      </c>
    </row>
    <row r="4560" spans="1:40" x14ac:dyDescent="0.25">
      <c r="A4560" t="str">
        <f>"20190312172209372"</f>
        <v>20190312172209372</v>
      </c>
      <c r="B4560" t="str">
        <f>"1552382529365046"</f>
        <v>1552382529365046</v>
      </c>
      <c r="C4560" t="s">
        <v>40</v>
      </c>
      <c r="D4560">
        <v>3.3844029999999998</v>
      </c>
      <c r="E4560">
        <v>0.55760299999999996</v>
      </c>
      <c r="F4560" t="s">
        <v>45</v>
      </c>
      <c r="G4560">
        <v>-196.8817</v>
      </c>
      <c r="H4560" s="1">
        <v>3.8305580000000003E-6</v>
      </c>
      <c r="I4560">
        <v>207.1634</v>
      </c>
      <c r="J4560">
        <v>-206.97049999999999</v>
      </c>
      <c r="K4560">
        <v>1.104962</v>
      </c>
      <c r="L4560">
        <v>214.4699</v>
      </c>
      <c r="M4560">
        <v>0.98111870000000001</v>
      </c>
      <c r="N4560">
        <v>0</v>
      </c>
      <c r="O4560">
        <v>-0.19286039999999999</v>
      </c>
      <c r="P4560">
        <v>0.87919609999999904</v>
      </c>
      <c r="Q4560">
        <v>0.152397</v>
      </c>
      <c r="R4560">
        <v>-0.45143030000000001</v>
      </c>
      <c r="S4560">
        <v>2.5380549999999999</v>
      </c>
      <c r="T4560">
        <v>-0.2704394</v>
      </c>
      <c r="U4560">
        <v>-1.802994</v>
      </c>
      <c r="V4560">
        <v>0.27556340000000001</v>
      </c>
      <c r="W4560">
        <v>0.16251109999999999</v>
      </c>
      <c r="X4560">
        <v>0.94744649999999997</v>
      </c>
      <c r="Y4560">
        <v>0.41021289999999999</v>
      </c>
      <c r="Z4560">
        <v>-1.529451E-3</v>
      </c>
      <c r="AA4560">
        <v>0.91198849999999998</v>
      </c>
      <c r="AB4560">
        <v>29</v>
      </c>
      <c r="AC4560">
        <v>10.0887999999999</v>
      </c>
      <c r="AD4560">
        <v>-1.1049581694419901</v>
      </c>
      <c r="AE4560">
        <v>-7.3064999999999998</v>
      </c>
      <c r="AF4560">
        <v>5.1825860425487704</v>
      </c>
      <c r="AG4560">
        <v>-1.1049581694419901</v>
      </c>
      <c r="AH4560">
        <v>11.2203513974379</v>
      </c>
      <c r="AI4560">
        <v>95.108777487936607</v>
      </c>
      <c r="AJ4560">
        <v>65.208181573086506</v>
      </c>
      <c r="AK4560">
        <v>12.408723388271</v>
      </c>
      <c r="AL4560">
        <v>80.647319992530299</v>
      </c>
      <c r="AM4560">
        <v>73.783006717458804</v>
      </c>
      <c r="AN4560">
        <v>0.99999995770250905</v>
      </c>
    </row>
    <row r="4561" spans="1:40" x14ac:dyDescent="0.25">
      <c r="A4561" t="str">
        <f>"20190312172209394"</f>
        <v>20190312172209394</v>
      </c>
      <c r="B4561" t="str">
        <f>"1552382529385543"</f>
        <v>1552382529385543</v>
      </c>
      <c r="C4561" t="s">
        <v>40</v>
      </c>
      <c r="D4561">
        <v>3.4810599999999998</v>
      </c>
      <c r="E4561">
        <v>0.55908500000000005</v>
      </c>
      <c r="F4561" t="s">
        <v>45</v>
      </c>
      <c r="G4561">
        <v>-196.648</v>
      </c>
      <c r="H4561" s="1">
        <v>3.9182559999999999E-6</v>
      </c>
      <c r="I4561">
        <v>206.9888</v>
      </c>
      <c r="J4561">
        <v>-206.6926</v>
      </c>
      <c r="K4561">
        <v>1.1048009999999999</v>
      </c>
      <c r="L4561">
        <v>214.4074</v>
      </c>
      <c r="M4561">
        <v>0.97968140000000004</v>
      </c>
      <c r="N4561">
        <v>0</v>
      </c>
      <c r="O4561">
        <v>-0.20003219999999999</v>
      </c>
      <c r="P4561">
        <v>0.87433930000000004</v>
      </c>
      <c r="Q4561">
        <v>0.1526961</v>
      </c>
      <c r="R4561">
        <v>-0.46066790000000002</v>
      </c>
      <c r="S4561">
        <v>2.520905</v>
      </c>
      <c r="T4561">
        <v>-0.26984649999999999</v>
      </c>
      <c r="U4561">
        <v>-1.8269960000000001</v>
      </c>
      <c r="V4561">
        <v>0.27870089999999997</v>
      </c>
      <c r="W4561">
        <v>0.16266120000000001</v>
      </c>
      <c r="X4561">
        <v>0.94650259999999997</v>
      </c>
      <c r="Y4561">
        <v>0.41220420000000002</v>
      </c>
      <c r="Z4561">
        <v>-9.7568890000000004E-4</v>
      </c>
      <c r="AA4561">
        <v>0.91109099999999998</v>
      </c>
      <c r="AB4561">
        <v>29</v>
      </c>
      <c r="AC4561">
        <v>10.044600000000001</v>
      </c>
      <c r="AD4561">
        <v>-1.1047970817439901</v>
      </c>
      <c r="AE4561">
        <v>-7.4185999999999899</v>
      </c>
      <c r="AF4561">
        <v>5.2183293862759799</v>
      </c>
      <c r="AG4561">
        <v>-1.1047970817439901</v>
      </c>
      <c r="AH4561">
        <v>11.237698481788</v>
      </c>
      <c r="AI4561">
        <v>95.095421443873903</v>
      </c>
      <c r="AJ4561">
        <v>65.091764546312504</v>
      </c>
      <c r="AK4561">
        <v>12.4393490723221</v>
      </c>
      <c r="AL4561">
        <v>80.638604461309299</v>
      </c>
      <c r="AM4561">
        <v>73.592756158892897</v>
      </c>
      <c r="AN4561">
        <v>1.0000000147265</v>
      </c>
    </row>
    <row r="4562" spans="1:40" x14ac:dyDescent="0.25">
      <c r="A4562" t="str">
        <f>"20190312172209416"</f>
        <v>20190312172209416</v>
      </c>
      <c r="B4562" t="str">
        <f>"1552382529405062"</f>
        <v>1552382529405062</v>
      </c>
      <c r="C4562" t="s">
        <v>40</v>
      </c>
      <c r="D4562">
        <v>3.4313600000000002</v>
      </c>
      <c r="E4562">
        <v>0.58851750000000003</v>
      </c>
      <c r="F4562" t="s">
        <v>45</v>
      </c>
      <c r="G4562">
        <v>-196.4221</v>
      </c>
      <c r="H4562" s="1">
        <v>4.02451E-6</v>
      </c>
      <c r="I4562">
        <v>206.7388</v>
      </c>
      <c r="J4562">
        <v>-206.41159999999999</v>
      </c>
      <c r="K4562">
        <v>1.104614</v>
      </c>
      <c r="L4562">
        <v>214.34180000000001</v>
      </c>
      <c r="M4562">
        <v>0.97812060000000001</v>
      </c>
      <c r="N4562">
        <v>0</v>
      </c>
      <c r="O4562">
        <v>-0.2075285</v>
      </c>
      <c r="P4562">
        <v>0.87025520000000001</v>
      </c>
      <c r="Q4562">
        <v>0.15278939999999999</v>
      </c>
      <c r="R4562">
        <v>-0.46830739999999998</v>
      </c>
      <c r="S4562">
        <v>2.4960939999999998</v>
      </c>
      <c r="T4562">
        <v>-0.26850619999999997</v>
      </c>
      <c r="U4562">
        <v>-1.8637539999999999</v>
      </c>
      <c r="V4562">
        <v>0.27982109999999999</v>
      </c>
      <c r="W4562">
        <v>0.1626329</v>
      </c>
      <c r="X4562">
        <v>0.94617689999999999</v>
      </c>
      <c r="Y4562">
        <v>0.41819440000000002</v>
      </c>
      <c r="Z4562">
        <v>-5.8647620000000001E-4</v>
      </c>
      <c r="AA4562">
        <v>0.90835730000000003</v>
      </c>
      <c r="AB4562">
        <v>29</v>
      </c>
      <c r="AC4562">
        <v>9.9894999999999907</v>
      </c>
      <c r="AD4562">
        <v>-1.1046099754899901</v>
      </c>
      <c r="AE4562">
        <v>-7.6029999999999998</v>
      </c>
      <c r="AF4562">
        <v>5.3229017979166597</v>
      </c>
      <c r="AG4562">
        <v>-1.1046099754899901</v>
      </c>
      <c r="AH4562">
        <v>11.2627776494125</v>
      </c>
      <c r="AI4562">
        <v>95.067275483821206</v>
      </c>
      <c r="AJ4562">
        <v>64.704111681689398</v>
      </c>
      <c r="AK4562">
        <v>12.506142775785101</v>
      </c>
      <c r="AL4562">
        <v>80.640247836919102</v>
      </c>
      <c r="AM4562">
        <v>73.525014066079095</v>
      </c>
      <c r="AN4562">
        <v>1.00000001713061</v>
      </c>
    </row>
    <row r="4563" spans="1:40" x14ac:dyDescent="0.25">
      <c r="A4563" t="str">
        <f>"20190312172209439"</f>
        <v>20190312172209439</v>
      </c>
      <c r="B4563" t="str">
        <f>"1552382529435318"</f>
        <v>1552382529435318</v>
      </c>
      <c r="C4563" t="s">
        <v>40</v>
      </c>
      <c r="D4563">
        <v>3.421916</v>
      </c>
      <c r="E4563">
        <v>0.58896719999999902</v>
      </c>
      <c r="F4563" t="s">
        <v>45</v>
      </c>
      <c r="G4563">
        <v>-193.84119999999999</v>
      </c>
      <c r="H4563" s="1">
        <v>5.68433999999999E-6</v>
      </c>
      <c r="I4563">
        <v>203.22389999999999</v>
      </c>
      <c r="J4563">
        <v>-206.1309</v>
      </c>
      <c r="K4563">
        <v>1.10443</v>
      </c>
      <c r="L4563">
        <v>214.27379999999999</v>
      </c>
      <c r="M4563">
        <v>0.97644450000000005</v>
      </c>
      <c r="N4563">
        <v>0</v>
      </c>
      <c r="O4563">
        <v>-0.21527589999999999</v>
      </c>
      <c r="P4563">
        <v>0.86508879999999999</v>
      </c>
      <c r="Q4563">
        <v>0.15240970000000001</v>
      </c>
      <c r="R4563">
        <v>-0.47790519999999997</v>
      </c>
      <c r="S4563">
        <v>2.3602910000000001</v>
      </c>
      <c r="T4563">
        <v>-0.20740800000000001</v>
      </c>
      <c r="U4563">
        <v>-2.0875699999999999</v>
      </c>
      <c r="V4563">
        <v>0.28284700000000002</v>
      </c>
      <c r="W4563">
        <v>0.162092299999999</v>
      </c>
      <c r="X4563">
        <v>0.94536960000000003</v>
      </c>
      <c r="Y4563">
        <v>0.48513430000000002</v>
      </c>
      <c r="Z4563">
        <v>-2.462466E-3</v>
      </c>
      <c r="AA4563">
        <v>0.874436199999999</v>
      </c>
      <c r="AB4563">
        <v>29</v>
      </c>
      <c r="AC4563">
        <v>12.2897</v>
      </c>
      <c r="AD4563">
        <v>-1.10442431566</v>
      </c>
      <c r="AE4563">
        <v>-11.049899999999999</v>
      </c>
      <c r="AF4563">
        <v>8.1085922875006293</v>
      </c>
      <c r="AG4563">
        <v>-1.10442431566</v>
      </c>
      <c r="AH4563">
        <v>14.3165807907827</v>
      </c>
      <c r="AI4563">
        <v>93.840187550412196</v>
      </c>
      <c r="AJ4563">
        <v>60.473751033383898</v>
      </c>
      <c r="AK4563">
        <v>16.490406529038101</v>
      </c>
      <c r="AL4563">
        <v>80.671638383815505</v>
      </c>
      <c r="AM4563">
        <v>73.343238861700698</v>
      </c>
      <c r="AN4563">
        <v>1.0000000098662201</v>
      </c>
    </row>
    <row r="4564" spans="1:40" x14ac:dyDescent="0.25">
      <c r="A4564" t="str">
        <f>"20190312172209457"</f>
        <v>20190312172209457</v>
      </c>
      <c r="B4564" t="str">
        <f>"1552382529445078"</f>
        <v>1552382529445078</v>
      </c>
      <c r="C4564" t="s">
        <v>40</v>
      </c>
      <c r="D4564">
        <v>3.4163260000000002</v>
      </c>
      <c r="E4564">
        <v>0.5888063</v>
      </c>
      <c r="F4564" t="s">
        <v>45</v>
      </c>
      <c r="G4564">
        <v>-193.7517</v>
      </c>
      <c r="H4564" s="1">
        <v>5.7502649999999999E-6</v>
      </c>
      <c r="I4564">
        <v>203.04990000000001</v>
      </c>
      <c r="J4564">
        <v>-205.90530000000001</v>
      </c>
      <c r="K4564">
        <v>1.1042749999999999</v>
      </c>
      <c r="L4564">
        <v>214.21700000000001</v>
      </c>
      <c r="M4564">
        <v>0.97500160000000002</v>
      </c>
      <c r="N4564">
        <v>0</v>
      </c>
      <c r="O4564">
        <v>-0.22171779999999999</v>
      </c>
      <c r="P4564">
        <v>0.86122480000000001</v>
      </c>
      <c r="Q4564">
        <v>0.15242410000000001</v>
      </c>
      <c r="R4564">
        <v>-0.4848287</v>
      </c>
      <c r="S4564">
        <v>2.3350070000000001</v>
      </c>
      <c r="T4564">
        <v>-0.20832010000000001</v>
      </c>
      <c r="U4564">
        <v>-2.1170810000000002</v>
      </c>
      <c r="V4564">
        <v>0.28425329999999999</v>
      </c>
      <c r="W4564">
        <v>0.1619949</v>
      </c>
      <c r="X4564">
        <v>0.94496440000000004</v>
      </c>
      <c r="Y4564">
        <v>0.49013050000000002</v>
      </c>
      <c r="Z4564">
        <v>-2.2192560000000002E-3</v>
      </c>
      <c r="AA4564">
        <v>0.87164629999999998</v>
      </c>
      <c r="AB4564">
        <v>29</v>
      </c>
      <c r="AC4564">
        <v>12.153600000000001</v>
      </c>
      <c r="AD4564">
        <v>-1.104269249735</v>
      </c>
      <c r="AE4564">
        <v>-11.1671</v>
      </c>
      <c r="AF4564">
        <v>8.1576279462743706</v>
      </c>
      <c r="AG4564">
        <v>-1.104269249735</v>
      </c>
      <c r="AH4564">
        <v>14.2634034754605</v>
      </c>
      <c r="AI4564">
        <v>93.844766382587196</v>
      </c>
      <c r="AJ4564">
        <v>60.233587872850102</v>
      </c>
      <c r="AK4564">
        <v>16.4684845383394</v>
      </c>
      <c r="AL4564">
        <v>80.677293659532907</v>
      </c>
      <c r="AM4564">
        <v>73.258267797146203</v>
      </c>
      <c r="AN4564">
        <v>1.00000000172713</v>
      </c>
    </row>
    <row r="4565" spans="1:40" x14ac:dyDescent="0.25">
      <c r="A4565" t="str">
        <f>"20190312172209473"</f>
        <v>20190312172209473</v>
      </c>
      <c r="B4565" t="str">
        <f>"1552382529465574"</f>
        <v>1552382529465574</v>
      </c>
      <c r="C4565" t="s">
        <v>40</v>
      </c>
      <c r="D4565">
        <v>3.422056</v>
      </c>
      <c r="E4565">
        <v>0.58840859999999995</v>
      </c>
      <c r="F4565" t="s">
        <v>45</v>
      </c>
      <c r="G4565">
        <v>-193.58940000000001</v>
      </c>
      <c r="H4565" s="1">
        <v>5.8328450000000001E-6</v>
      </c>
      <c r="I4565">
        <v>202.874</v>
      </c>
      <c r="J4565">
        <v>-205.70760000000001</v>
      </c>
      <c r="K4565">
        <v>1.1041430000000001</v>
      </c>
      <c r="L4565">
        <v>214.16569999999999</v>
      </c>
      <c r="M4565">
        <v>0.97366459999999999</v>
      </c>
      <c r="N4565">
        <v>0</v>
      </c>
      <c r="O4565">
        <v>-0.22751550000000001</v>
      </c>
      <c r="P4565">
        <v>0.85669259999999903</v>
      </c>
      <c r="Q4565">
        <v>0.15230189999999999</v>
      </c>
      <c r="R4565">
        <v>-0.4928303</v>
      </c>
      <c r="S4565">
        <v>2.318222</v>
      </c>
      <c r="T4565">
        <v>-0.20785619999999999</v>
      </c>
      <c r="U4565">
        <v>-2.1350859999999998</v>
      </c>
      <c r="V4565">
        <v>0.28748580000000001</v>
      </c>
      <c r="W4565">
        <v>0.16173470000000001</v>
      </c>
      <c r="X4565">
        <v>0.94403060000000005</v>
      </c>
      <c r="Y4565">
        <v>0.49176120000000001</v>
      </c>
      <c r="Z4565">
        <v>-1.8735690000000001E-3</v>
      </c>
      <c r="AA4565">
        <v>0.87072809999999901</v>
      </c>
      <c r="AB4565">
        <v>28</v>
      </c>
      <c r="AC4565">
        <v>12.1182</v>
      </c>
      <c r="AD4565">
        <v>-1.104137167155</v>
      </c>
      <c r="AE4565">
        <v>-11.291699999999899</v>
      </c>
      <c r="AF4565">
        <v>8.2016864324694403</v>
      </c>
      <c r="AG4565">
        <v>-1.104137167155</v>
      </c>
      <c r="AH4565">
        <v>14.3060657811605</v>
      </c>
      <c r="AI4565">
        <v>93.830614149521196</v>
      </c>
      <c r="AJ4565">
        <v>60.174295712959903</v>
      </c>
      <c r="AK4565">
        <v>16.5272592209156</v>
      </c>
      <c r="AL4565">
        <v>80.692401098860302</v>
      </c>
      <c r="AM4565">
        <v>73.062925525950604</v>
      </c>
      <c r="AN4565">
        <v>0.99999998606104501</v>
      </c>
    </row>
    <row r="4566" spans="1:40" x14ac:dyDescent="0.25">
      <c r="A4566" t="str">
        <f>"20190312172209494"</f>
        <v>20190312172209494</v>
      </c>
      <c r="B4566" t="str">
        <f>"1552382529485094"</f>
        <v>1552382529485094</v>
      </c>
      <c r="C4566" t="s">
        <v>40</v>
      </c>
      <c r="D4566">
        <v>3.4172669999999998</v>
      </c>
      <c r="E4566">
        <v>0.58823400000000003</v>
      </c>
      <c r="F4566" t="s">
        <v>45</v>
      </c>
      <c r="G4566">
        <v>-193.5025</v>
      </c>
      <c r="H4566" s="1">
        <v>5.8989770000000002E-6</v>
      </c>
      <c r="I4566">
        <v>202.73390000000001</v>
      </c>
      <c r="J4566">
        <v>-205.43719999999999</v>
      </c>
      <c r="K4566">
        <v>1.1039540000000001</v>
      </c>
      <c r="L4566">
        <v>214.09350000000001</v>
      </c>
      <c r="M4566">
        <v>0.97173010000000004</v>
      </c>
      <c r="N4566">
        <v>0</v>
      </c>
      <c r="O4566">
        <v>-0.23563970000000001</v>
      </c>
      <c r="P4566">
        <v>0.85044370000000002</v>
      </c>
      <c r="Q4566">
        <v>0.1522155</v>
      </c>
      <c r="R4566">
        <v>-0.50356319999999999</v>
      </c>
      <c r="S4566">
        <v>2.2996979999999998</v>
      </c>
      <c r="T4566">
        <v>-0.2080427</v>
      </c>
      <c r="U4566">
        <v>-2.1539920000000001</v>
      </c>
      <c r="V4566">
        <v>0.2915449</v>
      </c>
      <c r="W4566">
        <v>0.16146549999999901</v>
      </c>
      <c r="X4566">
        <v>0.94283110000000003</v>
      </c>
      <c r="Y4566">
        <v>0.49181550000000002</v>
      </c>
      <c r="Z4566">
        <v>-1.308306E-3</v>
      </c>
      <c r="AA4566">
        <v>0.87069850000000004</v>
      </c>
      <c r="AB4566">
        <v>28</v>
      </c>
      <c r="AC4566">
        <v>11.9346999999999</v>
      </c>
      <c r="AD4566">
        <v>-1.1039481010229999</v>
      </c>
      <c r="AE4566">
        <v>-11.3596</v>
      </c>
      <c r="AF4566">
        <v>8.1902913176102405</v>
      </c>
      <c r="AG4566">
        <v>-1.1039481010229999</v>
      </c>
      <c r="AH4566">
        <v>14.211812574185799</v>
      </c>
      <c r="AI4566">
        <v>93.850304882338605</v>
      </c>
      <c r="AJ4566">
        <v>60.0450806987986</v>
      </c>
      <c r="AK4566">
        <v>16.4400483551862</v>
      </c>
      <c r="AL4566">
        <v>80.708030773634803</v>
      </c>
      <c r="AM4566">
        <v>72.817197328642493</v>
      </c>
      <c r="AN4566">
        <v>1.0000000097667301</v>
      </c>
    </row>
    <row r="4567" spans="1:40" x14ac:dyDescent="0.25">
      <c r="A4567" t="str">
        <f>"20190312172209518"</f>
        <v>20190312172209518</v>
      </c>
      <c r="B4567" t="str">
        <f>"1552382529515351"</f>
        <v>1552382529515351</v>
      </c>
      <c r="C4567" t="s">
        <v>40</v>
      </c>
      <c r="D4567">
        <v>3.4041769999999998</v>
      </c>
      <c r="E4567">
        <v>0.58750190000000002</v>
      </c>
      <c r="F4567" t="s">
        <v>45</v>
      </c>
      <c r="G4567">
        <v>-193.51410000000001</v>
      </c>
      <c r="H4567" s="1">
        <v>5.9233139999999996E-6</v>
      </c>
      <c r="I4567">
        <v>202.65629999999999</v>
      </c>
      <c r="J4567">
        <v>-205.15209999999999</v>
      </c>
      <c r="K4567">
        <v>1.103772</v>
      </c>
      <c r="L4567">
        <v>214.0145</v>
      </c>
      <c r="M4567">
        <v>0.96954910000000005</v>
      </c>
      <c r="N4567">
        <v>0</v>
      </c>
      <c r="O4567">
        <v>-0.24445629999999999</v>
      </c>
      <c r="P4567">
        <v>0.84378679999999995</v>
      </c>
      <c r="Q4567">
        <v>0.1527703</v>
      </c>
      <c r="R4567">
        <v>-0.51447579999999904</v>
      </c>
      <c r="S4567">
        <v>2.2737729999999998</v>
      </c>
      <c r="T4567">
        <v>-0.21052709999999999</v>
      </c>
      <c r="U4567">
        <v>-2.1811219999999998</v>
      </c>
      <c r="V4567">
        <v>0.29523739999999998</v>
      </c>
      <c r="W4567">
        <v>0.16184200000000001</v>
      </c>
      <c r="X4567">
        <v>0.94161669999999997</v>
      </c>
      <c r="Y4567">
        <v>0.49427460000000001</v>
      </c>
      <c r="Z4567">
        <v>-7.9494709999999998E-4</v>
      </c>
      <c r="AA4567">
        <v>0.86930549999999995</v>
      </c>
      <c r="AB4567">
        <v>28</v>
      </c>
      <c r="AC4567">
        <v>11.6379999999999</v>
      </c>
      <c r="AD4567">
        <v>-1.103766076686</v>
      </c>
      <c r="AE4567">
        <v>-11.3582</v>
      </c>
      <c r="AF4567">
        <v>8.1307734352708003</v>
      </c>
      <c r="AG4567">
        <v>-1.103766076686</v>
      </c>
      <c r="AH4567">
        <v>13.997228666944</v>
      </c>
      <c r="AI4567">
        <v>93.900774819006799</v>
      </c>
      <c r="AJ4567">
        <v>59.848359242618898</v>
      </c>
      <c r="AK4567">
        <v>16.224986488822299</v>
      </c>
      <c r="AL4567">
        <v>80.686171152248505</v>
      </c>
      <c r="AM4567">
        <v>72.591544567918703</v>
      </c>
      <c r="AN4567">
        <v>0.999999982520824</v>
      </c>
    </row>
    <row r="4568" spans="1:40" x14ac:dyDescent="0.25">
      <c r="A4568" t="str">
        <f>"20190312172209541"</f>
        <v>20190312172209541</v>
      </c>
      <c r="B4568" t="str">
        <f>"1552382529534871"</f>
        <v>1552382529534871</v>
      </c>
      <c r="C4568" t="s">
        <v>40</v>
      </c>
      <c r="D4568">
        <v>3.445011</v>
      </c>
      <c r="E4568">
        <v>0.58690109999999995</v>
      </c>
      <c r="F4568" t="s">
        <v>45</v>
      </c>
      <c r="G4568">
        <v>-193.44030000000001</v>
      </c>
      <c r="H4568" s="1">
        <v>5.9884439999999996E-6</v>
      </c>
      <c r="I4568">
        <v>202.52760000000001</v>
      </c>
      <c r="J4568">
        <v>-204.87569999999999</v>
      </c>
      <c r="K4568">
        <v>1.103613</v>
      </c>
      <c r="L4568">
        <v>213.935</v>
      </c>
      <c r="M4568">
        <v>0.96728840000000005</v>
      </c>
      <c r="N4568">
        <v>0</v>
      </c>
      <c r="O4568">
        <v>-0.2532528</v>
      </c>
      <c r="P4568">
        <v>0.83669729999999998</v>
      </c>
      <c r="Q4568">
        <v>0.15424560000000001</v>
      </c>
      <c r="R4568">
        <v>-0.52549619999999997</v>
      </c>
      <c r="S4568">
        <v>2.2488860000000002</v>
      </c>
      <c r="T4568">
        <v>-0.21194370000000001</v>
      </c>
      <c r="U4568">
        <v>-2.2057039999999999</v>
      </c>
      <c r="V4568">
        <v>0.29919820000000003</v>
      </c>
      <c r="W4568">
        <v>0.1631368</v>
      </c>
      <c r="X4568">
        <v>0.94014189999999997</v>
      </c>
      <c r="Y4568">
        <v>0.49603510000000001</v>
      </c>
      <c r="Z4568">
        <v>-2.394803E-4</v>
      </c>
      <c r="AA4568">
        <v>0.86830249999999998</v>
      </c>
      <c r="AB4568">
        <v>28</v>
      </c>
      <c r="AC4568">
        <v>11.4353999999999</v>
      </c>
      <c r="AD4568">
        <v>-1.1036070115559999</v>
      </c>
      <c r="AE4568">
        <v>-11.4073999999999</v>
      </c>
      <c r="AF4568">
        <v>8.1012592078137509</v>
      </c>
      <c r="AG4568">
        <v>-1.1036070115559999</v>
      </c>
      <c r="AH4568">
        <v>13.8869651838862</v>
      </c>
      <c r="AI4568">
        <v>93.926850597046297</v>
      </c>
      <c r="AJ4568">
        <v>59.741932814928603</v>
      </c>
      <c r="AK4568">
        <v>16.1150907911376</v>
      </c>
      <c r="AL4568">
        <v>80.610985398594906</v>
      </c>
      <c r="AM4568">
        <v>72.346436902737395</v>
      </c>
      <c r="AN4568">
        <v>0.99999998526654399</v>
      </c>
    </row>
    <row r="4569" spans="1:40" x14ac:dyDescent="0.25">
      <c r="A4569" t="str">
        <f>"20190312172209562"</f>
        <v>20190312172209562</v>
      </c>
      <c r="B4569" t="str">
        <f>"1552382529555366"</f>
        <v>1552382529555366</v>
      </c>
      <c r="C4569" t="s">
        <v>40</v>
      </c>
      <c r="D4569">
        <v>3.429268</v>
      </c>
      <c r="E4569">
        <v>0.58033380000000001</v>
      </c>
      <c r="F4569" t="s">
        <v>45</v>
      </c>
      <c r="G4569">
        <v>-193.17150000000001</v>
      </c>
      <c r="H4569" s="1">
        <v>6.18242E-6</v>
      </c>
      <c r="I4569">
        <v>202.18119999999999</v>
      </c>
      <c r="J4569">
        <v>-204.60589999999999</v>
      </c>
      <c r="K4569">
        <v>1.103456</v>
      </c>
      <c r="L4569">
        <v>213.85419999999999</v>
      </c>
      <c r="M4569">
        <v>0.96493300000000004</v>
      </c>
      <c r="N4569">
        <v>0</v>
      </c>
      <c r="O4569">
        <v>-0.2620828</v>
      </c>
      <c r="P4569">
        <v>0.82918539999999996</v>
      </c>
      <c r="Q4569">
        <v>0.15539229999999901</v>
      </c>
      <c r="R4569">
        <v>-0.53694059999999999</v>
      </c>
      <c r="S4569">
        <v>2.2224430000000002</v>
      </c>
      <c r="T4569">
        <v>-0.20955650000000001</v>
      </c>
      <c r="U4569">
        <v>-2.2318419999999999</v>
      </c>
      <c r="V4569">
        <v>0.30366659999999901</v>
      </c>
      <c r="W4569">
        <v>0.16409689999999999</v>
      </c>
      <c r="X4569">
        <v>0.93854079999999995</v>
      </c>
      <c r="Y4569">
        <v>0.49837130000000002</v>
      </c>
      <c r="Z4569">
        <v>2.9922279999999998E-4</v>
      </c>
      <c r="AA4569">
        <v>0.866963699999999</v>
      </c>
      <c r="AB4569">
        <v>28</v>
      </c>
      <c r="AC4569">
        <v>11.434399999999901</v>
      </c>
      <c r="AD4569">
        <v>-1.1034498175799901</v>
      </c>
      <c r="AE4569">
        <v>-11.673</v>
      </c>
      <c r="AF4569">
        <v>8.2302681675592897</v>
      </c>
      <c r="AG4569">
        <v>-1.1034498175799901</v>
      </c>
      <c r="AH4569">
        <v>14.0302698537106</v>
      </c>
      <c r="AI4569">
        <v>93.880852116864602</v>
      </c>
      <c r="AJ4569">
        <v>59.603774151873097</v>
      </c>
      <c r="AK4569">
        <v>16.303477781681998</v>
      </c>
      <c r="AL4569">
        <v>80.555224560985195</v>
      </c>
      <c r="AM4569">
        <v>72.070917116784202</v>
      </c>
      <c r="AN4569">
        <v>1.0000000149049</v>
      </c>
    </row>
    <row r="4570" spans="1:40" x14ac:dyDescent="0.25">
      <c r="A4570" t="str">
        <f>"20190312172209584"</f>
        <v>20190312172209584</v>
      </c>
      <c r="B4570" t="str">
        <f>"1552382529574887"</f>
        <v>1552382529574887</v>
      </c>
      <c r="C4570" t="s">
        <v>40</v>
      </c>
      <c r="D4570">
        <v>3.452766</v>
      </c>
      <c r="E4570">
        <v>0.57947729999999997</v>
      </c>
      <c r="F4570" t="s">
        <v>45</v>
      </c>
      <c r="G4570">
        <v>-193.75020000000001</v>
      </c>
      <c r="H4570" s="1">
        <v>5.7634230000000002E-6</v>
      </c>
      <c r="I4570">
        <v>203.00149999999999</v>
      </c>
      <c r="J4570">
        <v>-204.33860000000001</v>
      </c>
      <c r="K4570">
        <v>1.103318</v>
      </c>
      <c r="L4570">
        <v>213.7714</v>
      </c>
      <c r="M4570">
        <v>0.96246149999999997</v>
      </c>
      <c r="N4570">
        <v>0</v>
      </c>
      <c r="O4570">
        <v>-0.27101609999999998</v>
      </c>
      <c r="P4570">
        <v>0.82122549999999905</v>
      </c>
      <c r="Q4570">
        <v>0.15591830000000001</v>
      </c>
      <c r="R4570">
        <v>-0.54888840000000005</v>
      </c>
      <c r="S4570">
        <v>2.2219389999999999</v>
      </c>
      <c r="T4570">
        <v>-0.2258521</v>
      </c>
      <c r="U4570">
        <v>-2.2213129999999999</v>
      </c>
      <c r="V4570">
        <v>0.30865340000000002</v>
      </c>
      <c r="W4570">
        <v>0.1644351</v>
      </c>
      <c r="X4570">
        <v>0.9368533</v>
      </c>
      <c r="Y4570">
        <v>0.48831530000000001</v>
      </c>
      <c r="Z4570">
        <v>1.439353E-3</v>
      </c>
      <c r="AA4570">
        <v>0.8726661</v>
      </c>
      <c r="AB4570">
        <v>28</v>
      </c>
      <c r="AC4570">
        <v>10.5884</v>
      </c>
      <c r="AD4570">
        <v>-1.1033122365770001</v>
      </c>
      <c r="AE4570">
        <v>-10.7699</v>
      </c>
      <c r="AF4570">
        <v>7.4570100864794799</v>
      </c>
      <c r="AG4570">
        <v>-1.1033122365770001</v>
      </c>
      <c r="AH4570">
        <v>13.0415764457374</v>
      </c>
      <c r="AI4570">
        <v>94.200356832686694</v>
      </c>
      <c r="AJ4570">
        <v>60.239619195755701</v>
      </c>
      <c r="AK4570">
        <v>15.0634329922249</v>
      </c>
      <c r="AL4570">
        <v>80.535579801565703</v>
      </c>
      <c r="AM4570">
        <v>71.765142052097104</v>
      </c>
      <c r="AN4570">
        <v>0.99999996458222895</v>
      </c>
    </row>
    <row r="4571" spans="1:40" x14ac:dyDescent="0.25">
      <c r="A4571" t="str">
        <f>"20190312172209602"</f>
        <v>20190312172209602</v>
      </c>
      <c r="B4571" t="str">
        <f>"1552382529595383"</f>
        <v>1552382529595383</v>
      </c>
      <c r="C4571" t="s">
        <v>40</v>
      </c>
      <c r="D4571">
        <v>3.413478</v>
      </c>
      <c r="E4571">
        <v>0.57893669999999997</v>
      </c>
      <c r="F4571" t="s">
        <v>45</v>
      </c>
      <c r="G4571">
        <v>-193.7131</v>
      </c>
      <c r="H4571" s="1">
        <v>5.8033900000000004E-6</v>
      </c>
      <c r="I4571">
        <v>202.88159999999999</v>
      </c>
      <c r="J4571">
        <v>-204.1216</v>
      </c>
      <c r="K4571">
        <v>1.1032120000000001</v>
      </c>
      <c r="L4571">
        <v>213.7021</v>
      </c>
      <c r="M4571">
        <v>0.96035459999999995</v>
      </c>
      <c r="N4571">
        <v>0</v>
      </c>
      <c r="O4571">
        <v>-0.27838940000000001</v>
      </c>
      <c r="P4571">
        <v>0.8153977</v>
      </c>
      <c r="Q4571">
        <v>0.15601409999999999</v>
      </c>
      <c r="R4571">
        <v>-0.557482699999999</v>
      </c>
      <c r="S4571">
        <v>2.1936650000000002</v>
      </c>
      <c r="T4571">
        <v>-0.22778280000000001</v>
      </c>
      <c r="U4571">
        <v>-2.24823</v>
      </c>
      <c r="V4571">
        <v>0.31136140000000001</v>
      </c>
      <c r="W4571">
        <v>0.16441210000000001</v>
      </c>
      <c r="X4571">
        <v>0.93596089999999998</v>
      </c>
      <c r="Y4571">
        <v>0.49245679999999997</v>
      </c>
      <c r="Z4571">
        <v>1.849191E-3</v>
      </c>
      <c r="AA4571">
        <v>0.87033490000000002</v>
      </c>
      <c r="AB4571">
        <v>28</v>
      </c>
      <c r="AC4571">
        <v>10.4085</v>
      </c>
      <c r="AD4571">
        <v>-1.10320619661</v>
      </c>
      <c r="AE4571">
        <v>-10.820499999999999</v>
      </c>
      <c r="AF4571">
        <v>7.4544719055773996</v>
      </c>
      <c r="AG4571">
        <v>-1.10320619661</v>
      </c>
      <c r="AH4571">
        <v>12.939721227563201</v>
      </c>
      <c r="AI4571">
        <v>94.225064107102199</v>
      </c>
      <c r="AJ4571">
        <v>60.054092866084602</v>
      </c>
      <c r="AK4571">
        <v>14.9740642696073</v>
      </c>
      <c r="AL4571">
        <v>80.536916442689204</v>
      </c>
      <c r="AM4571">
        <v>71.599523303333697</v>
      </c>
      <c r="AN4571">
        <v>1.00000003318258</v>
      </c>
    </row>
    <row r="4572" spans="1:40" x14ac:dyDescent="0.25">
      <c r="A4572" t="str">
        <f>"20190312172209617"</f>
        <v>20190312172209617</v>
      </c>
      <c r="B4572" t="str">
        <f>"1552382529605142"</f>
        <v>1552382529605142</v>
      </c>
      <c r="C4572" t="s">
        <v>40</v>
      </c>
      <c r="D4572">
        <v>3.4440870000000001</v>
      </c>
      <c r="E4572">
        <v>0.57849309999999998</v>
      </c>
      <c r="F4572" t="s">
        <v>45</v>
      </c>
      <c r="G4572">
        <v>-193.81100000000001</v>
      </c>
      <c r="H4572" s="1">
        <v>5.7665980000000003E-6</v>
      </c>
      <c r="I4572">
        <v>202.93860000000001</v>
      </c>
      <c r="J4572">
        <v>-203.92679999999999</v>
      </c>
      <c r="K4572">
        <v>1.103124</v>
      </c>
      <c r="L4572">
        <v>213.63820000000001</v>
      </c>
      <c r="M4572">
        <v>0.95837899999999998</v>
      </c>
      <c r="N4572">
        <v>0</v>
      </c>
      <c r="O4572">
        <v>-0.28511500000000001</v>
      </c>
      <c r="P4572">
        <v>0.80827309999999997</v>
      </c>
      <c r="Q4572">
        <v>0.15588579999999999</v>
      </c>
      <c r="R4572">
        <v>-0.56779789999999997</v>
      </c>
      <c r="S4572">
        <v>2.1728209999999999</v>
      </c>
      <c r="T4572">
        <v>-0.23248769999999999</v>
      </c>
      <c r="U4572">
        <v>-2.2682950000000002</v>
      </c>
      <c r="V4572">
        <v>0.31672719999999999</v>
      </c>
      <c r="W4572">
        <v>0.16411099999999901</v>
      </c>
      <c r="X4572">
        <v>0.93421169999999998</v>
      </c>
      <c r="Y4572">
        <v>0.49435980000000002</v>
      </c>
      <c r="Z4572">
        <v>2.3400629999999999E-3</v>
      </c>
      <c r="AA4572">
        <v>0.86925419999999998</v>
      </c>
      <c r="AB4572">
        <v>28</v>
      </c>
      <c r="AC4572">
        <v>10.1158</v>
      </c>
      <c r="AD4572">
        <v>-1.103118233402</v>
      </c>
      <c r="AE4572">
        <v>-10.6996</v>
      </c>
      <c r="AF4572">
        <v>7.3297742680984896</v>
      </c>
      <c r="AG4572">
        <v>-1.103118233402</v>
      </c>
      <c r="AH4572">
        <v>12.675640276026099</v>
      </c>
      <c r="AI4572">
        <v>94.308392418420297</v>
      </c>
      <c r="AJ4572">
        <v>59.961063101861299</v>
      </c>
      <c r="AK4572">
        <v>14.6838113943676</v>
      </c>
      <c r="AL4572">
        <v>80.554405636093506</v>
      </c>
      <c r="AM4572">
        <v>71.271722032480895</v>
      </c>
      <c r="AN4572">
        <v>1.0000000199788599</v>
      </c>
    </row>
    <row r="4573" spans="1:40" x14ac:dyDescent="0.25">
      <c r="A4573" t="str">
        <f>"20190312172209635"</f>
        <v>20190312172209635</v>
      </c>
      <c r="B4573" t="str">
        <f>"1552382529625639"</f>
        <v>1552382529625639</v>
      </c>
      <c r="C4573" t="s">
        <v>40</v>
      </c>
      <c r="D4573">
        <v>3.4591769999999902</v>
      </c>
      <c r="E4573">
        <v>0.57783669999999998</v>
      </c>
      <c r="F4573" t="s">
        <v>45</v>
      </c>
      <c r="G4573">
        <v>-193.72200000000001</v>
      </c>
      <c r="H4573" s="1">
        <v>5.8414809999999996E-6</v>
      </c>
      <c r="I4573">
        <v>202.7313</v>
      </c>
      <c r="J4573">
        <v>-203.71879999999999</v>
      </c>
      <c r="K4573">
        <v>1.103024</v>
      </c>
      <c r="L4573">
        <v>213.56809999999999</v>
      </c>
      <c r="M4573">
        <v>0.95617529999999995</v>
      </c>
      <c r="N4573">
        <v>0</v>
      </c>
      <c r="O4573">
        <v>-0.29241909999999999</v>
      </c>
      <c r="P4573">
        <v>0.80220649999999905</v>
      </c>
      <c r="Q4573">
        <v>0.1556476</v>
      </c>
      <c r="R4573">
        <v>-0.57640159999999996</v>
      </c>
      <c r="S4573">
        <v>2.1454770000000001</v>
      </c>
      <c r="T4573">
        <v>-0.23192180000000001</v>
      </c>
      <c r="U4573">
        <v>-2.293091</v>
      </c>
      <c r="V4573">
        <v>0.31960820000000001</v>
      </c>
      <c r="W4573">
        <v>0.163749799999999</v>
      </c>
      <c r="X4573">
        <v>0.93329340000000005</v>
      </c>
      <c r="Y4573">
        <v>0.4979478</v>
      </c>
      <c r="Z4573">
        <v>2.7607270000000001E-3</v>
      </c>
      <c r="AA4573">
        <v>0.86720259999999905</v>
      </c>
      <c r="AB4573">
        <v>28</v>
      </c>
      <c r="AC4573">
        <v>9.9967999999999808</v>
      </c>
      <c r="AD4573">
        <v>-1.103018158519</v>
      </c>
      <c r="AE4573">
        <v>-10.836799999999901</v>
      </c>
      <c r="AF4573">
        <v>7.3980357448040301</v>
      </c>
      <c r="AG4573">
        <v>-1.103018158519</v>
      </c>
      <c r="AH4573">
        <v>12.6581314228482</v>
      </c>
      <c r="AI4573">
        <v>94.302391223670497</v>
      </c>
      <c r="AJ4573">
        <v>59.695880372430402</v>
      </c>
      <c r="AK4573">
        <v>14.702920562171199</v>
      </c>
      <c r="AL4573">
        <v>80.575384340306897</v>
      </c>
      <c r="AM4573">
        <v>71.096128983040998</v>
      </c>
      <c r="AN4573">
        <v>0.99999998449541905</v>
      </c>
    </row>
    <row r="4574" spans="1:40" x14ac:dyDescent="0.25">
      <c r="A4574" t="str">
        <f>"20190312172209651"</f>
        <v>20190312172209651</v>
      </c>
      <c r="B4574" t="str">
        <f>"1552382529645158"</f>
        <v>1552382529645158</v>
      </c>
      <c r="C4574" t="s">
        <v>40</v>
      </c>
      <c r="D4574">
        <v>3.4117899999999999</v>
      </c>
      <c r="E4574">
        <v>0.57748429999999995</v>
      </c>
      <c r="F4574" t="s">
        <v>45</v>
      </c>
      <c r="G4574">
        <v>-193.6848</v>
      </c>
      <c r="H4574" s="1">
        <v>5.8817610000000001E-6</v>
      </c>
      <c r="I4574">
        <v>202.6454</v>
      </c>
      <c r="J4574">
        <v>-203.5197</v>
      </c>
      <c r="K4574">
        <v>1.1029169999999999</v>
      </c>
      <c r="L4574">
        <v>213.4991</v>
      </c>
      <c r="M4574">
        <v>0.95397109999999996</v>
      </c>
      <c r="N4574">
        <v>0</v>
      </c>
      <c r="O4574">
        <v>-0.29953089999999999</v>
      </c>
      <c r="P4574">
        <v>0.79446939999999999</v>
      </c>
      <c r="Q4574">
        <v>0.155499</v>
      </c>
      <c r="R4574">
        <v>-0.58705909999999994</v>
      </c>
      <c r="S4574">
        <v>2.1238250000000001</v>
      </c>
      <c r="T4574">
        <v>-0.2334669</v>
      </c>
      <c r="U4574">
        <v>-2.3119200000000002</v>
      </c>
      <c r="V4574">
        <v>0.32515470000000002</v>
      </c>
      <c r="W4574">
        <v>0.163413</v>
      </c>
      <c r="X4574">
        <v>0.93143480000000001</v>
      </c>
      <c r="Y4574">
        <v>0.49941730000000001</v>
      </c>
      <c r="Z4574">
        <v>3.2873970000000001E-3</v>
      </c>
      <c r="AA4574">
        <v>0.8663554</v>
      </c>
      <c r="AB4574">
        <v>28</v>
      </c>
      <c r="AC4574">
        <v>9.8348999999999993</v>
      </c>
      <c r="AD4574">
        <v>-1.1029111182389999</v>
      </c>
      <c r="AE4574">
        <v>-10.8537</v>
      </c>
      <c r="AF4574">
        <v>7.3673021951250499</v>
      </c>
      <c r="AG4574">
        <v>-1.1029111182389999</v>
      </c>
      <c r="AH4574">
        <v>12.563384524347899</v>
      </c>
      <c r="AI4574">
        <v>94.330604709406202</v>
      </c>
      <c r="AJ4574">
        <v>59.612187238179203</v>
      </c>
      <c r="AK4574">
        <v>14.6058955656836</v>
      </c>
      <c r="AL4574">
        <v>80.594946018611296</v>
      </c>
      <c r="AM4574">
        <v>70.756409203098698</v>
      </c>
      <c r="AN4574">
        <v>1.0000000870760599</v>
      </c>
    </row>
    <row r="4575" spans="1:40" x14ac:dyDescent="0.25">
      <c r="A4575" t="str">
        <f>"20190312172209674"</f>
        <v>20190312172209674</v>
      </c>
      <c r="B4575" t="str">
        <f>"1552382529665672"</f>
        <v>1552382529665672</v>
      </c>
      <c r="C4575" t="s">
        <v>40</v>
      </c>
      <c r="D4575">
        <v>3.4535840000000002</v>
      </c>
      <c r="E4575">
        <v>0.57194109999999998</v>
      </c>
      <c r="F4575" t="s">
        <v>45</v>
      </c>
      <c r="G4575">
        <v>-193.6771</v>
      </c>
      <c r="H4575" s="1">
        <v>5.93192599999999E-6</v>
      </c>
      <c r="I4575">
        <v>202.50919999999999</v>
      </c>
      <c r="J4575">
        <v>-203.2544</v>
      </c>
      <c r="K4575">
        <v>1.1027720000000001</v>
      </c>
      <c r="L4575">
        <v>213.40459999999999</v>
      </c>
      <c r="M4575">
        <v>0.95088830000000002</v>
      </c>
      <c r="N4575">
        <v>0</v>
      </c>
      <c r="O4575">
        <v>-0.30917630000000002</v>
      </c>
      <c r="P4575">
        <v>0.78539519999999996</v>
      </c>
      <c r="Q4575">
        <v>0.15527560000000001</v>
      </c>
      <c r="R4575">
        <v>-0.59920289999999998</v>
      </c>
      <c r="S4575">
        <v>2.0941770000000002</v>
      </c>
      <c r="T4575">
        <v>-0.23466310000000001</v>
      </c>
      <c r="U4575">
        <v>-2.3382869999999998</v>
      </c>
      <c r="V4575">
        <v>0.3300884</v>
      </c>
      <c r="W4575">
        <v>0.16298579999999999</v>
      </c>
      <c r="X4575">
        <v>0.92977270000000001</v>
      </c>
      <c r="Y4575">
        <v>0.50160419999999994</v>
      </c>
      <c r="Z4575">
        <v>3.9902009999999996E-3</v>
      </c>
      <c r="AA4575">
        <v>0.86508799999999997</v>
      </c>
      <c r="AB4575">
        <v>28</v>
      </c>
      <c r="AC4575">
        <v>9.5772999999999993</v>
      </c>
      <c r="AD4575">
        <v>-1.1027660680739999</v>
      </c>
      <c r="AE4575">
        <v>-10.895399999999899</v>
      </c>
      <c r="AF4575">
        <v>7.3575347147955101</v>
      </c>
      <c r="AG4575">
        <v>-1.1027660680739999</v>
      </c>
      <c r="AH4575">
        <v>12.4052341919058</v>
      </c>
      <c r="AI4575">
        <v>94.372260590322895</v>
      </c>
      <c r="AJ4575">
        <v>59.327853464897402</v>
      </c>
      <c r="AK4575">
        <v>14.465104404612701</v>
      </c>
      <c r="AL4575">
        <v>80.619754549442007</v>
      </c>
      <c r="AM4575">
        <v>70.454092868834607</v>
      </c>
      <c r="AN4575">
        <v>0.99999999824074504</v>
      </c>
    </row>
    <row r="4576" spans="1:40" x14ac:dyDescent="0.25">
      <c r="A4576" t="str">
        <f>"20190312172209695"</f>
        <v>20190312172209695</v>
      </c>
      <c r="B4576" t="str">
        <f>"1552382529685174"</f>
        <v>1552382529685174</v>
      </c>
      <c r="C4576" t="s">
        <v>40</v>
      </c>
      <c r="D4576">
        <v>3.4581050000000002</v>
      </c>
      <c r="E4576">
        <v>0.59809140000000005</v>
      </c>
      <c r="F4576" t="s">
        <v>45</v>
      </c>
      <c r="G4576">
        <v>-193.2961</v>
      </c>
      <c r="H4576" s="1">
        <v>6.1245740000000003E-6</v>
      </c>
      <c r="I4576">
        <v>202.25110000000001</v>
      </c>
      <c r="J4576">
        <v>-202.99289999999999</v>
      </c>
      <c r="K4576">
        <v>1.102622</v>
      </c>
      <c r="L4576">
        <v>213.3083</v>
      </c>
      <c r="M4576">
        <v>0.94767610000000002</v>
      </c>
      <c r="N4576">
        <v>0</v>
      </c>
      <c r="O4576">
        <v>-0.31888559999999999</v>
      </c>
      <c r="P4576">
        <v>0.77598859999999903</v>
      </c>
      <c r="Q4576">
        <v>0.154885299999999</v>
      </c>
      <c r="R4576">
        <v>-0.61143449999999999</v>
      </c>
      <c r="S4576">
        <v>2.08432</v>
      </c>
      <c r="T4576">
        <v>-0.23081199999999999</v>
      </c>
      <c r="U4576">
        <v>-2.334473</v>
      </c>
      <c r="V4576">
        <v>0.335180599999999</v>
      </c>
      <c r="W4576">
        <v>0.162384</v>
      </c>
      <c r="X4576">
        <v>0.92805459999999995</v>
      </c>
      <c r="Y4576">
        <v>0.49412210000000001</v>
      </c>
      <c r="Z4576">
        <v>5.0379539999999999E-3</v>
      </c>
      <c r="AA4576">
        <v>0.86937799999999998</v>
      </c>
      <c r="AB4576">
        <v>28</v>
      </c>
      <c r="AC4576">
        <v>9.6967999999999908</v>
      </c>
      <c r="AD4576">
        <v>-1.102615875426</v>
      </c>
      <c r="AE4576">
        <v>-11.0571999999999</v>
      </c>
      <c r="AF4576">
        <v>7.3460024524541003</v>
      </c>
      <c r="AG4576">
        <v>-1.102615875426</v>
      </c>
      <c r="AH4576">
        <v>12.6457374355313</v>
      </c>
      <c r="AI4576">
        <v>94.311640148172998</v>
      </c>
      <c r="AJ4576">
        <v>59.847379011873997</v>
      </c>
      <c r="AK4576">
        <v>14.6660897681897</v>
      </c>
      <c r="AL4576">
        <v>80.654700427567604</v>
      </c>
      <c r="AM4576">
        <v>70.142067338896595</v>
      </c>
      <c r="AN4576">
        <v>0.99999996932675905</v>
      </c>
    </row>
    <row r="4577" spans="1:40" x14ac:dyDescent="0.25">
      <c r="A4577" t="str">
        <f>"20190312172209719"</f>
        <v>20190312172209719</v>
      </c>
      <c r="B4577" t="str">
        <f>"1552382529715431"</f>
        <v>1552382529715431</v>
      </c>
      <c r="C4577" t="s">
        <v>40</v>
      </c>
      <c r="D4577">
        <v>3.599002</v>
      </c>
      <c r="E4577">
        <v>0.60637069999999904</v>
      </c>
      <c r="F4577" t="s">
        <v>45</v>
      </c>
      <c r="G4577">
        <v>-193.78579999999999</v>
      </c>
      <c r="H4577" s="1">
        <v>6.3787210000000004E-6</v>
      </c>
      <c r="I4577">
        <v>201.1635</v>
      </c>
      <c r="J4577">
        <v>-202.72130000000001</v>
      </c>
      <c r="K4577">
        <v>1.102468</v>
      </c>
      <c r="L4577">
        <v>213.20480000000001</v>
      </c>
      <c r="M4577">
        <v>0.94415150000000003</v>
      </c>
      <c r="N4577">
        <v>0</v>
      </c>
      <c r="O4577">
        <v>-0.32917299999999999</v>
      </c>
      <c r="P4577">
        <v>0.7660323</v>
      </c>
      <c r="Q4577">
        <v>0.15512429999999999</v>
      </c>
      <c r="R4577">
        <v>-0.62380389999999997</v>
      </c>
      <c r="S4577">
        <v>1.9182129999999999</v>
      </c>
      <c r="T4577">
        <v>-0.2297189</v>
      </c>
      <c r="U4577">
        <v>-2.530243</v>
      </c>
      <c r="V4577">
        <v>0.34006259999999999</v>
      </c>
      <c r="W4577">
        <v>0.1624099</v>
      </c>
      <c r="X4577">
        <v>0.92627230000000005</v>
      </c>
      <c r="Y4577">
        <v>0.55302030000000002</v>
      </c>
      <c r="Z4577">
        <v>3.204765E-3</v>
      </c>
      <c r="AA4577">
        <v>0.83316170000000001</v>
      </c>
      <c r="AB4577">
        <v>28</v>
      </c>
      <c r="AC4577">
        <v>8.93550000000001</v>
      </c>
      <c r="AD4577">
        <v>-1.1024616212789999</v>
      </c>
      <c r="AE4577">
        <v>-12.0413</v>
      </c>
      <c r="AF4577">
        <v>8.3831087647204292</v>
      </c>
      <c r="AG4577">
        <v>-1.1024616212789999</v>
      </c>
      <c r="AH4577">
        <v>12.3348400894462</v>
      </c>
      <c r="AI4577">
        <v>94.227711338759207</v>
      </c>
      <c r="AJ4577">
        <v>55.798855811918301</v>
      </c>
      <c r="AK4577">
        <v>14.954605117479201</v>
      </c>
      <c r="AL4577">
        <v>80.653196421096396</v>
      </c>
      <c r="AM4577">
        <v>69.840285501581803</v>
      </c>
      <c r="AN4577">
        <v>0.99999996064202901</v>
      </c>
    </row>
    <row r="4578" spans="1:40" x14ac:dyDescent="0.25">
      <c r="A4578" t="str">
        <f>"20190312172209742"</f>
        <v>20190312172209742</v>
      </c>
      <c r="B4578" t="str">
        <f>"1552382529734951"</f>
        <v>1552382529734951</v>
      </c>
      <c r="C4578" t="s">
        <v>40</v>
      </c>
      <c r="D4578">
        <v>3.3943430000000001</v>
      </c>
      <c r="E4578">
        <v>0.6081683</v>
      </c>
      <c r="F4578" t="s">
        <v>45</v>
      </c>
      <c r="G4578">
        <v>-193.50989999999999</v>
      </c>
      <c r="H4578" s="1">
        <v>6.83005099999999E-6</v>
      </c>
      <c r="I4578">
        <v>200.09440000000001</v>
      </c>
      <c r="J4578">
        <v>-202.4538</v>
      </c>
      <c r="K4578">
        <v>1.1023270000000001</v>
      </c>
      <c r="L4578">
        <v>213.09909999999999</v>
      </c>
      <c r="M4578">
        <v>0.94047559999999997</v>
      </c>
      <c r="N4578">
        <v>0</v>
      </c>
      <c r="O4578">
        <v>-0.33953179999999999</v>
      </c>
      <c r="P4578">
        <v>0.75647489999999995</v>
      </c>
      <c r="Q4578">
        <v>0.15540190000000001</v>
      </c>
      <c r="R4578">
        <v>-0.63529259999999999</v>
      </c>
      <c r="S4578">
        <v>1.834503</v>
      </c>
      <c r="T4578">
        <v>-0.2195619</v>
      </c>
      <c r="U4578">
        <v>-2.6110229999999999</v>
      </c>
      <c r="V4578">
        <v>0.34394609999999998</v>
      </c>
      <c r="W4578">
        <v>0.16250120000000001</v>
      </c>
      <c r="X4578">
        <v>0.92482129999999996</v>
      </c>
      <c r="Y4578">
        <v>0.57387159999999904</v>
      </c>
      <c r="Z4578">
        <v>2.9429199999999999E-3</v>
      </c>
      <c r="AA4578">
        <v>0.81894009999999995</v>
      </c>
      <c r="AB4578">
        <v>28</v>
      </c>
      <c r="AC4578">
        <v>8.94390000000001</v>
      </c>
      <c r="AD4578">
        <v>-1.102320169949</v>
      </c>
      <c r="AE4578">
        <v>-13.0046999999999</v>
      </c>
      <c r="AF4578">
        <v>9.1502613636410697</v>
      </c>
      <c r="AG4578">
        <v>-1.102320169949</v>
      </c>
      <c r="AH4578">
        <v>12.766194915830001</v>
      </c>
      <c r="AI4578">
        <v>94.014501741881901</v>
      </c>
      <c r="AJ4578">
        <v>54.368668083934502</v>
      </c>
      <c r="AK4578">
        <v>15.745416012572701</v>
      </c>
      <c r="AL4578">
        <v>80.6478952454802</v>
      </c>
      <c r="AM4578">
        <v>69.599556889781496</v>
      </c>
      <c r="AN4578">
        <v>0.99999999832016995</v>
      </c>
    </row>
    <row r="4579" spans="1:40" x14ac:dyDescent="0.25">
      <c r="A4579" t="str">
        <f>"20190312172209764"</f>
        <v>20190312172209764</v>
      </c>
      <c r="B4579" t="str">
        <f>"1552382529755446"</f>
        <v>1552382529755446</v>
      </c>
      <c r="C4579" t="s">
        <v>40</v>
      </c>
      <c r="D4579">
        <v>3.3681589999999901</v>
      </c>
      <c r="E4579">
        <v>0.60942619999999903</v>
      </c>
      <c r="F4579" t="s">
        <v>42</v>
      </c>
      <c r="G4579">
        <v>-193.36779999999999</v>
      </c>
      <c r="H4579" s="1">
        <v>-4.894863E-6</v>
      </c>
      <c r="I4579">
        <v>199.61510000000001</v>
      </c>
      <c r="J4579">
        <v>-202.19630000000001</v>
      </c>
      <c r="K4579">
        <v>1.102198</v>
      </c>
      <c r="L4579">
        <v>212.9939</v>
      </c>
      <c r="M4579">
        <v>0.93673930000000005</v>
      </c>
      <c r="N4579">
        <v>0</v>
      </c>
      <c r="O4579">
        <v>-0.34970649999999998</v>
      </c>
      <c r="P4579">
        <v>0.74685749999999995</v>
      </c>
      <c r="Q4579">
        <v>0.15626109999999999</v>
      </c>
      <c r="R4579">
        <v>-0.64636450000000001</v>
      </c>
      <c r="S4579">
        <v>1.7852779999999999</v>
      </c>
      <c r="T4579">
        <v>-0.2165929</v>
      </c>
      <c r="U4579">
        <v>-2.6494140000000002</v>
      </c>
      <c r="V4579">
        <v>0.34767930000000002</v>
      </c>
      <c r="W4579">
        <v>0.163183299999999</v>
      </c>
      <c r="X4579">
        <v>0.92330400000000001</v>
      </c>
      <c r="Y4579">
        <v>0.58097449999999995</v>
      </c>
      <c r="Z4579">
        <v>3.3649130000000002E-3</v>
      </c>
      <c r="AA4579">
        <v>0.8139149</v>
      </c>
      <c r="AB4579">
        <v>28</v>
      </c>
      <c r="AC4579">
        <v>8.8285000000000196</v>
      </c>
      <c r="AD4579">
        <v>-1.102202894863</v>
      </c>
      <c r="AE4579">
        <v>-13.378799999999901</v>
      </c>
      <c r="AF4579">
        <v>9.4016724934512599</v>
      </c>
      <c r="AG4579">
        <v>-1.102202894863</v>
      </c>
      <c r="AH4579">
        <v>12.8891690162642</v>
      </c>
      <c r="AI4579">
        <v>93.9521358398747</v>
      </c>
      <c r="AJ4579">
        <v>53.892081635065402</v>
      </c>
      <c r="AK4579">
        <v>15.9917783509336</v>
      </c>
      <c r="AL4579">
        <v>80.608284914882702</v>
      </c>
      <c r="AM4579">
        <v>69.365636157001703</v>
      </c>
      <c r="AN4579">
        <v>0.99999998073168905</v>
      </c>
    </row>
    <row r="4580" spans="1:40" x14ac:dyDescent="0.25">
      <c r="A4580" t="str">
        <f>"20190312172209786"</f>
        <v>20190312172209786</v>
      </c>
      <c r="B4580" t="str">
        <f>"1552382529774967"</f>
        <v>1552382529774967</v>
      </c>
      <c r="C4580" t="s">
        <v>40</v>
      </c>
      <c r="D4580">
        <v>3.346635</v>
      </c>
      <c r="E4580">
        <v>0.60974569999999995</v>
      </c>
      <c r="F4580" t="s">
        <v>42</v>
      </c>
      <c r="G4580">
        <v>-193.29939999999999</v>
      </c>
      <c r="H4580" s="1">
        <v>-4.7626529999999999E-6</v>
      </c>
      <c r="I4580">
        <v>199.26230000000001</v>
      </c>
      <c r="J4580">
        <v>-201.93520000000001</v>
      </c>
      <c r="K4580">
        <v>1.1020859999999999</v>
      </c>
      <c r="L4580">
        <v>212.8835</v>
      </c>
      <c r="M4580">
        <v>0.93275419999999998</v>
      </c>
      <c r="N4580">
        <v>0</v>
      </c>
      <c r="O4580">
        <v>-0.36019970000000001</v>
      </c>
      <c r="P4580">
        <v>0.73712540000000004</v>
      </c>
      <c r="Q4580">
        <v>0.1574854</v>
      </c>
      <c r="R4580">
        <v>-0.65714890000000004</v>
      </c>
      <c r="S4580">
        <v>1.7390139999999901</v>
      </c>
      <c r="T4580">
        <v>-0.2154385</v>
      </c>
      <c r="U4580">
        <v>-2.6840060000000001</v>
      </c>
      <c r="V4580">
        <v>0.35090310000000002</v>
      </c>
      <c r="W4580">
        <v>0.16425209999999901</v>
      </c>
      <c r="X4580">
        <v>0.92189379999999999</v>
      </c>
      <c r="Y4580">
        <v>0.58652280000000001</v>
      </c>
      <c r="Z4580">
        <v>3.898814E-3</v>
      </c>
      <c r="AA4580">
        <v>0.80992339999999996</v>
      </c>
      <c r="AB4580">
        <v>28</v>
      </c>
      <c r="AC4580">
        <v>8.6358000000000104</v>
      </c>
      <c r="AD4580">
        <v>-1.1020907626530001</v>
      </c>
      <c r="AE4580">
        <v>-13.6211999999999</v>
      </c>
      <c r="AF4580">
        <v>9.5511033346443295</v>
      </c>
      <c r="AG4580">
        <v>-1.1020907626530001</v>
      </c>
      <c r="AH4580">
        <v>12.9026453702248</v>
      </c>
      <c r="AI4580">
        <v>93.927356478887006</v>
      </c>
      <c r="AJ4580">
        <v>53.489533609563601</v>
      </c>
      <c r="AK4580">
        <v>16.090880538614499</v>
      </c>
      <c r="AL4580">
        <v>80.546209398658803</v>
      </c>
      <c r="AM4580">
        <v>69.161529313791803</v>
      </c>
      <c r="AN4580">
        <v>0.999999958211229</v>
      </c>
    </row>
    <row r="4581" spans="1:40" x14ac:dyDescent="0.25">
      <c r="A4581" t="str">
        <f>"20190312172209809"</f>
        <v>20190312172209809</v>
      </c>
      <c r="B4581" t="str">
        <f>"1552382529805224"</f>
        <v>1552382529805224</v>
      </c>
      <c r="C4581" t="s">
        <v>40</v>
      </c>
      <c r="D4581">
        <v>3.3877480000000002</v>
      </c>
      <c r="E4581">
        <v>0.60973350000000004</v>
      </c>
      <c r="F4581" t="s">
        <v>42</v>
      </c>
      <c r="G4581">
        <v>-193.02209999999999</v>
      </c>
      <c r="H4581" s="1">
        <v>-4.5019E-6</v>
      </c>
      <c r="I4581">
        <v>198.64060000000001</v>
      </c>
      <c r="J4581">
        <v>-201.67590000000001</v>
      </c>
      <c r="K4581">
        <v>1.101985</v>
      </c>
      <c r="L4581">
        <v>212.7704</v>
      </c>
      <c r="M4581">
        <v>0.92859669999999905</v>
      </c>
      <c r="N4581">
        <v>0</v>
      </c>
      <c r="O4581">
        <v>-0.37078509999999998</v>
      </c>
      <c r="P4581">
        <v>0.72733340000000002</v>
      </c>
      <c r="Q4581">
        <v>0.1582559</v>
      </c>
      <c r="R4581">
        <v>-0.66778870000000001</v>
      </c>
      <c r="S4581">
        <v>1.6970670000000001</v>
      </c>
      <c r="T4581">
        <v>-0.2098399</v>
      </c>
      <c r="U4581">
        <v>-2.711884</v>
      </c>
      <c r="V4581">
        <v>0.3539368</v>
      </c>
      <c r="W4581">
        <v>0.1648791</v>
      </c>
      <c r="X4581">
        <v>0.92062129999999998</v>
      </c>
      <c r="Y4581">
        <v>0.59009299999999998</v>
      </c>
      <c r="Z4581">
        <v>4.4299220000000002E-3</v>
      </c>
      <c r="AA4581">
        <v>0.80732320000000002</v>
      </c>
      <c r="AB4581">
        <v>28</v>
      </c>
      <c r="AC4581">
        <v>8.6538000000000093</v>
      </c>
      <c r="AD4581">
        <v>-1.1019895018999999</v>
      </c>
      <c r="AE4581">
        <v>-14.1297999999999</v>
      </c>
      <c r="AF4581">
        <v>9.8696518867603107</v>
      </c>
      <c r="AG4581">
        <v>-1.1019895018999999</v>
      </c>
      <c r="AH4581">
        <v>13.2180457223996</v>
      </c>
      <c r="AI4581">
        <v>93.821815241367005</v>
      </c>
      <c r="AJ4581">
        <v>53.252034366842999</v>
      </c>
      <c r="AK4581">
        <v>16.533031843783998</v>
      </c>
      <c r="AL4581">
        <v>80.509788563784895</v>
      </c>
      <c r="AM4581">
        <v>68.970530459108105</v>
      </c>
      <c r="AN4581">
        <v>0.99999997701236898</v>
      </c>
    </row>
    <row r="4582" spans="1:40" x14ac:dyDescent="0.25">
      <c r="A4582" t="str">
        <f>"20190312172209831"</f>
        <v>20190312172209831</v>
      </c>
      <c r="B4582" t="str">
        <f>"1552382529825718"</f>
        <v>1552382529825718</v>
      </c>
      <c r="C4582" t="s">
        <v>40</v>
      </c>
      <c r="D4582">
        <v>3.4108209999999999</v>
      </c>
      <c r="E4582">
        <v>0.60915430000000004</v>
      </c>
      <c r="F4582" t="s">
        <v>42</v>
      </c>
      <c r="G4582">
        <v>-192.95500000000001</v>
      </c>
      <c r="H4582" s="1">
        <v>-4.3968729999999997E-6</v>
      </c>
      <c r="I4582">
        <v>198.36689999999999</v>
      </c>
      <c r="J4582">
        <v>-201.4179</v>
      </c>
      <c r="K4582">
        <v>1.1018870000000001</v>
      </c>
      <c r="L4582">
        <v>212.6542</v>
      </c>
      <c r="M4582">
        <v>0.92425440000000003</v>
      </c>
      <c r="N4582">
        <v>0</v>
      </c>
      <c r="O4582">
        <v>-0.3814786</v>
      </c>
      <c r="P4582">
        <v>0.71776640000000003</v>
      </c>
      <c r="Q4582">
        <v>0.15903129999999999</v>
      </c>
      <c r="R4582">
        <v>-0.67787940000000002</v>
      </c>
      <c r="S4582">
        <v>1.657227</v>
      </c>
      <c r="T4582">
        <v>-0.20941000000000001</v>
      </c>
      <c r="U4582">
        <v>-2.7370760000000001</v>
      </c>
      <c r="V4582">
        <v>0.3562922</v>
      </c>
      <c r="W4582">
        <v>0.16553039999999999</v>
      </c>
      <c r="X4582">
        <v>0.91959539999999995</v>
      </c>
      <c r="Y4582">
        <v>0.59268080000000001</v>
      </c>
      <c r="Z4582">
        <v>5.1045769999999999E-3</v>
      </c>
      <c r="AA4582">
        <v>0.80542130000000001</v>
      </c>
      <c r="AB4582">
        <v>28</v>
      </c>
      <c r="AC4582">
        <v>8.4628999999999905</v>
      </c>
      <c r="AD4582">
        <v>-1.101891396873</v>
      </c>
      <c r="AE4582">
        <v>-14.2873</v>
      </c>
      <c r="AF4582">
        <v>9.9340801120319693</v>
      </c>
      <c r="AG4582">
        <v>-1.101891396873</v>
      </c>
      <c r="AH4582">
        <v>13.2154941494871</v>
      </c>
      <c r="AI4582">
        <v>93.813043856951097</v>
      </c>
      <c r="AJ4582">
        <v>53.067834345273802</v>
      </c>
      <c r="AK4582">
        <v>16.569532218439399</v>
      </c>
      <c r="AL4582">
        <v>80.471952836028706</v>
      </c>
      <c r="AM4582">
        <v>68.821414234036098</v>
      </c>
      <c r="AN4582">
        <v>1.00000007240307</v>
      </c>
    </row>
    <row r="4583" spans="1:40" x14ac:dyDescent="0.25">
      <c r="A4583" t="str">
        <f>"20190312172209854"</f>
        <v>20190312172209854</v>
      </c>
      <c r="B4583" t="str">
        <f>"1552382529845238"</f>
        <v>1552382529845238</v>
      </c>
      <c r="C4583" t="s">
        <v>40</v>
      </c>
      <c r="D4583">
        <v>3.3500830000000001</v>
      </c>
      <c r="E4583">
        <v>0.60851089999999997</v>
      </c>
      <c r="F4583" t="s">
        <v>42</v>
      </c>
      <c r="G4583">
        <v>-192.79570000000001</v>
      </c>
      <c r="H4583" s="1">
        <v>-4.2400299999999996E-6</v>
      </c>
      <c r="I4583">
        <v>197.989</v>
      </c>
      <c r="J4583">
        <v>-201.15700000000001</v>
      </c>
      <c r="K4583">
        <v>1.1017870000000001</v>
      </c>
      <c r="L4583">
        <v>212.53280000000001</v>
      </c>
      <c r="M4583">
        <v>0.91964469999999998</v>
      </c>
      <c r="N4583">
        <v>0</v>
      </c>
      <c r="O4583">
        <v>-0.39246039999999999</v>
      </c>
      <c r="P4583">
        <v>0.70793030000000001</v>
      </c>
      <c r="Q4583">
        <v>0.15991569999999999</v>
      </c>
      <c r="R4583">
        <v>-0.68794009999999906</v>
      </c>
      <c r="S4583">
        <v>1.621246</v>
      </c>
      <c r="T4583">
        <v>-0.20719109999999999</v>
      </c>
      <c r="U4583">
        <v>-2.7575229999999999</v>
      </c>
      <c r="V4583">
        <v>0.35845739999999998</v>
      </c>
      <c r="W4583">
        <v>0.16629360000000001</v>
      </c>
      <c r="X4583">
        <v>0.91861559999999998</v>
      </c>
      <c r="Y4583">
        <v>0.59352930000000004</v>
      </c>
      <c r="Z4583">
        <v>5.825724E-3</v>
      </c>
      <c r="AA4583">
        <v>0.80479129999999999</v>
      </c>
      <c r="AB4583">
        <v>28</v>
      </c>
      <c r="AC4583">
        <v>8.3613</v>
      </c>
      <c r="AD4583">
        <v>-1.1017912400299901</v>
      </c>
      <c r="AE4583">
        <v>-14.543799999999999</v>
      </c>
      <c r="AF4583">
        <v>10.051446415838001</v>
      </c>
      <c r="AG4583">
        <v>-1.1017912400299901</v>
      </c>
      <c r="AH4583">
        <v>13.341274756856601</v>
      </c>
      <c r="AI4583">
        <v>93.773763755076203</v>
      </c>
      <c r="AJ4583">
        <v>53.005273888344</v>
      </c>
      <c r="AK4583">
        <v>16.740224942485298</v>
      </c>
      <c r="AL4583">
        <v>80.427608901194702</v>
      </c>
      <c r="AM4583">
        <v>68.683534953118894</v>
      </c>
      <c r="AN4583">
        <v>0.99999994478953802</v>
      </c>
    </row>
    <row r="4584" spans="1:40" x14ac:dyDescent="0.25">
      <c r="A4584" t="str">
        <f>"20190312172209875"</f>
        <v>20190312172209875</v>
      </c>
      <c r="B4584" t="str">
        <f>"1552382529865736"</f>
        <v>1552382529865736</v>
      </c>
      <c r="C4584" t="s">
        <v>40</v>
      </c>
      <c r="D4584">
        <v>3.354679</v>
      </c>
      <c r="E4584">
        <v>0.60769839999999997</v>
      </c>
      <c r="F4584" t="s">
        <v>42</v>
      </c>
      <c r="G4584">
        <v>-192.64850000000001</v>
      </c>
      <c r="H4584" s="1">
        <v>-4.0890810000000001E-6</v>
      </c>
      <c r="I4584">
        <v>197.62219999999999</v>
      </c>
      <c r="J4584">
        <v>-200.9111</v>
      </c>
      <c r="K4584">
        <v>1.1016900000000001</v>
      </c>
      <c r="L4584">
        <v>212.41470000000001</v>
      </c>
      <c r="M4584">
        <v>0.91508750000000005</v>
      </c>
      <c r="N4584">
        <v>0</v>
      </c>
      <c r="O4584">
        <v>-0.40297110000000003</v>
      </c>
      <c r="P4584">
        <v>0.69913549999999902</v>
      </c>
      <c r="Q4584">
        <v>0.16054350000000001</v>
      </c>
      <c r="R4584">
        <v>-0.69673229999999997</v>
      </c>
      <c r="S4584">
        <v>1.5849610000000001</v>
      </c>
      <c r="T4584">
        <v>-0.20524110000000001</v>
      </c>
      <c r="U4584">
        <v>-2.777542</v>
      </c>
      <c r="V4584">
        <v>0.35952539999999999</v>
      </c>
      <c r="W4584">
        <v>0.16683100000000001</v>
      </c>
      <c r="X4584">
        <v>0.91810069999999999</v>
      </c>
      <c r="Y4584">
        <v>0.59475610000000001</v>
      </c>
      <c r="Z4584">
        <v>6.4929200000000001E-3</v>
      </c>
      <c r="AA4584">
        <v>0.80388000000000004</v>
      </c>
      <c r="AB4584">
        <v>28</v>
      </c>
      <c r="AC4584">
        <v>8.2625999999999902</v>
      </c>
      <c r="AD4584">
        <v>-1.1016940890809901</v>
      </c>
      <c r="AE4584">
        <v>-14.7925</v>
      </c>
      <c r="AF4584">
        <v>10.1650376153303</v>
      </c>
      <c r="AG4584">
        <v>-1.1016940890809901</v>
      </c>
      <c r="AH4584">
        <v>13.466568722702901</v>
      </c>
      <c r="AI4584">
        <v>93.735870364588294</v>
      </c>
      <c r="AJ4584">
        <v>52.953216793223497</v>
      </c>
      <c r="AK4584">
        <v>16.908287694213001</v>
      </c>
      <c r="AL4584">
        <v>80.396382427864395</v>
      </c>
      <c r="AM4584">
        <v>68.614842294597096</v>
      </c>
      <c r="AN4584">
        <v>0.99999999557332497</v>
      </c>
    </row>
    <row r="4585" spans="1:40" x14ac:dyDescent="0.25">
      <c r="A4585" t="str">
        <f>"20190312172209897"</f>
        <v>20190312172209897</v>
      </c>
      <c r="B4585" t="str">
        <f>"1552382529885255"</f>
        <v>1552382529885255</v>
      </c>
      <c r="C4585" t="s">
        <v>40</v>
      </c>
      <c r="D4585">
        <v>3.3962919999999999</v>
      </c>
      <c r="E4585">
        <v>0.60690489999999997</v>
      </c>
      <c r="F4585" t="s">
        <v>42</v>
      </c>
      <c r="G4585">
        <v>-192.5548</v>
      </c>
      <c r="H4585" s="1">
        <v>-3.9949569999999997E-6</v>
      </c>
      <c r="I4585">
        <v>197.39439999999999</v>
      </c>
      <c r="J4585">
        <v>-200.66499999999999</v>
      </c>
      <c r="K4585">
        <v>1.1015809999999999</v>
      </c>
      <c r="L4585">
        <v>212.29300000000001</v>
      </c>
      <c r="M4585">
        <v>0.91031320000000004</v>
      </c>
      <c r="N4585">
        <v>0</v>
      </c>
      <c r="O4585">
        <v>-0.41364200000000001</v>
      </c>
      <c r="P4585">
        <v>0.68960180000000004</v>
      </c>
      <c r="Q4585">
        <v>0.161303</v>
      </c>
      <c r="R4585">
        <v>-0.70599659999999997</v>
      </c>
      <c r="S4585">
        <v>1.554138</v>
      </c>
      <c r="T4585">
        <v>-0.20489940000000001</v>
      </c>
      <c r="U4585">
        <v>-2.7935639999999999</v>
      </c>
      <c r="V4585">
        <v>0.3611741</v>
      </c>
      <c r="W4585">
        <v>0.16747979999999901</v>
      </c>
      <c r="X4585">
        <v>0.91733520000000002</v>
      </c>
      <c r="Y4585">
        <v>0.59410609999999997</v>
      </c>
      <c r="Z4585">
        <v>7.2946399999999998E-3</v>
      </c>
      <c r="AA4585">
        <v>0.8043536</v>
      </c>
      <c r="AB4585">
        <v>28</v>
      </c>
      <c r="AC4585">
        <v>8.1101999999999901</v>
      </c>
      <c r="AD4585">
        <v>-1.101584994957</v>
      </c>
      <c r="AE4585">
        <v>-14.8986</v>
      </c>
      <c r="AF4585">
        <v>10.1659753105217</v>
      </c>
      <c r="AG4585">
        <v>-1.101584994957</v>
      </c>
      <c r="AH4585">
        <v>13.4901764223945</v>
      </c>
      <c r="AI4585">
        <v>93.731220629484199</v>
      </c>
      <c r="AJ4585">
        <v>52.998921224815199</v>
      </c>
      <c r="AK4585">
        <v>16.927652035134098</v>
      </c>
      <c r="AL4585">
        <v>80.358678898843905</v>
      </c>
      <c r="AM4585">
        <v>68.509400273092197</v>
      </c>
      <c r="AN4585">
        <v>1.0000000415389401</v>
      </c>
    </row>
    <row r="4586" spans="1:40" x14ac:dyDescent="0.25">
      <c r="A4586" t="str">
        <f>"20190312172209933"</f>
        <v>20190312172209933</v>
      </c>
      <c r="B4586" t="str">
        <f>"1552382529925270"</f>
        <v>1552382529925270</v>
      </c>
      <c r="C4586" t="s">
        <v>40</v>
      </c>
      <c r="D4586">
        <v>3.3606039999999999</v>
      </c>
      <c r="E4586">
        <v>0.59430620000000001</v>
      </c>
      <c r="F4586" t="s">
        <v>42</v>
      </c>
      <c r="G4586">
        <v>-192.43389999999999</v>
      </c>
      <c r="H4586" s="1">
        <v>-3.8600500000000004E-6</v>
      </c>
      <c r="I4586">
        <v>197.07740000000001</v>
      </c>
      <c r="J4586">
        <v>-200.2783</v>
      </c>
      <c r="K4586">
        <v>1.1014189999999999</v>
      </c>
      <c r="L4586">
        <v>212.09350000000001</v>
      </c>
      <c r="M4586">
        <v>0.90234320000000001</v>
      </c>
      <c r="N4586">
        <v>0</v>
      </c>
      <c r="O4586">
        <v>-0.4307494</v>
      </c>
      <c r="P4586">
        <v>0.6752553</v>
      </c>
      <c r="Q4586">
        <v>0.16229839999999901</v>
      </c>
      <c r="R4586">
        <v>-0.71950639999999999</v>
      </c>
      <c r="S4586">
        <v>1.5204470000000001</v>
      </c>
      <c r="T4586">
        <v>-0.20348540000000001</v>
      </c>
      <c r="U4586">
        <v>-2.8106230000000001</v>
      </c>
      <c r="V4586">
        <v>0.3622109</v>
      </c>
      <c r="W4586">
        <v>0.1683433</v>
      </c>
      <c r="X4586">
        <v>0.91676809999999997</v>
      </c>
      <c r="Y4586">
        <v>0.58845080000000005</v>
      </c>
      <c r="Z4586">
        <v>8.7251229999999996E-3</v>
      </c>
      <c r="AA4586">
        <v>0.80848599999999904</v>
      </c>
      <c r="AB4586">
        <v>28</v>
      </c>
      <c r="AC4586">
        <v>7.8444000000000003</v>
      </c>
      <c r="AD4586">
        <v>-1.10142286005</v>
      </c>
      <c r="AE4586">
        <v>-15.0160999999999</v>
      </c>
      <c r="AF4586">
        <v>10.1290713027377</v>
      </c>
      <c r="AG4586">
        <v>-1.10142286005</v>
      </c>
      <c r="AH4586">
        <v>13.4910643319373</v>
      </c>
      <c r="AI4586">
        <v>93.735408333263806</v>
      </c>
      <c r="AJ4586">
        <v>53.100831947767297</v>
      </c>
      <c r="AK4586">
        <v>16.906212898844501</v>
      </c>
      <c r="AL4586">
        <v>80.308490793551798</v>
      </c>
      <c r="AM4586">
        <v>68.4412497403233</v>
      </c>
      <c r="AN4586">
        <v>0.99999997595565404</v>
      </c>
    </row>
    <row r="4587" spans="1:40" x14ac:dyDescent="0.25">
      <c r="A4587" t="str">
        <f>"20190312172209953"</f>
        <v>20190312172209953</v>
      </c>
      <c r="B4587" t="str">
        <f>"1552382529945767"</f>
        <v>1552382529945767</v>
      </c>
      <c r="C4587" t="s">
        <v>40</v>
      </c>
      <c r="D4587">
        <v>3.3985120000000002</v>
      </c>
      <c r="E4587">
        <v>0.59412410000000004</v>
      </c>
      <c r="F4587" t="s">
        <v>42</v>
      </c>
      <c r="G4587">
        <v>-192.74629999999999</v>
      </c>
      <c r="H4587" s="1">
        <v>-4.4121230000000001E-6</v>
      </c>
      <c r="I4587">
        <v>198.5205</v>
      </c>
      <c r="J4587">
        <v>-200.03880000000001</v>
      </c>
      <c r="K4587">
        <v>1.1013250000000001</v>
      </c>
      <c r="L4587">
        <v>211.96510000000001</v>
      </c>
      <c r="M4587">
        <v>0.89712080000000005</v>
      </c>
      <c r="N4587">
        <v>0</v>
      </c>
      <c r="O4587">
        <v>-0.44152190000000002</v>
      </c>
      <c r="P4587">
        <v>0.66580399999999995</v>
      </c>
      <c r="Q4587">
        <v>0.16305159999999999</v>
      </c>
      <c r="R4587">
        <v>-0.72809299999999999</v>
      </c>
      <c r="S4587">
        <v>1.5399320000000001</v>
      </c>
      <c r="T4587">
        <v>-0.22518859999999999</v>
      </c>
      <c r="U4587">
        <v>-2.7750240000000002</v>
      </c>
      <c r="V4587">
        <v>0.36311189999999999</v>
      </c>
      <c r="W4587">
        <v>0.1690121</v>
      </c>
      <c r="X4587">
        <v>0.91628860000000001</v>
      </c>
      <c r="Y4587">
        <v>0.56992519999999902</v>
      </c>
      <c r="Z4587">
        <v>1.139917E-2</v>
      </c>
      <c r="AA4587">
        <v>0.821617499999999</v>
      </c>
      <c r="AB4587">
        <v>28</v>
      </c>
      <c r="AC4587">
        <v>7.2925000000000102</v>
      </c>
      <c r="AD4587">
        <v>-1.101329412123</v>
      </c>
      <c r="AE4587">
        <v>-13.444599999999999</v>
      </c>
      <c r="AF4587">
        <v>8.7970495215614104</v>
      </c>
      <c r="AG4587">
        <v>-1.101329412123</v>
      </c>
      <c r="AH4587">
        <v>12.4154190031173</v>
      </c>
      <c r="AI4587">
        <v>94.139795627053402</v>
      </c>
      <c r="AJ4587">
        <v>54.680200197940003</v>
      </c>
      <c r="AK4587">
        <v>15.2559377221388</v>
      </c>
      <c r="AL4587">
        <v>80.269615249397006</v>
      </c>
      <c r="AM4587">
        <v>68.382294405136804</v>
      </c>
      <c r="AN4587">
        <v>1.00000007017898</v>
      </c>
    </row>
    <row r="4588" spans="1:40" x14ac:dyDescent="0.25">
      <c r="A4588" t="str">
        <f>"20190312172209977"</f>
        <v>20190312172209977</v>
      </c>
      <c r="B4588" t="str">
        <f>"1552382529965287"</f>
        <v>1552382529965287</v>
      </c>
      <c r="C4588" t="s">
        <v>40</v>
      </c>
      <c r="D4588">
        <v>3.384919</v>
      </c>
      <c r="E4588">
        <v>0.59340019999999905</v>
      </c>
      <c r="F4588" t="s">
        <v>42</v>
      </c>
      <c r="G4588">
        <v>-192.67099999999999</v>
      </c>
      <c r="H4588" s="1">
        <v>-4.3184150000000002E-6</v>
      </c>
      <c r="I4588">
        <v>198.28440000000001</v>
      </c>
      <c r="J4588">
        <v>-199.79429999999999</v>
      </c>
      <c r="K4588">
        <v>1.101234</v>
      </c>
      <c r="L4588">
        <v>211.83009999999999</v>
      </c>
      <c r="M4588">
        <v>0.89155119999999899</v>
      </c>
      <c r="N4588">
        <v>0</v>
      </c>
      <c r="O4588">
        <v>-0.45266200000000001</v>
      </c>
      <c r="P4588">
        <v>0.65587200000000001</v>
      </c>
      <c r="Q4588">
        <v>0.16317670000000001</v>
      </c>
      <c r="R4588">
        <v>-0.73702460000000003</v>
      </c>
      <c r="S4588">
        <v>1.5050049999999999</v>
      </c>
      <c r="T4588">
        <v>-0.2249651</v>
      </c>
      <c r="U4588">
        <v>-2.7945250000000001</v>
      </c>
      <c r="V4588">
        <v>0.36413830000000003</v>
      </c>
      <c r="W4588">
        <v>0.16905539999999999</v>
      </c>
      <c r="X4588">
        <v>0.91587320000000005</v>
      </c>
      <c r="Y4588">
        <v>0.57006709999999905</v>
      </c>
      <c r="Z4588">
        <v>1.2292320000000001E-2</v>
      </c>
      <c r="AA4588">
        <v>0.82150619999999996</v>
      </c>
      <c r="AB4588">
        <v>27</v>
      </c>
      <c r="AC4588">
        <v>7.1233000000000004</v>
      </c>
      <c r="AD4588">
        <v>-1.1012383184150001</v>
      </c>
      <c r="AE4588">
        <v>-13.545699999999901</v>
      </c>
      <c r="AF4588">
        <v>8.8076696439787892</v>
      </c>
      <c r="AG4588">
        <v>-1.1012383184150001</v>
      </c>
      <c r="AH4588">
        <v>12.4195653235659</v>
      </c>
      <c r="AI4588">
        <v>94.136873979639205</v>
      </c>
      <c r="AJ4588">
        <v>54.656612260532903</v>
      </c>
      <c r="AK4588">
        <v>15.265430659425601</v>
      </c>
      <c r="AL4588">
        <v>80.267098160415102</v>
      </c>
      <c r="AM4588">
        <v>68.317927523455694</v>
      </c>
      <c r="AN4588">
        <v>1.00000007413714</v>
      </c>
    </row>
    <row r="4589" spans="1:40" x14ac:dyDescent="0.25">
      <c r="A4589" t="str">
        <f>"20190312172209998"</f>
        <v>20190312172209998</v>
      </c>
      <c r="B4589" t="str">
        <f>"1552382529995545"</f>
        <v>1552382529995545</v>
      </c>
      <c r="C4589" t="s">
        <v>40</v>
      </c>
      <c r="D4589">
        <v>3.432499</v>
      </c>
      <c r="E4589">
        <v>0.59239830000000004</v>
      </c>
      <c r="F4589" t="s">
        <v>42</v>
      </c>
      <c r="G4589">
        <v>-192.60300000000001</v>
      </c>
      <c r="H4589" s="1">
        <v>-4.2409999999999997E-6</v>
      </c>
      <c r="I4589">
        <v>198.09229999999999</v>
      </c>
      <c r="J4589">
        <v>-199.554</v>
      </c>
      <c r="K4589">
        <v>1.101151</v>
      </c>
      <c r="L4589">
        <v>211.69329999999999</v>
      </c>
      <c r="M4589">
        <v>0.88582969999999905</v>
      </c>
      <c r="N4589">
        <v>0</v>
      </c>
      <c r="O4589">
        <v>-0.4637578</v>
      </c>
      <c r="P4589">
        <v>0.64535220000000004</v>
      </c>
      <c r="Q4589">
        <v>0.16313920000000001</v>
      </c>
      <c r="R4589">
        <v>-0.74626179999999998</v>
      </c>
      <c r="S4589">
        <v>1.47142</v>
      </c>
      <c r="T4589">
        <v>-0.225324</v>
      </c>
      <c r="U4589">
        <v>-2.810883</v>
      </c>
      <c r="V4589">
        <v>0.36573850000000002</v>
      </c>
      <c r="W4589">
        <v>0.16892380000000001</v>
      </c>
      <c r="X4589">
        <v>0.91525959999999995</v>
      </c>
      <c r="Y4589">
        <v>0.56949469999999902</v>
      </c>
      <c r="Z4589">
        <v>1.325467E-2</v>
      </c>
      <c r="AA4589">
        <v>0.82188809999999901</v>
      </c>
      <c r="AB4589">
        <v>27</v>
      </c>
      <c r="AC4589">
        <v>6.9510000000000201</v>
      </c>
      <c r="AD4589">
        <v>-1.1011552409999901</v>
      </c>
      <c r="AE4589">
        <v>-13.601000000000001</v>
      </c>
      <c r="AF4589">
        <v>8.7799918785858893</v>
      </c>
      <c r="AG4589">
        <v>-1.1011552409999901</v>
      </c>
      <c r="AH4589">
        <v>12.401977038821</v>
      </c>
      <c r="AI4589">
        <v>94.144796989800895</v>
      </c>
      <c r="AJ4589">
        <v>54.703376882507499</v>
      </c>
      <c r="AK4589">
        <v>15.235151286556301</v>
      </c>
      <c r="AL4589">
        <v>80.274747758805603</v>
      </c>
      <c r="AM4589">
        <v>68.218309170958307</v>
      </c>
      <c r="AN4589">
        <v>1.00000001799042</v>
      </c>
    </row>
    <row r="4590" spans="1:40" x14ac:dyDescent="0.25">
      <c r="A4590" t="str">
        <f>"20190312172210021"</f>
        <v>20190312172210021</v>
      </c>
      <c r="B4590" t="str">
        <f>"1552382530015063"</f>
        <v>1552382530015063</v>
      </c>
      <c r="C4590" t="s">
        <v>40</v>
      </c>
      <c r="D4590">
        <v>3.3510360000000001</v>
      </c>
      <c r="E4590">
        <v>0.5920647</v>
      </c>
      <c r="F4590" t="s">
        <v>42</v>
      </c>
      <c r="G4590">
        <v>-192.6181</v>
      </c>
      <c r="H4590" s="1">
        <v>-4.2318230000000003E-6</v>
      </c>
      <c r="I4590">
        <v>198.0575</v>
      </c>
      <c r="J4590">
        <v>-199.31049999999999</v>
      </c>
      <c r="K4590">
        <v>1.1010740000000001</v>
      </c>
      <c r="L4590">
        <v>211.5504</v>
      </c>
      <c r="M4590">
        <v>0.879771999999999</v>
      </c>
      <c r="N4590">
        <v>0</v>
      </c>
      <c r="O4590">
        <v>-0.47514859999999998</v>
      </c>
      <c r="P4590">
        <v>0.63465260000000001</v>
      </c>
      <c r="Q4590">
        <v>0.16342010000000001</v>
      </c>
      <c r="R4590">
        <v>-0.75532159999999904</v>
      </c>
      <c r="S4590">
        <v>1.437759</v>
      </c>
      <c r="T4590">
        <v>-0.2282623</v>
      </c>
      <c r="U4590">
        <v>-2.8266140000000002</v>
      </c>
      <c r="V4590">
        <v>0.36696190000000001</v>
      </c>
      <c r="W4590">
        <v>0.16912160000000001</v>
      </c>
      <c r="X4590">
        <v>0.91473320000000002</v>
      </c>
      <c r="Y4590">
        <v>0.56852409999999998</v>
      </c>
      <c r="Z4590">
        <v>1.4428699999999999E-2</v>
      </c>
      <c r="AA4590">
        <v>0.8225401</v>
      </c>
      <c r="AB4590">
        <v>27</v>
      </c>
      <c r="AC4590">
        <v>6.6923999999999904</v>
      </c>
      <c r="AD4590">
        <v>-1.1010782318229999</v>
      </c>
      <c r="AE4590">
        <v>-13.492899999999899</v>
      </c>
      <c r="AF4590">
        <v>8.6456065013283308</v>
      </c>
      <c r="AG4590">
        <v>-1.1010782318229999</v>
      </c>
      <c r="AH4590">
        <v>12.2349748960184</v>
      </c>
      <c r="AI4590">
        <v>94.203484353115996</v>
      </c>
      <c r="AJ4590">
        <v>54.753806775191102</v>
      </c>
      <c r="AK4590">
        <v>15.0217673978332</v>
      </c>
      <c r="AL4590">
        <v>80.263248933585999</v>
      </c>
      <c r="AM4590">
        <v>68.140911418684794</v>
      </c>
      <c r="AN4590">
        <v>0.99999998941020396</v>
      </c>
    </row>
    <row r="4591" spans="1:40" x14ac:dyDescent="0.25">
      <c r="A4591" t="str">
        <f>"20190312172210043"</f>
        <v>20190312172210043</v>
      </c>
      <c r="B4591" t="str">
        <f>"1552382530035562"</f>
        <v>1552382530035562</v>
      </c>
      <c r="C4591" t="s">
        <v>40</v>
      </c>
      <c r="D4591">
        <v>3.357132</v>
      </c>
      <c r="E4591">
        <v>0.58520589999999995</v>
      </c>
      <c r="F4591" t="s">
        <v>42</v>
      </c>
      <c r="G4591">
        <v>-192.5573</v>
      </c>
      <c r="H4591" s="1">
        <v>-4.1391410000000004E-6</v>
      </c>
      <c r="I4591">
        <v>197.8168</v>
      </c>
      <c r="J4591">
        <v>-199.07149999999999</v>
      </c>
      <c r="K4591">
        <v>1.101</v>
      </c>
      <c r="L4591">
        <v>211.40549999999999</v>
      </c>
      <c r="M4591">
        <v>0.8735579</v>
      </c>
      <c r="N4591">
        <v>0</v>
      </c>
      <c r="O4591">
        <v>-0.48647790000000002</v>
      </c>
      <c r="P4591">
        <v>0.62433799999999995</v>
      </c>
      <c r="Q4591">
        <v>0.16432279999999999</v>
      </c>
      <c r="R4591">
        <v>-0.76367549999999995</v>
      </c>
      <c r="S4591">
        <v>1.3992</v>
      </c>
      <c r="T4591">
        <v>-0.22813559999999999</v>
      </c>
      <c r="U4591">
        <v>-2.8454899999999999</v>
      </c>
      <c r="V4591">
        <v>0.36744719999999997</v>
      </c>
      <c r="W4591">
        <v>0.16996420000000001</v>
      </c>
      <c r="X4591">
        <v>0.91438220000000003</v>
      </c>
      <c r="Y4591">
        <v>0.56904829999999995</v>
      </c>
      <c r="Z4591">
        <v>1.535336E-2</v>
      </c>
      <c r="AA4591">
        <v>0.82216069999999997</v>
      </c>
      <c r="AB4591">
        <v>27</v>
      </c>
      <c r="AC4591">
        <v>6.5141999999999802</v>
      </c>
      <c r="AD4591">
        <v>-1.1010041391409999</v>
      </c>
      <c r="AE4591">
        <v>-13.5886999999999</v>
      </c>
      <c r="AF4591">
        <v>8.6563201254487492</v>
      </c>
      <c r="AG4591">
        <v>-1.1010041391409999</v>
      </c>
      <c r="AH4591">
        <v>12.237260573138199</v>
      </c>
      <c r="AI4591">
        <v>94.200952933865807</v>
      </c>
      <c r="AJ4591">
        <v>54.725404081907797</v>
      </c>
      <c r="AK4591">
        <v>15.0297915675347</v>
      </c>
      <c r="AL4591">
        <v>80.214262827573194</v>
      </c>
      <c r="AM4591">
        <v>68.107125597032507</v>
      </c>
      <c r="AN4591">
        <v>1.00000004087315</v>
      </c>
    </row>
    <row r="4592" spans="1:40" x14ac:dyDescent="0.25">
      <c r="A4592" t="str">
        <f>"20190312172210064"</f>
        <v>20190312172210064</v>
      </c>
      <c r="B4592" t="str">
        <f>"1552382530055079"</f>
        <v>1552382530055079</v>
      </c>
      <c r="C4592" t="s">
        <v>40</v>
      </c>
      <c r="D4592">
        <v>3.3745829999999999</v>
      </c>
      <c r="E4592">
        <v>0.58504789999999995</v>
      </c>
      <c r="F4592" t="s">
        <v>42</v>
      </c>
      <c r="G4592">
        <v>-192.5779</v>
      </c>
      <c r="H4592" s="1">
        <v>-4.308304E-6</v>
      </c>
      <c r="I4592">
        <v>198.3032</v>
      </c>
      <c r="J4592">
        <v>-198.84469999999999</v>
      </c>
      <c r="K4592">
        <v>1.100935</v>
      </c>
      <c r="L4592">
        <v>211.26400000000001</v>
      </c>
      <c r="M4592">
        <v>0.86742399999999997</v>
      </c>
      <c r="N4592">
        <v>0</v>
      </c>
      <c r="O4592">
        <v>-0.49733159999999998</v>
      </c>
      <c r="P4592">
        <v>0.61367769999999899</v>
      </c>
      <c r="Q4592">
        <v>0.1652604</v>
      </c>
      <c r="R4592">
        <v>-0.77206799999999998</v>
      </c>
      <c r="S4592">
        <v>1.4035949999999999</v>
      </c>
      <c r="T4592">
        <v>-0.2379839</v>
      </c>
      <c r="U4592">
        <v>-2.832077</v>
      </c>
      <c r="V4592">
        <v>0.3686178</v>
      </c>
      <c r="W4592">
        <v>0.17082929999999999</v>
      </c>
      <c r="X4592">
        <v>0.91374960000000005</v>
      </c>
      <c r="Y4592">
        <v>0.55618869999999998</v>
      </c>
      <c r="Z4592">
        <v>1.7579609999999999E-2</v>
      </c>
      <c r="AA4592">
        <v>0.83087009999999994</v>
      </c>
      <c r="AB4592">
        <v>27</v>
      </c>
      <c r="AC4592">
        <v>6.2667999999999804</v>
      </c>
      <c r="AD4592">
        <v>-1.100939308304</v>
      </c>
      <c r="AE4592">
        <v>-12.960800000000001</v>
      </c>
      <c r="AF4592">
        <v>8.0795432128588196</v>
      </c>
      <c r="AG4592">
        <v>-1.100939308304</v>
      </c>
      <c r="AH4592">
        <v>11.8141045457681</v>
      </c>
      <c r="AI4592">
        <v>94.398569528363495</v>
      </c>
      <c r="AJ4592">
        <v>55.632181681454398</v>
      </c>
      <c r="AK4592">
        <v>14.354934764998401</v>
      </c>
      <c r="AL4592">
        <v>80.1639605164995</v>
      </c>
      <c r="AM4592">
        <v>68.030247141248196</v>
      </c>
      <c r="AN4592">
        <v>1.00000003185774</v>
      </c>
    </row>
    <row r="4593" spans="1:40" x14ac:dyDescent="0.25">
      <c r="A4593" t="str">
        <f>"20190312172210087"</f>
        <v>20190312172210087</v>
      </c>
      <c r="B4593" t="str">
        <f>"1552382530075575"</f>
        <v>1552382530075575</v>
      </c>
      <c r="C4593" t="s">
        <v>40</v>
      </c>
      <c r="D4593">
        <v>3.365354</v>
      </c>
      <c r="E4593">
        <v>0.61225779999999996</v>
      </c>
      <c r="F4593" t="s">
        <v>42</v>
      </c>
      <c r="G4593">
        <v>-192.4315</v>
      </c>
      <c r="H4593" s="1">
        <v>-4.1360489999999997E-6</v>
      </c>
      <c r="I4593">
        <v>197.8734</v>
      </c>
      <c r="J4593">
        <v>-198.61250000000001</v>
      </c>
      <c r="K4593">
        <v>1.1008720000000001</v>
      </c>
      <c r="L4593">
        <v>211.11490000000001</v>
      </c>
      <c r="M4593">
        <v>0.86088969999999898</v>
      </c>
      <c r="N4593">
        <v>0</v>
      </c>
      <c r="O4593">
        <v>-0.50855810000000001</v>
      </c>
      <c r="P4593">
        <v>0.60290250000000001</v>
      </c>
      <c r="Q4593">
        <v>0.1654661</v>
      </c>
      <c r="R4593">
        <v>-0.78046769999999999</v>
      </c>
      <c r="S4593">
        <v>1.3652799999999901</v>
      </c>
      <c r="T4593">
        <v>-0.2343712</v>
      </c>
      <c r="U4593">
        <v>-2.8506469999999999</v>
      </c>
      <c r="V4593">
        <v>0.36942560000000002</v>
      </c>
      <c r="W4593">
        <v>0.1709772</v>
      </c>
      <c r="X4593">
        <v>0.91339559999999997</v>
      </c>
      <c r="Y4593">
        <v>0.55661240000000001</v>
      </c>
      <c r="Z4593">
        <v>1.827409E-2</v>
      </c>
      <c r="AA4593">
        <v>0.83057130000000001</v>
      </c>
      <c r="AB4593">
        <v>27</v>
      </c>
      <c r="AC4593">
        <v>6.1810000000000098</v>
      </c>
      <c r="AD4593">
        <v>-1.10087613604899</v>
      </c>
      <c r="AE4593">
        <v>-13.2415</v>
      </c>
      <c r="AF4593">
        <v>8.2104569723105403</v>
      </c>
      <c r="AG4593">
        <v>-1.10087613604899</v>
      </c>
      <c r="AH4593">
        <v>11.988623872970701</v>
      </c>
      <c r="AI4593">
        <v>94.332596823509604</v>
      </c>
      <c r="AJ4593">
        <v>55.594550741893201</v>
      </c>
      <c r="AK4593">
        <v>14.5722556362647</v>
      </c>
      <c r="AL4593">
        <v>80.155359615726894</v>
      </c>
      <c r="AM4593">
        <v>67.978981653508399</v>
      </c>
      <c r="AN4593">
        <v>0.99999999947728002</v>
      </c>
    </row>
    <row r="4594" spans="1:40" x14ac:dyDescent="0.25">
      <c r="A4594" t="str">
        <f>"20190312172210110"</f>
        <v>20190312172210110</v>
      </c>
      <c r="B4594" t="str">
        <f>"1552382530105831"</f>
        <v>1552382530105831</v>
      </c>
      <c r="C4594" t="s">
        <v>40</v>
      </c>
      <c r="D4594">
        <v>3.3735219999999999</v>
      </c>
      <c r="E4594">
        <v>0.62168020000000002</v>
      </c>
      <c r="F4594" t="s">
        <v>42</v>
      </c>
      <c r="G4594">
        <v>-192.31139999999999</v>
      </c>
      <c r="H4594" s="1">
        <v>-2.8147700000000002E-6</v>
      </c>
      <c r="I4594">
        <v>194.71680000000001</v>
      </c>
      <c r="J4594">
        <v>-198.3725</v>
      </c>
      <c r="K4594">
        <v>1.10081299999999</v>
      </c>
      <c r="L4594">
        <v>210.95609999999999</v>
      </c>
      <c r="M4594">
        <v>0.85385580000000005</v>
      </c>
      <c r="N4594">
        <v>0</v>
      </c>
      <c r="O4594">
        <v>-0.52028050000000003</v>
      </c>
      <c r="P4594">
        <v>0.59162360000000003</v>
      </c>
      <c r="Q4594">
        <v>0.16583599999999901</v>
      </c>
      <c r="R4594">
        <v>-0.78897399999999995</v>
      </c>
      <c r="S4594">
        <v>1.1516109999999999</v>
      </c>
      <c r="T4594">
        <v>-0.2011975</v>
      </c>
      <c r="U4594">
        <v>-2.9969329999999998</v>
      </c>
      <c r="V4594">
        <v>0.37003409999999998</v>
      </c>
      <c r="W4594">
        <v>0.1712958</v>
      </c>
      <c r="X4594">
        <v>0.91308959999999995</v>
      </c>
      <c r="Y4594">
        <v>0.61026409999999998</v>
      </c>
      <c r="Z4594">
        <v>1.4369140000000001E-2</v>
      </c>
      <c r="AA4594">
        <v>0.79206769999999904</v>
      </c>
      <c r="AB4594">
        <v>27</v>
      </c>
      <c r="AC4594">
        <v>6.0610999999999997</v>
      </c>
      <c r="AD4594">
        <v>-1.10081581476999</v>
      </c>
      <c r="AE4594">
        <v>-16.239299999999901</v>
      </c>
      <c r="AF4594">
        <v>10.670788022237501</v>
      </c>
      <c r="AG4594">
        <v>-1.10081581476999</v>
      </c>
      <c r="AH4594">
        <v>13.5711854204211</v>
      </c>
      <c r="AI4594">
        <v>93.648467023160904</v>
      </c>
      <c r="AJ4594">
        <v>51.822643214682998</v>
      </c>
      <c r="AK4594">
        <v>17.298976449172599</v>
      </c>
      <c r="AL4594">
        <v>80.136832368844296</v>
      </c>
      <c r="AM4594">
        <v>67.939503402418296</v>
      </c>
      <c r="AN4594">
        <v>1.0000000519443</v>
      </c>
    </row>
    <row r="4595" spans="1:40" x14ac:dyDescent="0.25">
      <c r="A4595" t="str">
        <f>"20190312172210133"</f>
        <v>20190312172210133</v>
      </c>
      <c r="B4595" t="str">
        <f>"1552382530125351"</f>
        <v>1552382530125351</v>
      </c>
      <c r="C4595" t="s">
        <v>40</v>
      </c>
      <c r="D4595">
        <v>3.3095460000000001</v>
      </c>
      <c r="E4595">
        <v>0.62309190000000003</v>
      </c>
      <c r="F4595" t="s">
        <v>42</v>
      </c>
      <c r="G4595">
        <v>-192.07310000000001</v>
      </c>
      <c r="H4595" s="1">
        <v>-1.830575E-6</v>
      </c>
      <c r="I4595">
        <v>192.57040000000001</v>
      </c>
      <c r="J4595">
        <v>-198.13939999999999</v>
      </c>
      <c r="K4595">
        <v>1.1007579999999999</v>
      </c>
      <c r="L4595">
        <v>210.7971</v>
      </c>
      <c r="M4595">
        <v>0.84674319999999903</v>
      </c>
      <c r="N4595">
        <v>0</v>
      </c>
      <c r="O4595">
        <v>-0.53177779999999997</v>
      </c>
      <c r="P4595">
        <v>0.58100929999999995</v>
      </c>
      <c r="Q4595">
        <v>0.166156</v>
      </c>
      <c r="R4595">
        <v>-0.79675659999999904</v>
      </c>
      <c r="S4595">
        <v>1.0469820000000001</v>
      </c>
      <c r="T4595">
        <v>-0.18296000000000001</v>
      </c>
      <c r="U4595">
        <v>-3.055771</v>
      </c>
      <c r="V4595">
        <v>0.36988670000000001</v>
      </c>
      <c r="W4595">
        <v>0.17158889999999999</v>
      </c>
      <c r="X4595">
        <v>0.91309419999999997</v>
      </c>
      <c r="Y4595">
        <v>0.62854639999999995</v>
      </c>
      <c r="Z4595">
        <v>1.315268E-2</v>
      </c>
      <c r="AA4595">
        <v>0.77766089999999999</v>
      </c>
      <c r="AB4595">
        <v>27</v>
      </c>
      <c r="AC4595">
        <v>6.0662999999999796</v>
      </c>
      <c r="AD4595">
        <v>-1.1007598305749999</v>
      </c>
      <c r="AE4595">
        <v>-18.226699999999902</v>
      </c>
      <c r="AF4595">
        <v>12.168908289849799</v>
      </c>
      <c r="AG4595">
        <v>-1.1007598305749999</v>
      </c>
      <c r="AH4595">
        <v>14.7823813687063</v>
      </c>
      <c r="AI4595">
        <v>93.290338059174999</v>
      </c>
      <c r="AJ4595">
        <v>50.538668466564602</v>
      </c>
      <c r="AK4595">
        <v>19.178446237932299</v>
      </c>
      <c r="AL4595">
        <v>80.1197857794876</v>
      </c>
      <c r="AM4595">
        <v>67.947548808272998</v>
      </c>
      <c r="AN4595">
        <v>0.999999969756869</v>
      </c>
    </row>
    <row r="4596" spans="1:40" x14ac:dyDescent="0.25">
      <c r="A4596" t="str">
        <f>"20190312172210155"</f>
        <v>20190312172210155</v>
      </c>
      <c r="B4596" t="str">
        <f>"1552382530145847"</f>
        <v>1552382530145847</v>
      </c>
      <c r="C4596" t="s">
        <v>40</v>
      </c>
      <c r="D4596">
        <v>3.3465630000000002</v>
      </c>
      <c r="E4596">
        <v>0.62393379999999998</v>
      </c>
      <c r="F4596" t="s">
        <v>42</v>
      </c>
      <c r="G4596">
        <v>-192.04859999999999</v>
      </c>
      <c r="H4596" s="1">
        <v>-1.5742699999999999E-6</v>
      </c>
      <c r="I4596">
        <v>191.98820000000001</v>
      </c>
      <c r="J4596">
        <v>-197.91909999999999</v>
      </c>
      <c r="K4596">
        <v>1.1007049999999901</v>
      </c>
      <c r="L4596">
        <v>210.64259999999999</v>
      </c>
      <c r="M4596">
        <v>0.83975390000000005</v>
      </c>
      <c r="N4596">
        <v>0</v>
      </c>
      <c r="O4596">
        <v>-0.54274669999999903</v>
      </c>
      <c r="P4596">
        <v>0.57062619999999997</v>
      </c>
      <c r="Q4596">
        <v>0.16618239999999901</v>
      </c>
      <c r="R4596">
        <v>-0.80421969999999898</v>
      </c>
      <c r="S4596">
        <v>0.99618530000000005</v>
      </c>
      <c r="T4596">
        <v>-0.1800359</v>
      </c>
      <c r="U4596">
        <v>-3.0763240000000001</v>
      </c>
      <c r="V4596">
        <v>0.36987160000000002</v>
      </c>
      <c r="W4596">
        <v>0.1715875</v>
      </c>
      <c r="X4596">
        <v>0.91310060000000004</v>
      </c>
      <c r="Y4596">
        <v>0.63159750000000003</v>
      </c>
      <c r="Z4596">
        <v>1.35733E-2</v>
      </c>
      <c r="AA4596">
        <v>0.77517769999999897</v>
      </c>
      <c r="AB4596">
        <v>27</v>
      </c>
      <c r="AC4596">
        <v>5.8704999999999901</v>
      </c>
      <c r="AD4596">
        <v>-1.10070657426999</v>
      </c>
      <c r="AE4596">
        <v>-18.6543999999999</v>
      </c>
      <c r="AF4596">
        <v>12.4409930780092</v>
      </c>
      <c r="AG4596">
        <v>-1.10070657426999</v>
      </c>
      <c r="AH4596">
        <v>15.0086460637946</v>
      </c>
      <c r="AI4596">
        <v>93.231617438613597</v>
      </c>
      <c r="AJ4596">
        <v>50.343925957964302</v>
      </c>
      <c r="AK4596">
        <v>19.525606786934201</v>
      </c>
      <c r="AL4596">
        <v>80.119867385030503</v>
      </c>
      <c r="AM4596">
        <v>67.948502500571905</v>
      </c>
      <c r="AN4596">
        <v>0.99999998818158498</v>
      </c>
    </row>
    <row r="4597" spans="1:40" x14ac:dyDescent="0.25">
      <c r="A4597" t="str">
        <f>"20190312172210177"</f>
        <v>20190312172210177</v>
      </c>
      <c r="B4597" t="str">
        <f>"1552382530165367"</f>
        <v>1552382530165367</v>
      </c>
      <c r="C4597" t="s">
        <v>40</v>
      </c>
      <c r="D4597">
        <v>3.3562810000000001</v>
      </c>
      <c r="E4597">
        <v>0.62408540000000001</v>
      </c>
      <c r="F4597" t="s">
        <v>42</v>
      </c>
      <c r="G4597">
        <v>-192.20529999999999</v>
      </c>
      <c r="H4597" s="1">
        <v>-1.6435030000000001E-6</v>
      </c>
      <c r="I4597">
        <v>192.0523</v>
      </c>
      <c r="J4597">
        <v>-197.70089999999999</v>
      </c>
      <c r="K4597">
        <v>1.1006499999999999</v>
      </c>
      <c r="L4597">
        <v>210.48500000000001</v>
      </c>
      <c r="M4597">
        <v>0.83256010000000003</v>
      </c>
      <c r="N4597">
        <v>0</v>
      </c>
      <c r="O4597">
        <v>-0.55371809999999999</v>
      </c>
      <c r="P4597">
        <v>0.56005389999999999</v>
      </c>
      <c r="Q4597">
        <v>0.16603599999999999</v>
      </c>
      <c r="R4597">
        <v>-0.81164809999999998</v>
      </c>
      <c r="S4597">
        <v>0.95080569999999998</v>
      </c>
      <c r="T4597">
        <v>-0.18316379999999999</v>
      </c>
      <c r="U4597">
        <v>-3.093521</v>
      </c>
      <c r="V4597">
        <v>0.3698842</v>
      </c>
      <c r="W4597">
        <v>0.17141129999999999</v>
      </c>
      <c r="X4597">
        <v>0.91312859999999996</v>
      </c>
      <c r="Y4597">
        <v>0.63303699999999996</v>
      </c>
      <c r="Z4597">
        <v>1.451261E-2</v>
      </c>
      <c r="AA4597">
        <v>0.77398559999999905</v>
      </c>
      <c r="AB4597">
        <v>27</v>
      </c>
      <c r="AC4597">
        <v>5.4955999999999898</v>
      </c>
      <c r="AD4597">
        <v>-1.1006516435029901</v>
      </c>
      <c r="AE4597">
        <v>-18.432700000000001</v>
      </c>
      <c r="AF4597">
        <v>12.2646338066717</v>
      </c>
      <c r="AG4597">
        <v>-1.1006516435029901</v>
      </c>
      <c r="AH4597">
        <v>14.735460180846999</v>
      </c>
      <c r="AI4597">
        <v>93.285752750207195</v>
      </c>
      <c r="AJ4597">
        <v>50.228674934982898</v>
      </c>
      <c r="AK4597">
        <v>19.2032930299318</v>
      </c>
      <c r="AL4597">
        <v>80.130114818254796</v>
      </c>
      <c r="AM4597">
        <v>67.948434692673302</v>
      </c>
      <c r="AN4597">
        <v>0.99999999765764402</v>
      </c>
    </row>
    <row r="4598" spans="1:40" x14ac:dyDescent="0.25">
      <c r="A4598" t="str">
        <f>"20190312172210199"</f>
        <v>20190312172210199</v>
      </c>
      <c r="B4598" t="str">
        <f>"1552382530195624"</f>
        <v>1552382530195624</v>
      </c>
      <c r="C4598" t="s">
        <v>40</v>
      </c>
      <c r="D4598">
        <v>3.3866209999999999</v>
      </c>
      <c r="E4598">
        <v>0.62403660000000005</v>
      </c>
      <c r="F4598" t="s">
        <v>42</v>
      </c>
      <c r="G4598">
        <v>-192.45419999999999</v>
      </c>
      <c r="H4598" s="1">
        <v>-1.931728E-6</v>
      </c>
      <c r="I4598">
        <v>192.56979999999999</v>
      </c>
      <c r="J4598">
        <v>-197.47880000000001</v>
      </c>
      <c r="K4598">
        <v>1.10059</v>
      </c>
      <c r="L4598">
        <v>210.32</v>
      </c>
      <c r="M4598">
        <v>0.82495209999999997</v>
      </c>
      <c r="N4598">
        <v>0</v>
      </c>
      <c r="O4598">
        <v>-0.56498950000000003</v>
      </c>
      <c r="P4598">
        <v>0.5490003</v>
      </c>
      <c r="Q4598">
        <v>0.166294</v>
      </c>
      <c r="R4598">
        <v>-0.81911250000000002</v>
      </c>
      <c r="S4598">
        <v>0.91001889999999996</v>
      </c>
      <c r="T4598">
        <v>-0.19090470000000001</v>
      </c>
      <c r="U4598">
        <v>-3.1073300000000001</v>
      </c>
      <c r="V4598">
        <v>0.36983080000000002</v>
      </c>
      <c r="W4598">
        <v>0.17163870000000001</v>
      </c>
      <c r="X4598">
        <v>0.91310749999999996</v>
      </c>
      <c r="Y4598">
        <v>0.63279469999999904</v>
      </c>
      <c r="Z4598">
        <v>1.5949789999999998E-2</v>
      </c>
      <c r="AA4598">
        <v>0.77415529999999999</v>
      </c>
      <c r="AB4598">
        <v>27</v>
      </c>
      <c r="AC4598">
        <v>5.0246000000000199</v>
      </c>
      <c r="AD4598">
        <v>-1.100591931728</v>
      </c>
      <c r="AE4598">
        <v>-17.7502</v>
      </c>
      <c r="AF4598">
        <v>11.7637692775559</v>
      </c>
      <c r="AG4598">
        <v>-1.100591931728</v>
      </c>
      <c r="AH4598">
        <v>14.1251621442716</v>
      </c>
      <c r="AI4598">
        <v>93.426356622456098</v>
      </c>
      <c r="AJ4598">
        <v>50.211667170930397</v>
      </c>
      <c r="AK4598">
        <v>18.415150713956098</v>
      </c>
      <c r="AL4598">
        <v>80.116889635741003</v>
      </c>
      <c r="AM4598">
        <v>67.950852460681503</v>
      </c>
      <c r="AN4598">
        <v>0.99999998526128997</v>
      </c>
    </row>
    <row r="4599" spans="1:40" x14ac:dyDescent="0.25">
      <c r="A4599" t="str">
        <f>"20190312172210223"</f>
        <v>20190312172210223</v>
      </c>
      <c r="B4599" t="str">
        <f>"1552382530215143"</f>
        <v>1552382530215143</v>
      </c>
      <c r="C4599" t="s">
        <v>40</v>
      </c>
      <c r="D4599">
        <v>3.4637190000000002</v>
      </c>
      <c r="E4599">
        <v>0.62397840000000004</v>
      </c>
      <c r="F4599" t="s">
        <v>42</v>
      </c>
      <c r="G4599">
        <v>-192.57820000000001</v>
      </c>
      <c r="H4599" s="1">
        <v>-2.0254059999999999E-6</v>
      </c>
      <c r="I4599">
        <v>192.71129999999999</v>
      </c>
      <c r="J4599">
        <v>-197.25049999999999</v>
      </c>
      <c r="K4599">
        <v>1.100525</v>
      </c>
      <c r="L4599">
        <v>210.14500000000001</v>
      </c>
      <c r="M4599">
        <v>0.816805</v>
      </c>
      <c r="N4599">
        <v>0</v>
      </c>
      <c r="O4599">
        <v>-0.57670449999999995</v>
      </c>
      <c r="P4599">
        <v>0.53772749999999903</v>
      </c>
      <c r="Q4599">
        <v>0.16655120000000001</v>
      </c>
      <c r="R4599">
        <v>-0.82650460000000003</v>
      </c>
      <c r="S4599">
        <v>0.86834719999999999</v>
      </c>
      <c r="T4599">
        <v>-0.19501499999999999</v>
      </c>
      <c r="U4599">
        <v>-3.1201020000000002</v>
      </c>
      <c r="V4599">
        <v>0.36929659999999997</v>
      </c>
      <c r="W4599">
        <v>0.17188020000000001</v>
      </c>
      <c r="X4599">
        <v>0.91327829999999999</v>
      </c>
      <c r="Y4599">
        <v>0.63216719999999904</v>
      </c>
      <c r="Z4599">
        <v>1.7189780000000002E-2</v>
      </c>
      <c r="AA4599">
        <v>0.77464129999999998</v>
      </c>
      <c r="AB4599">
        <v>27</v>
      </c>
      <c r="AC4599">
        <v>4.6722999999999697</v>
      </c>
      <c r="AD4599">
        <v>-1.100527025406</v>
      </c>
      <c r="AE4599">
        <v>-17.433700000000002</v>
      </c>
      <c r="AF4599">
        <v>11.504020496951201</v>
      </c>
      <c r="AG4599">
        <v>-1.100527025406</v>
      </c>
      <c r="AH4599">
        <v>13.8207423166051</v>
      </c>
      <c r="AI4599">
        <v>93.502207941448603</v>
      </c>
      <c r="AJ4599">
        <v>50.226897880418001</v>
      </c>
      <c r="AK4599">
        <v>18.0157310567715</v>
      </c>
      <c r="AL4599">
        <v>80.102844294146195</v>
      </c>
      <c r="AM4599">
        <v>67.983379100953499</v>
      </c>
      <c r="AN4599">
        <v>1.0000000175872401</v>
      </c>
    </row>
    <row r="4600" spans="1:40" x14ac:dyDescent="0.25">
      <c r="A4600" t="str">
        <f>"20190312172210244"</f>
        <v>20190312172210244</v>
      </c>
      <c r="B4600" t="str">
        <f>"1552382530235639"</f>
        <v>1552382530235639</v>
      </c>
      <c r="C4600" t="s">
        <v>40</v>
      </c>
      <c r="D4600">
        <v>3.3818260000000002</v>
      </c>
      <c r="E4600">
        <v>0.62374090000000004</v>
      </c>
      <c r="F4600" t="s">
        <v>42</v>
      </c>
      <c r="G4600">
        <v>-192.6301</v>
      </c>
      <c r="H4600" s="1">
        <v>-1.9947780000000002E-6</v>
      </c>
      <c r="I4600">
        <v>192.60769999999999</v>
      </c>
      <c r="J4600">
        <v>-197.04339999999999</v>
      </c>
      <c r="K4600">
        <v>1.100476</v>
      </c>
      <c r="L4600">
        <v>209.98140000000001</v>
      </c>
      <c r="M4600">
        <v>0.80911849999999996</v>
      </c>
      <c r="N4600">
        <v>0</v>
      </c>
      <c r="O4600">
        <v>-0.5874395</v>
      </c>
      <c r="P4600">
        <v>0.52692749999999999</v>
      </c>
      <c r="Q4600">
        <v>0.16703789999999999</v>
      </c>
      <c r="R4600">
        <v>-0.83333429999999997</v>
      </c>
      <c r="S4600">
        <v>0.82528690000000005</v>
      </c>
      <c r="T4600">
        <v>-0.19657179999999999</v>
      </c>
      <c r="U4600">
        <v>-3.132431</v>
      </c>
      <c r="V4600">
        <v>0.36907600000000002</v>
      </c>
      <c r="W4600">
        <v>0.17234469999999999</v>
      </c>
      <c r="X4600">
        <v>0.91327999999999998</v>
      </c>
      <c r="Y4600">
        <v>0.63265450000000001</v>
      </c>
      <c r="Z4600">
        <v>1.8122249999999999E-2</v>
      </c>
      <c r="AA4600">
        <v>0.77422209999999902</v>
      </c>
      <c r="AB4600">
        <v>27</v>
      </c>
      <c r="AC4600">
        <v>4.4132999999999898</v>
      </c>
      <c r="AD4600">
        <v>-1.1004779947779999</v>
      </c>
      <c r="AE4600">
        <v>-17.373699999999999</v>
      </c>
      <c r="AF4600">
        <v>11.423169879041501</v>
      </c>
      <c r="AG4600">
        <v>-1.1004779947779999</v>
      </c>
      <c r="AH4600">
        <v>13.7268124334596</v>
      </c>
      <c r="AI4600">
        <v>93.526291765878597</v>
      </c>
      <c r="AJ4600">
        <v>50.233471664443996</v>
      </c>
      <c r="AK4600">
        <v>17.892044083497399</v>
      </c>
      <c r="AL4600">
        <v>80.075827802071302</v>
      </c>
      <c r="AM4600">
        <v>67.995311886904304</v>
      </c>
      <c r="AN4600">
        <v>1.00000007389704</v>
      </c>
    </row>
    <row r="4601" spans="1:40" x14ac:dyDescent="0.25">
      <c r="A4601" t="str">
        <f>"20190312172210266"</f>
        <v>20190312172210266</v>
      </c>
      <c r="B4601" t="str">
        <f>"1552382530255159"</f>
        <v>1552382530255159</v>
      </c>
      <c r="C4601" t="s">
        <v>40</v>
      </c>
      <c r="D4601">
        <v>3.371219</v>
      </c>
      <c r="E4601">
        <v>0.62323719999999905</v>
      </c>
      <c r="F4601" t="s">
        <v>42</v>
      </c>
      <c r="G4601">
        <v>-192.62190000000001</v>
      </c>
      <c r="H4601" s="1">
        <v>-1.8559680000000001E-6</v>
      </c>
      <c r="I4601">
        <v>192.28919999999999</v>
      </c>
      <c r="J4601">
        <v>-196.82689999999999</v>
      </c>
      <c r="K4601">
        <v>1.100438</v>
      </c>
      <c r="L4601">
        <v>209.80549999999999</v>
      </c>
      <c r="M4601">
        <v>0.80078169999999904</v>
      </c>
      <c r="N4601">
        <v>0</v>
      </c>
      <c r="O4601">
        <v>-0.5987538</v>
      </c>
      <c r="P4601">
        <v>0.51517639999999998</v>
      </c>
      <c r="Q4601">
        <v>0.16812550000000001</v>
      </c>
      <c r="R4601">
        <v>-0.84043319999999999</v>
      </c>
      <c r="S4601">
        <v>0.78535459999999901</v>
      </c>
      <c r="T4601">
        <v>-0.1954716</v>
      </c>
      <c r="U4601">
        <v>-3.142563</v>
      </c>
      <c r="V4601">
        <v>0.36893500000000001</v>
      </c>
      <c r="W4601">
        <v>0.17340939999999999</v>
      </c>
      <c r="X4601">
        <v>0.91313529999999998</v>
      </c>
      <c r="Y4601">
        <v>0.63163009999999997</v>
      </c>
      <c r="Z4601">
        <v>1.8918509999999999E-2</v>
      </c>
      <c r="AA4601">
        <v>0.77503900000000003</v>
      </c>
      <c r="AB4601">
        <v>27</v>
      </c>
      <c r="AC4601">
        <v>4.2049999999999796</v>
      </c>
      <c r="AD4601">
        <v>-1.100439855968</v>
      </c>
      <c r="AE4601">
        <v>-17.516300000000001</v>
      </c>
      <c r="AF4601">
        <v>11.4675745181545</v>
      </c>
      <c r="AG4601">
        <v>-1.100439855968</v>
      </c>
      <c r="AH4601">
        <v>13.805400378259201</v>
      </c>
      <c r="AI4601">
        <v>93.508762806710607</v>
      </c>
      <c r="AJ4601">
        <v>50.284991214200502</v>
      </c>
      <c r="AK4601">
        <v>17.980692778924599</v>
      </c>
      <c r="AL4601">
        <v>80.013891355108399</v>
      </c>
      <c r="AM4601">
        <v>67.999763141880194</v>
      </c>
      <c r="AN4601">
        <v>0.999999965169724</v>
      </c>
    </row>
    <row r="4602" spans="1:40" x14ac:dyDescent="0.25">
      <c r="A4602" t="str">
        <f>"20190312172210289"</f>
        <v>20190312172210289</v>
      </c>
      <c r="B4602" t="str">
        <f>"1552382530285414"</f>
        <v>1552382530285414</v>
      </c>
      <c r="C4602" t="s">
        <v>40</v>
      </c>
      <c r="D4602">
        <v>3.3450899999999999</v>
      </c>
      <c r="E4602">
        <v>0.62233909999999903</v>
      </c>
      <c r="F4602" t="s">
        <v>42</v>
      </c>
      <c r="G4602">
        <v>-192.6103</v>
      </c>
      <c r="H4602" s="1">
        <v>-1.719707E-6</v>
      </c>
      <c r="I4602">
        <v>191.97880000000001</v>
      </c>
      <c r="J4602">
        <v>-196.6233</v>
      </c>
      <c r="K4602">
        <v>1.1004050000000001</v>
      </c>
      <c r="L4602">
        <v>209.6354</v>
      </c>
      <c r="M4602">
        <v>0.79264540000000006</v>
      </c>
      <c r="N4602">
        <v>0</v>
      </c>
      <c r="O4602">
        <v>-0.60948329999999995</v>
      </c>
      <c r="P4602">
        <v>0.50365249999999995</v>
      </c>
      <c r="Q4602">
        <v>0.16900009999999999</v>
      </c>
      <c r="R4602">
        <v>-0.84721489999999999</v>
      </c>
      <c r="S4602">
        <v>0.74543760000000003</v>
      </c>
      <c r="T4602">
        <v>-0.19454289999999999</v>
      </c>
      <c r="U4602">
        <v>-3.1515200000000001</v>
      </c>
      <c r="V4602">
        <v>0.36900850000000002</v>
      </c>
      <c r="W4602">
        <v>0.17425979999999999</v>
      </c>
      <c r="X4602">
        <v>0.91294370000000002</v>
      </c>
      <c r="Y4602">
        <v>0.63098980000000005</v>
      </c>
      <c r="Z4602">
        <v>1.96724E-2</v>
      </c>
      <c r="AA4602">
        <v>0.7755417</v>
      </c>
      <c r="AB4602">
        <v>27</v>
      </c>
      <c r="AC4602">
        <v>4.0129999999999999</v>
      </c>
      <c r="AD4602">
        <v>-1.10040671970699</v>
      </c>
      <c r="AE4602">
        <v>-17.656599999999901</v>
      </c>
      <c r="AF4602">
        <v>11.508467392203899</v>
      </c>
      <c r="AG4602">
        <v>-1.10040671970699</v>
      </c>
      <c r="AH4602">
        <v>13.8926754764106</v>
      </c>
      <c r="AI4602">
        <v>93.490560235445102</v>
      </c>
      <c r="AJ4602">
        <v>50.362199637855603</v>
      </c>
      <c r="AK4602">
        <v>18.073797292186701</v>
      </c>
      <c r="AL4602">
        <v>79.964413818400303</v>
      </c>
      <c r="AM4602">
        <v>67.991621561021205</v>
      </c>
      <c r="AN4602">
        <v>0.99999997516898897</v>
      </c>
    </row>
    <row r="4603" spans="1:40" x14ac:dyDescent="0.25">
      <c r="A4603" t="str">
        <f>"20190312172210311"</f>
        <v>20190312172210311</v>
      </c>
      <c r="B4603" t="str">
        <f>"1552382530304935"</f>
        <v>1552382530304935</v>
      </c>
      <c r="C4603" t="s">
        <v>40</v>
      </c>
      <c r="D4603">
        <v>3.3744890000000001</v>
      </c>
      <c r="E4603">
        <v>0.61322529999999997</v>
      </c>
      <c r="F4603" t="s">
        <v>42</v>
      </c>
      <c r="G4603">
        <v>-192.6165</v>
      </c>
      <c r="H4603" s="1">
        <v>-1.646253E-6</v>
      </c>
      <c r="I4603">
        <v>191.80369999999999</v>
      </c>
      <c r="J4603">
        <v>-196.41290000000001</v>
      </c>
      <c r="K4603">
        <v>1.100365</v>
      </c>
      <c r="L4603">
        <v>209.45429999999999</v>
      </c>
      <c r="M4603">
        <v>0.78391299999999997</v>
      </c>
      <c r="N4603">
        <v>0</v>
      </c>
      <c r="O4603">
        <v>-0.62067410000000001</v>
      </c>
      <c r="P4603">
        <v>0.49147980000000002</v>
      </c>
      <c r="Q4603">
        <v>0.1695208</v>
      </c>
      <c r="R4603">
        <v>-0.85423099999999996</v>
      </c>
      <c r="S4603">
        <v>0.70962519999999996</v>
      </c>
      <c r="T4603">
        <v>-0.19488810000000001</v>
      </c>
      <c r="U4603">
        <v>-3.1580810000000001</v>
      </c>
      <c r="V4603">
        <v>0.36906109999999998</v>
      </c>
      <c r="W4603">
        <v>0.1747561</v>
      </c>
      <c r="X4603">
        <v>0.91282759999999996</v>
      </c>
      <c r="Y4603">
        <v>0.62869839999999999</v>
      </c>
      <c r="Z4603">
        <v>2.0654809999999999E-2</v>
      </c>
      <c r="AA4603">
        <v>0.77737480000000003</v>
      </c>
      <c r="AB4603">
        <v>27</v>
      </c>
      <c r="AC4603">
        <v>3.7964000000000002</v>
      </c>
      <c r="AD4603">
        <v>-1.100366646253</v>
      </c>
      <c r="AE4603">
        <v>-17.650599999999901</v>
      </c>
      <c r="AF4603">
        <v>11.439116816500301</v>
      </c>
      <c r="AG4603">
        <v>-1.100366646253</v>
      </c>
      <c r="AH4603">
        <v>13.881453556402199</v>
      </c>
      <c r="AI4603">
        <v>93.500658278814399</v>
      </c>
      <c r="AJ4603">
        <v>50.509513040715497</v>
      </c>
      <c r="AK4603">
        <v>18.0210697001115</v>
      </c>
      <c r="AL4603">
        <v>79.935535136145404</v>
      </c>
      <c r="AM4603">
        <v>67.986251990219102</v>
      </c>
      <c r="AN4603">
        <v>1.0000000086710801</v>
      </c>
    </row>
    <row r="4604" spans="1:40" x14ac:dyDescent="0.25">
      <c r="A4604" t="str">
        <f>"20190312172210336"</f>
        <v>20190312172210336</v>
      </c>
      <c r="B4604" t="str">
        <f>"1552382530325430"</f>
        <v>1552382530325430</v>
      </c>
      <c r="C4604" t="s">
        <v>40</v>
      </c>
      <c r="D4604">
        <v>3.342247</v>
      </c>
      <c r="E4604">
        <v>0.61213050000000002</v>
      </c>
      <c r="F4604" t="s">
        <v>42</v>
      </c>
      <c r="G4604">
        <v>-192.74690000000001</v>
      </c>
      <c r="H4604" s="1">
        <v>-2.4864410000000001E-6</v>
      </c>
      <c r="I4604">
        <v>193.6814</v>
      </c>
      <c r="J4604">
        <v>-196.19880000000001</v>
      </c>
      <c r="K4604">
        <v>1.1003160000000001</v>
      </c>
      <c r="L4604">
        <v>209.2647</v>
      </c>
      <c r="M4604">
        <v>0.77467439999999999</v>
      </c>
      <c r="N4604">
        <v>0</v>
      </c>
      <c r="O4604">
        <v>-0.63216669999999997</v>
      </c>
      <c r="P4604">
        <v>0.47856159999999998</v>
      </c>
      <c r="Q4604">
        <v>0.16986499999999999</v>
      </c>
      <c r="R4604">
        <v>-0.86146690000000004</v>
      </c>
      <c r="S4604">
        <v>0.72888180000000002</v>
      </c>
      <c r="T4604">
        <v>-0.21877440000000001</v>
      </c>
      <c r="U4604">
        <v>-3.1359710000000001</v>
      </c>
      <c r="V4604">
        <v>0.36932199999999998</v>
      </c>
      <c r="W4604">
        <v>0.17506739999999901</v>
      </c>
      <c r="X4604">
        <v>0.91266239999999998</v>
      </c>
      <c r="Y4604">
        <v>0.61136999999999997</v>
      </c>
      <c r="Z4604">
        <v>2.495416E-2</v>
      </c>
      <c r="AA4604">
        <v>0.79095139999999997</v>
      </c>
      <c r="AB4604">
        <v>27</v>
      </c>
      <c r="AC4604">
        <v>3.45189999999999</v>
      </c>
      <c r="AD4604">
        <v>-1.1003184864410001</v>
      </c>
      <c r="AE4604">
        <v>-15.583299999999999</v>
      </c>
      <c r="AF4604">
        <v>9.8442343787806497</v>
      </c>
      <c r="AG4604">
        <v>-1.1003184864410001</v>
      </c>
      <c r="AH4604">
        <v>12.467624191440301</v>
      </c>
      <c r="AI4604">
        <v>93.962285550308195</v>
      </c>
      <c r="AJ4604">
        <v>51.705949480140099</v>
      </c>
      <c r="AK4604">
        <v>15.923608393042</v>
      </c>
      <c r="AL4604">
        <v>79.917419558276407</v>
      </c>
      <c r="AM4604">
        <v>67.968572464775406</v>
      </c>
      <c r="AN4604">
        <v>0.99999999530025996</v>
      </c>
    </row>
    <row r="4605" spans="1:40" x14ac:dyDescent="0.25">
      <c r="A4605" t="str">
        <f>"20190312172210356"</f>
        <v>20190312172210356</v>
      </c>
      <c r="B4605" t="str">
        <f>"1552382530344951"</f>
        <v>1552382530344951</v>
      </c>
      <c r="C4605" t="s">
        <v>40</v>
      </c>
      <c r="D4605">
        <v>3.4242210000000002</v>
      </c>
      <c r="E4605">
        <v>0.61280780000000001</v>
      </c>
      <c r="F4605" t="s">
        <v>42</v>
      </c>
      <c r="G4605">
        <v>-192.74529999999999</v>
      </c>
      <c r="H4605" s="1">
        <v>-2.4206760000000001E-6</v>
      </c>
      <c r="I4605">
        <v>193.529</v>
      </c>
      <c r="J4605">
        <v>-196.00489999999999</v>
      </c>
      <c r="K4605">
        <v>1.100271</v>
      </c>
      <c r="L4605">
        <v>209.08779999999999</v>
      </c>
      <c r="M4605">
        <v>0.76597369999999898</v>
      </c>
      <c r="N4605">
        <v>0</v>
      </c>
      <c r="O4605">
        <v>-0.6426809</v>
      </c>
      <c r="P4605">
        <v>0.46618409999999899</v>
      </c>
      <c r="Q4605">
        <v>0.17024790000000001</v>
      </c>
      <c r="R4605">
        <v>-0.86815200000000003</v>
      </c>
      <c r="S4605">
        <v>0.68971249999999995</v>
      </c>
      <c r="T4605">
        <v>-0.21975140000000001</v>
      </c>
      <c r="U4605">
        <v>-3.1426699999999999</v>
      </c>
      <c r="V4605">
        <v>0.36990149999999999</v>
      </c>
      <c r="W4605">
        <v>0.1754059</v>
      </c>
      <c r="X4605">
        <v>0.91236269999999997</v>
      </c>
      <c r="Y4605">
        <v>0.61033230000000005</v>
      </c>
      <c r="Z4605">
        <v>2.6038680000000002E-2</v>
      </c>
      <c r="AA4605">
        <v>0.79171740000000002</v>
      </c>
      <c r="AB4605">
        <v>27</v>
      </c>
      <c r="AC4605">
        <v>3.2595999999999998</v>
      </c>
      <c r="AD4605">
        <v>-1.1002734206759901</v>
      </c>
      <c r="AE4605">
        <v>-15.5587999999999</v>
      </c>
      <c r="AF4605">
        <v>9.7771164807640805</v>
      </c>
      <c r="AG4605">
        <v>-1.1002734206759901</v>
      </c>
      <c r="AH4605">
        <v>12.438059652950299</v>
      </c>
      <c r="AI4605">
        <v>93.978289903428205</v>
      </c>
      <c r="AJ4605">
        <v>51.830370791320099</v>
      </c>
      <c r="AK4605">
        <v>15.859001740621199</v>
      </c>
      <c r="AL4605">
        <v>79.897720396025306</v>
      </c>
      <c r="AM4605">
        <v>67.930766653560099</v>
      </c>
      <c r="AN4605">
        <v>1.0000000229041699</v>
      </c>
    </row>
    <row r="4606" spans="1:40" x14ac:dyDescent="0.25">
      <c r="A4606" t="str">
        <f>"20190312172210378"</f>
        <v>20190312172210378</v>
      </c>
      <c r="B4606" t="str">
        <f>"1552382530375207"</f>
        <v>1552382530375207</v>
      </c>
      <c r="C4606" t="s">
        <v>40</v>
      </c>
      <c r="D4606">
        <v>3.4176069999999998</v>
      </c>
      <c r="E4606">
        <v>0.64842180000000005</v>
      </c>
      <c r="F4606" t="s">
        <v>42</v>
      </c>
      <c r="G4606">
        <v>-192.80609999999999</v>
      </c>
      <c r="H4606" s="1">
        <v>-2.34224E-6</v>
      </c>
      <c r="I4606">
        <v>193.30850000000001</v>
      </c>
      <c r="J4606">
        <v>-195.81139999999999</v>
      </c>
      <c r="K4606">
        <v>1.100222</v>
      </c>
      <c r="L4606">
        <v>208.90620000000001</v>
      </c>
      <c r="M4606">
        <v>0.75695959999999995</v>
      </c>
      <c r="N4606">
        <v>0</v>
      </c>
      <c r="O4606">
        <v>-0.65327329999999995</v>
      </c>
      <c r="P4606">
        <v>0.45372980000000002</v>
      </c>
      <c r="Q4606">
        <v>0.1701732</v>
      </c>
      <c r="R4606">
        <v>-0.87474030000000003</v>
      </c>
      <c r="S4606">
        <v>0.63964840000000001</v>
      </c>
      <c r="T4606">
        <v>-0.22001680000000001</v>
      </c>
      <c r="U4606">
        <v>-3.1553040000000001</v>
      </c>
      <c r="V4606">
        <v>0.37028270000000002</v>
      </c>
      <c r="W4606">
        <v>0.1752899</v>
      </c>
      <c r="X4606">
        <v>0.9122304</v>
      </c>
      <c r="Y4606">
        <v>0.61201269999999997</v>
      </c>
      <c r="Z4606">
        <v>2.6924119999999999E-2</v>
      </c>
      <c r="AA4606">
        <v>0.79038949999999997</v>
      </c>
      <c r="AB4606">
        <v>27</v>
      </c>
      <c r="AC4606">
        <v>3.0053000000000001</v>
      </c>
      <c r="AD4606">
        <v>-1.10022434224</v>
      </c>
      <c r="AE4606">
        <v>-15.5977</v>
      </c>
      <c r="AF4606">
        <v>9.7977540083935395</v>
      </c>
      <c r="AG4606">
        <v>-1.10022434224</v>
      </c>
      <c r="AH4606">
        <v>12.406466605986401</v>
      </c>
      <c r="AI4606">
        <v>93.981133960348302</v>
      </c>
      <c r="AJ4606">
        <v>51.700804708929802</v>
      </c>
      <c r="AK4606">
        <v>15.8469836517144</v>
      </c>
      <c r="AL4606">
        <v>79.904471728845905</v>
      </c>
      <c r="AM4606">
        <v>67.907314586170699</v>
      </c>
      <c r="AN4606">
        <v>1.0000000648227201</v>
      </c>
    </row>
    <row r="4607" spans="1:40" x14ac:dyDescent="0.25">
      <c r="A4607" t="str">
        <f>"20190312172210402"</f>
        <v>20190312172210402</v>
      </c>
      <c r="B4607" t="str">
        <f>"1552382530395706"</f>
        <v>1552382530395706</v>
      </c>
      <c r="C4607" t="s">
        <v>40</v>
      </c>
      <c r="D4607">
        <v>3.291083</v>
      </c>
      <c r="E4607">
        <v>0.64969840000000001</v>
      </c>
      <c r="F4607" t="s">
        <v>42</v>
      </c>
      <c r="G4607">
        <v>-193.3297</v>
      </c>
      <c r="H4607" s="1">
        <v>-3.1577120000000002E-6</v>
      </c>
      <c r="I4607">
        <v>184.88460000000001</v>
      </c>
      <c r="J4607">
        <v>-195.6086</v>
      </c>
      <c r="K4607">
        <v>1.10016</v>
      </c>
      <c r="L4607">
        <v>208.7099</v>
      </c>
      <c r="M4607">
        <v>0.7471198</v>
      </c>
      <c r="N4607">
        <v>0</v>
      </c>
      <c r="O4607">
        <v>-0.66450390000000004</v>
      </c>
      <c r="P4607">
        <v>0.44033430000000001</v>
      </c>
      <c r="Q4607">
        <v>0.1704445</v>
      </c>
      <c r="R4607">
        <v>-0.88150709999999999</v>
      </c>
      <c r="S4607">
        <v>0.33915709999999999</v>
      </c>
      <c r="T4607">
        <v>-0.1503632</v>
      </c>
      <c r="U4607">
        <v>-3.2829280000000001</v>
      </c>
      <c r="V4607">
        <v>0.37057069999999998</v>
      </c>
      <c r="W4607">
        <v>0.1755176</v>
      </c>
      <c r="X4607">
        <v>0.91206960000000004</v>
      </c>
      <c r="Y4607">
        <v>0.67485439999999997</v>
      </c>
      <c r="Z4607">
        <v>1.7046490000000001E-2</v>
      </c>
      <c r="AA4607">
        <v>0.73775400000000002</v>
      </c>
      <c r="AB4607">
        <v>27</v>
      </c>
      <c r="AC4607">
        <v>2.2788999999999899</v>
      </c>
      <c r="AD4607">
        <v>-1.1001631577119999</v>
      </c>
      <c r="AE4607">
        <v>-23.825299999999999</v>
      </c>
      <c r="AF4607">
        <v>16.253680981283701</v>
      </c>
      <c r="AG4607">
        <v>-1.1001631577119999</v>
      </c>
      <c r="AH4607">
        <v>17.499802642121701</v>
      </c>
      <c r="AI4607">
        <v>92.637384659419595</v>
      </c>
      <c r="AJ4607">
        <v>47.114303277912803</v>
      </c>
      <c r="AK4607">
        <v>23.908902043551599</v>
      </c>
      <c r="AL4607">
        <v>79.891219509144904</v>
      </c>
      <c r="AM4607">
        <v>67.888264114802297</v>
      </c>
      <c r="AN4607">
        <v>1.0000000134261999</v>
      </c>
    </row>
    <row r="4608" spans="1:40" x14ac:dyDescent="0.25">
      <c r="A4608" t="str">
        <f>"20190312172210424"</f>
        <v>20190312172210424</v>
      </c>
      <c r="B4608" t="str">
        <f>"1552382530415223"</f>
        <v>1552382530415223</v>
      </c>
      <c r="C4608" t="s">
        <v>40</v>
      </c>
      <c r="D4608">
        <v>3.3208880000000001</v>
      </c>
      <c r="E4608">
        <v>0.64924910000000002</v>
      </c>
      <c r="F4608" t="s">
        <v>42</v>
      </c>
      <c r="G4608">
        <v>-193.24189999999999</v>
      </c>
      <c r="H4608" s="1">
        <v>-1.412306E-6</v>
      </c>
      <c r="I4608">
        <v>180.87049999999999</v>
      </c>
      <c r="J4608">
        <v>-195.41550000000001</v>
      </c>
      <c r="K4608">
        <v>1.100098</v>
      </c>
      <c r="L4608">
        <v>208.5171</v>
      </c>
      <c r="M4608">
        <v>0.73736080000000004</v>
      </c>
      <c r="N4608">
        <v>0</v>
      </c>
      <c r="O4608">
        <v>-0.67531589999999997</v>
      </c>
      <c r="P4608">
        <v>0.4271317</v>
      </c>
      <c r="Q4608">
        <v>0.17024259999999999</v>
      </c>
      <c r="R4608">
        <v>-0.88801799999999997</v>
      </c>
      <c r="S4608">
        <v>0.27957149999999997</v>
      </c>
      <c r="T4608">
        <v>-0.1299632</v>
      </c>
      <c r="U4608">
        <v>-3.2886959999999998</v>
      </c>
      <c r="V4608">
        <v>0.37094549999999998</v>
      </c>
      <c r="W4608">
        <v>0.17527110000000001</v>
      </c>
      <c r="X4608">
        <v>0.91196460000000001</v>
      </c>
      <c r="Y4608">
        <v>0.67751219999999901</v>
      </c>
      <c r="Z4608">
        <v>1.5250130000000001E-2</v>
      </c>
      <c r="AA4608">
        <v>0.73535349999999999</v>
      </c>
      <c r="AB4608">
        <v>27</v>
      </c>
      <c r="AC4608">
        <v>2.17360000000002</v>
      </c>
      <c r="AD4608">
        <v>-1.1000994123059999</v>
      </c>
      <c r="AE4608">
        <v>-27.646599999999999</v>
      </c>
      <c r="AF4608">
        <v>18.890267414549601</v>
      </c>
      <c r="AG4608">
        <v>-1.1000994123059999</v>
      </c>
      <c r="AH4608">
        <v>20.243569088943701</v>
      </c>
      <c r="AI4608">
        <v>92.275250629723303</v>
      </c>
      <c r="AJ4608">
        <v>46.980577289629601</v>
      </c>
      <c r="AK4608">
        <v>27.710187858782</v>
      </c>
      <c r="AL4608">
        <v>79.905564932477603</v>
      </c>
      <c r="AM4608">
        <v>67.865756121392195</v>
      </c>
      <c r="AN4608">
        <v>0.99999997705930899</v>
      </c>
    </row>
    <row r="4609" spans="1:40" x14ac:dyDescent="0.25">
      <c r="A4609" t="str">
        <f>"20190312172210445"</f>
        <v>20190312172210445</v>
      </c>
      <c r="B4609" t="str">
        <f>"1552382530435720"</f>
        <v>1552382530435720</v>
      </c>
      <c r="C4609" t="s">
        <v>40</v>
      </c>
      <c r="D4609">
        <v>3.3540239999999999</v>
      </c>
      <c r="E4609">
        <v>0.64950379999999996</v>
      </c>
      <c r="F4609" t="s">
        <v>42</v>
      </c>
      <c r="G4609">
        <v>-193.33449999999999</v>
      </c>
      <c r="H4609" s="1">
        <v>-4.7427499999999996E-6</v>
      </c>
      <c r="I4609">
        <v>179.18549999999999</v>
      </c>
      <c r="J4609">
        <v>-195.23609999999999</v>
      </c>
      <c r="K4609">
        <v>1.1000479999999999</v>
      </c>
      <c r="L4609">
        <v>208.33269999999999</v>
      </c>
      <c r="M4609">
        <v>0.72794309999999995</v>
      </c>
      <c r="N4609">
        <v>0</v>
      </c>
      <c r="O4609">
        <v>-0.68545659999999997</v>
      </c>
      <c r="P4609">
        <v>0.41435110000000003</v>
      </c>
      <c r="Q4609">
        <v>0.1698356</v>
      </c>
      <c r="R4609">
        <v>-0.89413029999999905</v>
      </c>
      <c r="S4609">
        <v>0.23339840000000001</v>
      </c>
      <c r="T4609">
        <v>-0.123383199999999</v>
      </c>
      <c r="U4609">
        <v>-3.2897189999999998</v>
      </c>
      <c r="V4609">
        <v>0.3714731</v>
      </c>
      <c r="W4609">
        <v>0.174822799999999</v>
      </c>
      <c r="X4609">
        <v>0.91183599999999998</v>
      </c>
      <c r="Y4609">
        <v>0.67762060000000002</v>
      </c>
      <c r="Z4609">
        <v>1.5004389999999999E-2</v>
      </c>
      <c r="AA4609">
        <v>0.73525859999999998</v>
      </c>
      <c r="AB4609">
        <v>26</v>
      </c>
      <c r="AC4609">
        <v>1.9016</v>
      </c>
      <c r="AD4609">
        <v>-1.10005274275</v>
      </c>
      <c r="AE4609">
        <v>-29.147200000000002</v>
      </c>
      <c r="AF4609">
        <v>19.888300661372899</v>
      </c>
      <c r="AG4609">
        <v>-1.10005274275</v>
      </c>
      <c r="AH4609">
        <v>21.335785773569398</v>
      </c>
      <c r="AI4609">
        <v>92.159865750205299</v>
      </c>
      <c r="AJ4609">
        <v>47.010977971822399</v>
      </c>
      <c r="AK4609">
        <v>29.188531545962501</v>
      </c>
      <c r="AL4609">
        <v>79.931654514884897</v>
      </c>
      <c r="AM4609">
        <v>67.834497074747802</v>
      </c>
      <c r="AN4609">
        <v>1.00000008315972</v>
      </c>
    </row>
    <row r="4610" spans="1:40" x14ac:dyDescent="0.25">
      <c r="A4610" t="str">
        <f>"20190312172210467"</f>
        <v>20190312172210467</v>
      </c>
      <c r="B4610" t="str">
        <f>"1552382530455239"</f>
        <v>1552382530455239</v>
      </c>
      <c r="C4610" t="s">
        <v>40</v>
      </c>
      <c r="D4610">
        <v>3.3660190000000001</v>
      </c>
      <c r="E4610">
        <v>0.64903459999999902</v>
      </c>
      <c r="F4610" t="s">
        <v>42</v>
      </c>
      <c r="G4610">
        <v>-193.63489999999999</v>
      </c>
      <c r="H4610" s="1">
        <v>-1.0285429999999999E-6</v>
      </c>
      <c r="I4610">
        <v>179.73220000000001</v>
      </c>
      <c r="J4610">
        <v>-195.04990000000001</v>
      </c>
      <c r="K4610">
        <v>1.099998</v>
      </c>
      <c r="L4610">
        <v>208.13560000000001</v>
      </c>
      <c r="M4610">
        <v>0.71778960000000003</v>
      </c>
      <c r="N4610">
        <v>0</v>
      </c>
      <c r="O4610">
        <v>-0.69608139999999996</v>
      </c>
      <c r="P4610">
        <v>0.40105560000000001</v>
      </c>
      <c r="Q4610">
        <v>0.16977110000000001</v>
      </c>
      <c r="R4610">
        <v>-0.90018449999999905</v>
      </c>
      <c r="S4610">
        <v>0.1844025</v>
      </c>
      <c r="T4610">
        <v>-0.126689</v>
      </c>
      <c r="U4610">
        <v>-3.2938230000000002</v>
      </c>
      <c r="V4610">
        <v>0.3716121</v>
      </c>
      <c r="W4610">
        <v>0.174729299999999</v>
      </c>
      <c r="X4610">
        <v>0.91179719999999997</v>
      </c>
      <c r="Y4610">
        <v>0.67776809999999998</v>
      </c>
      <c r="Z4610">
        <v>1.595806E-2</v>
      </c>
      <c r="AA4610">
        <v>0.735102699999999</v>
      </c>
      <c r="AB4610">
        <v>26</v>
      </c>
      <c r="AC4610">
        <v>1.41500000000002</v>
      </c>
      <c r="AD4610">
        <v>-1.0999990285429999</v>
      </c>
      <c r="AE4610">
        <v>-28.403400000000001</v>
      </c>
      <c r="AF4610">
        <v>19.3761347559842</v>
      </c>
      <c r="AG4610">
        <v>-1.0999990285429999</v>
      </c>
      <c r="AH4610">
        <v>20.758279862680698</v>
      </c>
      <c r="AI4610">
        <v>92.218393213945106</v>
      </c>
      <c r="AJ4610">
        <v>46.972367062956202</v>
      </c>
      <c r="AK4610">
        <v>28.417437935222601</v>
      </c>
      <c r="AL4610">
        <v>79.937094646076801</v>
      </c>
      <c r="AM4610">
        <v>67.826154458029194</v>
      </c>
      <c r="AN4610">
        <v>1.00000000753637</v>
      </c>
    </row>
    <row r="4611" spans="1:40" x14ac:dyDescent="0.25">
      <c r="A4611" t="str">
        <f>"20190312172210490"</f>
        <v>20190312172210490</v>
      </c>
      <c r="B4611" t="str">
        <f>"1552382530485495"</f>
        <v>1552382530485495</v>
      </c>
      <c r="C4611" t="s">
        <v>40</v>
      </c>
      <c r="D4611">
        <v>3.339629</v>
      </c>
      <c r="E4611">
        <v>0.64765539999999999</v>
      </c>
      <c r="F4611" t="s">
        <v>42</v>
      </c>
      <c r="G4611">
        <v>-193.84630000000001</v>
      </c>
      <c r="H4611" s="1">
        <v>-1.0909800000000001E-6</v>
      </c>
      <c r="I4611">
        <v>179.7466</v>
      </c>
      <c r="J4611">
        <v>-194.86330000000001</v>
      </c>
      <c r="K4611">
        <v>1.099952</v>
      </c>
      <c r="L4611">
        <v>207.93190000000001</v>
      </c>
      <c r="M4611">
        <v>0.70719960000000004</v>
      </c>
      <c r="N4611">
        <v>0</v>
      </c>
      <c r="O4611">
        <v>-0.70683750000000001</v>
      </c>
      <c r="P4611">
        <v>0.38720529999999997</v>
      </c>
      <c r="Q4611">
        <v>0.17030379999999901</v>
      </c>
      <c r="R4611">
        <v>-0.90612859999999995</v>
      </c>
      <c r="S4611">
        <v>0.139679</v>
      </c>
      <c r="T4611">
        <v>-0.12765380000000001</v>
      </c>
      <c r="U4611">
        <v>-3.2945099999999998</v>
      </c>
      <c r="V4611">
        <v>0.37179309999999899</v>
      </c>
      <c r="W4611">
        <v>0.1752322</v>
      </c>
      <c r="X4611">
        <v>0.91162690000000002</v>
      </c>
      <c r="Y4611">
        <v>0.67663260000000003</v>
      </c>
      <c r="Z4611">
        <v>1.6687270000000001E-2</v>
      </c>
      <c r="AA4611">
        <v>0.73613169999999895</v>
      </c>
      <c r="AB4611">
        <v>26</v>
      </c>
      <c r="AC4611">
        <v>1.0169999999999899</v>
      </c>
      <c r="AD4611">
        <v>-1.0999530909799999</v>
      </c>
      <c r="AE4611">
        <v>-28.185300000000002</v>
      </c>
      <c r="AF4611">
        <v>19.1869922678293</v>
      </c>
      <c r="AG4611">
        <v>-1.0999530909799999</v>
      </c>
      <c r="AH4611">
        <v>20.612871437387899</v>
      </c>
      <c r="AI4611">
        <v>92.236819601216098</v>
      </c>
      <c r="AJ4611">
        <v>47.051814369376601</v>
      </c>
      <c r="AK4611">
        <v>28.182282341612801</v>
      </c>
      <c r="AL4611">
        <v>79.907829201652504</v>
      </c>
      <c r="AM4611">
        <v>67.812659443296894</v>
      </c>
      <c r="AN4611">
        <v>1.0000000189640299</v>
      </c>
    </row>
    <row r="4612" spans="1:40" x14ac:dyDescent="0.25">
      <c r="A4612" t="str">
        <f>"20190312172210513"</f>
        <v>20190312172210513</v>
      </c>
      <c r="B4612" t="str">
        <f>"1552382530505015"</f>
        <v>1552382530505015</v>
      </c>
      <c r="C4612" t="s">
        <v>40</v>
      </c>
      <c r="D4612">
        <v>3.2862779999999998</v>
      </c>
      <c r="E4612">
        <v>0.64627829999999997</v>
      </c>
      <c r="F4612" t="s">
        <v>42</v>
      </c>
      <c r="G4612">
        <v>-193.99340000000001</v>
      </c>
      <c r="H4612" s="1">
        <v>-4.8136559999999998E-6</v>
      </c>
      <c r="I4612">
        <v>179.0504</v>
      </c>
      <c r="J4612">
        <v>-194.6797</v>
      </c>
      <c r="K4612">
        <v>1.099912</v>
      </c>
      <c r="L4612">
        <v>207.7253</v>
      </c>
      <c r="M4612">
        <v>0.69636019999999998</v>
      </c>
      <c r="N4612">
        <v>0</v>
      </c>
      <c r="O4612">
        <v>-0.71751819999999999</v>
      </c>
      <c r="P4612">
        <v>0.37324259999999998</v>
      </c>
      <c r="Q4612">
        <v>0.17112910000000001</v>
      </c>
      <c r="R4612">
        <v>-0.91181409999999996</v>
      </c>
      <c r="S4612">
        <v>9.9151610000000001E-2</v>
      </c>
      <c r="T4612">
        <v>-0.12537490000000001</v>
      </c>
      <c r="U4612">
        <v>-3.2919619999999998</v>
      </c>
      <c r="V4612">
        <v>0.37185459999999998</v>
      </c>
      <c r="W4612">
        <v>0.1760321</v>
      </c>
      <c r="X4612">
        <v>0.91144760000000002</v>
      </c>
      <c r="Y4612">
        <v>0.67445549999999999</v>
      </c>
      <c r="Z4612">
        <v>1.7021689999999999E-2</v>
      </c>
      <c r="AA4612">
        <v>0.73811919999999898</v>
      </c>
      <c r="AB4612">
        <v>26</v>
      </c>
      <c r="AC4612">
        <v>0.68629999999998803</v>
      </c>
      <c r="AD4612">
        <v>-1.099916813656</v>
      </c>
      <c r="AE4612">
        <v>-28.674900000000001</v>
      </c>
      <c r="AF4612">
        <v>19.449461713066999</v>
      </c>
      <c r="AG4612">
        <v>-1.099916813656</v>
      </c>
      <c r="AH4612">
        <v>21.024391298361099</v>
      </c>
      <c r="AI4612">
        <v>92.199282431520302</v>
      </c>
      <c r="AJ4612">
        <v>47.228384708010097</v>
      </c>
      <c r="AK4612">
        <v>28.662107518318098</v>
      </c>
      <c r="AL4612">
        <v>79.861273803417106</v>
      </c>
      <c r="AM4612">
        <v>67.805403860210603</v>
      </c>
      <c r="AN4612">
        <v>0.99999993565866296</v>
      </c>
    </row>
    <row r="4613" spans="1:40" x14ac:dyDescent="0.25">
      <c r="A4613" t="str">
        <f>"20190312172210530"</f>
        <v>20190312172210530</v>
      </c>
      <c r="B4613" t="str">
        <f>"1552382530525511"</f>
        <v>1552382530525511</v>
      </c>
      <c r="C4613" t="s">
        <v>40</v>
      </c>
      <c r="D4613">
        <v>3.3484750000000001</v>
      </c>
      <c r="E4613">
        <v>0.64498480000000002</v>
      </c>
      <c r="F4613" t="s">
        <v>42</v>
      </c>
      <c r="G4613">
        <v>-194.15620000000001</v>
      </c>
      <c r="H4613" s="1">
        <v>-4.7192459999999996E-6</v>
      </c>
      <c r="I4613">
        <v>178.68809999999999</v>
      </c>
      <c r="J4613">
        <v>-194.5513</v>
      </c>
      <c r="K4613">
        <v>1.0998779999999999</v>
      </c>
      <c r="L4613">
        <v>207.57669999999999</v>
      </c>
      <c r="M4613">
        <v>0.68850489999999998</v>
      </c>
      <c r="N4613">
        <v>0</v>
      </c>
      <c r="O4613">
        <v>-0.72505909999999996</v>
      </c>
      <c r="P4613">
        <v>0.36313659999999998</v>
      </c>
      <c r="Q4613">
        <v>0.171678</v>
      </c>
      <c r="R4613">
        <v>-0.91578340000000003</v>
      </c>
      <c r="S4613">
        <v>5.9295649999999998E-2</v>
      </c>
      <c r="T4613">
        <v>-0.1245955</v>
      </c>
      <c r="U4613">
        <v>-3.2892610000000002</v>
      </c>
      <c r="V4613">
        <v>0.37196580000000001</v>
      </c>
      <c r="W4613">
        <v>0.176562</v>
      </c>
      <c r="X4613">
        <v>0.91129979999999999</v>
      </c>
      <c r="Y4613">
        <v>0.67533699999999997</v>
      </c>
      <c r="Z4613">
        <v>1.7317630000000001E-2</v>
      </c>
      <c r="AA4613">
        <v>0.73730589999999996</v>
      </c>
      <c r="AB4613">
        <v>26</v>
      </c>
      <c r="AC4613">
        <v>0.39509999999998502</v>
      </c>
      <c r="AD4613">
        <v>-1.0998827192459999</v>
      </c>
      <c r="AE4613">
        <v>-28.8886</v>
      </c>
      <c r="AF4613">
        <v>19.577551917816599</v>
      </c>
      <c r="AG4613">
        <v>-1.0998827192459999</v>
      </c>
      <c r="AH4613">
        <v>21.1899160115718</v>
      </c>
      <c r="AI4613">
        <v>92.183336048520601</v>
      </c>
      <c r="AJ4613">
        <v>47.26488273476</v>
      </c>
      <c r="AK4613">
        <v>28.870448934306001</v>
      </c>
      <c r="AL4613">
        <v>79.830430428638195</v>
      </c>
      <c r="AM4613">
        <v>67.796160489066395</v>
      </c>
      <c r="AN4613">
        <v>1.0000000108468301</v>
      </c>
    </row>
    <row r="4614" spans="1:40" x14ac:dyDescent="0.25">
      <c r="A4614" t="str">
        <f>"20190312172210546"</f>
        <v>20190312172210546</v>
      </c>
      <c r="B4614" t="str">
        <f>"1552382530535272"</f>
        <v>1552382530535272</v>
      </c>
      <c r="C4614" t="s">
        <v>40</v>
      </c>
      <c r="D4614">
        <v>3.3300999999999998</v>
      </c>
      <c r="E4614">
        <v>0.64498480000000002</v>
      </c>
      <c r="F4614" t="s">
        <v>42</v>
      </c>
      <c r="G4614">
        <v>-194.26589999999999</v>
      </c>
      <c r="H4614" s="1">
        <v>-4.82041999999999E-6</v>
      </c>
      <c r="I4614">
        <v>178.9282</v>
      </c>
      <c r="J4614">
        <v>-194.42060000000001</v>
      </c>
      <c r="K4614">
        <v>1.0998540000000001</v>
      </c>
      <c r="L4614">
        <v>207.4221</v>
      </c>
      <c r="M4614">
        <v>0.68028269999999902</v>
      </c>
      <c r="N4614">
        <v>0</v>
      </c>
      <c r="O4614">
        <v>-0.73277840000000005</v>
      </c>
      <c r="P4614">
        <v>0.35319719999999999</v>
      </c>
      <c r="Q4614">
        <v>0.17236319999999999</v>
      </c>
      <c r="R4614">
        <v>-0.91953419999999997</v>
      </c>
      <c r="S4614">
        <v>3.2745360000000001E-2</v>
      </c>
      <c r="T4614">
        <v>-0.12617929999999999</v>
      </c>
      <c r="U4614">
        <v>-3.286575</v>
      </c>
      <c r="V4614">
        <v>0.37150040000000001</v>
      </c>
      <c r="W4614">
        <v>0.17724579999999901</v>
      </c>
      <c r="X4614">
        <v>0.91135690000000003</v>
      </c>
      <c r="Y4614">
        <v>0.67295950000000004</v>
      </c>
      <c r="Z4614">
        <v>1.8020890000000001E-2</v>
      </c>
      <c r="AA4614">
        <v>0.7394598</v>
      </c>
      <c r="AB4614">
        <v>26</v>
      </c>
      <c r="AC4614">
        <v>0.15470000000001899</v>
      </c>
      <c r="AD4614">
        <v>-1.0998588204199999</v>
      </c>
      <c r="AE4614">
        <v>-28.4939</v>
      </c>
      <c r="AF4614">
        <v>19.244295778629901</v>
      </c>
      <c r="AG4614">
        <v>-1.0998588204199999</v>
      </c>
      <c r="AH4614">
        <v>20.956368164945001</v>
      </c>
      <c r="AI4614">
        <v>92.213765747837002</v>
      </c>
      <c r="AJ4614">
        <v>47.4386482817225</v>
      </c>
      <c r="AK4614">
        <v>28.4731799436763</v>
      </c>
      <c r="AL4614">
        <v>79.790623739598203</v>
      </c>
      <c r="AM4614">
        <v>67.822501993557196</v>
      </c>
      <c r="AN4614">
        <v>1.0000000099977</v>
      </c>
    </row>
    <row r="4615" spans="1:40" x14ac:dyDescent="0.25">
      <c r="A4615" t="str">
        <f>"20190312172210569"</f>
        <v>20190312172210569</v>
      </c>
      <c r="B4615" t="str">
        <f>"1552382530565528"</f>
        <v>1552382530565528</v>
      </c>
      <c r="C4615" t="s">
        <v>40</v>
      </c>
      <c r="D4615">
        <v>3.3072249999999999</v>
      </c>
      <c r="E4615">
        <v>0.62749259999999996</v>
      </c>
      <c r="F4615" t="s">
        <v>42</v>
      </c>
      <c r="G4615">
        <v>-194.44329999999999</v>
      </c>
      <c r="H4615" s="1">
        <v>-4.6389760000000002E-6</v>
      </c>
      <c r="I4615">
        <v>178.30250000000001</v>
      </c>
      <c r="J4615">
        <v>-194.24979999999999</v>
      </c>
      <c r="K4615">
        <v>1.099818</v>
      </c>
      <c r="L4615">
        <v>207.21430000000001</v>
      </c>
      <c r="M4615">
        <v>0.66915019999999903</v>
      </c>
      <c r="N4615">
        <v>0</v>
      </c>
      <c r="O4615">
        <v>-0.74295789999999995</v>
      </c>
      <c r="P4615">
        <v>0.339999</v>
      </c>
      <c r="Q4615">
        <v>0.17283679999999901</v>
      </c>
      <c r="R4615">
        <v>-0.92440710000000004</v>
      </c>
      <c r="S4615">
        <v>-2.5634770000000002E-3</v>
      </c>
      <c r="T4615">
        <v>-0.12414219999999999</v>
      </c>
      <c r="U4615">
        <v>-3.2867579999999998</v>
      </c>
      <c r="V4615">
        <v>0.37076589999999998</v>
      </c>
      <c r="W4615">
        <v>0.17772399999999999</v>
      </c>
      <c r="X4615">
        <v>0.91156289999999995</v>
      </c>
      <c r="Y4615">
        <v>0.66974319999999998</v>
      </c>
      <c r="Z4615">
        <v>1.8339870000000001E-2</v>
      </c>
      <c r="AA4615">
        <v>0.74236639999999998</v>
      </c>
      <c r="AB4615">
        <v>26</v>
      </c>
      <c r="AC4615">
        <v>-0.19350000000000001</v>
      </c>
      <c r="AD4615">
        <v>-1.099822638976</v>
      </c>
      <c r="AE4615">
        <v>-28.911799999999999</v>
      </c>
      <c r="AF4615">
        <v>19.464385693564601</v>
      </c>
      <c r="AG4615">
        <v>-1.099822638976</v>
      </c>
      <c r="AH4615">
        <v>21.322601442522298</v>
      </c>
      <c r="AI4615">
        <v>92.181616739642493</v>
      </c>
      <c r="AJ4615">
        <v>47.6085366044056</v>
      </c>
      <c r="AK4615">
        <v>28.891612148540698</v>
      </c>
      <c r="AL4615">
        <v>79.762783263090995</v>
      </c>
      <c r="AM4615">
        <v>67.866630184668196</v>
      </c>
      <c r="AN4615">
        <v>1.0000000467176</v>
      </c>
    </row>
    <row r="4616" spans="1:40" x14ac:dyDescent="0.25">
      <c r="A4616" t="str">
        <f>"20190312172210591"</f>
        <v>20190312172210591</v>
      </c>
      <c r="B4616" t="str">
        <f>"1552382530585047"</f>
        <v>1552382530585047</v>
      </c>
      <c r="C4616" t="s">
        <v>40</v>
      </c>
      <c r="D4616">
        <v>3.3079580000000002</v>
      </c>
      <c r="E4616">
        <v>0.62721539999999998</v>
      </c>
      <c r="F4616" t="s">
        <v>42</v>
      </c>
      <c r="G4616">
        <v>-193.67</v>
      </c>
      <c r="H4616" s="1">
        <v>-3.0533219999999998E-6</v>
      </c>
      <c r="I4616">
        <v>184.43020000000001</v>
      </c>
      <c r="J4616">
        <v>-194.08199999999999</v>
      </c>
      <c r="K4616">
        <v>1.099782</v>
      </c>
      <c r="L4616">
        <v>207.0035</v>
      </c>
      <c r="M4616">
        <v>0.65777339999999995</v>
      </c>
      <c r="N4616">
        <v>0</v>
      </c>
      <c r="O4616">
        <v>-0.75304839999999995</v>
      </c>
      <c r="P4616">
        <v>0.3270787</v>
      </c>
      <c r="Q4616">
        <v>0.17347699999999999</v>
      </c>
      <c r="R4616">
        <v>-0.92893789999999998</v>
      </c>
      <c r="S4616">
        <v>8.2565310000000003E-2</v>
      </c>
      <c r="T4616">
        <v>-0.15660550000000001</v>
      </c>
      <c r="U4616">
        <v>-3.2442630000000001</v>
      </c>
      <c r="V4616">
        <v>0.3695621</v>
      </c>
      <c r="W4616">
        <v>0.17838599999999999</v>
      </c>
      <c r="X4616">
        <v>0.91192229999999996</v>
      </c>
      <c r="Y4616">
        <v>0.63839109999999999</v>
      </c>
      <c r="Z4616">
        <v>2.486849E-2</v>
      </c>
      <c r="AA4616">
        <v>0.7693103</v>
      </c>
      <c r="AB4616">
        <v>26</v>
      </c>
      <c r="AC4616">
        <v>0.41200000000000597</v>
      </c>
      <c r="AD4616">
        <v>-1.0997850533219999</v>
      </c>
      <c r="AE4616">
        <v>-22.5732999999999</v>
      </c>
      <c r="AF4616">
        <v>14.5052746877817</v>
      </c>
      <c r="AG4616">
        <v>-1.0997850533219999</v>
      </c>
      <c r="AH4616">
        <v>17.231080985332699</v>
      </c>
      <c r="AI4616">
        <v>92.795423409651406</v>
      </c>
      <c r="AJ4616">
        <v>49.9090340698692</v>
      </c>
      <c r="AK4616">
        <v>22.550447287240399</v>
      </c>
      <c r="AL4616">
        <v>79.724236990905496</v>
      </c>
      <c r="AM4616">
        <v>67.939446514665505</v>
      </c>
      <c r="AN4616">
        <v>0.99999999599484901</v>
      </c>
    </row>
    <row r="4617" spans="1:40" x14ac:dyDescent="0.25">
      <c r="A4617" t="str">
        <f>"20190312172210607"</f>
        <v>20190312172210607</v>
      </c>
      <c r="B4617" t="str">
        <f>"1552382530594807"</f>
        <v>1552382530594807</v>
      </c>
      <c r="C4617" t="s">
        <v>40</v>
      </c>
      <c r="D4617">
        <v>3.296567</v>
      </c>
      <c r="E4617">
        <v>0.62104459999999995</v>
      </c>
      <c r="F4617" t="s">
        <v>42</v>
      </c>
      <c r="G4617">
        <v>-193.7989</v>
      </c>
      <c r="H4617" s="1">
        <v>-2.9303140000000001E-6</v>
      </c>
      <c r="I4617">
        <v>184.06360000000001</v>
      </c>
      <c r="J4617">
        <v>-193.96420000000001</v>
      </c>
      <c r="K4617">
        <v>1.099761</v>
      </c>
      <c r="L4617">
        <v>206.85149999999999</v>
      </c>
      <c r="M4617">
        <v>0.6495225</v>
      </c>
      <c r="N4617">
        <v>0</v>
      </c>
      <c r="O4617">
        <v>-0.76017609999999902</v>
      </c>
      <c r="P4617">
        <v>0.31740639999999998</v>
      </c>
      <c r="Q4617">
        <v>0.17381240000000001</v>
      </c>
      <c r="R4617">
        <v>-0.93222459999999996</v>
      </c>
      <c r="S4617">
        <v>4.0039060000000001E-2</v>
      </c>
      <c r="T4617">
        <v>-0.15554509999999999</v>
      </c>
      <c r="U4617">
        <v>-3.2444459999999999</v>
      </c>
      <c r="V4617">
        <v>0.36907319999999999</v>
      </c>
      <c r="W4617">
        <v>0.178728</v>
      </c>
      <c r="X4617">
        <v>0.91205329999999996</v>
      </c>
      <c r="Y4617">
        <v>0.64007999999999998</v>
      </c>
      <c r="Z4617">
        <v>2.5150280000000001E-2</v>
      </c>
      <c r="AA4617">
        <v>0.76789649999999998</v>
      </c>
      <c r="AB4617">
        <v>26</v>
      </c>
      <c r="AC4617">
        <v>0.165300000000001</v>
      </c>
      <c r="AD4617">
        <v>-1.0997639303140001</v>
      </c>
      <c r="AE4617">
        <v>-22.787899999999901</v>
      </c>
      <c r="AF4617">
        <v>14.6433479551237</v>
      </c>
      <c r="AG4617">
        <v>-1.0997639303140001</v>
      </c>
      <c r="AH4617">
        <v>17.391881272517001</v>
      </c>
      <c r="AI4617">
        <v>92.769352759730495</v>
      </c>
      <c r="AJ4617">
        <v>49.903809029441597</v>
      </c>
      <c r="AK4617">
        <v>22.762132023045901</v>
      </c>
      <c r="AL4617">
        <v>79.704321554029505</v>
      </c>
      <c r="AM4617">
        <v>67.968697641712893</v>
      </c>
      <c r="AN4617">
        <v>0.999999973491564</v>
      </c>
    </row>
    <row r="4618" spans="1:40" x14ac:dyDescent="0.25">
      <c r="A4618" t="str">
        <f>"20190312172210624"</f>
        <v>20190312172210624</v>
      </c>
      <c r="B4618" t="str">
        <f>"1552382530615303"</f>
        <v>1552382530615303</v>
      </c>
      <c r="C4618" t="s">
        <v>40</v>
      </c>
      <c r="D4618">
        <v>3.3454839999999901</v>
      </c>
      <c r="E4618">
        <v>0.61949799999999999</v>
      </c>
      <c r="F4618" t="s">
        <v>42</v>
      </c>
      <c r="G4618">
        <v>-193.5975</v>
      </c>
      <c r="H4618" s="1">
        <v>-3.1354710000000001E-6</v>
      </c>
      <c r="I4618">
        <v>184.66669999999999</v>
      </c>
      <c r="J4618">
        <v>-193.84280000000001</v>
      </c>
      <c r="K4618">
        <v>1.0997380000000001</v>
      </c>
      <c r="L4618">
        <v>206.69110000000001</v>
      </c>
      <c r="M4618">
        <v>0.64077090000000003</v>
      </c>
      <c r="N4618">
        <v>0</v>
      </c>
      <c r="O4618">
        <v>-0.76756709999999995</v>
      </c>
      <c r="P4618">
        <v>0.30786400000000003</v>
      </c>
      <c r="Q4618">
        <v>0.17430119999999999</v>
      </c>
      <c r="R4618">
        <v>-0.93532820000000005</v>
      </c>
      <c r="S4618">
        <v>5.33905E-2</v>
      </c>
      <c r="T4618">
        <v>-0.16010949999999999</v>
      </c>
      <c r="U4618">
        <v>-3.2297820000000002</v>
      </c>
      <c r="V4618">
        <v>0.36790469999999997</v>
      </c>
      <c r="W4618">
        <v>0.17924689999999999</v>
      </c>
      <c r="X4618">
        <v>0.91242350000000005</v>
      </c>
      <c r="Y4618">
        <v>0.6279844</v>
      </c>
      <c r="Z4618">
        <v>2.680513E-2</v>
      </c>
      <c r="AA4618">
        <v>0.77776409999999996</v>
      </c>
      <c r="AB4618">
        <v>26</v>
      </c>
      <c r="AC4618">
        <v>0.24530000000001401</v>
      </c>
      <c r="AD4618">
        <v>-1.0997411354709901</v>
      </c>
      <c r="AE4618">
        <v>-22.0244</v>
      </c>
      <c r="AF4618">
        <v>13.8914438507811</v>
      </c>
      <c r="AG4618">
        <v>-1.0997411354709901</v>
      </c>
      <c r="AH4618">
        <v>17.022112364465698</v>
      </c>
      <c r="AI4618">
        <v>92.865504650455406</v>
      </c>
      <c r="AJ4618">
        <v>50.782725868803396</v>
      </c>
      <c r="AK4618">
        <v>21.998498861807601</v>
      </c>
      <c r="AL4618">
        <v>79.674102863191195</v>
      </c>
      <c r="AM4618">
        <v>68.039868173226296</v>
      </c>
      <c r="AN4618">
        <v>0.99999998139697399</v>
      </c>
    </row>
    <row r="4619" spans="1:40" x14ac:dyDescent="0.25">
      <c r="A4619" t="str">
        <f>"20190312172210640"</f>
        <v>20190312172210640</v>
      </c>
      <c r="B4619" t="str">
        <f>"1552382530634823"</f>
        <v>1552382530634823</v>
      </c>
      <c r="C4619" t="s">
        <v>40</v>
      </c>
      <c r="D4619">
        <v>3.3209330000000001</v>
      </c>
      <c r="E4619">
        <v>0.61770290000000005</v>
      </c>
      <c r="F4619" t="s">
        <v>42</v>
      </c>
      <c r="G4619">
        <v>-193.6183</v>
      </c>
      <c r="H4619" s="1">
        <v>-3.082287E-6</v>
      </c>
      <c r="I4619">
        <v>184.52979999999999</v>
      </c>
      <c r="J4619">
        <v>-193.72880000000001</v>
      </c>
      <c r="K4619">
        <v>1.0997239999999999</v>
      </c>
      <c r="L4619">
        <v>206.53720000000001</v>
      </c>
      <c r="M4619">
        <v>0.63233119999999998</v>
      </c>
      <c r="N4619">
        <v>0</v>
      </c>
      <c r="O4619">
        <v>-0.77453450000000001</v>
      </c>
      <c r="P4619">
        <v>0.29782910000000001</v>
      </c>
      <c r="Q4619">
        <v>0.17435</v>
      </c>
      <c r="R4619">
        <v>-0.93856280000000003</v>
      </c>
      <c r="S4619">
        <v>3.2684329999999998E-2</v>
      </c>
      <c r="T4619">
        <v>-0.16011329999999999</v>
      </c>
      <c r="U4619">
        <v>-3.2265009999999998</v>
      </c>
      <c r="V4619">
        <v>0.36769230000000003</v>
      </c>
      <c r="W4619">
        <v>0.1792995</v>
      </c>
      <c r="X4619">
        <v>0.91249880000000005</v>
      </c>
      <c r="Y4619">
        <v>0.62444080000000002</v>
      </c>
      <c r="Z4619">
        <v>2.7408269999999998E-2</v>
      </c>
      <c r="AA4619">
        <v>0.78059109999999998</v>
      </c>
      <c r="AB4619">
        <v>26</v>
      </c>
      <c r="AC4619">
        <v>0.110500000000001</v>
      </c>
      <c r="AD4619">
        <v>-1.099727082287</v>
      </c>
      <c r="AE4619">
        <v>-22.007400000000001</v>
      </c>
      <c r="AF4619">
        <v>13.7976803144022</v>
      </c>
      <c r="AG4619">
        <v>-1.099727082287</v>
      </c>
      <c r="AH4619">
        <v>17.074897166434599</v>
      </c>
      <c r="AI4619">
        <v>92.867830879834898</v>
      </c>
      <c r="AJ4619">
        <v>51.059426986797199</v>
      </c>
      <c r="AK4619">
        <v>21.980388871862001</v>
      </c>
      <c r="AL4619">
        <v>79.671039660967296</v>
      </c>
      <c r="AM4619">
        <v>68.052980724661893</v>
      </c>
      <c r="AN4619">
        <v>0.99999999909048998</v>
      </c>
    </row>
    <row r="4620" spans="1:40" x14ac:dyDescent="0.25">
      <c r="A4620" t="str">
        <f>"20190312172210654"</f>
        <v>20190312172210654</v>
      </c>
      <c r="B4620" t="str">
        <f>"1552382530645560"</f>
        <v>1552382530645560</v>
      </c>
      <c r="C4620" t="s">
        <v>40</v>
      </c>
      <c r="D4620">
        <v>3.34436</v>
      </c>
      <c r="E4620">
        <v>0.61770290000000005</v>
      </c>
      <c r="F4620" t="s">
        <v>42</v>
      </c>
      <c r="G4620">
        <v>-193.6463</v>
      </c>
      <c r="H4620" s="1">
        <v>-3.0415469999999998E-6</v>
      </c>
      <c r="I4620">
        <v>184.41749999999999</v>
      </c>
      <c r="J4620">
        <v>-193.62799999999999</v>
      </c>
      <c r="K4620">
        <v>1.0997159999999999</v>
      </c>
      <c r="L4620">
        <v>206.39709999999999</v>
      </c>
      <c r="M4620">
        <v>0.62463139999999995</v>
      </c>
      <c r="N4620">
        <v>0</v>
      </c>
      <c r="O4620">
        <v>-0.78075719999999904</v>
      </c>
      <c r="P4620">
        <v>0.28904970000000002</v>
      </c>
      <c r="Q4620">
        <v>0.17450170000000001</v>
      </c>
      <c r="R4620">
        <v>-0.9412758</v>
      </c>
      <c r="S4620">
        <v>1.202393E-2</v>
      </c>
      <c r="T4620">
        <v>-0.16020390000000001</v>
      </c>
      <c r="U4620">
        <v>-3.222305</v>
      </c>
      <c r="V4620">
        <v>0.3671702</v>
      </c>
      <c r="W4620">
        <v>0.17946689999999901</v>
      </c>
      <c r="X4620">
        <v>0.91267609999999999</v>
      </c>
      <c r="Y4620">
        <v>0.62170059999999905</v>
      </c>
      <c r="Z4620">
        <v>2.7964570000000001E-2</v>
      </c>
      <c r="AA4620">
        <v>0.78275569999999906</v>
      </c>
      <c r="AB4620">
        <v>26</v>
      </c>
      <c r="AC4620">
        <v>-1.8300000000010599E-2</v>
      </c>
      <c r="AD4620">
        <v>-1.099719041547</v>
      </c>
      <c r="AE4620">
        <v>-21.979600000000001</v>
      </c>
      <c r="AF4620">
        <v>13.7108573741735</v>
      </c>
      <c r="AG4620">
        <v>-1.099719041547</v>
      </c>
      <c r="AH4620">
        <v>17.108647799136602</v>
      </c>
      <c r="AI4620">
        <v>92.871484397839694</v>
      </c>
      <c r="AJ4620">
        <v>51.291340559565803</v>
      </c>
      <c r="AK4620">
        <v>21.952285107026398</v>
      </c>
      <c r="AL4620">
        <v>79.661290148274006</v>
      </c>
      <c r="AM4620">
        <v>68.085044301262997</v>
      </c>
      <c r="AN4620">
        <v>0.99999999373742998</v>
      </c>
    </row>
    <row r="4621" spans="1:40" x14ac:dyDescent="0.25">
      <c r="A4621" t="str">
        <f>"20190312172210668"</f>
        <v>20190312172210668</v>
      </c>
      <c r="B4621" t="str">
        <f>"1552382530665079"</f>
        <v>1552382530665079</v>
      </c>
      <c r="C4621" t="s">
        <v>40</v>
      </c>
      <c r="D4621">
        <v>3.3447049999999998</v>
      </c>
      <c r="E4621">
        <v>0.60842790000000002</v>
      </c>
      <c r="F4621" t="s">
        <v>42</v>
      </c>
      <c r="G4621">
        <v>-193.75409999999999</v>
      </c>
      <c r="H4621" s="1">
        <v>-2.9612959999999998E-6</v>
      </c>
      <c r="I4621">
        <v>184.1636</v>
      </c>
      <c r="J4621">
        <v>-193.5326</v>
      </c>
      <c r="K4621">
        <v>1.099712</v>
      </c>
      <c r="L4621">
        <v>206.262</v>
      </c>
      <c r="M4621">
        <v>0.61718079999999997</v>
      </c>
      <c r="N4621">
        <v>0</v>
      </c>
      <c r="O4621">
        <v>-0.78666009999999997</v>
      </c>
      <c r="P4621">
        <v>0.28125830000000002</v>
      </c>
      <c r="Q4621">
        <v>0.1750989</v>
      </c>
      <c r="R4621">
        <v>-0.94352250000000004</v>
      </c>
      <c r="S4621">
        <v>-1.8280029999999999E-2</v>
      </c>
      <c r="T4621">
        <v>-0.1593831</v>
      </c>
      <c r="U4621">
        <v>-3.222321</v>
      </c>
      <c r="V4621">
        <v>0.36598609999999998</v>
      </c>
      <c r="W4621">
        <v>0.18010300000000001</v>
      </c>
      <c r="X4621">
        <v>0.91302629999999996</v>
      </c>
      <c r="Y4621">
        <v>0.62161820000000001</v>
      </c>
      <c r="Z4621">
        <v>2.8242840000000002E-2</v>
      </c>
      <c r="AA4621">
        <v>0.78281099999999904</v>
      </c>
      <c r="AB4621">
        <v>26</v>
      </c>
      <c r="AC4621">
        <v>-0.22149999999999101</v>
      </c>
      <c r="AD4621">
        <v>-1.099714961296</v>
      </c>
      <c r="AE4621">
        <v>-22.098400000000002</v>
      </c>
      <c r="AF4621">
        <v>13.7805820308904</v>
      </c>
      <c r="AG4621">
        <v>-1.099714961296</v>
      </c>
      <c r="AH4621">
        <v>17.206804243563202</v>
      </c>
      <c r="AI4621">
        <v>92.855843142108</v>
      </c>
      <c r="AJ4621">
        <v>51.309467663232198</v>
      </c>
      <c r="AK4621">
        <v>22.072333958657399</v>
      </c>
      <c r="AL4621">
        <v>79.624240368147596</v>
      </c>
      <c r="AM4621">
        <v>68.156645466644306</v>
      </c>
      <c r="AN4621">
        <v>0.99999997024694898</v>
      </c>
    </row>
    <row r="4622" spans="1:40" x14ac:dyDescent="0.25">
      <c r="A4622" t="str">
        <f>"20190312172210684"</f>
        <v>20190312172210684</v>
      </c>
      <c r="B4622" t="str">
        <f>"1552382530674839"</f>
        <v>1552382530674839</v>
      </c>
      <c r="C4622" t="s">
        <v>40</v>
      </c>
      <c r="D4622">
        <v>3.3615469999999998</v>
      </c>
      <c r="E4622">
        <v>0.60698999999999903</v>
      </c>
      <c r="F4622" t="s">
        <v>42</v>
      </c>
      <c r="G4622">
        <v>-193.35890000000001</v>
      </c>
      <c r="H4622" s="1">
        <v>-3.1940440000000002E-6</v>
      </c>
      <c r="I4622">
        <v>184.9512</v>
      </c>
      <c r="J4622">
        <v>-193.42250000000001</v>
      </c>
      <c r="K4622">
        <v>1.0997110000000001</v>
      </c>
      <c r="L4622">
        <v>206.10310000000001</v>
      </c>
      <c r="M4622">
        <v>0.60838230000000004</v>
      </c>
      <c r="N4622">
        <v>0</v>
      </c>
      <c r="O4622">
        <v>-0.79348399999999997</v>
      </c>
      <c r="P4622">
        <v>0.27131040000000001</v>
      </c>
      <c r="Q4622">
        <v>0.17551159999999999</v>
      </c>
      <c r="R4622">
        <v>-0.94635449999999999</v>
      </c>
      <c r="S4622">
        <v>2.6092529999999999E-2</v>
      </c>
      <c r="T4622">
        <v>-0.16525970000000001</v>
      </c>
      <c r="U4622">
        <v>-3.2024840000000001</v>
      </c>
      <c r="V4622">
        <v>0.36539509999999997</v>
      </c>
      <c r="W4622">
        <v>0.1805378</v>
      </c>
      <c r="X4622">
        <v>0.91317709999999996</v>
      </c>
      <c r="Y4622">
        <v>0.60188750000000002</v>
      </c>
      <c r="Z4622">
        <v>3.0408810000000001E-2</v>
      </c>
      <c r="AA4622">
        <v>0.79800179999999998</v>
      </c>
      <c r="AB4622">
        <v>26</v>
      </c>
      <c r="AC4622">
        <v>6.3600000000008095E-2</v>
      </c>
      <c r="AD4622">
        <v>-1.0997141940440001</v>
      </c>
      <c r="AE4622">
        <v>-21.151900000000001</v>
      </c>
      <c r="AF4622">
        <v>12.7850460951947</v>
      </c>
      <c r="AG4622">
        <v>-1.0997141940440001</v>
      </c>
      <c r="AH4622">
        <v>16.7791699469518</v>
      </c>
      <c r="AI4622">
        <v>92.984217645202904</v>
      </c>
      <c r="AJ4622">
        <v>52.694071417494001</v>
      </c>
      <c r="AK4622">
        <v>21.1236199329927</v>
      </c>
      <c r="AL4622">
        <v>79.598912740612803</v>
      </c>
      <c r="AM4622">
        <v>68.191869719386901</v>
      </c>
      <c r="AN4622">
        <v>0.99999994614862797</v>
      </c>
    </row>
    <row r="4623" spans="1:40" x14ac:dyDescent="0.25">
      <c r="A4623" t="str">
        <f>"20190312172210703"</f>
        <v>20190312172210703</v>
      </c>
      <c r="B4623" t="str">
        <f>"1552382530695685"</f>
        <v>1552382530695685</v>
      </c>
      <c r="C4623" t="s">
        <v>40</v>
      </c>
      <c r="D4623">
        <v>3.2790520000000001</v>
      </c>
      <c r="E4623">
        <v>0.60582969999999903</v>
      </c>
      <c r="F4623" t="s">
        <v>42</v>
      </c>
      <c r="G4623">
        <v>-193.3974</v>
      </c>
      <c r="H4623" s="1">
        <v>-3.1995320000000001E-6</v>
      </c>
      <c r="I4623">
        <v>184.9401</v>
      </c>
      <c r="J4623">
        <v>-193.2997</v>
      </c>
      <c r="K4623">
        <v>1.0997129999999999</v>
      </c>
      <c r="L4623">
        <v>205.92099999999999</v>
      </c>
      <c r="M4623">
        <v>0.59826499999999905</v>
      </c>
      <c r="N4623">
        <v>0</v>
      </c>
      <c r="O4623">
        <v>-0.80113939999999995</v>
      </c>
      <c r="P4623">
        <v>0.2604727</v>
      </c>
      <c r="Q4623">
        <v>0.17609729999999901</v>
      </c>
      <c r="R4623">
        <v>-0.94928619999999997</v>
      </c>
      <c r="S4623">
        <v>3.799438E-3</v>
      </c>
      <c r="T4623">
        <v>-0.1662737</v>
      </c>
      <c r="U4623">
        <v>-3.199783</v>
      </c>
      <c r="V4623">
        <v>0.36419659999999998</v>
      </c>
      <c r="W4623">
        <v>0.18116860000000001</v>
      </c>
      <c r="X4623">
        <v>0.91353090000000003</v>
      </c>
      <c r="Y4623">
        <v>0.59730139999999998</v>
      </c>
      <c r="Z4623">
        <v>3.1293399999999999E-2</v>
      </c>
      <c r="AA4623">
        <v>0.80140610000000001</v>
      </c>
      <c r="AB4623">
        <v>26</v>
      </c>
      <c r="AC4623">
        <v>-9.7700000000003201E-2</v>
      </c>
      <c r="AD4623">
        <v>-1.0997161995319999</v>
      </c>
      <c r="AE4623">
        <v>-20.980899999999899</v>
      </c>
      <c r="AF4623">
        <v>12.5974092773068</v>
      </c>
      <c r="AG4623">
        <v>-1.0997161995319999</v>
      </c>
      <c r="AH4623">
        <v>16.7064110230552</v>
      </c>
      <c r="AI4623">
        <v>93.008614238510603</v>
      </c>
      <c r="AJ4623">
        <v>52.982011253914699</v>
      </c>
      <c r="AK4623">
        <v>20.952524084003599</v>
      </c>
      <c r="AL4623">
        <v>79.562164787609305</v>
      </c>
      <c r="AM4623">
        <v>68.264354542086494</v>
      </c>
      <c r="AN4623">
        <v>0.99999996516616396</v>
      </c>
    </row>
    <row r="4624" spans="1:40" x14ac:dyDescent="0.25">
      <c r="A4624" t="str">
        <f>"20190312172210724"</f>
        <v>20190312172210724</v>
      </c>
      <c r="B4624" t="str">
        <f>"1552382530715202"</f>
        <v>1552382530715202</v>
      </c>
      <c r="C4624" t="s">
        <v>40</v>
      </c>
      <c r="D4624">
        <v>3.3015430000000001</v>
      </c>
      <c r="E4624">
        <v>0.60443100000000005</v>
      </c>
      <c r="F4624" t="s">
        <v>42</v>
      </c>
      <c r="G4624">
        <v>-193.45679999999999</v>
      </c>
      <c r="H4624" s="1">
        <v>-2.961994E-6</v>
      </c>
      <c r="I4624">
        <v>184.34960000000001</v>
      </c>
      <c r="J4624">
        <v>-193.16069999999999</v>
      </c>
      <c r="K4624">
        <v>1.09972</v>
      </c>
      <c r="L4624">
        <v>205.70830000000001</v>
      </c>
      <c r="M4624">
        <v>0.5864106</v>
      </c>
      <c r="N4624">
        <v>0</v>
      </c>
      <c r="O4624">
        <v>-0.80985640000000003</v>
      </c>
      <c r="P4624">
        <v>0.2478602</v>
      </c>
      <c r="Q4624">
        <v>0.1755303</v>
      </c>
      <c r="R4624">
        <v>-0.95276170000000004</v>
      </c>
      <c r="S4624">
        <v>-2.3269649999999999E-2</v>
      </c>
      <c r="T4624">
        <v>-0.16297970000000001</v>
      </c>
      <c r="U4624">
        <v>-3.1969150000000002</v>
      </c>
      <c r="V4624">
        <v>0.36290899999999998</v>
      </c>
      <c r="W4624">
        <v>0.18065690000000001</v>
      </c>
      <c r="X4624">
        <v>0.91414450000000003</v>
      </c>
      <c r="Y4624">
        <v>0.59227940000000001</v>
      </c>
      <c r="Z4624">
        <v>3.144868E-2</v>
      </c>
      <c r="AA4624">
        <v>0.80511869999999996</v>
      </c>
      <c r="AB4624">
        <v>26</v>
      </c>
      <c r="AC4624">
        <v>-0.29609999999999498</v>
      </c>
      <c r="AD4624">
        <v>-1.0997229619939899</v>
      </c>
      <c r="AE4624">
        <v>-21.358699999999999</v>
      </c>
      <c r="AF4624">
        <v>12.732647459268</v>
      </c>
      <c r="AG4624">
        <v>-1.0997229619939899</v>
      </c>
      <c r="AH4624">
        <v>17.0807561634055</v>
      </c>
      <c r="AI4624">
        <v>92.954974068671703</v>
      </c>
      <c r="AJ4624">
        <v>53.297748414126303</v>
      </c>
      <c r="AK4624">
        <v>21.332649461069199</v>
      </c>
      <c r="AL4624">
        <v>79.591975428600705</v>
      </c>
      <c r="AM4624">
        <v>68.347267074536902</v>
      </c>
      <c r="AN4624">
        <v>1.0000000123394299</v>
      </c>
    </row>
    <row r="4625" spans="1:40" x14ac:dyDescent="0.25">
      <c r="A4625" t="str">
        <f>"20190312172210748"</f>
        <v>20190312172210748</v>
      </c>
      <c r="B4625" t="str">
        <f>"1552382530745458"</f>
        <v>1552382530745458</v>
      </c>
      <c r="C4625" t="s">
        <v>40</v>
      </c>
      <c r="D4625">
        <v>3.3659210000000002</v>
      </c>
      <c r="E4625">
        <v>0.59287500000000004</v>
      </c>
      <c r="F4625" t="s">
        <v>42</v>
      </c>
      <c r="G4625">
        <v>-193.5247</v>
      </c>
      <c r="H4625" s="1">
        <v>-2.9883560000000001E-6</v>
      </c>
      <c r="I4625">
        <v>184.3689</v>
      </c>
      <c r="J4625">
        <v>-193.01509999999999</v>
      </c>
      <c r="K4625">
        <v>1.0997349999999999</v>
      </c>
      <c r="L4625">
        <v>205.4778</v>
      </c>
      <c r="M4625">
        <v>0.57352919999999996</v>
      </c>
      <c r="N4625">
        <v>0</v>
      </c>
      <c r="O4625">
        <v>-0.81902929999999996</v>
      </c>
      <c r="P4625">
        <v>0.23442560000000001</v>
      </c>
      <c r="Q4625">
        <v>0.17491609999999999</v>
      </c>
      <c r="R4625">
        <v>-0.95626840000000002</v>
      </c>
      <c r="S4625">
        <v>-5.4473880000000002E-2</v>
      </c>
      <c r="T4625">
        <v>-0.1645634</v>
      </c>
      <c r="U4625">
        <v>-3.1932369999999999</v>
      </c>
      <c r="V4625">
        <v>0.36135669999999998</v>
      </c>
      <c r="W4625">
        <v>0.18011089999999999</v>
      </c>
      <c r="X4625">
        <v>0.91486690000000004</v>
      </c>
      <c r="Y4625">
        <v>0.58740040000000004</v>
      </c>
      <c r="Z4625">
        <v>3.2574249999999999E-2</v>
      </c>
      <c r="AA4625">
        <v>0.80864069999999899</v>
      </c>
      <c r="AB4625">
        <v>26</v>
      </c>
      <c r="AC4625">
        <v>-0.50960000000000605</v>
      </c>
      <c r="AD4625">
        <v>-1.0997379883559999</v>
      </c>
      <c r="AE4625">
        <v>-21.108899999999998</v>
      </c>
      <c r="AF4625">
        <v>12.4916610748385</v>
      </c>
      <c r="AG4625">
        <v>-1.0997379883559999</v>
      </c>
      <c r="AH4625">
        <v>16.952719971639301</v>
      </c>
      <c r="AI4625">
        <v>92.989522794005097</v>
      </c>
      <c r="AJ4625">
        <v>53.615246891845104</v>
      </c>
      <c r="AK4625">
        <v>21.0866245399421</v>
      </c>
      <c r="AL4625">
        <v>79.623780758068307</v>
      </c>
      <c r="AM4625">
        <v>68.446832010684304</v>
      </c>
      <c r="AN4625">
        <v>1.0000000228246499</v>
      </c>
    </row>
    <row r="4626" spans="1:40" x14ac:dyDescent="0.25">
      <c r="A4626" t="str">
        <f>"20190312172210770"</f>
        <v>20190312172210770</v>
      </c>
      <c r="B4626" t="str">
        <f>"1552382530764978"</f>
        <v>1552382530764978</v>
      </c>
      <c r="C4626" t="s">
        <v>40</v>
      </c>
      <c r="D4626">
        <v>3.3604270000000001</v>
      </c>
      <c r="E4626">
        <v>0.59137309999999998</v>
      </c>
      <c r="F4626" t="s">
        <v>42</v>
      </c>
      <c r="G4626">
        <v>-193.0788</v>
      </c>
      <c r="H4626" s="1">
        <v>-3.8981190000000003E-6</v>
      </c>
      <c r="I4626">
        <v>186.83670000000001</v>
      </c>
      <c r="J4626">
        <v>-192.87440000000001</v>
      </c>
      <c r="K4626">
        <v>1.099755</v>
      </c>
      <c r="L4626">
        <v>205.24709999999999</v>
      </c>
      <c r="M4626">
        <v>0.56059729999999997</v>
      </c>
      <c r="N4626">
        <v>0</v>
      </c>
      <c r="O4626">
        <v>-0.82793430000000001</v>
      </c>
      <c r="P4626">
        <v>0.22148799999999999</v>
      </c>
      <c r="Q4626">
        <v>0.17498739999999999</v>
      </c>
      <c r="R4626">
        <v>-0.95933469999999998</v>
      </c>
      <c r="S4626">
        <v>-1.0848999999999999E-2</v>
      </c>
      <c r="T4626">
        <v>-0.1872576</v>
      </c>
      <c r="U4626">
        <v>-3.1741030000000001</v>
      </c>
      <c r="V4626">
        <v>0.35932839999999999</v>
      </c>
      <c r="W4626">
        <v>0.18026710000000001</v>
      </c>
      <c r="X4626">
        <v>0.91563470000000002</v>
      </c>
      <c r="Y4626">
        <v>0.56340029999999997</v>
      </c>
      <c r="Z4626">
        <v>3.8586259999999997E-2</v>
      </c>
      <c r="AA4626">
        <v>0.82528250000000003</v>
      </c>
      <c r="AB4626">
        <v>26</v>
      </c>
      <c r="AC4626">
        <v>-0.204399999999992</v>
      </c>
      <c r="AD4626">
        <v>-1.0997588981190001</v>
      </c>
      <c r="AE4626">
        <v>-18.4103999999999</v>
      </c>
      <c r="AF4626">
        <v>10.454091114153201</v>
      </c>
      <c r="AG4626">
        <v>-1.0997588981190001</v>
      </c>
      <c r="AH4626">
        <v>15.0761577262003</v>
      </c>
      <c r="AI4626">
        <v>93.430500637186299</v>
      </c>
      <c r="AJ4626">
        <v>55.261833697382002</v>
      </c>
      <c r="AK4626">
        <v>18.379010377119801</v>
      </c>
      <c r="AL4626">
        <v>79.614682151969106</v>
      </c>
      <c r="AM4626">
        <v>68.573149542383305</v>
      </c>
      <c r="AN4626">
        <v>1.00000001511652</v>
      </c>
    </row>
    <row r="4627" spans="1:40" x14ac:dyDescent="0.25">
      <c r="A4627" t="str">
        <f>"20190312172210793"</f>
        <v>20190312172210793</v>
      </c>
      <c r="B4627" t="str">
        <f>"1552382530785477"</f>
        <v>1552382530785477</v>
      </c>
      <c r="C4627" t="s">
        <v>40</v>
      </c>
      <c r="D4627">
        <v>3.3183189999999998</v>
      </c>
      <c r="E4627">
        <v>0.59078379999999997</v>
      </c>
      <c r="F4627" t="s">
        <v>42</v>
      </c>
      <c r="G4627">
        <v>-193.1198</v>
      </c>
      <c r="H4627" s="1">
        <v>-3.9235300000000002E-6</v>
      </c>
      <c r="I4627">
        <v>186.89009999999999</v>
      </c>
      <c r="J4627">
        <v>-192.74170000000001</v>
      </c>
      <c r="K4627">
        <v>1.099772</v>
      </c>
      <c r="L4627">
        <v>205.02180000000001</v>
      </c>
      <c r="M4627">
        <v>0.54793990000000004</v>
      </c>
      <c r="N4627">
        <v>0</v>
      </c>
      <c r="O4627">
        <v>-0.83636509999999997</v>
      </c>
      <c r="P4627">
        <v>0.20900940000000001</v>
      </c>
      <c r="Q4627">
        <v>0.1753229</v>
      </c>
      <c r="R4627">
        <v>-0.96206950000000002</v>
      </c>
      <c r="S4627">
        <v>-4.2388919999999997E-2</v>
      </c>
      <c r="T4627">
        <v>-0.19000810000000001</v>
      </c>
      <c r="U4627">
        <v>-3.1715849999999999</v>
      </c>
      <c r="V4627">
        <v>0.3572535</v>
      </c>
      <c r="W4627">
        <v>0.18068970000000001</v>
      </c>
      <c r="X4627">
        <v>0.91636300000000004</v>
      </c>
      <c r="Y4627">
        <v>0.55903590000000003</v>
      </c>
      <c r="Z4627">
        <v>4.0010850000000001E-2</v>
      </c>
      <c r="AA4627">
        <v>0.82817759999999996</v>
      </c>
      <c r="AB4627">
        <v>26</v>
      </c>
      <c r="AC4627">
        <v>-0.378099999999989</v>
      </c>
      <c r="AD4627">
        <v>-1.09977592352999</v>
      </c>
      <c r="AE4627">
        <v>-18.131699999999999</v>
      </c>
      <c r="AF4627">
        <v>10.215055295283999</v>
      </c>
      <c r="AG4627">
        <v>-1.09977592352999</v>
      </c>
      <c r="AH4627">
        <v>14.9046440446948</v>
      </c>
      <c r="AI4627">
        <v>93.482993288385302</v>
      </c>
      <c r="AJ4627">
        <v>55.574797842364703</v>
      </c>
      <c r="AK4627">
        <v>18.102631738693201</v>
      </c>
      <c r="AL4627">
        <v>79.590064440323999</v>
      </c>
      <c r="AM4627">
        <v>68.701167151320305</v>
      </c>
      <c r="AN4627">
        <v>0.99999998935866996</v>
      </c>
    </row>
    <row r="4628" spans="1:40" x14ac:dyDescent="0.25">
      <c r="A4628" t="str">
        <f>"20190312172210808"</f>
        <v>20190312172210808</v>
      </c>
      <c r="B4628" t="str">
        <f>"1552382530804995"</f>
        <v>1552382530804995</v>
      </c>
      <c r="C4628" t="s">
        <v>40</v>
      </c>
      <c r="D4628">
        <v>3.373186</v>
      </c>
      <c r="E4628">
        <v>0.59023130000000001</v>
      </c>
      <c r="F4628" t="s">
        <v>42</v>
      </c>
      <c r="G4628">
        <v>-193.2123</v>
      </c>
      <c r="H4628" s="1">
        <v>-3.6477210000000002E-6</v>
      </c>
      <c r="I4628">
        <v>186.09970000000001</v>
      </c>
      <c r="J4628">
        <v>-192.65</v>
      </c>
      <c r="K4628">
        <v>1.099791</v>
      </c>
      <c r="L4628">
        <v>204.8612</v>
      </c>
      <c r="M4628">
        <v>0.53890640000000001</v>
      </c>
      <c r="N4628">
        <v>0</v>
      </c>
      <c r="O4628">
        <v>-0.84221389999999996</v>
      </c>
      <c r="P4628">
        <v>0.1999002</v>
      </c>
      <c r="Q4628">
        <v>0.1754812</v>
      </c>
      <c r="R4628">
        <v>-0.9639742</v>
      </c>
      <c r="S4628">
        <v>-7.8811649999999997E-2</v>
      </c>
      <c r="T4628">
        <v>-0.18418409999999999</v>
      </c>
      <c r="U4628">
        <v>-3.1689609999999999</v>
      </c>
      <c r="V4628">
        <v>0.35603559999999901</v>
      </c>
      <c r="W4628">
        <v>0.18090310000000001</v>
      </c>
      <c r="X4628">
        <v>0.91679480000000002</v>
      </c>
      <c r="Y4628">
        <v>0.55964409999999998</v>
      </c>
      <c r="Z4628">
        <v>3.9298380000000001E-2</v>
      </c>
      <c r="AA4628">
        <v>0.8278008</v>
      </c>
      <c r="AB4628">
        <v>26</v>
      </c>
      <c r="AC4628">
        <v>-0.56229999999999303</v>
      </c>
      <c r="AD4628">
        <v>-1.0997946477210001</v>
      </c>
      <c r="AE4628">
        <v>-18.761499999999899</v>
      </c>
      <c r="AF4628">
        <v>10.549404297663299</v>
      </c>
      <c r="AG4628">
        <v>-1.0997946477210001</v>
      </c>
      <c r="AH4628">
        <v>15.4471174341072</v>
      </c>
      <c r="AI4628">
        <v>93.364809618430598</v>
      </c>
      <c r="AJ4628">
        <v>55.669394872108697</v>
      </c>
      <c r="AK4628">
        <v>18.738007266670898</v>
      </c>
      <c r="AL4628">
        <v>79.577632686733807</v>
      </c>
      <c r="AM4628">
        <v>68.776409507600405</v>
      </c>
      <c r="AN4628">
        <v>0.99999999268200501</v>
      </c>
    </row>
    <row r="4629" spans="1:40" x14ac:dyDescent="0.25">
      <c r="A4629" t="str">
        <f>"20190312172210826"</f>
        <v>20190312172210826</v>
      </c>
      <c r="B4629" t="str">
        <f>"1552382530815731"</f>
        <v>1552382530815731</v>
      </c>
      <c r="C4629" t="s">
        <v>40</v>
      </c>
      <c r="D4629">
        <v>3.3511730000000002</v>
      </c>
      <c r="E4629">
        <v>0.58253959999999905</v>
      </c>
      <c r="F4629" t="s">
        <v>42</v>
      </c>
      <c r="G4629">
        <v>-193.27619999999999</v>
      </c>
      <c r="H4629" s="1">
        <v>-3.543061E-6</v>
      </c>
      <c r="I4629">
        <v>185.81610000000001</v>
      </c>
      <c r="J4629">
        <v>-192.54949999999999</v>
      </c>
      <c r="K4629">
        <v>1.09982</v>
      </c>
      <c r="L4629">
        <v>204.6808</v>
      </c>
      <c r="M4629">
        <v>0.52874209999999899</v>
      </c>
      <c r="N4629">
        <v>0</v>
      </c>
      <c r="O4629">
        <v>-0.84863219999999995</v>
      </c>
      <c r="P4629">
        <v>0.1911264</v>
      </c>
      <c r="Q4629">
        <v>0.17535290000000001</v>
      </c>
      <c r="R4629">
        <v>-0.96577559999999996</v>
      </c>
      <c r="S4629">
        <v>-0.1041412</v>
      </c>
      <c r="T4629">
        <v>-0.18288509999999999</v>
      </c>
      <c r="U4629">
        <v>-3.1670229999999999</v>
      </c>
      <c r="V4629">
        <v>0.35334070000000001</v>
      </c>
      <c r="W4629">
        <v>0.18088009999999999</v>
      </c>
      <c r="X4629">
        <v>0.91784140000000003</v>
      </c>
      <c r="Y4629">
        <v>0.55630809999999997</v>
      </c>
      <c r="Z4629">
        <v>3.965262E-2</v>
      </c>
      <c r="AA4629">
        <v>0.83002949999999998</v>
      </c>
      <c r="AB4629">
        <v>26</v>
      </c>
      <c r="AC4629">
        <v>-0.72669999999999302</v>
      </c>
      <c r="AD4629">
        <v>-1.0998235430609999</v>
      </c>
      <c r="AE4629">
        <v>-18.864699999999999</v>
      </c>
      <c r="AF4629">
        <v>10.556784780238701</v>
      </c>
      <c r="AG4629">
        <v>-1.0998235430609999</v>
      </c>
      <c r="AH4629">
        <v>15.57409165666</v>
      </c>
      <c r="AI4629">
        <v>93.345424919538104</v>
      </c>
      <c r="AJ4629">
        <v>55.868903024588803</v>
      </c>
      <c r="AK4629">
        <v>18.846953272404502</v>
      </c>
      <c r="AL4629">
        <v>79.578973179124503</v>
      </c>
      <c r="AM4629">
        <v>68.944829668763703</v>
      </c>
      <c r="AN4629">
        <v>1.0000000482032201</v>
      </c>
    </row>
    <row r="4630" spans="1:40" x14ac:dyDescent="0.25">
      <c r="A4630" t="str">
        <f>"20190312172210848"</f>
        <v>20190312172210848</v>
      </c>
      <c r="B4630" t="str">
        <f>"1552382530845010"</f>
        <v>1552382530845010</v>
      </c>
      <c r="C4630" t="s">
        <v>40</v>
      </c>
      <c r="D4630">
        <v>3.3105739999999999</v>
      </c>
      <c r="E4630">
        <v>0.581314</v>
      </c>
      <c r="F4630" t="s">
        <v>42</v>
      </c>
      <c r="G4630">
        <v>-192.9562</v>
      </c>
      <c r="H4630" s="1">
        <v>-3.9284840000000001E-6</v>
      </c>
      <c r="I4630">
        <v>186.98990000000001</v>
      </c>
      <c r="J4630">
        <v>-192.4264</v>
      </c>
      <c r="K4630">
        <v>1.0998520000000001</v>
      </c>
      <c r="L4630">
        <v>204.4521</v>
      </c>
      <c r="M4630">
        <v>0.51584449999999904</v>
      </c>
      <c r="N4630">
        <v>0</v>
      </c>
      <c r="O4630">
        <v>-0.85653330000000005</v>
      </c>
      <c r="P4630">
        <v>0.179793799999999</v>
      </c>
      <c r="Q4630">
        <v>0.17581260000000001</v>
      </c>
      <c r="R4630">
        <v>-0.96786570000000005</v>
      </c>
      <c r="S4630">
        <v>-7.2555540000000002E-2</v>
      </c>
      <c r="T4630">
        <v>-0.1962237</v>
      </c>
      <c r="U4630">
        <v>-3.1562960000000002</v>
      </c>
      <c r="V4630">
        <v>0.35015930000000001</v>
      </c>
      <c r="W4630">
        <v>0.18146390000000001</v>
      </c>
      <c r="X4630">
        <v>0.91894469999999995</v>
      </c>
      <c r="Y4630">
        <v>0.53535259999999996</v>
      </c>
      <c r="Z4630">
        <v>4.3859380000000003E-2</v>
      </c>
      <c r="AA4630">
        <v>0.84348919999999905</v>
      </c>
      <c r="AB4630">
        <v>26</v>
      </c>
      <c r="AC4630">
        <v>-0.52979999999999405</v>
      </c>
      <c r="AD4630">
        <v>-1.0998559284839999</v>
      </c>
      <c r="AE4630">
        <v>-17.4621999999999</v>
      </c>
      <c r="AF4630">
        <v>9.4254212508981396</v>
      </c>
      <c r="AG4630">
        <v>-1.0998559284839999</v>
      </c>
      <c r="AH4630">
        <v>14.627559363685901</v>
      </c>
      <c r="AI4630">
        <v>93.616598175665601</v>
      </c>
      <c r="AJ4630">
        <v>57.203867764313301</v>
      </c>
      <c r="AK4630">
        <v>17.435989841659701</v>
      </c>
      <c r="AL4630">
        <v>79.544960775114305</v>
      </c>
      <c r="AM4630">
        <v>69.140907038452198</v>
      </c>
      <c r="AN4630">
        <v>1.00000002201889</v>
      </c>
    </row>
    <row r="4631" spans="1:40" x14ac:dyDescent="0.25">
      <c r="A4631" t="str">
        <f>"20190312172210871"</f>
        <v>20190312172210871</v>
      </c>
      <c r="B4631" t="str">
        <f>"1552382530865508"</f>
        <v>1552382530865508</v>
      </c>
      <c r="C4631" t="s">
        <v>40</v>
      </c>
      <c r="D4631">
        <v>3.355232</v>
      </c>
      <c r="E4631">
        <v>0.58044680000000004</v>
      </c>
      <c r="F4631" t="s">
        <v>42</v>
      </c>
      <c r="G4631">
        <v>-193.0206</v>
      </c>
      <c r="H4631" s="1">
        <v>-3.420696E-6</v>
      </c>
      <c r="I4631">
        <v>185.68940000000001</v>
      </c>
      <c r="J4631">
        <v>-192.3038</v>
      </c>
      <c r="K4631">
        <v>1.099888</v>
      </c>
      <c r="L4631">
        <v>204.21559999999999</v>
      </c>
      <c r="M4631">
        <v>0.50249560000000004</v>
      </c>
      <c r="N4631">
        <v>0</v>
      </c>
      <c r="O4631">
        <v>-0.86443230000000004</v>
      </c>
      <c r="P4631">
        <v>0.16748869999999999</v>
      </c>
      <c r="Q4631">
        <v>0.1764088</v>
      </c>
      <c r="R4631">
        <v>-0.96996300000000002</v>
      </c>
      <c r="S4631">
        <v>-9.9807740000000006E-2</v>
      </c>
      <c r="T4631">
        <v>-0.18475140000000001</v>
      </c>
      <c r="U4631">
        <v>-3.1517179999999998</v>
      </c>
      <c r="V4631">
        <v>0.34751169999999998</v>
      </c>
      <c r="W4631">
        <v>0.18216869999999999</v>
      </c>
      <c r="X4631">
        <v>0.91980989999999996</v>
      </c>
      <c r="Y4631">
        <v>0.52957030000000005</v>
      </c>
      <c r="Z4631">
        <v>4.2150439999999997E-2</v>
      </c>
      <c r="AA4631">
        <v>0.84721819999999903</v>
      </c>
      <c r="AB4631">
        <v>26</v>
      </c>
      <c r="AC4631">
        <v>-0.71680000000000599</v>
      </c>
      <c r="AD4631">
        <v>-1.099891420696</v>
      </c>
      <c r="AE4631">
        <v>-18.5261999999999</v>
      </c>
      <c r="AF4631">
        <v>9.8953985371752804</v>
      </c>
      <c r="AG4631">
        <v>-1.099891420696</v>
      </c>
      <c r="AH4631">
        <v>15.6015437592936</v>
      </c>
      <c r="AI4631">
        <v>93.407020702194202</v>
      </c>
      <c r="AJ4631">
        <v>57.614773969524698</v>
      </c>
      <c r="AK4631">
        <v>18.5077508363389</v>
      </c>
      <c r="AL4631">
        <v>79.503894366346799</v>
      </c>
      <c r="AM4631">
        <v>69.303025146406</v>
      </c>
      <c r="AN4631">
        <v>1.0000000345172899</v>
      </c>
    </row>
    <row r="4632" spans="1:40" x14ac:dyDescent="0.25">
      <c r="A4632" t="str">
        <f>"20190312172210893"</f>
        <v>20190312172210893</v>
      </c>
      <c r="B4632" t="str">
        <f>"1552382530885535"</f>
        <v>1552382530885535</v>
      </c>
      <c r="C4632" t="s">
        <v>40</v>
      </c>
      <c r="D4632">
        <v>3.3699530000000002</v>
      </c>
      <c r="E4632">
        <v>0.57136140000000002</v>
      </c>
      <c r="F4632" t="s">
        <v>42</v>
      </c>
      <c r="G4632">
        <v>-193.09309999999999</v>
      </c>
      <c r="H4632" s="1">
        <v>-3.3757210000000001E-6</v>
      </c>
      <c r="I4632">
        <v>185.53960000000001</v>
      </c>
      <c r="J4632">
        <v>-192.1866</v>
      </c>
      <c r="K4632">
        <v>1.0999289999999999</v>
      </c>
      <c r="L4632">
        <v>203.9811</v>
      </c>
      <c r="M4632">
        <v>0.48924260000000003</v>
      </c>
      <c r="N4632">
        <v>0</v>
      </c>
      <c r="O4632">
        <v>-0.87200149999999998</v>
      </c>
      <c r="P4632">
        <v>0.15622710000000001</v>
      </c>
      <c r="Q4632">
        <v>0.17740110000000001</v>
      </c>
      <c r="R4632">
        <v>-0.97165970000000002</v>
      </c>
      <c r="S4632">
        <v>-0.13311770000000001</v>
      </c>
      <c r="T4632">
        <v>-0.1854914</v>
      </c>
      <c r="U4632">
        <v>-3.1496279999999999</v>
      </c>
      <c r="V4632">
        <v>0.34405039999999998</v>
      </c>
      <c r="W4632">
        <v>0.1832934</v>
      </c>
      <c r="X4632">
        <v>0.92088700000000001</v>
      </c>
      <c r="Y4632">
        <v>0.52558359999999904</v>
      </c>
      <c r="Z4632">
        <v>4.3070509999999999E-2</v>
      </c>
      <c r="AA4632">
        <v>0.84965100000000005</v>
      </c>
      <c r="AB4632">
        <v>26</v>
      </c>
      <c r="AC4632">
        <v>-0.90649999999999398</v>
      </c>
      <c r="AD4632">
        <v>-1.099932375721</v>
      </c>
      <c r="AE4632">
        <v>-18.441499999999898</v>
      </c>
      <c r="AF4632">
        <v>9.7793825888730499</v>
      </c>
      <c r="AG4632">
        <v>-1.099932375721</v>
      </c>
      <c r="AH4632">
        <v>15.584205414129199</v>
      </c>
      <c r="AI4632">
        <v>93.421292840437602</v>
      </c>
      <c r="AJ4632">
        <v>57.8909541490587</v>
      </c>
      <c r="AK4632">
        <v>18.431322075219899</v>
      </c>
      <c r="AL4632">
        <v>79.438349942240507</v>
      </c>
      <c r="AM4632">
        <v>69.513928712709799</v>
      </c>
      <c r="AN4632">
        <v>1.00000000749636</v>
      </c>
    </row>
    <row r="4633" spans="1:40" x14ac:dyDescent="0.25">
      <c r="A4633" t="str">
        <f>"20190312172210908"</f>
        <v>20190312172210908</v>
      </c>
      <c r="B4633" t="str">
        <f>"1552382530905053"</f>
        <v>1552382530905053</v>
      </c>
      <c r="C4633" t="s">
        <v>40</v>
      </c>
      <c r="D4633">
        <v>3.3610869999999999</v>
      </c>
      <c r="E4633">
        <v>0.57020109999999902</v>
      </c>
      <c r="F4633" t="s">
        <v>42</v>
      </c>
      <c r="G4633">
        <v>-192.7319</v>
      </c>
      <c r="H4633" s="1">
        <v>-3.7246229999999999E-6</v>
      </c>
      <c r="I4633">
        <v>186.57689999999999</v>
      </c>
      <c r="J4633">
        <v>-192.10570000000001</v>
      </c>
      <c r="K4633">
        <v>1.0999620000000001</v>
      </c>
      <c r="L4633">
        <v>203.81360000000001</v>
      </c>
      <c r="M4633">
        <v>0.47977789999999998</v>
      </c>
      <c r="N4633">
        <v>0</v>
      </c>
      <c r="O4633">
        <v>-0.87724460000000004</v>
      </c>
      <c r="P4633">
        <v>0.146837299999999</v>
      </c>
      <c r="Q4633">
        <v>0.17770720000000001</v>
      </c>
      <c r="R4633">
        <v>-0.97306700000000002</v>
      </c>
      <c r="S4633">
        <v>-9.8358150000000005E-2</v>
      </c>
      <c r="T4633">
        <v>-0.1984166</v>
      </c>
      <c r="U4633">
        <v>-3.1395420000000001</v>
      </c>
      <c r="V4633">
        <v>0.34294269999999999</v>
      </c>
      <c r="W4633">
        <v>0.18365380000000001</v>
      </c>
      <c r="X4633">
        <v>0.9212283</v>
      </c>
      <c r="Y4633">
        <v>0.50696770000000002</v>
      </c>
      <c r="Z4633">
        <v>4.7081150000000002E-2</v>
      </c>
      <c r="AA4633">
        <v>0.86067830000000001</v>
      </c>
      <c r="AB4633">
        <v>26</v>
      </c>
      <c r="AC4633">
        <v>-0.62619999999998299</v>
      </c>
      <c r="AD4633">
        <v>-1.0999657246229999</v>
      </c>
      <c r="AE4633">
        <v>-17.236699999999999</v>
      </c>
      <c r="AF4633">
        <v>8.7845164153359505</v>
      </c>
      <c r="AG4633">
        <v>-1.0999657246229999</v>
      </c>
      <c r="AH4633">
        <v>14.7622172533542</v>
      </c>
      <c r="AI4633">
        <v>93.663797400881293</v>
      </c>
      <c r="AJ4633">
        <v>59.244496254356697</v>
      </c>
      <c r="AK4633">
        <v>17.2133875655514</v>
      </c>
      <c r="AL4633">
        <v>79.417343849255502</v>
      </c>
      <c r="AM4633">
        <v>69.581372489706993</v>
      </c>
      <c r="AN4633">
        <v>0.99999999722930999</v>
      </c>
    </row>
    <row r="4634" spans="1:40" x14ac:dyDescent="0.25">
      <c r="A4634" t="str">
        <f>"20190312172210925"</f>
        <v>20190312172210925</v>
      </c>
      <c r="B4634" t="str">
        <f>"1552382530914813"</f>
        <v>1552382530914813</v>
      </c>
      <c r="C4634" t="s">
        <v>40</v>
      </c>
      <c r="D4634">
        <v>3.3225189999999998</v>
      </c>
      <c r="E4634">
        <v>0.56965140000000003</v>
      </c>
      <c r="F4634" t="s">
        <v>42</v>
      </c>
      <c r="G4634">
        <v>-192.78829999999999</v>
      </c>
      <c r="H4634" s="1">
        <v>-3.4684530000000001E-6</v>
      </c>
      <c r="I4634">
        <v>185.94470000000001</v>
      </c>
      <c r="J4634">
        <v>-192.02260000000001</v>
      </c>
      <c r="K4634">
        <v>1.1000000000000001</v>
      </c>
      <c r="L4634">
        <v>203.63679999999999</v>
      </c>
      <c r="M4634">
        <v>0.4697848</v>
      </c>
      <c r="N4634">
        <v>0</v>
      </c>
      <c r="O4634">
        <v>-0.88263670000000005</v>
      </c>
      <c r="P4634">
        <v>0.13877030000000001</v>
      </c>
      <c r="Q4634">
        <v>0.1783129</v>
      </c>
      <c r="R4634">
        <v>-0.97413959999999999</v>
      </c>
      <c r="S4634">
        <v>-0.119812</v>
      </c>
      <c r="T4634">
        <v>-0.1930674</v>
      </c>
      <c r="U4634">
        <v>-3.136368</v>
      </c>
      <c r="V4634">
        <v>0.34005210000000002</v>
      </c>
      <c r="W4634">
        <v>0.18437190000000001</v>
      </c>
      <c r="X4634">
        <v>0.92215599999999998</v>
      </c>
      <c r="Y4634">
        <v>0.50308949999999997</v>
      </c>
      <c r="Z4634">
        <v>4.6419080000000001E-2</v>
      </c>
      <c r="AA4634">
        <v>0.86298680000000005</v>
      </c>
      <c r="AB4634">
        <v>26</v>
      </c>
      <c r="AC4634">
        <v>-0.76569999999998095</v>
      </c>
      <c r="AD4634">
        <v>-1.100003468453</v>
      </c>
      <c r="AE4634">
        <v>-17.6920999999999</v>
      </c>
      <c r="AF4634">
        <v>8.9539108077705691</v>
      </c>
      <c r="AG4634">
        <v>-1.100003468453</v>
      </c>
      <c r="AH4634">
        <v>15.1992795735889</v>
      </c>
      <c r="AI4634">
        <v>93.568136777964398</v>
      </c>
      <c r="AJ4634">
        <v>59.497618670973303</v>
      </c>
      <c r="AK4634">
        <v>17.6748585833164</v>
      </c>
      <c r="AL4634">
        <v>79.375485615844696</v>
      </c>
      <c r="AM4634">
        <v>69.7581605584421</v>
      </c>
      <c r="AN4634">
        <v>1.0000000582799999</v>
      </c>
    </row>
    <row r="4635" spans="1:40" x14ac:dyDescent="0.25">
      <c r="A4635" t="str">
        <f>"20190312172210948"</f>
        <v>20190312172210948</v>
      </c>
      <c r="B4635" t="str">
        <f>"1552382530945068"</f>
        <v>1552382530945068</v>
      </c>
      <c r="C4635" t="s">
        <v>40</v>
      </c>
      <c r="D4635">
        <v>3.3462969999999999</v>
      </c>
      <c r="E4635">
        <v>0.56792410000000004</v>
      </c>
      <c r="F4635" t="s">
        <v>42</v>
      </c>
      <c r="G4635">
        <v>-192.84450000000001</v>
      </c>
      <c r="H4635" s="1">
        <v>-3.3010409999999999E-6</v>
      </c>
      <c r="I4635">
        <v>185.5197</v>
      </c>
      <c r="J4635">
        <v>-191.91139999999999</v>
      </c>
      <c r="K4635">
        <v>1.1000650000000001</v>
      </c>
      <c r="L4635">
        <v>203.39109999999999</v>
      </c>
      <c r="M4635">
        <v>0.45592470000000002</v>
      </c>
      <c r="N4635">
        <v>0</v>
      </c>
      <c r="O4635">
        <v>-0.88987530000000004</v>
      </c>
      <c r="P4635">
        <v>0.12678019999999901</v>
      </c>
      <c r="Q4635">
        <v>0.179399799999999</v>
      </c>
      <c r="R4635">
        <v>-0.97557309999999997</v>
      </c>
      <c r="S4635">
        <v>-0.1422119</v>
      </c>
      <c r="T4635">
        <v>-0.19033130000000001</v>
      </c>
      <c r="U4635">
        <v>-3.1347659999999999</v>
      </c>
      <c r="V4635">
        <v>0.33687250000000002</v>
      </c>
      <c r="W4635">
        <v>0.18559210000000001</v>
      </c>
      <c r="X4635">
        <v>0.92307779999999995</v>
      </c>
      <c r="Y4635">
        <v>0.49573529999999999</v>
      </c>
      <c r="Z4635">
        <v>4.656312E-2</v>
      </c>
      <c r="AA4635">
        <v>0.86722449999999995</v>
      </c>
      <c r="AB4635">
        <v>26</v>
      </c>
      <c r="AC4635">
        <v>-0.93310000000002402</v>
      </c>
      <c r="AD4635">
        <v>-1.100068301041</v>
      </c>
      <c r="AE4635">
        <v>-17.871399999999898</v>
      </c>
      <c r="AF4635">
        <v>8.9456956717277798</v>
      </c>
      <c r="AG4635">
        <v>-1.100068301041</v>
      </c>
      <c r="AH4635">
        <v>15.421591730328</v>
      </c>
      <c r="AI4635">
        <v>93.530858091183802</v>
      </c>
      <c r="AJ4635">
        <v>59.8830074038232</v>
      </c>
      <c r="AK4635">
        <v>17.862281847934401</v>
      </c>
      <c r="AL4635">
        <v>79.304345656129598</v>
      </c>
      <c r="AM4635">
        <v>69.950705695386603</v>
      </c>
      <c r="AN4635">
        <v>1.0000000668457401</v>
      </c>
    </row>
    <row r="4636" spans="1:40" x14ac:dyDescent="0.25">
      <c r="A4636" t="str">
        <f>"20190312172210972"</f>
        <v>20190312172210972</v>
      </c>
      <c r="B4636" t="str">
        <f>"1552382530965564"</f>
        <v>1552382530965564</v>
      </c>
      <c r="C4636" t="s">
        <v>40</v>
      </c>
      <c r="D4636">
        <v>3.3303950000000002</v>
      </c>
      <c r="E4636">
        <v>0.560644699999999</v>
      </c>
      <c r="F4636" t="s">
        <v>42</v>
      </c>
      <c r="G4636">
        <v>-192.89089999999999</v>
      </c>
      <c r="H4636" s="1">
        <v>-3.1286820000000001E-6</v>
      </c>
      <c r="I4636">
        <v>185.0891</v>
      </c>
      <c r="J4636">
        <v>-191.8047</v>
      </c>
      <c r="K4636">
        <v>1.1001449999999999</v>
      </c>
      <c r="L4636">
        <v>203.14570000000001</v>
      </c>
      <c r="M4636">
        <v>0.44210189999999999</v>
      </c>
      <c r="N4636">
        <v>0</v>
      </c>
      <c r="O4636">
        <v>-0.89682320000000004</v>
      </c>
      <c r="P4636">
        <v>0.115272</v>
      </c>
      <c r="Q4636">
        <v>0.18096799999999999</v>
      </c>
      <c r="R4636">
        <v>-0.97671059999999998</v>
      </c>
      <c r="S4636">
        <v>-0.16760249999999999</v>
      </c>
      <c r="T4636">
        <v>-0.188224</v>
      </c>
      <c r="U4636">
        <v>-3.131516</v>
      </c>
      <c r="V4636">
        <v>0.3333412</v>
      </c>
      <c r="W4636">
        <v>0.1873068</v>
      </c>
      <c r="X4636">
        <v>0.92401290000000003</v>
      </c>
      <c r="Y4636">
        <v>0.48934450000000002</v>
      </c>
      <c r="Z4636">
        <v>4.6818180000000001E-2</v>
      </c>
      <c r="AA4636">
        <v>0.87083299999999997</v>
      </c>
      <c r="AB4636">
        <v>25</v>
      </c>
      <c r="AC4636">
        <v>-1.0861999999999901</v>
      </c>
      <c r="AD4636">
        <v>-1.1001481286820001</v>
      </c>
      <c r="AE4636">
        <v>-18.0566</v>
      </c>
      <c r="AF4636">
        <v>8.9251122751357101</v>
      </c>
      <c r="AG4636">
        <v>-1.1001481286820001</v>
      </c>
      <c r="AH4636">
        <v>15.657449262934399</v>
      </c>
      <c r="AI4636">
        <v>93.493158622945998</v>
      </c>
      <c r="AJ4636">
        <v>60.315848411742301</v>
      </c>
      <c r="AK4636">
        <v>18.056125621245101</v>
      </c>
      <c r="AL4636">
        <v>79.204346502264698</v>
      </c>
      <c r="AM4636">
        <v>70.162896527004094</v>
      </c>
      <c r="AN4636">
        <v>1.00000001615504</v>
      </c>
    </row>
    <row r="4637" spans="1:40" x14ac:dyDescent="0.25">
      <c r="A4637" t="str">
        <f>"20190312172210994"</f>
        <v>20190312172210994</v>
      </c>
      <c r="B4637" t="str">
        <f>"1552382530985084"</f>
        <v>1552382530985084</v>
      </c>
      <c r="C4637" t="s">
        <v>40</v>
      </c>
      <c r="D4637">
        <v>3.3677619999999999</v>
      </c>
      <c r="E4637">
        <v>0.55945800000000001</v>
      </c>
      <c r="F4637" t="s">
        <v>42</v>
      </c>
      <c r="G4637">
        <v>-192.6568</v>
      </c>
      <c r="H4637" s="1">
        <v>-3.0577789999999998E-6</v>
      </c>
      <c r="I4637">
        <v>185.06899999999999</v>
      </c>
      <c r="J4637">
        <v>-191.7038</v>
      </c>
      <c r="K4637">
        <v>1.100233</v>
      </c>
      <c r="L4637">
        <v>202.90369999999999</v>
      </c>
      <c r="M4637">
        <v>0.42850880000000002</v>
      </c>
      <c r="N4637">
        <v>0</v>
      </c>
      <c r="O4637">
        <v>-0.90339729999999996</v>
      </c>
      <c r="P4637">
        <v>0.1040418</v>
      </c>
      <c r="Q4637">
        <v>0.1819412</v>
      </c>
      <c r="R4637">
        <v>-0.97778989999999999</v>
      </c>
      <c r="S4637">
        <v>-0.14726259999999999</v>
      </c>
      <c r="T4637">
        <v>-0.19013630000000001</v>
      </c>
      <c r="U4637">
        <v>-3.124161</v>
      </c>
      <c r="V4637">
        <v>0.32990570000000002</v>
      </c>
      <c r="W4637">
        <v>0.1884284</v>
      </c>
      <c r="X4637">
        <v>0.92501730000000004</v>
      </c>
      <c r="Y4637">
        <v>0.47051999999999999</v>
      </c>
      <c r="Z4637">
        <v>4.8329869999999997E-2</v>
      </c>
      <c r="AA4637">
        <v>0.88106479999999998</v>
      </c>
      <c r="AB4637">
        <v>25</v>
      </c>
      <c r="AC4637">
        <v>-0.95300000000000296</v>
      </c>
      <c r="AD4637">
        <v>-1.100236057779</v>
      </c>
      <c r="AE4637">
        <v>-17.834699999999899</v>
      </c>
      <c r="AF4637">
        <v>8.4721904019073992</v>
      </c>
      <c r="AG4637">
        <v>-1.100236057779</v>
      </c>
      <c r="AH4637">
        <v>15.646066475729899</v>
      </c>
      <c r="AI4637">
        <v>93.538473239483494</v>
      </c>
      <c r="AJ4637">
        <v>61.564892735926897</v>
      </c>
      <c r="AK4637">
        <v>17.826607241759898</v>
      </c>
      <c r="AL4637">
        <v>79.138918598963798</v>
      </c>
      <c r="AM4637">
        <v>70.371318586621499</v>
      </c>
      <c r="AN4637">
        <v>1.00000001905916</v>
      </c>
    </row>
    <row r="4638" spans="1:40" x14ac:dyDescent="0.25">
      <c r="A4638" t="str">
        <f>"20190312172211016"</f>
        <v>20190312172211016</v>
      </c>
      <c r="B4638" t="str">
        <f>"1552382531005581"</f>
        <v>1552382531005581</v>
      </c>
      <c r="C4638" t="s">
        <v>40</v>
      </c>
      <c r="D4638">
        <v>3.3355630000000001</v>
      </c>
      <c r="E4638">
        <v>0.55861890000000003</v>
      </c>
      <c r="F4638" t="s">
        <v>42</v>
      </c>
      <c r="G4638">
        <v>-192.69720000000001</v>
      </c>
      <c r="H4638" s="1">
        <v>-3.042383E-6</v>
      </c>
      <c r="I4638">
        <v>185.00810000000001</v>
      </c>
      <c r="J4638">
        <v>-191.60910000000001</v>
      </c>
      <c r="K4638">
        <v>1.1003259999999999</v>
      </c>
      <c r="L4638">
        <v>202.66669999999999</v>
      </c>
      <c r="M4638">
        <v>0.41525240000000002</v>
      </c>
      <c r="N4638">
        <v>0</v>
      </c>
      <c r="O4638">
        <v>-0.90956729999999997</v>
      </c>
      <c r="P4638">
        <v>9.4127710000000003E-2</v>
      </c>
      <c r="Q4638">
        <v>0.1824595</v>
      </c>
      <c r="R4638">
        <v>-0.9786975</v>
      </c>
      <c r="S4638">
        <v>-0.173309299999999</v>
      </c>
      <c r="T4638">
        <v>-0.1919621</v>
      </c>
      <c r="U4638">
        <v>-3.1223139999999998</v>
      </c>
      <c r="V4638">
        <v>0.32567059999999998</v>
      </c>
      <c r="W4638">
        <v>0.18912570000000001</v>
      </c>
      <c r="X4638">
        <v>0.9263747</v>
      </c>
      <c r="Y4638">
        <v>0.46496159999999997</v>
      </c>
      <c r="Z4638">
        <v>4.9465919999999997E-2</v>
      </c>
      <c r="AA4638">
        <v>0.88394779999999995</v>
      </c>
      <c r="AB4638">
        <v>25</v>
      </c>
      <c r="AC4638">
        <v>-1.0880999999999901</v>
      </c>
      <c r="AD4638">
        <v>-1.1003290423830001</v>
      </c>
      <c r="AE4638">
        <v>-17.6585999999999</v>
      </c>
      <c r="AF4638">
        <v>8.2914568714619694</v>
      </c>
      <c r="AG4638">
        <v>-1.1003290423830001</v>
      </c>
      <c r="AH4638">
        <v>15.551668323980801</v>
      </c>
      <c r="AI4638">
        <v>93.572558045088698</v>
      </c>
      <c r="AJ4638">
        <v>61.935448146083502</v>
      </c>
      <c r="AK4638">
        <v>17.6582379843497</v>
      </c>
      <c r="AL4638">
        <v>79.098234295973995</v>
      </c>
      <c r="AM4638">
        <v>70.630678635244394</v>
      </c>
      <c r="AN4638">
        <v>0.99999997745246905</v>
      </c>
    </row>
    <row r="4639" spans="1:40" x14ac:dyDescent="0.25">
      <c r="A4639" t="str">
        <f>"20190312172211037"</f>
        <v>20190312172211037</v>
      </c>
      <c r="B4639" t="str">
        <f>"1552382531034861"</f>
        <v>1552382531034861</v>
      </c>
      <c r="C4639" t="s">
        <v>40</v>
      </c>
      <c r="D4639">
        <v>3.4071690000000001</v>
      </c>
      <c r="E4639">
        <v>0.5516588</v>
      </c>
      <c r="F4639" t="s">
        <v>42</v>
      </c>
      <c r="G4639">
        <v>-192.74019999999999</v>
      </c>
      <c r="H4639" s="1">
        <v>-3.0009209999999999E-6</v>
      </c>
      <c r="I4639">
        <v>184.88480000000001</v>
      </c>
      <c r="J4639">
        <v>-191.5206</v>
      </c>
      <c r="K4639">
        <v>1.1004240000000001</v>
      </c>
      <c r="L4639">
        <v>202.43620000000001</v>
      </c>
      <c r="M4639">
        <v>0.4024335</v>
      </c>
      <c r="N4639">
        <v>0</v>
      </c>
      <c r="O4639">
        <v>-0.91531119999999999</v>
      </c>
      <c r="P4639">
        <v>8.5301950000000001E-2</v>
      </c>
      <c r="Q4639">
        <v>0.18237490000000001</v>
      </c>
      <c r="R4639">
        <v>-0.97952169999999905</v>
      </c>
      <c r="S4639">
        <v>-0.1984863</v>
      </c>
      <c r="T4639">
        <v>-0.1930858</v>
      </c>
      <c r="U4639">
        <v>-3.120377</v>
      </c>
      <c r="V4639">
        <v>0.32094840000000002</v>
      </c>
      <c r="W4639">
        <v>0.1892404</v>
      </c>
      <c r="X4639">
        <v>0.92799790000000004</v>
      </c>
      <c r="Y4639">
        <v>0.45965299999999998</v>
      </c>
      <c r="Z4639">
        <v>5.0388700000000002E-2</v>
      </c>
      <c r="AA4639">
        <v>0.88666800000000001</v>
      </c>
      <c r="AB4639">
        <v>25</v>
      </c>
      <c r="AC4639">
        <v>-1.21959999999998</v>
      </c>
      <c r="AD4639">
        <v>-1.100427000921</v>
      </c>
      <c r="AE4639">
        <v>-17.551400000000001</v>
      </c>
      <c r="AF4639">
        <v>8.1487400273698505</v>
      </c>
      <c r="AG4639">
        <v>-1.100427000921</v>
      </c>
      <c r="AH4639">
        <v>15.515455552514901</v>
      </c>
      <c r="AI4639">
        <v>93.592956971306904</v>
      </c>
      <c r="AJ4639">
        <v>62.291478851990902</v>
      </c>
      <c r="AK4639">
        <v>17.5596772356465</v>
      </c>
      <c r="AL4639">
        <v>79.091541347076301</v>
      </c>
      <c r="AM4639">
        <v>70.922037771669594</v>
      </c>
      <c r="AN4639">
        <v>0.99999995342956405</v>
      </c>
    </row>
    <row r="4640" spans="1:40" x14ac:dyDescent="0.25">
      <c r="A4640" t="str">
        <f>"20190312172211061"</f>
        <v>20190312172211061</v>
      </c>
      <c r="B4640" t="str">
        <f>"1552382531055357"</f>
        <v>1552382531055357</v>
      </c>
      <c r="C4640" t="s">
        <v>40</v>
      </c>
      <c r="D4640">
        <v>3.4037160000000002</v>
      </c>
      <c r="E4640">
        <v>0.55061579999999999</v>
      </c>
      <c r="F4640" t="s">
        <v>42</v>
      </c>
      <c r="G4640">
        <v>-192.42169999999999</v>
      </c>
      <c r="H4640" s="1">
        <v>-3.4498649999999999E-6</v>
      </c>
      <c r="I4640">
        <v>186.12880000000001</v>
      </c>
      <c r="J4640">
        <v>-191.428</v>
      </c>
      <c r="K4640">
        <v>1.1005480000000001</v>
      </c>
      <c r="L4640">
        <v>202.18389999999999</v>
      </c>
      <c r="M4640">
        <v>0.38851180000000002</v>
      </c>
      <c r="N4640">
        <v>0</v>
      </c>
      <c r="O4640">
        <v>-0.92130730000000005</v>
      </c>
      <c r="P4640">
        <v>7.4569650000000001E-2</v>
      </c>
      <c r="Q4640">
        <v>0.18256820000000001</v>
      </c>
      <c r="R4640">
        <v>-0.9803615</v>
      </c>
      <c r="S4640">
        <v>-0.17222599999999999</v>
      </c>
      <c r="T4640">
        <v>-0.21032770000000001</v>
      </c>
      <c r="U4640">
        <v>-3.1168819999999999</v>
      </c>
      <c r="V4640">
        <v>0.31696190000000002</v>
      </c>
      <c r="W4640">
        <v>0.18962109999999999</v>
      </c>
      <c r="X4640">
        <v>0.92928949999999999</v>
      </c>
      <c r="Y4640">
        <v>0.43866579999999999</v>
      </c>
      <c r="Z4640">
        <v>5.5912700000000003E-2</v>
      </c>
      <c r="AA4640">
        <v>0.89690919999999896</v>
      </c>
      <c r="AB4640">
        <v>25</v>
      </c>
      <c r="AC4640">
        <v>-0.99369999999998904</v>
      </c>
      <c r="AD4640">
        <v>-1.10055144986499</v>
      </c>
      <c r="AE4640">
        <v>-16.0550999999999</v>
      </c>
      <c r="AF4640">
        <v>7.1206668237613497</v>
      </c>
      <c r="AG4640">
        <v>-1.10055144986499</v>
      </c>
      <c r="AH4640">
        <v>14.3403018118186</v>
      </c>
      <c r="AI4640">
        <v>93.932197181142499</v>
      </c>
      <c r="AJ4640">
        <v>63.593335483657803</v>
      </c>
      <c r="AK4640">
        <v>16.048656191808199</v>
      </c>
      <c r="AL4640">
        <v>79.069327042787606</v>
      </c>
      <c r="AM4640">
        <v>71.166526620365104</v>
      </c>
      <c r="AN4640">
        <v>0.999999991213535</v>
      </c>
    </row>
    <row r="4641" spans="1:40" x14ac:dyDescent="0.25">
      <c r="A4641" t="str">
        <f>"20190312172211083"</f>
        <v>20190312172211083</v>
      </c>
      <c r="B4641" t="str">
        <f>"1552382531074889"</f>
        <v>1552382531074889</v>
      </c>
      <c r="C4641" t="s">
        <v>40</v>
      </c>
      <c r="D4641">
        <v>3.4102350000000001</v>
      </c>
      <c r="E4641">
        <v>0.54961450000000001</v>
      </c>
      <c r="F4641" t="s">
        <v>42</v>
      </c>
      <c r="G4641">
        <v>-192.45359999999999</v>
      </c>
      <c r="H4641" s="1">
        <v>-3.4427110000000002E-6</v>
      </c>
      <c r="I4641">
        <v>186.09229999999999</v>
      </c>
      <c r="J4641">
        <v>-191.3432</v>
      </c>
      <c r="K4641">
        <v>1.100684</v>
      </c>
      <c r="L4641">
        <v>201.9419</v>
      </c>
      <c r="M4641">
        <v>0.37529079999999998</v>
      </c>
      <c r="N4641">
        <v>0</v>
      </c>
      <c r="O4641">
        <v>-0.92677209999999999</v>
      </c>
      <c r="P4641">
        <v>6.3754950000000005E-2</v>
      </c>
      <c r="Q4641">
        <v>0.1821932</v>
      </c>
      <c r="R4641">
        <v>-0.98119400000000001</v>
      </c>
      <c r="S4641">
        <v>-0.19853209999999999</v>
      </c>
      <c r="T4641">
        <v>-0.2130349</v>
      </c>
      <c r="U4641">
        <v>-3.114868</v>
      </c>
      <c r="V4641">
        <v>0.31385600000000002</v>
      </c>
      <c r="W4641">
        <v>0.18941179999999999</v>
      </c>
      <c r="X4641">
        <v>0.93038569999999998</v>
      </c>
      <c r="Y4641">
        <v>0.43337829999999999</v>
      </c>
      <c r="Z4641">
        <v>5.7296010000000001E-2</v>
      </c>
      <c r="AA4641">
        <v>0.89938890000000005</v>
      </c>
      <c r="AB4641">
        <v>25</v>
      </c>
      <c r="AC4641">
        <v>-1.1103999999999901</v>
      </c>
      <c r="AD4641">
        <v>-1.1006874427110001</v>
      </c>
      <c r="AE4641">
        <v>-15.849600000000001</v>
      </c>
      <c r="AF4641">
        <v>6.9448407556457701</v>
      </c>
      <c r="AG4641">
        <v>-1.1006874427110001</v>
      </c>
      <c r="AH4641">
        <v>14.205854472052501</v>
      </c>
      <c r="AI4641">
        <v>93.981845820465296</v>
      </c>
      <c r="AJ4641">
        <v>63.947297837420201</v>
      </c>
      <c r="AK4641">
        <v>15.850824182008701</v>
      </c>
      <c r="AL4641">
        <v>79.081540313762602</v>
      </c>
      <c r="AM4641">
        <v>71.358708786655697</v>
      </c>
      <c r="AN4641">
        <v>0.99999998473986396</v>
      </c>
    </row>
    <row r="4642" spans="1:40" x14ac:dyDescent="0.25">
      <c r="A4642" t="str">
        <f>"20190312172211105"</f>
        <v>20190312172211105</v>
      </c>
      <c r="B4642" t="str">
        <f>"1552382531095376"</f>
        <v>1552382531095376</v>
      </c>
      <c r="C4642" t="s">
        <v>40</v>
      </c>
      <c r="D4642">
        <v>3.403851</v>
      </c>
      <c r="E4642">
        <v>0.54910530000000002</v>
      </c>
      <c r="F4642" t="s">
        <v>42</v>
      </c>
      <c r="G4642">
        <v>-192.4845</v>
      </c>
      <c r="H4642" s="1">
        <v>-3.456766E-6</v>
      </c>
      <c r="I4642">
        <v>186.10599999999999</v>
      </c>
      <c r="J4642">
        <v>-191.26300000000001</v>
      </c>
      <c r="K4642">
        <v>1.100822</v>
      </c>
      <c r="L4642">
        <v>201.7029</v>
      </c>
      <c r="M4642">
        <v>0.3623555</v>
      </c>
      <c r="N4642">
        <v>0</v>
      </c>
      <c r="O4642">
        <v>-0.93190629999999997</v>
      </c>
      <c r="P4642">
        <v>5.3334659999999999E-2</v>
      </c>
      <c r="Q4642">
        <v>0.18176519999999999</v>
      </c>
      <c r="R4642">
        <v>-0.98189479999999996</v>
      </c>
      <c r="S4642">
        <v>-0.22430420000000001</v>
      </c>
      <c r="T4642">
        <v>-0.21631690000000001</v>
      </c>
      <c r="U4642">
        <v>-3.1122130000000001</v>
      </c>
      <c r="V4642">
        <v>0.3107278</v>
      </c>
      <c r="W4642">
        <v>0.18914629999999999</v>
      </c>
      <c r="X4642">
        <v>0.93148909999999996</v>
      </c>
      <c r="Y4642">
        <v>0.428286</v>
      </c>
      <c r="Z4642">
        <v>5.8824340000000003E-2</v>
      </c>
      <c r="AA4642">
        <v>0.90172660000000004</v>
      </c>
      <c r="AB4642">
        <v>25</v>
      </c>
      <c r="AC4642">
        <v>-1.22149999999999</v>
      </c>
      <c r="AD4642">
        <v>-1.1008254567659901</v>
      </c>
      <c r="AE4642">
        <v>-15.5969</v>
      </c>
      <c r="AF4642">
        <v>6.7573355461433602</v>
      </c>
      <c r="AG4642">
        <v>-1.1008254567659901</v>
      </c>
      <c r="AH4642">
        <v>14.024550485247101</v>
      </c>
      <c r="AI4642">
        <v>94.044805487188199</v>
      </c>
      <c r="AJ4642">
        <v>64.274214509573298</v>
      </c>
      <c r="AK4642">
        <v>15.606454327703</v>
      </c>
      <c r="AL4642">
        <v>79.097032733053894</v>
      </c>
      <c r="AM4642">
        <v>71.552240239996095</v>
      </c>
      <c r="AN4642">
        <v>1.0000000159576601</v>
      </c>
    </row>
    <row r="4643" spans="1:40" x14ac:dyDescent="0.25">
      <c r="A4643" t="str">
        <f>"20190312172211126"</f>
        <v>20190312172211126</v>
      </c>
      <c r="B4643" t="str">
        <f>"1552382531114893"</f>
        <v>1552382531114893</v>
      </c>
      <c r="C4643" t="s">
        <v>40</v>
      </c>
      <c r="D4643">
        <v>3.418018</v>
      </c>
      <c r="E4643">
        <v>0.5432361</v>
      </c>
      <c r="F4643" t="s">
        <v>42</v>
      </c>
      <c r="G4643">
        <v>-192.53469999999999</v>
      </c>
      <c r="H4643" s="1">
        <v>-3.425153E-6</v>
      </c>
      <c r="I4643">
        <v>186.00120000000001</v>
      </c>
      <c r="J4643">
        <v>-191.1859</v>
      </c>
      <c r="K4643">
        <v>1.1009629999999999</v>
      </c>
      <c r="L4643">
        <v>201.4622</v>
      </c>
      <c r="M4643">
        <v>0.34945959999999998</v>
      </c>
      <c r="N4643">
        <v>0</v>
      </c>
      <c r="O4643">
        <v>-0.93681890000000001</v>
      </c>
      <c r="P4643">
        <v>4.3680160000000003E-2</v>
      </c>
      <c r="Q4643">
        <v>0.18100469999999999</v>
      </c>
      <c r="R4643">
        <v>-0.98251219999999995</v>
      </c>
      <c r="S4643">
        <v>-0.25181579999999998</v>
      </c>
      <c r="T4643">
        <v>-0.21799209999999999</v>
      </c>
      <c r="U4643">
        <v>-3.1093600000000001</v>
      </c>
      <c r="V4643">
        <v>0.30698009999999998</v>
      </c>
      <c r="W4643">
        <v>0.18856709999999999</v>
      </c>
      <c r="X4643">
        <v>0.93284820000000002</v>
      </c>
      <c r="Y4643">
        <v>0.42379840000000002</v>
      </c>
      <c r="Z4643">
        <v>5.9899559999999998E-2</v>
      </c>
      <c r="AA4643">
        <v>0.90377370000000001</v>
      </c>
      <c r="AB4643">
        <v>25</v>
      </c>
      <c r="AC4643">
        <v>-1.34879999999998</v>
      </c>
      <c r="AD4643">
        <v>-1.10096642515299</v>
      </c>
      <c r="AE4643">
        <v>-15.460999999999901</v>
      </c>
      <c r="AF4643">
        <v>6.6340187116173404</v>
      </c>
      <c r="AG4643">
        <v>-1.10096642515299</v>
      </c>
      <c r="AH4643">
        <v>13.9443716943856</v>
      </c>
      <c r="AI4643">
        <v>94.078106747062805</v>
      </c>
      <c r="AJ4643">
        <v>64.557284940506094</v>
      </c>
      <c r="AK4643">
        <v>15.4812090382691</v>
      </c>
      <c r="AL4643">
        <v>79.130826939741297</v>
      </c>
      <c r="AM4643">
        <v>71.7847464411727</v>
      </c>
      <c r="AN4643">
        <v>1.00000004862082</v>
      </c>
    </row>
    <row r="4644" spans="1:40" x14ac:dyDescent="0.25">
      <c r="A4644" t="str">
        <f>"20190312172211151"</f>
        <v>20190312172211151</v>
      </c>
      <c r="B4644" t="str">
        <f>"1552382531145149"</f>
        <v>1552382531145149</v>
      </c>
      <c r="C4644" t="s">
        <v>40</v>
      </c>
      <c r="D4644">
        <v>3.3719939999999999</v>
      </c>
      <c r="E4644">
        <v>0.5417978</v>
      </c>
      <c r="F4644" t="s">
        <v>42</v>
      </c>
      <c r="G4644">
        <v>-192.36760000000001</v>
      </c>
      <c r="H4644" s="1">
        <v>-3.3018209999999998E-6</v>
      </c>
      <c r="I4644">
        <v>185.81729999999999</v>
      </c>
      <c r="J4644">
        <v>-191.10740000000001</v>
      </c>
      <c r="K4644">
        <v>1.101126</v>
      </c>
      <c r="L4644">
        <v>201.20590000000001</v>
      </c>
      <c r="M4644">
        <v>0.33590249999999999</v>
      </c>
      <c r="N4644">
        <v>0</v>
      </c>
      <c r="O4644">
        <v>-0.94176590000000004</v>
      </c>
      <c r="P4644">
        <v>3.3240359999999997E-2</v>
      </c>
      <c r="Q4644">
        <v>0.18020149999999999</v>
      </c>
      <c r="R4644">
        <v>-0.98306850000000001</v>
      </c>
      <c r="S4644">
        <v>-0.2344513</v>
      </c>
      <c r="T4644">
        <v>-0.2184371</v>
      </c>
      <c r="U4644">
        <v>-3.104034</v>
      </c>
      <c r="V4644">
        <v>0.30336920000000001</v>
      </c>
      <c r="W4644">
        <v>0.18794839999999999</v>
      </c>
      <c r="X4644">
        <v>0.93415340000000002</v>
      </c>
      <c r="Y4644">
        <v>0.40574450000000001</v>
      </c>
      <c r="Z4644">
        <v>6.0950499999999998E-2</v>
      </c>
      <c r="AA4644">
        <v>0.91195199999999998</v>
      </c>
      <c r="AB4644">
        <v>25</v>
      </c>
      <c r="AC4644">
        <v>-1.26019999999999</v>
      </c>
      <c r="AD4644">
        <v>-1.101129301821</v>
      </c>
      <c r="AE4644">
        <v>-15.3886</v>
      </c>
      <c r="AF4644">
        <v>6.3244997532021197</v>
      </c>
      <c r="AG4644">
        <v>-1.101129301821</v>
      </c>
      <c r="AH4644">
        <v>13.999686453917599</v>
      </c>
      <c r="AI4644">
        <v>94.099883771817503</v>
      </c>
      <c r="AJ4644">
        <v>65.688446072709397</v>
      </c>
      <c r="AK4644">
        <v>15.4013961599456</v>
      </c>
      <c r="AL4644">
        <v>79.166920941673993</v>
      </c>
      <c r="AM4644">
        <v>72.0086348873388</v>
      </c>
      <c r="AN4644">
        <v>1.00000002365137</v>
      </c>
    </row>
    <row r="4645" spans="1:40" x14ac:dyDescent="0.25">
      <c r="A4645" t="str">
        <f>"20190312172211173"</f>
        <v>20190312172211173</v>
      </c>
      <c r="B4645" t="str">
        <f>"1552382531165644"</f>
        <v>1552382531165644</v>
      </c>
      <c r="C4645" t="s">
        <v>40</v>
      </c>
      <c r="D4645">
        <v>3.377129</v>
      </c>
      <c r="E4645">
        <v>0.53829099999999996</v>
      </c>
      <c r="F4645" t="s">
        <v>42</v>
      </c>
      <c r="G4645">
        <v>-192.38579999999999</v>
      </c>
      <c r="H4645" s="1">
        <v>-3.2611789999999998E-6</v>
      </c>
      <c r="I4645">
        <v>185.71119999999999</v>
      </c>
      <c r="J4645">
        <v>-191.0335</v>
      </c>
      <c r="K4645">
        <v>1.1013109999999999</v>
      </c>
      <c r="L4645">
        <v>200.9522</v>
      </c>
      <c r="M4645">
        <v>0.32269880000000001</v>
      </c>
      <c r="N4645">
        <v>0</v>
      </c>
      <c r="O4645">
        <v>-0.9463722</v>
      </c>
      <c r="P4645">
        <v>2.3735309999999999E-2</v>
      </c>
      <c r="Q4645">
        <v>0.17992569999999999</v>
      </c>
      <c r="R4645">
        <v>-0.98339410000000005</v>
      </c>
      <c r="S4645">
        <v>-0.25582890000000003</v>
      </c>
      <c r="T4645">
        <v>-0.22035360000000001</v>
      </c>
      <c r="U4645">
        <v>-3.1007229999999999</v>
      </c>
      <c r="V4645">
        <v>0.29924810000000002</v>
      </c>
      <c r="W4645">
        <v>0.18787300000000001</v>
      </c>
      <c r="X4645">
        <v>0.93549689999999996</v>
      </c>
      <c r="Y4645">
        <v>0.39927040000000003</v>
      </c>
      <c r="Z4645">
        <v>6.2121410000000002E-2</v>
      </c>
      <c r="AA4645">
        <v>0.91472629999999999</v>
      </c>
      <c r="AB4645">
        <v>25</v>
      </c>
      <c r="AC4645">
        <v>-1.3522999999999801</v>
      </c>
      <c r="AD4645">
        <v>-1.1013142611789899</v>
      </c>
      <c r="AE4645">
        <v>-15.241</v>
      </c>
      <c r="AF4645">
        <v>6.1668427072305603</v>
      </c>
      <c r="AG4645">
        <v>-1.1013142611789899</v>
      </c>
      <c r="AH4645">
        <v>13.9168883987961</v>
      </c>
      <c r="AI4645">
        <v>94.138144910936802</v>
      </c>
      <c r="AJ4645">
        <v>66.100940672682995</v>
      </c>
      <c r="AK4645">
        <v>15.261802802491699</v>
      </c>
      <c r="AL4645">
        <v>79.171319901536904</v>
      </c>
      <c r="AM4645">
        <v>72.261490335203604</v>
      </c>
      <c r="AN4645">
        <v>1.0000000696961</v>
      </c>
    </row>
    <row r="4646" spans="1:40" x14ac:dyDescent="0.25">
      <c r="A4646" t="str">
        <f>"20190312172211194"</f>
        <v>20190312172211194</v>
      </c>
      <c r="B4646" t="str">
        <f>"1552382531185164"</f>
        <v>1552382531185164</v>
      </c>
      <c r="C4646" t="s">
        <v>40</v>
      </c>
      <c r="D4646">
        <v>3.358771</v>
      </c>
      <c r="E4646">
        <v>0.53817930000000003</v>
      </c>
      <c r="F4646" t="s">
        <v>42</v>
      </c>
      <c r="G4646">
        <v>-192.32490000000001</v>
      </c>
      <c r="H4646" s="1">
        <v>-3.1117779999999998E-6</v>
      </c>
      <c r="I4646">
        <v>185.4008</v>
      </c>
      <c r="J4646">
        <v>-190.96809999999999</v>
      </c>
      <c r="K4646">
        <v>1.1014919999999999</v>
      </c>
      <c r="L4646">
        <v>200.71690000000001</v>
      </c>
      <c r="M4646">
        <v>0.31065140000000002</v>
      </c>
      <c r="N4646">
        <v>0</v>
      </c>
      <c r="O4646">
        <v>-0.95039560000000001</v>
      </c>
      <c r="P4646">
        <v>1.552019E-2</v>
      </c>
      <c r="Q4646">
        <v>0.179814</v>
      </c>
      <c r="R4646">
        <v>-0.98357830000000002</v>
      </c>
      <c r="S4646">
        <v>-0.2571716</v>
      </c>
      <c r="T4646">
        <v>-0.2193204</v>
      </c>
      <c r="U4646">
        <v>-3.0969850000000001</v>
      </c>
      <c r="V4646">
        <v>0.29508329999999999</v>
      </c>
      <c r="W4646">
        <v>0.1879615</v>
      </c>
      <c r="X4646">
        <v>0.93680110000000005</v>
      </c>
      <c r="Y4646">
        <v>0.38808189999999998</v>
      </c>
      <c r="Z4646">
        <v>6.2501429999999997E-2</v>
      </c>
      <c r="AA4646">
        <v>0.91950310000000002</v>
      </c>
      <c r="AB4646">
        <v>25</v>
      </c>
      <c r="AC4646">
        <v>-1.35680000000002</v>
      </c>
      <c r="AD4646">
        <v>-1.1014951117780001</v>
      </c>
      <c r="AE4646">
        <v>-15.3161</v>
      </c>
      <c r="AF4646">
        <v>6.0173223223627899</v>
      </c>
      <c r="AG4646">
        <v>-1.1014951117780001</v>
      </c>
      <c r="AH4646">
        <v>14.0644099359496</v>
      </c>
      <c r="AI4646">
        <v>94.1184495104593</v>
      </c>
      <c r="AJ4646">
        <v>66.836805879480096</v>
      </c>
      <c r="AK4646">
        <v>15.337179866550301</v>
      </c>
      <c r="AL4646">
        <v>79.166156380354806</v>
      </c>
      <c r="AM4646">
        <v>72.516076027196107</v>
      </c>
      <c r="AN4646">
        <v>0.99999999019117503</v>
      </c>
    </row>
    <row r="4647" spans="1:40" x14ac:dyDescent="0.25">
      <c r="A4647" t="str">
        <f>"20190312172211216"</f>
        <v>20190312172211216</v>
      </c>
      <c r="B4647" t="str">
        <f>"1552382531205661"</f>
        <v>1552382531205661</v>
      </c>
      <c r="C4647" t="s">
        <v>40</v>
      </c>
      <c r="D4647">
        <v>3.3346309999999999</v>
      </c>
      <c r="E4647">
        <v>0.53729530000000003</v>
      </c>
      <c r="F4647" t="s">
        <v>42</v>
      </c>
      <c r="G4647">
        <v>-192.42830000000001</v>
      </c>
      <c r="H4647" s="1">
        <v>-2.8280700000000001E-6</v>
      </c>
      <c r="I4647">
        <v>184.67529999999999</v>
      </c>
      <c r="J4647">
        <v>-190.90360000000001</v>
      </c>
      <c r="K4647">
        <v>1.1017060000000001</v>
      </c>
      <c r="L4647">
        <v>200.47370000000001</v>
      </c>
      <c r="M4647">
        <v>0.2984289</v>
      </c>
      <c r="N4647">
        <v>0</v>
      </c>
      <c r="O4647">
        <v>-0.95430519999999996</v>
      </c>
      <c r="P4647">
        <v>8.1300150000000009E-3</v>
      </c>
      <c r="Q4647">
        <v>0.17912639999999999</v>
      </c>
      <c r="R4647">
        <v>-0.98379280000000002</v>
      </c>
      <c r="S4647">
        <v>-0.2815704</v>
      </c>
      <c r="T4647">
        <v>-0.21240539999999999</v>
      </c>
      <c r="U4647">
        <v>-3.093353</v>
      </c>
      <c r="V4647">
        <v>0.29000700000000001</v>
      </c>
      <c r="W4647">
        <v>0.1875068</v>
      </c>
      <c r="X4647">
        <v>0.93847599999999998</v>
      </c>
      <c r="Y4647">
        <v>0.38355</v>
      </c>
      <c r="Z4647">
        <v>6.105588E-2</v>
      </c>
      <c r="AA4647">
        <v>0.92149970000000003</v>
      </c>
      <c r="AB4647">
        <v>25</v>
      </c>
      <c r="AC4647">
        <v>-1.52469999999999</v>
      </c>
      <c r="AD4647">
        <v>-1.10170882806999</v>
      </c>
      <c r="AE4647">
        <v>-15.798400000000001</v>
      </c>
      <c r="AF4647">
        <v>6.1408864912758796</v>
      </c>
      <c r="AG4647">
        <v>-1.10170882806999</v>
      </c>
      <c r="AH4647">
        <v>14.5531293312676</v>
      </c>
      <c r="AI4647">
        <v>93.989770325918101</v>
      </c>
      <c r="AJ4647">
        <v>67.122040070770495</v>
      </c>
      <c r="AK4647">
        <v>15.8340715728199</v>
      </c>
      <c r="AL4647">
        <v>79.192680821631299</v>
      </c>
      <c r="AM4647">
        <v>72.827852517866006</v>
      </c>
      <c r="AN4647">
        <v>1.0000000313356101</v>
      </c>
    </row>
    <row r="4648" spans="1:40" x14ac:dyDescent="0.25">
      <c r="A4648" t="str">
        <f>"20190312172211238"</f>
        <v>20190312172211238</v>
      </c>
      <c r="B4648" t="str">
        <f>"1552382531234941"</f>
        <v>1552382531234941</v>
      </c>
      <c r="C4648" t="s">
        <v>40</v>
      </c>
      <c r="D4648">
        <v>3.358212</v>
      </c>
      <c r="E4648">
        <v>0.53584359999999998</v>
      </c>
      <c r="F4648" t="s">
        <v>42</v>
      </c>
      <c r="G4648">
        <v>-192.4282</v>
      </c>
      <c r="H4648" s="1">
        <v>-2.8023709999999999E-6</v>
      </c>
      <c r="I4648">
        <v>184.61539999999999</v>
      </c>
      <c r="J4648">
        <v>-190.84119999999999</v>
      </c>
      <c r="K4648">
        <v>1.1019330000000001</v>
      </c>
      <c r="L4648">
        <v>200.22669999999999</v>
      </c>
      <c r="M4648">
        <v>0.28626299999999999</v>
      </c>
      <c r="N4648">
        <v>0</v>
      </c>
      <c r="O4648">
        <v>-0.95802560000000003</v>
      </c>
      <c r="P4648">
        <v>1.505258E-3</v>
      </c>
      <c r="Q4648">
        <v>0.17930019999999999</v>
      </c>
      <c r="R4648">
        <v>-0.98379340000000004</v>
      </c>
      <c r="S4648">
        <v>-0.29716490000000001</v>
      </c>
      <c r="T4648">
        <v>-0.21473600000000001</v>
      </c>
      <c r="U4648">
        <v>-3.0909580000000001</v>
      </c>
      <c r="V4648">
        <v>0.28425590000000001</v>
      </c>
      <c r="W4648">
        <v>0.1879306</v>
      </c>
      <c r="X4648">
        <v>0.94014929999999997</v>
      </c>
      <c r="Y4648">
        <v>0.3764575</v>
      </c>
      <c r="Z4648">
        <v>6.2243519999999997E-2</v>
      </c>
      <c r="AA4648">
        <v>0.92434059999999996</v>
      </c>
      <c r="AB4648">
        <v>25</v>
      </c>
      <c r="AC4648">
        <v>-1.58700000000001</v>
      </c>
      <c r="AD4648">
        <v>-1.101935802371</v>
      </c>
      <c r="AE4648">
        <v>-15.6113</v>
      </c>
      <c r="AF4648">
        <v>5.9606500852418796</v>
      </c>
      <c r="AG4648">
        <v>-1.101935802371</v>
      </c>
      <c r="AH4648">
        <v>14.432298113663</v>
      </c>
      <c r="AI4648">
        <v>94.036680237992798</v>
      </c>
      <c r="AJ4648">
        <v>67.558998397289102</v>
      </c>
      <c r="AK4648">
        <v>15.6535887512379</v>
      </c>
      <c r="AL4648">
        <v>79.167959233357493</v>
      </c>
      <c r="AM4648">
        <v>73.177209975237702</v>
      </c>
      <c r="AN4648">
        <v>1.0000000166958201</v>
      </c>
    </row>
    <row r="4649" spans="1:40" x14ac:dyDescent="0.25">
      <c r="A4649" t="str">
        <f>"20190312172211262"</f>
        <v>20190312172211262</v>
      </c>
      <c r="B4649" t="str">
        <f>"1552382531255440"</f>
        <v>1552382531255440</v>
      </c>
      <c r="C4649" t="s">
        <v>40</v>
      </c>
      <c r="D4649">
        <v>3.363794</v>
      </c>
      <c r="E4649">
        <v>0.53537239999999997</v>
      </c>
      <c r="F4649" t="s">
        <v>42</v>
      </c>
      <c r="G4649">
        <v>-192.4023</v>
      </c>
      <c r="H4649" s="1">
        <v>-2.73245E-6</v>
      </c>
      <c r="I4649">
        <v>184.46860000000001</v>
      </c>
      <c r="J4649">
        <v>-190.77950000000001</v>
      </c>
      <c r="K4649">
        <v>1.1021780000000001</v>
      </c>
      <c r="L4649">
        <v>199.96940000000001</v>
      </c>
      <c r="M4649">
        <v>0.27388289999999998</v>
      </c>
      <c r="N4649">
        <v>0</v>
      </c>
      <c r="O4649">
        <v>-0.96163909999999997</v>
      </c>
      <c r="P4649">
        <v>-4.6937609999999899E-3</v>
      </c>
      <c r="Q4649">
        <v>0.17949970000000001</v>
      </c>
      <c r="R4649">
        <v>-0.98374689999999998</v>
      </c>
      <c r="S4649">
        <v>-0.30603029999999998</v>
      </c>
      <c r="T4649">
        <v>-0.2160251</v>
      </c>
      <c r="U4649">
        <v>-3.0892490000000001</v>
      </c>
      <c r="V4649">
        <v>0.27791349999999998</v>
      </c>
      <c r="W4649">
        <v>0.1883947</v>
      </c>
      <c r="X4649">
        <v>0.94195090000000004</v>
      </c>
      <c r="Y4649">
        <v>0.36716369999999998</v>
      </c>
      <c r="Z4649">
        <v>6.3149490000000003E-2</v>
      </c>
      <c r="AA4649">
        <v>0.92801020000000001</v>
      </c>
      <c r="AB4649">
        <v>25</v>
      </c>
      <c r="AC4649">
        <v>-1.62279999999998</v>
      </c>
      <c r="AD4649">
        <v>-1.1021807324499999</v>
      </c>
      <c r="AE4649">
        <v>-15.5007999999999</v>
      </c>
      <c r="AF4649">
        <v>5.7777492231624503</v>
      </c>
      <c r="AG4649">
        <v>-1.1021807324499999</v>
      </c>
      <c r="AH4649">
        <v>14.391469516135301</v>
      </c>
      <c r="AI4649">
        <v>94.0652866125793</v>
      </c>
      <c r="AJ4649">
        <v>68.125999333078497</v>
      </c>
      <c r="AK4649">
        <v>15.547076358164301</v>
      </c>
      <c r="AL4649">
        <v>79.140884329147099</v>
      </c>
      <c r="AM4649">
        <v>73.561815297943497</v>
      </c>
      <c r="AN4649">
        <v>0.99999998724057404</v>
      </c>
    </row>
    <row r="4650" spans="1:40" x14ac:dyDescent="0.25">
      <c r="A4650" t="str">
        <f>"20190312172211283"</f>
        <v>20190312172211283</v>
      </c>
      <c r="B4650" t="str">
        <f>"1552382531274957"</f>
        <v>1552382531274957</v>
      </c>
      <c r="C4650" t="s">
        <v>40</v>
      </c>
      <c r="D4650">
        <v>3.3330350000000002</v>
      </c>
      <c r="E4650">
        <v>0.52846859999999996</v>
      </c>
      <c r="F4650" t="s">
        <v>42</v>
      </c>
      <c r="G4650">
        <v>-192.41800000000001</v>
      </c>
      <c r="H4650" s="1">
        <v>-2.6328099999999999E-6</v>
      </c>
      <c r="I4650">
        <v>184.22659999999999</v>
      </c>
      <c r="J4650">
        <v>-190.72460000000001</v>
      </c>
      <c r="K4650">
        <v>1.1024050000000001</v>
      </c>
      <c r="L4650">
        <v>199.72819999999999</v>
      </c>
      <c r="M4650">
        <v>0.2625499</v>
      </c>
      <c r="N4650">
        <v>0</v>
      </c>
      <c r="O4650">
        <v>-0.96479579999999998</v>
      </c>
      <c r="P4650">
        <v>-9.7298579999999992E-3</v>
      </c>
      <c r="Q4650">
        <v>0.17957679999999901</v>
      </c>
      <c r="R4650">
        <v>-0.98369589999999996</v>
      </c>
      <c r="S4650">
        <v>-0.32133479999999998</v>
      </c>
      <c r="T4650">
        <v>-0.21616060000000001</v>
      </c>
      <c r="U4650">
        <v>-3.087494</v>
      </c>
      <c r="V4650">
        <v>0.27152369999999998</v>
      </c>
      <c r="W4650">
        <v>0.1887211</v>
      </c>
      <c r="X4650">
        <v>0.94374740000000001</v>
      </c>
      <c r="Y4650">
        <v>0.36081619999999998</v>
      </c>
      <c r="Z4650">
        <v>6.3626070000000007E-2</v>
      </c>
      <c r="AA4650">
        <v>0.93046410000000002</v>
      </c>
      <c r="AB4650">
        <v>25</v>
      </c>
      <c r="AC4650">
        <v>-1.69339999999999</v>
      </c>
      <c r="AD4650">
        <v>-1.1024076328100001</v>
      </c>
      <c r="AE4650">
        <v>-15.5015999999999</v>
      </c>
      <c r="AF4650">
        <v>5.6760359213085696</v>
      </c>
      <c r="AG4650">
        <v>-1.1024076328100001</v>
      </c>
      <c r="AH4650">
        <v>14.440821238190599</v>
      </c>
      <c r="AI4650">
        <v>94.063949402863699</v>
      </c>
      <c r="AJ4650">
        <v>68.542447326565593</v>
      </c>
      <c r="AK4650">
        <v>15.5553850612011</v>
      </c>
      <c r="AL4650">
        <v>79.12184114115</v>
      </c>
      <c r="AM4650">
        <v>73.949048340704607</v>
      </c>
      <c r="AN4650">
        <v>0.99999996412682901</v>
      </c>
    </row>
    <row r="4651" spans="1:40" x14ac:dyDescent="0.25">
      <c r="A4651" t="str">
        <f>"20190312172211305"</f>
        <v>20190312172211305</v>
      </c>
      <c r="B4651" t="str">
        <f>"1552382531295453"</f>
        <v>1552382531295453</v>
      </c>
      <c r="C4651" t="s">
        <v>40</v>
      </c>
      <c r="D4651">
        <v>3.3416139999999999</v>
      </c>
      <c r="E4651">
        <v>0.52809729999999999</v>
      </c>
      <c r="F4651" t="s">
        <v>42</v>
      </c>
      <c r="G4651">
        <v>-192.12479999999999</v>
      </c>
      <c r="H4651" s="1">
        <v>-2.623357E-6</v>
      </c>
      <c r="I4651">
        <v>184.38630000000001</v>
      </c>
      <c r="J4651">
        <v>-190.67259999999999</v>
      </c>
      <c r="K4651">
        <v>1.102609</v>
      </c>
      <c r="L4651">
        <v>199.4879</v>
      </c>
      <c r="M4651">
        <v>0.25147560000000002</v>
      </c>
      <c r="N4651">
        <v>0</v>
      </c>
      <c r="O4651">
        <v>-0.96774230000000006</v>
      </c>
      <c r="P4651">
        <v>-1.4191580000000001E-2</v>
      </c>
      <c r="Q4651">
        <v>0.17942449999999999</v>
      </c>
      <c r="R4651">
        <v>-0.98366929999999997</v>
      </c>
      <c r="S4651">
        <v>-0.28178409999999998</v>
      </c>
      <c r="T4651">
        <v>-0.22184970000000001</v>
      </c>
      <c r="U4651">
        <v>-3.087418</v>
      </c>
      <c r="V4651">
        <v>0.2648742</v>
      </c>
      <c r="W4651">
        <v>0.188804</v>
      </c>
      <c r="X4651">
        <v>0.94561870000000003</v>
      </c>
      <c r="Y4651">
        <v>0.3382098</v>
      </c>
      <c r="Z4651">
        <v>6.5955929999999996E-2</v>
      </c>
      <c r="AA4651">
        <v>0.93875660000000005</v>
      </c>
      <c r="AB4651">
        <v>25</v>
      </c>
      <c r="AC4651">
        <v>-1.4521999999999999</v>
      </c>
      <c r="AD4651">
        <v>-1.102611623357</v>
      </c>
      <c r="AE4651">
        <v>-15.1015999999999</v>
      </c>
      <c r="AF4651">
        <v>5.1763089276906298</v>
      </c>
      <c r="AG4651">
        <v>-1.102611623357</v>
      </c>
      <c r="AH4651">
        <v>14.1760593491944</v>
      </c>
      <c r="AI4651">
        <v>94.178692629034799</v>
      </c>
      <c r="AJ4651">
        <v>69.940616475258295</v>
      </c>
      <c r="AK4651">
        <v>15.1317740261587</v>
      </c>
      <c r="AL4651">
        <v>79.117004863519597</v>
      </c>
      <c r="AM4651">
        <v>74.352080955227294</v>
      </c>
      <c r="AN4651">
        <v>1.00000000901566</v>
      </c>
    </row>
    <row r="4652" spans="1:40" x14ac:dyDescent="0.25">
      <c r="A4652" t="str">
        <f>"20190312172211327"</f>
        <v>20190312172211327</v>
      </c>
      <c r="B4652" t="str">
        <f>"1552382531325709"</f>
        <v>1552382531325709</v>
      </c>
      <c r="C4652" t="s">
        <v>40</v>
      </c>
      <c r="D4652">
        <v>3.3268599999999999</v>
      </c>
      <c r="E4652">
        <v>0.52388009999999996</v>
      </c>
      <c r="F4652" t="s">
        <v>42</v>
      </c>
      <c r="G4652">
        <v>-192.11879999999999</v>
      </c>
      <c r="H4652" s="1">
        <v>-2.564586E-6</v>
      </c>
      <c r="I4652">
        <v>184.25309999999999</v>
      </c>
      <c r="J4652">
        <v>-190.62180000000001</v>
      </c>
      <c r="K4652">
        <v>1.102797</v>
      </c>
      <c r="L4652">
        <v>199.2407</v>
      </c>
      <c r="M4652">
        <v>0.24031050000000001</v>
      </c>
      <c r="N4652">
        <v>0</v>
      </c>
      <c r="O4652">
        <v>-0.97057599999999999</v>
      </c>
      <c r="P4652">
        <v>-1.7969499999999999E-2</v>
      </c>
      <c r="Q4652">
        <v>0.17903620000000001</v>
      </c>
      <c r="R4652">
        <v>-0.98367839999999995</v>
      </c>
      <c r="S4652">
        <v>-0.29298400000000002</v>
      </c>
      <c r="T4652">
        <v>-0.2233704</v>
      </c>
      <c r="U4652">
        <v>-3.086319</v>
      </c>
      <c r="V4652">
        <v>0.25750650000000003</v>
      </c>
      <c r="W4652">
        <v>0.18865419999999999</v>
      </c>
      <c r="X4652">
        <v>0.94768140000000001</v>
      </c>
      <c r="Y4652">
        <v>0.33076270000000002</v>
      </c>
      <c r="Z4652">
        <v>6.6820320000000002E-2</v>
      </c>
      <c r="AA4652">
        <v>0.94134530000000005</v>
      </c>
      <c r="AB4652">
        <v>25</v>
      </c>
      <c r="AC4652">
        <v>-1.4969999999999799</v>
      </c>
      <c r="AD4652">
        <v>-1.102799564586</v>
      </c>
      <c r="AE4652">
        <v>-14.9876</v>
      </c>
      <c r="AF4652">
        <v>5.0282643404311598</v>
      </c>
      <c r="AG4652">
        <v>-1.102799564586</v>
      </c>
      <c r="AH4652">
        <v>14.112859604149101</v>
      </c>
      <c r="AI4652">
        <v>94.209890767958996</v>
      </c>
      <c r="AJ4652">
        <v>70.389548115382297</v>
      </c>
      <c r="AK4652">
        <v>15.022397124404799</v>
      </c>
      <c r="AL4652">
        <v>79.1257449599577</v>
      </c>
      <c r="AM4652">
        <v>74.798470699161598</v>
      </c>
      <c r="AN4652">
        <v>1.00000002031292</v>
      </c>
    </row>
    <row r="4653" spans="1:40" x14ac:dyDescent="0.25">
      <c r="A4653" t="str">
        <f>"20190312172211352"</f>
        <v>20190312172211352</v>
      </c>
      <c r="B4653" t="str">
        <f>"1552382531345229"</f>
        <v>1552382531345229</v>
      </c>
      <c r="C4653" t="s">
        <v>40</v>
      </c>
      <c r="D4653">
        <v>3.3341859999999999</v>
      </c>
      <c r="E4653">
        <v>0.52280230000000005</v>
      </c>
      <c r="F4653" t="s">
        <v>42</v>
      </c>
      <c r="G4653">
        <v>-192.00489999999999</v>
      </c>
      <c r="H4653" s="1">
        <v>-2.207482E-6</v>
      </c>
      <c r="I4653">
        <v>183.4913</v>
      </c>
      <c r="J4653">
        <v>-190.57069999999999</v>
      </c>
      <c r="K4653">
        <v>1.1029929999999999</v>
      </c>
      <c r="L4653">
        <v>198.9778</v>
      </c>
      <c r="M4653">
        <v>0.22869020000000001</v>
      </c>
      <c r="N4653">
        <v>0</v>
      </c>
      <c r="O4653">
        <v>-0.97338040000000003</v>
      </c>
      <c r="P4653">
        <v>-2.1038959999999999E-2</v>
      </c>
      <c r="Q4653">
        <v>0.17844589999999999</v>
      </c>
      <c r="R4653">
        <v>-0.98372479999999995</v>
      </c>
      <c r="S4653">
        <v>-0.27085880000000001</v>
      </c>
      <c r="T4653">
        <v>-0.2159566</v>
      </c>
      <c r="U4653">
        <v>-3.084152</v>
      </c>
      <c r="V4653">
        <v>0.24902479999999999</v>
      </c>
      <c r="W4653">
        <v>0.18832070000000001</v>
      </c>
      <c r="X4653">
        <v>0.95001159999999996</v>
      </c>
      <c r="Y4653">
        <v>0.31280170000000002</v>
      </c>
      <c r="Z4653">
        <v>6.5187620000000002E-2</v>
      </c>
      <c r="AA4653">
        <v>0.94757880000000005</v>
      </c>
      <c r="AB4653">
        <v>25</v>
      </c>
      <c r="AC4653">
        <v>-1.4341999999999999</v>
      </c>
      <c r="AD4653">
        <v>-1.102995207482</v>
      </c>
      <c r="AE4653">
        <v>-15.486499999999999</v>
      </c>
      <c r="AF4653">
        <v>4.9134915041443401</v>
      </c>
      <c r="AG4653">
        <v>-1.102995207482</v>
      </c>
      <c r="AH4653">
        <v>14.6741695124747</v>
      </c>
      <c r="AI4653">
        <v>94.076932831085202</v>
      </c>
      <c r="AJ4653">
        <v>71.487419283784405</v>
      </c>
      <c r="AK4653">
        <v>15.5141950506583</v>
      </c>
      <c r="AL4653">
        <v>79.145202056230602</v>
      </c>
      <c r="AM4653">
        <v>75.311628967478796</v>
      </c>
      <c r="AN4653">
        <v>1.00000003859904</v>
      </c>
    </row>
    <row r="4654" spans="1:40" x14ac:dyDescent="0.25">
      <c r="A4654" t="str">
        <f>"20190312172211374"</f>
        <v>20190312172211374</v>
      </c>
      <c r="B4654" t="str">
        <f>"1552382531364749"</f>
        <v>1552382531364749</v>
      </c>
      <c r="C4654" t="s">
        <v>40</v>
      </c>
      <c r="D4654">
        <v>3.3314599999999999</v>
      </c>
      <c r="E4654">
        <v>0.52201319999999996</v>
      </c>
      <c r="F4654" t="s">
        <v>42</v>
      </c>
      <c r="G4654">
        <v>-191.92930000000001</v>
      </c>
      <c r="H4654" s="1">
        <v>-2.1951680000000001E-6</v>
      </c>
      <c r="I4654">
        <v>183.5095</v>
      </c>
      <c r="J4654">
        <v>-190.5241</v>
      </c>
      <c r="K4654">
        <v>1.103186</v>
      </c>
      <c r="L4654">
        <v>198.72389999999999</v>
      </c>
      <c r="M4654">
        <v>0.21772569999999999</v>
      </c>
      <c r="N4654">
        <v>0</v>
      </c>
      <c r="O4654">
        <v>-0.97589239999999999</v>
      </c>
      <c r="P4654">
        <v>-2.25734E-2</v>
      </c>
      <c r="Q4654">
        <v>0.17776639999999999</v>
      </c>
      <c r="R4654">
        <v>-0.98381379999999996</v>
      </c>
      <c r="S4654">
        <v>-0.27084350000000001</v>
      </c>
      <c r="T4654">
        <v>-0.219891</v>
      </c>
      <c r="U4654">
        <v>-3.0837249999999998</v>
      </c>
      <c r="V4654">
        <v>0.23970730000000001</v>
      </c>
      <c r="W4654">
        <v>0.18790860000000001</v>
      </c>
      <c r="X4654">
        <v>0.95248659999999996</v>
      </c>
      <c r="Y4654">
        <v>0.30209649999999999</v>
      </c>
      <c r="Z4654">
        <v>6.6769850000000006E-2</v>
      </c>
      <c r="AA4654">
        <v>0.95093609999999995</v>
      </c>
      <c r="AB4654">
        <v>25</v>
      </c>
      <c r="AC4654">
        <v>-1.4052</v>
      </c>
      <c r="AD4654">
        <v>-1.103188195168</v>
      </c>
      <c r="AE4654">
        <v>-15.2143999999999</v>
      </c>
      <c r="AF4654">
        <v>4.6601335651634601</v>
      </c>
      <c r="AG4654">
        <v>-1.103188195168</v>
      </c>
      <c r="AH4654">
        <v>14.4679149613326</v>
      </c>
      <c r="AI4654">
        <v>94.151167437888503</v>
      </c>
      <c r="AJ4654">
        <v>72.146185137409006</v>
      </c>
      <c r="AK4654">
        <v>15.239896074694</v>
      </c>
      <c r="AL4654">
        <v>79.169242173783999</v>
      </c>
      <c r="AM4654">
        <v>75.874019497522696</v>
      </c>
      <c r="AN4654">
        <v>0.99999997740340396</v>
      </c>
    </row>
    <row r="4655" spans="1:40" x14ac:dyDescent="0.25">
      <c r="A4655" t="str">
        <f>"20190312172211395"</f>
        <v>20190312172211395</v>
      </c>
      <c r="B4655" t="str">
        <f>"1552382531385245"</f>
        <v>1552382531385245</v>
      </c>
      <c r="C4655" t="s">
        <v>40</v>
      </c>
      <c r="D4655">
        <v>3.373021</v>
      </c>
      <c r="E4655">
        <v>0.5216056</v>
      </c>
      <c r="F4655" t="s">
        <v>42</v>
      </c>
      <c r="G4655">
        <v>-191.87</v>
      </c>
      <c r="H4655" s="1">
        <v>-2.0937949999999998E-6</v>
      </c>
      <c r="I4655">
        <v>183.31</v>
      </c>
      <c r="J4655">
        <v>-190.48390000000001</v>
      </c>
      <c r="K4655">
        <v>1.103383</v>
      </c>
      <c r="L4655">
        <v>198.49189999999999</v>
      </c>
      <c r="M4655">
        <v>0.20793900000000001</v>
      </c>
      <c r="N4655">
        <v>0</v>
      </c>
      <c r="O4655">
        <v>-0.97802529999999999</v>
      </c>
      <c r="P4655">
        <v>-2.7423989999999999E-2</v>
      </c>
      <c r="Q4655">
        <v>0.17767929999999901</v>
      </c>
      <c r="R4655">
        <v>-0.98370630000000003</v>
      </c>
      <c r="S4655">
        <v>-0.26919559999999998</v>
      </c>
      <c r="T4655">
        <v>-0.22065689999999999</v>
      </c>
      <c r="U4655">
        <v>-3.0830540000000002</v>
      </c>
      <c r="V4655">
        <v>0.23475989999999999</v>
      </c>
      <c r="W4655">
        <v>0.18798500000000001</v>
      </c>
      <c r="X4655">
        <v>0.95370299999999997</v>
      </c>
      <c r="Y4655">
        <v>0.29204289999999999</v>
      </c>
      <c r="Z4655">
        <v>6.735758E-2</v>
      </c>
      <c r="AA4655">
        <v>0.9540303</v>
      </c>
      <c r="AB4655">
        <v>25</v>
      </c>
      <c r="AC4655">
        <v>-1.3860999999999899</v>
      </c>
      <c r="AD4655">
        <v>-1.103385093795</v>
      </c>
      <c r="AE4655">
        <v>-15.181899999999899</v>
      </c>
      <c r="AF4655">
        <v>4.4895462886362898</v>
      </c>
      <c r="AG4655">
        <v>-1.103385093795</v>
      </c>
      <c r="AH4655">
        <v>14.485835059733899</v>
      </c>
      <c r="AI4655">
        <v>94.161267001337606</v>
      </c>
      <c r="AJ4655">
        <v>72.780398227416399</v>
      </c>
      <c r="AK4655">
        <v>15.205686499492</v>
      </c>
      <c r="AL4655">
        <v>79.164785507077198</v>
      </c>
      <c r="AM4655">
        <v>76.171222230230796</v>
      </c>
      <c r="AN4655">
        <v>0.99999999154100405</v>
      </c>
    </row>
    <row r="4656" spans="1:40" x14ac:dyDescent="0.25">
      <c r="A4656" t="str">
        <f>"20190312172211417"</f>
        <v>20190312172211417</v>
      </c>
      <c r="B4656" t="str">
        <f>"1552382531405741"</f>
        <v>1552382531405741</v>
      </c>
      <c r="C4656" t="s">
        <v>40</v>
      </c>
      <c r="D4656">
        <v>3.360141</v>
      </c>
      <c r="E4656">
        <v>0.5212774</v>
      </c>
      <c r="F4656" t="s">
        <v>42</v>
      </c>
      <c r="G4656">
        <v>-191.89599999999999</v>
      </c>
      <c r="H4656" s="1">
        <v>-1.970613E-6</v>
      </c>
      <c r="I4656">
        <v>183.0067</v>
      </c>
      <c r="J4656">
        <v>-190.44409999999999</v>
      </c>
      <c r="K4656">
        <v>1.1035999999999999</v>
      </c>
      <c r="L4656">
        <v>198.24889999999999</v>
      </c>
      <c r="M4656">
        <v>0.1979235</v>
      </c>
      <c r="N4656">
        <v>0</v>
      </c>
      <c r="O4656">
        <v>-0.98010209999999998</v>
      </c>
      <c r="P4656">
        <v>-2.8624449999999999E-2</v>
      </c>
      <c r="Q4656">
        <v>0.17738950000000001</v>
      </c>
      <c r="R4656">
        <v>-0.9837245</v>
      </c>
      <c r="S4656">
        <v>-0.28099059999999998</v>
      </c>
      <c r="T4656">
        <v>-0.21957160000000001</v>
      </c>
      <c r="U4656">
        <v>-3.081528</v>
      </c>
      <c r="V4656">
        <v>0.22604170000000001</v>
      </c>
      <c r="W4656">
        <v>0.18794230000000001</v>
      </c>
      <c r="X4656">
        <v>0.95581530000000003</v>
      </c>
      <c r="Y4656">
        <v>0.28591919999999998</v>
      </c>
      <c r="Z4656">
        <v>6.7336480000000004E-2</v>
      </c>
      <c r="AA4656">
        <v>0.95588490000000004</v>
      </c>
      <c r="AB4656">
        <v>25</v>
      </c>
      <c r="AC4656">
        <v>-1.45189999999999</v>
      </c>
      <c r="AD4656">
        <v>-1.10360197061299</v>
      </c>
      <c r="AE4656">
        <v>-15.242199999999899</v>
      </c>
      <c r="AF4656">
        <v>4.4173526826851202</v>
      </c>
      <c r="AG4656">
        <v>-1.10360197061299</v>
      </c>
      <c r="AH4656">
        <v>14.5774705263263</v>
      </c>
      <c r="AI4656">
        <v>94.143985777770098</v>
      </c>
      <c r="AJ4656">
        <v>73.141826686178703</v>
      </c>
      <c r="AK4656">
        <v>15.271987067133001</v>
      </c>
      <c r="AL4656">
        <v>79.167276780032694</v>
      </c>
      <c r="AM4656">
        <v>76.694519500288095</v>
      </c>
      <c r="AN4656">
        <v>1.0000000229911301</v>
      </c>
    </row>
    <row r="4657" spans="1:40" x14ac:dyDescent="0.25">
      <c r="A4657" t="str">
        <f>"20190312172211431"</f>
        <v>20190312172211431</v>
      </c>
      <c r="B4657" t="str">
        <f>"1552382531425261"</f>
        <v>1552382531425261</v>
      </c>
      <c r="C4657" t="s">
        <v>40</v>
      </c>
      <c r="D4657">
        <v>3.3787310000000002</v>
      </c>
      <c r="E4657">
        <v>0.52112539999999996</v>
      </c>
      <c r="F4657" t="s">
        <v>42</v>
      </c>
      <c r="G4657">
        <v>-191.86160000000001</v>
      </c>
      <c r="H4657" s="1">
        <v>-1.8675670000000001E-6</v>
      </c>
      <c r="I4657">
        <v>182.7878</v>
      </c>
      <c r="J4657">
        <v>-190.4203</v>
      </c>
      <c r="K4657">
        <v>1.1037440000000001</v>
      </c>
      <c r="L4657">
        <v>198.096</v>
      </c>
      <c r="M4657">
        <v>0.1917711</v>
      </c>
      <c r="N4657">
        <v>0</v>
      </c>
      <c r="O4657">
        <v>-0.98132509999999995</v>
      </c>
      <c r="P4657">
        <v>-2.999624E-2</v>
      </c>
      <c r="Q4657">
        <v>0.17684040000000001</v>
      </c>
      <c r="R4657">
        <v>-0.98378270000000001</v>
      </c>
      <c r="S4657">
        <v>-0.28248600000000001</v>
      </c>
      <c r="T4657">
        <v>-0.21992590000000001</v>
      </c>
      <c r="U4657">
        <v>-3.0810849999999999</v>
      </c>
      <c r="V4657">
        <v>0.221308</v>
      </c>
      <c r="W4657">
        <v>0.18753210000000001</v>
      </c>
      <c r="X4657">
        <v>0.95700289999999999</v>
      </c>
      <c r="Y4657">
        <v>0.28037489999999998</v>
      </c>
      <c r="Z4657">
        <v>6.7641599999999996E-2</v>
      </c>
      <c r="AA4657">
        <v>0.95750429999999997</v>
      </c>
      <c r="AB4657">
        <v>25</v>
      </c>
      <c r="AC4657">
        <v>-1.44130000000001</v>
      </c>
      <c r="AD4657">
        <v>-1.103745867567</v>
      </c>
      <c r="AE4657">
        <v>-15.3081999999999</v>
      </c>
      <c r="AF4657">
        <v>4.3282401893452302</v>
      </c>
      <c r="AG4657">
        <v>-1.103745867567</v>
      </c>
      <c r="AH4657">
        <v>14.671975470810301</v>
      </c>
      <c r="AI4657">
        <v>94.1269701180602</v>
      </c>
      <c r="AJ4657">
        <v>73.563914099556001</v>
      </c>
      <c r="AK4657">
        <v>15.336843948247401</v>
      </c>
      <c r="AL4657">
        <v>79.191205099853903</v>
      </c>
      <c r="AM4657">
        <v>76.979171352542494</v>
      </c>
      <c r="AN4657">
        <v>1.0000000350014</v>
      </c>
    </row>
    <row r="4658" spans="1:40" x14ac:dyDescent="0.25">
      <c r="A4658" t="str">
        <f>"20190312172211444"</f>
        <v>20190312172211444</v>
      </c>
      <c r="B4658" t="str">
        <f>"1552382531435021"</f>
        <v>1552382531435021</v>
      </c>
      <c r="C4658" t="s">
        <v>40</v>
      </c>
      <c r="D4658">
        <v>3.3862920000000001</v>
      </c>
      <c r="E4658">
        <v>0.52103980000000005</v>
      </c>
      <c r="F4658" t="s">
        <v>42</v>
      </c>
      <c r="G4658">
        <v>-191.84639999999999</v>
      </c>
      <c r="H4658" s="1">
        <v>-1.8377790000000001E-6</v>
      </c>
      <c r="I4658">
        <v>182.7278</v>
      </c>
      <c r="J4658">
        <v>-190.39840000000001</v>
      </c>
      <c r="K4658">
        <v>1.1038790000000001</v>
      </c>
      <c r="L4658">
        <v>197.95079999999999</v>
      </c>
      <c r="M4658">
        <v>0.18600340000000001</v>
      </c>
      <c r="N4658">
        <v>0</v>
      </c>
      <c r="O4658">
        <v>-0.98243519999999895</v>
      </c>
      <c r="P4658">
        <v>-3.1204349999999999E-2</v>
      </c>
      <c r="Q4658">
        <v>0.17593039999999999</v>
      </c>
      <c r="R4658">
        <v>-0.98390809999999995</v>
      </c>
      <c r="S4658">
        <v>-0.28585820000000001</v>
      </c>
      <c r="T4658">
        <v>-0.22124250000000001</v>
      </c>
      <c r="U4658">
        <v>-3.080505</v>
      </c>
      <c r="V4658">
        <v>0.21680060000000001</v>
      </c>
      <c r="W4658">
        <v>0.186753</v>
      </c>
      <c r="X4658">
        <v>0.95818619999999999</v>
      </c>
      <c r="Y4658">
        <v>0.27578629999999998</v>
      </c>
      <c r="Z4658">
        <v>6.8220649999999994E-2</v>
      </c>
      <c r="AA4658">
        <v>0.95879499999999995</v>
      </c>
      <c r="AB4658">
        <v>25</v>
      </c>
      <c r="AC4658">
        <v>-1.44799999999997</v>
      </c>
      <c r="AD4658">
        <v>-1.1038808377789999</v>
      </c>
      <c r="AE4658">
        <v>-15.2229999999999</v>
      </c>
      <c r="AF4658">
        <v>4.2325158628632398</v>
      </c>
      <c r="AG4658">
        <v>-1.1038808377789999</v>
      </c>
      <c r="AH4658">
        <v>14.611777964432401</v>
      </c>
      <c r="AI4658">
        <v>94.150357337697102</v>
      </c>
      <c r="AJ4658">
        <v>73.845565027765105</v>
      </c>
      <c r="AK4658">
        <v>15.2524358289185</v>
      </c>
      <c r="AL4658">
        <v>79.2366465690327</v>
      </c>
      <c r="AM4658">
        <v>77.250841952856405</v>
      </c>
      <c r="AN4658">
        <v>0.99999998851990002</v>
      </c>
    </row>
    <row r="4659" spans="1:40" x14ac:dyDescent="0.25">
      <c r="A4659" t="str">
        <f>"20190312172211463"</f>
        <v>20190312172211463</v>
      </c>
      <c r="B4659" t="str">
        <f>"1552382531455517"</f>
        <v>1552382531455517</v>
      </c>
      <c r="C4659" t="s">
        <v>40</v>
      </c>
      <c r="D4659">
        <v>3.3907069999999999</v>
      </c>
      <c r="E4659">
        <v>0.52082700000000004</v>
      </c>
      <c r="F4659" t="s">
        <v>42</v>
      </c>
      <c r="G4659">
        <v>-191.8235</v>
      </c>
      <c r="H4659" s="1">
        <v>-1.8434819999999999E-6</v>
      </c>
      <c r="I4659">
        <v>182.75530000000001</v>
      </c>
      <c r="J4659">
        <v>-190.3681</v>
      </c>
      <c r="K4659">
        <v>1.104068</v>
      </c>
      <c r="L4659">
        <v>197.74170000000001</v>
      </c>
      <c r="M4659">
        <v>0.17787140000000001</v>
      </c>
      <c r="N4659">
        <v>0</v>
      </c>
      <c r="O4659">
        <v>-0.9839405</v>
      </c>
      <c r="P4659">
        <v>-2.9763069999999999E-2</v>
      </c>
      <c r="Q4659">
        <v>0.17478560000000001</v>
      </c>
      <c r="R4659">
        <v>-0.9841569</v>
      </c>
      <c r="S4659">
        <v>-0.28884890000000002</v>
      </c>
      <c r="T4659">
        <v>-0.22373879999999999</v>
      </c>
      <c r="U4659">
        <v>-3.0798800000000002</v>
      </c>
      <c r="V4659">
        <v>0.20736550000000001</v>
      </c>
      <c r="W4659">
        <v>0.18584800000000001</v>
      </c>
      <c r="X4659">
        <v>0.96044779999999996</v>
      </c>
      <c r="Y4659">
        <v>0.26876450000000002</v>
      </c>
      <c r="Z4659">
        <v>6.9232740000000001E-2</v>
      </c>
      <c r="AA4659">
        <v>0.96071459999999997</v>
      </c>
      <c r="AB4659">
        <v>25</v>
      </c>
      <c r="AC4659">
        <v>-1.45539999999999</v>
      </c>
      <c r="AD4659">
        <v>-1.104069843482</v>
      </c>
      <c r="AE4659">
        <v>-14.9864</v>
      </c>
      <c r="AF4659">
        <v>4.0762187254784603</v>
      </c>
      <c r="AG4659">
        <v>-1.104069843482</v>
      </c>
      <c r="AH4659">
        <v>14.410981817458101</v>
      </c>
      <c r="AI4659">
        <v>94.216260321180798</v>
      </c>
      <c r="AJ4659">
        <v>74.206177374073604</v>
      </c>
      <c r="AK4659">
        <v>15.0170212179491</v>
      </c>
      <c r="AL4659">
        <v>79.289422839248701</v>
      </c>
      <c r="AM4659">
        <v>77.816566354912595</v>
      </c>
      <c r="AN4659">
        <v>0.99999995310954304</v>
      </c>
    </row>
    <row r="4660" spans="1:40" x14ac:dyDescent="0.25">
      <c r="A4660" t="str">
        <f>"20190312172211475"</f>
        <v>20190312172211475</v>
      </c>
      <c r="B4660" t="str">
        <f>"1552382531465277"</f>
        <v>1552382531465277</v>
      </c>
      <c r="C4660" t="s">
        <v>40</v>
      </c>
      <c r="D4660">
        <v>3.3978510000000002</v>
      </c>
      <c r="E4660">
        <v>0.52071420000000002</v>
      </c>
      <c r="F4660" t="s">
        <v>42</v>
      </c>
      <c r="G4660">
        <v>-191.74369999999999</v>
      </c>
      <c r="H4660" s="1">
        <v>-1.7989310000000001E-6</v>
      </c>
      <c r="I4660">
        <v>182.70099999999999</v>
      </c>
      <c r="J4660">
        <v>-190.34950000000001</v>
      </c>
      <c r="K4660">
        <v>1.1041890000000001</v>
      </c>
      <c r="L4660">
        <v>197.60650000000001</v>
      </c>
      <c r="M4660">
        <v>0.17273089999999999</v>
      </c>
      <c r="N4660">
        <v>0</v>
      </c>
      <c r="O4660">
        <v>-0.98485639999999997</v>
      </c>
      <c r="P4660">
        <v>-3.0275239999999998E-2</v>
      </c>
      <c r="Q4660">
        <v>0.1744994</v>
      </c>
      <c r="R4660">
        <v>-0.98419190000000001</v>
      </c>
      <c r="S4660">
        <v>-0.28167720000000002</v>
      </c>
      <c r="T4660">
        <v>-0.2260847</v>
      </c>
      <c r="U4660">
        <v>-3.0799409999999998</v>
      </c>
      <c r="V4660">
        <v>0.20278450000000001</v>
      </c>
      <c r="W4660">
        <v>0.1856788</v>
      </c>
      <c r="X4660">
        <v>0.96145820000000004</v>
      </c>
      <c r="Y4660">
        <v>0.26150250000000003</v>
      </c>
      <c r="Z4660">
        <v>7.0134650000000007E-2</v>
      </c>
      <c r="AA4660">
        <v>0.96265129999999999</v>
      </c>
      <c r="AB4660">
        <v>25</v>
      </c>
      <c r="AC4660">
        <v>-1.3941999999999799</v>
      </c>
      <c r="AD4660">
        <v>-1.10419079893099</v>
      </c>
      <c r="AE4660">
        <v>-14.9055</v>
      </c>
      <c r="AF4660">
        <v>3.9268028568929201</v>
      </c>
      <c r="AG4660">
        <v>-1.10419079893099</v>
      </c>
      <c r="AH4660">
        <v>14.3624240212947</v>
      </c>
      <c r="AI4660">
        <v>94.241218423142101</v>
      </c>
      <c r="AJ4660">
        <v>74.708580402076393</v>
      </c>
      <c r="AK4660">
        <v>14.9304468039242</v>
      </c>
      <c r="AL4660">
        <v>79.299289738474201</v>
      </c>
      <c r="AM4660">
        <v>78.090101897533401</v>
      </c>
      <c r="AN4660">
        <v>1.00000002027846</v>
      </c>
    </row>
    <row r="4661" spans="1:40" x14ac:dyDescent="0.25">
      <c r="A4661" t="str">
        <f>"20190312172211487"</f>
        <v>20190312172211487</v>
      </c>
      <c r="B4661" t="str">
        <f>"1552382531475038"</f>
        <v>1552382531475038</v>
      </c>
      <c r="C4661" t="s">
        <v>40</v>
      </c>
      <c r="D4661">
        <v>3.406755</v>
      </c>
      <c r="E4661">
        <v>0.52066520000000005</v>
      </c>
      <c r="F4661" t="s">
        <v>42</v>
      </c>
      <c r="G4661">
        <v>-191.7235</v>
      </c>
      <c r="H4661" s="1">
        <v>-1.758584E-6</v>
      </c>
      <c r="I4661">
        <v>182.61940000000001</v>
      </c>
      <c r="J4661">
        <v>-190.33170000000001</v>
      </c>
      <c r="K4661">
        <v>1.104304</v>
      </c>
      <c r="L4661">
        <v>197.47280000000001</v>
      </c>
      <c r="M4661">
        <v>0.16771459999999999</v>
      </c>
      <c r="N4661">
        <v>0</v>
      </c>
      <c r="O4661">
        <v>-0.98572369999999998</v>
      </c>
      <c r="P4661">
        <v>-3.1262739999999997E-2</v>
      </c>
      <c r="Q4661">
        <v>0.17467389999999999</v>
      </c>
      <c r="R4661">
        <v>-0.98413030000000001</v>
      </c>
      <c r="S4661">
        <v>-0.28234860000000001</v>
      </c>
      <c r="T4661">
        <v>-0.22690080000000001</v>
      </c>
      <c r="U4661">
        <v>-3.0797119999999998</v>
      </c>
      <c r="V4661">
        <v>0.19878779999999999</v>
      </c>
      <c r="W4661">
        <v>0.1859538</v>
      </c>
      <c r="X4661">
        <v>0.96223939999999997</v>
      </c>
      <c r="Y4661">
        <v>0.25679819999999998</v>
      </c>
      <c r="Z4661">
        <v>7.0532849999999994E-2</v>
      </c>
      <c r="AA4661">
        <v>0.96388790000000002</v>
      </c>
      <c r="AB4661">
        <v>25</v>
      </c>
      <c r="AC4661">
        <v>-1.3917999999999799</v>
      </c>
      <c r="AD4661">
        <v>-1.1043057585839999</v>
      </c>
      <c r="AE4661">
        <v>-14.853399999999899</v>
      </c>
      <c r="AF4661">
        <v>3.8424343438973398</v>
      </c>
      <c r="AG4661">
        <v>-1.1043057585839999</v>
      </c>
      <c r="AH4661">
        <v>14.330987940783199</v>
      </c>
      <c r="AI4661">
        <v>94.256581706134298</v>
      </c>
      <c r="AJ4661">
        <v>74.990832645496695</v>
      </c>
      <c r="AK4661">
        <v>14.8782058143608</v>
      </c>
      <c r="AL4661">
        <v>79.283254280489302</v>
      </c>
      <c r="AM4661">
        <v>78.327545656608294</v>
      </c>
      <c r="AN4661">
        <v>1.0000000340378099</v>
      </c>
    </row>
    <row r="4662" spans="1:40" x14ac:dyDescent="0.25">
      <c r="A4662" t="str">
        <f>"20190312172211507"</f>
        <v>20190312172211507</v>
      </c>
      <c r="B4662" t="str">
        <f>"1552382531495536"</f>
        <v>1552382531495536</v>
      </c>
      <c r="C4662" t="s">
        <v>40</v>
      </c>
      <c r="D4662">
        <v>3.3989980000000002</v>
      </c>
      <c r="E4662">
        <v>0.52065320000000004</v>
      </c>
      <c r="F4662" t="s">
        <v>42</v>
      </c>
      <c r="G4662">
        <v>-191.71870000000001</v>
      </c>
      <c r="H4662" s="1">
        <v>-1.6959820000000001E-6</v>
      </c>
      <c r="I4662">
        <v>182.47649999999999</v>
      </c>
      <c r="J4662">
        <v>-190.3038</v>
      </c>
      <c r="K4662">
        <v>1.104487</v>
      </c>
      <c r="L4662">
        <v>197.25450000000001</v>
      </c>
      <c r="M4662">
        <v>0.1596815</v>
      </c>
      <c r="N4662">
        <v>0</v>
      </c>
      <c r="O4662">
        <v>-0.98705759999999998</v>
      </c>
      <c r="P4662">
        <v>-3.2401430000000002E-2</v>
      </c>
      <c r="Q4662">
        <v>0.1749474</v>
      </c>
      <c r="R4662">
        <v>-0.98404499999999995</v>
      </c>
      <c r="S4662">
        <v>-0.28482059999999998</v>
      </c>
      <c r="T4662">
        <v>-0.22677430000000001</v>
      </c>
      <c r="U4662">
        <v>-3.0795590000000002</v>
      </c>
      <c r="V4662">
        <v>0.19195789999999999</v>
      </c>
      <c r="W4662">
        <v>0.18638769999999999</v>
      </c>
      <c r="X4662">
        <v>0.96354130000000004</v>
      </c>
      <c r="Y4662">
        <v>0.24969250000000001</v>
      </c>
      <c r="Z4662">
        <v>7.0709789999999995E-2</v>
      </c>
      <c r="AA4662">
        <v>0.96574000000000004</v>
      </c>
      <c r="AB4662">
        <v>25</v>
      </c>
      <c r="AC4662">
        <v>-1.41490000000001</v>
      </c>
      <c r="AD4662">
        <v>-1.1044886959819999</v>
      </c>
      <c r="AE4662">
        <v>-14.778</v>
      </c>
      <c r="AF4662">
        <v>3.7360928266387701</v>
      </c>
      <c r="AG4662">
        <v>-1.1044886959819999</v>
      </c>
      <c r="AH4662">
        <v>14.283317339701</v>
      </c>
      <c r="AI4662">
        <v>94.278344756374494</v>
      </c>
      <c r="AJ4662">
        <v>75.341536879881502</v>
      </c>
      <c r="AK4662">
        <v>14.8051153023344</v>
      </c>
      <c r="AL4662">
        <v>79.257951165172102</v>
      </c>
      <c r="AM4662">
        <v>78.732977040115799</v>
      </c>
      <c r="AN4662">
        <v>1.00000002344469</v>
      </c>
    </row>
    <row r="4663" spans="1:40" x14ac:dyDescent="0.25">
      <c r="A4663" t="str">
        <f>"20190312172211518"</f>
        <v>20190312172211518</v>
      </c>
      <c r="B4663" t="str">
        <f>"1552382531515054"</f>
        <v>1552382531515054</v>
      </c>
      <c r="C4663" t="s">
        <v>40</v>
      </c>
      <c r="D4663">
        <v>3.4208319999999999</v>
      </c>
      <c r="E4663">
        <v>0.54203279999999998</v>
      </c>
      <c r="F4663" t="s">
        <v>42</v>
      </c>
      <c r="G4663">
        <v>-191.71469999999999</v>
      </c>
      <c r="H4663" s="1">
        <v>-1.5770699999999999E-6</v>
      </c>
      <c r="I4663">
        <v>182.20179999999999</v>
      </c>
      <c r="J4663">
        <v>-190.2867</v>
      </c>
      <c r="K4663">
        <v>1.1046009999999999</v>
      </c>
      <c r="L4663">
        <v>197.11429999999999</v>
      </c>
      <c r="M4663">
        <v>0.1546141</v>
      </c>
      <c r="N4663">
        <v>0</v>
      </c>
      <c r="O4663">
        <v>-0.98786430000000003</v>
      </c>
      <c r="P4663">
        <v>-3.4721910000000002E-2</v>
      </c>
      <c r="Q4663">
        <v>0.17505670000000001</v>
      </c>
      <c r="R4663">
        <v>-0.98394610000000005</v>
      </c>
      <c r="S4663">
        <v>-0.28861999999999999</v>
      </c>
      <c r="T4663">
        <v>-0.2259418</v>
      </c>
      <c r="U4663">
        <v>-3.079285</v>
      </c>
      <c r="V4663">
        <v>0.18922520000000001</v>
      </c>
      <c r="W4663">
        <v>0.1865675</v>
      </c>
      <c r="X4663">
        <v>0.96404690000000004</v>
      </c>
      <c r="Y4663">
        <v>0.24591250000000001</v>
      </c>
      <c r="Z4663">
        <v>7.057766E-2</v>
      </c>
      <c r="AA4663">
        <v>0.96671910000000005</v>
      </c>
      <c r="AB4663">
        <v>25</v>
      </c>
      <c r="AC4663">
        <v>-1.4279999999999899</v>
      </c>
      <c r="AD4663">
        <v>-1.1046025770700001</v>
      </c>
      <c r="AE4663">
        <v>-14.9124999999999</v>
      </c>
      <c r="AF4663">
        <v>3.6966610848146702</v>
      </c>
      <c r="AG4663">
        <v>-1.1046025770700001</v>
      </c>
      <c r="AH4663">
        <v>14.433849151364701</v>
      </c>
      <c r="AI4663">
        <v>94.239915138955894</v>
      </c>
      <c r="AJ4663">
        <v>75.634718992957204</v>
      </c>
      <c r="AK4663">
        <v>14.9405974229146</v>
      </c>
      <c r="AL4663">
        <v>79.247465385299506</v>
      </c>
      <c r="AM4663">
        <v>78.895037246538195</v>
      </c>
      <c r="AN4663">
        <v>1.0000000168854499</v>
      </c>
    </row>
    <row r="4664" spans="1:40" x14ac:dyDescent="0.25">
      <c r="A4664" t="str">
        <f>"20190312172211531"</f>
        <v>20190312172211531</v>
      </c>
      <c r="B4664" t="str">
        <f>"1552382531524813"</f>
        <v>1552382531524813</v>
      </c>
      <c r="C4664" t="s">
        <v>40</v>
      </c>
      <c r="D4664">
        <v>3.4424100000000002</v>
      </c>
      <c r="E4664">
        <v>0.54759639999999998</v>
      </c>
      <c r="F4664" t="s">
        <v>42</v>
      </c>
      <c r="G4664">
        <v>-193.42910000000001</v>
      </c>
      <c r="H4664" s="1">
        <v>-3.8062789999999999E-6</v>
      </c>
      <c r="I4664">
        <v>176.3843</v>
      </c>
      <c r="J4664">
        <v>-190.2722</v>
      </c>
      <c r="K4664">
        <v>1.1046990000000001</v>
      </c>
      <c r="L4664">
        <v>196.9898</v>
      </c>
      <c r="M4664">
        <v>0.1502337</v>
      </c>
      <c r="N4664">
        <v>0</v>
      </c>
      <c r="O4664">
        <v>-0.98854039999999999</v>
      </c>
      <c r="P4664">
        <v>-3.6159869999999997E-2</v>
      </c>
      <c r="Q4664">
        <v>0.174823799999999</v>
      </c>
      <c r="R4664">
        <v>-0.98393549999999996</v>
      </c>
      <c r="S4664">
        <v>-0.4641113</v>
      </c>
      <c r="T4664">
        <v>-0.16313849999999999</v>
      </c>
      <c r="U4664">
        <v>-3.0615999999999999</v>
      </c>
      <c r="V4664">
        <v>0.1863107</v>
      </c>
      <c r="W4664">
        <v>0.18640409999999999</v>
      </c>
      <c r="X4664">
        <v>0.964646</v>
      </c>
      <c r="Y4664">
        <v>0.29652979999999901</v>
      </c>
      <c r="Z4664">
        <v>5.0814350000000001E-2</v>
      </c>
      <c r="AA4664">
        <v>0.95367080000000004</v>
      </c>
      <c r="AB4664">
        <v>25</v>
      </c>
      <c r="AC4664">
        <v>-3.1568999999999998</v>
      </c>
      <c r="AD4664">
        <v>-1.1047028062790001</v>
      </c>
      <c r="AE4664">
        <v>-20.605499999999999</v>
      </c>
      <c r="AF4664">
        <v>6.1996298744861198</v>
      </c>
      <c r="AG4664">
        <v>-1.1047028062790001</v>
      </c>
      <c r="AH4664">
        <v>19.8415408659286</v>
      </c>
      <c r="AI4664">
        <v>93.041980938194797</v>
      </c>
      <c r="AJ4664">
        <v>72.648215865859001</v>
      </c>
      <c r="AK4664">
        <v>20.816880717464201</v>
      </c>
      <c r="AL4664">
        <v>79.256994882692695</v>
      </c>
      <c r="AM4664">
        <v>79.068551925608801</v>
      </c>
      <c r="AN4664">
        <v>1.00000003537364</v>
      </c>
    </row>
    <row r="4665" spans="1:40" x14ac:dyDescent="0.25">
      <c r="A4665" t="str">
        <f>"20190312172211543"</f>
        <v>20190312172211543</v>
      </c>
      <c r="B4665" t="str">
        <f>"1552382531535549"</f>
        <v>1552382531535549</v>
      </c>
      <c r="C4665" t="s">
        <v>40</v>
      </c>
      <c r="D4665">
        <v>3.4639630000000001</v>
      </c>
      <c r="E4665">
        <v>0.55052500000000004</v>
      </c>
      <c r="F4665" t="s">
        <v>42</v>
      </c>
      <c r="G4665">
        <v>-193.94059999999999</v>
      </c>
      <c r="H4665" s="1">
        <v>-3.421395E-6</v>
      </c>
      <c r="I4665">
        <v>175.12039999999999</v>
      </c>
      <c r="J4665">
        <v>-190.25710000000001</v>
      </c>
      <c r="K4665">
        <v>1.104805</v>
      </c>
      <c r="L4665">
        <v>196.85720000000001</v>
      </c>
      <c r="M4665">
        <v>0.14560129999999999</v>
      </c>
      <c r="N4665">
        <v>0</v>
      </c>
      <c r="O4665">
        <v>-0.98923380000000005</v>
      </c>
      <c r="P4665">
        <v>-3.798062E-2</v>
      </c>
      <c r="Q4665">
        <v>0.1747532</v>
      </c>
      <c r="R4665">
        <v>-0.98387970000000002</v>
      </c>
      <c r="S4665">
        <v>-0.51287839999999996</v>
      </c>
      <c r="T4665">
        <v>-0.15445020000000001</v>
      </c>
      <c r="U4665">
        <v>-3.0576020000000002</v>
      </c>
      <c r="V4665">
        <v>0.18352199999999999</v>
      </c>
      <c r="W4665">
        <v>0.18640119999999999</v>
      </c>
      <c r="X4665">
        <v>0.96518090000000001</v>
      </c>
      <c r="Y4665">
        <v>0.3070774</v>
      </c>
      <c r="Z4665">
        <v>4.8085450000000002E-2</v>
      </c>
      <c r="AA4665">
        <v>0.95046900000000001</v>
      </c>
      <c r="AB4665">
        <v>25</v>
      </c>
      <c r="AC4665">
        <v>-3.68349999999998</v>
      </c>
      <c r="AD4665">
        <v>-1.104808421395</v>
      </c>
      <c r="AE4665">
        <v>-21.736799999999999</v>
      </c>
      <c r="AF4665">
        <v>6.7924296838010196</v>
      </c>
      <c r="AG4665">
        <v>-1.104808421395</v>
      </c>
      <c r="AH4665">
        <v>20.916202024691799</v>
      </c>
      <c r="AI4665">
        <v>92.876010356068605</v>
      </c>
      <c r="AJ4665">
        <v>72.009059818262898</v>
      </c>
      <c r="AK4665">
        <v>22.019200934527301</v>
      </c>
      <c r="AL4665">
        <v>79.257163085051303</v>
      </c>
      <c r="AM4665">
        <v>79.234147745710203</v>
      </c>
      <c r="AN4665">
        <v>0.99999995078512305</v>
      </c>
    </row>
    <row r="4666" spans="1:40" x14ac:dyDescent="0.25">
      <c r="A4666" t="str">
        <f>"20190312172211556"</f>
        <v>20190312172211556</v>
      </c>
      <c r="B4666" t="str">
        <f>"1552382531545309"</f>
        <v>1552382531545309</v>
      </c>
      <c r="C4666" t="s">
        <v>40</v>
      </c>
      <c r="D4666">
        <v>3.4349609999999999</v>
      </c>
      <c r="E4666">
        <v>0.5527396</v>
      </c>
      <c r="F4666" t="s">
        <v>42</v>
      </c>
      <c r="G4666">
        <v>-194.2996</v>
      </c>
      <c r="H4666" s="1">
        <v>-3.0564530000000001E-6</v>
      </c>
      <c r="I4666">
        <v>174.047</v>
      </c>
      <c r="J4666">
        <v>-190.2415</v>
      </c>
      <c r="K4666">
        <v>1.1049260000000001</v>
      </c>
      <c r="L4666">
        <v>196.7133</v>
      </c>
      <c r="M4666">
        <v>0.14068900000000001</v>
      </c>
      <c r="N4666">
        <v>0</v>
      </c>
      <c r="O4666">
        <v>-0.98994459999999995</v>
      </c>
      <c r="P4666">
        <v>-4.00837E-2</v>
      </c>
      <c r="Q4666">
        <v>0.17441300000000001</v>
      </c>
      <c r="R4666">
        <v>-0.98385639999999996</v>
      </c>
      <c r="S4666">
        <v>-0.54133609999999999</v>
      </c>
      <c r="T4666">
        <v>-0.14794649999999901</v>
      </c>
      <c r="U4666">
        <v>-3.0545499999999999</v>
      </c>
      <c r="V4666">
        <v>0.18073539999999999</v>
      </c>
      <c r="W4666">
        <v>0.18613089999999999</v>
      </c>
      <c r="X4666">
        <v>0.96575880000000003</v>
      </c>
      <c r="Y4666">
        <v>0.3111217</v>
      </c>
      <c r="Z4666">
        <v>4.6094280000000001E-2</v>
      </c>
      <c r="AA4666">
        <v>0.94925159999999997</v>
      </c>
      <c r="AB4666">
        <v>25</v>
      </c>
      <c r="AC4666">
        <v>-4.0580999999999898</v>
      </c>
      <c r="AD4666">
        <v>-1.1049290564530001</v>
      </c>
      <c r="AE4666">
        <v>-22.6663</v>
      </c>
      <c r="AF4666">
        <v>7.1904165772596604</v>
      </c>
      <c r="AG4666">
        <v>-1.1049290564530001</v>
      </c>
      <c r="AH4666">
        <v>21.819576341943499</v>
      </c>
      <c r="AI4666">
        <v>92.753527713504994</v>
      </c>
      <c r="AJ4666">
        <v>71.760896718999902</v>
      </c>
      <c r="AK4666">
        <v>23.0003667474287</v>
      </c>
      <c r="AL4666">
        <v>79.272926837361894</v>
      </c>
      <c r="AM4666">
        <v>79.400082930889397</v>
      </c>
      <c r="AN4666">
        <v>1.0000000282627</v>
      </c>
    </row>
    <row r="4667" spans="1:40" x14ac:dyDescent="0.25">
      <c r="A4667" t="str">
        <f>"20190312172211568"</f>
        <v>20190312172211568</v>
      </c>
      <c r="B4667" t="str">
        <f>"1552382531565805"</f>
        <v>1552382531565805</v>
      </c>
      <c r="C4667" t="s">
        <v>40</v>
      </c>
      <c r="D4667">
        <v>3.4307310000000002</v>
      </c>
      <c r="E4667">
        <v>0.55524069999999903</v>
      </c>
      <c r="F4667" t="s">
        <v>42</v>
      </c>
      <c r="G4667">
        <v>-194.54300000000001</v>
      </c>
      <c r="H4667" s="1">
        <v>-2.885294E-6</v>
      </c>
      <c r="I4667">
        <v>173.49709999999999</v>
      </c>
      <c r="J4667">
        <v>-190.22669999999999</v>
      </c>
      <c r="K4667">
        <v>1.1050439999999999</v>
      </c>
      <c r="L4667">
        <v>196.57079999999999</v>
      </c>
      <c r="M4667">
        <v>0.1359226</v>
      </c>
      <c r="N4667">
        <v>0</v>
      </c>
      <c r="O4667">
        <v>-0.99061089999999996</v>
      </c>
      <c r="P4667">
        <v>-4.1430090000000003E-2</v>
      </c>
      <c r="Q4667">
        <v>0.1743323</v>
      </c>
      <c r="R4667">
        <v>-0.98381529999999995</v>
      </c>
      <c r="S4667">
        <v>-0.56546019999999997</v>
      </c>
      <c r="T4667">
        <v>-0.1452522</v>
      </c>
      <c r="U4667">
        <v>-3.0519560000000001</v>
      </c>
      <c r="V4667">
        <v>0.17734469999999999</v>
      </c>
      <c r="W4667">
        <v>0.18612860000000001</v>
      </c>
      <c r="X4667">
        <v>0.96638760000000001</v>
      </c>
      <c r="Y4667">
        <v>0.31395640000000002</v>
      </c>
      <c r="Z4667">
        <v>4.5288170000000003E-2</v>
      </c>
      <c r="AA4667">
        <v>0.94835659999999999</v>
      </c>
      <c r="AB4667">
        <v>25</v>
      </c>
      <c r="AC4667">
        <v>-4.3163000000000098</v>
      </c>
      <c r="AD4667">
        <v>-1.1050468852940001</v>
      </c>
      <c r="AE4667">
        <v>-23.073699999999999</v>
      </c>
      <c r="AF4667">
        <v>7.3964171861262802</v>
      </c>
      <c r="AG4667">
        <v>-1.1050468852940001</v>
      </c>
      <c r="AH4667">
        <v>22.223521940883199</v>
      </c>
      <c r="AI4667">
        <v>92.701199804402904</v>
      </c>
      <c r="AJ4667">
        <v>71.591561614791402</v>
      </c>
      <c r="AK4667">
        <v>23.448092529390099</v>
      </c>
      <c r="AL4667">
        <v>79.273060610124205</v>
      </c>
      <c r="AM4667">
        <v>79.601182397628307</v>
      </c>
      <c r="AN4667">
        <v>0.99999999589490496</v>
      </c>
    </row>
    <row r="4668" spans="1:40" x14ac:dyDescent="0.25">
      <c r="A4668" t="str">
        <f>"20190312172211582"</f>
        <v>20190312172211582</v>
      </c>
      <c r="B4668" t="str">
        <f>"1552382531575565"</f>
        <v>1552382531575565</v>
      </c>
      <c r="C4668" t="s">
        <v>40</v>
      </c>
      <c r="D4668">
        <v>3.450637</v>
      </c>
      <c r="E4668">
        <v>0.55610059999999994</v>
      </c>
      <c r="F4668" t="s">
        <v>42</v>
      </c>
      <c r="G4668">
        <v>-194.8638</v>
      </c>
      <c r="H4668" s="1">
        <v>-2.5676530000000002E-6</v>
      </c>
      <c r="I4668">
        <v>172.55770000000001</v>
      </c>
      <c r="J4668">
        <v>-190.21180000000001</v>
      </c>
      <c r="K4668">
        <v>1.105175</v>
      </c>
      <c r="L4668">
        <v>196.4239</v>
      </c>
      <c r="M4668">
        <v>0.1310759</v>
      </c>
      <c r="N4668">
        <v>0</v>
      </c>
      <c r="O4668">
        <v>-0.99126429999999999</v>
      </c>
      <c r="P4668">
        <v>-4.2581800000000003E-2</v>
      </c>
      <c r="Q4668">
        <v>0.17411499999999999</v>
      </c>
      <c r="R4668">
        <v>-0.98380420000000002</v>
      </c>
      <c r="S4668">
        <v>-0.58886719999999904</v>
      </c>
      <c r="T4668">
        <v>-0.14033010000000001</v>
      </c>
      <c r="U4668">
        <v>-3.049423</v>
      </c>
      <c r="V4668">
        <v>0.17368339999999999</v>
      </c>
      <c r="W4668">
        <v>0.1859941</v>
      </c>
      <c r="X4668">
        <v>0.9670782</v>
      </c>
      <c r="Y4668">
        <v>0.31649389999999999</v>
      </c>
      <c r="Z4668">
        <v>4.3787100000000002E-2</v>
      </c>
      <c r="AA4668">
        <v>0.94758339999999996</v>
      </c>
      <c r="AB4668">
        <v>24</v>
      </c>
      <c r="AC4668">
        <v>-4.6519999999999797</v>
      </c>
      <c r="AD4668">
        <v>-1.105177567653</v>
      </c>
      <c r="AE4668">
        <v>-23.8661999999999</v>
      </c>
      <c r="AF4668">
        <v>7.7245163618972104</v>
      </c>
      <c r="AG4668">
        <v>-1.105177567653</v>
      </c>
      <c r="AH4668">
        <v>23.0028947650319</v>
      </c>
      <c r="AI4668">
        <v>92.607775935996898</v>
      </c>
      <c r="AJ4668">
        <v>71.437625810678497</v>
      </c>
      <c r="AK4668">
        <v>24.290383653874098</v>
      </c>
      <c r="AL4668">
        <v>79.280903751436696</v>
      </c>
      <c r="AM4668">
        <v>79.818447555227905</v>
      </c>
      <c r="AN4668">
        <v>0.999999986792805</v>
      </c>
    </row>
    <row r="4669" spans="1:40" x14ac:dyDescent="0.25">
      <c r="A4669" t="str">
        <f>"20190312172211596"</f>
        <v>20190312172211596</v>
      </c>
      <c r="B4669" t="str">
        <f>"1552382531585325"</f>
        <v>1552382531585325</v>
      </c>
      <c r="C4669" t="s">
        <v>40</v>
      </c>
      <c r="D4669">
        <v>3.4913799999999999</v>
      </c>
      <c r="E4669">
        <v>0.55670339999999996</v>
      </c>
      <c r="F4669" t="s">
        <v>42</v>
      </c>
      <c r="G4669">
        <v>-194.9074</v>
      </c>
      <c r="H4669" s="1">
        <v>-2.5638439999999999E-6</v>
      </c>
      <c r="I4669">
        <v>172.52180000000001</v>
      </c>
      <c r="J4669">
        <v>-190.19649999999999</v>
      </c>
      <c r="K4669">
        <v>1.1053170000000001</v>
      </c>
      <c r="L4669">
        <v>196.2637</v>
      </c>
      <c r="M4669">
        <v>0.12592629999999999</v>
      </c>
      <c r="N4669">
        <v>0</v>
      </c>
      <c r="O4669">
        <v>-0.99193200000000004</v>
      </c>
      <c r="P4669">
        <v>-4.0485390000000003E-2</v>
      </c>
      <c r="Q4669">
        <v>0.17475019999999999</v>
      </c>
      <c r="R4669">
        <v>-0.9837804</v>
      </c>
      <c r="S4669">
        <v>-0.59886169999999905</v>
      </c>
      <c r="T4669">
        <v>-0.14095150000000001</v>
      </c>
      <c r="U4669">
        <v>-3.048416</v>
      </c>
      <c r="V4669">
        <v>0.166507399999999</v>
      </c>
      <c r="W4669">
        <v>0.18676570000000001</v>
      </c>
      <c r="X4669">
        <v>0.96819100000000002</v>
      </c>
      <c r="Y4669">
        <v>0.31461670000000003</v>
      </c>
      <c r="Z4669">
        <v>4.4041480000000001E-2</v>
      </c>
      <c r="AA4669">
        <v>0.9481965</v>
      </c>
      <c r="AB4669">
        <v>24</v>
      </c>
      <c r="AC4669">
        <v>-4.7108999999999996</v>
      </c>
      <c r="AD4669">
        <v>-1.1053195638439901</v>
      </c>
      <c r="AE4669">
        <v>-23.741899999999902</v>
      </c>
      <c r="AF4669">
        <v>7.6474925757829997</v>
      </c>
      <c r="AG4669">
        <v>-1.1053195638439901</v>
      </c>
      <c r="AH4669">
        <v>22.911796328068402</v>
      </c>
      <c r="AI4669">
        <v>92.620061880112601</v>
      </c>
      <c r="AJ4669">
        <v>71.542036667047896</v>
      </c>
      <c r="AK4669">
        <v>24.1796667680463</v>
      </c>
      <c r="AL4669">
        <v>79.235905752153499</v>
      </c>
      <c r="AM4669">
        <v>80.241851749720794</v>
      </c>
      <c r="AN4669">
        <v>0.99999997671612395</v>
      </c>
    </row>
    <row r="4670" spans="1:40" x14ac:dyDescent="0.25">
      <c r="A4670" t="str">
        <f>"20190312172211608"</f>
        <v>20190312172211608</v>
      </c>
      <c r="B4670" t="str">
        <f>"1552382531604845"</f>
        <v>1552382531604845</v>
      </c>
      <c r="C4670" t="s">
        <v>40</v>
      </c>
      <c r="D4670">
        <v>3.4426299999999999</v>
      </c>
      <c r="E4670">
        <v>0.55758359999999996</v>
      </c>
      <c r="F4670" t="s">
        <v>42</v>
      </c>
      <c r="G4670">
        <v>-194.92760000000001</v>
      </c>
      <c r="H4670" s="1">
        <v>-2.3778419999999998E-6</v>
      </c>
      <c r="I4670">
        <v>172.07570000000001</v>
      </c>
      <c r="J4670">
        <v>-190.1842</v>
      </c>
      <c r="K4670">
        <v>1.105437</v>
      </c>
      <c r="L4670">
        <v>196.12970000000001</v>
      </c>
      <c r="M4670">
        <v>0.1217075</v>
      </c>
      <c r="N4670">
        <v>0</v>
      </c>
      <c r="O4670">
        <v>-0.99245879999999997</v>
      </c>
      <c r="P4670">
        <v>-4.0961209999999998E-2</v>
      </c>
      <c r="Q4670">
        <v>0.1750207</v>
      </c>
      <c r="R4670">
        <v>-0.98371229999999998</v>
      </c>
      <c r="S4670">
        <v>-0.59651180000000004</v>
      </c>
      <c r="T4670">
        <v>-0.13936009999999999</v>
      </c>
      <c r="U4670">
        <v>-3.0496669999999999</v>
      </c>
      <c r="V4670">
        <v>0.16279270000000001</v>
      </c>
      <c r="W4670">
        <v>0.1871119</v>
      </c>
      <c r="X4670">
        <v>0.9687557</v>
      </c>
      <c r="Y4670">
        <v>0.30980380000000002</v>
      </c>
      <c r="Z4670">
        <v>4.360269E-2</v>
      </c>
      <c r="AA4670">
        <v>0.94980019999999998</v>
      </c>
      <c r="AB4670">
        <v>24</v>
      </c>
      <c r="AC4670">
        <v>-4.7434000000000003</v>
      </c>
      <c r="AD4670">
        <v>-1.105439377842</v>
      </c>
      <c r="AE4670">
        <v>-24.053999999999998</v>
      </c>
      <c r="AF4670">
        <v>7.6205017392454799</v>
      </c>
      <c r="AG4670">
        <v>-1.105439377842</v>
      </c>
      <c r="AH4670">
        <v>23.2505086609122</v>
      </c>
      <c r="AI4670">
        <v>92.586859604460201</v>
      </c>
      <c r="AJ4670">
        <v>71.853114814155603</v>
      </c>
      <c r="AK4670">
        <v>24.4924518161632</v>
      </c>
      <c r="AL4670">
        <v>79.215713889900599</v>
      </c>
      <c r="AM4670">
        <v>80.460963225935899</v>
      </c>
      <c r="AN4670">
        <v>0.99999996628869403</v>
      </c>
    </row>
    <row r="4671" spans="1:40" x14ac:dyDescent="0.25">
      <c r="A4671" t="str">
        <f>"20190312172211621"</f>
        <v>20190312172211621</v>
      </c>
      <c r="B4671" t="str">
        <f>"1552382531615581"</f>
        <v>1552382531615581</v>
      </c>
      <c r="C4671" t="s">
        <v>40</v>
      </c>
      <c r="D4671">
        <v>3.5143620000000002</v>
      </c>
      <c r="E4671">
        <v>0.55788859999999996</v>
      </c>
      <c r="F4671" t="s">
        <v>42</v>
      </c>
      <c r="G4671">
        <v>-195.02459999999999</v>
      </c>
      <c r="H4671" s="1">
        <v>-2.2521480000000001E-6</v>
      </c>
      <c r="I4671">
        <v>171.7225</v>
      </c>
      <c r="J4671">
        <v>-190.1722</v>
      </c>
      <c r="K4671">
        <v>1.105556</v>
      </c>
      <c r="L4671">
        <v>195.9948</v>
      </c>
      <c r="M4671">
        <v>0.1175114</v>
      </c>
      <c r="N4671">
        <v>0</v>
      </c>
      <c r="O4671">
        <v>-0.99296490000000004</v>
      </c>
      <c r="P4671">
        <v>-4.1464939999999999E-2</v>
      </c>
      <c r="Q4671">
        <v>0.17490510000000001</v>
      </c>
      <c r="R4671">
        <v>-0.98371200000000003</v>
      </c>
      <c r="S4671">
        <v>-0.60469059999999997</v>
      </c>
      <c r="T4671">
        <v>-0.13809730000000001</v>
      </c>
      <c r="U4671">
        <v>-3.0490719999999998</v>
      </c>
      <c r="V4671">
        <v>0.1591312</v>
      </c>
      <c r="W4671">
        <v>0.18707019999999999</v>
      </c>
      <c r="X4671">
        <v>0.96937200000000001</v>
      </c>
      <c r="Y4671">
        <v>0.30827539999999998</v>
      </c>
      <c r="Z4671">
        <v>4.3250860000000002E-2</v>
      </c>
      <c r="AA4671">
        <v>0.95031339999999997</v>
      </c>
      <c r="AB4671">
        <v>24</v>
      </c>
      <c r="AC4671">
        <v>-4.8523999999999798</v>
      </c>
      <c r="AD4671">
        <v>-1.1055582521480001</v>
      </c>
      <c r="AE4671">
        <v>-24.272300000000001</v>
      </c>
      <c r="AF4671">
        <v>7.6560740492860599</v>
      </c>
      <c r="AG4671">
        <v>-1.1055582521480001</v>
      </c>
      <c r="AH4671">
        <v>23.486967462150801</v>
      </c>
      <c r="AI4671">
        <v>92.562474593088496</v>
      </c>
      <c r="AJ4671">
        <v>71.945525199855595</v>
      </c>
      <c r="AK4671">
        <v>24.728028014081001</v>
      </c>
      <c r="AL4671">
        <v>79.218146835688003</v>
      </c>
      <c r="AM4671">
        <v>80.677526332990197</v>
      </c>
      <c r="AN4671">
        <v>1.0000000364627299</v>
      </c>
    </row>
    <row r="4672" spans="1:40" x14ac:dyDescent="0.25">
      <c r="A4672" t="str">
        <f>"20190312172211633"</f>
        <v>20190312172211633</v>
      </c>
      <c r="B4672" t="str">
        <f>"1552382531625342"</f>
        <v>1552382531625342</v>
      </c>
      <c r="C4672" t="s">
        <v>40</v>
      </c>
      <c r="D4672">
        <v>3.4882490000000002</v>
      </c>
      <c r="E4672">
        <v>0.55804940000000003</v>
      </c>
      <c r="F4672" t="s">
        <v>42</v>
      </c>
      <c r="G4672">
        <v>-195.01060000000001</v>
      </c>
      <c r="H4672" s="1">
        <v>-2.2611619999999998E-6</v>
      </c>
      <c r="I4672">
        <v>171.75219999999999</v>
      </c>
      <c r="J4672">
        <v>-190.16079999999999</v>
      </c>
      <c r="K4672">
        <v>1.1056699999999999</v>
      </c>
      <c r="L4672">
        <v>195.85929999999999</v>
      </c>
      <c r="M4672">
        <v>0.113424</v>
      </c>
      <c r="N4672">
        <v>0</v>
      </c>
      <c r="O4672">
        <v>-0.99344060000000001</v>
      </c>
      <c r="P4672">
        <v>-4.2319099999999998E-2</v>
      </c>
      <c r="Q4672">
        <v>0.17492289999999999</v>
      </c>
      <c r="R4672">
        <v>-0.98367260000000001</v>
      </c>
      <c r="S4672">
        <v>-0.60847469999999904</v>
      </c>
      <c r="T4672">
        <v>-0.1390344</v>
      </c>
      <c r="U4672">
        <v>-3.048737</v>
      </c>
      <c r="V4672">
        <v>0.15592120000000001</v>
      </c>
      <c r="W4672">
        <v>0.1871536</v>
      </c>
      <c r="X4672">
        <v>0.9698774</v>
      </c>
      <c r="Y4672">
        <v>0.30551129999999999</v>
      </c>
      <c r="Z4672">
        <v>4.3595660000000001E-2</v>
      </c>
      <c r="AA4672">
        <v>0.95118990000000003</v>
      </c>
      <c r="AB4672">
        <v>24</v>
      </c>
      <c r="AC4672">
        <v>-4.8498000000000099</v>
      </c>
      <c r="AD4672">
        <v>-1.105672261162</v>
      </c>
      <c r="AE4672">
        <v>-24.107099999999999</v>
      </c>
      <c r="AF4672">
        <v>7.5378681028382397</v>
      </c>
      <c r="AG4672">
        <v>-1.105672261162</v>
      </c>
      <c r="AH4672">
        <v>23.354137697585799</v>
      </c>
      <c r="AI4672">
        <v>92.579718804772298</v>
      </c>
      <c r="AJ4672">
        <v>72.111803704519204</v>
      </c>
      <c r="AK4672">
        <v>24.5653763309803</v>
      </c>
      <c r="AL4672">
        <v>79.213282394498407</v>
      </c>
      <c r="AM4672">
        <v>80.867056649177798</v>
      </c>
      <c r="AN4672">
        <v>1.00000003081657</v>
      </c>
    </row>
    <row r="4673" spans="1:40" x14ac:dyDescent="0.25">
      <c r="A4673" t="str">
        <f>"20190312172211644"</f>
        <v>20190312172211644</v>
      </c>
      <c r="B4673" t="str">
        <f>"1552382531635101"</f>
        <v>1552382531635101</v>
      </c>
      <c r="C4673" t="s">
        <v>40</v>
      </c>
      <c r="D4673">
        <v>3.5009610000000002</v>
      </c>
      <c r="E4673">
        <v>0.5582802</v>
      </c>
      <c r="F4673" t="s">
        <v>42</v>
      </c>
      <c r="G4673">
        <v>-195.04069999999999</v>
      </c>
      <c r="H4673" s="1">
        <v>-2.192671E-6</v>
      </c>
      <c r="I4673">
        <v>171.57390000000001</v>
      </c>
      <c r="J4673">
        <v>-190.1507</v>
      </c>
      <c r="K4673">
        <v>1.105774</v>
      </c>
      <c r="L4673">
        <v>195.73500000000001</v>
      </c>
      <c r="M4673">
        <v>0.1097265</v>
      </c>
      <c r="N4673">
        <v>0</v>
      </c>
      <c r="O4673">
        <v>-0.99385599999999996</v>
      </c>
      <c r="P4673">
        <v>-4.2559729999999997E-2</v>
      </c>
      <c r="Q4673">
        <v>0.17483499999999999</v>
      </c>
      <c r="R4673">
        <v>-0.98367769999999999</v>
      </c>
      <c r="S4673">
        <v>-0.61248780000000003</v>
      </c>
      <c r="T4673">
        <v>-0.1387767</v>
      </c>
      <c r="U4673">
        <v>-3.0481410000000002</v>
      </c>
      <c r="V4673">
        <v>0.15249219999999999</v>
      </c>
      <c r="W4673">
        <v>0.18713060000000001</v>
      </c>
      <c r="X4673">
        <v>0.97042689999999998</v>
      </c>
      <c r="Y4673">
        <v>0.30320750000000002</v>
      </c>
      <c r="Z4673">
        <v>4.3562539999999997E-2</v>
      </c>
      <c r="AA4673">
        <v>0.95192829999999995</v>
      </c>
      <c r="AB4673">
        <v>24</v>
      </c>
      <c r="AC4673">
        <v>-4.8899999999999801</v>
      </c>
      <c r="AD4673">
        <v>-1.1057761926709999</v>
      </c>
      <c r="AE4673">
        <v>-24.161100000000001</v>
      </c>
      <c r="AF4673">
        <v>7.4967740349032601</v>
      </c>
      <c r="AG4673">
        <v>-1.1057761926709999</v>
      </c>
      <c r="AH4673">
        <v>23.431412924999702</v>
      </c>
      <c r="AI4673">
        <v>92.573572775710304</v>
      </c>
      <c r="AJ4673">
        <v>72.258163400862998</v>
      </c>
      <c r="AK4673">
        <v>24.626316687245801</v>
      </c>
      <c r="AL4673">
        <v>79.214624111454398</v>
      </c>
      <c r="AM4673">
        <v>81.069609014467204</v>
      </c>
      <c r="AN4673">
        <v>1.0000000503804001</v>
      </c>
    </row>
    <row r="4674" spans="1:40" x14ac:dyDescent="0.25">
      <c r="A4674" t="str">
        <f>"20190312172211655"</f>
        <v>20190312172211655</v>
      </c>
      <c r="B4674" t="str">
        <f>"1552382531644862"</f>
        <v>1552382531644862</v>
      </c>
      <c r="C4674" t="s">
        <v>40</v>
      </c>
      <c r="D4674">
        <v>3.5289359999999999</v>
      </c>
      <c r="E4674">
        <v>0.55853050000000004</v>
      </c>
      <c r="F4674" t="s">
        <v>42</v>
      </c>
      <c r="G4674">
        <v>-195.0454</v>
      </c>
      <c r="H4674" s="1">
        <v>-2.1575640000000002E-6</v>
      </c>
      <c r="I4674">
        <v>171.48910000000001</v>
      </c>
      <c r="J4674">
        <v>-190.14089999999999</v>
      </c>
      <c r="K4674">
        <v>1.1058779999999999</v>
      </c>
      <c r="L4674">
        <v>195.61</v>
      </c>
      <c r="M4674">
        <v>0.1060816</v>
      </c>
      <c r="N4674">
        <v>0</v>
      </c>
      <c r="O4674">
        <v>-0.99425189999999997</v>
      </c>
      <c r="P4674">
        <v>-4.2465870000000003E-2</v>
      </c>
      <c r="Q4674">
        <v>0.1744916</v>
      </c>
      <c r="R4674">
        <v>-0.98374269999999997</v>
      </c>
      <c r="S4674">
        <v>-0.61529540000000005</v>
      </c>
      <c r="T4674">
        <v>-0.13900279999999901</v>
      </c>
      <c r="U4674">
        <v>-3.0478519999999998</v>
      </c>
      <c r="V4674">
        <v>0.14878559999999999</v>
      </c>
      <c r="W4674">
        <v>0.18685470000000001</v>
      </c>
      <c r="X4674">
        <v>0.97105520000000001</v>
      </c>
      <c r="Y4674">
        <v>0.3005718</v>
      </c>
      <c r="Z4674">
        <v>4.3679240000000001E-2</v>
      </c>
      <c r="AA4674">
        <v>0.95275849999999995</v>
      </c>
      <c r="AB4674">
        <v>24</v>
      </c>
      <c r="AC4674">
        <v>-4.9045000000000103</v>
      </c>
      <c r="AD4674">
        <v>-1.105880157564</v>
      </c>
      <c r="AE4674">
        <v>-24.120899999999999</v>
      </c>
      <c r="AF4674">
        <v>7.4208930735463801</v>
      </c>
      <c r="AG4674">
        <v>-1.105880157564</v>
      </c>
      <c r="AH4674">
        <v>23.4171673593438</v>
      </c>
      <c r="AI4674">
        <v>92.577643764848901</v>
      </c>
      <c r="AJ4674">
        <v>72.4166076040067</v>
      </c>
      <c r="AK4674">
        <v>24.5897611226181</v>
      </c>
      <c r="AL4674">
        <v>79.230715495819595</v>
      </c>
      <c r="AM4674">
        <v>81.288857393683301</v>
      </c>
      <c r="AN4674">
        <v>1.00000001756324</v>
      </c>
    </row>
    <row r="4675" spans="1:40" x14ac:dyDescent="0.25">
      <c r="A4675" t="str">
        <f>"20190312172211675"</f>
        <v>20190312172211675</v>
      </c>
      <c r="B4675" t="str">
        <f>"1552382531665357"</f>
        <v>1552382531665357</v>
      </c>
      <c r="C4675" t="s">
        <v>40</v>
      </c>
      <c r="D4675">
        <v>3.5294970000000001</v>
      </c>
      <c r="E4675">
        <v>0.5589404</v>
      </c>
      <c r="F4675" t="s">
        <v>42</v>
      </c>
      <c r="G4675">
        <v>-194.99979999999999</v>
      </c>
      <c r="H4675" s="1">
        <v>-2.191712E-6</v>
      </c>
      <c r="I4675">
        <v>171.59700000000001</v>
      </c>
      <c r="J4675">
        <v>-190.12530000000001</v>
      </c>
      <c r="K4675">
        <v>1.106047</v>
      </c>
      <c r="L4675">
        <v>195.39869999999999</v>
      </c>
      <c r="M4675">
        <v>0.1000939</v>
      </c>
      <c r="N4675">
        <v>0</v>
      </c>
      <c r="O4675">
        <v>-0.99487329999999996</v>
      </c>
      <c r="P4675">
        <v>-4.1369540000000003E-2</v>
      </c>
      <c r="Q4675">
        <v>0.1735573</v>
      </c>
      <c r="R4675">
        <v>-0.98395500000000002</v>
      </c>
      <c r="S4675">
        <v>-0.61671450000000005</v>
      </c>
      <c r="T4675">
        <v>-0.14036419999999999</v>
      </c>
      <c r="U4675">
        <v>-3.0478519999999998</v>
      </c>
      <c r="V4675">
        <v>0.141762</v>
      </c>
      <c r="W4675">
        <v>0.1860405</v>
      </c>
      <c r="X4675">
        <v>0.9722615</v>
      </c>
      <c r="Y4675">
        <v>0.2952475</v>
      </c>
      <c r="Z4675">
        <v>4.4184590000000003E-2</v>
      </c>
      <c r="AA4675">
        <v>0.95439859999999999</v>
      </c>
      <c r="AB4675">
        <v>24</v>
      </c>
      <c r="AC4675">
        <v>-4.8744999999999798</v>
      </c>
      <c r="AD4675">
        <v>-1.1060491917119999</v>
      </c>
      <c r="AE4675">
        <v>-23.801699999999901</v>
      </c>
      <c r="AF4675">
        <v>7.2177097709649196</v>
      </c>
      <c r="AG4675">
        <v>-1.1060491917119999</v>
      </c>
      <c r="AH4675">
        <v>23.146214253506901</v>
      </c>
      <c r="AI4675">
        <v>92.611954238146595</v>
      </c>
      <c r="AJ4675">
        <v>72.680896725407393</v>
      </c>
      <c r="AK4675">
        <v>24.2706801186456</v>
      </c>
      <c r="AL4675">
        <v>79.278197910580303</v>
      </c>
      <c r="AM4675">
        <v>81.704363133797202</v>
      </c>
      <c r="AN4675">
        <v>0.99999997833324905</v>
      </c>
    </row>
    <row r="4676" spans="1:40" x14ac:dyDescent="0.25">
      <c r="A4676" t="str">
        <f>"20190312172211686"</f>
        <v>20190312172211686</v>
      </c>
      <c r="B4676" t="str">
        <f>"1552382531675119"</f>
        <v>1552382531675119</v>
      </c>
      <c r="C4676" t="s">
        <v>40</v>
      </c>
      <c r="D4676">
        <v>3.4869439999999998</v>
      </c>
      <c r="E4676">
        <v>0.55907369999999901</v>
      </c>
      <c r="F4676" t="s">
        <v>42</v>
      </c>
      <c r="G4676">
        <v>-194.8656</v>
      </c>
      <c r="H4676" s="1">
        <v>-2.3031780000000001E-6</v>
      </c>
      <c r="I4676">
        <v>171.9401</v>
      </c>
      <c r="J4676">
        <v>-190.1163</v>
      </c>
      <c r="K4676">
        <v>1.106152</v>
      </c>
      <c r="L4676">
        <v>195.2696</v>
      </c>
      <c r="M4676">
        <v>9.6544110000000002E-2</v>
      </c>
      <c r="N4676">
        <v>0</v>
      </c>
      <c r="O4676">
        <v>-0.99522409999999994</v>
      </c>
      <c r="P4676">
        <v>-4.1118010000000003E-2</v>
      </c>
      <c r="Q4676">
        <v>0.1732832</v>
      </c>
      <c r="R4676">
        <v>-0.98401329999999998</v>
      </c>
      <c r="S4676">
        <v>-0.61598209999999998</v>
      </c>
      <c r="T4676">
        <v>-0.14372779999999999</v>
      </c>
      <c r="U4676">
        <v>-3.0483699999999998</v>
      </c>
      <c r="V4676">
        <v>0.1379872</v>
      </c>
      <c r="W4676">
        <v>0.1858302</v>
      </c>
      <c r="X4676">
        <v>0.97284470000000001</v>
      </c>
      <c r="Y4676">
        <v>0.29157559999999999</v>
      </c>
      <c r="Z4676">
        <v>4.5285590000000001E-2</v>
      </c>
      <c r="AA4676">
        <v>0.95547519999999997</v>
      </c>
      <c r="AB4676">
        <v>24</v>
      </c>
      <c r="AC4676">
        <v>-4.7492999999999999</v>
      </c>
      <c r="AD4676">
        <v>-1.1061543031779999</v>
      </c>
      <c r="AE4676">
        <v>-23.329499999999999</v>
      </c>
      <c r="AF4676">
        <v>6.9646360299064103</v>
      </c>
      <c r="AG4676">
        <v>-1.1061543031779999</v>
      </c>
      <c r="AH4676">
        <v>22.712904089087701</v>
      </c>
      <c r="AI4676">
        <v>92.665864977994602</v>
      </c>
      <c r="AJ4676">
        <v>72.952478295510005</v>
      </c>
      <c r="AK4676">
        <v>23.782467166625199</v>
      </c>
      <c r="AL4676">
        <v>79.290462056571997</v>
      </c>
      <c r="AM4676">
        <v>81.927081253299704</v>
      </c>
      <c r="AN4676">
        <v>1.00000007045698</v>
      </c>
    </row>
    <row r="4677" spans="1:40" x14ac:dyDescent="0.25">
      <c r="A4677" t="str">
        <f>"20190312172211698"</f>
        <v>20190312172211698</v>
      </c>
      <c r="B4677" t="str">
        <f>"1552382531695614"</f>
        <v>1552382531695614</v>
      </c>
      <c r="C4677" t="s">
        <v>40</v>
      </c>
      <c r="D4677">
        <v>3.552359</v>
      </c>
      <c r="E4677">
        <v>0.55939819999999996</v>
      </c>
      <c r="F4677" t="s">
        <v>42</v>
      </c>
      <c r="G4677">
        <v>-194.81729999999999</v>
      </c>
      <c r="H4677" s="1">
        <v>-2.3204510000000002E-6</v>
      </c>
      <c r="I4677">
        <v>172.0103</v>
      </c>
      <c r="J4677">
        <v>-190.10749999999999</v>
      </c>
      <c r="K4677">
        <v>1.1062620000000001</v>
      </c>
      <c r="L4677">
        <v>195.13980000000001</v>
      </c>
      <c r="M4677">
        <v>9.3033870000000005E-2</v>
      </c>
      <c r="N4677">
        <v>0</v>
      </c>
      <c r="O4677">
        <v>-0.99555890000000002</v>
      </c>
      <c r="P4677">
        <v>-4.0867180000000003E-2</v>
      </c>
      <c r="Q4677">
        <v>0.17286960000000001</v>
      </c>
      <c r="R4677">
        <v>-0.98409659999999999</v>
      </c>
      <c r="S4677">
        <v>-0.61614990000000003</v>
      </c>
      <c r="T4677">
        <v>-0.14498039999999901</v>
      </c>
      <c r="U4677">
        <v>-3.0485229999999999</v>
      </c>
      <c r="V4677">
        <v>0.13425109999999901</v>
      </c>
      <c r="W4677">
        <v>0.18547830000000001</v>
      </c>
      <c r="X4677">
        <v>0.97343429999999997</v>
      </c>
      <c r="Y4677">
        <v>0.2882381</v>
      </c>
      <c r="Z4677">
        <v>4.572437E-2</v>
      </c>
      <c r="AA4677">
        <v>0.95646640000000005</v>
      </c>
      <c r="AB4677">
        <v>24</v>
      </c>
      <c r="AC4677">
        <v>-4.7098000000000004</v>
      </c>
      <c r="AD4677">
        <v>-1.1062643204510001</v>
      </c>
      <c r="AE4677">
        <v>-23.1295</v>
      </c>
      <c r="AF4677">
        <v>6.8264243483244904</v>
      </c>
      <c r="AG4677">
        <v>-1.1062643204510001</v>
      </c>
      <c r="AH4677">
        <v>22.5414355445211</v>
      </c>
      <c r="AI4677">
        <v>92.689223910562802</v>
      </c>
      <c r="AJ4677">
        <v>73.151644143682105</v>
      </c>
      <c r="AK4677">
        <v>23.578384307197599</v>
      </c>
      <c r="AL4677">
        <v>79.310979826998903</v>
      </c>
      <c r="AM4677">
        <v>82.147593540304996</v>
      </c>
      <c r="AN4677">
        <v>0.99999994701929296</v>
      </c>
    </row>
    <row r="4678" spans="1:40" x14ac:dyDescent="0.25">
      <c r="A4678" t="str">
        <f>"20190312172211710"</f>
        <v>20190312172211710</v>
      </c>
      <c r="B4678" t="str">
        <f>"1552382531705373"</f>
        <v>1552382531705373</v>
      </c>
      <c r="C4678" t="s">
        <v>40</v>
      </c>
      <c r="D4678">
        <v>3.5328089999999999</v>
      </c>
      <c r="E4678">
        <v>0.5595521</v>
      </c>
      <c r="F4678" t="s">
        <v>42</v>
      </c>
      <c r="G4678">
        <v>-194.76689999999999</v>
      </c>
      <c r="H4678" s="1">
        <v>-2.366211E-6</v>
      </c>
      <c r="I4678">
        <v>172.14830000000001</v>
      </c>
      <c r="J4678">
        <v>-190.09960000000001</v>
      </c>
      <c r="K4678">
        <v>1.106371</v>
      </c>
      <c r="L4678">
        <v>195.01509999999999</v>
      </c>
      <c r="M4678">
        <v>8.9777239999999994E-2</v>
      </c>
      <c r="N4678">
        <v>0</v>
      </c>
      <c r="O4678">
        <v>-0.99585820000000003</v>
      </c>
      <c r="P4678">
        <v>-3.9714260000000001E-2</v>
      </c>
      <c r="Q4678">
        <v>0.172354799999999</v>
      </c>
      <c r="R4678">
        <v>-0.98423400000000005</v>
      </c>
      <c r="S4678">
        <v>-0.617813099999999</v>
      </c>
      <c r="T4678">
        <v>-0.1466865</v>
      </c>
      <c r="U4678">
        <v>-3.0485989999999998</v>
      </c>
      <c r="V4678">
        <v>0.12986889999999901</v>
      </c>
      <c r="W4678">
        <v>0.18503130000000001</v>
      </c>
      <c r="X4678">
        <v>0.97411369999999997</v>
      </c>
      <c r="Y4678">
        <v>0.28559689999999999</v>
      </c>
      <c r="Z4678">
        <v>4.629788E-2</v>
      </c>
      <c r="AA4678">
        <v>0.9572309</v>
      </c>
      <c r="AB4678">
        <v>24</v>
      </c>
      <c r="AC4678">
        <v>-4.6672999999999796</v>
      </c>
      <c r="AD4678">
        <v>-1.106373366211</v>
      </c>
      <c r="AE4678">
        <v>-22.866799999999898</v>
      </c>
      <c r="AF4678">
        <v>6.6865522370416501</v>
      </c>
      <c r="AG4678">
        <v>-1.106373366211</v>
      </c>
      <c r="AH4678">
        <v>22.305253968748001</v>
      </c>
      <c r="AI4678">
        <v>92.720222063008293</v>
      </c>
      <c r="AJ4678">
        <v>73.312596033048806</v>
      </c>
      <c r="AK4678">
        <v>23.312194179323701</v>
      </c>
      <c r="AL4678">
        <v>79.337042813053699</v>
      </c>
      <c r="AM4678">
        <v>82.406103677369202</v>
      </c>
      <c r="AN4678">
        <v>1.0000000068472901</v>
      </c>
    </row>
    <row r="4679" spans="1:40" x14ac:dyDescent="0.25">
      <c r="A4679" t="str">
        <f>"20190312172211721"</f>
        <v>20190312172211721</v>
      </c>
      <c r="B4679" t="str">
        <f>"1552382531715134"</f>
        <v>1552382531715134</v>
      </c>
      <c r="C4679" t="s">
        <v>40</v>
      </c>
      <c r="D4679">
        <v>3.5112649999999999</v>
      </c>
      <c r="E4679">
        <v>0.55968059999999997</v>
      </c>
      <c r="F4679" t="s">
        <v>42</v>
      </c>
      <c r="G4679">
        <v>-194.68979999999999</v>
      </c>
      <c r="H4679" s="1">
        <v>-2.401632E-6</v>
      </c>
      <c r="I4679">
        <v>172.27860000000001</v>
      </c>
      <c r="J4679">
        <v>-190.0916</v>
      </c>
      <c r="K4679">
        <v>1.1064799999999999</v>
      </c>
      <c r="L4679">
        <v>194.88679999999999</v>
      </c>
      <c r="M4679">
        <v>8.646653E-2</v>
      </c>
      <c r="N4679">
        <v>0</v>
      </c>
      <c r="O4679">
        <v>-0.99615120000000001</v>
      </c>
      <c r="P4679">
        <v>-3.9009170000000003E-2</v>
      </c>
      <c r="Q4679">
        <v>0.17210159999999999</v>
      </c>
      <c r="R4679">
        <v>-0.98430649999999997</v>
      </c>
      <c r="S4679">
        <v>-0.61560059999999905</v>
      </c>
      <c r="T4679">
        <v>-0.1483775</v>
      </c>
      <c r="U4679">
        <v>-3.0492249999999999</v>
      </c>
      <c r="V4679">
        <v>0.12587319999999999</v>
      </c>
      <c r="W4679">
        <v>0.18484</v>
      </c>
      <c r="X4679">
        <v>0.97467429999999999</v>
      </c>
      <c r="Y4679">
        <v>0.28169860000000002</v>
      </c>
      <c r="Z4679">
        <v>4.68733E-2</v>
      </c>
      <c r="AA4679">
        <v>0.95835729999999997</v>
      </c>
      <c r="AB4679">
        <v>24</v>
      </c>
      <c r="AC4679">
        <v>-4.5981999999999896</v>
      </c>
      <c r="AD4679">
        <v>-1.1064824016319901</v>
      </c>
      <c r="AE4679">
        <v>-22.608199999999901</v>
      </c>
      <c r="AF4679">
        <v>6.5210301017088703</v>
      </c>
      <c r="AG4679">
        <v>-1.1064824016319901</v>
      </c>
      <c r="AH4679">
        <v>22.075102098114598</v>
      </c>
      <c r="AI4679">
        <v>92.752092756372804</v>
      </c>
      <c r="AJ4679">
        <v>73.542752261528605</v>
      </c>
      <c r="AK4679">
        <v>23.044701550132899</v>
      </c>
      <c r="AL4679">
        <v>79.348195154054693</v>
      </c>
      <c r="AM4679">
        <v>82.641331204711506</v>
      </c>
      <c r="AN4679">
        <v>0.99999993957936295</v>
      </c>
    </row>
    <row r="4680" spans="1:40" x14ac:dyDescent="0.25">
      <c r="A4680" t="str">
        <f>"20190312172211732"</f>
        <v>20190312172211732</v>
      </c>
      <c r="B4680" t="str">
        <f>"1552382531724893"</f>
        <v>1552382531724893</v>
      </c>
      <c r="C4680" t="s">
        <v>40</v>
      </c>
      <c r="D4680">
        <v>3.5316320000000001</v>
      </c>
      <c r="E4680">
        <v>0.55981320000000001</v>
      </c>
      <c r="F4680" t="s">
        <v>42</v>
      </c>
      <c r="G4680">
        <v>-194.6454</v>
      </c>
      <c r="H4680" s="1">
        <v>-2.388176E-6</v>
      </c>
      <c r="I4680">
        <v>172.2748</v>
      </c>
      <c r="J4680">
        <v>-190.08430000000001</v>
      </c>
      <c r="K4680">
        <v>1.1065969999999901</v>
      </c>
      <c r="L4680">
        <v>194.761</v>
      </c>
      <c r="M4680">
        <v>8.3335259999999994E-2</v>
      </c>
      <c r="N4680">
        <v>0</v>
      </c>
      <c r="O4680">
        <v>-0.99641869999999999</v>
      </c>
      <c r="P4680">
        <v>-3.7803179999999999E-2</v>
      </c>
      <c r="Q4680">
        <v>0.17187049999999901</v>
      </c>
      <c r="R4680">
        <v>-0.9843944</v>
      </c>
      <c r="S4680">
        <v>-0.614151</v>
      </c>
      <c r="T4680">
        <v>-0.14922669999999999</v>
      </c>
      <c r="U4680">
        <v>-3.0495909999999999</v>
      </c>
      <c r="V4680">
        <v>0.1215538</v>
      </c>
      <c r="W4680">
        <v>0.18467230000000001</v>
      </c>
      <c r="X4680">
        <v>0.97525419999999996</v>
      </c>
      <c r="Y4680">
        <v>0.27821839999999998</v>
      </c>
      <c r="Z4680">
        <v>4.7181580000000001E-2</v>
      </c>
      <c r="AA4680">
        <v>0.9593583</v>
      </c>
      <c r="AB4680">
        <v>24</v>
      </c>
      <c r="AC4680">
        <v>-4.5610999999999802</v>
      </c>
      <c r="AD4680">
        <v>-1.1065993881759999</v>
      </c>
      <c r="AE4680">
        <v>-22.4862</v>
      </c>
      <c r="AF4680">
        <v>6.4044190523165598</v>
      </c>
      <c r="AG4680">
        <v>-1.1065993881759999</v>
      </c>
      <c r="AH4680">
        <v>21.976706645050399</v>
      </c>
      <c r="AI4680">
        <v>92.767659561364496</v>
      </c>
      <c r="AJ4680">
        <v>73.752899905300097</v>
      </c>
      <c r="AK4680">
        <v>22.917608526331598</v>
      </c>
      <c r="AL4680">
        <v>79.357972294457596</v>
      </c>
      <c r="AM4680">
        <v>82.895402661727005</v>
      </c>
      <c r="AN4680">
        <v>0.99999996964968396</v>
      </c>
    </row>
    <row r="4681" spans="1:40" x14ac:dyDescent="0.25">
      <c r="A4681" t="str">
        <f>"20190312172211744"</f>
        <v>20190312172211744</v>
      </c>
      <c r="B4681" t="str">
        <f>"1552382531735629"</f>
        <v>1552382531735629</v>
      </c>
      <c r="C4681" t="s">
        <v>40</v>
      </c>
      <c r="D4681">
        <v>3.5145179999999998</v>
      </c>
      <c r="E4681">
        <v>0.55987600000000004</v>
      </c>
      <c r="F4681" t="s">
        <v>42</v>
      </c>
      <c r="G4681">
        <v>-194.59139999999999</v>
      </c>
      <c r="H4681" s="1">
        <v>-2.3695150000000001E-6</v>
      </c>
      <c r="I4681">
        <v>172.26480000000001</v>
      </c>
      <c r="J4681">
        <v>-190.07730000000001</v>
      </c>
      <c r="K4681">
        <v>1.1067100000000001</v>
      </c>
      <c r="L4681">
        <v>194.6369</v>
      </c>
      <c r="M4681">
        <v>8.0303040000000006E-2</v>
      </c>
      <c r="N4681">
        <v>0</v>
      </c>
      <c r="O4681">
        <v>-0.99666770000000005</v>
      </c>
      <c r="P4681">
        <v>-3.6668640000000002E-2</v>
      </c>
      <c r="Q4681">
        <v>0.1716462</v>
      </c>
      <c r="R4681">
        <v>-0.98447629999999997</v>
      </c>
      <c r="S4681">
        <v>-0.61112979999999995</v>
      </c>
      <c r="T4681">
        <v>-0.15004629999999999</v>
      </c>
      <c r="U4681">
        <v>-3.0503079999999998</v>
      </c>
      <c r="V4681">
        <v>0.1174023</v>
      </c>
      <c r="W4681">
        <v>0.1845068</v>
      </c>
      <c r="X4681">
        <v>0.97579400000000005</v>
      </c>
      <c r="Y4681">
        <v>0.27433400000000002</v>
      </c>
      <c r="Z4681">
        <v>4.7479189999999998E-2</v>
      </c>
      <c r="AA4681">
        <v>0.96046169999999997</v>
      </c>
      <c r="AB4681">
        <v>24</v>
      </c>
      <c r="AC4681">
        <v>-4.5140999999999796</v>
      </c>
      <c r="AD4681">
        <v>-1.1067123695150001</v>
      </c>
      <c r="AE4681">
        <v>-22.3720999999999</v>
      </c>
      <c r="AF4681">
        <v>6.2814802166141597</v>
      </c>
      <c r="AG4681">
        <v>-1.1067123695150001</v>
      </c>
      <c r="AH4681">
        <v>21.885839074767201</v>
      </c>
      <c r="AI4681">
        <v>92.782682034681201</v>
      </c>
      <c r="AJ4681">
        <v>73.985929813185095</v>
      </c>
      <c r="AK4681">
        <v>22.796310183605598</v>
      </c>
      <c r="AL4681">
        <v>79.367620815920702</v>
      </c>
      <c r="AM4681">
        <v>83.139455838171301</v>
      </c>
      <c r="AN4681">
        <v>0.99999999486376501</v>
      </c>
    </row>
    <row r="4682" spans="1:40" x14ac:dyDescent="0.25">
      <c r="A4682" t="str">
        <f>"20190312172211758"</f>
        <v>20190312172211758</v>
      </c>
      <c r="B4682" t="str">
        <f>"1552382531745389"</f>
        <v>1552382531745389</v>
      </c>
      <c r="C4682" t="s">
        <v>40</v>
      </c>
      <c r="D4682">
        <v>3.5223339999999999</v>
      </c>
      <c r="E4682">
        <v>0.56000329999999998</v>
      </c>
      <c r="F4682" t="s">
        <v>42</v>
      </c>
      <c r="G4682">
        <v>-194.53139999999999</v>
      </c>
      <c r="H4682" s="1">
        <v>-2.3576990000000001E-6</v>
      </c>
      <c r="I4682">
        <v>172.27440000000001</v>
      </c>
      <c r="J4682">
        <v>-190.06950000000001</v>
      </c>
      <c r="K4682">
        <v>1.106835</v>
      </c>
      <c r="L4682">
        <v>194.494</v>
      </c>
      <c r="M4682">
        <v>7.6892379999999996E-2</v>
      </c>
      <c r="N4682">
        <v>0</v>
      </c>
      <c r="O4682">
        <v>-0.99693690000000001</v>
      </c>
      <c r="P4682">
        <v>-3.6365710000000002E-2</v>
      </c>
      <c r="Q4682">
        <v>0.17168620000000001</v>
      </c>
      <c r="R4682">
        <v>-0.98448049999999998</v>
      </c>
      <c r="S4682">
        <v>-0.60769649999999997</v>
      </c>
      <c r="T4682">
        <v>-0.1509926</v>
      </c>
      <c r="U4682">
        <v>-3.0509949999999999</v>
      </c>
      <c r="V4682">
        <v>0.11369650000000001</v>
      </c>
      <c r="W4682">
        <v>0.18459970000000001</v>
      </c>
      <c r="X4682">
        <v>0.97621519999999995</v>
      </c>
      <c r="Y4682">
        <v>0.26995710000000001</v>
      </c>
      <c r="Z4682">
        <v>4.7822740000000002E-2</v>
      </c>
      <c r="AA4682">
        <v>0.96168399999999998</v>
      </c>
      <c r="AB4682">
        <v>24</v>
      </c>
      <c r="AC4682">
        <v>-4.4618999999999804</v>
      </c>
      <c r="AD4682">
        <v>-1.106837357699</v>
      </c>
      <c r="AE4682">
        <v>-22.2196</v>
      </c>
      <c r="AF4682">
        <v>6.1427282444932896</v>
      </c>
      <c r="AG4682">
        <v>-1.106837357699</v>
      </c>
      <c r="AH4682">
        <v>21.7587827346482</v>
      </c>
      <c r="AI4682">
        <v>92.802682439244506</v>
      </c>
      <c r="AJ4682">
        <v>74.235080825310007</v>
      </c>
      <c r="AK4682">
        <v>22.636316513861502</v>
      </c>
      <c r="AL4682">
        <v>79.362205386487702</v>
      </c>
      <c r="AM4682">
        <v>83.356882246775299</v>
      </c>
      <c r="AN4682">
        <v>1.00000003003168</v>
      </c>
    </row>
    <row r="4683" spans="1:40" x14ac:dyDescent="0.25">
      <c r="A4683" t="str">
        <f>"20190312172211771"</f>
        <v>20190312172211771</v>
      </c>
      <c r="B4683" t="str">
        <f>"1552382531764910"</f>
        <v>1552382531764910</v>
      </c>
      <c r="C4683" t="s">
        <v>40</v>
      </c>
      <c r="D4683">
        <v>3.4867659999999998</v>
      </c>
      <c r="E4683">
        <v>0.56020459999999905</v>
      </c>
      <c r="F4683" t="s">
        <v>42</v>
      </c>
      <c r="G4683">
        <v>-194.5146</v>
      </c>
      <c r="H4683" s="1">
        <v>-2.3038030000000002E-6</v>
      </c>
      <c r="I4683">
        <v>172.1593</v>
      </c>
      <c r="J4683">
        <v>-190.0624</v>
      </c>
      <c r="K4683">
        <v>1.1069610000000001</v>
      </c>
      <c r="L4683">
        <v>194.352</v>
      </c>
      <c r="M4683">
        <v>7.3631630000000003E-2</v>
      </c>
      <c r="N4683">
        <v>0</v>
      </c>
      <c r="O4683">
        <v>-0.9971835</v>
      </c>
      <c r="P4683">
        <v>-3.9637829999999999E-2</v>
      </c>
      <c r="Q4683">
        <v>0.17157269999999999</v>
      </c>
      <c r="R4683">
        <v>-0.98437370000000002</v>
      </c>
      <c r="S4683">
        <v>-0.60725399999999996</v>
      </c>
      <c r="T4683">
        <v>-0.15120890000000001</v>
      </c>
      <c r="U4683">
        <v>-3.0512239999999999</v>
      </c>
      <c r="V4683">
        <v>0.1136939</v>
      </c>
      <c r="W4683">
        <v>0.18449750000000001</v>
      </c>
      <c r="X4683">
        <v>0.97623479999999996</v>
      </c>
      <c r="Y4683">
        <v>0.26665800000000001</v>
      </c>
      <c r="Z4683">
        <v>4.7928909999999998E-2</v>
      </c>
      <c r="AA4683">
        <v>0.96259870000000003</v>
      </c>
      <c r="AB4683">
        <v>24</v>
      </c>
      <c r="AC4683">
        <v>-4.4522000000000004</v>
      </c>
      <c r="AD4683">
        <v>-1.106963303803</v>
      </c>
      <c r="AE4683">
        <v>-22.192699999999999</v>
      </c>
      <c r="AF4683">
        <v>6.0598695056200702</v>
      </c>
      <c r="AG4683">
        <v>-1.106963303803</v>
      </c>
      <c r="AH4683">
        <v>21.752563721059001</v>
      </c>
      <c r="AI4683">
        <v>92.806515861520893</v>
      </c>
      <c r="AJ4683">
        <v>74.433127920924306</v>
      </c>
      <c r="AK4683">
        <v>22.607994484691599</v>
      </c>
      <c r="AL4683">
        <v>79.368163111023094</v>
      </c>
      <c r="AM4683">
        <v>83.357164982934407</v>
      </c>
      <c r="AN4683">
        <v>1.0000000075672499</v>
      </c>
    </row>
    <row r="4684" spans="1:40" x14ac:dyDescent="0.25">
      <c r="A4684" t="str">
        <f>"20190312172211787"</f>
        <v>20190312172211787</v>
      </c>
      <c r="B4684" t="str">
        <f>"1552382531775645"</f>
        <v>1552382531775645</v>
      </c>
      <c r="C4684" t="s">
        <v>40</v>
      </c>
      <c r="D4684">
        <v>3.525973</v>
      </c>
      <c r="E4684">
        <v>0.56031219999999904</v>
      </c>
      <c r="F4684" t="s">
        <v>42</v>
      </c>
      <c r="G4684">
        <v>-194.5754</v>
      </c>
      <c r="H4684" s="1">
        <v>-2.29236E-6</v>
      </c>
      <c r="I4684">
        <v>172.0949</v>
      </c>
      <c r="J4684">
        <v>-190.0539</v>
      </c>
      <c r="K4684">
        <v>1.1071139999999999</v>
      </c>
      <c r="L4684">
        <v>194.178</v>
      </c>
      <c r="M4684">
        <v>6.9753540000000003E-2</v>
      </c>
      <c r="N4684">
        <v>0</v>
      </c>
      <c r="O4684">
        <v>-0.99746279999999998</v>
      </c>
      <c r="P4684">
        <v>-3.5997269999999998E-2</v>
      </c>
      <c r="Q4684">
        <v>0.17112349999999901</v>
      </c>
      <c r="R4684">
        <v>-0.98459209999999997</v>
      </c>
      <c r="S4684">
        <v>-0.61827089999999996</v>
      </c>
      <c r="T4684">
        <v>-0.15165020000000001</v>
      </c>
      <c r="U4684">
        <v>-3.0491489999999999</v>
      </c>
      <c r="V4684">
        <v>0.10619869999999999</v>
      </c>
      <c r="W4684">
        <v>0.18414030000000001</v>
      </c>
      <c r="X4684">
        <v>0.97714590000000001</v>
      </c>
      <c r="Y4684">
        <v>0.26637729999999998</v>
      </c>
      <c r="Z4684">
        <v>4.8106089999999997E-2</v>
      </c>
      <c r="AA4684">
        <v>0.96266759999999996</v>
      </c>
      <c r="AB4684">
        <v>24</v>
      </c>
      <c r="AC4684">
        <v>-4.5214999999999996</v>
      </c>
      <c r="AD4684">
        <v>-1.10711629236</v>
      </c>
      <c r="AE4684">
        <v>-22.083100000000002</v>
      </c>
      <c r="AF4684">
        <v>6.0364531342022101</v>
      </c>
      <c r="AG4684">
        <v>-1.10711629236</v>
      </c>
      <c r="AH4684">
        <v>21.661623445962</v>
      </c>
      <c r="AI4684">
        <v>92.818603730497699</v>
      </c>
      <c r="AJ4684">
        <v>74.428420362545495</v>
      </c>
      <c r="AK4684">
        <v>22.5142266853845</v>
      </c>
      <c r="AL4684">
        <v>79.388985441456398</v>
      </c>
      <c r="AM4684">
        <v>83.797294504243695</v>
      </c>
      <c r="AN4684">
        <v>0.99999996192629403</v>
      </c>
    </row>
    <row r="4685" spans="1:40" x14ac:dyDescent="0.25">
      <c r="A4685" t="str">
        <f>"20190312172211808"</f>
        <v>20190312172211808</v>
      </c>
      <c r="B4685" t="str">
        <f>"1552382531804926"</f>
        <v>1552382531804926</v>
      </c>
      <c r="C4685" t="s">
        <v>40</v>
      </c>
      <c r="D4685">
        <v>3.4801700000000002</v>
      </c>
      <c r="E4685">
        <v>0.56069480000000005</v>
      </c>
      <c r="F4685" t="s">
        <v>42</v>
      </c>
      <c r="G4685">
        <v>-194.4453</v>
      </c>
      <c r="H4685" s="1">
        <v>-2.2703519999999998E-6</v>
      </c>
      <c r="I4685">
        <v>172.12430000000001</v>
      </c>
      <c r="J4685">
        <v>-190.04339999999999</v>
      </c>
      <c r="K4685">
        <v>1.107324</v>
      </c>
      <c r="L4685">
        <v>193.9435</v>
      </c>
      <c r="M4685">
        <v>6.4784939999999999E-2</v>
      </c>
      <c r="N4685">
        <v>0</v>
      </c>
      <c r="O4685">
        <v>-0.99779819999999997</v>
      </c>
      <c r="P4685">
        <v>-3.352571E-2</v>
      </c>
      <c r="Q4685">
        <v>0.170519899999999</v>
      </c>
      <c r="R4685">
        <v>-0.98478390000000005</v>
      </c>
      <c r="S4685">
        <v>-0.60758970000000001</v>
      </c>
      <c r="T4685">
        <v>-0.15317999999999901</v>
      </c>
      <c r="U4685">
        <v>-3.0513460000000001</v>
      </c>
      <c r="V4685">
        <v>9.8766889999999996E-2</v>
      </c>
      <c r="W4685">
        <v>0.1836276</v>
      </c>
      <c r="X4685">
        <v>0.97802149999999999</v>
      </c>
      <c r="Y4685">
        <v>0.25818849999999999</v>
      </c>
      <c r="Z4685">
        <v>4.8652809999999998E-2</v>
      </c>
      <c r="AA4685">
        <v>0.96486870000000002</v>
      </c>
      <c r="AB4685">
        <v>24</v>
      </c>
      <c r="AC4685">
        <v>-4.4019000000000101</v>
      </c>
      <c r="AD4685">
        <v>-1.1073262703519999</v>
      </c>
      <c r="AE4685">
        <v>-21.819199999999899</v>
      </c>
      <c r="AF4685">
        <v>5.7920146258515404</v>
      </c>
      <c r="AG4685">
        <v>-1.1073262703519999</v>
      </c>
      <c r="AH4685">
        <v>21.435099945750601</v>
      </c>
      <c r="AI4685">
        <v>92.855027513208</v>
      </c>
      <c r="AJ4685">
        <v>74.879120547889002</v>
      </c>
      <c r="AK4685">
        <v>22.231444275606801</v>
      </c>
      <c r="AL4685">
        <v>79.418871258984694</v>
      </c>
      <c r="AM4685">
        <v>84.233454221457507</v>
      </c>
      <c r="AN4685">
        <v>1.0000000242521401</v>
      </c>
    </row>
    <row r="4686" spans="1:40" x14ac:dyDescent="0.25">
      <c r="A4686" t="str">
        <f>"20190312172211822"</f>
        <v>20190312172211822</v>
      </c>
      <c r="B4686" t="str">
        <f>"1552382531815661"</f>
        <v>1552382531815661</v>
      </c>
      <c r="C4686" t="s">
        <v>40</v>
      </c>
      <c r="D4686">
        <v>3.4909910000000002</v>
      </c>
      <c r="E4686">
        <v>0.56082129999999997</v>
      </c>
      <c r="F4686" t="s">
        <v>42</v>
      </c>
      <c r="G4686">
        <v>-194.37450000000001</v>
      </c>
      <c r="H4686" s="1">
        <v>-2.2096489999999999E-6</v>
      </c>
      <c r="I4686">
        <v>172.02670000000001</v>
      </c>
      <c r="J4686">
        <v>-190.03720000000001</v>
      </c>
      <c r="K4686">
        <v>1.107453</v>
      </c>
      <c r="L4686">
        <v>193.7987</v>
      </c>
      <c r="M4686">
        <v>6.1835969999999997E-2</v>
      </c>
      <c r="N4686">
        <v>0</v>
      </c>
      <c r="O4686">
        <v>-0.99798549999999997</v>
      </c>
      <c r="P4686">
        <v>-3.2293950000000002E-2</v>
      </c>
      <c r="Q4686">
        <v>0.17023089999999999</v>
      </c>
      <c r="R4686">
        <v>-0.9848751</v>
      </c>
      <c r="S4686">
        <v>-0.60322569999999998</v>
      </c>
      <c r="T4686">
        <v>-0.1542259</v>
      </c>
      <c r="U4686">
        <v>-3.052521</v>
      </c>
      <c r="V4686">
        <v>9.4586139999999999E-2</v>
      </c>
      <c r="W4686">
        <v>0.1833871</v>
      </c>
      <c r="X4686">
        <v>0.97847969999999895</v>
      </c>
      <c r="Y4686">
        <v>0.25392959999999998</v>
      </c>
      <c r="Z4686">
        <v>4.9014740000000001E-2</v>
      </c>
      <c r="AA4686">
        <v>0.96597999999999995</v>
      </c>
      <c r="AB4686">
        <v>24</v>
      </c>
      <c r="AC4686">
        <v>-4.3372999999999902</v>
      </c>
      <c r="AD4686">
        <v>-1.107455209649</v>
      </c>
      <c r="AE4686">
        <v>-21.771999999999899</v>
      </c>
      <c r="AF4686">
        <v>5.6613376328672</v>
      </c>
      <c r="AG4686">
        <v>-1.107455209649</v>
      </c>
      <c r="AH4686">
        <v>21.408821162576199</v>
      </c>
      <c r="AI4686">
        <v>92.862971727491299</v>
      </c>
      <c r="AJ4686">
        <v>75.1877849723503</v>
      </c>
      <c r="AK4686">
        <v>22.172388784383799</v>
      </c>
      <c r="AL4686">
        <v>79.432888088100299</v>
      </c>
      <c r="AM4686">
        <v>84.478576986543302</v>
      </c>
      <c r="AN4686">
        <v>0.99999994481929799</v>
      </c>
    </row>
    <row r="4687" spans="1:40" x14ac:dyDescent="0.25">
      <c r="A4687" t="str">
        <f>"20190312172211834"</f>
        <v>20190312172211834</v>
      </c>
      <c r="B4687" t="str">
        <f>"1552382531825421"</f>
        <v>1552382531825421</v>
      </c>
      <c r="C4687" t="s">
        <v>40</v>
      </c>
      <c r="D4687">
        <v>3.4841790000000001</v>
      </c>
      <c r="E4687">
        <v>0.56093470000000001</v>
      </c>
      <c r="F4687" t="s">
        <v>42</v>
      </c>
      <c r="G4687">
        <v>-194.33430000000001</v>
      </c>
      <c r="H4687" s="1">
        <v>-2.1703100000000001E-6</v>
      </c>
      <c r="I4687">
        <v>171.9599</v>
      </c>
      <c r="J4687">
        <v>-190.0316</v>
      </c>
      <c r="K4687">
        <v>1.1075740000000001</v>
      </c>
      <c r="L4687">
        <v>193.6566</v>
      </c>
      <c r="M4687">
        <v>5.9073180000000003E-2</v>
      </c>
      <c r="N4687">
        <v>0</v>
      </c>
      <c r="O4687">
        <v>-0.99815319999999996</v>
      </c>
      <c r="P4687">
        <v>-3.1397410000000001E-2</v>
      </c>
      <c r="Q4687">
        <v>0.17033209999999999</v>
      </c>
      <c r="R4687">
        <v>-0.98488620000000004</v>
      </c>
      <c r="S4687">
        <v>-0.60073849999999995</v>
      </c>
      <c r="T4687">
        <v>-0.15482589999999999</v>
      </c>
      <c r="U4687">
        <v>-3.053131</v>
      </c>
      <c r="V4687">
        <v>9.0922799999999998E-2</v>
      </c>
      <c r="W4687">
        <v>0.1835273</v>
      </c>
      <c r="X4687">
        <v>0.97880069999999997</v>
      </c>
      <c r="Y4687">
        <v>0.25045450000000002</v>
      </c>
      <c r="Z4687">
        <v>4.92345E-2</v>
      </c>
      <c r="AA4687">
        <v>0.96687559999999995</v>
      </c>
      <c r="AB4687">
        <v>24</v>
      </c>
      <c r="AC4687">
        <v>-4.3027000000000104</v>
      </c>
      <c r="AD4687">
        <v>-1.10757617031</v>
      </c>
      <c r="AE4687">
        <v>-21.6967</v>
      </c>
      <c r="AF4687">
        <v>5.5630578042547603</v>
      </c>
      <c r="AG4687">
        <v>-1.10757617031</v>
      </c>
      <c r="AH4687">
        <v>21.351069122570799</v>
      </c>
      <c r="AI4687">
        <v>92.873753572885803</v>
      </c>
      <c r="AJ4687">
        <v>75.396178113602602</v>
      </c>
      <c r="AK4687">
        <v>22.091683724499401</v>
      </c>
      <c r="AL4687">
        <v>79.4247173105326</v>
      </c>
      <c r="AM4687">
        <v>84.692907672816602</v>
      </c>
      <c r="AN4687">
        <v>1.0000000178627999</v>
      </c>
    </row>
    <row r="4688" spans="1:40" x14ac:dyDescent="0.25">
      <c r="A4688" t="str">
        <f>"20190312172211847"</f>
        <v>20190312172211847</v>
      </c>
      <c r="B4688" t="str">
        <f>"1552382531835181"</f>
        <v>1552382531835181</v>
      </c>
      <c r="C4688" t="s">
        <v>40</v>
      </c>
      <c r="D4688">
        <v>3.4853550000000002</v>
      </c>
      <c r="E4688">
        <v>0.56105119999999997</v>
      </c>
      <c r="F4688" t="s">
        <v>42</v>
      </c>
      <c r="G4688">
        <v>-194.32820000000001</v>
      </c>
      <c r="H4688" s="1">
        <v>-2.0770370000000002E-6</v>
      </c>
      <c r="I4688">
        <v>171.74629999999999</v>
      </c>
      <c r="J4688">
        <v>-190.0265</v>
      </c>
      <c r="K4688">
        <v>1.1076900000000001</v>
      </c>
      <c r="L4688">
        <v>193.52090000000001</v>
      </c>
      <c r="M4688">
        <v>5.6516259999999999E-2</v>
      </c>
      <c r="N4688">
        <v>0</v>
      </c>
      <c r="O4688">
        <v>-0.99830149999999995</v>
      </c>
      <c r="P4688">
        <v>-3.0349950000000001E-2</v>
      </c>
      <c r="Q4688">
        <v>0.17055799999999999</v>
      </c>
      <c r="R4688">
        <v>-0.98488030000000004</v>
      </c>
      <c r="S4688">
        <v>-0.59881589999999996</v>
      </c>
      <c r="T4688">
        <v>-0.1543638</v>
      </c>
      <c r="U4688">
        <v>-3.0536650000000001</v>
      </c>
      <c r="V4688">
        <v>8.7313790000000002E-2</v>
      </c>
      <c r="W4688">
        <v>0.1837898</v>
      </c>
      <c r="X4688">
        <v>0.97907999999999995</v>
      </c>
      <c r="Y4688">
        <v>0.24735660000000001</v>
      </c>
      <c r="Z4688">
        <v>4.9113490000000003E-2</v>
      </c>
      <c r="AA4688">
        <v>0.96767899999999996</v>
      </c>
      <c r="AB4688">
        <v>24</v>
      </c>
      <c r="AC4688">
        <v>-4.3017000000000101</v>
      </c>
      <c r="AD4688">
        <v>-1.107692077037</v>
      </c>
      <c r="AE4688">
        <v>-21.7746</v>
      </c>
      <c r="AF4688">
        <v>5.5118371948547003</v>
      </c>
      <c r="AG4688">
        <v>-1.107692077037</v>
      </c>
      <c r="AH4688">
        <v>21.443242591968801</v>
      </c>
      <c r="AI4688">
        <v>92.864152683624695</v>
      </c>
      <c r="AJ4688">
        <v>75.584589060925296</v>
      </c>
      <c r="AK4688">
        <v>22.167994583591401</v>
      </c>
      <c r="AL4688">
        <v>79.409416905986205</v>
      </c>
      <c r="AM4688">
        <v>84.903876650383594</v>
      </c>
      <c r="AN4688">
        <v>1.0000000174540999</v>
      </c>
    </row>
    <row r="4689" spans="1:40" x14ac:dyDescent="0.25">
      <c r="A4689" t="str">
        <f>"20190312172211860"</f>
        <v>20190312172211860</v>
      </c>
      <c r="B4689" t="str">
        <f>"1552382531855677"</f>
        <v>1552382531855677</v>
      </c>
      <c r="C4689" t="s">
        <v>40</v>
      </c>
      <c r="D4689">
        <v>3.4825979999999999</v>
      </c>
      <c r="E4689">
        <v>0.56135459999999904</v>
      </c>
      <c r="F4689" t="s">
        <v>42</v>
      </c>
      <c r="G4689">
        <v>-194.322</v>
      </c>
      <c r="H4689" s="1">
        <v>-1.9732419999999999E-6</v>
      </c>
      <c r="I4689">
        <v>171.50819999999999</v>
      </c>
      <c r="J4689">
        <v>-190.0214</v>
      </c>
      <c r="K4689">
        <v>1.107807</v>
      </c>
      <c r="L4689">
        <v>193.3801</v>
      </c>
      <c r="M4689">
        <v>5.3929570000000003E-2</v>
      </c>
      <c r="N4689">
        <v>0</v>
      </c>
      <c r="O4689">
        <v>-0.99844489999999997</v>
      </c>
      <c r="P4689">
        <v>-2.913638E-2</v>
      </c>
      <c r="Q4689">
        <v>0.1708249</v>
      </c>
      <c r="R4689">
        <v>-0.98487060000000004</v>
      </c>
      <c r="S4689">
        <v>-0.59600830000000005</v>
      </c>
      <c r="T4689">
        <v>-0.15369430000000001</v>
      </c>
      <c r="U4689">
        <v>-3.054306</v>
      </c>
      <c r="V4689">
        <v>8.3507979999999996E-2</v>
      </c>
      <c r="W4689">
        <v>0.1840926</v>
      </c>
      <c r="X4689">
        <v>0.97935510000000003</v>
      </c>
      <c r="Y4689">
        <v>0.24395169999999999</v>
      </c>
      <c r="Z4689">
        <v>4.8927459999999999E-2</v>
      </c>
      <c r="AA4689">
        <v>0.96855239999999998</v>
      </c>
      <c r="AB4689">
        <v>24</v>
      </c>
      <c r="AC4689">
        <v>-4.3006000000000002</v>
      </c>
      <c r="AD4689">
        <v>-1.107808973242</v>
      </c>
      <c r="AE4689">
        <v>-21.8719</v>
      </c>
      <c r="AF4689">
        <v>5.4605130207472099</v>
      </c>
      <c r="AG4689">
        <v>-1.107808973242</v>
      </c>
      <c r="AH4689">
        <v>21.554872993670699</v>
      </c>
      <c r="AI4689">
        <v>92.852175684128994</v>
      </c>
      <c r="AJ4689">
        <v>75.784283418305904</v>
      </c>
      <c r="AK4689">
        <v>22.263355383774002</v>
      </c>
      <c r="AL4689">
        <v>79.391766822996999</v>
      </c>
      <c r="AM4689">
        <v>85.126273175116495</v>
      </c>
      <c r="AN4689">
        <v>1.00000003999722</v>
      </c>
    </row>
    <row r="4690" spans="1:40" x14ac:dyDescent="0.25">
      <c r="A4690" t="str">
        <f>"20190312172211876"</f>
        <v>20190312172211876</v>
      </c>
      <c r="B4690" t="str">
        <f>"1552382531865438"</f>
        <v>1552382531865438</v>
      </c>
      <c r="C4690" t="s">
        <v>40</v>
      </c>
      <c r="D4690">
        <v>3.4608699999999999</v>
      </c>
      <c r="E4690">
        <v>0.56150509999999998</v>
      </c>
      <c r="F4690" t="s">
        <v>42</v>
      </c>
      <c r="G4690">
        <v>-194.33439999999999</v>
      </c>
      <c r="H4690" s="1">
        <v>-1.848239E-6</v>
      </c>
      <c r="I4690">
        <v>171.20910000000001</v>
      </c>
      <c r="J4690">
        <v>-190.01570000000001</v>
      </c>
      <c r="K4690">
        <v>1.107945</v>
      </c>
      <c r="L4690">
        <v>193.21170000000001</v>
      </c>
      <c r="M4690">
        <v>5.1022070000000003E-2</v>
      </c>
      <c r="N4690">
        <v>0</v>
      </c>
      <c r="O4690">
        <v>-0.99859799999999999</v>
      </c>
      <c r="P4690">
        <v>-2.469288E-2</v>
      </c>
      <c r="Q4690">
        <v>0.17045750000000001</v>
      </c>
      <c r="R4690">
        <v>-0.98505560000000003</v>
      </c>
      <c r="S4690">
        <v>-0.59429929999999997</v>
      </c>
      <c r="T4690">
        <v>-0.15264559999999999</v>
      </c>
      <c r="U4690">
        <v>-3.0549620000000002</v>
      </c>
      <c r="V4690">
        <v>7.6154089999999994E-2</v>
      </c>
      <c r="W4690">
        <v>0.1837897</v>
      </c>
      <c r="X4690">
        <v>0.98001119999999997</v>
      </c>
      <c r="Y4690">
        <v>0.24056839999999999</v>
      </c>
      <c r="Z4690">
        <v>4.8619019999999999E-2</v>
      </c>
      <c r="AA4690">
        <v>0.96941379999999999</v>
      </c>
      <c r="AB4690">
        <v>24</v>
      </c>
      <c r="AC4690">
        <v>-4.3186999999999696</v>
      </c>
      <c r="AD4690">
        <v>-1.107946848239</v>
      </c>
      <c r="AE4690">
        <v>-22.002600000000001</v>
      </c>
      <c r="AF4690">
        <v>5.4225640136009696</v>
      </c>
      <c r="AG4690">
        <v>-1.107946848239</v>
      </c>
      <c r="AH4690">
        <v>21.700581693450701</v>
      </c>
      <c r="AI4690">
        <v>92.835718131784702</v>
      </c>
      <c r="AJ4690">
        <v>75.970171454668005</v>
      </c>
      <c r="AK4690">
        <v>22.395244864351302</v>
      </c>
      <c r="AL4690">
        <v>79.409422823060197</v>
      </c>
      <c r="AM4690">
        <v>85.556625153195</v>
      </c>
      <c r="AN4690">
        <v>1.00000002568762</v>
      </c>
    </row>
    <row r="4691" spans="1:40" x14ac:dyDescent="0.25">
      <c r="A4691" t="str">
        <f>"20190312172211897"</f>
        <v>20190312172211897</v>
      </c>
      <c r="B4691" t="str">
        <f>"1552382531884957"</f>
        <v>1552382531884957</v>
      </c>
      <c r="C4691" t="s">
        <v>40</v>
      </c>
      <c r="D4691">
        <v>3.4842409999999999</v>
      </c>
      <c r="E4691">
        <v>0.56179259999999998</v>
      </c>
      <c r="F4691" t="s">
        <v>42</v>
      </c>
      <c r="G4691">
        <v>-194.2022</v>
      </c>
      <c r="H4691" s="1">
        <v>-1.801622E-6</v>
      </c>
      <c r="I4691">
        <v>171.1824</v>
      </c>
      <c r="J4691">
        <v>-190.00829999999999</v>
      </c>
      <c r="K4691">
        <v>1.1081379999999901</v>
      </c>
      <c r="L4691">
        <v>192.9778</v>
      </c>
      <c r="M4691">
        <v>4.7187239999999998E-2</v>
      </c>
      <c r="N4691">
        <v>0</v>
      </c>
      <c r="O4691">
        <v>-0.99878699999999998</v>
      </c>
      <c r="P4691">
        <v>-2.023788E-2</v>
      </c>
      <c r="Q4691">
        <v>0.169101799999999</v>
      </c>
      <c r="R4691">
        <v>-0.98539080000000001</v>
      </c>
      <c r="S4691">
        <v>-0.58106990000000003</v>
      </c>
      <c r="T4691">
        <v>-0.15377750000000001</v>
      </c>
      <c r="U4691">
        <v>-3.0575559999999999</v>
      </c>
      <c r="V4691">
        <v>6.7850779999999999E-2</v>
      </c>
      <c r="W4691">
        <v>0.1825039</v>
      </c>
      <c r="X4691">
        <v>0.98086110000000004</v>
      </c>
      <c r="Y4691">
        <v>0.2326309</v>
      </c>
      <c r="Z4691">
        <v>4.9019960000000001E-2</v>
      </c>
      <c r="AA4691">
        <v>0.97132890000000005</v>
      </c>
      <c r="AB4691">
        <v>24</v>
      </c>
      <c r="AC4691">
        <v>-4.19390000000001</v>
      </c>
      <c r="AD4691">
        <v>-1.1081398016220001</v>
      </c>
      <c r="AE4691">
        <v>-21.795400000000001</v>
      </c>
      <c r="AF4691">
        <v>5.2048198303819397</v>
      </c>
      <c r="AG4691">
        <v>-1.1081398016220001</v>
      </c>
      <c r="AH4691">
        <v>21.5195565415309</v>
      </c>
      <c r="AI4691">
        <v>92.865342101949693</v>
      </c>
      <c r="AJ4691">
        <v>76.403292063375304</v>
      </c>
      <c r="AK4691">
        <v>22.167756698205199</v>
      </c>
      <c r="AL4691">
        <v>79.484360472661507</v>
      </c>
      <c r="AM4691">
        <v>86.042884942627396</v>
      </c>
      <c r="AN4691">
        <v>0.99999994967751304</v>
      </c>
    </row>
    <row r="4692" spans="1:40" x14ac:dyDescent="0.25">
      <c r="A4692" t="str">
        <f>"20190312172211910"</f>
        <v>20190312172211910</v>
      </c>
      <c r="B4692" t="str">
        <f>"1552382531905453"</f>
        <v>1552382531905453</v>
      </c>
      <c r="C4692" t="s">
        <v>40</v>
      </c>
      <c r="D4692">
        <v>3.569191</v>
      </c>
      <c r="E4692">
        <v>0.56169309999999995</v>
      </c>
      <c r="F4692" t="s">
        <v>42</v>
      </c>
      <c r="G4692">
        <v>-194.01419999999999</v>
      </c>
      <c r="H4692" s="1">
        <v>-1.8650670000000001E-6</v>
      </c>
      <c r="I4692">
        <v>171.4469</v>
      </c>
      <c r="J4692">
        <v>-190.0042</v>
      </c>
      <c r="K4692">
        <v>1.1082540000000001</v>
      </c>
      <c r="L4692">
        <v>192.83860000000001</v>
      </c>
      <c r="M4692">
        <v>4.505398E-2</v>
      </c>
      <c r="N4692">
        <v>0</v>
      </c>
      <c r="O4692">
        <v>-0.99888589999999999</v>
      </c>
      <c r="P4692">
        <v>-1.7928650000000001E-2</v>
      </c>
      <c r="Q4692">
        <v>0.16843749999999999</v>
      </c>
      <c r="R4692">
        <v>-0.98554960000000003</v>
      </c>
      <c r="S4692">
        <v>-0.56929019999999997</v>
      </c>
      <c r="T4692">
        <v>-0.1574816</v>
      </c>
      <c r="U4692">
        <v>-3.0598299999999998</v>
      </c>
      <c r="V4692">
        <v>6.3394809999999996E-2</v>
      </c>
      <c r="W4692">
        <v>0.1818738</v>
      </c>
      <c r="X4692">
        <v>0.98127620000000004</v>
      </c>
      <c r="Y4692">
        <v>0.22679469999999999</v>
      </c>
      <c r="Z4692">
        <v>5.0221420000000003E-2</v>
      </c>
      <c r="AA4692">
        <v>0.97264689999999998</v>
      </c>
      <c r="AB4692">
        <v>24</v>
      </c>
      <c r="AC4692">
        <v>-4.00999999999999</v>
      </c>
      <c r="AD4692">
        <v>-1.108255865067</v>
      </c>
      <c r="AE4692">
        <v>-21.3917</v>
      </c>
      <c r="AF4692">
        <v>4.9569504582597101</v>
      </c>
      <c r="AG4692">
        <v>-1.108255865067</v>
      </c>
      <c r="AH4692">
        <v>21.134489114726701</v>
      </c>
      <c r="AI4692">
        <v>92.922574803429796</v>
      </c>
      <c r="AJ4692">
        <v>76.800254937894806</v>
      </c>
      <c r="AK4692">
        <v>21.736288069691199</v>
      </c>
      <c r="AL4692">
        <v>79.521077381401696</v>
      </c>
      <c r="AM4692">
        <v>86.303574552722495</v>
      </c>
      <c r="AN4692">
        <v>0.99999998087390796</v>
      </c>
    </row>
    <row r="4693" spans="1:40" x14ac:dyDescent="0.25">
      <c r="A4693" t="str">
        <f>"20190312172211923"</f>
        <v>20190312172211923</v>
      </c>
      <c r="B4693" t="str">
        <f>"1552382531915214"</f>
        <v>1552382531915214</v>
      </c>
      <c r="C4693" t="s">
        <v>40</v>
      </c>
      <c r="D4693">
        <v>3.4954260000000001</v>
      </c>
      <c r="E4693">
        <v>0.52241380000000004</v>
      </c>
      <c r="F4693" t="s">
        <v>42</v>
      </c>
      <c r="G4693">
        <v>-193.9238</v>
      </c>
      <c r="H4693" s="1">
        <v>-1.8577950000000001E-6</v>
      </c>
      <c r="I4693">
        <v>171.48609999999999</v>
      </c>
      <c r="J4693">
        <v>-190.00040000000001</v>
      </c>
      <c r="K4693">
        <v>1.1083590000000001</v>
      </c>
      <c r="L4693">
        <v>192.70509999999999</v>
      </c>
      <c r="M4693">
        <v>4.3069799999999998E-2</v>
      </c>
      <c r="N4693">
        <v>0</v>
      </c>
      <c r="O4693">
        <v>-0.99897349999999996</v>
      </c>
      <c r="P4693">
        <v>-1.5103979999999999E-2</v>
      </c>
      <c r="Q4693">
        <v>0.1679697</v>
      </c>
      <c r="R4693">
        <v>-0.98567649999999996</v>
      </c>
      <c r="S4693">
        <v>-0.5618744</v>
      </c>
      <c r="T4693">
        <v>-0.15887009999999999</v>
      </c>
      <c r="U4693">
        <v>-3.0609130000000002</v>
      </c>
      <c r="V4693">
        <v>5.8571739999999997E-2</v>
      </c>
      <c r="W4693">
        <v>0.18144009999999999</v>
      </c>
      <c r="X4693">
        <v>0.98165619999999998</v>
      </c>
      <c r="Y4693">
        <v>0.2225133</v>
      </c>
      <c r="Z4693">
        <v>5.0688650000000002E-2</v>
      </c>
      <c r="AA4693">
        <v>0.97361109999999995</v>
      </c>
      <c r="AB4693">
        <v>24</v>
      </c>
      <c r="AC4693">
        <v>-3.92339999999998</v>
      </c>
      <c r="AD4693">
        <v>-1.1083608577949999</v>
      </c>
      <c r="AE4693">
        <v>-21.218999999999902</v>
      </c>
      <c r="AF4693">
        <v>4.82102772557894</v>
      </c>
      <c r="AG4693">
        <v>-1.1083608577949999</v>
      </c>
      <c r="AH4693">
        <v>20.974972740749699</v>
      </c>
      <c r="AI4693">
        <v>92.948084216045999</v>
      </c>
      <c r="AJ4693">
        <v>77.055579314415994</v>
      </c>
      <c r="AK4693">
        <v>21.550411912468999</v>
      </c>
      <c r="AL4693">
        <v>79.546347484048894</v>
      </c>
      <c r="AM4693">
        <v>86.585424136296098</v>
      </c>
      <c r="AN4693">
        <v>1.0000000268065301</v>
      </c>
    </row>
    <row r="4694" spans="1:40" x14ac:dyDescent="0.25">
      <c r="A4694" t="str">
        <f>"20190312172211933"</f>
        <v>20190312172211933</v>
      </c>
      <c r="B4694" t="str">
        <f>"1552382531924974"</f>
        <v>1552382531924974</v>
      </c>
      <c r="C4694" t="s">
        <v>40</v>
      </c>
      <c r="D4694">
        <v>3.4029820000000002</v>
      </c>
      <c r="E4694">
        <v>0.51121720000000004</v>
      </c>
      <c r="F4694" t="s">
        <v>42</v>
      </c>
      <c r="G4694">
        <v>-191.4385</v>
      </c>
      <c r="H4694" s="1">
        <v>-2.4326819999999999E-6</v>
      </c>
      <c r="I4694">
        <v>174.36760000000001</v>
      </c>
      <c r="J4694">
        <v>-189.99700000000001</v>
      </c>
      <c r="K4694">
        <v>1.108465</v>
      </c>
      <c r="L4694">
        <v>192.578</v>
      </c>
      <c r="M4694">
        <v>4.1286650000000001E-2</v>
      </c>
      <c r="N4694">
        <v>0</v>
      </c>
      <c r="O4694">
        <v>-0.99904890000000002</v>
      </c>
      <c r="P4694">
        <v>-1.1460379999999999E-2</v>
      </c>
      <c r="Q4694">
        <v>0.16770499999999999</v>
      </c>
      <c r="R4694">
        <v>-0.9857707</v>
      </c>
      <c r="S4694">
        <v>-0.24087520000000001</v>
      </c>
      <c r="T4694">
        <v>-0.1856515</v>
      </c>
      <c r="U4694">
        <v>-3.0715479999999999</v>
      </c>
      <c r="V4694">
        <v>5.3129790000000003E-2</v>
      </c>
      <c r="W4694">
        <v>0.18121029999999999</v>
      </c>
      <c r="X4694">
        <v>0.9820082</v>
      </c>
      <c r="Y4694">
        <v>0.1191381</v>
      </c>
      <c r="Z4694">
        <v>5.9948429999999997E-2</v>
      </c>
      <c r="AA4694">
        <v>0.99106629999999996</v>
      </c>
      <c r="AB4694">
        <v>24</v>
      </c>
      <c r="AC4694">
        <v>-1.44149999999999</v>
      </c>
      <c r="AD4694">
        <v>-1.1084674326819901</v>
      </c>
      <c r="AE4694">
        <v>-18.2104</v>
      </c>
      <c r="AF4694">
        <v>2.1841487947967</v>
      </c>
      <c r="AG4694">
        <v>-1.1084674326819901</v>
      </c>
      <c r="AH4694">
        <v>18.068818184056799</v>
      </c>
      <c r="AI4694">
        <v>93.485216415334705</v>
      </c>
      <c r="AJ4694">
        <v>83.107558321357004</v>
      </c>
      <c r="AK4694">
        <v>18.2340724078751</v>
      </c>
      <c r="AL4694">
        <v>79.559735985559897</v>
      </c>
      <c r="AM4694">
        <v>86.903134066739597</v>
      </c>
      <c r="AN4694">
        <v>1.00000002613938</v>
      </c>
    </row>
    <row r="4695" spans="1:40" x14ac:dyDescent="0.25">
      <c r="A4695" t="str">
        <f>"20190312172211946"</f>
        <v>20190312172211946</v>
      </c>
      <c r="B4695" t="str">
        <f>"1552382531935710"</f>
        <v>1552382531935710</v>
      </c>
      <c r="C4695" t="s">
        <v>40</v>
      </c>
      <c r="D4695">
        <v>3.3280050000000001</v>
      </c>
      <c r="E4695">
        <v>0.50077559999999999</v>
      </c>
      <c r="F4695" t="s">
        <v>42</v>
      </c>
      <c r="G4695">
        <v>-190.8631</v>
      </c>
      <c r="H4695" s="1">
        <v>-1.9269979999999999E-6</v>
      </c>
      <c r="I4695">
        <v>173.54570000000001</v>
      </c>
      <c r="J4695">
        <v>-189.99379999999999</v>
      </c>
      <c r="K4695">
        <v>1.1085670000000001</v>
      </c>
      <c r="L4695">
        <v>192.4539</v>
      </c>
      <c r="M4695">
        <v>3.9608600000000001E-2</v>
      </c>
      <c r="N4695">
        <v>0</v>
      </c>
      <c r="O4695">
        <v>-0.99911709999999998</v>
      </c>
      <c r="P4695">
        <v>-7.7987869999999997E-3</v>
      </c>
      <c r="Q4695">
        <v>0.1675035</v>
      </c>
      <c r="R4695">
        <v>-0.98584090000000002</v>
      </c>
      <c r="S4695">
        <v>-0.13980100000000001</v>
      </c>
      <c r="T4695">
        <v>-0.17892459999999999</v>
      </c>
      <c r="U4695">
        <v>-3.0721280000000002</v>
      </c>
      <c r="V4695">
        <v>4.7774770000000001E-2</v>
      </c>
      <c r="W4695">
        <v>0.18103910000000001</v>
      </c>
      <c r="X4695">
        <v>0.98231480000000004</v>
      </c>
      <c r="Y4695">
        <v>8.4918510000000003E-2</v>
      </c>
      <c r="Z4695">
        <v>5.7939339999999999E-2</v>
      </c>
      <c r="AA4695">
        <v>0.99470190000000003</v>
      </c>
      <c r="AB4695">
        <v>24</v>
      </c>
      <c r="AC4695">
        <v>-0.86930000000000895</v>
      </c>
      <c r="AD4695">
        <v>-1.1085689269979999</v>
      </c>
      <c r="AE4695">
        <v>-18.908199999999901</v>
      </c>
      <c r="AF4695">
        <v>1.6120888629604699</v>
      </c>
      <c r="AG4695">
        <v>-1.1085689269979999</v>
      </c>
      <c r="AH4695">
        <v>18.794457096463798</v>
      </c>
      <c r="AI4695">
        <v>93.363291850410107</v>
      </c>
      <c r="AJ4695">
        <v>85.097471496045799</v>
      </c>
      <c r="AK4695">
        <v>18.8960147417069</v>
      </c>
      <c r="AL4695">
        <v>79.5697094556389</v>
      </c>
      <c r="AM4695">
        <v>87.215620160164093</v>
      </c>
      <c r="AN4695">
        <v>0.99999997533820095</v>
      </c>
    </row>
    <row r="4696" spans="1:40" x14ac:dyDescent="0.25">
      <c r="A4696" t="str">
        <f>"20190312172211959"</f>
        <v>20190312172211959</v>
      </c>
      <c r="B4696" t="str">
        <f>"1552382531955229"</f>
        <v>1552382531955229</v>
      </c>
      <c r="C4696" t="s">
        <v>40</v>
      </c>
      <c r="D4696">
        <v>3.2506680000000001</v>
      </c>
      <c r="E4696">
        <v>0.48576560000000002</v>
      </c>
      <c r="F4696" t="s">
        <v>42</v>
      </c>
      <c r="G4696">
        <v>-190.28569999999999</v>
      </c>
      <c r="H4696" s="1">
        <v>-1.208724E-6</v>
      </c>
      <c r="I4696">
        <v>172.2295</v>
      </c>
      <c r="J4696">
        <v>-189.99039999999999</v>
      </c>
      <c r="K4696">
        <v>1.108673</v>
      </c>
      <c r="L4696">
        <v>192.31809999999999</v>
      </c>
      <c r="M4696">
        <v>3.7834069999999997E-2</v>
      </c>
      <c r="N4696">
        <v>0</v>
      </c>
      <c r="O4696">
        <v>-0.99918629999999997</v>
      </c>
      <c r="P4696">
        <v>-3.6569469999999998E-3</v>
      </c>
      <c r="Q4696">
        <v>0.16702310000000001</v>
      </c>
      <c r="R4696">
        <v>-0.98594660000000001</v>
      </c>
      <c r="S4696">
        <v>-4.4326780000000003E-2</v>
      </c>
      <c r="T4696">
        <v>-0.16835049999999999</v>
      </c>
      <c r="U4696">
        <v>-3.0713349999999999</v>
      </c>
      <c r="V4696">
        <v>4.1841410000000002E-2</v>
      </c>
      <c r="W4696">
        <v>0.1805908</v>
      </c>
      <c r="X4696">
        <v>0.98266790000000004</v>
      </c>
      <c r="Y4696">
        <v>5.2232800000000003E-2</v>
      </c>
      <c r="Z4696">
        <v>5.4632319999999998E-2</v>
      </c>
      <c r="AA4696">
        <v>0.99713949999999996</v>
      </c>
      <c r="AB4696">
        <v>24</v>
      </c>
      <c r="AC4696">
        <v>-0.29529999999999701</v>
      </c>
      <c r="AD4696">
        <v>-1.108674208724</v>
      </c>
      <c r="AE4696">
        <v>-20.0885999999999</v>
      </c>
      <c r="AF4696">
        <v>1.05199274890587</v>
      </c>
      <c r="AG4696">
        <v>-1.108674208724</v>
      </c>
      <c r="AH4696">
        <v>20.002130635404601</v>
      </c>
      <c r="AI4696">
        <v>93.168163242214703</v>
      </c>
      <c r="AJ4696">
        <v>86.989357695496196</v>
      </c>
      <c r="AK4696">
        <v>20.060435618416399</v>
      </c>
      <c r="AL4696">
        <v>79.595825579857006</v>
      </c>
      <c r="AM4696">
        <v>87.561852807651604</v>
      </c>
      <c r="AN4696">
        <v>0.99999997116291806</v>
      </c>
    </row>
    <row r="4697" spans="1:40" x14ac:dyDescent="0.25">
      <c r="A4697" t="str">
        <f>"20190312172211971"</f>
        <v>20190312172211971</v>
      </c>
      <c r="B4697" t="str">
        <f>"1552382531965966"</f>
        <v>1552382531965966</v>
      </c>
      <c r="C4697" t="s">
        <v>40</v>
      </c>
      <c r="D4697">
        <v>3.2491029999999999</v>
      </c>
      <c r="E4697">
        <v>0.48123120000000003</v>
      </c>
      <c r="F4697" t="s">
        <v>42</v>
      </c>
      <c r="G4697">
        <v>-189.34049999999999</v>
      </c>
      <c r="H4697" s="1">
        <v>-2.714792E-7</v>
      </c>
      <c r="I4697">
        <v>169.93020000000001</v>
      </c>
      <c r="J4697">
        <v>-189.9872</v>
      </c>
      <c r="K4697">
        <v>1.1087720000000001</v>
      </c>
      <c r="L4697">
        <v>192.18</v>
      </c>
      <c r="M4697">
        <v>3.6144669999999997E-2</v>
      </c>
      <c r="N4697">
        <v>0</v>
      </c>
      <c r="O4697">
        <v>-0.9992489</v>
      </c>
      <c r="P4697">
        <v>2.9072259999999997E-4</v>
      </c>
      <c r="Q4697">
        <v>0.16645860000000001</v>
      </c>
      <c r="R4697">
        <v>-0.98604860000000005</v>
      </c>
      <c r="S4697">
        <v>8.9080809999999996E-2</v>
      </c>
      <c r="T4697">
        <v>-0.15197189999999999</v>
      </c>
      <c r="U4697">
        <v>-3.068832</v>
      </c>
      <c r="V4697">
        <v>3.6187860000000002E-2</v>
      </c>
      <c r="W4697">
        <v>0.18005280000000001</v>
      </c>
      <c r="X4697">
        <v>0.98299099999999995</v>
      </c>
      <c r="Y4697">
        <v>7.1720280000000004E-3</v>
      </c>
      <c r="Z4697">
        <v>4.9401029999999999E-2</v>
      </c>
      <c r="AA4697">
        <v>0.99875320000000001</v>
      </c>
      <c r="AB4697">
        <v>24</v>
      </c>
      <c r="AC4697">
        <v>0.64670000000000905</v>
      </c>
      <c r="AD4697">
        <v>-1.1087722714792001</v>
      </c>
      <c r="AE4697">
        <v>-22.2498</v>
      </c>
      <c r="AF4697">
        <v>0.15762174298397499</v>
      </c>
      <c r="AG4697">
        <v>-1.1087722714792001</v>
      </c>
      <c r="AH4697">
        <v>22.203543530301701</v>
      </c>
      <c r="AI4697">
        <v>92.858717015210601</v>
      </c>
      <c r="AJ4697">
        <v>89.593267222508999</v>
      </c>
      <c r="AK4697">
        <v>22.231769292295699</v>
      </c>
      <c r="AL4697">
        <v>79.627164090413302</v>
      </c>
      <c r="AM4697">
        <v>87.891663576693105</v>
      </c>
      <c r="AN4697">
        <v>0.99999993904010698</v>
      </c>
    </row>
    <row r="4698" spans="1:40" x14ac:dyDescent="0.25">
      <c r="A4698" t="str">
        <f>"20190312172211992"</f>
        <v>20190312172211992</v>
      </c>
      <c r="B4698" t="str">
        <f>"1552382531985485"</f>
        <v>1552382531985485</v>
      </c>
      <c r="C4698" t="s">
        <v>40</v>
      </c>
      <c r="D4698">
        <v>3.2224940000000002</v>
      </c>
      <c r="E4698">
        <v>0.47481370000000001</v>
      </c>
      <c r="F4698" t="s">
        <v>42</v>
      </c>
      <c r="G4698">
        <v>-188.96369999999999</v>
      </c>
      <c r="H4698" s="1">
        <v>-4.814598E-6</v>
      </c>
      <c r="I4698">
        <v>169.42760000000001</v>
      </c>
      <c r="J4698">
        <v>-189.9828</v>
      </c>
      <c r="K4698">
        <v>1.1089100000000001</v>
      </c>
      <c r="L4698">
        <v>191.98570000000001</v>
      </c>
      <c r="M4698">
        <v>3.3879180000000002E-2</v>
      </c>
      <c r="N4698">
        <v>0</v>
      </c>
      <c r="O4698">
        <v>-0.99932840000000001</v>
      </c>
      <c r="P4698">
        <v>1.018354E-2</v>
      </c>
      <c r="Q4698">
        <v>0.16529530000000001</v>
      </c>
      <c r="R4698">
        <v>-0.98619179999999995</v>
      </c>
      <c r="S4698">
        <v>0.1379852</v>
      </c>
      <c r="T4698">
        <v>-0.14949289999999901</v>
      </c>
      <c r="U4698">
        <v>-3.0676420000000002</v>
      </c>
      <c r="V4698">
        <v>2.400793E-2</v>
      </c>
      <c r="W4698">
        <v>0.17894289999999999</v>
      </c>
      <c r="X4698">
        <v>0.98356650000000001</v>
      </c>
      <c r="Y4698">
        <v>-1.1008240000000001E-2</v>
      </c>
      <c r="Z4698">
        <v>4.860656E-2</v>
      </c>
      <c r="AA4698">
        <v>0.99875740000000002</v>
      </c>
      <c r="AB4698">
        <v>24</v>
      </c>
      <c r="AC4698">
        <v>1.0190999999999999</v>
      </c>
      <c r="AD4698">
        <v>-1.1089148145979999</v>
      </c>
      <c r="AE4698">
        <v>-22.5581</v>
      </c>
      <c r="AF4698">
        <v>-0.25357888882480301</v>
      </c>
      <c r="AG4698">
        <v>-1.1089148145979999</v>
      </c>
      <c r="AH4698">
        <v>22.525355093821499</v>
      </c>
      <c r="AI4698">
        <v>92.818196173877993</v>
      </c>
      <c r="AJ4698">
        <v>90.644979239223701</v>
      </c>
      <c r="AK4698">
        <v>22.5540598656127</v>
      </c>
      <c r="AL4698">
        <v>79.6918072296736</v>
      </c>
      <c r="AM4698">
        <v>88.601741747309006</v>
      </c>
      <c r="AN4698">
        <v>1.0000000010427701</v>
      </c>
    </row>
    <row r="4699" spans="1:40" x14ac:dyDescent="0.25">
      <c r="A4699" t="str">
        <f>"20190312172212008"</f>
        <v>20190312172212008</v>
      </c>
      <c r="B4699" t="str">
        <f>"1552382532005007"</f>
        <v>1552382532005007</v>
      </c>
      <c r="C4699" t="s">
        <v>40</v>
      </c>
      <c r="D4699">
        <v>3.252237</v>
      </c>
      <c r="E4699">
        <v>0.47148649999999998</v>
      </c>
      <c r="F4699" t="s">
        <v>42</v>
      </c>
      <c r="G4699">
        <v>-188.31469999999999</v>
      </c>
      <c r="H4699" s="1">
        <v>-4.610726E-6</v>
      </c>
      <c r="I4699">
        <v>168.7527</v>
      </c>
      <c r="J4699">
        <v>-189.9787</v>
      </c>
      <c r="K4699">
        <v>1.109032</v>
      </c>
      <c r="L4699">
        <v>191.78899999999999</v>
      </c>
      <c r="M4699">
        <v>3.1733820000000003E-2</v>
      </c>
      <c r="N4699">
        <v>0</v>
      </c>
      <c r="O4699">
        <v>-0.99939909999999998</v>
      </c>
      <c r="P4699">
        <v>1.4477439999999999E-2</v>
      </c>
      <c r="Q4699">
        <v>0.16485710000000001</v>
      </c>
      <c r="R4699">
        <v>-0.98621110000000001</v>
      </c>
      <c r="S4699">
        <v>0.22000120000000001</v>
      </c>
      <c r="T4699">
        <v>-0.14625650000000001</v>
      </c>
      <c r="U4699">
        <v>-3.0642399999999999</v>
      </c>
      <c r="V4699">
        <v>1.754493E-2</v>
      </c>
      <c r="W4699">
        <v>0.1785235</v>
      </c>
      <c r="X4699">
        <v>0.98377919999999996</v>
      </c>
      <c r="Y4699">
        <v>-3.9839470000000002E-2</v>
      </c>
      <c r="Z4699">
        <v>4.7559879999999999E-2</v>
      </c>
      <c r="AA4699">
        <v>0.99807360000000001</v>
      </c>
      <c r="AB4699">
        <v>24</v>
      </c>
      <c r="AC4699">
        <v>1.6640000000000099</v>
      </c>
      <c r="AD4699">
        <v>-1.1090366107259999</v>
      </c>
      <c r="AE4699">
        <v>-23.036300000000001</v>
      </c>
      <c r="AF4699">
        <v>-0.92991678133383904</v>
      </c>
      <c r="AG4699">
        <v>-1.1090366107259999</v>
      </c>
      <c r="AH4699">
        <v>23.024418034322998</v>
      </c>
      <c r="AI4699">
        <v>92.755439862140506</v>
      </c>
      <c r="AJ4699">
        <v>92.312821309509204</v>
      </c>
      <c r="AK4699">
        <v>23.069862011797898</v>
      </c>
      <c r="AL4699">
        <v>79.716230231062596</v>
      </c>
      <c r="AM4699">
        <v>88.978283048887704</v>
      </c>
      <c r="AN4699">
        <v>0.99999998948679703</v>
      </c>
    </row>
    <row r="4700" spans="1:40" x14ac:dyDescent="0.25">
      <c r="A4700" t="str">
        <f>"20190312172212022"</f>
        <v>20190312172212022</v>
      </c>
      <c r="B4700" t="str">
        <f>"1552382532015741"</f>
        <v>1552382532015741</v>
      </c>
      <c r="C4700" t="s">
        <v>40</v>
      </c>
      <c r="D4700">
        <v>3.2821419999999999</v>
      </c>
      <c r="E4700">
        <v>0.47045120000000001</v>
      </c>
      <c r="F4700" t="s">
        <v>42</v>
      </c>
      <c r="G4700">
        <v>-187.9847</v>
      </c>
      <c r="H4700" s="1">
        <v>-4.4372030000000003E-6</v>
      </c>
      <c r="I4700">
        <v>168.26179999999999</v>
      </c>
      <c r="J4700">
        <v>-189.97579999999999</v>
      </c>
      <c r="K4700">
        <v>1.109111</v>
      </c>
      <c r="L4700">
        <v>191.64400000000001</v>
      </c>
      <c r="M4700">
        <v>3.0226739999999998E-2</v>
      </c>
      <c r="N4700">
        <v>0</v>
      </c>
      <c r="O4700">
        <v>-0.99944619999999995</v>
      </c>
      <c r="P4700">
        <v>2.6672930000000001E-2</v>
      </c>
      <c r="Q4700">
        <v>0.164054799999999</v>
      </c>
      <c r="R4700">
        <v>-0.98609080000000005</v>
      </c>
      <c r="S4700">
        <v>0.25953670000000001</v>
      </c>
      <c r="T4700">
        <v>-0.14435000000000001</v>
      </c>
      <c r="U4700">
        <v>-3.0622560000000001</v>
      </c>
      <c r="V4700">
        <v>3.825672E-3</v>
      </c>
      <c r="W4700">
        <v>0.1777685</v>
      </c>
      <c r="X4700">
        <v>0.98406490000000002</v>
      </c>
      <c r="Y4700">
        <v>-5.419732E-2</v>
      </c>
      <c r="Z4700">
        <v>4.693539E-2</v>
      </c>
      <c r="AA4700">
        <v>0.99742660000000005</v>
      </c>
      <c r="AB4700">
        <v>24</v>
      </c>
      <c r="AC4700">
        <v>1.9910999999999801</v>
      </c>
      <c r="AD4700">
        <v>-1.1091154372030001</v>
      </c>
      <c r="AE4700">
        <v>-23.382200000000001</v>
      </c>
      <c r="AF4700">
        <v>-1.28049353685763</v>
      </c>
      <c r="AG4700">
        <v>-1.1091154372030001</v>
      </c>
      <c r="AH4700">
        <v>23.379478980806901</v>
      </c>
      <c r="AI4700">
        <v>92.7119996825557</v>
      </c>
      <c r="AJ4700">
        <v>93.134956360663196</v>
      </c>
      <c r="AK4700">
        <v>23.440772985654</v>
      </c>
      <c r="AL4700">
        <v>79.760191874948802</v>
      </c>
      <c r="AM4700">
        <v>89.777256809853895</v>
      </c>
      <c r="AN4700">
        <v>1.0000000013852499</v>
      </c>
    </row>
    <row r="4701" spans="1:40" x14ac:dyDescent="0.25">
      <c r="A4701" t="str">
        <f>"20190312172212034"</f>
        <v>20190312172212034</v>
      </c>
      <c r="B4701" t="str">
        <f>"1552382532025501"</f>
        <v>1552382532025501</v>
      </c>
      <c r="C4701" t="s">
        <v>40</v>
      </c>
      <c r="D4701">
        <v>3.281015</v>
      </c>
      <c r="E4701">
        <v>0.4697654</v>
      </c>
      <c r="F4701" t="s">
        <v>42</v>
      </c>
      <c r="G4701">
        <v>-187.65100000000001</v>
      </c>
      <c r="H4701" s="1">
        <v>-4.5343449999999997E-6</v>
      </c>
      <c r="I4701">
        <v>168.34209999999999</v>
      </c>
      <c r="J4701">
        <v>-189.97309999999999</v>
      </c>
      <c r="K4701">
        <v>1.1091789999999999</v>
      </c>
      <c r="L4701">
        <v>191.5016</v>
      </c>
      <c r="M4701">
        <v>2.8825699999999999E-2</v>
      </c>
      <c r="N4701">
        <v>0</v>
      </c>
      <c r="O4701">
        <v>-0.99948760000000003</v>
      </c>
      <c r="P4701">
        <v>3.2215470000000003E-2</v>
      </c>
      <c r="Q4701">
        <v>0.16388730000000001</v>
      </c>
      <c r="R4701">
        <v>-0.98595319999999997</v>
      </c>
      <c r="S4701">
        <v>0.30511470000000002</v>
      </c>
      <c r="T4701">
        <v>-0.1455671</v>
      </c>
      <c r="U4701">
        <v>-3.0582889999999998</v>
      </c>
      <c r="V4701">
        <v>-3.1321019999999999E-3</v>
      </c>
      <c r="W4701">
        <v>0.177616</v>
      </c>
      <c r="X4701">
        <v>0.98409489999999999</v>
      </c>
      <c r="Y4701">
        <v>-7.0435029999999996E-2</v>
      </c>
      <c r="Z4701">
        <v>4.7337879999999999E-2</v>
      </c>
      <c r="AA4701">
        <v>0.99639250000000001</v>
      </c>
      <c r="AB4701">
        <v>24</v>
      </c>
      <c r="AC4701">
        <v>2.3220999999999998</v>
      </c>
      <c r="AD4701">
        <v>-1.1091835343449901</v>
      </c>
      <c r="AE4701">
        <v>-23.159500000000001</v>
      </c>
      <c r="AF4701">
        <v>-1.6497349983187699</v>
      </c>
      <c r="AG4701">
        <v>-1.1091835343449901</v>
      </c>
      <c r="AH4701">
        <v>23.164212554417801</v>
      </c>
      <c r="AI4701">
        <v>92.734512811291793</v>
      </c>
      <c r="AJ4701">
        <v>94.073677242048504</v>
      </c>
      <c r="AK4701">
        <v>23.249358204986802</v>
      </c>
      <c r="AL4701">
        <v>79.769070897949305</v>
      </c>
      <c r="AM4701">
        <v>90.182356010238905</v>
      </c>
      <c r="AN4701">
        <v>1.00000001286247</v>
      </c>
    </row>
    <row r="4702" spans="1:40" x14ac:dyDescent="0.25">
      <c r="A4702" t="str">
        <f>"20190312172212045"</f>
        <v>20190312172212045</v>
      </c>
      <c r="B4702" t="str">
        <f>"1552382532035262"</f>
        <v>1552382532035262</v>
      </c>
      <c r="C4702" t="s">
        <v>40</v>
      </c>
      <c r="D4702">
        <v>3.307153</v>
      </c>
      <c r="E4702">
        <v>0.46925679999999997</v>
      </c>
      <c r="F4702" t="s">
        <v>42</v>
      </c>
      <c r="G4702">
        <v>-187.4607</v>
      </c>
      <c r="H4702" s="1">
        <v>-4.4320000000000001E-6</v>
      </c>
      <c r="I4702">
        <v>168.05420000000001</v>
      </c>
      <c r="J4702">
        <v>-189.97110000000001</v>
      </c>
      <c r="K4702">
        <v>1.1092329999999999</v>
      </c>
      <c r="L4702">
        <v>191.38839999999999</v>
      </c>
      <c r="M4702">
        <v>2.7743049999999998E-2</v>
      </c>
      <c r="N4702">
        <v>0</v>
      </c>
      <c r="O4702">
        <v>-0.99951840000000003</v>
      </c>
      <c r="P4702">
        <v>3.8117999999999999E-2</v>
      </c>
      <c r="Q4702">
        <v>0.16336010000000001</v>
      </c>
      <c r="R4702">
        <v>-0.98582979999999998</v>
      </c>
      <c r="S4702">
        <v>0.32745360000000001</v>
      </c>
      <c r="T4702">
        <v>-0.144568</v>
      </c>
      <c r="U4702">
        <v>-3.056076</v>
      </c>
      <c r="V4702">
        <v>-1.01276E-2</v>
      </c>
      <c r="W4702">
        <v>0.17710499999999901</v>
      </c>
      <c r="X4702">
        <v>0.98413989999999996</v>
      </c>
      <c r="Y4702">
        <v>-7.8791920000000001E-2</v>
      </c>
      <c r="Z4702">
        <v>4.701731E-2</v>
      </c>
      <c r="AA4702">
        <v>0.99578169999999999</v>
      </c>
      <c r="AB4702">
        <v>24</v>
      </c>
      <c r="AC4702">
        <v>2.5104000000000002</v>
      </c>
      <c r="AD4702">
        <v>-1.109237432</v>
      </c>
      <c r="AE4702">
        <v>-23.3341999999999</v>
      </c>
      <c r="AF4702">
        <v>-1.8578587914754801</v>
      </c>
      <c r="AG4702">
        <v>-1.109237432</v>
      </c>
      <c r="AH4702">
        <v>23.342724016524102</v>
      </c>
      <c r="AI4702">
        <v>92.712063657298302</v>
      </c>
      <c r="AJ4702">
        <v>94.550606392838006</v>
      </c>
      <c r="AK4702">
        <v>23.442798712637199</v>
      </c>
      <c r="AL4702">
        <v>79.798821038071793</v>
      </c>
      <c r="AM4702">
        <v>90.589599359043802</v>
      </c>
      <c r="AN4702">
        <v>1.0000000460393801</v>
      </c>
    </row>
    <row r="4703" spans="1:40" x14ac:dyDescent="0.25">
      <c r="A4703" t="str">
        <f>"20190312172212057"</f>
        <v>20190312172212057</v>
      </c>
      <c r="B4703" t="str">
        <f>"1552382532045023"</f>
        <v>1552382532045023</v>
      </c>
      <c r="C4703" t="s">
        <v>40</v>
      </c>
      <c r="D4703">
        <v>3.2793299999999999</v>
      </c>
      <c r="E4703">
        <v>0.46887469999999998</v>
      </c>
      <c r="F4703" t="s">
        <v>42</v>
      </c>
      <c r="G4703">
        <v>-187.29519999999999</v>
      </c>
      <c r="H4703" s="1">
        <v>-4.4454599999999998E-6</v>
      </c>
      <c r="I4703">
        <v>168.0205</v>
      </c>
      <c r="J4703">
        <v>-189.96879999999999</v>
      </c>
      <c r="K4703">
        <v>1.1092850000000001</v>
      </c>
      <c r="L4703">
        <v>191.2578</v>
      </c>
      <c r="M4703">
        <v>2.6526959999999999E-2</v>
      </c>
      <c r="N4703">
        <v>0</v>
      </c>
      <c r="O4703">
        <v>-0.99955150000000004</v>
      </c>
      <c r="P4703">
        <v>4.3486179999999999E-2</v>
      </c>
      <c r="Q4703">
        <v>0.16316629999999999</v>
      </c>
      <c r="R4703">
        <v>-0.98563999999999996</v>
      </c>
      <c r="S4703">
        <v>0.34967039999999999</v>
      </c>
      <c r="T4703">
        <v>-0.1449502</v>
      </c>
      <c r="U4703">
        <v>-3.053604</v>
      </c>
      <c r="V4703">
        <v>-1.672212E-2</v>
      </c>
      <c r="W4703">
        <v>0.17692189999999999</v>
      </c>
      <c r="X4703">
        <v>0.98408280000000004</v>
      </c>
      <c r="Y4703">
        <v>-8.7243429999999997E-2</v>
      </c>
      <c r="Z4703">
        <v>4.7146100000000003E-2</v>
      </c>
      <c r="AA4703">
        <v>0.99507080000000003</v>
      </c>
      <c r="AB4703">
        <v>24</v>
      </c>
      <c r="AC4703">
        <v>2.6735999999999902</v>
      </c>
      <c r="AD4703">
        <v>-1.10928944546</v>
      </c>
      <c r="AE4703">
        <v>-23.237300000000001</v>
      </c>
      <c r="AF4703">
        <v>-2.0515703489391002</v>
      </c>
      <c r="AG4703">
        <v>-1.10928944546</v>
      </c>
      <c r="AH4703">
        <v>23.247764173177401</v>
      </c>
      <c r="AI4703">
        <v>92.721291433789901</v>
      </c>
      <c r="AJ4703">
        <v>95.043177488060707</v>
      </c>
      <c r="AK4703">
        <v>23.364460255313499</v>
      </c>
      <c r="AL4703">
        <v>79.809479463903799</v>
      </c>
      <c r="AM4703">
        <v>90.973510256706305</v>
      </c>
      <c r="AN4703">
        <v>0.99999997262637197</v>
      </c>
    </row>
    <row r="4704" spans="1:40" x14ac:dyDescent="0.25">
      <c r="A4704" t="str">
        <f>"20190312172212070"</f>
        <v>20190312172212070</v>
      </c>
      <c r="B4704" t="str">
        <f>"1552382532065518"</f>
        <v>1552382532065518</v>
      </c>
      <c r="C4704" t="s">
        <v>40</v>
      </c>
      <c r="D4704">
        <v>3.3009240000000002</v>
      </c>
      <c r="E4704">
        <v>0.46872039999999998</v>
      </c>
      <c r="F4704" t="s">
        <v>42</v>
      </c>
      <c r="G4704">
        <v>-187.1336</v>
      </c>
      <c r="H4704" s="1">
        <v>-4.3742289999999997E-6</v>
      </c>
      <c r="I4704">
        <v>167.8092</v>
      </c>
      <c r="J4704">
        <v>-189.9667</v>
      </c>
      <c r="K4704">
        <v>1.1093299999999999</v>
      </c>
      <c r="L4704">
        <v>191.1259</v>
      </c>
      <c r="M4704">
        <v>2.5347660000000001E-2</v>
      </c>
      <c r="N4704">
        <v>0</v>
      </c>
      <c r="O4704">
        <v>-0.99958210000000003</v>
      </c>
      <c r="P4704">
        <v>4.8780150000000001E-2</v>
      </c>
      <c r="Q4704">
        <v>0.16281129999999999</v>
      </c>
      <c r="R4704">
        <v>-0.98545059999999995</v>
      </c>
      <c r="S4704">
        <v>0.3689423</v>
      </c>
      <c r="T4704">
        <v>-0.14435139999999999</v>
      </c>
      <c r="U4704">
        <v>-3.051361</v>
      </c>
      <c r="V4704">
        <v>-2.3203479999999999E-2</v>
      </c>
      <c r="W4704">
        <v>0.17657700000000001</v>
      </c>
      <c r="X4704">
        <v>0.98401329999999998</v>
      </c>
      <c r="Y4704">
        <v>-9.4698699999999997E-2</v>
      </c>
      <c r="Z4704">
        <v>4.6954870000000003E-2</v>
      </c>
      <c r="AA4704">
        <v>0.994398</v>
      </c>
      <c r="AB4704">
        <v>24</v>
      </c>
      <c r="AC4704">
        <v>2.8331</v>
      </c>
      <c r="AD4704">
        <v>-1.1093343742289901</v>
      </c>
      <c r="AE4704">
        <v>-23.316700000000001</v>
      </c>
      <c r="AF4704">
        <v>-2.23612073765455</v>
      </c>
      <c r="AG4704">
        <v>-1.1093343742289901</v>
      </c>
      <c r="AH4704">
        <v>23.328988057262801</v>
      </c>
      <c r="AI4704">
        <v>92.710061966637099</v>
      </c>
      <c r="AJ4704">
        <v>95.475165048361703</v>
      </c>
      <c r="AK4704">
        <v>23.462151275684899</v>
      </c>
      <c r="AL4704">
        <v>79.829557228357103</v>
      </c>
      <c r="AM4704">
        <v>91.350810142420499</v>
      </c>
      <c r="AN4704">
        <v>1.0000000064950001</v>
      </c>
    </row>
    <row r="4705" spans="1:40" x14ac:dyDescent="0.25">
      <c r="A4705" t="str">
        <f>"20190312172212083"</f>
        <v>20190312172212083</v>
      </c>
      <c r="B4705" t="str">
        <f>"1552382532075278"</f>
        <v>1552382532075278</v>
      </c>
      <c r="C4705" t="s">
        <v>40</v>
      </c>
      <c r="D4705">
        <v>3.2914189999999999</v>
      </c>
      <c r="E4705">
        <v>0.46878959999999997</v>
      </c>
      <c r="F4705" t="s">
        <v>42</v>
      </c>
      <c r="G4705">
        <v>-186.97</v>
      </c>
      <c r="H4705" s="1">
        <v>-4.2460139999999996E-6</v>
      </c>
      <c r="I4705">
        <v>167.47659999999999</v>
      </c>
      <c r="J4705">
        <v>-189.96469999999999</v>
      </c>
      <c r="K4705">
        <v>1.1093729999999999</v>
      </c>
      <c r="L4705">
        <v>190.9958</v>
      </c>
      <c r="M4705">
        <v>2.4205620000000001E-2</v>
      </c>
      <c r="N4705">
        <v>0</v>
      </c>
      <c r="O4705">
        <v>-0.99961049999999996</v>
      </c>
      <c r="P4705">
        <v>5.421666E-2</v>
      </c>
      <c r="Q4705">
        <v>0.16222899999999901</v>
      </c>
      <c r="R4705">
        <v>-0.98526259999999999</v>
      </c>
      <c r="S4705">
        <v>0.386322</v>
      </c>
      <c r="T4705">
        <v>-0.14301220000000001</v>
      </c>
      <c r="U4705">
        <v>-3.0487980000000001</v>
      </c>
      <c r="V4705">
        <v>-2.9790029999999999E-2</v>
      </c>
      <c r="W4705">
        <v>0.17600389999999999</v>
      </c>
      <c r="X4705">
        <v>0.9839386</v>
      </c>
      <c r="Y4705">
        <v>-0.1015189</v>
      </c>
      <c r="Z4705">
        <v>4.6529010000000003E-2</v>
      </c>
      <c r="AA4705">
        <v>0.99374490000000004</v>
      </c>
      <c r="AB4705">
        <v>24</v>
      </c>
      <c r="AC4705">
        <v>2.9946999999999901</v>
      </c>
      <c r="AD4705">
        <v>-1.1093772460139999</v>
      </c>
      <c r="AE4705">
        <v>-23.519200000000001</v>
      </c>
      <c r="AF4705">
        <v>-2.4191740584406598</v>
      </c>
      <c r="AG4705">
        <v>-1.1093772460139999</v>
      </c>
      <c r="AH4705">
        <v>23.533278946872102</v>
      </c>
      <c r="AI4705">
        <v>92.684842155519902</v>
      </c>
      <c r="AJ4705">
        <v>95.869275218536302</v>
      </c>
      <c r="AK4705">
        <v>23.683292401824101</v>
      </c>
      <c r="AL4705">
        <v>79.862915765202303</v>
      </c>
      <c r="AM4705">
        <v>91.734175027313299</v>
      </c>
      <c r="AN4705">
        <v>0.999999993636285</v>
      </c>
    </row>
    <row r="4706" spans="1:40" x14ac:dyDescent="0.25">
      <c r="A4706" t="str">
        <f>"20190312172212093"</f>
        <v>20190312172212093</v>
      </c>
      <c r="B4706" t="str">
        <f>"1552382532085037"</f>
        <v>1552382532085037</v>
      </c>
      <c r="C4706" t="s">
        <v>40</v>
      </c>
      <c r="D4706">
        <v>3.2669890000000001</v>
      </c>
      <c r="E4706">
        <v>0.46895100000000001</v>
      </c>
      <c r="F4706" t="s">
        <v>42</v>
      </c>
      <c r="G4706">
        <v>-186.85769999999999</v>
      </c>
      <c r="H4706" s="1">
        <v>-4.2642550000000002E-6</v>
      </c>
      <c r="I4706">
        <v>167.47299999999899</v>
      </c>
      <c r="J4706">
        <v>-189.96289999999999</v>
      </c>
      <c r="K4706">
        <v>1.109416</v>
      </c>
      <c r="L4706">
        <v>190.8723</v>
      </c>
      <c r="M4706">
        <v>2.3159409999999998E-2</v>
      </c>
      <c r="N4706">
        <v>0</v>
      </c>
      <c r="O4706">
        <v>-0.99963550000000001</v>
      </c>
      <c r="P4706">
        <v>5.9720780000000001E-2</v>
      </c>
      <c r="Q4706">
        <v>0.16178039999999999</v>
      </c>
      <c r="R4706">
        <v>-0.98501830000000001</v>
      </c>
      <c r="S4706">
        <v>0.40237430000000002</v>
      </c>
      <c r="T4706">
        <v>-0.1436733</v>
      </c>
      <c r="U4706">
        <v>-3.0463870000000002</v>
      </c>
      <c r="V4706">
        <v>-3.6346179999999999E-2</v>
      </c>
      <c r="W4706">
        <v>0.17556359999999999</v>
      </c>
      <c r="X4706">
        <v>0.98379689999999997</v>
      </c>
      <c r="Y4706">
        <v>-0.1078047</v>
      </c>
      <c r="Z4706">
        <v>4.6750760000000002E-2</v>
      </c>
      <c r="AA4706">
        <v>0.99307230000000002</v>
      </c>
      <c r="AB4706">
        <v>24</v>
      </c>
      <c r="AC4706">
        <v>3.1051999999999902</v>
      </c>
      <c r="AD4706">
        <v>-1.109420264255</v>
      </c>
      <c r="AE4706">
        <v>-23.3993</v>
      </c>
      <c r="AF4706">
        <v>-2.5567528407131599</v>
      </c>
      <c r="AG4706">
        <v>-1.109420264255</v>
      </c>
      <c r="AH4706">
        <v>23.413223370750899</v>
      </c>
      <c r="AI4706">
        <v>92.696885304217801</v>
      </c>
      <c r="AJ4706">
        <v>96.232075694883605</v>
      </c>
      <c r="AK4706">
        <v>23.578524699817699</v>
      </c>
      <c r="AL4706">
        <v>79.888542005892404</v>
      </c>
      <c r="AM4706">
        <v>92.115818841978495</v>
      </c>
      <c r="AN4706">
        <v>0.99999998144758095</v>
      </c>
    </row>
    <row r="4707" spans="1:40" x14ac:dyDescent="0.25">
      <c r="A4707" t="str">
        <f>"20190312172212111"</f>
        <v>20190312172212111</v>
      </c>
      <c r="B4707" t="str">
        <f>"1552382532105534"</f>
        <v>1552382532105534</v>
      </c>
      <c r="C4707" t="s">
        <v>40</v>
      </c>
      <c r="D4707">
        <v>3.3223150000000001</v>
      </c>
      <c r="E4707">
        <v>0.46940080000000001</v>
      </c>
      <c r="F4707" t="s">
        <v>42</v>
      </c>
      <c r="G4707">
        <v>-186.74780000000001</v>
      </c>
      <c r="H4707" s="1">
        <v>-4.2689970000000003E-6</v>
      </c>
      <c r="I4707">
        <v>167.4418</v>
      </c>
      <c r="J4707">
        <v>-189.9605</v>
      </c>
      <c r="K4707">
        <v>1.1094619999999999</v>
      </c>
      <c r="L4707">
        <v>190.6985</v>
      </c>
      <c r="M4707">
        <v>2.1719970000000002E-2</v>
      </c>
      <c r="N4707">
        <v>0</v>
      </c>
      <c r="O4707">
        <v>-0.9996678</v>
      </c>
      <c r="P4707">
        <v>7.1516280000000002E-2</v>
      </c>
      <c r="Q4707">
        <v>0.16121189999999999</v>
      </c>
      <c r="R4707">
        <v>-0.98432520000000001</v>
      </c>
      <c r="S4707">
        <v>0.41769410000000001</v>
      </c>
      <c r="T4707">
        <v>-0.14413129999999999</v>
      </c>
      <c r="U4707">
        <v>-3.0439910000000001</v>
      </c>
      <c r="V4707">
        <v>-4.9594159999999998E-2</v>
      </c>
      <c r="W4707">
        <v>0.17501429999999901</v>
      </c>
      <c r="X4707">
        <v>0.98331599999999997</v>
      </c>
      <c r="Y4707">
        <v>-0.11424330000000001</v>
      </c>
      <c r="Z4707">
        <v>4.6905669999999997E-2</v>
      </c>
      <c r="AA4707">
        <v>0.99234489999999997</v>
      </c>
      <c r="AB4707">
        <v>24</v>
      </c>
      <c r="AC4707">
        <v>3.2126999999999799</v>
      </c>
      <c r="AD4707">
        <v>-1.1094662689970001</v>
      </c>
      <c r="AE4707">
        <v>-23.256699999999899</v>
      </c>
      <c r="AF4707">
        <v>-2.7007273035392498</v>
      </c>
      <c r="AG4707">
        <v>-1.1094662689970001</v>
      </c>
      <c r="AH4707">
        <v>23.269035207018401</v>
      </c>
      <c r="AI4707">
        <v>92.711616374919998</v>
      </c>
      <c r="AJ4707">
        <v>96.620429004994193</v>
      </c>
      <c r="AK4707">
        <v>23.451499799278999</v>
      </c>
      <c r="AL4707">
        <v>79.920509423236297</v>
      </c>
      <c r="AM4707">
        <v>92.887302086960602</v>
      </c>
      <c r="AN4707">
        <v>0.99999997088329695</v>
      </c>
    </row>
    <row r="4708" spans="1:40" x14ac:dyDescent="0.25">
      <c r="A4708" t="str">
        <f>"20190312172212122"</f>
        <v>20190312172212122</v>
      </c>
      <c r="B4708" t="str">
        <f>"1552382532115294"</f>
        <v>1552382532115294</v>
      </c>
      <c r="C4708" t="s">
        <v>40</v>
      </c>
      <c r="D4708">
        <v>3.3469699999999998</v>
      </c>
      <c r="E4708">
        <v>0.46966279999999999</v>
      </c>
      <c r="F4708" t="s">
        <v>42</v>
      </c>
      <c r="G4708">
        <v>-186.50579999999999</v>
      </c>
      <c r="H4708" s="1">
        <v>-4.27119E-6</v>
      </c>
      <c r="I4708">
        <v>167.35560000000001</v>
      </c>
      <c r="J4708">
        <v>-189.9589</v>
      </c>
      <c r="K4708">
        <v>1.1094869999999999</v>
      </c>
      <c r="L4708">
        <v>190.57499999999999</v>
      </c>
      <c r="M4708">
        <v>2.071539E-2</v>
      </c>
      <c r="N4708">
        <v>0</v>
      </c>
      <c r="O4708">
        <v>-0.99968950000000001</v>
      </c>
      <c r="P4708">
        <v>7.7004539999999996E-2</v>
      </c>
      <c r="Q4708">
        <v>0.1608279</v>
      </c>
      <c r="R4708">
        <v>-0.98397420000000002</v>
      </c>
      <c r="S4708">
        <v>0.44973750000000001</v>
      </c>
      <c r="T4708">
        <v>-0.14443029999999901</v>
      </c>
      <c r="U4708">
        <v>-3.0387729999999999</v>
      </c>
      <c r="V4708">
        <v>-5.6092290000000003E-2</v>
      </c>
      <c r="W4708">
        <v>0.1746354</v>
      </c>
      <c r="X4708">
        <v>0.98303410000000002</v>
      </c>
      <c r="Y4708">
        <v>-0.12571760000000001</v>
      </c>
      <c r="Z4708">
        <v>4.7016500000000003E-2</v>
      </c>
      <c r="AA4708">
        <v>0.99095129999999998</v>
      </c>
      <c r="AB4708">
        <v>24</v>
      </c>
      <c r="AC4708">
        <v>3.4531000000000001</v>
      </c>
      <c r="AD4708">
        <v>-1.10949127119</v>
      </c>
      <c r="AE4708">
        <v>-23.219399999999901</v>
      </c>
      <c r="AF4708">
        <v>-2.96469126892169</v>
      </c>
      <c r="AG4708">
        <v>-1.10949127119</v>
      </c>
      <c r="AH4708">
        <v>23.234055277467299</v>
      </c>
      <c r="AI4708">
        <v>92.712001156591299</v>
      </c>
      <c r="AJ4708">
        <v>97.2717089444577</v>
      </c>
      <c r="AK4708">
        <v>23.4487033721968</v>
      </c>
      <c r="AL4708">
        <v>79.942558195475101</v>
      </c>
      <c r="AM4708">
        <v>93.265777148931505</v>
      </c>
      <c r="AN4708">
        <v>0.99999995484670601</v>
      </c>
    </row>
    <row r="4709" spans="1:40" x14ac:dyDescent="0.25">
      <c r="A4709" t="str">
        <f>"20190312172212132"</f>
        <v>20190312172212132</v>
      </c>
      <c r="B4709" t="str">
        <f>"1552382532125054"</f>
        <v>1552382532125054</v>
      </c>
      <c r="C4709" t="s">
        <v>40</v>
      </c>
      <c r="D4709">
        <v>3.3173650000000001</v>
      </c>
      <c r="E4709">
        <v>0.46998479999999998</v>
      </c>
      <c r="F4709" t="s">
        <v>42</v>
      </c>
      <c r="G4709">
        <v>-186.40790000000001</v>
      </c>
      <c r="H4709" s="1">
        <v>-4.293459E-6</v>
      </c>
      <c r="I4709">
        <v>167.36600000000001</v>
      </c>
      <c r="J4709">
        <v>-189.95760000000001</v>
      </c>
      <c r="K4709">
        <v>1.1095079999999999</v>
      </c>
      <c r="L4709">
        <v>190.45760000000001</v>
      </c>
      <c r="M4709">
        <v>1.9785319999999999E-2</v>
      </c>
      <c r="N4709">
        <v>0</v>
      </c>
      <c r="O4709">
        <v>-0.99970840000000005</v>
      </c>
      <c r="P4709">
        <v>8.2260849999999996E-2</v>
      </c>
      <c r="Q4709">
        <v>0.16048219999999999</v>
      </c>
      <c r="R4709">
        <v>-0.98360510000000001</v>
      </c>
      <c r="S4709">
        <v>0.46455380000000002</v>
      </c>
      <c r="T4709">
        <v>-0.14514440000000001</v>
      </c>
      <c r="U4709">
        <v>-3.0362089999999999</v>
      </c>
      <c r="V4709">
        <v>-6.2282419999999998E-2</v>
      </c>
      <c r="W4709">
        <v>0.17429459999999999</v>
      </c>
      <c r="X4709">
        <v>0.98272190000000004</v>
      </c>
      <c r="Y4709">
        <v>-0.1314864</v>
      </c>
      <c r="Z4709">
        <v>4.7254369999999997E-2</v>
      </c>
      <c r="AA4709">
        <v>0.99019109999999999</v>
      </c>
      <c r="AB4709">
        <v>24</v>
      </c>
      <c r="AC4709">
        <v>3.5497000000000001</v>
      </c>
      <c r="AD4709">
        <v>-1.109512293459</v>
      </c>
      <c r="AE4709">
        <v>-23.0916</v>
      </c>
      <c r="AF4709">
        <v>-3.0851285069547201</v>
      </c>
      <c r="AG4709">
        <v>-1.109512293459</v>
      </c>
      <c r="AH4709">
        <v>23.1052074610242</v>
      </c>
      <c r="AI4709">
        <v>92.725083553909798</v>
      </c>
      <c r="AJ4709">
        <v>97.605446808858801</v>
      </c>
      <c r="AK4709">
        <v>23.336658870770801</v>
      </c>
      <c r="AL4709">
        <v>79.962389393246795</v>
      </c>
      <c r="AM4709">
        <v>93.626410881218703</v>
      </c>
      <c r="AN4709">
        <v>1.00000002008491</v>
      </c>
    </row>
    <row r="4710" spans="1:40" x14ac:dyDescent="0.25">
      <c r="A4710" t="str">
        <f>"20190312172212145"</f>
        <v>20190312172212145</v>
      </c>
      <c r="B4710" t="str">
        <f>"1552382532135790"</f>
        <v>1552382532135790</v>
      </c>
      <c r="C4710" t="s">
        <v>40</v>
      </c>
      <c r="D4710">
        <v>3.3436499999999998</v>
      </c>
      <c r="E4710">
        <v>0.47033819999999998</v>
      </c>
      <c r="F4710" t="s">
        <v>42</v>
      </c>
      <c r="G4710">
        <v>-186.31039999999999</v>
      </c>
      <c r="H4710" s="1">
        <v>-4.2891150000000004E-6</v>
      </c>
      <c r="I4710">
        <v>167.3202</v>
      </c>
      <c r="J4710">
        <v>-189.95609999999999</v>
      </c>
      <c r="K4710">
        <v>1.109534</v>
      </c>
      <c r="L4710">
        <v>190.3289</v>
      </c>
      <c r="M4710">
        <v>1.8777760000000001E-2</v>
      </c>
      <c r="N4710">
        <v>0</v>
      </c>
      <c r="O4710">
        <v>-0.9997277</v>
      </c>
      <c r="P4710">
        <v>8.7333450000000007E-2</v>
      </c>
      <c r="Q4710">
        <v>0.16002169999999999</v>
      </c>
      <c r="R4710">
        <v>-0.98324279999999997</v>
      </c>
      <c r="S4710">
        <v>0.47821039999999998</v>
      </c>
      <c r="T4710">
        <v>-0.14547769999999999</v>
      </c>
      <c r="U4710">
        <v>-3.0337369999999999</v>
      </c>
      <c r="V4710">
        <v>-6.8365460000000003E-2</v>
      </c>
      <c r="W4710">
        <v>0.17383680000000001</v>
      </c>
      <c r="X4710">
        <v>0.98239860000000001</v>
      </c>
      <c r="Y4710">
        <v>-0.13695550000000001</v>
      </c>
      <c r="Z4710">
        <v>4.7368180000000003E-2</v>
      </c>
      <c r="AA4710">
        <v>0.98944399999999999</v>
      </c>
      <c r="AB4710">
        <v>24</v>
      </c>
      <c r="AC4710">
        <v>3.6457000000000002</v>
      </c>
      <c r="AD4710">
        <v>-1.1095382891150001</v>
      </c>
      <c r="AE4710">
        <v>-23.008700000000001</v>
      </c>
      <c r="AF4710">
        <v>-3.2056917704664798</v>
      </c>
      <c r="AG4710">
        <v>-1.1095382891150001</v>
      </c>
      <c r="AH4710">
        <v>23.0208850112021</v>
      </c>
      <c r="AI4710">
        <v>92.733020945983</v>
      </c>
      <c r="AJ4710">
        <v>97.927542154425296</v>
      </c>
      <c r="AK4710">
        <v>23.269479616898099</v>
      </c>
      <c r="AL4710">
        <v>79.9890262282115</v>
      </c>
      <c r="AM4710">
        <v>93.980815367485206</v>
      </c>
      <c r="AN4710">
        <v>1.0000000392185999</v>
      </c>
    </row>
    <row r="4711" spans="1:40" x14ac:dyDescent="0.25">
      <c r="A4711" t="str">
        <f>"20190312172212156"</f>
        <v>20190312172212156</v>
      </c>
      <c r="B4711" t="str">
        <f>"1552382532145549"</f>
        <v>1552382532145549</v>
      </c>
      <c r="C4711" t="s">
        <v>40</v>
      </c>
      <c r="D4711">
        <v>3.3763070000000002</v>
      </c>
      <c r="E4711">
        <v>0.47075719999999999</v>
      </c>
      <c r="F4711" t="s">
        <v>42</v>
      </c>
      <c r="G4711">
        <v>-186.24119999999999</v>
      </c>
      <c r="H4711" s="1">
        <v>-4.3427729999999996E-6</v>
      </c>
      <c r="I4711">
        <v>167.40780000000001</v>
      </c>
      <c r="J4711">
        <v>-189.95490000000001</v>
      </c>
      <c r="K4711">
        <v>1.109553</v>
      </c>
      <c r="L4711">
        <v>190.20750000000001</v>
      </c>
      <c r="M4711">
        <v>1.7842460000000001E-2</v>
      </c>
      <c r="N4711">
        <v>0</v>
      </c>
      <c r="O4711">
        <v>-0.9997452</v>
      </c>
      <c r="P4711">
        <v>9.2063320000000004E-2</v>
      </c>
      <c r="Q4711">
        <v>0.15924739999999901</v>
      </c>
      <c r="R4711">
        <v>-0.98293719999999996</v>
      </c>
      <c r="S4711">
        <v>0.49131770000000002</v>
      </c>
      <c r="T4711">
        <v>-0.1467398</v>
      </c>
      <c r="U4711">
        <v>-3.0313870000000001</v>
      </c>
      <c r="V4711">
        <v>-7.4031910000000006E-2</v>
      </c>
      <c r="W4711">
        <v>0.17306559999999999</v>
      </c>
      <c r="X4711">
        <v>0.982124</v>
      </c>
      <c r="Y4711">
        <v>-0.14216670000000001</v>
      </c>
      <c r="Z4711">
        <v>4.7782129999999999E-2</v>
      </c>
      <c r="AA4711">
        <v>0.98868880000000003</v>
      </c>
      <c r="AB4711">
        <v>24</v>
      </c>
      <c r="AC4711">
        <v>3.71370000000001</v>
      </c>
      <c r="AD4711">
        <v>-1.1095573427730001</v>
      </c>
      <c r="AE4711">
        <v>-22.799700000000001</v>
      </c>
      <c r="AF4711">
        <v>-3.2986566996893001</v>
      </c>
      <c r="AG4711">
        <v>-1.1095573427730001</v>
      </c>
      <c r="AH4711">
        <v>22.809713098018602</v>
      </c>
      <c r="AI4711">
        <v>92.756276689131496</v>
      </c>
      <c r="AJ4711">
        <v>98.228855322850904</v>
      </c>
      <c r="AK4711">
        <v>23.073692056825902</v>
      </c>
      <c r="AL4711">
        <v>80.033892288695</v>
      </c>
      <c r="AM4711">
        <v>94.310768687389299</v>
      </c>
      <c r="AN4711">
        <v>0.999999988488804</v>
      </c>
    </row>
    <row r="4712" spans="1:40" x14ac:dyDescent="0.25">
      <c r="A4712" t="str">
        <f>"20190312172212169"</f>
        <v>20190312172212169</v>
      </c>
      <c r="B4712" t="str">
        <f>"1552382532165070"</f>
        <v>1552382532165070</v>
      </c>
      <c r="C4712" t="s">
        <v>40</v>
      </c>
      <c r="D4712">
        <v>3.3795549999999999</v>
      </c>
      <c r="E4712">
        <v>0.47164990000000001</v>
      </c>
      <c r="F4712" t="s">
        <v>42</v>
      </c>
      <c r="G4712">
        <v>-186.226</v>
      </c>
      <c r="H4712" s="1">
        <v>-4.4957790000000003E-6</v>
      </c>
      <c r="I4712">
        <v>167.72579999999999</v>
      </c>
      <c r="J4712">
        <v>-189.9537</v>
      </c>
      <c r="K4712">
        <v>1.109572</v>
      </c>
      <c r="L4712">
        <v>190.07650000000001</v>
      </c>
      <c r="M4712">
        <v>1.6856550000000001E-2</v>
      </c>
      <c r="N4712">
        <v>0</v>
      </c>
      <c r="O4712">
        <v>-0.99976220000000005</v>
      </c>
      <c r="P4712">
        <v>9.6369560000000007E-2</v>
      </c>
      <c r="Q4712">
        <v>0.15875400000000001</v>
      </c>
      <c r="R4712">
        <v>-0.98260380000000003</v>
      </c>
      <c r="S4712">
        <v>0.50244140000000004</v>
      </c>
      <c r="T4712">
        <v>-0.149505</v>
      </c>
      <c r="U4712">
        <v>-3.0292509999999999</v>
      </c>
      <c r="V4712">
        <v>-7.9324569999999997E-2</v>
      </c>
      <c r="W4712">
        <v>0.17257249999999999</v>
      </c>
      <c r="X4712">
        <v>0.98179749999999999</v>
      </c>
      <c r="Y4712">
        <v>-0.14677960000000001</v>
      </c>
      <c r="Z4712">
        <v>4.868463E-2</v>
      </c>
      <c r="AA4712">
        <v>0.98797040000000003</v>
      </c>
      <c r="AB4712">
        <v>24</v>
      </c>
      <c r="AC4712">
        <v>3.7276999999999898</v>
      </c>
      <c r="AD4712">
        <v>-1.109576495779</v>
      </c>
      <c r="AE4712">
        <v>-22.3507</v>
      </c>
      <c r="AF4712">
        <v>-3.3423641173895402</v>
      </c>
      <c r="AG4712">
        <v>-1.109576495779</v>
      </c>
      <c r="AH4712">
        <v>22.356758440353101</v>
      </c>
      <c r="AI4712">
        <v>92.810105907617796</v>
      </c>
      <c r="AJ4712">
        <v>98.502818081681696</v>
      </c>
      <c r="AK4712">
        <v>22.632437028599</v>
      </c>
      <c r="AL4712">
        <v>80.062576477711701</v>
      </c>
      <c r="AM4712">
        <v>94.619192840413305</v>
      </c>
      <c r="AN4712">
        <v>0.99999999308409204</v>
      </c>
    </row>
    <row r="4713" spans="1:40" x14ac:dyDescent="0.25">
      <c r="A4713" t="str">
        <f>"20190312172212182"</f>
        <v>20190312172212182</v>
      </c>
      <c r="B4713" t="str">
        <f>"1552382532175806"</f>
        <v>1552382532175806</v>
      </c>
      <c r="C4713" t="s">
        <v>40</v>
      </c>
      <c r="D4713">
        <v>3.3746909999999999</v>
      </c>
      <c r="E4713">
        <v>0.47164990000000001</v>
      </c>
      <c r="F4713" t="s">
        <v>42</v>
      </c>
      <c r="G4713">
        <v>-186.22020000000001</v>
      </c>
      <c r="H4713" s="1">
        <v>-4.5509129999999996E-6</v>
      </c>
      <c r="I4713">
        <v>167.84020000000001</v>
      </c>
      <c r="J4713">
        <v>-189.95249999999999</v>
      </c>
      <c r="K4713">
        <v>1.1095950000000001</v>
      </c>
      <c r="L4713">
        <v>189.94229999999999</v>
      </c>
      <c r="M4713">
        <v>1.5859430000000001E-2</v>
      </c>
      <c r="N4713">
        <v>0</v>
      </c>
      <c r="O4713">
        <v>-0.99977870000000002</v>
      </c>
      <c r="P4713">
        <v>0.1006784</v>
      </c>
      <c r="Q4713">
        <v>0.15813459999999999</v>
      </c>
      <c r="R4713">
        <v>-0.98227160000000002</v>
      </c>
      <c r="S4713">
        <v>0.50834659999999998</v>
      </c>
      <c r="T4713">
        <v>-0.1510785</v>
      </c>
      <c r="U4713">
        <v>-3.0276640000000001</v>
      </c>
      <c r="V4713">
        <v>-8.4630839999999999E-2</v>
      </c>
      <c r="W4713">
        <v>0.17195250000000001</v>
      </c>
      <c r="X4713">
        <v>0.98146319999999998</v>
      </c>
      <c r="Y4713">
        <v>-0.14971960000000001</v>
      </c>
      <c r="Z4713">
        <v>4.9203629999999998E-2</v>
      </c>
      <c r="AA4713">
        <v>0.98750349999999998</v>
      </c>
      <c r="AB4713">
        <v>24</v>
      </c>
      <c r="AC4713">
        <v>3.73229999999998</v>
      </c>
      <c r="AD4713">
        <v>-1.1095995509129899</v>
      </c>
      <c r="AE4713">
        <v>-22.102099999999901</v>
      </c>
      <c r="AF4713">
        <v>-3.3730047668657002</v>
      </c>
      <c r="AG4713">
        <v>-1.1095995509129899</v>
      </c>
      <c r="AH4713">
        <v>22.104350838174</v>
      </c>
      <c r="AI4713">
        <v>92.840904955964007</v>
      </c>
      <c r="AJ4713">
        <v>98.676098858958198</v>
      </c>
      <c r="AK4713">
        <v>22.387735443714899</v>
      </c>
      <c r="AL4713">
        <v>80.098639297650095</v>
      </c>
      <c r="AM4713">
        <v>94.928381508284303</v>
      </c>
      <c r="AN4713">
        <v>1.00000002714479</v>
      </c>
    </row>
    <row r="4714" spans="1:40" x14ac:dyDescent="0.25">
      <c r="A4714" t="str">
        <f>"20190312172212194"</f>
        <v>20190312172212194</v>
      </c>
      <c r="B4714" t="str">
        <f>"1552382532185566"</f>
        <v>1552382532185566</v>
      </c>
      <c r="C4714" t="s">
        <v>40</v>
      </c>
      <c r="D4714">
        <v>3.3864390000000002</v>
      </c>
      <c r="E4714">
        <v>0.4855951</v>
      </c>
      <c r="F4714" t="s">
        <v>42</v>
      </c>
      <c r="G4714">
        <v>-186.1789</v>
      </c>
      <c r="H4714" s="1">
        <v>-4.6468710000000002E-6</v>
      </c>
      <c r="I4714">
        <v>168.02770000000001</v>
      </c>
      <c r="J4714">
        <v>-189.95150000000001</v>
      </c>
      <c r="K4714">
        <v>1.1096200000000001</v>
      </c>
      <c r="L4714">
        <v>189.80840000000001</v>
      </c>
      <c r="M4714">
        <v>1.489585E-2</v>
      </c>
      <c r="N4714">
        <v>0</v>
      </c>
      <c r="O4714">
        <v>-0.99979340000000005</v>
      </c>
      <c r="P4714">
        <v>0.10516929999999999</v>
      </c>
      <c r="Q4714">
        <v>0.15743979999999999</v>
      </c>
      <c r="R4714">
        <v>-0.98191229999999996</v>
      </c>
      <c r="S4714">
        <v>0.52096560000000003</v>
      </c>
      <c r="T4714">
        <v>-0.15318560000000001</v>
      </c>
      <c r="U4714">
        <v>-3.0254059999999998</v>
      </c>
      <c r="V4714">
        <v>-9.0086219999999995E-2</v>
      </c>
      <c r="W4714">
        <v>0.17125679999999999</v>
      </c>
      <c r="X4714">
        <v>0.98109919999999995</v>
      </c>
      <c r="Y4714">
        <v>-0.15478810000000001</v>
      </c>
      <c r="Z4714">
        <v>4.9889000000000003E-2</v>
      </c>
      <c r="AA4714">
        <v>0.98668719999999999</v>
      </c>
      <c r="AB4714">
        <v>24</v>
      </c>
      <c r="AC4714">
        <v>3.7726000000000099</v>
      </c>
      <c r="AD4714">
        <v>-1.109624646871</v>
      </c>
      <c r="AE4714">
        <v>-21.7807</v>
      </c>
      <c r="AF4714">
        <v>-3.4390424858676401</v>
      </c>
      <c r="AG4714">
        <v>-1.109624646871</v>
      </c>
      <c r="AH4714">
        <v>21.779603597934798</v>
      </c>
      <c r="AI4714">
        <v>92.880943818136899</v>
      </c>
      <c r="AJ4714">
        <v>98.973031404456805</v>
      </c>
      <c r="AK4714">
        <v>22.077350678007601</v>
      </c>
      <c r="AL4714">
        <v>80.139100194598697</v>
      </c>
      <c r="AM4714">
        <v>95.246286046396094</v>
      </c>
      <c r="AN4714">
        <v>1.0000000294103799</v>
      </c>
    </row>
    <row r="4715" spans="1:40" x14ac:dyDescent="0.25">
      <c r="A4715" t="str">
        <f>"20190312172212210"</f>
        <v>20190312172212210</v>
      </c>
      <c r="B4715" t="str">
        <f>"1552382532205085"</f>
        <v>1552382532205085</v>
      </c>
      <c r="C4715" t="s">
        <v>40</v>
      </c>
      <c r="D4715">
        <v>3.3640409999999998</v>
      </c>
      <c r="E4715">
        <v>0.48714249999999998</v>
      </c>
      <c r="F4715" t="s">
        <v>42</v>
      </c>
      <c r="G4715">
        <v>-186.7302</v>
      </c>
      <c r="H4715" s="1">
        <v>-3.9431099999999901E-6</v>
      </c>
      <c r="I4715">
        <v>166.7458</v>
      </c>
      <c r="J4715">
        <v>-189.9503</v>
      </c>
      <c r="K4715">
        <v>1.109653</v>
      </c>
      <c r="L4715">
        <v>189.63759999999999</v>
      </c>
      <c r="M4715">
        <v>1.3695870000000001E-2</v>
      </c>
      <c r="N4715">
        <v>0</v>
      </c>
      <c r="O4715">
        <v>-0.9998108</v>
      </c>
      <c r="P4715">
        <v>0.1149452</v>
      </c>
      <c r="Q4715">
        <v>0.1575482</v>
      </c>
      <c r="R4715">
        <v>-0.98079870000000002</v>
      </c>
      <c r="S4715">
        <v>0.42367549999999998</v>
      </c>
      <c r="T4715">
        <v>-0.14594179999999901</v>
      </c>
      <c r="U4715">
        <v>-3.0332789999999998</v>
      </c>
      <c r="V4715">
        <v>-0.10106950000000001</v>
      </c>
      <c r="W4715">
        <v>0.17136479999999901</v>
      </c>
      <c r="X4715">
        <v>0.98000969999999998</v>
      </c>
      <c r="Y4715">
        <v>-0.1245974</v>
      </c>
      <c r="Z4715">
        <v>4.7633290000000002E-2</v>
      </c>
      <c r="AA4715">
        <v>0.99106340000000004</v>
      </c>
      <c r="AB4715">
        <v>24</v>
      </c>
      <c r="AC4715">
        <v>3.2201</v>
      </c>
      <c r="AD4715">
        <v>-1.1096569431100001</v>
      </c>
      <c r="AE4715">
        <v>-22.8917999999999</v>
      </c>
      <c r="AF4715">
        <v>-2.8995639008662999</v>
      </c>
      <c r="AG4715">
        <v>-1.1096569431100001</v>
      </c>
      <c r="AH4715">
        <v>22.881037756469802</v>
      </c>
      <c r="AI4715">
        <v>92.754491654907397</v>
      </c>
      <c r="AJ4715">
        <v>97.222222519163097</v>
      </c>
      <c r="AK4715">
        <v>23.090705882661901</v>
      </c>
      <c r="AL4715">
        <v>80.132818862626493</v>
      </c>
      <c r="AM4715">
        <v>95.888161361837007</v>
      </c>
      <c r="AN4715">
        <v>0.99999997530168905</v>
      </c>
    </row>
    <row r="4716" spans="1:40" x14ac:dyDescent="0.25">
      <c r="A4716" t="str">
        <f>"20190312172212222"</f>
        <v>20190312172212222</v>
      </c>
      <c r="B4716" t="str">
        <f>"1552382532215821"</f>
        <v>1552382532215821</v>
      </c>
      <c r="C4716" t="s">
        <v>40</v>
      </c>
      <c r="D4716">
        <v>3.369551</v>
      </c>
      <c r="E4716">
        <v>0.48731629999999998</v>
      </c>
      <c r="F4716" t="s">
        <v>42</v>
      </c>
      <c r="G4716">
        <v>-186.62430000000001</v>
      </c>
      <c r="H4716" s="1">
        <v>-3.9574020000000001E-6</v>
      </c>
      <c r="I4716">
        <v>166.7363</v>
      </c>
      <c r="J4716">
        <v>-189.9496</v>
      </c>
      <c r="K4716">
        <v>1.109675</v>
      </c>
      <c r="L4716">
        <v>189.51490000000001</v>
      </c>
      <c r="M4716">
        <v>1.2851670000000001E-2</v>
      </c>
      <c r="N4716">
        <v>0</v>
      </c>
      <c r="O4716">
        <v>-0.99982199999999999</v>
      </c>
      <c r="P4716">
        <v>0.11888990000000001</v>
      </c>
      <c r="Q4716">
        <v>0.1577471</v>
      </c>
      <c r="R4716">
        <v>-0.98029659999999996</v>
      </c>
      <c r="S4716">
        <v>0.44015500000000002</v>
      </c>
      <c r="T4716">
        <v>-0.14684990000000001</v>
      </c>
      <c r="U4716">
        <v>-3.030716</v>
      </c>
      <c r="V4716">
        <v>-0.1058592</v>
      </c>
      <c r="W4716">
        <v>0.17155790000000001</v>
      </c>
      <c r="X4716">
        <v>0.97947010000000001</v>
      </c>
      <c r="Y4716">
        <v>-0.1308271</v>
      </c>
      <c r="Z4716">
        <v>4.7932290000000002E-2</v>
      </c>
      <c r="AA4716">
        <v>0.99024579999999995</v>
      </c>
      <c r="AB4716">
        <v>24</v>
      </c>
      <c r="AC4716">
        <v>3.3252999999999902</v>
      </c>
      <c r="AD4716">
        <v>-1.1096789574020001</v>
      </c>
      <c r="AE4716">
        <v>-22.778600000000001</v>
      </c>
      <c r="AF4716">
        <v>-3.02522458677725</v>
      </c>
      <c r="AG4716">
        <v>-1.1096789574020001</v>
      </c>
      <c r="AH4716">
        <v>22.766555231905102</v>
      </c>
      <c r="AI4716">
        <v>92.766204605583297</v>
      </c>
      <c r="AJ4716">
        <v>97.569133154945604</v>
      </c>
      <c r="AK4716">
        <v>22.993464469634201</v>
      </c>
      <c r="AL4716">
        <v>80.121588785912195</v>
      </c>
      <c r="AM4716">
        <v>96.168471716010004</v>
      </c>
      <c r="AN4716">
        <v>0.99999998003552903</v>
      </c>
    </row>
    <row r="4717" spans="1:40" x14ac:dyDescent="0.25">
      <c r="A4717" t="str">
        <f>"20190312172212233"</f>
        <v>20190312172212233</v>
      </c>
      <c r="B4717" t="str">
        <f>"1552382532225582"</f>
        <v>1552382532225582</v>
      </c>
      <c r="C4717" t="s">
        <v>40</v>
      </c>
      <c r="D4717">
        <v>3.4002490000000001</v>
      </c>
      <c r="E4717">
        <v>0.48731629999999998</v>
      </c>
      <c r="F4717" t="s">
        <v>42</v>
      </c>
      <c r="G4717">
        <v>-186.53200000000001</v>
      </c>
      <c r="H4717" s="1">
        <v>-3.8936189999999998E-6</v>
      </c>
      <c r="I4717">
        <v>166.5668</v>
      </c>
      <c r="J4717">
        <v>-189.94890000000001</v>
      </c>
      <c r="K4717">
        <v>1.1096999999999999</v>
      </c>
      <c r="L4717">
        <v>189.3914</v>
      </c>
      <c r="M4717">
        <v>1.2030529999999999E-2</v>
      </c>
      <c r="N4717">
        <v>0</v>
      </c>
      <c r="O4717">
        <v>-0.99983219999999995</v>
      </c>
      <c r="P4717">
        <v>0.12222420000000001</v>
      </c>
      <c r="Q4717">
        <v>0.15844469999999999</v>
      </c>
      <c r="R4717">
        <v>-0.97977389999999998</v>
      </c>
      <c r="S4717">
        <v>0.45111079999999998</v>
      </c>
      <c r="T4717">
        <v>-0.14647750000000001</v>
      </c>
      <c r="U4717">
        <v>-3.0291600000000001</v>
      </c>
      <c r="V4717">
        <v>-0.1100146</v>
      </c>
      <c r="W4717">
        <v>0.1722465</v>
      </c>
      <c r="X4717">
        <v>0.97889119999999996</v>
      </c>
      <c r="Y4717">
        <v>-0.135218899999999</v>
      </c>
      <c r="Z4717">
        <v>4.7809369999999997E-2</v>
      </c>
      <c r="AA4717">
        <v>0.98966160000000003</v>
      </c>
      <c r="AB4717">
        <v>24</v>
      </c>
      <c r="AC4717">
        <v>3.4168999999999898</v>
      </c>
      <c r="AD4717">
        <v>-1.109703893619</v>
      </c>
      <c r="AE4717">
        <v>-22.8246</v>
      </c>
      <c r="AF4717">
        <v>-3.1347868964619798</v>
      </c>
      <c r="AG4717">
        <v>-1.109703893619</v>
      </c>
      <c r="AH4717">
        <v>22.8113198072313</v>
      </c>
      <c r="AI4717">
        <v>92.759185236363805</v>
      </c>
      <c r="AJ4717">
        <v>97.824714245393196</v>
      </c>
      <c r="AK4717">
        <v>23.052432473939099</v>
      </c>
      <c r="AL4717">
        <v>80.081539178642103</v>
      </c>
      <c r="AM4717">
        <v>96.412390526647002</v>
      </c>
      <c r="AN4717">
        <v>1.0000000252064201</v>
      </c>
    </row>
    <row r="4718" spans="1:40" x14ac:dyDescent="0.25">
      <c r="A4718" t="str">
        <f>"20190312172212246"</f>
        <v>20190312172212246</v>
      </c>
      <c r="B4718" t="str">
        <f>"1552382532235342"</f>
        <v>1552382532235342</v>
      </c>
      <c r="C4718" t="s">
        <v>40</v>
      </c>
      <c r="D4718">
        <v>3.3054230000000002</v>
      </c>
      <c r="E4718">
        <v>0.4609084</v>
      </c>
      <c r="F4718" t="s">
        <v>42</v>
      </c>
      <c r="G4718">
        <v>-186.39869999999999</v>
      </c>
      <c r="H4718" s="1">
        <v>-3.6999220000000001E-6</v>
      </c>
      <c r="I4718">
        <v>166.1069</v>
      </c>
      <c r="J4718">
        <v>-189.94829999999999</v>
      </c>
      <c r="K4718">
        <v>1.109729</v>
      </c>
      <c r="L4718">
        <v>189.2663</v>
      </c>
      <c r="M4718">
        <v>1.121948E-2</v>
      </c>
      <c r="N4718">
        <v>0</v>
      </c>
      <c r="O4718">
        <v>-0.99984170000000006</v>
      </c>
      <c r="P4718">
        <v>0.12449830000000001</v>
      </c>
      <c r="Q4718">
        <v>0.15899479999999999</v>
      </c>
      <c r="R4718">
        <v>-0.9793984</v>
      </c>
      <c r="S4718">
        <v>0.46163939999999998</v>
      </c>
      <c r="T4718">
        <v>-0.1442947</v>
      </c>
      <c r="U4718">
        <v>-3.027679</v>
      </c>
      <c r="V4718">
        <v>-0.1130988</v>
      </c>
      <c r="W4718">
        <v>0.17278669999999999</v>
      </c>
      <c r="X4718">
        <v>0.97844439999999999</v>
      </c>
      <c r="Y4718">
        <v>-0.1394619</v>
      </c>
      <c r="Z4718">
        <v>4.709588E-2</v>
      </c>
      <c r="AA4718">
        <v>0.98910679999999995</v>
      </c>
      <c r="AB4718">
        <v>24</v>
      </c>
      <c r="AC4718">
        <v>3.5495999999999901</v>
      </c>
      <c r="AD4718">
        <v>-1.1097326999220001</v>
      </c>
      <c r="AE4718">
        <v>-23.159400000000002</v>
      </c>
      <c r="AF4718">
        <v>-3.28215230662081</v>
      </c>
      <c r="AG4718">
        <v>-1.1097326999220001</v>
      </c>
      <c r="AH4718">
        <v>23.145846167836002</v>
      </c>
      <c r="AI4718">
        <v>92.717809127491506</v>
      </c>
      <c r="AJ4718">
        <v>98.070908228779402</v>
      </c>
      <c r="AK4718">
        <v>23.403722465758701</v>
      </c>
      <c r="AL4718">
        <v>80.050116750111798</v>
      </c>
      <c r="AM4718">
        <v>96.593581239811698</v>
      </c>
      <c r="AN4718">
        <v>1.0000000130748401</v>
      </c>
    </row>
    <row r="4719" spans="1:40" x14ac:dyDescent="0.25">
      <c r="A4719" t="str">
        <f>"20190312172212257"</f>
        <v>20190312172212257</v>
      </c>
      <c r="B4719" t="str">
        <f>"1552382532245102"</f>
        <v>1552382532245102</v>
      </c>
      <c r="C4719" t="s">
        <v>40</v>
      </c>
      <c r="D4719">
        <v>3.3052619999999999</v>
      </c>
      <c r="E4719">
        <v>0.45811790000000002</v>
      </c>
      <c r="F4719" t="s">
        <v>42</v>
      </c>
      <c r="G4719">
        <v>-184.57579999999999</v>
      </c>
      <c r="H4719" s="1">
        <v>-3.7296010000000001E-6</v>
      </c>
      <c r="I4719">
        <v>165.48570000000001</v>
      </c>
      <c r="J4719">
        <v>-189.9478</v>
      </c>
      <c r="K4719">
        <v>1.109764</v>
      </c>
      <c r="L4719">
        <v>189.14009999999999</v>
      </c>
      <c r="M4719">
        <v>1.042236E-2</v>
      </c>
      <c r="N4719">
        <v>0</v>
      </c>
      <c r="O4719">
        <v>-0.99985060000000003</v>
      </c>
      <c r="P4719">
        <v>0.12666340000000001</v>
      </c>
      <c r="Q4719">
        <v>0.1592682</v>
      </c>
      <c r="R4719">
        <v>-0.97907639999999996</v>
      </c>
      <c r="S4719">
        <v>0.67768859999999997</v>
      </c>
      <c r="T4719">
        <v>-0.139981299999999</v>
      </c>
      <c r="U4719">
        <v>-2.9996800000000001</v>
      </c>
      <c r="V4719">
        <v>-0.1160606</v>
      </c>
      <c r="W4719">
        <v>0.17304919999999999</v>
      </c>
      <c r="X4719">
        <v>0.97805109999999995</v>
      </c>
      <c r="Y4719">
        <v>-0.20995920000000001</v>
      </c>
      <c r="Z4719">
        <v>4.5519049999999998E-2</v>
      </c>
      <c r="AA4719">
        <v>0.97664989999999996</v>
      </c>
      <c r="AB4719">
        <v>24</v>
      </c>
      <c r="AC4719">
        <v>5.3720000000000097</v>
      </c>
      <c r="AD4719">
        <v>-1.109767729601</v>
      </c>
      <c r="AE4719">
        <v>-23.6543999999999</v>
      </c>
      <c r="AF4719">
        <v>-5.1144447709097003</v>
      </c>
      <c r="AG4719">
        <v>-1.109767729601</v>
      </c>
      <c r="AH4719">
        <v>23.659586246392401</v>
      </c>
      <c r="AI4719">
        <v>92.624983199849495</v>
      </c>
      <c r="AJ4719">
        <v>102.197827949448</v>
      </c>
      <c r="AK4719">
        <v>24.231490896740802</v>
      </c>
      <c r="AL4719">
        <v>80.034846665209599</v>
      </c>
      <c r="AM4719">
        <v>96.767367100816998</v>
      </c>
      <c r="AN4719">
        <v>1.0000000213521001</v>
      </c>
    </row>
    <row r="4720" spans="1:40" x14ac:dyDescent="0.25">
      <c r="A4720" t="str">
        <f>"20190312172212269"</f>
        <v>20190312172212269</v>
      </c>
      <c r="B4720" t="str">
        <f>"1552382532265599"</f>
        <v>1552382532265599</v>
      </c>
      <c r="C4720" t="s">
        <v>40</v>
      </c>
      <c r="D4720">
        <v>3.2968860000000002</v>
      </c>
      <c r="E4720">
        <v>0.4558622</v>
      </c>
      <c r="F4720" t="s">
        <v>42</v>
      </c>
      <c r="G4720">
        <v>-184.06319999999999</v>
      </c>
      <c r="H4720" s="1">
        <v>-3.3294280000000002E-6</v>
      </c>
      <c r="I4720">
        <v>164.20099999999999</v>
      </c>
      <c r="J4720">
        <v>-189.94739999999999</v>
      </c>
      <c r="K4720">
        <v>1.109793</v>
      </c>
      <c r="L4720">
        <v>189.02090000000001</v>
      </c>
      <c r="M4720">
        <v>9.70589E-3</v>
      </c>
      <c r="N4720">
        <v>0</v>
      </c>
      <c r="O4720">
        <v>-0.99985760000000001</v>
      </c>
      <c r="P4720">
        <v>0.12828699999999901</v>
      </c>
      <c r="Q4720">
        <v>0.15922999999999901</v>
      </c>
      <c r="R4720">
        <v>-0.97887069999999998</v>
      </c>
      <c r="S4720">
        <v>0.70654300000000003</v>
      </c>
      <c r="T4720">
        <v>-0.13324759999999999</v>
      </c>
      <c r="U4720">
        <v>-2.9943849999999999</v>
      </c>
      <c r="V4720">
        <v>-0.1184016</v>
      </c>
      <c r="W4720">
        <v>0.1730004</v>
      </c>
      <c r="X4720">
        <v>0.97777910000000001</v>
      </c>
      <c r="Y4720">
        <v>-0.219976</v>
      </c>
      <c r="Z4720">
        <v>4.3314039999999998E-2</v>
      </c>
      <c r="AA4720">
        <v>0.97454320000000005</v>
      </c>
      <c r="AB4720">
        <v>24</v>
      </c>
      <c r="AC4720">
        <v>5.8841999999999901</v>
      </c>
      <c r="AD4720">
        <v>-1.109796329428</v>
      </c>
      <c r="AE4720">
        <v>-24.819900000000001</v>
      </c>
      <c r="AF4720">
        <v>-5.63233888966354</v>
      </c>
      <c r="AG4720">
        <v>-1.109796329428</v>
      </c>
      <c r="AH4720">
        <v>24.828847843082698</v>
      </c>
      <c r="AI4720">
        <v>92.495963663114495</v>
      </c>
      <c r="AJ4720">
        <v>102.781046001975</v>
      </c>
      <c r="AK4720">
        <v>25.483849286867599</v>
      </c>
      <c r="AL4720">
        <v>80.037685531222294</v>
      </c>
      <c r="AM4720">
        <v>96.904465792470305</v>
      </c>
      <c r="AN4720">
        <v>1.0000000228397601</v>
      </c>
    </row>
    <row r="4721" spans="1:40" x14ac:dyDescent="0.25">
      <c r="A4721" t="str">
        <f>"20190312172212281"</f>
        <v>20190312172212281</v>
      </c>
      <c r="B4721" t="str">
        <f>"1552382532275358"</f>
        <v>1552382532275358</v>
      </c>
      <c r="C4721" t="s">
        <v>40</v>
      </c>
      <c r="D4721">
        <v>3.2398470000000001</v>
      </c>
      <c r="E4721">
        <v>0.45500479999999999</v>
      </c>
      <c r="F4721" t="s">
        <v>42</v>
      </c>
      <c r="G4721">
        <v>-183.6712</v>
      </c>
      <c r="H4721" s="1">
        <v>-3.0861640000000001E-6</v>
      </c>
      <c r="I4721">
        <v>163.29589999999999</v>
      </c>
      <c r="J4721">
        <v>-189.947</v>
      </c>
      <c r="K4721">
        <v>1.109826</v>
      </c>
      <c r="L4721">
        <v>188.90209999999999</v>
      </c>
      <c r="M4721">
        <v>9.0031139999999996E-3</v>
      </c>
      <c r="N4721">
        <v>0</v>
      </c>
      <c r="O4721">
        <v>-0.99986459999999999</v>
      </c>
      <c r="P4721">
        <v>0.12889539999999999</v>
      </c>
      <c r="Q4721">
        <v>0.1585993</v>
      </c>
      <c r="R4721">
        <v>-0.97889380000000004</v>
      </c>
      <c r="S4721">
        <v>0.72950740000000003</v>
      </c>
      <c r="T4721">
        <v>-0.128996</v>
      </c>
      <c r="U4721">
        <v>-2.9901119999999999</v>
      </c>
      <c r="V4721">
        <v>-0.11971270000000001</v>
      </c>
      <c r="W4721">
        <v>0.17235880000000001</v>
      </c>
      <c r="X4721">
        <v>0.97773270000000001</v>
      </c>
      <c r="Y4721">
        <v>-0.22805590000000001</v>
      </c>
      <c r="Z4721">
        <v>4.1916670000000003E-2</v>
      </c>
      <c r="AA4721">
        <v>0.97274539999999998</v>
      </c>
      <c r="AB4721">
        <v>23</v>
      </c>
      <c r="AC4721">
        <v>6.2758000000000003</v>
      </c>
      <c r="AD4721">
        <v>-1.1098290861639999</v>
      </c>
      <c r="AE4721">
        <v>-25.606200000000001</v>
      </c>
      <c r="AF4721">
        <v>-6.0342948237595397</v>
      </c>
      <c r="AG4721">
        <v>-1.1098290861639999</v>
      </c>
      <c r="AH4721">
        <v>25.616274545942201</v>
      </c>
      <c r="AI4721">
        <v>92.414783984775696</v>
      </c>
      <c r="AJ4721">
        <v>103.25521913311201</v>
      </c>
      <c r="AK4721">
        <v>26.340804016461501</v>
      </c>
      <c r="AL4721">
        <v>80.075006512336103</v>
      </c>
      <c r="AM4721">
        <v>96.980499026295504</v>
      </c>
      <c r="AN4721">
        <v>0.999999959564009</v>
      </c>
    </row>
    <row r="4722" spans="1:40" x14ac:dyDescent="0.25">
      <c r="A4722" t="str">
        <f>"20190312172212291"</f>
        <v>20190312172212291</v>
      </c>
      <c r="B4722" t="str">
        <f>"1552382532285119"</f>
        <v>1552382532285119</v>
      </c>
      <c r="C4722" t="s">
        <v>40</v>
      </c>
      <c r="D4722">
        <v>3.2700010000000002</v>
      </c>
      <c r="E4722">
        <v>0.4545959</v>
      </c>
      <c r="F4722" t="s">
        <v>42</v>
      </c>
      <c r="G4722">
        <v>-183.60419999999999</v>
      </c>
      <c r="H4722" s="1">
        <v>-3.0709729999999998E-6</v>
      </c>
      <c r="I4722">
        <v>163.21</v>
      </c>
      <c r="J4722">
        <v>-189.94669999999999</v>
      </c>
      <c r="K4722">
        <v>1.1098570000000001</v>
      </c>
      <c r="L4722">
        <v>188.7852</v>
      </c>
      <c r="M4722">
        <v>8.3615949999999994E-3</v>
      </c>
      <c r="N4722">
        <v>0</v>
      </c>
      <c r="O4722">
        <v>-0.99987009999999998</v>
      </c>
      <c r="P4722">
        <v>0.1296032</v>
      </c>
      <c r="Q4722">
        <v>0.1580027</v>
      </c>
      <c r="R4722">
        <v>-0.97889660000000001</v>
      </c>
      <c r="S4722">
        <v>0.73777769999999898</v>
      </c>
      <c r="T4722">
        <v>-0.12909380000000001</v>
      </c>
      <c r="U4722">
        <v>-2.988464</v>
      </c>
      <c r="V4722">
        <v>-0.1210656</v>
      </c>
      <c r="W4722">
        <v>0.1717505</v>
      </c>
      <c r="X4722">
        <v>0.97767320000000002</v>
      </c>
      <c r="Y4722">
        <v>-0.23134150000000001</v>
      </c>
      <c r="Z4722">
        <v>4.1941060000000002E-2</v>
      </c>
      <c r="AA4722">
        <v>0.97196819999999895</v>
      </c>
      <c r="AB4722">
        <v>23</v>
      </c>
      <c r="AC4722">
        <v>6.3425000000000002</v>
      </c>
      <c r="AD4722">
        <v>-1.10986007097299</v>
      </c>
      <c r="AE4722">
        <v>-25.575199999999899</v>
      </c>
      <c r="AF4722">
        <v>-6.1175553125308602</v>
      </c>
      <c r="AG4722">
        <v>-1.10986007097299</v>
      </c>
      <c r="AH4722">
        <v>25.581959268405701</v>
      </c>
      <c r="AI4722">
        <v>92.416149791432403</v>
      </c>
      <c r="AJ4722">
        <v>103.44889103492601</v>
      </c>
      <c r="AK4722">
        <v>26.326657827939101</v>
      </c>
      <c r="AL4722">
        <v>80.110387556895503</v>
      </c>
      <c r="AM4722">
        <v>97.0590210454002</v>
      </c>
      <c r="AN4722">
        <v>0.99999999987592503</v>
      </c>
    </row>
    <row r="4723" spans="1:40" x14ac:dyDescent="0.25">
      <c r="A4723" t="str">
        <f>"20190312172212302"</f>
        <v>20190312172212302</v>
      </c>
      <c r="B4723" t="str">
        <f>"1552382532295854"</f>
        <v>1552382532295854</v>
      </c>
      <c r="C4723" t="s">
        <v>40</v>
      </c>
      <c r="D4723">
        <v>3.266537</v>
      </c>
      <c r="E4723">
        <v>0.45524239999999999</v>
      </c>
      <c r="F4723" t="s">
        <v>42</v>
      </c>
      <c r="G4723">
        <v>-183.63509999999999</v>
      </c>
      <c r="H4723" s="1">
        <v>-3.1399950000000001E-6</v>
      </c>
      <c r="I4723">
        <v>163.4111</v>
      </c>
      <c r="J4723">
        <v>-189.94640000000001</v>
      </c>
      <c r="K4723">
        <v>1.1098889999999999</v>
      </c>
      <c r="L4723">
        <v>188.67500000000001</v>
      </c>
      <c r="M4723">
        <v>7.7673350000000002E-3</v>
      </c>
      <c r="N4723">
        <v>0</v>
      </c>
      <c r="O4723">
        <v>-0.99987490000000001</v>
      </c>
      <c r="P4723">
        <v>0.1296744</v>
      </c>
      <c r="Q4723">
        <v>0.15783549999999999</v>
      </c>
      <c r="R4723">
        <v>-0.97891430000000001</v>
      </c>
      <c r="S4723">
        <v>0.74308779999999997</v>
      </c>
      <c r="T4723">
        <v>-0.13066700000000001</v>
      </c>
      <c r="U4723">
        <v>-2.9873660000000002</v>
      </c>
      <c r="V4723">
        <v>-0.1217332</v>
      </c>
      <c r="W4723">
        <v>0.17157059999999999</v>
      </c>
      <c r="X4723">
        <v>0.97762190000000004</v>
      </c>
      <c r="Y4723">
        <v>-0.23362469999999999</v>
      </c>
      <c r="Z4723">
        <v>4.2445999999999998E-2</v>
      </c>
      <c r="AA4723">
        <v>0.97139989999999998</v>
      </c>
      <c r="AB4723">
        <v>23</v>
      </c>
      <c r="AC4723">
        <v>6.3113000000000099</v>
      </c>
      <c r="AD4723">
        <v>-1.1098921399949999</v>
      </c>
      <c r="AE4723">
        <v>-25.2639</v>
      </c>
      <c r="AF4723">
        <v>-6.1037693997924496</v>
      </c>
      <c r="AG4723">
        <v>-1.1098921399949999</v>
      </c>
      <c r="AH4723">
        <v>25.266264587744399</v>
      </c>
      <c r="AI4723">
        <v>92.445017414214803</v>
      </c>
      <c r="AJ4723">
        <v>103.58118207017201</v>
      </c>
      <c r="AK4723">
        <v>26.016763589389299</v>
      </c>
      <c r="AL4723">
        <v>80.120850487710399</v>
      </c>
      <c r="AM4723">
        <v>97.097919783133406</v>
      </c>
      <c r="AN4723">
        <v>1.0000000110631</v>
      </c>
    </row>
    <row r="4724" spans="1:40" x14ac:dyDescent="0.25">
      <c r="A4724" t="str">
        <f>"20190312172212312"</f>
        <v>20190312172212312</v>
      </c>
      <c r="B4724" t="str">
        <f>"1552382532305614"</f>
        <v>1552382532305614</v>
      </c>
      <c r="C4724" t="s">
        <v>40</v>
      </c>
      <c r="D4724">
        <v>3.2605749999999998</v>
      </c>
      <c r="E4724">
        <v>0.45542729999999998</v>
      </c>
      <c r="F4724" t="s">
        <v>42</v>
      </c>
      <c r="G4724">
        <v>-183.87299999999999</v>
      </c>
      <c r="H4724" s="1">
        <v>-3.3310029999999998E-6</v>
      </c>
      <c r="I4724">
        <v>164.07329999999999</v>
      </c>
      <c r="J4724">
        <v>-189.94630000000001</v>
      </c>
      <c r="K4724">
        <v>1.109926</v>
      </c>
      <c r="L4724">
        <v>188.5641</v>
      </c>
      <c r="M4724">
        <v>7.2075790000000004E-3</v>
      </c>
      <c r="N4724">
        <v>0</v>
      </c>
      <c r="O4724">
        <v>-0.99987899999999996</v>
      </c>
      <c r="P4724">
        <v>0.12914039999999999</v>
      </c>
      <c r="Q4724">
        <v>0.15783349999999999</v>
      </c>
      <c r="R4724">
        <v>-0.97898510000000005</v>
      </c>
      <c r="S4724">
        <v>0.73780819999999903</v>
      </c>
      <c r="T4724">
        <v>-0.13483039999999999</v>
      </c>
      <c r="U4724">
        <v>-2.988632</v>
      </c>
      <c r="V4724">
        <v>-0.12176339999999999</v>
      </c>
      <c r="W4724">
        <v>0.1715546</v>
      </c>
      <c r="X4724">
        <v>0.97762099999999996</v>
      </c>
      <c r="Y4724">
        <v>-0.2324417</v>
      </c>
      <c r="Z4724">
        <v>4.3793569999999997E-2</v>
      </c>
      <c r="AA4724">
        <v>0.97162389999999998</v>
      </c>
      <c r="AB4724">
        <v>23</v>
      </c>
      <c r="AC4724">
        <v>6.0733000000000104</v>
      </c>
      <c r="AD4724">
        <v>-1.1099293310030001</v>
      </c>
      <c r="AE4724">
        <v>-24.4908</v>
      </c>
      <c r="AF4724">
        <v>-5.8852185460916999</v>
      </c>
      <c r="AG4724">
        <v>-1.1099293310030001</v>
      </c>
      <c r="AH4724">
        <v>24.486561758287699</v>
      </c>
      <c r="AI4724">
        <v>92.523564825743705</v>
      </c>
      <c r="AJ4724">
        <v>103.514413132214</v>
      </c>
      <c r="AK4724">
        <v>25.208320991242601</v>
      </c>
      <c r="AL4724">
        <v>80.121781535120704</v>
      </c>
      <c r="AM4724">
        <v>97.099669162048698</v>
      </c>
      <c r="AN4724">
        <v>1.0000000630008501</v>
      </c>
    </row>
    <row r="4725" spans="1:40" x14ac:dyDescent="0.25">
      <c r="A4725" t="str">
        <f>"20190312172212333"</f>
        <v>20190312172212333</v>
      </c>
      <c r="B4725" t="str">
        <f>"1552382532325137"</f>
        <v>1552382532325137</v>
      </c>
      <c r="C4725" t="s">
        <v>40</v>
      </c>
      <c r="D4725">
        <v>3.2823190000000002</v>
      </c>
      <c r="E4725">
        <v>0.45555079999999998</v>
      </c>
      <c r="F4725" t="s">
        <v>42</v>
      </c>
      <c r="G4725">
        <v>-183.96889999999999</v>
      </c>
      <c r="H4725" s="1">
        <v>-3.3667319999999999E-6</v>
      </c>
      <c r="I4725">
        <v>164.2328</v>
      </c>
      <c r="J4725">
        <v>-189.946</v>
      </c>
      <c r="K4725">
        <v>1.110007</v>
      </c>
      <c r="L4725">
        <v>188.3409</v>
      </c>
      <c r="M4725">
        <v>6.1532030000000003E-3</v>
      </c>
      <c r="N4725">
        <v>0</v>
      </c>
      <c r="O4725">
        <v>-0.99988630000000001</v>
      </c>
      <c r="P4725">
        <v>0.12687670000000001</v>
      </c>
      <c r="Q4725">
        <v>0.158717</v>
      </c>
      <c r="R4725">
        <v>-0.97913830000000002</v>
      </c>
      <c r="S4725">
        <v>0.73442079999999998</v>
      </c>
      <c r="T4725">
        <v>-0.13637349999999901</v>
      </c>
      <c r="U4725">
        <v>-2.9895019999999999</v>
      </c>
      <c r="V4725">
        <v>-0.1205625</v>
      </c>
      <c r="W4725">
        <v>0.17240720000000001</v>
      </c>
      <c r="X4725">
        <v>0.97761980000000004</v>
      </c>
      <c r="Y4725">
        <v>-0.23235819999999999</v>
      </c>
      <c r="Z4725">
        <v>4.4288099999999997E-2</v>
      </c>
      <c r="AA4725">
        <v>0.97162150000000003</v>
      </c>
      <c r="AB4725">
        <v>23</v>
      </c>
      <c r="AC4725">
        <v>5.9771000000000001</v>
      </c>
      <c r="AD4725">
        <v>-1.110010366732</v>
      </c>
      <c r="AE4725">
        <v>-24.1081</v>
      </c>
      <c r="AF4725">
        <v>-5.8170130133444102</v>
      </c>
      <c r="AG4725">
        <v>-1.110010366732</v>
      </c>
      <c r="AH4725">
        <v>24.096300262913498</v>
      </c>
      <c r="AI4725">
        <v>92.5639499015507</v>
      </c>
      <c r="AJ4725">
        <v>103.571927812946</v>
      </c>
      <c r="AK4725">
        <v>24.8133320973254</v>
      </c>
      <c r="AL4725">
        <v>80.072191819862894</v>
      </c>
      <c r="AM4725">
        <v>97.030360867458199</v>
      </c>
      <c r="AN4725">
        <v>1.00000001618506</v>
      </c>
    </row>
    <row r="4726" spans="1:40" x14ac:dyDescent="0.25">
      <c r="A4726" t="str">
        <f>"20190312172212345"</f>
        <v>20190312172212345</v>
      </c>
      <c r="B4726" t="str">
        <f>"1552382532335870"</f>
        <v>1552382532335870</v>
      </c>
      <c r="C4726" t="s">
        <v>40</v>
      </c>
      <c r="D4726">
        <v>3.334714</v>
      </c>
      <c r="E4726">
        <v>0.45545619999999998</v>
      </c>
      <c r="F4726" t="s">
        <v>42</v>
      </c>
      <c r="G4726">
        <v>-184.096</v>
      </c>
      <c r="H4726" s="1">
        <v>-3.3384140000000001E-6</v>
      </c>
      <c r="I4726">
        <v>164.24709999999999</v>
      </c>
      <c r="J4726">
        <v>-189.94579999999999</v>
      </c>
      <c r="K4726">
        <v>1.110058</v>
      </c>
      <c r="L4726">
        <v>188.2193</v>
      </c>
      <c r="M4726">
        <v>5.6309169999999896E-3</v>
      </c>
      <c r="N4726">
        <v>0</v>
      </c>
      <c r="O4726">
        <v>-0.99988940000000004</v>
      </c>
      <c r="P4726">
        <v>0.1254498</v>
      </c>
      <c r="Q4726">
        <v>0.158944899999999</v>
      </c>
      <c r="R4726">
        <v>-0.97928530000000003</v>
      </c>
      <c r="S4726">
        <v>0.72648619999999997</v>
      </c>
      <c r="T4726">
        <v>-0.1378481</v>
      </c>
      <c r="U4726">
        <v>-2.992111</v>
      </c>
      <c r="V4726">
        <v>-0.1196657</v>
      </c>
      <c r="W4726">
        <v>0.1726181</v>
      </c>
      <c r="X4726">
        <v>0.97769280000000003</v>
      </c>
      <c r="Y4726">
        <v>-0.23023289999999999</v>
      </c>
      <c r="Z4726">
        <v>4.4753679999999997E-2</v>
      </c>
      <c r="AA4726">
        <v>0.97210589999999997</v>
      </c>
      <c r="AB4726">
        <v>23</v>
      </c>
      <c r="AC4726">
        <v>5.8498000000000099</v>
      </c>
      <c r="AD4726">
        <v>-1.1100613384139999</v>
      </c>
      <c r="AE4726">
        <v>-23.972200000000001</v>
      </c>
      <c r="AF4726">
        <v>-5.7031671785201503</v>
      </c>
      <c r="AG4726">
        <v>-1.1100613384139999</v>
      </c>
      <c r="AH4726">
        <v>23.956281133643898</v>
      </c>
      <c r="AI4726">
        <v>92.580985385636197</v>
      </c>
      <c r="AJ4726">
        <v>103.390892374442</v>
      </c>
      <c r="AK4726">
        <v>24.650796291304101</v>
      </c>
      <c r="AL4726">
        <v>80.059924552061801</v>
      </c>
      <c r="AM4726">
        <v>96.9780674178201</v>
      </c>
      <c r="AN4726">
        <v>1.00000004968796</v>
      </c>
    </row>
    <row r="4727" spans="1:40" x14ac:dyDescent="0.25">
      <c r="A4727" t="str">
        <f>"20190312172212357"</f>
        <v>20190312172212357</v>
      </c>
      <c r="B4727" t="str">
        <f>"1552382532345630"</f>
        <v>1552382532345630</v>
      </c>
      <c r="C4727" t="s">
        <v>40</v>
      </c>
      <c r="D4727">
        <v>3.303833</v>
      </c>
      <c r="E4727">
        <v>0.45540960000000003</v>
      </c>
      <c r="F4727" t="s">
        <v>42</v>
      </c>
      <c r="G4727">
        <v>-184.04900000000001</v>
      </c>
      <c r="H4727" s="1">
        <v>-3.1864600000000001E-6</v>
      </c>
      <c r="I4727">
        <v>163.81890000000001</v>
      </c>
      <c r="J4727">
        <v>-189.94569999999999</v>
      </c>
      <c r="K4727">
        <v>1.110098</v>
      </c>
      <c r="L4727">
        <v>188.10059999999999</v>
      </c>
      <c r="M4727">
        <v>5.1534079999999999E-3</v>
      </c>
      <c r="N4727">
        <v>0</v>
      </c>
      <c r="O4727">
        <v>-0.99989189999999994</v>
      </c>
      <c r="P4727">
        <v>0.1239069</v>
      </c>
      <c r="Q4727">
        <v>0.15897790000000001</v>
      </c>
      <c r="R4727">
        <v>-0.97947620000000002</v>
      </c>
      <c r="S4727">
        <v>0.72329709999999903</v>
      </c>
      <c r="T4727">
        <v>-0.1361579</v>
      </c>
      <c r="U4727">
        <v>-2.9929049999999999</v>
      </c>
      <c r="V4727">
        <v>-0.1186084</v>
      </c>
      <c r="W4727">
        <v>0.1726345</v>
      </c>
      <c r="X4727">
        <v>0.97781870000000004</v>
      </c>
      <c r="Y4727">
        <v>-0.2296658</v>
      </c>
      <c r="Z4727">
        <v>4.4203289999999999E-2</v>
      </c>
      <c r="AA4727">
        <v>0.97226520000000005</v>
      </c>
      <c r="AB4727">
        <v>23</v>
      </c>
      <c r="AC4727">
        <v>5.8966999999999796</v>
      </c>
      <c r="AD4727">
        <v>-1.1101011864599999</v>
      </c>
      <c r="AE4727">
        <v>-24.281699999999901</v>
      </c>
      <c r="AF4727">
        <v>-5.7601075713278203</v>
      </c>
      <c r="AG4727">
        <v>-1.1101011864599999</v>
      </c>
      <c r="AH4727">
        <v>24.263878808433098</v>
      </c>
      <c r="AI4727">
        <v>92.548784976017302</v>
      </c>
      <c r="AJ4727">
        <v>103.354487849221</v>
      </c>
      <c r="AK4727">
        <v>24.962912063855399</v>
      </c>
      <c r="AL4727">
        <v>80.058970247495495</v>
      </c>
      <c r="AM4727">
        <v>96.916131018662099</v>
      </c>
      <c r="AN4727">
        <v>1.0000000166052401</v>
      </c>
    </row>
    <row r="4728" spans="1:40" x14ac:dyDescent="0.25">
      <c r="A4728" t="str">
        <f>"20190312172212370"</f>
        <v>20190312172212370</v>
      </c>
      <c r="B4728" t="str">
        <f>"1552382532365150"</f>
        <v>1552382532365150</v>
      </c>
      <c r="C4728" t="s">
        <v>40</v>
      </c>
      <c r="D4728">
        <v>3.264249</v>
      </c>
      <c r="E4728">
        <v>0.45539220000000002</v>
      </c>
      <c r="F4728" t="s">
        <v>42</v>
      </c>
      <c r="G4728">
        <v>-184.04079999999999</v>
      </c>
      <c r="H4728" s="1">
        <v>-3.0732110000000002E-6</v>
      </c>
      <c r="I4728">
        <v>163.51830000000001</v>
      </c>
      <c r="J4728">
        <v>-189.94560000000001</v>
      </c>
      <c r="K4728">
        <v>1.1101460000000001</v>
      </c>
      <c r="L4728">
        <v>187.9751</v>
      </c>
      <c r="M4728">
        <v>4.7043470000000002E-3</v>
      </c>
      <c r="N4728">
        <v>0</v>
      </c>
      <c r="O4728">
        <v>-0.99989410000000001</v>
      </c>
      <c r="P4728">
        <v>0.1224126</v>
      </c>
      <c r="Q4728">
        <v>0.15886989999999901</v>
      </c>
      <c r="R4728">
        <v>-0.97968129999999998</v>
      </c>
      <c r="S4728">
        <v>0.71914669999999903</v>
      </c>
      <c r="T4728">
        <v>-0.1351976</v>
      </c>
      <c r="U4728">
        <v>-2.9938349999999998</v>
      </c>
      <c r="V4728">
        <v>-0.1175754</v>
      </c>
      <c r="W4728">
        <v>0.1725101</v>
      </c>
      <c r="X4728">
        <v>0.97796539999999998</v>
      </c>
      <c r="Y4728">
        <v>-0.22876299999999999</v>
      </c>
      <c r="Z4728">
        <v>4.3890819999999997E-2</v>
      </c>
      <c r="AA4728">
        <v>0.97249220000000003</v>
      </c>
      <c r="AB4728">
        <v>23</v>
      </c>
      <c r="AC4728">
        <v>5.9048000000000203</v>
      </c>
      <c r="AD4728">
        <v>-1.11014907321099</v>
      </c>
      <c r="AE4728">
        <v>-24.456799999999902</v>
      </c>
      <c r="AF4728">
        <v>-5.7784200920982096</v>
      </c>
      <c r="AG4728">
        <v>-1.11014907321099</v>
      </c>
      <c r="AH4728">
        <v>24.436732769352499</v>
      </c>
      <c r="AI4728">
        <v>92.531415920569799</v>
      </c>
      <c r="AJ4728">
        <v>103.30404414521099</v>
      </c>
      <c r="AK4728">
        <v>25.1351641762345</v>
      </c>
      <c r="AL4728">
        <v>80.066206405882994</v>
      </c>
      <c r="AM4728">
        <v>96.855453310599898</v>
      </c>
      <c r="AN4728">
        <v>1.0000000164421601</v>
      </c>
    </row>
    <row r="4729" spans="1:40" x14ac:dyDescent="0.25">
      <c r="A4729" t="str">
        <f>"20190312172212381"</f>
        <v>20190312172212381</v>
      </c>
      <c r="B4729" t="str">
        <f>"1552382532375886"</f>
        <v>1552382532375886</v>
      </c>
      <c r="C4729" t="s">
        <v>40</v>
      </c>
      <c r="D4729">
        <v>3.2846700000000002</v>
      </c>
      <c r="E4729">
        <v>0.45556370000000002</v>
      </c>
      <c r="F4729" t="s">
        <v>42</v>
      </c>
      <c r="G4729">
        <v>-184.1259</v>
      </c>
      <c r="H4729" s="1">
        <v>-3.0760319999999999E-6</v>
      </c>
      <c r="I4729">
        <v>163.58459999999999</v>
      </c>
      <c r="J4729">
        <v>-189.94550000000001</v>
      </c>
      <c r="K4729">
        <v>1.110201</v>
      </c>
      <c r="L4729">
        <v>187.84620000000001</v>
      </c>
      <c r="M4729">
        <v>4.2704279999999997E-3</v>
      </c>
      <c r="N4729">
        <v>0</v>
      </c>
      <c r="O4729">
        <v>-0.99989600000000001</v>
      </c>
      <c r="P4729">
        <v>0.1205663</v>
      </c>
      <c r="Q4729">
        <v>0.15862509999999999</v>
      </c>
      <c r="R4729">
        <v>-0.97994979999999998</v>
      </c>
      <c r="S4729">
        <v>0.71463009999999905</v>
      </c>
      <c r="T4729">
        <v>-0.1363212</v>
      </c>
      <c r="U4729">
        <v>-2.9950410000000001</v>
      </c>
      <c r="V4729">
        <v>-0.1161761</v>
      </c>
      <c r="W4729">
        <v>0.1722475</v>
      </c>
      <c r="X4729">
        <v>0.97817889999999996</v>
      </c>
      <c r="Y4729">
        <v>-0.22770570000000001</v>
      </c>
      <c r="Z4729">
        <v>4.4250890000000001E-2</v>
      </c>
      <c r="AA4729">
        <v>0.97272400000000003</v>
      </c>
      <c r="AB4729">
        <v>23</v>
      </c>
      <c r="AC4729">
        <v>5.8196000000000003</v>
      </c>
      <c r="AD4729">
        <v>-1.110204076032</v>
      </c>
      <c r="AE4729">
        <v>-24.261600000000001</v>
      </c>
      <c r="AF4729">
        <v>-5.7046343459766202</v>
      </c>
      <c r="AG4729">
        <v>-1.110204076032</v>
      </c>
      <c r="AH4729">
        <v>24.238240895389001</v>
      </c>
      <c r="AI4729">
        <v>92.552876226669198</v>
      </c>
      <c r="AJ4729">
        <v>103.24392184879601</v>
      </c>
      <c r="AK4729">
        <v>24.925242783464402</v>
      </c>
      <c r="AL4729">
        <v>80.0814810007912</v>
      </c>
      <c r="AM4729">
        <v>96.773162415017794</v>
      </c>
      <c r="AN4729">
        <v>1.00000002393633</v>
      </c>
    </row>
    <row r="4730" spans="1:40" x14ac:dyDescent="0.25">
      <c r="A4730" t="str">
        <f>"20190312172212393"</f>
        <v>20190312172212393</v>
      </c>
      <c r="B4730" t="str">
        <f>"1552382532385646"</f>
        <v>1552382532385646</v>
      </c>
      <c r="C4730" t="s">
        <v>40</v>
      </c>
      <c r="D4730">
        <v>3.279874</v>
      </c>
      <c r="E4730">
        <v>0.45561210000000002</v>
      </c>
      <c r="F4730" t="s">
        <v>42</v>
      </c>
      <c r="G4730">
        <v>-184.28559999999999</v>
      </c>
      <c r="H4730" s="1">
        <v>-3.1470699999999999E-6</v>
      </c>
      <c r="I4730">
        <v>163.88030000000001</v>
      </c>
      <c r="J4730">
        <v>-189.94550000000001</v>
      </c>
      <c r="K4730">
        <v>1.1102609999999999</v>
      </c>
      <c r="L4730">
        <v>187.71430000000001</v>
      </c>
      <c r="M4730">
        <v>3.899923E-3</v>
      </c>
      <c r="N4730">
        <v>0</v>
      </c>
      <c r="O4730">
        <v>-0.99989760000000005</v>
      </c>
      <c r="P4730">
        <v>0.1190687</v>
      </c>
      <c r="Q4730">
        <v>0.15855329999999901</v>
      </c>
      <c r="R4730">
        <v>-0.98014440000000003</v>
      </c>
      <c r="S4730">
        <v>0.70773319999999995</v>
      </c>
      <c r="T4730">
        <v>-0.1388239</v>
      </c>
      <c r="U4730">
        <v>-2.9967800000000002</v>
      </c>
      <c r="V4730">
        <v>-0.115065899999999</v>
      </c>
      <c r="W4730">
        <v>0.1721568</v>
      </c>
      <c r="X4730">
        <v>0.97832609999999998</v>
      </c>
      <c r="Y4730">
        <v>-0.22581090000000001</v>
      </c>
      <c r="Z4730">
        <v>4.505816E-2</v>
      </c>
      <c r="AA4730">
        <v>0.97312860000000001</v>
      </c>
      <c r="AB4730">
        <v>23</v>
      </c>
      <c r="AC4730">
        <v>5.6599000000000199</v>
      </c>
      <c r="AD4730">
        <v>-1.1102641470700001</v>
      </c>
      <c r="AE4730">
        <v>-23.834</v>
      </c>
      <c r="AF4730">
        <v>-5.55548554147519</v>
      </c>
      <c r="AG4730">
        <v>-1.1102641470700001</v>
      </c>
      <c r="AH4730">
        <v>23.806990718967299</v>
      </c>
      <c r="AI4730">
        <v>92.600352143170795</v>
      </c>
      <c r="AJ4730">
        <v>103.135211530512</v>
      </c>
      <c r="AK4730">
        <v>24.471798323188398</v>
      </c>
      <c r="AL4730">
        <v>80.086756711970594</v>
      </c>
      <c r="AM4730">
        <v>96.708029417671995</v>
      </c>
      <c r="AN4730">
        <v>1.00000004153512</v>
      </c>
    </row>
    <row r="4731" spans="1:40" x14ac:dyDescent="0.25">
      <c r="A4731" t="str">
        <f>"20190312172212406"</f>
        <v>20190312172212406</v>
      </c>
      <c r="B4731" t="str">
        <f>"1552382532395913"</f>
        <v>1552382532395913</v>
      </c>
      <c r="C4731" t="s">
        <v>40</v>
      </c>
      <c r="D4731">
        <v>3.2670490000000001</v>
      </c>
      <c r="E4731">
        <v>0.45560010000000001</v>
      </c>
      <c r="F4731" t="s">
        <v>42</v>
      </c>
      <c r="G4731">
        <v>-184.37639999999999</v>
      </c>
      <c r="H4731" s="1">
        <v>-3.1491909999999998E-6</v>
      </c>
      <c r="I4731">
        <v>163.9487</v>
      </c>
      <c r="J4731">
        <v>-189.94540000000001</v>
      </c>
      <c r="K4731">
        <v>1.110317</v>
      </c>
      <c r="L4731">
        <v>187.5907</v>
      </c>
      <c r="M4731">
        <v>3.590555E-3</v>
      </c>
      <c r="N4731">
        <v>0</v>
      </c>
      <c r="O4731">
        <v>-0.99989910000000004</v>
      </c>
      <c r="P4731">
        <v>0.11755210000000001</v>
      </c>
      <c r="Q4731">
        <v>0.158634</v>
      </c>
      <c r="R4731">
        <v>-0.98031469999999998</v>
      </c>
      <c r="S4731">
        <v>0.70254519999999998</v>
      </c>
      <c r="T4731">
        <v>-0.14006209999999999</v>
      </c>
      <c r="U4731">
        <v>-2.9980769999999999</v>
      </c>
      <c r="V4731">
        <v>-0.1138754</v>
      </c>
      <c r="W4731">
        <v>0.17221929999999999</v>
      </c>
      <c r="X4731">
        <v>0.97845439999999995</v>
      </c>
      <c r="Y4731">
        <v>-0.22441810000000001</v>
      </c>
      <c r="Z4731">
        <v>4.5456450000000002E-2</v>
      </c>
      <c r="AA4731">
        <v>0.97343219999999997</v>
      </c>
      <c r="AB4731">
        <v>23</v>
      </c>
      <c r="AC4731">
        <v>5.5690000000000097</v>
      </c>
      <c r="AD4731">
        <v>-1.110320149191</v>
      </c>
      <c r="AE4731">
        <v>-23.641999999999999</v>
      </c>
      <c r="AF4731">
        <v>-5.4726322403637297</v>
      </c>
      <c r="AG4731">
        <v>-1.110320149191</v>
      </c>
      <c r="AH4731">
        <v>23.612503185383101</v>
      </c>
      <c r="AI4731">
        <v>92.622789373386198</v>
      </c>
      <c r="AJ4731">
        <v>103.04895884998299</v>
      </c>
      <c r="AK4731">
        <v>24.2638171183286</v>
      </c>
      <c r="AL4731">
        <v>80.083121549018003</v>
      </c>
      <c r="AM4731">
        <v>96.638386493449403</v>
      </c>
      <c r="AN4731">
        <v>1.0000000534485001</v>
      </c>
    </row>
    <row r="4732" spans="1:40" x14ac:dyDescent="0.25">
      <c r="A4732" t="str">
        <f>"20190312172212418"</f>
        <v>20190312172212418</v>
      </c>
      <c r="B4732" t="str">
        <f>"1552382532405672"</f>
        <v>1552382532405672</v>
      </c>
      <c r="C4732" t="s">
        <v>40</v>
      </c>
      <c r="D4732">
        <v>3.3022360000000002</v>
      </c>
      <c r="E4732">
        <v>0.45553270000000001</v>
      </c>
      <c r="F4732" t="s">
        <v>42</v>
      </c>
      <c r="G4732">
        <v>-184.44</v>
      </c>
      <c r="H4732" s="1">
        <v>-3.1283690000000002E-6</v>
      </c>
      <c r="I4732">
        <v>163.9385</v>
      </c>
      <c r="J4732">
        <v>-189.9453</v>
      </c>
      <c r="K4732">
        <v>1.110379</v>
      </c>
      <c r="L4732">
        <v>187.4623</v>
      </c>
      <c r="M4732">
        <v>3.3068009999999998E-3</v>
      </c>
      <c r="N4732">
        <v>0</v>
      </c>
      <c r="O4732">
        <v>-0.99989989999999995</v>
      </c>
      <c r="P4732">
        <v>0.1158757</v>
      </c>
      <c r="Q4732">
        <v>0.15873029999999999</v>
      </c>
      <c r="R4732">
        <v>-0.9804988</v>
      </c>
      <c r="S4732">
        <v>0.69813539999999996</v>
      </c>
      <c r="T4732">
        <v>-0.14079849999999999</v>
      </c>
      <c r="U4732">
        <v>-2.9993129999999999</v>
      </c>
      <c r="V4732">
        <v>-0.11250159999999999</v>
      </c>
      <c r="W4732">
        <v>0.17229729999999999</v>
      </c>
      <c r="X4732">
        <v>0.97859949999999996</v>
      </c>
      <c r="Y4732">
        <v>-0.22324569999999999</v>
      </c>
      <c r="Z4732">
        <v>4.5690460000000002E-2</v>
      </c>
      <c r="AA4732">
        <v>0.97369070000000002</v>
      </c>
      <c r="AB4732">
        <v>23</v>
      </c>
      <c r="AC4732">
        <v>5.5053000000000001</v>
      </c>
      <c r="AD4732">
        <v>-1.1103821283689901</v>
      </c>
      <c r="AE4732">
        <v>-23.523799999999898</v>
      </c>
      <c r="AF4732">
        <v>-5.4160332882438302</v>
      </c>
      <c r="AG4732">
        <v>-1.1103821283689901</v>
      </c>
      <c r="AH4732">
        <v>23.4922534556827</v>
      </c>
      <c r="AI4732">
        <v>92.637049239874599</v>
      </c>
      <c r="AJ4732">
        <v>102.982445438292</v>
      </c>
      <c r="AK4732">
        <v>24.134049338567301</v>
      </c>
      <c r="AL4732">
        <v>80.078583878974598</v>
      </c>
      <c r="AM4732">
        <v>96.558038571616393</v>
      </c>
      <c r="AN4732">
        <v>0.99999997549504904</v>
      </c>
    </row>
    <row r="4733" spans="1:40" x14ac:dyDescent="0.25">
      <c r="A4733" t="str">
        <f>"20190312172212433"</f>
        <v>20190312172212433</v>
      </c>
      <c r="B4733" t="str">
        <f>"1552382532425195"</f>
        <v>1552382532425195</v>
      </c>
      <c r="C4733" t="s">
        <v>40</v>
      </c>
      <c r="D4733">
        <v>3.2932329999999999</v>
      </c>
      <c r="E4733">
        <v>0.45546340000000002</v>
      </c>
      <c r="F4733" t="s">
        <v>42</v>
      </c>
      <c r="G4733">
        <v>-184.50489999999999</v>
      </c>
      <c r="H4733" s="1">
        <v>-3.1059959999999999E-6</v>
      </c>
      <c r="I4733">
        <v>163.92519999999999</v>
      </c>
      <c r="J4733">
        <v>-189.9452</v>
      </c>
      <c r="K4733">
        <v>1.110452</v>
      </c>
      <c r="L4733">
        <v>187.29939999999999</v>
      </c>
      <c r="M4733">
        <v>3.0392869999999999E-3</v>
      </c>
      <c r="N4733">
        <v>0</v>
      </c>
      <c r="O4733">
        <v>-0.99990100000000004</v>
      </c>
      <c r="P4733">
        <v>0.1139154</v>
      </c>
      <c r="Q4733">
        <v>0.15916910000000001</v>
      </c>
      <c r="R4733">
        <v>-0.98065729999999995</v>
      </c>
      <c r="S4733">
        <v>0.693573</v>
      </c>
      <c r="T4733">
        <v>-0.1415582</v>
      </c>
      <c r="U4733">
        <v>-3.0006409999999999</v>
      </c>
      <c r="V4733">
        <v>-0.1108348</v>
      </c>
      <c r="W4733">
        <v>0.17271300000000001</v>
      </c>
      <c r="X4733">
        <v>0.97871640000000004</v>
      </c>
      <c r="Y4733">
        <v>-0.2220038</v>
      </c>
      <c r="Z4733">
        <v>4.5931119999999999E-2</v>
      </c>
      <c r="AA4733">
        <v>0.97396340000000003</v>
      </c>
      <c r="AB4733">
        <v>23</v>
      </c>
      <c r="AC4733">
        <v>5.4402999999999997</v>
      </c>
      <c r="AD4733">
        <v>-1.1104551059959999</v>
      </c>
      <c r="AE4733">
        <v>-23.374199999999998</v>
      </c>
      <c r="AF4733">
        <v>-5.3577562914701504</v>
      </c>
      <c r="AG4733">
        <v>-1.1104551059959999</v>
      </c>
      <c r="AH4733">
        <v>23.340655815441998</v>
      </c>
      <c r="AI4733">
        <v>92.654905476947405</v>
      </c>
      <c r="AJ4733">
        <v>102.92806161886701</v>
      </c>
      <c r="AK4733">
        <v>23.9734202173188</v>
      </c>
      <c r="AL4733">
        <v>80.054403394555194</v>
      </c>
      <c r="AM4733">
        <v>96.460938647473398</v>
      </c>
      <c r="AN4733">
        <v>0.99999996244449896</v>
      </c>
    </row>
    <row r="4734" spans="1:40" x14ac:dyDescent="0.25">
      <c r="A4734" t="str">
        <f>"20190312172212445"</f>
        <v>20190312172212445</v>
      </c>
      <c r="B4734" t="str">
        <f>"1552382532435929"</f>
        <v>1552382532435929</v>
      </c>
      <c r="C4734" t="s">
        <v>40</v>
      </c>
      <c r="D4734">
        <v>3.3130289999999998</v>
      </c>
      <c r="E4734">
        <v>0.45547130000000002</v>
      </c>
      <c r="F4734" t="s">
        <v>42</v>
      </c>
      <c r="G4734">
        <v>-184.559</v>
      </c>
      <c r="H4734" s="1">
        <v>-3.0398270000000002E-6</v>
      </c>
      <c r="I4734">
        <v>163.79040000000001</v>
      </c>
      <c r="J4734">
        <v>-189.94499999999999</v>
      </c>
      <c r="K4734">
        <v>1.1105080000000001</v>
      </c>
      <c r="L4734">
        <v>187.18299999999999</v>
      </c>
      <c r="M4734">
        <v>2.8924430000000002E-3</v>
      </c>
      <c r="N4734">
        <v>0</v>
      </c>
      <c r="O4734">
        <v>-0.99990140000000005</v>
      </c>
      <c r="P4734">
        <v>0.11312220000000001</v>
      </c>
      <c r="Q4734">
        <v>0.15942100000000001</v>
      </c>
      <c r="R4734">
        <v>-0.98070809999999997</v>
      </c>
      <c r="S4734">
        <v>0.68786619999999998</v>
      </c>
      <c r="T4734">
        <v>-0.14181450000000001</v>
      </c>
      <c r="U4734">
        <v>-3.0023040000000001</v>
      </c>
      <c r="V4734">
        <v>-0.110209</v>
      </c>
      <c r="W4734">
        <v>0.1729473</v>
      </c>
      <c r="X4734">
        <v>0.97874570000000005</v>
      </c>
      <c r="Y4734">
        <v>-0.2202692</v>
      </c>
      <c r="Z4734">
        <v>4.6008170000000001E-2</v>
      </c>
      <c r="AA4734">
        <v>0.97435349999999998</v>
      </c>
      <c r="AB4734">
        <v>23</v>
      </c>
      <c r="AC4734">
        <v>5.3859999999999602</v>
      </c>
      <c r="AD4734">
        <v>-1.1105110398269999</v>
      </c>
      <c r="AE4734">
        <v>-23.392599999999899</v>
      </c>
      <c r="AF4734">
        <v>-5.3069513505231498</v>
      </c>
      <c r="AG4734">
        <v>-1.1105110398269999</v>
      </c>
      <c r="AH4734">
        <v>23.358091192877001</v>
      </c>
      <c r="AI4734">
        <v>92.654409610056902</v>
      </c>
      <c r="AJ4734">
        <v>102.800287447358</v>
      </c>
      <c r="AK4734">
        <v>23.979103227209201</v>
      </c>
      <c r="AL4734">
        <v>80.040773954803498</v>
      </c>
      <c r="AM4734">
        <v>96.424573788040703</v>
      </c>
      <c r="AN4734">
        <v>0.99999996876338904</v>
      </c>
    </row>
    <row r="4735" spans="1:40" x14ac:dyDescent="0.25">
      <c r="A4735" t="str">
        <f>"20190312172212456"</f>
        <v>20190312172212456</v>
      </c>
      <c r="B4735" t="str">
        <f>"1552382532445689"</f>
        <v>1552382532445689</v>
      </c>
      <c r="C4735" t="s">
        <v>40</v>
      </c>
      <c r="D4735">
        <v>3.3001680000000002</v>
      </c>
      <c r="E4735">
        <v>0.45543030000000001</v>
      </c>
      <c r="F4735" t="s">
        <v>42</v>
      </c>
      <c r="G4735">
        <v>-184.56970000000001</v>
      </c>
      <c r="H4735" s="1">
        <v>-2.9787969999999999E-6</v>
      </c>
      <c r="I4735">
        <v>163.63890000000001</v>
      </c>
      <c r="J4735">
        <v>-189.94489999999999</v>
      </c>
      <c r="K4735">
        <v>1.1105609999999999</v>
      </c>
      <c r="L4735">
        <v>187.06100000000001</v>
      </c>
      <c r="M4735">
        <v>2.781927E-3</v>
      </c>
      <c r="N4735">
        <v>0</v>
      </c>
      <c r="O4735">
        <v>-0.99990179999999995</v>
      </c>
      <c r="P4735">
        <v>0.1122918</v>
      </c>
      <c r="Q4735">
        <v>0.15976670000000001</v>
      </c>
      <c r="R4735">
        <v>-0.98074760000000005</v>
      </c>
      <c r="S4735">
        <v>0.68560790000000005</v>
      </c>
      <c r="T4735">
        <v>-0.1416415</v>
      </c>
      <c r="U4735">
        <v>-3.0029599999999999</v>
      </c>
      <c r="V4735">
        <v>-0.1095119</v>
      </c>
      <c r="W4735">
        <v>0.1732746</v>
      </c>
      <c r="X4735">
        <v>0.97876609999999997</v>
      </c>
      <c r="Y4735">
        <v>-0.21963489999999999</v>
      </c>
      <c r="Z4735">
        <v>4.5949530000000002E-2</v>
      </c>
      <c r="AA4735">
        <v>0.97449949999999996</v>
      </c>
      <c r="AB4735">
        <v>23</v>
      </c>
      <c r="AC4735">
        <v>5.3751999999999702</v>
      </c>
      <c r="AD4735">
        <v>-1.1105639787970001</v>
      </c>
      <c r="AE4735">
        <v>-23.422099999999901</v>
      </c>
      <c r="AF4735">
        <v>-5.2986979358401296</v>
      </c>
      <c r="AG4735">
        <v>-1.1105639787970001</v>
      </c>
      <c r="AH4735">
        <v>23.387016029838001</v>
      </c>
      <c r="AI4735">
        <v>92.651619698687597</v>
      </c>
      <c r="AJ4735">
        <v>102.76574548432799</v>
      </c>
      <c r="AK4735">
        <v>24.005459190487802</v>
      </c>
      <c r="AL4735">
        <v>80.021734004702907</v>
      </c>
      <c r="AM4735">
        <v>96.384141339101106</v>
      </c>
      <c r="AN4735">
        <v>1.0000000108779801</v>
      </c>
    </row>
    <row r="4736" spans="1:40" x14ac:dyDescent="0.25">
      <c r="A4736" t="str">
        <f>"20190312172212468"</f>
        <v>20190312172212468</v>
      </c>
      <c r="B4736" t="str">
        <f>"1552382532455449"</f>
        <v>1552382532455449</v>
      </c>
      <c r="C4736" t="s">
        <v>40</v>
      </c>
      <c r="D4736">
        <v>3.3432300000000001</v>
      </c>
      <c r="E4736">
        <v>0.4553856</v>
      </c>
      <c r="F4736" t="s">
        <v>42</v>
      </c>
      <c r="G4736">
        <v>-184.56299999999999</v>
      </c>
      <c r="H4736" s="1">
        <v>-2.8925720000000001E-6</v>
      </c>
      <c r="I4736">
        <v>163.40979999999999</v>
      </c>
      <c r="J4736">
        <v>-189.94470000000001</v>
      </c>
      <c r="K4736">
        <v>1.1106100000000001</v>
      </c>
      <c r="L4736">
        <v>186.9513</v>
      </c>
      <c r="M4736">
        <v>2.729216E-3</v>
      </c>
      <c r="N4736">
        <v>0</v>
      </c>
      <c r="O4736">
        <v>-0.99990179999999995</v>
      </c>
      <c r="P4736">
        <v>0.1114966</v>
      </c>
      <c r="Q4736">
        <v>0.15983120000000001</v>
      </c>
      <c r="R4736">
        <v>-0.98082760000000002</v>
      </c>
      <c r="S4736">
        <v>0.68347170000000002</v>
      </c>
      <c r="T4736">
        <v>-0.14103750000000001</v>
      </c>
      <c r="U4736">
        <v>-3.0036160000000001</v>
      </c>
      <c r="V4736">
        <v>-0.10878939999999999</v>
      </c>
      <c r="W4736">
        <v>0.17332439999999999</v>
      </c>
      <c r="X4736">
        <v>0.97883779999999998</v>
      </c>
      <c r="Y4736">
        <v>-0.21898319999999999</v>
      </c>
      <c r="Z4736">
        <v>4.575125E-2</v>
      </c>
      <c r="AA4736">
        <v>0.97465539999999995</v>
      </c>
      <c r="AB4736">
        <v>23</v>
      </c>
      <c r="AC4736">
        <v>5.3817000000000199</v>
      </c>
      <c r="AD4736">
        <v>-1.110612892572</v>
      </c>
      <c r="AE4736">
        <v>-23.541499999999999</v>
      </c>
      <c r="AF4736">
        <v>-5.3062008178367401</v>
      </c>
      <c r="AG4736">
        <v>-1.110612892572</v>
      </c>
      <c r="AH4736">
        <v>23.506382808686698</v>
      </c>
      <c r="AI4736">
        <v>92.638760977359496</v>
      </c>
      <c r="AJ4736">
        <v>102.720431359899</v>
      </c>
      <c r="AK4736">
        <v>24.123417271706799</v>
      </c>
      <c r="AL4736">
        <v>80.018836324842496</v>
      </c>
      <c r="AM4736">
        <v>96.341905801641701</v>
      </c>
      <c r="AN4736">
        <v>0.99999995994827895</v>
      </c>
    </row>
    <row r="4737" spans="1:40" x14ac:dyDescent="0.25">
      <c r="A4737" t="str">
        <f>"20190312172212478"</f>
        <v>20190312172212478</v>
      </c>
      <c r="B4737" t="str">
        <f>"1552382532475945"</f>
        <v>1552382532475945</v>
      </c>
      <c r="C4737" t="s">
        <v>40</v>
      </c>
      <c r="D4737">
        <v>3.3273929999999998</v>
      </c>
      <c r="E4737">
        <v>0.45528289999999999</v>
      </c>
      <c r="F4737" t="s">
        <v>42</v>
      </c>
      <c r="G4737">
        <v>-184.59200000000001</v>
      </c>
      <c r="H4737" s="1">
        <v>-2.8654850000000001E-6</v>
      </c>
      <c r="I4737">
        <v>163.35929999999999</v>
      </c>
      <c r="J4737">
        <v>-189.94450000000001</v>
      </c>
      <c r="K4737">
        <v>1.1106609999999999</v>
      </c>
      <c r="L4737">
        <v>186.83410000000001</v>
      </c>
      <c r="M4737">
        <v>2.6919869999999999E-3</v>
      </c>
      <c r="N4737">
        <v>0</v>
      </c>
      <c r="O4737">
        <v>-0.99990199999999996</v>
      </c>
      <c r="P4737">
        <v>0.11025649999999999</v>
      </c>
      <c r="Q4737">
        <v>0.15969359999999999</v>
      </c>
      <c r="R4737">
        <v>-0.98099009999999998</v>
      </c>
      <c r="S4737">
        <v>0.6816101</v>
      </c>
      <c r="T4737">
        <v>-0.14142539999999901</v>
      </c>
      <c r="U4737">
        <v>-3.0042110000000002</v>
      </c>
      <c r="V4737">
        <v>-0.1076076</v>
      </c>
      <c r="W4737">
        <v>0.1731732</v>
      </c>
      <c r="X4737">
        <v>0.97899519999999995</v>
      </c>
      <c r="Y4737">
        <v>-0.21840219999999999</v>
      </c>
      <c r="Z4737">
        <v>4.5874119999999997E-2</v>
      </c>
      <c r="AA4737">
        <v>0.97477999999999998</v>
      </c>
      <c r="AB4737">
        <v>23</v>
      </c>
      <c r="AC4737">
        <v>5.3524999999999903</v>
      </c>
      <c r="AD4737">
        <v>-1.1106638654850001</v>
      </c>
      <c r="AE4737">
        <v>-23.474799999999998</v>
      </c>
      <c r="AF4737">
        <v>-5.2780496408447801</v>
      </c>
      <c r="AG4737">
        <v>-1.1106638654850001</v>
      </c>
      <c r="AH4737">
        <v>23.439248863909398</v>
      </c>
      <c r="AI4737">
        <v>92.6467437915842</v>
      </c>
      <c r="AJ4737">
        <v>102.690198430702</v>
      </c>
      <c r="AK4737">
        <v>24.051814267069201</v>
      </c>
      <c r="AL4737">
        <v>80.027632635247201</v>
      </c>
      <c r="AM4737">
        <v>96.272564165434403</v>
      </c>
      <c r="AN4737">
        <v>0.99999997719951905</v>
      </c>
    </row>
    <row r="4738" spans="1:40" x14ac:dyDescent="0.25">
      <c r="A4738" t="str">
        <f>"20190312172212490"</f>
        <v>20190312172212490</v>
      </c>
      <c r="B4738" t="str">
        <f>"1552382532485704"</f>
        <v>1552382532485704</v>
      </c>
      <c r="C4738" t="s">
        <v>40</v>
      </c>
      <c r="D4738">
        <v>3.306619</v>
      </c>
      <c r="E4738">
        <v>0.45517269999999999</v>
      </c>
      <c r="F4738" t="s">
        <v>42</v>
      </c>
      <c r="G4738">
        <v>-184.6566</v>
      </c>
      <c r="H4738" s="1">
        <v>-2.8722490000000001E-6</v>
      </c>
      <c r="I4738">
        <v>163.42169999999999</v>
      </c>
      <c r="J4738">
        <v>-189.9442</v>
      </c>
      <c r="K4738">
        <v>1.110714</v>
      </c>
      <c r="L4738">
        <v>186.72030000000001</v>
      </c>
      <c r="M4738">
        <v>2.715781E-3</v>
      </c>
      <c r="N4738">
        <v>0</v>
      </c>
      <c r="O4738">
        <v>-0.99990199999999996</v>
      </c>
      <c r="P4738">
        <v>0.1090487</v>
      </c>
      <c r="Q4738">
        <v>0.15937079999999901</v>
      </c>
      <c r="R4738">
        <v>-0.98117770000000004</v>
      </c>
      <c r="S4738">
        <v>0.67872619999999995</v>
      </c>
      <c r="T4738">
        <v>-0.14255960000000001</v>
      </c>
      <c r="U4738">
        <v>-3.005112</v>
      </c>
      <c r="V4738">
        <v>-0.1063964</v>
      </c>
      <c r="W4738">
        <v>0.172838299999999</v>
      </c>
      <c r="X4738">
        <v>0.97918680000000002</v>
      </c>
      <c r="Y4738">
        <v>-0.21742230000000001</v>
      </c>
      <c r="Z4738">
        <v>4.6237670000000002E-2</v>
      </c>
      <c r="AA4738">
        <v>0.97498180000000001</v>
      </c>
      <c r="AB4738">
        <v>23</v>
      </c>
      <c r="AC4738">
        <v>5.2875999999999896</v>
      </c>
      <c r="AD4738">
        <v>-1.110716872249</v>
      </c>
      <c r="AE4738">
        <v>-23.2986</v>
      </c>
      <c r="AF4738">
        <v>-5.2130331786951496</v>
      </c>
      <c r="AG4738">
        <v>-1.110716872249</v>
      </c>
      <c r="AH4738">
        <v>23.262595585509398</v>
      </c>
      <c r="AI4738">
        <v>92.667558936692899</v>
      </c>
      <c r="AJ4738">
        <v>102.63102407951899</v>
      </c>
      <c r="AK4738">
        <v>23.865409283467901</v>
      </c>
      <c r="AL4738">
        <v>80.047115303810898</v>
      </c>
      <c r="AM4738">
        <v>96.201311186050603</v>
      </c>
      <c r="AN4738">
        <v>1.00000003058704</v>
      </c>
    </row>
    <row r="4739" spans="1:40" x14ac:dyDescent="0.25">
      <c r="A4739" t="str">
        <f>"20190312172212500"</f>
        <v>20190312172212500</v>
      </c>
      <c r="B4739" t="str">
        <f>"1552382532494996"</f>
        <v>1552382532494996</v>
      </c>
      <c r="C4739" t="s">
        <v>40</v>
      </c>
      <c r="D4739">
        <v>3.3230089999999901</v>
      </c>
      <c r="E4739">
        <v>0.45504889999999998</v>
      </c>
      <c r="F4739" t="s">
        <v>42</v>
      </c>
      <c r="G4739">
        <v>-184.7296</v>
      </c>
      <c r="H4739" s="1">
        <v>-2.8956669999999998E-6</v>
      </c>
      <c r="I4739">
        <v>163.53319999999999</v>
      </c>
      <c r="J4739">
        <v>-189.94390000000001</v>
      </c>
      <c r="K4739">
        <v>1.11076</v>
      </c>
      <c r="L4739">
        <v>186.60740000000001</v>
      </c>
      <c r="M4739">
        <v>2.7510529999999998E-3</v>
      </c>
      <c r="N4739">
        <v>0</v>
      </c>
      <c r="O4739">
        <v>-0.99990199999999996</v>
      </c>
      <c r="P4739">
        <v>0.1080489</v>
      </c>
      <c r="Q4739">
        <v>0.15889010000000001</v>
      </c>
      <c r="R4739">
        <v>-0.98136639999999997</v>
      </c>
      <c r="S4739">
        <v>0.67599489999999995</v>
      </c>
      <c r="T4739">
        <v>-0.14398629999999901</v>
      </c>
      <c r="U4739">
        <v>-3.0058289999999999</v>
      </c>
      <c r="V4739">
        <v>-0.10538160000000001</v>
      </c>
      <c r="W4739">
        <v>0.1723461</v>
      </c>
      <c r="X4739">
        <v>0.97938320000000001</v>
      </c>
      <c r="Y4739">
        <v>-0.21648990000000001</v>
      </c>
      <c r="Z4739">
        <v>4.6698030000000001E-2</v>
      </c>
      <c r="AA4739">
        <v>0.97516740000000002</v>
      </c>
      <c r="AB4739">
        <v>23</v>
      </c>
      <c r="AC4739">
        <v>5.2142999999999997</v>
      </c>
      <c r="AD4739">
        <v>-1.1107628956669999</v>
      </c>
      <c r="AE4739">
        <v>-23.074200000000001</v>
      </c>
      <c r="AF4739">
        <v>-5.1394647079557503</v>
      </c>
      <c r="AG4739">
        <v>-1.1107628956669999</v>
      </c>
      <c r="AH4739">
        <v>23.037666568469898</v>
      </c>
      <c r="AI4739">
        <v>92.694252950597303</v>
      </c>
      <c r="AJ4739">
        <v>102.576159505109</v>
      </c>
      <c r="AK4739">
        <v>23.630107333965</v>
      </c>
      <c r="AL4739">
        <v>80.075745188825394</v>
      </c>
      <c r="AM4739">
        <v>96.1413955327764</v>
      </c>
      <c r="AN4739">
        <v>0.99999995612300396</v>
      </c>
    </row>
    <row r="4740" spans="1:40" x14ac:dyDescent="0.25">
      <c r="A4740" t="str">
        <f>"20190312172212513"</f>
        <v>20190312172212513</v>
      </c>
      <c r="B4740" t="str">
        <f>"1552382532505732"</f>
        <v>1552382532505732</v>
      </c>
      <c r="C4740" t="s">
        <v>40</v>
      </c>
      <c r="D4740">
        <v>3.351677</v>
      </c>
      <c r="E4740">
        <v>0.45492009999999999</v>
      </c>
      <c r="F4740" t="s">
        <v>42</v>
      </c>
      <c r="G4740">
        <v>-184.82079999999999</v>
      </c>
      <c r="H4740" s="1">
        <v>-2.9517360000000002E-6</v>
      </c>
      <c r="I4740">
        <v>163.7424</v>
      </c>
      <c r="J4740">
        <v>-189.9435</v>
      </c>
      <c r="K4740">
        <v>1.1108169999999999</v>
      </c>
      <c r="L4740">
        <v>186.47550000000001</v>
      </c>
      <c r="M4740">
        <v>2.8636239999999999E-3</v>
      </c>
      <c r="N4740">
        <v>0</v>
      </c>
      <c r="O4740">
        <v>-0.99990179999999995</v>
      </c>
      <c r="P4740">
        <v>0.107073</v>
      </c>
      <c r="Q4740">
        <v>0.1582779</v>
      </c>
      <c r="R4740">
        <v>-0.98157220000000001</v>
      </c>
      <c r="S4740">
        <v>0.67362979999999995</v>
      </c>
      <c r="T4740">
        <v>-0.14605219999999999</v>
      </c>
      <c r="U4740">
        <v>-3.0064700000000002</v>
      </c>
      <c r="V4740">
        <v>-0.1043167</v>
      </c>
      <c r="W4740">
        <v>0.1717214</v>
      </c>
      <c r="X4740">
        <v>0.97960700000000001</v>
      </c>
      <c r="Y4740">
        <v>-0.21559819999999999</v>
      </c>
      <c r="Z4740">
        <v>4.7365409999999997E-2</v>
      </c>
      <c r="AA4740">
        <v>0.97533270000000005</v>
      </c>
      <c r="AB4740">
        <v>23</v>
      </c>
      <c r="AC4740">
        <v>5.1227</v>
      </c>
      <c r="AD4740">
        <v>-1.110819951736</v>
      </c>
      <c r="AE4740">
        <v>-22.7331</v>
      </c>
      <c r="AF4740">
        <v>-5.0461077254633704</v>
      </c>
      <c r="AG4740">
        <v>-1.110819951736</v>
      </c>
      <c r="AH4740">
        <v>22.6961060925432</v>
      </c>
      <c r="AI4740">
        <v>92.735316813463598</v>
      </c>
      <c r="AJ4740">
        <v>102.534890546326</v>
      </c>
      <c r="AK4740">
        <v>23.276820141637401</v>
      </c>
      <c r="AL4740">
        <v>80.112080447320196</v>
      </c>
      <c r="AM4740">
        <v>96.078424195552003</v>
      </c>
      <c r="AN4740">
        <v>1.00000004378292</v>
      </c>
    </row>
    <row r="4741" spans="1:40" x14ac:dyDescent="0.25">
      <c r="A4741" t="str">
        <f>"20190312172212524"</f>
        <v>20190312172212524</v>
      </c>
      <c r="B4741" t="str">
        <f>"1552382532515493"</f>
        <v>1552382532515493</v>
      </c>
      <c r="C4741" t="s">
        <v>40</v>
      </c>
      <c r="D4741">
        <v>3.3688729999999998</v>
      </c>
      <c r="E4741">
        <v>0.45496350000000002</v>
      </c>
      <c r="F4741" t="s">
        <v>42</v>
      </c>
      <c r="G4741">
        <v>-184.91900000000001</v>
      </c>
      <c r="H4741" s="1">
        <v>-3.0154820000000001E-6</v>
      </c>
      <c r="I4741">
        <v>163.97649999999999</v>
      </c>
      <c r="J4741">
        <v>-189.94309999999999</v>
      </c>
      <c r="K4741">
        <v>1.1108549999999999</v>
      </c>
      <c r="L4741">
        <v>186.3647</v>
      </c>
      <c r="M4741">
        <v>2.9814870000000001E-3</v>
      </c>
      <c r="N4741">
        <v>0</v>
      </c>
      <c r="O4741">
        <v>-0.99990140000000005</v>
      </c>
      <c r="P4741">
        <v>0.105877399999999</v>
      </c>
      <c r="Q4741">
        <v>0.15836639999999999</v>
      </c>
      <c r="R4741">
        <v>-0.98168770000000005</v>
      </c>
      <c r="S4741">
        <v>0.67152400000000001</v>
      </c>
      <c r="T4741">
        <v>-0.1484608</v>
      </c>
      <c r="U4741">
        <v>-3.0069889999999999</v>
      </c>
      <c r="V4741">
        <v>-0.103024</v>
      </c>
      <c r="W4741">
        <v>0.17179939999999999</v>
      </c>
      <c r="X4741">
        <v>0.97973010000000005</v>
      </c>
      <c r="Y4741">
        <v>-0.2147886</v>
      </c>
      <c r="Z4741">
        <v>4.814454E-2</v>
      </c>
      <c r="AA4741">
        <v>0.97547320000000004</v>
      </c>
      <c r="AB4741">
        <v>23</v>
      </c>
      <c r="AC4741">
        <v>5.0240999999999696</v>
      </c>
      <c r="AD4741">
        <v>-1.110858015482</v>
      </c>
      <c r="AE4741">
        <v>-22.388200000000001</v>
      </c>
      <c r="AF4741">
        <v>-4.9457289091934999</v>
      </c>
      <c r="AG4741">
        <v>-1.110858015482</v>
      </c>
      <c r="AH4741">
        <v>22.350693159287001</v>
      </c>
      <c r="AI4741">
        <v>92.778237032437403</v>
      </c>
      <c r="AJ4741">
        <v>102.47727322815599</v>
      </c>
      <c r="AK4741">
        <v>22.918283632820099</v>
      </c>
      <c r="AL4741">
        <v>80.107543757493204</v>
      </c>
      <c r="AM4741">
        <v>96.002904650997394</v>
      </c>
      <c r="AN4741">
        <v>1.0000000236311799</v>
      </c>
    </row>
    <row r="4742" spans="1:40" x14ac:dyDescent="0.25">
      <c r="A4742" t="str">
        <f>"20190312172212536"</f>
        <v>20190312172212536</v>
      </c>
      <c r="B4742" t="str">
        <f>"1552382532525252"</f>
        <v>1552382532525252</v>
      </c>
      <c r="C4742" t="s">
        <v>40</v>
      </c>
      <c r="D4742">
        <v>3.3701970000000001</v>
      </c>
      <c r="E4742">
        <v>0.45496350000000002</v>
      </c>
      <c r="F4742" t="s">
        <v>42</v>
      </c>
      <c r="G4742">
        <v>-184.97239999999999</v>
      </c>
      <c r="H4742" s="1">
        <v>-2.9947150000000001E-6</v>
      </c>
      <c r="I4742">
        <v>163.95939999999999</v>
      </c>
      <c r="J4742">
        <v>-189.9426</v>
      </c>
      <c r="K4742">
        <v>1.1109039999999999</v>
      </c>
      <c r="L4742">
        <v>186.23150000000001</v>
      </c>
      <c r="M4742">
        <v>3.1629980000000002E-3</v>
      </c>
      <c r="N4742">
        <v>0</v>
      </c>
      <c r="O4742">
        <v>-0.99990069999999998</v>
      </c>
      <c r="P4742">
        <v>0.1045653</v>
      </c>
      <c r="Q4742">
        <v>0.15811339999999999</v>
      </c>
      <c r="R4742">
        <v>-0.98186890000000004</v>
      </c>
      <c r="S4742">
        <v>0.66734309999999997</v>
      </c>
      <c r="T4742">
        <v>-0.149139299999999</v>
      </c>
      <c r="U4742">
        <v>-3.008041</v>
      </c>
      <c r="V4742">
        <v>-0.1015538</v>
      </c>
      <c r="W4742">
        <v>0.17153489999999999</v>
      </c>
      <c r="X4742">
        <v>0.97992990000000002</v>
      </c>
      <c r="Y4742">
        <v>-0.2132443</v>
      </c>
      <c r="Z4742">
        <v>4.8363009999999998E-2</v>
      </c>
      <c r="AA4742">
        <v>0.97580120000000004</v>
      </c>
      <c r="AB4742">
        <v>23</v>
      </c>
      <c r="AC4742">
        <v>4.9702000000000002</v>
      </c>
      <c r="AD4742">
        <v>-1.1109069947149901</v>
      </c>
      <c r="AE4742">
        <v>-22.272099999999998</v>
      </c>
      <c r="AF4742">
        <v>-4.8881375733534602</v>
      </c>
      <c r="AG4742">
        <v>-1.1109069947149901</v>
      </c>
      <c r="AH4742">
        <v>22.235016421955901</v>
      </c>
      <c r="AI4742">
        <v>92.793634824154907</v>
      </c>
      <c r="AJ4742">
        <v>102.398653386031</v>
      </c>
      <c r="AK4742">
        <v>22.793068213199899</v>
      </c>
      <c r="AL4742">
        <v>80.122926642607197</v>
      </c>
      <c r="AM4742">
        <v>95.916654685066206</v>
      </c>
      <c r="AN4742">
        <v>1.0000000025632301</v>
      </c>
    </row>
    <row r="4743" spans="1:40" x14ac:dyDescent="0.25">
      <c r="A4743" t="str">
        <f>"20190312172212548"</f>
        <v>20190312172212548</v>
      </c>
      <c r="B4743" t="str">
        <f>"1552382532545748"</f>
        <v>1552382532545748</v>
      </c>
      <c r="C4743" t="s">
        <v>40</v>
      </c>
      <c r="D4743">
        <v>3.5045289999999998</v>
      </c>
      <c r="E4743">
        <v>0.50016039999999995</v>
      </c>
      <c r="F4743" t="s">
        <v>42</v>
      </c>
      <c r="G4743">
        <v>-185.02369999999999</v>
      </c>
      <c r="H4743" s="1">
        <v>-2.966035E-6</v>
      </c>
      <c r="I4743">
        <v>163.92019999999999</v>
      </c>
      <c r="J4743">
        <v>-189.94210000000001</v>
      </c>
      <c r="K4743">
        <v>1.110946</v>
      </c>
      <c r="L4743">
        <v>186.12119999999999</v>
      </c>
      <c r="M4743">
        <v>3.3530330000000001E-3</v>
      </c>
      <c r="N4743">
        <v>0</v>
      </c>
      <c r="O4743">
        <v>-0.99990000000000001</v>
      </c>
      <c r="P4743">
        <v>0.1029513</v>
      </c>
      <c r="Q4743">
        <v>0.1580858</v>
      </c>
      <c r="R4743">
        <v>-0.98204380000000002</v>
      </c>
      <c r="S4743">
        <v>0.66336059999999997</v>
      </c>
      <c r="T4743">
        <v>-0.149815899999999</v>
      </c>
      <c r="U4743">
        <v>-3.0088810000000001</v>
      </c>
      <c r="V4743">
        <v>-9.9769769999999994E-2</v>
      </c>
      <c r="W4743">
        <v>0.1714997</v>
      </c>
      <c r="X4743">
        <v>0.98011930000000003</v>
      </c>
      <c r="Y4743">
        <v>-0.21176719999999999</v>
      </c>
      <c r="Z4743">
        <v>4.8583370000000001E-2</v>
      </c>
      <c r="AA4743">
        <v>0.97611179999999997</v>
      </c>
      <c r="AB4743">
        <v>23</v>
      </c>
      <c r="AC4743">
        <v>4.9184000000000196</v>
      </c>
      <c r="AD4743">
        <v>-1.110948966035</v>
      </c>
      <c r="AE4743">
        <v>-22.201000000000001</v>
      </c>
      <c r="AF4743">
        <v>-4.8323901916189396</v>
      </c>
      <c r="AG4743">
        <v>-1.110948966035</v>
      </c>
      <c r="AH4743">
        <v>22.164463881207201</v>
      </c>
      <c r="AI4743">
        <v>92.803680355955095</v>
      </c>
      <c r="AJ4743">
        <v>102.299396733457</v>
      </c>
      <c r="AK4743">
        <v>22.7123240050535</v>
      </c>
      <c r="AL4743">
        <v>80.124973746678407</v>
      </c>
      <c r="AM4743">
        <v>95.812317292589398</v>
      </c>
      <c r="AN4743">
        <v>0.99999999816921603</v>
      </c>
    </row>
    <row r="4744" spans="1:40" x14ac:dyDescent="0.25">
      <c r="A4744" t="str">
        <f>"20190312172212560"</f>
        <v>20190312172212560</v>
      </c>
      <c r="B4744" t="str">
        <f>"1552382532555508"</f>
        <v>1552382532555508</v>
      </c>
      <c r="C4744" t="s">
        <v>40</v>
      </c>
      <c r="D4744">
        <v>3.4862419999999998</v>
      </c>
      <c r="E4744">
        <v>0.51072329999999999</v>
      </c>
      <c r="F4744" t="s">
        <v>42</v>
      </c>
      <c r="G4744">
        <v>-187.63910000000001</v>
      </c>
      <c r="H4744" s="1">
        <v>-1.8951010000000001E-6</v>
      </c>
      <c r="I4744">
        <v>162.7544</v>
      </c>
      <c r="J4744">
        <v>-189.94159999999999</v>
      </c>
      <c r="K4744">
        <v>1.1109849999999999</v>
      </c>
      <c r="L4744">
        <v>185.9992</v>
      </c>
      <c r="M4744">
        <v>3.5775429999999999E-3</v>
      </c>
      <c r="N4744">
        <v>0</v>
      </c>
      <c r="O4744">
        <v>-0.99989939999999999</v>
      </c>
      <c r="P4744">
        <v>0.101301</v>
      </c>
      <c r="Q4744">
        <v>0.157751799999999</v>
      </c>
      <c r="R4744">
        <v>-0.98226910000000001</v>
      </c>
      <c r="S4744">
        <v>0.30027769999999998</v>
      </c>
      <c r="T4744">
        <v>-0.1448506</v>
      </c>
      <c r="U4744">
        <v>-3.0466769999999999</v>
      </c>
      <c r="V4744">
        <v>-9.7915890000000005E-2</v>
      </c>
      <c r="W4744">
        <v>0.17115810000000001</v>
      </c>
      <c r="X4744">
        <v>0.98036590000000001</v>
      </c>
      <c r="Y4744">
        <v>-9.4412979999999994E-2</v>
      </c>
      <c r="Z4744">
        <v>4.7269390000000001E-2</v>
      </c>
      <c r="AA4744">
        <v>0.99441029999999997</v>
      </c>
      <c r="AB4744">
        <v>23</v>
      </c>
      <c r="AC4744">
        <v>2.3024999999999798</v>
      </c>
      <c r="AD4744">
        <v>-1.110986895101</v>
      </c>
      <c r="AE4744">
        <v>-23.244800000000001</v>
      </c>
      <c r="AF4744">
        <v>-2.2143090066414</v>
      </c>
      <c r="AG4744">
        <v>-1.110986895101</v>
      </c>
      <c r="AH4744">
        <v>23.200405955540301</v>
      </c>
      <c r="AI4744">
        <v>92.729218056443202</v>
      </c>
      <c r="AJ4744">
        <v>95.451948493476607</v>
      </c>
      <c r="AK4744">
        <v>23.3323014887055</v>
      </c>
      <c r="AL4744">
        <v>80.1448393188371</v>
      </c>
      <c r="AM4744">
        <v>95.703608793463602</v>
      </c>
      <c r="AN4744">
        <v>0.99999995729645497</v>
      </c>
    </row>
    <row r="4745" spans="1:40" x14ac:dyDescent="0.25">
      <c r="A4745" t="str">
        <f>"20190312172212579"</f>
        <v>20190312172212579</v>
      </c>
      <c r="B4745" t="str">
        <f>"1552382532575028"</f>
        <v>1552382532575028</v>
      </c>
      <c r="C4745" t="s">
        <v>40</v>
      </c>
      <c r="D4745">
        <v>3.4666480000000002</v>
      </c>
      <c r="E4745">
        <v>0.52095440000000004</v>
      </c>
      <c r="F4745" t="s">
        <v>42</v>
      </c>
      <c r="G4745">
        <v>-188.3458</v>
      </c>
      <c r="H4745" s="1">
        <v>-1.859294E-6</v>
      </c>
      <c r="I4745">
        <v>162.94380000000001</v>
      </c>
      <c r="J4745">
        <v>-189.94040000000001</v>
      </c>
      <c r="K4745">
        <v>1.1110500000000001</v>
      </c>
      <c r="L4745">
        <v>185.80009999999999</v>
      </c>
      <c r="M4745">
        <v>4.0363090000000001E-3</v>
      </c>
      <c r="N4745">
        <v>0</v>
      </c>
      <c r="O4745">
        <v>-0.99989790000000001</v>
      </c>
      <c r="P4745">
        <v>9.6955719999999995E-2</v>
      </c>
      <c r="Q4745">
        <v>0.15685569999999999</v>
      </c>
      <c r="R4745">
        <v>-0.98285129999999998</v>
      </c>
      <c r="S4745">
        <v>0.21151729999999999</v>
      </c>
      <c r="T4745">
        <v>-0.1472617</v>
      </c>
      <c r="U4745">
        <v>-3.056</v>
      </c>
      <c r="V4745">
        <v>-9.3144900000000003E-2</v>
      </c>
      <c r="W4745">
        <v>0.17025599999999999</v>
      </c>
      <c r="X4745">
        <v>0.98098770000000002</v>
      </c>
      <c r="Y4745">
        <v>-6.4941310000000002E-2</v>
      </c>
      <c r="Z4745">
        <v>4.8023200000000002E-2</v>
      </c>
      <c r="AA4745">
        <v>0.99673290000000003</v>
      </c>
      <c r="AB4745">
        <v>23</v>
      </c>
      <c r="AC4745">
        <v>1.59460000000001</v>
      </c>
      <c r="AD4745">
        <v>-1.111051859294</v>
      </c>
      <c r="AE4745">
        <v>-22.856299999999901</v>
      </c>
      <c r="AF4745">
        <v>-1.49879879971448</v>
      </c>
      <c r="AG4745">
        <v>-1.111051859294</v>
      </c>
      <c r="AH4745">
        <v>22.808915136595498</v>
      </c>
      <c r="AI4745">
        <v>92.782755510254205</v>
      </c>
      <c r="AJ4745">
        <v>93.759563453398201</v>
      </c>
      <c r="AK4745">
        <v>22.885092173388401</v>
      </c>
      <c r="AL4745">
        <v>80.197295964138505</v>
      </c>
      <c r="AM4745">
        <v>95.4239801434003</v>
      </c>
      <c r="AN4745">
        <v>0.99999997274164898</v>
      </c>
    </row>
    <row r="4746" spans="1:40" x14ac:dyDescent="0.25">
      <c r="A4746" t="str">
        <f>"20190312172212594"</f>
        <v>20190312172212594</v>
      </c>
      <c r="B4746" t="str">
        <f>"1552382532585764"</f>
        <v>1552382532585764</v>
      </c>
      <c r="C4746" t="s">
        <v>40</v>
      </c>
      <c r="D4746">
        <v>3.4953189999999998</v>
      </c>
      <c r="E4746">
        <v>0.52382479999999998</v>
      </c>
      <c r="F4746" t="s">
        <v>42</v>
      </c>
      <c r="G4746">
        <v>-189.0692</v>
      </c>
      <c r="H4746" s="1">
        <v>-1.6643629999999999E-6</v>
      </c>
      <c r="I4746">
        <v>162.80289999999999</v>
      </c>
      <c r="J4746">
        <v>-189.93940000000001</v>
      </c>
      <c r="K4746">
        <v>1.111102</v>
      </c>
      <c r="L4746">
        <v>185.65649999999999</v>
      </c>
      <c r="M4746">
        <v>4.4284490000000001E-3</v>
      </c>
      <c r="N4746">
        <v>0</v>
      </c>
      <c r="O4746">
        <v>-0.99989600000000001</v>
      </c>
      <c r="P4746">
        <v>9.5199530000000004E-2</v>
      </c>
      <c r="Q4746">
        <v>0.15651909999999999</v>
      </c>
      <c r="R4746">
        <v>-0.98307650000000002</v>
      </c>
      <c r="S4746">
        <v>0.11608889999999999</v>
      </c>
      <c r="T4746">
        <v>-0.14805560000000001</v>
      </c>
      <c r="U4746">
        <v>-3.0645449999999999</v>
      </c>
      <c r="V4746">
        <v>-9.1020840000000006E-2</v>
      </c>
      <c r="W4746">
        <v>0.1699135</v>
      </c>
      <c r="X4746">
        <v>0.98124650000000002</v>
      </c>
      <c r="Y4746">
        <v>-3.3384030000000002E-2</v>
      </c>
      <c r="Z4746">
        <v>4.822473E-2</v>
      </c>
      <c r="AA4746">
        <v>0.99827840000000001</v>
      </c>
      <c r="AB4746">
        <v>23</v>
      </c>
      <c r="AC4746">
        <v>0.87020000000001096</v>
      </c>
      <c r="AD4746">
        <v>-1.1111036643629999</v>
      </c>
      <c r="AE4746">
        <v>-22.8536</v>
      </c>
      <c r="AF4746">
        <v>-0.76716517509083504</v>
      </c>
      <c r="AG4746">
        <v>-1.1111036643629999</v>
      </c>
      <c r="AH4746">
        <v>22.803406549524901</v>
      </c>
      <c r="AI4746">
        <v>92.787975129311604</v>
      </c>
      <c r="AJ4746">
        <v>91.926850476080006</v>
      </c>
      <c r="AK4746">
        <v>22.843345727404898</v>
      </c>
      <c r="AL4746">
        <v>80.217210613865703</v>
      </c>
      <c r="AM4746">
        <v>95.299615268141295</v>
      </c>
      <c r="AN4746">
        <v>1.0000000422794</v>
      </c>
    </row>
    <row r="4747" spans="1:40" x14ac:dyDescent="0.25">
      <c r="A4747" t="str">
        <f>"20190312172212606"</f>
        <v>20190312172212606</v>
      </c>
      <c r="B4747" t="str">
        <f>"1552382532595055"</f>
        <v>1552382532595055</v>
      </c>
      <c r="C4747" t="s">
        <v>40</v>
      </c>
      <c r="D4747">
        <v>3.4840909999999998</v>
      </c>
      <c r="E4747">
        <v>0.52582019999999996</v>
      </c>
      <c r="F4747" t="s">
        <v>42</v>
      </c>
      <c r="G4747">
        <v>-189.2928</v>
      </c>
      <c r="H4747" s="1">
        <v>-1.7264479999999999E-6</v>
      </c>
      <c r="I4747">
        <v>163.0181</v>
      </c>
      <c r="J4747">
        <v>-189.9384</v>
      </c>
      <c r="K4747">
        <v>1.1111409999999999</v>
      </c>
      <c r="L4747">
        <v>185.5224</v>
      </c>
      <c r="M4747">
        <v>4.8241539999999998E-3</v>
      </c>
      <c r="N4747">
        <v>0</v>
      </c>
      <c r="O4747">
        <v>-0.99989430000000001</v>
      </c>
      <c r="P4747">
        <v>9.3687240000000005E-2</v>
      </c>
      <c r="Q4747">
        <v>0.15631500000000001</v>
      </c>
      <c r="R4747">
        <v>-0.98325430000000003</v>
      </c>
      <c r="S4747">
        <v>8.7600709999999998E-2</v>
      </c>
      <c r="T4747">
        <v>-0.15053620000000001</v>
      </c>
      <c r="U4747">
        <v>-3.067123</v>
      </c>
      <c r="V4747">
        <v>-8.9135060000000002E-2</v>
      </c>
      <c r="W4747">
        <v>0.16970389999999999</v>
      </c>
      <c r="X4747">
        <v>0.98145579999999999</v>
      </c>
      <c r="Y4747">
        <v>-2.369228E-2</v>
      </c>
      <c r="Z4747">
        <v>4.9003890000000001E-2</v>
      </c>
      <c r="AA4747">
        <v>0.99851760000000001</v>
      </c>
      <c r="AB4747">
        <v>23</v>
      </c>
      <c r="AC4747">
        <v>0.64560000000000095</v>
      </c>
      <c r="AD4747">
        <v>-1.1111427264479901</v>
      </c>
      <c r="AE4747">
        <v>-22.504300000000001</v>
      </c>
      <c r="AF4747">
        <v>-0.53571314507941603</v>
      </c>
      <c r="AG4747">
        <v>-1.1111427264479901</v>
      </c>
      <c r="AH4747">
        <v>22.452461912755201</v>
      </c>
      <c r="AI4747">
        <v>92.832376324481302</v>
      </c>
      <c r="AJ4747">
        <v>91.366811340948402</v>
      </c>
      <c r="AK4747">
        <v>22.4863219019045</v>
      </c>
      <c r="AL4747">
        <v>80.229396173295697</v>
      </c>
      <c r="AM4747">
        <v>95.189322415567801</v>
      </c>
      <c r="AN4747">
        <v>0.99999997997502599</v>
      </c>
    </row>
    <row r="4748" spans="1:40" x14ac:dyDescent="0.25">
      <c r="A4748" t="str">
        <f>"20190312172212618"</f>
        <v>20190312172212618</v>
      </c>
      <c r="B4748" t="str">
        <f>"1552382532615843"</f>
        <v>1552382532615843</v>
      </c>
      <c r="C4748" t="s">
        <v>40</v>
      </c>
      <c r="D4748">
        <v>3.4549500000000002</v>
      </c>
      <c r="E4748">
        <v>0.52839429999999998</v>
      </c>
      <c r="F4748" t="s">
        <v>42</v>
      </c>
      <c r="G4748">
        <v>-189.45259999999999</v>
      </c>
      <c r="H4748" s="1">
        <v>-1.739324E-6</v>
      </c>
      <c r="I4748">
        <v>163.1053</v>
      </c>
      <c r="J4748">
        <v>-189.9374</v>
      </c>
      <c r="K4748">
        <v>1.1111759999999999</v>
      </c>
      <c r="L4748">
        <v>185.39490000000001</v>
      </c>
      <c r="M4748">
        <v>5.2268540000000004E-3</v>
      </c>
      <c r="N4748">
        <v>0</v>
      </c>
      <c r="O4748">
        <v>-0.99989220000000001</v>
      </c>
      <c r="P4748">
        <v>9.2064690000000005E-2</v>
      </c>
      <c r="Q4748">
        <v>0.15616360000000001</v>
      </c>
      <c r="R4748">
        <v>-0.98343139999999996</v>
      </c>
      <c r="S4748">
        <v>6.6513059999999999E-2</v>
      </c>
      <c r="T4748">
        <v>-0.1521169</v>
      </c>
      <c r="U4748">
        <v>-3.068924</v>
      </c>
      <c r="V4748">
        <v>-8.7130470000000002E-2</v>
      </c>
      <c r="W4748">
        <v>0.16954830000000001</v>
      </c>
      <c r="X4748">
        <v>0.9816627</v>
      </c>
      <c r="Y4748">
        <v>-1.6415030000000001E-2</v>
      </c>
      <c r="Z4748">
        <v>4.949593E-2</v>
      </c>
      <c r="AA4748">
        <v>0.99863939999999995</v>
      </c>
      <c r="AB4748">
        <v>23</v>
      </c>
      <c r="AC4748">
        <v>0.484800000000007</v>
      </c>
      <c r="AD4748">
        <v>-1.1111777393240001</v>
      </c>
      <c r="AE4748">
        <v>-22.2896</v>
      </c>
      <c r="AF4748">
        <v>-0.36736537561939703</v>
      </c>
      <c r="AG4748">
        <v>-1.1111777393240001</v>
      </c>
      <c r="AH4748">
        <v>22.236593281885</v>
      </c>
      <c r="AI4748">
        <v>92.860339965609001</v>
      </c>
      <c r="AJ4748">
        <v>90.946483602488698</v>
      </c>
      <c r="AK4748">
        <v>22.2673697160564</v>
      </c>
      <c r="AL4748">
        <v>80.238442695903998</v>
      </c>
      <c r="AM4748">
        <v>95.072170198665106</v>
      </c>
      <c r="AN4748">
        <v>1.0000000007033001</v>
      </c>
    </row>
    <row r="4749" spans="1:40" x14ac:dyDescent="0.25">
      <c r="A4749" t="str">
        <f>"20190312172212630"</f>
        <v>20190312172212630</v>
      </c>
      <c r="B4749" t="str">
        <f>"1552382532625740"</f>
        <v>1552382532625740</v>
      </c>
      <c r="C4749" t="s">
        <v>40</v>
      </c>
      <c r="D4749">
        <v>3.4963959999999998</v>
      </c>
      <c r="E4749">
        <v>0.5291998</v>
      </c>
      <c r="F4749" t="s">
        <v>42</v>
      </c>
      <c r="G4749">
        <v>-189.63829999999999</v>
      </c>
      <c r="H4749" s="1">
        <v>-1.7187350000000001E-6</v>
      </c>
      <c r="I4749">
        <v>163.13149999999999</v>
      </c>
      <c r="J4749">
        <v>-189.93639999999999</v>
      </c>
      <c r="K4749">
        <v>1.1112</v>
      </c>
      <c r="L4749">
        <v>185.27680000000001</v>
      </c>
      <c r="M4749">
        <v>5.6361950000000001E-3</v>
      </c>
      <c r="N4749">
        <v>0</v>
      </c>
      <c r="O4749">
        <v>-0.9998899</v>
      </c>
      <c r="P4749">
        <v>9.0545070000000005E-2</v>
      </c>
      <c r="Q4749">
        <v>0.156238299999999</v>
      </c>
      <c r="R4749">
        <v>-0.98356049999999995</v>
      </c>
      <c r="S4749">
        <v>4.1259770000000001E-2</v>
      </c>
      <c r="T4749">
        <v>-0.15327579999999999</v>
      </c>
      <c r="U4749">
        <v>-3.0710139999999999</v>
      </c>
      <c r="V4749">
        <v>-8.5219420000000004E-2</v>
      </c>
      <c r="W4749">
        <v>0.1696202</v>
      </c>
      <c r="X4749">
        <v>0.98181799999999997</v>
      </c>
      <c r="Y4749">
        <v>-7.7808829999999997E-3</v>
      </c>
      <c r="Z4749">
        <v>4.9844260000000001E-2</v>
      </c>
      <c r="AA4749">
        <v>0.99872669999999997</v>
      </c>
      <c r="AB4749">
        <v>23</v>
      </c>
      <c r="AC4749">
        <v>0.29810000000000503</v>
      </c>
      <c r="AD4749">
        <v>-1.1112017187350001</v>
      </c>
      <c r="AE4749">
        <v>-22.145299999999999</v>
      </c>
      <c r="AF4749">
        <v>-0.172833192510852</v>
      </c>
      <c r="AG4749">
        <v>-1.1112017187350001</v>
      </c>
      <c r="AH4749">
        <v>22.091017625145799</v>
      </c>
      <c r="AI4749">
        <v>92.879523739593495</v>
      </c>
      <c r="AJ4749">
        <v>90.448255060928702</v>
      </c>
      <c r="AK4749">
        <v>22.119622516821</v>
      </c>
      <c r="AL4749">
        <v>80.234262314655695</v>
      </c>
      <c r="AM4749">
        <v>94.960701885540402</v>
      </c>
      <c r="AN4749">
        <v>0.99999997345858704</v>
      </c>
    </row>
    <row r="4750" spans="1:40" x14ac:dyDescent="0.25">
      <c r="A4750" t="str">
        <f>"20190312172212642"</f>
        <v>20190312172212642</v>
      </c>
      <c r="B4750" t="str">
        <f>"1552382532635500"</f>
        <v>1552382532635500</v>
      </c>
      <c r="C4750" t="s">
        <v>40</v>
      </c>
      <c r="D4750">
        <v>3.487854</v>
      </c>
      <c r="E4750">
        <v>0.5298505</v>
      </c>
      <c r="F4750" t="s">
        <v>42</v>
      </c>
      <c r="G4750">
        <v>-189.71960000000001</v>
      </c>
      <c r="H4750" s="1">
        <v>-1.6802619999999901E-6</v>
      </c>
      <c r="I4750">
        <v>163.0806</v>
      </c>
      <c r="J4750">
        <v>-189.93530000000001</v>
      </c>
      <c r="K4750">
        <v>1.111226</v>
      </c>
      <c r="L4750">
        <v>185.1576</v>
      </c>
      <c r="M4750">
        <v>6.0602579999999998E-3</v>
      </c>
      <c r="N4750">
        <v>0</v>
      </c>
      <c r="O4750">
        <v>-0.99988739999999998</v>
      </c>
      <c r="P4750">
        <v>8.8920540000000006E-2</v>
      </c>
      <c r="Q4750">
        <v>0.15663759999999999</v>
      </c>
      <c r="R4750">
        <v>-0.9836452</v>
      </c>
      <c r="S4750">
        <v>2.9998779999999999E-2</v>
      </c>
      <c r="T4750">
        <v>-0.15378449999999999</v>
      </c>
      <c r="U4750">
        <v>-3.0718380000000001</v>
      </c>
      <c r="V4750">
        <v>-8.3188650000000003E-2</v>
      </c>
      <c r="W4750">
        <v>0.17001729999999901</v>
      </c>
      <c r="X4750">
        <v>0.98192349999999995</v>
      </c>
      <c r="Y4750">
        <v>-3.6923429999999998E-3</v>
      </c>
      <c r="Z4750">
        <v>4.9997350000000003E-2</v>
      </c>
      <c r="AA4750">
        <v>0.99874249999999998</v>
      </c>
      <c r="AB4750">
        <v>23</v>
      </c>
      <c r="AC4750">
        <v>0.215699999999998</v>
      </c>
      <c r="AD4750">
        <v>-1.111227680262</v>
      </c>
      <c r="AE4750">
        <v>-22.077000000000002</v>
      </c>
      <c r="AF4750">
        <v>-8.1684183755669396E-2</v>
      </c>
      <c r="AG4750">
        <v>-1.111227680262</v>
      </c>
      <c r="AH4750">
        <v>22.0221134813936</v>
      </c>
      <c r="AI4750">
        <v>92.888653924546205</v>
      </c>
      <c r="AJ4750">
        <v>90.212519907453995</v>
      </c>
      <c r="AK4750">
        <v>22.0502830242751</v>
      </c>
      <c r="AL4750">
        <v>80.211175052134905</v>
      </c>
      <c r="AM4750">
        <v>94.842540079429895</v>
      </c>
      <c r="AN4750">
        <v>0.99999999682018104</v>
      </c>
    </row>
    <row r="4751" spans="1:40" x14ac:dyDescent="0.25">
      <c r="A4751" t="str">
        <f>"20190312172212656"</f>
        <v>20190312172212656</v>
      </c>
      <c r="B4751" t="str">
        <f>"1552382532645260"</f>
        <v>1552382532645260</v>
      </c>
      <c r="C4751" t="s">
        <v>40</v>
      </c>
      <c r="D4751">
        <v>3.4809700000000001</v>
      </c>
      <c r="E4751">
        <v>0.53021940000000001</v>
      </c>
      <c r="F4751" t="s">
        <v>42</v>
      </c>
      <c r="G4751">
        <v>-189.79050000000001</v>
      </c>
      <c r="H4751" s="1">
        <v>-1.567329E-6</v>
      </c>
      <c r="I4751">
        <v>162.8683</v>
      </c>
      <c r="J4751">
        <v>-189.93369999999999</v>
      </c>
      <c r="K4751">
        <v>1.1112599999999999</v>
      </c>
      <c r="L4751">
        <v>185.00239999999999</v>
      </c>
      <c r="M4751">
        <v>6.6527679999999999E-3</v>
      </c>
      <c r="N4751">
        <v>0</v>
      </c>
      <c r="O4751">
        <v>-0.99988390000000005</v>
      </c>
      <c r="P4751">
        <v>8.567147E-2</v>
      </c>
      <c r="Q4751">
        <v>0.15677379999999999</v>
      </c>
      <c r="R4751">
        <v>-0.9839118</v>
      </c>
      <c r="S4751">
        <v>1.9958500000000001E-2</v>
      </c>
      <c r="T4751">
        <v>-0.15317700000000001</v>
      </c>
      <c r="U4751">
        <v>-3.0724640000000001</v>
      </c>
      <c r="V4751">
        <v>-7.9367320000000005E-2</v>
      </c>
      <c r="W4751">
        <v>0.17015549999999999</v>
      </c>
      <c r="X4751">
        <v>0.98221579999999997</v>
      </c>
      <c r="Y4751">
        <v>1.656657E-4</v>
      </c>
      <c r="Z4751">
        <v>4.9790750000000002E-2</v>
      </c>
      <c r="AA4751">
        <v>0.99875970000000003</v>
      </c>
      <c r="AB4751">
        <v>23</v>
      </c>
      <c r="AC4751">
        <v>0.14319999999997801</v>
      </c>
      <c r="AD4751">
        <v>-1.1112615673289901</v>
      </c>
      <c r="AE4751">
        <v>-22.134099999999901</v>
      </c>
      <c r="AF4751">
        <v>4.0598073244067501E-3</v>
      </c>
      <c r="AG4751">
        <v>-1.1112615673289901</v>
      </c>
      <c r="AH4751">
        <v>22.078912440198501</v>
      </c>
      <c r="AI4751">
        <v>92.8813427291918</v>
      </c>
      <c r="AJ4751">
        <v>89.989464615916503</v>
      </c>
      <c r="AK4751">
        <v>22.106860774316399</v>
      </c>
      <c r="AL4751">
        <v>80.2031394450362</v>
      </c>
      <c r="AM4751">
        <v>94.619711730171105</v>
      </c>
      <c r="AN4751">
        <v>0.999999971716935</v>
      </c>
    </row>
    <row r="4752" spans="1:40" x14ac:dyDescent="0.25">
      <c r="A4752" t="str">
        <f>"20190312172212670"</f>
        <v>20190312172212670</v>
      </c>
      <c r="B4752" t="str">
        <f>"1552382532665757"</f>
        <v>1552382532665757</v>
      </c>
      <c r="C4752" t="s">
        <v>40</v>
      </c>
      <c r="D4752">
        <v>3.4760049999999998</v>
      </c>
      <c r="E4752">
        <v>0.53070740000000005</v>
      </c>
      <c r="F4752" t="s">
        <v>42</v>
      </c>
      <c r="G4752">
        <v>-189.8784</v>
      </c>
      <c r="H4752" s="1">
        <v>-1.5137860000000001E-6</v>
      </c>
      <c r="I4752">
        <v>162.78799999999899</v>
      </c>
      <c r="J4752">
        <v>-189.9323</v>
      </c>
      <c r="K4752">
        <v>1.111281</v>
      </c>
      <c r="L4752">
        <v>184.86850000000001</v>
      </c>
      <c r="M4752">
        <v>7.1915249999999998E-3</v>
      </c>
      <c r="N4752">
        <v>0</v>
      </c>
      <c r="O4752">
        <v>-0.99988010000000005</v>
      </c>
      <c r="P4752">
        <v>8.4530339999999995E-2</v>
      </c>
      <c r="Q4752">
        <v>0.15670400000000001</v>
      </c>
      <c r="R4752">
        <v>-0.9840217</v>
      </c>
      <c r="S4752">
        <v>7.6446530000000004E-3</v>
      </c>
      <c r="T4752">
        <v>-0.15371899999999999</v>
      </c>
      <c r="U4752">
        <v>-3.0728759999999999</v>
      </c>
      <c r="V4752">
        <v>-7.7703620000000001E-2</v>
      </c>
      <c r="W4752">
        <v>0.1700845</v>
      </c>
      <c r="X4752">
        <v>0.98236109999999999</v>
      </c>
      <c r="Y4752">
        <v>4.7075729999999996E-3</v>
      </c>
      <c r="Z4752">
        <v>4.9959700000000003E-2</v>
      </c>
      <c r="AA4752">
        <v>0.99874010000000002</v>
      </c>
      <c r="AB4752">
        <v>23</v>
      </c>
      <c r="AC4752">
        <v>5.3899999999998699E-2</v>
      </c>
      <c r="AD4752">
        <v>-1.1112825137860001</v>
      </c>
      <c r="AE4752">
        <v>-22.080500000000001</v>
      </c>
      <c r="AF4752">
        <v>0.10464373726453401</v>
      </c>
      <c r="AG4752">
        <v>-1.1112825137860001</v>
      </c>
      <c r="AH4752">
        <v>22.024529282988301</v>
      </c>
      <c r="AI4752">
        <v>92.888467186520003</v>
      </c>
      <c r="AJ4752">
        <v>89.727776275915105</v>
      </c>
      <c r="AK4752">
        <v>22.052795497950001</v>
      </c>
      <c r="AL4752">
        <v>80.207267507029002</v>
      </c>
      <c r="AM4752">
        <v>94.522613079971407</v>
      </c>
      <c r="AN4752">
        <v>0.99999996024728099</v>
      </c>
    </row>
    <row r="4753" spans="1:40" x14ac:dyDescent="0.25">
      <c r="A4753" t="str">
        <f>"20190312172212682"</f>
        <v>20190312172212682</v>
      </c>
      <c r="B4753" t="str">
        <f>"1552382532675516"</f>
        <v>1552382532675516</v>
      </c>
      <c r="C4753" t="s">
        <v>40</v>
      </c>
      <c r="D4753">
        <v>3.4709110000000001</v>
      </c>
      <c r="E4753">
        <v>0.53083599999999997</v>
      </c>
      <c r="F4753" t="s">
        <v>42</v>
      </c>
      <c r="G4753">
        <v>-189.92859999999999</v>
      </c>
      <c r="H4753" s="1">
        <v>-1.5123089999999999E-6</v>
      </c>
      <c r="I4753">
        <v>162.80369999999999</v>
      </c>
      <c r="J4753">
        <v>-189.9308</v>
      </c>
      <c r="K4753">
        <v>1.111299</v>
      </c>
      <c r="L4753">
        <v>184.74520000000001</v>
      </c>
      <c r="M4753">
        <v>7.7006729999999999E-3</v>
      </c>
      <c r="N4753">
        <v>0</v>
      </c>
      <c r="O4753">
        <v>-0.9998764</v>
      </c>
      <c r="P4753">
        <v>8.3623450000000002E-2</v>
      </c>
      <c r="Q4753">
        <v>0.15670819999999999</v>
      </c>
      <c r="R4753">
        <v>-0.98409849999999999</v>
      </c>
      <c r="S4753">
        <v>5.0354000000000002E-4</v>
      </c>
      <c r="T4753">
        <v>-0.15478610000000001</v>
      </c>
      <c r="U4753">
        <v>-3.073318</v>
      </c>
      <c r="V4753">
        <v>-7.6301980000000005E-2</v>
      </c>
      <c r="W4753">
        <v>0.17008779999999901</v>
      </c>
      <c r="X4753">
        <v>0.98247050000000002</v>
      </c>
      <c r="Y4753">
        <v>7.53776599999999E-3</v>
      </c>
      <c r="Z4753">
        <v>5.0297769999999999E-2</v>
      </c>
      <c r="AA4753">
        <v>0.99870579999999998</v>
      </c>
      <c r="AB4753">
        <v>23</v>
      </c>
      <c r="AC4753">
        <v>2.2000000000161799E-3</v>
      </c>
      <c r="AD4753">
        <v>-1.1113005123090001</v>
      </c>
      <c r="AE4753">
        <v>-21.941500000000001</v>
      </c>
      <c r="AF4753">
        <v>0.16635351793647499</v>
      </c>
      <c r="AG4753">
        <v>-1.1113005123090001</v>
      </c>
      <c r="AH4753">
        <v>21.8847263569082</v>
      </c>
      <c r="AI4753">
        <v>92.906883521126005</v>
      </c>
      <c r="AJ4753">
        <v>89.564482975012993</v>
      </c>
      <c r="AK4753">
        <v>21.913555394740001</v>
      </c>
      <c r="AL4753">
        <v>80.207076697031098</v>
      </c>
      <c r="AM4753">
        <v>94.440869707700202</v>
      </c>
      <c r="AN4753">
        <v>1.0000000676155001</v>
      </c>
    </row>
    <row r="4754" spans="1:40" x14ac:dyDescent="0.25">
      <c r="A4754" t="str">
        <f>"20190312172212693"</f>
        <v>20190312172212693</v>
      </c>
      <c r="B4754" t="str">
        <f>"1552382532685277"</f>
        <v>1552382532685277</v>
      </c>
      <c r="C4754" t="s">
        <v>40</v>
      </c>
      <c r="D4754">
        <v>3.4724879999999998</v>
      </c>
      <c r="E4754">
        <v>0.53090349999999997</v>
      </c>
      <c r="F4754" t="s">
        <v>42</v>
      </c>
      <c r="G4754">
        <v>-189.95259999999999</v>
      </c>
      <c r="H4754" s="1">
        <v>-1.4796340000000001E-6</v>
      </c>
      <c r="I4754">
        <v>162.74359999999999</v>
      </c>
      <c r="J4754">
        <v>-189.92939999999999</v>
      </c>
      <c r="K4754">
        <v>1.1113170000000001</v>
      </c>
      <c r="L4754">
        <v>184.62880000000001</v>
      </c>
      <c r="M4754">
        <v>8.2039469999999996E-3</v>
      </c>
      <c r="N4754">
        <v>0</v>
      </c>
      <c r="O4754">
        <v>-0.99987239999999999</v>
      </c>
      <c r="P4754">
        <v>8.2853969999999999E-2</v>
      </c>
      <c r="Q4754">
        <v>0.15663150000000001</v>
      </c>
      <c r="R4754">
        <v>-0.98417569999999999</v>
      </c>
      <c r="S4754">
        <v>-3.0364989999999998E-3</v>
      </c>
      <c r="T4754">
        <v>-0.15523989999999999</v>
      </c>
      <c r="U4754">
        <v>-3.0734560000000002</v>
      </c>
      <c r="V4754">
        <v>-7.5042250000000005E-2</v>
      </c>
      <c r="W4754">
        <v>0.17001069999999999</v>
      </c>
      <c r="X4754">
        <v>0.98258080000000003</v>
      </c>
      <c r="Y4754">
        <v>9.1913979999999999E-3</v>
      </c>
      <c r="Z4754">
        <v>5.0441970000000003E-2</v>
      </c>
      <c r="AA4754">
        <v>0.99868469999999998</v>
      </c>
      <c r="AB4754">
        <v>23</v>
      </c>
      <c r="AC4754">
        <v>-2.3200000000002701E-2</v>
      </c>
      <c r="AD4754">
        <v>-1.1113184796340001</v>
      </c>
      <c r="AE4754">
        <v>-21.885200000000001</v>
      </c>
      <c r="AF4754">
        <v>0.202239623766688</v>
      </c>
      <c r="AG4754">
        <v>-1.1113184796340001</v>
      </c>
      <c r="AH4754">
        <v>21.82798845284</v>
      </c>
      <c r="AI4754">
        <v>92.9144326475421</v>
      </c>
      <c r="AJ4754">
        <v>89.469161101757393</v>
      </c>
      <c r="AK4754">
        <v>21.8571958294268</v>
      </c>
      <c r="AL4754">
        <v>80.211558851616402</v>
      </c>
      <c r="AM4754">
        <v>94.3673495396786</v>
      </c>
      <c r="AN4754">
        <v>1.0000000029640901</v>
      </c>
    </row>
    <row r="4755" spans="1:40" x14ac:dyDescent="0.25">
      <c r="A4755" t="str">
        <f>"20190312172212704"</f>
        <v>20190312172212704</v>
      </c>
      <c r="B4755" t="str">
        <f>"1552382532695037"</f>
        <v>1552382532695037</v>
      </c>
      <c r="C4755" t="s">
        <v>40</v>
      </c>
      <c r="D4755">
        <v>3.4669639999999999</v>
      </c>
      <c r="E4755">
        <v>0.5309374</v>
      </c>
      <c r="F4755" t="s">
        <v>42</v>
      </c>
      <c r="G4755">
        <v>-189.9701</v>
      </c>
      <c r="H4755" s="1">
        <v>-1.4690339999999999E-6</v>
      </c>
      <c r="I4755">
        <v>162.71619999999999</v>
      </c>
      <c r="J4755">
        <v>-189.928</v>
      </c>
      <c r="K4755">
        <v>1.111327</v>
      </c>
      <c r="L4755">
        <v>184.51570000000001</v>
      </c>
      <c r="M4755">
        <v>8.7034820000000002E-3</v>
      </c>
      <c r="N4755">
        <v>0</v>
      </c>
      <c r="O4755">
        <v>-0.99986839999999999</v>
      </c>
      <c r="P4755">
        <v>8.1770549999999997E-2</v>
      </c>
      <c r="Q4755">
        <v>0.15669620000000001</v>
      </c>
      <c r="R4755">
        <v>-0.98425620000000003</v>
      </c>
      <c r="S4755">
        <v>-5.7067869999999996E-3</v>
      </c>
      <c r="T4755">
        <v>-0.15587679999999901</v>
      </c>
      <c r="U4755">
        <v>-3.0735320000000002</v>
      </c>
      <c r="V4755">
        <v>-7.3471739999999994E-2</v>
      </c>
      <c r="W4755">
        <v>0.17007610000000001</v>
      </c>
      <c r="X4755">
        <v>0.98268820000000001</v>
      </c>
      <c r="Y4755">
        <v>1.055858E-2</v>
      </c>
      <c r="Z4755">
        <v>5.0646410000000003E-2</v>
      </c>
      <c r="AA4755">
        <v>0.99866080000000002</v>
      </c>
      <c r="AB4755">
        <v>23</v>
      </c>
      <c r="AC4755">
        <v>-4.2100000000004897E-2</v>
      </c>
      <c r="AD4755">
        <v>-1.111328469034</v>
      </c>
      <c r="AE4755">
        <v>-21.799499999999998</v>
      </c>
      <c r="AF4755">
        <v>0.23124675630928199</v>
      </c>
      <c r="AG4755">
        <v>-1.111328469034</v>
      </c>
      <c r="AH4755">
        <v>21.741802863187399</v>
      </c>
      <c r="AI4755">
        <v>92.925951982414801</v>
      </c>
      <c r="AJ4755">
        <v>89.390622587148002</v>
      </c>
      <c r="AK4755">
        <v>21.7714151531335</v>
      </c>
      <c r="AL4755">
        <v>80.207756670377606</v>
      </c>
      <c r="AM4755">
        <v>94.2758251705541</v>
      </c>
      <c r="AN4755">
        <v>1.0000000373945299</v>
      </c>
    </row>
    <row r="4756" spans="1:40" x14ac:dyDescent="0.25">
      <c r="A4756" t="str">
        <f>"20190312172212715"</f>
        <v>20190312172212715</v>
      </c>
      <c r="B4756" t="str">
        <f>"1552382532705772"</f>
        <v>1552382532705772</v>
      </c>
      <c r="C4756" t="s">
        <v>40</v>
      </c>
      <c r="D4756">
        <v>3.4806360000000001</v>
      </c>
      <c r="E4756">
        <v>0.53088400000000002</v>
      </c>
      <c r="F4756" t="s">
        <v>42</v>
      </c>
      <c r="G4756">
        <v>-189.9932</v>
      </c>
      <c r="H4756" s="1">
        <v>-1.4224200000000001E-6</v>
      </c>
      <c r="I4756">
        <v>162.6045</v>
      </c>
      <c r="J4756">
        <v>-189.9264</v>
      </c>
      <c r="K4756">
        <v>1.1113390000000001</v>
      </c>
      <c r="L4756">
        <v>184.4015</v>
      </c>
      <c r="M4756">
        <v>9.2206519999999993E-3</v>
      </c>
      <c r="N4756">
        <v>0</v>
      </c>
      <c r="O4756">
        <v>-0.99986339999999996</v>
      </c>
      <c r="P4756">
        <v>8.0872840000000001E-2</v>
      </c>
      <c r="Q4756">
        <v>0.15671749999999901</v>
      </c>
      <c r="R4756">
        <v>-0.98432699999999995</v>
      </c>
      <c r="S4756">
        <v>-9.1552730000000002E-3</v>
      </c>
      <c r="T4756">
        <v>-0.15589029999999901</v>
      </c>
      <c r="U4756">
        <v>-3.073563</v>
      </c>
      <c r="V4756">
        <v>-7.2068919999999995E-2</v>
      </c>
      <c r="W4756">
        <v>0.1700981</v>
      </c>
      <c r="X4756">
        <v>0.9827882</v>
      </c>
      <c r="Y4756">
        <v>1.2196230000000001E-2</v>
      </c>
      <c r="Z4756">
        <v>5.0649399999999997E-2</v>
      </c>
      <c r="AA4756">
        <v>0.99864200000000003</v>
      </c>
      <c r="AB4756">
        <v>23</v>
      </c>
      <c r="AC4756">
        <v>-6.6800000000000595E-2</v>
      </c>
      <c r="AD4756">
        <v>-1.1113404224200001</v>
      </c>
      <c r="AE4756">
        <v>-21.797000000000001</v>
      </c>
      <c r="AF4756">
        <v>0.267104274017542</v>
      </c>
      <c r="AG4756">
        <v>-1.1113404224200001</v>
      </c>
      <c r="AH4756">
        <v>21.738945929042</v>
      </c>
      <c r="AI4756">
        <v>92.926311997257798</v>
      </c>
      <c r="AJ4756">
        <v>89.296047859187794</v>
      </c>
      <c r="AK4756">
        <v>21.7689731575358</v>
      </c>
      <c r="AL4756">
        <v>80.206476852979605</v>
      </c>
      <c r="AM4756">
        <v>94.194054365672699</v>
      </c>
      <c r="AN4756">
        <v>0.99999996945640701</v>
      </c>
    </row>
    <row r="4757" spans="1:40" x14ac:dyDescent="0.25">
      <c r="A4757" t="str">
        <f>"20190312172212727"</f>
        <v>20190312172212727</v>
      </c>
      <c r="B4757" t="str">
        <f>"1552382532715532"</f>
        <v>1552382532715532</v>
      </c>
      <c r="C4757" t="s">
        <v>40</v>
      </c>
      <c r="D4757">
        <v>3.4844740000000001</v>
      </c>
      <c r="E4757">
        <v>0.53082629999999997</v>
      </c>
      <c r="F4757" t="s">
        <v>42</v>
      </c>
      <c r="G4757">
        <v>-190.00550000000001</v>
      </c>
      <c r="H4757" s="1">
        <v>-1.400969E-6</v>
      </c>
      <c r="I4757">
        <v>162.5522</v>
      </c>
      <c r="J4757">
        <v>-189.9248</v>
      </c>
      <c r="K4757">
        <v>1.1113489999999999</v>
      </c>
      <c r="L4757">
        <v>184.28819999999999</v>
      </c>
      <c r="M4757">
        <v>9.7490460000000008E-3</v>
      </c>
      <c r="N4757">
        <v>0</v>
      </c>
      <c r="O4757">
        <v>-0.99985869999999999</v>
      </c>
      <c r="P4757">
        <v>7.9647369999999995E-2</v>
      </c>
      <c r="Q4757">
        <v>0.15647459999999999</v>
      </c>
      <c r="R4757">
        <v>-0.9844659</v>
      </c>
      <c r="S4757">
        <v>-1.112366E-2</v>
      </c>
      <c r="T4757">
        <v>-0.156334</v>
      </c>
      <c r="U4757">
        <v>-3.0735779999999999</v>
      </c>
      <c r="V4757">
        <v>-7.0326600000000003E-2</v>
      </c>
      <c r="W4757">
        <v>0.16985710000000001</v>
      </c>
      <c r="X4757">
        <v>0.9829561</v>
      </c>
      <c r="Y4757">
        <v>1.336415E-2</v>
      </c>
      <c r="Z4757">
        <v>5.079214E-2</v>
      </c>
      <c r="AA4757">
        <v>0.9986199</v>
      </c>
      <c r="AB4757">
        <v>23</v>
      </c>
      <c r="AC4757">
        <v>-8.0700000000007294E-2</v>
      </c>
      <c r="AD4757">
        <v>-1.1113504009689901</v>
      </c>
      <c r="AE4757">
        <v>-21.735999999999901</v>
      </c>
      <c r="AF4757">
        <v>0.29185832828507102</v>
      </c>
      <c r="AG4757">
        <v>-1.1113504009689901</v>
      </c>
      <c r="AH4757">
        <v>21.677510938158001</v>
      </c>
      <c r="AI4757">
        <v>92.934572740885102</v>
      </c>
      <c r="AJ4757">
        <v>89.228636526983905</v>
      </c>
      <c r="AK4757">
        <v>21.707942359226099</v>
      </c>
      <c r="AL4757">
        <v>80.220489144955707</v>
      </c>
      <c r="AM4757">
        <v>94.092312058766495</v>
      </c>
      <c r="AN4757">
        <v>0.99999997980758903</v>
      </c>
    </row>
    <row r="4758" spans="1:40" x14ac:dyDescent="0.25">
      <c r="A4758" t="str">
        <f>"20190312172212739"</f>
        <v>20190312172212739</v>
      </c>
      <c r="B4758" t="str">
        <f>"1552382532735054"</f>
        <v>1552382532735054</v>
      </c>
      <c r="C4758" t="s">
        <v>40</v>
      </c>
      <c r="D4758">
        <v>3.4905270000000002</v>
      </c>
      <c r="E4758">
        <v>0.53061849999999999</v>
      </c>
      <c r="F4758" t="s">
        <v>42</v>
      </c>
      <c r="G4758">
        <v>-190.0241</v>
      </c>
      <c r="H4758" s="1">
        <v>-1.4268320000000001E-6</v>
      </c>
      <c r="I4758">
        <v>162.59649999999999</v>
      </c>
      <c r="J4758">
        <v>-189.923</v>
      </c>
      <c r="K4758">
        <v>1.111362</v>
      </c>
      <c r="L4758">
        <v>184.16309999999999</v>
      </c>
      <c r="M4758">
        <v>1.034154E-2</v>
      </c>
      <c r="N4758">
        <v>0</v>
      </c>
      <c r="O4758">
        <v>-0.99985250000000003</v>
      </c>
      <c r="P4758">
        <v>7.8297149999999996E-2</v>
      </c>
      <c r="Q4758">
        <v>0.1563484</v>
      </c>
      <c r="R4758">
        <v>-0.98459370000000002</v>
      </c>
      <c r="S4758">
        <v>-1.4068600000000001E-2</v>
      </c>
      <c r="T4758">
        <v>-0.15746859999999999</v>
      </c>
      <c r="U4758">
        <v>-3.0735320000000002</v>
      </c>
      <c r="V4758">
        <v>-6.8396869999999999E-2</v>
      </c>
      <c r="W4758">
        <v>0.16973260000000001</v>
      </c>
      <c r="X4758">
        <v>0.98311380000000004</v>
      </c>
      <c r="Y4758">
        <v>1.491345E-2</v>
      </c>
      <c r="Z4758">
        <v>5.1159450000000002E-2</v>
      </c>
      <c r="AA4758">
        <v>0.99857910000000005</v>
      </c>
      <c r="AB4758">
        <v>23</v>
      </c>
      <c r="AC4758">
        <v>-0.10110000000000199</v>
      </c>
      <c r="AD4758">
        <v>-1.1113634268320001</v>
      </c>
      <c r="AE4758">
        <v>-21.566599999999902</v>
      </c>
      <c r="AF4758">
        <v>0.32328894067979902</v>
      </c>
      <c r="AG4758">
        <v>-1.1113634268320001</v>
      </c>
      <c r="AH4758">
        <v>21.507289193873</v>
      </c>
      <c r="AI4758">
        <v>92.957726312639807</v>
      </c>
      <c r="AJ4758">
        <v>89.138817691284302</v>
      </c>
      <c r="AK4758">
        <v>21.538410639472801</v>
      </c>
      <c r="AL4758">
        <v>80.227727928400796</v>
      </c>
      <c r="AM4758">
        <v>93.9797504450123</v>
      </c>
      <c r="AN4758">
        <v>1.0000000155394899</v>
      </c>
    </row>
    <row r="4759" spans="1:40" x14ac:dyDescent="0.25">
      <c r="A4759" t="str">
        <f>"20190312172212750"</f>
        <v>20190312172212750</v>
      </c>
      <c r="B4759" t="str">
        <f>"1552382532745789"</f>
        <v>1552382532745789</v>
      </c>
      <c r="C4759" t="s">
        <v>40</v>
      </c>
      <c r="D4759">
        <v>3.4709940000000001</v>
      </c>
      <c r="E4759">
        <v>0.53055050000000004</v>
      </c>
      <c r="F4759" t="s">
        <v>42</v>
      </c>
      <c r="G4759">
        <v>-190.0376</v>
      </c>
      <c r="H4759" s="1">
        <v>-1.423268E-6</v>
      </c>
      <c r="I4759">
        <v>162.5813</v>
      </c>
      <c r="J4759">
        <v>-189.9212</v>
      </c>
      <c r="K4759">
        <v>1.1113770000000001</v>
      </c>
      <c r="L4759">
        <v>184.05350000000001</v>
      </c>
      <c r="M4759">
        <v>1.0884019999999999E-2</v>
      </c>
      <c r="N4759">
        <v>0</v>
      </c>
      <c r="O4759">
        <v>-0.99984689999999998</v>
      </c>
      <c r="P4759">
        <v>7.7049359999999997E-2</v>
      </c>
      <c r="Q4759">
        <v>0.15607289999999999</v>
      </c>
      <c r="R4759">
        <v>-0.9847361</v>
      </c>
      <c r="S4759">
        <v>-1.6326899999999998E-2</v>
      </c>
      <c r="T4759">
        <v>-0.15826579999999901</v>
      </c>
      <c r="U4759">
        <v>-3.0733950000000001</v>
      </c>
      <c r="V4759">
        <v>-6.6618549999999999E-2</v>
      </c>
      <c r="W4759">
        <v>0.1694591</v>
      </c>
      <c r="X4759">
        <v>0.98328300000000002</v>
      </c>
      <c r="Y4759">
        <v>1.6189809999999999E-2</v>
      </c>
      <c r="Z4759">
        <v>5.1418999999999999E-2</v>
      </c>
      <c r="AA4759">
        <v>0.99854589999999999</v>
      </c>
      <c r="AB4759">
        <v>23</v>
      </c>
      <c r="AC4759">
        <v>-0.11639999999999801</v>
      </c>
      <c r="AD4759">
        <v>-1.111378423268</v>
      </c>
      <c r="AE4759">
        <v>-21.472200000000001</v>
      </c>
      <c r="AF4759">
        <v>0.34918346520612198</v>
      </c>
      <c r="AG4759">
        <v>-1.111378423268</v>
      </c>
      <c r="AH4759">
        <v>21.412299270093602</v>
      </c>
      <c r="AI4759">
        <v>92.970804755224194</v>
      </c>
      <c r="AJ4759">
        <v>89.065725481232704</v>
      </c>
      <c r="AK4759">
        <v>21.443965377796399</v>
      </c>
      <c r="AL4759">
        <v>80.243627902248406</v>
      </c>
      <c r="AM4759">
        <v>93.875931502860894</v>
      </c>
      <c r="AN4759">
        <v>0.99999993793295405</v>
      </c>
    </row>
    <row r="4760" spans="1:40" x14ac:dyDescent="0.25">
      <c r="A4760" t="str">
        <f>"20190312172212763"</f>
        <v>20190312172212763</v>
      </c>
      <c r="B4760" t="str">
        <f>"1552382532755548"</f>
        <v>1552382532755548</v>
      </c>
      <c r="C4760" t="s">
        <v>40</v>
      </c>
      <c r="D4760">
        <v>3.4453100000000001</v>
      </c>
      <c r="E4760">
        <v>0.53043799999999997</v>
      </c>
      <c r="F4760" t="s">
        <v>42</v>
      </c>
      <c r="G4760">
        <v>-190.05590000000001</v>
      </c>
      <c r="H4760" s="1">
        <v>-1.449161E-6</v>
      </c>
      <c r="I4760">
        <v>162.6258</v>
      </c>
      <c r="J4760">
        <v>-189.91929999999999</v>
      </c>
      <c r="K4760">
        <v>1.111397</v>
      </c>
      <c r="L4760">
        <v>183.93199999999999</v>
      </c>
      <c r="M4760">
        <v>1.149213E-2</v>
      </c>
      <c r="N4760">
        <v>0</v>
      </c>
      <c r="O4760">
        <v>-0.99983999999999995</v>
      </c>
      <c r="P4760">
        <v>7.5356149999999997E-2</v>
      </c>
      <c r="Q4760">
        <v>0.155556</v>
      </c>
      <c r="R4760">
        <v>-0.98494870000000001</v>
      </c>
      <c r="S4760">
        <v>-1.9317629999999999E-2</v>
      </c>
      <c r="T4760">
        <v>-0.15939929999999999</v>
      </c>
      <c r="U4760">
        <v>-3.0732569999999999</v>
      </c>
      <c r="V4760">
        <v>-6.4329490000000003E-2</v>
      </c>
      <c r="W4760">
        <v>0.16894589999999901</v>
      </c>
      <c r="X4760">
        <v>0.98352379999999995</v>
      </c>
      <c r="Y4760">
        <v>1.7769730000000001E-2</v>
      </c>
      <c r="Z4760">
        <v>5.1787199999999999E-2</v>
      </c>
      <c r="AA4760">
        <v>0.99850000000000005</v>
      </c>
      <c r="AB4760">
        <v>23</v>
      </c>
      <c r="AC4760">
        <v>-0.13660000000001499</v>
      </c>
      <c r="AD4760">
        <v>-1.1113984491610001</v>
      </c>
      <c r="AE4760">
        <v>-21.3062</v>
      </c>
      <c r="AF4760">
        <v>0.38043249383002897</v>
      </c>
      <c r="AG4760">
        <v>-1.1113984491610001</v>
      </c>
      <c r="AH4760">
        <v>21.245416498435102</v>
      </c>
      <c r="AI4760">
        <v>92.994070261197294</v>
      </c>
      <c r="AJ4760">
        <v>88.974138868211597</v>
      </c>
      <c r="AK4760">
        <v>21.277867787613001</v>
      </c>
      <c r="AL4760">
        <v>80.2734632027028</v>
      </c>
      <c r="AM4760">
        <v>93.742223264840405</v>
      </c>
      <c r="AN4760">
        <v>1.00000003278845</v>
      </c>
    </row>
    <row r="4761" spans="1:40" x14ac:dyDescent="0.25">
      <c r="A4761" t="str">
        <f>"20190312172212776"</f>
        <v>20190312172212776</v>
      </c>
      <c r="B4761" t="str">
        <f>"1552382532765308"</f>
        <v>1552382532765308</v>
      </c>
      <c r="C4761" t="s">
        <v>40</v>
      </c>
      <c r="D4761">
        <v>3.4615390000000001</v>
      </c>
      <c r="E4761">
        <v>0.53030129999999998</v>
      </c>
      <c r="F4761" t="s">
        <v>42</v>
      </c>
      <c r="G4761">
        <v>-190.07990000000001</v>
      </c>
      <c r="H4761" s="1">
        <v>-1.521909E-6</v>
      </c>
      <c r="I4761">
        <v>162.7662</v>
      </c>
      <c r="J4761">
        <v>-189.9169</v>
      </c>
      <c r="K4761">
        <v>1.111416</v>
      </c>
      <c r="L4761">
        <v>183.79480000000001</v>
      </c>
      <c r="M4761">
        <v>1.220626E-2</v>
      </c>
      <c r="N4761">
        <v>0</v>
      </c>
      <c r="O4761">
        <v>-0.99983149999999998</v>
      </c>
      <c r="P4761">
        <v>7.3779719999999993E-2</v>
      </c>
      <c r="Q4761">
        <v>0.15500829999999999</v>
      </c>
      <c r="R4761">
        <v>-0.98515439999999999</v>
      </c>
      <c r="S4761">
        <v>-2.3315430000000002E-2</v>
      </c>
      <c r="T4761">
        <v>-0.16136719999999999</v>
      </c>
      <c r="U4761">
        <v>-3.0731199999999999</v>
      </c>
      <c r="V4761">
        <v>-6.2054060000000001E-2</v>
      </c>
      <c r="W4761">
        <v>0.16840160000000001</v>
      </c>
      <c r="X4761">
        <v>0.98376330000000001</v>
      </c>
      <c r="Y4761">
        <v>1.9782729999999998E-2</v>
      </c>
      <c r="Z4761">
        <v>5.242525E-2</v>
      </c>
      <c r="AA4761">
        <v>0.99842889999999995</v>
      </c>
      <c r="AB4761">
        <v>23</v>
      </c>
      <c r="AC4761">
        <v>-0.16300000000001</v>
      </c>
      <c r="AD4761">
        <v>-1.1114175219089999</v>
      </c>
      <c r="AE4761">
        <v>-21.028600000000001</v>
      </c>
      <c r="AF4761">
        <v>0.41852350702527402</v>
      </c>
      <c r="AG4761">
        <v>-1.1114175219089999</v>
      </c>
      <c r="AH4761">
        <v>20.966478956365201</v>
      </c>
      <c r="AI4761">
        <v>93.033763561538507</v>
      </c>
      <c r="AJ4761">
        <v>88.856439062227906</v>
      </c>
      <c r="AK4761">
        <v>21.000086920335502</v>
      </c>
      <c r="AL4761">
        <v>80.305102480187401</v>
      </c>
      <c r="AM4761">
        <v>93.609335124289601</v>
      </c>
      <c r="AN4761">
        <v>1.00000001783596</v>
      </c>
    </row>
    <row r="4762" spans="1:40" x14ac:dyDescent="0.25">
      <c r="A4762" t="str">
        <f>"20190312172212793"</f>
        <v>20190312172212793</v>
      </c>
      <c r="B4762" t="str">
        <f>"1552382532785804"</f>
        <v>1552382532785804</v>
      </c>
      <c r="C4762" t="s">
        <v>40</v>
      </c>
      <c r="D4762">
        <v>3.4494379999999998</v>
      </c>
      <c r="E4762">
        <v>0.52998800000000001</v>
      </c>
      <c r="F4762" t="s">
        <v>42</v>
      </c>
      <c r="G4762">
        <v>-190.10040000000001</v>
      </c>
      <c r="H4762" s="1">
        <v>-1.569847E-6</v>
      </c>
      <c r="I4762">
        <v>162.8561</v>
      </c>
      <c r="J4762">
        <v>-189.91390000000001</v>
      </c>
      <c r="K4762">
        <v>1.1114409999999999</v>
      </c>
      <c r="L4762">
        <v>183.62520000000001</v>
      </c>
      <c r="M4762">
        <v>1.311991E-2</v>
      </c>
      <c r="N4762">
        <v>0</v>
      </c>
      <c r="O4762">
        <v>-0.99982020000000005</v>
      </c>
      <c r="P4762">
        <v>6.8970580000000004E-2</v>
      </c>
      <c r="Q4762">
        <v>0.1542723</v>
      </c>
      <c r="R4762">
        <v>-0.98561840000000001</v>
      </c>
      <c r="S4762">
        <v>-2.6931759999999999E-2</v>
      </c>
      <c r="T4762">
        <v>-0.1631069</v>
      </c>
      <c r="U4762">
        <v>-3.0728759999999999</v>
      </c>
      <c r="V4762">
        <v>-5.6348410000000002E-2</v>
      </c>
      <c r="W4762">
        <v>0.1676773</v>
      </c>
      <c r="X4762">
        <v>0.9842303</v>
      </c>
      <c r="Y4762">
        <v>2.1871580000000002E-2</v>
      </c>
      <c r="Z4762">
        <v>5.2990750000000003E-2</v>
      </c>
      <c r="AA4762">
        <v>0.9983554</v>
      </c>
      <c r="AB4762">
        <v>23</v>
      </c>
      <c r="AC4762">
        <v>-0.186499999999995</v>
      </c>
      <c r="AD4762">
        <v>-1.1114425698470001</v>
      </c>
      <c r="AE4762">
        <v>-20.769100000000002</v>
      </c>
      <c r="AF4762">
        <v>0.45768760036684297</v>
      </c>
      <c r="AG4762">
        <v>-1.1114425698470001</v>
      </c>
      <c r="AH4762">
        <v>20.705573684836601</v>
      </c>
      <c r="AI4762">
        <v>93.071849385856794</v>
      </c>
      <c r="AJ4762">
        <v>88.733708206256594</v>
      </c>
      <c r="AK4762">
        <v>20.740433075126401</v>
      </c>
      <c r="AL4762">
        <v>80.347200766428998</v>
      </c>
      <c r="AM4762">
        <v>93.276677837193304</v>
      </c>
      <c r="AN4762">
        <v>1.00000005184145</v>
      </c>
    </row>
    <row r="4763" spans="1:40" x14ac:dyDescent="0.25">
      <c r="A4763" t="str">
        <f>"20190312172212806"</f>
        <v>20190312172212806</v>
      </c>
      <c r="B4763" t="str">
        <f>"1552382532795096"</f>
        <v>1552382532795096</v>
      </c>
      <c r="C4763" t="s">
        <v>40</v>
      </c>
      <c r="D4763">
        <v>3.4444509999999999</v>
      </c>
      <c r="E4763">
        <v>0.52986219999999995</v>
      </c>
      <c r="F4763" t="s">
        <v>42</v>
      </c>
      <c r="G4763">
        <v>-190.1747</v>
      </c>
      <c r="H4763" s="1">
        <v>-1.650003E-6</v>
      </c>
      <c r="I4763">
        <v>162.98390000000001</v>
      </c>
      <c r="J4763">
        <v>-189.91130000000001</v>
      </c>
      <c r="K4763">
        <v>1.111461</v>
      </c>
      <c r="L4763">
        <v>183.49299999999999</v>
      </c>
      <c r="M4763">
        <v>1.3856230000000001E-2</v>
      </c>
      <c r="N4763">
        <v>0</v>
      </c>
      <c r="O4763">
        <v>-0.99980999999999998</v>
      </c>
      <c r="P4763">
        <v>6.6283410000000001E-2</v>
      </c>
      <c r="Q4763">
        <v>0.15414029999999901</v>
      </c>
      <c r="R4763">
        <v>-0.98582329999999996</v>
      </c>
      <c r="S4763">
        <v>-3.8818360000000003E-2</v>
      </c>
      <c r="T4763">
        <v>-0.1654351</v>
      </c>
      <c r="U4763">
        <v>-3.072403</v>
      </c>
      <c r="V4763">
        <v>-5.2941050000000003E-2</v>
      </c>
      <c r="W4763">
        <v>0.167550799999999</v>
      </c>
      <c r="X4763">
        <v>0.98444089999999995</v>
      </c>
      <c r="Y4763">
        <v>2.6470469999999999E-2</v>
      </c>
      <c r="Z4763">
        <v>5.3748320000000002E-2</v>
      </c>
      <c r="AA4763">
        <v>0.99820359999999997</v>
      </c>
      <c r="AB4763">
        <v>23</v>
      </c>
      <c r="AC4763">
        <v>-0.26339999999998998</v>
      </c>
      <c r="AD4763">
        <v>-1.111462650003</v>
      </c>
      <c r="AE4763">
        <v>-20.509099999999901</v>
      </c>
      <c r="AF4763">
        <v>0.54597698449443099</v>
      </c>
      <c r="AG4763">
        <v>-1.111462650003</v>
      </c>
      <c r="AH4763">
        <v>20.443449153361399</v>
      </c>
      <c r="AI4763">
        <v>93.110867112662206</v>
      </c>
      <c r="AJ4763">
        <v>88.470182670417699</v>
      </c>
      <c r="AK4763">
        <v>20.480919251245101</v>
      </c>
      <c r="AL4763">
        <v>80.354551753727606</v>
      </c>
      <c r="AM4763">
        <v>93.078274826893406</v>
      </c>
      <c r="AN4763">
        <v>0.999999955474275</v>
      </c>
    </row>
    <row r="4764" spans="1:40" x14ac:dyDescent="0.25">
      <c r="A4764" t="str">
        <f>"20190312172212820"</f>
        <v>20190312172212820</v>
      </c>
      <c r="B4764" t="str">
        <f>"1552382532815592"</f>
        <v>1552382532815592</v>
      </c>
      <c r="C4764" t="s">
        <v>40</v>
      </c>
      <c r="D4764">
        <v>3.4463659999999998</v>
      </c>
      <c r="E4764">
        <v>0.52940790000000004</v>
      </c>
      <c r="F4764" t="s">
        <v>42</v>
      </c>
      <c r="G4764">
        <v>-190.2191</v>
      </c>
      <c r="H4764" s="1">
        <v>-1.6361859999999999E-6</v>
      </c>
      <c r="I4764">
        <v>162.92959999999999</v>
      </c>
      <c r="J4764">
        <v>-189.9085</v>
      </c>
      <c r="K4764">
        <v>1.1114850000000001</v>
      </c>
      <c r="L4764">
        <v>183.3492</v>
      </c>
      <c r="M4764">
        <v>1.4679579999999999E-2</v>
      </c>
      <c r="N4764">
        <v>0</v>
      </c>
      <c r="O4764">
        <v>-0.99979839999999998</v>
      </c>
      <c r="P4764">
        <v>6.3735879999999995E-2</v>
      </c>
      <c r="Q4764">
        <v>0.15405750000000001</v>
      </c>
      <c r="R4764">
        <v>-0.9860042</v>
      </c>
      <c r="S4764">
        <v>-4.5989990000000001E-2</v>
      </c>
      <c r="T4764">
        <v>-0.16605510000000001</v>
      </c>
      <c r="U4764">
        <v>-3.0722200000000002</v>
      </c>
      <c r="V4764">
        <v>-4.9588819999999999E-2</v>
      </c>
      <c r="W4764">
        <v>0.16747319999999999</v>
      </c>
      <c r="X4764">
        <v>0.98462870000000002</v>
      </c>
      <c r="Y4764">
        <v>2.962385E-2</v>
      </c>
      <c r="Z4764">
        <v>5.3948160000000002E-2</v>
      </c>
      <c r="AA4764">
        <v>0.9981042</v>
      </c>
      <c r="AB4764">
        <v>23</v>
      </c>
      <c r="AC4764">
        <v>-0.31059999999999299</v>
      </c>
      <c r="AD4764">
        <v>-1.1114866361859901</v>
      </c>
      <c r="AE4764">
        <v>-20.419599999999999</v>
      </c>
      <c r="AF4764">
        <v>0.60854318585187706</v>
      </c>
      <c r="AG4764">
        <v>-1.1114866361859901</v>
      </c>
      <c r="AH4764">
        <v>20.352551238923098</v>
      </c>
      <c r="AI4764">
        <v>93.124518963581806</v>
      </c>
      <c r="AJ4764">
        <v>88.287361086705602</v>
      </c>
      <c r="AK4764">
        <v>20.391960898463399</v>
      </c>
      <c r="AL4764">
        <v>80.359062067354401</v>
      </c>
      <c r="AM4764">
        <v>92.883149307146098</v>
      </c>
      <c r="AN4764">
        <v>1.0000000003254601</v>
      </c>
    </row>
    <row r="4765" spans="1:40" x14ac:dyDescent="0.25">
      <c r="A4765" t="str">
        <f>"20190312172212836"</f>
        <v>20190312172212836</v>
      </c>
      <c r="B4765" t="str">
        <f>"1552382532825353"</f>
        <v>1552382532825353</v>
      </c>
      <c r="C4765" t="s">
        <v>40</v>
      </c>
      <c r="D4765">
        <v>3.4552589999999999</v>
      </c>
      <c r="E4765">
        <v>0.52918140000000002</v>
      </c>
      <c r="F4765" t="s">
        <v>42</v>
      </c>
      <c r="G4765">
        <v>-190.24340000000001</v>
      </c>
      <c r="H4765" s="1">
        <v>-1.563102E-6</v>
      </c>
      <c r="I4765">
        <v>162.76130000000001</v>
      </c>
      <c r="J4765">
        <v>-189.905</v>
      </c>
      <c r="K4765">
        <v>1.11151</v>
      </c>
      <c r="L4765">
        <v>183.18950000000001</v>
      </c>
      <c r="M4765">
        <v>1.564161E-2</v>
      </c>
      <c r="N4765">
        <v>0</v>
      </c>
      <c r="O4765">
        <v>-0.9997838</v>
      </c>
      <c r="P4765">
        <v>5.7747720000000002E-2</v>
      </c>
      <c r="Q4765">
        <v>0.15333579999999999</v>
      </c>
      <c r="R4765">
        <v>-0.98648539999999996</v>
      </c>
      <c r="S4765">
        <v>-4.9972530000000001E-2</v>
      </c>
      <c r="T4765">
        <v>-0.16583599999999901</v>
      </c>
      <c r="U4765">
        <v>-3.0717469999999998</v>
      </c>
      <c r="V4765">
        <v>-4.2654449999999997E-2</v>
      </c>
      <c r="W4765">
        <v>0.16676759999999999</v>
      </c>
      <c r="X4765">
        <v>0.98507319999999998</v>
      </c>
      <c r="Y4765">
        <v>3.1881680000000003E-2</v>
      </c>
      <c r="Z4765">
        <v>5.3881859999999997E-2</v>
      </c>
      <c r="AA4765">
        <v>0.99803819999999999</v>
      </c>
      <c r="AB4765">
        <v>23</v>
      </c>
      <c r="AC4765">
        <v>-0.33840000000000697</v>
      </c>
      <c r="AD4765">
        <v>-1.1115115631020001</v>
      </c>
      <c r="AE4765">
        <v>-20.4282</v>
      </c>
      <c r="AF4765">
        <v>0.65597702237515398</v>
      </c>
      <c r="AG4765">
        <v>-1.1115115631020001</v>
      </c>
      <c r="AH4765">
        <v>20.360146725503</v>
      </c>
      <c r="AI4765">
        <v>93.123201297416102</v>
      </c>
      <c r="AJ4765">
        <v>88.154644041282296</v>
      </c>
      <c r="AK4765">
        <v>20.401013173193199</v>
      </c>
      <c r="AL4765">
        <v>80.400066847723494</v>
      </c>
      <c r="AM4765">
        <v>92.479403827248504</v>
      </c>
      <c r="AN4765">
        <v>1.0000000219364</v>
      </c>
    </row>
    <row r="4766" spans="1:40" x14ac:dyDescent="0.25">
      <c r="A4766" t="str">
        <f>"20190312172212858"</f>
        <v>20190312172212858</v>
      </c>
      <c r="B4766" t="str">
        <f>"1552382532855608"</f>
        <v>1552382532855608</v>
      </c>
      <c r="C4766" t="s">
        <v>40</v>
      </c>
      <c r="D4766">
        <v>3.4015580000000001</v>
      </c>
      <c r="E4766">
        <v>0.528389</v>
      </c>
      <c r="F4766" t="s">
        <v>42</v>
      </c>
      <c r="G4766">
        <v>-190.34450000000001</v>
      </c>
      <c r="H4766" s="1">
        <v>-1.6497700000000001E-6</v>
      </c>
      <c r="I4766">
        <v>162.8877</v>
      </c>
      <c r="J4766">
        <v>-189.8999</v>
      </c>
      <c r="K4766">
        <v>1.111545</v>
      </c>
      <c r="L4766">
        <v>182.9631</v>
      </c>
      <c r="M4766">
        <v>1.7057369999999999E-2</v>
      </c>
      <c r="N4766">
        <v>0</v>
      </c>
      <c r="O4766">
        <v>-0.9997606</v>
      </c>
      <c r="P4766">
        <v>5.148254E-2</v>
      </c>
      <c r="Q4766">
        <v>0.15261839999999999</v>
      </c>
      <c r="R4766">
        <v>-0.98694360000000003</v>
      </c>
      <c r="S4766">
        <v>-6.6482540000000007E-2</v>
      </c>
      <c r="T4766">
        <v>-0.16814270000000001</v>
      </c>
      <c r="U4766">
        <v>-3.0711210000000002</v>
      </c>
      <c r="V4766">
        <v>-3.4999120000000002E-2</v>
      </c>
      <c r="W4766">
        <v>0.16606650000000001</v>
      </c>
      <c r="X4766">
        <v>0.98549319999999896</v>
      </c>
      <c r="Y4766">
        <v>3.8662080000000001E-2</v>
      </c>
      <c r="Z4766">
        <v>5.4628990000000002E-2</v>
      </c>
      <c r="AA4766">
        <v>0.99775800000000003</v>
      </c>
      <c r="AB4766">
        <v>23</v>
      </c>
      <c r="AC4766">
        <v>-0.44460000000000799</v>
      </c>
      <c r="AD4766">
        <v>-1.11154664977</v>
      </c>
      <c r="AE4766">
        <v>-20.075399999999998</v>
      </c>
      <c r="AF4766">
        <v>0.78459684238055705</v>
      </c>
      <c r="AG4766">
        <v>-1.11154664977</v>
      </c>
      <c r="AH4766">
        <v>20.003599718227299</v>
      </c>
      <c r="AI4766">
        <v>93.178064080544999</v>
      </c>
      <c r="AJ4766">
        <v>87.753851470711496</v>
      </c>
      <c r="AK4766">
        <v>20.049816204812299</v>
      </c>
      <c r="AL4766">
        <v>80.440804145399596</v>
      </c>
      <c r="AM4766">
        <v>92.033965761007394</v>
      </c>
      <c r="AN4766">
        <v>0.99999993403462895</v>
      </c>
    </row>
    <row r="4767" spans="1:40" x14ac:dyDescent="0.25">
      <c r="A4767" t="str">
        <f>"20190312172212872"</f>
        <v>20190312172212872</v>
      </c>
      <c r="B4767" t="str">
        <f>"1552382532865369"</f>
        <v>1552382532865369</v>
      </c>
      <c r="C4767" t="s">
        <v>40</v>
      </c>
      <c r="D4767">
        <v>3.444134</v>
      </c>
      <c r="E4767">
        <v>0.528389</v>
      </c>
      <c r="F4767" t="s">
        <v>42</v>
      </c>
      <c r="G4767">
        <v>-190.4161</v>
      </c>
      <c r="H4767" s="1">
        <v>-1.667388E-6</v>
      </c>
      <c r="I4767">
        <v>162.88470000000001</v>
      </c>
      <c r="J4767">
        <v>-189.89670000000001</v>
      </c>
      <c r="K4767">
        <v>1.1115649999999999</v>
      </c>
      <c r="L4767">
        <v>182.8297</v>
      </c>
      <c r="M4767">
        <v>1.793198E-2</v>
      </c>
      <c r="N4767">
        <v>0</v>
      </c>
      <c r="O4767">
        <v>-0.99974540000000001</v>
      </c>
      <c r="P4767">
        <v>4.8685689999999997E-2</v>
      </c>
      <c r="Q4767">
        <v>0.15220710000000001</v>
      </c>
      <c r="R4767">
        <v>-0.9871491</v>
      </c>
      <c r="S4767">
        <v>-7.8933719999999999E-2</v>
      </c>
      <c r="T4767">
        <v>-0.1699609</v>
      </c>
      <c r="U4767">
        <v>-3.070084</v>
      </c>
      <c r="V4767">
        <v>-3.134319E-2</v>
      </c>
      <c r="W4767">
        <v>0.16566400000000001</v>
      </c>
      <c r="X4767">
        <v>0.985684</v>
      </c>
      <c r="Y4767">
        <v>4.3586470000000002E-2</v>
      </c>
      <c r="Z4767">
        <v>5.5226999999999998E-2</v>
      </c>
      <c r="AA4767">
        <v>0.99752209999999997</v>
      </c>
      <c r="AB4767">
        <v>23</v>
      </c>
      <c r="AC4767">
        <v>-0.51939999999998998</v>
      </c>
      <c r="AD4767">
        <v>-1.11156666738799</v>
      </c>
      <c r="AE4767">
        <v>-19.945</v>
      </c>
      <c r="AF4767">
        <v>0.87428964688363897</v>
      </c>
      <c r="AG4767">
        <v>-1.11156666738799</v>
      </c>
      <c r="AH4767">
        <v>19.87080058794</v>
      </c>
      <c r="AI4767">
        <v>93.198683698188503</v>
      </c>
      <c r="AJ4767">
        <v>87.480684321134802</v>
      </c>
      <c r="AK4767">
        <v>19.921061187807599</v>
      </c>
      <c r="AL4767">
        <v>80.464189798483403</v>
      </c>
      <c r="AM4767">
        <v>91.821301341508402</v>
      </c>
      <c r="AN4767">
        <v>0.99999995215568604</v>
      </c>
    </row>
    <row r="4768" spans="1:40" x14ac:dyDescent="0.25">
      <c r="A4768" t="str">
        <f>"20190312172212885"</f>
        <v>20190312172212885</v>
      </c>
      <c r="B4768" t="str">
        <f>"1552382532875128"</f>
        <v>1552382532875128</v>
      </c>
      <c r="C4768" t="s">
        <v>40</v>
      </c>
      <c r="D4768">
        <v>3.4434040000000001</v>
      </c>
      <c r="E4768">
        <v>0.51913799999999999</v>
      </c>
      <c r="F4768" t="s">
        <v>42</v>
      </c>
      <c r="G4768">
        <v>-190.46119999999999</v>
      </c>
      <c r="H4768" s="1">
        <v>-1.69518E-6</v>
      </c>
      <c r="I4768">
        <v>162.91810000000001</v>
      </c>
      <c r="J4768">
        <v>-189.893</v>
      </c>
      <c r="K4768">
        <v>1.1115889999999999</v>
      </c>
      <c r="L4768">
        <v>182.68539999999999</v>
      </c>
      <c r="M4768">
        <v>1.8897770000000001E-2</v>
      </c>
      <c r="N4768">
        <v>0</v>
      </c>
      <c r="O4768">
        <v>-0.99972740000000004</v>
      </c>
      <c r="P4768">
        <v>4.6207199999999997E-2</v>
      </c>
      <c r="Q4768">
        <v>0.1518206</v>
      </c>
      <c r="R4768">
        <v>-0.98732750000000002</v>
      </c>
      <c r="S4768">
        <v>-8.7036130000000003E-2</v>
      </c>
      <c r="T4768">
        <v>-0.17136940000000001</v>
      </c>
      <c r="U4768">
        <v>-3.0697480000000001</v>
      </c>
      <c r="V4768">
        <v>-2.791561E-2</v>
      </c>
      <c r="W4768">
        <v>0.1652845</v>
      </c>
      <c r="X4768">
        <v>0.98585080000000003</v>
      </c>
      <c r="Y4768">
        <v>4.7184379999999998E-2</v>
      </c>
      <c r="Z4768">
        <v>5.5681340000000003E-2</v>
      </c>
      <c r="AA4768">
        <v>0.99733300000000003</v>
      </c>
      <c r="AB4768">
        <v>23</v>
      </c>
      <c r="AC4768">
        <v>-0.56819999999999005</v>
      </c>
      <c r="AD4768">
        <v>-1.1115906951800001</v>
      </c>
      <c r="AE4768">
        <v>-19.767299999999899</v>
      </c>
      <c r="AF4768">
        <v>0.938725494254944</v>
      </c>
      <c r="AG4768">
        <v>-1.1115906951800001</v>
      </c>
      <c r="AH4768">
        <v>19.6908148770755</v>
      </c>
      <c r="AI4768">
        <v>93.227388306368795</v>
      </c>
      <c r="AJ4768">
        <v>87.270589445098395</v>
      </c>
      <c r="AK4768">
        <v>19.744493661535898</v>
      </c>
      <c r="AL4768">
        <v>80.486238180580798</v>
      </c>
      <c r="AM4768">
        <v>91.621968919218205</v>
      </c>
      <c r="AN4768">
        <v>1.00000002354128</v>
      </c>
    </row>
    <row r="4769" spans="1:40" x14ac:dyDescent="0.25">
      <c r="A4769" t="str">
        <f>"20190312172212896"</f>
        <v>20190312172212896</v>
      </c>
      <c r="B4769" t="str">
        <f>"1552382532884888"</f>
        <v>1552382532884888</v>
      </c>
      <c r="C4769" t="s">
        <v>40</v>
      </c>
      <c r="D4769">
        <v>3.4405960000000002</v>
      </c>
      <c r="E4769">
        <v>0.5187602</v>
      </c>
      <c r="F4769" t="s">
        <v>42</v>
      </c>
      <c r="G4769">
        <v>-190.0352</v>
      </c>
      <c r="H4769" s="1">
        <v>-8.9470939999999999E-7</v>
      </c>
      <c r="I4769">
        <v>161.46449999999999</v>
      </c>
      <c r="J4769">
        <v>-189.89009999999999</v>
      </c>
      <c r="K4769">
        <v>1.111602</v>
      </c>
      <c r="L4769">
        <v>182.5735</v>
      </c>
      <c r="M4769">
        <v>1.9664000000000001E-2</v>
      </c>
      <c r="N4769">
        <v>0</v>
      </c>
      <c r="O4769">
        <v>-0.99971290000000002</v>
      </c>
      <c r="P4769">
        <v>4.4103919999999998E-2</v>
      </c>
      <c r="Q4769">
        <v>0.15196129999999999</v>
      </c>
      <c r="R4769">
        <v>-0.98740229999999996</v>
      </c>
      <c r="S4769">
        <v>-2.053833E-2</v>
      </c>
      <c r="T4769">
        <v>-0.1605057</v>
      </c>
      <c r="U4769">
        <v>-3.0641479999999999</v>
      </c>
      <c r="V4769">
        <v>-2.506189E-2</v>
      </c>
      <c r="W4769">
        <v>0.1654312</v>
      </c>
      <c r="X4769">
        <v>0.98590279999999997</v>
      </c>
      <c r="Y4769">
        <v>2.635757E-2</v>
      </c>
      <c r="Z4769">
        <v>5.2285289999999998E-2</v>
      </c>
      <c r="AA4769">
        <v>0.99828430000000001</v>
      </c>
      <c r="AB4769">
        <v>23</v>
      </c>
      <c r="AC4769">
        <v>-0.145100000000013</v>
      </c>
      <c r="AD4769">
        <v>-1.1116028947094001</v>
      </c>
      <c r="AE4769">
        <v>-21.109000000000002</v>
      </c>
      <c r="AF4769">
        <v>0.55864911207609302</v>
      </c>
      <c r="AG4769">
        <v>-1.1116028947094001</v>
      </c>
      <c r="AH4769">
        <v>21.043710833105301</v>
      </c>
      <c r="AI4769">
        <v>93.0226915122104</v>
      </c>
      <c r="AJ4769">
        <v>88.479321421001501</v>
      </c>
      <c r="AK4769">
        <v>21.080453397716699</v>
      </c>
      <c r="AL4769">
        <v>80.477714912028603</v>
      </c>
      <c r="AM4769">
        <v>91.456159113501997</v>
      </c>
      <c r="AN4769">
        <v>0.999999955655825</v>
      </c>
    </row>
    <row r="4770" spans="1:40" x14ac:dyDescent="0.25">
      <c r="A4770" t="str">
        <f>"20190312172212908"</f>
        <v>20190312172212908</v>
      </c>
      <c r="B4770" t="str">
        <f>"1552382532905383"</f>
        <v>1552382532905383</v>
      </c>
      <c r="C4770" t="s">
        <v>40</v>
      </c>
      <c r="D4770">
        <v>3.4293819999999999</v>
      </c>
      <c r="E4770">
        <v>0.51802530000000002</v>
      </c>
      <c r="F4770" t="s">
        <v>42</v>
      </c>
      <c r="G4770">
        <v>-190.05510000000001</v>
      </c>
      <c r="H4770" s="1">
        <v>-8.4677359999999898E-7</v>
      </c>
      <c r="I4770">
        <v>161.352</v>
      </c>
      <c r="J4770">
        <v>-189.8871</v>
      </c>
      <c r="K4770">
        <v>1.1116170000000001</v>
      </c>
      <c r="L4770">
        <v>182.46510000000001</v>
      </c>
      <c r="M4770">
        <v>2.0421720000000001E-2</v>
      </c>
      <c r="N4770">
        <v>0</v>
      </c>
      <c r="O4770">
        <v>-0.99969770000000002</v>
      </c>
      <c r="P4770">
        <v>4.2088599999999997E-2</v>
      </c>
      <c r="Q4770">
        <v>0.1519461</v>
      </c>
      <c r="R4770">
        <v>-0.9874927</v>
      </c>
      <c r="S4770">
        <v>-2.3818969999999998E-2</v>
      </c>
      <c r="T4770">
        <v>-0.16049639999999901</v>
      </c>
      <c r="U4770">
        <v>-3.0640260000000001</v>
      </c>
      <c r="V4770">
        <v>-2.230178E-2</v>
      </c>
      <c r="W4770">
        <v>0.16542229999999999</v>
      </c>
      <c r="X4770">
        <v>0.98597060000000003</v>
      </c>
      <c r="Y4770">
        <v>2.8184279999999999E-2</v>
      </c>
      <c r="Z4770">
        <v>5.2281630000000003E-2</v>
      </c>
      <c r="AA4770">
        <v>0.99823459999999997</v>
      </c>
      <c r="AB4770">
        <v>23</v>
      </c>
      <c r="AC4770">
        <v>-0.16800000000000601</v>
      </c>
      <c r="AD4770">
        <v>-1.1116178467736</v>
      </c>
      <c r="AE4770">
        <v>-21.113099999999999</v>
      </c>
      <c r="AF4770">
        <v>0.59751493456107296</v>
      </c>
      <c r="AG4770">
        <v>-1.1116178467736</v>
      </c>
      <c r="AH4770">
        <v>21.046924737372802</v>
      </c>
      <c r="AI4770">
        <v>93.0221188117617</v>
      </c>
      <c r="AJ4770">
        <v>88.373829369069199</v>
      </c>
      <c r="AK4770">
        <v>21.084728104363201</v>
      </c>
      <c r="AL4770">
        <v>80.478232062062602</v>
      </c>
      <c r="AM4770">
        <v>91.295758736659494</v>
      </c>
      <c r="AN4770">
        <v>0.99999996539640801</v>
      </c>
    </row>
    <row r="4771" spans="1:40" x14ac:dyDescent="0.25">
      <c r="A4771" t="str">
        <f>"20190312172212920"</f>
        <v>20190312172212920</v>
      </c>
      <c r="B4771" t="str">
        <f>"1552382532915144"</f>
        <v>1552382532915144</v>
      </c>
      <c r="C4771" t="s">
        <v>40</v>
      </c>
      <c r="D4771">
        <v>3.4405579999999998</v>
      </c>
      <c r="E4771">
        <v>0.51802530000000002</v>
      </c>
      <c r="F4771" t="s">
        <v>42</v>
      </c>
      <c r="G4771">
        <v>-190.05189999999999</v>
      </c>
      <c r="H4771" s="1">
        <v>-8.4369010000000005E-7</v>
      </c>
      <c r="I4771">
        <v>161.34719999999999</v>
      </c>
      <c r="J4771">
        <v>-189.88380000000001</v>
      </c>
      <c r="K4771">
        <v>1.111632</v>
      </c>
      <c r="L4771">
        <v>182.34620000000001</v>
      </c>
      <c r="M4771">
        <v>2.1258800000000001E-2</v>
      </c>
      <c r="N4771">
        <v>0</v>
      </c>
      <c r="O4771">
        <v>-0.99968020000000002</v>
      </c>
      <c r="P4771">
        <v>4.0101610000000003E-2</v>
      </c>
      <c r="Q4771">
        <v>0.15220320000000001</v>
      </c>
      <c r="R4771">
        <v>-0.98753579999999996</v>
      </c>
      <c r="S4771">
        <v>-2.3910520000000001E-2</v>
      </c>
      <c r="T4771">
        <v>-0.16127649999999999</v>
      </c>
      <c r="U4771">
        <v>-3.0638429999999999</v>
      </c>
      <c r="V4771">
        <v>-1.949358E-2</v>
      </c>
      <c r="W4771">
        <v>0.16568469999999999</v>
      </c>
      <c r="X4771">
        <v>0.98598609999999998</v>
      </c>
      <c r="Y4771">
        <v>2.9051460000000001E-2</v>
      </c>
      <c r="Z4771">
        <v>5.2536149999999997E-2</v>
      </c>
      <c r="AA4771">
        <v>0.99819639999999998</v>
      </c>
      <c r="AB4771">
        <v>23</v>
      </c>
      <c r="AC4771">
        <v>-0.16809999999998099</v>
      </c>
      <c r="AD4771">
        <v>-1.1116328436901</v>
      </c>
      <c r="AE4771">
        <v>-20.998999999999999</v>
      </c>
      <c r="AF4771">
        <v>0.61280023222633295</v>
      </c>
      <c r="AG4771">
        <v>-1.1116328436901</v>
      </c>
      <c r="AH4771">
        <v>20.9320240034817</v>
      </c>
      <c r="AI4771">
        <v>93.0386404143471</v>
      </c>
      <c r="AJ4771">
        <v>88.323103330205996</v>
      </c>
      <c r="AK4771">
        <v>20.9704764034135</v>
      </c>
      <c r="AL4771">
        <v>80.462987659126398</v>
      </c>
      <c r="AM4771">
        <v>91.132626891723902</v>
      </c>
      <c r="AN4771">
        <v>1.0000000044342501</v>
      </c>
    </row>
    <row r="4772" spans="1:40" x14ac:dyDescent="0.25">
      <c r="A4772" t="str">
        <f>"20190312172212930"</f>
        <v>20190312172212930</v>
      </c>
      <c r="B4772" t="str">
        <f>"1552382532924904"</f>
        <v>1552382532924904</v>
      </c>
      <c r="C4772" t="s">
        <v>40</v>
      </c>
      <c r="D4772">
        <v>3.7126730000000001</v>
      </c>
      <c r="E4772">
        <v>0.5179937</v>
      </c>
      <c r="F4772" t="s">
        <v>42</v>
      </c>
      <c r="G4772">
        <v>-190.09200000000001</v>
      </c>
      <c r="H4772" s="1">
        <v>-7.4965019999999998E-7</v>
      </c>
      <c r="I4772">
        <v>161.12569999999999</v>
      </c>
      <c r="J4772">
        <v>-189.88050000000001</v>
      </c>
      <c r="K4772">
        <v>1.111637</v>
      </c>
      <c r="L4772">
        <v>182.2346</v>
      </c>
      <c r="M4772">
        <v>2.2059530000000001E-2</v>
      </c>
      <c r="N4772">
        <v>0</v>
      </c>
      <c r="O4772">
        <v>-0.99966279999999996</v>
      </c>
      <c r="P4772">
        <v>3.85799E-2</v>
      </c>
      <c r="Q4772">
        <v>0.15247520000000001</v>
      </c>
      <c r="R4772">
        <v>-0.98755409999999999</v>
      </c>
      <c r="S4772">
        <v>-3.0059809999999999E-2</v>
      </c>
      <c r="T4772">
        <v>-0.1604978</v>
      </c>
      <c r="U4772">
        <v>-3.063828</v>
      </c>
      <c r="V4772">
        <v>-1.7184250000000002E-2</v>
      </c>
      <c r="W4772">
        <v>0.1659612</v>
      </c>
      <c r="X4772">
        <v>0.98598249999999998</v>
      </c>
      <c r="Y4772">
        <v>3.1855439999999999E-2</v>
      </c>
      <c r="Z4772">
        <v>5.2279399999999997E-2</v>
      </c>
      <c r="AA4772">
        <v>0.99812429999999996</v>
      </c>
      <c r="AB4772">
        <v>23</v>
      </c>
      <c r="AC4772">
        <v>-0.21149999999999999</v>
      </c>
      <c r="AD4772">
        <v>-1.1116377496501999</v>
      </c>
      <c r="AE4772">
        <v>-21.108899999999998</v>
      </c>
      <c r="AF4772">
        <v>0.67527209791466103</v>
      </c>
      <c r="AG4772">
        <v>-1.1116377496501999</v>
      </c>
      <c r="AH4772">
        <v>21.040750090155001</v>
      </c>
      <c r="AI4772">
        <v>93.022720407046293</v>
      </c>
      <c r="AJ4772">
        <v>88.161806699659095</v>
      </c>
      <c r="AK4772">
        <v>21.080913055392699</v>
      </c>
      <c r="AL4772">
        <v>80.446922486014302</v>
      </c>
      <c r="AM4772">
        <v>90.998481541556401</v>
      </c>
      <c r="AN4772">
        <v>0.99999995432987498</v>
      </c>
    </row>
    <row r="4773" spans="1:40" x14ac:dyDescent="0.25">
      <c r="A4773" t="str">
        <f>"20190312172213059"</f>
        <v>20190312172213059</v>
      </c>
      <c r="B4773" t="str">
        <f>"1552382533055219"</f>
        <v>1552382533055219</v>
      </c>
      <c r="C4773" t="s">
        <v>40</v>
      </c>
      <c r="D4773">
        <v>3.5201639999999998</v>
      </c>
      <c r="E4773">
        <v>0.5179937</v>
      </c>
      <c r="F4773" t="s">
        <v>42</v>
      </c>
      <c r="G4773">
        <v>-190.0986</v>
      </c>
      <c r="H4773" s="1">
        <v>-1.669911E-6</v>
      </c>
      <c r="I4773">
        <v>163.06880000000001</v>
      </c>
      <c r="J4773">
        <v>-189.83680000000001</v>
      </c>
      <c r="K4773">
        <v>1.1115679999999999</v>
      </c>
      <c r="L4773">
        <v>180.9563</v>
      </c>
      <c r="M4773">
        <v>3.1308000000000002E-2</v>
      </c>
      <c r="N4773">
        <v>0</v>
      </c>
      <c r="O4773">
        <v>-0.99941599999999997</v>
      </c>
      <c r="P4773">
        <v>1.3766199999999999E-2</v>
      </c>
      <c r="Q4773">
        <v>0.15013180000000001</v>
      </c>
      <c r="R4773">
        <v>-0.98856999999999995</v>
      </c>
      <c r="S4773">
        <v>-3.489685E-2</v>
      </c>
      <c r="T4773">
        <v>-0.1778682</v>
      </c>
      <c r="U4773">
        <v>-3.0666350000000002</v>
      </c>
      <c r="V4773">
        <v>1.6809629999999999E-2</v>
      </c>
      <c r="W4773">
        <v>0.1636928</v>
      </c>
      <c r="X4773">
        <v>0.98636809999999997</v>
      </c>
      <c r="Y4773">
        <v>4.2663050000000001E-2</v>
      </c>
      <c r="Z4773">
        <v>5.7832969999999997E-2</v>
      </c>
      <c r="AA4773">
        <v>0.99741429999999998</v>
      </c>
      <c r="AB4773">
        <v>22</v>
      </c>
      <c r="AC4773">
        <v>-0.26179999999999298</v>
      </c>
      <c r="AD4773">
        <v>-1.111569669911</v>
      </c>
      <c r="AE4773">
        <v>-17.8874999999999</v>
      </c>
      <c r="AF4773">
        <v>0.81858556548328798</v>
      </c>
      <c r="AG4773">
        <v>-1.111569669911</v>
      </c>
      <c r="AH4773">
        <v>17.8018026270136</v>
      </c>
      <c r="AI4773">
        <v>93.569228763617502</v>
      </c>
      <c r="AJ4773">
        <v>87.367205795899096</v>
      </c>
      <c r="AK4773">
        <v>17.855247022380698</v>
      </c>
      <c r="AL4773">
        <v>80.578694661490502</v>
      </c>
      <c r="AM4773">
        <v>89.023663040827799</v>
      </c>
      <c r="AN4773">
        <v>0.99999996256509205</v>
      </c>
    </row>
    <row r="4774" spans="1:40" x14ac:dyDescent="0.25">
      <c r="A4774" t="str">
        <f>"20190312172213070"</f>
        <v>20190312172213070</v>
      </c>
      <c r="B4774" t="str">
        <f>"1552382533064978"</f>
        <v>1552382533064978</v>
      </c>
      <c r="C4774" t="s">
        <v>40</v>
      </c>
      <c r="D4774">
        <v>3.3271579999999998</v>
      </c>
      <c r="E4774">
        <v>0.52449829999999997</v>
      </c>
      <c r="F4774" t="s">
        <v>42</v>
      </c>
      <c r="G4774">
        <v>-190.4914</v>
      </c>
      <c r="H4774" s="1">
        <v>-1.5576609999999999E-6</v>
      </c>
      <c r="I4774">
        <v>162.61019999999999</v>
      </c>
      <c r="J4774">
        <v>-189.8322</v>
      </c>
      <c r="K4774">
        <v>1.1115569999999999</v>
      </c>
      <c r="L4774">
        <v>180.84270000000001</v>
      </c>
      <c r="M4774">
        <v>3.2113969999999999E-2</v>
      </c>
      <c r="N4774">
        <v>0</v>
      </c>
      <c r="O4774">
        <v>-0.99939069999999997</v>
      </c>
      <c r="P4774">
        <v>1.089595E-2</v>
      </c>
      <c r="Q4774">
        <v>0.14946039999999999</v>
      </c>
      <c r="R4774">
        <v>-0.98870809999999998</v>
      </c>
      <c r="S4774">
        <v>-0.1093445</v>
      </c>
      <c r="T4774">
        <v>-0.18567030000000001</v>
      </c>
      <c r="U4774">
        <v>-3.0644230000000001</v>
      </c>
      <c r="V4774">
        <v>2.0483990000000001E-2</v>
      </c>
      <c r="W4774">
        <v>0.16302910000000001</v>
      </c>
      <c r="X4774">
        <v>0.98640859999999997</v>
      </c>
      <c r="Y4774">
        <v>6.7672300000000005E-2</v>
      </c>
      <c r="Z4774">
        <v>6.0342819999999998E-2</v>
      </c>
      <c r="AA4774">
        <v>0.99588109999999996</v>
      </c>
      <c r="AB4774">
        <v>22</v>
      </c>
      <c r="AC4774">
        <v>-0.65919999999999801</v>
      </c>
      <c r="AD4774">
        <v>-1.1115585576610001</v>
      </c>
      <c r="AE4774">
        <v>-18.232500000000002</v>
      </c>
      <c r="AF4774">
        <v>1.23983040057761</v>
      </c>
      <c r="AG4774">
        <v>-1.1115585576610001</v>
      </c>
      <c r="AH4774">
        <v>18.1346074662906</v>
      </c>
      <c r="AI4774">
        <v>93.499400968377202</v>
      </c>
      <c r="AJ4774">
        <v>86.088877133399194</v>
      </c>
      <c r="AK4774">
        <v>18.2108959089264</v>
      </c>
      <c r="AL4774">
        <v>80.617240061718505</v>
      </c>
      <c r="AM4774">
        <v>88.810353527017398</v>
      </c>
      <c r="AN4774">
        <v>1.0000000037235399</v>
      </c>
    </row>
    <row r="4775" spans="1:40" x14ac:dyDescent="0.25">
      <c r="A4775" t="str">
        <f>"20190312172213082"</f>
        <v>20190312172213082</v>
      </c>
      <c r="B4775" t="str">
        <f>"1552382533075714"</f>
        <v>1552382533075714</v>
      </c>
      <c r="C4775" t="s">
        <v>40</v>
      </c>
      <c r="D4775">
        <v>3.3895689999999998</v>
      </c>
      <c r="E4775">
        <v>0.52464650000000002</v>
      </c>
      <c r="F4775" t="s">
        <v>41</v>
      </c>
      <c r="G4775">
        <v>-189.87639999999999</v>
      </c>
      <c r="H4775">
        <v>0.96360710000000005</v>
      </c>
      <c r="I4775">
        <v>180.0557</v>
      </c>
      <c r="J4775">
        <v>-189.82769999999999</v>
      </c>
      <c r="K4775">
        <v>1.1115459999999999</v>
      </c>
      <c r="L4775">
        <v>180.72790000000001</v>
      </c>
      <c r="M4775">
        <v>3.2924710000000003E-2</v>
      </c>
      <c r="N4775">
        <v>0</v>
      </c>
      <c r="O4775">
        <v>-0.99936420000000004</v>
      </c>
      <c r="P4775">
        <v>8.0401510000000006E-3</v>
      </c>
      <c r="Q4775">
        <v>0.14920539999999999</v>
      </c>
      <c r="R4775">
        <v>-0.98877369999999998</v>
      </c>
      <c r="S4775">
        <v>-0.17533869999999999</v>
      </c>
      <c r="T4775">
        <v>-0.58756909999999996</v>
      </c>
      <c r="U4775">
        <v>-3.125</v>
      </c>
      <c r="V4775">
        <v>2.414556E-2</v>
      </c>
      <c r="W4775">
        <v>0.1627797</v>
      </c>
      <c r="X4775">
        <v>0.98636690000000005</v>
      </c>
      <c r="Y4775">
        <v>8.7906440000000002E-2</v>
      </c>
      <c r="Z4775">
        <v>0.18413570000000001</v>
      </c>
      <c r="AA4775">
        <v>0.97896190000000005</v>
      </c>
      <c r="AB4775">
        <v>22</v>
      </c>
      <c r="AC4775">
        <v>-4.86999999999966E-2</v>
      </c>
      <c r="AD4775">
        <v>-0.14793889999999901</v>
      </c>
      <c r="AE4775">
        <v>-0.67220000000000302</v>
      </c>
      <c r="AF4775">
        <v>6.7552756004293904E-2</v>
      </c>
      <c r="AG4775">
        <v>-0.14793889999999901</v>
      </c>
      <c r="AH4775">
        <v>0.639422581800699</v>
      </c>
      <c r="AI4775">
        <v>102.957272101496</v>
      </c>
      <c r="AJ4775">
        <v>83.969271883924506</v>
      </c>
      <c r="AK4775">
        <v>0.65978066892995402</v>
      </c>
      <c r="AL4775">
        <v>80.631722588721601</v>
      </c>
      <c r="AM4775">
        <v>88.597720132266105</v>
      </c>
      <c r="AN4775">
        <v>0.99999995010770504</v>
      </c>
    </row>
    <row r="4776" spans="1:40" x14ac:dyDescent="0.25">
      <c r="A4776" t="str">
        <f>"20190312172213092"</f>
        <v>20190312172213092</v>
      </c>
      <c r="B4776" t="str">
        <f>"1552382533085474"</f>
        <v>1552382533085474</v>
      </c>
      <c r="C4776" t="s">
        <v>40</v>
      </c>
      <c r="D4776">
        <v>3.6036929999999998</v>
      </c>
      <c r="E4776">
        <v>0.5238022</v>
      </c>
      <c r="F4776" t="s">
        <v>41</v>
      </c>
      <c r="G4776">
        <v>-189.87950000000001</v>
      </c>
      <c r="H4776">
        <v>0.96563509999999997</v>
      </c>
      <c r="I4776">
        <v>179.85589999999999</v>
      </c>
      <c r="J4776">
        <v>-189.82310000000001</v>
      </c>
      <c r="K4776">
        <v>1.111542</v>
      </c>
      <c r="L4776">
        <v>180.61539999999999</v>
      </c>
      <c r="M4776">
        <v>3.3710629999999998E-2</v>
      </c>
      <c r="N4776">
        <v>0</v>
      </c>
      <c r="O4776">
        <v>-0.9993379</v>
      </c>
      <c r="P4776">
        <v>4.7528329999999997E-3</v>
      </c>
      <c r="Q4776">
        <v>0.14879579999999901</v>
      </c>
      <c r="R4776">
        <v>-0.98885690000000004</v>
      </c>
      <c r="S4776">
        <v>-0.18484500000000001</v>
      </c>
      <c r="T4776">
        <v>-0.52119219999999999</v>
      </c>
      <c r="U4776">
        <v>-3.1142120000000002</v>
      </c>
      <c r="V4776">
        <v>2.8215529999999999E-2</v>
      </c>
      <c r="W4776">
        <v>0.16237739999999901</v>
      </c>
      <c r="X4776">
        <v>0.98632520000000001</v>
      </c>
      <c r="Y4776">
        <v>9.2063939999999997E-2</v>
      </c>
      <c r="Z4776">
        <v>0.1644311</v>
      </c>
      <c r="AA4776">
        <v>0.98208280000000003</v>
      </c>
      <c r="AB4776">
        <v>22</v>
      </c>
      <c r="AC4776">
        <v>-5.6399999999996397E-2</v>
      </c>
      <c r="AD4776">
        <v>-0.14590689999999901</v>
      </c>
      <c r="AE4776">
        <v>-0.75950000000000195</v>
      </c>
      <c r="AF4776">
        <v>7.9071362681707905E-2</v>
      </c>
      <c r="AG4776">
        <v>-0.14590689999999901</v>
      </c>
      <c r="AH4776">
        <v>0.73036000117680999</v>
      </c>
      <c r="AI4776">
        <v>101.23351948851401</v>
      </c>
      <c r="AJ4776">
        <v>83.821022070484403</v>
      </c>
      <c r="AK4776">
        <v>0.74897719269877805</v>
      </c>
      <c r="AL4776">
        <v>80.655083654988601</v>
      </c>
      <c r="AM4776">
        <v>88.361402491635999</v>
      </c>
      <c r="AN4776">
        <v>0.99999996815948999</v>
      </c>
    </row>
    <row r="4777" spans="1:40" x14ac:dyDescent="0.25">
      <c r="A4777" t="str">
        <f>"20190312172213104"</f>
        <v>20190312172213104</v>
      </c>
      <c r="B4777" t="str">
        <f>"1552382533095741"</f>
        <v>1552382533095741</v>
      </c>
      <c r="C4777" t="s">
        <v>40</v>
      </c>
      <c r="D4777">
        <v>3.406612</v>
      </c>
      <c r="E4777">
        <v>0.52330100000000002</v>
      </c>
      <c r="F4777" t="s">
        <v>41</v>
      </c>
      <c r="G4777">
        <v>-189.87010000000001</v>
      </c>
      <c r="H4777">
        <v>0.99576629999999999</v>
      </c>
      <c r="I4777">
        <v>179.84139999999999</v>
      </c>
      <c r="J4777">
        <v>-189.8185</v>
      </c>
      <c r="K4777">
        <v>1.1115280000000001</v>
      </c>
      <c r="L4777">
        <v>180.506</v>
      </c>
      <c r="M4777">
        <v>3.44683E-2</v>
      </c>
      <c r="N4777">
        <v>0</v>
      </c>
      <c r="O4777">
        <v>-0.99931210000000004</v>
      </c>
      <c r="P4777">
        <v>1.52405799999999E-3</v>
      </c>
      <c r="Q4777">
        <v>0.1484463</v>
      </c>
      <c r="R4777">
        <v>-0.98891949999999995</v>
      </c>
      <c r="S4777">
        <v>-0.1880493</v>
      </c>
      <c r="T4777">
        <v>-0.46455350000000001</v>
      </c>
      <c r="U4777">
        <v>-3.1046140000000002</v>
      </c>
      <c r="V4777">
        <v>3.2198690000000002E-2</v>
      </c>
      <c r="W4777">
        <v>0.16203399999999901</v>
      </c>
      <c r="X4777">
        <v>0.98625969999999996</v>
      </c>
      <c r="Y4777">
        <v>9.4171039999999998E-2</v>
      </c>
      <c r="Z4777">
        <v>0.14739249999999901</v>
      </c>
      <c r="AA4777">
        <v>0.98458480000000004</v>
      </c>
      <c r="AB4777">
        <v>22</v>
      </c>
      <c r="AC4777">
        <v>-5.1600000000007598E-2</v>
      </c>
      <c r="AD4777">
        <v>-0.1157617</v>
      </c>
      <c r="AE4777">
        <v>-0.66459999999997799</v>
      </c>
      <c r="AF4777">
        <v>7.2298742652210396E-2</v>
      </c>
      <c r="AG4777">
        <v>-0.1157617</v>
      </c>
      <c r="AH4777">
        <v>0.64303382729743097</v>
      </c>
      <c r="AI4777">
        <v>100.142752336256</v>
      </c>
      <c r="AJ4777">
        <v>83.584958352009494</v>
      </c>
      <c r="AK4777">
        <v>0.65735864064052796</v>
      </c>
      <c r="AL4777">
        <v>80.675023236994605</v>
      </c>
      <c r="AM4777">
        <v>88.130113173049693</v>
      </c>
      <c r="AN4777">
        <v>0.99999998431890202</v>
      </c>
    </row>
    <row r="4778" spans="1:40" x14ac:dyDescent="0.25">
      <c r="A4778" t="str">
        <f>"20190312172213116"</f>
        <v>20190312172213116</v>
      </c>
      <c r="B4778" t="str">
        <f>"1552382533105500"</f>
        <v>1552382533105500</v>
      </c>
      <c r="C4778" t="s">
        <v>40</v>
      </c>
      <c r="D4778">
        <v>3.461776</v>
      </c>
      <c r="E4778">
        <v>0.52292819999999995</v>
      </c>
      <c r="F4778" t="s">
        <v>41</v>
      </c>
      <c r="G4778">
        <v>-189.87270000000001</v>
      </c>
      <c r="H4778">
        <v>0.99537089999999995</v>
      </c>
      <c r="I4778">
        <v>179.6431</v>
      </c>
      <c r="J4778">
        <v>-189.81370000000001</v>
      </c>
      <c r="K4778">
        <v>1.1115109999999999</v>
      </c>
      <c r="L4778">
        <v>180.3921</v>
      </c>
      <c r="M4778">
        <v>3.5248920000000003E-2</v>
      </c>
      <c r="N4778">
        <v>0</v>
      </c>
      <c r="O4778">
        <v>-0.99928490000000003</v>
      </c>
      <c r="P4778">
        <v>-1.889574E-3</v>
      </c>
      <c r="Q4778">
        <v>0.14831820000000001</v>
      </c>
      <c r="R4778">
        <v>-0.98893799999999998</v>
      </c>
      <c r="S4778">
        <v>-0.19375609999999999</v>
      </c>
      <c r="T4778">
        <v>-0.41697869999999998</v>
      </c>
      <c r="U4778">
        <v>-3.0965120000000002</v>
      </c>
      <c r="V4778">
        <v>3.6388219999999999E-2</v>
      </c>
      <c r="W4778">
        <v>0.16191120000000001</v>
      </c>
      <c r="X4778">
        <v>0.98613419999999896</v>
      </c>
      <c r="Y4778">
        <v>9.7039860000000006E-2</v>
      </c>
      <c r="Z4778">
        <v>0.13288889999999901</v>
      </c>
      <c r="AA4778">
        <v>0.98636900000000005</v>
      </c>
      <c r="AB4778">
        <v>22</v>
      </c>
      <c r="AC4778">
        <v>-5.8999999999997499E-2</v>
      </c>
      <c r="AD4778">
        <v>-0.1161401</v>
      </c>
      <c r="AE4778">
        <v>-0.748999999999995</v>
      </c>
      <c r="AF4778">
        <v>8.3374962986532394E-2</v>
      </c>
      <c r="AG4778">
        <v>-0.1161401</v>
      </c>
      <c r="AH4778">
        <v>0.72903401709225302</v>
      </c>
      <c r="AI4778">
        <v>98.993891353843594</v>
      </c>
      <c r="AJ4778">
        <v>83.475792657368899</v>
      </c>
      <c r="AK4778">
        <v>0.74292025504671999</v>
      </c>
      <c r="AL4778">
        <v>80.682153455392296</v>
      </c>
      <c r="AM4778">
        <v>87.886752189010096</v>
      </c>
      <c r="AN4778">
        <v>0.99999999982492405</v>
      </c>
    </row>
    <row r="4779" spans="1:40" x14ac:dyDescent="0.25">
      <c r="A4779" t="str">
        <f>"20190312172213126"</f>
        <v>20190312172213126</v>
      </c>
      <c r="B4779" t="str">
        <f>"1552382533115261"</f>
        <v>1552382533115261</v>
      </c>
      <c r="C4779" t="s">
        <v>40</v>
      </c>
      <c r="D4779">
        <v>3.4503970000000002</v>
      </c>
      <c r="E4779">
        <v>0.52256539999999996</v>
      </c>
      <c r="F4779" t="s">
        <v>41</v>
      </c>
      <c r="G4779">
        <v>-189.86330000000001</v>
      </c>
      <c r="H4779">
        <v>1.0178560000000001</v>
      </c>
      <c r="I4779">
        <v>179.63239999999999</v>
      </c>
      <c r="J4779">
        <v>-189.80930000000001</v>
      </c>
      <c r="K4779">
        <v>1.111494</v>
      </c>
      <c r="L4779">
        <v>180.2884</v>
      </c>
      <c r="M4779">
        <v>3.5944999999999998E-2</v>
      </c>
      <c r="N4779">
        <v>0</v>
      </c>
      <c r="O4779">
        <v>-0.99926009999999998</v>
      </c>
      <c r="P4779">
        <v>-5.3570639999999999E-3</v>
      </c>
      <c r="Q4779">
        <v>0.1480716</v>
      </c>
      <c r="R4779">
        <v>-0.98896209999999996</v>
      </c>
      <c r="S4779">
        <v>-0.2012939</v>
      </c>
      <c r="T4779">
        <v>-0.38109670000000001</v>
      </c>
      <c r="U4779">
        <v>-3.090347</v>
      </c>
      <c r="V4779">
        <v>4.0549590000000003E-2</v>
      </c>
      <c r="W4779">
        <v>0.16166929999999999</v>
      </c>
      <c r="X4779">
        <v>0.98601159999999999</v>
      </c>
      <c r="Y4779">
        <v>0.10034369999999999</v>
      </c>
      <c r="Z4779">
        <v>0.12183629999999999</v>
      </c>
      <c r="AA4779">
        <v>0.98746500000000004</v>
      </c>
      <c r="AB4779">
        <v>22</v>
      </c>
      <c r="AC4779">
        <v>-5.4000000000001998E-2</v>
      </c>
      <c r="AD4779">
        <v>-9.3638000000000096E-2</v>
      </c>
      <c r="AE4779">
        <v>-0.65600000000000502</v>
      </c>
      <c r="AF4779">
        <v>7.6008968865020302E-2</v>
      </c>
      <c r="AG4779">
        <v>-9.3638000000000096E-2</v>
      </c>
      <c r="AH4779">
        <v>0.64066903851054302</v>
      </c>
      <c r="AI4779">
        <v>98.258170918336205</v>
      </c>
      <c r="AJ4779">
        <v>83.234055527052206</v>
      </c>
      <c r="AK4779">
        <v>0.65192197025253495</v>
      </c>
      <c r="AL4779">
        <v>80.696198848022505</v>
      </c>
      <c r="AM4779">
        <v>87.645046041673794</v>
      </c>
      <c r="AN4779">
        <v>1.0000000535731</v>
      </c>
    </row>
    <row r="4780" spans="1:40" x14ac:dyDescent="0.25">
      <c r="A4780" t="str">
        <f>"20190312172213137"</f>
        <v>20190312172213137</v>
      </c>
      <c r="B4780" t="str">
        <f>"1552382533125021"</f>
        <v>1552382533125021</v>
      </c>
      <c r="C4780" t="s">
        <v>40</v>
      </c>
      <c r="D4780">
        <v>3.449516</v>
      </c>
      <c r="E4780">
        <v>0.52217089999999999</v>
      </c>
      <c r="F4780" t="s">
        <v>41</v>
      </c>
      <c r="G4780">
        <v>-189.86709999999999</v>
      </c>
      <c r="H4780">
        <v>1.0129379999999999</v>
      </c>
      <c r="I4780">
        <v>179.43639999999999</v>
      </c>
      <c r="J4780">
        <v>-189.80449999999999</v>
      </c>
      <c r="K4780">
        <v>1.1114729999999999</v>
      </c>
      <c r="L4780">
        <v>180.17850000000001</v>
      </c>
      <c r="M4780">
        <v>3.6672240000000002E-2</v>
      </c>
      <c r="N4780">
        <v>0</v>
      </c>
      <c r="O4780">
        <v>-0.9992337</v>
      </c>
      <c r="P4780">
        <v>-8.8827230000000004E-3</v>
      </c>
      <c r="Q4780">
        <v>0.1476999</v>
      </c>
      <c r="R4780">
        <v>-0.98899239999999999</v>
      </c>
      <c r="S4780">
        <v>-0.2094879</v>
      </c>
      <c r="T4780">
        <v>-0.35689379999999998</v>
      </c>
      <c r="U4780">
        <v>-3.085785</v>
      </c>
      <c r="V4780">
        <v>4.4801729999999998E-2</v>
      </c>
      <c r="W4780">
        <v>0.16130169999999999</v>
      </c>
      <c r="X4780">
        <v>0.98588770000000003</v>
      </c>
      <c r="Y4780">
        <v>0.10383290000000001</v>
      </c>
      <c r="Z4780">
        <v>0.11433500000000001</v>
      </c>
      <c r="AA4780">
        <v>0.98800109999999997</v>
      </c>
      <c r="AB4780">
        <v>22</v>
      </c>
      <c r="AC4780">
        <v>-6.2600000000003306E-2</v>
      </c>
      <c r="AD4780">
        <v>-9.8534999999999998E-2</v>
      </c>
      <c r="AE4780">
        <v>-0.74210000000002097</v>
      </c>
      <c r="AF4780">
        <v>8.8230375595974797E-2</v>
      </c>
      <c r="AG4780">
        <v>-9.8534999999999998E-2</v>
      </c>
      <c r="AH4780">
        <v>0.72658552500645401</v>
      </c>
      <c r="AI4780">
        <v>97.667336169171307</v>
      </c>
      <c r="AJ4780">
        <v>83.076385307739898</v>
      </c>
      <c r="AK4780">
        <v>0.73852574129255</v>
      </c>
      <c r="AL4780">
        <v>80.717540341581</v>
      </c>
      <c r="AM4780">
        <v>87.3980958954334</v>
      </c>
      <c r="AN4780">
        <v>0.99999999522258598</v>
      </c>
    </row>
    <row r="4781" spans="1:40" x14ac:dyDescent="0.25">
      <c r="A4781" t="str">
        <f>"20190312172213148"</f>
        <v>20190312172213148</v>
      </c>
      <c r="B4781" t="str">
        <f>"1552382533145516"</f>
        <v>1552382533145516</v>
      </c>
      <c r="C4781" t="s">
        <v>40</v>
      </c>
      <c r="D4781">
        <v>3.4447009999999998</v>
      </c>
      <c r="E4781">
        <v>0.52093279999999997</v>
      </c>
      <c r="F4781" t="s">
        <v>41</v>
      </c>
      <c r="G4781">
        <v>-189.85749999999999</v>
      </c>
      <c r="H4781">
        <v>1.02908</v>
      </c>
      <c r="I4781">
        <v>179.4289</v>
      </c>
      <c r="J4781">
        <v>-189.7998</v>
      </c>
      <c r="K4781">
        <v>1.111443</v>
      </c>
      <c r="L4781">
        <v>180.0719</v>
      </c>
      <c r="M4781">
        <v>3.7346650000000002E-2</v>
      </c>
      <c r="N4781">
        <v>0</v>
      </c>
      <c r="O4781">
        <v>-0.99920900000000001</v>
      </c>
      <c r="P4781">
        <v>-1.216656E-2</v>
      </c>
      <c r="Q4781">
        <v>0.14758019999999999</v>
      </c>
      <c r="R4781">
        <v>-0.98897559999999995</v>
      </c>
      <c r="S4781">
        <v>-0.2179413</v>
      </c>
      <c r="T4781">
        <v>-0.33863599999999999</v>
      </c>
      <c r="U4781">
        <v>-3.082001</v>
      </c>
      <c r="V4781">
        <v>4.8760730000000002E-2</v>
      </c>
      <c r="W4781">
        <v>0.16118360000000001</v>
      </c>
      <c r="X4781">
        <v>0.98571909999999896</v>
      </c>
      <c r="Y4781">
        <v>0.1073274</v>
      </c>
      <c r="Z4781">
        <v>0.108654</v>
      </c>
      <c r="AA4781">
        <v>0.9882687</v>
      </c>
      <c r="AB4781">
        <v>22</v>
      </c>
      <c r="AC4781">
        <v>-5.7699999999982703E-2</v>
      </c>
      <c r="AD4781">
        <v>-8.2362999999999895E-2</v>
      </c>
      <c r="AE4781">
        <v>-0.64300000000000002</v>
      </c>
      <c r="AF4781">
        <v>8.03677753652636E-2</v>
      </c>
      <c r="AG4781">
        <v>-8.2362999999999895E-2</v>
      </c>
      <c r="AH4781">
        <v>0.63013980953611604</v>
      </c>
      <c r="AI4781">
        <v>97.387509710483002</v>
      </c>
      <c r="AJ4781">
        <v>82.731759293013695</v>
      </c>
      <c r="AK4781">
        <v>0.64056133402537896</v>
      </c>
      <c r="AL4781">
        <v>80.724396293903993</v>
      </c>
      <c r="AM4781">
        <v>87.168048607442898</v>
      </c>
      <c r="AN4781">
        <v>0.99999995290194998</v>
      </c>
    </row>
    <row r="4782" spans="1:40" x14ac:dyDescent="0.25">
      <c r="A4782" t="str">
        <f>"20190312172213160"</f>
        <v>20190312172213160</v>
      </c>
      <c r="B4782" t="str">
        <f>"1552382533155276"</f>
        <v>1552382533155276</v>
      </c>
      <c r="C4782" t="s">
        <v>40</v>
      </c>
      <c r="D4782">
        <v>3.4491839999999998</v>
      </c>
      <c r="E4782">
        <v>0.52002870000000001</v>
      </c>
      <c r="F4782" t="s">
        <v>41</v>
      </c>
      <c r="G4782">
        <v>-189.8596</v>
      </c>
      <c r="H4782">
        <v>1.025741</v>
      </c>
      <c r="I4782">
        <v>179.23240000000001</v>
      </c>
      <c r="J4782">
        <v>-189.79480000000001</v>
      </c>
      <c r="K4782">
        <v>1.1114139999999999</v>
      </c>
      <c r="L4782">
        <v>179.958</v>
      </c>
      <c r="M4782">
        <v>3.8057680000000003E-2</v>
      </c>
      <c r="N4782">
        <v>0</v>
      </c>
      <c r="O4782">
        <v>-0.99918220000000002</v>
      </c>
      <c r="P4782">
        <v>-1.562446E-2</v>
      </c>
      <c r="Q4782">
        <v>0.147372</v>
      </c>
      <c r="R4782">
        <v>-0.98895820000000001</v>
      </c>
      <c r="S4782">
        <v>-0.21856690000000001</v>
      </c>
      <c r="T4782">
        <v>-0.31431500000000001</v>
      </c>
      <c r="U4782">
        <v>-3.0776819999999998</v>
      </c>
      <c r="V4782">
        <v>5.2931600000000002E-2</v>
      </c>
      <c r="W4782">
        <v>0.1609756</v>
      </c>
      <c r="X4782">
        <v>0.98553789999999997</v>
      </c>
      <c r="Y4782">
        <v>0.1083891</v>
      </c>
      <c r="Z4782">
        <v>0.10106279999999999</v>
      </c>
      <c r="AA4782">
        <v>0.98895809999999995</v>
      </c>
      <c r="AB4782">
        <v>22</v>
      </c>
      <c r="AC4782">
        <v>-6.4799999999991004E-2</v>
      </c>
      <c r="AD4782">
        <v>-8.5672999999999805E-2</v>
      </c>
      <c r="AE4782">
        <v>-0.72559999999998503</v>
      </c>
      <c r="AF4782">
        <v>9.1110159929154499E-2</v>
      </c>
      <c r="AG4782">
        <v>-8.5672999999999805E-2</v>
      </c>
      <c r="AH4782">
        <v>0.71275005305586303</v>
      </c>
      <c r="AI4782">
        <v>96.799302904451906</v>
      </c>
      <c r="AJ4782">
        <v>82.715440899834803</v>
      </c>
      <c r="AK4782">
        <v>0.723639110539537</v>
      </c>
      <c r="AL4782">
        <v>80.736471242905793</v>
      </c>
      <c r="AM4782">
        <v>86.925692825034105</v>
      </c>
      <c r="AN4782">
        <v>0.99999992520516201</v>
      </c>
    </row>
    <row r="4783" spans="1:40" x14ac:dyDescent="0.25">
      <c r="A4783" t="str">
        <f>"20190312172213171"</f>
        <v>20190312172213171</v>
      </c>
      <c r="B4783" t="str">
        <f>"1552382533165037"</f>
        <v>1552382533165037</v>
      </c>
      <c r="C4783" t="s">
        <v>40</v>
      </c>
      <c r="D4783">
        <v>3.4276990000000001</v>
      </c>
      <c r="E4783">
        <v>0.51933850000000004</v>
      </c>
      <c r="F4783" t="s">
        <v>41</v>
      </c>
      <c r="G4783">
        <v>-189.84790000000001</v>
      </c>
      <c r="H4783">
        <v>1.0388489999999999</v>
      </c>
      <c r="I4783">
        <v>179.22649999999999</v>
      </c>
      <c r="J4783">
        <v>-189.78960000000001</v>
      </c>
      <c r="K4783">
        <v>1.1113649999999999</v>
      </c>
      <c r="L4783">
        <v>179.84299999999999</v>
      </c>
      <c r="M4783">
        <v>3.8712360000000001E-2</v>
      </c>
      <c r="N4783">
        <v>0</v>
      </c>
      <c r="O4783">
        <v>-0.99915670000000001</v>
      </c>
      <c r="P4783">
        <v>-1.9298889999999999E-2</v>
      </c>
      <c r="Q4783">
        <v>0.147120899999999</v>
      </c>
      <c r="R4783">
        <v>-0.98893030000000004</v>
      </c>
      <c r="S4783">
        <v>-0.22268679999999999</v>
      </c>
      <c r="T4783">
        <v>-0.30522080000000001</v>
      </c>
      <c r="U4783">
        <v>-3.0754700000000001</v>
      </c>
      <c r="V4783">
        <v>5.7268640000000003E-2</v>
      </c>
      <c r="W4783">
        <v>0.160722</v>
      </c>
      <c r="X4783">
        <v>0.98533689999999996</v>
      </c>
      <c r="Y4783">
        <v>0.1104291</v>
      </c>
      <c r="Z4783">
        <v>9.8217899999999997E-2</v>
      </c>
      <c r="AA4783">
        <v>0.98901899999999998</v>
      </c>
      <c r="AB4783">
        <v>22</v>
      </c>
      <c r="AC4783">
        <v>-5.83000000000026E-2</v>
      </c>
      <c r="AD4783">
        <v>-7.2515999999999997E-2</v>
      </c>
      <c r="AE4783">
        <v>-0.61650000000000205</v>
      </c>
      <c r="AF4783">
        <v>8.1013746554288404E-2</v>
      </c>
      <c r="AG4783">
        <v>-7.2515999999999997E-2</v>
      </c>
      <c r="AH4783">
        <v>0.60547767685694798</v>
      </c>
      <c r="AI4783">
        <v>96.769826530238802</v>
      </c>
      <c r="AJ4783">
        <v>82.379009772668994</v>
      </c>
      <c r="AK4783">
        <v>0.61516259196967604</v>
      </c>
      <c r="AL4783">
        <v>80.751194147439904</v>
      </c>
      <c r="AM4783">
        <v>86.673661452434601</v>
      </c>
      <c r="AN4783">
        <v>1.0000000324565199</v>
      </c>
    </row>
    <row r="4784" spans="1:40" x14ac:dyDescent="0.25">
      <c r="A4784" t="str">
        <f>"20190312172213194"</f>
        <v>20190312172213194</v>
      </c>
      <c r="B4784" t="str">
        <f>"1552382533185532"</f>
        <v>1552382533185532</v>
      </c>
      <c r="C4784" t="s">
        <v>40</v>
      </c>
      <c r="D4784">
        <v>3.4312010000000002</v>
      </c>
      <c r="E4784">
        <v>0.51812139999999995</v>
      </c>
      <c r="F4784" t="s">
        <v>41</v>
      </c>
      <c r="G4784">
        <v>-189.8501</v>
      </c>
      <c r="H4784">
        <v>1.03234</v>
      </c>
      <c r="I4784">
        <v>179.0318</v>
      </c>
      <c r="J4784">
        <v>-189.7792</v>
      </c>
      <c r="K4784">
        <v>1.1112489999999999</v>
      </c>
      <c r="L4784">
        <v>179.6138</v>
      </c>
      <c r="M4784">
        <v>3.990929E-2</v>
      </c>
      <c r="N4784">
        <v>0</v>
      </c>
      <c r="O4784">
        <v>-0.99910980000000005</v>
      </c>
      <c r="P4784">
        <v>-2.6436060000000001E-2</v>
      </c>
      <c r="Q4784">
        <v>0.1468227</v>
      </c>
      <c r="R4784">
        <v>-0.98880979999999996</v>
      </c>
      <c r="S4784">
        <v>-0.22897339999999999</v>
      </c>
      <c r="T4784">
        <v>-0.29954209999999998</v>
      </c>
      <c r="U4784">
        <v>-3.0736539999999999</v>
      </c>
      <c r="V4784">
        <v>6.5624219999999997E-2</v>
      </c>
      <c r="W4784">
        <v>0.16041040000000001</v>
      </c>
      <c r="X4784">
        <v>0.98486640000000003</v>
      </c>
      <c r="Y4784">
        <v>0.1136861</v>
      </c>
      <c r="Z4784">
        <v>9.643227E-2</v>
      </c>
      <c r="AA4784">
        <v>0.98882570000000003</v>
      </c>
      <c r="AB4784">
        <v>22</v>
      </c>
      <c r="AC4784">
        <v>-7.0899999999994606E-2</v>
      </c>
      <c r="AD4784">
        <v>-7.8908999999999896E-2</v>
      </c>
      <c r="AE4784">
        <v>-0.58199999999999297</v>
      </c>
      <c r="AF4784">
        <v>9.2399181605744896E-2</v>
      </c>
      <c r="AG4784">
        <v>-7.8908999999999896E-2</v>
      </c>
      <c r="AH4784">
        <v>0.56841033887813097</v>
      </c>
      <c r="AI4784">
        <v>97.802385310228203</v>
      </c>
      <c r="AJ4784">
        <v>80.766921914478004</v>
      </c>
      <c r="AK4784">
        <v>0.58125257193922497</v>
      </c>
      <c r="AL4784">
        <v>80.769281251457102</v>
      </c>
      <c r="AM4784">
        <v>86.187867765913296</v>
      </c>
      <c r="AN4784">
        <v>0.99999993026386103</v>
      </c>
    </row>
    <row r="4785" spans="1:40" x14ac:dyDescent="0.25">
      <c r="A4785" t="str">
        <f>"20190312172213209"</f>
        <v>20190312172213209</v>
      </c>
      <c r="B4785" t="str">
        <f>"1552382533205560"</f>
        <v>1552382533205560</v>
      </c>
      <c r="C4785" t="s">
        <v>40</v>
      </c>
      <c r="D4785">
        <v>3.4453610000000001</v>
      </c>
      <c r="E4785">
        <v>0.5168315</v>
      </c>
      <c r="F4785" t="s">
        <v>41</v>
      </c>
      <c r="G4785">
        <v>-189.84100000000001</v>
      </c>
      <c r="H4785">
        <v>1.0375920000000001</v>
      </c>
      <c r="I4785">
        <v>178.83199999999999</v>
      </c>
      <c r="J4785">
        <v>-189.7732</v>
      </c>
      <c r="K4785">
        <v>1.111164</v>
      </c>
      <c r="L4785">
        <v>179.48050000000001</v>
      </c>
      <c r="M4785">
        <v>4.0505439999999997E-2</v>
      </c>
      <c r="N4785">
        <v>0</v>
      </c>
      <c r="O4785">
        <v>-0.99908600000000003</v>
      </c>
      <c r="P4785">
        <v>-3.0062930000000002E-2</v>
      </c>
      <c r="Q4785">
        <v>0.14690819999999999</v>
      </c>
      <c r="R4785">
        <v>-0.9886935</v>
      </c>
      <c r="S4785">
        <v>-0.24185180000000001</v>
      </c>
      <c r="T4785">
        <v>-0.28937970000000002</v>
      </c>
      <c r="U4785">
        <v>-3.0704500000000001</v>
      </c>
      <c r="V4785">
        <v>6.986415E-2</v>
      </c>
      <c r="W4785">
        <v>0.16048200000000001</v>
      </c>
      <c r="X4785">
        <v>0.98456310000000002</v>
      </c>
      <c r="Y4785">
        <v>0.118501</v>
      </c>
      <c r="Z4785">
        <v>9.324143E-2</v>
      </c>
      <c r="AA4785">
        <v>0.98856639999999996</v>
      </c>
      <c r="AB4785">
        <v>22</v>
      </c>
      <c r="AC4785">
        <v>-6.7799999999976907E-2</v>
      </c>
      <c r="AD4785">
        <v>-7.3571999999999901E-2</v>
      </c>
      <c r="AE4785">
        <v>-0.64850000000001196</v>
      </c>
      <c r="AF4785">
        <v>9.2832663929998796E-2</v>
      </c>
      <c r="AG4785">
        <v>-7.3571999999999901E-2</v>
      </c>
      <c r="AH4785">
        <v>0.63710972078734196</v>
      </c>
      <c r="AI4785">
        <v>96.518973716889604</v>
      </c>
      <c r="AJ4785">
        <v>81.709826738755197</v>
      </c>
      <c r="AK4785">
        <v>0.64802742148620895</v>
      </c>
      <c r="AL4785">
        <v>80.765125536079907</v>
      </c>
      <c r="AM4785">
        <v>85.941120908605498</v>
      </c>
      <c r="AN4785">
        <v>0.99999998483041597</v>
      </c>
    </row>
    <row r="4786" spans="1:40" x14ac:dyDescent="0.25">
      <c r="A4786" t="str">
        <f>"20190312172213222"</f>
        <v>20190312172213222</v>
      </c>
      <c r="B4786" t="str">
        <f>"1552382533215320"</f>
        <v>1552382533215320</v>
      </c>
      <c r="C4786" t="s">
        <v>40</v>
      </c>
      <c r="D4786">
        <v>3.4438399999999998</v>
      </c>
      <c r="E4786">
        <v>0.51615329999999904</v>
      </c>
      <c r="F4786" t="s">
        <v>41</v>
      </c>
      <c r="G4786">
        <v>-189.84</v>
      </c>
      <c r="H4786">
        <v>1.033693</v>
      </c>
      <c r="I4786">
        <v>178.63650000000001</v>
      </c>
      <c r="J4786">
        <v>-189.7672</v>
      </c>
      <c r="K4786">
        <v>1.1110770000000001</v>
      </c>
      <c r="L4786">
        <v>179.3485</v>
      </c>
      <c r="M4786">
        <v>4.1038869999999998E-2</v>
      </c>
      <c r="N4786">
        <v>0</v>
      </c>
      <c r="O4786">
        <v>-0.99906399999999995</v>
      </c>
      <c r="P4786">
        <v>-3.3879819999999998E-2</v>
      </c>
      <c r="Q4786">
        <v>0.14692559999999999</v>
      </c>
      <c r="R4786">
        <v>-0.98856710000000003</v>
      </c>
      <c r="S4786">
        <v>-0.2429047</v>
      </c>
      <c r="T4786">
        <v>-0.28165869999999998</v>
      </c>
      <c r="U4786">
        <v>-3.0687869999999999</v>
      </c>
      <c r="V4786">
        <v>7.4233339999999995E-2</v>
      </c>
      <c r="W4786">
        <v>0.16048289999999901</v>
      </c>
      <c r="X4786">
        <v>0.98424319999999998</v>
      </c>
      <c r="Y4786">
        <v>0.1194278</v>
      </c>
      <c r="Z4786">
        <v>9.0814000000000006E-2</v>
      </c>
      <c r="AA4786">
        <v>0.98868080000000003</v>
      </c>
      <c r="AB4786">
        <v>22</v>
      </c>
      <c r="AC4786">
        <v>-7.2800000000000795E-2</v>
      </c>
      <c r="AD4786">
        <v>-7.7384000000000105E-2</v>
      </c>
      <c r="AE4786">
        <v>-0.71199999999998898</v>
      </c>
      <c r="AF4786">
        <v>0.100782883134327</v>
      </c>
      <c r="AG4786">
        <v>-7.7384000000000105E-2</v>
      </c>
      <c r="AH4786">
        <v>0.70022630033786404</v>
      </c>
      <c r="AI4786">
        <v>96.242517848392197</v>
      </c>
      <c r="AJ4786">
        <v>81.809721107003895</v>
      </c>
      <c r="AK4786">
        <v>0.71166167851986994</v>
      </c>
      <c r="AL4786">
        <v>80.765073558445494</v>
      </c>
      <c r="AM4786">
        <v>85.686818362869502</v>
      </c>
      <c r="AN4786">
        <v>1.0000000133531</v>
      </c>
    </row>
    <row r="4787" spans="1:40" x14ac:dyDescent="0.25">
      <c r="A4787" t="str">
        <f>"20190312172213232"</f>
        <v>20190312172213232</v>
      </c>
      <c r="B4787" t="str">
        <f>"1552382533225080"</f>
        <v>1552382533225080</v>
      </c>
      <c r="C4787" t="s">
        <v>40</v>
      </c>
      <c r="D4787">
        <v>3.4377330000000001</v>
      </c>
      <c r="E4787">
        <v>0.51557839999999999</v>
      </c>
      <c r="F4787" t="s">
        <v>41</v>
      </c>
      <c r="G4787">
        <v>-189.84119999999999</v>
      </c>
      <c r="H4787">
        <v>1.028654</v>
      </c>
      <c r="I4787">
        <v>178.44159999999999</v>
      </c>
      <c r="J4787">
        <v>-189.762</v>
      </c>
      <c r="K4787">
        <v>1.110989</v>
      </c>
      <c r="L4787">
        <v>179.2329</v>
      </c>
      <c r="M4787">
        <v>4.1409809999999998E-2</v>
      </c>
      <c r="N4787">
        <v>0</v>
      </c>
      <c r="O4787">
        <v>-0.99904879999999996</v>
      </c>
      <c r="P4787">
        <v>-3.7887570000000002E-2</v>
      </c>
      <c r="Q4787">
        <v>0.146901</v>
      </c>
      <c r="R4787">
        <v>-0.98842529999999995</v>
      </c>
      <c r="S4787">
        <v>-0.2497711</v>
      </c>
      <c r="T4787">
        <v>-0.27893420000000002</v>
      </c>
      <c r="U4787">
        <v>-3.0675810000000001</v>
      </c>
      <c r="V4787">
        <v>7.8630779999999997E-2</v>
      </c>
      <c r="W4787">
        <v>0.16044140000000001</v>
      </c>
      <c r="X4787">
        <v>0.98390840000000002</v>
      </c>
      <c r="Y4787">
        <v>0.1220318</v>
      </c>
      <c r="Z4787">
        <v>8.9953340000000007E-2</v>
      </c>
      <c r="AA4787">
        <v>0.98844149999999997</v>
      </c>
      <c r="AB4787">
        <v>22</v>
      </c>
      <c r="AC4787">
        <v>-7.9199999999985907E-2</v>
      </c>
      <c r="AD4787">
        <v>-8.2334999999999797E-2</v>
      </c>
      <c r="AE4787">
        <v>-0.791300000000006</v>
      </c>
      <c r="AF4787">
        <v>0.110715922254746</v>
      </c>
      <c r="AG4787">
        <v>-8.2334999999999797E-2</v>
      </c>
      <c r="AH4787">
        <v>0.77899109840312697</v>
      </c>
      <c r="AI4787">
        <v>95.973848583226797</v>
      </c>
      <c r="AJ4787">
        <v>81.9108809102853</v>
      </c>
      <c r="AK4787">
        <v>0.79111579370976404</v>
      </c>
      <c r="AL4787">
        <v>80.767482340739406</v>
      </c>
      <c r="AM4787">
        <v>85.430817248840498</v>
      </c>
      <c r="AN4787">
        <v>0.99999999099396397</v>
      </c>
    </row>
    <row r="4788" spans="1:40" x14ac:dyDescent="0.25">
      <c r="A4788" t="str">
        <f>"20190312172213250"</f>
        <v>20190312172213250</v>
      </c>
      <c r="B4788" t="str">
        <f>"1552382533245576"</f>
        <v>1552382533245576</v>
      </c>
      <c r="C4788" t="s">
        <v>40</v>
      </c>
      <c r="D4788">
        <v>3.439219</v>
      </c>
      <c r="E4788">
        <v>0.51434780000000002</v>
      </c>
      <c r="F4788" t="s">
        <v>41</v>
      </c>
      <c r="G4788">
        <v>-189.82900000000001</v>
      </c>
      <c r="H4788">
        <v>1.039347</v>
      </c>
      <c r="I4788">
        <v>178.43700000000001</v>
      </c>
      <c r="J4788">
        <v>-189.755</v>
      </c>
      <c r="K4788">
        <v>1.1108709999999999</v>
      </c>
      <c r="L4788">
        <v>179.07759999999999</v>
      </c>
      <c r="M4788">
        <v>4.1814829999999997E-2</v>
      </c>
      <c r="N4788">
        <v>0</v>
      </c>
      <c r="O4788">
        <v>-0.99903200000000003</v>
      </c>
      <c r="P4788">
        <v>-4.6866339999999999E-2</v>
      </c>
      <c r="Q4788">
        <v>0.14672539999999901</v>
      </c>
      <c r="R4788">
        <v>-0.98806669999999996</v>
      </c>
      <c r="S4788">
        <v>-0.25744630000000002</v>
      </c>
      <c r="T4788">
        <v>-0.27616659999999998</v>
      </c>
      <c r="U4788">
        <v>-3.0662989999999999</v>
      </c>
      <c r="V4788">
        <v>8.8031479999999995E-2</v>
      </c>
      <c r="W4788">
        <v>0.16023670000000001</v>
      </c>
      <c r="X4788">
        <v>0.9831453</v>
      </c>
      <c r="Y4788">
        <v>0.1249309</v>
      </c>
      <c r="Z4788">
        <v>8.9077279999999995E-2</v>
      </c>
      <c r="AA4788">
        <v>0.9881586</v>
      </c>
      <c r="AB4788">
        <v>22</v>
      </c>
      <c r="AC4788">
        <v>-7.4000000000012195E-2</v>
      </c>
      <c r="AD4788">
        <v>-7.1523999999999893E-2</v>
      </c>
      <c r="AE4788">
        <v>-0.64059999999997697</v>
      </c>
      <c r="AF4788">
        <v>9.9500300871213504E-2</v>
      </c>
      <c r="AG4788">
        <v>-7.1523999999999893E-2</v>
      </c>
      <c r="AH4788">
        <v>0.62920460363026098</v>
      </c>
      <c r="AI4788">
        <v>96.406251734477195</v>
      </c>
      <c r="AJ4788">
        <v>81.013851085712005</v>
      </c>
      <c r="AK4788">
        <v>0.64102607254227695</v>
      </c>
      <c r="AL4788">
        <v>80.779364706554603</v>
      </c>
      <c r="AM4788">
        <v>84.883343233783293</v>
      </c>
      <c r="AN4788">
        <v>1.0000000112049801</v>
      </c>
    </row>
    <row r="4789" spans="1:40" x14ac:dyDescent="0.25">
      <c r="A4789" t="str">
        <f>"20190312172213261"</f>
        <v>20190312172213261</v>
      </c>
      <c r="B4789" t="str">
        <f>"1552382533255335"</f>
        <v>1552382533255335</v>
      </c>
      <c r="C4789" t="s">
        <v>40</v>
      </c>
      <c r="D4789">
        <v>3.4269090000000002</v>
      </c>
      <c r="E4789">
        <v>0.51368210000000003</v>
      </c>
      <c r="F4789" t="s">
        <v>41</v>
      </c>
      <c r="G4789">
        <v>-189.83029999999999</v>
      </c>
      <c r="H4789">
        <v>1.0367120000000001</v>
      </c>
      <c r="I4789">
        <v>178.24109999999999</v>
      </c>
      <c r="J4789">
        <v>-189.74979999999999</v>
      </c>
      <c r="K4789">
        <v>1.110781</v>
      </c>
      <c r="L4789">
        <v>178.96019999999999</v>
      </c>
      <c r="M4789">
        <v>4.205859E-2</v>
      </c>
      <c r="N4789">
        <v>0</v>
      </c>
      <c r="O4789">
        <v>-0.99902190000000002</v>
      </c>
      <c r="P4789">
        <v>-5.1612930000000001E-2</v>
      </c>
      <c r="Q4789">
        <v>0.14634629999999901</v>
      </c>
      <c r="R4789">
        <v>-0.98788629999999999</v>
      </c>
      <c r="S4789">
        <v>-0.27522279999999999</v>
      </c>
      <c r="T4789">
        <v>-0.27164650000000001</v>
      </c>
      <c r="U4789">
        <v>-3.0635219999999999</v>
      </c>
      <c r="V4789">
        <v>9.3041330000000005E-2</v>
      </c>
      <c r="W4789">
        <v>0.15983429999999901</v>
      </c>
      <c r="X4789">
        <v>0.98274930000000005</v>
      </c>
      <c r="Y4789">
        <v>0.13094749999999999</v>
      </c>
      <c r="Z4789">
        <v>8.7651859999999998E-2</v>
      </c>
      <c r="AA4789">
        <v>0.98750689999999997</v>
      </c>
      <c r="AB4789">
        <v>22</v>
      </c>
      <c r="AC4789">
        <v>-8.0500000000000599E-2</v>
      </c>
      <c r="AD4789">
        <v>-7.4068999999999899E-2</v>
      </c>
      <c r="AE4789">
        <v>-0.71909999999999696</v>
      </c>
      <c r="AF4789">
        <v>0.109528249624124</v>
      </c>
      <c r="AG4789">
        <v>-7.4068999999999899E-2</v>
      </c>
      <c r="AH4789">
        <v>0.70766253783006505</v>
      </c>
      <c r="AI4789">
        <v>95.905419273433196</v>
      </c>
      <c r="AJ4789">
        <v>81.201873909236994</v>
      </c>
      <c r="AK4789">
        <v>0.71990896763050105</v>
      </c>
      <c r="AL4789">
        <v>80.802720904362104</v>
      </c>
      <c r="AM4789">
        <v>84.591669220441005</v>
      </c>
      <c r="AN4789">
        <v>0.99999993959757205</v>
      </c>
    </row>
    <row r="4790" spans="1:40" x14ac:dyDescent="0.25">
      <c r="A4790" t="str">
        <f>"20190312172213272"</f>
        <v>20190312172213272</v>
      </c>
      <c r="B4790" t="str">
        <f>"1552382533265096"</f>
        <v>1552382533265096</v>
      </c>
      <c r="C4790" t="s">
        <v>40</v>
      </c>
      <c r="D4790">
        <v>3.3895680000000001</v>
      </c>
      <c r="E4790">
        <v>0.51368210000000003</v>
      </c>
      <c r="F4790" t="s">
        <v>41</v>
      </c>
      <c r="G4790">
        <v>-189.8349</v>
      </c>
      <c r="H4790">
        <v>1.0302789999999999</v>
      </c>
      <c r="I4790">
        <v>178.047</v>
      </c>
      <c r="J4790">
        <v>-189.74469999999999</v>
      </c>
      <c r="K4790">
        <v>1.110692</v>
      </c>
      <c r="L4790">
        <v>178.84370000000001</v>
      </c>
      <c r="M4790">
        <v>4.2186790000000002E-2</v>
      </c>
      <c r="N4790">
        <v>0</v>
      </c>
      <c r="O4790">
        <v>-0.99901660000000003</v>
      </c>
      <c r="P4790">
        <v>-5.6588689999999997E-2</v>
      </c>
      <c r="Q4790">
        <v>0.1459732</v>
      </c>
      <c r="R4790">
        <v>-0.98766909999999997</v>
      </c>
      <c r="S4790">
        <v>-0.28480529999999998</v>
      </c>
      <c r="T4790">
        <v>-0.27001310000000001</v>
      </c>
      <c r="U4790">
        <v>-3.06189</v>
      </c>
      <c r="V4790">
        <v>9.8164799999999997E-2</v>
      </c>
      <c r="W4790">
        <v>0.15943460000000001</v>
      </c>
      <c r="X4790">
        <v>0.98231579999999996</v>
      </c>
      <c r="Y4790">
        <v>0.1341899</v>
      </c>
      <c r="Z4790">
        <v>8.7142769999999994E-2</v>
      </c>
      <c r="AA4790">
        <v>0.98711660000000001</v>
      </c>
      <c r="AB4790">
        <v>22</v>
      </c>
      <c r="AC4790">
        <v>-9.0200000000009994E-2</v>
      </c>
      <c r="AD4790">
        <v>-8.0412999999999804E-2</v>
      </c>
      <c r="AE4790">
        <v>-0.79670000000001495</v>
      </c>
      <c r="AF4790">
        <v>0.12250085744655299</v>
      </c>
      <c r="AG4790">
        <v>-8.0412999999999804E-2</v>
      </c>
      <c r="AH4790">
        <v>0.78429618513197996</v>
      </c>
      <c r="AI4790">
        <v>95.784367513025501</v>
      </c>
      <c r="AJ4790">
        <v>81.122580007372306</v>
      </c>
      <c r="AK4790">
        <v>0.79786791930539303</v>
      </c>
      <c r="AL4790">
        <v>80.825920316434093</v>
      </c>
      <c r="AM4790">
        <v>84.293263416940903</v>
      </c>
      <c r="AN4790">
        <v>1.00000002528291</v>
      </c>
    </row>
    <row r="4791" spans="1:40" x14ac:dyDescent="0.25">
      <c r="A4791" t="str">
        <f>"20190312172213284"</f>
        <v>20190312172213284</v>
      </c>
      <c r="B4791" t="str">
        <f>"1552382533275832"</f>
        <v>1552382533275832</v>
      </c>
      <c r="C4791" t="s">
        <v>40</v>
      </c>
      <c r="D4791">
        <v>3.430841</v>
      </c>
      <c r="E4791">
        <v>0.49904189999999998</v>
      </c>
      <c r="F4791" t="s">
        <v>41</v>
      </c>
      <c r="G4791">
        <v>-189.82339999999999</v>
      </c>
      <c r="H4791">
        <v>1.0397689999999999</v>
      </c>
      <c r="I4791">
        <v>178.0429</v>
      </c>
      <c r="J4791">
        <v>-189.7398</v>
      </c>
      <c r="K4791">
        <v>1.1106039999999999</v>
      </c>
      <c r="L4791">
        <v>178.73220000000001</v>
      </c>
      <c r="M4791">
        <v>4.2259379999999999E-2</v>
      </c>
      <c r="N4791">
        <v>0</v>
      </c>
      <c r="O4791">
        <v>-0.9990135</v>
      </c>
      <c r="P4791">
        <v>-6.1997160000000003E-2</v>
      </c>
      <c r="Q4791">
        <v>0.14596479999999901</v>
      </c>
      <c r="R4791">
        <v>-0.98734549999999999</v>
      </c>
      <c r="S4791">
        <v>-0.30043029999999998</v>
      </c>
      <c r="T4791">
        <v>-0.27113359999999997</v>
      </c>
      <c r="U4791">
        <v>-3.0603030000000002</v>
      </c>
      <c r="V4791">
        <v>0.10365969999999999</v>
      </c>
      <c r="W4791">
        <v>0.1593965</v>
      </c>
      <c r="X4791">
        <v>0.98175730000000005</v>
      </c>
      <c r="Y4791">
        <v>0.13929849999999999</v>
      </c>
      <c r="Z4791">
        <v>8.7493879999999996E-2</v>
      </c>
      <c r="AA4791">
        <v>0.98637759999999997</v>
      </c>
      <c r="AB4791">
        <v>22</v>
      </c>
      <c r="AC4791">
        <v>-8.3599999999989905E-2</v>
      </c>
      <c r="AD4791">
        <v>-7.0835000000000203E-2</v>
      </c>
      <c r="AE4791">
        <v>-0.68930000000000202</v>
      </c>
      <c r="AF4791">
        <v>0.111497024963835</v>
      </c>
      <c r="AG4791">
        <v>-7.0835000000000203E-2</v>
      </c>
      <c r="AH4791">
        <v>0.67809378538319698</v>
      </c>
      <c r="AI4791">
        <v>95.885139705800398</v>
      </c>
      <c r="AJ4791">
        <v>80.662570130916905</v>
      </c>
      <c r="AK4791">
        <v>0.69084033291065206</v>
      </c>
      <c r="AL4791">
        <v>80.828131208509902</v>
      </c>
      <c r="AM4791">
        <v>83.972707168524096</v>
      </c>
      <c r="AN4791">
        <v>0.99999998685981495</v>
      </c>
    </row>
    <row r="4792" spans="1:40" x14ac:dyDescent="0.25">
      <c r="A4792" t="str">
        <f>"20190312172213295"</f>
        <v>20190312172213295</v>
      </c>
      <c r="B4792" t="str">
        <f>"1552382533285592"</f>
        <v>1552382533285592</v>
      </c>
      <c r="C4792" t="s">
        <v>40</v>
      </c>
      <c r="D4792">
        <v>3.4251939999999998</v>
      </c>
      <c r="E4792">
        <v>0.49832870000000001</v>
      </c>
      <c r="F4792" t="s">
        <v>41</v>
      </c>
      <c r="G4792">
        <v>-189.79769999999999</v>
      </c>
      <c r="H4792">
        <v>1.0471569999999999</v>
      </c>
      <c r="I4792">
        <v>177.84200000000001</v>
      </c>
      <c r="J4792">
        <v>-189.73500000000001</v>
      </c>
      <c r="K4792">
        <v>1.110514</v>
      </c>
      <c r="L4792">
        <v>178.6208</v>
      </c>
      <c r="M4792">
        <v>4.2255550000000003E-2</v>
      </c>
      <c r="N4792">
        <v>0</v>
      </c>
      <c r="O4792">
        <v>-0.9990137</v>
      </c>
      <c r="P4792">
        <v>-6.7521269999999994E-2</v>
      </c>
      <c r="Q4792">
        <v>0.14565049999999999</v>
      </c>
      <c r="R4792">
        <v>-0.98702959999999995</v>
      </c>
      <c r="S4792">
        <v>-0.1988983</v>
      </c>
      <c r="T4792">
        <v>-0.21796660000000001</v>
      </c>
      <c r="U4792">
        <v>-3.058182</v>
      </c>
      <c r="V4792">
        <v>0.10919520000000001</v>
      </c>
      <c r="W4792">
        <v>0.15905050000000001</v>
      </c>
      <c r="X4792">
        <v>0.98121320000000001</v>
      </c>
      <c r="Y4792">
        <v>0.1068505</v>
      </c>
      <c r="Z4792">
        <v>7.0719740000000003E-2</v>
      </c>
      <c r="AA4792">
        <v>0.99175690000000005</v>
      </c>
      <c r="AB4792">
        <v>22</v>
      </c>
      <c r="AC4792">
        <v>-6.2699999999978204E-2</v>
      </c>
      <c r="AD4792">
        <v>-6.3357000000000094E-2</v>
      </c>
      <c r="AE4792">
        <v>-0.77879999999998895</v>
      </c>
      <c r="AF4792">
        <v>9.4931447386537596E-2</v>
      </c>
      <c r="AG4792">
        <v>-6.3357000000000094E-2</v>
      </c>
      <c r="AH4792">
        <v>0.770388880785709</v>
      </c>
      <c r="AI4792">
        <v>94.666304237545802</v>
      </c>
      <c r="AJ4792">
        <v>82.975120489235294</v>
      </c>
      <c r="AK4792">
        <v>0.77879722443660504</v>
      </c>
      <c r="AL4792">
        <v>80.848211832467896</v>
      </c>
      <c r="AM4792">
        <v>83.649915565431101</v>
      </c>
      <c r="AN4792">
        <v>0.99999999855376498</v>
      </c>
    </row>
    <row r="4793" spans="1:40" x14ac:dyDescent="0.25">
      <c r="A4793" t="str">
        <f>"20190312172213307"</f>
        <v>20190312172213307</v>
      </c>
      <c r="B4793" t="str">
        <f>"1552382533295353"</f>
        <v>1552382533295353</v>
      </c>
      <c r="C4793" t="s">
        <v>40</v>
      </c>
      <c r="D4793">
        <v>3.4212600000000002</v>
      </c>
      <c r="E4793">
        <v>0.49786829999999999</v>
      </c>
      <c r="F4793" t="s">
        <v>41</v>
      </c>
      <c r="G4793">
        <v>-189.78960000000001</v>
      </c>
      <c r="H4793">
        <v>1.053072</v>
      </c>
      <c r="I4793">
        <v>177.82849999999999</v>
      </c>
      <c r="J4793">
        <v>-189.73050000000001</v>
      </c>
      <c r="K4793">
        <v>1.110422</v>
      </c>
      <c r="L4793">
        <v>178.51169999999999</v>
      </c>
      <c r="M4793">
        <v>4.2166950000000002E-2</v>
      </c>
      <c r="N4793">
        <v>0</v>
      </c>
      <c r="O4793">
        <v>-0.99901759999999995</v>
      </c>
      <c r="P4793">
        <v>-7.3147740000000003E-2</v>
      </c>
      <c r="Q4793">
        <v>0.14547889999999999</v>
      </c>
      <c r="R4793">
        <v>-0.98665389999999997</v>
      </c>
      <c r="S4793">
        <v>-0.21055599999999999</v>
      </c>
      <c r="T4793">
        <v>-0.2216545</v>
      </c>
      <c r="U4793">
        <v>-3.057693</v>
      </c>
      <c r="V4793">
        <v>0.1147479</v>
      </c>
      <c r="W4793">
        <v>0.15884379999999901</v>
      </c>
      <c r="X4793">
        <v>0.98061279999999995</v>
      </c>
      <c r="Y4793">
        <v>0.1105302</v>
      </c>
      <c r="Z4793">
        <v>7.1898290000000004E-2</v>
      </c>
      <c r="AA4793">
        <v>0.99126879999999995</v>
      </c>
      <c r="AB4793">
        <v>22</v>
      </c>
      <c r="AC4793">
        <v>-5.9100000000000798E-2</v>
      </c>
      <c r="AD4793">
        <v>-5.7349999999999998E-2</v>
      </c>
      <c r="AE4793">
        <v>-0.68319999999999903</v>
      </c>
      <c r="AF4793">
        <v>8.7248336350658803E-2</v>
      </c>
      <c r="AG4793">
        <v>-5.7349999999999998E-2</v>
      </c>
      <c r="AH4793">
        <v>0.67537627017707202</v>
      </c>
      <c r="AI4793">
        <v>94.813851437299903</v>
      </c>
      <c r="AJ4793">
        <v>82.639024934086194</v>
      </c>
      <c r="AK4793">
        <v>0.68339915204384905</v>
      </c>
      <c r="AL4793">
        <v>80.860206906298501</v>
      </c>
      <c r="AM4793">
        <v>83.325799649973902</v>
      </c>
      <c r="AN4793">
        <v>0.99999994843834294</v>
      </c>
    </row>
    <row r="4794" spans="1:40" x14ac:dyDescent="0.25">
      <c r="A4794" t="str">
        <f>"20190312172213327"</f>
        <v>20190312172213327</v>
      </c>
      <c r="B4794" t="str">
        <f>"1552382533315848"</f>
        <v>1552382533315848</v>
      </c>
      <c r="C4794" t="s">
        <v>40</v>
      </c>
      <c r="D4794">
        <v>3.4009130000000001</v>
      </c>
      <c r="E4794">
        <v>0.49629899999999999</v>
      </c>
      <c r="F4794" t="s">
        <v>41</v>
      </c>
      <c r="G4794">
        <v>-189.79409999999999</v>
      </c>
      <c r="H4794">
        <v>1.04757099999999</v>
      </c>
      <c r="I4794">
        <v>177.64490000000001</v>
      </c>
      <c r="J4794">
        <v>-189.72239999999999</v>
      </c>
      <c r="K4794">
        <v>1.1102510000000001</v>
      </c>
      <c r="L4794">
        <v>178.3143</v>
      </c>
      <c r="M4794">
        <v>4.1823029999999997E-2</v>
      </c>
      <c r="N4794">
        <v>0</v>
      </c>
      <c r="O4794">
        <v>-0.99903169999999997</v>
      </c>
      <c r="P4794">
        <v>-8.5229410000000005E-2</v>
      </c>
      <c r="Q4794">
        <v>0.14460129999999999</v>
      </c>
      <c r="R4794">
        <v>-0.98581269999999999</v>
      </c>
      <c r="S4794">
        <v>-0.22406010000000001</v>
      </c>
      <c r="T4794">
        <v>-0.22173119999999999</v>
      </c>
      <c r="U4794">
        <v>-3.056686</v>
      </c>
      <c r="V4794">
        <v>0.12651080000000001</v>
      </c>
      <c r="W4794">
        <v>0.1578899</v>
      </c>
      <c r="X4794">
        <v>0.97931900000000005</v>
      </c>
      <c r="Y4794">
        <v>0.11456669999999999</v>
      </c>
      <c r="Z4794">
        <v>7.1920399999999995E-2</v>
      </c>
      <c r="AA4794">
        <v>0.99080869999999999</v>
      </c>
      <c r="AB4794">
        <v>22</v>
      </c>
      <c r="AC4794">
        <v>-7.16999999999927E-2</v>
      </c>
      <c r="AD4794">
        <v>-6.2680000000000194E-2</v>
      </c>
      <c r="AE4794">
        <v>-0.669399999999996</v>
      </c>
      <c r="AF4794">
        <v>9.8779949337542E-2</v>
      </c>
      <c r="AG4794">
        <v>-6.2680000000000194E-2</v>
      </c>
      <c r="AH4794">
        <v>0.66009333119057401</v>
      </c>
      <c r="AI4794">
        <v>95.364945622034199</v>
      </c>
      <c r="AJ4794">
        <v>81.489103838968404</v>
      </c>
      <c r="AK4794">
        <v>0.67038009119707298</v>
      </c>
      <c r="AL4794">
        <v>80.915559936719902</v>
      </c>
      <c r="AM4794">
        <v>82.639157961620199</v>
      </c>
      <c r="AN4794">
        <v>0.99999995339982395</v>
      </c>
    </row>
    <row r="4795" spans="1:40" x14ac:dyDescent="0.25">
      <c r="A4795" t="str">
        <f>"20190312172213338"</f>
        <v>20190312172213338</v>
      </c>
      <c r="B4795" t="str">
        <f>"1552382533335368"</f>
        <v>1552382533335368</v>
      </c>
      <c r="C4795" t="s">
        <v>40</v>
      </c>
      <c r="D4795">
        <v>3.4307219999999998</v>
      </c>
      <c r="E4795">
        <v>0.49512109999999898</v>
      </c>
      <c r="F4795" t="s">
        <v>41</v>
      </c>
      <c r="G4795">
        <v>-189.7928</v>
      </c>
      <c r="H4795">
        <v>1.0472379999999999</v>
      </c>
      <c r="I4795">
        <v>177.44839999999999</v>
      </c>
      <c r="J4795">
        <v>-189.71789999999999</v>
      </c>
      <c r="K4795">
        <v>1.1101479999999999</v>
      </c>
      <c r="L4795">
        <v>178.203</v>
      </c>
      <c r="M4795">
        <v>4.153366E-2</v>
      </c>
      <c r="N4795">
        <v>0</v>
      </c>
      <c r="O4795">
        <v>-0.99904369999999998</v>
      </c>
      <c r="P4795">
        <v>-9.1282390000000005E-2</v>
      </c>
      <c r="Q4795">
        <v>0.14418059999999999</v>
      </c>
      <c r="R4795">
        <v>-0.98533219999999999</v>
      </c>
      <c r="S4795">
        <v>-0.24806210000000001</v>
      </c>
      <c r="T4795">
        <v>-0.22228690000000001</v>
      </c>
      <c r="U4795">
        <v>-3.0543369999999999</v>
      </c>
      <c r="V4795">
        <v>0.1322932</v>
      </c>
      <c r="W4795">
        <v>0.1574219</v>
      </c>
      <c r="X4795">
        <v>0.97863009999999995</v>
      </c>
      <c r="Y4795">
        <v>0.122069899999999</v>
      </c>
      <c r="Z4795">
        <v>7.2101929999999995E-2</v>
      </c>
      <c r="AA4795">
        <v>0.98989910000000003</v>
      </c>
      <c r="AB4795">
        <v>22</v>
      </c>
      <c r="AC4795">
        <v>-7.4900000000013706E-2</v>
      </c>
      <c r="AD4795">
        <v>-6.2909999999999994E-2</v>
      </c>
      <c r="AE4795">
        <v>-0.75460000000001004</v>
      </c>
      <c r="AF4795">
        <v>0.105453793456689</v>
      </c>
      <c r="AG4795">
        <v>-6.2909999999999994E-2</v>
      </c>
      <c r="AH4795">
        <v>0.74570523938212496</v>
      </c>
      <c r="AI4795">
        <v>94.774944854548394</v>
      </c>
      <c r="AJ4795">
        <v>81.950898579300699</v>
      </c>
      <c r="AK4795">
        <v>0.755747626325322</v>
      </c>
      <c r="AL4795">
        <v>80.942714455951602</v>
      </c>
      <c r="AM4795">
        <v>82.301309806414395</v>
      </c>
      <c r="AN4795">
        <v>1.00000000899592</v>
      </c>
    </row>
    <row r="4796" spans="1:40" x14ac:dyDescent="0.25">
      <c r="A4796" t="str">
        <f>"20190312172213350"</f>
        <v>20190312172213350</v>
      </c>
      <c r="B4796" t="str">
        <f>"1552382533345127"</f>
        <v>1552382533345127</v>
      </c>
      <c r="C4796" t="s">
        <v>40</v>
      </c>
      <c r="D4796">
        <v>3.5449589999999902</v>
      </c>
      <c r="E4796">
        <v>0.49512109999999898</v>
      </c>
      <c r="F4796" t="s">
        <v>42</v>
      </c>
      <c r="G4796">
        <v>-190.99539999999999</v>
      </c>
      <c r="H4796" s="1">
        <v>-1.885264E-6</v>
      </c>
      <c r="I4796">
        <v>163.0196</v>
      </c>
      <c r="J4796">
        <v>-189.71369999999999</v>
      </c>
      <c r="K4796">
        <v>1.1100429999999999</v>
      </c>
      <c r="L4796">
        <v>178.0932</v>
      </c>
      <c r="M4796">
        <v>4.1130109999999998E-2</v>
      </c>
      <c r="N4796">
        <v>0</v>
      </c>
      <c r="O4796">
        <v>-0.99906079999999997</v>
      </c>
      <c r="P4796">
        <v>-9.7926139999999995E-2</v>
      </c>
      <c r="Q4796">
        <v>0.1433807</v>
      </c>
      <c r="R4796">
        <v>-0.9848112</v>
      </c>
      <c r="S4796">
        <v>-0.25691219999999998</v>
      </c>
      <c r="T4796">
        <v>-0.22326299999999999</v>
      </c>
      <c r="U4796">
        <v>-3.0535429999999999</v>
      </c>
      <c r="V4796">
        <v>0.1385527</v>
      </c>
      <c r="W4796">
        <v>0.1565705</v>
      </c>
      <c r="X4796">
        <v>0.9779002</v>
      </c>
      <c r="Y4796">
        <v>0.12453699999999999</v>
      </c>
      <c r="Z4796">
        <v>7.2417579999999995E-2</v>
      </c>
      <c r="AA4796">
        <v>0.98956869999999997</v>
      </c>
      <c r="AB4796">
        <v>22</v>
      </c>
      <c r="AC4796">
        <v>-1.2817000000000001</v>
      </c>
      <c r="AD4796">
        <v>-1.1100448852639999</v>
      </c>
      <c r="AE4796">
        <v>-15.073600000000001</v>
      </c>
      <c r="AF4796">
        <v>1.8904730416625599</v>
      </c>
      <c r="AG4796">
        <v>-1.1100448852639999</v>
      </c>
      <c r="AH4796">
        <v>14.9277474995472</v>
      </c>
      <c r="AI4796">
        <v>94.219178479464404</v>
      </c>
      <c r="AJ4796">
        <v>82.782395683870206</v>
      </c>
      <c r="AK4796">
        <v>15.0878670917658</v>
      </c>
      <c r="AL4796">
        <v>80.992108407572005</v>
      </c>
      <c r="AM4796">
        <v>81.935786678542499</v>
      </c>
      <c r="AN4796">
        <v>0.99999998665378897</v>
      </c>
    </row>
    <row r="4797" spans="1:40" x14ac:dyDescent="0.25">
      <c r="A4797" t="str">
        <f>"20190312172213361"</f>
        <v>20190312172213361</v>
      </c>
      <c r="B4797" t="str">
        <f>"1552382533355864"</f>
        <v>1552382533355864</v>
      </c>
      <c r="C4797" t="s">
        <v>40</v>
      </c>
      <c r="D4797">
        <v>3.4908079999999999</v>
      </c>
      <c r="E4797">
        <v>0.52579809999999905</v>
      </c>
      <c r="F4797" t="s">
        <v>41</v>
      </c>
      <c r="G4797">
        <v>-189.7901</v>
      </c>
      <c r="H4797">
        <v>1.047784</v>
      </c>
      <c r="I4797">
        <v>177.25149999999999</v>
      </c>
      <c r="J4797">
        <v>-189.70930000000001</v>
      </c>
      <c r="K4797">
        <v>1.109926</v>
      </c>
      <c r="L4797">
        <v>177.9742</v>
      </c>
      <c r="M4797">
        <v>4.0647870000000003E-2</v>
      </c>
      <c r="N4797">
        <v>0</v>
      </c>
      <c r="O4797">
        <v>-0.99908030000000003</v>
      </c>
      <c r="P4797">
        <v>-0.1051691</v>
      </c>
      <c r="Q4797">
        <v>0.1430033</v>
      </c>
      <c r="R4797">
        <v>-0.98411890000000002</v>
      </c>
      <c r="S4797">
        <v>-0.27665709999999999</v>
      </c>
      <c r="T4797">
        <v>-0.22576070000000001</v>
      </c>
      <c r="U4797">
        <v>-3.0516049999999999</v>
      </c>
      <c r="V4797">
        <v>0.14533170000000001</v>
      </c>
      <c r="W4797">
        <v>0.15613109999999999</v>
      </c>
      <c r="X4797">
        <v>0.97698609999999997</v>
      </c>
      <c r="Y4797">
        <v>0.1304572</v>
      </c>
      <c r="Z4797">
        <v>7.3223109999999994E-2</v>
      </c>
      <c r="AA4797">
        <v>0.98874629999999997</v>
      </c>
      <c r="AB4797">
        <v>22</v>
      </c>
      <c r="AC4797">
        <v>-8.0799999999982206E-2</v>
      </c>
      <c r="AD4797">
        <v>-6.2141999999999899E-2</v>
      </c>
      <c r="AE4797">
        <v>-0.72270000000000301</v>
      </c>
      <c r="AF4797">
        <v>0.109313919131054</v>
      </c>
      <c r="AG4797">
        <v>-6.2141999999999899E-2</v>
      </c>
      <c r="AH4797">
        <v>0.71360697921697902</v>
      </c>
      <c r="AI4797">
        <v>94.919749048585203</v>
      </c>
      <c r="AJ4797">
        <v>81.290844197057595</v>
      </c>
      <c r="AK4797">
        <v>0.724600636121011</v>
      </c>
      <c r="AL4797">
        <v>81.0175980570517</v>
      </c>
      <c r="AM4797">
        <v>81.539003051361703</v>
      </c>
      <c r="AN4797">
        <v>1.00000003150265</v>
      </c>
    </row>
    <row r="4798" spans="1:40" x14ac:dyDescent="0.25">
      <c r="A4798" t="str">
        <f>"20190312172213373"</f>
        <v>20190312172213373</v>
      </c>
      <c r="B4798" t="str">
        <f>"1552382533365625"</f>
        <v>1552382533365625</v>
      </c>
      <c r="C4798" t="s">
        <v>40</v>
      </c>
      <c r="D4798">
        <v>3.4739610000000001</v>
      </c>
      <c r="E4798">
        <v>0.53525449999999997</v>
      </c>
      <c r="F4798" t="s">
        <v>42</v>
      </c>
      <c r="G4798">
        <v>-192.1369</v>
      </c>
      <c r="H4798" s="1">
        <v>-2.8540480000000002E-6</v>
      </c>
      <c r="I4798">
        <v>164.4265</v>
      </c>
      <c r="J4798">
        <v>-189.70500000000001</v>
      </c>
      <c r="K4798">
        <v>1.109801</v>
      </c>
      <c r="L4798">
        <v>177.85299999999901</v>
      </c>
      <c r="M4798">
        <v>4.0013890000000003E-2</v>
      </c>
      <c r="N4798">
        <v>0</v>
      </c>
      <c r="O4798">
        <v>-0.99910589999999999</v>
      </c>
      <c r="P4798">
        <v>-0.1122426</v>
      </c>
      <c r="Q4798">
        <v>0.1424617</v>
      </c>
      <c r="R4798">
        <v>-0.9834157</v>
      </c>
      <c r="S4798">
        <v>-0.54231260000000003</v>
      </c>
      <c r="T4798">
        <v>-0.2479526</v>
      </c>
      <c r="U4798">
        <v>-3.0264890000000002</v>
      </c>
      <c r="V4798">
        <v>0.1517963</v>
      </c>
      <c r="W4798">
        <v>0.15552160000000001</v>
      </c>
      <c r="X4798">
        <v>0.97609979999999996</v>
      </c>
      <c r="Y4798">
        <v>0.21506149999999999</v>
      </c>
      <c r="Z4798">
        <v>7.9967330000000003E-2</v>
      </c>
      <c r="AA4798">
        <v>0.97332099999999999</v>
      </c>
      <c r="AB4798">
        <v>22</v>
      </c>
      <c r="AC4798">
        <v>-2.4318999999999802</v>
      </c>
      <c r="AD4798">
        <v>-1.109803854048</v>
      </c>
      <c r="AE4798">
        <v>-13.4264999999999</v>
      </c>
      <c r="AF4798">
        <v>2.9477483724327702</v>
      </c>
      <c r="AG4798">
        <v>-1.109803854048</v>
      </c>
      <c r="AH4798">
        <v>13.2309001870749</v>
      </c>
      <c r="AI4798">
        <v>94.680501848420903</v>
      </c>
      <c r="AJ4798">
        <v>77.440046615508507</v>
      </c>
      <c r="AK4798">
        <v>13.6006472207016</v>
      </c>
      <c r="AL4798">
        <v>81.052950982072005</v>
      </c>
      <c r="AM4798">
        <v>81.160560841672606</v>
      </c>
      <c r="AN4798">
        <v>0.99999995216014304</v>
      </c>
    </row>
    <row r="4799" spans="1:40" x14ac:dyDescent="0.25">
      <c r="A4799" t="str">
        <f>"20190312172213387"</f>
        <v>20190312172213387</v>
      </c>
      <c r="B4799" t="str">
        <f>"1552382533375384"</f>
        <v>1552382533375384</v>
      </c>
      <c r="C4799" t="s">
        <v>40</v>
      </c>
      <c r="D4799">
        <v>3.4618319999999998</v>
      </c>
      <c r="E4799">
        <v>0.54238180000000003</v>
      </c>
      <c r="F4799" t="s">
        <v>42</v>
      </c>
      <c r="G4799">
        <v>-192.572</v>
      </c>
      <c r="H4799" s="1">
        <v>-2.9194829999999999E-6</v>
      </c>
      <c r="I4799">
        <v>164.32</v>
      </c>
      <c r="J4799">
        <v>-189.70070000000001</v>
      </c>
      <c r="K4799">
        <v>1.1096710000000001</v>
      </c>
      <c r="L4799">
        <v>177.7285</v>
      </c>
      <c r="M4799">
        <v>3.9270739999999998E-2</v>
      </c>
      <c r="N4799">
        <v>0</v>
      </c>
      <c r="O4799">
        <v>-0.99913549999999995</v>
      </c>
      <c r="P4799">
        <v>-0.119933</v>
      </c>
      <c r="Q4799">
        <v>0.14202799999999999</v>
      </c>
      <c r="R4799">
        <v>-0.98257050000000001</v>
      </c>
      <c r="S4799">
        <v>-0.63842769999999904</v>
      </c>
      <c r="T4799">
        <v>-0.24712999999999999</v>
      </c>
      <c r="U4799">
        <v>-3.0135190000000001</v>
      </c>
      <c r="V4799">
        <v>0.15876699999999999</v>
      </c>
      <c r="W4799">
        <v>0.15501280000000001</v>
      </c>
      <c r="X4799">
        <v>0.97507129999999997</v>
      </c>
      <c r="Y4799">
        <v>0.24485760000000001</v>
      </c>
      <c r="Z4799">
        <v>7.9516950000000003E-2</v>
      </c>
      <c r="AA4799">
        <v>0.96629279999999995</v>
      </c>
      <c r="AB4799">
        <v>22</v>
      </c>
      <c r="AC4799">
        <v>-2.87129999999999</v>
      </c>
      <c r="AD4799">
        <v>-1.1096739194830001</v>
      </c>
      <c r="AE4799">
        <v>-13.4085</v>
      </c>
      <c r="AF4799">
        <v>3.3736025161125802</v>
      </c>
      <c r="AG4799">
        <v>-1.1096739194830001</v>
      </c>
      <c r="AH4799">
        <v>13.1989496549827</v>
      </c>
      <c r="AI4799">
        <v>94.656707229386498</v>
      </c>
      <c r="AJ4799">
        <v>75.662373964320906</v>
      </c>
      <c r="AK4799">
        <v>13.668388425087601</v>
      </c>
      <c r="AL4799">
        <v>81.082461247057395</v>
      </c>
      <c r="AM4799">
        <v>80.751914491183101</v>
      </c>
      <c r="AN4799">
        <v>0.99999998426826497</v>
      </c>
    </row>
    <row r="4800" spans="1:40" x14ac:dyDescent="0.25">
      <c r="A4800" t="str">
        <f>"20190312172213400"</f>
        <v>20190312172213400</v>
      </c>
      <c r="B4800" t="str">
        <f>"1552382533395880"</f>
        <v>1552382533395880</v>
      </c>
      <c r="C4800" t="s">
        <v>40</v>
      </c>
      <c r="D4800">
        <v>3.488483</v>
      </c>
      <c r="E4800">
        <v>0.54807910000000004</v>
      </c>
      <c r="F4800" t="s">
        <v>42</v>
      </c>
      <c r="G4800">
        <v>-192.93340000000001</v>
      </c>
      <c r="H4800" s="1">
        <v>-2.962231E-6</v>
      </c>
      <c r="I4800">
        <v>164.20699999999999</v>
      </c>
      <c r="J4800">
        <v>-189.69640000000001</v>
      </c>
      <c r="K4800">
        <v>1.1095330000000001</v>
      </c>
      <c r="L4800">
        <v>177.59569999999999</v>
      </c>
      <c r="M4800">
        <v>3.838867E-2</v>
      </c>
      <c r="N4800">
        <v>0</v>
      </c>
      <c r="O4800">
        <v>-0.99916970000000005</v>
      </c>
      <c r="P4800">
        <v>-0.12812609999999999</v>
      </c>
      <c r="Q4800">
        <v>0.14121210000000001</v>
      </c>
      <c r="R4800">
        <v>-0.9816532</v>
      </c>
      <c r="S4800">
        <v>-0.71752930000000004</v>
      </c>
      <c r="T4800">
        <v>-0.246304</v>
      </c>
      <c r="U4800">
        <v>-3.0012509999999999</v>
      </c>
      <c r="V4800">
        <v>0.16610510000000001</v>
      </c>
      <c r="W4800">
        <v>0.154113</v>
      </c>
      <c r="X4800">
        <v>0.97399089999999999</v>
      </c>
      <c r="Y4800">
        <v>0.26896130000000001</v>
      </c>
      <c r="Z4800">
        <v>7.9087009999999999E-2</v>
      </c>
      <c r="AA4800">
        <v>0.95989849999999999</v>
      </c>
      <c r="AB4800">
        <v>22</v>
      </c>
      <c r="AC4800">
        <v>-3.2369999999999899</v>
      </c>
      <c r="AD4800">
        <v>-1.1095359622309999</v>
      </c>
      <c r="AE4800">
        <v>-13.3887</v>
      </c>
      <c r="AF4800">
        <v>3.7244700922686702</v>
      </c>
      <c r="AG4800">
        <v>-1.1095359622309999</v>
      </c>
      <c r="AH4800">
        <v>13.169107650922101</v>
      </c>
      <c r="AI4800">
        <v>94.634999647159106</v>
      </c>
      <c r="AJ4800">
        <v>74.208104110674697</v>
      </c>
      <c r="AK4800">
        <v>13.730555117738801</v>
      </c>
      <c r="AL4800">
        <v>81.134643178806002</v>
      </c>
      <c r="AM4800">
        <v>80.321847138988502</v>
      </c>
      <c r="AN4800">
        <v>0.99999999714890997</v>
      </c>
    </row>
    <row r="4801" spans="1:40" x14ac:dyDescent="0.25">
      <c r="A4801" t="str">
        <f>"20190312172213417"</f>
        <v>20190312172213417</v>
      </c>
      <c r="B4801" t="str">
        <f>"1552382533405640"</f>
        <v>1552382533405640</v>
      </c>
      <c r="C4801" t="s">
        <v>40</v>
      </c>
      <c r="D4801">
        <v>3.4473340000000001</v>
      </c>
      <c r="E4801">
        <v>0.54935929999999999</v>
      </c>
      <c r="F4801" t="s">
        <v>42</v>
      </c>
      <c r="G4801">
        <v>-193.2706</v>
      </c>
      <c r="H4801" s="1">
        <v>-2.9631839999999998E-6</v>
      </c>
      <c r="I4801">
        <v>164.01920000000001</v>
      </c>
      <c r="J4801">
        <v>-189.69149999999999</v>
      </c>
      <c r="K4801">
        <v>1.1093599999999999</v>
      </c>
      <c r="L4801">
        <v>177.43350000000001</v>
      </c>
      <c r="M4801">
        <v>3.7100080000000001E-2</v>
      </c>
      <c r="N4801">
        <v>0</v>
      </c>
      <c r="O4801">
        <v>-0.99921850000000001</v>
      </c>
      <c r="P4801">
        <v>-0.14383199999999999</v>
      </c>
      <c r="Q4801">
        <v>0.1391965</v>
      </c>
      <c r="R4801">
        <v>-0.97976390000000002</v>
      </c>
      <c r="S4801">
        <v>-0.78678890000000001</v>
      </c>
      <c r="T4801">
        <v>-0.2442365</v>
      </c>
      <c r="U4801">
        <v>-2.9885250000000001</v>
      </c>
      <c r="V4801">
        <v>0.18052489999999999</v>
      </c>
      <c r="W4801">
        <v>0.15196379999999901</v>
      </c>
      <c r="X4801">
        <v>0.97176019999999996</v>
      </c>
      <c r="Y4801">
        <v>0.28951559999999998</v>
      </c>
      <c r="Z4801">
        <v>7.8298899999999894E-2</v>
      </c>
      <c r="AA4801">
        <v>0.95396539999999996</v>
      </c>
      <c r="AB4801">
        <v>22</v>
      </c>
      <c r="AC4801">
        <v>-3.5791000000000102</v>
      </c>
      <c r="AD4801">
        <v>-1.1093629631839901</v>
      </c>
      <c r="AE4801">
        <v>-13.4142999999999</v>
      </c>
      <c r="AF4801">
        <v>4.0485046425909301</v>
      </c>
      <c r="AG4801">
        <v>-1.1093629631839901</v>
      </c>
      <c r="AH4801">
        <v>13.188063275124399</v>
      </c>
      <c r="AI4801">
        <v>94.597543086831905</v>
      </c>
      <c r="AJ4801">
        <v>72.934430074190999</v>
      </c>
      <c r="AK4801">
        <v>13.840017665228901</v>
      </c>
      <c r="AL4801">
        <v>81.259251710068796</v>
      </c>
      <c r="AM4801">
        <v>79.476072521303706</v>
      </c>
      <c r="AN4801">
        <v>1.0000000611672399</v>
      </c>
    </row>
    <row r="4802" spans="1:40" x14ac:dyDescent="0.25">
      <c r="A4802" t="str">
        <f>"20190312172213432"</f>
        <v>20190312172213432</v>
      </c>
      <c r="B4802" t="str">
        <f>"1552382533425159"</f>
        <v>1552382533425159</v>
      </c>
      <c r="C4802" t="s">
        <v>40</v>
      </c>
      <c r="D4802">
        <v>3.4383780000000002</v>
      </c>
      <c r="E4802">
        <v>0.55045840000000001</v>
      </c>
      <c r="F4802" t="s">
        <v>42</v>
      </c>
      <c r="G4802">
        <v>-193.43539999999999</v>
      </c>
      <c r="H4802" s="1">
        <v>-3.109344E-6</v>
      </c>
      <c r="I4802">
        <v>164.23570000000001</v>
      </c>
      <c r="J4802">
        <v>-189.6874</v>
      </c>
      <c r="K4802">
        <v>1.1092139999999999</v>
      </c>
      <c r="L4802">
        <v>177.28290000000001</v>
      </c>
      <c r="M4802">
        <v>3.5749799999999998E-2</v>
      </c>
      <c r="N4802">
        <v>0</v>
      </c>
      <c r="O4802">
        <v>-0.99926749999999998</v>
      </c>
      <c r="P4802">
        <v>-0.15213660000000001</v>
      </c>
      <c r="Q4802">
        <v>0.1381155</v>
      </c>
      <c r="R4802">
        <v>-0.97866180000000003</v>
      </c>
      <c r="S4802">
        <v>-0.84353639999999996</v>
      </c>
      <c r="T4802">
        <v>-0.24995210000000001</v>
      </c>
      <c r="U4802">
        <v>-2.973633</v>
      </c>
      <c r="V4802">
        <v>0.1875153</v>
      </c>
      <c r="W4802">
        <v>0.1507878</v>
      </c>
      <c r="X4802">
        <v>0.97061889999999995</v>
      </c>
      <c r="Y4802">
        <v>0.3062455</v>
      </c>
      <c r="Z4802">
        <v>8.0098100000000005E-2</v>
      </c>
      <c r="AA4802">
        <v>0.9485768</v>
      </c>
      <c r="AB4802">
        <v>22</v>
      </c>
      <c r="AC4802">
        <v>-3.74799999999999</v>
      </c>
      <c r="AD4802">
        <v>-1.109217109344</v>
      </c>
      <c r="AE4802">
        <v>-13.0472</v>
      </c>
      <c r="AF4802">
        <v>4.1841456931799899</v>
      </c>
      <c r="AG4802">
        <v>-1.109217109344</v>
      </c>
      <c r="AH4802">
        <v>12.819265119148801</v>
      </c>
      <c r="AI4802">
        <v>94.702373082788597</v>
      </c>
      <c r="AJ4802">
        <v>71.923569589164501</v>
      </c>
      <c r="AK4802">
        <v>13.5303730906595</v>
      </c>
      <c r="AL4802">
        <v>81.327416518965606</v>
      </c>
      <c r="AM4802">
        <v>79.065649652603</v>
      </c>
      <c r="AN4802">
        <v>0.99999999870006995</v>
      </c>
    </row>
    <row r="4803" spans="1:40" x14ac:dyDescent="0.25">
      <c r="A4803" t="str">
        <f>"20190312172213444"</f>
        <v>20190312172213444</v>
      </c>
      <c r="B4803" t="str">
        <f>"1552382533434920"</f>
        <v>1552382533434920</v>
      </c>
      <c r="C4803" t="s">
        <v>40</v>
      </c>
      <c r="D4803">
        <v>3.460607</v>
      </c>
      <c r="E4803">
        <v>0.55047080000000004</v>
      </c>
      <c r="F4803" t="s">
        <v>42</v>
      </c>
      <c r="G4803">
        <v>-193.5804</v>
      </c>
      <c r="H4803" s="1">
        <v>-3.0932459999999999E-6</v>
      </c>
      <c r="I4803">
        <v>164.12</v>
      </c>
      <c r="J4803">
        <v>-189.68430000000001</v>
      </c>
      <c r="K4803">
        <v>1.1091040000000001</v>
      </c>
      <c r="L4803">
        <v>177.1626</v>
      </c>
      <c r="M4803">
        <v>3.4585699999999997E-2</v>
      </c>
      <c r="N4803">
        <v>0</v>
      </c>
      <c r="O4803">
        <v>-0.99930839999999999</v>
      </c>
      <c r="P4803">
        <v>-0.16070419999999999</v>
      </c>
      <c r="Q4803">
        <v>0.1363926</v>
      </c>
      <c r="R4803">
        <v>-0.9775334</v>
      </c>
      <c r="S4803">
        <v>-0.87672419999999995</v>
      </c>
      <c r="T4803">
        <v>-0.24980150000000001</v>
      </c>
      <c r="U4803">
        <v>-2.9643549999999999</v>
      </c>
      <c r="V4803">
        <v>0.1949369</v>
      </c>
      <c r="W4803">
        <v>0.148978799999999</v>
      </c>
      <c r="X4803">
        <v>0.9694353</v>
      </c>
      <c r="Y4803">
        <v>0.31569700000000001</v>
      </c>
      <c r="Z4803">
        <v>8.004559E-2</v>
      </c>
      <c r="AA4803">
        <v>0.94547769999999998</v>
      </c>
      <c r="AB4803">
        <v>22</v>
      </c>
      <c r="AC4803">
        <v>-3.8960999999999899</v>
      </c>
      <c r="AD4803">
        <v>-1.1091070932459901</v>
      </c>
      <c r="AE4803">
        <v>-13.042599999999901</v>
      </c>
      <c r="AF4803">
        <v>4.3162430161416303</v>
      </c>
      <c r="AG4803">
        <v>-1.1091070932459901</v>
      </c>
      <c r="AH4803">
        <v>12.814956261726</v>
      </c>
      <c r="AI4803">
        <v>94.6889320993929</v>
      </c>
      <c r="AJ4803">
        <v>71.385809086192495</v>
      </c>
      <c r="AK4803">
        <v>13.5677255392578</v>
      </c>
      <c r="AL4803">
        <v>81.432248305072605</v>
      </c>
      <c r="AM4803">
        <v>78.630418550777506</v>
      </c>
      <c r="AN4803">
        <v>0.99999993935856801</v>
      </c>
    </row>
    <row r="4804" spans="1:40" x14ac:dyDescent="0.25">
      <c r="A4804" t="str">
        <f>"20190312172213463"</f>
        <v>20190312172213463</v>
      </c>
      <c r="B4804" t="str">
        <f>"1552382533455416"</f>
        <v>1552382533455416</v>
      </c>
      <c r="C4804" t="s">
        <v>40</v>
      </c>
      <c r="D4804">
        <v>3.434971</v>
      </c>
      <c r="E4804">
        <v>0.54985010000000001</v>
      </c>
      <c r="F4804" t="s">
        <v>42</v>
      </c>
      <c r="G4804">
        <v>-193.63249999999999</v>
      </c>
      <c r="H4804" s="1">
        <v>-3.1546389999999999E-6</v>
      </c>
      <c r="I4804">
        <v>164.22049999999999</v>
      </c>
      <c r="J4804">
        <v>-189.68029999999999</v>
      </c>
      <c r="K4804">
        <v>1.108951</v>
      </c>
      <c r="L4804">
        <v>176.9847</v>
      </c>
      <c r="M4804">
        <v>3.2704799999999999E-2</v>
      </c>
      <c r="N4804">
        <v>0</v>
      </c>
      <c r="O4804">
        <v>-0.99937169999999997</v>
      </c>
      <c r="P4804">
        <v>-0.17746990000000001</v>
      </c>
      <c r="Q4804">
        <v>0.13255699999999901</v>
      </c>
      <c r="R4804">
        <v>-0.97515830000000003</v>
      </c>
      <c r="S4804">
        <v>-0.9017944</v>
      </c>
      <c r="T4804">
        <v>-0.2533281</v>
      </c>
      <c r="U4804">
        <v>-2.9560550000000001</v>
      </c>
      <c r="V4804">
        <v>0.2098218</v>
      </c>
      <c r="W4804">
        <v>0.14499100000000001</v>
      </c>
      <c r="X4804">
        <v>0.96692940000000005</v>
      </c>
      <c r="Y4804">
        <v>0.32195230000000002</v>
      </c>
      <c r="Z4804">
        <v>8.12084E-2</v>
      </c>
      <c r="AA4804">
        <v>0.94326659999999996</v>
      </c>
      <c r="AB4804">
        <v>22</v>
      </c>
      <c r="AC4804">
        <v>-3.9521999999999999</v>
      </c>
      <c r="AD4804">
        <v>-1.108954154639</v>
      </c>
      <c r="AE4804">
        <v>-12.764200000000001</v>
      </c>
      <c r="AF4804">
        <v>4.3376977815209496</v>
      </c>
      <c r="AG4804">
        <v>-1.108954154639</v>
      </c>
      <c r="AH4804">
        <v>12.5417178181184</v>
      </c>
      <c r="AI4804">
        <v>94.776788238400101</v>
      </c>
      <c r="AJ4804">
        <v>70.92146544501</v>
      </c>
      <c r="AK4804">
        <v>13.316909821359101</v>
      </c>
      <c r="AL4804">
        <v>81.663242158749696</v>
      </c>
      <c r="AM4804">
        <v>77.756742740072397</v>
      </c>
      <c r="AN4804">
        <v>1.00000002121029</v>
      </c>
    </row>
    <row r="4805" spans="1:40" x14ac:dyDescent="0.25">
      <c r="A4805" t="str">
        <f>"20190312172213474"</f>
        <v>20190312172213474</v>
      </c>
      <c r="B4805" t="str">
        <f>"1552382533465178"</f>
        <v>1552382533465178</v>
      </c>
      <c r="C4805" t="s">
        <v>40</v>
      </c>
      <c r="D4805">
        <v>3.4438140000000002</v>
      </c>
      <c r="E4805">
        <v>0.54945949999999999</v>
      </c>
      <c r="F4805" t="s">
        <v>42</v>
      </c>
      <c r="G4805">
        <v>-193.66800000000001</v>
      </c>
      <c r="H4805" s="1">
        <v>-3.3385439999999998E-6</v>
      </c>
      <c r="I4805">
        <v>164.58959999999999</v>
      </c>
      <c r="J4805">
        <v>-189.67789999999999</v>
      </c>
      <c r="K4805">
        <v>1.108865</v>
      </c>
      <c r="L4805">
        <v>176.8664</v>
      </c>
      <c r="M4805">
        <v>3.1352310000000001E-2</v>
      </c>
      <c r="N4805">
        <v>0</v>
      </c>
      <c r="O4805">
        <v>-0.99941519999999995</v>
      </c>
      <c r="P4805">
        <v>-0.1862384</v>
      </c>
      <c r="Q4805">
        <v>0.13073409999999999</v>
      </c>
      <c r="R4805">
        <v>-0.97376830000000003</v>
      </c>
      <c r="S4805">
        <v>-0.94586179999999997</v>
      </c>
      <c r="T4805">
        <v>-0.26303949999999998</v>
      </c>
      <c r="U4805">
        <v>-2.9400629999999999</v>
      </c>
      <c r="V4805">
        <v>0.21725120000000001</v>
      </c>
      <c r="W4805">
        <v>0.14308270000000001</v>
      </c>
      <c r="X4805">
        <v>0.96557199999999999</v>
      </c>
      <c r="Y4805">
        <v>0.33485870000000001</v>
      </c>
      <c r="Z4805">
        <v>8.4359870000000003E-2</v>
      </c>
      <c r="AA4805">
        <v>0.9384844</v>
      </c>
      <c r="AB4805">
        <v>22</v>
      </c>
      <c r="AC4805">
        <v>-3.9901000000000102</v>
      </c>
      <c r="AD4805">
        <v>-1.1088683385439999</v>
      </c>
      <c r="AE4805">
        <v>-12.2768</v>
      </c>
      <c r="AF4805">
        <v>4.3410487579463997</v>
      </c>
      <c r="AG4805">
        <v>-1.1088683385439999</v>
      </c>
      <c r="AH4805">
        <v>12.0566905432915</v>
      </c>
      <c r="AI4805">
        <v>94.945660680612704</v>
      </c>
      <c r="AJ4805">
        <v>70.198430544597002</v>
      </c>
      <c r="AK4805">
        <v>12.862273522507101</v>
      </c>
      <c r="AL4805">
        <v>81.773731810259093</v>
      </c>
      <c r="AM4805">
        <v>77.3197577068117</v>
      </c>
      <c r="AN4805">
        <v>1.00000001506236</v>
      </c>
    </row>
    <row r="4806" spans="1:40" x14ac:dyDescent="0.25">
      <c r="A4806" t="str">
        <f>"20190312172213487"</f>
        <v>20190312172213487</v>
      </c>
      <c r="B4806" t="str">
        <f>"1552382533474936"</f>
        <v>1552382533474936</v>
      </c>
      <c r="C4806" t="s">
        <v>40</v>
      </c>
      <c r="D4806">
        <v>3.430625</v>
      </c>
      <c r="E4806">
        <v>0.54894670000000001</v>
      </c>
      <c r="F4806" t="s">
        <v>42</v>
      </c>
      <c r="G4806">
        <v>-193.69810000000001</v>
      </c>
      <c r="H4806" s="1">
        <v>-3.4000399999999999E-6</v>
      </c>
      <c r="I4806">
        <v>164.70269999999999</v>
      </c>
      <c r="J4806">
        <v>-189.67570000000001</v>
      </c>
      <c r="K4806">
        <v>1.1087899999999999</v>
      </c>
      <c r="L4806">
        <v>176.75040000000001</v>
      </c>
      <c r="M4806">
        <v>2.996861E-2</v>
      </c>
      <c r="N4806">
        <v>0</v>
      </c>
      <c r="O4806">
        <v>-0.9994575</v>
      </c>
      <c r="P4806">
        <v>-0.19467329999999999</v>
      </c>
      <c r="Q4806">
        <v>0.12919059999999999</v>
      </c>
      <c r="R4806">
        <v>-0.97232350000000001</v>
      </c>
      <c r="S4806">
        <v>-0.96887210000000001</v>
      </c>
      <c r="T4806">
        <v>-0.26723390000000002</v>
      </c>
      <c r="U4806">
        <v>-2.9314119999999999</v>
      </c>
      <c r="V4806">
        <v>0.22431590000000001</v>
      </c>
      <c r="W4806">
        <v>0.1414581</v>
      </c>
      <c r="X4806">
        <v>0.96419500000000002</v>
      </c>
      <c r="Y4806">
        <v>0.34097440000000001</v>
      </c>
      <c r="Z4806">
        <v>8.5740800000000006E-2</v>
      </c>
      <c r="AA4806">
        <v>0.93615440000000005</v>
      </c>
      <c r="AB4806">
        <v>22</v>
      </c>
      <c r="AC4806">
        <v>-4.0224000000000002</v>
      </c>
      <c r="AD4806">
        <v>-1.1087934000399999</v>
      </c>
      <c r="AE4806">
        <v>-12.047700000000001</v>
      </c>
      <c r="AF4806">
        <v>4.3485405558672996</v>
      </c>
      <c r="AG4806">
        <v>-1.1087934000399999</v>
      </c>
      <c r="AH4806">
        <v>11.831565862557399</v>
      </c>
      <c r="AI4806">
        <v>95.026906022436094</v>
      </c>
      <c r="AJ4806">
        <v>69.819742293312004</v>
      </c>
      <c r="AK4806">
        <v>12.6540577891057</v>
      </c>
      <c r="AL4806">
        <v>81.867771065613297</v>
      </c>
      <c r="AM4806">
        <v>76.903343118935297</v>
      </c>
      <c r="AN4806">
        <v>1.0000000075367099</v>
      </c>
    </row>
    <row r="4807" spans="1:40" x14ac:dyDescent="0.25">
      <c r="A4807" t="str">
        <f>"20190312172213499"</f>
        <v>20190312172213499</v>
      </c>
      <c r="B4807" t="str">
        <f>"1552382533495432"</f>
        <v>1552382533495432</v>
      </c>
      <c r="C4807" t="s">
        <v>40</v>
      </c>
      <c r="D4807">
        <v>3.411403</v>
      </c>
      <c r="E4807">
        <v>0.54747800000000002</v>
      </c>
      <c r="F4807" t="s">
        <v>42</v>
      </c>
      <c r="G4807">
        <v>-193.7287</v>
      </c>
      <c r="H4807" s="1">
        <v>-3.4443460000000002E-6</v>
      </c>
      <c r="I4807">
        <v>164.77930000000001</v>
      </c>
      <c r="J4807">
        <v>-189.6737</v>
      </c>
      <c r="K4807">
        <v>1.1087209999999901</v>
      </c>
      <c r="L4807">
        <v>176.6336</v>
      </c>
      <c r="M4807">
        <v>2.8537280000000002E-2</v>
      </c>
      <c r="N4807">
        <v>0</v>
      </c>
      <c r="O4807">
        <v>-0.99949940000000004</v>
      </c>
      <c r="P4807">
        <v>-0.20293340000000001</v>
      </c>
      <c r="Q4807">
        <v>0.1275789</v>
      </c>
      <c r="R4807">
        <v>-0.9708464</v>
      </c>
      <c r="S4807">
        <v>-0.98968509999999998</v>
      </c>
      <c r="T4807">
        <v>-0.27075470000000001</v>
      </c>
      <c r="U4807">
        <v>-2.9232179999999999</v>
      </c>
      <c r="V4807">
        <v>0.23116030000000001</v>
      </c>
      <c r="W4807">
        <v>0.139768</v>
      </c>
      <c r="X4807">
        <v>0.96282389999999995</v>
      </c>
      <c r="Y4807">
        <v>0.34636470000000003</v>
      </c>
      <c r="Z4807">
        <v>8.6912719999999999E-2</v>
      </c>
      <c r="AA4807">
        <v>0.93406509999999998</v>
      </c>
      <c r="AB4807">
        <v>22</v>
      </c>
      <c r="AC4807">
        <v>-4.0549999999999997</v>
      </c>
      <c r="AD4807">
        <v>-1.10872444434599</v>
      </c>
      <c r="AE4807">
        <v>-11.854299999999901</v>
      </c>
      <c r="AF4807">
        <v>4.3575437195010496</v>
      </c>
      <c r="AG4807">
        <v>-1.10872444434599</v>
      </c>
      <c r="AH4807">
        <v>11.6425645108335</v>
      </c>
      <c r="AI4807">
        <v>95.096613930576297</v>
      </c>
      <c r="AJ4807">
        <v>69.480282803382494</v>
      </c>
      <c r="AK4807">
        <v>12.480655653841801</v>
      </c>
      <c r="AL4807">
        <v>81.9655785296288</v>
      </c>
      <c r="AM4807">
        <v>76.499621174953802</v>
      </c>
      <c r="AN4807">
        <v>1.0000000202656401</v>
      </c>
    </row>
    <row r="4808" spans="1:40" x14ac:dyDescent="0.25">
      <c r="A4808" t="str">
        <f>"20190312172213512"</f>
        <v>20190312172213512</v>
      </c>
      <c r="B4808" t="str">
        <f>"1552382533505192"</f>
        <v>1552382533505192</v>
      </c>
      <c r="C4808" t="s">
        <v>40</v>
      </c>
      <c r="D4808">
        <v>3.4059539999999999</v>
      </c>
      <c r="E4808">
        <v>0.54673760000000005</v>
      </c>
      <c r="F4808" t="s">
        <v>42</v>
      </c>
      <c r="G4808">
        <v>-193.73599999999999</v>
      </c>
      <c r="H4808" s="1">
        <v>-3.4636039999999999E-6</v>
      </c>
      <c r="I4808">
        <v>164.8159</v>
      </c>
      <c r="J4808">
        <v>-189.67189999999999</v>
      </c>
      <c r="K4808">
        <v>1.1086659999999999</v>
      </c>
      <c r="L4808">
        <v>176.50649999999999</v>
      </c>
      <c r="M4808">
        <v>2.689838E-2</v>
      </c>
      <c r="N4808">
        <v>0</v>
      </c>
      <c r="O4808">
        <v>-0.99954469999999995</v>
      </c>
      <c r="P4808">
        <v>-0.21098349999999999</v>
      </c>
      <c r="Q4808">
        <v>0.1264257</v>
      </c>
      <c r="R4808">
        <v>-0.96927949999999996</v>
      </c>
      <c r="S4808">
        <v>-1.0025329999999999</v>
      </c>
      <c r="T4808">
        <v>-0.27362249999999999</v>
      </c>
      <c r="U4808">
        <v>-2.9165040000000002</v>
      </c>
      <c r="V4808">
        <v>0.2375951</v>
      </c>
      <c r="W4808">
        <v>0.13854129999999901</v>
      </c>
      <c r="X4808">
        <v>0.96143380000000001</v>
      </c>
      <c r="Y4808">
        <v>0.34913519999999998</v>
      </c>
      <c r="Z4808">
        <v>8.7914779999999998E-2</v>
      </c>
      <c r="AA4808">
        <v>0.93293919999999997</v>
      </c>
      <c r="AB4808">
        <v>22</v>
      </c>
      <c r="AC4808">
        <v>-4.0640999999999901</v>
      </c>
      <c r="AD4808">
        <v>-1.108669463604</v>
      </c>
      <c r="AE4808">
        <v>-11.6905999999999</v>
      </c>
      <c r="AF4808">
        <v>4.3422750989815198</v>
      </c>
      <c r="AG4808">
        <v>-1.108669463604</v>
      </c>
      <c r="AH4808">
        <v>11.4848884292958</v>
      </c>
      <c r="AI4808">
        <v>95.159509031293197</v>
      </c>
      <c r="AJ4808">
        <v>69.289098446370602</v>
      </c>
      <c r="AK4808">
        <v>12.3283073959135</v>
      </c>
      <c r="AL4808">
        <v>82.036553946827297</v>
      </c>
      <c r="AM4808">
        <v>76.118853371137604</v>
      </c>
      <c r="AN4808">
        <v>1.00000003756606</v>
      </c>
    </row>
    <row r="4809" spans="1:40" x14ac:dyDescent="0.25">
      <c r="A4809" t="str">
        <f>"20190312172213523"</f>
        <v>20190312172213523</v>
      </c>
      <c r="B4809" t="str">
        <f>"1552382533514952"</f>
        <v>1552382533514952</v>
      </c>
      <c r="C4809" t="s">
        <v>40</v>
      </c>
      <c r="D4809">
        <v>3.3816510000000002</v>
      </c>
      <c r="E4809">
        <v>0.54673760000000005</v>
      </c>
      <c r="F4809" t="s">
        <v>42</v>
      </c>
      <c r="G4809">
        <v>-193.7722</v>
      </c>
      <c r="H4809" s="1">
        <v>-3.4735740000000002E-6</v>
      </c>
      <c r="I4809">
        <v>164.81659999999999</v>
      </c>
      <c r="J4809">
        <v>-189.6705</v>
      </c>
      <c r="K4809">
        <v>1.1086210000000001</v>
      </c>
      <c r="L4809">
        <v>176.39439999999999</v>
      </c>
      <c r="M4809">
        <v>2.5428280000000001E-2</v>
      </c>
      <c r="N4809">
        <v>0</v>
      </c>
      <c r="O4809">
        <v>-0.99958320000000001</v>
      </c>
      <c r="P4809">
        <v>-0.21840770000000001</v>
      </c>
      <c r="Q4809">
        <v>0.1254276</v>
      </c>
      <c r="R4809">
        <v>-0.9677635</v>
      </c>
      <c r="S4809">
        <v>-1.02034</v>
      </c>
      <c r="T4809">
        <v>-0.27588649999999998</v>
      </c>
      <c r="U4809">
        <v>-2.9089659999999999</v>
      </c>
      <c r="V4809">
        <v>0.24356990000000001</v>
      </c>
      <c r="W4809">
        <v>0.13747719999999999</v>
      </c>
      <c r="X4809">
        <v>0.96009049999999996</v>
      </c>
      <c r="Y4809">
        <v>0.35356880000000002</v>
      </c>
      <c r="Z4809">
        <v>8.8694449999999994E-2</v>
      </c>
      <c r="AA4809">
        <v>0.93119410000000002</v>
      </c>
      <c r="AB4809">
        <v>22</v>
      </c>
      <c r="AC4809">
        <v>-4.1016999999999904</v>
      </c>
      <c r="AD4809">
        <v>-1.1086244735739901</v>
      </c>
      <c r="AE4809">
        <v>-11.5777999999999</v>
      </c>
      <c r="AF4809">
        <v>4.35929180721436</v>
      </c>
      <c r="AG4809">
        <v>-1.1086244735739901</v>
      </c>
      <c r="AH4809">
        <v>11.377064135750199</v>
      </c>
      <c r="AI4809">
        <v>95.199191417685</v>
      </c>
      <c r="AJ4809">
        <v>69.034920438316803</v>
      </c>
      <c r="AK4809">
        <v>12.233971621383899</v>
      </c>
      <c r="AL4809">
        <v>82.0981113136381</v>
      </c>
      <c r="AM4809">
        <v>75.764690461971099</v>
      </c>
      <c r="AN4809">
        <v>1.0000000224480401</v>
      </c>
    </row>
    <row r="4810" spans="1:40" x14ac:dyDescent="0.25">
      <c r="A4810" t="str">
        <f>"20190312172213541"</f>
        <v>20190312172213541</v>
      </c>
      <c r="B4810" t="str">
        <f>"1552382533535448"</f>
        <v>1552382533535448</v>
      </c>
      <c r="C4810" t="s">
        <v>40</v>
      </c>
      <c r="D4810">
        <v>3.3878680000000001</v>
      </c>
      <c r="E4810">
        <v>0.52803750000000005</v>
      </c>
      <c r="F4810" t="s">
        <v>42</v>
      </c>
      <c r="G4810">
        <v>-193.8098</v>
      </c>
      <c r="H4810" s="1">
        <v>-3.5108540000000001E-6</v>
      </c>
      <c r="I4810">
        <v>164.87430000000001</v>
      </c>
      <c r="J4810">
        <v>-189.6688</v>
      </c>
      <c r="K4810">
        <v>1.1085640000000001</v>
      </c>
      <c r="L4810">
        <v>176.23060000000001</v>
      </c>
      <c r="M4810">
        <v>2.3218079999999999E-2</v>
      </c>
      <c r="N4810">
        <v>0</v>
      </c>
      <c r="O4810">
        <v>-0.99963709999999995</v>
      </c>
      <c r="P4810">
        <v>-0.23167370000000001</v>
      </c>
      <c r="Q4810">
        <v>0.1230358</v>
      </c>
      <c r="R4810">
        <v>-0.96498189999999995</v>
      </c>
      <c r="S4810">
        <v>-1.0423279999999999</v>
      </c>
      <c r="T4810">
        <v>-0.2791631</v>
      </c>
      <c r="U4810">
        <v>-2.9008790000000002</v>
      </c>
      <c r="V4810">
        <v>0.25464399999999998</v>
      </c>
      <c r="W4810">
        <v>0.13497500000000001</v>
      </c>
      <c r="X4810">
        <v>0.95756889999999995</v>
      </c>
      <c r="Y4810">
        <v>0.35854049999999998</v>
      </c>
      <c r="Z4810">
        <v>8.9782520000000005E-2</v>
      </c>
      <c r="AA4810">
        <v>0.92918659999999997</v>
      </c>
      <c r="AB4810">
        <v>22</v>
      </c>
      <c r="AC4810">
        <v>-4.1409999999999902</v>
      </c>
      <c r="AD4810">
        <v>-1.1085675108539901</v>
      </c>
      <c r="AE4810">
        <v>-11.356299999999999</v>
      </c>
      <c r="AF4810">
        <v>4.3668511171811</v>
      </c>
      <c r="AG4810">
        <v>-1.1085675108539901</v>
      </c>
      <c r="AH4810">
        <v>11.1631923061362</v>
      </c>
      <c r="AI4810">
        <v>95.283766171230695</v>
      </c>
      <c r="AJ4810">
        <v>68.635407194588595</v>
      </c>
      <c r="AK4810">
        <v>12.0380718169283</v>
      </c>
      <c r="AL4810">
        <v>82.242825798189202</v>
      </c>
      <c r="AM4810">
        <v>75.1081241461806</v>
      </c>
      <c r="AN4810">
        <v>1.0000000078041</v>
      </c>
    </row>
    <row r="4811" spans="1:40" x14ac:dyDescent="0.25">
      <c r="A4811" t="str">
        <f>"20190312172213553"</f>
        <v>20190312172213553</v>
      </c>
      <c r="B4811" t="str">
        <f>"1552382533545208"</f>
        <v>1552382533545208</v>
      </c>
      <c r="C4811" t="s">
        <v>40</v>
      </c>
      <c r="D4811">
        <v>3.4176299999999999</v>
      </c>
      <c r="E4811">
        <v>0.52681440000000002</v>
      </c>
      <c r="F4811" t="s">
        <v>42</v>
      </c>
      <c r="G4811">
        <v>-193.45519999999999</v>
      </c>
      <c r="H4811" s="1">
        <v>-3.1938199999999999E-6</v>
      </c>
      <c r="I4811">
        <v>164.4032</v>
      </c>
      <c r="J4811">
        <v>-189.6678</v>
      </c>
      <c r="K4811">
        <v>1.108535</v>
      </c>
      <c r="L4811">
        <v>176.09209999999999</v>
      </c>
      <c r="M4811">
        <v>2.1298839999999999E-2</v>
      </c>
      <c r="N4811">
        <v>0</v>
      </c>
      <c r="O4811">
        <v>-0.99967969999999895</v>
      </c>
      <c r="P4811">
        <v>-0.23864640000000001</v>
      </c>
      <c r="Q4811">
        <v>0.1218177</v>
      </c>
      <c r="R4811">
        <v>-0.96343610000000002</v>
      </c>
      <c r="S4811">
        <v>-0.93461609999999995</v>
      </c>
      <c r="T4811">
        <v>-0.27363229999999999</v>
      </c>
      <c r="U4811">
        <v>-2.919403</v>
      </c>
      <c r="V4811">
        <v>0.25974209999999998</v>
      </c>
      <c r="W4811">
        <v>0.1337034</v>
      </c>
      <c r="X4811">
        <v>0.95637729999999999</v>
      </c>
      <c r="Y4811">
        <v>0.3239127</v>
      </c>
      <c r="Z4811">
        <v>8.8576470000000004E-2</v>
      </c>
      <c r="AA4811">
        <v>0.94193139999999997</v>
      </c>
      <c r="AB4811">
        <v>22</v>
      </c>
      <c r="AC4811">
        <v>-3.7873999999999901</v>
      </c>
      <c r="AD4811">
        <v>-1.1085381938200001</v>
      </c>
      <c r="AE4811">
        <v>-11.688899999999901</v>
      </c>
      <c r="AF4811">
        <v>4.0029420711398602</v>
      </c>
      <c r="AG4811">
        <v>-1.1085381938200001</v>
      </c>
      <c r="AH4811">
        <v>11.5118724500164</v>
      </c>
      <c r="AI4811">
        <v>95.196948498089199</v>
      </c>
      <c r="AJ4811">
        <v>70.826264474759498</v>
      </c>
      <c r="AK4811">
        <v>12.2382845798546</v>
      </c>
      <c r="AL4811">
        <v>82.316349896372799</v>
      </c>
      <c r="AM4811">
        <v>74.805571500803694</v>
      </c>
      <c r="AN4811">
        <v>1.0000000488196199</v>
      </c>
    </row>
    <row r="4812" spans="1:40" x14ac:dyDescent="0.25">
      <c r="A4812" t="str">
        <f>"20190312172213566"</f>
        <v>20190312172213566</v>
      </c>
      <c r="B4812" t="str">
        <f>"1552382533554969"</f>
        <v>1552382533554969</v>
      </c>
      <c r="C4812" t="s">
        <v>40</v>
      </c>
      <c r="D4812">
        <v>3.3864179999999999</v>
      </c>
      <c r="E4812">
        <v>0.52571440000000003</v>
      </c>
      <c r="F4812" t="s">
        <v>42</v>
      </c>
      <c r="G4812">
        <v>-193.44220000000001</v>
      </c>
      <c r="H4812" s="1">
        <v>-3.214856E-6</v>
      </c>
      <c r="I4812">
        <v>164.45500000000001</v>
      </c>
      <c r="J4812">
        <v>-189.6671</v>
      </c>
      <c r="K4812">
        <v>1.108514</v>
      </c>
      <c r="L4812">
        <v>175.9819</v>
      </c>
      <c r="M4812">
        <v>1.9758109999999999E-2</v>
      </c>
      <c r="N4812">
        <v>0</v>
      </c>
      <c r="O4812">
        <v>-0.99971129999999997</v>
      </c>
      <c r="P4812">
        <v>-0.2451768</v>
      </c>
      <c r="Q4812">
        <v>0.1206705</v>
      </c>
      <c r="R4812">
        <v>-0.96193930000000005</v>
      </c>
      <c r="S4812">
        <v>-0.94540409999999997</v>
      </c>
      <c r="T4812">
        <v>-0.27766049999999998</v>
      </c>
      <c r="U4812">
        <v>-2.9147949999999998</v>
      </c>
      <c r="V4812">
        <v>0.26476359999999999</v>
      </c>
      <c r="W4812">
        <v>0.13250819999999999</v>
      </c>
      <c r="X4812">
        <v>0.95516590000000001</v>
      </c>
      <c r="Y4812">
        <v>0.3260073</v>
      </c>
      <c r="Z4812">
        <v>8.9925210000000005E-2</v>
      </c>
      <c r="AA4812">
        <v>0.94108060000000004</v>
      </c>
      <c r="AB4812">
        <v>22</v>
      </c>
      <c r="AC4812">
        <v>-3.7751000000000001</v>
      </c>
      <c r="AD4812">
        <v>-1.1085172148559901</v>
      </c>
      <c r="AE4812">
        <v>-11.5268999999999</v>
      </c>
      <c r="AF4812">
        <v>3.96898347101871</v>
      </c>
      <c r="AG4812">
        <v>-1.1085172148559901</v>
      </c>
      <c r="AH4812">
        <v>11.3552104407832</v>
      </c>
      <c r="AI4812">
        <v>95.265206978795106</v>
      </c>
      <c r="AJ4812">
        <v>70.733962053707202</v>
      </c>
      <c r="AK4812">
        <v>12.079836272206901</v>
      </c>
      <c r="AL4812">
        <v>82.385444575152107</v>
      </c>
      <c r="AM4812">
        <v>74.507093669249898</v>
      </c>
      <c r="AN4812">
        <v>1.0000000417374999</v>
      </c>
    </row>
    <row r="4813" spans="1:40" x14ac:dyDescent="0.25">
      <c r="A4813" t="str">
        <f>"20190312172213577"</f>
        <v>20190312172213577</v>
      </c>
      <c r="B4813" t="str">
        <f>"1552382533575465"</f>
        <v>1552382533575465</v>
      </c>
      <c r="C4813" t="s">
        <v>40</v>
      </c>
      <c r="D4813">
        <v>3.3710059999999999</v>
      </c>
      <c r="E4813">
        <v>0.52358930000000004</v>
      </c>
      <c r="F4813" t="s">
        <v>42</v>
      </c>
      <c r="G4813">
        <v>-193.42</v>
      </c>
      <c r="H4813" s="1">
        <v>-3.2563059999999998E-6</v>
      </c>
      <c r="I4813">
        <v>164.55520000000001</v>
      </c>
      <c r="J4813">
        <v>-189.66659999999999</v>
      </c>
      <c r="K4813">
        <v>1.1085</v>
      </c>
      <c r="L4813">
        <v>175.86750000000001</v>
      </c>
      <c r="M4813">
        <v>1.8146820000000001E-2</v>
      </c>
      <c r="N4813">
        <v>0</v>
      </c>
      <c r="O4813">
        <v>-0.99974169999999996</v>
      </c>
      <c r="P4813">
        <v>-0.25163669999999999</v>
      </c>
      <c r="Q4813">
        <v>0.11970790000000001</v>
      </c>
      <c r="R4813">
        <v>-0.96038999999999997</v>
      </c>
      <c r="S4813">
        <v>-0.95587160000000004</v>
      </c>
      <c r="T4813">
        <v>-0.28234740000000003</v>
      </c>
      <c r="U4813">
        <v>-2.9104610000000002</v>
      </c>
      <c r="V4813">
        <v>0.26965</v>
      </c>
      <c r="W4813">
        <v>0.13150049999999999</v>
      </c>
      <c r="X4813">
        <v>0.95393740000000005</v>
      </c>
      <c r="Y4813">
        <v>0.32790900000000001</v>
      </c>
      <c r="Z4813">
        <v>9.1482160000000007E-2</v>
      </c>
      <c r="AA4813">
        <v>0.94026949999999998</v>
      </c>
      <c r="AB4813">
        <v>22</v>
      </c>
      <c r="AC4813">
        <v>-3.7533999999999899</v>
      </c>
      <c r="AD4813">
        <v>-1.108503256306</v>
      </c>
      <c r="AE4813">
        <v>-11.312299999999899</v>
      </c>
      <c r="AF4813">
        <v>3.9241396766072598</v>
      </c>
      <c r="AG4813">
        <v>-1.108503256306</v>
      </c>
      <c r="AH4813">
        <v>11.145906627770801</v>
      </c>
      <c r="AI4813">
        <v>95.359211990643104</v>
      </c>
      <c r="AJ4813">
        <v>70.604361510114202</v>
      </c>
      <c r="AK4813">
        <v>11.8683986378007</v>
      </c>
      <c r="AL4813">
        <v>82.443691178770194</v>
      </c>
      <c r="AM4813">
        <v>74.215965396122897</v>
      </c>
      <c r="AN4813">
        <v>1.0000000335595001</v>
      </c>
    </row>
    <row r="4814" spans="1:40" x14ac:dyDescent="0.25">
      <c r="A4814" t="str">
        <f>"20190312172213592"</f>
        <v>20190312172213592</v>
      </c>
      <c r="B4814" t="str">
        <f>"1552382533585225"</f>
        <v>1552382533585225</v>
      </c>
      <c r="C4814" t="s">
        <v>40</v>
      </c>
      <c r="D4814">
        <v>3.3920970000000001</v>
      </c>
      <c r="E4814">
        <v>0.52259899999999904</v>
      </c>
      <c r="F4814" t="s">
        <v>42</v>
      </c>
      <c r="G4814">
        <v>-193.45519999999999</v>
      </c>
      <c r="H4814" s="1">
        <v>-3.176385E-6</v>
      </c>
      <c r="I4814">
        <v>164.3663</v>
      </c>
      <c r="J4814">
        <v>-189.66640000000001</v>
      </c>
      <c r="K4814">
        <v>1.1084940000000001</v>
      </c>
      <c r="L4814">
        <v>175.7372</v>
      </c>
      <c r="M4814">
        <v>1.629715E-2</v>
      </c>
      <c r="N4814">
        <v>0</v>
      </c>
      <c r="O4814">
        <v>-0.99977360000000004</v>
      </c>
      <c r="P4814">
        <v>-0.25819130000000001</v>
      </c>
      <c r="Q4814">
        <v>0.1186672</v>
      </c>
      <c r="R4814">
        <v>-0.95877829999999997</v>
      </c>
      <c r="S4814">
        <v>-0.95780940000000003</v>
      </c>
      <c r="T4814">
        <v>-0.28024729999999998</v>
      </c>
      <c r="U4814">
        <v>-2.9076840000000002</v>
      </c>
      <c r="V4814">
        <v>0.27440439999999999</v>
      </c>
      <c r="W4814">
        <v>0.1304208</v>
      </c>
      <c r="X4814">
        <v>0.95272900000000005</v>
      </c>
      <c r="Y4814">
        <v>0.32701049999999998</v>
      </c>
      <c r="Z4814">
        <v>9.0899309999999997E-2</v>
      </c>
      <c r="AA4814">
        <v>0.9406388</v>
      </c>
      <c r="AB4814">
        <v>22</v>
      </c>
      <c r="AC4814">
        <v>-3.7887999999999802</v>
      </c>
      <c r="AD4814">
        <v>-1.108497176385</v>
      </c>
      <c r="AE4814">
        <v>-11.370900000000001</v>
      </c>
      <c r="AF4814">
        <v>3.9399262011306799</v>
      </c>
      <c r="AG4814">
        <v>-1.108497176385</v>
      </c>
      <c r="AH4814">
        <v>11.2117348187447</v>
      </c>
      <c r="AI4814">
        <v>95.328991617859202</v>
      </c>
      <c r="AJ4814">
        <v>70.637967183806396</v>
      </c>
      <c r="AK4814">
        <v>11.935442266889901</v>
      </c>
      <c r="AL4814">
        <v>82.506090243513697</v>
      </c>
      <c r="AM4814">
        <v>73.932575006465001</v>
      </c>
      <c r="AN4814">
        <v>0.99999995362649896</v>
      </c>
    </row>
    <row r="4815" spans="1:40" x14ac:dyDescent="0.25">
      <c r="A4815" t="str">
        <f>"20190312172213607"</f>
        <v>20190312172213607</v>
      </c>
      <c r="B4815" t="str">
        <f>"1552382533594983"</f>
        <v>1552382533594983</v>
      </c>
      <c r="C4815" t="s">
        <v>40</v>
      </c>
      <c r="D4815">
        <v>3.3675280000000001</v>
      </c>
      <c r="E4815">
        <v>0.52259899999999904</v>
      </c>
      <c r="F4815" t="s">
        <v>42</v>
      </c>
      <c r="G4815">
        <v>-193.49629999999999</v>
      </c>
      <c r="H4815" s="1">
        <v>-3.1392660000000001E-6</v>
      </c>
      <c r="I4815">
        <v>164.2647</v>
      </c>
      <c r="J4815">
        <v>-189.66640000000001</v>
      </c>
      <c r="K4815">
        <v>1.1084889999999901</v>
      </c>
      <c r="L4815">
        <v>175.5839</v>
      </c>
      <c r="M4815">
        <v>1.411713E-2</v>
      </c>
      <c r="N4815">
        <v>0</v>
      </c>
      <c r="O4815">
        <v>-0.9998068</v>
      </c>
      <c r="P4815">
        <v>-0.2685323</v>
      </c>
      <c r="Q4815">
        <v>0.11705160000000001</v>
      </c>
      <c r="R4815">
        <v>-0.95613300000000001</v>
      </c>
      <c r="S4815">
        <v>-0.96903989999999995</v>
      </c>
      <c r="T4815">
        <v>-0.28047070000000002</v>
      </c>
      <c r="U4815">
        <v>-2.9027560000000001</v>
      </c>
      <c r="V4815">
        <v>0.28261599999999998</v>
      </c>
      <c r="W4815">
        <v>0.12873950000000001</v>
      </c>
      <c r="X4815">
        <v>0.95055480000000003</v>
      </c>
      <c r="Y4815">
        <v>0.32869920000000002</v>
      </c>
      <c r="Z4815">
        <v>9.1040220000000005E-2</v>
      </c>
      <c r="AA4815">
        <v>0.94003650000000005</v>
      </c>
      <c r="AB4815">
        <v>22</v>
      </c>
      <c r="AC4815">
        <v>-3.8298999999999799</v>
      </c>
      <c r="AD4815">
        <v>-1.1084921392660001</v>
      </c>
      <c r="AE4815">
        <v>-11.319199999999899</v>
      </c>
      <c r="AF4815">
        <v>3.95529183195899</v>
      </c>
      <c r="AG4815">
        <v>-1.1084921392660001</v>
      </c>
      <c r="AH4815">
        <v>11.1678977622381</v>
      </c>
      <c r="AI4815">
        <v>95.345168329575401</v>
      </c>
      <c r="AJ4815">
        <v>70.497575618195796</v>
      </c>
      <c r="AK4815">
        <v>11.899370938271399</v>
      </c>
      <c r="AL4815">
        <v>82.603241414920802</v>
      </c>
      <c r="AM4815">
        <v>73.441897042084605</v>
      </c>
      <c r="AN4815">
        <v>1.00000004505964</v>
      </c>
    </row>
    <row r="4816" spans="1:40" x14ac:dyDescent="0.25">
      <c r="A4816" t="str">
        <f>"20190312172213622"</f>
        <v>20190312172213622</v>
      </c>
      <c r="B4816" t="str">
        <f>"1552382533615481"</f>
        <v>1552382533615481</v>
      </c>
      <c r="C4816" t="s">
        <v>40</v>
      </c>
      <c r="D4816">
        <v>3.3819170000000001</v>
      </c>
      <c r="E4816">
        <v>0.51043530000000004</v>
      </c>
      <c r="F4816" t="s">
        <v>42</v>
      </c>
      <c r="G4816">
        <v>-193.53989999999999</v>
      </c>
      <c r="H4816" s="1">
        <v>-3.1993739999999999E-6</v>
      </c>
      <c r="I4816">
        <v>164.3673</v>
      </c>
      <c r="J4816">
        <v>-189.66669999999999</v>
      </c>
      <c r="K4816">
        <v>1.1084959999999999</v>
      </c>
      <c r="L4816">
        <v>175.44159999999999</v>
      </c>
      <c r="M4816">
        <v>1.208968E-2</v>
      </c>
      <c r="N4816">
        <v>0</v>
      </c>
      <c r="O4816">
        <v>-0.99983330000000004</v>
      </c>
      <c r="P4816">
        <v>-0.27428360000000002</v>
      </c>
      <c r="Q4816">
        <v>0.11652609999999999</v>
      </c>
      <c r="R4816">
        <v>-0.95456289999999999</v>
      </c>
      <c r="S4816">
        <v>-0.99874879999999999</v>
      </c>
      <c r="T4816">
        <v>-0.28581800000000002</v>
      </c>
      <c r="U4816">
        <v>-2.8921359999999998</v>
      </c>
      <c r="V4816">
        <v>0.28641060000000002</v>
      </c>
      <c r="W4816">
        <v>0.12818860000000001</v>
      </c>
      <c r="X4816">
        <v>0.94949289999999997</v>
      </c>
      <c r="Y4816">
        <v>0.33641169999999998</v>
      </c>
      <c r="Z4816">
        <v>9.2805879999999993E-2</v>
      </c>
      <c r="AA4816">
        <v>0.93713089999999999</v>
      </c>
      <c r="AB4816">
        <v>22</v>
      </c>
      <c r="AC4816">
        <v>-3.87319999999999</v>
      </c>
      <c r="AD4816">
        <v>-1.1084991993740001</v>
      </c>
      <c r="AE4816">
        <v>-11.0742999999999</v>
      </c>
      <c r="AF4816">
        <v>3.9713606079405599</v>
      </c>
      <c r="AG4816">
        <v>-1.1084991993740001</v>
      </c>
      <c r="AH4816">
        <v>10.9290930154742</v>
      </c>
      <c r="AI4816">
        <v>95.445431971572404</v>
      </c>
      <c r="AJ4816">
        <v>70.030114074171493</v>
      </c>
      <c r="AK4816">
        <v>11.680990955145999</v>
      </c>
      <c r="AL4816">
        <v>82.635069476308004</v>
      </c>
      <c r="AM4816">
        <v>73.214280611465597</v>
      </c>
      <c r="AN4816">
        <v>1.0000000580563599</v>
      </c>
    </row>
    <row r="4817" spans="1:40" x14ac:dyDescent="0.25">
      <c r="A4817" t="str">
        <f>"20190312172213634"</f>
        <v>20190312172213634</v>
      </c>
      <c r="B4817" t="str">
        <f>"1552382533625240"</f>
        <v>1552382533625240</v>
      </c>
      <c r="C4817" t="s">
        <v>40</v>
      </c>
      <c r="D4817">
        <v>3.3937740000000001</v>
      </c>
      <c r="E4817">
        <v>0.50968800000000003</v>
      </c>
      <c r="F4817" t="s">
        <v>42</v>
      </c>
      <c r="G4817">
        <v>-193.5514</v>
      </c>
      <c r="H4817" s="1">
        <v>-2.6383790000000001E-6</v>
      </c>
      <c r="I4817">
        <v>163.17410000000001</v>
      </c>
      <c r="J4817">
        <v>-189.66720000000001</v>
      </c>
      <c r="K4817">
        <v>1.1085119999999999</v>
      </c>
      <c r="L4817">
        <v>175.32040000000001</v>
      </c>
      <c r="M4817">
        <v>1.03649E-2</v>
      </c>
      <c r="N4817">
        <v>0</v>
      </c>
      <c r="O4817">
        <v>-0.99985270000000004</v>
      </c>
      <c r="P4817">
        <v>-0.27934940000000003</v>
      </c>
      <c r="Q4817">
        <v>0.1162482</v>
      </c>
      <c r="R4817">
        <v>-0.95312680000000005</v>
      </c>
      <c r="S4817">
        <v>-0.92152400000000001</v>
      </c>
      <c r="T4817">
        <v>-0.26295819999999998</v>
      </c>
      <c r="U4817">
        <v>-2.91011</v>
      </c>
      <c r="V4817">
        <v>0.28981440000000003</v>
      </c>
      <c r="W4817">
        <v>0.12789020000000001</v>
      </c>
      <c r="X4817">
        <v>0.94849969999999995</v>
      </c>
      <c r="Y4817">
        <v>0.31064340000000001</v>
      </c>
      <c r="Z4817">
        <v>8.5679859999999997E-2</v>
      </c>
      <c r="AA4817">
        <v>0.94665710000000003</v>
      </c>
      <c r="AB4817">
        <v>22</v>
      </c>
      <c r="AC4817">
        <v>-3.8841999999999901</v>
      </c>
      <c r="AD4817">
        <v>-1.1085146383789899</v>
      </c>
      <c r="AE4817">
        <v>-12.146299999999901</v>
      </c>
      <c r="AF4817">
        <v>3.9798254731967799</v>
      </c>
      <c r="AG4817">
        <v>-1.1085146383789899</v>
      </c>
      <c r="AH4817">
        <v>12.014598237285201</v>
      </c>
      <c r="AI4817">
        <v>95.005415373171004</v>
      </c>
      <c r="AJ4817">
        <v>71.672591625168593</v>
      </c>
      <c r="AK4817">
        <v>12.7050535734401</v>
      </c>
      <c r="AL4817">
        <v>82.652307890845407</v>
      </c>
      <c r="AM4817">
        <v>73.009450342015697</v>
      </c>
      <c r="AN4817">
        <v>0.99999998530174405</v>
      </c>
    </row>
    <row r="4818" spans="1:40" x14ac:dyDescent="0.25">
      <c r="A4818" t="str">
        <f>"20190312172213646"</f>
        <v>20190312172213646</v>
      </c>
      <c r="B4818" t="str">
        <f>"1552382533635000"</f>
        <v>1552382533635000</v>
      </c>
      <c r="C4818" t="s">
        <v>40</v>
      </c>
      <c r="D4818">
        <v>3.3931170000000002</v>
      </c>
      <c r="E4818">
        <v>0.50919150000000002</v>
      </c>
      <c r="F4818" t="s">
        <v>42</v>
      </c>
      <c r="G4818">
        <v>-193.64580000000001</v>
      </c>
      <c r="H4818" s="1">
        <v>-2.532157E-6</v>
      </c>
      <c r="I4818">
        <v>162.89619999999999</v>
      </c>
      <c r="J4818">
        <v>-189.6678</v>
      </c>
      <c r="K4818">
        <v>1.108525</v>
      </c>
      <c r="L4818">
        <v>175.21029999999999</v>
      </c>
      <c r="M4818">
        <v>8.8012049999999994E-3</v>
      </c>
      <c r="N4818">
        <v>0</v>
      </c>
      <c r="O4818">
        <v>-0.99986770000000003</v>
      </c>
      <c r="P4818">
        <v>-0.28390900000000002</v>
      </c>
      <c r="Q4818">
        <v>0.11633599999999999</v>
      </c>
      <c r="R4818">
        <v>-0.95176769999999999</v>
      </c>
      <c r="S4818">
        <v>-0.93070980000000003</v>
      </c>
      <c r="T4818">
        <v>-0.25931169999999998</v>
      </c>
      <c r="U4818">
        <v>-2.9063720000000002</v>
      </c>
      <c r="V4818">
        <v>0.29287160000000001</v>
      </c>
      <c r="W4818">
        <v>0.12796060000000001</v>
      </c>
      <c r="X4818">
        <v>0.94755069999999997</v>
      </c>
      <c r="Y4818">
        <v>0.31225340000000001</v>
      </c>
      <c r="Z4818">
        <v>8.4543359999999998E-2</v>
      </c>
      <c r="AA4818">
        <v>0.94622949999999995</v>
      </c>
      <c r="AB4818">
        <v>22</v>
      </c>
      <c r="AC4818">
        <v>-3.9780000000000002</v>
      </c>
      <c r="AD4818">
        <v>-1.1085275321570001</v>
      </c>
      <c r="AE4818">
        <v>-12.3140999999999</v>
      </c>
      <c r="AF4818">
        <v>4.0564685794823196</v>
      </c>
      <c r="AG4818">
        <v>-1.1085275321570001</v>
      </c>
      <c r="AH4818">
        <v>12.1891643756015</v>
      </c>
      <c r="AI4818">
        <v>94.931877957963195</v>
      </c>
      <c r="AJ4818">
        <v>71.592918632172598</v>
      </c>
      <c r="AK4818">
        <v>12.894165300681999</v>
      </c>
      <c r="AL4818">
        <v>82.648241028605696</v>
      </c>
      <c r="AM4818">
        <v>72.824521781597397</v>
      </c>
      <c r="AN4818">
        <v>1.0000000091547001</v>
      </c>
    </row>
    <row r="4819" spans="1:40" x14ac:dyDescent="0.25">
      <c r="A4819" t="str">
        <f>"20190312172213657"</f>
        <v>20190312172213657</v>
      </c>
      <c r="B4819" t="str">
        <f>"1552382533655497"</f>
        <v>1552382533655497</v>
      </c>
      <c r="C4819" t="s">
        <v>40</v>
      </c>
      <c r="D4819">
        <v>3.400182</v>
      </c>
      <c r="E4819">
        <v>0.5307016</v>
      </c>
      <c r="F4819" t="s">
        <v>42</v>
      </c>
      <c r="G4819">
        <v>-193.72929999999999</v>
      </c>
      <c r="H4819" s="1">
        <v>-2.4509289999999999E-6</v>
      </c>
      <c r="I4819">
        <v>162.67740000000001</v>
      </c>
      <c r="J4819">
        <v>-189.6687</v>
      </c>
      <c r="K4819">
        <v>1.108541</v>
      </c>
      <c r="L4819">
        <v>175.09139999999999</v>
      </c>
      <c r="M4819">
        <v>7.1152239999999999E-3</v>
      </c>
      <c r="N4819">
        <v>0</v>
      </c>
      <c r="O4819">
        <v>-0.99988129999999997</v>
      </c>
      <c r="P4819">
        <v>-0.28817890000000002</v>
      </c>
      <c r="Q4819">
        <v>0.1163082</v>
      </c>
      <c r="R4819">
        <v>-0.95048730000000003</v>
      </c>
      <c r="S4819">
        <v>-0.94068909999999994</v>
      </c>
      <c r="T4819">
        <v>-0.25674930000000001</v>
      </c>
      <c r="U4819">
        <v>-2.9028019999999999</v>
      </c>
      <c r="V4819">
        <v>0.2955256</v>
      </c>
      <c r="W4819">
        <v>0.12792039999999999</v>
      </c>
      <c r="X4819">
        <v>0.94673169999999995</v>
      </c>
      <c r="Y4819">
        <v>0.31395719999999999</v>
      </c>
      <c r="Z4819">
        <v>8.3746329999999994E-2</v>
      </c>
      <c r="AA4819">
        <v>0.94573649999999998</v>
      </c>
      <c r="AB4819">
        <v>21</v>
      </c>
      <c r="AC4819">
        <v>-4.0605999999999902</v>
      </c>
      <c r="AD4819">
        <v>-1.108543450929</v>
      </c>
      <c r="AE4819">
        <v>-12.4139999999999</v>
      </c>
      <c r="AF4819">
        <v>4.11916190275742</v>
      </c>
      <c r="AG4819">
        <v>-1.108543450929</v>
      </c>
      <c r="AH4819">
        <v>12.296216478721901</v>
      </c>
      <c r="AI4819">
        <v>94.886003090958297</v>
      </c>
      <c r="AJ4819">
        <v>71.479446373005203</v>
      </c>
      <c r="AK4819">
        <v>13.0151182497631</v>
      </c>
      <c r="AL4819">
        <v>82.650563044180899</v>
      </c>
      <c r="AM4819">
        <v>72.664064611472696</v>
      </c>
      <c r="AN4819">
        <v>0.99999996038820405</v>
      </c>
    </row>
    <row r="4820" spans="1:40" x14ac:dyDescent="0.25">
      <c r="A4820" t="str">
        <f>"20190312172213674"</f>
        <v>20190312172213674</v>
      </c>
      <c r="B4820" t="str">
        <f>"1552382533665256"</f>
        <v>1552382533665256</v>
      </c>
      <c r="C4820" t="s">
        <v>40</v>
      </c>
      <c r="D4820">
        <v>3.3518690000000002</v>
      </c>
      <c r="E4820">
        <v>0.53604529999999995</v>
      </c>
      <c r="F4820" t="s">
        <v>42</v>
      </c>
      <c r="G4820">
        <v>-195.1147</v>
      </c>
      <c r="H4820" s="1">
        <v>-2.12974E-6</v>
      </c>
      <c r="I4820">
        <v>161.21809999999999</v>
      </c>
      <c r="J4820">
        <v>-189.67019999999999</v>
      </c>
      <c r="K4820">
        <v>1.108565</v>
      </c>
      <c r="L4820">
        <v>174.93780000000001</v>
      </c>
      <c r="M4820">
        <v>4.9474460000000003E-3</v>
      </c>
      <c r="N4820">
        <v>0</v>
      </c>
      <c r="O4820">
        <v>-0.99989430000000001</v>
      </c>
      <c r="P4820">
        <v>-0.29479369999999999</v>
      </c>
      <c r="Q4820">
        <v>0.116241899999999</v>
      </c>
      <c r="R4820">
        <v>-0.9484648</v>
      </c>
      <c r="S4820">
        <v>-1.116989</v>
      </c>
      <c r="T4820">
        <v>-0.22736580000000001</v>
      </c>
      <c r="U4820">
        <v>-2.845459</v>
      </c>
      <c r="V4820">
        <v>0.3000659</v>
      </c>
      <c r="W4820">
        <v>0.1278301</v>
      </c>
      <c r="X4820">
        <v>0.94531469999999995</v>
      </c>
      <c r="Y4820">
        <v>0.3690021</v>
      </c>
      <c r="Z4820">
        <v>7.4103150000000007E-2</v>
      </c>
      <c r="AA4820">
        <v>0.92646969999999995</v>
      </c>
      <c r="AB4820">
        <v>21</v>
      </c>
      <c r="AC4820">
        <v>-5.4444999999999997</v>
      </c>
      <c r="AD4820">
        <v>-1.1085671297399999</v>
      </c>
      <c r="AE4820">
        <v>-13.7197</v>
      </c>
      <c r="AF4820">
        <v>5.4813990940815804</v>
      </c>
      <c r="AG4820">
        <v>-1.1085671297399999</v>
      </c>
      <c r="AH4820">
        <v>13.6157926762593</v>
      </c>
      <c r="AI4820">
        <v>94.319188841374199</v>
      </c>
      <c r="AJ4820">
        <v>68.071439464118797</v>
      </c>
      <c r="AK4820">
        <v>14.7195267353476</v>
      </c>
      <c r="AL4820">
        <v>82.655779828454598</v>
      </c>
      <c r="AM4820">
        <v>72.389294517784506</v>
      </c>
      <c r="AN4820">
        <v>0.99999998042245397</v>
      </c>
    </row>
    <row r="4821" spans="1:40" x14ac:dyDescent="0.25">
      <c r="A4821" t="str">
        <f>"20190312172213686"</f>
        <v>20190312172213686</v>
      </c>
      <c r="B4821" t="str">
        <f>"1552382533675017"</f>
        <v>1552382533675017</v>
      </c>
      <c r="C4821" t="s">
        <v>40</v>
      </c>
      <c r="D4821">
        <v>3.408353</v>
      </c>
      <c r="E4821">
        <v>0.53865959999999902</v>
      </c>
      <c r="F4821" t="s">
        <v>42</v>
      </c>
      <c r="G4821">
        <v>-195.6387</v>
      </c>
      <c r="H4821" s="1">
        <v>-1.9828739999999998E-6</v>
      </c>
      <c r="I4821">
        <v>160.61250000000001</v>
      </c>
      <c r="J4821">
        <v>-189.67150000000001</v>
      </c>
      <c r="K4821">
        <v>1.108582</v>
      </c>
      <c r="L4821">
        <v>174.81729999999999</v>
      </c>
      <c r="M4821">
        <v>3.254126E-3</v>
      </c>
      <c r="N4821">
        <v>0</v>
      </c>
      <c r="O4821">
        <v>-0.99990120000000005</v>
      </c>
      <c r="P4821">
        <v>-0.29820960000000002</v>
      </c>
      <c r="Q4821">
        <v>0.1163066</v>
      </c>
      <c r="R4821">
        <v>-0.94738809999999996</v>
      </c>
      <c r="S4821">
        <v>-1.176636</v>
      </c>
      <c r="T4821">
        <v>-0.21854179999999901</v>
      </c>
      <c r="U4821">
        <v>-2.8240810000000001</v>
      </c>
      <c r="V4821">
        <v>0.30186879999999999</v>
      </c>
      <c r="W4821">
        <v>0.12789110000000001</v>
      </c>
      <c r="X4821">
        <v>0.94473229999999997</v>
      </c>
      <c r="Y4821">
        <v>0.38662289999999999</v>
      </c>
      <c r="Z4821">
        <v>7.1204340000000005E-2</v>
      </c>
      <c r="AA4821">
        <v>0.919485</v>
      </c>
      <c r="AB4821">
        <v>21</v>
      </c>
      <c r="AC4821">
        <v>-5.9671999999999903</v>
      </c>
      <c r="AD4821">
        <v>-1.1085839828740001</v>
      </c>
      <c r="AE4821">
        <v>-14.204799999999899</v>
      </c>
      <c r="AF4821">
        <v>5.9824253502858404</v>
      </c>
      <c r="AG4821">
        <v>-1.1085839828740001</v>
      </c>
      <c r="AH4821">
        <v>14.112244516999301</v>
      </c>
      <c r="AI4821">
        <v>94.136687642231905</v>
      </c>
      <c r="AJ4821">
        <v>67.027069331087105</v>
      </c>
      <c r="AK4821">
        <v>15.3679477102964</v>
      </c>
      <c r="AL4821">
        <v>82.652256096923793</v>
      </c>
      <c r="AM4821">
        <v>72.279842528109697</v>
      </c>
      <c r="AN4821">
        <v>1.00000001226796</v>
      </c>
    </row>
    <row r="4822" spans="1:40" x14ac:dyDescent="0.25">
      <c r="A4822" t="str">
        <f>"20190312172213698"</f>
        <v>20190312172213698</v>
      </c>
      <c r="B4822" t="str">
        <f>"1552382533695513"</f>
        <v>1552382533695513</v>
      </c>
      <c r="C4822" t="s">
        <v>40</v>
      </c>
      <c r="D4822">
        <v>3.3737129999999902</v>
      </c>
      <c r="E4822">
        <v>0.54115609999999903</v>
      </c>
      <c r="F4822" t="s">
        <v>42</v>
      </c>
      <c r="G4822">
        <v>-195.93029999999999</v>
      </c>
      <c r="H4822" s="1">
        <v>-1.875629E-6</v>
      </c>
      <c r="I4822">
        <v>160.22149999999999</v>
      </c>
      <c r="J4822">
        <v>-189.6729</v>
      </c>
      <c r="K4822">
        <v>1.1086</v>
      </c>
      <c r="L4822">
        <v>174.7064</v>
      </c>
      <c r="M4822">
        <v>1.6981989999999901E-3</v>
      </c>
      <c r="N4822">
        <v>0</v>
      </c>
      <c r="O4822">
        <v>-0.99990500000000004</v>
      </c>
      <c r="P4822">
        <v>-0.30112480000000003</v>
      </c>
      <c r="Q4822">
        <v>0.1162446</v>
      </c>
      <c r="R4822">
        <v>-0.94647309999999996</v>
      </c>
      <c r="S4822">
        <v>-1.206299</v>
      </c>
      <c r="T4822">
        <v>-0.2136644</v>
      </c>
      <c r="U4822">
        <v>-2.8131560000000002</v>
      </c>
      <c r="V4822">
        <v>0.30330400000000002</v>
      </c>
      <c r="W4822">
        <v>0.12782769999999999</v>
      </c>
      <c r="X4822">
        <v>0.94428109999999998</v>
      </c>
      <c r="Y4822">
        <v>0.3947058</v>
      </c>
      <c r="Z4822">
        <v>6.9610909999999998E-2</v>
      </c>
      <c r="AA4822">
        <v>0.91616679999999995</v>
      </c>
      <c r="AB4822">
        <v>21</v>
      </c>
      <c r="AC4822">
        <v>-6.2573999999999899</v>
      </c>
      <c r="AD4822">
        <v>-1.1086018756289999</v>
      </c>
      <c r="AE4822">
        <v>-14.4849</v>
      </c>
      <c r="AF4822">
        <v>6.2511335364171003</v>
      </c>
      <c r="AG4822">
        <v>-1.1086018756289999</v>
      </c>
      <c r="AH4822">
        <v>14.4031523423832</v>
      </c>
      <c r="AI4822">
        <v>94.038735865234599</v>
      </c>
      <c r="AJ4822">
        <v>66.538602747171694</v>
      </c>
      <c r="AK4822">
        <v>15.740281636828</v>
      </c>
      <c r="AL4822">
        <v>82.655918742620003</v>
      </c>
      <c r="AM4822">
        <v>72.192931617341202</v>
      </c>
      <c r="AN4822">
        <v>1.0000000165602401</v>
      </c>
    </row>
    <row r="4823" spans="1:40" x14ac:dyDescent="0.25">
      <c r="A4823" t="str">
        <f>"20190312172213710"</f>
        <v>20190312172213710</v>
      </c>
      <c r="B4823" t="str">
        <f>"1552382533705272"</f>
        <v>1552382533705272</v>
      </c>
      <c r="C4823" t="s">
        <v>40</v>
      </c>
      <c r="D4823">
        <v>3.3460079999999999</v>
      </c>
      <c r="E4823">
        <v>0.54161210000000004</v>
      </c>
      <c r="F4823" t="s">
        <v>42</v>
      </c>
      <c r="G4823">
        <v>-196.0967</v>
      </c>
      <c r="H4823" s="1">
        <v>-1.8678309999999999E-6</v>
      </c>
      <c r="I4823">
        <v>160.1113</v>
      </c>
      <c r="J4823">
        <v>-189.67449999999999</v>
      </c>
      <c r="K4823">
        <v>1.108611</v>
      </c>
      <c r="L4823">
        <v>174.5975</v>
      </c>
      <c r="M4823">
        <v>1.7756320000000001E-4</v>
      </c>
      <c r="N4823">
        <v>0</v>
      </c>
      <c r="O4823">
        <v>-0.99990650000000003</v>
      </c>
      <c r="P4823">
        <v>-0.3035255</v>
      </c>
      <c r="Q4823">
        <v>0.1163911</v>
      </c>
      <c r="R4823">
        <v>-0.94568830000000004</v>
      </c>
      <c r="S4823">
        <v>-1.2338260000000001</v>
      </c>
      <c r="T4823">
        <v>-0.21293000000000001</v>
      </c>
      <c r="U4823">
        <v>-2.8032840000000001</v>
      </c>
      <c r="V4823">
        <v>0.30426160000000002</v>
      </c>
      <c r="W4823">
        <v>0.12797529999999999</v>
      </c>
      <c r="X4823">
        <v>0.94395300000000004</v>
      </c>
      <c r="Y4823">
        <v>0.40203539999999999</v>
      </c>
      <c r="Z4823">
        <v>6.9351430000000006E-2</v>
      </c>
      <c r="AA4823">
        <v>0.91299390000000002</v>
      </c>
      <c r="AB4823">
        <v>21</v>
      </c>
      <c r="AC4823">
        <v>-6.4222000000000001</v>
      </c>
      <c r="AD4823">
        <v>-1.1086128678309899</v>
      </c>
      <c r="AE4823">
        <v>-14.486199999999901</v>
      </c>
      <c r="AF4823">
        <v>6.3934784625510099</v>
      </c>
      <c r="AG4823">
        <v>-1.1086128678309899</v>
      </c>
      <c r="AH4823">
        <v>14.414505240253799</v>
      </c>
      <c r="AI4823">
        <v>94.021521190864703</v>
      </c>
      <c r="AJ4823">
        <v>66.080570085237497</v>
      </c>
      <c r="AK4823">
        <v>15.8077054205576</v>
      </c>
      <c r="AL4823">
        <v>82.647391970599301</v>
      </c>
      <c r="AM4823">
        <v>72.134464075951698</v>
      </c>
      <c r="AN4823">
        <v>1.0000000324268199</v>
      </c>
    </row>
    <row r="4824" spans="1:40" x14ac:dyDescent="0.25">
      <c r="A4824" t="str">
        <f>"20190312172213721"</f>
        <v>20190312172213721</v>
      </c>
      <c r="B4824" t="str">
        <f>"1552382533715033"</f>
        <v>1552382533715033</v>
      </c>
      <c r="C4824" t="s">
        <v>40</v>
      </c>
      <c r="D4824">
        <v>3.3611810000000002</v>
      </c>
      <c r="E4824">
        <v>0.541794199999999</v>
      </c>
      <c r="F4824" t="s">
        <v>42</v>
      </c>
      <c r="G4824">
        <v>-196.1816</v>
      </c>
      <c r="H4824" s="1">
        <v>-1.821038E-6</v>
      </c>
      <c r="I4824">
        <v>159.96449999999999</v>
      </c>
      <c r="J4824">
        <v>-189.67609999999999</v>
      </c>
      <c r="K4824">
        <v>1.1086240000000001</v>
      </c>
      <c r="L4824">
        <v>174.48580000000001</v>
      </c>
      <c r="M4824">
        <v>-1.379382E-3</v>
      </c>
      <c r="N4824">
        <v>0</v>
      </c>
      <c r="O4824">
        <v>-0.99990559999999995</v>
      </c>
      <c r="P4824">
        <v>-0.30505690000000002</v>
      </c>
      <c r="Q4824">
        <v>0.1165108</v>
      </c>
      <c r="R4824">
        <v>-0.94518049999999998</v>
      </c>
      <c r="S4824">
        <v>-1.2446440000000001</v>
      </c>
      <c r="T4824">
        <v>-0.2120494</v>
      </c>
      <c r="U4824">
        <v>-2.7989039999999998</v>
      </c>
      <c r="V4824">
        <v>0.3043169</v>
      </c>
      <c r="W4824">
        <v>0.12810389999999999</v>
      </c>
      <c r="X4824">
        <v>0.94391769999999997</v>
      </c>
      <c r="Y4824">
        <v>0.40409430000000002</v>
      </c>
      <c r="Z4824">
        <v>6.9080279999999994E-2</v>
      </c>
      <c r="AA4824">
        <v>0.9121051</v>
      </c>
      <c r="AB4824">
        <v>21</v>
      </c>
      <c r="AC4824">
        <v>-6.5055000000000103</v>
      </c>
      <c r="AD4824">
        <v>-1.108625821038</v>
      </c>
      <c r="AE4824">
        <v>-14.5213</v>
      </c>
      <c r="AF4824">
        <v>6.4541314183431497</v>
      </c>
      <c r="AG4824">
        <v>-1.108625821038</v>
      </c>
      <c r="AH4824">
        <v>14.460067511854</v>
      </c>
      <c r="AI4824">
        <v>94.004788979137999</v>
      </c>
      <c r="AJ4824">
        <v>65.946799914534495</v>
      </c>
      <c r="AK4824">
        <v>15.873828020477401</v>
      </c>
      <c r="AL4824">
        <v>82.639962376754994</v>
      </c>
      <c r="AM4824">
        <v>72.130797713527997</v>
      </c>
      <c r="AN4824">
        <v>1.0000000045970501</v>
      </c>
    </row>
    <row r="4825" spans="1:40" x14ac:dyDescent="0.25">
      <c r="A4825" t="str">
        <f>"20190312172213732"</f>
        <v>20190312172213732</v>
      </c>
      <c r="B4825" t="str">
        <f>"1552382533725768"</f>
        <v>1552382533725768</v>
      </c>
      <c r="C4825" t="s">
        <v>40</v>
      </c>
      <c r="D4825">
        <v>3.3718650000000001</v>
      </c>
      <c r="E4825">
        <v>0.54167390000000004</v>
      </c>
      <c r="F4825" t="s">
        <v>42</v>
      </c>
      <c r="G4825">
        <v>-196.21619999999999</v>
      </c>
      <c r="H4825" s="1">
        <v>-1.78183E-6</v>
      </c>
      <c r="I4825">
        <v>159.8621</v>
      </c>
      <c r="J4825">
        <v>-189.6781</v>
      </c>
      <c r="K4825">
        <v>1.108633</v>
      </c>
      <c r="L4825">
        <v>174.37190000000001</v>
      </c>
      <c r="M4825">
        <v>-2.9611260000000001E-3</v>
      </c>
      <c r="N4825">
        <v>0</v>
      </c>
      <c r="O4825">
        <v>-0.99990210000000002</v>
      </c>
      <c r="P4825">
        <v>-0.30631910000000001</v>
      </c>
      <c r="Q4825">
        <v>0.1164417</v>
      </c>
      <c r="R4825">
        <v>-0.94478059999999997</v>
      </c>
      <c r="S4825">
        <v>-1.250656</v>
      </c>
      <c r="T4825">
        <v>-0.21200169999999999</v>
      </c>
      <c r="U4825">
        <v>-2.796478</v>
      </c>
      <c r="V4825">
        <v>0.30407980000000001</v>
      </c>
      <c r="W4825">
        <v>0.1280453</v>
      </c>
      <c r="X4825">
        <v>0.94400200000000001</v>
      </c>
      <c r="Y4825">
        <v>0.40457710000000002</v>
      </c>
      <c r="Z4825">
        <v>6.908251E-2</v>
      </c>
      <c r="AA4825">
        <v>0.91189089999999995</v>
      </c>
      <c r="AB4825">
        <v>21</v>
      </c>
      <c r="AC4825">
        <v>-6.5380999999999796</v>
      </c>
      <c r="AD4825">
        <v>-1.10863478183</v>
      </c>
      <c r="AE4825">
        <v>-14.5098</v>
      </c>
      <c r="AF4825">
        <v>6.4637360543454703</v>
      </c>
      <c r="AG4825">
        <v>-1.10863478183</v>
      </c>
      <c r="AH4825">
        <v>14.4589349263674</v>
      </c>
      <c r="AI4825">
        <v>94.004094574347704</v>
      </c>
      <c r="AJ4825">
        <v>65.913401032247805</v>
      </c>
      <c r="AK4825">
        <v>15.876704760895899</v>
      </c>
      <c r="AL4825">
        <v>82.643347384600105</v>
      </c>
      <c r="AM4825">
        <v>72.145328892674897</v>
      </c>
      <c r="AN4825">
        <v>0.99999994981206297</v>
      </c>
    </row>
    <row r="4826" spans="1:40" x14ac:dyDescent="0.25">
      <c r="A4826" t="str">
        <f>"20190312172213744"</f>
        <v>20190312172213744</v>
      </c>
      <c r="B4826" t="str">
        <f>"1552382533735528"</f>
        <v>1552382533735528</v>
      </c>
      <c r="C4826" t="s">
        <v>40</v>
      </c>
      <c r="D4826">
        <v>3.3576410000000001</v>
      </c>
      <c r="E4826">
        <v>0.54157060000000001</v>
      </c>
      <c r="F4826" t="s">
        <v>42</v>
      </c>
      <c r="G4826">
        <v>-196.2253</v>
      </c>
      <c r="H4826" s="1">
        <v>-1.744094E-6</v>
      </c>
      <c r="I4826">
        <v>159.77709999999999</v>
      </c>
      <c r="J4826">
        <v>-189.68020000000001</v>
      </c>
      <c r="K4826">
        <v>1.108643</v>
      </c>
      <c r="L4826">
        <v>174.26259999999999</v>
      </c>
      <c r="M4826">
        <v>-4.479032E-3</v>
      </c>
      <c r="N4826">
        <v>0</v>
      </c>
      <c r="O4826">
        <v>-0.99989649999999997</v>
      </c>
      <c r="P4826">
        <v>-0.30750519999999998</v>
      </c>
      <c r="Q4826">
        <v>0.11654440000000001</v>
      </c>
      <c r="R4826">
        <v>-0.94438259999999996</v>
      </c>
      <c r="S4826">
        <v>-1.2538149999999999</v>
      </c>
      <c r="T4826">
        <v>-0.21230940000000001</v>
      </c>
      <c r="U4826">
        <v>-2.7949830000000002</v>
      </c>
      <c r="V4826">
        <v>0.30382859999999901</v>
      </c>
      <c r="W4826">
        <v>0.1281573</v>
      </c>
      <c r="X4826">
        <v>0.94406769999999995</v>
      </c>
      <c r="Y4826">
        <v>0.40422609999999998</v>
      </c>
      <c r="Z4826">
        <v>6.920569E-2</v>
      </c>
      <c r="AA4826">
        <v>0.91203719999999999</v>
      </c>
      <c r="AB4826">
        <v>21</v>
      </c>
      <c r="AC4826">
        <v>-6.5450999999999899</v>
      </c>
      <c r="AD4826">
        <v>-1.1086447440939999</v>
      </c>
      <c r="AE4826">
        <v>-14.4855</v>
      </c>
      <c r="AF4826">
        <v>6.4487774424320001</v>
      </c>
      <c r="AG4826">
        <v>-1.1086447440939999</v>
      </c>
      <c r="AH4826">
        <v>14.4444088977567</v>
      </c>
      <c r="AI4826">
        <v>94.009016094929095</v>
      </c>
      <c r="AJ4826">
        <v>65.941391696974804</v>
      </c>
      <c r="AK4826">
        <v>15.8573885642062</v>
      </c>
      <c r="AL4826">
        <v>82.636877074511602</v>
      </c>
      <c r="AM4826">
        <v>72.160306063608402</v>
      </c>
      <c r="AN4826">
        <v>0.999999966952269</v>
      </c>
    </row>
    <row r="4827" spans="1:40" x14ac:dyDescent="0.25">
      <c r="A4827" t="str">
        <f>"20190312172213756"</f>
        <v>20190312172213756</v>
      </c>
      <c r="B4827" t="str">
        <f>"1552382533745289"</f>
        <v>1552382533745289</v>
      </c>
      <c r="C4827" t="s">
        <v>40</v>
      </c>
      <c r="D4827">
        <v>3.4028360000000002</v>
      </c>
      <c r="E4827">
        <v>0.54140089999999996</v>
      </c>
      <c r="F4827" t="s">
        <v>42</v>
      </c>
      <c r="G4827">
        <v>-196.24789999999999</v>
      </c>
      <c r="H4827" s="1">
        <v>-1.693894E-6</v>
      </c>
      <c r="I4827">
        <v>159.65819999999999</v>
      </c>
      <c r="J4827">
        <v>-189.6824</v>
      </c>
      <c r="K4827">
        <v>1.1086530000000001</v>
      </c>
      <c r="L4827">
        <v>174.1499</v>
      </c>
      <c r="M4827">
        <v>-6.0407859999999898E-3</v>
      </c>
      <c r="N4827">
        <v>0</v>
      </c>
      <c r="O4827">
        <v>-0.99988840000000001</v>
      </c>
      <c r="P4827">
        <v>-0.30818289999999998</v>
      </c>
      <c r="Q4827">
        <v>0.1163445</v>
      </c>
      <c r="R4827">
        <v>-0.94418639999999998</v>
      </c>
      <c r="S4827">
        <v>-1.256378</v>
      </c>
      <c r="T4827">
        <v>-0.21207819999999999</v>
      </c>
      <c r="U4827">
        <v>-2.7937470000000002</v>
      </c>
      <c r="V4827">
        <v>0.30302590000000001</v>
      </c>
      <c r="W4827">
        <v>0.12797149999999999</v>
      </c>
      <c r="X4827">
        <v>0.94435089999999999</v>
      </c>
      <c r="Y4827">
        <v>0.40364660000000002</v>
      </c>
      <c r="Z4827">
        <v>6.9154519999999997E-2</v>
      </c>
      <c r="AA4827">
        <v>0.91229769999999999</v>
      </c>
      <c r="AB4827">
        <v>21</v>
      </c>
      <c r="AC4827">
        <v>-6.5654999999999797</v>
      </c>
      <c r="AD4827">
        <v>-1.1086546938940001</v>
      </c>
      <c r="AE4827">
        <v>-14.4917</v>
      </c>
      <c r="AF4827">
        <v>6.4465267253532597</v>
      </c>
      <c r="AG4827">
        <v>-1.1086546938940001</v>
      </c>
      <c r="AH4827">
        <v>14.4608786801822</v>
      </c>
      <c r="AI4827">
        <v>94.005487242242594</v>
      </c>
      <c r="AJ4827">
        <v>65.973126772881699</v>
      </c>
      <c r="AK4827">
        <v>15.8714786410698</v>
      </c>
      <c r="AL4827">
        <v>82.647611345687807</v>
      </c>
      <c r="AM4827">
        <v>72.209461132987897</v>
      </c>
      <c r="AN4827">
        <v>1.0000000116069301</v>
      </c>
    </row>
    <row r="4828" spans="1:40" x14ac:dyDescent="0.25">
      <c r="A4828" t="str">
        <f>"20190312172213767"</f>
        <v>20190312172213767</v>
      </c>
      <c r="B4828" t="str">
        <f>"1552382533755048"</f>
        <v>1552382533755048</v>
      </c>
      <c r="C4828" t="s">
        <v>40</v>
      </c>
      <c r="D4828">
        <v>3.3665959999999999</v>
      </c>
      <c r="E4828">
        <v>0.54119519999999899</v>
      </c>
      <c r="F4828" t="s">
        <v>62</v>
      </c>
      <c r="G4828">
        <v>-196.23570000000001</v>
      </c>
      <c r="H4828" s="1">
        <v>-1.4970680000000001E-5</v>
      </c>
      <c r="I4828">
        <v>159.58930000000001</v>
      </c>
      <c r="J4828">
        <v>-189.6848</v>
      </c>
      <c r="K4828">
        <v>1.1086590000000001</v>
      </c>
      <c r="L4828">
        <v>174.04159999999999</v>
      </c>
      <c r="M4828">
        <v>-7.5419269999999899E-3</v>
      </c>
      <c r="N4828">
        <v>0</v>
      </c>
      <c r="O4828">
        <v>-0.99987800000000004</v>
      </c>
      <c r="P4828">
        <v>-0.30865679999999901</v>
      </c>
      <c r="Q4828">
        <v>0.11634419999999999</v>
      </c>
      <c r="R4828">
        <v>-0.94403150000000002</v>
      </c>
      <c r="S4828">
        <v>-1.257126</v>
      </c>
      <c r="T4828">
        <v>-0.21268000000000001</v>
      </c>
      <c r="U4828">
        <v>-2.793228</v>
      </c>
      <c r="V4828">
        <v>0.30207790000000001</v>
      </c>
      <c r="W4828">
        <v>0.1279843</v>
      </c>
      <c r="X4828">
        <v>0.94465290000000002</v>
      </c>
      <c r="Y4828">
        <v>0.4025338</v>
      </c>
      <c r="Z4828">
        <v>6.9374500000000006E-2</v>
      </c>
      <c r="AA4828">
        <v>0.91277249999999999</v>
      </c>
      <c r="AB4828">
        <v>21</v>
      </c>
      <c r="AC4828">
        <v>-6.5509000000000102</v>
      </c>
      <c r="AD4828">
        <v>-1.10867397068</v>
      </c>
      <c r="AE4828">
        <v>-14.4522999999999</v>
      </c>
      <c r="AF4828">
        <v>6.4104108572209997</v>
      </c>
      <c r="AG4828">
        <v>-1.10867397068</v>
      </c>
      <c r="AH4828">
        <v>14.430851252720799</v>
      </c>
      <c r="AI4828">
        <v>94.016205491055899</v>
      </c>
      <c r="AJ4828">
        <v>66.048455664468605</v>
      </c>
      <c r="AK4828">
        <v>15.829465979931101</v>
      </c>
      <c r="AL4828">
        <v>82.646872311558795</v>
      </c>
      <c r="AM4828">
        <v>72.266939636431502</v>
      </c>
      <c r="AN4828">
        <v>1.00000007009665</v>
      </c>
    </row>
    <row r="4829" spans="1:40" x14ac:dyDescent="0.25">
      <c r="A4829" t="str">
        <f>"20190312172213781"</f>
        <v>20190312172213781</v>
      </c>
      <c r="B4829" t="str">
        <f>"1552382533775545"</f>
        <v>1552382533775545</v>
      </c>
      <c r="C4829" t="s">
        <v>40</v>
      </c>
      <c r="D4829">
        <v>3.3854500000000001</v>
      </c>
      <c r="E4829">
        <v>0.54079350000000004</v>
      </c>
      <c r="F4829" t="s">
        <v>62</v>
      </c>
      <c r="G4829">
        <v>-196.214</v>
      </c>
      <c r="H4829" s="1">
        <v>-1.49558E-5</v>
      </c>
      <c r="I4829">
        <v>159.5301</v>
      </c>
      <c r="J4829">
        <v>-189.68770000000001</v>
      </c>
      <c r="K4829">
        <v>1.1086640000000001</v>
      </c>
      <c r="L4829">
        <v>173.91849999999999</v>
      </c>
      <c r="M4829">
        <v>-9.2490330000000003E-3</v>
      </c>
      <c r="N4829">
        <v>0</v>
      </c>
      <c r="O4829">
        <v>-0.99986390000000003</v>
      </c>
      <c r="P4829">
        <v>-0.30926599999999999</v>
      </c>
      <c r="Q4829">
        <v>0.1166107</v>
      </c>
      <c r="R4829">
        <v>-0.94379919999999995</v>
      </c>
      <c r="S4829">
        <v>-1.2567600000000001</v>
      </c>
      <c r="T4829">
        <v>-0.21340319999999999</v>
      </c>
      <c r="U4829">
        <v>-2.7932589999999999</v>
      </c>
      <c r="V4829">
        <v>0.3010717</v>
      </c>
      <c r="W4829">
        <v>0.1282633</v>
      </c>
      <c r="X4829">
        <v>0.9449362</v>
      </c>
      <c r="Y4829">
        <v>0.40086040000000001</v>
      </c>
      <c r="Z4829">
        <v>6.9635390000000005E-2</v>
      </c>
      <c r="AA4829">
        <v>0.91348879999999999</v>
      </c>
      <c r="AB4829">
        <v>21</v>
      </c>
      <c r="AC4829">
        <v>-6.5263000000000098</v>
      </c>
      <c r="AD4829">
        <v>-1.1086789558000001</v>
      </c>
      <c r="AE4829">
        <v>-14.388399999999899</v>
      </c>
      <c r="AF4829">
        <v>6.3616038597152604</v>
      </c>
      <c r="AG4829">
        <v>-1.1086789558000001</v>
      </c>
      <c r="AH4829">
        <v>14.377355251095199</v>
      </c>
      <c r="AI4829">
        <v>94.033711969673305</v>
      </c>
      <c r="AJ4829">
        <v>66.131862466985993</v>
      </c>
      <c r="AK4829">
        <v>15.760949105659</v>
      </c>
      <c r="AL4829">
        <v>82.630753665954899</v>
      </c>
      <c r="AM4829">
        <v>72.327293893812197</v>
      </c>
      <c r="AN4829">
        <v>1.0000000323691001</v>
      </c>
    </row>
    <row r="4830" spans="1:40" x14ac:dyDescent="0.25">
      <c r="A4830" t="str">
        <f>"20190312172213792"</f>
        <v>20190312172213792</v>
      </c>
      <c r="B4830" t="str">
        <f>"1552382533785304"</f>
        <v>1552382533785304</v>
      </c>
      <c r="C4830" t="s">
        <v>40</v>
      </c>
      <c r="D4830">
        <v>3.3717510000000002</v>
      </c>
      <c r="E4830">
        <v>0.54057119999999903</v>
      </c>
      <c r="F4830" t="s">
        <v>62</v>
      </c>
      <c r="G4830">
        <v>-196.22229999999999</v>
      </c>
      <c r="H4830" s="1">
        <v>-1.4918320000000001E-5</v>
      </c>
      <c r="I4830">
        <v>159.3811</v>
      </c>
      <c r="J4830">
        <v>-189.69059999999999</v>
      </c>
      <c r="K4830">
        <v>1.1086689999999999</v>
      </c>
      <c r="L4830">
        <v>173.8022</v>
      </c>
      <c r="M4830">
        <v>-1.0866590000000001E-2</v>
      </c>
      <c r="N4830">
        <v>0</v>
      </c>
      <c r="O4830">
        <v>-0.9998475</v>
      </c>
      <c r="P4830">
        <v>-0.30979719999999999</v>
      </c>
      <c r="Q4830">
        <v>0.1164346</v>
      </c>
      <c r="R4830">
        <v>-0.94364669999999895</v>
      </c>
      <c r="S4830">
        <v>-1.255692</v>
      </c>
      <c r="T4830">
        <v>-0.2130437</v>
      </c>
      <c r="U4830">
        <v>-2.7935029999999998</v>
      </c>
      <c r="V4830">
        <v>0.30007080000000003</v>
      </c>
      <c r="W4830">
        <v>0.1280982</v>
      </c>
      <c r="X4830">
        <v>0.94527689999999998</v>
      </c>
      <c r="Y4830">
        <v>0.39906059999999999</v>
      </c>
      <c r="Z4830">
        <v>6.954515E-2</v>
      </c>
      <c r="AA4830">
        <v>0.91428339999999997</v>
      </c>
      <c r="AB4830">
        <v>21</v>
      </c>
      <c r="AC4830">
        <v>-6.5316999999999998</v>
      </c>
      <c r="AD4830">
        <v>-1.1086839183199999</v>
      </c>
      <c r="AE4830">
        <v>-14.4210999999999</v>
      </c>
      <c r="AF4830">
        <v>6.3434808804874097</v>
      </c>
      <c r="AG4830">
        <v>-1.1086839183199999</v>
      </c>
      <c r="AH4830">
        <v>14.4205092752707</v>
      </c>
      <c r="AI4830">
        <v>94.025520899641407</v>
      </c>
      <c r="AJ4830">
        <v>66.255642663062005</v>
      </c>
      <c r="AK4830">
        <v>15.7930369932454</v>
      </c>
      <c r="AL4830">
        <v>82.6402918324019</v>
      </c>
      <c r="AM4830">
        <v>72.388364007507803</v>
      </c>
      <c r="AN4830">
        <v>1.0000000257647399</v>
      </c>
    </row>
    <row r="4831" spans="1:40" x14ac:dyDescent="0.25">
      <c r="A4831" t="str">
        <f>"20190312172213808"</f>
        <v>20190312172213808</v>
      </c>
      <c r="B4831" t="str">
        <f>"1552382533805800"</f>
        <v>1552382533805800</v>
      </c>
      <c r="C4831" t="s">
        <v>40</v>
      </c>
      <c r="D4831">
        <v>3.3650380000000002</v>
      </c>
      <c r="E4831">
        <v>0.54037789999999997</v>
      </c>
      <c r="F4831" t="s">
        <v>62</v>
      </c>
      <c r="G4831">
        <v>-196.19550000000001</v>
      </c>
      <c r="H4831" s="1">
        <v>-1.490446E-5</v>
      </c>
      <c r="I4831">
        <v>159.3261</v>
      </c>
      <c r="J4831">
        <v>-189.69470000000001</v>
      </c>
      <c r="K4831">
        <v>1.1086800000000001</v>
      </c>
      <c r="L4831">
        <v>173.65099999999899</v>
      </c>
      <c r="M4831">
        <v>-1.2975270000000001E-2</v>
      </c>
      <c r="N4831">
        <v>0</v>
      </c>
      <c r="O4831">
        <v>-0.9998224</v>
      </c>
      <c r="P4831">
        <v>-0.30924069999999998</v>
      </c>
      <c r="Q4831">
        <v>0.1174161</v>
      </c>
      <c r="R4831">
        <v>-0.94370779999999999</v>
      </c>
      <c r="S4831">
        <v>-1.2552490000000001</v>
      </c>
      <c r="T4831">
        <v>-0.21394250000000001</v>
      </c>
      <c r="U4831">
        <v>-2.7934570000000001</v>
      </c>
      <c r="V4831">
        <v>0.29751909999999998</v>
      </c>
      <c r="W4831">
        <v>0.1291002</v>
      </c>
      <c r="X4831">
        <v>0.94594690000000003</v>
      </c>
      <c r="Y4831">
        <v>0.39700259999999998</v>
      </c>
      <c r="Z4831">
        <v>6.9870020000000005E-2</v>
      </c>
      <c r="AA4831">
        <v>0.91515420000000003</v>
      </c>
      <c r="AB4831">
        <v>21</v>
      </c>
      <c r="AC4831">
        <v>-6.5007999999999901</v>
      </c>
      <c r="AD4831">
        <v>-1.1086949044600001</v>
      </c>
      <c r="AE4831">
        <v>-14.3248999999999</v>
      </c>
      <c r="AF4831">
        <v>6.2831560070877401</v>
      </c>
      <c r="AG4831">
        <v>-1.1086949044600001</v>
      </c>
      <c r="AH4831">
        <v>14.3368371367352</v>
      </c>
      <c r="AI4831">
        <v>94.051414113304006</v>
      </c>
      <c r="AJ4831">
        <v>66.334439557070695</v>
      </c>
      <c r="AK4831">
        <v>15.692423422972199</v>
      </c>
      <c r="AL4831">
        <v>82.582400631015901</v>
      </c>
      <c r="AM4831">
        <v>72.540602097445202</v>
      </c>
      <c r="AN4831">
        <v>1.0000000070622299</v>
      </c>
    </row>
    <row r="4832" spans="1:40" x14ac:dyDescent="0.25">
      <c r="A4832" t="str">
        <f>"20190312172213824"</f>
        <v>20190312172213824</v>
      </c>
      <c r="B4832" t="str">
        <f>"1552382533815560"</f>
        <v>1552382533815560</v>
      </c>
      <c r="C4832" t="s">
        <v>40</v>
      </c>
      <c r="D4832">
        <v>3.3579789999999998</v>
      </c>
      <c r="E4832">
        <v>0.54022879999999995</v>
      </c>
      <c r="F4832" t="s">
        <v>62</v>
      </c>
      <c r="G4832">
        <v>-196.27590000000001</v>
      </c>
      <c r="H4832" s="1">
        <v>-1.4814410000000001E-5</v>
      </c>
      <c r="I4832">
        <v>158.9682</v>
      </c>
      <c r="J4832">
        <v>-189.69900000000001</v>
      </c>
      <c r="K4832">
        <v>1.1086830000000001</v>
      </c>
      <c r="L4832">
        <v>173.50139999999999</v>
      </c>
      <c r="M4832">
        <v>-1.507094E-2</v>
      </c>
      <c r="N4832">
        <v>0</v>
      </c>
      <c r="O4832">
        <v>-0.99979309999999999</v>
      </c>
      <c r="P4832">
        <v>-0.31023489999999998</v>
      </c>
      <c r="Q4832">
        <v>0.1180341</v>
      </c>
      <c r="R4832">
        <v>-0.94330420000000004</v>
      </c>
      <c r="S4832">
        <v>-1.2526550000000001</v>
      </c>
      <c r="T4832">
        <v>-0.2110271</v>
      </c>
      <c r="U4832">
        <v>-2.794708</v>
      </c>
      <c r="V4832">
        <v>0.2965354</v>
      </c>
      <c r="W4832">
        <v>0.129723</v>
      </c>
      <c r="X4832">
        <v>0.94617059999999997</v>
      </c>
      <c r="Y4832">
        <v>0.39424399999999998</v>
      </c>
      <c r="Z4832">
        <v>6.8946850000000004E-2</v>
      </c>
      <c r="AA4832">
        <v>0.9164158</v>
      </c>
      <c r="AB4832">
        <v>21</v>
      </c>
      <c r="AC4832">
        <v>-6.5768999999999904</v>
      </c>
      <c r="AD4832">
        <v>-1.1086978144099999</v>
      </c>
      <c r="AE4832">
        <v>-14.5331999999999</v>
      </c>
      <c r="AF4832">
        <v>6.3265432120285698</v>
      </c>
      <c r="AG4832">
        <v>-1.1086978144099999</v>
      </c>
      <c r="AH4832">
        <v>14.5603449189559</v>
      </c>
      <c r="AI4832">
        <v>93.994902418349497</v>
      </c>
      <c r="AJ4832">
        <v>66.514810945924197</v>
      </c>
      <c r="AK4832">
        <v>15.914081940731201</v>
      </c>
      <c r="AL4832">
        <v>82.546414546683494</v>
      </c>
      <c r="AM4832">
        <v>72.598703807040494</v>
      </c>
      <c r="AN4832">
        <v>1.0000000522432499</v>
      </c>
    </row>
    <row r="4833" spans="1:40" x14ac:dyDescent="0.25">
      <c r="A4833" t="str">
        <f>"20190312172213842"</f>
        <v>20190312172213842</v>
      </c>
      <c r="B4833" t="str">
        <f>"1552382533835080"</f>
        <v>1552382533835080</v>
      </c>
      <c r="C4833" t="s">
        <v>40</v>
      </c>
      <c r="D4833">
        <v>3.342991</v>
      </c>
      <c r="E4833">
        <v>0.54012879999999996</v>
      </c>
      <c r="F4833" t="s">
        <v>62</v>
      </c>
      <c r="G4833">
        <v>-196.33369999999999</v>
      </c>
      <c r="H4833" s="1">
        <v>-1.4754429999999999E-5</v>
      </c>
      <c r="I4833">
        <v>158.72980000000001</v>
      </c>
      <c r="J4833">
        <v>-189.7046</v>
      </c>
      <c r="K4833">
        <v>1.1086860000000001</v>
      </c>
      <c r="L4833">
        <v>173.32299999999901</v>
      </c>
      <c r="M4833">
        <v>-1.7590310000000001E-2</v>
      </c>
      <c r="N4833">
        <v>0</v>
      </c>
      <c r="O4833">
        <v>-0.99975179999999997</v>
      </c>
      <c r="P4833">
        <v>-0.31082759999999998</v>
      </c>
      <c r="Q4833">
        <v>0.1199527</v>
      </c>
      <c r="R4833">
        <v>-0.94286689999999995</v>
      </c>
      <c r="S4833">
        <v>-1.2548520000000001</v>
      </c>
      <c r="T4833">
        <v>-0.20969380000000001</v>
      </c>
      <c r="U4833">
        <v>-2.7938390000000002</v>
      </c>
      <c r="V4833">
        <v>0.29475679999999999</v>
      </c>
      <c r="W4833">
        <v>0.1316466</v>
      </c>
      <c r="X4833">
        <v>0.94646059999999999</v>
      </c>
      <c r="Y4833">
        <v>0.39264660000000001</v>
      </c>
      <c r="Z4833">
        <v>6.8542409999999998E-2</v>
      </c>
      <c r="AA4833">
        <v>0.91713169999999999</v>
      </c>
      <c r="AB4833">
        <v>21</v>
      </c>
      <c r="AC4833">
        <v>-6.6290999999999896</v>
      </c>
      <c r="AD4833">
        <v>-1.1087007544299901</v>
      </c>
      <c r="AE4833">
        <v>-14.5931999999999</v>
      </c>
      <c r="AF4833">
        <v>6.3410114729088303</v>
      </c>
      <c r="AG4833">
        <v>-1.1087007544299901</v>
      </c>
      <c r="AH4833">
        <v>14.6375245242383</v>
      </c>
      <c r="AI4833">
        <v>93.975800995023803</v>
      </c>
      <c r="AJ4833">
        <v>66.577621058559203</v>
      </c>
      <c r="AK4833">
        <v>15.990458656965201</v>
      </c>
      <c r="AL4833">
        <v>82.435246849120105</v>
      </c>
      <c r="AM4833">
        <v>72.701812785789599</v>
      </c>
      <c r="AN4833">
        <v>1.00000003289507</v>
      </c>
    </row>
    <row r="4834" spans="1:40" x14ac:dyDescent="0.25">
      <c r="A4834" t="str">
        <f>"20190312172213865"</f>
        <v>20190312172213865</v>
      </c>
      <c r="B4834" t="str">
        <f>"1552382533855576"</f>
        <v>1552382533855576</v>
      </c>
      <c r="C4834" t="s">
        <v>40</v>
      </c>
      <c r="D4834">
        <v>3.354495</v>
      </c>
      <c r="E4834">
        <v>0.54003730000000005</v>
      </c>
      <c r="F4834" t="s">
        <v>62</v>
      </c>
      <c r="G4834">
        <v>-196.56270000000001</v>
      </c>
      <c r="H4834" s="1">
        <v>-1.459072E-5</v>
      </c>
      <c r="I4834">
        <v>158.07910000000001</v>
      </c>
      <c r="J4834">
        <v>-189.71170000000001</v>
      </c>
      <c r="K4834">
        <v>1.1086849999999999</v>
      </c>
      <c r="L4834">
        <v>173.11709999999999</v>
      </c>
      <c r="M4834">
        <v>-2.0533099999999999E-2</v>
      </c>
      <c r="N4834">
        <v>0</v>
      </c>
      <c r="O4834">
        <v>-0.99969580000000002</v>
      </c>
      <c r="P4834">
        <v>-0.31288840000000001</v>
      </c>
      <c r="Q4834">
        <v>0.1223587</v>
      </c>
      <c r="R4834">
        <v>-0.94187580000000004</v>
      </c>
      <c r="S4834">
        <v>-1.256699</v>
      </c>
      <c r="T4834">
        <v>-0.20316329999999999</v>
      </c>
      <c r="U4834">
        <v>-2.7933650000000001</v>
      </c>
      <c r="V4834">
        <v>0.29406059999999901</v>
      </c>
      <c r="W4834">
        <v>0.13404179999999999</v>
      </c>
      <c r="X4834">
        <v>0.94634099999999999</v>
      </c>
      <c r="Y4834">
        <v>0.39056020000000002</v>
      </c>
      <c r="Z4834">
        <v>6.6444840000000005E-2</v>
      </c>
      <c r="AA4834">
        <v>0.9181764</v>
      </c>
      <c r="AB4834">
        <v>21</v>
      </c>
      <c r="AC4834">
        <v>-6.8509999999999902</v>
      </c>
      <c r="AD4834">
        <v>-1.1086995907199999</v>
      </c>
      <c r="AE4834">
        <v>-15.037999999999901</v>
      </c>
      <c r="AF4834">
        <v>6.5114395826171396</v>
      </c>
      <c r="AG4834">
        <v>-1.1086995907199999</v>
      </c>
      <c r="AH4834">
        <v>15.107510392602499</v>
      </c>
      <c r="AI4834">
        <v>93.855562434297497</v>
      </c>
      <c r="AJ4834">
        <v>66.683629627909198</v>
      </c>
      <c r="AK4834">
        <v>16.488327097772199</v>
      </c>
      <c r="AL4834">
        <v>82.296785013187602</v>
      </c>
      <c r="AM4834">
        <v>72.738188612256806</v>
      </c>
      <c r="AN4834">
        <v>1.00000006445029</v>
      </c>
    </row>
    <row r="4835" spans="1:40" x14ac:dyDescent="0.25">
      <c r="A4835" t="str">
        <f>"20190312172213878"</f>
        <v>20190312172213878</v>
      </c>
      <c r="B4835" t="str">
        <f>"1552382533865337"</f>
        <v>1552382533865337</v>
      </c>
      <c r="C4835" t="s">
        <v>40</v>
      </c>
      <c r="D4835">
        <v>3.3271090000000001</v>
      </c>
      <c r="E4835">
        <v>0.54004960000000002</v>
      </c>
      <c r="F4835" t="s">
        <v>62</v>
      </c>
      <c r="G4835">
        <v>-196.85059999999999</v>
      </c>
      <c r="H4835" s="1">
        <v>-1.4404719999999999E-5</v>
      </c>
      <c r="I4835">
        <v>157.3399</v>
      </c>
      <c r="J4835">
        <v>-189.7165</v>
      </c>
      <c r="K4835">
        <v>1.1086780000000001</v>
      </c>
      <c r="L4835">
        <v>172.98480000000001</v>
      </c>
      <c r="M4835">
        <v>-2.244078E-2</v>
      </c>
      <c r="N4835">
        <v>0</v>
      </c>
      <c r="O4835">
        <v>-0.99965490000000001</v>
      </c>
      <c r="P4835">
        <v>-0.31443399999999999</v>
      </c>
      <c r="Q4835">
        <v>0.1237132</v>
      </c>
      <c r="R4835">
        <v>-0.94118400000000002</v>
      </c>
      <c r="S4835">
        <v>-1.2629090000000001</v>
      </c>
      <c r="T4835">
        <v>-0.19613539999999999</v>
      </c>
      <c r="U4835">
        <v>-2.791077</v>
      </c>
      <c r="V4835">
        <v>0.29382160000000002</v>
      </c>
      <c r="W4835">
        <v>0.13538599999999901</v>
      </c>
      <c r="X4835">
        <v>0.94622379999999995</v>
      </c>
      <c r="Y4835">
        <v>0.39084449999999998</v>
      </c>
      <c r="Z4835">
        <v>6.4168550000000005E-2</v>
      </c>
      <c r="AA4835">
        <v>0.91821730000000001</v>
      </c>
      <c r="AB4835">
        <v>21</v>
      </c>
      <c r="AC4835">
        <v>-7.1340999999999797</v>
      </c>
      <c r="AD4835">
        <v>-1.10869240472</v>
      </c>
      <c r="AE4835">
        <v>-15.6449</v>
      </c>
      <c r="AF4835">
        <v>6.7531105651025696</v>
      </c>
      <c r="AG4835">
        <v>-1.10869240472</v>
      </c>
      <c r="AH4835">
        <v>15.735648237352001</v>
      </c>
      <c r="AI4835">
        <v>93.704543881165904</v>
      </c>
      <c r="AJ4835">
        <v>66.7729264409639</v>
      </c>
      <c r="AK4835">
        <v>17.159380134563801</v>
      </c>
      <c r="AL4835">
        <v>82.219058943566296</v>
      </c>
      <c r="AM4835">
        <v>72.749375907510796</v>
      </c>
      <c r="AN4835">
        <v>0.99999999065449996</v>
      </c>
    </row>
    <row r="4836" spans="1:40" x14ac:dyDescent="0.25">
      <c r="A4836" t="str">
        <f>"20190312172213892"</f>
        <v>20190312172213892</v>
      </c>
      <c r="B4836" t="str">
        <f>"1552382533885832"</f>
        <v>1552382533885832</v>
      </c>
      <c r="C4836" t="s">
        <v>40</v>
      </c>
      <c r="D4836">
        <v>3.36191</v>
      </c>
      <c r="E4836">
        <v>0.54017649999999995</v>
      </c>
      <c r="F4836" t="s">
        <v>62</v>
      </c>
      <c r="G4836">
        <v>-197.0446</v>
      </c>
      <c r="H4836" s="1">
        <v>-1.4285599999999999E-5</v>
      </c>
      <c r="I4836">
        <v>156.8665</v>
      </c>
      <c r="J4836">
        <v>-189.7218</v>
      </c>
      <c r="K4836">
        <v>1.10867</v>
      </c>
      <c r="L4836">
        <v>172.8509</v>
      </c>
      <c r="M4836">
        <v>-2.439446E-2</v>
      </c>
      <c r="N4836">
        <v>0</v>
      </c>
      <c r="O4836">
        <v>-0.99960899999999997</v>
      </c>
      <c r="P4836">
        <v>-0.31645859999999998</v>
      </c>
      <c r="Q4836">
        <v>0.12504219999999999</v>
      </c>
      <c r="R4836">
        <v>-0.94032910000000003</v>
      </c>
      <c r="S4836">
        <v>-1.2680359999999999</v>
      </c>
      <c r="T4836">
        <v>-0.19184590000000001</v>
      </c>
      <c r="U4836">
        <v>-2.7890779999999999</v>
      </c>
      <c r="V4836">
        <v>0.2940238</v>
      </c>
      <c r="W4836">
        <v>0.1366993</v>
      </c>
      <c r="X4836">
        <v>0.94597209999999998</v>
      </c>
      <c r="Y4836">
        <v>0.39072950000000001</v>
      </c>
      <c r="Z4836">
        <v>6.278657E-2</v>
      </c>
      <c r="AA4836">
        <v>0.91836169999999995</v>
      </c>
      <c r="AB4836">
        <v>21</v>
      </c>
      <c r="AC4836">
        <v>-7.3228</v>
      </c>
      <c r="AD4836">
        <v>-1.1086842856000001</v>
      </c>
      <c r="AE4836">
        <v>-15.9843999999999</v>
      </c>
      <c r="AF4836">
        <v>6.9032037672137099</v>
      </c>
      <c r="AG4836">
        <v>-1.1086842856000001</v>
      </c>
      <c r="AH4836">
        <v>16.094298518105401</v>
      </c>
      <c r="AI4836">
        <v>93.622497632688606</v>
      </c>
      <c r="AJ4836">
        <v>66.784427001981598</v>
      </c>
      <c r="AK4836">
        <v>17.547360140109401</v>
      </c>
      <c r="AL4836">
        <v>82.143105964720604</v>
      </c>
      <c r="AM4836">
        <v>72.733889786883395</v>
      </c>
      <c r="AN4836">
        <v>0.99999995378266804</v>
      </c>
    </row>
    <row r="4837" spans="1:40" x14ac:dyDescent="0.25">
      <c r="A4837" t="str">
        <f>"20190312172213910"</f>
        <v>20190312172213910</v>
      </c>
      <c r="B4837" t="str">
        <f>"1552382533905353"</f>
        <v>1552382533905353</v>
      </c>
      <c r="C4837" t="s">
        <v>40</v>
      </c>
      <c r="D4837">
        <v>3.3313410000000001</v>
      </c>
      <c r="E4837">
        <v>0.5403173</v>
      </c>
      <c r="F4837" t="s">
        <v>62</v>
      </c>
      <c r="G4837">
        <v>-197.2296</v>
      </c>
      <c r="H4837" s="1">
        <v>-1.418083E-5</v>
      </c>
      <c r="I4837">
        <v>156.45009999999999</v>
      </c>
      <c r="J4837">
        <v>-189.72839999999999</v>
      </c>
      <c r="K4837">
        <v>1.1086579999999999</v>
      </c>
      <c r="L4837">
        <v>172.69069999999999</v>
      </c>
      <c r="M4837">
        <v>-2.6756149999999999E-2</v>
      </c>
      <c r="N4837">
        <v>0</v>
      </c>
      <c r="O4837">
        <v>-0.99954860000000001</v>
      </c>
      <c r="P4837">
        <v>-0.31853150000000002</v>
      </c>
      <c r="Q4837">
        <v>0.12704649999999901</v>
      </c>
      <c r="R4837">
        <v>-0.93935979999999997</v>
      </c>
      <c r="S4837">
        <v>-1.275436</v>
      </c>
      <c r="T4837">
        <v>-0.18834480000000001</v>
      </c>
      <c r="U4837">
        <v>-2.7861940000000001</v>
      </c>
      <c r="V4837">
        <v>0.29389720000000003</v>
      </c>
      <c r="W4837">
        <v>0.1386867</v>
      </c>
      <c r="X4837">
        <v>0.94572219999999996</v>
      </c>
      <c r="Y4837">
        <v>0.39096160000000002</v>
      </c>
      <c r="Z4837">
        <v>6.1662160000000001E-2</v>
      </c>
      <c r="AA4837">
        <v>0.91833920000000002</v>
      </c>
      <c r="AB4837">
        <v>21</v>
      </c>
      <c r="AC4837">
        <v>-7.5012000000000096</v>
      </c>
      <c r="AD4837">
        <v>-1.10867218083</v>
      </c>
      <c r="AE4837">
        <v>-16.240600000000001</v>
      </c>
      <c r="AF4837">
        <v>7.0369100941475402</v>
      </c>
      <c r="AG4837">
        <v>-1.10867218083</v>
      </c>
      <c r="AH4837">
        <v>16.3726225375943</v>
      </c>
      <c r="AI4837">
        <v>93.559911968280403</v>
      </c>
      <c r="AJ4837">
        <v>66.742094110756099</v>
      </c>
      <c r="AK4837">
        <v>17.855252068682798</v>
      </c>
      <c r="AL4837">
        <v>82.028141812410894</v>
      </c>
      <c r="AM4837">
        <v>72.736592889188003</v>
      </c>
      <c r="AN4837">
        <v>1.0000000222487799</v>
      </c>
    </row>
    <row r="4838" spans="1:40" x14ac:dyDescent="0.25">
      <c r="A4838" t="str">
        <f>"20190312172213921"</f>
        <v>20190312172213921</v>
      </c>
      <c r="B4838" t="str">
        <f>"1552382533915112"</f>
        <v>1552382533915112</v>
      </c>
      <c r="C4838" t="s">
        <v>40</v>
      </c>
      <c r="D4838">
        <v>3.3310849999999999</v>
      </c>
      <c r="E4838">
        <v>0.54043149999999995</v>
      </c>
      <c r="F4838" t="s">
        <v>62</v>
      </c>
      <c r="G4838">
        <v>-197.47890000000001</v>
      </c>
      <c r="H4838" s="1">
        <v>-1.4038619999999999E-5</v>
      </c>
      <c r="I4838">
        <v>155.88489999999999</v>
      </c>
      <c r="J4838">
        <v>-189.73339999999999</v>
      </c>
      <c r="K4838">
        <v>1.108654</v>
      </c>
      <c r="L4838">
        <v>172.5746</v>
      </c>
      <c r="M4838">
        <v>-2.8482629999999998E-2</v>
      </c>
      <c r="N4838">
        <v>0</v>
      </c>
      <c r="O4838">
        <v>-0.99950079999999997</v>
      </c>
      <c r="P4838">
        <v>-0.32043349999999998</v>
      </c>
      <c r="Q4838">
        <v>0.12773380000000001</v>
      </c>
      <c r="R4838">
        <v>-0.9386196</v>
      </c>
      <c r="S4838">
        <v>-1.283585</v>
      </c>
      <c r="T4838">
        <v>-0.18361089999999999</v>
      </c>
      <c r="U4838">
        <v>-2.783264</v>
      </c>
      <c r="V4838">
        <v>0.29419050000000002</v>
      </c>
      <c r="W4838">
        <v>0.13935910000000001</v>
      </c>
      <c r="X4838">
        <v>0.94553209999999999</v>
      </c>
      <c r="Y4838">
        <v>0.39199659999999997</v>
      </c>
      <c r="Z4838">
        <v>6.012261E-2</v>
      </c>
      <c r="AA4838">
        <v>0.91800000000000004</v>
      </c>
      <c r="AB4838">
        <v>21</v>
      </c>
      <c r="AC4838">
        <v>-7.7455000000000203</v>
      </c>
      <c r="AD4838">
        <v>-1.1086680386200001</v>
      </c>
      <c r="AE4838">
        <v>-16.689699999999998</v>
      </c>
      <c r="AF4838">
        <v>7.2406570841944697</v>
      </c>
      <c r="AG4838">
        <v>-1.1086680386200001</v>
      </c>
      <c r="AH4838">
        <v>16.842410019575698</v>
      </c>
      <c r="AI4838">
        <v>93.460710431483406</v>
      </c>
      <c r="AJ4838">
        <v>66.736829333550105</v>
      </c>
      <c r="AK4838">
        <v>18.366356064779399</v>
      </c>
      <c r="AL4838">
        <v>81.989238009327593</v>
      </c>
      <c r="AM4838">
        <v>72.717122751315799</v>
      </c>
      <c r="AN4838">
        <v>0.99999998058673401</v>
      </c>
    </row>
    <row r="4839" spans="1:40" x14ac:dyDescent="0.25">
      <c r="A4839" t="str">
        <f>"20190312172213933"</f>
        <v>20190312172213933</v>
      </c>
      <c r="B4839" t="str">
        <f>"1552382533925849"</f>
        <v>1552382533925849</v>
      </c>
      <c r="C4839" t="s">
        <v>40</v>
      </c>
      <c r="D4839">
        <v>3.3459129999999999</v>
      </c>
      <c r="E4839">
        <v>0.54054760000000002</v>
      </c>
      <c r="F4839" t="s">
        <v>62</v>
      </c>
      <c r="G4839">
        <v>-197.59039999999999</v>
      </c>
      <c r="H4839" s="1">
        <v>-1.395201E-5</v>
      </c>
      <c r="I4839">
        <v>155.64789999999999</v>
      </c>
      <c r="J4839">
        <v>-189.7389</v>
      </c>
      <c r="K4839">
        <v>1.108643</v>
      </c>
      <c r="L4839">
        <v>172.45480000000001</v>
      </c>
      <c r="M4839">
        <v>-3.0287580000000001E-2</v>
      </c>
      <c r="N4839">
        <v>0</v>
      </c>
      <c r="O4839">
        <v>-0.99944789999999994</v>
      </c>
      <c r="P4839">
        <v>-0.32228899999999999</v>
      </c>
      <c r="Q4839">
        <v>0.12834489999999901</v>
      </c>
      <c r="R4839">
        <v>-0.93790079999999998</v>
      </c>
      <c r="S4839">
        <v>-1.2905879999999901</v>
      </c>
      <c r="T4839">
        <v>-0.1821094</v>
      </c>
      <c r="U4839">
        <v>-2.7803800000000001</v>
      </c>
      <c r="V4839">
        <v>0.29436390000000001</v>
      </c>
      <c r="W4839">
        <v>0.139956</v>
      </c>
      <c r="X4839">
        <v>0.94538999999999995</v>
      </c>
      <c r="Y4839">
        <v>0.39261430000000003</v>
      </c>
      <c r="Z4839">
        <v>5.964581E-2</v>
      </c>
      <c r="AA4839">
        <v>0.91776709999999995</v>
      </c>
      <c r="AB4839">
        <v>21</v>
      </c>
      <c r="AC4839">
        <v>-7.8514999999999802</v>
      </c>
      <c r="AD4839">
        <v>-1.10865695201</v>
      </c>
      <c r="AE4839">
        <v>-16.806899999999999</v>
      </c>
      <c r="AF4839">
        <v>7.3126899847177604</v>
      </c>
      <c r="AG4839">
        <v>-1.10865695201</v>
      </c>
      <c r="AH4839">
        <v>16.976376899714701</v>
      </c>
      <c r="AI4839">
        <v>93.432374349078202</v>
      </c>
      <c r="AJ4839">
        <v>66.695709659610401</v>
      </c>
      <c r="AK4839">
        <v>18.517611284693199</v>
      </c>
      <c r="AL4839">
        <v>81.954699994734</v>
      </c>
      <c r="AM4839">
        <v>72.705099073041495</v>
      </c>
      <c r="AN4839">
        <v>1.0000000198296</v>
      </c>
    </row>
    <row r="4840" spans="1:40" x14ac:dyDescent="0.25">
      <c r="A4840" t="str">
        <f>"20190312172213945"</f>
        <v>20190312172213945</v>
      </c>
      <c r="B4840" t="str">
        <f>"1552382533935608"</f>
        <v>1552382533935608</v>
      </c>
      <c r="C4840" t="s">
        <v>40</v>
      </c>
      <c r="D4840">
        <v>3.3352240000000002</v>
      </c>
      <c r="E4840">
        <v>0.54067319999999996</v>
      </c>
      <c r="F4840" t="s">
        <v>62</v>
      </c>
      <c r="G4840">
        <v>-197.70079999999999</v>
      </c>
      <c r="H4840" s="1">
        <v>-1.386144E-5</v>
      </c>
      <c r="I4840">
        <v>155.41390000000001</v>
      </c>
      <c r="J4840">
        <v>-189.74379999999999</v>
      </c>
      <c r="K4840">
        <v>1.108633</v>
      </c>
      <c r="L4840">
        <v>172.34979999999999</v>
      </c>
      <c r="M4840">
        <v>-3.1881729999999997E-2</v>
      </c>
      <c r="N4840">
        <v>0</v>
      </c>
      <c r="O4840">
        <v>-0.99939849999999997</v>
      </c>
      <c r="P4840">
        <v>-0.32360719999999998</v>
      </c>
      <c r="Q4840">
        <v>0.12897429999999999</v>
      </c>
      <c r="R4840">
        <v>-0.93736059999999999</v>
      </c>
      <c r="S4840">
        <v>-1.2976840000000001</v>
      </c>
      <c r="T4840">
        <v>-0.18069489999999999</v>
      </c>
      <c r="U4840">
        <v>-2.7774200000000002</v>
      </c>
      <c r="V4840">
        <v>0.29419479999999998</v>
      </c>
      <c r="W4840">
        <v>0.14057539999999999</v>
      </c>
      <c r="X4840">
        <v>0.94535069999999999</v>
      </c>
      <c r="Y4840">
        <v>0.3934589</v>
      </c>
      <c r="Z4840">
        <v>5.9195320000000003E-2</v>
      </c>
      <c r="AA4840">
        <v>0.91743450000000004</v>
      </c>
      <c r="AB4840">
        <v>21</v>
      </c>
      <c r="AC4840">
        <v>-7.9569999999999901</v>
      </c>
      <c r="AD4840">
        <v>-1.10864686144</v>
      </c>
      <c r="AE4840">
        <v>-16.935899999999901</v>
      </c>
      <c r="AF4840">
        <v>7.3870274086952801</v>
      </c>
      <c r="AG4840">
        <v>-1.10864686144</v>
      </c>
      <c r="AH4840">
        <v>17.120895753571801</v>
      </c>
      <c r="AI4840">
        <v>93.402567700213993</v>
      </c>
      <c r="AJ4840">
        <v>66.661605374662699</v>
      </c>
      <c r="AK4840">
        <v>18.6794631401673</v>
      </c>
      <c r="AL4840">
        <v>81.918856352277601</v>
      </c>
      <c r="AM4840">
        <v>72.713766387915896</v>
      </c>
      <c r="AN4840">
        <v>0.99999998471134399</v>
      </c>
    </row>
    <row r="4841" spans="1:40" x14ac:dyDescent="0.25">
      <c r="A4841" t="str">
        <f>"20190312172213957"</f>
        <v>20190312172213957</v>
      </c>
      <c r="B4841" t="str">
        <f>"1552382533945369"</f>
        <v>1552382533945369</v>
      </c>
      <c r="C4841" t="s">
        <v>40</v>
      </c>
      <c r="D4841">
        <v>3.3155100000000002</v>
      </c>
      <c r="E4841">
        <v>0.54076729999999995</v>
      </c>
      <c r="F4841" t="s">
        <v>62</v>
      </c>
      <c r="G4841">
        <v>-197.7825</v>
      </c>
      <c r="H4841" s="1">
        <v>-1.378876E-5</v>
      </c>
      <c r="I4841">
        <v>155.2276</v>
      </c>
      <c r="J4841">
        <v>-189.74950000000001</v>
      </c>
      <c r="K4841">
        <v>1.1086210000000001</v>
      </c>
      <c r="L4841">
        <v>172.23339999999999</v>
      </c>
      <c r="M4841">
        <v>-3.3659090000000003E-2</v>
      </c>
      <c r="N4841">
        <v>0</v>
      </c>
      <c r="O4841">
        <v>-0.99933989999999995</v>
      </c>
      <c r="P4841">
        <v>-0.32550869999999998</v>
      </c>
      <c r="Q4841">
        <v>0.12931860000000001</v>
      </c>
      <c r="R4841">
        <v>-0.93665430000000005</v>
      </c>
      <c r="S4841">
        <v>-1.3030090000000001</v>
      </c>
      <c r="T4841">
        <v>-0.17970259999999999</v>
      </c>
      <c r="U4841">
        <v>-2.77536</v>
      </c>
      <c r="V4841">
        <v>0.29444049999999999</v>
      </c>
      <c r="W4841">
        <v>0.1409068</v>
      </c>
      <c r="X4841">
        <v>0.94522490000000003</v>
      </c>
      <c r="Y4841">
        <v>0.39353700000000003</v>
      </c>
      <c r="Z4841">
        <v>5.8881860000000001E-2</v>
      </c>
      <c r="AA4841">
        <v>0.91742120000000005</v>
      </c>
      <c r="AB4841">
        <v>21</v>
      </c>
      <c r="AC4841">
        <v>-8.0329999999999799</v>
      </c>
      <c r="AD4841">
        <v>-1.1086347887600001</v>
      </c>
      <c r="AE4841">
        <v>-17.005799999999901</v>
      </c>
      <c r="AF4841">
        <v>7.4301770189015599</v>
      </c>
      <c r="AG4841">
        <v>-1.1086347887600001</v>
      </c>
      <c r="AH4841">
        <v>17.2067836202223</v>
      </c>
      <c r="AI4841">
        <v>93.385151464084998</v>
      </c>
      <c r="AJ4841">
        <v>66.644505300587696</v>
      </c>
      <c r="AK4841">
        <v>18.775249776772899</v>
      </c>
      <c r="AL4841">
        <v>81.899677945782699</v>
      </c>
      <c r="AM4841">
        <v>72.6980258545466</v>
      </c>
      <c r="AN4841">
        <v>1.00000002295324</v>
      </c>
    </row>
    <row r="4842" spans="1:40" x14ac:dyDescent="0.25">
      <c r="A4842" t="str">
        <f>"20190312172213969"</f>
        <v>20190312172213969</v>
      </c>
      <c r="B4842" t="str">
        <f>"1552382533965865"</f>
        <v>1552382533965865</v>
      </c>
      <c r="C4842" t="s">
        <v>40</v>
      </c>
      <c r="D4842">
        <v>3.5558369999999999</v>
      </c>
      <c r="E4842">
        <v>0.54100139999999997</v>
      </c>
      <c r="F4842" t="s">
        <v>62</v>
      </c>
      <c r="G4842">
        <v>-197.8203</v>
      </c>
      <c r="H4842" s="1">
        <v>-1.375888E-5</v>
      </c>
      <c r="I4842">
        <v>155.15020000000001</v>
      </c>
      <c r="J4842">
        <v>-189.7551</v>
      </c>
      <c r="K4842">
        <v>1.1086100000000001</v>
      </c>
      <c r="L4842">
        <v>172.12440000000001</v>
      </c>
      <c r="M4842">
        <v>-3.5340539999999997E-2</v>
      </c>
      <c r="N4842">
        <v>0</v>
      </c>
      <c r="O4842">
        <v>-0.99928189999999995</v>
      </c>
      <c r="P4842">
        <v>-0.32730320000000002</v>
      </c>
      <c r="Q4842">
        <v>0.1295318</v>
      </c>
      <c r="R4842">
        <v>-0.93599900000000003</v>
      </c>
      <c r="S4842">
        <v>-1.3098449999999999</v>
      </c>
      <c r="T4842">
        <v>-0.1799259</v>
      </c>
      <c r="U4842">
        <v>-2.7725219999999999</v>
      </c>
      <c r="V4842">
        <v>0.29466829999999999</v>
      </c>
      <c r="W4842">
        <v>0.14110880000000001</v>
      </c>
      <c r="X4842">
        <v>0.94512370000000001</v>
      </c>
      <c r="Y4842">
        <v>0.39420070000000001</v>
      </c>
      <c r="Z4842">
        <v>5.8965740000000003E-2</v>
      </c>
      <c r="AA4842">
        <v>0.91713080000000002</v>
      </c>
      <c r="AB4842">
        <v>21</v>
      </c>
      <c r="AC4842">
        <v>-8.0652000000000008</v>
      </c>
      <c r="AD4842">
        <v>-1.1086237588799901</v>
      </c>
      <c r="AE4842">
        <v>-16.9741999999999</v>
      </c>
      <c r="AF4842">
        <v>7.4343557371982101</v>
      </c>
      <c r="AG4842">
        <v>-1.1086237588799901</v>
      </c>
      <c r="AH4842">
        <v>17.1888321379224</v>
      </c>
      <c r="AI4842">
        <v>93.387790557632698</v>
      </c>
      <c r="AJ4842">
        <v>66.610995731785493</v>
      </c>
      <c r="AK4842">
        <v>18.760454209097301</v>
      </c>
      <c r="AL4842">
        <v>81.887986832231803</v>
      </c>
      <c r="AM4842">
        <v>72.683696623791306</v>
      </c>
      <c r="AN4842">
        <v>0.99999995438200895</v>
      </c>
    </row>
    <row r="4843" spans="1:40" x14ac:dyDescent="0.25">
      <c r="A4843" t="str">
        <f>"20190312172213984"</f>
        <v>20190312172213984</v>
      </c>
      <c r="B4843" t="str">
        <f>"1552382533975625"</f>
        <v>1552382533975625</v>
      </c>
      <c r="C4843" t="s">
        <v>40</v>
      </c>
      <c r="D4843">
        <v>3.3000440000000002</v>
      </c>
      <c r="E4843">
        <v>0.54109169999999995</v>
      </c>
      <c r="F4843" t="s">
        <v>62</v>
      </c>
      <c r="G4843">
        <v>-197.8</v>
      </c>
      <c r="H4843" s="1">
        <v>-1.3782459999999999E-5</v>
      </c>
      <c r="I4843">
        <v>155.20939999999999</v>
      </c>
      <c r="J4843">
        <v>-189.7621</v>
      </c>
      <c r="K4843">
        <v>1.1085959999999999</v>
      </c>
      <c r="L4843">
        <v>171.9906</v>
      </c>
      <c r="M4843">
        <v>-3.7413719999999998E-2</v>
      </c>
      <c r="N4843">
        <v>0</v>
      </c>
      <c r="O4843">
        <v>-0.9992067</v>
      </c>
      <c r="P4843">
        <v>-0.32895859999999999</v>
      </c>
      <c r="Q4843">
        <v>0.12975780000000001</v>
      </c>
      <c r="R4843">
        <v>-0.93538750000000004</v>
      </c>
      <c r="S4843">
        <v>-1.317245</v>
      </c>
      <c r="T4843">
        <v>-0.18152280000000001</v>
      </c>
      <c r="U4843">
        <v>-2.7696230000000002</v>
      </c>
      <c r="V4843">
        <v>0.29438560000000003</v>
      </c>
      <c r="W4843">
        <v>0.14132690000000001</v>
      </c>
      <c r="X4843">
        <v>0.94517929999999994</v>
      </c>
      <c r="Y4843">
        <v>0.39465240000000001</v>
      </c>
      <c r="Z4843">
        <v>5.9497960000000003E-2</v>
      </c>
      <c r="AA4843">
        <v>0.91690210000000005</v>
      </c>
      <c r="AB4843">
        <v>21</v>
      </c>
      <c r="AC4843">
        <v>-8.0379000000000005</v>
      </c>
      <c r="AD4843">
        <v>-1.1086097824600001</v>
      </c>
      <c r="AE4843">
        <v>-16.781199999999998</v>
      </c>
      <c r="AF4843">
        <v>7.3781743457230098</v>
      </c>
      <c r="AG4843">
        <v>-1.1086097824600001</v>
      </c>
      <c r="AH4843">
        <v>17.009822122868702</v>
      </c>
      <c r="AI4843">
        <v>93.421760850453197</v>
      </c>
      <c r="AJ4843">
        <v>66.550746225292201</v>
      </c>
      <c r="AK4843">
        <v>18.574189645238501</v>
      </c>
      <c r="AL4843">
        <v>81.875364838015699</v>
      </c>
      <c r="AM4843">
        <v>72.700274595956898</v>
      </c>
      <c r="AN4843">
        <v>1.0000000416497199</v>
      </c>
    </row>
    <row r="4844" spans="1:40" x14ac:dyDescent="0.25">
      <c r="A4844" t="str">
        <f>"20190312172213999"</f>
        <v>20190312172213999</v>
      </c>
      <c r="B4844" t="str">
        <f>"1552382533985387"</f>
        <v>1552382533985387</v>
      </c>
      <c r="C4844" t="s">
        <v>40</v>
      </c>
      <c r="D4844">
        <v>3.3279869999999998</v>
      </c>
      <c r="E4844">
        <v>0.54118250000000001</v>
      </c>
      <c r="F4844" t="s">
        <v>62</v>
      </c>
      <c r="G4844">
        <v>-197.82679999999999</v>
      </c>
      <c r="H4844" s="1">
        <v>-1.37482E-5</v>
      </c>
      <c r="I4844">
        <v>155.12389999999999</v>
      </c>
      <c r="J4844">
        <v>-189.77</v>
      </c>
      <c r="K4844">
        <v>1.1085830000000001</v>
      </c>
      <c r="L4844">
        <v>171.84829999999999</v>
      </c>
      <c r="M4844">
        <v>-3.9635480000000001E-2</v>
      </c>
      <c r="N4844">
        <v>0</v>
      </c>
      <c r="O4844">
        <v>-0.99912069999999997</v>
      </c>
      <c r="P4844">
        <v>-0.33129249999999999</v>
      </c>
      <c r="Q4844">
        <v>0.13008510000000001</v>
      </c>
      <c r="R4844">
        <v>-0.93451759999999995</v>
      </c>
      <c r="S4844">
        <v>-1.3230900000000001</v>
      </c>
      <c r="T4844">
        <v>-0.18187980000000001</v>
      </c>
      <c r="U4844">
        <v>-2.767166</v>
      </c>
      <c r="V4844">
        <v>0.2946511</v>
      </c>
      <c r="W4844">
        <v>0.14164270000000001</v>
      </c>
      <c r="X4844">
        <v>0.94504920000000003</v>
      </c>
      <c r="Y4844">
        <v>0.39449980000000001</v>
      </c>
      <c r="Z4844">
        <v>5.9630589999999997E-2</v>
      </c>
      <c r="AA4844">
        <v>0.91695919999999997</v>
      </c>
      <c r="AB4844">
        <v>21</v>
      </c>
      <c r="AC4844">
        <v>-8.0567999999999795</v>
      </c>
      <c r="AD4844">
        <v>-1.1085967481999901</v>
      </c>
      <c r="AE4844">
        <v>-16.724399999999999</v>
      </c>
      <c r="AF4844">
        <v>7.3612742439485404</v>
      </c>
      <c r="AG4844">
        <v>-1.1085967481999901</v>
      </c>
      <c r="AH4844">
        <v>16.9701012348939</v>
      </c>
      <c r="AI4844">
        <v>93.429686401214596</v>
      </c>
      <c r="AJ4844">
        <v>66.549810720123702</v>
      </c>
      <c r="AK4844">
        <v>18.531100376590899</v>
      </c>
      <c r="AL4844">
        <v>81.857086276592895</v>
      </c>
      <c r="AM4844">
        <v>72.683363572388799</v>
      </c>
      <c r="AN4844">
        <v>0.99999995780756901</v>
      </c>
    </row>
    <row r="4845" spans="1:40" x14ac:dyDescent="0.25">
      <c r="A4845" t="str">
        <f>"20190312172214022"</f>
        <v>20190312172214022</v>
      </c>
      <c r="B4845" t="str">
        <f>"1552382534015641"</f>
        <v>1552382534015641</v>
      </c>
      <c r="C4845" t="s">
        <v>40</v>
      </c>
      <c r="D4845">
        <v>3.317793</v>
      </c>
      <c r="E4845">
        <v>0.54135409999999995</v>
      </c>
      <c r="F4845" t="s">
        <v>62</v>
      </c>
      <c r="G4845">
        <v>-197.89959999999999</v>
      </c>
      <c r="H4845" s="1">
        <v>-1.369194E-5</v>
      </c>
      <c r="I4845">
        <v>154.9778</v>
      </c>
      <c r="J4845">
        <v>-189.7825</v>
      </c>
      <c r="K4845">
        <v>1.108576</v>
      </c>
      <c r="L4845">
        <v>171.63249999999999</v>
      </c>
      <c r="M4845">
        <v>-4.3031390000000003E-2</v>
      </c>
      <c r="N4845">
        <v>0</v>
      </c>
      <c r="O4845">
        <v>-0.99898050000000005</v>
      </c>
      <c r="P4845">
        <v>-0.33455279999999998</v>
      </c>
      <c r="Q4845">
        <v>0.13076389999999999</v>
      </c>
      <c r="R4845">
        <v>-0.93326089999999995</v>
      </c>
      <c r="S4845">
        <v>-1.3316190000000001</v>
      </c>
      <c r="T4845">
        <v>-0.18158669999999999</v>
      </c>
      <c r="U4845">
        <v>-2.763382</v>
      </c>
      <c r="V4845">
        <v>0.29474889999999998</v>
      </c>
      <c r="W4845">
        <v>0.14231060000000001</v>
      </c>
      <c r="X4845">
        <v>0.94491840000000005</v>
      </c>
      <c r="Y4845">
        <v>0.39416770000000001</v>
      </c>
      <c r="Z4845">
        <v>5.9561990000000002E-2</v>
      </c>
      <c r="AA4845">
        <v>0.91710639999999999</v>
      </c>
      <c r="AB4845">
        <v>21</v>
      </c>
      <c r="AC4845">
        <v>-8.11709999999999</v>
      </c>
      <c r="AD4845">
        <v>-1.10858969194</v>
      </c>
      <c r="AE4845">
        <v>-16.654699999999899</v>
      </c>
      <c r="AF4845">
        <v>7.3664646444160198</v>
      </c>
      <c r="AG4845">
        <v>-1.10858969194</v>
      </c>
      <c r="AH4845">
        <v>16.927986831999998</v>
      </c>
      <c r="AI4845">
        <v>93.436439930231003</v>
      </c>
      <c r="AJ4845">
        <v>66.483018518203494</v>
      </c>
      <c r="AK4845">
        <v>18.494607609972999</v>
      </c>
      <c r="AL4845">
        <v>81.818427165161197</v>
      </c>
      <c r="AM4845">
        <v>72.675705393301897</v>
      </c>
      <c r="AN4845">
        <v>1.00000000179106</v>
      </c>
    </row>
    <row r="4846" spans="1:40" x14ac:dyDescent="0.25">
      <c r="A4846" t="str">
        <f>"20190312172214036"</f>
        <v>20190312172214036</v>
      </c>
      <c r="B4846" t="str">
        <f>"1552382534025400"</f>
        <v>1552382534025400</v>
      </c>
      <c r="C4846" t="s">
        <v>40</v>
      </c>
      <c r="D4846">
        <v>3.2864360000000001</v>
      </c>
      <c r="E4846">
        <v>0.54511980000000004</v>
      </c>
      <c r="F4846" t="s">
        <v>62</v>
      </c>
      <c r="G4846">
        <v>-198.00790000000001</v>
      </c>
      <c r="H4846" s="1">
        <v>-1.360501E-5</v>
      </c>
      <c r="I4846">
        <v>154.7527</v>
      </c>
      <c r="J4846">
        <v>-189.79069999999999</v>
      </c>
      <c r="K4846">
        <v>1.1085739999999999</v>
      </c>
      <c r="L4846">
        <v>171.4982</v>
      </c>
      <c r="M4846">
        <v>-4.5154270000000003E-2</v>
      </c>
      <c r="N4846">
        <v>0</v>
      </c>
      <c r="O4846">
        <v>-0.99888679999999996</v>
      </c>
      <c r="P4846">
        <v>-0.33642040000000001</v>
      </c>
      <c r="Q4846">
        <v>0.1311727</v>
      </c>
      <c r="R4846">
        <v>-0.93253209999999997</v>
      </c>
      <c r="S4846">
        <v>-1.344009</v>
      </c>
      <c r="T4846">
        <v>-0.18114140000000001</v>
      </c>
      <c r="U4846">
        <v>-2.7581180000000001</v>
      </c>
      <c r="V4846">
        <v>0.2946375</v>
      </c>
      <c r="W4846">
        <v>0.1427175</v>
      </c>
      <c r="X4846">
        <v>0.94489179999999995</v>
      </c>
      <c r="Y4846">
        <v>0.39623740000000002</v>
      </c>
      <c r="Z4846">
        <v>5.9426920000000001E-2</v>
      </c>
      <c r="AA4846">
        <v>0.91622289999999995</v>
      </c>
      <c r="AB4846">
        <v>21</v>
      </c>
      <c r="AC4846">
        <v>-8.2172000000000196</v>
      </c>
      <c r="AD4846">
        <v>-1.1085876050100001</v>
      </c>
      <c r="AE4846">
        <v>-16.7454999999999</v>
      </c>
      <c r="AF4846">
        <v>7.4263845154823898</v>
      </c>
      <c r="AG4846">
        <v>-1.1085876050100001</v>
      </c>
      <c r="AH4846">
        <v>17.0393071425224</v>
      </c>
      <c r="AI4846">
        <v>93.413196302972295</v>
      </c>
      <c r="AJ4846">
        <v>66.450578382954205</v>
      </c>
      <c r="AK4846">
        <v>18.620368990624101</v>
      </c>
      <c r="AL4846">
        <v>81.794873302771904</v>
      </c>
      <c r="AM4846">
        <v>72.681403075235806</v>
      </c>
      <c r="AN4846">
        <v>1.0000000274598599</v>
      </c>
    </row>
    <row r="4847" spans="1:40" x14ac:dyDescent="0.25">
      <c r="A4847" t="str">
        <f>"20190312172214055"</f>
        <v>20190312172214055</v>
      </c>
      <c r="B4847" t="str">
        <f>"1552382534045896"</f>
        <v>1552382534045896</v>
      </c>
      <c r="C4847" t="s">
        <v>40</v>
      </c>
      <c r="D4847">
        <v>3.2838419999999999</v>
      </c>
      <c r="E4847">
        <v>0.54559609999999903</v>
      </c>
      <c r="F4847" t="s">
        <v>62</v>
      </c>
      <c r="G4847">
        <v>-196.47900000000001</v>
      </c>
      <c r="H4847" s="1">
        <v>-1.4614600000000001E-5</v>
      </c>
      <c r="I4847">
        <v>158.17400000000001</v>
      </c>
      <c r="J4847">
        <v>-189.8023</v>
      </c>
      <c r="K4847">
        <v>1.1085769999999999</v>
      </c>
      <c r="L4847">
        <v>171.3167</v>
      </c>
      <c r="M4847">
        <v>-4.8032079999999998E-2</v>
      </c>
      <c r="N4847">
        <v>0</v>
      </c>
      <c r="O4847">
        <v>-0.99875250000000004</v>
      </c>
      <c r="P4847">
        <v>-0.33921210000000002</v>
      </c>
      <c r="Q4847">
        <v>0.13172249999999999</v>
      </c>
      <c r="R4847">
        <v>-0.93144249999999995</v>
      </c>
      <c r="S4847">
        <v>-1.380951</v>
      </c>
      <c r="T4847">
        <v>-0.22889419999999999</v>
      </c>
      <c r="U4847">
        <v>-2.751099</v>
      </c>
      <c r="V4847">
        <v>0.29475190000000001</v>
      </c>
      <c r="W4847">
        <v>0.143264</v>
      </c>
      <c r="X4847">
        <v>0.94477339999999999</v>
      </c>
      <c r="Y4847">
        <v>0.403914</v>
      </c>
      <c r="Z4847">
        <v>7.4821289999999999E-2</v>
      </c>
      <c r="AA4847">
        <v>0.91173199999999999</v>
      </c>
      <c r="AB4847">
        <v>21</v>
      </c>
      <c r="AC4847">
        <v>-6.6767000000000101</v>
      </c>
      <c r="AD4847">
        <v>-1.1085916145999899</v>
      </c>
      <c r="AE4847">
        <v>-13.1426999999999</v>
      </c>
      <c r="AF4847">
        <v>6.0037086647798397</v>
      </c>
      <c r="AG4847">
        <v>-1.1085916145999899</v>
      </c>
      <c r="AH4847">
        <v>13.3726254992162</v>
      </c>
      <c r="AI4847">
        <v>94.324926518259502</v>
      </c>
      <c r="AJ4847">
        <v>65.822059843744199</v>
      </c>
      <c r="AK4847">
        <v>14.700360738492099</v>
      </c>
      <c r="AL4847">
        <v>81.763235967739405</v>
      </c>
      <c r="AM4847">
        <v>72.673039887451495</v>
      </c>
      <c r="AN4847">
        <v>1.0000000167985801</v>
      </c>
    </row>
    <row r="4848" spans="1:40" x14ac:dyDescent="0.25">
      <c r="A4848" t="str">
        <f>"20190312172214067"</f>
        <v>20190312172214067</v>
      </c>
      <c r="B4848" t="str">
        <f>"1552382534055658"</f>
        <v>1552382534055658</v>
      </c>
      <c r="C4848" t="s">
        <v>40</v>
      </c>
      <c r="D4848">
        <v>3.2816260000000002</v>
      </c>
      <c r="E4848">
        <v>0.54598930000000001</v>
      </c>
      <c r="F4848" t="s">
        <v>62</v>
      </c>
      <c r="G4848">
        <v>-196.74930000000001</v>
      </c>
      <c r="H4848" s="1">
        <v>-1.4477970000000001E-5</v>
      </c>
      <c r="I4848">
        <v>157.631</v>
      </c>
      <c r="J4848">
        <v>-189.80950000000001</v>
      </c>
      <c r="K4848">
        <v>1.1085860000000001</v>
      </c>
      <c r="L4848">
        <v>171.20779999999999</v>
      </c>
      <c r="M4848">
        <v>-4.9761710000000001E-2</v>
      </c>
      <c r="N4848">
        <v>0</v>
      </c>
      <c r="O4848">
        <v>-0.99866759999999999</v>
      </c>
      <c r="P4848">
        <v>-0.34095879999999901</v>
      </c>
      <c r="Q4848">
        <v>0.13213459999999999</v>
      </c>
      <c r="R4848">
        <v>-0.93074570000000001</v>
      </c>
      <c r="S4848">
        <v>-1.393311</v>
      </c>
      <c r="T4848">
        <v>-0.2223427</v>
      </c>
      <c r="U4848">
        <v>-2.7448429999999999</v>
      </c>
      <c r="V4848">
        <v>0.2948925</v>
      </c>
      <c r="W4848">
        <v>0.14367449999999901</v>
      </c>
      <c r="X4848">
        <v>0.94466719999999904</v>
      </c>
      <c r="Y4848">
        <v>0.40650249999999999</v>
      </c>
      <c r="Z4848">
        <v>7.2716840000000005E-2</v>
      </c>
      <c r="AA4848">
        <v>0.91075130000000004</v>
      </c>
      <c r="AB4848">
        <v>21</v>
      </c>
      <c r="AC4848">
        <v>-6.9397999999999902</v>
      </c>
      <c r="AD4848">
        <v>-1.1086004779700001</v>
      </c>
      <c r="AE4848">
        <v>-13.576799999999899</v>
      </c>
      <c r="AF4848">
        <v>6.22263867284168</v>
      </c>
      <c r="AG4848">
        <v>-1.1086004779700001</v>
      </c>
      <c r="AH4848">
        <v>13.8322251981236</v>
      </c>
      <c r="AI4848">
        <v>94.180357246028507</v>
      </c>
      <c r="AJ4848">
        <v>65.778671244726397</v>
      </c>
      <c r="AK4848">
        <v>15.2079150774886</v>
      </c>
      <c r="AL4848">
        <v>81.739470328161204</v>
      </c>
      <c r="AM4848">
        <v>72.663437841746102</v>
      </c>
      <c r="AN4848">
        <v>1.0000000336311601</v>
      </c>
    </row>
    <row r="4849" spans="1:40" x14ac:dyDescent="0.25">
      <c r="A4849" t="str">
        <f>"20190312172214079"</f>
        <v>20190312172214079</v>
      </c>
      <c r="B4849" t="str">
        <f>"1552382534075177"</f>
        <v>1552382534075177</v>
      </c>
      <c r="C4849" t="s">
        <v>40</v>
      </c>
      <c r="D4849">
        <v>3.2653340000000002</v>
      </c>
      <c r="E4849">
        <v>0.5464097</v>
      </c>
      <c r="F4849" t="s">
        <v>62</v>
      </c>
      <c r="G4849">
        <v>-196.79830000000001</v>
      </c>
      <c r="H4849" s="1">
        <v>-1.445438E-5</v>
      </c>
      <c r="I4849">
        <v>157.53729999999999</v>
      </c>
      <c r="J4849">
        <v>-189.81729999999999</v>
      </c>
      <c r="K4849">
        <v>1.1085879999999999</v>
      </c>
      <c r="L4849">
        <v>171.0917</v>
      </c>
      <c r="M4849">
        <v>-5.1606100000000002E-2</v>
      </c>
      <c r="N4849">
        <v>0</v>
      </c>
      <c r="O4849">
        <v>-0.99857430000000003</v>
      </c>
      <c r="P4849">
        <v>-0.34269719999999998</v>
      </c>
      <c r="Q4849">
        <v>0.13284799999999999</v>
      </c>
      <c r="R4849">
        <v>-0.93000559999999999</v>
      </c>
      <c r="S4849">
        <v>-1.401505</v>
      </c>
      <c r="T4849">
        <v>-0.2223117</v>
      </c>
      <c r="U4849">
        <v>-2.7413940000000001</v>
      </c>
      <c r="V4849">
        <v>0.29492059999999998</v>
      </c>
      <c r="W4849">
        <v>0.14438699999999999</v>
      </c>
      <c r="X4849">
        <v>0.94454970000000005</v>
      </c>
      <c r="Y4849">
        <v>0.4074391</v>
      </c>
      <c r="Z4849">
        <v>7.2715119999999994E-2</v>
      </c>
      <c r="AA4849">
        <v>0.9103329</v>
      </c>
      <c r="AB4849">
        <v>21</v>
      </c>
      <c r="AC4849">
        <v>-6.9810000000000203</v>
      </c>
      <c r="AD4849">
        <v>-1.1086024543799999</v>
      </c>
      <c r="AE4849">
        <v>-13.554399999999999</v>
      </c>
      <c r="AF4849">
        <v>6.2391548442839397</v>
      </c>
      <c r="AG4849">
        <v>-1.1086024543799999</v>
      </c>
      <c r="AH4849">
        <v>13.8235460390729</v>
      </c>
      <c r="AI4849">
        <v>94.180674406264103</v>
      </c>
      <c r="AJ4849">
        <v>65.708316939617205</v>
      </c>
      <c r="AK4849">
        <v>15.206790511714701</v>
      </c>
      <c r="AL4849">
        <v>81.698216253988903</v>
      </c>
      <c r="AM4849">
        <v>72.659857348182697</v>
      </c>
      <c r="AN4849">
        <v>0.999999950921723</v>
      </c>
    </row>
    <row r="4850" spans="1:40" x14ac:dyDescent="0.25">
      <c r="A4850" t="str">
        <f>"20190312172214091"</f>
        <v>20190312172214091</v>
      </c>
      <c r="B4850" t="str">
        <f>"1552382534084937"</f>
        <v>1552382534084937</v>
      </c>
      <c r="C4850" t="s">
        <v>40</v>
      </c>
      <c r="D4850">
        <v>3.2920029999999998</v>
      </c>
      <c r="E4850">
        <v>0.54659530000000001</v>
      </c>
      <c r="F4850" t="s">
        <v>62</v>
      </c>
      <c r="G4850">
        <v>-196.9032</v>
      </c>
      <c r="H4850" s="1">
        <v>-1.4403190000000001E-5</v>
      </c>
      <c r="I4850">
        <v>157.3338</v>
      </c>
      <c r="J4850">
        <v>-189.82490000000001</v>
      </c>
      <c r="K4850">
        <v>1.1085929999999999</v>
      </c>
      <c r="L4850">
        <v>170.98349999999999</v>
      </c>
      <c r="M4850">
        <v>-5.3326579999999998E-2</v>
      </c>
      <c r="N4850">
        <v>0</v>
      </c>
      <c r="O4850">
        <v>-0.99848380000000003</v>
      </c>
      <c r="P4850">
        <v>-0.34430309999999997</v>
      </c>
      <c r="Q4850">
        <v>0.1338346</v>
      </c>
      <c r="R4850">
        <v>-0.92927070000000001</v>
      </c>
      <c r="S4850">
        <v>-1.4100490000000001</v>
      </c>
      <c r="T4850">
        <v>-0.2206043</v>
      </c>
      <c r="U4850">
        <v>-2.737717</v>
      </c>
      <c r="V4850">
        <v>0.29493570000000002</v>
      </c>
      <c r="W4850">
        <v>0.14537310000000001</v>
      </c>
      <c r="X4850">
        <v>0.94439379999999995</v>
      </c>
      <c r="Y4850">
        <v>0.4086284</v>
      </c>
      <c r="Z4850">
        <v>7.2167209999999996E-2</v>
      </c>
      <c r="AA4850">
        <v>0.90984330000000002</v>
      </c>
      <c r="AB4850">
        <v>21</v>
      </c>
      <c r="AC4850">
        <v>-7.0782999999999801</v>
      </c>
      <c r="AD4850">
        <v>-1.10860740319</v>
      </c>
      <c r="AE4850">
        <v>-13.6496999999999</v>
      </c>
      <c r="AF4850">
        <v>6.3074775489019101</v>
      </c>
      <c r="AG4850">
        <v>-1.10860740319</v>
      </c>
      <c r="AH4850">
        <v>13.935328564976301</v>
      </c>
      <c r="AI4850">
        <v>94.145286348637697</v>
      </c>
      <c r="AJ4850">
        <v>65.647305528640302</v>
      </c>
      <c r="AK4850">
        <v>15.336448924641999</v>
      </c>
      <c r="AL4850">
        <v>81.641115055784098</v>
      </c>
      <c r="AM4850">
        <v>72.656331800297707</v>
      </c>
      <c r="AN4850">
        <v>1.0000000274082601</v>
      </c>
    </row>
    <row r="4851" spans="1:40" x14ac:dyDescent="0.25">
      <c r="A4851" t="str">
        <f>"20190312172214103"</f>
        <v>20190312172214103</v>
      </c>
      <c r="B4851" t="str">
        <f>"1552382534095673"</f>
        <v>1552382534095673</v>
      </c>
      <c r="C4851" t="s">
        <v>40</v>
      </c>
      <c r="D4851">
        <v>3.269523</v>
      </c>
      <c r="E4851">
        <v>0.54669559999999995</v>
      </c>
      <c r="F4851" t="s">
        <v>62</v>
      </c>
      <c r="G4851">
        <v>-197.04069999999999</v>
      </c>
      <c r="H4851" s="1">
        <v>-1.433273E-5</v>
      </c>
      <c r="I4851">
        <v>157.0538</v>
      </c>
      <c r="J4851">
        <v>-189.8331</v>
      </c>
      <c r="K4851">
        <v>1.1086020000000001</v>
      </c>
      <c r="L4851">
        <v>170.86760000000001</v>
      </c>
      <c r="M4851">
        <v>-5.516969E-2</v>
      </c>
      <c r="N4851">
        <v>0</v>
      </c>
      <c r="O4851">
        <v>-0.99838380000000004</v>
      </c>
      <c r="P4851">
        <v>-0.34610400000000002</v>
      </c>
      <c r="Q4851">
        <v>0.1344639</v>
      </c>
      <c r="R4851">
        <v>-0.92851050000000002</v>
      </c>
      <c r="S4851">
        <v>-1.4166719999999999</v>
      </c>
      <c r="T4851">
        <v>-0.21765029999999999</v>
      </c>
      <c r="U4851">
        <v>-2.7347869999999999</v>
      </c>
      <c r="V4851">
        <v>0.29503020000000002</v>
      </c>
      <c r="W4851">
        <v>0.14600189999999999</v>
      </c>
      <c r="X4851">
        <v>0.94426719999999997</v>
      </c>
      <c r="Y4851">
        <v>0.40911130000000001</v>
      </c>
      <c r="Z4851">
        <v>7.1217440000000007E-2</v>
      </c>
      <c r="AA4851">
        <v>0.90970099999999998</v>
      </c>
      <c r="AB4851">
        <v>21</v>
      </c>
      <c r="AC4851">
        <v>-7.2075999999999798</v>
      </c>
      <c r="AD4851">
        <v>-1.1086163327299901</v>
      </c>
      <c r="AE4851">
        <v>-13.813800000000001</v>
      </c>
      <c r="AF4851">
        <v>6.40203632550769</v>
      </c>
      <c r="AG4851">
        <v>-1.1086163327299901</v>
      </c>
      <c r="AH4851">
        <v>14.118958159030401</v>
      </c>
      <c r="AI4851">
        <v>94.090348258996201</v>
      </c>
      <c r="AJ4851">
        <v>65.608775059711903</v>
      </c>
      <c r="AK4851">
        <v>15.5422031508653</v>
      </c>
      <c r="AL4851">
        <v>81.604698358513005</v>
      </c>
      <c r="AM4851">
        <v>72.648921789895496</v>
      </c>
      <c r="AN4851">
        <v>0.99999995935574404</v>
      </c>
    </row>
    <row r="4852" spans="1:40" x14ac:dyDescent="0.25">
      <c r="A4852" t="str">
        <f>"20190312172214114"</f>
        <v>20190312172214114</v>
      </c>
      <c r="B4852" t="str">
        <f>"1552382534105432"</f>
        <v>1552382534105432</v>
      </c>
      <c r="C4852" t="s">
        <v>40</v>
      </c>
      <c r="D4852">
        <v>3.26911</v>
      </c>
      <c r="E4852">
        <v>0.546732199999999</v>
      </c>
      <c r="F4852" t="s">
        <v>62</v>
      </c>
      <c r="G4852">
        <v>-197.13419999999999</v>
      </c>
      <c r="H4852" s="1">
        <v>-1.428207E-5</v>
      </c>
      <c r="I4852">
        <v>156.85239999999999</v>
      </c>
      <c r="J4852">
        <v>-189.84119999999999</v>
      </c>
      <c r="K4852">
        <v>1.1086039999999999</v>
      </c>
      <c r="L4852">
        <v>170.7578</v>
      </c>
      <c r="M4852">
        <v>-5.6918280000000002E-2</v>
      </c>
      <c r="N4852">
        <v>0</v>
      </c>
      <c r="O4852">
        <v>-0.99828550000000005</v>
      </c>
      <c r="P4852">
        <v>-0.34762549999999998</v>
      </c>
      <c r="Q4852">
        <v>0.13519879999999901</v>
      </c>
      <c r="R4852">
        <v>-0.92783519999999997</v>
      </c>
      <c r="S4852">
        <v>-1.423111</v>
      </c>
      <c r="T4852">
        <v>-0.21608920000000001</v>
      </c>
      <c r="U4852">
        <v>-2.7318120000000001</v>
      </c>
      <c r="V4852">
        <v>0.29493249999999999</v>
      </c>
      <c r="W4852">
        <v>0.1467369</v>
      </c>
      <c r="X4852">
        <v>0.94418380000000002</v>
      </c>
      <c r="Y4852">
        <v>0.40962300000000001</v>
      </c>
      <c r="Z4852">
        <v>7.0722160000000006E-2</v>
      </c>
      <c r="AA4852">
        <v>0.90950940000000002</v>
      </c>
      <c r="AB4852">
        <v>21</v>
      </c>
      <c r="AC4852">
        <v>-7.2930000000000001</v>
      </c>
      <c r="AD4852">
        <v>-1.1086182820699999</v>
      </c>
      <c r="AE4852">
        <v>-13.9054</v>
      </c>
      <c r="AF4852">
        <v>6.45743932028034</v>
      </c>
      <c r="AG4852">
        <v>-1.1086182820699999</v>
      </c>
      <c r="AH4852">
        <v>14.227075078431101</v>
      </c>
      <c r="AI4852">
        <v>94.058693158404594</v>
      </c>
      <c r="AJ4852">
        <v>65.587470216779593</v>
      </c>
      <c r="AK4852">
        <v>15.663244311373001</v>
      </c>
      <c r="AL4852">
        <v>81.562127583539393</v>
      </c>
      <c r="AM4852">
        <v>72.652882673039201</v>
      </c>
      <c r="AN4852">
        <v>0.99999997278014896</v>
      </c>
    </row>
    <row r="4853" spans="1:40" x14ac:dyDescent="0.25">
      <c r="A4853" t="str">
        <f>"20190312172214125"</f>
        <v>20190312172214125</v>
      </c>
      <c r="B4853" t="str">
        <f>"1552382534115193"</f>
        <v>1552382534115193</v>
      </c>
      <c r="C4853" t="s">
        <v>40</v>
      </c>
      <c r="D4853">
        <v>3.246718</v>
      </c>
      <c r="E4853">
        <v>0.54678870000000002</v>
      </c>
      <c r="F4853" t="s">
        <v>62</v>
      </c>
      <c r="G4853">
        <v>-197.24189999999999</v>
      </c>
      <c r="H4853" s="1">
        <v>-1.4223290000000001E-5</v>
      </c>
      <c r="I4853">
        <v>156.6189</v>
      </c>
      <c r="J4853">
        <v>-189.84889999999999</v>
      </c>
      <c r="K4853">
        <v>1.1086100000000001</v>
      </c>
      <c r="L4853">
        <v>170.6551</v>
      </c>
      <c r="M4853">
        <v>-5.855403E-2</v>
      </c>
      <c r="N4853">
        <v>0</v>
      </c>
      <c r="O4853">
        <v>-0.99819089999999999</v>
      </c>
      <c r="P4853">
        <v>-0.349408099999999</v>
      </c>
      <c r="Q4853">
        <v>0.13601389999999999</v>
      </c>
      <c r="R4853">
        <v>-0.92704620000000004</v>
      </c>
      <c r="S4853">
        <v>-1.428574</v>
      </c>
      <c r="T4853">
        <v>-0.2140002</v>
      </c>
      <c r="U4853">
        <v>-2.729279</v>
      </c>
      <c r="V4853">
        <v>0.29521049999999999</v>
      </c>
      <c r="W4853">
        <v>0.1475486</v>
      </c>
      <c r="X4853">
        <v>0.94397039999999999</v>
      </c>
      <c r="Y4853">
        <v>0.40992669999999998</v>
      </c>
      <c r="Z4853">
        <v>7.0053820000000003E-2</v>
      </c>
      <c r="AA4853">
        <v>0.90942429999999996</v>
      </c>
      <c r="AB4853">
        <v>21</v>
      </c>
      <c r="AC4853">
        <v>-7.3929999999999998</v>
      </c>
      <c r="AD4853">
        <v>-1.1086242232899901</v>
      </c>
      <c r="AE4853">
        <v>-14.036199999999999</v>
      </c>
      <c r="AF4853">
        <v>6.52648798191127</v>
      </c>
      <c r="AG4853">
        <v>-1.1086242232899901</v>
      </c>
      <c r="AH4853">
        <v>14.374842903780801</v>
      </c>
      <c r="AI4853">
        <v>94.016922621218896</v>
      </c>
      <c r="AJ4853">
        <v>65.580929229275895</v>
      </c>
      <c r="AK4853">
        <v>15.825934460715899</v>
      </c>
      <c r="AL4853">
        <v>81.515108806348195</v>
      </c>
      <c r="AM4853">
        <v>72.633824756116894</v>
      </c>
      <c r="AN4853">
        <v>0.99999997237418403</v>
      </c>
    </row>
    <row r="4854" spans="1:40" x14ac:dyDescent="0.25">
      <c r="A4854" t="str">
        <f>"20190312172214137"</f>
        <v>20190312172214137</v>
      </c>
      <c r="B4854" t="str">
        <f>"1552382534124953"</f>
        <v>1552382534124953</v>
      </c>
      <c r="C4854" t="s">
        <v>40</v>
      </c>
      <c r="D4854">
        <v>3.4110749999999999</v>
      </c>
      <c r="E4854">
        <v>0.54678870000000002</v>
      </c>
      <c r="F4854" t="s">
        <v>62</v>
      </c>
      <c r="G4854">
        <v>-197.36510000000001</v>
      </c>
      <c r="H4854" s="1">
        <v>-1.416112E-5</v>
      </c>
      <c r="I4854">
        <v>156.3717</v>
      </c>
      <c r="J4854">
        <v>-189.85740000000001</v>
      </c>
      <c r="K4854">
        <v>1.108616</v>
      </c>
      <c r="L4854">
        <v>170.54419999999999</v>
      </c>
      <c r="M4854">
        <v>-6.0320940000000003E-2</v>
      </c>
      <c r="N4854">
        <v>0</v>
      </c>
      <c r="O4854">
        <v>-0.99808560000000002</v>
      </c>
      <c r="P4854">
        <v>-0.35133560000000003</v>
      </c>
      <c r="Q4854">
        <v>0.13679639999999901</v>
      </c>
      <c r="R4854">
        <v>-0.92620219999999998</v>
      </c>
      <c r="S4854">
        <v>-1.4346920000000001</v>
      </c>
      <c r="T4854">
        <v>-0.21161369999999999</v>
      </c>
      <c r="U4854">
        <v>-2.7263950000000001</v>
      </c>
      <c r="V4854">
        <v>0.29551349999999998</v>
      </c>
      <c r="W4854">
        <v>0.14832670000000001</v>
      </c>
      <c r="X4854">
        <v>0.94375370000000003</v>
      </c>
      <c r="Y4854">
        <v>0.4103329</v>
      </c>
      <c r="Z4854">
        <v>6.9289509999999999E-2</v>
      </c>
      <c r="AA4854">
        <v>0.90929970000000004</v>
      </c>
      <c r="AB4854">
        <v>21</v>
      </c>
      <c r="AC4854">
        <v>-7.5076999999999998</v>
      </c>
      <c r="AD4854">
        <v>-1.10863016112</v>
      </c>
      <c r="AE4854">
        <v>-14.1724999999999</v>
      </c>
      <c r="AF4854">
        <v>6.6074764154893302</v>
      </c>
      <c r="AG4854">
        <v>-1.10863016112</v>
      </c>
      <c r="AH4854">
        <v>14.530173970823</v>
      </c>
      <c r="AI4854">
        <v>93.973065923666994</v>
      </c>
      <c r="AJ4854">
        <v>65.546725905072904</v>
      </c>
      <c r="AK4854">
        <v>16.0004300266516</v>
      </c>
      <c r="AL4854">
        <v>81.470031554303304</v>
      </c>
      <c r="AM4854">
        <v>72.613322811709097</v>
      </c>
      <c r="AN4854">
        <v>1.00000004243941</v>
      </c>
    </row>
    <row r="4855" spans="1:40" x14ac:dyDescent="0.25">
      <c r="A4855" t="str">
        <f>"20190312172214149"</f>
        <v>20190312172214149</v>
      </c>
      <c r="B4855" t="str">
        <f>"1552382534145449"</f>
        <v>1552382534145449</v>
      </c>
      <c r="C4855" t="s">
        <v>40</v>
      </c>
      <c r="D4855">
        <v>3.2542960000000001</v>
      </c>
      <c r="E4855">
        <v>0.54695830000000001</v>
      </c>
      <c r="F4855" t="s">
        <v>62</v>
      </c>
      <c r="G4855">
        <v>-197.5001</v>
      </c>
      <c r="H4855" s="1">
        <v>-1.409243E-5</v>
      </c>
      <c r="I4855">
        <v>156.09870000000001</v>
      </c>
      <c r="J4855">
        <v>-189.8656</v>
      </c>
      <c r="K4855">
        <v>1.108617</v>
      </c>
      <c r="L4855">
        <v>170.4408</v>
      </c>
      <c r="M4855">
        <v>-6.1974599999999998E-2</v>
      </c>
      <c r="N4855">
        <v>0</v>
      </c>
      <c r="O4855">
        <v>-0.99798419999999999</v>
      </c>
      <c r="P4855">
        <v>-0.35315350000000001</v>
      </c>
      <c r="Q4855">
        <v>0.1374194</v>
      </c>
      <c r="R4855">
        <v>-0.92541810000000002</v>
      </c>
      <c r="S4855">
        <v>-1.4408570000000001</v>
      </c>
      <c r="T4855">
        <v>-0.209006</v>
      </c>
      <c r="U4855">
        <v>-2.7233580000000002</v>
      </c>
      <c r="V4855">
        <v>0.29581200000000002</v>
      </c>
      <c r="W4855">
        <v>0.14894579999999999</v>
      </c>
      <c r="X4855">
        <v>0.94356260000000003</v>
      </c>
      <c r="Y4855">
        <v>0.41087689999999999</v>
      </c>
      <c r="Z4855">
        <v>6.8453890000000003E-2</v>
      </c>
      <c r="AA4855">
        <v>0.90911730000000002</v>
      </c>
      <c r="AB4855">
        <v>21</v>
      </c>
      <c r="AC4855">
        <v>-7.6345000000000001</v>
      </c>
      <c r="AD4855">
        <v>-1.10863109242999</v>
      </c>
      <c r="AE4855">
        <v>-14.342099999999901</v>
      </c>
      <c r="AF4855">
        <v>6.6996998493760804</v>
      </c>
      <c r="AG4855">
        <v>-1.10863109242999</v>
      </c>
      <c r="AH4855">
        <v>14.7191840773839</v>
      </c>
      <c r="AI4855">
        <v>93.921583030010694</v>
      </c>
      <c r="AJ4855">
        <v>65.526496245070007</v>
      </c>
      <c r="AK4855">
        <v>16.210164122387699</v>
      </c>
      <c r="AL4855">
        <v>81.434160796737501</v>
      </c>
      <c r="AM4855">
        <v>72.593508594784396</v>
      </c>
      <c r="AN4855">
        <v>0.99999998540019996</v>
      </c>
    </row>
    <row r="4856" spans="1:40" x14ac:dyDescent="0.25">
      <c r="A4856" t="str">
        <f>"20190312172214165"</f>
        <v>20190312172214165</v>
      </c>
      <c r="B4856" t="str">
        <f>"1552382534155208"</f>
        <v>1552382534155208</v>
      </c>
      <c r="C4856" t="s">
        <v>40</v>
      </c>
      <c r="D4856">
        <v>3.2909630000000001</v>
      </c>
      <c r="E4856">
        <v>0.54704759999999997</v>
      </c>
      <c r="F4856" t="s">
        <v>62</v>
      </c>
      <c r="G4856">
        <v>-197.61949999999999</v>
      </c>
      <c r="H4856" s="1">
        <v>-1.4036779999999999E-5</v>
      </c>
      <c r="I4856">
        <v>155.8776</v>
      </c>
      <c r="J4856">
        <v>-189.87780000000001</v>
      </c>
      <c r="K4856">
        <v>1.1086210000000001</v>
      </c>
      <c r="L4856">
        <v>170.28880000000001</v>
      </c>
      <c r="M4856">
        <v>-6.4407809999999996E-2</v>
      </c>
      <c r="N4856">
        <v>0</v>
      </c>
      <c r="O4856">
        <v>-0.99783029999999995</v>
      </c>
      <c r="P4856">
        <v>-0.3566764</v>
      </c>
      <c r="Q4856">
        <v>0.1387012</v>
      </c>
      <c r="R4856">
        <v>-0.92387439999999998</v>
      </c>
      <c r="S4856">
        <v>-1.448151</v>
      </c>
      <c r="T4856">
        <v>-0.2070515</v>
      </c>
      <c r="U4856">
        <v>-2.7198639999999998</v>
      </c>
      <c r="V4856">
        <v>0.29712709999999998</v>
      </c>
      <c r="W4856">
        <v>0.15021119999999999</v>
      </c>
      <c r="X4856">
        <v>0.94294860000000003</v>
      </c>
      <c r="Y4856">
        <v>0.41105930000000002</v>
      </c>
      <c r="Z4856">
        <v>6.7834580000000005E-2</v>
      </c>
      <c r="AA4856">
        <v>0.90908129999999998</v>
      </c>
      <c r="AB4856">
        <v>21</v>
      </c>
      <c r="AC4856">
        <v>-7.7416999999999803</v>
      </c>
      <c r="AD4856">
        <v>-1.10863503677999</v>
      </c>
      <c r="AE4856">
        <v>-14.411199999999999</v>
      </c>
      <c r="AF4856">
        <v>6.7662671401519896</v>
      </c>
      <c r="AG4856">
        <v>-1.10863503677999</v>
      </c>
      <c r="AH4856">
        <v>14.8119182094145</v>
      </c>
      <c r="AI4856">
        <v>93.894709516054604</v>
      </c>
      <c r="AJ4856">
        <v>65.448494062012003</v>
      </c>
      <c r="AK4856">
        <v>16.321898287241599</v>
      </c>
      <c r="AL4856">
        <v>81.360833812965595</v>
      </c>
      <c r="AM4856">
        <v>72.510139563064698</v>
      </c>
      <c r="AN4856">
        <v>0.99999999020090502</v>
      </c>
    </row>
    <row r="4857" spans="1:40" x14ac:dyDescent="0.25">
      <c r="A4857" t="str">
        <f>"20190312172214177"</f>
        <v>20190312172214177</v>
      </c>
      <c r="B4857" t="str">
        <f>"1552382534164969"</f>
        <v>1552382534164969</v>
      </c>
      <c r="C4857" t="s">
        <v>40</v>
      </c>
      <c r="D4857">
        <v>3.254543</v>
      </c>
      <c r="E4857">
        <v>0.54713699999999998</v>
      </c>
      <c r="F4857" t="s">
        <v>62</v>
      </c>
      <c r="G4857">
        <v>-197.83850000000001</v>
      </c>
      <c r="H4857" s="1">
        <v>-1.390556E-5</v>
      </c>
      <c r="I4857">
        <v>155.48830000000001</v>
      </c>
      <c r="J4857">
        <v>-189.88749999999999</v>
      </c>
      <c r="K4857">
        <v>1.1086229999999999</v>
      </c>
      <c r="L4857">
        <v>170.1711</v>
      </c>
      <c r="M4857">
        <v>-6.629939E-2</v>
      </c>
      <c r="N4857">
        <v>0</v>
      </c>
      <c r="O4857">
        <v>-0.99770639999999999</v>
      </c>
      <c r="P4857">
        <v>-0.35890260000000002</v>
      </c>
      <c r="Q4857">
        <v>0.13965640000000001</v>
      </c>
      <c r="R4857">
        <v>-0.92286829999999997</v>
      </c>
      <c r="S4857">
        <v>-1.459854</v>
      </c>
      <c r="T4857">
        <v>-0.2033036</v>
      </c>
      <c r="U4857">
        <v>-2.7141419999999998</v>
      </c>
      <c r="V4857">
        <v>0.29762850000000002</v>
      </c>
      <c r="W4857">
        <v>0.15115689999999901</v>
      </c>
      <c r="X4857">
        <v>0.94263940000000002</v>
      </c>
      <c r="Y4857">
        <v>0.41320990000000002</v>
      </c>
      <c r="Z4857">
        <v>6.6625809999999994E-2</v>
      </c>
      <c r="AA4857">
        <v>0.90819530000000004</v>
      </c>
      <c r="AB4857">
        <v>21</v>
      </c>
      <c r="AC4857">
        <v>-7.9510000000000201</v>
      </c>
      <c r="AD4857">
        <v>-1.1086369055599901</v>
      </c>
      <c r="AE4857">
        <v>-14.682799999999901</v>
      </c>
      <c r="AF4857">
        <v>6.9294037602978298</v>
      </c>
      <c r="AG4857">
        <v>-1.1086369055599901</v>
      </c>
      <c r="AH4857">
        <v>15.1110684119593</v>
      </c>
      <c r="AI4857">
        <v>93.815320126139696</v>
      </c>
      <c r="AJ4857">
        <v>65.365477372845405</v>
      </c>
      <c r="AK4857">
        <v>16.661035406376001</v>
      </c>
      <c r="AL4857">
        <v>81.306024198679395</v>
      </c>
      <c r="AM4857">
        <v>72.477034906250395</v>
      </c>
      <c r="AN4857">
        <v>1.0000000854311</v>
      </c>
    </row>
    <row r="4858" spans="1:40" x14ac:dyDescent="0.25">
      <c r="A4858" t="str">
        <f>"20190312172214189"</f>
        <v>20190312172214189</v>
      </c>
      <c r="B4858" t="str">
        <f>"1552382534185465"</f>
        <v>1552382534185465</v>
      </c>
      <c r="C4858" t="s">
        <v>40</v>
      </c>
      <c r="D4858">
        <v>3.2217579999999999</v>
      </c>
      <c r="E4858">
        <v>0.54727320000000002</v>
      </c>
      <c r="F4858" t="s">
        <v>62</v>
      </c>
      <c r="G4858">
        <v>-197.98230000000001</v>
      </c>
      <c r="H4858" s="1">
        <v>-1.3802770000000001E-5</v>
      </c>
      <c r="I4858">
        <v>155.21899999999999</v>
      </c>
      <c r="J4858">
        <v>-189.89660000000001</v>
      </c>
      <c r="K4858">
        <v>1.1086210000000001</v>
      </c>
      <c r="L4858">
        <v>170.0643</v>
      </c>
      <c r="M4858">
        <v>-6.8023760000000003E-2</v>
      </c>
      <c r="N4858">
        <v>0</v>
      </c>
      <c r="O4858">
        <v>-0.99759030000000004</v>
      </c>
      <c r="P4858">
        <v>-0.36125810000000003</v>
      </c>
      <c r="Q4858">
        <v>0.14087079999999999</v>
      </c>
      <c r="R4858">
        <v>-0.92176400000000003</v>
      </c>
      <c r="S4858">
        <v>-1.4674069999999999</v>
      </c>
      <c r="T4858">
        <v>-0.2009727</v>
      </c>
      <c r="U4858">
        <v>-2.7104949999999999</v>
      </c>
      <c r="V4858">
        <v>0.29842740000000001</v>
      </c>
      <c r="W4858">
        <v>0.15235870000000001</v>
      </c>
      <c r="X4858">
        <v>0.94219319999999895</v>
      </c>
      <c r="Y4858">
        <v>0.41412929999999998</v>
      </c>
      <c r="Z4858">
        <v>6.5876210000000004E-2</v>
      </c>
      <c r="AA4858">
        <v>0.9078311</v>
      </c>
      <c r="AB4858">
        <v>21</v>
      </c>
      <c r="AC4858">
        <v>-8.0856999999999992</v>
      </c>
      <c r="AD4858">
        <v>-1.1086348027699999</v>
      </c>
      <c r="AE4858">
        <v>-14.8453</v>
      </c>
      <c r="AF4858">
        <v>7.0268177610089797</v>
      </c>
      <c r="AG4858">
        <v>-1.1086348027699999</v>
      </c>
      <c r="AH4858">
        <v>15.295193194890899</v>
      </c>
      <c r="AI4858">
        <v>93.768307914054603</v>
      </c>
      <c r="AJ4858">
        <v>65.325312630565406</v>
      </c>
      <c r="AK4858">
        <v>16.8685557722462</v>
      </c>
      <c r="AL4858">
        <v>81.236358995731095</v>
      </c>
      <c r="AM4858">
        <v>72.425081393333002</v>
      </c>
      <c r="AN4858">
        <v>1.00000005633134</v>
      </c>
    </row>
    <row r="4859" spans="1:40" x14ac:dyDescent="0.25">
      <c r="A4859" t="str">
        <f>"20190312172214203"</f>
        <v>20190312172214203</v>
      </c>
      <c r="B4859" t="str">
        <f>"1552382534195225"</f>
        <v>1552382534195225</v>
      </c>
      <c r="C4859" t="s">
        <v>40</v>
      </c>
      <c r="D4859">
        <v>3.234915</v>
      </c>
      <c r="E4859">
        <v>0.5473093</v>
      </c>
      <c r="F4859" t="s">
        <v>62</v>
      </c>
      <c r="G4859">
        <v>-198.1326</v>
      </c>
      <c r="H4859" s="1">
        <v>-1.37056E-5</v>
      </c>
      <c r="I4859">
        <v>154.9614</v>
      </c>
      <c r="J4859">
        <v>-189.90690000000001</v>
      </c>
      <c r="K4859">
        <v>1.1086240000000001</v>
      </c>
      <c r="L4859">
        <v>169.94499999999999</v>
      </c>
      <c r="M4859">
        <v>-6.9954160000000001E-2</v>
      </c>
      <c r="N4859">
        <v>0</v>
      </c>
      <c r="O4859">
        <v>-0.99745689999999998</v>
      </c>
      <c r="P4859">
        <v>-0.36379329999999999</v>
      </c>
      <c r="Q4859">
        <v>0.1421895</v>
      </c>
      <c r="R4859">
        <v>-0.92056349999999998</v>
      </c>
      <c r="S4859">
        <v>-1.4759370000000001</v>
      </c>
      <c r="T4859">
        <v>-0.19867470000000001</v>
      </c>
      <c r="U4859">
        <v>-2.706528</v>
      </c>
      <c r="V4859">
        <v>0.299220599999999</v>
      </c>
      <c r="W4859">
        <v>0.15366299999999999</v>
      </c>
      <c r="X4859">
        <v>0.94172959999999994</v>
      </c>
      <c r="Y4859">
        <v>0.4151569</v>
      </c>
      <c r="Z4859">
        <v>6.5134769999999995E-2</v>
      </c>
      <c r="AA4859">
        <v>0.90741519999999998</v>
      </c>
      <c r="AB4859">
        <v>21</v>
      </c>
      <c r="AC4859">
        <v>-8.2256999999999891</v>
      </c>
      <c r="AD4859">
        <v>-1.1086377056000001</v>
      </c>
      <c r="AE4859">
        <v>-14.9835999999999</v>
      </c>
      <c r="AF4859">
        <v>7.1272997422099698</v>
      </c>
      <c r="AG4859">
        <v>-1.1086377056000001</v>
      </c>
      <c r="AH4859">
        <v>15.4573373289229</v>
      </c>
      <c r="AI4859">
        <v>93.726527163498304</v>
      </c>
      <c r="AJ4859">
        <v>65.245813173021304</v>
      </c>
      <c r="AK4859">
        <v>17.057454572054301</v>
      </c>
      <c r="AL4859">
        <v>81.160736792234601</v>
      </c>
      <c r="AM4859">
        <v>72.373117989263207</v>
      </c>
      <c r="AN4859">
        <v>0.99999996227475896</v>
      </c>
    </row>
    <row r="4860" spans="1:40" x14ac:dyDescent="0.25">
      <c r="A4860" t="str">
        <f>"20190312172214223"</f>
        <v>20190312172214223</v>
      </c>
      <c r="B4860" t="str">
        <f>"1552382534215720"</f>
        <v>1552382534215720</v>
      </c>
      <c r="C4860" t="s">
        <v>40</v>
      </c>
      <c r="D4860">
        <v>3.234861</v>
      </c>
      <c r="E4860">
        <v>0.54731090000000004</v>
      </c>
      <c r="F4860" t="s">
        <v>62</v>
      </c>
      <c r="G4860">
        <v>-198.32509999999999</v>
      </c>
      <c r="H4860" s="1">
        <v>-1.357505E-5</v>
      </c>
      <c r="I4860">
        <v>154.6173</v>
      </c>
      <c r="J4860">
        <v>-189.92449999999999</v>
      </c>
      <c r="K4860">
        <v>1.1086259999999999</v>
      </c>
      <c r="L4860">
        <v>169.7483</v>
      </c>
      <c r="M4860">
        <v>-7.3166910000000002E-2</v>
      </c>
      <c r="N4860">
        <v>0</v>
      </c>
      <c r="O4860">
        <v>-0.99722650000000002</v>
      </c>
      <c r="P4860">
        <v>-0.3684924</v>
      </c>
      <c r="Q4860">
        <v>0.144794799999999</v>
      </c>
      <c r="R4860">
        <v>-0.91828569999999998</v>
      </c>
      <c r="S4860">
        <v>-1.4842679999999999</v>
      </c>
      <c r="T4860">
        <v>-0.1954719</v>
      </c>
      <c r="U4860">
        <v>-2.7025450000000002</v>
      </c>
      <c r="V4860">
        <v>0.30104880000000001</v>
      </c>
      <c r="W4860">
        <v>0.1562366</v>
      </c>
      <c r="X4860">
        <v>0.94072299999999998</v>
      </c>
      <c r="Y4860">
        <v>0.4149736</v>
      </c>
      <c r="Z4860">
        <v>6.4107689999999995E-2</v>
      </c>
      <c r="AA4860">
        <v>0.90757220000000005</v>
      </c>
      <c r="AB4860">
        <v>21</v>
      </c>
      <c r="AC4860">
        <v>-8.4005999999999901</v>
      </c>
      <c r="AD4860">
        <v>-1.10863957505</v>
      </c>
      <c r="AE4860">
        <v>-15.130999999999901</v>
      </c>
      <c r="AF4860">
        <v>7.2411738569489197</v>
      </c>
      <c r="AG4860">
        <v>-1.10863957505</v>
      </c>
      <c r="AH4860">
        <v>15.6409567329412</v>
      </c>
      <c r="AI4860">
        <v>93.680295856163198</v>
      </c>
      <c r="AJ4860">
        <v>65.157640504836905</v>
      </c>
      <c r="AK4860">
        <v>17.2714564543835</v>
      </c>
      <c r="AL4860">
        <v>81.011478045805504</v>
      </c>
      <c r="AM4860">
        <v>72.254364843683405</v>
      </c>
      <c r="AN4860">
        <v>1.0000000089449901</v>
      </c>
    </row>
    <row r="4861" spans="1:40" x14ac:dyDescent="0.25">
      <c r="A4861" t="str">
        <f>"20190312172214237"</f>
        <v>20190312172214237</v>
      </c>
      <c r="B4861" t="str">
        <f>"1552382534225481"</f>
        <v>1552382534225481</v>
      </c>
      <c r="C4861" t="s">
        <v>40</v>
      </c>
      <c r="D4861">
        <v>3.2405300000000001</v>
      </c>
      <c r="E4861">
        <v>0.54731090000000004</v>
      </c>
      <c r="F4861" t="s">
        <v>62</v>
      </c>
      <c r="G4861">
        <v>-198.721</v>
      </c>
      <c r="H4861" s="1">
        <v>-1.344005E-5</v>
      </c>
      <c r="I4861">
        <v>153.9419</v>
      </c>
      <c r="J4861">
        <v>-189.93600000000001</v>
      </c>
      <c r="K4861">
        <v>1.1086229999999999</v>
      </c>
      <c r="L4861">
        <v>169.62440000000001</v>
      </c>
      <c r="M4861">
        <v>-7.5205300000000003E-2</v>
      </c>
      <c r="N4861">
        <v>0</v>
      </c>
      <c r="O4861">
        <v>-0.99707480000000004</v>
      </c>
      <c r="P4861">
        <v>-0.37113099999999999</v>
      </c>
      <c r="Q4861">
        <v>0.14600009999999999</v>
      </c>
      <c r="R4861">
        <v>-0.91703109999999999</v>
      </c>
      <c r="S4861">
        <v>-1.499771</v>
      </c>
      <c r="T4861">
        <v>-0.18901999999999999</v>
      </c>
      <c r="U4861">
        <v>-2.6949459999999998</v>
      </c>
      <c r="V4861">
        <v>0.3018555</v>
      </c>
      <c r="W4861">
        <v>0.15742519999999999</v>
      </c>
      <c r="X4861">
        <v>0.9402663</v>
      </c>
      <c r="Y4861">
        <v>0.4182515</v>
      </c>
      <c r="Z4861">
        <v>6.2009160000000001E-2</v>
      </c>
      <c r="AA4861">
        <v>0.90621220000000002</v>
      </c>
      <c r="AB4861">
        <v>21</v>
      </c>
      <c r="AC4861">
        <v>-8.7849999999999895</v>
      </c>
      <c r="AD4861">
        <v>-1.1086364400499999</v>
      </c>
      <c r="AE4861">
        <v>-15.682499999999999</v>
      </c>
      <c r="AF4861">
        <v>7.5518741820375102</v>
      </c>
      <c r="AG4861">
        <v>-1.1086364400499999</v>
      </c>
      <c r="AH4861">
        <v>16.237057392519599</v>
      </c>
      <c r="AI4861">
        <v>93.542637863315406</v>
      </c>
      <c r="AJ4861">
        <v>65.056807063586305</v>
      </c>
      <c r="AK4861">
        <v>17.941625098789299</v>
      </c>
      <c r="AL4861">
        <v>80.942523601770702</v>
      </c>
      <c r="AM4861">
        <v>72.201711533050798</v>
      </c>
      <c r="AN4861">
        <v>1.0000000756954801</v>
      </c>
    </row>
    <row r="4862" spans="1:40" x14ac:dyDescent="0.25">
      <c r="A4862" t="str">
        <f>"20190312172214249"</f>
        <v>20190312172214249</v>
      </c>
      <c r="B4862" t="str">
        <f>"1552382534245977"</f>
        <v>1552382534245977</v>
      </c>
      <c r="C4862" t="s">
        <v>40</v>
      </c>
      <c r="D4862">
        <v>3.2539359999999999</v>
      </c>
      <c r="E4862">
        <v>0.54636030000000002</v>
      </c>
      <c r="F4862" t="s">
        <v>62</v>
      </c>
      <c r="G4862">
        <v>-198.98</v>
      </c>
      <c r="H4862" s="1">
        <v>-1.3350070000000001E-5</v>
      </c>
      <c r="I4862">
        <v>153.49299999999999</v>
      </c>
      <c r="J4862">
        <v>-189.94669999999999</v>
      </c>
      <c r="K4862">
        <v>1.108616</v>
      </c>
      <c r="L4862">
        <v>169.511</v>
      </c>
      <c r="M4862">
        <v>-7.7086039999999995E-2</v>
      </c>
      <c r="N4862">
        <v>0</v>
      </c>
      <c r="O4862">
        <v>-0.99693089999999995</v>
      </c>
      <c r="P4862">
        <v>-0.37363580000000002</v>
      </c>
      <c r="Q4862">
        <v>0.14714650000000001</v>
      </c>
      <c r="R4862">
        <v>-0.91583000000000003</v>
      </c>
      <c r="S4862">
        <v>-1.508362</v>
      </c>
      <c r="T4862">
        <v>-0.1848988</v>
      </c>
      <c r="U4862">
        <v>-2.6903990000000002</v>
      </c>
      <c r="V4862">
        <v>0.302676</v>
      </c>
      <c r="W4862">
        <v>0.158554799999999</v>
      </c>
      <c r="X4862">
        <v>0.93981250000000005</v>
      </c>
      <c r="Y4862">
        <v>0.41943350000000001</v>
      </c>
      <c r="Z4862">
        <v>6.0676969999999997E-2</v>
      </c>
      <c r="AA4862">
        <v>0.90575589999999995</v>
      </c>
      <c r="AB4862">
        <v>21</v>
      </c>
      <c r="AC4862">
        <v>-9.0332999999999899</v>
      </c>
      <c r="AD4862">
        <v>-1.10862935007</v>
      </c>
      <c r="AE4862">
        <v>-16.018000000000001</v>
      </c>
      <c r="AF4862">
        <v>7.7433941859544104</v>
      </c>
      <c r="AG4862">
        <v>-1.10862935007</v>
      </c>
      <c r="AH4862">
        <v>16.6063812197137</v>
      </c>
      <c r="AI4862">
        <v>93.462449769644905</v>
      </c>
      <c r="AJ4862">
        <v>65.000817757593097</v>
      </c>
      <c r="AK4862">
        <v>18.356500477198001</v>
      </c>
      <c r="AL4862">
        <v>80.876978037044495</v>
      </c>
      <c r="AM4862">
        <v>72.148327471623801</v>
      </c>
      <c r="AN4862">
        <v>0.99999996036764405</v>
      </c>
    </row>
    <row r="4863" spans="1:40" x14ac:dyDescent="0.25">
      <c r="A4863" t="str">
        <f>"20190312172214262"</f>
        <v>20190312172214262</v>
      </c>
      <c r="B4863" t="str">
        <f>"1552382534255738"</f>
        <v>1552382534255738</v>
      </c>
      <c r="C4863" t="s">
        <v>40</v>
      </c>
      <c r="D4863">
        <v>3.259652</v>
      </c>
      <c r="E4863">
        <v>0.54659499999999905</v>
      </c>
      <c r="F4863" t="s">
        <v>62</v>
      </c>
      <c r="G4863">
        <v>-197.93279999999999</v>
      </c>
      <c r="H4863" s="1">
        <v>-1.3826989999999999E-5</v>
      </c>
      <c r="I4863">
        <v>155.28569999999999</v>
      </c>
      <c r="J4863">
        <v>-189.95820000000001</v>
      </c>
      <c r="K4863">
        <v>1.108606</v>
      </c>
      <c r="L4863">
        <v>169.39160000000001</v>
      </c>
      <c r="M4863">
        <v>-7.9073039999999997E-2</v>
      </c>
      <c r="N4863">
        <v>0</v>
      </c>
      <c r="O4863">
        <v>-0.99677539999999998</v>
      </c>
      <c r="P4863">
        <v>-0.37656650000000003</v>
      </c>
      <c r="Q4863">
        <v>0.14778749999999999</v>
      </c>
      <c r="R4863">
        <v>-0.91452560000000005</v>
      </c>
      <c r="S4863">
        <v>-1.5116879999999999</v>
      </c>
      <c r="T4863">
        <v>-0.20985219999999999</v>
      </c>
      <c r="U4863">
        <v>-2.6927029999999998</v>
      </c>
      <c r="V4863">
        <v>0.30382920000000002</v>
      </c>
      <c r="W4863">
        <v>0.1591767</v>
      </c>
      <c r="X4863">
        <v>0.93933520000000004</v>
      </c>
      <c r="Y4863">
        <v>0.41788910000000001</v>
      </c>
      <c r="Z4863">
        <v>6.876438E-2</v>
      </c>
      <c r="AA4863">
        <v>0.90589189999999997</v>
      </c>
      <c r="AB4863">
        <v>21</v>
      </c>
      <c r="AC4863">
        <v>-7.9745999999999801</v>
      </c>
      <c r="AD4863">
        <v>-1.1086198269900001</v>
      </c>
      <c r="AE4863">
        <v>-14.1059</v>
      </c>
      <c r="AF4863">
        <v>6.8022851259307702</v>
      </c>
      <c r="AG4863">
        <v>-1.1086198269900001</v>
      </c>
      <c r="AH4863">
        <v>14.623906889448</v>
      </c>
      <c r="AI4863">
        <v>93.932128467307905</v>
      </c>
      <c r="AJ4863">
        <v>65.054587374578702</v>
      </c>
      <c r="AK4863">
        <v>16.1665943713109</v>
      </c>
      <c r="AL4863">
        <v>80.840887916486807</v>
      </c>
      <c r="AM4863">
        <v>72.076131273842506</v>
      </c>
      <c r="AN4863">
        <v>1.00000001127728</v>
      </c>
    </row>
    <row r="4864" spans="1:40" x14ac:dyDescent="0.25">
      <c r="A4864" t="str">
        <f>"20190312172214276"</f>
        <v>20190312172214276</v>
      </c>
      <c r="B4864" t="str">
        <f>"1552382534265497"</f>
        <v>1552382534265497</v>
      </c>
      <c r="C4864" t="s">
        <v>40</v>
      </c>
      <c r="D4864">
        <v>3.2439770000000001</v>
      </c>
      <c r="E4864">
        <v>0.54682839999999999</v>
      </c>
      <c r="F4864" t="s">
        <v>62</v>
      </c>
      <c r="G4864">
        <v>-198.07490000000001</v>
      </c>
      <c r="H4864" s="1">
        <v>-1.37473799999999E-5</v>
      </c>
      <c r="I4864">
        <v>155.07079999999999</v>
      </c>
      <c r="J4864">
        <v>-189.9716</v>
      </c>
      <c r="K4864">
        <v>1.1086020000000001</v>
      </c>
      <c r="L4864">
        <v>169.25559999999999</v>
      </c>
      <c r="M4864">
        <v>-8.1359239999999999E-2</v>
      </c>
      <c r="N4864">
        <v>0</v>
      </c>
      <c r="O4864">
        <v>-0.99659129999999996</v>
      </c>
      <c r="P4864">
        <v>-0.3801911</v>
      </c>
      <c r="Q4864">
        <v>0.15015970000000001</v>
      </c>
      <c r="R4864">
        <v>-0.91263740000000004</v>
      </c>
      <c r="S4864">
        <v>-1.5229029999999999</v>
      </c>
      <c r="T4864">
        <v>-0.20800579999999999</v>
      </c>
      <c r="U4864">
        <v>-2.686966</v>
      </c>
      <c r="V4864">
        <v>0.30545129999999998</v>
      </c>
      <c r="W4864">
        <v>0.16151960000000001</v>
      </c>
      <c r="X4864">
        <v>0.93840869999999998</v>
      </c>
      <c r="Y4864">
        <v>0.4195179</v>
      </c>
      <c r="Z4864">
        <v>6.8177290000000002E-2</v>
      </c>
      <c r="AA4864">
        <v>0.90518319999999997</v>
      </c>
      <c r="AB4864">
        <v>21</v>
      </c>
      <c r="AC4864">
        <v>-8.1033000000000097</v>
      </c>
      <c r="AD4864">
        <v>-1.10861574738</v>
      </c>
      <c r="AE4864">
        <v>-14.1847999999999</v>
      </c>
      <c r="AF4864">
        <v>6.8905260869577099</v>
      </c>
      <c r="AG4864">
        <v>-1.10861574738</v>
      </c>
      <c r="AH4864">
        <v>14.729273265827</v>
      </c>
      <c r="AI4864">
        <v>93.900103498157605</v>
      </c>
      <c r="AJ4864">
        <v>64.929257864650396</v>
      </c>
      <c r="AK4864">
        <v>16.299075727469599</v>
      </c>
      <c r="AL4864">
        <v>80.704889593358402</v>
      </c>
      <c r="AM4864">
        <v>71.969971570394307</v>
      </c>
      <c r="AN4864">
        <v>0.99999998304576898</v>
      </c>
    </row>
    <row r="4865" spans="1:40" x14ac:dyDescent="0.25">
      <c r="A4865" t="str">
        <f>"20190312172214287"</f>
        <v>20190312172214287</v>
      </c>
      <c r="B4865" t="str">
        <f>"1552382534275257"</f>
        <v>1552382534275257</v>
      </c>
      <c r="C4865" t="s">
        <v>40</v>
      </c>
      <c r="D4865">
        <v>3.245914</v>
      </c>
      <c r="E4865">
        <v>0.54669179999999995</v>
      </c>
      <c r="F4865" t="s">
        <v>62</v>
      </c>
      <c r="G4865">
        <v>-198.49600000000001</v>
      </c>
      <c r="H4865" s="1">
        <v>-1.35329399999999E-5</v>
      </c>
      <c r="I4865">
        <v>154.3904</v>
      </c>
      <c r="J4865">
        <v>-189.98179999999999</v>
      </c>
      <c r="K4865">
        <v>1.1086</v>
      </c>
      <c r="L4865">
        <v>169.1542</v>
      </c>
      <c r="M4865">
        <v>-8.3077590000000007E-2</v>
      </c>
      <c r="N4865">
        <v>0</v>
      </c>
      <c r="O4865">
        <v>-0.99644960000000005</v>
      </c>
      <c r="P4865">
        <v>-0.38271929999999998</v>
      </c>
      <c r="Q4865">
        <v>0.1508989</v>
      </c>
      <c r="R4865">
        <v>-0.91145810000000005</v>
      </c>
      <c r="S4865">
        <v>-1.536789</v>
      </c>
      <c r="T4865">
        <v>-0.19986100000000001</v>
      </c>
      <c r="U4865">
        <v>-2.6799010000000001</v>
      </c>
      <c r="V4865">
        <v>0.3064537</v>
      </c>
      <c r="W4865">
        <v>0.16224050000000001</v>
      </c>
      <c r="X4865">
        <v>0.9379575</v>
      </c>
      <c r="Y4865">
        <v>0.42259970000000002</v>
      </c>
      <c r="Z4865">
        <v>6.5528160000000002E-2</v>
      </c>
      <c r="AA4865">
        <v>0.90394439999999998</v>
      </c>
      <c r="AB4865">
        <v>21</v>
      </c>
      <c r="AC4865">
        <v>-8.5141999999999793</v>
      </c>
      <c r="AD4865">
        <v>-1.10861353294</v>
      </c>
      <c r="AE4865">
        <v>-14.7638</v>
      </c>
      <c r="AF4865">
        <v>7.2275247238420297</v>
      </c>
      <c r="AG4865">
        <v>-1.10861353294</v>
      </c>
      <c r="AH4865">
        <v>15.355186224914799</v>
      </c>
      <c r="AI4865">
        <v>93.737453089140402</v>
      </c>
      <c r="AJ4865">
        <v>64.794127046953605</v>
      </c>
      <c r="AK4865">
        <v>17.0072890726588</v>
      </c>
      <c r="AL4865">
        <v>80.663033728024601</v>
      </c>
      <c r="AM4865">
        <v>71.906516316006005</v>
      </c>
      <c r="AN4865">
        <v>1.0000000609450901</v>
      </c>
    </row>
    <row r="4866" spans="1:40" x14ac:dyDescent="0.25">
      <c r="A4866" t="str">
        <f>"20190312172214299"</f>
        <v>20190312172214299</v>
      </c>
      <c r="B4866" t="str">
        <f>"1552382534295752"</f>
        <v>1552382534295752</v>
      </c>
      <c r="C4866" t="s">
        <v>40</v>
      </c>
      <c r="D4866">
        <v>3.231125</v>
      </c>
      <c r="E4866">
        <v>0.54617039999999994</v>
      </c>
      <c r="F4866" t="s">
        <v>62</v>
      </c>
      <c r="G4866">
        <v>-198.59389999999999</v>
      </c>
      <c r="H4866" s="1">
        <v>-1.349936E-5</v>
      </c>
      <c r="I4866">
        <v>154.22239999999999</v>
      </c>
      <c r="J4866">
        <v>-189.99299999999999</v>
      </c>
      <c r="K4866">
        <v>1.1085959999999999</v>
      </c>
      <c r="L4866">
        <v>169.04519999999999</v>
      </c>
      <c r="M4866">
        <v>-8.4930050000000007E-2</v>
      </c>
      <c r="N4866">
        <v>0</v>
      </c>
      <c r="O4866">
        <v>-0.9962936</v>
      </c>
      <c r="P4866">
        <v>-0.38534069999999998</v>
      </c>
      <c r="Q4866">
        <v>0.1518217</v>
      </c>
      <c r="R4866">
        <v>-0.9101996</v>
      </c>
      <c r="S4866">
        <v>-1.543533</v>
      </c>
      <c r="T4866">
        <v>-0.1986964</v>
      </c>
      <c r="U4866">
        <v>-2.6762079999999999</v>
      </c>
      <c r="V4866">
        <v>0.3074327</v>
      </c>
      <c r="W4866">
        <v>0.16314429999999999</v>
      </c>
      <c r="X4866">
        <v>0.93748019999999999</v>
      </c>
      <c r="Y4866">
        <v>0.42317680000000002</v>
      </c>
      <c r="Z4866">
        <v>6.5162689999999995E-2</v>
      </c>
      <c r="AA4866">
        <v>0.90370079999999997</v>
      </c>
      <c r="AB4866">
        <v>21</v>
      </c>
      <c r="AC4866">
        <v>-8.6008999999999904</v>
      </c>
      <c r="AD4866">
        <v>-1.10860949936</v>
      </c>
      <c r="AE4866">
        <v>-14.822800000000001</v>
      </c>
      <c r="AF4866">
        <v>7.2803340471505997</v>
      </c>
      <c r="AG4866">
        <v>-1.10860949936</v>
      </c>
      <c r="AH4866">
        <v>15.435184818751599</v>
      </c>
      <c r="AI4866">
        <v>93.716719959948804</v>
      </c>
      <c r="AJ4866">
        <v>64.748092206156997</v>
      </c>
      <c r="AK4866">
        <v>17.101965069815598</v>
      </c>
      <c r="AL4866">
        <v>80.610550235931498</v>
      </c>
      <c r="AM4866">
        <v>71.843864867345303</v>
      </c>
      <c r="AN4866">
        <v>1.0000000265219</v>
      </c>
    </row>
    <row r="4867" spans="1:40" x14ac:dyDescent="0.25">
      <c r="A4867" t="str">
        <f>"20190312172214311"</f>
        <v>20190312172214311</v>
      </c>
      <c r="B4867" t="str">
        <f>"1552382534305513"</f>
        <v>1552382534305513</v>
      </c>
      <c r="C4867" t="s">
        <v>40</v>
      </c>
      <c r="D4867">
        <v>3.2305350000000002</v>
      </c>
      <c r="E4867">
        <v>0.54592799999999997</v>
      </c>
      <c r="F4867" t="s">
        <v>62</v>
      </c>
      <c r="G4867">
        <v>-198.59190000000001</v>
      </c>
      <c r="H4867" s="1">
        <v>-1.3491979999999999E-5</v>
      </c>
      <c r="I4867">
        <v>154.19380000000001</v>
      </c>
      <c r="J4867">
        <v>-190.00399999999999</v>
      </c>
      <c r="K4867">
        <v>1.1085910000000001</v>
      </c>
      <c r="L4867">
        <v>168.9402</v>
      </c>
      <c r="M4867">
        <v>-8.6734019999999995E-2</v>
      </c>
      <c r="N4867">
        <v>0</v>
      </c>
      <c r="O4867">
        <v>-0.99613819999999997</v>
      </c>
      <c r="P4867">
        <v>-0.38774690000000001</v>
      </c>
      <c r="Q4867">
        <v>0.15263829999999901</v>
      </c>
      <c r="R4867">
        <v>-0.90904039999999997</v>
      </c>
      <c r="S4867">
        <v>-1.548141</v>
      </c>
      <c r="T4867">
        <v>-0.19959160000000001</v>
      </c>
      <c r="U4867">
        <v>-2.673813</v>
      </c>
      <c r="V4867">
        <v>0.30823640000000002</v>
      </c>
      <c r="W4867">
        <v>0.16394400000000001</v>
      </c>
      <c r="X4867">
        <v>0.93707669999999998</v>
      </c>
      <c r="Y4867">
        <v>0.4230447</v>
      </c>
      <c r="Z4867">
        <v>6.5465629999999997E-2</v>
      </c>
      <c r="AA4867">
        <v>0.90374080000000001</v>
      </c>
      <c r="AB4867">
        <v>21</v>
      </c>
      <c r="AC4867">
        <v>-8.5878999999999905</v>
      </c>
      <c r="AD4867">
        <v>-1.10860449197999</v>
      </c>
      <c r="AE4867">
        <v>-14.7463999999999</v>
      </c>
      <c r="AF4867">
        <v>7.2458171002596403</v>
      </c>
      <c r="AG4867">
        <v>-1.10860449197999</v>
      </c>
      <c r="AH4867">
        <v>15.3708795940308</v>
      </c>
      <c r="AI4867">
        <v>93.732599473497402</v>
      </c>
      <c r="AJ4867">
        <v>64.760857502435798</v>
      </c>
      <c r="AK4867">
        <v>17.0292339482505</v>
      </c>
      <c r="AL4867">
        <v>80.564105479162706</v>
      </c>
      <c r="AM4867">
        <v>71.7922059936121</v>
      </c>
      <c r="AN4867">
        <v>1.0000000275519201</v>
      </c>
    </row>
    <row r="4868" spans="1:40" x14ac:dyDescent="0.25">
      <c r="A4868" t="str">
        <f>"20190312172214324"</f>
        <v>20190312172214324</v>
      </c>
      <c r="B4868" t="str">
        <f>"1552382534315273"</f>
        <v>1552382534315273</v>
      </c>
      <c r="C4868" t="s">
        <v>40</v>
      </c>
      <c r="D4868">
        <v>3.222559</v>
      </c>
      <c r="E4868">
        <v>0.54570090000000004</v>
      </c>
      <c r="F4868" t="s">
        <v>62</v>
      </c>
      <c r="G4868">
        <v>-198.679</v>
      </c>
      <c r="H4868" s="1">
        <v>-1.345877E-5</v>
      </c>
      <c r="I4868">
        <v>154.03110000000001</v>
      </c>
      <c r="J4868">
        <v>-190.0162</v>
      </c>
      <c r="K4868">
        <v>1.1085830000000001</v>
      </c>
      <c r="L4868">
        <v>168.8262</v>
      </c>
      <c r="M4868">
        <v>-8.8702119999999995E-2</v>
      </c>
      <c r="N4868">
        <v>0</v>
      </c>
      <c r="O4868">
        <v>-0.99596479999999998</v>
      </c>
      <c r="P4868">
        <v>-0.39057510000000001</v>
      </c>
      <c r="Q4868">
        <v>0.15368309999999999</v>
      </c>
      <c r="R4868">
        <v>-0.90765260000000003</v>
      </c>
      <c r="S4868">
        <v>-1.5539700000000001</v>
      </c>
      <c r="T4868">
        <v>-0.1985866</v>
      </c>
      <c r="U4868">
        <v>-2.6707000000000001</v>
      </c>
      <c r="V4868">
        <v>0.30932969999999999</v>
      </c>
      <c r="W4868">
        <v>0.16496749999999999</v>
      </c>
      <c r="X4868">
        <v>0.93653660000000005</v>
      </c>
      <c r="Y4868">
        <v>0.4231973</v>
      </c>
      <c r="Z4868">
        <v>6.5149869999999999E-2</v>
      </c>
      <c r="AA4868">
        <v>0.90369219999999895</v>
      </c>
      <c r="AB4868">
        <v>21</v>
      </c>
      <c r="AC4868">
        <v>-8.6628000000000007</v>
      </c>
      <c r="AD4868">
        <v>-1.1085964587699999</v>
      </c>
      <c r="AE4868">
        <v>-14.7950999999999</v>
      </c>
      <c r="AF4868">
        <v>7.2857055571337401</v>
      </c>
      <c r="AG4868">
        <v>-1.1085964587699999</v>
      </c>
      <c r="AH4868">
        <v>15.440691052713699</v>
      </c>
      <c r="AI4868">
        <v>93.715097815671697</v>
      </c>
      <c r="AJ4868">
        <v>64.739671437391905</v>
      </c>
      <c r="AK4868">
        <v>17.109220664863699</v>
      </c>
      <c r="AL4868">
        <v>80.504653241200202</v>
      </c>
      <c r="AM4868">
        <v>71.722070718288407</v>
      </c>
      <c r="AN4868">
        <v>0.99999997124894902</v>
      </c>
    </row>
    <row r="4869" spans="1:40" x14ac:dyDescent="0.25">
      <c r="A4869" t="str">
        <f>"20190312172214334"</f>
        <v>20190312172214334</v>
      </c>
      <c r="B4869" t="str">
        <f>"1552382534326009"</f>
        <v>1552382534326009</v>
      </c>
      <c r="C4869" t="s">
        <v>40</v>
      </c>
      <c r="D4869">
        <v>3.235398</v>
      </c>
      <c r="E4869">
        <v>0.54550240000000005</v>
      </c>
      <c r="F4869" t="s">
        <v>62</v>
      </c>
      <c r="G4869">
        <v>-198.8193</v>
      </c>
      <c r="H4869" s="1">
        <v>-1.341125E-5</v>
      </c>
      <c r="I4869">
        <v>153.7928</v>
      </c>
      <c r="J4869">
        <v>-190.02760000000001</v>
      </c>
      <c r="K4869">
        <v>1.1085780000000001</v>
      </c>
      <c r="L4869">
        <v>168.72130000000001</v>
      </c>
      <c r="M4869">
        <v>-9.0524869999999993E-2</v>
      </c>
      <c r="N4869">
        <v>0</v>
      </c>
      <c r="O4869">
        <v>-0.99580060000000004</v>
      </c>
      <c r="P4869">
        <v>-0.39298100000000002</v>
      </c>
      <c r="Q4869">
        <v>0.15498870000000001</v>
      </c>
      <c r="R4869">
        <v>-0.90639099999999995</v>
      </c>
      <c r="S4869">
        <v>-1.5614779999999999</v>
      </c>
      <c r="T4869">
        <v>-0.19664010000000001</v>
      </c>
      <c r="U4869">
        <v>-2.6665800000000002</v>
      </c>
      <c r="V4869">
        <v>0.31013210000000002</v>
      </c>
      <c r="W4869">
        <v>0.16625409999999999</v>
      </c>
      <c r="X4869">
        <v>0.93604359999999998</v>
      </c>
      <c r="Y4869">
        <v>0.42406359999999899</v>
      </c>
      <c r="Z4869">
        <v>6.4527349999999997E-2</v>
      </c>
      <c r="AA4869">
        <v>0.90333070000000004</v>
      </c>
      <c r="AB4869">
        <v>21</v>
      </c>
      <c r="AC4869">
        <v>-8.7916999999999899</v>
      </c>
      <c r="AD4869">
        <v>-1.1085914112499999</v>
      </c>
      <c r="AE4869">
        <v>-14.9285</v>
      </c>
      <c r="AF4869">
        <v>7.3738775595985802</v>
      </c>
      <c r="AG4869">
        <v>-1.1085914112499999</v>
      </c>
      <c r="AH4869">
        <v>15.5992658508908</v>
      </c>
      <c r="AI4869">
        <v>93.676207751537405</v>
      </c>
      <c r="AJ4869">
        <v>64.699584583066397</v>
      </c>
      <c r="AK4869">
        <v>17.289885490303799</v>
      </c>
      <c r="AL4869">
        <v>80.429904404396893</v>
      </c>
      <c r="AM4869">
        <v>71.668816033432194</v>
      </c>
      <c r="AN4869">
        <v>0.999999983159089</v>
      </c>
    </row>
    <row r="4870" spans="1:40" x14ac:dyDescent="0.25">
      <c r="A4870" t="str">
        <f>"20190312172214346"</f>
        <v>20190312172214346</v>
      </c>
      <c r="B4870" t="str">
        <f>"1552382534335769"</f>
        <v>1552382534335769</v>
      </c>
      <c r="C4870" t="s">
        <v>40</v>
      </c>
      <c r="D4870">
        <v>3.2135829999999999</v>
      </c>
      <c r="E4870">
        <v>0.54526219999999903</v>
      </c>
      <c r="F4870" t="s">
        <v>62</v>
      </c>
      <c r="G4870">
        <v>-198.9941</v>
      </c>
      <c r="H4870" s="1">
        <v>-1.33506399999999E-5</v>
      </c>
      <c r="I4870">
        <v>153.49029999999999</v>
      </c>
      <c r="J4870">
        <v>-190.0394</v>
      </c>
      <c r="K4870">
        <v>1.1085700000000001</v>
      </c>
      <c r="L4870">
        <v>168.6148</v>
      </c>
      <c r="M4870">
        <v>-9.2387979999999995E-2</v>
      </c>
      <c r="N4870">
        <v>0</v>
      </c>
      <c r="O4870">
        <v>-0.99562949999999995</v>
      </c>
      <c r="P4870">
        <v>-0.39563540000000003</v>
      </c>
      <c r="Q4870">
        <v>0.15624839999999901</v>
      </c>
      <c r="R4870">
        <v>-0.90501880000000001</v>
      </c>
      <c r="S4870">
        <v>-1.567841</v>
      </c>
      <c r="T4870">
        <v>-0.1938435</v>
      </c>
      <c r="U4870">
        <v>-2.6632229999999999</v>
      </c>
      <c r="V4870">
        <v>0.3111563</v>
      </c>
      <c r="W4870">
        <v>0.16749339999999999</v>
      </c>
      <c r="X4870">
        <v>0.93548260000000005</v>
      </c>
      <c r="Y4870">
        <v>0.42449999999999999</v>
      </c>
      <c r="Z4870">
        <v>6.3623280000000004E-2</v>
      </c>
      <c r="AA4870">
        <v>0.90318980000000004</v>
      </c>
      <c r="AB4870">
        <v>21</v>
      </c>
      <c r="AC4870">
        <v>-8.9547000000000008</v>
      </c>
      <c r="AD4870">
        <v>-1.10858335064</v>
      </c>
      <c r="AE4870">
        <v>-15.124499999999999</v>
      </c>
      <c r="AF4870">
        <v>7.4891501655067501</v>
      </c>
      <c r="AG4870">
        <v>-1.10858335064</v>
      </c>
      <c r="AH4870">
        <v>15.824236382064001</v>
      </c>
      <c r="AI4870">
        <v>93.623269652743403</v>
      </c>
      <c r="AJ4870">
        <v>64.673169646489796</v>
      </c>
      <c r="AK4870">
        <v>17.542029082243101</v>
      </c>
      <c r="AL4870">
        <v>80.357887995136196</v>
      </c>
      <c r="AM4870">
        <v>71.602059242072599</v>
      </c>
      <c r="AN4870">
        <v>0.99999998848800498</v>
      </c>
    </row>
    <row r="4871" spans="1:40" x14ac:dyDescent="0.25">
      <c r="A4871" t="str">
        <f>"20190312172214359"</f>
        <v>20190312172214359</v>
      </c>
      <c r="B4871" t="str">
        <f>"1552382534355289"</f>
        <v>1552382534355289</v>
      </c>
      <c r="C4871" t="s">
        <v>40</v>
      </c>
      <c r="D4871">
        <v>3.2369479999999999</v>
      </c>
      <c r="E4871">
        <v>0.54270680000000004</v>
      </c>
      <c r="F4871" t="s">
        <v>62</v>
      </c>
      <c r="G4871">
        <v>-199.17339999999999</v>
      </c>
      <c r="H4871" s="1">
        <v>-1.329082E-5</v>
      </c>
      <c r="I4871">
        <v>153.1893</v>
      </c>
      <c r="J4871">
        <v>-190.0523</v>
      </c>
      <c r="K4871">
        <v>1.108557</v>
      </c>
      <c r="L4871">
        <v>168.49959999999999</v>
      </c>
      <c r="M4871">
        <v>-9.4410499999999994E-2</v>
      </c>
      <c r="N4871">
        <v>0</v>
      </c>
      <c r="O4871">
        <v>-0.99543979999999999</v>
      </c>
      <c r="P4871">
        <v>-0.39826250000000002</v>
      </c>
      <c r="Q4871">
        <v>0.1572171</v>
      </c>
      <c r="R4871">
        <v>-0.90369840000000001</v>
      </c>
      <c r="S4871">
        <v>-1.5747530000000001</v>
      </c>
      <c r="T4871">
        <v>-0.1911255</v>
      </c>
      <c r="U4871">
        <v>-2.659424</v>
      </c>
      <c r="V4871">
        <v>0.31199969999999999</v>
      </c>
      <c r="W4871">
        <v>0.16844339999999999</v>
      </c>
      <c r="X4871">
        <v>0.93503099999999995</v>
      </c>
      <c r="Y4871">
        <v>0.42499369999999997</v>
      </c>
      <c r="Z4871">
        <v>6.274747E-2</v>
      </c>
      <c r="AA4871">
        <v>0.90301889999999996</v>
      </c>
      <c r="AB4871">
        <v>21</v>
      </c>
      <c r="AC4871">
        <v>-9.1210999999999807</v>
      </c>
      <c r="AD4871">
        <v>-1.1085702908199999</v>
      </c>
      <c r="AE4871">
        <v>-15.3102999999999</v>
      </c>
      <c r="AF4871">
        <v>7.6053356800351199</v>
      </c>
      <c r="AG4871">
        <v>-1.1085702908199999</v>
      </c>
      <c r="AH4871">
        <v>16.041039766802601</v>
      </c>
      <c r="AI4871">
        <v>93.573217641106595</v>
      </c>
      <c r="AJ4871">
        <v>64.633557105585396</v>
      </c>
      <c r="AK4871">
        <v>17.787214950515601</v>
      </c>
      <c r="AL4871">
        <v>80.302672451624503</v>
      </c>
      <c r="AM4871">
        <v>71.547256376697703</v>
      </c>
      <c r="AN4871">
        <v>0.99999998138232404</v>
      </c>
    </row>
    <row r="4872" spans="1:40" x14ac:dyDescent="0.25">
      <c r="A4872" t="str">
        <f>"20190312172214371"</f>
        <v>20190312172214371</v>
      </c>
      <c r="B4872" t="str">
        <f>"1552382534366025"</f>
        <v>1552382534366025</v>
      </c>
      <c r="C4872" t="s">
        <v>40</v>
      </c>
      <c r="D4872">
        <v>3.2151200000000002</v>
      </c>
      <c r="E4872">
        <v>0.54307969999999905</v>
      </c>
      <c r="F4872" t="s">
        <v>62</v>
      </c>
      <c r="G4872">
        <v>-198.41499999999999</v>
      </c>
      <c r="H4872" s="1">
        <v>-1.3494760000000001E-5</v>
      </c>
      <c r="I4872">
        <v>154.2672</v>
      </c>
      <c r="J4872">
        <v>-190.06549999999999</v>
      </c>
      <c r="K4872">
        <v>1.108554</v>
      </c>
      <c r="L4872">
        <v>168.38550000000001</v>
      </c>
      <c r="M4872">
        <v>-9.6429500000000001E-2</v>
      </c>
      <c r="N4872">
        <v>0</v>
      </c>
      <c r="O4872">
        <v>-0.99524630000000003</v>
      </c>
      <c r="P4872">
        <v>-0.40085870000000001</v>
      </c>
      <c r="Q4872">
        <v>0.15855439999999901</v>
      </c>
      <c r="R4872">
        <v>-0.90231550000000005</v>
      </c>
      <c r="S4872">
        <v>-1.566238</v>
      </c>
      <c r="T4872">
        <v>-0.20762359999999999</v>
      </c>
      <c r="U4872">
        <v>-2.6655730000000002</v>
      </c>
      <c r="V4872">
        <v>0.31282569999999998</v>
      </c>
      <c r="W4872">
        <v>0.1697631</v>
      </c>
      <c r="X4872">
        <v>0.93451629999999997</v>
      </c>
      <c r="Y4872">
        <v>0.4199193</v>
      </c>
      <c r="Z4872">
        <v>6.811789E-2</v>
      </c>
      <c r="AA4872">
        <v>0.90500150000000001</v>
      </c>
      <c r="AB4872">
        <v>21</v>
      </c>
      <c r="AC4872">
        <v>-8.3495000000000008</v>
      </c>
      <c r="AD4872">
        <v>-1.1085674947599999</v>
      </c>
      <c r="AE4872">
        <v>-14.1183</v>
      </c>
      <c r="AF4872">
        <v>6.9174377636374098</v>
      </c>
      <c r="AG4872">
        <v>-1.1085674947599999</v>
      </c>
      <c r="AH4872">
        <v>14.7901485641862</v>
      </c>
      <c r="AI4872">
        <v>93.884089018058205</v>
      </c>
      <c r="AJ4872">
        <v>64.934236936572603</v>
      </c>
      <c r="AK4872">
        <v>16.3654624638271</v>
      </c>
      <c r="AL4872">
        <v>80.225955228455405</v>
      </c>
      <c r="AM4872">
        <v>71.492230341835196</v>
      </c>
      <c r="AN4872">
        <v>1.0000000718338899</v>
      </c>
    </row>
    <row r="4873" spans="1:40" x14ac:dyDescent="0.25">
      <c r="A4873" t="str">
        <f>"20190312172214384"</f>
        <v>20190312172214384</v>
      </c>
      <c r="B4873" t="str">
        <f>"1552382534375786"</f>
        <v>1552382534375786</v>
      </c>
      <c r="C4873" t="s">
        <v>40</v>
      </c>
      <c r="D4873">
        <v>3.235932</v>
      </c>
      <c r="E4873">
        <v>0.54291529999999999</v>
      </c>
      <c r="F4873" t="s">
        <v>62</v>
      </c>
      <c r="G4873">
        <v>-198.62559999999999</v>
      </c>
      <c r="H4873" s="1">
        <v>-1.3434589999999899E-5</v>
      </c>
      <c r="I4873">
        <v>153.9538</v>
      </c>
      <c r="J4873">
        <v>-190.07919999999999</v>
      </c>
      <c r="K4873">
        <v>1.1085510000000001</v>
      </c>
      <c r="L4873">
        <v>168.26849999999999</v>
      </c>
      <c r="M4873">
        <v>-9.8507250000000005E-2</v>
      </c>
      <c r="N4873">
        <v>0</v>
      </c>
      <c r="O4873">
        <v>-0.99504289999999995</v>
      </c>
      <c r="P4873">
        <v>-0.40373769999999998</v>
      </c>
      <c r="Q4873">
        <v>0.15972729999999999</v>
      </c>
      <c r="R4873">
        <v>-0.90082399999999996</v>
      </c>
      <c r="S4873">
        <v>-1.5776520000000001</v>
      </c>
      <c r="T4873">
        <v>-0.20431279999999999</v>
      </c>
      <c r="U4873">
        <v>-2.659805</v>
      </c>
      <c r="V4873">
        <v>0.31389020000000001</v>
      </c>
      <c r="W4873">
        <v>0.1709166</v>
      </c>
      <c r="X4873">
        <v>0.93394889999999997</v>
      </c>
      <c r="Y4873">
        <v>0.42179670000000002</v>
      </c>
      <c r="Z4873">
        <v>6.7042190000000002E-2</v>
      </c>
      <c r="AA4873">
        <v>0.90420840000000002</v>
      </c>
      <c r="AB4873">
        <v>20</v>
      </c>
      <c r="AC4873">
        <v>-8.5464000000000002</v>
      </c>
      <c r="AD4873">
        <v>-1.1085644345899901</v>
      </c>
      <c r="AE4873">
        <v>-14.314699999999901</v>
      </c>
      <c r="AF4873">
        <v>7.0633631111995703</v>
      </c>
      <c r="AG4873">
        <v>-1.1085644345899901</v>
      </c>
      <c r="AH4873">
        <v>15.020614672646101</v>
      </c>
      <c r="AI4873">
        <v>93.820941941072803</v>
      </c>
      <c r="AJ4873">
        <v>64.814997150762807</v>
      </c>
      <c r="AK4873">
        <v>16.635470498017298</v>
      </c>
      <c r="AL4873">
        <v>80.158884062919498</v>
      </c>
      <c r="AM4873">
        <v>71.4230559030553</v>
      </c>
      <c r="AN4873">
        <v>1.0000000448113999</v>
      </c>
    </row>
    <row r="4874" spans="1:40" x14ac:dyDescent="0.25">
      <c r="A4874" t="str">
        <f>"20190312172214395"</f>
        <v>20190312172214395</v>
      </c>
      <c r="B4874" t="str">
        <f>"1552382534385545"</f>
        <v>1552382534385545</v>
      </c>
      <c r="C4874" t="s">
        <v>40</v>
      </c>
      <c r="D4874">
        <v>3.1972589999999999</v>
      </c>
      <c r="E4874">
        <v>0.54262699999999997</v>
      </c>
      <c r="F4874" t="s">
        <v>62</v>
      </c>
      <c r="G4874">
        <v>-198.77789999999999</v>
      </c>
      <c r="H4874" s="1">
        <v>-1.3385379999999899E-5</v>
      </c>
      <c r="I4874">
        <v>153.7046</v>
      </c>
      <c r="J4874">
        <v>-190.09219999999999</v>
      </c>
      <c r="K4874">
        <v>1.1085529999999999</v>
      </c>
      <c r="L4874">
        <v>168.15969999999999</v>
      </c>
      <c r="M4874">
        <v>-0.10044930000000001</v>
      </c>
      <c r="N4874">
        <v>0</v>
      </c>
      <c r="O4874">
        <v>-0.99484859999999997</v>
      </c>
      <c r="P4874">
        <v>-0.4064083</v>
      </c>
      <c r="Q4874">
        <v>0.1609931</v>
      </c>
      <c r="R4874">
        <v>-0.89939650000000004</v>
      </c>
      <c r="S4874">
        <v>-1.5859529999999999</v>
      </c>
      <c r="T4874">
        <v>-0.20211390000000001</v>
      </c>
      <c r="U4874">
        <v>-2.6553040000000001</v>
      </c>
      <c r="V4874">
        <v>0.31487159999999997</v>
      </c>
      <c r="W4874">
        <v>0.17216529999999899</v>
      </c>
      <c r="X4874">
        <v>0.93338889999999997</v>
      </c>
      <c r="Y4874">
        <v>0.42281039999999998</v>
      </c>
      <c r="Z4874">
        <v>6.6334879999999999E-2</v>
      </c>
      <c r="AA4874">
        <v>0.90378709999999995</v>
      </c>
      <c r="AB4874">
        <v>20</v>
      </c>
      <c r="AC4874">
        <v>-8.68569999999999</v>
      </c>
      <c r="AD4874">
        <v>-1.1085663853799901</v>
      </c>
      <c r="AE4874">
        <v>-14.4550999999999</v>
      </c>
      <c r="AF4874">
        <v>7.1586868851496801</v>
      </c>
      <c r="AG4874">
        <v>-1.1085663853799901</v>
      </c>
      <c r="AH4874">
        <v>15.1888940921281</v>
      </c>
      <c r="AI4874">
        <v>93.777191773120805</v>
      </c>
      <c r="AJ4874">
        <v>64.765000891761602</v>
      </c>
      <c r="AK4874">
        <v>16.827900079697802</v>
      </c>
      <c r="AL4874">
        <v>80.0862611672746</v>
      </c>
      <c r="AM4874">
        <v>71.358570920698398</v>
      </c>
      <c r="AN4874">
        <v>0.99999992682692695</v>
      </c>
    </row>
    <row r="4875" spans="1:40" x14ac:dyDescent="0.25">
      <c r="A4875" t="str">
        <f>"20190312172214412"</f>
        <v>20190312172214412</v>
      </c>
      <c r="B4875" t="str">
        <f>"1552382534406041"</f>
        <v>1552382534406041</v>
      </c>
      <c r="C4875" t="s">
        <v>40</v>
      </c>
      <c r="D4875">
        <v>3.203071</v>
      </c>
      <c r="E4875">
        <v>0.54217839999999995</v>
      </c>
      <c r="F4875" t="s">
        <v>62</v>
      </c>
      <c r="G4875">
        <v>-198.9408</v>
      </c>
      <c r="H4875" s="1">
        <v>-1.3329630000000001E-5</v>
      </c>
      <c r="I4875">
        <v>153.4256</v>
      </c>
      <c r="J4875">
        <v>-190.1096</v>
      </c>
      <c r="K4875">
        <v>1.1085560000000001</v>
      </c>
      <c r="L4875">
        <v>168.01679999999999</v>
      </c>
      <c r="M4875">
        <v>-0.1030117</v>
      </c>
      <c r="N4875">
        <v>0</v>
      </c>
      <c r="O4875">
        <v>-0.99458670000000005</v>
      </c>
      <c r="P4875">
        <v>-0.41037129999999999</v>
      </c>
      <c r="Q4875">
        <v>0.16333979999999901</v>
      </c>
      <c r="R4875">
        <v>-0.8971713</v>
      </c>
      <c r="S4875">
        <v>-1.592484</v>
      </c>
      <c r="T4875">
        <v>-0.1995093</v>
      </c>
      <c r="U4875">
        <v>-2.6517029999999999</v>
      </c>
      <c r="V4875">
        <v>0.31664589999999998</v>
      </c>
      <c r="W4875">
        <v>0.17448379999999999</v>
      </c>
      <c r="X4875">
        <v>0.93235769999999996</v>
      </c>
      <c r="Y4875">
        <v>0.42268349999999999</v>
      </c>
      <c r="Z4875">
        <v>6.5497230000000004E-2</v>
      </c>
      <c r="AA4875">
        <v>0.90390749999999997</v>
      </c>
      <c r="AB4875">
        <v>20</v>
      </c>
      <c r="AC4875">
        <v>-8.8311999999999902</v>
      </c>
      <c r="AD4875">
        <v>-1.1085693296300001</v>
      </c>
      <c r="AE4875">
        <v>-14.591199999999899</v>
      </c>
      <c r="AF4875">
        <v>7.2503760975148897</v>
      </c>
      <c r="AG4875">
        <v>-1.1085693296300001</v>
      </c>
      <c r="AH4875">
        <v>15.3584795318492</v>
      </c>
      <c r="AI4875">
        <v>93.734512837266607</v>
      </c>
      <c r="AJ4875">
        <v>64.729108612851604</v>
      </c>
      <c r="AK4875">
        <v>17.019981581783298</v>
      </c>
      <c r="AL4875">
        <v>79.951380658013903</v>
      </c>
      <c r="AM4875">
        <v>71.241563700783004</v>
      </c>
      <c r="AN4875">
        <v>1.00000005159926</v>
      </c>
    </row>
    <row r="4876" spans="1:40" x14ac:dyDescent="0.25">
      <c r="A4876" t="str">
        <f>"20190312172214426"</f>
        <v>20190312172214426</v>
      </c>
      <c r="B4876" t="str">
        <f>"1552382534415801"</f>
        <v>1552382534415801</v>
      </c>
      <c r="C4876" t="s">
        <v>40</v>
      </c>
      <c r="D4876">
        <v>3.211589</v>
      </c>
      <c r="E4876">
        <v>0.54217839999999995</v>
      </c>
      <c r="F4876" t="s">
        <v>62</v>
      </c>
      <c r="G4876">
        <v>-199.22890000000001</v>
      </c>
      <c r="H4876" s="1">
        <v>-1.32375E-5</v>
      </c>
      <c r="I4876">
        <v>152.95779999999999</v>
      </c>
      <c r="J4876">
        <v>-190.12530000000001</v>
      </c>
      <c r="K4876">
        <v>1.1085579999999999</v>
      </c>
      <c r="L4876">
        <v>167.8903</v>
      </c>
      <c r="M4876">
        <v>-0.10528800000000001</v>
      </c>
      <c r="N4876">
        <v>0</v>
      </c>
      <c r="O4876">
        <v>-0.99434820000000002</v>
      </c>
      <c r="P4876">
        <v>-0.41312379999999999</v>
      </c>
      <c r="Q4876">
        <v>0.16449220000000001</v>
      </c>
      <c r="R4876">
        <v>-0.89569619999999905</v>
      </c>
      <c r="S4876">
        <v>-1.602554</v>
      </c>
      <c r="T4876">
        <v>-0.19481010000000001</v>
      </c>
      <c r="U4876">
        <v>-2.6463320000000001</v>
      </c>
      <c r="V4876">
        <v>0.3174053</v>
      </c>
      <c r="W4876">
        <v>0.17562320000000001</v>
      </c>
      <c r="X4876">
        <v>0.93188539999999997</v>
      </c>
      <c r="Y4876">
        <v>0.42399140000000002</v>
      </c>
      <c r="Z4876">
        <v>6.3970040000000006E-2</v>
      </c>
      <c r="AA4876">
        <v>0.90340419999999999</v>
      </c>
      <c r="AB4876">
        <v>20</v>
      </c>
      <c r="AC4876">
        <v>-9.1036000000000001</v>
      </c>
      <c r="AD4876">
        <v>-1.1085712375000001</v>
      </c>
      <c r="AE4876">
        <v>-14.932499999999999</v>
      </c>
      <c r="AF4876">
        <v>7.4506942991445104</v>
      </c>
      <c r="AG4876">
        <v>-1.1085712375000001</v>
      </c>
      <c r="AH4876">
        <v>15.7448124125569</v>
      </c>
      <c r="AI4876">
        <v>93.641535634088001</v>
      </c>
      <c r="AJ4876">
        <v>64.675746825514395</v>
      </c>
      <c r="AK4876">
        <v>17.453964983192801</v>
      </c>
      <c r="AL4876">
        <v>79.885073634067197</v>
      </c>
      <c r="AM4876">
        <v>71.190874410753295</v>
      </c>
      <c r="AN4876">
        <v>1.00000001578974</v>
      </c>
    </row>
    <row r="4877" spans="1:40" x14ac:dyDescent="0.25">
      <c r="A4877" t="str">
        <f>"20190312172214441"</f>
        <v>20190312172214441</v>
      </c>
      <c r="B4877" t="str">
        <f>"1552382534435321"</f>
        <v>1552382534435321</v>
      </c>
      <c r="C4877" t="s">
        <v>40</v>
      </c>
      <c r="D4877">
        <v>3.1893720000000001</v>
      </c>
      <c r="E4877">
        <v>0.54127429999999999</v>
      </c>
      <c r="F4877" t="s">
        <v>62</v>
      </c>
      <c r="G4877">
        <v>-199.47489999999999</v>
      </c>
      <c r="H4877" s="1">
        <v>-1.3160379999999901E-5</v>
      </c>
      <c r="I4877">
        <v>152.56460000000001</v>
      </c>
      <c r="J4877">
        <v>-190.1429</v>
      </c>
      <c r="K4877">
        <v>1.108563</v>
      </c>
      <c r="L4877">
        <v>167.75139999999999</v>
      </c>
      <c r="M4877">
        <v>-0.1077946</v>
      </c>
      <c r="N4877">
        <v>0</v>
      </c>
      <c r="O4877">
        <v>-0.9940795</v>
      </c>
      <c r="P4877">
        <v>-0.41629549999999998</v>
      </c>
      <c r="Q4877">
        <v>0.16552939999999999</v>
      </c>
      <c r="R4877">
        <v>-0.89403489999999997</v>
      </c>
      <c r="S4877">
        <v>-1.6113280000000001</v>
      </c>
      <c r="T4877">
        <v>-0.1910539</v>
      </c>
      <c r="U4877">
        <v>-2.6412659999999999</v>
      </c>
      <c r="V4877">
        <v>0.31838719999999998</v>
      </c>
      <c r="W4877">
        <v>0.176646</v>
      </c>
      <c r="X4877">
        <v>0.93135699999999999</v>
      </c>
      <c r="Y4877">
        <v>0.4247068</v>
      </c>
      <c r="Z4877">
        <v>6.2757300000000002E-2</v>
      </c>
      <c r="AA4877">
        <v>0.90315319999999999</v>
      </c>
      <c r="AB4877">
        <v>20</v>
      </c>
      <c r="AC4877">
        <v>-9.3319999999999901</v>
      </c>
      <c r="AD4877">
        <v>-1.10857616038</v>
      </c>
      <c r="AE4877">
        <v>-15.1867999999999</v>
      </c>
      <c r="AF4877">
        <v>7.6109677399265596</v>
      </c>
      <c r="AG4877">
        <v>-1.10857616038</v>
      </c>
      <c r="AH4877">
        <v>16.0422751911637</v>
      </c>
      <c r="AI4877">
        <v>93.572528035796793</v>
      </c>
      <c r="AJ4877">
        <v>64.618843530173805</v>
      </c>
      <c r="AK4877">
        <v>17.790738162049099</v>
      </c>
      <c r="AL4877">
        <v>79.825541026011393</v>
      </c>
      <c r="AM4877">
        <v>71.126852032639903</v>
      </c>
      <c r="AN4877">
        <v>1.00000003994441</v>
      </c>
    </row>
    <row r="4878" spans="1:40" x14ac:dyDescent="0.25">
      <c r="A4878" t="str">
        <f>"20190312172214455"</f>
        <v>20190312172214455</v>
      </c>
      <c r="B4878" t="str">
        <f>"1552382534446057"</f>
        <v>1552382534446057</v>
      </c>
      <c r="C4878" t="s">
        <v>40</v>
      </c>
      <c r="D4878">
        <v>3.2040229999999998</v>
      </c>
      <c r="E4878">
        <v>0.54116260000000005</v>
      </c>
      <c r="F4878" t="s">
        <v>62</v>
      </c>
      <c r="G4878">
        <v>-198.5565</v>
      </c>
      <c r="H4878" s="1">
        <v>-1.344206E-5</v>
      </c>
      <c r="I4878">
        <v>154.00790000000001</v>
      </c>
      <c r="J4878">
        <v>-190.1602</v>
      </c>
      <c r="K4878">
        <v>1.108568</v>
      </c>
      <c r="L4878">
        <v>167.61779999999999</v>
      </c>
      <c r="M4878">
        <v>-0.1102134</v>
      </c>
      <c r="N4878">
        <v>0</v>
      </c>
      <c r="O4878">
        <v>-0.99381439999999999</v>
      </c>
      <c r="P4878">
        <v>-0.42042879999999999</v>
      </c>
      <c r="Q4878">
        <v>0.16747590000000001</v>
      </c>
      <c r="R4878">
        <v>-0.89173539999999996</v>
      </c>
      <c r="S4878">
        <v>-1.617386</v>
      </c>
      <c r="T4878">
        <v>-0.21310560000000001</v>
      </c>
      <c r="U4878">
        <v>-2.6419679999999999</v>
      </c>
      <c r="V4878">
        <v>0.32048529999999997</v>
      </c>
      <c r="W4878">
        <v>0.17856710000000001</v>
      </c>
      <c r="X4878">
        <v>0.93027040000000005</v>
      </c>
      <c r="Y4878">
        <v>0.4236586</v>
      </c>
      <c r="Z4878">
        <v>6.9898840000000004E-2</v>
      </c>
      <c r="AA4878">
        <v>0.90312110000000001</v>
      </c>
      <c r="AB4878">
        <v>20</v>
      </c>
      <c r="AC4878">
        <v>-8.3962999999999894</v>
      </c>
      <c r="AD4878">
        <v>-1.10858144206</v>
      </c>
      <c r="AE4878">
        <v>-13.6098999999999</v>
      </c>
      <c r="AF4878">
        <v>6.8122690801834498</v>
      </c>
      <c r="AG4878">
        <v>-1.10858144206</v>
      </c>
      <c r="AH4878">
        <v>14.3833209377906</v>
      </c>
      <c r="AI4878">
        <v>93.984583353809796</v>
      </c>
      <c r="AJ4878">
        <v>64.656696765274006</v>
      </c>
      <c r="AK4878">
        <v>15.9535539624872</v>
      </c>
      <c r="AL4878">
        <v>79.713691728568904</v>
      </c>
      <c r="AM4878">
        <v>70.990776851997893</v>
      </c>
      <c r="AN4878">
        <v>1.0000000269173199</v>
      </c>
    </row>
    <row r="4879" spans="1:40" x14ac:dyDescent="0.25">
      <c r="A4879" t="str">
        <f>"20190312172214468"</f>
        <v>20190312172214468</v>
      </c>
      <c r="B4879" t="str">
        <f>"1552382534455818"</f>
        <v>1552382534455818</v>
      </c>
      <c r="C4879" t="s">
        <v>40</v>
      </c>
      <c r="D4879">
        <v>3.1919719999999998</v>
      </c>
      <c r="E4879">
        <v>0.54076309999999905</v>
      </c>
      <c r="F4879" t="s">
        <v>62</v>
      </c>
      <c r="G4879">
        <v>-198.9854</v>
      </c>
      <c r="H4879" s="1">
        <v>-1.331572E-5</v>
      </c>
      <c r="I4879">
        <v>153.3546</v>
      </c>
      <c r="J4879">
        <v>-190.17500000000001</v>
      </c>
      <c r="K4879">
        <v>1.1085739999999999</v>
      </c>
      <c r="L4879">
        <v>167.50559999999999</v>
      </c>
      <c r="M4879">
        <v>-0.112246</v>
      </c>
      <c r="N4879">
        <v>0</v>
      </c>
      <c r="O4879">
        <v>-0.99358679999999999</v>
      </c>
      <c r="P4879">
        <v>-0.42333999999999999</v>
      </c>
      <c r="Q4879">
        <v>0.1682207</v>
      </c>
      <c r="R4879">
        <v>-0.89021640000000002</v>
      </c>
      <c r="S4879">
        <v>-1.6299129999999999</v>
      </c>
      <c r="T4879">
        <v>-0.20474220000000001</v>
      </c>
      <c r="U4879">
        <v>-2.6342469999999998</v>
      </c>
      <c r="V4879">
        <v>0.32164330000000002</v>
      </c>
      <c r="W4879">
        <v>0.1792995</v>
      </c>
      <c r="X4879">
        <v>0.92972969999999999</v>
      </c>
      <c r="Y4879">
        <v>0.42619319999999999</v>
      </c>
      <c r="Z4879">
        <v>6.7193550000000005E-2</v>
      </c>
      <c r="AA4879">
        <v>0.90213319999999997</v>
      </c>
      <c r="AB4879">
        <v>20</v>
      </c>
      <c r="AC4879">
        <v>-8.81039999999998</v>
      </c>
      <c r="AD4879">
        <v>-1.1085873157199999</v>
      </c>
      <c r="AE4879">
        <v>-14.1509999999999</v>
      </c>
      <c r="AF4879">
        <v>7.1346162686903902</v>
      </c>
      <c r="AG4879">
        <v>-1.1085873157199999</v>
      </c>
      <c r="AH4879">
        <v>14.984307750675701</v>
      </c>
      <c r="AI4879">
        <v>93.8215581426048</v>
      </c>
      <c r="AJ4879">
        <v>64.539049956527293</v>
      </c>
      <c r="AK4879">
        <v>16.633135420148399</v>
      </c>
      <c r="AL4879">
        <v>79.671039869898706</v>
      </c>
      <c r="AM4879">
        <v>70.916756261434898</v>
      </c>
      <c r="AN4879">
        <v>1.00000001909861</v>
      </c>
    </row>
    <row r="4880" spans="1:40" x14ac:dyDescent="0.25">
      <c r="A4880" t="str">
        <f>"20190312172214481"</f>
        <v>20190312172214481</v>
      </c>
      <c r="B4880" t="str">
        <f>"1552382534475337"</f>
        <v>1552382534475337</v>
      </c>
      <c r="C4880" t="s">
        <v>40</v>
      </c>
      <c r="D4880">
        <v>3.1767620000000001</v>
      </c>
      <c r="E4880">
        <v>0.54053209999999996</v>
      </c>
      <c r="F4880" t="s">
        <v>62</v>
      </c>
      <c r="G4880">
        <v>-199.12379999999999</v>
      </c>
      <c r="H4880" s="1">
        <v>-1.32683E-5</v>
      </c>
      <c r="I4880">
        <v>153.1173</v>
      </c>
      <c r="J4880">
        <v>-190.18969999999999</v>
      </c>
      <c r="K4880">
        <v>1.1085780000000001</v>
      </c>
      <c r="L4880">
        <v>167.3955</v>
      </c>
      <c r="M4880">
        <v>-0.114242</v>
      </c>
      <c r="N4880">
        <v>0</v>
      </c>
      <c r="O4880">
        <v>-0.9933594</v>
      </c>
      <c r="P4880">
        <v>-0.4259676</v>
      </c>
      <c r="Q4880">
        <v>0.16893639999999999</v>
      </c>
      <c r="R4880">
        <v>-0.88882659999999902</v>
      </c>
      <c r="S4880">
        <v>-1.63591</v>
      </c>
      <c r="T4880">
        <v>-0.20265920000000001</v>
      </c>
      <c r="U4880">
        <v>-2.6302949999999998</v>
      </c>
      <c r="V4880">
        <v>0.32254169999999999</v>
      </c>
      <c r="W4880">
        <v>0.1800059</v>
      </c>
      <c r="X4880">
        <v>0.92928189999999999</v>
      </c>
      <c r="Y4880">
        <v>0.42649090000000001</v>
      </c>
      <c r="Z4880">
        <v>6.65327E-2</v>
      </c>
      <c r="AA4880">
        <v>0.9020416</v>
      </c>
      <c r="AB4880">
        <v>20</v>
      </c>
      <c r="AC4880">
        <v>-8.9341000000000008</v>
      </c>
      <c r="AD4880">
        <v>-1.1085912682999901</v>
      </c>
      <c r="AE4880">
        <v>-14.278199999999901</v>
      </c>
      <c r="AF4880">
        <v>7.2130272413142498</v>
      </c>
      <c r="AG4880">
        <v>-1.1085912682999901</v>
      </c>
      <c r="AH4880">
        <v>15.139858239548801</v>
      </c>
      <c r="AI4880">
        <v>93.782002167720705</v>
      </c>
      <c r="AJ4880">
        <v>64.525639937085401</v>
      </c>
      <c r="AK4880">
        <v>16.806904655460102</v>
      </c>
      <c r="AL4880">
        <v>79.629897175399094</v>
      </c>
      <c r="AM4880">
        <v>70.858775084924403</v>
      </c>
      <c r="AN4880">
        <v>1.0000000609706501</v>
      </c>
    </row>
    <row r="4881" spans="1:40" x14ac:dyDescent="0.25">
      <c r="A4881" t="str">
        <f>"20190312172214491"</f>
        <v>20190312172214491</v>
      </c>
      <c r="B4881" t="str">
        <f>"1552382534486073"</f>
        <v>1552382534486073</v>
      </c>
      <c r="C4881" t="s">
        <v>40</v>
      </c>
      <c r="D4881">
        <v>3.1731259999999999</v>
      </c>
      <c r="E4881">
        <v>0.54035619999999995</v>
      </c>
      <c r="F4881" t="s">
        <v>62</v>
      </c>
      <c r="G4881">
        <v>-199.12799999999999</v>
      </c>
      <c r="H4881" s="1">
        <v>-1.326646E-5</v>
      </c>
      <c r="I4881">
        <v>153.10849999999999</v>
      </c>
      <c r="J4881">
        <v>-190.20480000000001</v>
      </c>
      <c r="K4881">
        <v>1.108579</v>
      </c>
      <c r="L4881">
        <v>167.28489999999999</v>
      </c>
      <c r="M4881">
        <v>-0.1162484</v>
      </c>
      <c r="N4881">
        <v>0</v>
      </c>
      <c r="O4881">
        <v>-0.99312659999999997</v>
      </c>
      <c r="P4881">
        <v>-0.42876419999999998</v>
      </c>
      <c r="Q4881">
        <v>0.16983470000000001</v>
      </c>
      <c r="R4881">
        <v>-0.88730909999999996</v>
      </c>
      <c r="S4881">
        <v>-1.6432040000000001</v>
      </c>
      <c r="T4881">
        <v>-0.20380029999999999</v>
      </c>
      <c r="U4881">
        <v>-2.6264799999999999</v>
      </c>
      <c r="V4881">
        <v>0.32361600000000001</v>
      </c>
      <c r="W4881">
        <v>0.1808932</v>
      </c>
      <c r="X4881">
        <v>0.92873589999999995</v>
      </c>
      <c r="Y4881">
        <v>0.42704140000000002</v>
      </c>
      <c r="Z4881">
        <v>6.6909070000000001E-2</v>
      </c>
      <c r="AA4881">
        <v>0.90175320000000003</v>
      </c>
      <c r="AB4881">
        <v>20</v>
      </c>
      <c r="AC4881">
        <v>-8.92319999999998</v>
      </c>
      <c r="AD4881">
        <v>-1.1085922664600001</v>
      </c>
      <c r="AE4881">
        <v>-14.176399999999999</v>
      </c>
      <c r="AF4881">
        <v>7.1830926313477796</v>
      </c>
      <c r="AG4881">
        <v>-1.1085922664600001</v>
      </c>
      <c r="AH4881">
        <v>15.0517472896085</v>
      </c>
      <c r="AI4881">
        <v>93.802901233710799</v>
      </c>
      <c r="AJ4881">
        <v>64.488286988679405</v>
      </c>
      <c r="AK4881">
        <v>16.714690934444899</v>
      </c>
      <c r="AL4881">
        <v>79.578209703352599</v>
      </c>
      <c r="AM4881">
        <v>70.789220017663197</v>
      </c>
      <c r="AN4881">
        <v>1.00000001860552</v>
      </c>
    </row>
    <row r="4882" spans="1:40" x14ac:dyDescent="0.25">
      <c r="A4882" t="str">
        <f>"20190312172214503"</f>
        <v>20190312172214503</v>
      </c>
      <c r="B4882" t="str">
        <f>"1552382534495833"</f>
        <v>1552382534495833</v>
      </c>
      <c r="C4882" t="s">
        <v>40</v>
      </c>
      <c r="D4882">
        <v>3.1473819999999999</v>
      </c>
      <c r="E4882">
        <v>0.54017599999999999</v>
      </c>
      <c r="F4882" t="s">
        <v>62</v>
      </c>
      <c r="G4882">
        <v>-199.28450000000001</v>
      </c>
      <c r="H4882" s="1">
        <v>-1.3220320000000001E-5</v>
      </c>
      <c r="I4882">
        <v>152.87</v>
      </c>
      <c r="J4882">
        <v>-190.2183</v>
      </c>
      <c r="K4882">
        <v>1.1085860000000001</v>
      </c>
      <c r="L4882">
        <v>167.18629999999999</v>
      </c>
      <c r="M4882">
        <v>-0.118037</v>
      </c>
      <c r="N4882">
        <v>0</v>
      </c>
      <c r="O4882">
        <v>-0.99291560000000001</v>
      </c>
      <c r="P4882">
        <v>-0.43142550000000002</v>
      </c>
      <c r="Q4882">
        <v>0.17072619999999999</v>
      </c>
      <c r="R4882">
        <v>-0.88584699999999905</v>
      </c>
      <c r="S4882">
        <v>-1.6513369999999901</v>
      </c>
      <c r="T4882">
        <v>-0.2016193</v>
      </c>
      <c r="U4882">
        <v>-2.6216430000000002</v>
      </c>
      <c r="V4882">
        <v>0.3247564</v>
      </c>
      <c r="W4882">
        <v>0.18177299999999999</v>
      </c>
      <c r="X4882">
        <v>0.92816589999999999</v>
      </c>
      <c r="Y4882">
        <v>0.4281915</v>
      </c>
      <c r="Z4882">
        <v>6.6208690000000001E-2</v>
      </c>
      <c r="AA4882">
        <v>0.90125940000000004</v>
      </c>
      <c r="AB4882">
        <v>20</v>
      </c>
      <c r="AC4882">
        <v>-9.0662000000000091</v>
      </c>
      <c r="AD4882">
        <v>-1.1085992203199999</v>
      </c>
      <c r="AE4882">
        <v>-14.316299999999901</v>
      </c>
      <c r="AF4882">
        <v>7.2816331065505802</v>
      </c>
      <c r="AG4882">
        <v>-1.1085992203199999</v>
      </c>
      <c r="AH4882">
        <v>15.221299333497999</v>
      </c>
      <c r="AI4882">
        <v>93.758997231919096</v>
      </c>
      <c r="AJ4882">
        <v>64.434271953650097</v>
      </c>
      <c r="AK4882">
        <v>16.909734661716499</v>
      </c>
      <c r="AL4882">
        <v>79.526951327632005</v>
      </c>
      <c r="AM4882">
        <v>70.715544877081598</v>
      </c>
      <c r="AN4882">
        <v>1.00000004039638</v>
      </c>
    </row>
    <row r="4883" spans="1:40" x14ac:dyDescent="0.25">
      <c r="A4883" t="str">
        <f>"20190312172214514"</f>
        <v>20190312172214514</v>
      </c>
      <c r="B4883" t="str">
        <f>"1552382534505593"</f>
        <v>1552382534505593</v>
      </c>
      <c r="C4883" t="s">
        <v>40</v>
      </c>
      <c r="D4883">
        <v>3.1839909999999998</v>
      </c>
      <c r="E4883">
        <v>0.54005749999999997</v>
      </c>
      <c r="F4883" t="s">
        <v>62</v>
      </c>
      <c r="G4883">
        <v>-199.4229</v>
      </c>
      <c r="H4883" s="1">
        <v>-1.318118E-5</v>
      </c>
      <c r="I4883">
        <v>152.66569999999999</v>
      </c>
      <c r="J4883">
        <v>-190.233</v>
      </c>
      <c r="K4883">
        <v>1.1085969999999901</v>
      </c>
      <c r="L4883">
        <v>167.08170000000001</v>
      </c>
      <c r="M4883">
        <v>-0.1199359</v>
      </c>
      <c r="N4883">
        <v>0</v>
      </c>
      <c r="O4883">
        <v>-0.99268789999999996</v>
      </c>
      <c r="P4883">
        <v>-0.43394890000000003</v>
      </c>
      <c r="Q4883">
        <v>0.1715004</v>
      </c>
      <c r="R4883">
        <v>-0.88446399999999903</v>
      </c>
      <c r="S4883">
        <v>-1.6589970000000001</v>
      </c>
      <c r="T4883">
        <v>-0.1998103</v>
      </c>
      <c r="U4883">
        <v>-2.6171570000000002</v>
      </c>
      <c r="V4883">
        <v>0.32564880000000002</v>
      </c>
      <c r="W4883">
        <v>0.1825396</v>
      </c>
      <c r="X4883">
        <v>0.92770260000000004</v>
      </c>
      <c r="Y4883">
        <v>0.42906490000000003</v>
      </c>
      <c r="Z4883">
        <v>6.5627560000000001E-2</v>
      </c>
      <c r="AA4883">
        <v>0.90088639999999998</v>
      </c>
      <c r="AB4883">
        <v>20</v>
      </c>
      <c r="AC4883">
        <v>-9.1898999999999909</v>
      </c>
      <c r="AD4883">
        <v>-1.10861018117999</v>
      </c>
      <c r="AE4883">
        <v>-14.416</v>
      </c>
      <c r="AF4883">
        <v>7.3634315267536499</v>
      </c>
      <c r="AG4883">
        <v>-1.10861018117999</v>
      </c>
      <c r="AH4883">
        <v>15.349676825609601</v>
      </c>
      <c r="AI4883">
        <v>93.725761591367203</v>
      </c>
      <c r="AJ4883">
        <v>64.372384592854303</v>
      </c>
      <c r="AK4883">
        <v>17.060531030236501</v>
      </c>
      <c r="AL4883">
        <v>79.482280391689002</v>
      </c>
      <c r="AM4883">
        <v>70.657541737877295</v>
      </c>
      <c r="AN4883">
        <v>0.99999998027817905</v>
      </c>
    </row>
    <row r="4884" spans="1:40" x14ac:dyDescent="0.25">
      <c r="A4884" t="str">
        <f>"20190312172214527"</f>
        <v>20190312172214527</v>
      </c>
      <c r="B4884" t="str">
        <f>"1552382534515354"</f>
        <v>1552382534515354</v>
      </c>
      <c r="C4884" t="s">
        <v>40</v>
      </c>
      <c r="D4884">
        <v>3.1609950000000002</v>
      </c>
      <c r="E4884">
        <v>0.53995959999999998</v>
      </c>
      <c r="F4884" t="s">
        <v>62</v>
      </c>
      <c r="G4884">
        <v>-199.51169999999999</v>
      </c>
      <c r="H4884" s="1">
        <v>-1.3155830000000001E-5</v>
      </c>
      <c r="I4884">
        <v>152.53360000000001</v>
      </c>
      <c r="J4884">
        <v>-190.24770000000001</v>
      </c>
      <c r="K4884">
        <v>1.1086069999999999</v>
      </c>
      <c r="L4884">
        <v>166.97790000000001</v>
      </c>
      <c r="M4884">
        <v>-0.1218195</v>
      </c>
      <c r="N4884">
        <v>0</v>
      </c>
      <c r="O4884">
        <v>-0.99245870000000003</v>
      </c>
      <c r="P4884">
        <v>-0.43664310000000001</v>
      </c>
      <c r="Q4884">
        <v>0.17233780000000001</v>
      </c>
      <c r="R4884">
        <v>-0.88297389999999998</v>
      </c>
      <c r="S4884">
        <v>-1.6664730000000001</v>
      </c>
      <c r="T4884">
        <v>-0.19910749999999999</v>
      </c>
      <c r="U4884">
        <v>-2.612854</v>
      </c>
      <c r="V4884">
        <v>0.3267408</v>
      </c>
      <c r="W4884">
        <v>0.18336649999999999</v>
      </c>
      <c r="X4884">
        <v>0.92715539999999996</v>
      </c>
      <c r="Y4884">
        <v>0.42986479999999999</v>
      </c>
      <c r="Z4884">
        <v>6.5405909999999998E-2</v>
      </c>
      <c r="AA4884">
        <v>0.90052109999999996</v>
      </c>
      <c r="AB4884">
        <v>20</v>
      </c>
      <c r="AC4884">
        <v>-9.2639999999999798</v>
      </c>
      <c r="AD4884">
        <v>-1.10862015583</v>
      </c>
      <c r="AE4884">
        <v>-14.444299999999901</v>
      </c>
      <c r="AF4884">
        <v>7.4043257600679997</v>
      </c>
      <c r="AG4884">
        <v>-1.10862015583</v>
      </c>
      <c r="AH4884">
        <v>15.401061184473599</v>
      </c>
      <c r="AI4884">
        <v>93.711875166084795</v>
      </c>
      <c r="AJ4884">
        <v>64.323276720532704</v>
      </c>
      <c r="AK4884">
        <v>17.124420113365002</v>
      </c>
      <c r="AL4884">
        <v>79.434089114139894</v>
      </c>
      <c r="AM4884">
        <v>70.586924638941099</v>
      </c>
      <c r="AN4884">
        <v>0.99999997972802401</v>
      </c>
    </row>
    <row r="4885" spans="1:40" x14ac:dyDescent="0.25">
      <c r="A4885" t="str">
        <f>"20190312172214538"</f>
        <v>20190312172214538</v>
      </c>
      <c r="B4885" t="str">
        <f>"1552382534535849"</f>
        <v>1552382534535849</v>
      </c>
      <c r="C4885" t="s">
        <v>40</v>
      </c>
      <c r="D4885">
        <v>3.1645210000000001</v>
      </c>
      <c r="E4885">
        <v>0.53968729999999998</v>
      </c>
      <c r="F4885" t="s">
        <v>62</v>
      </c>
      <c r="G4885">
        <v>-199.6103</v>
      </c>
      <c r="H4885" s="1">
        <v>-1.3129679999999999E-5</v>
      </c>
      <c r="I4885">
        <v>152.39490000000001</v>
      </c>
      <c r="J4885">
        <v>-190.26410000000001</v>
      </c>
      <c r="K4885">
        <v>1.108617</v>
      </c>
      <c r="L4885">
        <v>166.86349999999999</v>
      </c>
      <c r="M4885">
        <v>-0.1238938</v>
      </c>
      <c r="N4885">
        <v>0</v>
      </c>
      <c r="O4885">
        <v>-0.99220200000000003</v>
      </c>
      <c r="P4885">
        <v>-0.43954379999999998</v>
      </c>
      <c r="Q4885">
        <v>0.17303940000000001</v>
      </c>
      <c r="R4885">
        <v>-0.88139639999999997</v>
      </c>
      <c r="S4885">
        <v>-1.674545</v>
      </c>
      <c r="T4885">
        <v>-0.19828200000000001</v>
      </c>
      <c r="U4885">
        <v>-2.608231</v>
      </c>
      <c r="V4885">
        <v>0.32787169999999999</v>
      </c>
      <c r="W4885">
        <v>0.18405879999999999</v>
      </c>
      <c r="X4885">
        <v>0.92661890000000002</v>
      </c>
      <c r="Y4885">
        <v>0.4306873</v>
      </c>
      <c r="Z4885">
        <v>6.5143640000000003E-2</v>
      </c>
      <c r="AA4885">
        <v>0.90014709999999998</v>
      </c>
      <c r="AB4885">
        <v>20</v>
      </c>
      <c r="AC4885">
        <v>-9.3461999999999801</v>
      </c>
      <c r="AD4885">
        <v>-1.1086301296800001</v>
      </c>
      <c r="AE4885">
        <v>-14.468599999999901</v>
      </c>
      <c r="AF4885">
        <v>7.4505781073677699</v>
      </c>
      <c r="AG4885">
        <v>-1.1086301296800001</v>
      </c>
      <c r="AH4885">
        <v>15.451142195396001</v>
      </c>
      <c r="AI4885">
        <v>93.697841535539794</v>
      </c>
      <c r="AJ4885">
        <v>64.256522850591793</v>
      </c>
      <c r="AK4885">
        <v>17.189472651619301</v>
      </c>
      <c r="AL4885">
        <v>79.393737084588395</v>
      </c>
      <c r="AM4885">
        <v>70.514355872663202</v>
      </c>
      <c r="AN4885">
        <v>1.00000003967776</v>
      </c>
    </row>
    <row r="4886" spans="1:40" x14ac:dyDescent="0.25">
      <c r="A4886" t="str">
        <f>"20190312172214551"</f>
        <v>20190312172214551</v>
      </c>
      <c r="B4886" t="str">
        <f>"1552382534545609"</f>
        <v>1552382534545609</v>
      </c>
      <c r="C4886" t="s">
        <v>40</v>
      </c>
      <c r="D4886">
        <v>3.1649579999999999</v>
      </c>
      <c r="E4886">
        <v>0.53968729999999998</v>
      </c>
      <c r="F4886" t="s">
        <v>62</v>
      </c>
      <c r="G4886">
        <v>-199.62870000000001</v>
      </c>
      <c r="H4886" s="1">
        <v>-1.3123960000000001E-5</v>
      </c>
      <c r="I4886">
        <v>152.3657</v>
      </c>
      <c r="J4886">
        <v>-190.27879999999999</v>
      </c>
      <c r="K4886">
        <v>1.1086259999999999</v>
      </c>
      <c r="L4886">
        <v>166.7627</v>
      </c>
      <c r="M4886">
        <v>-0.1257201</v>
      </c>
      <c r="N4886">
        <v>0</v>
      </c>
      <c r="O4886">
        <v>-0.99197210000000002</v>
      </c>
      <c r="P4886">
        <v>-0.44228849999999997</v>
      </c>
      <c r="Q4886">
        <v>0.17380699999999999</v>
      </c>
      <c r="R4886">
        <v>-0.87987079999999995</v>
      </c>
      <c r="S4886">
        <v>-1.682007</v>
      </c>
      <c r="T4886">
        <v>-0.199124</v>
      </c>
      <c r="U4886">
        <v>-2.6039889999999999</v>
      </c>
      <c r="V4886">
        <v>0.32907710000000001</v>
      </c>
      <c r="W4886">
        <v>0.1848157</v>
      </c>
      <c r="X4886">
        <v>0.92604070000000005</v>
      </c>
      <c r="Y4886">
        <v>0.43150539999999998</v>
      </c>
      <c r="Z4886">
        <v>6.5424899999999994E-2</v>
      </c>
      <c r="AA4886">
        <v>0.89973479999999995</v>
      </c>
      <c r="AB4886">
        <v>20</v>
      </c>
      <c r="AC4886">
        <v>-9.3499000000000194</v>
      </c>
      <c r="AD4886">
        <v>-1.10863912396</v>
      </c>
      <c r="AE4886">
        <v>-14.396999999999901</v>
      </c>
      <c r="AF4886">
        <v>7.4345340764674797</v>
      </c>
      <c r="AG4886">
        <v>-1.10863912396</v>
      </c>
      <c r="AH4886">
        <v>15.3941246571802</v>
      </c>
      <c r="AI4886">
        <v>93.710452225934304</v>
      </c>
      <c r="AJ4886">
        <v>64.221956649420903</v>
      </c>
      <c r="AK4886">
        <v>17.131271161304198</v>
      </c>
      <c r="AL4886">
        <v>79.349612278844901</v>
      </c>
      <c r="AM4886">
        <v>70.436861519107595</v>
      </c>
      <c r="AN4886">
        <v>0.999999979383694</v>
      </c>
    </row>
    <row r="4887" spans="1:40" x14ac:dyDescent="0.25">
      <c r="A4887" t="str">
        <f>"20190312172214568"</f>
        <v>20190312172214568</v>
      </c>
      <c r="B4887" t="str">
        <f>"1552382534555369"</f>
        <v>1552382534555369</v>
      </c>
      <c r="C4887" t="s">
        <v>40</v>
      </c>
      <c r="D4887">
        <v>3.1709309999999999</v>
      </c>
      <c r="E4887">
        <v>0.53608889999999998</v>
      </c>
      <c r="F4887" t="s">
        <v>62</v>
      </c>
      <c r="G4887">
        <v>-199.81460000000001</v>
      </c>
      <c r="H4887" s="1">
        <v>-1.30754E-5</v>
      </c>
      <c r="I4887">
        <v>152.10720000000001</v>
      </c>
      <c r="J4887">
        <v>-190.3023</v>
      </c>
      <c r="K4887">
        <v>1.1086400000000001</v>
      </c>
      <c r="L4887">
        <v>166.60470000000001</v>
      </c>
      <c r="M4887">
        <v>-0.1285849</v>
      </c>
      <c r="N4887">
        <v>0</v>
      </c>
      <c r="O4887">
        <v>-0.99160479999999995</v>
      </c>
      <c r="P4887">
        <v>-0.44698470000000001</v>
      </c>
      <c r="Q4887">
        <v>0.17501939999999999</v>
      </c>
      <c r="R4887">
        <v>-0.87725319999999996</v>
      </c>
      <c r="S4887">
        <v>-1.69075</v>
      </c>
      <c r="T4887">
        <v>-0.19656870000000001</v>
      </c>
      <c r="U4887">
        <v>-2.5985260000000001</v>
      </c>
      <c r="V4887">
        <v>0.33139010000000002</v>
      </c>
      <c r="W4887">
        <v>0.18600630000000001</v>
      </c>
      <c r="X4887">
        <v>0.92497689999999999</v>
      </c>
      <c r="Y4887">
        <v>0.43192180000000002</v>
      </c>
      <c r="Z4887">
        <v>6.4605010000000004E-2</v>
      </c>
      <c r="AA4887">
        <v>0.89959419999999901</v>
      </c>
      <c r="AB4887">
        <v>20</v>
      </c>
      <c r="AC4887">
        <v>-9.5123000000000104</v>
      </c>
      <c r="AD4887">
        <v>-1.1086530753999999</v>
      </c>
      <c r="AE4887">
        <v>-14.4975</v>
      </c>
      <c r="AF4887">
        <v>7.5381698704038698</v>
      </c>
      <c r="AG4887">
        <v>-1.1086530753999999</v>
      </c>
      <c r="AH4887">
        <v>15.536863307615199</v>
      </c>
      <c r="AI4887">
        <v>93.673294019445194</v>
      </c>
      <c r="AJ4887">
        <v>64.118282408872005</v>
      </c>
      <c r="AK4887">
        <v>17.304543856345301</v>
      </c>
      <c r="AL4887">
        <v>79.280192512583099</v>
      </c>
      <c r="AM4887">
        <v>70.288996788580107</v>
      </c>
      <c r="AN4887">
        <v>1.00000000377565</v>
      </c>
    </row>
    <row r="4888" spans="1:40" x14ac:dyDescent="0.25">
      <c r="A4888" t="str">
        <f>"20190312172214578"</f>
        <v>20190312172214578</v>
      </c>
      <c r="B4888" t="str">
        <f>"1552382534575866"</f>
        <v>1552382534575866</v>
      </c>
      <c r="C4888" t="s">
        <v>40</v>
      </c>
      <c r="D4888">
        <v>3.1414800000000001</v>
      </c>
      <c r="E4888">
        <v>0.53619220000000001</v>
      </c>
      <c r="F4888" t="s">
        <v>62</v>
      </c>
      <c r="G4888">
        <v>-199.1268</v>
      </c>
      <c r="H4888" s="1">
        <v>-1.322382E-5</v>
      </c>
      <c r="I4888">
        <v>152.93950000000001</v>
      </c>
      <c r="J4888">
        <v>-190.3175</v>
      </c>
      <c r="K4888">
        <v>1.1086469999999999</v>
      </c>
      <c r="L4888">
        <v>166.5034</v>
      </c>
      <c r="M4888">
        <v>-0.13042089999999901</v>
      </c>
      <c r="N4888">
        <v>0</v>
      </c>
      <c r="O4888">
        <v>-0.99136500000000005</v>
      </c>
      <c r="P4888">
        <v>-0.44944220000000001</v>
      </c>
      <c r="Q4888">
        <v>0.17599899999999999</v>
      </c>
      <c r="R4888">
        <v>-0.87580040000000003</v>
      </c>
      <c r="S4888">
        <v>-1.6821140000000001</v>
      </c>
      <c r="T4888">
        <v>-0.2113303</v>
      </c>
      <c r="U4888">
        <v>-2.6048429999999998</v>
      </c>
      <c r="V4888">
        <v>0.33230080000000001</v>
      </c>
      <c r="W4888">
        <v>0.18697749999999999</v>
      </c>
      <c r="X4888">
        <v>0.9244542</v>
      </c>
      <c r="Y4888">
        <v>0.42697190000000002</v>
      </c>
      <c r="Z4888">
        <v>6.9408629999999999E-2</v>
      </c>
      <c r="AA4888">
        <v>0.90159710000000004</v>
      </c>
      <c r="AB4888">
        <v>20</v>
      </c>
      <c r="AC4888">
        <v>-8.8093000000000004</v>
      </c>
      <c r="AD4888">
        <v>-1.1086602238199901</v>
      </c>
      <c r="AE4888">
        <v>-13.563899999999901</v>
      </c>
      <c r="AF4888">
        <v>6.9322893472544802</v>
      </c>
      <c r="AG4888">
        <v>-1.1086602238199901</v>
      </c>
      <c r="AH4888">
        <v>14.528781004849799</v>
      </c>
      <c r="AI4888">
        <v>93.939733807718497</v>
      </c>
      <c r="AJ4888">
        <v>64.492237697139601</v>
      </c>
      <c r="AK4888">
        <v>16.136023071774002</v>
      </c>
      <c r="AL4888">
        <v>79.223553020277805</v>
      </c>
      <c r="AM4888">
        <v>70.228710808382004</v>
      </c>
      <c r="AN4888">
        <v>0.99999998754226405</v>
      </c>
    </row>
    <row r="4889" spans="1:40" x14ac:dyDescent="0.25">
      <c r="A4889" t="str">
        <f>"20190312172214590"</f>
        <v>20190312172214590</v>
      </c>
      <c r="B4889" t="str">
        <f>"1552382534585625"</f>
        <v>1552382534585625</v>
      </c>
      <c r="C4889" t="s">
        <v>40</v>
      </c>
      <c r="D4889">
        <v>3.1497739999999999</v>
      </c>
      <c r="E4889">
        <v>0.53593970000000002</v>
      </c>
      <c r="F4889" t="s">
        <v>62</v>
      </c>
      <c r="G4889">
        <v>-199.2878</v>
      </c>
      <c r="H4889" s="1">
        <v>-1.3181690000000001E-5</v>
      </c>
      <c r="I4889">
        <v>152.71530000000001</v>
      </c>
      <c r="J4889">
        <v>-190.33189999999999</v>
      </c>
      <c r="K4889">
        <v>1.108652</v>
      </c>
      <c r="L4889">
        <v>166.40880000000001</v>
      </c>
      <c r="M4889">
        <v>-0.13213629999999901</v>
      </c>
      <c r="N4889">
        <v>0</v>
      </c>
      <c r="O4889">
        <v>-0.99113790000000002</v>
      </c>
      <c r="P4889">
        <v>-0.4519743</v>
      </c>
      <c r="Q4889">
        <v>0.17707200000000001</v>
      </c>
      <c r="R4889">
        <v>-0.87427999999999995</v>
      </c>
      <c r="S4889">
        <v>-1.6912229999999999</v>
      </c>
      <c r="T4889">
        <v>-0.2090214</v>
      </c>
      <c r="U4889">
        <v>-2.5995330000000001</v>
      </c>
      <c r="V4889">
        <v>0.3334106</v>
      </c>
      <c r="W4889">
        <v>0.18803880000000001</v>
      </c>
      <c r="X4889">
        <v>0.92383919999999997</v>
      </c>
      <c r="Y4889">
        <v>0.42849779999999998</v>
      </c>
      <c r="Z4889">
        <v>6.866121E-2</v>
      </c>
      <c r="AA4889">
        <v>0.90093020000000001</v>
      </c>
      <c r="AB4889">
        <v>20</v>
      </c>
      <c r="AC4889">
        <v>-8.9559000000000104</v>
      </c>
      <c r="AD4889">
        <v>-1.1086651816899999</v>
      </c>
      <c r="AE4889">
        <v>-13.6935</v>
      </c>
      <c r="AF4889">
        <v>7.03547881410082</v>
      </c>
      <c r="AG4889">
        <v>-1.1086651816899999</v>
      </c>
      <c r="AH4889">
        <v>14.6894749503944</v>
      </c>
      <c r="AI4889">
        <v>93.894058701656306</v>
      </c>
      <c r="AJ4889">
        <v>64.408052778585201</v>
      </c>
      <c r="AK4889">
        <v>16.325065848167899</v>
      </c>
      <c r="AL4889">
        <v>79.161647589003394</v>
      </c>
      <c r="AM4889">
        <v>70.155649600330804</v>
      </c>
      <c r="AN4889">
        <v>1.00000004297721</v>
      </c>
    </row>
    <row r="4890" spans="1:40" x14ac:dyDescent="0.25">
      <c r="A4890" t="str">
        <f>"20190312172214603"</f>
        <v>20190312172214603</v>
      </c>
      <c r="B4890" t="str">
        <f>"1552382534595385"</f>
        <v>1552382534595385</v>
      </c>
      <c r="C4890" t="s">
        <v>40</v>
      </c>
      <c r="D4890">
        <v>3.1440060000000001</v>
      </c>
      <c r="E4890">
        <v>0.53596060000000001</v>
      </c>
      <c r="F4890" t="s">
        <v>62</v>
      </c>
      <c r="G4890">
        <v>-199.35990000000001</v>
      </c>
      <c r="H4890" s="1">
        <v>-1.31617E-5</v>
      </c>
      <c r="I4890">
        <v>152.6104</v>
      </c>
      <c r="J4890">
        <v>-190.35</v>
      </c>
      <c r="K4890">
        <v>1.1086640000000001</v>
      </c>
      <c r="L4890">
        <v>166.29150000000001</v>
      </c>
      <c r="M4890">
        <v>-0.13426450000000001</v>
      </c>
      <c r="N4890">
        <v>0</v>
      </c>
      <c r="O4890">
        <v>-0.99085179999999995</v>
      </c>
      <c r="P4890">
        <v>-0.45479170000000002</v>
      </c>
      <c r="Q4890">
        <v>0.17828579999999999</v>
      </c>
      <c r="R4890">
        <v>-0.87257059999999997</v>
      </c>
      <c r="S4890">
        <v>-1.698288</v>
      </c>
      <c r="T4890">
        <v>-0.20855560000000001</v>
      </c>
      <c r="U4890">
        <v>-2.5956570000000001</v>
      </c>
      <c r="V4890">
        <v>0.33444610000000002</v>
      </c>
      <c r="W4890">
        <v>0.18924089999999999</v>
      </c>
      <c r="X4890">
        <v>0.92321920000000002</v>
      </c>
      <c r="Y4890">
        <v>0.42889820000000001</v>
      </c>
      <c r="Z4890">
        <v>6.8510509999999997E-2</v>
      </c>
      <c r="AA4890">
        <v>0.90075119999999997</v>
      </c>
      <c r="AB4890">
        <v>20</v>
      </c>
      <c r="AC4890">
        <v>-9.0099000000000107</v>
      </c>
      <c r="AD4890">
        <v>-1.1086771617</v>
      </c>
      <c r="AE4890">
        <v>-13.681100000000001</v>
      </c>
      <c r="AF4890">
        <v>7.0589152813537401</v>
      </c>
      <c r="AG4890">
        <v>-1.1086771617</v>
      </c>
      <c r="AH4890">
        <v>14.699692784593701</v>
      </c>
      <c r="AI4890">
        <v>93.889494576857501</v>
      </c>
      <c r="AJ4890">
        <v>64.349292571502005</v>
      </c>
      <c r="AK4890">
        <v>16.344369610347201</v>
      </c>
      <c r="AL4890">
        <v>79.091512704400898</v>
      </c>
      <c r="AM4890">
        <v>70.086535071678796</v>
      </c>
      <c r="AN4890">
        <v>1.0000000016433299</v>
      </c>
    </row>
    <row r="4891" spans="1:40" x14ac:dyDescent="0.25">
      <c r="A4891" t="str">
        <f>"20190312172214615"</f>
        <v>20190312172214615</v>
      </c>
      <c r="B4891" t="str">
        <f>"1552382534605144"</f>
        <v>1552382534605144</v>
      </c>
      <c r="C4891" t="s">
        <v>40</v>
      </c>
      <c r="D4891">
        <v>3.1244700000000001</v>
      </c>
      <c r="E4891">
        <v>0.53593159999999995</v>
      </c>
      <c r="F4891" t="s">
        <v>62</v>
      </c>
      <c r="G4891">
        <v>-199.547</v>
      </c>
      <c r="H4891" s="1">
        <v>-1.311088E-5</v>
      </c>
      <c r="I4891">
        <v>152.3425</v>
      </c>
      <c r="J4891">
        <v>-190.36799999999999</v>
      </c>
      <c r="K4891">
        <v>1.108671</v>
      </c>
      <c r="L4891">
        <v>166.17689999999999</v>
      </c>
      <c r="M4891">
        <v>-0.1363451</v>
      </c>
      <c r="N4891">
        <v>0</v>
      </c>
      <c r="O4891">
        <v>-0.99056759999999999</v>
      </c>
      <c r="P4891">
        <v>-0.45773849999999999</v>
      </c>
      <c r="Q4891">
        <v>0.1795773</v>
      </c>
      <c r="R4891">
        <v>-0.8707627</v>
      </c>
      <c r="S4891">
        <v>-1.7077329999999999</v>
      </c>
      <c r="T4891">
        <v>-0.20586370000000001</v>
      </c>
      <c r="U4891">
        <v>-2.590103</v>
      </c>
      <c r="V4891">
        <v>0.33567229999999998</v>
      </c>
      <c r="W4891">
        <v>0.19051799999999999</v>
      </c>
      <c r="X4891">
        <v>0.92251130000000003</v>
      </c>
      <c r="Y4891">
        <v>0.43021229999999999</v>
      </c>
      <c r="Z4891">
        <v>6.7637470000000005E-2</v>
      </c>
      <c r="AA4891">
        <v>0.9001903</v>
      </c>
      <c r="AB4891">
        <v>20</v>
      </c>
      <c r="AC4891">
        <v>-9.1790000000000003</v>
      </c>
      <c r="AD4891">
        <v>-1.1086841108800001</v>
      </c>
      <c r="AE4891">
        <v>-13.834399999999899</v>
      </c>
      <c r="AF4891">
        <v>7.1748423244387096</v>
      </c>
      <c r="AG4891">
        <v>-1.1086841108800001</v>
      </c>
      <c r="AH4891">
        <v>14.890409251086799</v>
      </c>
      <c r="AI4891">
        <v>93.837407758939804</v>
      </c>
      <c r="AJ4891">
        <v>64.273224374840595</v>
      </c>
      <c r="AK4891">
        <v>16.5659841392876</v>
      </c>
      <c r="AL4891">
        <v>79.016984933335294</v>
      </c>
      <c r="AM4891">
        <v>70.005174841393</v>
      </c>
      <c r="AN4891">
        <v>1.0000000499694801</v>
      </c>
    </row>
    <row r="4892" spans="1:40" x14ac:dyDescent="0.25">
      <c r="A4892" t="str">
        <f>"20190312172214629"</f>
        <v>20190312172214629</v>
      </c>
      <c r="B4892" t="str">
        <f>"1552382534625641"</f>
        <v>1552382534625641</v>
      </c>
      <c r="C4892" t="s">
        <v>40</v>
      </c>
      <c r="D4892">
        <v>3.1316660000000001</v>
      </c>
      <c r="E4892">
        <v>0.53755489999999995</v>
      </c>
      <c r="F4892" t="s">
        <v>62</v>
      </c>
      <c r="G4892">
        <v>-199.7259</v>
      </c>
      <c r="H4892" s="1">
        <v>-1.306407E-5</v>
      </c>
      <c r="I4892">
        <v>152.0934</v>
      </c>
      <c r="J4892">
        <v>-190.3871</v>
      </c>
      <c r="K4892">
        <v>1.10867</v>
      </c>
      <c r="L4892">
        <v>166.05709999999999</v>
      </c>
      <c r="M4892">
        <v>-0.1385267</v>
      </c>
      <c r="N4892">
        <v>0</v>
      </c>
      <c r="O4892">
        <v>-0.99026499999999995</v>
      </c>
      <c r="P4892">
        <v>-0.46067619999999998</v>
      </c>
      <c r="Q4892">
        <v>0.18056910000000001</v>
      </c>
      <c r="R4892">
        <v>-0.86900669999999902</v>
      </c>
      <c r="S4892">
        <v>-1.7173</v>
      </c>
      <c r="T4892">
        <v>-0.20345730000000001</v>
      </c>
      <c r="U4892">
        <v>-2.5845030000000002</v>
      </c>
      <c r="V4892">
        <v>0.33679100000000001</v>
      </c>
      <c r="W4892">
        <v>0.1914949</v>
      </c>
      <c r="X4892">
        <v>0.92190099999999997</v>
      </c>
      <c r="Y4892">
        <v>0.43146519999999999</v>
      </c>
      <c r="Z4892">
        <v>6.6856230000000003E-2</v>
      </c>
      <c r="AA4892">
        <v>0.89964880000000003</v>
      </c>
      <c r="AB4892">
        <v>20</v>
      </c>
      <c r="AC4892">
        <v>-9.3387999999999902</v>
      </c>
      <c r="AD4892">
        <v>-1.1086830640700001</v>
      </c>
      <c r="AE4892">
        <v>-13.9636999999999</v>
      </c>
      <c r="AF4892">
        <v>7.2824996442549397</v>
      </c>
      <c r="AG4892">
        <v>-1.1086830640700001</v>
      </c>
      <c r="AH4892">
        <v>15.0572545607828</v>
      </c>
      <c r="AI4892">
        <v>93.792326388002493</v>
      </c>
      <c r="AJ4892">
        <v>64.1890872347373</v>
      </c>
      <c r="AK4892">
        <v>16.762604037360699</v>
      </c>
      <c r="AL4892">
        <v>78.959961880583805</v>
      </c>
      <c r="AM4892">
        <v>69.931623733680397</v>
      </c>
      <c r="AN4892">
        <v>0.99999996410400405</v>
      </c>
    </row>
    <row r="4893" spans="1:40" x14ac:dyDescent="0.25">
      <c r="A4893" t="str">
        <f>"20190312172214644"</f>
        <v>20190312172214644</v>
      </c>
      <c r="B4893" t="str">
        <f>"1552382534635401"</f>
        <v>1552382534635401</v>
      </c>
      <c r="C4893" t="s">
        <v>40</v>
      </c>
      <c r="D4893">
        <v>3.129921</v>
      </c>
      <c r="E4893">
        <v>0.53755489999999995</v>
      </c>
      <c r="F4893" t="s">
        <v>62</v>
      </c>
      <c r="G4893">
        <v>-198.6371</v>
      </c>
      <c r="H4893" s="1">
        <v>-1.3410519999999999E-5</v>
      </c>
      <c r="I4893">
        <v>153.85409999999999</v>
      </c>
      <c r="J4893">
        <v>-190.40870000000001</v>
      </c>
      <c r="K4893">
        <v>1.1086739999999999</v>
      </c>
      <c r="L4893">
        <v>165.92240000000001</v>
      </c>
      <c r="M4893">
        <v>-0.14098239999999901</v>
      </c>
      <c r="N4893">
        <v>0</v>
      </c>
      <c r="O4893">
        <v>-0.98991839999999998</v>
      </c>
      <c r="P4893">
        <v>-0.46379480000000001</v>
      </c>
      <c r="Q4893">
        <v>0.18162590000000001</v>
      </c>
      <c r="R4893">
        <v>-0.86712549999999899</v>
      </c>
      <c r="S4893">
        <v>-1.7423709999999999</v>
      </c>
      <c r="T4893">
        <v>-0.2341481</v>
      </c>
      <c r="U4893">
        <v>-2.5772089999999999</v>
      </c>
      <c r="V4893">
        <v>0.33785510000000002</v>
      </c>
      <c r="W4893">
        <v>0.1925375</v>
      </c>
      <c r="X4893">
        <v>0.92129430000000001</v>
      </c>
      <c r="Y4893">
        <v>0.4360308</v>
      </c>
      <c r="Z4893">
        <v>7.6739500000000002E-2</v>
      </c>
      <c r="AA4893">
        <v>0.8966539</v>
      </c>
      <c r="AB4893">
        <v>20</v>
      </c>
      <c r="AC4893">
        <v>-8.2283999999999899</v>
      </c>
      <c r="AD4893">
        <v>-1.10868741052</v>
      </c>
      <c r="AE4893">
        <v>-12.068300000000001</v>
      </c>
      <c r="AF4893">
        <v>6.4077074261724203</v>
      </c>
      <c r="AG4893">
        <v>-1.10868741052</v>
      </c>
      <c r="AH4893">
        <v>13.0328210595929</v>
      </c>
      <c r="AI4893">
        <v>94.365544040319605</v>
      </c>
      <c r="AJ4893">
        <v>63.818533275635502</v>
      </c>
      <c r="AK4893">
        <v>14.5651064879402</v>
      </c>
      <c r="AL4893">
        <v>78.8990927183455</v>
      </c>
      <c r="AM4893">
        <v>69.861109646960998</v>
      </c>
      <c r="AN4893">
        <v>0.99999997235737403</v>
      </c>
    </row>
    <row r="4894" spans="1:40" x14ac:dyDescent="0.25">
      <c r="A4894" t="str">
        <f>"20190312172214657"</f>
        <v>20190312172214657</v>
      </c>
      <c r="B4894" t="str">
        <f>"1552382534645161"</f>
        <v>1552382534645161</v>
      </c>
      <c r="C4894" t="s">
        <v>40</v>
      </c>
      <c r="D4894">
        <v>3.1227209999999999</v>
      </c>
      <c r="E4894">
        <v>0.53320049999999997</v>
      </c>
      <c r="F4894" t="s">
        <v>62</v>
      </c>
      <c r="G4894">
        <v>-198.8357</v>
      </c>
      <c r="H4894" s="1">
        <v>-1.33545799999999E-5</v>
      </c>
      <c r="I4894">
        <v>153.56180000000001</v>
      </c>
      <c r="J4894">
        <v>-190.42840000000001</v>
      </c>
      <c r="K4894">
        <v>1.1086780000000001</v>
      </c>
      <c r="L4894">
        <v>165.80240000000001</v>
      </c>
      <c r="M4894">
        <v>-0.14317849999999999</v>
      </c>
      <c r="N4894">
        <v>0</v>
      </c>
      <c r="O4894">
        <v>-0.98960320000000002</v>
      </c>
      <c r="P4894">
        <v>-0.46748610000000002</v>
      </c>
      <c r="Q4894">
        <v>0.1837009</v>
      </c>
      <c r="R4894">
        <v>-0.86470319999999901</v>
      </c>
      <c r="S4894">
        <v>-1.7525630000000001</v>
      </c>
      <c r="T4894">
        <v>-0.23057440000000001</v>
      </c>
      <c r="U4894">
        <v>-2.5706479999999998</v>
      </c>
      <c r="V4894">
        <v>0.3398158</v>
      </c>
      <c r="W4894">
        <v>0.19458420000000001</v>
      </c>
      <c r="X4894">
        <v>0.92014249999999997</v>
      </c>
      <c r="Y4894">
        <v>0.4375772</v>
      </c>
      <c r="Z4894">
        <v>7.5591030000000003E-2</v>
      </c>
      <c r="AA4894">
        <v>0.89599789999999901</v>
      </c>
      <c r="AB4894">
        <v>20</v>
      </c>
      <c r="AC4894">
        <v>-8.4072999999999904</v>
      </c>
      <c r="AD4894">
        <v>-1.1086913545799999</v>
      </c>
      <c r="AE4894">
        <v>-12.240600000000001</v>
      </c>
      <c r="AF4894">
        <v>6.5315012367229599</v>
      </c>
      <c r="AG4894">
        <v>-1.1086913545799999</v>
      </c>
      <c r="AH4894">
        <v>13.2444888116868</v>
      </c>
      <c r="AI4894">
        <v>94.293528840779501</v>
      </c>
      <c r="AJ4894">
        <v>63.749853296647998</v>
      </c>
      <c r="AK4894">
        <v>14.808990134642301</v>
      </c>
      <c r="AL4894">
        <v>78.779565308558801</v>
      </c>
      <c r="AM4894">
        <v>69.730418731941896</v>
      </c>
      <c r="AN4894">
        <v>1.0000000045627599</v>
      </c>
    </row>
    <row r="4895" spans="1:40" x14ac:dyDescent="0.25">
      <c r="A4895" t="str">
        <f>"20190312172214670"</f>
        <v>20190312172214670</v>
      </c>
      <c r="B4895" t="str">
        <f>"1552382534665658"</f>
        <v>1552382534665658</v>
      </c>
      <c r="C4895" t="s">
        <v>40</v>
      </c>
      <c r="D4895">
        <v>3.1309610000000001</v>
      </c>
      <c r="E4895">
        <v>0.53314139999999999</v>
      </c>
      <c r="F4895" t="s">
        <v>62</v>
      </c>
      <c r="G4895">
        <v>-199.69800000000001</v>
      </c>
      <c r="H4895" s="1">
        <v>-1.304401E-5</v>
      </c>
      <c r="I4895">
        <v>152.02350000000001</v>
      </c>
      <c r="J4895">
        <v>-190.44669999999999</v>
      </c>
      <c r="K4895">
        <v>1.108681</v>
      </c>
      <c r="L4895">
        <v>165.69239999999999</v>
      </c>
      <c r="M4895">
        <v>-0.14519689999999999</v>
      </c>
      <c r="N4895">
        <v>0</v>
      </c>
      <c r="O4895">
        <v>-0.98930899999999999</v>
      </c>
      <c r="P4895">
        <v>-0.47014</v>
      </c>
      <c r="Q4895">
        <v>0.18463540000000001</v>
      </c>
      <c r="R4895">
        <v>-0.86306369999999899</v>
      </c>
      <c r="S4895">
        <v>-1.7332609999999999</v>
      </c>
      <c r="T4895">
        <v>-0.2073064</v>
      </c>
      <c r="U4895">
        <v>-2.576416</v>
      </c>
      <c r="V4895">
        <v>0.34080270000000001</v>
      </c>
      <c r="W4895">
        <v>0.19550319999999999</v>
      </c>
      <c r="X4895">
        <v>0.91958249999999997</v>
      </c>
      <c r="Y4895">
        <v>0.43049029999999999</v>
      </c>
      <c r="Z4895">
        <v>6.8100629999999995E-2</v>
      </c>
      <c r="AA4895">
        <v>0.9000224</v>
      </c>
      <c r="AB4895">
        <v>20</v>
      </c>
      <c r="AC4895">
        <v>-9.2512999999999792</v>
      </c>
      <c r="AD4895">
        <v>-1.1086940440099999</v>
      </c>
      <c r="AE4895">
        <v>-13.668899999999899</v>
      </c>
      <c r="AF4895">
        <v>7.1361786278503097</v>
      </c>
      <c r="AG4895">
        <v>-1.1086940440099999</v>
      </c>
      <c r="AH4895">
        <v>14.8006238966674</v>
      </c>
      <c r="AI4895">
        <v>93.860183273959095</v>
      </c>
      <c r="AJ4895">
        <v>64.2587779816823</v>
      </c>
      <c r="AK4895">
        <v>16.4685371427584</v>
      </c>
      <c r="AL4895">
        <v>78.725879119575495</v>
      </c>
      <c r="AM4895">
        <v>69.664997076299002</v>
      </c>
      <c r="AN4895">
        <v>0.99999997792188899</v>
      </c>
    </row>
    <row r="4896" spans="1:40" x14ac:dyDescent="0.25">
      <c r="A4896" t="str">
        <f>"20190312172214684"</f>
        <v>20190312172214684</v>
      </c>
      <c r="B4896" t="str">
        <f>"1552382534675417"</f>
        <v>1552382534675417</v>
      </c>
      <c r="C4896" t="s">
        <v>40</v>
      </c>
      <c r="D4896">
        <v>3.1354860000000002</v>
      </c>
      <c r="E4896">
        <v>0.53289799999999998</v>
      </c>
      <c r="F4896" t="s">
        <v>62</v>
      </c>
      <c r="G4896">
        <v>-199.65129999999999</v>
      </c>
      <c r="H4896" s="1">
        <v>-1.3061169999999999E-5</v>
      </c>
      <c r="I4896">
        <v>152.10820000000001</v>
      </c>
      <c r="J4896">
        <v>-190.46719999999999</v>
      </c>
      <c r="K4896">
        <v>1.1086800000000001</v>
      </c>
      <c r="L4896">
        <v>165.5703</v>
      </c>
      <c r="M4896">
        <v>-0.1474453</v>
      </c>
      <c r="N4896">
        <v>0</v>
      </c>
      <c r="O4896">
        <v>-0.98897639999999998</v>
      </c>
      <c r="P4896">
        <v>-0.47312910000000002</v>
      </c>
      <c r="Q4896">
        <v>0.18580669999999999</v>
      </c>
      <c r="R4896">
        <v>-0.86117659999999996</v>
      </c>
      <c r="S4896">
        <v>-1.7425539999999999</v>
      </c>
      <c r="T4896">
        <v>-0.2098911</v>
      </c>
      <c r="U4896">
        <v>-2.5716860000000001</v>
      </c>
      <c r="V4896">
        <v>0.34194809999999998</v>
      </c>
      <c r="W4896">
        <v>0.19665530000000001</v>
      </c>
      <c r="X4896">
        <v>0.91891149999999999</v>
      </c>
      <c r="Y4896">
        <v>0.43140630000000002</v>
      </c>
      <c r="Z4896">
        <v>6.8934999999999996E-2</v>
      </c>
      <c r="AA4896">
        <v>0.89952019999999899</v>
      </c>
      <c r="AB4896">
        <v>20</v>
      </c>
      <c r="AC4896">
        <v>-9.1841000000000008</v>
      </c>
      <c r="AD4896">
        <v>-1.1086930611700001</v>
      </c>
      <c r="AE4896">
        <v>-13.4620999999999</v>
      </c>
      <c r="AF4896">
        <v>7.06588942778163</v>
      </c>
      <c r="AG4896">
        <v>-1.1086930611700001</v>
      </c>
      <c r="AH4896">
        <v>14.6016299878411</v>
      </c>
      <c r="AI4896">
        <v>93.909941580482197</v>
      </c>
      <c r="AJ4896">
        <v>64.177149330351099</v>
      </c>
      <c r="AK4896">
        <v>16.259261730205999</v>
      </c>
      <c r="AL4896">
        <v>78.658563031646295</v>
      </c>
      <c r="AM4896">
        <v>69.588608744480595</v>
      </c>
      <c r="AN4896">
        <v>1.00000007747197</v>
      </c>
    </row>
    <row r="4897" spans="1:40" x14ac:dyDescent="0.25">
      <c r="A4897" t="str">
        <f>"20190312172214695"</f>
        <v>20190312172214695</v>
      </c>
      <c r="B4897" t="str">
        <f>"1552382534685177"</f>
        <v>1552382534685177</v>
      </c>
      <c r="C4897" t="s">
        <v>40</v>
      </c>
      <c r="D4897">
        <v>3.1501380000000001</v>
      </c>
      <c r="E4897">
        <v>0.53289799999999998</v>
      </c>
      <c r="F4897" t="s">
        <v>62</v>
      </c>
      <c r="G4897">
        <v>-199.74019999999999</v>
      </c>
      <c r="H4897" s="1">
        <v>-1.3036979999999999E-5</v>
      </c>
      <c r="I4897">
        <v>151.98070000000001</v>
      </c>
      <c r="J4897">
        <v>-190.4864</v>
      </c>
      <c r="K4897">
        <v>1.1086830000000001</v>
      </c>
      <c r="L4897">
        <v>165.45769999999999</v>
      </c>
      <c r="M4897">
        <v>-0.14952839999999901</v>
      </c>
      <c r="N4897">
        <v>0</v>
      </c>
      <c r="O4897">
        <v>-0.98866339999999997</v>
      </c>
      <c r="P4897">
        <v>-0.47600350000000002</v>
      </c>
      <c r="Q4897">
        <v>0.1865964</v>
      </c>
      <c r="R4897">
        <v>-0.85941990000000001</v>
      </c>
      <c r="S4897">
        <v>-1.7513430000000001</v>
      </c>
      <c r="T4897">
        <v>-0.20939389999999999</v>
      </c>
      <c r="U4897">
        <v>-2.566605</v>
      </c>
      <c r="V4897">
        <v>0.34311730000000001</v>
      </c>
      <c r="W4897">
        <v>0.1974253</v>
      </c>
      <c r="X4897">
        <v>0.91831030000000002</v>
      </c>
      <c r="Y4897">
        <v>0.43244460000000001</v>
      </c>
      <c r="Z4897">
        <v>6.8773020000000004E-2</v>
      </c>
      <c r="AA4897">
        <v>0.89903389999999905</v>
      </c>
      <c r="AB4897">
        <v>20</v>
      </c>
      <c r="AC4897">
        <v>-9.2537999999999805</v>
      </c>
      <c r="AD4897">
        <v>-1.1086960369800001</v>
      </c>
      <c r="AE4897">
        <v>-13.476999999999901</v>
      </c>
      <c r="AF4897">
        <v>7.1016999248900401</v>
      </c>
      <c r="AG4897">
        <v>-1.1086960369800001</v>
      </c>
      <c r="AH4897">
        <v>14.641948118259</v>
      </c>
      <c r="AI4897">
        <v>93.897521245777796</v>
      </c>
      <c r="AJ4897">
        <v>64.125489886483294</v>
      </c>
      <c r="AK4897">
        <v>16.311039005023201</v>
      </c>
      <c r="AL4897">
        <v>78.613562400858001</v>
      </c>
      <c r="AM4897">
        <v>69.512309500036594</v>
      </c>
      <c r="AN4897">
        <v>1.00000001886273</v>
      </c>
    </row>
    <row r="4898" spans="1:40" x14ac:dyDescent="0.25">
      <c r="A4898" t="str">
        <f>"20190312172214708"</f>
        <v>20190312172214708</v>
      </c>
      <c r="B4898" t="str">
        <f>"1552382534705674"</f>
        <v>1552382534705674</v>
      </c>
      <c r="C4898" t="s">
        <v>40</v>
      </c>
      <c r="D4898">
        <v>3.1300330000000001</v>
      </c>
      <c r="E4898">
        <v>0.53286840000000002</v>
      </c>
      <c r="F4898" t="s">
        <v>62</v>
      </c>
      <c r="G4898">
        <v>-199.93979999999999</v>
      </c>
      <c r="H4898" s="1">
        <v>-1.29874E-5</v>
      </c>
      <c r="I4898">
        <v>151.7133</v>
      </c>
      <c r="J4898">
        <v>-190.5052</v>
      </c>
      <c r="K4898">
        <v>1.108681</v>
      </c>
      <c r="L4898">
        <v>165.34950000000001</v>
      </c>
      <c r="M4898">
        <v>-0.15154210000000001</v>
      </c>
      <c r="N4898">
        <v>0</v>
      </c>
      <c r="O4898">
        <v>-0.98835709999999999</v>
      </c>
      <c r="P4898">
        <v>-0.47874889999999998</v>
      </c>
      <c r="Q4898">
        <v>0.187503</v>
      </c>
      <c r="R4898">
        <v>-0.85769609999999996</v>
      </c>
      <c r="S4898">
        <v>-1.7609250000000001</v>
      </c>
      <c r="T4898">
        <v>-0.20652200000000001</v>
      </c>
      <c r="U4898">
        <v>-2.5602420000000001</v>
      </c>
      <c r="V4898">
        <v>0.344223</v>
      </c>
      <c r="W4898">
        <v>0.1983124</v>
      </c>
      <c r="X4898">
        <v>0.9177052</v>
      </c>
      <c r="Y4898">
        <v>0.43397200000000002</v>
      </c>
      <c r="Z4898">
        <v>6.7849320000000005E-2</v>
      </c>
      <c r="AA4898">
        <v>0.89836779999999905</v>
      </c>
      <c r="AB4898">
        <v>20</v>
      </c>
      <c r="AC4898">
        <v>-9.4345999999999801</v>
      </c>
      <c r="AD4898">
        <v>-1.1086939873999999</v>
      </c>
      <c r="AE4898">
        <v>-13.636200000000001</v>
      </c>
      <c r="AF4898">
        <v>7.2266609491754599</v>
      </c>
      <c r="AG4898">
        <v>-1.1086939873999999</v>
      </c>
      <c r="AH4898">
        <v>14.8422027407114</v>
      </c>
      <c r="AI4898">
        <v>93.842261614741503</v>
      </c>
      <c r="AJ4898">
        <v>64.038572852528901</v>
      </c>
      <c r="AK4898">
        <v>16.545235357298999</v>
      </c>
      <c r="AL4898">
        <v>78.5617105693442</v>
      </c>
      <c r="AM4898">
        <v>69.439381687683905</v>
      </c>
      <c r="AN4898">
        <v>1.00000005791489</v>
      </c>
    </row>
    <row r="4899" spans="1:40" x14ac:dyDescent="0.25">
      <c r="A4899" t="str">
        <f>"20190312172214724"</f>
        <v>20190312172214724</v>
      </c>
      <c r="B4899" t="str">
        <f>"1552382534715433"</f>
        <v>1552382534715433</v>
      </c>
      <c r="C4899" t="s">
        <v>40</v>
      </c>
      <c r="D4899">
        <v>3.108114</v>
      </c>
      <c r="E4899">
        <v>0.53263490000000002</v>
      </c>
      <c r="F4899" t="s">
        <v>62</v>
      </c>
      <c r="G4899">
        <v>-198.79499999999999</v>
      </c>
      <c r="H4899" s="1">
        <v>-1.3310019999999999E-5</v>
      </c>
      <c r="I4899">
        <v>153.399</v>
      </c>
      <c r="J4899">
        <v>-190.53</v>
      </c>
      <c r="K4899">
        <v>1.108679</v>
      </c>
      <c r="L4899">
        <v>165.20760000000001</v>
      </c>
      <c r="M4899">
        <v>-0.15419389999999999</v>
      </c>
      <c r="N4899">
        <v>0</v>
      </c>
      <c r="O4899">
        <v>-0.98794669999999896</v>
      </c>
      <c r="P4899">
        <v>-0.48288330000000002</v>
      </c>
      <c r="Q4899">
        <v>0.1892779</v>
      </c>
      <c r="R4899">
        <v>-0.85498390000000002</v>
      </c>
      <c r="S4899">
        <v>-1.77504</v>
      </c>
      <c r="T4899">
        <v>-0.2373952</v>
      </c>
      <c r="U4899">
        <v>-2.558853</v>
      </c>
      <c r="V4899">
        <v>0.34626829999999997</v>
      </c>
      <c r="W4899">
        <v>0.20005300000000001</v>
      </c>
      <c r="X4899">
        <v>0.91655719999999996</v>
      </c>
      <c r="Y4899">
        <v>0.43472369999999999</v>
      </c>
      <c r="Z4899">
        <v>7.7787969999999998E-2</v>
      </c>
      <c r="AA4899">
        <v>0.89719799999999905</v>
      </c>
      <c r="AB4899">
        <v>20</v>
      </c>
      <c r="AC4899">
        <v>-8.2649999999999793</v>
      </c>
      <c r="AD4899">
        <v>-1.1086923100199999</v>
      </c>
      <c r="AE4899">
        <v>-11.8086</v>
      </c>
      <c r="AF4899">
        <v>6.3078330179218103</v>
      </c>
      <c r="AG4899">
        <v>-1.1086923100199999</v>
      </c>
      <c r="AH4899">
        <v>12.8657588807271</v>
      </c>
      <c r="AI4899">
        <v>94.424429581120904</v>
      </c>
      <c r="AJ4899">
        <v>63.882179279542299</v>
      </c>
      <c r="AK4899">
        <v>14.371698145914699</v>
      </c>
      <c r="AL4899">
        <v>78.459941884965801</v>
      </c>
      <c r="AM4899">
        <v>69.303818536077799</v>
      </c>
      <c r="AN4899">
        <v>1.00000001963286</v>
      </c>
    </row>
    <row r="4900" spans="1:40" x14ac:dyDescent="0.25">
      <c r="A4900" t="str">
        <f>"20190312172214735"</f>
        <v>20190312172214735</v>
      </c>
      <c r="B4900" t="str">
        <f>"1552382534725193"</f>
        <v>1552382534725193</v>
      </c>
      <c r="C4900" t="s">
        <v>40</v>
      </c>
      <c r="D4900">
        <v>3.1169289999999998</v>
      </c>
      <c r="E4900">
        <v>0.53222309999999995</v>
      </c>
      <c r="F4900" t="s">
        <v>62</v>
      </c>
      <c r="G4900">
        <v>-199.05359999999999</v>
      </c>
      <c r="H4900" s="1">
        <v>-1.3246549999999999E-5</v>
      </c>
      <c r="I4900">
        <v>153.0556</v>
      </c>
      <c r="J4900">
        <v>-190.54849999999999</v>
      </c>
      <c r="K4900">
        <v>1.108676</v>
      </c>
      <c r="L4900">
        <v>165.10390000000001</v>
      </c>
      <c r="M4900">
        <v>-0.1561437</v>
      </c>
      <c r="N4900">
        <v>0</v>
      </c>
      <c r="O4900">
        <v>-0.98764039999999997</v>
      </c>
      <c r="P4900">
        <v>-0.48531029999999997</v>
      </c>
      <c r="Q4900">
        <v>0.1901504</v>
      </c>
      <c r="R4900">
        <v>-0.85341509999999998</v>
      </c>
      <c r="S4900">
        <v>-1.7886959999999901</v>
      </c>
      <c r="T4900">
        <v>-0.23266239999999999</v>
      </c>
      <c r="U4900">
        <v>-2.550125</v>
      </c>
      <c r="V4900">
        <v>0.34710350000000001</v>
      </c>
      <c r="W4900">
        <v>0.2009079</v>
      </c>
      <c r="X4900">
        <v>0.91605409999999998</v>
      </c>
      <c r="Y4900">
        <v>0.43767830000000002</v>
      </c>
      <c r="Z4900">
        <v>7.6260320000000006E-2</v>
      </c>
      <c r="AA4900">
        <v>0.89589180000000002</v>
      </c>
      <c r="AB4900">
        <v>20</v>
      </c>
      <c r="AC4900">
        <v>-8.5050999999999899</v>
      </c>
      <c r="AD4900">
        <v>-1.10868924655</v>
      </c>
      <c r="AE4900">
        <v>-12.048299999999999</v>
      </c>
      <c r="AF4900">
        <v>6.4826823060772902</v>
      </c>
      <c r="AG4900">
        <v>-1.10868924655</v>
      </c>
      <c r="AH4900">
        <v>13.1542916848876</v>
      </c>
      <c r="AI4900">
        <v>94.323412876823596</v>
      </c>
      <c r="AJ4900">
        <v>63.765055145665301</v>
      </c>
      <c r="AK4900">
        <v>14.7067926978674</v>
      </c>
      <c r="AL4900">
        <v>78.409944069616998</v>
      </c>
      <c r="AM4900">
        <v>69.247722094891301</v>
      </c>
      <c r="AN4900">
        <v>0.99999996906073396</v>
      </c>
    </row>
    <row r="4901" spans="1:40" x14ac:dyDescent="0.25">
      <c r="A4901" t="str">
        <f>"20190312172214747"</f>
        <v>20190312172214747</v>
      </c>
      <c r="B4901" t="str">
        <f>"1552382534735930"</f>
        <v>1552382534735930</v>
      </c>
      <c r="C4901" t="s">
        <v>40</v>
      </c>
      <c r="D4901">
        <v>3.1017410000000001</v>
      </c>
      <c r="E4901">
        <v>0.53188959999999996</v>
      </c>
      <c r="F4901" t="s">
        <v>62</v>
      </c>
      <c r="G4901">
        <v>-199.19460000000001</v>
      </c>
      <c r="H4901" s="1">
        <v>-1.320384E-5</v>
      </c>
      <c r="I4901">
        <v>152.83619999999999</v>
      </c>
      <c r="J4901">
        <v>-190.566</v>
      </c>
      <c r="K4901">
        <v>1.1086769999999999</v>
      </c>
      <c r="L4901">
        <v>165.00640000000001</v>
      </c>
      <c r="M4901">
        <v>-0.1579854</v>
      </c>
      <c r="N4901">
        <v>0</v>
      </c>
      <c r="O4901">
        <v>-0.98734770000000005</v>
      </c>
      <c r="P4901">
        <v>-0.48761349999999998</v>
      </c>
      <c r="Q4901">
        <v>0.1909554</v>
      </c>
      <c r="R4901">
        <v>-0.85192129999999999</v>
      </c>
      <c r="S4901">
        <v>-1.794449</v>
      </c>
      <c r="T4901">
        <v>-0.23010220000000001</v>
      </c>
      <c r="U4901">
        <v>-2.5460970000000001</v>
      </c>
      <c r="V4901">
        <v>0.34790710000000002</v>
      </c>
      <c r="W4901">
        <v>0.2016963</v>
      </c>
      <c r="X4901">
        <v>0.9155759</v>
      </c>
      <c r="Y4901">
        <v>0.43805859999999902</v>
      </c>
      <c r="Z4901">
        <v>7.543764E-2</v>
      </c>
      <c r="AA4901">
        <v>0.89577559999999901</v>
      </c>
      <c r="AB4901">
        <v>20</v>
      </c>
      <c r="AC4901">
        <v>-8.6286000000000307</v>
      </c>
      <c r="AD4901">
        <v>-1.1086902038399999</v>
      </c>
      <c r="AE4901">
        <v>-12.170199999999999</v>
      </c>
      <c r="AF4901">
        <v>6.56108947458769</v>
      </c>
      <c r="AG4901">
        <v>-1.1086902038399999</v>
      </c>
      <c r="AH4901">
        <v>13.307157467612999</v>
      </c>
      <c r="AI4901">
        <v>94.273546684798902</v>
      </c>
      <c r="AJ4901">
        <v>63.754413762827298</v>
      </c>
      <c r="AK4901">
        <v>14.8780888870004</v>
      </c>
      <c r="AL4901">
        <v>78.363828267884898</v>
      </c>
      <c r="AM4901">
        <v>69.193851074997099</v>
      </c>
      <c r="AN4901">
        <v>0.99999998816245494</v>
      </c>
    </row>
    <row r="4902" spans="1:40" x14ac:dyDescent="0.25">
      <c r="A4902" t="str">
        <f>"20190312172214758"</f>
        <v>20190312172214758</v>
      </c>
      <c r="B4902" t="str">
        <f>"1552382534755449"</f>
        <v>1552382534755449</v>
      </c>
      <c r="C4902" t="s">
        <v>40</v>
      </c>
      <c r="D4902">
        <v>3.0997789999999998</v>
      </c>
      <c r="E4902">
        <v>0.53121499999999999</v>
      </c>
      <c r="F4902" t="s">
        <v>62</v>
      </c>
      <c r="G4902">
        <v>-199.27670000000001</v>
      </c>
      <c r="H4902" s="1">
        <v>-1.3178690000000001E-5</v>
      </c>
      <c r="I4902">
        <v>152.7073</v>
      </c>
      <c r="J4902">
        <v>-190.5848</v>
      </c>
      <c r="K4902">
        <v>1.108673</v>
      </c>
      <c r="L4902">
        <v>164.90289999999999</v>
      </c>
      <c r="M4902">
        <v>-0.15994700000000001</v>
      </c>
      <c r="N4902">
        <v>0</v>
      </c>
      <c r="O4902">
        <v>-0.98703180000000001</v>
      </c>
      <c r="P4902">
        <v>-0.49020780000000003</v>
      </c>
      <c r="Q4902">
        <v>0.1918204</v>
      </c>
      <c r="R4902">
        <v>-0.8502364</v>
      </c>
      <c r="S4902">
        <v>-1.8005070000000001</v>
      </c>
      <c r="T4902">
        <v>-0.2291676</v>
      </c>
      <c r="U4902">
        <v>-2.542252</v>
      </c>
      <c r="V4902">
        <v>0.34892040000000002</v>
      </c>
      <c r="W4902">
        <v>0.2025421</v>
      </c>
      <c r="X4902">
        <v>0.91500340000000002</v>
      </c>
      <c r="Y4902">
        <v>0.43834770000000001</v>
      </c>
      <c r="Z4902">
        <v>7.5136480000000005E-2</v>
      </c>
      <c r="AA4902">
        <v>0.89565939999999999</v>
      </c>
      <c r="AB4902">
        <v>20</v>
      </c>
      <c r="AC4902">
        <v>-8.6919000000000004</v>
      </c>
      <c r="AD4902">
        <v>-1.10868617869</v>
      </c>
      <c r="AE4902">
        <v>-12.195599999999899</v>
      </c>
      <c r="AF4902">
        <v>6.5930126380292498</v>
      </c>
      <c r="AG4902">
        <v>-1.10868617869</v>
      </c>
      <c r="AH4902">
        <v>13.3557351857841</v>
      </c>
      <c r="AI4902">
        <v>94.257040119067398</v>
      </c>
      <c r="AJ4902">
        <v>63.726908839386901</v>
      </c>
      <c r="AK4902">
        <v>14.9356172634687</v>
      </c>
      <c r="AL4902">
        <v>78.314346193475998</v>
      </c>
      <c r="AM4902">
        <v>69.126532614399196</v>
      </c>
      <c r="AN4902">
        <v>0.99999998491006403</v>
      </c>
    </row>
    <row r="4903" spans="1:40" x14ac:dyDescent="0.25">
      <c r="A4903" t="str">
        <f>"20190312172214770"</f>
        <v>20190312172214770</v>
      </c>
      <c r="B4903" t="str">
        <f>"1552382534765210"</f>
        <v>1552382534765210</v>
      </c>
      <c r="C4903" t="s">
        <v>40</v>
      </c>
      <c r="D4903">
        <v>3.0978650000000001</v>
      </c>
      <c r="E4903">
        <v>0.53095219999999999</v>
      </c>
      <c r="F4903" t="s">
        <v>62</v>
      </c>
      <c r="G4903">
        <v>-199.32419999999999</v>
      </c>
      <c r="H4903" s="1">
        <v>-1.315902E-5</v>
      </c>
      <c r="I4903">
        <v>152.61240000000001</v>
      </c>
      <c r="J4903">
        <v>-190.60310000000001</v>
      </c>
      <c r="K4903">
        <v>1.1086720000000001</v>
      </c>
      <c r="L4903">
        <v>164.80430000000001</v>
      </c>
      <c r="M4903">
        <v>-0.161829</v>
      </c>
      <c r="N4903">
        <v>0</v>
      </c>
      <c r="O4903">
        <v>-0.98672479999999996</v>
      </c>
      <c r="P4903">
        <v>-0.4922685</v>
      </c>
      <c r="Q4903">
        <v>0.19303020000000001</v>
      </c>
      <c r="R4903">
        <v>-0.84877080000000005</v>
      </c>
      <c r="S4903">
        <v>-1.805466</v>
      </c>
      <c r="T4903">
        <v>-0.22904389999999999</v>
      </c>
      <c r="U4903">
        <v>-2.5391080000000001</v>
      </c>
      <c r="V4903">
        <v>0.34944989999999998</v>
      </c>
      <c r="W4903">
        <v>0.20373640000000001</v>
      </c>
      <c r="X4903">
        <v>0.91453609999999996</v>
      </c>
      <c r="Y4903">
        <v>0.4383222</v>
      </c>
      <c r="Z4903">
        <v>7.5098070000000003E-2</v>
      </c>
      <c r="AA4903">
        <v>0.89567509999999995</v>
      </c>
      <c r="AB4903">
        <v>20</v>
      </c>
      <c r="AC4903">
        <v>-8.7210999999999697</v>
      </c>
      <c r="AD4903">
        <v>-1.10868515902</v>
      </c>
      <c r="AE4903">
        <v>-12.1919</v>
      </c>
      <c r="AF4903">
        <v>6.5968511071299698</v>
      </c>
      <c r="AG4903">
        <v>-1.10868515902</v>
      </c>
      <c r="AH4903">
        <v>13.3694886474704</v>
      </c>
      <c r="AI4903">
        <v>94.253044159176198</v>
      </c>
      <c r="AJ4903">
        <v>63.737078028900299</v>
      </c>
      <c r="AK4903">
        <v>14.949610496809401</v>
      </c>
      <c r="AL4903">
        <v>78.244461083736496</v>
      </c>
      <c r="AM4903">
        <v>69.087834096533498</v>
      </c>
      <c r="AN4903">
        <v>1.00000001574908</v>
      </c>
    </row>
    <row r="4904" spans="1:40" x14ac:dyDescent="0.25">
      <c r="A4904" t="str">
        <f>"20190312172214782"</f>
        <v>20190312172214782</v>
      </c>
      <c r="B4904" t="str">
        <f>"1552382534775945"</f>
        <v>1552382534775945</v>
      </c>
      <c r="C4904" t="s">
        <v>40</v>
      </c>
      <c r="D4904">
        <v>3.1012339999999998</v>
      </c>
      <c r="E4904">
        <v>0.53070059999999997</v>
      </c>
      <c r="F4904" t="s">
        <v>62</v>
      </c>
      <c r="G4904">
        <v>-199.46379999999999</v>
      </c>
      <c r="H4904" s="1">
        <v>-1.3118179999999999E-5</v>
      </c>
      <c r="I4904">
        <v>152.4008</v>
      </c>
      <c r="J4904">
        <v>-190.62270000000001</v>
      </c>
      <c r="K4904">
        <v>1.108668</v>
      </c>
      <c r="L4904">
        <v>164.6985</v>
      </c>
      <c r="M4904">
        <v>-0.16385130000000001</v>
      </c>
      <c r="N4904">
        <v>0</v>
      </c>
      <c r="O4904">
        <v>-0.98639089999999996</v>
      </c>
      <c r="P4904">
        <v>-0.49465920000000002</v>
      </c>
      <c r="Q4904">
        <v>0.19388649999999999</v>
      </c>
      <c r="R4904">
        <v>-0.84718400000000005</v>
      </c>
      <c r="S4904">
        <v>-1.81134</v>
      </c>
      <c r="T4904">
        <v>-0.2266407</v>
      </c>
      <c r="U4904">
        <v>-2.5355530000000002</v>
      </c>
      <c r="V4904">
        <v>0.35019519999999998</v>
      </c>
      <c r="W4904">
        <v>0.20457620000000001</v>
      </c>
      <c r="X4904">
        <v>0.91406350000000003</v>
      </c>
      <c r="Y4904">
        <v>0.43848359999999897</v>
      </c>
      <c r="Z4904">
        <v>7.4312840000000005E-2</v>
      </c>
      <c r="AA4904">
        <v>0.89566159999999995</v>
      </c>
      <c r="AB4904">
        <v>20</v>
      </c>
      <c r="AC4904">
        <v>-8.8410999999999795</v>
      </c>
      <c r="AD4904">
        <v>-1.10868111817999</v>
      </c>
      <c r="AE4904">
        <v>-12.297699999999899</v>
      </c>
      <c r="AF4904">
        <v>6.67066623890753</v>
      </c>
      <c r="AG4904">
        <v>-1.10868111817999</v>
      </c>
      <c r="AH4904">
        <v>13.507847986099099</v>
      </c>
      <c r="AI4904">
        <v>94.208939460527802</v>
      </c>
      <c r="AJ4904">
        <v>63.718166051396402</v>
      </c>
      <c r="AK4904">
        <v>15.1059233120081</v>
      </c>
      <c r="AL4904">
        <v>78.195309757596107</v>
      </c>
      <c r="AM4904">
        <v>69.037208608178503</v>
      </c>
      <c r="AN4904">
        <v>1.0000000908708599</v>
      </c>
    </row>
    <row r="4905" spans="1:40" x14ac:dyDescent="0.25">
      <c r="A4905" t="str">
        <f>"20190312172214794"</f>
        <v>20190312172214794</v>
      </c>
      <c r="B4905" t="str">
        <f>"1552382534785705"</f>
        <v>1552382534785705</v>
      </c>
      <c r="C4905" t="s">
        <v>40</v>
      </c>
      <c r="D4905">
        <v>3.0956589999999999</v>
      </c>
      <c r="E4905">
        <v>0.53070059999999997</v>
      </c>
      <c r="F4905" t="s">
        <v>62</v>
      </c>
      <c r="G4905">
        <v>-199.56479999999999</v>
      </c>
      <c r="H4905" s="1">
        <v>-1.308881E-5</v>
      </c>
      <c r="I4905">
        <v>152.24850000000001</v>
      </c>
      <c r="J4905">
        <v>-190.6431</v>
      </c>
      <c r="K4905">
        <v>1.108663</v>
      </c>
      <c r="L4905">
        <v>164.59059999999999</v>
      </c>
      <c r="M4905">
        <v>-0.16592579999999901</v>
      </c>
      <c r="N4905">
        <v>0</v>
      </c>
      <c r="O4905">
        <v>-0.98604429999999998</v>
      </c>
      <c r="P4905">
        <v>-0.49699979999999999</v>
      </c>
      <c r="Q4905">
        <v>0.19459290000000001</v>
      </c>
      <c r="R4905">
        <v>-0.84565089999999998</v>
      </c>
      <c r="S4905">
        <v>-1.8180240000000001</v>
      </c>
      <c r="T4905">
        <v>-0.22540769999999999</v>
      </c>
      <c r="U4905">
        <v>-2.5312190000000001</v>
      </c>
      <c r="V4905">
        <v>0.35083530000000002</v>
      </c>
      <c r="W4905">
        <v>0.2052678</v>
      </c>
      <c r="X4905">
        <v>0.91366289999999994</v>
      </c>
      <c r="Y4905">
        <v>0.43889869999999997</v>
      </c>
      <c r="Z4905">
        <v>7.3914460000000001E-2</v>
      </c>
      <c r="AA4905">
        <v>0.89549120000000004</v>
      </c>
      <c r="AB4905">
        <v>20</v>
      </c>
      <c r="AC4905">
        <v>-8.92169999999998</v>
      </c>
      <c r="AD4905">
        <v>-1.10867608881</v>
      </c>
      <c r="AE4905">
        <v>-12.342099999999901</v>
      </c>
      <c r="AF4905">
        <v>6.7143588390221902</v>
      </c>
      <c r="AG4905">
        <v>-1.10867608881</v>
      </c>
      <c r="AH4905">
        <v>13.579492968187999</v>
      </c>
      <c r="AI4905">
        <v>94.1857794275804</v>
      </c>
      <c r="AJ4905">
        <v>63.689979165671197</v>
      </c>
      <c r="AK4905">
        <v>15.189285913502401</v>
      </c>
      <c r="AL4905">
        <v>78.154824783974902</v>
      </c>
      <c r="AM4905">
        <v>68.993825595779796</v>
      </c>
      <c r="AN4905">
        <v>1.0000000861396601</v>
      </c>
    </row>
    <row r="4906" spans="1:40" x14ac:dyDescent="0.25">
      <c r="A4906" t="str">
        <f>"20190312172214805"</f>
        <v>20190312172214805</v>
      </c>
      <c r="B4906" t="str">
        <f>"1552382534795466"</f>
        <v>1552382534795466</v>
      </c>
      <c r="C4906" t="s">
        <v>40</v>
      </c>
      <c r="D4906">
        <v>3.1281889999999999</v>
      </c>
      <c r="E4906">
        <v>0.5267927</v>
      </c>
      <c r="F4906" t="s">
        <v>62</v>
      </c>
      <c r="G4906">
        <v>-199.72649999999999</v>
      </c>
      <c r="H4906" s="1">
        <v>-1.304713E-5</v>
      </c>
      <c r="I4906">
        <v>152.02590000000001</v>
      </c>
      <c r="J4906">
        <v>-190.6627</v>
      </c>
      <c r="K4906">
        <v>1.108662</v>
      </c>
      <c r="L4906">
        <v>164.4881</v>
      </c>
      <c r="M4906">
        <v>-0.16790369999999999</v>
      </c>
      <c r="N4906">
        <v>0</v>
      </c>
      <c r="O4906">
        <v>-0.98570930000000001</v>
      </c>
      <c r="P4906">
        <v>-0.49899149999999998</v>
      </c>
      <c r="Q4906">
        <v>0.19532959999999999</v>
      </c>
      <c r="R4906">
        <v>-0.84430709999999998</v>
      </c>
      <c r="S4906">
        <v>-1.825928</v>
      </c>
      <c r="T4906">
        <v>-0.2228639</v>
      </c>
      <c r="U4906">
        <v>-2.5257420000000002</v>
      </c>
      <c r="V4906">
        <v>0.35119139999999999</v>
      </c>
      <c r="W4906">
        <v>0.20599390000000001</v>
      </c>
      <c r="X4906">
        <v>0.91336249999999997</v>
      </c>
      <c r="Y4906">
        <v>0.43989529999999899</v>
      </c>
      <c r="Z4906">
        <v>7.3096170000000002E-2</v>
      </c>
      <c r="AA4906">
        <v>0.89506929999999996</v>
      </c>
      <c r="AB4906">
        <v>20</v>
      </c>
      <c r="AC4906">
        <v>-9.0637999999999792</v>
      </c>
      <c r="AD4906">
        <v>-1.10867504713</v>
      </c>
      <c r="AE4906">
        <v>-12.4621999999999</v>
      </c>
      <c r="AF4906">
        <v>6.8072209396082597</v>
      </c>
      <c r="AG4906">
        <v>-1.10867504713</v>
      </c>
      <c r="AH4906">
        <v>13.7361303971</v>
      </c>
      <c r="AI4906">
        <v>94.136371234233707</v>
      </c>
      <c r="AJ4906">
        <v>63.638341898022396</v>
      </c>
      <c r="AK4906">
        <v>15.370383715669</v>
      </c>
      <c r="AL4906">
        <v>78.112312462047001</v>
      </c>
      <c r="AM4906">
        <v>68.968056006161007</v>
      </c>
      <c r="AN4906">
        <v>0.99999997133870899</v>
      </c>
    </row>
    <row r="4907" spans="1:40" x14ac:dyDescent="0.25">
      <c r="A4907" t="str">
        <f>"20190312172214819"</f>
        <v>20190312172214819</v>
      </c>
      <c r="B4907" t="str">
        <f>"1552382534815494"</f>
        <v>1552382534815494</v>
      </c>
      <c r="C4907" t="s">
        <v>40</v>
      </c>
      <c r="D4907">
        <v>3.1302099999999999</v>
      </c>
      <c r="E4907">
        <v>0.52739099999999905</v>
      </c>
      <c r="F4907" t="s">
        <v>62</v>
      </c>
      <c r="G4907">
        <v>-199.71260000000001</v>
      </c>
      <c r="H4907" s="1">
        <v>-1.2982440000000001E-5</v>
      </c>
      <c r="I4907">
        <v>151.77369999999999</v>
      </c>
      <c r="J4907">
        <v>-190.68559999999999</v>
      </c>
      <c r="K4907">
        <v>1.1086590000000001</v>
      </c>
      <c r="L4907">
        <v>164.3689</v>
      </c>
      <c r="M4907">
        <v>-0.1702072</v>
      </c>
      <c r="N4907">
        <v>0</v>
      </c>
      <c r="O4907">
        <v>-0.98531420000000003</v>
      </c>
      <c r="P4907">
        <v>-0.50158069999999999</v>
      </c>
      <c r="Q4907">
        <v>0.19586480000000001</v>
      </c>
      <c r="R4907">
        <v>-0.84264709999999998</v>
      </c>
      <c r="S4907">
        <v>-1.8058780000000001</v>
      </c>
      <c r="T4907">
        <v>-0.22123209999999999</v>
      </c>
      <c r="U4907">
        <v>-2.5371090000000001</v>
      </c>
      <c r="V4907">
        <v>0.35188819999999998</v>
      </c>
      <c r="W4907">
        <v>0.20651559999999999</v>
      </c>
      <c r="X4907">
        <v>0.91297640000000002</v>
      </c>
      <c r="Y4907">
        <v>0.43121419999999999</v>
      </c>
      <c r="Z4907">
        <v>7.2568949999999993E-2</v>
      </c>
      <c r="AA4907">
        <v>0.89932639999999997</v>
      </c>
      <c r="AB4907">
        <v>20</v>
      </c>
      <c r="AC4907">
        <v>-9.0270000000000099</v>
      </c>
      <c r="AD4907">
        <v>-1.10867198244</v>
      </c>
      <c r="AE4907">
        <v>-12.5952</v>
      </c>
      <c r="AF4907">
        <v>6.7168812455313596</v>
      </c>
      <c r="AG4907">
        <v>-1.10867198244</v>
      </c>
      <c r="AH4907">
        <v>13.876949901763901</v>
      </c>
      <c r="AI4907">
        <v>94.113170738857704</v>
      </c>
      <c r="AJ4907">
        <v>64.171554388327294</v>
      </c>
      <c r="AK4907">
        <v>15.456887972916199</v>
      </c>
      <c r="AL4907">
        <v>78.081764192562801</v>
      </c>
      <c r="AM4907">
        <v>68.921856802211195</v>
      </c>
      <c r="AN4907">
        <v>0.99999995264977803</v>
      </c>
    </row>
    <row r="4908" spans="1:40" x14ac:dyDescent="0.25">
      <c r="A4908" t="str">
        <f>"20190312172214837"</f>
        <v>20190312172214837</v>
      </c>
      <c r="B4908" t="str">
        <f>"1552382534825253"</f>
        <v>1552382534825253</v>
      </c>
      <c r="C4908" t="s">
        <v>40</v>
      </c>
      <c r="D4908">
        <v>3.1246070000000001</v>
      </c>
      <c r="E4908">
        <v>0.52700769999999997</v>
      </c>
      <c r="F4908" t="s">
        <v>62</v>
      </c>
      <c r="G4908">
        <v>-199.2791</v>
      </c>
      <c r="H4908" s="1">
        <v>-1.310824E-5</v>
      </c>
      <c r="I4908">
        <v>152.4264</v>
      </c>
      <c r="J4908">
        <v>-190.7157</v>
      </c>
      <c r="K4908">
        <v>1.10866</v>
      </c>
      <c r="L4908">
        <v>164.21549999999999</v>
      </c>
      <c r="M4908">
        <v>-0.17318639999999999</v>
      </c>
      <c r="N4908">
        <v>0</v>
      </c>
      <c r="O4908">
        <v>-0.98479499999999998</v>
      </c>
      <c r="P4908">
        <v>-0.504640799999999</v>
      </c>
      <c r="Q4908">
        <v>0.1972158</v>
      </c>
      <c r="R4908">
        <v>-0.84050230000000004</v>
      </c>
      <c r="S4908">
        <v>-1.8211059999999999</v>
      </c>
      <c r="T4908">
        <v>-0.23494490000000001</v>
      </c>
      <c r="U4908">
        <v>-2.5308069999999998</v>
      </c>
      <c r="V4908">
        <v>0.35251070000000001</v>
      </c>
      <c r="W4908">
        <v>0.2078535</v>
      </c>
      <c r="X4908">
        <v>0.91243260000000004</v>
      </c>
      <c r="Y4908">
        <v>0.43292560000000002</v>
      </c>
      <c r="Z4908">
        <v>7.6976429999999998E-2</v>
      </c>
      <c r="AA4908">
        <v>0.89813699999999996</v>
      </c>
      <c r="AB4908">
        <v>20</v>
      </c>
      <c r="AC4908">
        <v>-8.5633999999999997</v>
      </c>
      <c r="AD4908">
        <v>-1.1086731082400001</v>
      </c>
      <c r="AE4908">
        <v>-11.7890999999999</v>
      </c>
      <c r="AF4908">
        <v>6.3552811936059399</v>
      </c>
      <c r="AG4908">
        <v>-1.1086731082400001</v>
      </c>
      <c r="AH4908">
        <v>13.0187546063621</v>
      </c>
      <c r="AI4908">
        <v>94.376202953316906</v>
      </c>
      <c r="AJ4908">
        <v>63.980057176874801</v>
      </c>
      <c r="AK4908">
        <v>14.5295122633697</v>
      </c>
      <c r="AL4908">
        <v>78.003409286503498</v>
      </c>
      <c r="AM4908">
        <v>68.876377850087707</v>
      </c>
      <c r="AN4908">
        <v>1.0000000603097401</v>
      </c>
    </row>
    <row r="4909" spans="1:40" x14ac:dyDescent="0.25">
      <c r="A4909" t="str">
        <f>"20190312172214853"</f>
        <v>20190312172214853</v>
      </c>
      <c r="B4909" t="str">
        <f>"1552382534845751"</f>
        <v>1552382534845751</v>
      </c>
      <c r="C4909" t="s">
        <v>40</v>
      </c>
      <c r="D4909">
        <v>3.1280209999999999</v>
      </c>
      <c r="E4909">
        <v>0.52694560000000001</v>
      </c>
      <c r="F4909" t="s">
        <v>62</v>
      </c>
      <c r="G4909">
        <v>-199.55109999999999</v>
      </c>
      <c r="H4909" s="1">
        <v>-1.3029E-5</v>
      </c>
      <c r="I4909">
        <v>152.01560000000001</v>
      </c>
      <c r="J4909">
        <v>-190.7441</v>
      </c>
      <c r="K4909">
        <v>1.108663</v>
      </c>
      <c r="L4909">
        <v>164.07310000000001</v>
      </c>
      <c r="M4909">
        <v>-0.17596110000000001</v>
      </c>
      <c r="N4909">
        <v>0</v>
      </c>
      <c r="O4909">
        <v>-0.98430280000000003</v>
      </c>
      <c r="P4909">
        <v>-0.5072065</v>
      </c>
      <c r="Q4909">
        <v>0.19776830000000001</v>
      </c>
      <c r="R4909">
        <v>-0.83882610000000002</v>
      </c>
      <c r="S4909">
        <v>-1.828735</v>
      </c>
      <c r="T4909">
        <v>-0.22947119999999999</v>
      </c>
      <c r="U4909">
        <v>-2.5251160000000001</v>
      </c>
      <c r="V4909">
        <v>0.352753599999999</v>
      </c>
      <c r="W4909">
        <v>0.20840049999999999</v>
      </c>
      <c r="X4909">
        <v>0.91221390000000002</v>
      </c>
      <c r="Y4909">
        <v>0.43320799999999998</v>
      </c>
      <c r="Z4909">
        <v>7.5208570000000002E-2</v>
      </c>
      <c r="AA4909">
        <v>0.89815059999999902</v>
      </c>
      <c r="AB4909">
        <v>20</v>
      </c>
      <c r="AC4909">
        <v>-8.8069999999999808</v>
      </c>
      <c r="AD4909">
        <v>-1.108676029</v>
      </c>
      <c r="AE4909">
        <v>-12.057499999999999</v>
      </c>
      <c r="AF4909">
        <v>6.5118104340598499</v>
      </c>
      <c r="AG4909">
        <v>-1.108676029</v>
      </c>
      <c r="AH4909">
        <v>13.345588660834499</v>
      </c>
      <c r="AI4909">
        <v>94.269821314342593</v>
      </c>
      <c r="AJ4909">
        <v>63.990525857787503</v>
      </c>
      <c r="AK4909">
        <v>14.8908553941876</v>
      </c>
      <c r="AL4909">
        <v>77.971366516135106</v>
      </c>
      <c r="AM4909">
        <v>68.858487263595904</v>
      </c>
      <c r="AN4909">
        <v>1.0000000350331999</v>
      </c>
    </row>
    <row r="4910" spans="1:40" x14ac:dyDescent="0.25">
      <c r="A4910" t="str">
        <f>"20190312172214867"</f>
        <v>20190312172214867</v>
      </c>
      <c r="B4910" t="str">
        <f>"1552382534855510"</f>
        <v>1552382534855510</v>
      </c>
      <c r="C4910" t="s">
        <v>40</v>
      </c>
      <c r="D4910">
        <v>3.2271260000000002</v>
      </c>
      <c r="E4910">
        <v>0.52672299999999905</v>
      </c>
      <c r="F4910" t="s">
        <v>62</v>
      </c>
      <c r="G4910">
        <v>-199.44220000000001</v>
      </c>
      <c r="H4910" s="1">
        <v>-1.305213E-5</v>
      </c>
      <c r="I4910">
        <v>152.14599999999999</v>
      </c>
      <c r="J4910">
        <v>-190.768</v>
      </c>
      <c r="K4910">
        <v>1.1086640000000001</v>
      </c>
      <c r="L4910">
        <v>163.9546</v>
      </c>
      <c r="M4910">
        <v>-0.1782733</v>
      </c>
      <c r="N4910">
        <v>0</v>
      </c>
      <c r="O4910">
        <v>-0.98388699999999996</v>
      </c>
      <c r="P4910">
        <v>-0.50934060000000003</v>
      </c>
      <c r="Q4910">
        <v>0.19862830000000001</v>
      </c>
      <c r="R4910">
        <v>-0.83732890000000004</v>
      </c>
      <c r="S4910">
        <v>-1.8379970000000001</v>
      </c>
      <c r="T4910">
        <v>-0.23427339999999999</v>
      </c>
      <c r="U4910">
        <v>-2.5203090000000001</v>
      </c>
      <c r="V4910">
        <v>0.3529735</v>
      </c>
      <c r="W4910">
        <v>0.20925579999999999</v>
      </c>
      <c r="X4910">
        <v>0.91193290000000005</v>
      </c>
      <c r="Y4910">
        <v>0.43399399999999999</v>
      </c>
      <c r="Z4910">
        <v>7.6750589999999994E-2</v>
      </c>
      <c r="AA4910">
        <v>0.89764049999999995</v>
      </c>
      <c r="AB4910">
        <v>20</v>
      </c>
      <c r="AC4910">
        <v>-8.6742000000000097</v>
      </c>
      <c r="AD4910">
        <v>-1.10867705212999</v>
      </c>
      <c r="AE4910">
        <v>-11.808599999999901</v>
      </c>
      <c r="AF4910">
        <v>6.3932650660449299</v>
      </c>
      <c r="AG4910">
        <v>-1.10867705212999</v>
      </c>
      <c r="AH4910">
        <v>13.0909726256463</v>
      </c>
      <c r="AI4910">
        <v>94.351813096171</v>
      </c>
      <c r="AJ4910">
        <v>63.970410051979599</v>
      </c>
      <c r="AK4910">
        <v>14.6108373235777</v>
      </c>
      <c r="AL4910">
        <v>77.921255561525697</v>
      </c>
      <c r="AM4910">
        <v>68.840531557497897</v>
      </c>
      <c r="AN4910">
        <v>0.99999994781914803</v>
      </c>
    </row>
    <row r="4911" spans="1:40" x14ac:dyDescent="0.25">
      <c r="A4911" t="str">
        <f>"20190312172214881"</f>
        <v>20190312172214881</v>
      </c>
      <c r="B4911" t="str">
        <f>"1552382534876006"</f>
        <v>1552382534876006</v>
      </c>
      <c r="C4911" t="s">
        <v>40</v>
      </c>
      <c r="D4911">
        <v>3.1031049999999998</v>
      </c>
      <c r="E4911">
        <v>0.53663459999999996</v>
      </c>
      <c r="F4911" t="s">
        <v>62</v>
      </c>
      <c r="G4911">
        <v>-199.6052</v>
      </c>
      <c r="H4911" s="1">
        <v>-1.3003000000000001E-5</v>
      </c>
      <c r="I4911">
        <v>151.89320000000001</v>
      </c>
      <c r="J4911">
        <v>-190.7944</v>
      </c>
      <c r="K4911">
        <v>1.108673</v>
      </c>
      <c r="L4911">
        <v>163.82509999999999</v>
      </c>
      <c r="M4911">
        <v>-0.18080379999999999</v>
      </c>
      <c r="N4911">
        <v>0</v>
      </c>
      <c r="O4911">
        <v>-0.98342499999999999</v>
      </c>
      <c r="P4911">
        <v>-0.51225109999999996</v>
      </c>
      <c r="Q4911">
        <v>0.1999204</v>
      </c>
      <c r="R4911">
        <v>-0.83524319999999896</v>
      </c>
      <c r="S4911">
        <v>-1.843628</v>
      </c>
      <c r="T4911">
        <v>-0.23129359999999999</v>
      </c>
      <c r="U4911">
        <v>-2.516251</v>
      </c>
      <c r="V4911">
        <v>0.35386440000000002</v>
      </c>
      <c r="W4911">
        <v>0.21053549999999999</v>
      </c>
      <c r="X4911">
        <v>0.91129289999999996</v>
      </c>
      <c r="Y4911">
        <v>0.43371910000000002</v>
      </c>
      <c r="Z4911">
        <v>7.5784980000000002E-2</v>
      </c>
      <c r="AA4911">
        <v>0.89785539999999997</v>
      </c>
      <c r="AB4911">
        <v>20</v>
      </c>
      <c r="AC4911">
        <v>-8.8108000000000004</v>
      </c>
      <c r="AD4911">
        <v>-1.1086860029999901</v>
      </c>
      <c r="AE4911">
        <v>-11.931899999999899</v>
      </c>
      <c r="AF4911">
        <v>6.4718713925667704</v>
      </c>
      <c r="AG4911">
        <v>-1.1086860029999901</v>
      </c>
      <c r="AH4911">
        <v>13.254334999301699</v>
      </c>
      <c r="AI4911">
        <v>94.298562685505402</v>
      </c>
      <c r="AJ4911">
        <v>63.974512341648499</v>
      </c>
      <c r="AK4911">
        <v>14.7916091162823</v>
      </c>
      <c r="AL4911">
        <v>77.846264002940103</v>
      </c>
      <c r="AM4911">
        <v>68.778296962354602</v>
      </c>
      <c r="AN4911">
        <v>0.99999997996900902</v>
      </c>
    </row>
    <row r="4912" spans="1:40" x14ac:dyDescent="0.25">
      <c r="A4912" t="str">
        <f>"20190312172214894"</f>
        <v>20190312172214894</v>
      </c>
      <c r="B4912" t="str">
        <f>"1552382534885766"</f>
        <v>1552382534885766</v>
      </c>
      <c r="C4912" t="s">
        <v>40</v>
      </c>
      <c r="D4912">
        <v>3.0928200000000001</v>
      </c>
      <c r="E4912">
        <v>0.53694229999999998</v>
      </c>
      <c r="F4912" t="s">
        <v>62</v>
      </c>
      <c r="G4912">
        <v>-200.29849999999999</v>
      </c>
      <c r="H4912">
        <v>7.9984609999999998E-2</v>
      </c>
      <c r="I4912">
        <v>151.61170000000001</v>
      </c>
      <c r="J4912">
        <v>-190.81880000000001</v>
      </c>
      <c r="K4912">
        <v>1.108676</v>
      </c>
      <c r="L4912">
        <v>163.70760000000001</v>
      </c>
      <c r="M4912">
        <v>-0.18310219999999999</v>
      </c>
      <c r="N4912">
        <v>0</v>
      </c>
      <c r="O4912">
        <v>-0.98299970000000003</v>
      </c>
      <c r="P4912">
        <v>-0.51446619999999998</v>
      </c>
      <c r="Q4912">
        <v>0.2006076</v>
      </c>
      <c r="R4912">
        <v>-0.83371550000000005</v>
      </c>
      <c r="S4912">
        <v>-1.9182129999999999</v>
      </c>
      <c r="T4912">
        <v>-0.20762030000000001</v>
      </c>
      <c r="U4912">
        <v>-2.4650270000000001</v>
      </c>
      <c r="V4912">
        <v>0.35418640000000001</v>
      </c>
      <c r="W4912">
        <v>0.2112184</v>
      </c>
      <c r="X4912">
        <v>0.91100979999999998</v>
      </c>
      <c r="Y4912">
        <v>0.4578005</v>
      </c>
      <c r="Z4912">
        <v>6.8154010000000001E-2</v>
      </c>
      <c r="AA4912">
        <v>0.88643879999999997</v>
      </c>
      <c r="AB4912">
        <v>20</v>
      </c>
      <c r="AC4912">
        <v>-9.4796999999999798</v>
      </c>
      <c r="AD4912">
        <v>-1.0286913900000001</v>
      </c>
      <c r="AE4912">
        <v>-12.0959</v>
      </c>
      <c r="AF4912">
        <v>7.07272417474399</v>
      </c>
      <c r="AG4912">
        <v>-1.0286913900000001</v>
      </c>
      <c r="AH4912">
        <v>13.566495839340099</v>
      </c>
      <c r="AI4912">
        <v>93.846614621586099</v>
      </c>
      <c r="AJ4912">
        <v>62.465275554330503</v>
      </c>
      <c r="AK4912">
        <v>15.3339963019006</v>
      </c>
      <c r="AL4912">
        <v>77.806237308772097</v>
      </c>
      <c r="AM4912">
        <v>68.754694900024205</v>
      </c>
      <c r="AN4912">
        <v>1.0000000370697699</v>
      </c>
    </row>
    <row r="4913" spans="1:40" x14ac:dyDescent="0.25">
      <c r="A4913" t="str">
        <f>"20190312172214907"</f>
        <v>20190312172214907</v>
      </c>
      <c r="B4913" t="str">
        <f>"1552382534895525"</f>
        <v>1552382534895525</v>
      </c>
      <c r="C4913" t="s">
        <v>40</v>
      </c>
      <c r="D4913">
        <v>3.100047</v>
      </c>
      <c r="E4913">
        <v>0.53736669999999997</v>
      </c>
      <c r="F4913" t="s">
        <v>62</v>
      </c>
      <c r="G4913">
        <v>-200.48920000000001</v>
      </c>
      <c r="H4913">
        <v>7.9984609999999998E-2</v>
      </c>
      <c r="I4913">
        <v>151.37479999999999</v>
      </c>
      <c r="J4913">
        <v>-190.84190000000001</v>
      </c>
      <c r="K4913">
        <v>1.108681</v>
      </c>
      <c r="L4913">
        <v>163.59719999999999</v>
      </c>
      <c r="M4913">
        <v>-0.1852647</v>
      </c>
      <c r="N4913">
        <v>0</v>
      </c>
      <c r="O4913">
        <v>-0.98259439999999998</v>
      </c>
      <c r="P4913">
        <v>-0.51658919999999997</v>
      </c>
      <c r="Q4913">
        <v>0.20094799999999999</v>
      </c>
      <c r="R4913">
        <v>-0.8323197</v>
      </c>
      <c r="S4913">
        <v>-1.927567</v>
      </c>
      <c r="T4913">
        <v>-0.20504420000000001</v>
      </c>
      <c r="U4913">
        <v>-2.458237</v>
      </c>
      <c r="V4913">
        <v>0.35452009999999901</v>
      </c>
      <c r="W4913">
        <v>0.2115554</v>
      </c>
      <c r="X4913">
        <v>0.91080179999999999</v>
      </c>
      <c r="Y4913">
        <v>0.45915830000000002</v>
      </c>
      <c r="Z4913">
        <v>6.7320850000000002E-2</v>
      </c>
      <c r="AA4913">
        <v>0.88580000000000003</v>
      </c>
      <c r="AB4913">
        <v>20</v>
      </c>
      <c r="AC4913">
        <v>-9.6472999999999995</v>
      </c>
      <c r="AD4913">
        <v>-1.0286963899999999</v>
      </c>
      <c r="AE4913">
        <v>-12.222399999999899</v>
      </c>
      <c r="AF4913">
        <v>7.1843157553255201</v>
      </c>
      <c r="AG4913">
        <v>-1.0286963899999999</v>
      </c>
      <c r="AH4913">
        <v>13.7382826201613</v>
      </c>
      <c r="AI4913">
        <v>93.796184392033695</v>
      </c>
      <c r="AJ4913">
        <v>62.393072530994502</v>
      </c>
      <c r="AK4913">
        <v>15.537471431556799</v>
      </c>
      <c r="AL4913">
        <v>77.786482421896096</v>
      </c>
      <c r="AM4913">
        <v>68.732043570545898</v>
      </c>
      <c r="AN4913">
        <v>1.0000000537281999</v>
      </c>
    </row>
    <row r="4914" spans="1:40" x14ac:dyDescent="0.25">
      <c r="A4914" t="str">
        <f>"20190312172214920"</f>
        <v>20190312172214920</v>
      </c>
      <c r="B4914" t="str">
        <f>"1552382534915554"</f>
        <v>1552382534915554</v>
      </c>
      <c r="C4914" t="s">
        <v>40</v>
      </c>
      <c r="D4914">
        <v>3.0906570000000002</v>
      </c>
      <c r="E4914">
        <v>0.53758090000000003</v>
      </c>
      <c r="F4914" t="s">
        <v>62</v>
      </c>
      <c r="G4914">
        <v>-200.5805</v>
      </c>
      <c r="H4914">
        <v>7.9984620000000006E-2</v>
      </c>
      <c r="I4914">
        <v>151.27529999999999</v>
      </c>
      <c r="J4914">
        <v>-190.86449999999999</v>
      </c>
      <c r="K4914">
        <v>1.108687</v>
      </c>
      <c r="L4914">
        <v>163.49039999999999</v>
      </c>
      <c r="M4914">
        <v>-0.18735779999999999</v>
      </c>
      <c r="N4914">
        <v>0</v>
      </c>
      <c r="O4914">
        <v>-0.9821974</v>
      </c>
      <c r="P4914">
        <v>-0.51872119999999999</v>
      </c>
      <c r="Q4914">
        <v>0.20109009999999999</v>
      </c>
      <c r="R4914">
        <v>-0.83095810000000003</v>
      </c>
      <c r="S4914">
        <v>-1.937408</v>
      </c>
      <c r="T4914">
        <v>-0.2046499</v>
      </c>
      <c r="U4914">
        <v>-2.4513240000000001</v>
      </c>
      <c r="V4914">
        <v>0.35492180000000001</v>
      </c>
      <c r="W4914">
        <v>0.2116942</v>
      </c>
      <c r="X4914">
        <v>0.91061300000000001</v>
      </c>
      <c r="Y4914">
        <v>0.46067629999999998</v>
      </c>
      <c r="Z4914">
        <v>6.719638E-2</v>
      </c>
      <c r="AA4914">
        <v>0.8850209</v>
      </c>
      <c r="AB4914">
        <v>20</v>
      </c>
      <c r="AC4914">
        <v>-9.7159999999999993</v>
      </c>
      <c r="AD4914">
        <v>-1.0287023799999999</v>
      </c>
      <c r="AE4914">
        <v>-12.2151</v>
      </c>
      <c r="AF4914">
        <v>7.2237284028434896</v>
      </c>
      <c r="AG4914">
        <v>-1.0287023799999999</v>
      </c>
      <c r="AH4914">
        <v>13.7595176534542</v>
      </c>
      <c r="AI4914">
        <v>93.787169721963295</v>
      </c>
      <c r="AJ4914">
        <v>62.300587142440001</v>
      </c>
      <c r="AK4914">
        <v>15.5744921804977</v>
      </c>
      <c r="AL4914">
        <v>77.778344523270604</v>
      </c>
      <c r="AM4914">
        <v>68.706083177349697</v>
      </c>
      <c r="AN4914">
        <v>0.99999997709893895</v>
      </c>
    </row>
    <row r="4915" spans="1:40" x14ac:dyDescent="0.25">
      <c r="A4915" t="str">
        <f>"20190312172214932"</f>
        <v>20190312172214932</v>
      </c>
      <c r="B4915" t="str">
        <f>"1552382534925313"</f>
        <v>1552382534925313</v>
      </c>
      <c r="C4915" t="s">
        <v>40</v>
      </c>
      <c r="D4915">
        <v>3.0855190000000001</v>
      </c>
      <c r="E4915">
        <v>0.53767640000000005</v>
      </c>
      <c r="F4915" t="s">
        <v>62</v>
      </c>
      <c r="G4915">
        <v>-200.5316</v>
      </c>
      <c r="H4915">
        <v>7.9984620000000006E-2</v>
      </c>
      <c r="I4915">
        <v>151.34399999999999</v>
      </c>
      <c r="J4915">
        <v>-190.88730000000001</v>
      </c>
      <c r="K4915">
        <v>1.10869</v>
      </c>
      <c r="L4915">
        <v>163.38399999999999</v>
      </c>
      <c r="M4915">
        <v>-0.1894467</v>
      </c>
      <c r="N4915">
        <v>0</v>
      </c>
      <c r="O4915">
        <v>-0.98179669999999997</v>
      </c>
      <c r="P4915">
        <v>-0.5207676</v>
      </c>
      <c r="Q4915">
        <v>0.20147419999999999</v>
      </c>
      <c r="R4915">
        <v>-0.82958399999999999</v>
      </c>
      <c r="S4915">
        <v>-1.9462889999999999</v>
      </c>
      <c r="T4915">
        <v>-0.20710990000000001</v>
      </c>
      <c r="U4915">
        <v>-2.4454500000000001</v>
      </c>
      <c r="V4915">
        <v>0.35524869999999997</v>
      </c>
      <c r="W4915">
        <v>0.21207400000000001</v>
      </c>
      <c r="X4915">
        <v>0.91039709999999996</v>
      </c>
      <c r="Y4915">
        <v>0.4617599</v>
      </c>
      <c r="Z4915">
        <v>6.7996409999999993E-2</v>
      </c>
      <c r="AA4915">
        <v>0.88439489999999998</v>
      </c>
      <c r="AB4915">
        <v>20</v>
      </c>
      <c r="AC4915">
        <v>-9.6442999999999799</v>
      </c>
      <c r="AD4915">
        <v>-1.0287053799999999</v>
      </c>
      <c r="AE4915">
        <v>-12.0399999999999</v>
      </c>
      <c r="AF4915">
        <v>7.1566447730344596</v>
      </c>
      <c r="AG4915">
        <v>-1.0287053799999999</v>
      </c>
      <c r="AH4915">
        <v>13.5887498597597</v>
      </c>
      <c r="AI4915">
        <v>93.832017738971103</v>
      </c>
      <c r="AJ4915">
        <v>62.226038387568202</v>
      </c>
      <c r="AK4915">
        <v>15.3925281197521</v>
      </c>
      <c r="AL4915">
        <v>77.756077683308405</v>
      </c>
      <c r="AM4915">
        <v>68.6836288797614</v>
      </c>
      <c r="AN4915">
        <v>0.99999995000804798</v>
      </c>
    </row>
    <row r="4916" spans="1:40" x14ac:dyDescent="0.25">
      <c r="A4916" t="str">
        <f>"20190312172214947"</f>
        <v>20190312172214947</v>
      </c>
      <c r="B4916" t="str">
        <f>"1552382534935073"</f>
        <v>1552382534935073</v>
      </c>
      <c r="C4916" t="s">
        <v>40</v>
      </c>
      <c r="D4916">
        <v>3.0489039999999998</v>
      </c>
      <c r="E4916">
        <v>0.53774299999999997</v>
      </c>
      <c r="F4916" t="s">
        <v>62</v>
      </c>
      <c r="G4916">
        <v>-200.6217</v>
      </c>
      <c r="H4916">
        <v>7.9984609999999998E-2</v>
      </c>
      <c r="I4916">
        <v>151.22669999999999</v>
      </c>
      <c r="J4916">
        <v>-190.91489999999999</v>
      </c>
      <c r="K4916">
        <v>1.1086940000000001</v>
      </c>
      <c r="L4916">
        <v>163.25649999999999</v>
      </c>
      <c r="M4916">
        <v>-0.19195309999999999</v>
      </c>
      <c r="N4916">
        <v>0</v>
      </c>
      <c r="O4916">
        <v>-0.98130989999999996</v>
      </c>
      <c r="P4916">
        <v>-0.52384640000000005</v>
      </c>
      <c r="Q4916">
        <v>0.20181840000000001</v>
      </c>
      <c r="R4916">
        <v>-0.82755939999999995</v>
      </c>
      <c r="S4916">
        <v>-1.9537199999999999</v>
      </c>
      <c r="T4916">
        <v>-0.20646349999999999</v>
      </c>
      <c r="U4916">
        <v>-2.4399869999999999</v>
      </c>
      <c r="V4916">
        <v>0.35632730000000001</v>
      </c>
      <c r="W4916">
        <v>0.21240580000000001</v>
      </c>
      <c r="X4916">
        <v>0.90989819999999999</v>
      </c>
      <c r="Y4916">
        <v>0.46211289999999999</v>
      </c>
      <c r="Z4916">
        <v>6.7788280000000006E-2</v>
      </c>
      <c r="AA4916">
        <v>0.88422639999999997</v>
      </c>
      <c r="AB4916">
        <v>20</v>
      </c>
      <c r="AC4916">
        <v>-9.7068000000000101</v>
      </c>
      <c r="AD4916">
        <v>-1.0287093899999999</v>
      </c>
      <c r="AE4916">
        <v>-12.0297999999999</v>
      </c>
      <c r="AF4916">
        <v>7.1850664728195497</v>
      </c>
      <c r="AG4916">
        <v>-1.0287093899999999</v>
      </c>
      <c r="AH4916">
        <v>13.609201525510899</v>
      </c>
      <c r="AI4916">
        <v>93.824250178586198</v>
      </c>
      <c r="AJ4916">
        <v>62.167894884656803</v>
      </c>
      <c r="AK4916">
        <v>15.4238059307642</v>
      </c>
      <c r="AL4916">
        <v>77.736624998560998</v>
      </c>
      <c r="AM4916">
        <v>68.614079376501195</v>
      </c>
      <c r="AN4916">
        <v>1.0000000514810801</v>
      </c>
    </row>
    <row r="4917" spans="1:40" x14ac:dyDescent="0.25">
      <c r="A4917" t="str">
        <f>"20190312172214958"</f>
        <v>20190312172214958</v>
      </c>
      <c r="B4917" t="str">
        <f>"1552382534955569"</f>
        <v>1552382534955569</v>
      </c>
      <c r="C4917" t="s">
        <v>40</v>
      </c>
      <c r="D4917">
        <v>3.0638999999999998</v>
      </c>
      <c r="E4917">
        <v>0.53785780000000005</v>
      </c>
      <c r="F4917" t="s">
        <v>62</v>
      </c>
      <c r="G4917">
        <v>-200.7467</v>
      </c>
      <c r="H4917">
        <v>7.9984609999999998E-2</v>
      </c>
      <c r="I4917">
        <v>151.08690000000001</v>
      </c>
      <c r="J4917">
        <v>-190.93700000000001</v>
      </c>
      <c r="K4917">
        <v>1.1086929999999999</v>
      </c>
      <c r="L4917">
        <v>163.15520000000001</v>
      </c>
      <c r="M4917">
        <v>-0.19394620000000001</v>
      </c>
      <c r="N4917">
        <v>0</v>
      </c>
      <c r="O4917">
        <v>-0.98091759999999995</v>
      </c>
      <c r="P4917">
        <v>-0.52605590000000002</v>
      </c>
      <c r="Q4917">
        <v>0.20189950000000001</v>
      </c>
      <c r="R4917">
        <v>-0.82613669999999995</v>
      </c>
      <c r="S4917">
        <v>-1.964539</v>
      </c>
      <c r="T4917">
        <v>-0.20555129999999999</v>
      </c>
      <c r="U4917">
        <v>-2.4316559999999998</v>
      </c>
      <c r="V4917">
        <v>0.35691590000000001</v>
      </c>
      <c r="W4917">
        <v>0.2124799</v>
      </c>
      <c r="X4917">
        <v>0.90965010000000002</v>
      </c>
      <c r="Y4917">
        <v>0.46418510000000002</v>
      </c>
      <c r="Z4917">
        <v>6.7506049999999998E-2</v>
      </c>
      <c r="AA4917">
        <v>0.883162</v>
      </c>
      <c r="AB4917">
        <v>20</v>
      </c>
      <c r="AC4917">
        <v>-9.8096999999999905</v>
      </c>
      <c r="AD4917">
        <v>-1.02870839</v>
      </c>
      <c r="AE4917">
        <v>-12.068299999999899</v>
      </c>
      <c r="AF4917">
        <v>7.2508583082722398</v>
      </c>
      <c r="AG4917">
        <v>-1.02870839</v>
      </c>
      <c r="AH4917">
        <v>13.6819757434649</v>
      </c>
      <c r="AI4917">
        <v>93.800830584273399</v>
      </c>
      <c r="AJ4917">
        <v>62.078335416822398</v>
      </c>
      <c r="AK4917">
        <v>15.518687038633701</v>
      </c>
      <c r="AL4917">
        <v>77.732279389301894</v>
      </c>
      <c r="AM4917">
        <v>68.576638706124896</v>
      </c>
      <c r="AN4917">
        <v>0.999999986003415</v>
      </c>
    </row>
    <row r="4918" spans="1:40" x14ac:dyDescent="0.25">
      <c r="A4918" t="str">
        <f>"20190312172214971"</f>
        <v>20190312172214971</v>
      </c>
      <c r="B4918" t="str">
        <f>"1552382534965331"</f>
        <v>1552382534965331</v>
      </c>
      <c r="C4918" t="s">
        <v>40</v>
      </c>
      <c r="D4918">
        <v>3.0775999999999999</v>
      </c>
      <c r="E4918">
        <v>0.53788610000000003</v>
      </c>
      <c r="F4918" t="s">
        <v>62</v>
      </c>
      <c r="G4918">
        <v>-200.7114</v>
      </c>
      <c r="H4918">
        <v>7.9984609999999998E-2</v>
      </c>
      <c r="I4918">
        <v>151.1354</v>
      </c>
      <c r="J4918">
        <v>-190.95949999999999</v>
      </c>
      <c r="K4918">
        <v>1.108695</v>
      </c>
      <c r="L4918">
        <v>163.0539</v>
      </c>
      <c r="M4918">
        <v>-0.19594549999999999</v>
      </c>
      <c r="N4918">
        <v>0</v>
      </c>
      <c r="O4918">
        <v>-0.98052039999999996</v>
      </c>
      <c r="P4918">
        <v>-0.52819150000000004</v>
      </c>
      <c r="Q4918">
        <v>0.20209089999999999</v>
      </c>
      <c r="R4918">
        <v>-0.82472619999999897</v>
      </c>
      <c r="S4918">
        <v>-1.9727330000000001</v>
      </c>
      <c r="T4918">
        <v>-0.20761979999999999</v>
      </c>
      <c r="U4918">
        <v>-2.4259029999999999</v>
      </c>
      <c r="V4918">
        <v>0.3574271</v>
      </c>
      <c r="W4918">
        <v>0.21266389999999999</v>
      </c>
      <c r="X4918">
        <v>0.90940639999999995</v>
      </c>
      <c r="Y4918">
        <v>0.4651728</v>
      </c>
      <c r="Z4918">
        <v>6.8181649999999996E-2</v>
      </c>
      <c r="AA4918">
        <v>0.88259019999999999</v>
      </c>
      <c r="AB4918">
        <v>20</v>
      </c>
      <c r="AC4918">
        <v>-9.7518999999999991</v>
      </c>
      <c r="AD4918">
        <v>-1.0287103900000001</v>
      </c>
      <c r="AE4918">
        <v>-11.9184999999999</v>
      </c>
      <c r="AF4918">
        <v>7.1951222905640897</v>
      </c>
      <c r="AG4918">
        <v>-1.0287103900000001</v>
      </c>
      <c r="AH4918">
        <v>13.5380206781011</v>
      </c>
      <c r="AI4918">
        <v>93.838726526124901</v>
      </c>
      <c r="AJ4918">
        <v>62.010463436686202</v>
      </c>
      <c r="AK4918">
        <v>15.3657422119259</v>
      </c>
      <c r="AL4918">
        <v>77.721490977089104</v>
      </c>
      <c r="AM4918">
        <v>68.543515052431999</v>
      </c>
      <c r="AN4918">
        <v>1.00000003326928</v>
      </c>
    </row>
    <row r="4919" spans="1:40" x14ac:dyDescent="0.25">
      <c r="A4919" t="str">
        <f>"20190312172214982"</f>
        <v>20190312172214982</v>
      </c>
      <c r="B4919" t="str">
        <f>"1552382534975089"</f>
        <v>1552382534975089</v>
      </c>
      <c r="C4919" t="s">
        <v>40</v>
      </c>
      <c r="D4919">
        <v>3.084368</v>
      </c>
      <c r="E4919">
        <v>0.5379505</v>
      </c>
      <c r="F4919" t="s">
        <v>62</v>
      </c>
      <c r="G4919">
        <v>-200.7799</v>
      </c>
      <c r="H4919">
        <v>7.9984609999999998E-2</v>
      </c>
      <c r="I4919">
        <v>151.04669999999999</v>
      </c>
      <c r="J4919">
        <v>-190.98259999999999</v>
      </c>
      <c r="K4919">
        <v>1.1086940000000001</v>
      </c>
      <c r="L4919">
        <v>162.94990000000001</v>
      </c>
      <c r="M4919">
        <v>-0.19800019999999999</v>
      </c>
      <c r="N4919">
        <v>0</v>
      </c>
      <c r="O4919">
        <v>-0.98010770000000003</v>
      </c>
      <c r="P4919">
        <v>-0.53067449999999905</v>
      </c>
      <c r="Q4919">
        <v>0.20264309999999999</v>
      </c>
      <c r="R4919">
        <v>-0.82299549999999999</v>
      </c>
      <c r="S4919">
        <v>-1.9796750000000001</v>
      </c>
      <c r="T4919">
        <v>-0.2073757</v>
      </c>
      <c r="U4919">
        <v>-2.4205019999999999</v>
      </c>
      <c r="V4919">
        <v>0.35829420000000001</v>
      </c>
      <c r="W4919">
        <v>0.21320349999999999</v>
      </c>
      <c r="X4919">
        <v>0.90893869999999999</v>
      </c>
      <c r="Y4919">
        <v>0.4658042</v>
      </c>
      <c r="Z4919">
        <v>6.8108749999999996E-2</v>
      </c>
      <c r="AA4919">
        <v>0.88226280000000001</v>
      </c>
      <c r="AB4919">
        <v>20</v>
      </c>
      <c r="AC4919">
        <v>-9.7972999999999999</v>
      </c>
      <c r="AD4919">
        <v>-1.0287093899999999</v>
      </c>
      <c r="AE4919">
        <v>-11.9032</v>
      </c>
      <c r="AF4919">
        <v>7.2141218711418196</v>
      </c>
      <c r="AG4919">
        <v>-1.0287093899999999</v>
      </c>
      <c r="AH4919">
        <v>13.5472236714925</v>
      </c>
      <c r="AI4919">
        <v>93.834471630958006</v>
      </c>
      <c r="AJ4919">
        <v>61.963956543277</v>
      </c>
      <c r="AK4919">
        <v>15.382752243542299</v>
      </c>
      <c r="AL4919">
        <v>77.689848257114704</v>
      </c>
      <c r="AM4919">
        <v>68.486155901119602</v>
      </c>
      <c r="AN4919">
        <v>1.0000000132617901</v>
      </c>
    </row>
    <row r="4920" spans="1:40" x14ac:dyDescent="0.25">
      <c r="A4920" t="str">
        <f>"20190312172214996"</f>
        <v>20190312172214996</v>
      </c>
      <c r="B4920" t="str">
        <f>"1552382534985826"</f>
        <v>1552382534985826</v>
      </c>
      <c r="C4920" t="s">
        <v>40</v>
      </c>
      <c r="D4920">
        <v>3.069893</v>
      </c>
      <c r="E4920">
        <v>0.53800150000000002</v>
      </c>
      <c r="F4920" t="s">
        <v>62</v>
      </c>
      <c r="G4920">
        <v>-200.8837</v>
      </c>
      <c r="H4920">
        <v>7.9984620000000006E-2</v>
      </c>
      <c r="I4920">
        <v>150.9246</v>
      </c>
      <c r="J4920">
        <v>-191.00980000000001</v>
      </c>
      <c r="K4920">
        <v>1.108695</v>
      </c>
      <c r="L4920">
        <v>162.8296</v>
      </c>
      <c r="M4920">
        <v>-0.20038690000000001</v>
      </c>
      <c r="N4920">
        <v>0</v>
      </c>
      <c r="O4920">
        <v>-0.9796224</v>
      </c>
      <c r="P4920">
        <v>-0.5332886</v>
      </c>
      <c r="Q4920">
        <v>0.20316300000000001</v>
      </c>
      <c r="R4920">
        <v>-0.82117519999999999</v>
      </c>
      <c r="S4920">
        <v>-1.9878389999999999</v>
      </c>
      <c r="T4920">
        <v>-0.20653379999999999</v>
      </c>
      <c r="U4920">
        <v>-2.4143219999999999</v>
      </c>
      <c r="V4920">
        <v>0.35900209999999999</v>
      </c>
      <c r="W4920">
        <v>0.21371119999999999</v>
      </c>
      <c r="X4920">
        <v>0.90854000000000001</v>
      </c>
      <c r="Y4920">
        <v>0.46654839999999997</v>
      </c>
      <c r="Z4920">
        <v>6.7837640000000005E-2</v>
      </c>
      <c r="AA4920">
        <v>0.88189039999999996</v>
      </c>
      <c r="AB4920">
        <v>20</v>
      </c>
      <c r="AC4920">
        <v>-9.8738999999999901</v>
      </c>
      <c r="AD4920">
        <v>-1.0287103799999999</v>
      </c>
      <c r="AE4920">
        <v>-11.904999999999999</v>
      </c>
      <c r="AF4920">
        <v>7.2556651575761197</v>
      </c>
      <c r="AG4920">
        <v>-1.0287103799999999</v>
      </c>
      <c r="AH4920">
        <v>13.5821839504572</v>
      </c>
      <c r="AI4920">
        <v>93.8219629427618</v>
      </c>
      <c r="AJ4920">
        <v>61.888662105703602</v>
      </c>
      <c r="AK4920">
        <v>15.4330373805302</v>
      </c>
      <c r="AL4920">
        <v>77.660072249691694</v>
      </c>
      <c r="AM4920">
        <v>68.438954111352302</v>
      </c>
      <c r="AN4920">
        <v>0.99999995820492404</v>
      </c>
    </row>
    <row r="4921" spans="1:40" x14ac:dyDescent="0.25">
      <c r="A4921" t="str">
        <f>"20190312172215016"</f>
        <v>20190312172215016</v>
      </c>
      <c r="B4921" t="str">
        <f>"1552382535005345"</f>
        <v>1552382535005345</v>
      </c>
      <c r="C4921" t="s">
        <v>40</v>
      </c>
      <c r="D4921">
        <v>3.054843</v>
      </c>
      <c r="E4921">
        <v>0.53796679999999997</v>
      </c>
      <c r="F4921" t="s">
        <v>62</v>
      </c>
      <c r="G4921">
        <v>-201.00129999999999</v>
      </c>
      <c r="H4921">
        <v>7.9984639999999996E-2</v>
      </c>
      <c r="I4921">
        <v>150.78139999999999</v>
      </c>
      <c r="J4921">
        <v>-191.047</v>
      </c>
      <c r="K4921">
        <v>1.1086929999999999</v>
      </c>
      <c r="L4921">
        <v>162.66720000000001</v>
      </c>
      <c r="M4921">
        <v>-0.2036183</v>
      </c>
      <c r="N4921">
        <v>0</v>
      </c>
      <c r="O4921">
        <v>-0.97895589999999999</v>
      </c>
      <c r="P4921">
        <v>-0.53764209999999901</v>
      </c>
      <c r="Q4921">
        <v>0.2036481</v>
      </c>
      <c r="R4921">
        <v>-0.81821089999999996</v>
      </c>
      <c r="S4921">
        <v>-1.9965820000000001</v>
      </c>
      <c r="T4921">
        <v>-0.20556559999999999</v>
      </c>
      <c r="U4921">
        <v>-2.407578</v>
      </c>
      <c r="V4921">
        <v>0.3608633</v>
      </c>
      <c r="W4921">
        <v>0.214171</v>
      </c>
      <c r="X4921">
        <v>0.907694</v>
      </c>
      <c r="Y4921">
        <v>0.46675719999999998</v>
      </c>
      <c r="Z4921">
        <v>6.752358E-2</v>
      </c>
      <c r="AA4921">
        <v>0.88180400000000003</v>
      </c>
      <c r="AB4921">
        <v>20</v>
      </c>
      <c r="AC4921">
        <v>-9.9542999999999893</v>
      </c>
      <c r="AD4921">
        <v>-1.02870836</v>
      </c>
      <c r="AE4921">
        <v>-11.8858</v>
      </c>
      <c r="AF4921">
        <v>7.2932216440353796</v>
      </c>
      <c r="AG4921">
        <v>-1.02870836</v>
      </c>
      <c r="AH4921">
        <v>13.6039208405296</v>
      </c>
      <c r="AI4921">
        <v>93.812849282288099</v>
      </c>
      <c r="AJ4921">
        <v>61.803718557018698</v>
      </c>
      <c r="AK4921">
        <v>15.4698411457376</v>
      </c>
      <c r="AL4921">
        <v>77.633103347237196</v>
      </c>
      <c r="AM4921">
        <v>68.319184729869306</v>
      </c>
      <c r="AN4921">
        <v>0.99999996808194402</v>
      </c>
    </row>
    <row r="4922" spans="1:40" x14ac:dyDescent="0.25">
      <c r="A4922" t="str">
        <f>"20190312172215028"</f>
        <v>20190312172215028</v>
      </c>
      <c r="B4922" t="str">
        <f>"1552382535025842"</f>
        <v>1552382535025842</v>
      </c>
      <c r="C4922" t="s">
        <v>40</v>
      </c>
      <c r="D4922">
        <v>3.0288360000000001</v>
      </c>
      <c r="E4922">
        <v>0.53790969999999905</v>
      </c>
      <c r="F4922" t="s">
        <v>62</v>
      </c>
      <c r="G4922">
        <v>-201.13720000000001</v>
      </c>
      <c r="H4922">
        <v>7.9984669999999994E-2</v>
      </c>
      <c r="I4922">
        <v>150.6352</v>
      </c>
      <c r="J4922">
        <v>-191.0728</v>
      </c>
      <c r="K4922">
        <v>1.1086910000000001</v>
      </c>
      <c r="L4922">
        <v>162.55600000000001</v>
      </c>
      <c r="M4922">
        <v>-0.20583989999999999</v>
      </c>
      <c r="N4922">
        <v>0</v>
      </c>
      <c r="O4922">
        <v>-0.978491</v>
      </c>
      <c r="P4922">
        <v>-0.54035869999999997</v>
      </c>
      <c r="Q4922">
        <v>0.20381270000000001</v>
      </c>
      <c r="R4922">
        <v>-0.81637789999999999</v>
      </c>
      <c r="S4922">
        <v>-2.009979</v>
      </c>
      <c r="T4922">
        <v>-0.20491899999999999</v>
      </c>
      <c r="U4922">
        <v>-2.3967900000000002</v>
      </c>
      <c r="V4922">
        <v>0.36183359999999998</v>
      </c>
      <c r="W4922">
        <v>0.21432190000000001</v>
      </c>
      <c r="X4922">
        <v>0.90727199999999997</v>
      </c>
      <c r="Y4922">
        <v>0.46960570000000001</v>
      </c>
      <c r="Z4922">
        <v>6.7334530000000004E-2</v>
      </c>
      <c r="AA4922">
        <v>0.8803048</v>
      </c>
      <c r="AB4922">
        <v>20</v>
      </c>
      <c r="AC4922">
        <v>-10.064399999999999</v>
      </c>
      <c r="AD4922">
        <v>-1.0287063299999999</v>
      </c>
      <c r="AE4922">
        <v>-11.9208</v>
      </c>
      <c r="AF4922">
        <v>7.3628218467752804</v>
      </c>
      <c r="AG4922">
        <v>-1.0287063299999999</v>
      </c>
      <c r="AH4922">
        <v>13.6778552540279</v>
      </c>
      <c r="AI4922">
        <v>93.788840427179196</v>
      </c>
      <c r="AJ4922">
        <v>61.7063147203135</v>
      </c>
      <c r="AK4922">
        <v>15.5676943254572</v>
      </c>
      <c r="AL4922">
        <v>77.624251733231205</v>
      </c>
      <c r="AM4922">
        <v>68.257149527071306</v>
      </c>
      <c r="AN4922">
        <v>0.99999995644628403</v>
      </c>
    </row>
    <row r="4923" spans="1:40" x14ac:dyDescent="0.25">
      <c r="A4923" t="str">
        <f>"20190312172215042"</f>
        <v>20190312172215042</v>
      </c>
      <c r="B4923" t="str">
        <f>"1552382535035602"</f>
        <v>1552382535035602</v>
      </c>
      <c r="C4923" t="s">
        <v>40</v>
      </c>
      <c r="D4923">
        <v>3.0689600000000001</v>
      </c>
      <c r="E4923">
        <v>0.53790969999999905</v>
      </c>
      <c r="F4923" t="s">
        <v>62</v>
      </c>
      <c r="G4923">
        <v>-201.1446</v>
      </c>
      <c r="H4923">
        <v>7.9984680000000002E-2</v>
      </c>
      <c r="I4923">
        <v>150.62799999999999</v>
      </c>
      <c r="J4923">
        <v>-191.10050000000001</v>
      </c>
      <c r="K4923">
        <v>1.1086910000000001</v>
      </c>
      <c r="L4923">
        <v>162.43770000000001</v>
      </c>
      <c r="M4923">
        <v>-0.20821219999999999</v>
      </c>
      <c r="N4923">
        <v>0</v>
      </c>
      <c r="O4923">
        <v>-0.977989</v>
      </c>
      <c r="P4923">
        <v>-0.54295150000000003</v>
      </c>
      <c r="Q4923">
        <v>0.20415179999999999</v>
      </c>
      <c r="R4923">
        <v>-0.81457100000000005</v>
      </c>
      <c r="S4923">
        <v>-2.0183409999999999</v>
      </c>
      <c r="T4923">
        <v>-0.20614830000000001</v>
      </c>
      <c r="U4923">
        <v>-2.3903349999999999</v>
      </c>
      <c r="V4923">
        <v>0.36254120000000001</v>
      </c>
      <c r="W4923">
        <v>0.21464839999999999</v>
      </c>
      <c r="X4923">
        <v>0.9069123</v>
      </c>
      <c r="Y4923">
        <v>0.47041820000000001</v>
      </c>
      <c r="Z4923">
        <v>6.7739930000000004E-2</v>
      </c>
      <c r="AA4923">
        <v>0.87983979999999995</v>
      </c>
      <c r="AB4923">
        <v>20</v>
      </c>
      <c r="AC4923">
        <v>-10.044099999999901</v>
      </c>
      <c r="AD4923">
        <v>-1.02870632</v>
      </c>
      <c r="AE4923">
        <v>-11.809699999999999</v>
      </c>
      <c r="AF4923">
        <v>7.3324938605835603</v>
      </c>
      <c r="AG4923">
        <v>-1.02870632</v>
      </c>
      <c r="AH4923">
        <v>13.582522425784701</v>
      </c>
      <c r="AI4923">
        <v>93.812900482301004</v>
      </c>
      <c r="AJ4923">
        <v>61.637709007756797</v>
      </c>
      <c r="AK4923">
        <v>15.4696030445273</v>
      </c>
      <c r="AL4923">
        <v>77.605099326615601</v>
      </c>
      <c r="AM4923">
        <v>68.210775950384104</v>
      </c>
      <c r="AN4923">
        <v>0.99999998860564498</v>
      </c>
    </row>
    <row r="4924" spans="1:40" x14ac:dyDescent="0.25">
      <c r="A4924" t="str">
        <f>"20190312172215055"</f>
        <v>20190312172215055</v>
      </c>
      <c r="B4924" t="str">
        <f>"1552382535045361"</f>
        <v>1552382535045361</v>
      </c>
      <c r="C4924" t="s">
        <v>40</v>
      </c>
      <c r="D4924">
        <v>3.2182970000000002</v>
      </c>
      <c r="E4924">
        <v>0.53787059999999998</v>
      </c>
      <c r="F4924" t="s">
        <v>62</v>
      </c>
      <c r="G4924">
        <v>-201.27930000000001</v>
      </c>
      <c r="H4924">
        <v>7.9984710000000001E-2</v>
      </c>
      <c r="I4924">
        <v>150.4666</v>
      </c>
      <c r="J4924">
        <v>-191.12799999999999</v>
      </c>
      <c r="K4924">
        <v>1.108689</v>
      </c>
      <c r="L4924">
        <v>162.3219</v>
      </c>
      <c r="M4924">
        <v>-0.21054429999999999</v>
      </c>
      <c r="N4924">
        <v>0</v>
      </c>
      <c r="O4924">
        <v>-0.97748970000000002</v>
      </c>
      <c r="P4924">
        <v>-0.54570220000000003</v>
      </c>
      <c r="Q4924">
        <v>0.20481450000000001</v>
      </c>
      <c r="R4924">
        <v>-0.81256439999999996</v>
      </c>
      <c r="S4924">
        <v>-2.0265810000000002</v>
      </c>
      <c r="T4924">
        <v>-0.20481440000000001</v>
      </c>
      <c r="U4924">
        <v>-2.3834230000000001</v>
      </c>
      <c r="V4924">
        <v>0.36348710000000001</v>
      </c>
      <c r="W4924">
        <v>0.21529570000000001</v>
      </c>
      <c r="X4924">
        <v>0.90638010000000002</v>
      </c>
      <c r="Y4924">
        <v>0.4713581</v>
      </c>
      <c r="Z4924">
        <v>6.7315650000000005E-2</v>
      </c>
      <c r="AA4924">
        <v>0.87936919999999996</v>
      </c>
      <c r="AB4924">
        <v>20</v>
      </c>
      <c r="AC4924">
        <v>-10.151300000000001</v>
      </c>
      <c r="AD4924">
        <v>-1.0287042900000001</v>
      </c>
      <c r="AE4924">
        <v>-11.8553</v>
      </c>
      <c r="AF4924">
        <v>7.3952858113086197</v>
      </c>
      <c r="AG4924">
        <v>-1.0287042900000001</v>
      </c>
      <c r="AH4924">
        <v>13.667626881177499</v>
      </c>
      <c r="AI4924">
        <v>93.787272907339798</v>
      </c>
      <c r="AJ4924">
        <v>61.583045908907401</v>
      </c>
      <c r="AK4924">
        <v>15.574097383485601</v>
      </c>
      <c r="AL4924">
        <v>77.567124028262796</v>
      </c>
      <c r="AM4924">
        <v>68.147652831602997</v>
      </c>
      <c r="AN4924">
        <v>0.99999999799045503</v>
      </c>
    </row>
    <row r="4925" spans="1:40" x14ac:dyDescent="0.25">
      <c r="A4925" t="str">
        <f>"20190312172215071"</f>
        <v>20190312172215071</v>
      </c>
      <c r="B4925" t="str">
        <f>"1552382535065858"</f>
        <v>1552382535065858</v>
      </c>
      <c r="C4925" t="s">
        <v>40</v>
      </c>
      <c r="D4925">
        <v>3.2516929999999999</v>
      </c>
      <c r="E4925">
        <v>0.53785640000000001</v>
      </c>
      <c r="F4925" t="s">
        <v>62</v>
      </c>
      <c r="G4925">
        <v>-201.3956</v>
      </c>
      <c r="H4925">
        <v>7.9984689999999997E-2</v>
      </c>
      <c r="I4925">
        <v>150.33269999999999</v>
      </c>
      <c r="J4925">
        <v>-191.1617</v>
      </c>
      <c r="K4925">
        <v>1.1086959999999999</v>
      </c>
      <c r="L4925">
        <v>162.1816</v>
      </c>
      <c r="M4925">
        <v>-0.21338109999999999</v>
      </c>
      <c r="N4925">
        <v>0</v>
      </c>
      <c r="O4925">
        <v>-0.97687420000000003</v>
      </c>
      <c r="P4925">
        <v>-0.54962789999999995</v>
      </c>
      <c r="Q4925">
        <v>0.20625489999999999</v>
      </c>
      <c r="R4925">
        <v>-0.8095483</v>
      </c>
      <c r="S4925">
        <v>-2.0353240000000001</v>
      </c>
      <c r="T4925">
        <v>-0.2039164</v>
      </c>
      <c r="U4925">
        <v>-2.3765559999999999</v>
      </c>
      <c r="V4925">
        <v>0.36533490000000002</v>
      </c>
      <c r="W4925">
        <v>0.21670639999999999</v>
      </c>
      <c r="X4925">
        <v>0.90530040000000001</v>
      </c>
      <c r="Y4925">
        <v>0.47193429999999997</v>
      </c>
      <c r="Z4925">
        <v>6.7023219999999994E-2</v>
      </c>
      <c r="AA4925">
        <v>0.87908240000000004</v>
      </c>
      <c r="AB4925">
        <v>20</v>
      </c>
      <c r="AC4925">
        <v>-10.2339</v>
      </c>
      <c r="AD4925">
        <v>-1.0287113099999901</v>
      </c>
      <c r="AE4925">
        <v>-11.8489</v>
      </c>
      <c r="AF4925">
        <v>7.4374852965450096</v>
      </c>
      <c r="AG4925">
        <v>-1.0287113099999901</v>
      </c>
      <c r="AH4925">
        <v>13.700733052287701</v>
      </c>
      <c r="AI4925">
        <v>93.775377188919194</v>
      </c>
      <c r="AJ4925">
        <v>61.504540661418702</v>
      </c>
      <c r="AK4925">
        <v>15.6232045581466</v>
      </c>
      <c r="AL4925">
        <v>77.484343107736507</v>
      </c>
      <c r="AM4925">
        <v>68.023410333799006</v>
      </c>
      <c r="AN4925">
        <v>1.00000003359956</v>
      </c>
    </row>
    <row r="4926" spans="1:40" x14ac:dyDescent="0.25">
      <c r="A4926" t="str">
        <f>"20190312172215084"</f>
        <v>20190312172215084</v>
      </c>
      <c r="B4926" t="str">
        <f>"1552382535075617"</f>
        <v>1552382535075617</v>
      </c>
      <c r="C4926" t="s">
        <v>40</v>
      </c>
      <c r="D4926">
        <v>3.2188970000000001</v>
      </c>
      <c r="E4926">
        <v>0.53666499999999995</v>
      </c>
      <c r="F4926" t="s">
        <v>62</v>
      </c>
      <c r="G4926">
        <v>-202.51759999999999</v>
      </c>
      <c r="H4926" s="1">
        <v>-1.1161950000000001E-5</v>
      </c>
      <c r="I4926">
        <v>149.0643</v>
      </c>
      <c r="J4926">
        <v>-191.1874</v>
      </c>
      <c r="K4926">
        <v>1.1086929999999999</v>
      </c>
      <c r="L4926">
        <v>162.07570000000001</v>
      </c>
      <c r="M4926">
        <v>-0.21553230000000001</v>
      </c>
      <c r="N4926">
        <v>0</v>
      </c>
      <c r="O4926">
        <v>-0.97640190000000004</v>
      </c>
      <c r="P4926">
        <v>-0.55226430000000004</v>
      </c>
      <c r="Q4926">
        <v>0.20695730000000001</v>
      </c>
      <c r="R4926">
        <v>-0.80757250000000003</v>
      </c>
      <c r="S4926">
        <v>-2.0483250000000002</v>
      </c>
      <c r="T4926">
        <v>-0.19998279999999999</v>
      </c>
      <c r="U4926">
        <v>-2.3660429999999999</v>
      </c>
      <c r="V4926">
        <v>0.36633949999999998</v>
      </c>
      <c r="W4926">
        <v>0.21739159999999999</v>
      </c>
      <c r="X4926">
        <v>0.90473000000000003</v>
      </c>
      <c r="Y4926">
        <v>0.4747421</v>
      </c>
      <c r="Z4926">
        <v>6.5752279999999996E-2</v>
      </c>
      <c r="AA4926">
        <v>0.87766549999999999</v>
      </c>
      <c r="AB4926">
        <v>20</v>
      </c>
      <c r="AC4926">
        <v>-11.3301999999999</v>
      </c>
      <c r="AD4926">
        <v>-1.10870416195</v>
      </c>
      <c r="AE4926">
        <v>-13.0114</v>
      </c>
      <c r="AF4926">
        <v>8.2252504183339106</v>
      </c>
      <c r="AG4926">
        <v>-1.10870416195</v>
      </c>
      <c r="AH4926">
        <v>15.0854868173348</v>
      </c>
      <c r="AI4926">
        <v>93.691975907799602</v>
      </c>
      <c r="AJ4926">
        <v>61.398899167714902</v>
      </c>
      <c r="AK4926">
        <v>17.217894234749199</v>
      </c>
      <c r="AL4926">
        <v>77.444125548021702</v>
      </c>
      <c r="AM4926">
        <v>67.956195622538104</v>
      </c>
      <c r="AN4926">
        <v>1.0000000549554</v>
      </c>
    </row>
    <row r="4927" spans="1:40" x14ac:dyDescent="0.25">
      <c r="A4927" t="str">
        <f>"20190312172215096"</f>
        <v>20190312172215096</v>
      </c>
      <c r="B4927" t="str">
        <f>"1552382535085378"</f>
        <v>1552382535085378</v>
      </c>
      <c r="C4927" t="s">
        <v>40</v>
      </c>
      <c r="D4927">
        <v>3.0353699999999999</v>
      </c>
      <c r="E4927">
        <v>0.53670109999999904</v>
      </c>
      <c r="F4927" t="s">
        <v>62</v>
      </c>
      <c r="G4927">
        <v>-200.483</v>
      </c>
      <c r="H4927">
        <v>7.9984609999999998E-2</v>
      </c>
      <c r="I4927">
        <v>151.3621</v>
      </c>
      <c r="J4927">
        <v>-191.21190000000001</v>
      </c>
      <c r="K4927">
        <v>1.108687</v>
      </c>
      <c r="L4927">
        <v>161.9753</v>
      </c>
      <c r="M4927">
        <v>-0.21757860000000001</v>
      </c>
      <c r="N4927">
        <v>0</v>
      </c>
      <c r="O4927">
        <v>-0.97594800000000004</v>
      </c>
      <c r="P4927">
        <v>-0.55467679999999997</v>
      </c>
      <c r="Q4927">
        <v>0.20740210000000001</v>
      </c>
      <c r="R4927">
        <v>-0.80580289999999999</v>
      </c>
      <c r="S4927">
        <v>-2.054611</v>
      </c>
      <c r="T4927">
        <v>-0.22737550000000001</v>
      </c>
      <c r="U4927">
        <v>-2.3680270000000001</v>
      </c>
      <c r="V4927">
        <v>0.36718070000000003</v>
      </c>
      <c r="W4927">
        <v>0.2178216</v>
      </c>
      <c r="X4927">
        <v>0.90428540000000002</v>
      </c>
      <c r="Y4927">
        <v>0.47345579999999998</v>
      </c>
      <c r="Z4927">
        <v>7.4576180000000006E-2</v>
      </c>
      <c r="AA4927">
        <v>0.87765490000000002</v>
      </c>
      <c r="AB4927">
        <v>20</v>
      </c>
      <c r="AC4927">
        <v>-9.2710999999999899</v>
      </c>
      <c r="AD4927">
        <v>-1.0287023900000001</v>
      </c>
      <c r="AE4927">
        <v>-10.613200000000001</v>
      </c>
      <c r="AF4927">
        <v>6.7038078673125803</v>
      </c>
      <c r="AG4927">
        <v>-1.0287023900000001</v>
      </c>
      <c r="AH4927">
        <v>12.3106705592577</v>
      </c>
      <c r="AI4927">
        <v>94.1972061000304</v>
      </c>
      <c r="AJ4927">
        <v>61.4293827048038</v>
      </c>
      <c r="AK4927">
        <v>14.0553149430245</v>
      </c>
      <c r="AL4927">
        <v>77.418882777860404</v>
      </c>
      <c r="AM4927">
        <v>67.900626799027407</v>
      </c>
      <c r="AN4927">
        <v>1.0000000002661</v>
      </c>
    </row>
    <row r="4928" spans="1:40" x14ac:dyDescent="0.25">
      <c r="A4928" t="str">
        <f>"20190312172215116"</f>
        <v>20190312172215116</v>
      </c>
      <c r="B4928" t="str">
        <f>"1552382535105874"</f>
        <v>1552382535105874</v>
      </c>
      <c r="C4928" t="s">
        <v>40</v>
      </c>
      <c r="D4928">
        <v>3.0661770000000002</v>
      </c>
      <c r="E4928">
        <v>0.53831629999999997</v>
      </c>
      <c r="F4928" t="s">
        <v>62</v>
      </c>
      <c r="G4928">
        <v>-200.68440000000001</v>
      </c>
      <c r="H4928">
        <v>7.9984609999999998E-2</v>
      </c>
      <c r="I4928">
        <v>151.13040000000001</v>
      </c>
      <c r="J4928">
        <v>-191.25409999999999</v>
      </c>
      <c r="K4928">
        <v>1.1086830000000001</v>
      </c>
      <c r="L4928">
        <v>161.80549999999999</v>
      </c>
      <c r="M4928">
        <v>-0.22106229999999999</v>
      </c>
      <c r="N4928">
        <v>0</v>
      </c>
      <c r="O4928">
        <v>-0.97516480000000005</v>
      </c>
      <c r="P4928">
        <v>-0.55908769999999997</v>
      </c>
      <c r="Q4928">
        <v>0.2087049</v>
      </c>
      <c r="R4928">
        <v>-0.80241099999999999</v>
      </c>
      <c r="S4928">
        <v>-2.0622859999999998</v>
      </c>
      <c r="T4928">
        <v>-0.22396250000000001</v>
      </c>
      <c r="U4928">
        <v>-2.361084</v>
      </c>
      <c r="V4928">
        <v>0.369002</v>
      </c>
      <c r="W4928">
        <v>0.21909239999999999</v>
      </c>
      <c r="X4928">
        <v>0.90323640000000005</v>
      </c>
      <c r="Y4928">
        <v>0.47326410000000002</v>
      </c>
      <c r="Z4928">
        <v>7.3471869999999995E-2</v>
      </c>
      <c r="AA4928">
        <v>0.8778513</v>
      </c>
      <c r="AB4928">
        <v>20</v>
      </c>
      <c r="AC4928">
        <v>-9.4303000000000097</v>
      </c>
      <c r="AD4928">
        <v>-1.02869839</v>
      </c>
      <c r="AE4928">
        <v>-10.675099999999899</v>
      </c>
      <c r="AF4928">
        <v>6.8013925893380502</v>
      </c>
      <c r="AG4928">
        <v>-1.02869839</v>
      </c>
      <c r="AH4928">
        <v>12.430984679855801</v>
      </c>
      <c r="AI4928">
        <v>94.152218956591895</v>
      </c>
      <c r="AJ4928">
        <v>61.315508789267099</v>
      </c>
      <c r="AK4928">
        <v>14.207270731660699</v>
      </c>
      <c r="AL4928">
        <v>77.344268795121593</v>
      </c>
      <c r="AM4928">
        <v>67.778358089180301</v>
      </c>
      <c r="AN4928">
        <v>0.99999997501335902</v>
      </c>
    </row>
    <row r="4929" spans="1:40" x14ac:dyDescent="0.25">
      <c r="A4929" t="str">
        <f>"20190312172215129"</f>
        <v>20190312172215129</v>
      </c>
      <c r="B4929" t="str">
        <f>"1552382535125393"</f>
        <v>1552382535125393</v>
      </c>
      <c r="C4929" t="s">
        <v>40</v>
      </c>
      <c r="D4929">
        <v>3.0592929999999998</v>
      </c>
      <c r="E4929">
        <v>0.53852390000000006</v>
      </c>
      <c r="F4929" t="s">
        <v>62</v>
      </c>
      <c r="G4929">
        <v>-200.3409</v>
      </c>
      <c r="H4929">
        <v>7.9984609999999998E-2</v>
      </c>
      <c r="I4929">
        <v>151.61789999999999</v>
      </c>
      <c r="J4929">
        <v>-191.28139999999999</v>
      </c>
      <c r="K4929">
        <v>1.108676</v>
      </c>
      <c r="L4929">
        <v>161.69710000000001</v>
      </c>
      <c r="M4929">
        <v>-0.2232992</v>
      </c>
      <c r="N4929">
        <v>0</v>
      </c>
      <c r="O4929">
        <v>-0.97465500000000005</v>
      </c>
      <c r="P4929">
        <v>-0.56152760000000002</v>
      </c>
      <c r="Q4929">
        <v>0.2093593</v>
      </c>
      <c r="R4929">
        <v>-0.80053459999999999</v>
      </c>
      <c r="S4929">
        <v>-2.0904850000000001</v>
      </c>
      <c r="T4929">
        <v>-0.2366596</v>
      </c>
      <c r="U4929">
        <v>-2.3437190000000001</v>
      </c>
      <c r="V4929">
        <v>0.3697261</v>
      </c>
      <c r="W4929">
        <v>0.21973019999999999</v>
      </c>
      <c r="X4929">
        <v>0.90278530000000001</v>
      </c>
      <c r="Y4929">
        <v>0.48015229999999998</v>
      </c>
      <c r="Z4929">
        <v>7.7551320000000007E-2</v>
      </c>
      <c r="AA4929">
        <v>0.87375029999999998</v>
      </c>
      <c r="AB4929">
        <v>19</v>
      </c>
      <c r="AC4929">
        <v>-9.0595000000000105</v>
      </c>
      <c r="AD4929">
        <v>-1.0286913900000001</v>
      </c>
      <c r="AE4929">
        <v>-10.0792</v>
      </c>
      <c r="AF4929">
        <v>6.5421254511400804</v>
      </c>
      <c r="AG4929">
        <v>-1.0286913900000001</v>
      </c>
      <c r="AH4929">
        <v>11.779946813887699</v>
      </c>
      <c r="AI4929">
        <v>94.365643003435594</v>
      </c>
      <c r="AJ4929">
        <v>60.953905803536699</v>
      </c>
      <c r="AK4929">
        <v>13.5138728102767</v>
      </c>
      <c r="AL4929">
        <v>77.306813465639493</v>
      </c>
      <c r="AM4929">
        <v>67.728969831796704</v>
      </c>
      <c r="AN4929">
        <v>1.00000002385466</v>
      </c>
    </row>
    <row r="4930" spans="1:40" x14ac:dyDescent="0.25">
      <c r="A4930" t="str">
        <f>"20190312172215141"</f>
        <v>20190312172215141</v>
      </c>
      <c r="B4930" t="str">
        <f>"1552382535135154"</f>
        <v>1552382535135154</v>
      </c>
      <c r="C4930" t="s">
        <v>40</v>
      </c>
      <c r="D4930">
        <v>3.0529229999999998</v>
      </c>
      <c r="E4930">
        <v>0.53821180000000002</v>
      </c>
      <c r="F4930" t="s">
        <v>62</v>
      </c>
      <c r="G4930">
        <v>-200.3817</v>
      </c>
      <c r="H4930">
        <v>7.9984609999999998E-2</v>
      </c>
      <c r="I4930">
        <v>151.57399999999899</v>
      </c>
      <c r="J4930">
        <v>-191.3099</v>
      </c>
      <c r="K4930">
        <v>1.1086739999999999</v>
      </c>
      <c r="L4930">
        <v>161.58459999999999</v>
      </c>
      <c r="M4930">
        <v>-0.22562779999999999</v>
      </c>
      <c r="N4930">
        <v>0</v>
      </c>
      <c r="O4930">
        <v>-0.97411859999999995</v>
      </c>
      <c r="P4930">
        <v>-0.56402209999999997</v>
      </c>
      <c r="Q4930">
        <v>0.20997099999999999</v>
      </c>
      <c r="R4930">
        <v>-0.79861839999999995</v>
      </c>
      <c r="S4930">
        <v>-2.1002960000000002</v>
      </c>
      <c r="T4930">
        <v>-0.2374173</v>
      </c>
      <c r="U4930">
        <v>-2.3363649999999998</v>
      </c>
      <c r="V4930">
        <v>0.3704305</v>
      </c>
      <c r="W4930">
        <v>0.2203251</v>
      </c>
      <c r="X4930">
        <v>0.90235140000000003</v>
      </c>
      <c r="Y4930">
        <v>0.48144300000000001</v>
      </c>
      <c r="Z4930">
        <v>7.7790100000000001E-2</v>
      </c>
      <c r="AA4930">
        <v>0.87301849999999903</v>
      </c>
      <c r="AB4930">
        <v>19</v>
      </c>
      <c r="AC4930">
        <v>-9.0717999999999908</v>
      </c>
      <c r="AD4930">
        <v>-1.02868939</v>
      </c>
      <c r="AE4930">
        <v>-10.0106</v>
      </c>
      <c r="AF4930">
        <v>6.5410229643486399</v>
      </c>
      <c r="AG4930">
        <v>-1.02868939</v>
      </c>
      <c r="AH4930">
        <v>11.731434172199499</v>
      </c>
      <c r="AI4930">
        <v>94.379532797950304</v>
      </c>
      <c r="AJ4930">
        <v>60.857544850946198</v>
      </c>
      <c r="AK4930">
        <v>13.471070151175301</v>
      </c>
      <c r="AL4930">
        <v>77.271871310596296</v>
      </c>
      <c r="AM4930">
        <v>67.681021255662301</v>
      </c>
      <c r="AN4930">
        <v>0.99999997705110899</v>
      </c>
    </row>
    <row r="4931" spans="1:40" x14ac:dyDescent="0.25">
      <c r="A4931" t="str">
        <f>"20190312172215153"</f>
        <v>20190312172215153</v>
      </c>
      <c r="B4931" t="str">
        <f>"1552382535145889"</f>
        <v>1552382535145889</v>
      </c>
      <c r="C4931" t="s">
        <v>40</v>
      </c>
      <c r="D4931">
        <v>3.0628280000000001</v>
      </c>
      <c r="E4931">
        <v>0.53780649999999997</v>
      </c>
      <c r="F4931" t="s">
        <v>62</v>
      </c>
      <c r="G4931">
        <v>-200.54820000000001</v>
      </c>
      <c r="H4931">
        <v>7.9984630000000001E-2</v>
      </c>
      <c r="I4931">
        <v>151.3596</v>
      </c>
      <c r="J4931">
        <v>-191.3366</v>
      </c>
      <c r="K4931">
        <v>1.1086689999999999</v>
      </c>
      <c r="L4931">
        <v>161.48079999999999</v>
      </c>
      <c r="M4931">
        <v>-0.22779269999999999</v>
      </c>
      <c r="N4931">
        <v>0</v>
      </c>
      <c r="O4931">
        <v>-0.9736146</v>
      </c>
      <c r="P4931">
        <v>-0.56639300000000004</v>
      </c>
      <c r="Q4931">
        <v>0.21062059999999999</v>
      </c>
      <c r="R4931">
        <v>-0.79676749999999996</v>
      </c>
      <c r="S4931">
        <v>-2.1059269999999999</v>
      </c>
      <c r="T4931">
        <v>-0.2344958</v>
      </c>
      <c r="U4931">
        <v>-2.3308559999999998</v>
      </c>
      <c r="V4931">
        <v>0.37115510000000002</v>
      </c>
      <c r="W4931">
        <v>0.22095719999999999</v>
      </c>
      <c r="X4931">
        <v>0.90189900000000001</v>
      </c>
      <c r="Y4931">
        <v>0.48173290000000002</v>
      </c>
      <c r="Z4931">
        <v>7.6852749999999997E-2</v>
      </c>
      <c r="AA4931">
        <v>0.87294159999999899</v>
      </c>
      <c r="AB4931">
        <v>19</v>
      </c>
      <c r="AC4931">
        <v>-9.2116000000000007</v>
      </c>
      <c r="AD4931">
        <v>-1.0286843699999999</v>
      </c>
      <c r="AE4931">
        <v>-10.1211999999999</v>
      </c>
      <c r="AF4931">
        <v>6.6261918710625203</v>
      </c>
      <c r="AG4931">
        <v>-1.0286843699999999</v>
      </c>
      <c r="AH4931">
        <v>11.8864319386698</v>
      </c>
      <c r="AI4931">
        <v>94.322813987716799</v>
      </c>
      <c r="AJ4931">
        <v>60.862149693531101</v>
      </c>
      <c r="AK4931">
        <v>13.647412739338</v>
      </c>
      <c r="AL4931">
        <v>77.234739825600599</v>
      </c>
      <c r="AM4931">
        <v>67.6315485089997</v>
      </c>
      <c r="AN4931">
        <v>0.99999999934442496</v>
      </c>
    </row>
    <row r="4932" spans="1:40" x14ac:dyDescent="0.25">
      <c r="A4932" t="str">
        <f>"20190312172215166"</f>
        <v>20190312172215166</v>
      </c>
      <c r="B4932" t="str">
        <f>"1552382535155649"</f>
        <v>1552382535155649</v>
      </c>
      <c r="C4932" t="s">
        <v>40</v>
      </c>
      <c r="D4932">
        <v>3.044883</v>
      </c>
      <c r="E4932">
        <v>0.5379718</v>
      </c>
      <c r="F4932" t="s">
        <v>62</v>
      </c>
      <c r="G4932">
        <v>-200.73230000000001</v>
      </c>
      <c r="H4932">
        <v>7.9984630000000001E-2</v>
      </c>
      <c r="I4932">
        <v>151.12799999999999</v>
      </c>
      <c r="J4932">
        <v>-191.3621</v>
      </c>
      <c r="K4932">
        <v>1.1086640000000001</v>
      </c>
      <c r="L4932">
        <v>161.38229999999999</v>
      </c>
      <c r="M4932">
        <v>-0.22985530000000001</v>
      </c>
      <c r="N4932">
        <v>0</v>
      </c>
      <c r="O4932">
        <v>-0.97312969999999999</v>
      </c>
      <c r="P4932">
        <v>-0.56871240000000001</v>
      </c>
      <c r="Q4932">
        <v>0.2112057</v>
      </c>
      <c r="R4932">
        <v>-0.79495839999999995</v>
      </c>
      <c r="S4932">
        <v>-2.1107939999999998</v>
      </c>
      <c r="T4932">
        <v>-0.23109950000000001</v>
      </c>
      <c r="U4932">
        <v>-2.325806</v>
      </c>
      <c r="V4932">
        <v>0.37191750000000001</v>
      </c>
      <c r="W4932">
        <v>0.221525</v>
      </c>
      <c r="X4932">
        <v>0.90144559999999996</v>
      </c>
      <c r="Y4932">
        <v>0.4818791</v>
      </c>
      <c r="Z4932">
        <v>7.5761670000000003E-2</v>
      </c>
      <c r="AA4932">
        <v>0.87295630000000002</v>
      </c>
      <c r="AB4932">
        <v>19</v>
      </c>
      <c r="AC4932">
        <v>-9.3702000000000094</v>
      </c>
      <c r="AD4932">
        <v>-1.0286793700000001</v>
      </c>
      <c r="AE4932">
        <v>-10.254300000000001</v>
      </c>
      <c r="AF4932">
        <v>6.7251586302183499</v>
      </c>
      <c r="AG4932">
        <v>-1.0286793700000001</v>
      </c>
      <c r="AH4932">
        <v>12.067496790634699</v>
      </c>
      <c r="AI4932">
        <v>94.258467208456594</v>
      </c>
      <c r="AJ4932">
        <v>60.869283809000002</v>
      </c>
      <c r="AK4932">
        <v>13.853173594517701</v>
      </c>
      <c r="AL4932">
        <v>77.201381415244398</v>
      </c>
      <c r="AM4932">
        <v>67.579985770119407</v>
      </c>
      <c r="AN4932">
        <v>1.0000000610952999</v>
      </c>
    </row>
    <row r="4933" spans="1:40" x14ac:dyDescent="0.25">
      <c r="A4933" t="str">
        <f>"20190312172215178"</f>
        <v>20190312172215178</v>
      </c>
      <c r="B4933" t="str">
        <f>"1552382535175169"</f>
        <v>1552382535175169</v>
      </c>
      <c r="C4933" t="s">
        <v>40</v>
      </c>
      <c r="D4933">
        <v>3.0667010000000001</v>
      </c>
      <c r="E4933">
        <v>0.53738339999999996</v>
      </c>
      <c r="F4933" t="s">
        <v>62</v>
      </c>
      <c r="G4933">
        <v>-200.78880000000001</v>
      </c>
      <c r="H4933">
        <v>7.9984620000000006E-2</v>
      </c>
      <c r="I4933">
        <v>151.0719</v>
      </c>
      <c r="J4933">
        <v>-191.3897</v>
      </c>
      <c r="K4933">
        <v>1.108657</v>
      </c>
      <c r="L4933">
        <v>161.2766</v>
      </c>
      <c r="M4933">
        <v>-0.23207839999999999</v>
      </c>
      <c r="N4933">
        <v>0</v>
      </c>
      <c r="O4933">
        <v>-0.97260190000000002</v>
      </c>
      <c r="P4933">
        <v>-0.57081569999999904</v>
      </c>
      <c r="Q4933">
        <v>0.21160809999999999</v>
      </c>
      <c r="R4933">
        <v>-0.79334209999999905</v>
      </c>
      <c r="S4933">
        <v>-2.1199189999999999</v>
      </c>
      <c r="T4933">
        <v>-0.2313347</v>
      </c>
      <c r="U4933">
        <v>-2.3186650000000002</v>
      </c>
      <c r="V4933">
        <v>0.372278</v>
      </c>
      <c r="W4933">
        <v>0.22191369999999999</v>
      </c>
      <c r="X4933">
        <v>0.90120109999999998</v>
      </c>
      <c r="Y4933">
        <v>0.4830856</v>
      </c>
      <c r="Z4933">
        <v>7.5833520000000001E-2</v>
      </c>
      <c r="AA4933">
        <v>0.87228289999999997</v>
      </c>
      <c r="AB4933">
        <v>19</v>
      </c>
      <c r="AC4933">
        <v>-9.3991000000000007</v>
      </c>
      <c r="AD4933">
        <v>-1.0286723799999999</v>
      </c>
      <c r="AE4933">
        <v>-10.204700000000001</v>
      </c>
      <c r="AF4933">
        <v>6.7368827386823202</v>
      </c>
      <c r="AG4933">
        <v>-1.0286723799999999</v>
      </c>
      <c r="AH4933">
        <v>12.0413614315398</v>
      </c>
      <c r="AI4933">
        <v>94.263697468624002</v>
      </c>
      <c r="AJ4933">
        <v>60.773925516742302</v>
      </c>
      <c r="AK4933">
        <v>13.836117266961301</v>
      </c>
      <c r="AL4933">
        <v>77.178541435965997</v>
      </c>
      <c r="AM4933">
        <v>67.554924155088401</v>
      </c>
      <c r="AN4933">
        <v>1.00000001108645</v>
      </c>
    </row>
    <row r="4934" spans="1:40" x14ac:dyDescent="0.25">
      <c r="A4934" t="str">
        <f>"20190312172215194"</f>
        <v>20190312172215194</v>
      </c>
      <c r="B4934" t="str">
        <f>"1552382535185905"</f>
        <v>1552382535185905</v>
      </c>
      <c r="C4934" t="s">
        <v>40</v>
      </c>
      <c r="D4934">
        <v>3.0572149999999998</v>
      </c>
      <c r="E4934">
        <v>0.53719399999999995</v>
      </c>
      <c r="F4934" t="s">
        <v>62</v>
      </c>
      <c r="G4934">
        <v>-200.95</v>
      </c>
      <c r="H4934">
        <v>7.9984639999999996E-2</v>
      </c>
      <c r="I4934">
        <v>150.8492</v>
      </c>
      <c r="J4934">
        <v>-191.42529999999999</v>
      </c>
      <c r="K4934">
        <v>1.108649</v>
      </c>
      <c r="L4934">
        <v>161.1422</v>
      </c>
      <c r="M4934">
        <v>-0.2349292</v>
      </c>
      <c r="N4934">
        <v>0</v>
      </c>
      <c r="O4934">
        <v>-0.97191749999999999</v>
      </c>
      <c r="P4934">
        <v>-0.57382739999999999</v>
      </c>
      <c r="Q4934">
        <v>0.2130552</v>
      </c>
      <c r="R4934">
        <v>-0.79077799999999998</v>
      </c>
      <c r="S4934">
        <v>-2.1226349999999998</v>
      </c>
      <c r="T4934">
        <v>-0.2283934</v>
      </c>
      <c r="U4934">
        <v>-2.3151700000000002</v>
      </c>
      <c r="V4934">
        <v>0.37317</v>
      </c>
      <c r="W4934">
        <v>0.22333430000000001</v>
      </c>
      <c r="X4934">
        <v>0.90048090000000003</v>
      </c>
      <c r="Y4934">
        <v>0.4817804</v>
      </c>
      <c r="Z4934">
        <v>7.4881980000000001E-2</v>
      </c>
      <c r="AA4934">
        <v>0.87308669999999999</v>
      </c>
      <c r="AB4934">
        <v>19</v>
      </c>
      <c r="AC4934">
        <v>-9.5246999999999904</v>
      </c>
      <c r="AD4934">
        <v>-1.0286643600000001</v>
      </c>
      <c r="AE4934">
        <v>-10.292999999999999</v>
      </c>
      <c r="AF4934">
        <v>6.8031239725587502</v>
      </c>
      <c r="AG4934">
        <v>-1.0286643600000001</v>
      </c>
      <c r="AH4934">
        <v>12.177188544070001</v>
      </c>
      <c r="AI4934">
        <v>94.217712088584705</v>
      </c>
      <c r="AJ4934">
        <v>60.808880405527098</v>
      </c>
      <c r="AK4934">
        <v>13.9865852512101</v>
      </c>
      <c r="AL4934">
        <v>77.095051082630704</v>
      </c>
      <c r="AM4934">
        <v>67.490301014282906</v>
      </c>
      <c r="AN4934">
        <v>0.99999995486064897</v>
      </c>
    </row>
    <row r="4935" spans="1:40" x14ac:dyDescent="0.25">
      <c r="A4935" t="str">
        <f>"20190312172215206"</f>
        <v>20190312172215206</v>
      </c>
      <c r="B4935" t="str">
        <f>"1552382535195665"</f>
        <v>1552382535195665</v>
      </c>
      <c r="C4935" t="s">
        <v>40</v>
      </c>
      <c r="D4935">
        <v>3.0641980000000002</v>
      </c>
      <c r="E4935">
        <v>0.53725919999999905</v>
      </c>
      <c r="F4935" t="s">
        <v>62</v>
      </c>
      <c r="G4935">
        <v>-201.24690000000001</v>
      </c>
      <c r="H4935">
        <v>7.9984699999999895E-2</v>
      </c>
      <c r="I4935">
        <v>150.51240000000001</v>
      </c>
      <c r="J4935">
        <v>-191.4529</v>
      </c>
      <c r="K4935">
        <v>1.108641</v>
      </c>
      <c r="L4935">
        <v>161.03909999999999</v>
      </c>
      <c r="M4935">
        <v>-0.2371325</v>
      </c>
      <c r="N4935">
        <v>0</v>
      </c>
      <c r="O4935">
        <v>-0.97138199999999997</v>
      </c>
      <c r="P4935">
        <v>-0.57557860000000005</v>
      </c>
      <c r="Q4935">
        <v>0.21368709999999999</v>
      </c>
      <c r="R4935">
        <v>-0.78933359999999997</v>
      </c>
      <c r="S4935">
        <v>-2.1316220000000001</v>
      </c>
      <c r="T4935">
        <v>-0.22325690000000001</v>
      </c>
      <c r="U4935">
        <v>-2.3070529999999998</v>
      </c>
      <c r="V4935">
        <v>0.3731739</v>
      </c>
      <c r="W4935">
        <v>0.2239534</v>
      </c>
      <c r="X4935">
        <v>0.900325499999999</v>
      </c>
      <c r="Y4935">
        <v>0.48324539999999999</v>
      </c>
      <c r="Z4935">
        <v>7.322062E-2</v>
      </c>
      <c r="AA4935">
        <v>0.87241769999999996</v>
      </c>
      <c r="AB4935">
        <v>19</v>
      </c>
      <c r="AC4935">
        <v>-9.7940000000000094</v>
      </c>
      <c r="AD4935">
        <v>-1.0286563</v>
      </c>
      <c r="AE4935">
        <v>-10.5266999999999</v>
      </c>
      <c r="AF4935">
        <v>6.9824041795686398</v>
      </c>
      <c r="AG4935">
        <v>-1.0286563</v>
      </c>
      <c r="AH4935">
        <v>12.485181243374701</v>
      </c>
      <c r="AI4935">
        <v>94.112987944980802</v>
      </c>
      <c r="AJ4935">
        <v>60.783664441639303</v>
      </c>
      <c r="AK4935">
        <v>14.341961253270201</v>
      </c>
      <c r="AL4935">
        <v>77.058657322833298</v>
      </c>
      <c r="AM4935">
        <v>67.486591650553507</v>
      </c>
      <c r="AN4935">
        <v>0.99999994548150795</v>
      </c>
    </row>
    <row r="4936" spans="1:40" x14ac:dyDescent="0.25">
      <c r="A4936" t="str">
        <f>"20190312172215220"</f>
        <v>20190312172215220</v>
      </c>
      <c r="B4936" t="str">
        <f>"1552382535215185"</f>
        <v>1552382535215185</v>
      </c>
      <c r="C4936" t="s">
        <v>40</v>
      </c>
      <c r="D4936">
        <v>3.0453519999999998</v>
      </c>
      <c r="E4936">
        <v>0.53700979999999998</v>
      </c>
      <c r="F4936" t="s">
        <v>62</v>
      </c>
      <c r="G4936">
        <v>-201.2962</v>
      </c>
      <c r="H4936">
        <v>7.9984710000000001E-2</v>
      </c>
      <c r="I4936">
        <v>150.4419</v>
      </c>
      <c r="J4936">
        <v>-191.48310000000001</v>
      </c>
      <c r="K4936">
        <v>1.108633</v>
      </c>
      <c r="L4936">
        <v>160.9271</v>
      </c>
      <c r="M4936">
        <v>-0.2395359</v>
      </c>
      <c r="N4936">
        <v>0</v>
      </c>
      <c r="O4936">
        <v>-0.9707924</v>
      </c>
      <c r="P4936">
        <v>-0.57783269999999998</v>
      </c>
      <c r="Q4936">
        <v>0.21405679999999999</v>
      </c>
      <c r="R4936">
        <v>-0.78758450000000002</v>
      </c>
      <c r="S4936">
        <v>-2.138245</v>
      </c>
      <c r="T4936">
        <v>-0.2234524</v>
      </c>
      <c r="U4936">
        <v>-2.301987</v>
      </c>
      <c r="V4936">
        <v>0.3735542</v>
      </c>
      <c r="W4936">
        <v>0.22430559999999999</v>
      </c>
      <c r="X4936">
        <v>0.90008009999999905</v>
      </c>
      <c r="Y4936">
        <v>0.48338330000000002</v>
      </c>
      <c r="Z4936">
        <v>7.326995E-2</v>
      </c>
      <c r="AA4936">
        <v>0.87233719999999904</v>
      </c>
      <c r="AB4936">
        <v>19</v>
      </c>
      <c r="AC4936">
        <v>-9.8130999999999897</v>
      </c>
      <c r="AD4936">
        <v>-1.02864829</v>
      </c>
      <c r="AE4936">
        <v>-10.485199999999899</v>
      </c>
      <c r="AF4936">
        <v>6.9797386042970899</v>
      </c>
      <c r="AG4936">
        <v>-1.02864829</v>
      </c>
      <c r="AH4936">
        <v>12.4667373719686</v>
      </c>
      <c r="AI4936">
        <v>94.117946863446605</v>
      </c>
      <c r="AJ4936">
        <v>60.756891992108997</v>
      </c>
      <c r="AK4936">
        <v>14.3246085108974</v>
      </c>
      <c r="AL4936">
        <v>77.037951215687301</v>
      </c>
      <c r="AM4936">
        <v>67.460411841649005</v>
      </c>
      <c r="AN4936">
        <v>0.99999996447250405</v>
      </c>
    </row>
    <row r="4937" spans="1:40" x14ac:dyDescent="0.25">
      <c r="A4937" t="str">
        <f>"20190312172215233"</f>
        <v>20190312172215233</v>
      </c>
      <c r="B4937" t="str">
        <f>"1552382535225922"</f>
        <v>1552382535225922</v>
      </c>
      <c r="C4937" t="s">
        <v>40</v>
      </c>
      <c r="D4937">
        <v>3.0642420000000001</v>
      </c>
      <c r="E4937">
        <v>0.53693990000000003</v>
      </c>
      <c r="F4937" t="s">
        <v>62</v>
      </c>
      <c r="G4937">
        <v>-201.37090000000001</v>
      </c>
      <c r="H4937">
        <v>7.9984680000000002E-2</v>
      </c>
      <c r="I4937">
        <v>150.33519999999999</v>
      </c>
      <c r="J4937">
        <v>-191.5146</v>
      </c>
      <c r="K4937">
        <v>1.108625</v>
      </c>
      <c r="L4937">
        <v>160.81209999999999</v>
      </c>
      <c r="M4937">
        <v>-0.24203920000000001</v>
      </c>
      <c r="N4937">
        <v>0</v>
      </c>
      <c r="O4937">
        <v>-0.97017109999999995</v>
      </c>
      <c r="P4937">
        <v>-0.57973949999999996</v>
      </c>
      <c r="Q4937">
        <v>0.2148138</v>
      </c>
      <c r="R4937">
        <v>-0.78597539999999999</v>
      </c>
      <c r="S4937">
        <v>-2.1440579999999998</v>
      </c>
      <c r="T4937">
        <v>-0.22304969999999999</v>
      </c>
      <c r="U4937">
        <v>-2.2967219999999999</v>
      </c>
      <c r="V4937">
        <v>0.37347659999999999</v>
      </c>
      <c r="W4937">
        <v>0.22504540000000001</v>
      </c>
      <c r="X4937">
        <v>0.8999277</v>
      </c>
      <c r="Y4937">
        <v>0.48331109999999999</v>
      </c>
      <c r="Z4937">
        <v>7.3137149999999998E-2</v>
      </c>
      <c r="AA4937">
        <v>0.87238830000000001</v>
      </c>
      <c r="AB4937">
        <v>19</v>
      </c>
      <c r="AC4937">
        <v>-9.8562999999999992</v>
      </c>
      <c r="AD4937">
        <v>-1.0286403200000001</v>
      </c>
      <c r="AE4937">
        <v>-10.476900000000001</v>
      </c>
      <c r="AF4937">
        <v>6.9913748903273296</v>
      </c>
      <c r="AG4937">
        <v>-1.0286403200000001</v>
      </c>
      <c r="AH4937">
        <v>12.487300801444</v>
      </c>
      <c r="AI4937">
        <v>94.111139905335193</v>
      </c>
      <c r="AJ4937">
        <v>60.756460703079902</v>
      </c>
      <c r="AK4937">
        <v>14.3481742765682</v>
      </c>
      <c r="AL4937">
        <v>76.994452590557302</v>
      </c>
      <c r="AM4937">
        <v>67.461191249695901</v>
      </c>
      <c r="AN4937">
        <v>1.000000034018</v>
      </c>
    </row>
    <row r="4938" spans="1:40" x14ac:dyDescent="0.25">
      <c r="A4938" t="str">
        <f>"20190312172215251"</f>
        <v>20190312172215251</v>
      </c>
      <c r="B4938" t="str">
        <f>"1552382535245441"</f>
        <v>1552382535245441</v>
      </c>
      <c r="C4938" t="s">
        <v>40</v>
      </c>
      <c r="D4938">
        <v>3.0656219999999998</v>
      </c>
      <c r="E4938">
        <v>0.53671469999999999</v>
      </c>
      <c r="F4938" t="s">
        <v>62</v>
      </c>
      <c r="G4938">
        <v>-202.31379999999999</v>
      </c>
      <c r="H4938" s="1">
        <v>-1.132259E-5</v>
      </c>
      <c r="I4938">
        <v>149.3004</v>
      </c>
      <c r="J4938">
        <v>-191.55350000000001</v>
      </c>
      <c r="K4938">
        <v>1.1086049999999901</v>
      </c>
      <c r="L4938">
        <v>160.6711</v>
      </c>
      <c r="M4938">
        <v>-0.24513560000000001</v>
      </c>
      <c r="N4938">
        <v>0</v>
      </c>
      <c r="O4938">
        <v>-0.96939330000000001</v>
      </c>
      <c r="P4938">
        <v>-0.58253999999999995</v>
      </c>
      <c r="Q4938">
        <v>0.21597930000000001</v>
      </c>
      <c r="R4938">
        <v>-0.78358159999999999</v>
      </c>
      <c r="S4938">
        <v>-2.149734</v>
      </c>
      <c r="T4938">
        <v>-0.22068889999999999</v>
      </c>
      <c r="U4938">
        <v>-2.29155</v>
      </c>
      <c r="V4938">
        <v>0.3739132</v>
      </c>
      <c r="W4938">
        <v>0.22618160000000001</v>
      </c>
      <c r="X4938">
        <v>0.89946139999999997</v>
      </c>
      <c r="Y4938">
        <v>0.48268929999999999</v>
      </c>
      <c r="Z4938">
        <v>7.2359409999999999E-2</v>
      </c>
      <c r="AA4938">
        <v>0.87279739999999995</v>
      </c>
      <c r="AB4938">
        <v>19</v>
      </c>
      <c r="AC4938">
        <v>-10.7602999999999</v>
      </c>
      <c r="AD4938">
        <v>-1.1086163225900001</v>
      </c>
      <c r="AE4938">
        <v>-11.370699999999999</v>
      </c>
      <c r="AF4938">
        <v>7.6061631650120898</v>
      </c>
      <c r="AG4938">
        <v>-1.1086163225900001</v>
      </c>
      <c r="AH4938">
        <v>13.593508142579401</v>
      </c>
      <c r="AI4938">
        <v>94.070929222668298</v>
      </c>
      <c r="AJ4938">
        <v>60.771075895147597</v>
      </c>
      <c r="AK4938">
        <v>15.616216310805701</v>
      </c>
      <c r="AL4938">
        <v>76.927629832463495</v>
      </c>
      <c r="AM4938">
        <v>67.426958566009503</v>
      </c>
      <c r="AN4938">
        <v>1.0000000037013701</v>
      </c>
    </row>
    <row r="4939" spans="1:40" x14ac:dyDescent="0.25">
      <c r="A4939" t="str">
        <f>"20190312172215265"</f>
        <v>20190312172215265</v>
      </c>
      <c r="B4939" t="str">
        <f>"1552382535255202"</f>
        <v>1552382535255202</v>
      </c>
      <c r="C4939" t="s">
        <v>40</v>
      </c>
      <c r="D4939">
        <v>3.041604</v>
      </c>
      <c r="E4939">
        <v>0.53659349999999995</v>
      </c>
      <c r="F4939" t="s">
        <v>62</v>
      </c>
      <c r="G4939">
        <v>-202.52260000000001</v>
      </c>
      <c r="H4939" s="1">
        <v>-1.1158220000000001E-5</v>
      </c>
      <c r="I4939">
        <v>149.0592</v>
      </c>
      <c r="J4939">
        <v>-191.58850000000001</v>
      </c>
      <c r="K4939">
        <v>1.1085860000000001</v>
      </c>
      <c r="L4939">
        <v>160.54599999999999</v>
      </c>
      <c r="M4939">
        <v>-0.2479123</v>
      </c>
      <c r="N4939">
        <v>0</v>
      </c>
      <c r="O4939">
        <v>-0.96868710000000002</v>
      </c>
      <c r="P4939">
        <v>-0.58499409999999996</v>
      </c>
      <c r="Q4939">
        <v>0.2162124</v>
      </c>
      <c r="R4939">
        <v>-0.78168719999999903</v>
      </c>
      <c r="S4939">
        <v>-2.1579280000000001</v>
      </c>
      <c r="T4939">
        <v>-0.21809600000000001</v>
      </c>
      <c r="U4939">
        <v>-2.2843779999999998</v>
      </c>
      <c r="V4939">
        <v>0.37418709999999999</v>
      </c>
      <c r="W4939">
        <v>0.22639020000000001</v>
      </c>
      <c r="X4939">
        <v>0.89929499999999996</v>
      </c>
      <c r="Y4939">
        <v>0.48324689999999998</v>
      </c>
      <c r="Z4939">
        <v>7.1510710000000005E-2</v>
      </c>
      <c r="AA4939">
        <v>0.87255869999999902</v>
      </c>
      <c r="AB4939">
        <v>19</v>
      </c>
      <c r="AC4939">
        <v>-10.934100000000001</v>
      </c>
      <c r="AD4939">
        <v>-1.10859715822</v>
      </c>
      <c r="AE4939">
        <v>-11.486799999999899</v>
      </c>
      <c r="AF4939">
        <v>7.7070568589489898</v>
      </c>
      <c r="AG4939">
        <v>-1.10859715822</v>
      </c>
      <c r="AH4939">
        <v>13.7717942322935</v>
      </c>
      <c r="AI4939">
        <v>94.018191923246903</v>
      </c>
      <c r="AJ4939">
        <v>60.767480480908702</v>
      </c>
      <c r="AK4939">
        <v>15.8205571792816</v>
      </c>
      <c r="AL4939">
        <v>76.915359643130401</v>
      </c>
      <c r="AM4939">
        <v>67.408323949020897</v>
      </c>
      <c r="AN4939">
        <v>1.0000000027437199</v>
      </c>
    </row>
    <row r="4940" spans="1:40" x14ac:dyDescent="0.25">
      <c r="A4940" t="str">
        <f>"20190312172215284"</f>
        <v>20190312172215284</v>
      </c>
      <c r="B4940" t="str">
        <f>"1552382535275704"</f>
        <v>1552382535275704</v>
      </c>
      <c r="C4940" t="s">
        <v>40</v>
      </c>
      <c r="D4940">
        <v>3.084867</v>
      </c>
      <c r="E4940">
        <v>0.53656769999999998</v>
      </c>
      <c r="F4940" t="s">
        <v>62</v>
      </c>
      <c r="G4940">
        <v>-202.58459999999999</v>
      </c>
      <c r="H4940" s="1">
        <v>-1.110607E-5</v>
      </c>
      <c r="I4940">
        <v>148.97620000000001</v>
      </c>
      <c r="J4940">
        <v>-191.6335</v>
      </c>
      <c r="K4940">
        <v>1.10856</v>
      </c>
      <c r="L4940">
        <v>160.38749999999999</v>
      </c>
      <c r="M4940">
        <v>-0.25147720000000001</v>
      </c>
      <c r="N4940">
        <v>0</v>
      </c>
      <c r="O4940">
        <v>-0.9677675</v>
      </c>
      <c r="P4940">
        <v>-0.58792909999999998</v>
      </c>
      <c r="Q4940">
        <v>0.21665110000000001</v>
      </c>
      <c r="R4940">
        <v>-0.77935980000000005</v>
      </c>
      <c r="S4940">
        <v>-2.1650239999999998</v>
      </c>
      <c r="T4940">
        <v>-0.21827340000000001</v>
      </c>
      <c r="U4940">
        <v>-2.2779850000000001</v>
      </c>
      <c r="V4940">
        <v>0.374309</v>
      </c>
      <c r="W4940">
        <v>0.2267979</v>
      </c>
      <c r="X4940">
        <v>0.89914159999999899</v>
      </c>
      <c r="Y4940">
        <v>0.48267450000000001</v>
      </c>
      <c r="Z4940">
        <v>7.1557330000000002E-2</v>
      </c>
      <c r="AA4940">
        <v>0.87287159999999997</v>
      </c>
      <c r="AB4940">
        <v>19</v>
      </c>
      <c r="AC4940">
        <v>-10.951099999999901</v>
      </c>
      <c r="AD4940">
        <v>-1.1085711060700001</v>
      </c>
      <c r="AE4940">
        <v>-11.411299999999899</v>
      </c>
      <c r="AF4940">
        <v>7.6913661935395297</v>
      </c>
      <c r="AG4940">
        <v>-1.1085711060700001</v>
      </c>
      <c r="AH4940">
        <v>13.7312555880481</v>
      </c>
      <c r="AI4940">
        <v>94.029049154551501</v>
      </c>
      <c r="AJ4940">
        <v>60.745255977024598</v>
      </c>
      <c r="AK4940">
        <v>15.7776241508232</v>
      </c>
      <c r="AL4940">
        <v>76.891377173186896</v>
      </c>
      <c r="AM4940">
        <v>67.398236204327105</v>
      </c>
      <c r="AN4940">
        <v>1.00000006588798</v>
      </c>
    </row>
    <row r="4941" spans="1:40" x14ac:dyDescent="0.25">
      <c r="A4941" t="str">
        <f>"20190312172215296"</f>
        <v>20190312172215296</v>
      </c>
      <c r="B4941" t="str">
        <f>"1552382535285458"</f>
        <v>1552382535285458</v>
      </c>
      <c r="C4941" t="s">
        <v>40</v>
      </c>
      <c r="D4941">
        <v>3.2073100000000001</v>
      </c>
      <c r="E4941">
        <v>0.536570199999999</v>
      </c>
      <c r="F4941" t="s">
        <v>62</v>
      </c>
      <c r="G4941">
        <v>-202.703</v>
      </c>
      <c r="H4941" s="1">
        <v>-1.101022E-5</v>
      </c>
      <c r="I4941">
        <v>148.8305</v>
      </c>
      <c r="J4941">
        <v>-191.6634</v>
      </c>
      <c r="K4941">
        <v>1.1085419999999999</v>
      </c>
      <c r="L4941">
        <v>160.2835</v>
      </c>
      <c r="M4941">
        <v>-0.25384289999999998</v>
      </c>
      <c r="N4941">
        <v>0</v>
      </c>
      <c r="O4941">
        <v>-0.96714990000000001</v>
      </c>
      <c r="P4941">
        <v>-0.58986130000000003</v>
      </c>
      <c r="Q4941">
        <v>0.2169828</v>
      </c>
      <c r="R4941">
        <v>-0.77780640000000001</v>
      </c>
      <c r="S4941">
        <v>-2.1740569999999999</v>
      </c>
      <c r="T4941">
        <v>-0.21772540000000001</v>
      </c>
      <c r="U4941">
        <v>-2.269806</v>
      </c>
      <c r="V4941">
        <v>0.37437910000000002</v>
      </c>
      <c r="W4941">
        <v>0.22710859999999999</v>
      </c>
      <c r="X4941">
        <v>0.89903389999999905</v>
      </c>
      <c r="Y4941">
        <v>0.48392629999999998</v>
      </c>
      <c r="Z4941">
        <v>7.1384249999999996E-2</v>
      </c>
      <c r="AA4941">
        <v>0.87219239999999998</v>
      </c>
      <c r="AB4941">
        <v>19</v>
      </c>
      <c r="AC4941">
        <v>-11.0396</v>
      </c>
      <c r="AD4941">
        <v>-1.1085530102200001</v>
      </c>
      <c r="AE4941">
        <v>-11.452999999999999</v>
      </c>
      <c r="AF4941">
        <v>7.7328495025111996</v>
      </c>
      <c r="AG4941">
        <v>-1.1085530102200001</v>
      </c>
      <c r="AH4941">
        <v>13.8132916058538</v>
      </c>
      <c r="AI4941">
        <v>94.005684402486807</v>
      </c>
      <c r="AJ4941">
        <v>60.759364589804903</v>
      </c>
      <c r="AK4941">
        <v>15.8692430882291</v>
      </c>
      <c r="AL4941">
        <v>76.873097389506896</v>
      </c>
      <c r="AM4941">
        <v>67.391993546753497</v>
      </c>
      <c r="AN4941">
        <v>0.99999999002998996</v>
      </c>
    </row>
    <row r="4942" spans="1:40" x14ac:dyDescent="0.25">
      <c r="A4942" t="str">
        <f>"20190312172215308"</f>
        <v>20190312172215308</v>
      </c>
      <c r="B4942" t="str">
        <f>"1552382535305954"</f>
        <v>1552382535305954</v>
      </c>
      <c r="C4942" t="s">
        <v>40</v>
      </c>
      <c r="D4942">
        <v>3.0252829999999999</v>
      </c>
      <c r="E4942">
        <v>0.53651930000000003</v>
      </c>
      <c r="F4942" t="s">
        <v>62</v>
      </c>
      <c r="G4942">
        <v>-202.76949999999999</v>
      </c>
      <c r="H4942" s="1">
        <v>-1.0956959999999999E-5</v>
      </c>
      <c r="I4942">
        <v>148.75069999999999</v>
      </c>
      <c r="J4942">
        <v>-191.69239999999999</v>
      </c>
      <c r="K4942">
        <v>1.1085240000000001</v>
      </c>
      <c r="L4942">
        <v>160.18360000000001</v>
      </c>
      <c r="M4942">
        <v>-0.2561406</v>
      </c>
      <c r="N4942">
        <v>0</v>
      </c>
      <c r="O4942">
        <v>-0.96654390000000001</v>
      </c>
      <c r="P4942">
        <v>-0.59178660000000005</v>
      </c>
      <c r="Q4942">
        <v>0.21687149999999999</v>
      </c>
      <c r="R4942">
        <v>-0.7763736</v>
      </c>
      <c r="S4942">
        <v>-2.1804199999999998</v>
      </c>
      <c r="T4942">
        <v>-0.21763840000000001</v>
      </c>
      <c r="U4942">
        <v>-2.2641909999999998</v>
      </c>
      <c r="V4942">
        <v>0.37447320000000001</v>
      </c>
      <c r="W4942">
        <v>0.2269795</v>
      </c>
      <c r="X4942">
        <v>0.89902729999999997</v>
      </c>
      <c r="Y4942">
        <v>0.48420269999999999</v>
      </c>
      <c r="Z4942">
        <v>7.1350029999999995E-2</v>
      </c>
      <c r="AA4942">
        <v>0.87204179999999998</v>
      </c>
      <c r="AB4942">
        <v>19</v>
      </c>
      <c r="AC4942">
        <v>-11.0771</v>
      </c>
      <c r="AD4942">
        <v>-1.10853495696</v>
      </c>
      <c r="AE4942">
        <v>-11.4329</v>
      </c>
      <c r="AF4942">
        <v>7.7412538636523003</v>
      </c>
      <c r="AG4942">
        <v>-1.10853495696</v>
      </c>
      <c r="AH4942">
        <v>13.8219534737831</v>
      </c>
      <c r="AI4942">
        <v>94.002679828835795</v>
      </c>
      <c r="AJ4942">
        <v>60.748144578217499</v>
      </c>
      <c r="AK4942">
        <v>15.8808771471773</v>
      </c>
      <c r="AL4942">
        <v>76.880692474855394</v>
      </c>
      <c r="AM4942">
        <v>67.386733661670704</v>
      </c>
      <c r="AN4942">
        <v>0.99999997854188905</v>
      </c>
    </row>
    <row r="4943" spans="1:40" x14ac:dyDescent="0.25">
      <c r="A4943" t="str">
        <f>"20190312172215321"</f>
        <v>20190312172215321</v>
      </c>
      <c r="B4943" t="str">
        <f>"1552382535315714"</f>
        <v>1552382535315714</v>
      </c>
      <c r="C4943" t="s">
        <v>40</v>
      </c>
      <c r="D4943">
        <v>3.0363669999999998</v>
      </c>
      <c r="E4943">
        <v>0.53646530000000003</v>
      </c>
      <c r="F4943" t="s">
        <v>62</v>
      </c>
      <c r="G4943">
        <v>-202.69569999999999</v>
      </c>
      <c r="H4943" s="1">
        <v>-1.10081399999999E-5</v>
      </c>
      <c r="I4943">
        <v>148.81270000000001</v>
      </c>
      <c r="J4943">
        <v>-191.72309999999999</v>
      </c>
      <c r="K4943">
        <v>1.108503</v>
      </c>
      <c r="L4943">
        <v>160.0789</v>
      </c>
      <c r="M4943">
        <v>-0.25856410000000002</v>
      </c>
      <c r="N4943">
        <v>0</v>
      </c>
      <c r="O4943">
        <v>-0.96589829999999999</v>
      </c>
      <c r="P4943">
        <v>-0.59376930000000006</v>
      </c>
      <c r="Q4943">
        <v>0.21710080000000001</v>
      </c>
      <c r="R4943">
        <v>-0.77479419999999899</v>
      </c>
      <c r="S4943">
        <v>-2.1862029999999999</v>
      </c>
      <c r="T4943">
        <v>-0.22025110000000001</v>
      </c>
      <c r="U4943">
        <v>-2.2592469999999998</v>
      </c>
      <c r="V4943">
        <v>0.3745464</v>
      </c>
      <c r="W4943">
        <v>0.227189</v>
      </c>
      <c r="X4943">
        <v>0.89894390000000002</v>
      </c>
      <c r="Y4943">
        <v>0.4840739</v>
      </c>
      <c r="Z4943">
        <v>7.2189649999999994E-2</v>
      </c>
      <c r="AA4943">
        <v>0.87204419999999905</v>
      </c>
      <c r="AB4943">
        <v>19</v>
      </c>
      <c r="AC4943">
        <v>-10.9726</v>
      </c>
      <c r="AD4943">
        <v>-1.10851400814</v>
      </c>
      <c r="AE4943">
        <v>-11.2661999999999</v>
      </c>
      <c r="AF4943">
        <v>7.64809356513884</v>
      </c>
      <c r="AG4943">
        <v>-1.10851400814</v>
      </c>
      <c r="AH4943">
        <v>13.652562626677099</v>
      </c>
      <c r="AI4943">
        <v>94.051885645776295</v>
      </c>
      <c r="AJ4943">
        <v>60.742680979187099</v>
      </c>
      <c r="AK4943">
        <v>15.6880401823396</v>
      </c>
      <c r="AL4943">
        <v>76.868367179361101</v>
      </c>
      <c r="AM4943">
        <v>67.380871385295194</v>
      </c>
      <c r="AN4943">
        <v>0.99999999141058504</v>
      </c>
    </row>
    <row r="4944" spans="1:40" x14ac:dyDescent="0.25">
      <c r="A4944" t="str">
        <f>"20190312172215333"</f>
        <v>20190312172215333</v>
      </c>
      <c r="B4944" t="str">
        <f>"1552382535325474"</f>
        <v>1552382535325474</v>
      </c>
      <c r="C4944" t="s">
        <v>40</v>
      </c>
      <c r="D4944">
        <v>3.0495480000000001</v>
      </c>
      <c r="E4944">
        <v>0.53647389999999995</v>
      </c>
      <c r="F4944" t="s">
        <v>62</v>
      </c>
      <c r="G4944">
        <v>-202.7433</v>
      </c>
      <c r="H4944" s="1">
        <v>-1.09677E-5</v>
      </c>
      <c r="I4944">
        <v>148.74780000000001</v>
      </c>
      <c r="J4944">
        <v>-191.75370000000001</v>
      </c>
      <c r="K4944">
        <v>1.1084769999999999</v>
      </c>
      <c r="L4944">
        <v>159.9759</v>
      </c>
      <c r="M4944">
        <v>-0.26098919999999998</v>
      </c>
      <c r="N4944">
        <v>0</v>
      </c>
      <c r="O4944">
        <v>-0.96524569999999998</v>
      </c>
      <c r="P4944">
        <v>-0.59598719999999905</v>
      </c>
      <c r="Q4944">
        <v>0.2168032</v>
      </c>
      <c r="R4944">
        <v>-0.77317269999999905</v>
      </c>
      <c r="S4944">
        <v>-2.1920470000000001</v>
      </c>
      <c r="T4944">
        <v>-0.2204952</v>
      </c>
      <c r="U4944">
        <v>-2.2538909999999999</v>
      </c>
      <c r="V4944">
        <v>0.37485499999999999</v>
      </c>
      <c r="W4944">
        <v>0.22686999999999999</v>
      </c>
      <c r="X4944">
        <v>0.89889589999999997</v>
      </c>
      <c r="Y4944">
        <v>0.4840719</v>
      </c>
      <c r="Z4944">
        <v>7.2262460000000001E-2</v>
      </c>
      <c r="AA4944">
        <v>0.87203929999999996</v>
      </c>
      <c r="AB4944">
        <v>19</v>
      </c>
      <c r="AC4944">
        <v>-10.9895999999999</v>
      </c>
      <c r="AD4944">
        <v>-1.1084879676999999</v>
      </c>
      <c r="AE4944">
        <v>-11.2280999999999</v>
      </c>
      <c r="AF4944">
        <v>7.6399323912743604</v>
      </c>
      <c r="AG4944">
        <v>-1.1084879676999999</v>
      </c>
      <c r="AH4944">
        <v>13.6394174456288</v>
      </c>
      <c r="AI4944">
        <v>94.055783474025901</v>
      </c>
      <c r="AJ4944">
        <v>60.745230338862498</v>
      </c>
      <c r="AK4944">
        <v>15.6726200992017</v>
      </c>
      <c r="AL4944">
        <v>76.887135418571006</v>
      </c>
      <c r="AM4944">
        <v>67.363026905160595</v>
      </c>
      <c r="AN4944">
        <v>1.0000000534808999</v>
      </c>
    </row>
    <row r="4945" spans="1:40" x14ac:dyDescent="0.25">
      <c r="A4945" t="str">
        <f>"20190312172215350"</f>
        <v>20190312172215350</v>
      </c>
      <c r="B4945" t="str">
        <f>"1552382535345969"</f>
        <v>1552382535345969</v>
      </c>
      <c r="C4945" t="s">
        <v>40</v>
      </c>
      <c r="D4945">
        <v>3.1280619999999999</v>
      </c>
      <c r="E4945">
        <v>0.53652330000000004</v>
      </c>
      <c r="F4945" t="s">
        <v>62</v>
      </c>
      <c r="G4945">
        <v>-202.70760000000001</v>
      </c>
      <c r="H4945" s="1">
        <v>-1.0993259999999999E-5</v>
      </c>
      <c r="I4945">
        <v>148.78039999999999</v>
      </c>
      <c r="J4945">
        <v>-191.79480000000001</v>
      </c>
      <c r="K4945">
        <v>1.1084449999999999</v>
      </c>
      <c r="L4945">
        <v>159.839</v>
      </c>
      <c r="M4945">
        <v>-0.26425169999999998</v>
      </c>
      <c r="N4945">
        <v>0</v>
      </c>
      <c r="O4945">
        <v>-0.96435769999999998</v>
      </c>
      <c r="P4945">
        <v>-0.59905419999999998</v>
      </c>
      <c r="Q4945">
        <v>0.2166701</v>
      </c>
      <c r="R4945">
        <v>-0.77083599999999997</v>
      </c>
      <c r="S4945">
        <v>-2.1989749999999999</v>
      </c>
      <c r="T4945">
        <v>-0.22252659999999999</v>
      </c>
      <c r="U4945">
        <v>-2.2474820000000002</v>
      </c>
      <c r="V4945">
        <v>0.37539519999999998</v>
      </c>
      <c r="W4945">
        <v>0.22670460000000001</v>
      </c>
      <c r="X4945">
        <v>0.89871209999999901</v>
      </c>
      <c r="Y4945">
        <v>0.48369820000000002</v>
      </c>
      <c r="Z4945">
        <v>7.2912179999999993E-2</v>
      </c>
      <c r="AA4945">
        <v>0.87219259999999998</v>
      </c>
      <c r="AB4945">
        <v>19</v>
      </c>
      <c r="AC4945">
        <v>-10.912800000000001</v>
      </c>
      <c r="AD4945">
        <v>-1.10845599326</v>
      </c>
      <c r="AE4945">
        <v>-11.0586</v>
      </c>
      <c r="AF4945">
        <v>7.5637921219999198</v>
      </c>
      <c r="AG4945">
        <v>-1.10845599326</v>
      </c>
      <c r="AH4945">
        <v>13.480807583898599</v>
      </c>
      <c r="AI4945">
        <v>94.101578938318298</v>
      </c>
      <c r="AJ4945">
        <v>60.704151293330497</v>
      </c>
      <c r="AK4945">
        <v>15.4974771839781</v>
      </c>
      <c r="AL4945">
        <v>76.896864758591306</v>
      </c>
      <c r="AM4945">
        <v>67.329534851536906</v>
      </c>
      <c r="AN4945">
        <v>0.99999998526530398</v>
      </c>
    </row>
    <row r="4946" spans="1:40" x14ac:dyDescent="0.25">
      <c r="A4946" t="str">
        <f>"20190312172215363"</f>
        <v>20190312172215363</v>
      </c>
      <c r="B4946" t="str">
        <f>"1552382535355730"</f>
        <v>1552382535355730</v>
      </c>
      <c r="C4946" t="s">
        <v>40</v>
      </c>
      <c r="D4946">
        <v>3.0833750000000002</v>
      </c>
      <c r="E4946">
        <v>0.53973819999999995</v>
      </c>
      <c r="F4946" t="s">
        <v>62</v>
      </c>
      <c r="G4946">
        <v>-202.71190000000001</v>
      </c>
      <c r="H4946" s="1">
        <v>-1.0988879999999999E-5</v>
      </c>
      <c r="I4946">
        <v>148.77209999999999</v>
      </c>
      <c r="J4946">
        <v>-191.8252</v>
      </c>
      <c r="K4946">
        <v>1.108422</v>
      </c>
      <c r="L4946">
        <v>159.73849999999999</v>
      </c>
      <c r="M4946">
        <v>-0.26667089999999999</v>
      </c>
      <c r="N4946">
        <v>0</v>
      </c>
      <c r="O4946">
        <v>-0.96369159999999998</v>
      </c>
      <c r="P4946">
        <v>-0.60124609999999901</v>
      </c>
      <c r="Q4946">
        <v>0.21650630000000001</v>
      </c>
      <c r="R4946">
        <v>-0.76917400000000002</v>
      </c>
      <c r="S4946">
        <v>-2.2083740000000001</v>
      </c>
      <c r="T4946">
        <v>-0.2242239</v>
      </c>
      <c r="U4946">
        <v>-2.2386629999999998</v>
      </c>
      <c r="V4946">
        <v>0.37569920000000001</v>
      </c>
      <c r="W4946">
        <v>0.22651740000000001</v>
      </c>
      <c r="X4946">
        <v>0.89863230000000005</v>
      </c>
      <c r="Y4946">
        <v>0.48504809999999998</v>
      </c>
      <c r="Z4946">
        <v>7.3471720000000004E-2</v>
      </c>
      <c r="AA4946">
        <v>0.87139549999999999</v>
      </c>
      <c r="AB4946">
        <v>19</v>
      </c>
      <c r="AC4946">
        <v>-10.886699999999999</v>
      </c>
      <c r="AD4946">
        <v>-1.10843298888</v>
      </c>
      <c r="AE4946">
        <v>-10.966399999999901</v>
      </c>
      <c r="AF4946">
        <v>7.5289627913041199</v>
      </c>
      <c r="AG4946">
        <v>-1.10843298888</v>
      </c>
      <c r="AH4946">
        <v>13.403673886808599</v>
      </c>
      <c r="AI4946">
        <v>94.123909686026593</v>
      </c>
      <c r="AJ4946">
        <v>60.676690643220802</v>
      </c>
      <c r="AK4946">
        <v>15.4133830831389</v>
      </c>
      <c r="AL4946">
        <v>76.9078774180187</v>
      </c>
      <c r="AM4946">
        <v>67.311224491622994</v>
      </c>
      <c r="AN4946">
        <v>1.00000001599334</v>
      </c>
    </row>
    <row r="4947" spans="1:40" x14ac:dyDescent="0.25">
      <c r="A4947" t="str">
        <f>"20190312172215385"</f>
        <v>20190312172215385</v>
      </c>
      <c r="B4947" t="str">
        <f>"1552382535375253"</f>
        <v>1552382535375253</v>
      </c>
      <c r="C4947" t="s">
        <v>40</v>
      </c>
      <c r="D4947">
        <v>3.0692010000000001</v>
      </c>
      <c r="E4947">
        <v>0.53925049999999997</v>
      </c>
      <c r="F4947" t="s">
        <v>62</v>
      </c>
      <c r="G4947">
        <v>-200.4623</v>
      </c>
      <c r="H4947">
        <v>1.9310839999999999E-2</v>
      </c>
      <c r="I4947">
        <v>151.19049999999999</v>
      </c>
      <c r="J4947">
        <v>-191.881</v>
      </c>
      <c r="K4947">
        <v>1.1083769999999999</v>
      </c>
      <c r="L4947">
        <v>159.55709999999999</v>
      </c>
      <c r="M4947">
        <v>-0.27112069999999999</v>
      </c>
      <c r="N4947">
        <v>0</v>
      </c>
      <c r="O4947">
        <v>-0.96244890000000005</v>
      </c>
      <c r="P4947">
        <v>-0.6056144</v>
      </c>
      <c r="Q4947">
        <v>0.2168321</v>
      </c>
      <c r="R4947">
        <v>-0.76564709999999903</v>
      </c>
      <c r="S4947">
        <v>-2.2468720000000002</v>
      </c>
      <c r="T4947">
        <v>-0.28332390000000002</v>
      </c>
      <c r="U4947">
        <v>-2.2236940000000001</v>
      </c>
      <c r="V4947">
        <v>0.37671850000000001</v>
      </c>
      <c r="W4947">
        <v>0.22679099999999999</v>
      </c>
      <c r="X4947">
        <v>0.89813639999999995</v>
      </c>
      <c r="Y4947">
        <v>0.49032019999999998</v>
      </c>
      <c r="Z4947">
        <v>9.2296660000000003E-2</v>
      </c>
      <c r="AA4947">
        <v>0.86664149999999995</v>
      </c>
      <c r="AB4947">
        <v>19</v>
      </c>
      <c r="AC4947">
        <v>-8.5813000000000201</v>
      </c>
      <c r="AD4947">
        <v>-1.08906616</v>
      </c>
      <c r="AE4947">
        <v>-8.3666</v>
      </c>
      <c r="AF4947">
        <v>5.9421941890880401</v>
      </c>
      <c r="AG4947">
        <v>-1.08906616</v>
      </c>
      <c r="AH4947">
        <v>10.2949484755525</v>
      </c>
      <c r="AI4947">
        <v>95.2348197626565</v>
      </c>
      <c r="AJ4947">
        <v>60.0066667904334</v>
      </c>
      <c r="AK4947">
        <v>11.936569900769999</v>
      </c>
      <c r="AL4947">
        <v>76.891782071554402</v>
      </c>
      <c r="AM4947">
        <v>67.244648015075001</v>
      </c>
      <c r="AN4947">
        <v>0.99999998946410495</v>
      </c>
    </row>
    <row r="4948" spans="1:40" x14ac:dyDescent="0.25">
      <c r="A4948" t="str">
        <f>"20190312172215398"</f>
        <v>20190312172215398</v>
      </c>
      <c r="B4948" t="str">
        <f>"1552382535395746"</f>
        <v>1552382535395746</v>
      </c>
      <c r="C4948" t="s">
        <v>40</v>
      </c>
      <c r="D4948">
        <v>3.0698650000000001</v>
      </c>
      <c r="E4948">
        <v>0.53868059999999995</v>
      </c>
      <c r="F4948" t="s">
        <v>62</v>
      </c>
      <c r="G4948">
        <v>-200.5504</v>
      </c>
      <c r="H4948">
        <v>5.7839559999999998E-2</v>
      </c>
      <c r="I4948">
        <v>151.04759999999999</v>
      </c>
      <c r="J4948">
        <v>-191.91669999999999</v>
      </c>
      <c r="K4948">
        <v>1.1083459999999901</v>
      </c>
      <c r="L4948">
        <v>159.44290000000001</v>
      </c>
      <c r="M4948">
        <v>-0.273964599999999</v>
      </c>
      <c r="N4948">
        <v>0</v>
      </c>
      <c r="O4948">
        <v>-0.96164340000000004</v>
      </c>
      <c r="P4948">
        <v>-0.60830740000000005</v>
      </c>
      <c r="Q4948">
        <v>0.21700720000000001</v>
      </c>
      <c r="R4948">
        <v>-0.76345959999999902</v>
      </c>
      <c r="S4948">
        <v>-2.254181</v>
      </c>
      <c r="T4948">
        <v>-0.27315660000000003</v>
      </c>
      <c r="U4948">
        <v>-2.2126009999999998</v>
      </c>
      <c r="V4948">
        <v>0.3772605</v>
      </c>
      <c r="W4948">
        <v>0.22693350000000001</v>
      </c>
      <c r="X4948">
        <v>0.89787289999999997</v>
      </c>
      <c r="Y4948">
        <v>0.4915332</v>
      </c>
      <c r="Z4948">
        <v>8.9092480000000002E-2</v>
      </c>
      <c r="AA4948">
        <v>0.86628959999999999</v>
      </c>
      <c r="AB4948">
        <v>19</v>
      </c>
      <c r="AC4948">
        <v>-8.6336999999999993</v>
      </c>
      <c r="AD4948">
        <v>-1.0505064399999999</v>
      </c>
      <c r="AE4948">
        <v>-8.3953000000000095</v>
      </c>
      <c r="AF4948">
        <v>5.9577457429781298</v>
      </c>
      <c r="AG4948">
        <v>-1.0505064399999999</v>
      </c>
      <c r="AH4948">
        <v>10.360739155133899</v>
      </c>
      <c r="AI4948">
        <v>95.023220609137198</v>
      </c>
      <c r="AJ4948">
        <v>60.0997652283516</v>
      </c>
      <c r="AK4948">
        <v>11.9976336816549</v>
      </c>
      <c r="AL4948">
        <v>76.883399272428406</v>
      </c>
      <c r="AM4948">
        <v>67.209247584991004</v>
      </c>
      <c r="AN4948">
        <v>1.0000000214184499</v>
      </c>
    </row>
    <row r="4949" spans="1:40" x14ac:dyDescent="0.25">
      <c r="A4949" t="str">
        <f>"20190312172215410"</f>
        <v>20190312172215410</v>
      </c>
      <c r="B4949" t="str">
        <f>"1552382535405506"</f>
        <v>1552382535405506</v>
      </c>
      <c r="C4949" t="s">
        <v>40</v>
      </c>
      <c r="D4949">
        <v>3.2083889999999999</v>
      </c>
      <c r="E4949">
        <v>0.53857460000000001</v>
      </c>
      <c r="F4949" t="s">
        <v>62</v>
      </c>
      <c r="G4949">
        <v>-200.6532</v>
      </c>
      <c r="H4949">
        <v>7.7680819999999998E-2</v>
      </c>
      <c r="I4949">
        <v>150.90309999999999</v>
      </c>
      <c r="J4949">
        <v>-191.94720000000001</v>
      </c>
      <c r="K4949">
        <v>1.108322</v>
      </c>
      <c r="L4949">
        <v>159.34649999999999</v>
      </c>
      <c r="M4949">
        <v>-0.27639849999999999</v>
      </c>
      <c r="N4949">
        <v>0</v>
      </c>
      <c r="O4949">
        <v>-0.96094639999999998</v>
      </c>
      <c r="P4949">
        <v>-0.61056169999999899</v>
      </c>
      <c r="Q4949">
        <v>0.21718899999999999</v>
      </c>
      <c r="R4949">
        <v>-0.76160620000000001</v>
      </c>
      <c r="S4949">
        <v>-2.2573850000000002</v>
      </c>
      <c r="T4949">
        <v>-0.26630870000000001</v>
      </c>
      <c r="U4949">
        <v>-2.2065429999999999</v>
      </c>
      <c r="V4949">
        <v>0.3776719</v>
      </c>
      <c r="W4949">
        <v>0.22708909999999999</v>
      </c>
      <c r="X4949">
        <v>0.89766060000000003</v>
      </c>
      <c r="Y4949">
        <v>0.49127290000000001</v>
      </c>
      <c r="Z4949">
        <v>8.6918629999999997E-2</v>
      </c>
      <c r="AA4949">
        <v>0.86665800000000004</v>
      </c>
      <c r="AB4949">
        <v>19</v>
      </c>
      <c r="AC4949">
        <v>-8.70599999999998</v>
      </c>
      <c r="AD4949">
        <v>-1.0306411799999999</v>
      </c>
      <c r="AE4949">
        <v>-8.4433999999999898</v>
      </c>
      <c r="AF4949">
        <v>5.98956159600018</v>
      </c>
      <c r="AG4949">
        <v>-1.0306411799999999</v>
      </c>
      <c r="AH4949">
        <v>10.4455226192374</v>
      </c>
      <c r="AI4949">
        <v>94.892300592480197</v>
      </c>
      <c r="AJ4949">
        <v>60.169632310653398</v>
      </c>
      <c r="AK4949">
        <v>12.084949819639</v>
      </c>
      <c r="AL4949">
        <v>76.874245274821007</v>
      </c>
      <c r="AM4949">
        <v>67.182095155470705</v>
      </c>
      <c r="AN4949">
        <v>1.00000003809038</v>
      </c>
    </row>
    <row r="4950" spans="1:40" x14ac:dyDescent="0.25">
      <c r="A4950" t="str">
        <f>"20190312172215424"</f>
        <v>20190312172215424</v>
      </c>
      <c r="B4950" t="str">
        <f>"1552382535415266"</f>
        <v>1552382535415266</v>
      </c>
      <c r="C4950" t="s">
        <v>40</v>
      </c>
      <c r="D4950">
        <v>3.0812170000000001</v>
      </c>
      <c r="E4950">
        <v>0.5384314</v>
      </c>
      <c r="F4950" t="s">
        <v>62</v>
      </c>
      <c r="G4950">
        <v>-200.8135</v>
      </c>
      <c r="H4950">
        <v>7.7215969999999995E-2</v>
      </c>
      <c r="I4950">
        <v>150.7259</v>
      </c>
      <c r="J4950">
        <v>-191.98150000000001</v>
      </c>
      <c r="K4950">
        <v>1.1082939999999999</v>
      </c>
      <c r="L4950">
        <v>159.2388</v>
      </c>
      <c r="M4950">
        <v>-0.27913749999999998</v>
      </c>
      <c r="N4950">
        <v>0</v>
      </c>
      <c r="O4950">
        <v>-0.96015439999999996</v>
      </c>
      <c r="P4950">
        <v>-0.61334239999999995</v>
      </c>
      <c r="Q4950">
        <v>0.21726219999999999</v>
      </c>
      <c r="R4950">
        <v>-0.75934769999999996</v>
      </c>
      <c r="S4950">
        <v>-2.262772</v>
      </c>
      <c r="T4950">
        <v>-0.26314870000000001</v>
      </c>
      <c r="U4950">
        <v>-2.2000579999999998</v>
      </c>
      <c r="V4950">
        <v>0.3784187</v>
      </c>
      <c r="W4950">
        <v>0.22713050000000001</v>
      </c>
      <c r="X4950">
        <v>0.89733549999999995</v>
      </c>
      <c r="Y4950">
        <v>0.49116369999999998</v>
      </c>
      <c r="Z4950">
        <v>8.5904659999999994E-2</v>
      </c>
      <c r="AA4950">
        <v>0.86682099999999995</v>
      </c>
      <c r="AB4950">
        <v>19</v>
      </c>
      <c r="AC4950">
        <v>-8.8319999999999901</v>
      </c>
      <c r="AD4950">
        <v>-1.03107803</v>
      </c>
      <c r="AE4950">
        <v>-8.5129000000000001</v>
      </c>
      <c r="AF4950">
        <v>6.0615552063965499</v>
      </c>
      <c r="AG4950">
        <v>-1.03107803</v>
      </c>
      <c r="AH4950">
        <v>10.5653830065776</v>
      </c>
      <c r="AI4950">
        <v>94.838462393172307</v>
      </c>
      <c r="AJ4950">
        <v>60.156311185067501</v>
      </c>
      <c r="AK4950">
        <v>12.2242746819523</v>
      </c>
      <c r="AL4950">
        <v>76.871808914285793</v>
      </c>
      <c r="AM4950">
        <v>67.1341793267637</v>
      </c>
      <c r="AN4950">
        <v>0.99999998805009405</v>
      </c>
    </row>
    <row r="4951" spans="1:40" x14ac:dyDescent="0.25">
      <c r="A4951" t="str">
        <f>"20190312172215441"</f>
        <v>20190312172215441</v>
      </c>
      <c r="B4951" t="str">
        <f>"1552382535435761"</f>
        <v>1552382535435761</v>
      </c>
      <c r="C4951" t="s">
        <v>40</v>
      </c>
      <c r="D4951">
        <v>3.062344</v>
      </c>
      <c r="E4951">
        <v>0.53845949999999998</v>
      </c>
      <c r="F4951" t="s">
        <v>62</v>
      </c>
      <c r="G4951">
        <v>-201.0018</v>
      </c>
      <c r="H4951">
        <v>6.869654E-2</v>
      </c>
      <c r="I4951">
        <v>150.5258</v>
      </c>
      <c r="J4951">
        <v>-192.02760000000001</v>
      </c>
      <c r="K4951">
        <v>1.108257</v>
      </c>
      <c r="L4951">
        <v>159.09620000000001</v>
      </c>
      <c r="M4951">
        <v>-0.28282449999999998</v>
      </c>
      <c r="N4951">
        <v>0</v>
      </c>
      <c r="O4951">
        <v>-0.95907500000000001</v>
      </c>
      <c r="P4951">
        <v>-0.61730680000000004</v>
      </c>
      <c r="Q4951">
        <v>0.2169141</v>
      </c>
      <c r="R4951">
        <v>-0.75622809999999996</v>
      </c>
      <c r="S4951">
        <v>-2.2696529999999999</v>
      </c>
      <c r="T4951">
        <v>-0.26157950000000002</v>
      </c>
      <c r="U4951">
        <v>-2.1923520000000001</v>
      </c>
      <c r="V4951">
        <v>0.37966119999999998</v>
      </c>
      <c r="W4951">
        <v>0.22673570000000001</v>
      </c>
      <c r="X4951">
        <v>0.896910399999999</v>
      </c>
      <c r="Y4951">
        <v>0.49068830000000002</v>
      </c>
      <c r="Z4951">
        <v>8.5391369999999994E-2</v>
      </c>
      <c r="AA4951">
        <v>0.86714089999999999</v>
      </c>
      <c r="AB4951">
        <v>19</v>
      </c>
      <c r="AC4951">
        <v>-8.9741999999999909</v>
      </c>
      <c r="AD4951">
        <v>-1.0395604599999999</v>
      </c>
      <c r="AE4951">
        <v>-8.5703999999999994</v>
      </c>
      <c r="AF4951">
        <v>6.1404912706252697</v>
      </c>
      <c r="AG4951">
        <v>-1.0395604599999999</v>
      </c>
      <c r="AH4951">
        <v>10.6837988806999</v>
      </c>
      <c r="AI4951">
        <v>94.822131381730003</v>
      </c>
      <c r="AJ4951">
        <v>60.111953384140897</v>
      </c>
      <c r="AK4951">
        <v>12.3664820186609</v>
      </c>
      <c r="AL4951">
        <v>76.895035215410502</v>
      </c>
      <c r="AM4951">
        <v>67.0571121971103</v>
      </c>
      <c r="AN4951">
        <v>0.99999998503404397</v>
      </c>
    </row>
    <row r="4952" spans="1:40" x14ac:dyDescent="0.25">
      <c r="A4952" t="str">
        <f>"20190312172215454"</f>
        <v>20190312172215454</v>
      </c>
      <c r="B4952" t="str">
        <f>"1552382535445522"</f>
        <v>1552382535445522</v>
      </c>
      <c r="C4952" t="s">
        <v>40</v>
      </c>
      <c r="D4952">
        <v>3.0615160000000001</v>
      </c>
      <c r="E4952">
        <v>0.53842909999999999</v>
      </c>
      <c r="F4952" t="s">
        <v>62</v>
      </c>
      <c r="G4952">
        <v>-201.0992</v>
      </c>
      <c r="H4952">
        <v>6.5332340000000003E-2</v>
      </c>
      <c r="I4952">
        <v>150.4237</v>
      </c>
      <c r="J4952">
        <v>-192.0658</v>
      </c>
      <c r="K4952">
        <v>1.1082259999999999</v>
      </c>
      <c r="L4952">
        <v>158.97980000000001</v>
      </c>
      <c r="M4952">
        <v>-0.28589039999999999</v>
      </c>
      <c r="N4952">
        <v>0</v>
      </c>
      <c r="O4952">
        <v>-0.95816520000000005</v>
      </c>
      <c r="P4952">
        <v>-0.62033839999999996</v>
      </c>
      <c r="Q4952">
        <v>0.21674470000000001</v>
      </c>
      <c r="R4952">
        <v>-0.75379200000000002</v>
      </c>
      <c r="S4952">
        <v>-2.2808380000000001</v>
      </c>
      <c r="T4952">
        <v>-0.2622176</v>
      </c>
      <c r="U4952">
        <v>-2.1804809999999999</v>
      </c>
      <c r="V4952">
        <v>0.38039970000000001</v>
      </c>
      <c r="W4952">
        <v>0.22653039999999999</v>
      </c>
      <c r="X4952">
        <v>0.89664940000000004</v>
      </c>
      <c r="Y4952">
        <v>0.49237170000000002</v>
      </c>
      <c r="Z4952">
        <v>8.5618979999999997E-2</v>
      </c>
      <c r="AA4952">
        <v>0.86616369999999898</v>
      </c>
      <c r="AB4952">
        <v>19</v>
      </c>
      <c r="AC4952">
        <v>-9.0334000000000003</v>
      </c>
      <c r="AD4952">
        <v>-1.0428936599999901</v>
      </c>
      <c r="AE4952">
        <v>-8.5561000000000096</v>
      </c>
      <c r="AF4952">
        <v>6.1666363017757604</v>
      </c>
      <c r="AG4952">
        <v>-1.0428936599999901</v>
      </c>
      <c r="AH4952">
        <v>10.7065034419181</v>
      </c>
      <c r="AI4952">
        <v>94.824769935505401</v>
      </c>
      <c r="AJ4952">
        <v>60.059301879625899</v>
      </c>
      <c r="AK4952">
        <v>12.3993647585774</v>
      </c>
      <c r="AL4952">
        <v>76.907113150227204</v>
      </c>
      <c r="AM4952">
        <v>67.011121558793505</v>
      </c>
      <c r="AN4952">
        <v>1.0000000502023001</v>
      </c>
    </row>
    <row r="4953" spans="1:40" x14ac:dyDescent="0.25">
      <c r="A4953" t="str">
        <f>"20190312172215474"</f>
        <v>20190312172215474</v>
      </c>
      <c r="B4953" t="str">
        <f>"1552382535465042"</f>
        <v>1552382535465042</v>
      </c>
      <c r="C4953" t="s">
        <v>40</v>
      </c>
      <c r="D4953">
        <v>3.0604110000000002</v>
      </c>
      <c r="E4953">
        <v>0.53864299999999998</v>
      </c>
      <c r="F4953" t="s">
        <v>62</v>
      </c>
      <c r="G4953">
        <v>-201.73779999999999</v>
      </c>
      <c r="H4953" s="1">
        <v>-1.171104E-5</v>
      </c>
      <c r="I4953">
        <v>149.80420000000001</v>
      </c>
      <c r="J4953">
        <v>-192.11869999999999</v>
      </c>
      <c r="K4953">
        <v>1.1081859999999999</v>
      </c>
      <c r="L4953">
        <v>158.82040000000001</v>
      </c>
      <c r="M4953">
        <v>-0.29014479999999998</v>
      </c>
      <c r="N4953">
        <v>0</v>
      </c>
      <c r="O4953">
        <v>-0.95688550000000006</v>
      </c>
      <c r="P4953">
        <v>-0.62469319999999995</v>
      </c>
      <c r="Q4953">
        <v>0.21691750000000001</v>
      </c>
      <c r="R4953">
        <v>-0.75013669999999899</v>
      </c>
      <c r="S4953">
        <v>-2.2890320000000002</v>
      </c>
      <c r="T4953">
        <v>-0.26228170000000001</v>
      </c>
      <c r="U4953">
        <v>-2.1715390000000001</v>
      </c>
      <c r="V4953">
        <v>0.38165169999999998</v>
      </c>
      <c r="W4953">
        <v>0.2266521</v>
      </c>
      <c r="X4953">
        <v>0.89608639999999995</v>
      </c>
      <c r="Y4953">
        <v>0.49183670000000002</v>
      </c>
      <c r="Z4953">
        <v>8.5625499999999993E-2</v>
      </c>
      <c r="AA4953">
        <v>0.86646690000000004</v>
      </c>
      <c r="AB4953">
        <v>19</v>
      </c>
      <c r="AC4953">
        <v>-9.6190999999999995</v>
      </c>
      <c r="AD4953">
        <v>-1.1081977110400001</v>
      </c>
      <c r="AE4953">
        <v>-9.0161999999999907</v>
      </c>
      <c r="AF4953">
        <v>6.5427597346106703</v>
      </c>
      <c r="AG4953">
        <v>-1.1081977110400001</v>
      </c>
      <c r="AH4953">
        <v>11.339348571610699</v>
      </c>
      <c r="AI4953">
        <v>94.838546094227993</v>
      </c>
      <c r="AJ4953">
        <v>60.015222269778597</v>
      </c>
      <c r="AK4953">
        <v>13.1383649340428</v>
      </c>
      <c r="AL4953">
        <v>76.899953581544295</v>
      </c>
      <c r="AM4953">
        <v>66.930384946779895</v>
      </c>
      <c r="AN4953">
        <v>1.0000000154061299</v>
      </c>
    </row>
    <row r="4954" spans="1:40" x14ac:dyDescent="0.25">
      <c r="A4954" t="str">
        <f>"20190312172215487"</f>
        <v>20190312172215487</v>
      </c>
      <c r="B4954" t="str">
        <f>"1552382535475778"</f>
        <v>1552382535475778</v>
      </c>
      <c r="C4954" t="s">
        <v>40</v>
      </c>
      <c r="D4954">
        <v>3.061782</v>
      </c>
      <c r="E4954">
        <v>0.53871669999999905</v>
      </c>
      <c r="F4954" t="s">
        <v>62</v>
      </c>
      <c r="G4954">
        <v>-201.8305</v>
      </c>
      <c r="H4954" s="1">
        <v>-1.1652450000000001E-5</v>
      </c>
      <c r="I4954">
        <v>149.7201</v>
      </c>
      <c r="J4954">
        <v>-192.15289999999999</v>
      </c>
      <c r="K4954">
        <v>1.1081589999999999</v>
      </c>
      <c r="L4954">
        <v>158.71899999999999</v>
      </c>
      <c r="M4954">
        <v>-0.29289530000000003</v>
      </c>
      <c r="N4954">
        <v>0</v>
      </c>
      <c r="O4954">
        <v>-0.95604719999999999</v>
      </c>
      <c r="P4954">
        <v>-0.62724799999999903</v>
      </c>
      <c r="Q4954">
        <v>0.21723619999999999</v>
      </c>
      <c r="R4954">
        <v>-0.74790970000000001</v>
      </c>
      <c r="S4954">
        <v>-2.3026580000000001</v>
      </c>
      <c r="T4954">
        <v>-0.26275290000000001</v>
      </c>
      <c r="U4954">
        <v>-2.1576840000000002</v>
      </c>
      <c r="V4954">
        <v>0.3821773</v>
      </c>
      <c r="W4954">
        <v>0.22694049999999999</v>
      </c>
      <c r="X4954">
        <v>0.89578930000000001</v>
      </c>
      <c r="Y4954">
        <v>0.49465750000000003</v>
      </c>
      <c r="Z4954">
        <v>8.5800489999999993E-2</v>
      </c>
      <c r="AA4954">
        <v>0.86484229999999995</v>
      </c>
      <c r="AB4954">
        <v>19</v>
      </c>
      <c r="AC4954">
        <v>-9.6776000000000106</v>
      </c>
      <c r="AD4954">
        <v>-1.1081706524499999</v>
      </c>
      <c r="AE4954">
        <v>-8.9988999999999901</v>
      </c>
      <c r="AF4954">
        <v>6.5709158895719399</v>
      </c>
      <c r="AG4954">
        <v>-1.1081706524499999</v>
      </c>
      <c r="AH4954">
        <v>11.359083984329001</v>
      </c>
      <c r="AI4954">
        <v>94.826988974217002</v>
      </c>
      <c r="AJ4954">
        <v>59.951805997843003</v>
      </c>
      <c r="AK4954">
        <v>13.1694254538997</v>
      </c>
      <c r="AL4954">
        <v>76.882986832221803</v>
      </c>
      <c r="AM4954">
        <v>66.895087321088297</v>
      </c>
      <c r="AN4954">
        <v>0.999999974585014</v>
      </c>
    </row>
    <row r="4955" spans="1:40" x14ac:dyDescent="0.25">
      <c r="A4955" t="str">
        <f>"20190312172215499"</f>
        <v>20190312172215499</v>
      </c>
      <c r="B4955" t="str">
        <f>"1552382535495298"</f>
        <v>1552382535495298</v>
      </c>
      <c r="C4955" t="s">
        <v>40</v>
      </c>
      <c r="D4955">
        <v>3.2853520000000001</v>
      </c>
      <c r="E4955">
        <v>0.53883809999999999</v>
      </c>
      <c r="F4955" t="s">
        <v>62</v>
      </c>
      <c r="G4955">
        <v>-201.93190000000001</v>
      </c>
      <c r="H4955" s="1">
        <v>-1.1587380000000001E-5</v>
      </c>
      <c r="I4955">
        <v>149.6233</v>
      </c>
      <c r="J4955">
        <v>-192.18620000000001</v>
      </c>
      <c r="K4955">
        <v>1.108136</v>
      </c>
      <c r="L4955">
        <v>158.62090000000001</v>
      </c>
      <c r="M4955">
        <v>-0.29557699999999998</v>
      </c>
      <c r="N4955">
        <v>0</v>
      </c>
      <c r="O4955">
        <v>-0.95522149999999995</v>
      </c>
      <c r="P4955">
        <v>-0.62980970000000003</v>
      </c>
      <c r="Q4955">
        <v>0.21727740000000001</v>
      </c>
      <c r="R4955">
        <v>-0.74574200000000002</v>
      </c>
      <c r="S4955">
        <v>-2.3107600000000001</v>
      </c>
      <c r="T4955">
        <v>-0.261858799999999</v>
      </c>
      <c r="U4955">
        <v>-2.149292</v>
      </c>
      <c r="V4955">
        <v>0.38275690000000001</v>
      </c>
      <c r="W4955">
        <v>0.22695170000000001</v>
      </c>
      <c r="X4955">
        <v>0.89553899999999997</v>
      </c>
      <c r="Y4955">
        <v>0.49543680000000001</v>
      </c>
      <c r="Z4955">
        <v>8.5507650000000004E-2</v>
      </c>
      <c r="AA4955">
        <v>0.86442509999999995</v>
      </c>
      <c r="AB4955">
        <v>19</v>
      </c>
      <c r="AC4955">
        <v>-9.7456999999999994</v>
      </c>
      <c r="AD4955">
        <v>-1.10814758738</v>
      </c>
      <c r="AE4955">
        <v>-8.9976000000000003</v>
      </c>
      <c r="AF4955">
        <v>6.6043406347745401</v>
      </c>
      <c r="AG4955">
        <v>-1.10814758738</v>
      </c>
      <c r="AH4955">
        <v>11.396826443263601</v>
      </c>
      <c r="AI4955">
        <v>94.808867685852704</v>
      </c>
      <c r="AJ4955">
        <v>59.908160822688103</v>
      </c>
      <c r="AK4955">
        <v>13.2186595112146</v>
      </c>
      <c r="AL4955">
        <v>76.882328394055904</v>
      </c>
      <c r="AM4955">
        <v>66.857945554142205</v>
      </c>
      <c r="AN4955">
        <v>1.00000000957575</v>
      </c>
    </row>
    <row r="4956" spans="1:40" x14ac:dyDescent="0.25">
      <c r="A4956" t="str">
        <f>"20190312172215511"</f>
        <v>20190312172215511</v>
      </c>
      <c r="B4956" t="str">
        <f>"1552382535506034"</f>
        <v>1552382535506034</v>
      </c>
      <c r="C4956" t="s">
        <v>40</v>
      </c>
      <c r="D4956">
        <v>3.3182260000000001</v>
      </c>
      <c r="E4956">
        <v>0.53883999999999999</v>
      </c>
      <c r="F4956" t="s">
        <v>62</v>
      </c>
      <c r="G4956">
        <v>-201.971</v>
      </c>
      <c r="H4956" s="1">
        <v>-1.155981E-5</v>
      </c>
      <c r="I4956">
        <v>149.58680000000001</v>
      </c>
      <c r="J4956">
        <v>-192.22049999999999</v>
      </c>
      <c r="K4956">
        <v>1.1081099999999999</v>
      </c>
      <c r="L4956">
        <v>158.52160000000001</v>
      </c>
      <c r="M4956">
        <v>-0.29834070000000001</v>
      </c>
      <c r="N4956">
        <v>0</v>
      </c>
      <c r="O4956">
        <v>-0.95436189999999999</v>
      </c>
      <c r="P4956">
        <v>-0.632482199999999</v>
      </c>
      <c r="Q4956">
        <v>0.2174228</v>
      </c>
      <c r="R4956">
        <v>-0.74343419999999905</v>
      </c>
      <c r="S4956">
        <v>-2.3188629999999999</v>
      </c>
      <c r="T4956">
        <v>-0.26261659999999998</v>
      </c>
      <c r="U4956">
        <v>-2.1409609999999999</v>
      </c>
      <c r="V4956">
        <v>0.38341019999999998</v>
      </c>
      <c r="W4956">
        <v>0.2270654</v>
      </c>
      <c r="X4956">
        <v>0.89523069999999905</v>
      </c>
      <c r="Y4956">
        <v>0.49609229999999999</v>
      </c>
      <c r="Z4956">
        <v>8.5745940000000007E-2</v>
      </c>
      <c r="AA4956">
        <v>0.864025499999999</v>
      </c>
      <c r="AB4956">
        <v>19</v>
      </c>
      <c r="AC4956">
        <v>-9.7504999999999793</v>
      </c>
      <c r="AD4956">
        <v>-1.1081215598099901</v>
      </c>
      <c r="AE4956">
        <v>-8.9347999999999903</v>
      </c>
      <c r="AF4956">
        <v>6.5942137313729399</v>
      </c>
      <c r="AG4956">
        <v>-1.1081215598099901</v>
      </c>
      <c r="AH4956">
        <v>11.357332542525199</v>
      </c>
      <c r="AI4956">
        <v>94.823057178585898</v>
      </c>
      <c r="AJ4956">
        <v>59.8599970360548</v>
      </c>
      <c r="AK4956">
        <v>13.1795519881309</v>
      </c>
      <c r="AL4956">
        <v>76.875639658603603</v>
      </c>
      <c r="AM4956">
        <v>66.8154745526477</v>
      </c>
      <c r="AN4956">
        <v>1.00000004178184</v>
      </c>
    </row>
    <row r="4957" spans="1:40" x14ac:dyDescent="0.25">
      <c r="A4957" t="str">
        <f>"20190312172215529"</f>
        <v>20190312172215529</v>
      </c>
      <c r="B4957" t="str">
        <f>"1552382535525554"</f>
        <v>1552382535525554</v>
      </c>
      <c r="C4957" t="s">
        <v>40</v>
      </c>
      <c r="D4957">
        <v>3.306756</v>
      </c>
      <c r="E4957">
        <v>0.53873629999999995</v>
      </c>
      <c r="F4957" t="s">
        <v>62</v>
      </c>
      <c r="G4957">
        <v>-202.07859999999999</v>
      </c>
      <c r="H4957" s="1">
        <v>-1.148213E-5</v>
      </c>
      <c r="I4957">
        <v>149.48609999999999</v>
      </c>
      <c r="J4957">
        <v>-192.27</v>
      </c>
      <c r="K4957">
        <v>1.1080730000000001</v>
      </c>
      <c r="L4957">
        <v>158.37950000000001</v>
      </c>
      <c r="M4957">
        <v>-0.3023419</v>
      </c>
      <c r="N4957">
        <v>0</v>
      </c>
      <c r="O4957">
        <v>-0.9531018</v>
      </c>
      <c r="P4957">
        <v>-0.63646669999999905</v>
      </c>
      <c r="Q4957">
        <v>0.21750140000000001</v>
      </c>
      <c r="R4957">
        <v>-0.74000259999999995</v>
      </c>
      <c r="S4957">
        <v>-2.3265989999999999</v>
      </c>
      <c r="T4957">
        <v>-0.2615248</v>
      </c>
      <c r="U4957">
        <v>-2.132431</v>
      </c>
      <c r="V4957">
        <v>0.38449749999999999</v>
      </c>
      <c r="W4957">
        <v>0.2270961</v>
      </c>
      <c r="X4957">
        <v>0.89475640000000001</v>
      </c>
      <c r="Y4957">
        <v>0.49563030000000002</v>
      </c>
      <c r="Z4957">
        <v>8.5370989999999994E-2</v>
      </c>
      <c r="AA4957">
        <v>0.86432770000000003</v>
      </c>
      <c r="AB4957">
        <v>19</v>
      </c>
      <c r="AC4957">
        <v>-9.8085999999999807</v>
      </c>
      <c r="AD4957">
        <v>-1.10808448212999</v>
      </c>
      <c r="AE4957">
        <v>-8.8934000000000104</v>
      </c>
      <c r="AF4957">
        <v>6.6140411038629399</v>
      </c>
      <c r="AG4957">
        <v>-1.10808448212999</v>
      </c>
      <c r="AH4957">
        <v>11.363340925259299</v>
      </c>
      <c r="AI4957">
        <v>94.817362103727802</v>
      </c>
      <c r="AJ4957">
        <v>59.7984228487663</v>
      </c>
      <c r="AK4957">
        <v>13.194654520933801</v>
      </c>
      <c r="AL4957">
        <v>76.873832811941597</v>
      </c>
      <c r="AM4957">
        <v>66.745685693914893</v>
      </c>
      <c r="AN4957">
        <v>0.99999999074121004</v>
      </c>
    </row>
    <row r="4958" spans="1:40" x14ac:dyDescent="0.25">
      <c r="A4958" t="str">
        <f>"20190312172215542"</f>
        <v>20190312172215542</v>
      </c>
      <c r="B4958" t="str">
        <f>"1552382535535313"</f>
        <v>1552382535535313</v>
      </c>
      <c r="C4958" t="s">
        <v>40</v>
      </c>
      <c r="D4958">
        <v>3.0754269999999999</v>
      </c>
      <c r="E4958">
        <v>0.53870569999999995</v>
      </c>
      <c r="F4958" t="s">
        <v>62</v>
      </c>
      <c r="G4958">
        <v>-202.21340000000001</v>
      </c>
      <c r="H4958" s="1">
        <v>-1.1383559999999999E-5</v>
      </c>
      <c r="I4958">
        <v>149.35570000000001</v>
      </c>
      <c r="J4958">
        <v>-192.30600000000001</v>
      </c>
      <c r="K4958">
        <v>1.1080449999999999</v>
      </c>
      <c r="L4958">
        <v>158.27719999999999</v>
      </c>
      <c r="M4958">
        <v>-0.30525580000000002</v>
      </c>
      <c r="N4958">
        <v>0</v>
      </c>
      <c r="O4958">
        <v>-0.95217220000000002</v>
      </c>
      <c r="P4958">
        <v>-0.63935759999999997</v>
      </c>
      <c r="Q4958">
        <v>0.2169807</v>
      </c>
      <c r="R4958">
        <v>-0.73765939999999997</v>
      </c>
      <c r="S4958">
        <v>-2.3368069999999999</v>
      </c>
      <c r="T4958">
        <v>-0.26041259999999999</v>
      </c>
      <c r="U4958">
        <v>-2.1206969999999998</v>
      </c>
      <c r="V4958">
        <v>0.3852312</v>
      </c>
      <c r="W4958">
        <v>0.22654250000000001</v>
      </c>
      <c r="X4958">
        <v>0.89458110000000002</v>
      </c>
      <c r="Y4958">
        <v>0.49725649999999899</v>
      </c>
      <c r="Z4958">
        <v>8.5032730000000001E-2</v>
      </c>
      <c r="AA4958">
        <v>0.86342659999999904</v>
      </c>
      <c r="AB4958">
        <v>19</v>
      </c>
      <c r="AC4958">
        <v>-9.9074000000000204</v>
      </c>
      <c r="AD4958">
        <v>-1.1080563835599999</v>
      </c>
      <c r="AE4958">
        <v>-8.9214999999999804</v>
      </c>
      <c r="AF4958">
        <v>6.66480225035468</v>
      </c>
      <c r="AG4958">
        <v>-1.1080563835599999</v>
      </c>
      <c r="AH4958">
        <v>11.4411441847669</v>
      </c>
      <c r="AI4958">
        <v>94.783643378215501</v>
      </c>
      <c r="AJ4958">
        <v>59.777944623860201</v>
      </c>
      <c r="AK4958">
        <v>13.287104960904999</v>
      </c>
      <c r="AL4958">
        <v>76.906400206363998</v>
      </c>
      <c r="AM4958">
        <v>66.701960593328096</v>
      </c>
      <c r="AN4958">
        <v>0.99999996311844896</v>
      </c>
    </row>
    <row r="4959" spans="1:40" x14ac:dyDescent="0.25">
      <c r="A4959" t="str">
        <f>"20190312172215553"</f>
        <v>20190312172215553</v>
      </c>
      <c r="B4959" t="str">
        <f>"1552382535545074"</f>
        <v>1552382535545074</v>
      </c>
      <c r="C4959" t="s">
        <v>40</v>
      </c>
      <c r="D4959">
        <v>3.3231540000000002</v>
      </c>
      <c r="E4959">
        <v>0.53867719999999997</v>
      </c>
      <c r="F4959" t="s">
        <v>62</v>
      </c>
      <c r="G4959">
        <v>-202.2124</v>
      </c>
      <c r="H4959" s="1">
        <v>-1.138301E-5</v>
      </c>
      <c r="I4959">
        <v>149.35239999999999</v>
      </c>
      <c r="J4959">
        <v>-192.34229999999999</v>
      </c>
      <c r="K4959">
        <v>1.1080139999999901</v>
      </c>
      <c r="L4959">
        <v>158.17570000000001</v>
      </c>
      <c r="M4959">
        <v>-0.30819419999999997</v>
      </c>
      <c r="N4959">
        <v>0</v>
      </c>
      <c r="O4959">
        <v>-0.95122519999999999</v>
      </c>
      <c r="P4959">
        <v>-0.64189849999999904</v>
      </c>
      <c r="Q4959">
        <v>0.21714430000000001</v>
      </c>
      <c r="R4959">
        <v>-0.73540119999999998</v>
      </c>
      <c r="S4959">
        <v>-2.3443909999999999</v>
      </c>
      <c r="T4959">
        <v>-0.2622256</v>
      </c>
      <c r="U4959">
        <v>-2.1120760000000001</v>
      </c>
      <c r="V4959">
        <v>0.38558890000000001</v>
      </c>
      <c r="W4959">
        <v>0.2266763</v>
      </c>
      <c r="X4959">
        <v>0.89439310000000005</v>
      </c>
      <c r="Y4959">
        <v>0.49768400000000002</v>
      </c>
      <c r="Z4959">
        <v>8.5618940000000004E-2</v>
      </c>
      <c r="AA4959">
        <v>0.86312230000000001</v>
      </c>
      <c r="AB4959">
        <v>19</v>
      </c>
      <c r="AC4959">
        <v>-9.8701000000000008</v>
      </c>
      <c r="AD4959">
        <v>-1.10802538300999</v>
      </c>
      <c r="AE4959">
        <v>-8.8233000000000104</v>
      </c>
      <c r="AF4959">
        <v>6.6236246029707102</v>
      </c>
      <c r="AG4959">
        <v>-1.10802538300999</v>
      </c>
      <c r="AH4959">
        <v>11.3563732898476</v>
      </c>
      <c r="AI4959">
        <v>94.817542415355703</v>
      </c>
      <c r="AJ4959">
        <v>59.747050550956899</v>
      </c>
      <c r="AK4959">
        <v>13.1934581300294</v>
      </c>
      <c r="AL4959">
        <v>76.898529513308006</v>
      </c>
      <c r="AM4959">
        <v>66.678259780905194</v>
      </c>
      <c r="AN4959">
        <v>0.99999998105625398</v>
      </c>
    </row>
    <row r="4960" spans="1:40" x14ac:dyDescent="0.25">
      <c r="A4960" t="str">
        <f>"20190312172215575"</f>
        <v>20190312172215575</v>
      </c>
      <c r="B4960" t="str">
        <f>"1552382535565570"</f>
        <v>1552382535565570</v>
      </c>
      <c r="C4960" t="s">
        <v>40</v>
      </c>
      <c r="D4960">
        <v>3.0199250000000002</v>
      </c>
      <c r="E4960">
        <v>0.53871569999999902</v>
      </c>
      <c r="F4960" t="s">
        <v>62</v>
      </c>
      <c r="G4960">
        <v>-202.29349999999999</v>
      </c>
      <c r="H4960" s="1">
        <v>-1.132228E-5</v>
      </c>
      <c r="I4960">
        <v>149.26910000000001</v>
      </c>
      <c r="J4960">
        <v>-192.40219999999999</v>
      </c>
      <c r="K4960">
        <v>1.1079639999999999</v>
      </c>
      <c r="L4960">
        <v>158.0102</v>
      </c>
      <c r="M4960">
        <v>-0.3130426</v>
      </c>
      <c r="N4960">
        <v>0</v>
      </c>
      <c r="O4960">
        <v>-0.94964079999999995</v>
      </c>
      <c r="P4960">
        <v>-0.6463856</v>
      </c>
      <c r="Q4960">
        <v>0.21674189999999999</v>
      </c>
      <c r="R4960">
        <v>-0.7315798</v>
      </c>
      <c r="S4960">
        <v>-2.3512420000000001</v>
      </c>
      <c r="T4960">
        <v>-0.26180189999999998</v>
      </c>
      <c r="U4960">
        <v>-2.1044309999999999</v>
      </c>
      <c r="V4960">
        <v>0.38648650000000001</v>
      </c>
      <c r="W4960">
        <v>0.2262267</v>
      </c>
      <c r="X4960">
        <v>0.89411949999999996</v>
      </c>
      <c r="Y4960">
        <v>0.4960831</v>
      </c>
      <c r="Z4960">
        <v>8.5432590000000003E-2</v>
      </c>
      <c r="AA4960">
        <v>0.86406179999999999</v>
      </c>
      <c r="AB4960">
        <v>19</v>
      </c>
      <c r="AC4960">
        <v>-9.8912999999999993</v>
      </c>
      <c r="AD4960">
        <v>-1.10797532228</v>
      </c>
      <c r="AE4960">
        <v>-8.7410999999999799</v>
      </c>
      <c r="AF4960">
        <v>6.6108909726854197</v>
      </c>
      <c r="AG4960">
        <v>-1.10797532228</v>
      </c>
      <c r="AH4960">
        <v>11.318624117408699</v>
      </c>
      <c r="AI4960">
        <v>94.831598833770201</v>
      </c>
      <c r="AJ4960">
        <v>59.711997301187203</v>
      </c>
      <c r="AK4960">
        <v>13.1545710944409</v>
      </c>
      <c r="AL4960">
        <v>76.924977080926297</v>
      </c>
      <c r="AM4960">
        <v>66.623404782582</v>
      </c>
      <c r="AN4960">
        <v>1.00000000737769</v>
      </c>
    </row>
    <row r="4961" spans="1:40" x14ac:dyDescent="0.25">
      <c r="A4961" t="str">
        <f>"20190312172215588"</f>
        <v>20190312172215588</v>
      </c>
      <c r="B4961" t="str">
        <f>"1552382535575330"</f>
        <v>1552382535575330</v>
      </c>
      <c r="C4961" t="s">
        <v>40</v>
      </c>
      <c r="D4961">
        <v>3.0482179999999999</v>
      </c>
      <c r="E4961">
        <v>0.53871969999999902</v>
      </c>
      <c r="F4961" t="s">
        <v>62</v>
      </c>
      <c r="G4961">
        <v>-202.3613</v>
      </c>
      <c r="H4961" s="1">
        <v>-1.127305E-5</v>
      </c>
      <c r="I4961">
        <v>149.2047</v>
      </c>
      <c r="J4961">
        <v>-192.4385</v>
      </c>
      <c r="K4961">
        <v>1.107939</v>
      </c>
      <c r="L4961">
        <v>157.91149999999999</v>
      </c>
      <c r="M4961">
        <v>-0.31597920000000002</v>
      </c>
      <c r="N4961">
        <v>0</v>
      </c>
      <c r="O4961">
        <v>-0.94866740000000005</v>
      </c>
      <c r="P4961">
        <v>-0.64892830000000001</v>
      </c>
      <c r="Q4961">
        <v>0.21681300000000001</v>
      </c>
      <c r="R4961">
        <v>-0.72930410000000001</v>
      </c>
      <c r="S4961">
        <v>-2.3638759999999999</v>
      </c>
      <c r="T4961">
        <v>-0.26298589999999999</v>
      </c>
      <c r="U4961">
        <v>-2.090042</v>
      </c>
      <c r="V4961">
        <v>0.38685540000000002</v>
      </c>
      <c r="W4961">
        <v>0.22627169999999999</v>
      </c>
      <c r="X4961">
        <v>0.89394859999999898</v>
      </c>
      <c r="Y4961">
        <v>0.49861430000000001</v>
      </c>
      <c r="Z4961">
        <v>8.5845539999999998E-2</v>
      </c>
      <c r="AA4961">
        <v>0.86256270000000002</v>
      </c>
      <c r="AB4961">
        <v>19</v>
      </c>
      <c r="AC4961">
        <v>-9.9227999999999899</v>
      </c>
      <c r="AD4961">
        <v>-1.1079502730499999</v>
      </c>
      <c r="AE4961">
        <v>-8.7067999999999799</v>
      </c>
      <c r="AF4961">
        <v>6.61628832531773</v>
      </c>
      <c r="AG4961">
        <v>-1.1079502730499999</v>
      </c>
      <c r="AH4961">
        <v>11.3166093105927</v>
      </c>
      <c r="AI4961">
        <v>94.831129317603796</v>
      </c>
      <c r="AJ4961">
        <v>59.687185313710998</v>
      </c>
      <c r="AK4961">
        <v>13.1555490687345</v>
      </c>
      <c r="AL4961">
        <v>76.922330582733395</v>
      </c>
      <c r="AM4961">
        <v>66.599498136503996</v>
      </c>
      <c r="AN4961">
        <v>1.0000000410859999</v>
      </c>
    </row>
    <row r="4962" spans="1:40" x14ac:dyDescent="0.25">
      <c r="A4962" t="str">
        <f>"20190312172215600"</f>
        <v>20190312172215600</v>
      </c>
      <c r="B4962" t="str">
        <f>"1552382535595825"</f>
        <v>1552382535595825</v>
      </c>
      <c r="C4962" t="s">
        <v>40</v>
      </c>
      <c r="D4962">
        <v>3.0568870000000001</v>
      </c>
      <c r="E4962">
        <v>0.53869319999999998</v>
      </c>
      <c r="F4962" t="s">
        <v>62</v>
      </c>
      <c r="G4962">
        <v>-202.4331</v>
      </c>
      <c r="H4962" s="1">
        <v>-1.1220509999999999E-5</v>
      </c>
      <c r="I4962">
        <v>149.13509999999999</v>
      </c>
      <c r="J4962">
        <v>-192.47620000000001</v>
      </c>
      <c r="K4962">
        <v>1.107915</v>
      </c>
      <c r="L4962">
        <v>157.80940000000001</v>
      </c>
      <c r="M4962">
        <v>-0.31903579999999998</v>
      </c>
      <c r="N4962">
        <v>0</v>
      </c>
      <c r="O4962">
        <v>-0.94764409999999999</v>
      </c>
      <c r="P4962">
        <v>-0.65175289999999997</v>
      </c>
      <c r="Q4962">
        <v>0.21681149999999999</v>
      </c>
      <c r="R4962">
        <v>-0.72678149999999997</v>
      </c>
      <c r="S4962">
        <v>-2.370987</v>
      </c>
      <c r="T4962">
        <v>-0.26283459999999997</v>
      </c>
      <c r="U4962">
        <v>-2.081985</v>
      </c>
      <c r="V4962">
        <v>0.38745839999999998</v>
      </c>
      <c r="W4962">
        <v>0.22624059999999999</v>
      </c>
      <c r="X4962">
        <v>0.89369519999999902</v>
      </c>
      <c r="Y4962">
        <v>0.49876480000000001</v>
      </c>
      <c r="Z4962">
        <v>8.5781969999999999E-2</v>
      </c>
      <c r="AA4962">
        <v>0.86248199999999997</v>
      </c>
      <c r="AB4962">
        <v>19</v>
      </c>
      <c r="AC4962">
        <v>-9.9568999999999903</v>
      </c>
      <c r="AD4962">
        <v>-1.10792622051</v>
      </c>
      <c r="AE4962">
        <v>-8.6743000000000094</v>
      </c>
      <c r="AF4962">
        <v>6.6221940167155804</v>
      </c>
      <c r="AG4962">
        <v>-1.10792622051</v>
      </c>
      <c r="AH4962">
        <v>11.318151960141901</v>
      </c>
      <c r="AI4962">
        <v>94.829443427260799</v>
      </c>
      <c r="AJ4962">
        <v>59.668311161870598</v>
      </c>
      <c r="AK4962">
        <v>13.159844904024601</v>
      </c>
      <c r="AL4962">
        <v>76.924158916337703</v>
      </c>
      <c r="AM4962">
        <v>66.561026705862403</v>
      </c>
      <c r="AN4962">
        <v>0.99999996566097904</v>
      </c>
    </row>
    <row r="4963" spans="1:40" x14ac:dyDescent="0.25">
      <c r="A4963" t="str">
        <f>"20190312172215612"</f>
        <v>20190312172215612</v>
      </c>
      <c r="B4963" t="str">
        <f>"1552382535605586"</f>
        <v>1552382535605586</v>
      </c>
      <c r="C4963" t="s">
        <v>40</v>
      </c>
      <c r="D4963">
        <v>3.0622880000000001</v>
      </c>
      <c r="E4963">
        <v>0.53870419999999997</v>
      </c>
      <c r="F4963" t="s">
        <v>62</v>
      </c>
      <c r="G4963">
        <v>-202.4999</v>
      </c>
      <c r="H4963" s="1">
        <v>-1.11725E-5</v>
      </c>
      <c r="I4963">
        <v>149.07329999999999</v>
      </c>
      <c r="J4963">
        <v>-192.5145</v>
      </c>
      <c r="K4963">
        <v>1.1078889999999999</v>
      </c>
      <c r="L4963">
        <v>157.70760000000001</v>
      </c>
      <c r="M4963">
        <v>-0.32213999999999998</v>
      </c>
      <c r="N4963">
        <v>0</v>
      </c>
      <c r="O4963">
        <v>-0.94659320000000002</v>
      </c>
      <c r="P4963">
        <v>-0.65445889999999995</v>
      </c>
      <c r="Q4963">
        <v>0.21669769999999999</v>
      </c>
      <c r="R4963">
        <v>-0.72437989999999997</v>
      </c>
      <c r="S4963">
        <v>-2.3786619999999998</v>
      </c>
      <c r="T4963">
        <v>-0.26291579999999998</v>
      </c>
      <c r="U4963">
        <v>-2.0731199999999999</v>
      </c>
      <c r="V4963">
        <v>0.38786609999999999</v>
      </c>
      <c r="W4963">
        <v>0.22610079999999999</v>
      </c>
      <c r="X4963">
        <v>0.89355370000000001</v>
      </c>
      <c r="Y4963">
        <v>0.4991313</v>
      </c>
      <c r="Z4963">
        <v>8.5798139999999995E-2</v>
      </c>
      <c r="AA4963">
        <v>0.86226829999999999</v>
      </c>
      <c r="AB4963">
        <v>19</v>
      </c>
      <c r="AC4963">
        <v>-9.9853999999999896</v>
      </c>
      <c r="AD4963">
        <v>-1.1079001724999999</v>
      </c>
      <c r="AE4963">
        <v>-8.6343000000000192</v>
      </c>
      <c r="AF4963">
        <v>6.6246202767036699</v>
      </c>
      <c r="AG4963">
        <v>-1.1079001724999999</v>
      </c>
      <c r="AH4963">
        <v>11.3112583853198</v>
      </c>
      <c r="AI4963">
        <v>94.831062393536797</v>
      </c>
      <c r="AJ4963">
        <v>59.643941376631503</v>
      </c>
      <c r="AK4963">
        <v>13.1551359879785</v>
      </c>
      <c r="AL4963">
        <v>76.932381723232396</v>
      </c>
      <c r="AM4963">
        <v>66.535714370799994</v>
      </c>
      <c r="AN4963">
        <v>0.99999994903676803</v>
      </c>
    </row>
    <row r="4964" spans="1:40" x14ac:dyDescent="0.25">
      <c r="A4964" t="str">
        <f>"20190312172215629"</f>
        <v>20190312172215629</v>
      </c>
      <c r="B4964" t="str">
        <f>"1552382535625106"</f>
        <v>1552382535625106</v>
      </c>
      <c r="C4964" t="s">
        <v>40</v>
      </c>
      <c r="D4964">
        <v>3.2981750000000001</v>
      </c>
      <c r="E4964">
        <v>0.53871979999999997</v>
      </c>
      <c r="F4964" t="s">
        <v>62</v>
      </c>
      <c r="G4964">
        <v>-202.56120000000001</v>
      </c>
      <c r="H4964" s="1">
        <v>-1.112826E-5</v>
      </c>
      <c r="I4964">
        <v>149.01589999999999</v>
      </c>
      <c r="J4964">
        <v>-192.5651</v>
      </c>
      <c r="K4964">
        <v>1.1078589999999999</v>
      </c>
      <c r="L4964">
        <v>157.5746</v>
      </c>
      <c r="M4964">
        <v>-0.32623340000000001</v>
      </c>
      <c r="N4964">
        <v>0</v>
      </c>
      <c r="O4964">
        <v>-0.94519010000000003</v>
      </c>
      <c r="P4964">
        <v>-0.65864940000000005</v>
      </c>
      <c r="Q4964">
        <v>0.21661929999999999</v>
      </c>
      <c r="R4964">
        <v>-0.72059549999999895</v>
      </c>
      <c r="S4964">
        <v>-2.3861849999999998</v>
      </c>
      <c r="T4964">
        <v>-0.26313839999999999</v>
      </c>
      <c r="U4964">
        <v>-2.0643769999999999</v>
      </c>
      <c r="V4964">
        <v>0.38919609999999999</v>
      </c>
      <c r="W4964">
        <v>0.2259786</v>
      </c>
      <c r="X4964">
        <v>0.89300619999999997</v>
      </c>
      <c r="Y4964">
        <v>0.49853449999999999</v>
      </c>
      <c r="Z4964">
        <v>8.5836720000000005E-2</v>
      </c>
      <c r="AA4964">
        <v>0.86260959999999998</v>
      </c>
      <c r="AB4964">
        <v>19</v>
      </c>
      <c r="AC4964">
        <v>-9.9961000000000109</v>
      </c>
      <c r="AD4964">
        <v>-1.1078701282600001</v>
      </c>
      <c r="AE4964">
        <v>-8.5587000000000106</v>
      </c>
      <c r="AF4964">
        <v>6.60985712057151</v>
      </c>
      <c r="AG4964">
        <v>-1.1078701282600001</v>
      </c>
      <c r="AH4964">
        <v>11.271834373717599</v>
      </c>
      <c r="AI4964">
        <v>94.846193772548105</v>
      </c>
      <c r="AJ4964">
        <v>59.612438167657601</v>
      </c>
      <c r="AK4964">
        <v>13.113803320318</v>
      </c>
      <c r="AL4964">
        <v>76.939570007589296</v>
      </c>
      <c r="AM4964">
        <v>66.451133823008803</v>
      </c>
      <c r="AN4964">
        <v>1.0000000025758</v>
      </c>
    </row>
    <row r="4965" spans="1:40" x14ac:dyDescent="0.25">
      <c r="A4965" t="str">
        <f>"20190312172215644"</f>
        <v>20190312172215644</v>
      </c>
      <c r="B4965" t="str">
        <f>"1552382535635841"</f>
        <v>1552382535635841</v>
      </c>
      <c r="C4965" t="s">
        <v>40</v>
      </c>
      <c r="D4965">
        <v>3.04732</v>
      </c>
      <c r="E4965">
        <v>0.53870309999999999</v>
      </c>
      <c r="F4965" t="s">
        <v>62</v>
      </c>
      <c r="G4965">
        <v>-202.64570000000001</v>
      </c>
      <c r="H4965" s="1">
        <v>-1.107188E-5</v>
      </c>
      <c r="I4965">
        <v>148.95240000000001</v>
      </c>
      <c r="J4965">
        <v>-192.60769999999999</v>
      </c>
      <c r="K4965">
        <v>1.107831</v>
      </c>
      <c r="L4965">
        <v>157.46379999999999</v>
      </c>
      <c r="M4965">
        <v>-0.32968520000000001</v>
      </c>
      <c r="N4965">
        <v>0</v>
      </c>
      <c r="O4965">
        <v>-0.94399160000000004</v>
      </c>
      <c r="P4965">
        <v>-0.66178609999999904</v>
      </c>
      <c r="Q4965">
        <v>0.21681220000000001</v>
      </c>
      <c r="R4965">
        <v>-0.71765709999999905</v>
      </c>
      <c r="S4965">
        <v>-2.3977200000000001</v>
      </c>
      <c r="T4965">
        <v>-0.26351269999999999</v>
      </c>
      <c r="U4965">
        <v>-2.0508419999999998</v>
      </c>
      <c r="V4965">
        <v>0.38986569999999998</v>
      </c>
      <c r="W4965">
        <v>0.2261398</v>
      </c>
      <c r="X4965">
        <v>0.8926733</v>
      </c>
      <c r="Y4965">
        <v>0.50022290000000003</v>
      </c>
      <c r="Z4965">
        <v>8.5966570000000006E-2</v>
      </c>
      <c r="AA4965">
        <v>0.86161869999999996</v>
      </c>
      <c r="AB4965">
        <v>19</v>
      </c>
      <c r="AC4965">
        <v>-10.038</v>
      </c>
      <c r="AD4965">
        <v>-1.1078420718799999</v>
      </c>
      <c r="AE4965">
        <v>-8.5113999999999805</v>
      </c>
      <c r="AF4965">
        <v>6.6233978736011201</v>
      </c>
      <c r="AG4965">
        <v>-1.1078420718799999</v>
      </c>
      <c r="AH4965">
        <v>11.2653092261622</v>
      </c>
      <c r="AI4965">
        <v>94.845617906458202</v>
      </c>
      <c r="AJ4965">
        <v>59.546754421968402</v>
      </c>
      <c r="AK4965">
        <v>13.115025940092799</v>
      </c>
      <c r="AL4965">
        <v>76.930089074131999</v>
      </c>
      <c r="AM4965">
        <v>66.407205096948999</v>
      </c>
      <c r="AN4965">
        <v>1.0000000468567001</v>
      </c>
    </row>
    <row r="4966" spans="1:40" x14ac:dyDescent="0.25">
      <c r="A4966" t="str">
        <f>"20190312172215665"</f>
        <v>20190312172215665</v>
      </c>
      <c r="B4966" t="str">
        <f>"1552382535655362"</f>
        <v>1552382535655362</v>
      </c>
      <c r="C4966" t="s">
        <v>40</v>
      </c>
      <c r="D4966">
        <v>3.0619930000000002</v>
      </c>
      <c r="E4966">
        <v>0.53867369999999903</v>
      </c>
      <c r="F4966" t="s">
        <v>62</v>
      </c>
      <c r="G4966">
        <v>-202.74119999999999</v>
      </c>
      <c r="H4966" s="1">
        <v>-1.1005970000000001E-5</v>
      </c>
      <c r="I4966">
        <v>148.8732</v>
      </c>
      <c r="J4966">
        <v>-192.673</v>
      </c>
      <c r="K4966">
        <v>1.1077920000000001</v>
      </c>
      <c r="L4966">
        <v>157.297</v>
      </c>
      <c r="M4966">
        <v>-0.33496029999999999</v>
      </c>
      <c r="N4966">
        <v>0</v>
      </c>
      <c r="O4966">
        <v>-0.94213259999999999</v>
      </c>
      <c r="P4966">
        <v>-0.66707150000000004</v>
      </c>
      <c r="Q4966">
        <v>0.2172154</v>
      </c>
      <c r="R4966">
        <v>-0.71262429999999999</v>
      </c>
      <c r="S4966">
        <v>-2.4067690000000002</v>
      </c>
      <c r="T4966">
        <v>-0.2631211</v>
      </c>
      <c r="U4966">
        <v>-2.0403289999999998</v>
      </c>
      <c r="V4966">
        <v>0.39154080000000002</v>
      </c>
      <c r="W4966">
        <v>0.2264863</v>
      </c>
      <c r="X4966">
        <v>0.89185179999999997</v>
      </c>
      <c r="Y4966">
        <v>0.49918410000000002</v>
      </c>
      <c r="Z4966">
        <v>8.5783529999999997E-2</v>
      </c>
      <c r="AA4966">
        <v>0.86223919999999998</v>
      </c>
      <c r="AB4966">
        <v>19</v>
      </c>
      <c r="AC4966">
        <v>-10.0681999999999</v>
      </c>
      <c r="AD4966">
        <v>-1.1078030059699999</v>
      </c>
      <c r="AE4966">
        <v>-8.4238</v>
      </c>
      <c r="AF4966">
        <v>6.6174409989451499</v>
      </c>
      <c r="AG4966">
        <v>-1.1078030059699999</v>
      </c>
      <c r="AH4966">
        <v>11.229873078293</v>
      </c>
      <c r="AI4966">
        <v>94.857863858267507</v>
      </c>
      <c r="AJ4966">
        <v>59.490379045716899</v>
      </c>
      <c r="AK4966">
        <v>13.0815825582812</v>
      </c>
      <c r="AL4966">
        <v>76.909705818994993</v>
      </c>
      <c r="AM4966">
        <v>66.297563717444703</v>
      </c>
      <c r="AN4966">
        <v>0.99999993765778294</v>
      </c>
    </row>
    <row r="4967" spans="1:40" x14ac:dyDescent="0.25">
      <c r="A4967" t="str">
        <f>"20190312172215686"</f>
        <v>20190312172215686</v>
      </c>
      <c r="B4967" t="str">
        <f>"1552382535675858"</f>
        <v>1552382535675858</v>
      </c>
      <c r="C4967" t="s">
        <v>40</v>
      </c>
      <c r="D4967">
        <v>3.3161200000000002</v>
      </c>
      <c r="E4967">
        <v>0.53865149999999995</v>
      </c>
      <c r="F4967" t="s">
        <v>62</v>
      </c>
      <c r="G4967">
        <v>-202.89769999999999</v>
      </c>
      <c r="H4967" s="1">
        <v>-1.0901260000000001E-5</v>
      </c>
      <c r="I4967">
        <v>148.75460000000001</v>
      </c>
      <c r="J4967">
        <v>-192.73949999999999</v>
      </c>
      <c r="K4967">
        <v>1.1077549999999901</v>
      </c>
      <c r="L4967">
        <v>157.13</v>
      </c>
      <c r="M4967">
        <v>-0.34032420000000002</v>
      </c>
      <c r="N4967">
        <v>0</v>
      </c>
      <c r="O4967">
        <v>-0.9402083</v>
      </c>
      <c r="P4967">
        <v>-0.672608599999999</v>
      </c>
      <c r="Q4967">
        <v>0.21691060000000001</v>
      </c>
      <c r="R4967">
        <v>-0.70749399999999996</v>
      </c>
      <c r="S4967">
        <v>-2.421494</v>
      </c>
      <c r="T4967">
        <v>-0.26235710000000001</v>
      </c>
      <c r="U4967">
        <v>-2.023056</v>
      </c>
      <c r="V4967">
        <v>0.3934067</v>
      </c>
      <c r="W4967">
        <v>0.22612589999999999</v>
      </c>
      <c r="X4967">
        <v>0.89112190000000002</v>
      </c>
      <c r="Y4967">
        <v>0.50047169999999996</v>
      </c>
      <c r="Z4967">
        <v>8.5514930000000003E-2</v>
      </c>
      <c r="AA4967">
        <v>0.86151919999999904</v>
      </c>
      <c r="AB4967">
        <v>19</v>
      </c>
      <c r="AC4967">
        <v>-10.1581999999999</v>
      </c>
      <c r="AD4967">
        <v>-1.1077659012600001</v>
      </c>
      <c r="AE4967">
        <v>-8.3753999999999795</v>
      </c>
      <c r="AF4967">
        <v>6.65399452236566</v>
      </c>
      <c r="AG4967">
        <v>-1.1077659012600001</v>
      </c>
      <c r="AH4967">
        <v>11.253099031032701</v>
      </c>
      <c r="AI4967">
        <v>94.843433779452894</v>
      </c>
      <c r="AJ4967">
        <v>59.404035279653399</v>
      </c>
      <c r="AK4967">
        <v>13.120023864227401</v>
      </c>
      <c r="AL4967">
        <v>76.930906006852695</v>
      </c>
      <c r="AM4967">
        <v>66.179812485665394</v>
      </c>
      <c r="AN4967">
        <v>0.999999997457655</v>
      </c>
    </row>
    <row r="4968" spans="1:40" x14ac:dyDescent="0.25">
      <c r="A4968" t="str">
        <f>"20190312172215699"</f>
        <v>20190312172215699</v>
      </c>
      <c r="B4968" t="str">
        <f>"1552382535695378"</f>
        <v>1552382535695378</v>
      </c>
      <c r="C4968" t="s">
        <v>40</v>
      </c>
      <c r="D4968">
        <v>3.1053229999999998</v>
      </c>
      <c r="E4968">
        <v>0.55041759999999995</v>
      </c>
      <c r="F4968" t="s">
        <v>62</v>
      </c>
      <c r="G4968">
        <v>-202.98259999999999</v>
      </c>
      <c r="H4968" s="1">
        <v>-1.084797E-5</v>
      </c>
      <c r="I4968">
        <v>148.70189999999999</v>
      </c>
      <c r="J4968">
        <v>-192.7817</v>
      </c>
      <c r="K4968">
        <v>1.107729</v>
      </c>
      <c r="L4968">
        <v>157.02520000000001</v>
      </c>
      <c r="M4968">
        <v>-0.34372449999999999</v>
      </c>
      <c r="N4968">
        <v>0</v>
      </c>
      <c r="O4968">
        <v>-0.93897030000000004</v>
      </c>
      <c r="P4968">
        <v>-0.67576890000000001</v>
      </c>
      <c r="Q4968">
        <v>0.21696579999999999</v>
      </c>
      <c r="R4968">
        <v>-0.7044589</v>
      </c>
      <c r="S4968">
        <v>-2.4364780000000001</v>
      </c>
      <c r="T4968">
        <v>-0.26349869999999997</v>
      </c>
      <c r="U4968">
        <v>-2.0047450000000002</v>
      </c>
      <c r="V4968">
        <v>0.3941926</v>
      </c>
      <c r="W4968">
        <v>0.22615150000000001</v>
      </c>
      <c r="X4968">
        <v>0.89076809999999995</v>
      </c>
      <c r="Y4968">
        <v>0.50377119999999997</v>
      </c>
      <c r="Z4968">
        <v>8.5921150000000002E-2</v>
      </c>
      <c r="AA4968">
        <v>0.85955349999999997</v>
      </c>
      <c r="AB4968">
        <v>19</v>
      </c>
      <c r="AC4968">
        <v>-10.200899999999899</v>
      </c>
      <c r="AD4968">
        <v>-1.10773984797</v>
      </c>
      <c r="AE4968">
        <v>-8.3233000000000104</v>
      </c>
      <c r="AF4968">
        <v>6.6708278541383699</v>
      </c>
      <c r="AG4968">
        <v>-1.10773984797</v>
      </c>
      <c r="AH4968">
        <v>11.2431037116077</v>
      </c>
      <c r="AI4968">
        <v>94.843328244482294</v>
      </c>
      <c r="AJ4968">
        <v>59.318234209464798</v>
      </c>
      <c r="AK4968">
        <v>13.120000491627099</v>
      </c>
      <c r="AL4968">
        <v>76.929401025383996</v>
      </c>
      <c r="AM4968">
        <v>66.129119137298503</v>
      </c>
      <c r="AN4968">
        <v>1.0000000574123</v>
      </c>
    </row>
    <row r="4969" spans="1:40" x14ac:dyDescent="0.25">
      <c r="A4969" t="str">
        <f>"20190312172215711"</f>
        <v>20190312172215711</v>
      </c>
      <c r="B4969" t="str">
        <f>"1552382535705138"</f>
        <v>1552382535705138</v>
      </c>
      <c r="C4969" t="s">
        <v>40</v>
      </c>
      <c r="D4969">
        <v>3.2188490000000001</v>
      </c>
      <c r="E4969">
        <v>0.55117179999999999</v>
      </c>
      <c r="F4969" t="s">
        <v>62</v>
      </c>
      <c r="G4969">
        <v>-206.06870000000001</v>
      </c>
      <c r="H4969" s="1">
        <v>-9.0112329999999997E-6</v>
      </c>
      <c r="I4969">
        <v>146.81229999999999</v>
      </c>
      <c r="J4969">
        <v>-192.82130000000001</v>
      </c>
      <c r="K4969">
        <v>1.1077109999999999</v>
      </c>
      <c r="L4969">
        <v>156.92850000000001</v>
      </c>
      <c r="M4969">
        <v>-0.34690650000000001</v>
      </c>
      <c r="N4969">
        <v>0</v>
      </c>
      <c r="O4969">
        <v>-0.93779950000000001</v>
      </c>
      <c r="P4969">
        <v>-0.67880019999999996</v>
      </c>
      <c r="Q4969">
        <v>0.21660850000000001</v>
      </c>
      <c r="R4969">
        <v>-0.70164899999999997</v>
      </c>
      <c r="S4969">
        <v>-2.5017550000000002</v>
      </c>
      <c r="T4969">
        <v>-0.20857210000000001</v>
      </c>
      <c r="U4969">
        <v>-1.9229430000000001</v>
      </c>
      <c r="V4969">
        <v>0.394986</v>
      </c>
      <c r="W4969">
        <v>0.22576779999999999</v>
      </c>
      <c r="X4969">
        <v>0.89051389999999997</v>
      </c>
      <c r="Y4969">
        <v>0.53024919999999998</v>
      </c>
      <c r="Z4969">
        <v>6.8446380000000001E-2</v>
      </c>
      <c r="AA4969">
        <v>0.84507449999999995</v>
      </c>
      <c r="AB4969">
        <v>19</v>
      </c>
      <c r="AC4969">
        <v>-13.247400000000001</v>
      </c>
      <c r="AD4969">
        <v>-1.1077200112329999</v>
      </c>
      <c r="AE4969">
        <v>-10.116199999999999</v>
      </c>
      <c r="AF4969">
        <v>8.8756680314490293</v>
      </c>
      <c r="AG4969">
        <v>-1.1077200112329999</v>
      </c>
      <c r="AH4969">
        <v>14.0219720968923</v>
      </c>
      <c r="AI4969">
        <v>93.818847068290594</v>
      </c>
      <c r="AJ4969">
        <v>57.6668906232483</v>
      </c>
      <c r="AK4969">
        <v>16.6319039232975</v>
      </c>
      <c r="AL4969">
        <v>76.9519686423438</v>
      </c>
      <c r="AM4969">
        <v>66.080397296708995</v>
      </c>
      <c r="AN4969">
        <v>1.0000000229030199</v>
      </c>
    </row>
    <row r="4970" spans="1:40" x14ac:dyDescent="0.25">
      <c r="A4970" t="str">
        <f>"20190312172215730"</f>
        <v>20190312172215730</v>
      </c>
      <c r="B4970" t="str">
        <f>"1552382535725634"</f>
        <v>1552382535725634</v>
      </c>
      <c r="C4970" t="s">
        <v>40</v>
      </c>
      <c r="D4970">
        <v>3.0152299999999999</v>
      </c>
      <c r="E4970">
        <v>0.55154879999999995</v>
      </c>
      <c r="F4970" t="s">
        <v>62</v>
      </c>
      <c r="G4970">
        <v>-206.37129999999999</v>
      </c>
      <c r="H4970" s="1">
        <v>-8.8330050000000003E-6</v>
      </c>
      <c r="I4970">
        <v>146.6456</v>
      </c>
      <c r="J4970">
        <v>-192.88040000000001</v>
      </c>
      <c r="K4970">
        <v>1.1076790000000001</v>
      </c>
      <c r="L4970">
        <v>156.7859</v>
      </c>
      <c r="M4970">
        <v>-0.35164240000000002</v>
      </c>
      <c r="N4970">
        <v>0</v>
      </c>
      <c r="O4970">
        <v>-0.93603380000000003</v>
      </c>
      <c r="P4970">
        <v>-0.68375609999999998</v>
      </c>
      <c r="Q4970">
        <v>0.21606539999999999</v>
      </c>
      <c r="R4970">
        <v>-0.69698899999999997</v>
      </c>
      <c r="S4970">
        <v>-2.513474</v>
      </c>
      <c r="T4970">
        <v>-0.20547840000000001</v>
      </c>
      <c r="U4970">
        <v>-1.9074549999999999</v>
      </c>
      <c r="V4970">
        <v>0.39675549999999998</v>
      </c>
      <c r="W4970">
        <v>0.22517680000000001</v>
      </c>
      <c r="X4970">
        <v>0.88987669999999996</v>
      </c>
      <c r="Y4970">
        <v>0.53122590000000003</v>
      </c>
      <c r="Z4970">
        <v>6.7424999999999999E-2</v>
      </c>
      <c r="AA4970">
        <v>0.84454300000000004</v>
      </c>
      <c r="AB4970">
        <v>19</v>
      </c>
      <c r="AC4970">
        <v>-13.4908999999999</v>
      </c>
      <c r="AD4970">
        <v>-1.107687833005</v>
      </c>
      <c r="AE4970">
        <v>-10.1402999999999</v>
      </c>
      <c r="AF4970">
        <v>9.0241588236828498</v>
      </c>
      <c r="AG4970">
        <v>-1.107687833005</v>
      </c>
      <c r="AH4970">
        <v>14.175910749647899</v>
      </c>
      <c r="AI4970">
        <v>93.771256725364395</v>
      </c>
      <c r="AJ4970">
        <v>57.519819472364297</v>
      </c>
      <c r="AK4970">
        <v>16.840987512388399</v>
      </c>
      <c r="AL4970">
        <v>76.986725539216195</v>
      </c>
      <c r="AM4970">
        <v>65.9700840075012</v>
      </c>
      <c r="AN4970">
        <v>1.0000000296206799</v>
      </c>
    </row>
    <row r="4971" spans="1:40" x14ac:dyDescent="0.25">
      <c r="A4971" t="str">
        <f>"20190312172215743"</f>
        <v>20190312172215743</v>
      </c>
      <c r="B4971" t="str">
        <f>"1552382535735395"</f>
        <v>1552382535735395</v>
      </c>
      <c r="C4971" t="s">
        <v>40</v>
      </c>
      <c r="D4971">
        <v>3.0087350000000002</v>
      </c>
      <c r="E4971">
        <v>0.55163960000000001</v>
      </c>
      <c r="F4971" t="s">
        <v>62</v>
      </c>
      <c r="G4971">
        <v>-206.7157</v>
      </c>
      <c r="H4971" s="1">
        <v>-8.6297970000000001E-6</v>
      </c>
      <c r="I4971">
        <v>146.45429999999999</v>
      </c>
      <c r="J4971">
        <v>-192.9238</v>
      </c>
      <c r="K4971">
        <v>1.1076539999999999</v>
      </c>
      <c r="L4971">
        <v>156.6823</v>
      </c>
      <c r="M4971">
        <v>-0.35511939999999997</v>
      </c>
      <c r="N4971">
        <v>0</v>
      </c>
      <c r="O4971">
        <v>-0.9347202</v>
      </c>
      <c r="P4971">
        <v>-0.68702220000000003</v>
      </c>
      <c r="Q4971">
        <v>0.2156161</v>
      </c>
      <c r="R4971">
        <v>-0.69390959999999902</v>
      </c>
      <c r="S4971">
        <v>-2.5274809999999999</v>
      </c>
      <c r="T4971">
        <v>-0.2023568</v>
      </c>
      <c r="U4971">
        <v>-1.887421</v>
      </c>
      <c r="V4971">
        <v>0.39759</v>
      </c>
      <c r="W4971">
        <v>0.2246978</v>
      </c>
      <c r="X4971">
        <v>0.88962529999999995</v>
      </c>
      <c r="Y4971">
        <v>0.53466979999999997</v>
      </c>
      <c r="Z4971">
        <v>6.6452800000000006E-2</v>
      </c>
      <c r="AA4971">
        <v>0.84244419999999898</v>
      </c>
      <c r="AB4971">
        <v>19</v>
      </c>
      <c r="AC4971">
        <v>-13.791899999999901</v>
      </c>
      <c r="AD4971">
        <v>-1.107662629797</v>
      </c>
      <c r="AE4971">
        <v>-10.228</v>
      </c>
      <c r="AF4971">
        <v>9.2219019133643592</v>
      </c>
      <c r="AG4971">
        <v>-1.107662629797</v>
      </c>
      <c r="AH4971">
        <v>14.399528271566901</v>
      </c>
      <c r="AI4971">
        <v>93.706317372010005</v>
      </c>
      <c r="AJ4971">
        <v>57.363248278210101</v>
      </c>
      <c r="AK4971">
        <v>17.135250387572899</v>
      </c>
      <c r="AL4971">
        <v>77.014892195441107</v>
      </c>
      <c r="AM4971">
        <v>65.919249018537897</v>
      </c>
      <c r="AN4971">
        <v>1.0000000419124599</v>
      </c>
    </row>
    <row r="4972" spans="1:40" x14ac:dyDescent="0.25">
      <c r="A4972" t="str">
        <f>"20190312172215765"</f>
        <v>20190312172215765</v>
      </c>
      <c r="B4972" t="str">
        <f>"1552382535755890"</f>
        <v>1552382535755890</v>
      </c>
      <c r="C4972" t="s">
        <v>40</v>
      </c>
      <c r="D4972">
        <v>3.0424950000000002</v>
      </c>
      <c r="E4972">
        <v>0.55216880000000002</v>
      </c>
      <c r="F4972" t="s">
        <v>62</v>
      </c>
      <c r="G4972">
        <v>-206.73660000000001</v>
      </c>
      <c r="H4972" s="1">
        <v>-8.6244369999999995E-6</v>
      </c>
      <c r="I4972">
        <v>146.4692</v>
      </c>
      <c r="J4972">
        <v>-192.99770000000001</v>
      </c>
      <c r="K4972">
        <v>1.107615</v>
      </c>
      <c r="L4972">
        <v>156.50899999999999</v>
      </c>
      <c r="M4972">
        <v>-0.36102020000000001</v>
      </c>
      <c r="N4972">
        <v>0</v>
      </c>
      <c r="O4972">
        <v>-0.93245670000000003</v>
      </c>
      <c r="P4972">
        <v>-0.69263989999999998</v>
      </c>
      <c r="Q4972">
        <v>0.21492649999999999</v>
      </c>
      <c r="R4972">
        <v>-0.68851759999999995</v>
      </c>
      <c r="S4972">
        <v>-2.5363769999999999</v>
      </c>
      <c r="T4972">
        <v>-0.20339380000000001</v>
      </c>
      <c r="U4972">
        <v>-1.8753660000000001</v>
      </c>
      <c r="V4972">
        <v>0.39914189999999999</v>
      </c>
      <c r="W4972">
        <v>0.22395709999999999</v>
      </c>
      <c r="X4972">
        <v>0.88911689999999999</v>
      </c>
      <c r="Y4972">
        <v>0.53331669999999998</v>
      </c>
      <c r="Z4972">
        <v>6.6737850000000001E-2</v>
      </c>
      <c r="AA4972">
        <v>0.84327890000000005</v>
      </c>
      <c r="AB4972">
        <v>19</v>
      </c>
      <c r="AC4972">
        <v>-13.738899999999999</v>
      </c>
      <c r="AD4972">
        <v>-1.1076236244369999</v>
      </c>
      <c r="AE4972">
        <v>-10.0397999999999</v>
      </c>
      <c r="AF4972">
        <v>9.1484650123587894</v>
      </c>
      <c r="AG4972">
        <v>-1.1076236244369999</v>
      </c>
      <c r="AH4972">
        <v>14.262622178480701</v>
      </c>
      <c r="AI4972">
        <v>93.739969924839798</v>
      </c>
      <c r="AJ4972">
        <v>57.322694539323599</v>
      </c>
      <c r="AK4972">
        <v>16.980684131737799</v>
      </c>
      <c r="AL4972">
        <v>77.058439868348998</v>
      </c>
      <c r="AM4972">
        <v>65.823759073374703</v>
      </c>
      <c r="AN4972">
        <v>0.99999995042081302</v>
      </c>
    </row>
    <row r="4973" spans="1:40" x14ac:dyDescent="0.25">
      <c r="A4973" t="str">
        <f>"20190312172215778"</f>
        <v>20190312172215778</v>
      </c>
      <c r="B4973" t="str">
        <f>"1552382535765651"</f>
        <v>1552382535765651</v>
      </c>
      <c r="C4973" t="s">
        <v>40</v>
      </c>
      <c r="D4973">
        <v>3.061925</v>
      </c>
      <c r="E4973">
        <v>0.55207779999999995</v>
      </c>
      <c r="F4973" t="s">
        <v>62</v>
      </c>
      <c r="G4973">
        <v>-206.7492</v>
      </c>
      <c r="H4973" s="1">
        <v>-8.6369830000000007E-6</v>
      </c>
      <c r="I4973">
        <v>146.53790000000001</v>
      </c>
      <c r="J4973">
        <v>-193.03970000000001</v>
      </c>
      <c r="K4973">
        <v>1.107594</v>
      </c>
      <c r="L4973">
        <v>156.4118</v>
      </c>
      <c r="M4973">
        <v>-0.36436590000000002</v>
      </c>
      <c r="N4973">
        <v>0</v>
      </c>
      <c r="O4973">
        <v>-0.93115440000000005</v>
      </c>
      <c r="P4973">
        <v>-0.69583390000000001</v>
      </c>
      <c r="Q4973">
        <v>0.21449360000000001</v>
      </c>
      <c r="R4973">
        <v>-0.68542510000000001</v>
      </c>
      <c r="S4973">
        <v>-2.554138</v>
      </c>
      <c r="T4973">
        <v>-0.20572360000000001</v>
      </c>
      <c r="U4973">
        <v>-1.85199</v>
      </c>
      <c r="V4973">
        <v>0.4000456</v>
      </c>
      <c r="W4973">
        <v>0.22349559999999999</v>
      </c>
      <c r="X4973">
        <v>0.88882689999999998</v>
      </c>
      <c r="Y4973">
        <v>0.53807530000000003</v>
      </c>
      <c r="Z4973">
        <v>6.7539600000000005E-2</v>
      </c>
      <c r="AA4973">
        <v>0.84018649999999995</v>
      </c>
      <c r="AB4973">
        <v>19</v>
      </c>
      <c r="AC4973">
        <v>-13.709499999999901</v>
      </c>
      <c r="AD4973">
        <v>-1.1076026369830001</v>
      </c>
      <c r="AE4973">
        <v>-9.8738999999999901</v>
      </c>
      <c r="AF4973">
        <v>9.1295780263913908</v>
      </c>
      <c r="AG4973">
        <v>-1.1076026369830001</v>
      </c>
      <c r="AH4973">
        <v>14.130012618094399</v>
      </c>
      <c r="AI4973">
        <v>93.766882650246302</v>
      </c>
      <c r="AJ4973">
        <v>57.132991593354703</v>
      </c>
      <c r="AK4973">
        <v>16.859218105503199</v>
      </c>
      <c r="AL4973">
        <v>77.0855703610587</v>
      </c>
      <c r="AM4973">
        <v>65.768314967892096</v>
      </c>
      <c r="AN4973">
        <v>1.00000001173116</v>
      </c>
    </row>
    <row r="4974" spans="1:40" x14ac:dyDescent="0.25">
      <c r="A4974" t="str">
        <f>"20190312172215792"</f>
        <v>20190312172215792</v>
      </c>
      <c r="B4974" t="str">
        <f>"1552382535785171"</f>
        <v>1552382535785171</v>
      </c>
      <c r="C4974" t="s">
        <v>40</v>
      </c>
      <c r="D4974">
        <v>3.044686</v>
      </c>
      <c r="E4974">
        <v>0.55169049999999997</v>
      </c>
      <c r="F4974" t="s">
        <v>62</v>
      </c>
      <c r="G4974">
        <v>-206.78790000000001</v>
      </c>
      <c r="H4974" s="1">
        <v>-8.6185739999999997E-6</v>
      </c>
      <c r="I4974">
        <v>146.53309999999999</v>
      </c>
      <c r="J4974">
        <v>-193.0847</v>
      </c>
      <c r="K4974">
        <v>1.107572</v>
      </c>
      <c r="L4974">
        <v>156.30889999999999</v>
      </c>
      <c r="M4974">
        <v>-0.3679404</v>
      </c>
      <c r="N4974">
        <v>0</v>
      </c>
      <c r="O4974">
        <v>-0.92974780000000001</v>
      </c>
      <c r="P4974">
        <v>-0.69895149999999995</v>
      </c>
      <c r="Q4974">
        <v>0.2142029</v>
      </c>
      <c r="R4974">
        <v>-0.68233750000000004</v>
      </c>
      <c r="S4974">
        <v>-2.5617830000000001</v>
      </c>
      <c r="T4974">
        <v>-0.2063856</v>
      </c>
      <c r="U4974">
        <v>-1.8407439999999999</v>
      </c>
      <c r="V4974">
        <v>0.40066040000000003</v>
      </c>
      <c r="W4974">
        <v>0.22318089999999999</v>
      </c>
      <c r="X4974">
        <v>0.888629</v>
      </c>
      <c r="Y4974">
        <v>0.53844820000000004</v>
      </c>
      <c r="Z4974">
        <v>6.774674E-2</v>
      </c>
      <c r="AA4974">
        <v>0.83993099999999998</v>
      </c>
      <c r="AB4974">
        <v>19</v>
      </c>
      <c r="AC4974">
        <v>-13.703200000000001</v>
      </c>
      <c r="AD4974">
        <v>-1.107580618574</v>
      </c>
      <c r="AE4974">
        <v>-9.7758000000000003</v>
      </c>
      <c r="AF4974">
        <v>9.1050517524982197</v>
      </c>
      <c r="AG4974">
        <v>-1.107580618574</v>
      </c>
      <c r="AH4974">
        <v>14.071402230649801</v>
      </c>
      <c r="AI4974">
        <v>93.780821856291695</v>
      </c>
      <c r="AJ4974">
        <v>57.094680216199102</v>
      </c>
      <c r="AK4974">
        <v>16.796817049043799</v>
      </c>
      <c r="AL4974">
        <v>77.104068238043496</v>
      </c>
      <c r="AM4974">
        <v>65.7305877576255</v>
      </c>
      <c r="AN4974">
        <v>0.99999998494698406</v>
      </c>
    </row>
    <row r="4975" spans="1:40" x14ac:dyDescent="0.25">
      <c r="A4975" t="str">
        <f>"20190312172215809"</f>
        <v>20190312172215809</v>
      </c>
      <c r="B4975" t="str">
        <f>"1552382535805667"</f>
        <v>1552382535805667</v>
      </c>
      <c r="C4975" t="s">
        <v>40</v>
      </c>
      <c r="D4975">
        <v>3.0570819999999999</v>
      </c>
      <c r="E4975">
        <v>0.55174049999999997</v>
      </c>
      <c r="F4975" t="s">
        <v>62</v>
      </c>
      <c r="G4975">
        <v>-206.86359999999999</v>
      </c>
      <c r="H4975" s="1">
        <v>-8.5719640000000001E-6</v>
      </c>
      <c r="I4975">
        <v>146.4837</v>
      </c>
      <c r="J4975">
        <v>-193.143</v>
      </c>
      <c r="K4975">
        <v>1.1075379999999999</v>
      </c>
      <c r="L4975">
        <v>156.1773</v>
      </c>
      <c r="M4975">
        <v>-0.37255470000000002</v>
      </c>
      <c r="N4975">
        <v>0</v>
      </c>
      <c r="O4975">
        <v>-0.92790830000000002</v>
      </c>
      <c r="P4975">
        <v>-0.70365469999999997</v>
      </c>
      <c r="Q4975">
        <v>0.21294099999999999</v>
      </c>
      <c r="R4975">
        <v>-0.67788419999999905</v>
      </c>
      <c r="S4975">
        <v>-2.5678709999999998</v>
      </c>
      <c r="T4975">
        <v>-0.2064117</v>
      </c>
      <c r="U4975">
        <v>-1.8310550000000001</v>
      </c>
      <c r="V4975">
        <v>0.40225309999999997</v>
      </c>
      <c r="W4975">
        <v>0.22188069999999999</v>
      </c>
      <c r="X4975">
        <v>0.888235</v>
      </c>
      <c r="Y4975">
        <v>0.53730769999999906</v>
      </c>
      <c r="Z4975">
        <v>6.7720450000000001E-2</v>
      </c>
      <c r="AA4975">
        <v>0.840663099999999</v>
      </c>
      <c r="AB4975">
        <v>19</v>
      </c>
      <c r="AC4975">
        <v>-13.7205999999999</v>
      </c>
      <c r="AD4975">
        <v>-1.1075465719640001</v>
      </c>
      <c r="AE4975">
        <v>-9.6936</v>
      </c>
      <c r="AF4975">
        <v>9.08145306518486</v>
      </c>
      <c r="AG4975">
        <v>-1.1075465719640001</v>
      </c>
      <c r="AH4975">
        <v>14.046726999135499</v>
      </c>
      <c r="AI4975">
        <v>93.788263854745495</v>
      </c>
      <c r="AJ4975">
        <v>57.116629713391902</v>
      </c>
      <c r="AK4975">
        <v>16.763352545730999</v>
      </c>
      <c r="AL4975">
        <v>77.180480502797906</v>
      </c>
      <c r="AM4975">
        <v>65.635755005966104</v>
      </c>
      <c r="AN4975">
        <v>1.0000000083585401</v>
      </c>
    </row>
    <row r="4976" spans="1:40" x14ac:dyDescent="0.25">
      <c r="A4976" t="str">
        <f>"20190312172215823"</f>
        <v>20190312172215823</v>
      </c>
      <c r="B4976" t="str">
        <f>"1552382535815426"</f>
        <v>1552382535815426</v>
      </c>
      <c r="C4976" t="s">
        <v>40</v>
      </c>
      <c r="D4976">
        <v>3.046522</v>
      </c>
      <c r="E4976">
        <v>0.55169579999999996</v>
      </c>
      <c r="F4976" t="s">
        <v>62</v>
      </c>
      <c r="G4976">
        <v>-206.6525</v>
      </c>
      <c r="H4976" s="1">
        <v>-8.7179289999999993E-6</v>
      </c>
      <c r="I4976">
        <v>146.68199999999999</v>
      </c>
      <c r="J4976">
        <v>-193.19370000000001</v>
      </c>
      <c r="K4976">
        <v>1.107515</v>
      </c>
      <c r="L4976">
        <v>156.06440000000001</v>
      </c>
      <c r="M4976">
        <v>-0.37654789999999999</v>
      </c>
      <c r="N4976">
        <v>0</v>
      </c>
      <c r="O4976">
        <v>-0.92629499999999998</v>
      </c>
      <c r="P4976">
        <v>-0.70713419999999905</v>
      </c>
      <c r="Q4976">
        <v>0.21277740000000001</v>
      </c>
      <c r="R4976">
        <v>-0.67430489999999998</v>
      </c>
      <c r="S4976">
        <v>-2.580292</v>
      </c>
      <c r="T4976">
        <v>-0.2115399</v>
      </c>
      <c r="U4976">
        <v>-1.8135829999999999</v>
      </c>
      <c r="V4976">
        <v>0.40299220000000002</v>
      </c>
      <c r="W4976">
        <v>0.2216901</v>
      </c>
      <c r="X4976">
        <v>0.88794759999999995</v>
      </c>
      <c r="Y4976">
        <v>0.53929189999999905</v>
      </c>
      <c r="Z4976">
        <v>6.9398310000000005E-2</v>
      </c>
      <c r="AA4976">
        <v>0.83925450000000001</v>
      </c>
      <c r="AB4976">
        <v>19</v>
      </c>
      <c r="AC4976">
        <v>-13.458799999999901</v>
      </c>
      <c r="AD4976">
        <v>-1.1075237179290001</v>
      </c>
      <c r="AE4976">
        <v>-9.3823999999999899</v>
      </c>
      <c r="AF4976">
        <v>8.8942104827856792</v>
      </c>
      <c r="AG4976">
        <v>-1.1075237179290001</v>
      </c>
      <c r="AH4976">
        <v>13.6976347325796</v>
      </c>
      <c r="AI4976">
        <v>93.8794804039197</v>
      </c>
      <c r="AJ4976">
        <v>57.003346847350002</v>
      </c>
      <c r="AK4976">
        <v>16.369446727517801</v>
      </c>
      <c r="AL4976">
        <v>77.191680890480598</v>
      </c>
      <c r="AM4976">
        <v>65.589228221989202</v>
      </c>
      <c r="AN4976">
        <v>1.0000000770223001</v>
      </c>
    </row>
    <row r="4977" spans="1:40" x14ac:dyDescent="0.25">
      <c r="A4977" t="str">
        <f>"20190312172215836"</f>
        <v>20190312172215836</v>
      </c>
      <c r="B4977" t="str">
        <f>"1552382535825187"</f>
        <v>1552382535825187</v>
      </c>
      <c r="C4977" t="s">
        <v>40</v>
      </c>
      <c r="D4977">
        <v>3.0869300000000002</v>
      </c>
      <c r="E4977">
        <v>0.55148920000000001</v>
      </c>
      <c r="F4977" t="s">
        <v>62</v>
      </c>
      <c r="G4977">
        <v>-206.67769999999999</v>
      </c>
      <c r="H4977" s="1">
        <v>-8.7083919999999993E-6</v>
      </c>
      <c r="I4977">
        <v>146.6883</v>
      </c>
      <c r="J4977">
        <v>-193.24</v>
      </c>
      <c r="K4977">
        <v>1.107494</v>
      </c>
      <c r="L4977">
        <v>155.9624</v>
      </c>
      <c r="M4977">
        <v>-0.38019550000000002</v>
      </c>
      <c r="N4977">
        <v>0</v>
      </c>
      <c r="O4977">
        <v>-0.92480399999999996</v>
      </c>
      <c r="P4977">
        <v>-0.71044390000000002</v>
      </c>
      <c r="Q4977">
        <v>0.21238199999999999</v>
      </c>
      <c r="R4977">
        <v>-0.67094259999999994</v>
      </c>
      <c r="S4977">
        <v>-2.589493</v>
      </c>
      <c r="T4977">
        <v>-0.2126895</v>
      </c>
      <c r="U4977">
        <v>-1.8005979999999999</v>
      </c>
      <c r="V4977">
        <v>0.40382410000000002</v>
      </c>
      <c r="W4977">
        <v>0.22126879999999999</v>
      </c>
      <c r="X4977">
        <v>0.88767459999999898</v>
      </c>
      <c r="Y4977">
        <v>0.54018900000000003</v>
      </c>
      <c r="Z4977">
        <v>6.9758529999999999E-2</v>
      </c>
      <c r="AA4977">
        <v>0.83864749999999999</v>
      </c>
      <c r="AB4977">
        <v>19</v>
      </c>
      <c r="AC4977">
        <v>-13.4376999999999</v>
      </c>
      <c r="AD4977">
        <v>-1.1075027083919999</v>
      </c>
      <c r="AE4977">
        <v>-9.2741000000000007</v>
      </c>
      <c r="AF4977">
        <v>8.8613368395258494</v>
      </c>
      <c r="AG4977">
        <v>-1.1075027083919999</v>
      </c>
      <c r="AH4977">
        <v>13.624284360004999</v>
      </c>
      <c r="AI4977">
        <v>93.898305245814797</v>
      </c>
      <c r="AJ4977">
        <v>56.959721798323699</v>
      </c>
      <c r="AK4977">
        <v>16.2902110838046</v>
      </c>
      <c r="AL4977">
        <v>77.216433227626993</v>
      </c>
      <c r="AM4977">
        <v>65.538092913156802</v>
      </c>
      <c r="AN4977">
        <v>0.99999999053970401</v>
      </c>
    </row>
    <row r="4978" spans="1:40" x14ac:dyDescent="0.25">
      <c r="A4978" t="str">
        <f>"20190312172215856"</f>
        <v>20190312172215856</v>
      </c>
      <c r="B4978" t="str">
        <f>"1552382535845683"</f>
        <v>1552382535845683</v>
      </c>
      <c r="C4978" t="s">
        <v>40</v>
      </c>
      <c r="D4978">
        <v>3.054897</v>
      </c>
      <c r="E4978">
        <v>0.55121279999999995</v>
      </c>
      <c r="F4978" t="s">
        <v>62</v>
      </c>
      <c r="G4978">
        <v>-206.71899999999999</v>
      </c>
      <c r="H4978" s="1">
        <v>-8.6871989999999994E-6</v>
      </c>
      <c r="I4978">
        <v>146.6773</v>
      </c>
      <c r="J4978">
        <v>-193.30600000000001</v>
      </c>
      <c r="K4978">
        <v>1.1074710000000001</v>
      </c>
      <c r="L4978">
        <v>155.81909999999999</v>
      </c>
      <c r="M4978">
        <v>-0.3853645</v>
      </c>
      <c r="N4978">
        <v>0</v>
      </c>
      <c r="O4978">
        <v>-0.92266199999999998</v>
      </c>
      <c r="P4978">
        <v>-0.71536080000000002</v>
      </c>
      <c r="Q4978">
        <v>0.21188360000000001</v>
      </c>
      <c r="R4978">
        <v>-0.66585640000000001</v>
      </c>
      <c r="S4978">
        <v>-2.597</v>
      </c>
      <c r="T4978">
        <v>-0.21338389999999999</v>
      </c>
      <c r="U4978">
        <v>-1.7889710000000001</v>
      </c>
      <c r="V4978">
        <v>0.40533999999999998</v>
      </c>
      <c r="W4978">
        <v>0.2207316</v>
      </c>
      <c r="X4978">
        <v>0.8871173</v>
      </c>
      <c r="Y4978">
        <v>0.53915100000000005</v>
      </c>
      <c r="Z4978">
        <v>6.9936020000000002E-2</v>
      </c>
      <c r="AA4978">
        <v>0.83930049999999901</v>
      </c>
      <c r="AB4978">
        <v>19</v>
      </c>
      <c r="AC4978">
        <v>-13.413</v>
      </c>
      <c r="AD4978">
        <v>-1.10747968719899</v>
      </c>
      <c r="AE4978">
        <v>-9.1417999999999893</v>
      </c>
      <c r="AF4978">
        <v>8.8125544115711492</v>
      </c>
      <c r="AG4978">
        <v>-1.10747968719899</v>
      </c>
      <c r="AH4978">
        <v>13.541933432788699</v>
      </c>
      <c r="AI4978">
        <v>93.921225849848696</v>
      </c>
      <c r="AJ4978">
        <v>56.945514349266404</v>
      </c>
      <c r="AK4978">
        <v>16.194801252641</v>
      </c>
      <c r="AL4978">
        <v>77.247993376293195</v>
      </c>
      <c r="AM4978">
        <v>65.443478633582899</v>
      </c>
      <c r="AN4978">
        <v>1.00000002939892</v>
      </c>
    </row>
    <row r="4979" spans="1:40" x14ac:dyDescent="0.25">
      <c r="A4979" t="str">
        <f>"20190312172215878"</f>
        <v>20190312172215878</v>
      </c>
      <c r="B4979" t="str">
        <f>"1552382535865202"</f>
        <v>1552382535865202</v>
      </c>
      <c r="C4979" t="s">
        <v>40</v>
      </c>
      <c r="D4979">
        <v>3.0576300000000001</v>
      </c>
      <c r="E4979">
        <v>0.5509695</v>
      </c>
      <c r="F4979" t="s">
        <v>62</v>
      </c>
      <c r="G4979">
        <v>-206.7715</v>
      </c>
      <c r="H4979" s="1">
        <v>-8.6634150000000001E-6</v>
      </c>
      <c r="I4979">
        <v>146.6755</v>
      </c>
      <c r="J4979">
        <v>-193.38480000000001</v>
      </c>
      <c r="K4979">
        <v>1.1074459999999999</v>
      </c>
      <c r="L4979">
        <v>155.65090000000001</v>
      </c>
      <c r="M4979">
        <v>-0.39150089999999999</v>
      </c>
      <c r="N4979">
        <v>0</v>
      </c>
      <c r="O4979">
        <v>-0.92007470000000002</v>
      </c>
      <c r="P4979">
        <v>-0.72077239999999998</v>
      </c>
      <c r="Q4979">
        <v>0.21152409999999999</v>
      </c>
      <c r="R4979">
        <v>-0.66010999999999997</v>
      </c>
      <c r="S4979">
        <v>-2.608536</v>
      </c>
      <c r="T4979">
        <v>-0.2145407</v>
      </c>
      <c r="U4979">
        <v>-1.77130099999999</v>
      </c>
      <c r="V4979">
        <v>0.40664400000000001</v>
      </c>
      <c r="W4979">
        <v>0.22033349999999999</v>
      </c>
      <c r="X4979">
        <v>0.8866193</v>
      </c>
      <c r="Y4979">
        <v>0.53914110000000004</v>
      </c>
      <c r="Z4979">
        <v>7.0270520000000003E-2</v>
      </c>
      <c r="AA4979">
        <v>0.83927879999999999</v>
      </c>
      <c r="AB4979">
        <v>18</v>
      </c>
      <c r="AC4979">
        <v>-13.3866999999999</v>
      </c>
      <c r="AD4979">
        <v>-1.107454663415</v>
      </c>
      <c r="AE4979">
        <v>-8.9754000000000005</v>
      </c>
      <c r="AF4979">
        <v>8.7623502474504207</v>
      </c>
      <c r="AG4979">
        <v>-1.107454663415</v>
      </c>
      <c r="AH4979">
        <v>13.4367820486932</v>
      </c>
      <c r="AI4979">
        <v>93.949283335407202</v>
      </c>
      <c r="AJ4979">
        <v>56.890957127637201</v>
      </c>
      <c r="AK4979">
        <v>16.079563100861801</v>
      </c>
      <c r="AL4979">
        <v>77.2713780495219</v>
      </c>
      <c r="AM4979">
        <v>65.361653575812994</v>
      </c>
      <c r="AN4979">
        <v>0.99999998854536998</v>
      </c>
    </row>
    <row r="4980" spans="1:40" x14ac:dyDescent="0.25">
      <c r="A4980" t="str">
        <f>"20190312172215899"</f>
        <v>20190312172215899</v>
      </c>
      <c r="B4980" t="str">
        <f>"1552382535895459"</f>
        <v>1552382535895459</v>
      </c>
      <c r="C4980" t="s">
        <v>40</v>
      </c>
      <c r="D4980">
        <v>3.085467</v>
      </c>
      <c r="E4980">
        <v>0.54551000000000005</v>
      </c>
      <c r="F4980" t="s">
        <v>62</v>
      </c>
      <c r="G4980">
        <v>-206.82669999999999</v>
      </c>
      <c r="H4980" s="1">
        <v>-8.6371349999999998E-6</v>
      </c>
      <c r="I4980">
        <v>146.6686</v>
      </c>
      <c r="J4980">
        <v>-193.46190000000001</v>
      </c>
      <c r="K4980">
        <v>1.1074219999999999</v>
      </c>
      <c r="L4980">
        <v>155.48939999999999</v>
      </c>
      <c r="M4980">
        <v>-0.3974644</v>
      </c>
      <c r="N4980">
        <v>0</v>
      </c>
      <c r="O4980">
        <v>-0.9175141</v>
      </c>
      <c r="P4980">
        <v>-0.72606329999999997</v>
      </c>
      <c r="Q4980">
        <v>0.21137739999999999</v>
      </c>
      <c r="R4980">
        <v>-0.65433319999999995</v>
      </c>
      <c r="S4980">
        <v>-2.6213380000000002</v>
      </c>
      <c r="T4980">
        <v>-0.2159674</v>
      </c>
      <c r="U4980">
        <v>-1.751663</v>
      </c>
      <c r="V4980">
        <v>0.40802490000000002</v>
      </c>
      <c r="W4980">
        <v>0.2201475</v>
      </c>
      <c r="X4980">
        <v>0.88603089999999995</v>
      </c>
      <c r="Y4980">
        <v>0.53989189999999998</v>
      </c>
      <c r="Z4980">
        <v>7.0701990000000006E-2</v>
      </c>
      <c r="AA4980">
        <v>0.83875979999999895</v>
      </c>
      <c r="AB4980">
        <v>18</v>
      </c>
      <c r="AC4980">
        <v>-13.364799999999899</v>
      </c>
      <c r="AD4980">
        <v>-1.107430637135</v>
      </c>
      <c r="AE4980">
        <v>-8.8207999999999895</v>
      </c>
      <c r="AF4980">
        <v>8.71558603446055</v>
      </c>
      <c r="AG4980">
        <v>-1.107430637135</v>
      </c>
      <c r="AH4980">
        <v>13.342699560056699</v>
      </c>
      <c r="AI4980">
        <v>93.974972269999896</v>
      </c>
      <c r="AJ4980">
        <v>56.847025140770498</v>
      </c>
      <c r="AK4980">
        <v>15.9754647534927</v>
      </c>
      <c r="AL4980">
        <v>77.282303453992398</v>
      </c>
      <c r="AM4980">
        <v>65.273520348210496</v>
      </c>
      <c r="AN4980">
        <v>0.99999999826553498</v>
      </c>
    </row>
    <row r="4981" spans="1:40" x14ac:dyDescent="0.25">
      <c r="A4981" t="str">
        <f>"20190312172215921"</f>
        <v>20190312172215921</v>
      </c>
      <c r="B4981" t="str">
        <f>"1552382535915955"</f>
        <v>1552382535915955</v>
      </c>
      <c r="C4981" t="s">
        <v>40</v>
      </c>
      <c r="D4981">
        <v>3.0732699999999999</v>
      </c>
      <c r="E4981">
        <v>0.54535829999999996</v>
      </c>
      <c r="F4981" t="s">
        <v>62</v>
      </c>
      <c r="G4981">
        <v>-207.69820000000001</v>
      </c>
      <c r="H4981" s="1">
        <v>-8.0358190000000005E-6</v>
      </c>
      <c r="I4981">
        <v>145.85480000000001</v>
      </c>
      <c r="J4981">
        <v>-193.5411</v>
      </c>
      <c r="K4981">
        <v>1.1073999999999999</v>
      </c>
      <c r="L4981">
        <v>155.3262</v>
      </c>
      <c r="M4981">
        <v>-0.40355990000000003</v>
      </c>
      <c r="N4981">
        <v>0</v>
      </c>
      <c r="O4981">
        <v>-0.91484929999999998</v>
      </c>
      <c r="P4981">
        <v>-0.73131089999999999</v>
      </c>
      <c r="Q4981">
        <v>0.21073539999999999</v>
      </c>
      <c r="R4981">
        <v>-0.64867189999999997</v>
      </c>
      <c r="S4981">
        <v>-2.6031490000000002</v>
      </c>
      <c r="T4981">
        <v>-0.2024956</v>
      </c>
      <c r="U4981">
        <v>-1.76170299999999</v>
      </c>
      <c r="V4981">
        <v>0.40919489999999997</v>
      </c>
      <c r="W4981">
        <v>0.2194711</v>
      </c>
      <c r="X4981">
        <v>0.88565899999999997</v>
      </c>
      <c r="Y4981">
        <v>0.52959269999999903</v>
      </c>
      <c r="Z4981">
        <v>6.6278870000000004E-2</v>
      </c>
      <c r="AA4981">
        <v>0.84565869999999999</v>
      </c>
      <c r="AB4981">
        <v>18</v>
      </c>
      <c r="AC4981">
        <v>-14.1571</v>
      </c>
      <c r="AD4981">
        <v>-1.1074080358189999</v>
      </c>
      <c r="AE4981">
        <v>-9.4713999999999796</v>
      </c>
      <c r="AF4981">
        <v>9.0917739888397495</v>
      </c>
      <c r="AG4981">
        <v>-1.1074080358189999</v>
      </c>
      <c r="AH4981">
        <v>14.3189840000851</v>
      </c>
      <c r="AI4981">
        <v>93.735504010860893</v>
      </c>
      <c r="AJ4981">
        <v>57.586679372259901</v>
      </c>
      <c r="AK4981">
        <v>16.997647178849</v>
      </c>
      <c r="AL4981">
        <v>77.322029256402104</v>
      </c>
      <c r="AM4981">
        <v>65.201973091645897</v>
      </c>
      <c r="AN4981">
        <v>0.99999994710110796</v>
      </c>
    </row>
    <row r="4982" spans="1:40" x14ac:dyDescent="0.25">
      <c r="A4982" t="str">
        <f>"20190312172215933"</f>
        <v>20190312172215933</v>
      </c>
      <c r="B4982" t="str">
        <f>"1552382535925714"</f>
        <v>1552382535925714</v>
      </c>
      <c r="C4982" t="s">
        <v>40</v>
      </c>
      <c r="D4982">
        <v>3.0602239999999998</v>
      </c>
      <c r="E4982">
        <v>0.54553929999999995</v>
      </c>
      <c r="F4982" t="s">
        <v>62</v>
      </c>
      <c r="G4982">
        <v>-207.57849999999999</v>
      </c>
      <c r="H4982" s="1">
        <v>-8.1221199999999994E-6</v>
      </c>
      <c r="I4982">
        <v>145.98060000000001</v>
      </c>
      <c r="J4982">
        <v>-193.58969999999999</v>
      </c>
      <c r="K4982">
        <v>1.1073839999999999</v>
      </c>
      <c r="L4982">
        <v>155.2278</v>
      </c>
      <c r="M4982">
        <v>-0.407275</v>
      </c>
      <c r="N4982">
        <v>0</v>
      </c>
      <c r="O4982">
        <v>-0.9132015</v>
      </c>
      <c r="P4982">
        <v>-0.73443789999999998</v>
      </c>
      <c r="Q4982">
        <v>0.2104818</v>
      </c>
      <c r="R4982">
        <v>-0.64521229999999996</v>
      </c>
      <c r="S4982">
        <v>-2.6165310000000002</v>
      </c>
      <c r="T4982">
        <v>-0.2064182</v>
      </c>
      <c r="U4982">
        <v>-1.7420040000000001</v>
      </c>
      <c r="V4982">
        <v>0.40984989999999999</v>
      </c>
      <c r="W4982">
        <v>0.21919849999999999</v>
      </c>
      <c r="X4982">
        <v>0.88542369999999904</v>
      </c>
      <c r="Y4982">
        <v>0.53247559999999905</v>
      </c>
      <c r="Z4982">
        <v>6.7566840000000003E-2</v>
      </c>
      <c r="AA4982">
        <v>0.8437443</v>
      </c>
      <c r="AB4982">
        <v>18</v>
      </c>
      <c r="AC4982">
        <v>-13.9887999999999</v>
      </c>
      <c r="AD4982">
        <v>-1.1073921221199901</v>
      </c>
      <c r="AE4982">
        <v>-9.2471999999999905</v>
      </c>
      <c r="AF4982">
        <v>8.9701766574734094</v>
      </c>
      <c r="AG4982">
        <v>-1.1073921221199901</v>
      </c>
      <c r="AH4982">
        <v>14.081778322498</v>
      </c>
      <c r="AI4982">
        <v>93.794659133696001</v>
      </c>
      <c r="AJ4982">
        <v>57.502620834070797</v>
      </c>
      <c r="AK4982">
        <v>16.732808111682498</v>
      </c>
      <c r="AL4982">
        <v>77.338038915008397</v>
      </c>
      <c r="AM4982">
        <v>65.161260175418093</v>
      </c>
      <c r="AN4982">
        <v>1.0000000257269701</v>
      </c>
    </row>
    <row r="4983" spans="1:40" x14ac:dyDescent="0.25">
      <c r="A4983" t="str">
        <f>"20190312172215947"</f>
        <v>20190312172215947</v>
      </c>
      <c r="B4983" t="str">
        <f>"1552382535935474"</f>
        <v>1552382535935474</v>
      </c>
      <c r="C4983" t="s">
        <v>40</v>
      </c>
      <c r="D4983">
        <v>3.0636070000000002</v>
      </c>
      <c r="E4983">
        <v>0.54545889999999997</v>
      </c>
      <c r="F4983" t="s">
        <v>62</v>
      </c>
      <c r="G4983">
        <v>-207.4846</v>
      </c>
      <c r="H4983" s="1">
        <v>-8.1901699999999995E-6</v>
      </c>
      <c r="I4983">
        <v>146.08070000000001</v>
      </c>
      <c r="J4983">
        <v>-193.63800000000001</v>
      </c>
      <c r="K4983">
        <v>1.1073740000000001</v>
      </c>
      <c r="L4983">
        <v>155.131</v>
      </c>
      <c r="M4983">
        <v>-0.41094259999999999</v>
      </c>
      <c r="N4983">
        <v>0</v>
      </c>
      <c r="O4983">
        <v>-0.91155699999999995</v>
      </c>
      <c r="P4983">
        <v>-0.73747169999999995</v>
      </c>
      <c r="Q4983">
        <v>0.2101982</v>
      </c>
      <c r="R4983">
        <v>-0.6418353</v>
      </c>
      <c r="S4983">
        <v>-2.6260379999999999</v>
      </c>
      <c r="T4983">
        <v>-0.20928910000000001</v>
      </c>
      <c r="U4983">
        <v>-1.728729</v>
      </c>
      <c r="V4983">
        <v>0.41043279999999899</v>
      </c>
      <c r="W4983">
        <v>0.21889890000000001</v>
      </c>
      <c r="X4983">
        <v>0.88522769999999995</v>
      </c>
      <c r="Y4983">
        <v>0.53340010000000004</v>
      </c>
      <c r="Z4983">
        <v>6.8467760000000003E-2</v>
      </c>
      <c r="AA4983">
        <v>0.84308749999999999</v>
      </c>
      <c r="AB4983">
        <v>18</v>
      </c>
      <c r="AC4983">
        <v>-13.846599999999899</v>
      </c>
      <c r="AD4983">
        <v>-1.1073821901700001</v>
      </c>
      <c r="AE4983">
        <v>-9.0502999999999894</v>
      </c>
      <c r="AF4983">
        <v>8.8639337609453808</v>
      </c>
      <c r="AG4983">
        <v>-1.1073821901700001</v>
      </c>
      <c r="AH4983">
        <v>13.879147603093999</v>
      </c>
      <c r="AI4983">
        <v>93.846998057426106</v>
      </c>
      <c r="AJ4983">
        <v>57.4356164563658</v>
      </c>
      <c r="AK4983">
        <v>16.5053432324809</v>
      </c>
      <c r="AL4983">
        <v>77.355630976008996</v>
      </c>
      <c r="AM4983">
        <v>65.125364065099205</v>
      </c>
      <c r="AN4983">
        <v>0.99999994629216804</v>
      </c>
    </row>
    <row r="4984" spans="1:40" x14ac:dyDescent="0.25">
      <c r="A4984" t="str">
        <f>"20190312172215965"</f>
        <v>20190312172215965</v>
      </c>
      <c r="B4984" t="str">
        <f>"1552382535955970"</f>
        <v>1552382535955970</v>
      </c>
      <c r="C4984" t="s">
        <v>40</v>
      </c>
      <c r="D4984">
        <v>3.083815</v>
      </c>
      <c r="E4984">
        <v>0.54512389999999999</v>
      </c>
      <c r="F4984" t="s">
        <v>62</v>
      </c>
      <c r="G4984">
        <v>-207.4041</v>
      </c>
      <c r="H4984" s="1">
        <v>-8.2460089999999999E-6</v>
      </c>
      <c r="I4984">
        <v>146.15700000000001</v>
      </c>
      <c r="J4984">
        <v>-193.7073</v>
      </c>
      <c r="K4984">
        <v>1.107364</v>
      </c>
      <c r="L4984">
        <v>154.99359999999999</v>
      </c>
      <c r="M4984">
        <v>-0.41618060000000001</v>
      </c>
      <c r="N4984">
        <v>0</v>
      </c>
      <c r="O4984">
        <v>-0.90917740000000002</v>
      </c>
      <c r="P4984">
        <v>-0.7417435</v>
      </c>
      <c r="Q4984">
        <v>0.21019740000000001</v>
      </c>
      <c r="R4984">
        <v>-0.63689399999999996</v>
      </c>
      <c r="S4984">
        <v>-2.6339570000000001</v>
      </c>
      <c r="T4984">
        <v>-0.21188209999999999</v>
      </c>
      <c r="U4984">
        <v>-1.7170559999999999</v>
      </c>
      <c r="V4984">
        <v>0.4112634</v>
      </c>
      <c r="W4984">
        <v>0.21887609999999999</v>
      </c>
      <c r="X4984">
        <v>0.88484779999999996</v>
      </c>
      <c r="Y4984">
        <v>0.53227089999999999</v>
      </c>
      <c r="Z4984">
        <v>6.922992E-2</v>
      </c>
      <c r="AA4984">
        <v>0.84373860000000001</v>
      </c>
      <c r="AB4984">
        <v>18</v>
      </c>
      <c r="AC4984">
        <v>-13.6967999999999</v>
      </c>
      <c r="AD4984">
        <v>-1.1073722460089901</v>
      </c>
      <c r="AE4984">
        <v>-8.8365999999999705</v>
      </c>
      <c r="AF4984">
        <v>8.7357146042137401</v>
      </c>
      <c r="AG4984">
        <v>-1.1073722460089901</v>
      </c>
      <c r="AH4984">
        <v>13.672580193582901</v>
      </c>
      <c r="AI4984">
        <v>93.904427064420702</v>
      </c>
      <c r="AJ4984">
        <v>57.424588756590197</v>
      </c>
      <c r="AK4984">
        <v>16.262792874763502</v>
      </c>
      <c r="AL4984">
        <v>77.356970222265801</v>
      </c>
      <c r="AM4984">
        <v>65.071732860438303</v>
      </c>
      <c r="AN4984">
        <v>0.99999998024780401</v>
      </c>
    </row>
    <row r="4985" spans="1:40" x14ac:dyDescent="0.25">
      <c r="A4985" t="str">
        <f>"20190312172215979"</f>
        <v>20190312172215979</v>
      </c>
      <c r="B4985" t="str">
        <f>"1552382535975490"</f>
        <v>1552382535975490</v>
      </c>
      <c r="C4985" t="s">
        <v>40</v>
      </c>
      <c r="D4985">
        <v>3.21862</v>
      </c>
      <c r="E4985">
        <v>0.5453749</v>
      </c>
      <c r="F4985" t="s">
        <v>62</v>
      </c>
      <c r="G4985">
        <v>-207.5051</v>
      </c>
      <c r="H4985" s="1">
        <v>-8.1893999999999999E-6</v>
      </c>
      <c r="I4985">
        <v>146.1122</v>
      </c>
      <c r="J4985">
        <v>-193.75810000000001</v>
      </c>
      <c r="K4985">
        <v>1.1073580000000001</v>
      </c>
      <c r="L4985">
        <v>154.89410000000001</v>
      </c>
      <c r="M4985">
        <v>-0.41999379999999997</v>
      </c>
      <c r="N4985">
        <v>0</v>
      </c>
      <c r="O4985">
        <v>-0.9074219</v>
      </c>
      <c r="P4985">
        <v>-0.74470669999999894</v>
      </c>
      <c r="Q4985">
        <v>0.2102803</v>
      </c>
      <c r="R4985">
        <v>-0.63339939999999995</v>
      </c>
      <c r="S4985">
        <v>-2.64357</v>
      </c>
      <c r="T4985">
        <v>-0.2121654</v>
      </c>
      <c r="U4985">
        <v>-1.70163</v>
      </c>
      <c r="V4985">
        <v>0.4116939</v>
      </c>
      <c r="W4985">
        <v>0.2189477</v>
      </c>
      <c r="X4985">
        <v>0.88462989999999997</v>
      </c>
      <c r="Y4985">
        <v>0.53359129999999999</v>
      </c>
      <c r="Z4985">
        <v>6.9309319999999994E-2</v>
      </c>
      <c r="AA4985">
        <v>0.84289780000000003</v>
      </c>
      <c r="AB4985">
        <v>18</v>
      </c>
      <c r="AC4985">
        <v>-13.7469999999999</v>
      </c>
      <c r="AD4985">
        <v>-1.1073661894</v>
      </c>
      <c r="AE4985">
        <v>-8.7819000000000091</v>
      </c>
      <c r="AF4985">
        <v>8.7465171671213309</v>
      </c>
      <c r="AG4985">
        <v>-1.1073661894</v>
      </c>
      <c r="AH4985">
        <v>13.6808093116033</v>
      </c>
      <c r="AI4985">
        <v>93.901349149187098</v>
      </c>
      <c r="AJ4985">
        <v>57.408101604558901</v>
      </c>
      <c r="AK4985">
        <v>16.275514303782401</v>
      </c>
      <c r="AL4985">
        <v>77.352766265418396</v>
      </c>
      <c r="AM4985">
        <v>65.043415808385106</v>
      </c>
      <c r="AN4985">
        <v>1.0000000113032499</v>
      </c>
    </row>
    <row r="4986" spans="1:40" x14ac:dyDescent="0.25">
      <c r="A4986" t="str">
        <f>"20190312172215998"</f>
        <v>20190312172215998</v>
      </c>
      <c r="B4986" t="str">
        <f>"1552382535995987"</f>
        <v>1552382535995987</v>
      </c>
      <c r="C4986" t="s">
        <v>40</v>
      </c>
      <c r="D4986">
        <v>3.102544</v>
      </c>
      <c r="E4986">
        <v>0.57416519999999904</v>
      </c>
      <c r="F4986" t="s">
        <v>62</v>
      </c>
      <c r="G4986">
        <v>-207.61320000000001</v>
      </c>
      <c r="H4986" s="1">
        <v>-8.1329010000000008E-6</v>
      </c>
      <c r="I4986">
        <v>146.0797</v>
      </c>
      <c r="J4986">
        <v>-193.83179999999999</v>
      </c>
      <c r="K4986">
        <v>1.107351</v>
      </c>
      <c r="L4986">
        <v>154.7518</v>
      </c>
      <c r="M4986">
        <v>-0.42548390000000003</v>
      </c>
      <c r="N4986">
        <v>0</v>
      </c>
      <c r="O4986">
        <v>-0.90486080000000002</v>
      </c>
      <c r="P4986">
        <v>-0.74886969999999997</v>
      </c>
      <c r="Q4986">
        <v>0.2106461</v>
      </c>
      <c r="R4986">
        <v>-0.62834919999999905</v>
      </c>
      <c r="S4986">
        <v>-2.652847</v>
      </c>
      <c r="T4986">
        <v>-0.2120283</v>
      </c>
      <c r="U4986">
        <v>-1.6876979999999999</v>
      </c>
      <c r="V4986">
        <v>0.41223159999999998</v>
      </c>
      <c r="W4986">
        <v>0.21930079999999999</v>
      </c>
      <c r="X4986">
        <v>0.88429190000000002</v>
      </c>
      <c r="Y4986">
        <v>0.53296489999999996</v>
      </c>
      <c r="Z4986">
        <v>6.9181480000000004E-2</v>
      </c>
      <c r="AA4986">
        <v>0.84330450000000001</v>
      </c>
      <c r="AB4986">
        <v>18</v>
      </c>
      <c r="AC4986">
        <v>-13.7814</v>
      </c>
      <c r="AD4986">
        <v>-1.107359132901</v>
      </c>
      <c r="AE4986">
        <v>-8.6721000000000004</v>
      </c>
      <c r="AF4986">
        <v>8.7408191112789204</v>
      </c>
      <c r="AG4986">
        <v>-1.107359132901</v>
      </c>
      <c r="AH4986">
        <v>13.6489855688157</v>
      </c>
      <c r="AI4986">
        <v>93.908493628701294</v>
      </c>
      <c r="AJ4986">
        <v>57.3644750901435</v>
      </c>
      <c r="AK4986">
        <v>16.2457062032728</v>
      </c>
      <c r="AL4986">
        <v>77.332030394014694</v>
      </c>
      <c r="AM4986">
        <v>65.006412599335704</v>
      </c>
      <c r="AN4986">
        <v>0.99999994866240305</v>
      </c>
    </row>
    <row r="4987" spans="1:40" x14ac:dyDescent="0.25">
      <c r="A4987" t="str">
        <f>"20190312172216012"</f>
        <v>20190312172216012</v>
      </c>
      <c r="B4987" t="str">
        <f>"1552382536005746"</f>
        <v>1552382536005746</v>
      </c>
      <c r="C4987" t="s">
        <v>40</v>
      </c>
      <c r="D4987">
        <v>3.206016</v>
      </c>
      <c r="E4987">
        <v>0.57789089999999999</v>
      </c>
      <c r="F4987" t="s">
        <v>62</v>
      </c>
      <c r="G4987">
        <v>-209.2021</v>
      </c>
      <c r="H4987" s="1">
        <v>-7.5620160000000002E-6</v>
      </c>
      <c r="I4987">
        <v>146.58629999999999</v>
      </c>
      <c r="J4987">
        <v>-193.88640000000001</v>
      </c>
      <c r="K4987">
        <v>1.107345</v>
      </c>
      <c r="L4987">
        <v>154.6481</v>
      </c>
      <c r="M4987">
        <v>-0.42951279999999997</v>
      </c>
      <c r="N4987">
        <v>0</v>
      </c>
      <c r="O4987">
        <v>-0.90295519999999996</v>
      </c>
      <c r="P4987">
        <v>-0.75177969999999905</v>
      </c>
      <c r="Q4987">
        <v>0.21069209999999999</v>
      </c>
      <c r="R4987">
        <v>-0.62484910000000005</v>
      </c>
      <c r="S4987">
        <v>-2.8102870000000002</v>
      </c>
      <c r="T4987">
        <v>-0.20246819999999999</v>
      </c>
      <c r="U4987">
        <v>-1.492966</v>
      </c>
      <c r="V4987">
        <v>0.41240640000000001</v>
      </c>
      <c r="W4987">
        <v>0.21934319999999999</v>
      </c>
      <c r="X4987">
        <v>0.88419999999999999</v>
      </c>
      <c r="Y4987">
        <v>0.59389169999999902</v>
      </c>
      <c r="Z4987">
        <v>6.6344790000000001E-2</v>
      </c>
      <c r="AA4987">
        <v>0.80180479999999998</v>
      </c>
      <c r="AB4987">
        <v>18</v>
      </c>
      <c r="AC4987">
        <v>-15.3156999999999</v>
      </c>
      <c r="AD4987">
        <v>-1.1073525620160001</v>
      </c>
      <c r="AE4987">
        <v>-8.0617999999999999</v>
      </c>
      <c r="AF4987">
        <v>10.3254669014926</v>
      </c>
      <c r="AG4987">
        <v>-1.1073525620160001</v>
      </c>
      <c r="AH4987">
        <v>13.8025554209589</v>
      </c>
      <c r="AI4987">
        <v>93.675716336481003</v>
      </c>
      <c r="AJ4987">
        <v>53.2004359315264</v>
      </c>
      <c r="AK4987">
        <v>17.2728698420113</v>
      </c>
      <c r="AL4987">
        <v>77.329541850692294</v>
      </c>
      <c r="AM4987">
        <v>64.994828322029605</v>
      </c>
      <c r="AN4987">
        <v>1.00000005907359</v>
      </c>
    </row>
    <row r="4988" spans="1:40" x14ac:dyDescent="0.25">
      <c r="A4988" t="str">
        <f>"20190312172216034"</f>
        <v>20190312172216034</v>
      </c>
      <c r="B4988" t="str">
        <f>"1552382536025269"</f>
        <v>1552382536025269</v>
      </c>
      <c r="C4988" t="s">
        <v>40</v>
      </c>
      <c r="D4988">
        <v>3.0859399999999999</v>
      </c>
      <c r="E4988">
        <v>0.58017540000000001</v>
      </c>
      <c r="F4988" t="s">
        <v>62</v>
      </c>
      <c r="G4988">
        <v>-209.73089999999999</v>
      </c>
      <c r="H4988" s="1">
        <v>-7.3070809999999903E-6</v>
      </c>
      <c r="I4988">
        <v>146.50880000000001</v>
      </c>
      <c r="J4988">
        <v>-193.96850000000001</v>
      </c>
      <c r="K4988">
        <v>1.1073379999999999</v>
      </c>
      <c r="L4988">
        <v>154.49379999999999</v>
      </c>
      <c r="M4988">
        <v>-0.4355349</v>
      </c>
      <c r="N4988">
        <v>0</v>
      </c>
      <c r="O4988">
        <v>-0.90006609999999998</v>
      </c>
      <c r="P4988">
        <v>-0.75605049999999996</v>
      </c>
      <c r="Q4988">
        <v>0.2106053</v>
      </c>
      <c r="R4988">
        <v>-0.61970459999999905</v>
      </c>
      <c r="S4988">
        <v>-2.8354339999999998</v>
      </c>
      <c r="T4988">
        <v>-0.19816520000000001</v>
      </c>
      <c r="U4988">
        <v>-1.456558</v>
      </c>
      <c r="V4988">
        <v>0.41255799999999998</v>
      </c>
      <c r="W4988">
        <v>0.219252</v>
      </c>
      <c r="X4988">
        <v>0.88415189999999999</v>
      </c>
      <c r="Y4988">
        <v>0.59965609999999903</v>
      </c>
      <c r="Z4988">
        <v>6.4881190000000005E-2</v>
      </c>
      <c r="AA4988">
        <v>0.79762330000000004</v>
      </c>
      <c r="AB4988">
        <v>18</v>
      </c>
      <c r="AC4988">
        <v>-15.7623999999999</v>
      </c>
      <c r="AD4988">
        <v>-1.107345307081</v>
      </c>
      <c r="AE4988">
        <v>-7.9849999999999799</v>
      </c>
      <c r="AF4988">
        <v>10.668574562295699</v>
      </c>
      <c r="AG4988">
        <v>-1.107345307081</v>
      </c>
      <c r="AH4988">
        <v>13.998462087943</v>
      </c>
      <c r="AI4988">
        <v>93.600063539446595</v>
      </c>
      <c r="AJ4988">
        <v>52.688077253455504</v>
      </c>
      <c r="AK4988">
        <v>17.635238519735299</v>
      </c>
      <c r="AL4988">
        <v>77.334897639934297</v>
      </c>
      <c r="AM4988">
        <v>64.985566132433306</v>
      </c>
      <c r="AN4988">
        <v>1.0000000625708001</v>
      </c>
    </row>
    <row r="4989" spans="1:40" x14ac:dyDescent="0.25">
      <c r="A4989" t="str">
        <f>"20190312172216056"</f>
        <v>20190312172216056</v>
      </c>
      <c r="B4989" t="str">
        <f>"1552382536045762"</f>
        <v>1552382536045762</v>
      </c>
      <c r="C4989" t="s">
        <v>40</v>
      </c>
      <c r="D4989">
        <v>3.1985190000000001</v>
      </c>
      <c r="E4989">
        <v>0.58352550000000003</v>
      </c>
      <c r="F4989" t="s">
        <v>62</v>
      </c>
      <c r="G4989">
        <v>-209.89689999999999</v>
      </c>
      <c r="H4989" s="1">
        <v>-7.2475469999999999E-6</v>
      </c>
      <c r="I4989">
        <v>146.56229999999999</v>
      </c>
      <c r="J4989">
        <v>-194.0574</v>
      </c>
      <c r="K4989">
        <v>1.107332</v>
      </c>
      <c r="L4989">
        <v>154.3296</v>
      </c>
      <c r="M4989">
        <v>-0.4419768</v>
      </c>
      <c r="N4989">
        <v>0</v>
      </c>
      <c r="O4989">
        <v>-0.8969203</v>
      </c>
      <c r="P4989">
        <v>-0.76045640000000003</v>
      </c>
      <c r="Q4989">
        <v>0.21059910000000001</v>
      </c>
      <c r="R4989">
        <v>-0.6142919</v>
      </c>
      <c r="S4989">
        <v>-2.8571780000000002</v>
      </c>
      <c r="T4989">
        <v>-0.19863130000000001</v>
      </c>
      <c r="U4989">
        <v>-1.422714</v>
      </c>
      <c r="V4989">
        <v>0.41253380000000001</v>
      </c>
      <c r="W4989">
        <v>0.21924550000000001</v>
      </c>
      <c r="X4989">
        <v>0.88416479999999997</v>
      </c>
      <c r="Y4989">
        <v>0.60391719999999904</v>
      </c>
      <c r="Z4989">
        <v>6.4969700000000005E-2</v>
      </c>
      <c r="AA4989">
        <v>0.79439469999999901</v>
      </c>
      <c r="AB4989">
        <v>18</v>
      </c>
      <c r="AC4989">
        <v>-15.8394999999999</v>
      </c>
      <c r="AD4989">
        <v>-1.1073392475470001</v>
      </c>
      <c r="AE4989">
        <v>-7.7672999999999996</v>
      </c>
      <c r="AF4989">
        <v>10.732543060813599</v>
      </c>
      <c r="AG4989">
        <v>-1.1073392475470001</v>
      </c>
      <c r="AH4989">
        <v>13.913850882455399</v>
      </c>
      <c r="AI4989">
        <v>93.605810845685696</v>
      </c>
      <c r="AJ4989">
        <v>52.354958580405203</v>
      </c>
      <c r="AK4989">
        <v>17.607070373590901</v>
      </c>
      <c r="AL4989">
        <v>77.335279310144301</v>
      </c>
      <c r="AM4989">
        <v>64.987174292311195</v>
      </c>
      <c r="AN4989">
        <v>1.00000005948586</v>
      </c>
    </row>
    <row r="4990" spans="1:40" x14ac:dyDescent="0.25">
      <c r="A4990" t="str">
        <f>"20190312172216078"</f>
        <v>20190312172216078</v>
      </c>
      <c r="B4990" t="str">
        <f>"1552382536075042"</f>
        <v>1552382536075042</v>
      </c>
      <c r="C4990" t="s">
        <v>40</v>
      </c>
      <c r="D4990">
        <v>3.0832009999999999</v>
      </c>
      <c r="E4990">
        <v>0.58380169999999998</v>
      </c>
      <c r="F4990" t="s">
        <v>62</v>
      </c>
      <c r="G4990">
        <v>-209.88120000000001</v>
      </c>
      <c r="H4990" s="1">
        <v>-7.3046740000000003E-6</v>
      </c>
      <c r="I4990">
        <v>146.75229999999999</v>
      </c>
      <c r="J4990">
        <v>-194.1463</v>
      </c>
      <c r="K4990">
        <v>1.1073299999999999</v>
      </c>
      <c r="L4990">
        <v>154.16829999999999</v>
      </c>
      <c r="M4990">
        <v>-0.44834279999999999</v>
      </c>
      <c r="N4990">
        <v>0</v>
      </c>
      <c r="O4990">
        <v>-0.89375509999999903</v>
      </c>
      <c r="P4990">
        <v>-0.76473539999999995</v>
      </c>
      <c r="Q4990">
        <v>0.2102405</v>
      </c>
      <c r="R4990">
        <v>-0.60908059999999997</v>
      </c>
      <c r="S4990">
        <v>-2.8849640000000001</v>
      </c>
      <c r="T4990">
        <v>-0.20188780000000001</v>
      </c>
      <c r="U4990">
        <v>-1.3814850000000001</v>
      </c>
      <c r="V4990">
        <v>0.4123754</v>
      </c>
      <c r="W4990">
        <v>0.21889040000000001</v>
      </c>
      <c r="X4990">
        <v>0.88432659999999996</v>
      </c>
      <c r="Y4990">
        <v>0.61041679999999998</v>
      </c>
      <c r="Z4990">
        <v>6.5955399999999997E-2</v>
      </c>
      <c r="AA4990">
        <v>0.78932959999999996</v>
      </c>
      <c r="AB4990">
        <v>18</v>
      </c>
      <c r="AC4990">
        <v>-15.7349</v>
      </c>
      <c r="AD4990">
        <v>-1.1073373046739901</v>
      </c>
      <c r="AE4990">
        <v>-7.4159999999999897</v>
      </c>
      <c r="AF4990">
        <v>10.6959159066695</v>
      </c>
      <c r="AG4990">
        <v>-1.1073373046739901</v>
      </c>
      <c r="AH4990">
        <v>13.628791293848</v>
      </c>
      <c r="AI4990">
        <v>93.657172999396593</v>
      </c>
      <c r="AJ4990">
        <v>51.8750717233169</v>
      </c>
      <c r="AK4990">
        <v>17.3600911610549</v>
      </c>
      <c r="AL4990">
        <v>77.356130869715699</v>
      </c>
      <c r="AM4990">
        <v>64.999620335653006</v>
      </c>
      <c r="AN4990">
        <v>1.0000000066024399</v>
      </c>
    </row>
    <row r="4991" spans="1:40" x14ac:dyDescent="0.25">
      <c r="A4991" t="str">
        <f>"20190312172216099"</f>
        <v>20190312172216099</v>
      </c>
      <c r="B4991" t="str">
        <f>"1552382536095539"</f>
        <v>1552382536095539</v>
      </c>
      <c r="C4991" t="s">
        <v>40</v>
      </c>
      <c r="D4991">
        <v>3.05497</v>
      </c>
      <c r="E4991">
        <v>0.58349790000000001</v>
      </c>
      <c r="F4991" t="s">
        <v>62</v>
      </c>
      <c r="G4991">
        <v>-209.8323</v>
      </c>
      <c r="H4991" s="1">
        <v>-7.3396699999999998E-6</v>
      </c>
      <c r="I4991">
        <v>146.80260000000001</v>
      </c>
      <c r="J4991">
        <v>-194.23070000000001</v>
      </c>
      <c r="K4991">
        <v>1.1073299999999999</v>
      </c>
      <c r="L4991">
        <v>154.01769999999999</v>
      </c>
      <c r="M4991">
        <v>-0.45431630000000001</v>
      </c>
      <c r="N4991">
        <v>0</v>
      </c>
      <c r="O4991">
        <v>-0.89073340000000001</v>
      </c>
      <c r="P4991">
        <v>-0.76873040000000004</v>
      </c>
      <c r="Q4991">
        <v>0.2096944</v>
      </c>
      <c r="R4991">
        <v>-0.60422019999999999</v>
      </c>
      <c r="S4991">
        <v>-2.8960270000000001</v>
      </c>
      <c r="T4991">
        <v>-0.2044427</v>
      </c>
      <c r="U4991">
        <v>-1.3598939999999999</v>
      </c>
      <c r="V4991">
        <v>0.41218909999999997</v>
      </c>
      <c r="W4991">
        <v>0.21834890000000001</v>
      </c>
      <c r="X4991">
        <v>0.88454730000000004</v>
      </c>
      <c r="Y4991">
        <v>0.61105310000000002</v>
      </c>
      <c r="Z4991">
        <v>6.6722719999999999E-2</v>
      </c>
      <c r="AA4991">
        <v>0.78877259999999905</v>
      </c>
      <c r="AB4991">
        <v>18</v>
      </c>
      <c r="AC4991">
        <v>-15.6015999999999</v>
      </c>
      <c r="AD4991">
        <v>-1.1073373396699999</v>
      </c>
      <c r="AE4991">
        <v>-7.2150999999999703</v>
      </c>
      <c r="AF4991">
        <v>10.576050582225999</v>
      </c>
      <c r="AG4991">
        <v>-1.1073373396699999</v>
      </c>
      <c r="AH4991">
        <v>13.460220460878</v>
      </c>
      <c r="AI4991">
        <v>93.701191656447605</v>
      </c>
      <c r="AJ4991">
        <v>51.842344214232398</v>
      </c>
      <c r="AK4991">
        <v>17.153908497980002</v>
      </c>
      <c r="AL4991">
        <v>77.3879257032564</v>
      </c>
      <c r="AM4991">
        <v>65.015009917817494</v>
      </c>
      <c r="AN4991">
        <v>1.00000001111365</v>
      </c>
    </row>
    <row r="4992" spans="1:40" x14ac:dyDescent="0.25">
      <c r="A4992" t="str">
        <f>"20190312172216122"</f>
        <v>20190312172216122</v>
      </c>
      <c r="B4992" t="str">
        <f>"1552382536115058"</f>
        <v>1552382536115058</v>
      </c>
      <c r="C4992" t="s">
        <v>40</v>
      </c>
      <c r="D4992">
        <v>3.1090719999999998</v>
      </c>
      <c r="E4992">
        <v>0.58340939999999997</v>
      </c>
      <c r="F4992" t="s">
        <v>62</v>
      </c>
      <c r="G4992">
        <v>-209.86760000000001</v>
      </c>
      <c r="H4992" s="1">
        <v>-7.3198809999999997E-6</v>
      </c>
      <c r="I4992">
        <v>146.7869</v>
      </c>
      <c r="J4992">
        <v>-194.32210000000001</v>
      </c>
      <c r="K4992">
        <v>1.107334</v>
      </c>
      <c r="L4992">
        <v>153.85740000000001</v>
      </c>
      <c r="M4992">
        <v>-0.46071099999999998</v>
      </c>
      <c r="N4992">
        <v>0</v>
      </c>
      <c r="O4992">
        <v>-0.88744249999999902</v>
      </c>
      <c r="P4992">
        <v>-0.77299439999999997</v>
      </c>
      <c r="Q4992">
        <v>0.20928569999999999</v>
      </c>
      <c r="R4992">
        <v>-0.5988985</v>
      </c>
      <c r="S4992">
        <v>-2.903381</v>
      </c>
      <c r="T4992">
        <v>-0.20560539999999999</v>
      </c>
      <c r="U4992">
        <v>-1.3425750000000001</v>
      </c>
      <c r="V4992">
        <v>0.4120297</v>
      </c>
      <c r="W4992">
        <v>0.2179422</v>
      </c>
      <c r="X4992">
        <v>0.8847218</v>
      </c>
      <c r="Y4992">
        <v>0.60998169999999996</v>
      </c>
      <c r="Z4992">
        <v>6.7021650000000002E-2</v>
      </c>
      <c r="AA4992">
        <v>0.78957619999999995</v>
      </c>
      <c r="AB4992">
        <v>18</v>
      </c>
      <c r="AC4992">
        <v>-15.545500000000001</v>
      </c>
      <c r="AD4992">
        <v>-1.107341319881</v>
      </c>
      <c r="AE4992">
        <v>-7.0705000000000098</v>
      </c>
      <c r="AF4992">
        <v>10.4951629047965</v>
      </c>
      <c r="AG4992">
        <v>-1.107341319881</v>
      </c>
      <c r="AH4992">
        <v>13.3816690393264</v>
      </c>
      <c r="AI4992">
        <v>93.725454012766306</v>
      </c>
      <c r="AJ4992">
        <v>51.893122428031198</v>
      </c>
      <c r="AK4992">
        <v>17.0424093213079</v>
      </c>
      <c r="AL4992">
        <v>77.411802421975494</v>
      </c>
      <c r="AM4992">
        <v>65.027819113345103</v>
      </c>
      <c r="AN4992">
        <v>0.99999996980908401</v>
      </c>
    </row>
    <row r="4993" spans="1:40" x14ac:dyDescent="0.25">
      <c r="A4993" t="str">
        <f>"20190312172216144"</f>
        <v>20190312172216144</v>
      </c>
      <c r="B4993" t="str">
        <f>"1552382536135554"</f>
        <v>1552382536135554</v>
      </c>
      <c r="C4993" t="s">
        <v>40</v>
      </c>
      <c r="D4993">
        <v>3.0969730000000002</v>
      </c>
      <c r="E4993">
        <v>0.58322109999999905</v>
      </c>
      <c r="F4993" t="s">
        <v>62</v>
      </c>
      <c r="G4993">
        <v>-209.85390000000001</v>
      </c>
      <c r="H4993" s="1">
        <v>-7.3311120000000003E-6</v>
      </c>
      <c r="I4993">
        <v>146.8065</v>
      </c>
      <c r="J4993">
        <v>-194.41679999999999</v>
      </c>
      <c r="K4993">
        <v>1.107332</v>
      </c>
      <c r="L4993">
        <v>153.6943</v>
      </c>
      <c r="M4993">
        <v>-0.46726380000000001</v>
      </c>
      <c r="N4993">
        <v>0</v>
      </c>
      <c r="O4993">
        <v>-0.88400999999999996</v>
      </c>
      <c r="P4993">
        <v>-0.77723869999999995</v>
      </c>
      <c r="Q4993">
        <v>0.20957819999999999</v>
      </c>
      <c r="R4993">
        <v>-0.59327649999999998</v>
      </c>
      <c r="S4993">
        <v>-2.91275</v>
      </c>
      <c r="T4993">
        <v>-0.20766519999999999</v>
      </c>
      <c r="U4993">
        <v>-1.3222959999999999</v>
      </c>
      <c r="V4993">
        <v>0.41183609999999998</v>
      </c>
      <c r="W4993">
        <v>0.21823390000000001</v>
      </c>
      <c r="X4993">
        <v>0.88474010000000003</v>
      </c>
      <c r="Y4993">
        <v>0.60960059999999905</v>
      </c>
      <c r="Z4993">
        <v>6.7604139999999993E-2</v>
      </c>
      <c r="AA4993">
        <v>0.78982079999999999</v>
      </c>
      <c r="AB4993">
        <v>18</v>
      </c>
      <c r="AC4993">
        <v>-15.437099999999999</v>
      </c>
      <c r="AD4993">
        <v>-1.1073393311119999</v>
      </c>
      <c r="AE4993">
        <v>-6.8877999999999897</v>
      </c>
      <c r="AF4993">
        <v>10.384563949054099</v>
      </c>
      <c r="AG4993">
        <v>-1.1073393311119999</v>
      </c>
      <c r="AH4993">
        <v>13.2465079143726</v>
      </c>
      <c r="AI4993">
        <v>93.763983189929903</v>
      </c>
      <c r="AJ4993">
        <v>51.9054244592717</v>
      </c>
      <c r="AK4993">
        <v>16.868175382410499</v>
      </c>
      <c r="AL4993">
        <v>77.394677744421301</v>
      </c>
      <c r="AM4993">
        <v>65.038576524099597</v>
      </c>
      <c r="AN4993">
        <v>1.00000002646021</v>
      </c>
    </row>
    <row r="4994" spans="1:40" x14ac:dyDescent="0.25">
      <c r="A4994" t="str">
        <f>"20190312172216156"</f>
        <v>20190312172216156</v>
      </c>
      <c r="B4994" t="str">
        <f>"1552382536145315"</f>
        <v>1552382536145315</v>
      </c>
      <c r="C4994" t="s">
        <v>40</v>
      </c>
      <c r="D4994">
        <v>3.0918960000000002</v>
      </c>
      <c r="E4994">
        <v>0.58297969999999999</v>
      </c>
      <c r="F4994" t="s">
        <v>42</v>
      </c>
      <c r="G4994">
        <v>-210.00229999999999</v>
      </c>
      <c r="H4994" s="1">
        <v>-5.9757290000000004E-6</v>
      </c>
      <c r="I4994">
        <v>146.74969999999999</v>
      </c>
      <c r="J4994">
        <v>-194.4665</v>
      </c>
      <c r="K4994">
        <v>1.107334</v>
      </c>
      <c r="L4994">
        <v>153.6096</v>
      </c>
      <c r="M4994">
        <v>-0.47067510000000001</v>
      </c>
      <c r="N4994">
        <v>0</v>
      </c>
      <c r="O4994">
        <v>-0.8821985</v>
      </c>
      <c r="P4994">
        <v>-0.77947239999999995</v>
      </c>
      <c r="Q4994">
        <v>0.2097726</v>
      </c>
      <c r="R4994">
        <v>-0.59026999999999996</v>
      </c>
      <c r="S4994">
        <v>-2.9219819999999999</v>
      </c>
      <c r="T4994">
        <v>-0.2076036</v>
      </c>
      <c r="U4994">
        <v>-1.301971</v>
      </c>
      <c r="V4994">
        <v>0.41179270000000001</v>
      </c>
      <c r="W4994">
        <v>0.21842700000000001</v>
      </c>
      <c r="X4994">
        <v>0.88471259999999996</v>
      </c>
      <c r="Y4994">
        <v>0.61205200000000004</v>
      </c>
      <c r="Z4994">
        <v>6.7593490000000006E-2</v>
      </c>
      <c r="AA4994">
        <v>0.7879235</v>
      </c>
      <c r="AB4994">
        <v>18</v>
      </c>
      <c r="AC4994">
        <v>-15.535799999999901</v>
      </c>
      <c r="AD4994">
        <v>-1.1073399757289999</v>
      </c>
      <c r="AE4994">
        <v>-6.8598999999999997</v>
      </c>
      <c r="AF4994">
        <v>10.4335171162633</v>
      </c>
      <c r="AG4994">
        <v>-1.1073399757289999</v>
      </c>
      <c r="AH4994">
        <v>13.3088007661422</v>
      </c>
      <c r="AI4994">
        <v>93.746401847380994</v>
      </c>
      <c r="AJ4994">
        <v>51.905107545134598</v>
      </c>
      <c r="AK4994">
        <v>16.947231604898601</v>
      </c>
      <c r="AL4994">
        <v>77.383339862589693</v>
      </c>
      <c r="AM4994">
        <v>65.040205288738207</v>
      </c>
      <c r="AN4994">
        <v>0.99999998335052498</v>
      </c>
    </row>
    <row r="4995" spans="1:40" x14ac:dyDescent="0.25">
      <c r="A4995" t="str">
        <f>"20190312172216168"</f>
        <v>20190312172216168</v>
      </c>
      <c r="B4995" t="str">
        <f>"1552382536165811"</f>
        <v>1552382536165811</v>
      </c>
      <c r="C4995" t="s">
        <v>40</v>
      </c>
      <c r="D4995">
        <v>3.1098680000000001</v>
      </c>
      <c r="E4995">
        <v>0.58255080000000004</v>
      </c>
      <c r="F4995" t="s">
        <v>42</v>
      </c>
      <c r="G4995">
        <v>-210.15280000000001</v>
      </c>
      <c r="H4995" s="1">
        <v>-5.9060749999999899E-6</v>
      </c>
      <c r="I4995">
        <v>146.68270000000001</v>
      </c>
      <c r="J4995">
        <v>-194.5163</v>
      </c>
      <c r="K4995">
        <v>1.107334</v>
      </c>
      <c r="L4995">
        <v>153.5258</v>
      </c>
      <c r="M4995">
        <v>-0.47406569999999998</v>
      </c>
      <c r="N4995">
        <v>0</v>
      </c>
      <c r="O4995">
        <v>-0.88038099999999997</v>
      </c>
      <c r="P4995">
        <v>-0.78169350000000004</v>
      </c>
      <c r="Q4995">
        <v>0.21023500000000001</v>
      </c>
      <c r="R4995">
        <v>-0.58716009999999996</v>
      </c>
      <c r="S4995">
        <v>-2.9259189999999999</v>
      </c>
      <c r="T4995">
        <v>-0.20654890000000001</v>
      </c>
      <c r="U4995">
        <v>-1.2920529999999999</v>
      </c>
      <c r="V4995">
        <v>0.4118096</v>
      </c>
      <c r="W4995">
        <v>0.21888669999999999</v>
      </c>
      <c r="X4995">
        <v>0.88459120000000002</v>
      </c>
      <c r="Y4995">
        <v>0.61166480000000001</v>
      </c>
      <c r="Z4995">
        <v>6.7209550000000007E-2</v>
      </c>
      <c r="AA4995">
        <v>0.78825690000000004</v>
      </c>
      <c r="AB4995">
        <v>18</v>
      </c>
      <c r="AC4995">
        <v>-15.6365</v>
      </c>
      <c r="AD4995">
        <v>-1.107339906075</v>
      </c>
      <c r="AE4995">
        <v>-6.84309999999999</v>
      </c>
      <c r="AF4995">
        <v>10.478897811787601</v>
      </c>
      <c r="AG4995">
        <v>-1.107339906075</v>
      </c>
      <c r="AH4995">
        <v>13.382221190998401</v>
      </c>
      <c r="AI4995">
        <v>93.727547111286498</v>
      </c>
      <c r="AJ4995">
        <v>51.937414062911998</v>
      </c>
      <c r="AK4995">
        <v>17.032831385952299</v>
      </c>
      <c r="AL4995">
        <v>77.356348852532406</v>
      </c>
      <c r="AM4995">
        <v>65.036297477365395</v>
      </c>
      <c r="AN4995">
        <v>1.0000000626032399</v>
      </c>
    </row>
    <row r="4996" spans="1:40" x14ac:dyDescent="0.25">
      <c r="A4996" t="str">
        <f>"20190312172216182"</f>
        <v>20190312172216182</v>
      </c>
      <c r="B4996" t="str">
        <f>"1552382536175571"</f>
        <v>1552382536175571</v>
      </c>
      <c r="C4996" t="s">
        <v>40</v>
      </c>
      <c r="D4996">
        <v>3.4451619999999998</v>
      </c>
      <c r="E4996">
        <v>0.58232589999999995</v>
      </c>
      <c r="F4996" t="s">
        <v>42</v>
      </c>
      <c r="G4996">
        <v>-210.38749999999999</v>
      </c>
      <c r="H4996" s="1">
        <v>-5.7965689999999999E-6</v>
      </c>
      <c r="I4996">
        <v>146.57339999999999</v>
      </c>
      <c r="J4996">
        <v>-194.5727</v>
      </c>
      <c r="K4996">
        <v>1.107337</v>
      </c>
      <c r="L4996">
        <v>153.4315</v>
      </c>
      <c r="M4996">
        <v>-0.47788770000000003</v>
      </c>
      <c r="N4996">
        <v>0</v>
      </c>
      <c r="O4996">
        <v>-0.87831219999999999</v>
      </c>
      <c r="P4996">
        <v>-0.78417689999999995</v>
      </c>
      <c r="Q4996">
        <v>0.21009220000000001</v>
      </c>
      <c r="R4996">
        <v>-0.58389060000000004</v>
      </c>
      <c r="S4996">
        <v>-2.9290159999999998</v>
      </c>
      <c r="T4996">
        <v>-0.20435919999999999</v>
      </c>
      <c r="U4996">
        <v>-1.283066</v>
      </c>
      <c r="V4996">
        <v>0.4116918</v>
      </c>
      <c r="W4996">
        <v>0.21874479999999999</v>
      </c>
      <c r="X4996">
        <v>0.8846811</v>
      </c>
      <c r="Y4996">
        <v>0.61061500000000002</v>
      </c>
      <c r="Z4996">
        <v>6.6444459999999997E-2</v>
      </c>
      <c r="AA4996">
        <v>0.78913520000000004</v>
      </c>
      <c r="AB4996">
        <v>18</v>
      </c>
      <c r="AC4996">
        <v>-15.8147999999999</v>
      </c>
      <c r="AD4996">
        <v>-1.1073427965689999</v>
      </c>
      <c r="AE4996">
        <v>-6.8581000000000003</v>
      </c>
      <c r="AF4996">
        <v>10.5703236015547</v>
      </c>
      <c r="AG4996">
        <v>-1.1073427965689999</v>
      </c>
      <c r="AH4996">
        <v>13.526728166213701</v>
      </c>
      <c r="AI4996">
        <v>93.690713732563495</v>
      </c>
      <c r="AJ4996">
        <v>51.994515555556099</v>
      </c>
      <c r="AK4996">
        <v>17.202625497096001</v>
      </c>
      <c r="AL4996">
        <v>77.364680717605793</v>
      </c>
      <c r="AM4996">
        <v>65.044796076251998</v>
      </c>
      <c r="AN4996">
        <v>1.00000003720574</v>
      </c>
    </row>
    <row r="4997" spans="1:40" x14ac:dyDescent="0.25">
      <c r="A4997" t="str">
        <f>"20190312172216199"</f>
        <v>20190312172216199</v>
      </c>
      <c r="B4997" t="str">
        <f>"1552382536196067"</f>
        <v>1552382536196067</v>
      </c>
      <c r="C4997" t="s">
        <v>40</v>
      </c>
      <c r="D4997">
        <v>3.201667</v>
      </c>
      <c r="E4997">
        <v>0.58185880000000001</v>
      </c>
      <c r="F4997" t="s">
        <v>42</v>
      </c>
      <c r="G4997">
        <v>-210.48750000000001</v>
      </c>
      <c r="H4997" s="1">
        <v>-5.7509280000000002E-6</v>
      </c>
      <c r="I4997">
        <v>146.5326</v>
      </c>
      <c r="J4997">
        <v>-194.64689999999999</v>
      </c>
      <c r="K4997">
        <v>1.107334</v>
      </c>
      <c r="L4997">
        <v>153.309</v>
      </c>
      <c r="M4997">
        <v>-0.48287259999999999</v>
      </c>
      <c r="N4997">
        <v>0</v>
      </c>
      <c r="O4997">
        <v>-0.87558150000000001</v>
      </c>
      <c r="P4997">
        <v>-0.78714709999999999</v>
      </c>
      <c r="Q4997">
        <v>0.2103439</v>
      </c>
      <c r="R4997">
        <v>-0.579789</v>
      </c>
      <c r="S4997">
        <v>-2.9335019999999998</v>
      </c>
      <c r="T4997">
        <v>-0.20411209999999999</v>
      </c>
      <c r="U4997">
        <v>-1.2716369999999999</v>
      </c>
      <c r="V4997">
        <v>0.41122520000000001</v>
      </c>
      <c r="W4997">
        <v>0.21900030000000001</v>
      </c>
      <c r="X4997">
        <v>0.88483480000000003</v>
      </c>
      <c r="Y4997">
        <v>0.60915559999999902</v>
      </c>
      <c r="Z4997">
        <v>6.6276740000000001E-2</v>
      </c>
      <c r="AA4997">
        <v>0.79027639999999999</v>
      </c>
      <c r="AB4997">
        <v>18</v>
      </c>
      <c r="AC4997">
        <v>-15.8406</v>
      </c>
      <c r="AD4997">
        <v>-1.1073397509280001</v>
      </c>
      <c r="AE4997">
        <v>-6.77639999999999</v>
      </c>
      <c r="AF4997">
        <v>10.555010568818201</v>
      </c>
      <c r="AG4997">
        <v>-1.1073397509280001</v>
      </c>
      <c r="AH4997">
        <v>13.5276999835504</v>
      </c>
      <c r="AI4997">
        <v>93.692560853455404</v>
      </c>
      <c r="AJ4997">
        <v>52.036804846118301</v>
      </c>
      <c r="AK4997">
        <v>17.1939848864887</v>
      </c>
      <c r="AL4997">
        <v>77.349676885379395</v>
      </c>
      <c r="AM4997">
        <v>65.073445281378895</v>
      </c>
      <c r="AN4997">
        <v>0.99999995990308399</v>
      </c>
    </row>
    <row r="4998" spans="1:40" x14ac:dyDescent="0.25">
      <c r="A4998" t="str">
        <f>"20190312172216212"</f>
        <v>20190312172216212</v>
      </c>
      <c r="B4998" t="str">
        <f>"1552382536205827"</f>
        <v>1552382536205827</v>
      </c>
      <c r="C4998" t="s">
        <v>40</v>
      </c>
      <c r="D4998">
        <v>3.1027990000000001</v>
      </c>
      <c r="E4998">
        <v>0.58160269999999903</v>
      </c>
      <c r="F4998" t="s">
        <v>42</v>
      </c>
      <c r="G4998">
        <v>-210.6961</v>
      </c>
      <c r="H4998" s="1">
        <v>-5.6534409999999996E-6</v>
      </c>
      <c r="I4998">
        <v>146.4348</v>
      </c>
      <c r="J4998">
        <v>-194.69970000000001</v>
      </c>
      <c r="K4998">
        <v>1.1073309999999901</v>
      </c>
      <c r="L4998">
        <v>153.22299999999899</v>
      </c>
      <c r="M4998">
        <v>-0.48639389999999999</v>
      </c>
      <c r="N4998">
        <v>0</v>
      </c>
      <c r="O4998">
        <v>-0.87363020000000002</v>
      </c>
      <c r="P4998">
        <v>-0.78925339999999999</v>
      </c>
      <c r="Q4998">
        <v>0.21033080000000001</v>
      </c>
      <c r="R4998">
        <v>-0.57692310000000002</v>
      </c>
      <c r="S4998">
        <v>-2.9383699999999999</v>
      </c>
      <c r="T4998">
        <v>-0.20273679999999999</v>
      </c>
      <c r="U4998">
        <v>-1.2585599999999999</v>
      </c>
      <c r="V4998">
        <v>0.41088350000000001</v>
      </c>
      <c r="W4998">
        <v>0.21898960000000001</v>
      </c>
      <c r="X4998">
        <v>0.88499619999999901</v>
      </c>
      <c r="Y4998">
        <v>0.60944209999999999</v>
      </c>
      <c r="Z4998">
        <v>6.5804769999999999E-2</v>
      </c>
      <c r="AA4998">
        <v>0.79009499999999999</v>
      </c>
      <c r="AB4998">
        <v>18</v>
      </c>
      <c r="AC4998">
        <v>-15.9963999999999</v>
      </c>
      <c r="AD4998">
        <v>-1.1073366534410001</v>
      </c>
      <c r="AE4998">
        <v>-6.7881999999999802</v>
      </c>
      <c r="AF4998">
        <v>10.6310500549687</v>
      </c>
      <c r="AG4998">
        <v>-1.1073366534410001</v>
      </c>
      <c r="AH4998">
        <v>13.6567827560091</v>
      </c>
      <c r="AI4998">
        <v>93.660941401591202</v>
      </c>
      <c r="AJ4998">
        <v>52.101215396793101</v>
      </c>
      <c r="AK4998">
        <v>17.342235581958001</v>
      </c>
      <c r="AL4998">
        <v>77.350305521489901</v>
      </c>
      <c r="AM4998">
        <v>65.095635591805703</v>
      </c>
      <c r="AN4998">
        <v>0.99999998474742402</v>
      </c>
    </row>
    <row r="4999" spans="1:40" x14ac:dyDescent="0.25">
      <c r="A4999" t="str">
        <f>"20190312172216225"</f>
        <v>20190312172216225</v>
      </c>
      <c r="B4999" t="str">
        <f>"1552382536215547"</f>
        <v>1552382536215547</v>
      </c>
      <c r="C4999" t="s">
        <v>40</v>
      </c>
      <c r="D4999">
        <v>3.1023779999999999</v>
      </c>
      <c r="E4999">
        <v>0.58147360000000003</v>
      </c>
      <c r="F4999" t="s">
        <v>42</v>
      </c>
      <c r="G4999">
        <v>-210.7841</v>
      </c>
      <c r="H4999" s="1">
        <v>-5.6123859999999999E-6</v>
      </c>
      <c r="I4999">
        <v>146.3937</v>
      </c>
      <c r="J4999">
        <v>-194.75530000000001</v>
      </c>
      <c r="K4999">
        <v>1.1073219999999999</v>
      </c>
      <c r="L4999">
        <v>153.13319999999999</v>
      </c>
      <c r="M4999">
        <v>-0.4900796</v>
      </c>
      <c r="N4999">
        <v>0</v>
      </c>
      <c r="O4999">
        <v>-0.87156809999999996</v>
      </c>
      <c r="P4999">
        <v>-0.79146559999999999</v>
      </c>
      <c r="Q4999">
        <v>0.21016899999999999</v>
      </c>
      <c r="R4999">
        <v>-0.57394400000000001</v>
      </c>
      <c r="S4999">
        <v>-2.9419400000000002</v>
      </c>
      <c r="T4999">
        <v>-0.20253979999999999</v>
      </c>
      <c r="U4999">
        <v>-1.2491300000000001</v>
      </c>
      <c r="V4999">
        <v>0.41051850000000001</v>
      </c>
      <c r="W4999">
        <v>0.21883040000000001</v>
      </c>
      <c r="X4999">
        <v>0.88520489999999996</v>
      </c>
      <c r="Y4999">
        <v>0.60859449999999904</v>
      </c>
      <c r="Z4999">
        <v>6.5680160000000001E-2</v>
      </c>
      <c r="AA4999">
        <v>0.79075839999999997</v>
      </c>
      <c r="AB4999">
        <v>18</v>
      </c>
      <c r="AC4999">
        <v>-16.028799999999901</v>
      </c>
      <c r="AD4999">
        <v>-1.1073276123860001</v>
      </c>
      <c r="AE4999">
        <v>-6.7394999999999898</v>
      </c>
      <c r="AF4999">
        <v>10.6252269905809</v>
      </c>
      <c r="AG4999">
        <v>-1.1073276123860001</v>
      </c>
      <c r="AH4999">
        <v>13.6751720447014</v>
      </c>
      <c r="AI4999">
        <v>93.658604929031995</v>
      </c>
      <c r="AJ4999">
        <v>52.153790412341699</v>
      </c>
      <c r="AK4999">
        <v>17.353153992709998</v>
      </c>
      <c r="AL4999">
        <v>77.359653289846705</v>
      </c>
      <c r="AM4999">
        <v>65.1202355454122</v>
      </c>
      <c r="AN4999">
        <v>0.99999994889520805</v>
      </c>
    </row>
    <row r="5000" spans="1:40" x14ac:dyDescent="0.25">
      <c r="A5000" t="str">
        <f>"20190312172216245"</f>
        <v>20190312172216245</v>
      </c>
      <c r="B5000" t="str">
        <f>"1552382536236042"</f>
        <v>1552382536236042</v>
      </c>
      <c r="C5000" t="s">
        <v>40</v>
      </c>
      <c r="D5000">
        <v>3.2292670000000001</v>
      </c>
      <c r="E5000">
        <v>0.58109719999999998</v>
      </c>
      <c r="F5000" t="s">
        <v>42</v>
      </c>
      <c r="G5000">
        <v>-210.77950000000001</v>
      </c>
      <c r="H5000" s="1">
        <v>-5.6146859999999998E-6</v>
      </c>
      <c r="I5000">
        <v>146.39680000000001</v>
      </c>
      <c r="J5000">
        <v>-194.845</v>
      </c>
      <c r="K5000">
        <v>1.1073139999999999</v>
      </c>
      <c r="L5000">
        <v>152.99010000000001</v>
      </c>
      <c r="M5000">
        <v>-0.49598409999999898</v>
      </c>
      <c r="N5000">
        <v>0</v>
      </c>
      <c r="O5000">
        <v>-0.86822160000000004</v>
      </c>
      <c r="P5000">
        <v>-0.79475560000000001</v>
      </c>
      <c r="Q5000">
        <v>0.20984030000000001</v>
      </c>
      <c r="R5000">
        <v>-0.56950040000000002</v>
      </c>
      <c r="S5000">
        <v>-2.9463200000000001</v>
      </c>
      <c r="T5000">
        <v>-0.20360039999999999</v>
      </c>
      <c r="U5000">
        <v>-1.238586</v>
      </c>
      <c r="V5000">
        <v>0.40954370000000001</v>
      </c>
      <c r="W5000">
        <v>0.21850990000000001</v>
      </c>
      <c r="X5000">
        <v>0.88573550000000001</v>
      </c>
      <c r="Y5000">
        <v>0.60602089999999997</v>
      </c>
      <c r="Z5000">
        <v>6.5882590000000005E-2</v>
      </c>
      <c r="AA5000">
        <v>0.79271569999999902</v>
      </c>
      <c r="AB5000">
        <v>18</v>
      </c>
      <c r="AC5000">
        <v>-15.9345</v>
      </c>
      <c r="AD5000">
        <v>-1.1073196146859901</v>
      </c>
      <c r="AE5000">
        <v>-6.5932999999999904</v>
      </c>
      <c r="AF5000">
        <v>10.522129467703801</v>
      </c>
      <c r="AG5000">
        <v>-1.1073196146859901</v>
      </c>
      <c r="AH5000">
        <v>13.573041562579601</v>
      </c>
      <c r="AI5000">
        <v>93.689148008536705</v>
      </c>
      <c r="AJ5000">
        <v>52.216346023200401</v>
      </c>
      <c r="AK5000">
        <v>17.2095561396482</v>
      </c>
      <c r="AL5000">
        <v>77.378472644363995</v>
      </c>
      <c r="AM5000">
        <v>65.185265717090502</v>
      </c>
      <c r="AN5000">
        <v>0.99999999728397504</v>
      </c>
    </row>
    <row r="5001" spans="1:40" x14ac:dyDescent="0.25">
      <c r="A5001" t="str">
        <f>"20190312172216268"</f>
        <v>20190312172216268</v>
      </c>
      <c r="B5001" t="str">
        <f>"1552382536265323"</f>
        <v>1552382536265323</v>
      </c>
      <c r="C5001" t="s">
        <v>40</v>
      </c>
      <c r="D5001">
        <v>3.1154790000000001</v>
      </c>
      <c r="E5001">
        <v>0.58075469999999996</v>
      </c>
      <c r="F5001" t="s">
        <v>42</v>
      </c>
      <c r="G5001">
        <v>-210.77019999999999</v>
      </c>
      <c r="H5001" s="1">
        <v>-5.6165969999999999E-6</v>
      </c>
      <c r="I5001">
        <v>146.38730000000001</v>
      </c>
      <c r="J5001">
        <v>-194.94399999999999</v>
      </c>
      <c r="K5001">
        <v>1.1073059999999999</v>
      </c>
      <c r="L5001">
        <v>152.8347</v>
      </c>
      <c r="M5001">
        <v>-0.5024402</v>
      </c>
      <c r="N5001">
        <v>0</v>
      </c>
      <c r="O5001">
        <v>-0.86450139999999998</v>
      </c>
      <c r="P5001">
        <v>-0.7983943</v>
      </c>
      <c r="Q5001">
        <v>0.20965490000000001</v>
      </c>
      <c r="R5001">
        <v>-0.56445719999999899</v>
      </c>
      <c r="S5001">
        <v>-2.9519199999999999</v>
      </c>
      <c r="T5001">
        <v>-0.20525470000000001</v>
      </c>
      <c r="U5001">
        <v>-1.2239070000000001</v>
      </c>
      <c r="V5001">
        <v>0.40859479999999998</v>
      </c>
      <c r="W5001">
        <v>0.2183302</v>
      </c>
      <c r="X5001">
        <v>0.88621799999999995</v>
      </c>
      <c r="Y5001">
        <v>0.60396399999999995</v>
      </c>
      <c r="Z5001">
        <v>6.6281779999999998E-2</v>
      </c>
      <c r="AA5001">
        <v>0.79425069999999998</v>
      </c>
      <c r="AB5001">
        <v>18</v>
      </c>
      <c r="AC5001">
        <v>-15.826199999999901</v>
      </c>
      <c r="AD5001">
        <v>-1.1073116165969901</v>
      </c>
      <c r="AE5001">
        <v>-6.4473999999999796</v>
      </c>
      <c r="AF5001">
        <v>10.3996736944468</v>
      </c>
      <c r="AG5001">
        <v>-1.1073116165969901</v>
      </c>
      <c r="AH5001">
        <v>13.470242770170699</v>
      </c>
      <c r="AI5001">
        <v>93.722896154386305</v>
      </c>
      <c r="AJ5001">
        <v>52.330137049324897</v>
      </c>
      <c r="AK5001">
        <v>17.053644544629002</v>
      </c>
      <c r="AL5001">
        <v>77.389024316956295</v>
      </c>
      <c r="AM5001">
        <v>65.247722952630298</v>
      </c>
      <c r="AN5001">
        <v>1.00000006517153</v>
      </c>
    </row>
    <row r="5002" spans="1:40" x14ac:dyDescent="0.25">
      <c r="A5002" t="str">
        <f>"20190312172216289"</f>
        <v>20190312172216289</v>
      </c>
      <c r="B5002" t="str">
        <f>"1552382536285819"</f>
        <v>1552382536285819</v>
      </c>
      <c r="C5002" t="s">
        <v>40</v>
      </c>
      <c r="D5002">
        <v>3.1009389999999999</v>
      </c>
      <c r="E5002">
        <v>0.58029980000000003</v>
      </c>
      <c r="F5002" t="s">
        <v>42</v>
      </c>
      <c r="G5002">
        <v>-210.61490000000001</v>
      </c>
      <c r="H5002" s="1">
        <v>-5.6854340000000003E-6</v>
      </c>
      <c r="I5002">
        <v>146.4392</v>
      </c>
      <c r="J5002">
        <v>-195.04</v>
      </c>
      <c r="K5002">
        <v>1.1072919999999999</v>
      </c>
      <c r="L5002">
        <v>152.68639999999999</v>
      </c>
      <c r="M5002">
        <v>-0.50863769999999997</v>
      </c>
      <c r="N5002">
        <v>0</v>
      </c>
      <c r="O5002">
        <v>-0.86086929999999995</v>
      </c>
      <c r="P5002">
        <v>-0.80186089999999999</v>
      </c>
      <c r="Q5002">
        <v>0.2097976</v>
      </c>
      <c r="R5002">
        <v>-0.55946790000000002</v>
      </c>
      <c r="S5002">
        <v>-2.958771</v>
      </c>
      <c r="T5002">
        <v>-0.20906810000000001</v>
      </c>
      <c r="U5002">
        <v>-1.2075039999999999</v>
      </c>
      <c r="V5002">
        <v>0.4077269</v>
      </c>
      <c r="W5002">
        <v>0.21847539999999999</v>
      </c>
      <c r="X5002">
        <v>0.88658179999999998</v>
      </c>
      <c r="Y5002">
        <v>0.60258500000000004</v>
      </c>
      <c r="Z5002">
        <v>6.7374939999999994E-2</v>
      </c>
      <c r="AA5002">
        <v>0.79520559999999996</v>
      </c>
      <c r="AB5002">
        <v>18</v>
      </c>
      <c r="AC5002">
        <v>-15.5749</v>
      </c>
      <c r="AD5002">
        <v>-1.107297685434</v>
      </c>
      <c r="AE5002">
        <v>-6.2471999999999897</v>
      </c>
      <c r="AF5002">
        <v>10.1870184665785</v>
      </c>
      <c r="AG5002">
        <v>-1.107297685434</v>
      </c>
      <c r="AH5002">
        <v>13.2436165466808</v>
      </c>
      <c r="AI5002">
        <v>93.791569696153601</v>
      </c>
      <c r="AJ5002">
        <v>52.432437775543399</v>
      </c>
      <c r="AK5002">
        <v>16.744994256138099</v>
      </c>
      <c r="AL5002">
        <v>77.380498412537307</v>
      </c>
      <c r="AM5002">
        <v>65.302942730892198</v>
      </c>
      <c r="AN5002">
        <v>1.0000000067399999</v>
      </c>
    </row>
    <row r="5003" spans="1:40" x14ac:dyDescent="0.25">
      <c r="A5003" t="str">
        <f>"20190312172216312"</f>
        <v>20190312172216312</v>
      </c>
      <c r="B5003" t="str">
        <f>"1552382536305339"</f>
        <v>1552382536305339</v>
      </c>
      <c r="C5003" t="s">
        <v>40</v>
      </c>
      <c r="D5003">
        <v>3.0882809999999998</v>
      </c>
      <c r="E5003">
        <v>0.57999290000000003</v>
      </c>
      <c r="F5003" t="s">
        <v>42</v>
      </c>
      <c r="G5003">
        <v>-210.7337</v>
      </c>
      <c r="H5003" s="1">
        <v>-5.6280610000000004E-6</v>
      </c>
      <c r="I5003">
        <v>146.37289999999999</v>
      </c>
      <c r="J5003">
        <v>-195.1397</v>
      </c>
      <c r="K5003">
        <v>1.1072869999999999</v>
      </c>
      <c r="L5003">
        <v>152.535</v>
      </c>
      <c r="M5003">
        <v>-0.515011</v>
      </c>
      <c r="N5003">
        <v>0</v>
      </c>
      <c r="O5003">
        <v>-0.8570719</v>
      </c>
      <c r="P5003">
        <v>-0.80562909999999999</v>
      </c>
      <c r="Q5003">
        <v>0.20950099999999999</v>
      </c>
      <c r="R5003">
        <v>-0.55414010000000002</v>
      </c>
      <c r="S5003">
        <v>-2.9640499999999999</v>
      </c>
      <c r="T5003">
        <v>-0.20913480000000001</v>
      </c>
      <c r="U5003">
        <v>-1.192429</v>
      </c>
      <c r="V5003">
        <v>0.4070936</v>
      </c>
      <c r="W5003">
        <v>0.2181795</v>
      </c>
      <c r="X5003">
        <v>0.8869456</v>
      </c>
      <c r="Y5003">
        <v>0.60064519999999899</v>
      </c>
      <c r="Z5003">
        <v>6.7259100000000002E-2</v>
      </c>
      <c r="AA5003">
        <v>0.79668159999999999</v>
      </c>
      <c r="AB5003">
        <v>18</v>
      </c>
      <c r="AC5003">
        <v>-15.5939999999999</v>
      </c>
      <c r="AD5003">
        <v>-1.107292628061</v>
      </c>
      <c r="AE5003">
        <v>-6.1620999999999997</v>
      </c>
      <c r="AF5003">
        <v>10.1483476429174</v>
      </c>
      <c r="AG5003">
        <v>-1.107292628061</v>
      </c>
      <c r="AH5003">
        <v>13.255908388472401</v>
      </c>
      <c r="AI5003">
        <v>93.794675386558495</v>
      </c>
      <c r="AJ5003">
        <v>52.563355615739702</v>
      </c>
      <c r="AK5003">
        <v>16.731233189733501</v>
      </c>
      <c r="AL5003">
        <v>77.397871200154896</v>
      </c>
      <c r="AM5003">
        <v>65.345647050460201</v>
      </c>
      <c r="AN5003">
        <v>0.99999999537028395</v>
      </c>
    </row>
    <row r="5004" spans="1:40" x14ac:dyDescent="0.25">
      <c r="A5004" t="str">
        <f>"20190312172216325"</f>
        <v>20190312172216325</v>
      </c>
      <c r="B5004" t="str">
        <f>"1552382536315098"</f>
        <v>1552382536315098</v>
      </c>
      <c r="C5004" t="s">
        <v>40</v>
      </c>
      <c r="D5004">
        <v>3.0896150000000002</v>
      </c>
      <c r="E5004">
        <v>0.57982679999999998</v>
      </c>
      <c r="F5004" t="s">
        <v>42</v>
      </c>
      <c r="G5004">
        <v>-210.7636</v>
      </c>
      <c r="H5004" s="1">
        <v>-5.61429099999999E-6</v>
      </c>
      <c r="I5004">
        <v>146.36009999999999</v>
      </c>
      <c r="J5004">
        <v>-195.19890000000001</v>
      </c>
      <c r="K5004">
        <v>1.1072789999999999</v>
      </c>
      <c r="L5004">
        <v>152.44640000000001</v>
      </c>
      <c r="M5004">
        <v>-0.51876659999999997</v>
      </c>
      <c r="N5004">
        <v>0</v>
      </c>
      <c r="O5004">
        <v>-0.85480389999999995</v>
      </c>
      <c r="P5004">
        <v>-0.80797450000000004</v>
      </c>
      <c r="Q5004">
        <v>0.20922769999999999</v>
      </c>
      <c r="R5004">
        <v>-0.55081880000000005</v>
      </c>
      <c r="S5004">
        <v>-2.970917</v>
      </c>
      <c r="T5004">
        <v>-0.21055409999999999</v>
      </c>
      <c r="U5004">
        <v>-1.1741790000000001</v>
      </c>
      <c r="V5004">
        <v>0.40691529999999998</v>
      </c>
      <c r="W5004">
        <v>0.21790209999999999</v>
      </c>
      <c r="X5004">
        <v>0.88709559999999998</v>
      </c>
      <c r="Y5004">
        <v>0.60197119999999904</v>
      </c>
      <c r="Z5004">
        <v>6.7687529999999996E-2</v>
      </c>
      <c r="AA5004">
        <v>0.79564380000000001</v>
      </c>
      <c r="AB5004">
        <v>18</v>
      </c>
      <c r="AC5004">
        <v>-15.564699999999901</v>
      </c>
      <c r="AD5004">
        <v>-1.107284614291</v>
      </c>
      <c r="AE5004">
        <v>-6.08630000000002</v>
      </c>
      <c r="AF5004">
        <v>10.1040144654889</v>
      </c>
      <c r="AG5004">
        <v>-1.107284614291</v>
      </c>
      <c r="AH5004">
        <v>13.220276839016501</v>
      </c>
      <c r="AI5004">
        <v>93.807207825580704</v>
      </c>
      <c r="AJ5004">
        <v>52.609985608501901</v>
      </c>
      <c r="AK5004">
        <v>16.676117870658299</v>
      </c>
      <c r="AL5004">
        <v>77.414156884713293</v>
      </c>
      <c r="AM5004">
        <v>65.358833565387698</v>
      </c>
      <c r="AN5004">
        <v>0.999999995048929</v>
      </c>
    </row>
    <row r="5005" spans="1:40" x14ac:dyDescent="0.25">
      <c r="A5005" t="str">
        <f>"20190312172216346"</f>
        <v>20190312172216346</v>
      </c>
      <c r="B5005" t="str">
        <f>"1552382536335594"</f>
        <v>1552382536335594</v>
      </c>
      <c r="C5005" t="s">
        <v>40</v>
      </c>
      <c r="D5005">
        <v>3.215255</v>
      </c>
      <c r="E5005">
        <v>0.57966899999999999</v>
      </c>
      <c r="F5005" t="s">
        <v>42</v>
      </c>
      <c r="G5005">
        <v>-210.77510000000001</v>
      </c>
      <c r="H5005" s="1">
        <v>-5.6097309999999996E-6</v>
      </c>
      <c r="I5005">
        <v>146.35919999999999</v>
      </c>
      <c r="J5005">
        <v>-195.2928</v>
      </c>
      <c r="K5005">
        <v>1.1072610000000001</v>
      </c>
      <c r="L5005">
        <v>152.3075</v>
      </c>
      <c r="M5005">
        <v>-0.524690199999999</v>
      </c>
      <c r="N5005">
        <v>0</v>
      </c>
      <c r="O5005">
        <v>-0.85118079999999996</v>
      </c>
      <c r="P5005">
        <v>-0.8114498</v>
      </c>
      <c r="Q5005">
        <v>0.20913670000000001</v>
      </c>
      <c r="R5005">
        <v>-0.54572100000000001</v>
      </c>
      <c r="S5005">
        <v>-2.9751280000000002</v>
      </c>
      <c r="T5005">
        <v>-0.21149680000000001</v>
      </c>
      <c r="U5005">
        <v>-1.1626890000000001</v>
      </c>
      <c r="V5005">
        <v>0.40636539999999999</v>
      </c>
      <c r="W5005">
        <v>0.21780759999999999</v>
      </c>
      <c r="X5005">
        <v>0.88737089999999996</v>
      </c>
      <c r="Y5005">
        <v>0.59946409999999895</v>
      </c>
      <c r="Z5005">
        <v>6.7827250000000006E-2</v>
      </c>
      <c r="AA5005">
        <v>0.79752259999999997</v>
      </c>
      <c r="AB5005">
        <v>18</v>
      </c>
      <c r="AC5005">
        <v>-15.4823</v>
      </c>
      <c r="AD5005">
        <v>-1.107266609731</v>
      </c>
      <c r="AE5005">
        <v>-5.9483000000000104</v>
      </c>
      <c r="AF5005">
        <v>10.0135545319282</v>
      </c>
      <c r="AG5005">
        <v>-1.107266609731</v>
      </c>
      <c r="AH5005">
        <v>13.1292356781212</v>
      </c>
      <c r="AI5005">
        <v>93.836400017201797</v>
      </c>
      <c r="AJ5005">
        <v>52.6675472400958</v>
      </c>
      <c r="AK5005">
        <v>16.5491432769367</v>
      </c>
      <c r="AL5005">
        <v>77.419705307582007</v>
      </c>
      <c r="AM5005">
        <v>65.394914142691604</v>
      </c>
      <c r="AN5005">
        <v>1.00000005155086</v>
      </c>
    </row>
    <row r="5006" spans="1:40" x14ac:dyDescent="0.25">
      <c r="A5006" t="str">
        <f>"20190312172216367"</f>
        <v>20190312172216367</v>
      </c>
      <c r="B5006" t="str">
        <f>"1552382536355114"</f>
        <v>1552382536355114</v>
      </c>
      <c r="C5006" t="s">
        <v>40</v>
      </c>
      <c r="D5006">
        <v>3.0821580000000002</v>
      </c>
      <c r="E5006">
        <v>0.57930700000000002</v>
      </c>
      <c r="F5006" t="s">
        <v>42</v>
      </c>
      <c r="G5006">
        <v>-210.8349</v>
      </c>
      <c r="H5006" s="1">
        <v>-5.5835709999999899E-6</v>
      </c>
      <c r="I5006">
        <v>146.34119999999999</v>
      </c>
      <c r="J5006">
        <v>-195.39099999999999</v>
      </c>
      <c r="K5006">
        <v>1.1072470000000001</v>
      </c>
      <c r="L5006">
        <v>152.16460000000001</v>
      </c>
      <c r="M5006">
        <v>-0.53083559999999996</v>
      </c>
      <c r="N5006">
        <v>0</v>
      </c>
      <c r="O5006">
        <v>-0.8473617</v>
      </c>
      <c r="P5006">
        <v>-0.81531549999999997</v>
      </c>
      <c r="Q5006">
        <v>0.2092263</v>
      </c>
      <c r="R5006">
        <v>-0.53989399999999999</v>
      </c>
      <c r="S5006">
        <v>-2.9819640000000001</v>
      </c>
      <c r="T5006">
        <v>-0.21244460000000001</v>
      </c>
      <c r="U5006">
        <v>-1.144714</v>
      </c>
      <c r="V5006">
        <v>0.4062923</v>
      </c>
      <c r="W5006">
        <v>0.21788299999999999</v>
      </c>
      <c r="X5006">
        <v>0.8873858</v>
      </c>
      <c r="Y5006">
        <v>0.59846599999999905</v>
      </c>
      <c r="Z5006">
        <v>6.7991330000000003E-2</v>
      </c>
      <c r="AA5006">
        <v>0.79825789999999996</v>
      </c>
      <c r="AB5006">
        <v>18</v>
      </c>
      <c r="AC5006">
        <v>-15.443899999999999</v>
      </c>
      <c r="AD5006">
        <v>-1.1072525835710001</v>
      </c>
      <c r="AE5006">
        <v>-5.8234000000000199</v>
      </c>
      <c r="AF5006">
        <v>9.9514746240948195</v>
      </c>
      <c r="AG5006">
        <v>-1.1072525835710001</v>
      </c>
      <c r="AH5006">
        <v>13.0751147063717</v>
      </c>
      <c r="AI5006">
        <v>93.855130097389804</v>
      </c>
      <c r="AJ5006">
        <v>52.725223656339502</v>
      </c>
      <c r="AK5006">
        <v>16.468651434243299</v>
      </c>
      <c r="AL5006">
        <v>77.415278192718105</v>
      </c>
      <c r="AM5006">
        <v>65.399180101948303</v>
      </c>
      <c r="AN5006">
        <v>0.99999999638496495</v>
      </c>
    </row>
    <row r="5007" spans="1:40" x14ac:dyDescent="0.25">
      <c r="A5007" t="str">
        <f>"20190312172216380"</f>
        <v>20190312172216380</v>
      </c>
      <c r="B5007" t="str">
        <f>"1552382536375611"</f>
        <v>1552382536375611</v>
      </c>
      <c r="C5007" t="s">
        <v>40</v>
      </c>
      <c r="D5007">
        <v>3.2311079999999999</v>
      </c>
      <c r="E5007">
        <v>0.57894690000000004</v>
      </c>
      <c r="F5007" t="s">
        <v>42</v>
      </c>
      <c r="G5007">
        <v>-210.95269999999999</v>
      </c>
      <c r="H5007" s="1">
        <v>-5.531612E-6</v>
      </c>
      <c r="I5007">
        <v>146.30330000000001</v>
      </c>
      <c r="J5007">
        <v>-195.4503</v>
      </c>
      <c r="K5007">
        <v>1.1072360000000001</v>
      </c>
      <c r="L5007">
        <v>152.07900000000001</v>
      </c>
      <c r="M5007">
        <v>-0.53452980000000005</v>
      </c>
      <c r="N5007">
        <v>0</v>
      </c>
      <c r="O5007">
        <v>-0.84503629999999996</v>
      </c>
      <c r="P5007">
        <v>-0.81749559999999999</v>
      </c>
      <c r="Q5007">
        <v>0.209479</v>
      </c>
      <c r="R5007">
        <v>-0.53648850000000003</v>
      </c>
      <c r="S5007">
        <v>-2.9887239999999999</v>
      </c>
      <c r="T5007">
        <v>-0.21265539999999999</v>
      </c>
      <c r="U5007">
        <v>-1.125702</v>
      </c>
      <c r="V5007">
        <v>0.40607310000000002</v>
      </c>
      <c r="W5007">
        <v>0.2181283</v>
      </c>
      <c r="X5007">
        <v>0.88742589999999999</v>
      </c>
      <c r="Y5007">
        <v>0.60000959999999903</v>
      </c>
      <c r="Z5007">
        <v>6.80336E-2</v>
      </c>
      <c r="AA5007">
        <v>0.79709459999999999</v>
      </c>
      <c r="AB5007">
        <v>18</v>
      </c>
      <c r="AC5007">
        <v>-15.5023999999999</v>
      </c>
      <c r="AD5007">
        <v>-1.1072415316119999</v>
      </c>
      <c r="AE5007">
        <v>-5.7756999999999996</v>
      </c>
      <c r="AF5007">
        <v>9.9691086970777896</v>
      </c>
      <c r="AG5007">
        <v>-1.1072415316119999</v>
      </c>
      <c r="AH5007">
        <v>13.1097062597195</v>
      </c>
      <c r="AI5007">
        <v>93.846175321166101</v>
      </c>
      <c r="AJ5007">
        <v>52.749289951966702</v>
      </c>
      <c r="AK5007">
        <v>16.506771648011799</v>
      </c>
      <c r="AL5007">
        <v>77.400877496627302</v>
      </c>
      <c r="AM5007">
        <v>65.411861155570193</v>
      </c>
      <c r="AN5007">
        <v>1.00000002289765</v>
      </c>
    </row>
    <row r="5008" spans="1:40" x14ac:dyDescent="0.25">
      <c r="A5008" t="str">
        <f>"20190312172216395"</f>
        <v>20190312172216395</v>
      </c>
      <c r="B5008" t="str">
        <f>"1552382536385372"</f>
        <v>1552382536385372</v>
      </c>
      <c r="C5008" t="s">
        <v>40</v>
      </c>
      <c r="D5008">
        <v>3.4470079999999998</v>
      </c>
      <c r="E5008">
        <v>0.57874869999999901</v>
      </c>
      <c r="F5008" t="s">
        <v>42</v>
      </c>
      <c r="G5008">
        <v>-211.0599</v>
      </c>
      <c r="H5008" s="1">
        <v>-5.4826279999999997E-6</v>
      </c>
      <c r="I5008">
        <v>146.2593</v>
      </c>
      <c r="J5008">
        <v>-195.52019999999999</v>
      </c>
      <c r="K5008">
        <v>1.107221</v>
      </c>
      <c r="L5008">
        <v>151.97989999999999</v>
      </c>
      <c r="M5008">
        <v>-0.53884949999999998</v>
      </c>
      <c r="N5008">
        <v>0</v>
      </c>
      <c r="O5008">
        <v>-0.84228840000000005</v>
      </c>
      <c r="P5008">
        <v>-0.82021390000000005</v>
      </c>
      <c r="Q5008">
        <v>0.2095484</v>
      </c>
      <c r="R5008">
        <v>-0.5322964</v>
      </c>
      <c r="S5008">
        <v>-2.9920650000000002</v>
      </c>
      <c r="T5008">
        <v>-0.21223810000000001</v>
      </c>
      <c r="U5008">
        <v>-1.11554</v>
      </c>
      <c r="V5008">
        <v>0.40606629999999999</v>
      </c>
      <c r="W5008">
        <v>0.2181855</v>
      </c>
      <c r="X5008">
        <v>0.88741489999999901</v>
      </c>
      <c r="Y5008">
        <v>0.59860080000000004</v>
      </c>
      <c r="Z5008">
        <v>6.7788420000000002E-2</v>
      </c>
      <c r="AA5008">
        <v>0.7981741</v>
      </c>
      <c r="AB5008">
        <v>18</v>
      </c>
      <c r="AC5008">
        <v>-15.5397</v>
      </c>
      <c r="AD5008">
        <v>-1.1072264826279901</v>
      </c>
      <c r="AE5008">
        <v>-5.7205999999999904</v>
      </c>
      <c r="AF5008">
        <v>9.9627822273288107</v>
      </c>
      <c r="AG5008">
        <v>-1.1072264826279901</v>
      </c>
      <c r="AH5008">
        <v>13.134494872248601</v>
      </c>
      <c r="AI5008">
        <v>93.842421462036</v>
      </c>
      <c r="AJ5008">
        <v>52.818941130216501</v>
      </c>
      <c r="AK5008">
        <v>16.522649174455498</v>
      </c>
      <c r="AL5008">
        <v>77.397518723634207</v>
      </c>
      <c r="AM5008">
        <v>65.411955466177801</v>
      </c>
      <c r="AN5008">
        <v>0.99999997857397405</v>
      </c>
    </row>
    <row r="5009" spans="1:40" x14ac:dyDescent="0.25">
      <c r="A5009" t="str">
        <f>"20190312172216412"</f>
        <v>20190312172216412</v>
      </c>
      <c r="B5009" t="str">
        <f>"1552382536405867"</f>
        <v>1552382536405867</v>
      </c>
      <c r="C5009" t="s">
        <v>40</v>
      </c>
      <c r="D5009">
        <v>3.1164160000000001</v>
      </c>
      <c r="E5009">
        <v>0.57841629999999999</v>
      </c>
      <c r="F5009" t="s">
        <v>42</v>
      </c>
      <c r="G5009">
        <v>-211.1695</v>
      </c>
      <c r="H5009" s="1">
        <v>-5.4346609999999998E-6</v>
      </c>
      <c r="I5009">
        <v>146.22620000000001</v>
      </c>
      <c r="J5009">
        <v>-195.60169999999999</v>
      </c>
      <c r="K5009">
        <v>1.1072029999999999</v>
      </c>
      <c r="L5009">
        <v>151.8655</v>
      </c>
      <c r="M5009">
        <v>-0.54386049999999997</v>
      </c>
      <c r="N5009">
        <v>0</v>
      </c>
      <c r="O5009">
        <v>-0.83906130000000001</v>
      </c>
      <c r="P5009">
        <v>-0.82327490000000003</v>
      </c>
      <c r="Q5009">
        <v>0.20921780000000001</v>
      </c>
      <c r="R5009">
        <v>-0.52768029999999999</v>
      </c>
      <c r="S5009">
        <v>-2.9967350000000001</v>
      </c>
      <c r="T5009">
        <v>-0.2120262</v>
      </c>
      <c r="U5009">
        <v>-1.101791</v>
      </c>
      <c r="V5009">
        <v>0.40583750000000002</v>
      </c>
      <c r="W5009">
        <v>0.21784539999999999</v>
      </c>
      <c r="X5009">
        <v>0.88760309999999898</v>
      </c>
      <c r="Y5009">
        <v>0.59747030000000001</v>
      </c>
      <c r="Z5009">
        <v>6.7598050000000007E-2</v>
      </c>
      <c r="AA5009">
        <v>0.79903669999999904</v>
      </c>
      <c r="AB5009">
        <v>18</v>
      </c>
      <c r="AC5009">
        <v>-15.5678</v>
      </c>
      <c r="AD5009">
        <v>-1.1072084346610001</v>
      </c>
      <c r="AE5009">
        <v>-5.6392999999999898</v>
      </c>
      <c r="AF5009">
        <v>9.9518051838290003</v>
      </c>
      <c r="AG5009">
        <v>-1.1072084346610001</v>
      </c>
      <c r="AH5009">
        <v>13.140936097589</v>
      </c>
      <c r="AI5009">
        <v>93.842706930797902</v>
      </c>
      <c r="AJ5009">
        <v>52.862870185615499</v>
      </c>
      <c r="AK5009">
        <v>16.521154271284601</v>
      </c>
      <c r="AL5009">
        <v>77.417485313059402</v>
      </c>
      <c r="AM5009">
        <v>65.428766514128</v>
      </c>
      <c r="AN5009">
        <v>0.999999978918509</v>
      </c>
    </row>
    <row r="5010" spans="1:40" x14ac:dyDescent="0.25">
      <c r="A5010" t="str">
        <f>"20190312172216425"</f>
        <v>20190312172216425</v>
      </c>
      <c r="B5010" t="str">
        <f>"1552382536415627"</f>
        <v>1552382536415627</v>
      </c>
      <c r="C5010" t="s">
        <v>40</v>
      </c>
      <c r="D5010">
        <v>3.1111490000000002</v>
      </c>
      <c r="E5010">
        <v>0.57823690000000005</v>
      </c>
      <c r="F5010" t="s">
        <v>42</v>
      </c>
      <c r="G5010">
        <v>-211.22380000000001</v>
      </c>
      <c r="H5010" s="1">
        <v>-5.4105309999999999E-6</v>
      </c>
      <c r="I5010">
        <v>146.20779999999999</v>
      </c>
      <c r="J5010">
        <v>-195.66139999999999</v>
      </c>
      <c r="K5010">
        <v>1.1071820000000001</v>
      </c>
      <c r="L5010">
        <v>151.7826</v>
      </c>
      <c r="M5010">
        <v>-0.54751549999999904</v>
      </c>
      <c r="N5010">
        <v>0</v>
      </c>
      <c r="O5010">
        <v>-0.83668089999999995</v>
      </c>
      <c r="P5010">
        <v>-0.82546249999999999</v>
      </c>
      <c r="Q5010">
        <v>0.20917169999999999</v>
      </c>
      <c r="R5010">
        <v>-0.52427040000000003</v>
      </c>
      <c r="S5010">
        <v>-3.0013580000000002</v>
      </c>
      <c r="T5010">
        <v>-0.21271909999999999</v>
      </c>
      <c r="U5010">
        <v>-1.086975</v>
      </c>
      <c r="V5010">
        <v>0.40565329999999999</v>
      </c>
      <c r="W5010">
        <v>0.21779090000000001</v>
      </c>
      <c r="X5010">
        <v>0.88770070000000001</v>
      </c>
      <c r="Y5010">
        <v>0.59784320000000002</v>
      </c>
      <c r="Z5010">
        <v>6.7766030000000005E-2</v>
      </c>
      <c r="AA5010">
        <v>0.7987436</v>
      </c>
      <c r="AB5010">
        <v>18</v>
      </c>
      <c r="AC5010">
        <v>-15.5624</v>
      </c>
      <c r="AD5010">
        <v>-1.10718741053099</v>
      </c>
      <c r="AE5010">
        <v>-5.5747999999999998</v>
      </c>
      <c r="AF5010">
        <v>9.9249070312986198</v>
      </c>
      <c r="AG5010">
        <v>-1.10718741053099</v>
      </c>
      <c r="AH5010">
        <v>13.127360005237801</v>
      </c>
      <c r="AI5010">
        <v>93.848932798087901</v>
      </c>
      <c r="AJ5010">
        <v>52.908989616332597</v>
      </c>
      <c r="AK5010">
        <v>16.494157276110698</v>
      </c>
      <c r="AL5010">
        <v>77.420685078871202</v>
      </c>
      <c r="AM5010">
        <v>65.440983264904105</v>
      </c>
      <c r="AN5010">
        <v>1.00000000435209</v>
      </c>
    </row>
    <row r="5011" spans="1:40" x14ac:dyDescent="0.25">
      <c r="A5011" t="str">
        <f>"20190312172216445"</f>
        <v>20190312172216445</v>
      </c>
      <c r="B5011" t="str">
        <f>"1552382536435150"</f>
        <v>1552382536435150</v>
      </c>
      <c r="C5011" t="s">
        <v>40</v>
      </c>
      <c r="D5011">
        <v>3.0779920000000001</v>
      </c>
      <c r="E5011">
        <v>0.57788260000000002</v>
      </c>
      <c r="F5011" t="s">
        <v>42</v>
      </c>
      <c r="G5011">
        <v>-211.28980000000001</v>
      </c>
      <c r="H5011" s="1">
        <v>-5.381581E-6</v>
      </c>
      <c r="I5011">
        <v>146.18729999999999</v>
      </c>
      <c r="J5011">
        <v>-195.75960000000001</v>
      </c>
      <c r="K5011">
        <v>1.1071549999999999</v>
      </c>
      <c r="L5011">
        <v>151.648</v>
      </c>
      <c r="M5011">
        <v>-0.55349700000000002</v>
      </c>
      <c r="N5011">
        <v>0</v>
      </c>
      <c r="O5011">
        <v>-0.83273600000000003</v>
      </c>
      <c r="P5011">
        <v>-0.82904539999999904</v>
      </c>
      <c r="Q5011">
        <v>0.20908840000000001</v>
      </c>
      <c r="R5011">
        <v>-0.51861970000000002</v>
      </c>
      <c r="S5011">
        <v>-3.0049739999999998</v>
      </c>
      <c r="T5011">
        <v>-0.21288650000000001</v>
      </c>
      <c r="U5011">
        <v>-1.0758509999999999</v>
      </c>
      <c r="V5011">
        <v>0.40538459999999898</v>
      </c>
      <c r="W5011">
        <v>0.2176922</v>
      </c>
      <c r="X5011">
        <v>0.88784769999999902</v>
      </c>
      <c r="Y5011">
        <v>0.59503379999999995</v>
      </c>
      <c r="Z5011">
        <v>6.7625350000000001E-2</v>
      </c>
      <c r="AA5011">
        <v>0.80085059999999997</v>
      </c>
      <c r="AB5011">
        <v>18</v>
      </c>
      <c r="AC5011">
        <v>-15.530200000000001</v>
      </c>
      <c r="AD5011">
        <v>-1.1071603815809901</v>
      </c>
      <c r="AE5011">
        <v>-5.4607000000000001</v>
      </c>
      <c r="AF5011">
        <v>9.8663989331002302</v>
      </c>
      <c r="AG5011">
        <v>-1.1071603815809901</v>
      </c>
      <c r="AH5011">
        <v>13.0853144464356</v>
      </c>
      <c r="AI5011">
        <v>93.864950670471202</v>
      </c>
      <c r="AJ5011">
        <v>52.983506010044799</v>
      </c>
      <c r="AK5011">
        <v>16.425501093717699</v>
      </c>
      <c r="AL5011">
        <v>77.426479816893007</v>
      </c>
      <c r="AM5011">
        <v>65.458916601116002</v>
      </c>
      <c r="AN5011">
        <v>1.00000005312664</v>
      </c>
    </row>
    <row r="5012" spans="1:40" x14ac:dyDescent="0.25">
      <c r="A5012" t="str">
        <f>"20190312172216468"</f>
        <v>20190312172216468</v>
      </c>
      <c r="B5012" t="str">
        <f>"1552382536465403"</f>
        <v>1552382536465403</v>
      </c>
      <c r="C5012" t="s">
        <v>40</v>
      </c>
      <c r="D5012">
        <v>3.0734689999999998</v>
      </c>
      <c r="E5012">
        <v>0.57752179999999997</v>
      </c>
      <c r="F5012" t="s">
        <v>42</v>
      </c>
      <c r="G5012">
        <v>-211.39760000000001</v>
      </c>
      <c r="H5012" s="1">
        <v>-5.3340439999999996E-6</v>
      </c>
      <c r="I5012">
        <v>146.15270000000001</v>
      </c>
      <c r="J5012">
        <v>-195.8665</v>
      </c>
      <c r="K5012">
        <v>1.107132</v>
      </c>
      <c r="L5012">
        <v>151.50399999999999</v>
      </c>
      <c r="M5012">
        <v>-0.55996519999999905</v>
      </c>
      <c r="N5012">
        <v>0</v>
      </c>
      <c r="O5012">
        <v>-0.82840009999999997</v>
      </c>
      <c r="P5012">
        <v>-0.83282839999999903</v>
      </c>
      <c r="Q5012">
        <v>0.20909900000000001</v>
      </c>
      <c r="R5012">
        <v>-0.51251759999999902</v>
      </c>
      <c r="S5012">
        <v>-3.0105740000000001</v>
      </c>
      <c r="T5012">
        <v>-0.21314669999999999</v>
      </c>
      <c r="U5012">
        <v>-1.0579379999999901</v>
      </c>
      <c r="V5012">
        <v>0.4050009</v>
      </c>
      <c r="W5012">
        <v>0.21768760000000001</v>
      </c>
      <c r="X5012">
        <v>0.88802389999999998</v>
      </c>
      <c r="Y5012">
        <v>0.59349019999999997</v>
      </c>
      <c r="Z5012">
        <v>6.753692E-2</v>
      </c>
      <c r="AA5012">
        <v>0.80200260000000001</v>
      </c>
      <c r="AB5012">
        <v>18</v>
      </c>
      <c r="AC5012">
        <v>-15.5311</v>
      </c>
      <c r="AD5012">
        <v>-1.1071373340440001</v>
      </c>
      <c r="AE5012">
        <v>-5.3512999999999797</v>
      </c>
      <c r="AF5012">
        <v>9.8257401454913502</v>
      </c>
      <c r="AG5012">
        <v>-1.1071373340440001</v>
      </c>
      <c r="AH5012">
        <v>13.071778993510501</v>
      </c>
      <c r="AI5012">
        <v>93.873180395784303</v>
      </c>
      <c r="AJ5012">
        <v>53.068700759690998</v>
      </c>
      <c r="AK5012">
        <v>16.390312032976599</v>
      </c>
      <c r="AL5012">
        <v>77.426749603735203</v>
      </c>
      <c r="AM5012">
        <v>65.483702535155501</v>
      </c>
      <c r="AN5012">
        <v>1.00000003358288</v>
      </c>
    </row>
    <row r="5013" spans="1:40" x14ac:dyDescent="0.25">
      <c r="A5013" t="str">
        <f>"20190312172216490"</f>
        <v>20190312172216490</v>
      </c>
      <c r="B5013" t="str">
        <f>"1552382536485901"</f>
        <v>1552382536485901</v>
      </c>
      <c r="C5013" t="s">
        <v>40</v>
      </c>
      <c r="D5013">
        <v>3.0872769999999998</v>
      </c>
      <c r="E5013">
        <v>0.56735570000000002</v>
      </c>
      <c r="F5013" t="s">
        <v>42</v>
      </c>
      <c r="G5013">
        <v>-211.5316</v>
      </c>
      <c r="H5013" s="1">
        <v>-5.2753369999999997E-6</v>
      </c>
      <c r="I5013">
        <v>146.11199999999999</v>
      </c>
      <c r="J5013">
        <v>-195.97489999999999</v>
      </c>
      <c r="K5013">
        <v>1.1071120000000001</v>
      </c>
      <c r="L5013">
        <v>151.3603</v>
      </c>
      <c r="M5013">
        <v>-0.56647630000000004</v>
      </c>
      <c r="N5013">
        <v>0</v>
      </c>
      <c r="O5013">
        <v>-0.82396130000000001</v>
      </c>
      <c r="P5013">
        <v>-0.83668330000000002</v>
      </c>
      <c r="Q5013">
        <v>0.2091993</v>
      </c>
      <c r="R5013">
        <v>-0.50615920000000003</v>
      </c>
      <c r="S5013">
        <v>-3.0166930000000001</v>
      </c>
      <c r="T5013">
        <v>-0.21320520000000001</v>
      </c>
      <c r="U5013">
        <v>-1.0383610000000001</v>
      </c>
      <c r="V5013">
        <v>0.4047597</v>
      </c>
      <c r="W5013">
        <v>0.21777179999999999</v>
      </c>
      <c r="X5013">
        <v>0.88811319999999905</v>
      </c>
      <c r="Y5013">
        <v>0.59231400000000001</v>
      </c>
      <c r="Z5013">
        <v>6.7385970000000003E-2</v>
      </c>
      <c r="AA5013">
        <v>0.8028843</v>
      </c>
      <c r="AB5013">
        <v>18</v>
      </c>
      <c r="AC5013">
        <v>-15.556699999999999</v>
      </c>
      <c r="AD5013">
        <v>-1.107117275337</v>
      </c>
      <c r="AE5013">
        <v>-5.2483000000000004</v>
      </c>
      <c r="AF5013">
        <v>9.8014596407482593</v>
      </c>
      <c r="AG5013">
        <v>-1.107117275337</v>
      </c>
      <c r="AH5013">
        <v>13.078691027702501</v>
      </c>
      <c r="AI5013">
        <v>93.875247823571499</v>
      </c>
      <c r="AJ5013">
        <v>53.1513006958765</v>
      </c>
      <c r="AK5013">
        <v>16.3812844047307</v>
      </c>
      <c r="AL5013">
        <v>77.421806462260307</v>
      </c>
      <c r="AM5013">
        <v>65.498760845880199</v>
      </c>
      <c r="AN5013">
        <v>1.0000000138167799</v>
      </c>
    </row>
    <row r="5014" spans="1:40" x14ac:dyDescent="0.25">
      <c r="A5014" t="str">
        <f>"20190312172216503"</f>
        <v>20190312172216503</v>
      </c>
      <c r="B5014" t="str">
        <f>"1552382536495659"</f>
        <v>1552382536495659</v>
      </c>
      <c r="C5014" t="s">
        <v>40</v>
      </c>
      <c r="D5014">
        <v>3.104473</v>
      </c>
      <c r="E5014">
        <v>0.5673125</v>
      </c>
      <c r="F5014" t="s">
        <v>42</v>
      </c>
      <c r="G5014">
        <v>-211.53749999999999</v>
      </c>
      <c r="H5014" s="1">
        <v>-5.1994749999999999E-6</v>
      </c>
      <c r="I5014">
        <v>145.6969</v>
      </c>
      <c r="J5014">
        <v>-196.03809999999999</v>
      </c>
      <c r="K5014">
        <v>1.1071</v>
      </c>
      <c r="L5014">
        <v>151.27760000000001</v>
      </c>
      <c r="M5014">
        <v>-0.57024790000000003</v>
      </c>
      <c r="N5014">
        <v>0</v>
      </c>
      <c r="O5014">
        <v>-0.82135550000000002</v>
      </c>
      <c r="P5014">
        <v>-0.83901619999999999</v>
      </c>
      <c r="Q5014">
        <v>0.2090224</v>
      </c>
      <c r="R5014">
        <v>-0.50235649999999998</v>
      </c>
      <c r="S5014">
        <v>-2.9821010000000001</v>
      </c>
      <c r="T5014">
        <v>-0.21214569999999999</v>
      </c>
      <c r="U5014">
        <v>-1.0852200000000001</v>
      </c>
      <c r="V5014">
        <v>0.40476030000000002</v>
      </c>
      <c r="W5014">
        <v>0.21758569999999999</v>
      </c>
      <c r="X5014">
        <v>0.88815849999999996</v>
      </c>
      <c r="Y5014">
        <v>0.57445040000000003</v>
      </c>
      <c r="Z5014">
        <v>6.685497E-2</v>
      </c>
      <c r="AA5014">
        <v>0.81580469999999905</v>
      </c>
      <c r="AB5014">
        <v>18</v>
      </c>
      <c r="AC5014">
        <v>-15.4994</v>
      </c>
      <c r="AD5014">
        <v>-1.1071051994750001</v>
      </c>
      <c r="AE5014">
        <v>-5.5807000000000002</v>
      </c>
      <c r="AF5014">
        <v>9.5061191269667695</v>
      </c>
      <c r="AG5014">
        <v>-1.1071051994750001</v>
      </c>
      <c r="AH5014">
        <v>13.3631753810483</v>
      </c>
      <c r="AI5014">
        <v>93.862111014899696</v>
      </c>
      <c r="AJ5014">
        <v>54.573216656499902</v>
      </c>
      <c r="AK5014">
        <v>16.436740523700099</v>
      </c>
      <c r="AL5014">
        <v>77.432730734168402</v>
      </c>
      <c r="AM5014">
        <v>65.499831605027893</v>
      </c>
      <c r="AN5014">
        <v>0.99999997921141404</v>
      </c>
    </row>
    <row r="5015" spans="1:40" x14ac:dyDescent="0.25">
      <c r="A5015" t="str">
        <f>"20190312172216525"</f>
        <v>20190312172216525</v>
      </c>
      <c r="B5015" t="str">
        <f>"1552382536515685"</f>
        <v>1552382536515685</v>
      </c>
      <c r="C5015" t="s">
        <v>40</v>
      </c>
      <c r="D5015">
        <v>3.0974279999999998</v>
      </c>
      <c r="E5015">
        <v>0.56728129999999999</v>
      </c>
      <c r="F5015" t="s">
        <v>42</v>
      </c>
      <c r="G5015">
        <v>-211.47049999999999</v>
      </c>
      <c r="H5015" s="1">
        <v>-5.2327440000000003E-6</v>
      </c>
      <c r="I5015">
        <v>145.73949999999999</v>
      </c>
      <c r="J5015">
        <v>-196.14089999999999</v>
      </c>
      <c r="K5015">
        <v>1.107089</v>
      </c>
      <c r="L5015">
        <v>151.14510000000001</v>
      </c>
      <c r="M5015">
        <v>-0.57634249999999998</v>
      </c>
      <c r="N5015">
        <v>0</v>
      </c>
      <c r="O5015">
        <v>-0.81709030000000005</v>
      </c>
      <c r="P5015">
        <v>-0.84268399999999999</v>
      </c>
      <c r="Q5015">
        <v>0.20914150000000001</v>
      </c>
      <c r="R5015">
        <v>-0.49612889999999998</v>
      </c>
      <c r="S5015">
        <v>-2.987152</v>
      </c>
      <c r="T5015">
        <v>-0.2142955</v>
      </c>
      <c r="U5015">
        <v>-1.0719909999999999</v>
      </c>
      <c r="V5015">
        <v>0.4047173</v>
      </c>
      <c r="W5015">
        <v>0.21769169999999999</v>
      </c>
      <c r="X5015">
        <v>0.8881521</v>
      </c>
      <c r="Y5015">
        <v>0.57196659999999999</v>
      </c>
      <c r="Z5015">
        <v>6.7303059999999998E-2</v>
      </c>
      <c r="AA5015">
        <v>0.81751130000000005</v>
      </c>
      <c r="AB5015">
        <v>18</v>
      </c>
      <c r="AC5015">
        <v>-15.329599999999999</v>
      </c>
      <c r="AD5015">
        <v>-1.1070942327439901</v>
      </c>
      <c r="AE5015">
        <v>-5.4056000000000202</v>
      </c>
      <c r="AF5015">
        <v>9.3676426767387397</v>
      </c>
      <c r="AG5015">
        <v>-1.1070942327439901</v>
      </c>
      <c r="AH5015">
        <v>13.1920451360629</v>
      </c>
      <c r="AI5015">
        <v>93.914355513670401</v>
      </c>
      <c r="AJ5015">
        <v>54.621521532464499</v>
      </c>
      <c r="AK5015">
        <v>16.217535010942701</v>
      </c>
      <c r="AL5015">
        <v>77.426507990774397</v>
      </c>
      <c r="AM5015">
        <v>65.501972774887506</v>
      </c>
      <c r="AN5015">
        <v>0.99999996095129395</v>
      </c>
    </row>
    <row r="5016" spans="1:40" x14ac:dyDescent="0.25">
      <c r="A5016" t="str">
        <f>"20190312172216546"</f>
        <v>20190312172216546</v>
      </c>
      <c r="B5016" t="str">
        <f>"1552382536536185"</f>
        <v>1552382536536185</v>
      </c>
      <c r="C5016" t="s">
        <v>40</v>
      </c>
      <c r="D5016">
        <v>3.036905</v>
      </c>
      <c r="E5016">
        <v>0.56725409999999998</v>
      </c>
      <c r="F5016" t="s">
        <v>42</v>
      </c>
      <c r="G5016">
        <v>-211.684</v>
      </c>
      <c r="H5016" s="1">
        <v>-5.1423709999999999E-6</v>
      </c>
      <c r="I5016">
        <v>145.69210000000001</v>
      </c>
      <c r="J5016">
        <v>-196.24860000000001</v>
      </c>
      <c r="K5016">
        <v>1.1070739999999999</v>
      </c>
      <c r="L5016">
        <v>151.0086</v>
      </c>
      <c r="M5016">
        <v>-0.58267990000000003</v>
      </c>
      <c r="N5016">
        <v>0</v>
      </c>
      <c r="O5016">
        <v>-0.8125831</v>
      </c>
      <c r="P5016">
        <v>-0.84653299999999998</v>
      </c>
      <c r="Q5016">
        <v>0.2090225</v>
      </c>
      <c r="R5016">
        <v>-0.48958299999999999</v>
      </c>
      <c r="S5016">
        <v>-2.9944609999999998</v>
      </c>
      <c r="T5016">
        <v>-0.2132877</v>
      </c>
      <c r="U5016">
        <v>-1.0505519999999999</v>
      </c>
      <c r="V5016">
        <v>0.4047248</v>
      </c>
      <c r="W5016">
        <v>0.21756049999999999</v>
      </c>
      <c r="X5016">
        <v>0.88818090000000005</v>
      </c>
      <c r="Y5016">
        <v>0.57145970000000001</v>
      </c>
      <c r="Z5016">
        <v>6.6812090000000005E-2</v>
      </c>
      <c r="AA5016">
        <v>0.81790580000000002</v>
      </c>
      <c r="AB5016">
        <v>18</v>
      </c>
      <c r="AC5016">
        <v>-15.4354</v>
      </c>
      <c r="AD5016">
        <v>-1.10707914237099</v>
      </c>
      <c r="AE5016">
        <v>-5.3164999999999898</v>
      </c>
      <c r="AF5016">
        <v>9.4023996923087694</v>
      </c>
      <c r="AG5016">
        <v>-1.10707914237099</v>
      </c>
      <c r="AH5016">
        <v>13.2543269404285</v>
      </c>
      <c r="AI5016">
        <v>93.897275755452398</v>
      </c>
      <c r="AJ5016">
        <v>54.648742652283602</v>
      </c>
      <c r="AK5016">
        <v>16.288275748070099</v>
      </c>
      <c r="AL5016">
        <v>77.434210585070801</v>
      </c>
      <c r="AM5016">
        <v>65.502273178581007</v>
      </c>
      <c r="AN5016">
        <v>1.0000000230100401</v>
      </c>
    </row>
    <row r="5017" spans="1:40" x14ac:dyDescent="0.25">
      <c r="A5017" t="str">
        <f>"20190312172216561"</f>
        <v>20190312172216561</v>
      </c>
      <c r="B5017" t="str">
        <f>"1552382536555701"</f>
        <v>1552382536555701</v>
      </c>
      <c r="C5017" t="s">
        <v>40</v>
      </c>
      <c r="D5017">
        <v>3.0489320000000002</v>
      </c>
      <c r="E5017">
        <v>0.56702030000000003</v>
      </c>
      <c r="F5017" t="s">
        <v>42</v>
      </c>
      <c r="G5017">
        <v>-211.8014</v>
      </c>
      <c r="H5017" s="1">
        <v>-5.0956750000000001E-6</v>
      </c>
      <c r="I5017">
        <v>145.6832</v>
      </c>
      <c r="J5017">
        <v>-196.31989999999999</v>
      </c>
      <c r="K5017">
        <v>1.1070629999999999</v>
      </c>
      <c r="L5017">
        <v>150.91909999999999</v>
      </c>
      <c r="M5017">
        <v>-0.58685050000000005</v>
      </c>
      <c r="N5017">
        <v>0</v>
      </c>
      <c r="O5017">
        <v>-0.80957619999999997</v>
      </c>
      <c r="P5017">
        <v>-0.84909809999999997</v>
      </c>
      <c r="Q5017">
        <v>0.20897450000000001</v>
      </c>
      <c r="R5017">
        <v>-0.4851413</v>
      </c>
      <c r="S5017">
        <v>-3.0021360000000001</v>
      </c>
      <c r="T5017">
        <v>-0.21369669999999999</v>
      </c>
      <c r="U5017">
        <v>-1.0279389999999999</v>
      </c>
      <c r="V5017">
        <v>0.40482590000000002</v>
      </c>
      <c r="W5017">
        <v>0.21750420000000001</v>
      </c>
      <c r="X5017">
        <v>0.88814859999999896</v>
      </c>
      <c r="Y5017">
        <v>0.57339079999999998</v>
      </c>
      <c r="Z5017">
        <v>6.6880690000000007E-2</v>
      </c>
      <c r="AA5017">
        <v>0.81654759999999904</v>
      </c>
      <c r="AB5017">
        <v>18</v>
      </c>
      <c r="AC5017">
        <v>-15.4815</v>
      </c>
      <c r="AD5017">
        <v>-1.1070680956750001</v>
      </c>
      <c r="AE5017">
        <v>-5.2358999999999796</v>
      </c>
      <c r="AF5017">
        <v>9.4184575023898898</v>
      </c>
      <c r="AG5017">
        <v>-1.1070680956750001</v>
      </c>
      <c r="AH5017">
        <v>13.2646039839351</v>
      </c>
      <c r="AI5017">
        <v>93.893015882852694</v>
      </c>
      <c r="AJ5017">
        <v>54.623557648091399</v>
      </c>
      <c r="AK5017">
        <v>16.305908755522101</v>
      </c>
      <c r="AL5017">
        <v>77.437515326038806</v>
      </c>
      <c r="AM5017">
        <v>65.496086539975707</v>
      </c>
      <c r="AN5017">
        <v>1.0000000110052001</v>
      </c>
    </row>
    <row r="5018" spans="1:40" x14ac:dyDescent="0.25">
      <c r="A5018" t="str">
        <f>"20190312172216579"</f>
        <v>20190312172216579</v>
      </c>
      <c r="B5018" t="str">
        <f>"1552382536576198"</f>
        <v>1552382536576198</v>
      </c>
      <c r="C5018" t="s">
        <v>40</v>
      </c>
      <c r="D5018">
        <v>3.058554</v>
      </c>
      <c r="E5018">
        <v>0.56662699999999999</v>
      </c>
      <c r="F5018" t="s">
        <v>42</v>
      </c>
      <c r="G5018">
        <v>-211.79150000000001</v>
      </c>
      <c r="H5018" s="1">
        <v>-5.102497E-6</v>
      </c>
      <c r="I5018">
        <v>145.70009999999999</v>
      </c>
      <c r="J5018">
        <v>-196.4145</v>
      </c>
      <c r="K5018">
        <v>1.1070500000000001</v>
      </c>
      <c r="L5018">
        <v>150.8023</v>
      </c>
      <c r="M5018">
        <v>-0.59234319999999996</v>
      </c>
      <c r="N5018">
        <v>0</v>
      </c>
      <c r="O5018">
        <v>-0.805566</v>
      </c>
      <c r="P5018">
        <v>-0.85260059999999904</v>
      </c>
      <c r="Q5018">
        <v>0.20858889999999999</v>
      </c>
      <c r="R5018">
        <v>-0.47912769999999999</v>
      </c>
      <c r="S5018">
        <v>-3.0066220000000001</v>
      </c>
      <c r="T5018">
        <v>-0.2151382</v>
      </c>
      <c r="U5018">
        <v>-1.01422099999999</v>
      </c>
      <c r="V5018">
        <v>0.40514280000000003</v>
      </c>
      <c r="W5018">
        <v>0.21710670000000001</v>
      </c>
      <c r="X5018">
        <v>0.88810129999999998</v>
      </c>
      <c r="Y5018">
        <v>0.57151300000000005</v>
      </c>
      <c r="Z5018">
        <v>6.7129770000000005E-2</v>
      </c>
      <c r="AA5018">
        <v>0.81784259999999998</v>
      </c>
      <c r="AB5018">
        <v>18</v>
      </c>
      <c r="AC5018">
        <v>-15.377000000000001</v>
      </c>
      <c r="AD5018">
        <v>-1.1070551024969999</v>
      </c>
      <c r="AE5018">
        <v>-5.1022000000000096</v>
      </c>
      <c r="AF5018">
        <v>9.3223115772840792</v>
      </c>
      <c r="AG5018">
        <v>-1.1070551024969999</v>
      </c>
      <c r="AH5018">
        <v>13.158457335264901</v>
      </c>
      <c r="AI5018">
        <v>93.927192311157796</v>
      </c>
      <c r="AJ5018">
        <v>54.683748601070199</v>
      </c>
      <c r="AK5018">
        <v>16.164036116883501</v>
      </c>
      <c r="AL5018">
        <v>77.460847355430005</v>
      </c>
      <c r="AM5018">
        <v>65.478009660412695</v>
      </c>
      <c r="AN5018">
        <v>0.99999996331920904</v>
      </c>
    </row>
    <row r="5019" spans="1:40" x14ac:dyDescent="0.25">
      <c r="A5019" t="str">
        <f>"20190312172216603"</f>
        <v>20190312172216603</v>
      </c>
      <c r="B5019" t="str">
        <f>"1552382536595718"</f>
        <v>1552382536595718</v>
      </c>
      <c r="C5019" t="s">
        <v>40</v>
      </c>
      <c r="D5019">
        <v>3.0427659999999999</v>
      </c>
      <c r="E5019">
        <v>0.58442810000000001</v>
      </c>
      <c r="F5019" t="s">
        <v>42</v>
      </c>
      <c r="G5019">
        <v>-211.8192</v>
      </c>
      <c r="H5019" s="1">
        <v>-5.0927390000000004E-6</v>
      </c>
      <c r="I5019">
        <v>145.70500000000001</v>
      </c>
      <c r="J5019">
        <v>-196.53049999999999</v>
      </c>
      <c r="K5019">
        <v>1.107032</v>
      </c>
      <c r="L5019">
        <v>150.66130000000001</v>
      </c>
      <c r="M5019">
        <v>-0.599024</v>
      </c>
      <c r="N5019">
        <v>0</v>
      </c>
      <c r="O5019">
        <v>-0.8006103</v>
      </c>
      <c r="P5019">
        <v>-0.85681409999999902</v>
      </c>
      <c r="Q5019">
        <v>0.20821509999999999</v>
      </c>
      <c r="R5019">
        <v>-0.47171649999999998</v>
      </c>
      <c r="S5019">
        <v>-3.011612</v>
      </c>
      <c r="T5019">
        <v>-0.2164285</v>
      </c>
      <c r="U5019">
        <v>-0.99650570000000005</v>
      </c>
      <c r="V5019">
        <v>0.40553460000000002</v>
      </c>
      <c r="W5019">
        <v>0.21671660000000001</v>
      </c>
      <c r="X5019">
        <v>0.88801779999999997</v>
      </c>
      <c r="Y5019">
        <v>0.56941200000000003</v>
      </c>
      <c r="Z5019">
        <v>6.7298520000000001E-2</v>
      </c>
      <c r="AA5019">
        <v>0.81929289999999999</v>
      </c>
      <c r="AB5019">
        <v>18</v>
      </c>
      <c r="AC5019">
        <v>-15.2887</v>
      </c>
      <c r="AD5019">
        <v>-1.1070370927390001</v>
      </c>
      <c r="AE5019">
        <v>-4.9562999999999899</v>
      </c>
      <c r="AF5019">
        <v>9.2284608684575193</v>
      </c>
      <c r="AG5019">
        <v>-1.1070370927390001</v>
      </c>
      <c r="AH5019">
        <v>13.0656434510033</v>
      </c>
      <c r="AI5019">
        <v>93.958936205890296</v>
      </c>
      <c r="AJ5019">
        <v>54.765862745535202</v>
      </c>
      <c r="AK5019">
        <v>16.0343712042006</v>
      </c>
      <c r="AL5019">
        <v>77.483744098342598</v>
      </c>
      <c r="AM5019">
        <v>65.4550548037152</v>
      </c>
      <c r="AN5019">
        <v>1.0000000048147799</v>
      </c>
    </row>
    <row r="5020" spans="1:40" x14ac:dyDescent="0.25">
      <c r="A5020" t="str">
        <f>"20190312172216615"</f>
        <v>20190312172216615</v>
      </c>
      <c r="B5020" t="str">
        <f>"1552382536605479"</f>
        <v>1552382536605479</v>
      </c>
      <c r="C5020" t="s">
        <v>40</v>
      </c>
      <c r="D5020">
        <v>2.9986290000000002</v>
      </c>
      <c r="E5020">
        <v>0.5895011</v>
      </c>
      <c r="F5020" t="s">
        <v>42</v>
      </c>
      <c r="G5020">
        <v>-214.0438</v>
      </c>
      <c r="H5020" s="1">
        <v>-4.2660640000000004E-6</v>
      </c>
      <c r="I5020">
        <v>145.86080000000001</v>
      </c>
      <c r="J5020">
        <v>-196.59719999999999</v>
      </c>
      <c r="K5020">
        <v>1.107019</v>
      </c>
      <c r="L5020">
        <v>150.5814</v>
      </c>
      <c r="M5020">
        <v>-0.60283959999999903</v>
      </c>
      <c r="N5020">
        <v>0</v>
      </c>
      <c r="O5020">
        <v>-0.79774119999999904</v>
      </c>
      <c r="P5020">
        <v>-0.85921329999999996</v>
      </c>
      <c r="Q5020">
        <v>0.20795920000000001</v>
      </c>
      <c r="R5020">
        <v>-0.46744629999999998</v>
      </c>
      <c r="S5020">
        <v>-3.083405</v>
      </c>
      <c r="T5020">
        <v>-0.19490540000000001</v>
      </c>
      <c r="U5020">
        <v>-0.8451843</v>
      </c>
      <c r="V5020">
        <v>0.40576770000000001</v>
      </c>
      <c r="W5020">
        <v>0.2164508</v>
      </c>
      <c r="X5020">
        <v>0.88797610000000005</v>
      </c>
      <c r="Y5020">
        <v>0.60793140000000001</v>
      </c>
      <c r="Z5020">
        <v>6.1020489999999997E-2</v>
      </c>
      <c r="AA5020">
        <v>0.79164129999999999</v>
      </c>
      <c r="AB5020">
        <v>17</v>
      </c>
      <c r="AC5020">
        <v>-17.4466</v>
      </c>
      <c r="AD5020">
        <v>-1.107023266064</v>
      </c>
      <c r="AE5020">
        <v>-4.7205999999999904</v>
      </c>
      <c r="AF5020">
        <v>11.031791837949999</v>
      </c>
      <c r="AG5020">
        <v>-1.107023266064</v>
      </c>
      <c r="AH5020">
        <v>14.2313108157276</v>
      </c>
      <c r="AI5020">
        <v>93.518082979849396</v>
      </c>
      <c r="AJ5020">
        <v>52.217962727773397</v>
      </c>
      <c r="AK5020">
        <v>18.0404029667109</v>
      </c>
      <c r="AL5020">
        <v>77.499343075250394</v>
      </c>
      <c r="AM5020">
        <v>65.441594428300405</v>
      </c>
      <c r="AN5020">
        <v>0.99999996467756902</v>
      </c>
    </row>
    <row r="5021" spans="1:40" x14ac:dyDescent="0.25">
      <c r="A5021" t="str">
        <f>"20190312172216636"</f>
        <v>20190312172216636</v>
      </c>
      <c r="B5021" t="str">
        <f>"1552382536625508"</f>
        <v>1552382536625508</v>
      </c>
      <c r="C5021" t="s">
        <v>40</v>
      </c>
      <c r="D5021">
        <v>3.2149429999999999</v>
      </c>
      <c r="E5021">
        <v>0.59408240000000001</v>
      </c>
      <c r="F5021" t="s">
        <v>42</v>
      </c>
      <c r="G5021">
        <v>-215.25880000000001</v>
      </c>
      <c r="H5021" s="1">
        <v>-3.7902079999999999E-6</v>
      </c>
      <c r="I5021">
        <v>145.80840000000001</v>
      </c>
      <c r="J5021">
        <v>-196.70249999999999</v>
      </c>
      <c r="K5021">
        <v>1.1070040000000001</v>
      </c>
      <c r="L5021">
        <v>150.45689999999999</v>
      </c>
      <c r="M5021">
        <v>-0.608813099999999</v>
      </c>
      <c r="N5021">
        <v>0</v>
      </c>
      <c r="O5021">
        <v>-0.79319189999999995</v>
      </c>
      <c r="P5021">
        <v>-0.86284509999999903</v>
      </c>
      <c r="Q5021">
        <v>0.20766609999999999</v>
      </c>
      <c r="R5021">
        <v>-0.46083970000000002</v>
      </c>
      <c r="S5021">
        <v>-3.104187</v>
      </c>
      <c r="T5021">
        <v>-0.18414369999999999</v>
      </c>
      <c r="U5021">
        <v>-0.79394529999999996</v>
      </c>
      <c r="V5021">
        <v>0.40597470000000002</v>
      </c>
      <c r="W5021">
        <v>0.2161449</v>
      </c>
      <c r="X5021">
        <v>0.88795599999999997</v>
      </c>
      <c r="Y5021">
        <v>0.615749199999999</v>
      </c>
      <c r="Z5021">
        <v>5.7582349999999997E-2</v>
      </c>
      <c r="AA5021">
        <v>0.78583530000000001</v>
      </c>
      <c r="AB5021">
        <v>17</v>
      </c>
      <c r="AC5021">
        <v>-18.5563</v>
      </c>
      <c r="AD5021">
        <v>-1.107007790208</v>
      </c>
      <c r="AE5021">
        <v>-4.6484999999999799</v>
      </c>
      <c r="AF5021">
        <v>11.850104567097</v>
      </c>
      <c r="AG5021">
        <v>-1.107007790208</v>
      </c>
      <c r="AH5021">
        <v>14.9359019773807</v>
      </c>
      <c r="AI5021">
        <v>93.322998191869502</v>
      </c>
      <c r="AJ5021">
        <v>51.571610132870099</v>
      </c>
      <c r="AK5021">
        <v>19.0979478577317</v>
      </c>
      <c r="AL5021">
        <v>77.5172948406111</v>
      </c>
      <c r="AM5021">
        <v>65.430055692176296</v>
      </c>
      <c r="AN5021">
        <v>0.99999996638604904</v>
      </c>
    </row>
    <row r="5022" spans="1:40" x14ac:dyDescent="0.25">
      <c r="A5022" t="str">
        <f>"20190312172216658"</f>
        <v>20190312172216658</v>
      </c>
      <c r="B5022" t="str">
        <f>"1552382536655760"</f>
        <v>1552382536655760</v>
      </c>
      <c r="C5022" t="s">
        <v>40</v>
      </c>
      <c r="D5022">
        <v>3.0105569999999999</v>
      </c>
      <c r="E5022">
        <v>0.59717349999999902</v>
      </c>
      <c r="F5022" t="s">
        <v>42</v>
      </c>
      <c r="G5022">
        <v>-216.6934</v>
      </c>
      <c r="H5022" s="1">
        <v>-3.171912E-6</v>
      </c>
      <c r="I5022">
        <v>145.7364</v>
      </c>
      <c r="J5022">
        <v>-196.8184</v>
      </c>
      <c r="K5022">
        <v>1.106981</v>
      </c>
      <c r="L5022">
        <v>150.3219</v>
      </c>
      <c r="M5022">
        <v>-0.61533850000000001</v>
      </c>
      <c r="N5022">
        <v>0</v>
      </c>
      <c r="O5022">
        <v>-0.78814010000000001</v>
      </c>
      <c r="P5022">
        <v>-0.86694930000000003</v>
      </c>
      <c r="Q5022">
        <v>0.2068905</v>
      </c>
      <c r="R5022">
        <v>-0.4534263</v>
      </c>
      <c r="S5022">
        <v>-3.124466</v>
      </c>
      <c r="T5022">
        <v>-0.17301849999999999</v>
      </c>
      <c r="U5022">
        <v>-0.73779300000000003</v>
      </c>
      <c r="V5022">
        <v>0.4064062</v>
      </c>
      <c r="W5022">
        <v>0.21535389999999999</v>
      </c>
      <c r="X5022">
        <v>0.88795079999999904</v>
      </c>
      <c r="Y5022">
        <v>0.62399609999999905</v>
      </c>
      <c r="Z5022">
        <v>5.4049340000000001E-2</v>
      </c>
      <c r="AA5022">
        <v>0.77955600000000003</v>
      </c>
      <c r="AB5022">
        <v>17</v>
      </c>
      <c r="AC5022">
        <v>-19.875</v>
      </c>
      <c r="AD5022">
        <v>-1.1069841719119999</v>
      </c>
      <c r="AE5022">
        <v>-4.5854999999999899</v>
      </c>
      <c r="AF5022">
        <v>12.8061744864464</v>
      </c>
      <c r="AG5022">
        <v>-1.1069841719119999</v>
      </c>
      <c r="AH5022">
        <v>15.798869833521501</v>
      </c>
      <c r="AI5022">
        <v>93.115617719733606</v>
      </c>
      <c r="AJ5022">
        <v>50.972627682135098</v>
      </c>
      <c r="AK5022">
        <v>20.367322036800299</v>
      </c>
      <c r="AL5022">
        <v>77.563708863874993</v>
      </c>
      <c r="AM5022">
        <v>65.406904020567794</v>
      </c>
      <c r="AN5022">
        <v>0.99999996243214395</v>
      </c>
    </row>
    <row r="5023" spans="1:40" x14ac:dyDescent="0.25">
      <c r="A5023" t="str">
        <f>"20190312172216681"</f>
        <v>20190312172216681</v>
      </c>
      <c r="B5023" t="str">
        <f>"1552382536675281"</f>
        <v>1552382536675281</v>
      </c>
      <c r="C5023" t="s">
        <v>40</v>
      </c>
      <c r="D5023">
        <v>2.9928620000000001</v>
      </c>
      <c r="E5023">
        <v>0.59750539999999996</v>
      </c>
      <c r="F5023" t="s">
        <v>42</v>
      </c>
      <c r="G5023">
        <v>-217.6934</v>
      </c>
      <c r="H5023" s="1">
        <v>-2.700789E-6</v>
      </c>
      <c r="I5023">
        <v>145.7422</v>
      </c>
      <c r="J5023">
        <v>-196.93379999999999</v>
      </c>
      <c r="K5023">
        <v>1.106965</v>
      </c>
      <c r="L5023">
        <v>150.19</v>
      </c>
      <c r="M5023">
        <v>-0.62176999999999905</v>
      </c>
      <c r="N5023">
        <v>0</v>
      </c>
      <c r="O5023">
        <v>-0.7830762</v>
      </c>
      <c r="P5023">
        <v>-0.87090119999999904</v>
      </c>
      <c r="Q5023">
        <v>0.20599619999999999</v>
      </c>
      <c r="R5023">
        <v>-0.44620310000000002</v>
      </c>
      <c r="S5023">
        <v>-3.1398769999999998</v>
      </c>
      <c r="T5023">
        <v>-0.16650529999999999</v>
      </c>
      <c r="U5023">
        <v>-0.68884279999999998</v>
      </c>
      <c r="V5023">
        <v>0.40668490000000002</v>
      </c>
      <c r="W5023">
        <v>0.21444769999999999</v>
      </c>
      <c r="X5023">
        <v>0.88804259999999902</v>
      </c>
      <c r="Y5023">
        <v>0.63012809999999997</v>
      </c>
      <c r="Z5023">
        <v>5.1948609999999999E-2</v>
      </c>
      <c r="AA5023">
        <v>0.77475150000000004</v>
      </c>
      <c r="AB5023">
        <v>17</v>
      </c>
      <c r="AC5023">
        <v>-20.759599999999999</v>
      </c>
      <c r="AD5023">
        <v>-1.106967700789</v>
      </c>
      <c r="AE5023">
        <v>-4.4478</v>
      </c>
      <c r="AF5023">
        <v>13.455567210211401</v>
      </c>
      <c r="AG5023">
        <v>-1.106967700789</v>
      </c>
      <c r="AH5023">
        <v>16.347808133811402</v>
      </c>
      <c r="AI5023">
        <v>92.992791580117796</v>
      </c>
      <c r="AJ5023">
        <v>50.542859220749897</v>
      </c>
      <c r="AK5023">
        <v>21.202087095826599</v>
      </c>
      <c r="AL5023">
        <v>77.616873419884101</v>
      </c>
      <c r="AM5023">
        <v>65.394279488389301</v>
      </c>
      <c r="AN5023">
        <v>1.00000004166902</v>
      </c>
    </row>
    <row r="5024" spans="1:40" x14ac:dyDescent="0.25">
      <c r="A5024" t="str">
        <f>"20190312172216703"</f>
        <v>20190312172216703</v>
      </c>
      <c r="B5024" t="str">
        <f>"1552382536695776"</f>
        <v>1552382536695776</v>
      </c>
      <c r="C5024" t="s">
        <v>40</v>
      </c>
      <c r="D5024">
        <v>3.2655289999999999</v>
      </c>
      <c r="E5024">
        <v>0.59741789999999995</v>
      </c>
      <c r="F5024" t="s">
        <v>42</v>
      </c>
      <c r="G5024">
        <v>-217.75810000000001</v>
      </c>
      <c r="H5024" s="1">
        <v>-2.6903759999999999E-6</v>
      </c>
      <c r="I5024">
        <v>145.81809999999999</v>
      </c>
      <c r="J5024">
        <v>-197.05279999999999</v>
      </c>
      <c r="K5024">
        <v>1.106948</v>
      </c>
      <c r="L5024">
        <v>150.0564</v>
      </c>
      <c r="M5024">
        <v>-0.6283434</v>
      </c>
      <c r="N5024">
        <v>0</v>
      </c>
      <c r="O5024">
        <v>-0.77781149999999999</v>
      </c>
      <c r="P5024">
        <v>-0.87486489999999995</v>
      </c>
      <c r="Q5024">
        <v>0.20547009999999999</v>
      </c>
      <c r="R5024">
        <v>-0.43862679999999998</v>
      </c>
      <c r="S5024">
        <v>-3.1458889999999999</v>
      </c>
      <c r="T5024">
        <v>-0.16722699999999999</v>
      </c>
      <c r="U5024">
        <v>-0.66044619999999998</v>
      </c>
      <c r="V5024">
        <v>0.40701280000000001</v>
      </c>
      <c r="W5024">
        <v>0.21390870000000001</v>
      </c>
      <c r="X5024">
        <v>0.88802230000000004</v>
      </c>
      <c r="Y5024">
        <v>0.63058110000000001</v>
      </c>
      <c r="Z5024">
        <v>5.2033469999999998E-2</v>
      </c>
      <c r="AA5024">
        <v>0.77437709999999904</v>
      </c>
      <c r="AB5024">
        <v>17</v>
      </c>
      <c r="AC5024">
        <v>-20.705300000000001</v>
      </c>
      <c r="AD5024">
        <v>-1.106950690376</v>
      </c>
      <c r="AE5024">
        <v>-4.2382999999999997</v>
      </c>
      <c r="AF5024">
        <v>13.4062387750198</v>
      </c>
      <c r="AG5024">
        <v>-1.106950690376</v>
      </c>
      <c r="AH5024">
        <v>16.2636024529907</v>
      </c>
      <c r="AI5024">
        <v>93.006402705636802</v>
      </c>
      <c r="AJ5024">
        <v>50.500923977191903</v>
      </c>
      <c r="AK5024">
        <v>21.105860386932701</v>
      </c>
      <c r="AL5024">
        <v>77.648488712904097</v>
      </c>
      <c r="AM5024">
        <v>65.376297693351304</v>
      </c>
      <c r="AN5024">
        <v>0.99999997829840903</v>
      </c>
    </row>
    <row r="5025" spans="1:40" x14ac:dyDescent="0.25">
      <c r="A5025" t="str">
        <f>"20190312172216726"</f>
        <v>20190312172216726</v>
      </c>
      <c r="B5025" t="str">
        <f>"1552382536716272"</f>
        <v>1552382536716272</v>
      </c>
      <c r="C5025" t="s">
        <v>40</v>
      </c>
      <c r="D5025">
        <v>3.0095429999999999</v>
      </c>
      <c r="E5025">
        <v>0.59710469999999904</v>
      </c>
      <c r="F5025" t="s">
        <v>42</v>
      </c>
      <c r="G5025">
        <v>-218.1165</v>
      </c>
      <c r="H5025" s="1">
        <v>-2.5205120000000002E-6</v>
      </c>
      <c r="I5025">
        <v>145.81639999999999</v>
      </c>
      <c r="J5025">
        <v>-197.17060000000001</v>
      </c>
      <c r="K5025">
        <v>1.1069340000000001</v>
      </c>
      <c r="L5025">
        <v>149.9264</v>
      </c>
      <c r="M5025">
        <v>-0.6347834</v>
      </c>
      <c r="N5025">
        <v>0</v>
      </c>
      <c r="O5025">
        <v>-0.77256459999999905</v>
      </c>
      <c r="P5025">
        <v>-0.87865530000000003</v>
      </c>
      <c r="Q5025">
        <v>0.20510210000000001</v>
      </c>
      <c r="R5025">
        <v>-0.43115930000000002</v>
      </c>
      <c r="S5025">
        <v>-3.1500699999999999</v>
      </c>
      <c r="T5025">
        <v>-0.1655442</v>
      </c>
      <c r="U5025">
        <v>-0.63409419999999905</v>
      </c>
      <c r="V5025">
        <v>0.40726770000000001</v>
      </c>
      <c r="W5025">
        <v>0.21353230000000001</v>
      </c>
      <c r="X5025">
        <v>0.88799609999999995</v>
      </c>
      <c r="Y5025">
        <v>0.63059860000000001</v>
      </c>
      <c r="Z5025">
        <v>5.1378479999999997E-2</v>
      </c>
      <c r="AA5025">
        <v>0.774406699999999</v>
      </c>
      <c r="AB5025">
        <v>17</v>
      </c>
      <c r="AC5025">
        <v>-20.945899999999899</v>
      </c>
      <c r="AD5025">
        <v>-1.1069365205120001</v>
      </c>
      <c r="AE5025">
        <v>-4.1100000000000101</v>
      </c>
      <c r="AF5025">
        <v>13.538009857328801</v>
      </c>
      <c r="AG5025">
        <v>-1.1069365205120001</v>
      </c>
      <c r="AH5025">
        <v>16.428765910605701</v>
      </c>
      <c r="AI5025">
        <v>92.976583281546397</v>
      </c>
      <c r="AJ5025">
        <v>50.510009409444798</v>
      </c>
      <c r="AK5025">
        <v>21.316832989519298</v>
      </c>
      <c r="AL5025">
        <v>77.670565793295395</v>
      </c>
      <c r="AM5025">
        <v>65.362067423639601</v>
      </c>
      <c r="AN5025">
        <v>1.0000000481108899</v>
      </c>
    </row>
    <row r="5026" spans="1:40" x14ac:dyDescent="0.25">
      <c r="A5026" t="str">
        <f>"20190312172216737"</f>
        <v>20190312172216737</v>
      </c>
      <c r="B5026" t="str">
        <f>"1552382536726034"</f>
        <v>1552382536726034</v>
      </c>
      <c r="C5026" t="s">
        <v>40</v>
      </c>
      <c r="D5026">
        <v>3.0028830000000002</v>
      </c>
      <c r="E5026">
        <v>0.59690430000000005</v>
      </c>
      <c r="F5026" t="s">
        <v>42</v>
      </c>
      <c r="G5026">
        <v>-218.5138</v>
      </c>
      <c r="H5026" s="1">
        <v>-2.3281920000000002E-6</v>
      </c>
      <c r="I5026">
        <v>145.79949999999999</v>
      </c>
      <c r="J5026">
        <v>-197.23929999999999</v>
      </c>
      <c r="K5026">
        <v>1.1069290000000001</v>
      </c>
      <c r="L5026">
        <v>149.85140000000001</v>
      </c>
      <c r="M5026">
        <v>-0.63851169999999902</v>
      </c>
      <c r="N5026">
        <v>0</v>
      </c>
      <c r="O5026">
        <v>-0.76948609999999995</v>
      </c>
      <c r="P5026">
        <v>-0.88071869999999997</v>
      </c>
      <c r="Q5026">
        <v>0.2050795</v>
      </c>
      <c r="R5026">
        <v>-0.42693950000000003</v>
      </c>
      <c r="S5026">
        <v>-3.1532900000000001</v>
      </c>
      <c r="T5026">
        <v>-0.16354099999999999</v>
      </c>
      <c r="U5026">
        <v>-0.60972599999999999</v>
      </c>
      <c r="V5026">
        <v>0.40723930000000003</v>
      </c>
      <c r="W5026">
        <v>0.21350720000000001</v>
      </c>
      <c r="X5026">
        <v>0.88801509999999995</v>
      </c>
      <c r="Y5026">
        <v>0.63279730000000001</v>
      </c>
      <c r="Z5026">
        <v>5.0745319999999997E-2</v>
      </c>
      <c r="AA5026">
        <v>0.77265289999999998</v>
      </c>
      <c r="AB5026">
        <v>17</v>
      </c>
      <c r="AC5026">
        <v>-21.2745</v>
      </c>
      <c r="AD5026">
        <v>-1.1069313281919999</v>
      </c>
      <c r="AE5026">
        <v>-4.0519000000000096</v>
      </c>
      <c r="AF5026">
        <v>13.748665612261</v>
      </c>
      <c r="AG5026">
        <v>-1.1069313281919999</v>
      </c>
      <c r="AH5026">
        <v>16.659994404261099</v>
      </c>
      <c r="AI5026">
        <v>92.933593582303303</v>
      </c>
      <c r="AJ5026">
        <v>50.468836087806402</v>
      </c>
      <c r="AK5026">
        <v>21.628835304590801</v>
      </c>
      <c r="AL5026">
        <v>77.672037198464196</v>
      </c>
      <c r="AM5026">
        <v>65.364045932175202</v>
      </c>
      <c r="AN5026">
        <v>0.99999999487216995</v>
      </c>
    </row>
    <row r="5027" spans="1:40" x14ac:dyDescent="0.25">
      <c r="A5027" t="str">
        <f>"20190312172216758"</f>
        <v>20190312172216758</v>
      </c>
      <c r="B5027" t="str">
        <f>"1552382536745553"</f>
        <v>1552382536745553</v>
      </c>
      <c r="C5027" t="s">
        <v>40</v>
      </c>
      <c r="D5027">
        <v>3.015002</v>
      </c>
      <c r="E5027">
        <v>0.59643389999999996</v>
      </c>
      <c r="F5027" t="s">
        <v>42</v>
      </c>
      <c r="G5027">
        <v>-218.81389999999999</v>
      </c>
      <c r="H5027" s="1">
        <v>-2.1798030000000002E-6</v>
      </c>
      <c r="I5027">
        <v>145.7749</v>
      </c>
      <c r="J5027">
        <v>-197.34440000000001</v>
      </c>
      <c r="K5027">
        <v>1.1069279999999999</v>
      </c>
      <c r="L5027">
        <v>149.73840000000001</v>
      </c>
      <c r="M5027">
        <v>-0.64416549999999995</v>
      </c>
      <c r="N5027">
        <v>0</v>
      </c>
      <c r="O5027">
        <v>-0.76475950000000004</v>
      </c>
      <c r="P5027">
        <v>-0.88400610000000002</v>
      </c>
      <c r="Q5027">
        <v>0.20502790000000001</v>
      </c>
      <c r="R5027">
        <v>-0.42011559999999998</v>
      </c>
      <c r="S5027">
        <v>-3.155014</v>
      </c>
      <c r="T5027">
        <v>-0.1618752</v>
      </c>
      <c r="U5027">
        <v>-0.59614560000000005</v>
      </c>
      <c r="V5027">
        <v>0.40757500000000002</v>
      </c>
      <c r="W5027">
        <v>0.21344199999999999</v>
      </c>
      <c r="X5027">
        <v>0.88787680000000002</v>
      </c>
      <c r="Y5027">
        <v>0.63041809999999998</v>
      </c>
      <c r="Z5027">
        <v>5.005014E-2</v>
      </c>
      <c r="AA5027">
        <v>0.77464060000000001</v>
      </c>
      <c r="AB5027">
        <v>17</v>
      </c>
      <c r="AC5027">
        <v>-21.469499999999901</v>
      </c>
      <c r="AD5027">
        <v>-1.106930179803</v>
      </c>
      <c r="AE5027">
        <v>-3.96350000000001</v>
      </c>
      <c r="AF5027">
        <v>13.831641109120699</v>
      </c>
      <c r="AG5027">
        <v>-1.106930179803</v>
      </c>
      <c r="AH5027">
        <v>16.819432064925799</v>
      </c>
      <c r="AI5027">
        <v>92.909946293034395</v>
      </c>
      <c r="AJ5027">
        <v>50.567461856828402</v>
      </c>
      <c r="AK5027">
        <v>21.804423523247099</v>
      </c>
      <c r="AL5027">
        <v>77.675861592571195</v>
      </c>
      <c r="AM5027">
        <v>65.342769096362701</v>
      </c>
      <c r="AN5027">
        <v>1.00000003998361</v>
      </c>
    </row>
    <row r="5028" spans="1:40" x14ac:dyDescent="0.25">
      <c r="A5028" t="str">
        <f>"20190312172216770"</f>
        <v>20190312172216770</v>
      </c>
      <c r="B5028" t="str">
        <f>"1552382536766049"</f>
        <v>1552382536766049</v>
      </c>
      <c r="C5028" t="s">
        <v>40</v>
      </c>
      <c r="D5028">
        <v>3.0273379999999999</v>
      </c>
      <c r="E5028">
        <v>0.59587349999999994</v>
      </c>
      <c r="F5028" t="s">
        <v>42</v>
      </c>
      <c r="G5028">
        <v>-219.17679999999999</v>
      </c>
      <c r="H5028" s="1">
        <v>-2.0039890000000001E-6</v>
      </c>
      <c r="I5028">
        <v>145.75880000000001</v>
      </c>
      <c r="J5028">
        <v>-197.41149999999999</v>
      </c>
      <c r="K5028">
        <v>1.106924</v>
      </c>
      <c r="L5028">
        <v>149.66739999999999</v>
      </c>
      <c r="M5028">
        <v>-0.64774480000000001</v>
      </c>
      <c r="N5028">
        <v>0</v>
      </c>
      <c r="O5028">
        <v>-0.76173000000000002</v>
      </c>
      <c r="P5028">
        <v>-0.88603679999999996</v>
      </c>
      <c r="Q5028">
        <v>0.204819</v>
      </c>
      <c r="R5028">
        <v>-0.41591879999999998</v>
      </c>
      <c r="S5028">
        <v>-3.1572719999999999</v>
      </c>
      <c r="T5028">
        <v>-0.1600782</v>
      </c>
      <c r="U5028">
        <v>-0.57551569999999996</v>
      </c>
      <c r="V5028">
        <v>0.40765899999999999</v>
      </c>
      <c r="W5028">
        <v>0.21322260000000001</v>
      </c>
      <c r="X5028">
        <v>0.88789089999999904</v>
      </c>
      <c r="Y5028">
        <v>0.63180769999999997</v>
      </c>
      <c r="Z5028">
        <v>4.9464260000000003E-2</v>
      </c>
      <c r="AA5028">
        <v>0.77354529999999999</v>
      </c>
      <c r="AB5028">
        <v>17</v>
      </c>
      <c r="AC5028">
        <v>-21.7653</v>
      </c>
      <c r="AD5028">
        <v>-1.1069260039890001</v>
      </c>
      <c r="AE5028">
        <v>-3.9085999999999701</v>
      </c>
      <c r="AF5028">
        <v>14.013756202839</v>
      </c>
      <c r="AG5028">
        <v>-1.1069260039890001</v>
      </c>
      <c r="AH5028">
        <v>17.034631917905401</v>
      </c>
      <c r="AI5028">
        <v>92.872811028114995</v>
      </c>
      <c r="AJ5028">
        <v>50.557143485298198</v>
      </c>
      <c r="AK5028">
        <v>22.085953288672801</v>
      </c>
      <c r="AL5028">
        <v>77.688727909220205</v>
      </c>
      <c r="AM5028">
        <v>65.338637100516905</v>
      </c>
      <c r="AN5028">
        <v>0.999999993867285</v>
      </c>
    </row>
    <row r="5029" spans="1:40" x14ac:dyDescent="0.25">
      <c r="A5029" t="str">
        <f>"20190312172216792"</f>
        <v>20190312172216792</v>
      </c>
      <c r="B5029" t="str">
        <f>"1552382536785569"</f>
        <v>1552382536785569</v>
      </c>
      <c r="C5029" t="s">
        <v>40</v>
      </c>
      <c r="D5029">
        <v>3.0127220000000001</v>
      </c>
      <c r="E5029">
        <v>0.5952189</v>
      </c>
      <c r="F5029" t="s">
        <v>42</v>
      </c>
      <c r="G5029">
        <v>-219.34119999999999</v>
      </c>
      <c r="H5029" s="1">
        <v>-1.9230609999999998E-6</v>
      </c>
      <c r="I5029">
        <v>145.74690000000001</v>
      </c>
      <c r="J5029">
        <v>-197.52969999999999</v>
      </c>
      <c r="K5029">
        <v>1.1069150000000001</v>
      </c>
      <c r="L5029">
        <v>149.54349999999999</v>
      </c>
      <c r="M5029">
        <v>-0.65401100000000001</v>
      </c>
      <c r="N5029">
        <v>0</v>
      </c>
      <c r="O5029">
        <v>-0.75635730000000001</v>
      </c>
      <c r="P5029">
        <v>-0.88951460000000004</v>
      </c>
      <c r="Q5029">
        <v>0.2045834</v>
      </c>
      <c r="R5029">
        <v>-0.40854629999999997</v>
      </c>
      <c r="S5029">
        <v>-3.157715</v>
      </c>
      <c r="T5029">
        <v>-0.15938849999999999</v>
      </c>
      <c r="U5029">
        <v>-0.56452939999999996</v>
      </c>
      <c r="V5029">
        <v>0.40774640000000001</v>
      </c>
      <c r="W5029">
        <v>0.21296909999999999</v>
      </c>
      <c r="X5029">
        <v>0.88791160000000002</v>
      </c>
      <c r="Y5029">
        <v>0.62805369999999905</v>
      </c>
      <c r="Z5029">
        <v>4.9030440000000002E-2</v>
      </c>
      <c r="AA5029">
        <v>0.77662379999999998</v>
      </c>
      <c r="AB5029">
        <v>17</v>
      </c>
      <c r="AC5029">
        <v>-21.811499999999899</v>
      </c>
      <c r="AD5029">
        <v>-1.1069169230610001</v>
      </c>
      <c r="AE5029">
        <v>-3.7965999999999802</v>
      </c>
      <c r="AF5029">
        <v>13.9806752416895</v>
      </c>
      <c r="AG5029">
        <v>-1.1069169230610001</v>
      </c>
      <c r="AH5029">
        <v>17.095468740986501</v>
      </c>
      <c r="AI5029">
        <v>92.869403404293095</v>
      </c>
      <c r="AJ5029">
        <v>50.723698053986901</v>
      </c>
      <c r="AK5029">
        <v>22.111978580900299</v>
      </c>
      <c r="AL5029">
        <v>77.703593752856193</v>
      </c>
      <c r="AM5029">
        <v>65.334485837080095</v>
      </c>
      <c r="AN5029">
        <v>0.99999998684116498</v>
      </c>
    </row>
    <row r="5030" spans="1:40" x14ac:dyDescent="0.25">
      <c r="A5030" t="str">
        <f>"20190312172216805"</f>
        <v>20190312172216805</v>
      </c>
      <c r="B5030" t="str">
        <f>"1552382536795329"</f>
        <v>1552382536795329</v>
      </c>
      <c r="C5030" t="s">
        <v>40</v>
      </c>
      <c r="D5030">
        <v>3.0035259999999999</v>
      </c>
      <c r="E5030">
        <v>0.59498390000000001</v>
      </c>
      <c r="F5030" t="s">
        <v>42</v>
      </c>
      <c r="G5030">
        <v>-219.58420000000001</v>
      </c>
      <c r="H5030" s="1">
        <v>-1.8102639999999999E-6</v>
      </c>
      <c r="I5030">
        <v>145.75460000000001</v>
      </c>
      <c r="J5030">
        <v>-197.5975</v>
      </c>
      <c r="K5030">
        <v>1.1069089999999999</v>
      </c>
      <c r="L5030">
        <v>149.4734</v>
      </c>
      <c r="M5030">
        <v>-0.65757080000000001</v>
      </c>
      <c r="N5030">
        <v>0</v>
      </c>
      <c r="O5030">
        <v>-0.7532643</v>
      </c>
      <c r="P5030">
        <v>-0.89141769999999998</v>
      </c>
      <c r="Q5030">
        <v>0.20460990000000001</v>
      </c>
      <c r="R5030">
        <v>-0.40436359999999999</v>
      </c>
      <c r="S5030">
        <v>-3.1597749999999998</v>
      </c>
      <c r="T5030">
        <v>-0.15858939999999999</v>
      </c>
      <c r="U5030">
        <v>-0.54284670000000002</v>
      </c>
      <c r="V5030">
        <v>0.40772740000000002</v>
      </c>
      <c r="W5030">
        <v>0.21298639999999999</v>
      </c>
      <c r="X5030">
        <v>0.88791620000000004</v>
      </c>
      <c r="Y5030">
        <v>0.6296583</v>
      </c>
      <c r="Z5030">
        <v>4.8758309999999999E-2</v>
      </c>
      <c r="AA5030">
        <v>0.77534060000000005</v>
      </c>
      <c r="AB5030">
        <v>17</v>
      </c>
      <c r="AC5030">
        <v>-21.986699999999999</v>
      </c>
      <c r="AD5030">
        <v>-1.106910810264</v>
      </c>
      <c r="AE5030">
        <v>-3.7187999999999799</v>
      </c>
      <c r="AF5030">
        <v>14.0830862276038</v>
      </c>
      <c r="AG5030">
        <v>-1.106910810264</v>
      </c>
      <c r="AH5030">
        <v>17.218294260759901</v>
      </c>
      <c r="AI5030">
        <v>92.848793840385298</v>
      </c>
      <c r="AJ5030">
        <v>50.7197814850622</v>
      </c>
      <c r="AK5030">
        <v>22.271691145625201</v>
      </c>
      <c r="AL5030">
        <v>77.702579534157195</v>
      </c>
      <c r="AM5030">
        <v>65.335610935028299</v>
      </c>
      <c r="AN5030">
        <v>1.0000000087590799</v>
      </c>
    </row>
    <row r="5031" spans="1:40" x14ac:dyDescent="0.25">
      <c r="A5031" t="str">
        <f>"20190312172216827"</f>
        <v>20190312172216827</v>
      </c>
      <c r="B5031" t="str">
        <f>"1552382536815825"</f>
        <v>1552382536815825</v>
      </c>
      <c r="C5031" t="s">
        <v>40</v>
      </c>
      <c r="D5031">
        <v>3.0001929999999999</v>
      </c>
      <c r="E5031">
        <v>0.59444140000000001</v>
      </c>
      <c r="F5031" t="s">
        <v>42</v>
      </c>
      <c r="G5031">
        <v>-219.81989999999999</v>
      </c>
      <c r="H5031" s="1">
        <v>-1.6972330000000001E-6</v>
      </c>
      <c r="I5031">
        <v>145.74850000000001</v>
      </c>
      <c r="J5031">
        <v>-197.71960000000001</v>
      </c>
      <c r="K5031">
        <v>1.1069020000000001</v>
      </c>
      <c r="L5031">
        <v>149.34889999999999</v>
      </c>
      <c r="M5031">
        <v>-0.66392769999999901</v>
      </c>
      <c r="N5031">
        <v>0</v>
      </c>
      <c r="O5031">
        <v>-0.74766759999999999</v>
      </c>
      <c r="P5031">
        <v>-0.894783</v>
      </c>
      <c r="Q5031">
        <v>0.20438990000000001</v>
      </c>
      <c r="R5031">
        <v>-0.3969741</v>
      </c>
      <c r="S5031">
        <v>-3.1612089999999999</v>
      </c>
      <c r="T5031">
        <v>-0.1574614</v>
      </c>
      <c r="U5031">
        <v>-0.52987669999999998</v>
      </c>
      <c r="V5031">
        <v>0.40759099999999998</v>
      </c>
      <c r="W5031">
        <v>0.21275759999999999</v>
      </c>
      <c r="X5031">
        <v>0.88803369999999904</v>
      </c>
      <c r="Y5031">
        <v>0.62625750000000002</v>
      </c>
      <c r="Z5031">
        <v>4.817929E-2</v>
      </c>
      <c r="AA5031">
        <v>0.77812609999999904</v>
      </c>
      <c r="AB5031">
        <v>17</v>
      </c>
      <c r="AC5031">
        <v>-22.100299999999901</v>
      </c>
      <c r="AD5031">
        <v>-1.106903697233</v>
      </c>
      <c r="AE5031">
        <v>-3.6003999999999698</v>
      </c>
      <c r="AF5031">
        <v>14.100181651417399</v>
      </c>
      <c r="AG5031">
        <v>-1.106903697233</v>
      </c>
      <c r="AH5031">
        <v>17.324245992093001</v>
      </c>
      <c r="AI5031">
        <v>92.836946742267301</v>
      </c>
      <c r="AJ5031">
        <v>50.857901102916998</v>
      </c>
      <c r="AK5031">
        <v>22.3644775837145</v>
      </c>
      <c r="AL5031">
        <v>77.715996659572298</v>
      </c>
      <c r="AM5031">
        <v>65.345754712569303</v>
      </c>
      <c r="AN5031">
        <v>1.0000000359872201</v>
      </c>
    </row>
    <row r="5032" spans="1:40" x14ac:dyDescent="0.25">
      <c r="A5032" t="str">
        <f>"20190312172216849"</f>
        <v>20190312172216849</v>
      </c>
      <c r="B5032" t="str">
        <f>"1552382536846081"</f>
        <v>1552382536846081</v>
      </c>
      <c r="C5032" t="s">
        <v>40</v>
      </c>
      <c r="D5032">
        <v>3.005925</v>
      </c>
      <c r="E5032">
        <v>0.59384609999999904</v>
      </c>
      <c r="F5032" t="s">
        <v>42</v>
      </c>
      <c r="G5032">
        <v>-220.01509999999999</v>
      </c>
      <c r="H5032" s="1">
        <v>-5.362557E-6</v>
      </c>
      <c r="I5032">
        <v>145.7706</v>
      </c>
      <c r="J5032">
        <v>-197.84039999999999</v>
      </c>
      <c r="K5032">
        <v>1.1068960000000001</v>
      </c>
      <c r="L5032">
        <v>149.2278</v>
      </c>
      <c r="M5032">
        <v>-0.67013940000000005</v>
      </c>
      <c r="N5032">
        <v>0</v>
      </c>
      <c r="O5032">
        <v>-0.74210540000000003</v>
      </c>
      <c r="P5032">
        <v>-0.89788639999999997</v>
      </c>
      <c r="Q5032">
        <v>0.20442949999999999</v>
      </c>
      <c r="R5032">
        <v>-0.38988349999999999</v>
      </c>
      <c r="S5032">
        <v>-3.1633909999999998</v>
      </c>
      <c r="T5032">
        <v>-0.15705379999999899</v>
      </c>
      <c r="U5032">
        <v>-0.50770569999999904</v>
      </c>
      <c r="V5032">
        <v>0.40720430000000002</v>
      </c>
      <c r="W5032">
        <v>0.21279490000000001</v>
      </c>
      <c r="X5032">
        <v>0.88820209999999999</v>
      </c>
      <c r="Y5032">
        <v>0.62517259999999997</v>
      </c>
      <c r="Z5032">
        <v>4.7885480000000001E-2</v>
      </c>
      <c r="AA5032">
        <v>0.77901629999999999</v>
      </c>
      <c r="AB5032">
        <v>17</v>
      </c>
      <c r="AC5032">
        <v>-22.174700000000001</v>
      </c>
      <c r="AD5032">
        <v>-1.1069013625569999</v>
      </c>
      <c r="AE5032">
        <v>-3.4571999999999998</v>
      </c>
      <c r="AF5032">
        <v>14.1062067352391</v>
      </c>
      <c r="AG5032">
        <v>-1.1069013625569999</v>
      </c>
      <c r="AH5032">
        <v>17.385135456013899</v>
      </c>
      <c r="AI5032">
        <v>92.830481977015396</v>
      </c>
      <c r="AJ5032">
        <v>50.944308243701201</v>
      </c>
      <c r="AK5032">
        <v>22.415468630115399</v>
      </c>
      <c r="AL5032">
        <v>77.713808879575595</v>
      </c>
      <c r="AM5032">
        <v>65.370482436795996</v>
      </c>
      <c r="AN5032">
        <v>0.99999999092445502</v>
      </c>
    </row>
    <row r="5033" spans="1:40" x14ac:dyDescent="0.25">
      <c r="A5033" t="str">
        <f>"20190312172216872"</f>
        <v>20190312172216872</v>
      </c>
      <c r="B5033" t="str">
        <f>"1552382536865601"</f>
        <v>1552382536865601</v>
      </c>
      <c r="C5033" t="s">
        <v>40</v>
      </c>
      <c r="D5033">
        <v>3.0061640000000001</v>
      </c>
      <c r="E5033">
        <v>0.58487199999999995</v>
      </c>
      <c r="F5033" t="s">
        <v>42</v>
      </c>
      <c r="G5033">
        <v>-220.30199999999999</v>
      </c>
      <c r="H5033" s="1">
        <v>-5.2647520000000003E-6</v>
      </c>
      <c r="I5033">
        <v>145.7697</v>
      </c>
      <c r="J5033">
        <v>-197.97</v>
      </c>
      <c r="K5033">
        <v>1.1068910000000001</v>
      </c>
      <c r="L5033">
        <v>149.1003</v>
      </c>
      <c r="M5033">
        <v>-0.67671530000000002</v>
      </c>
      <c r="N5033">
        <v>0</v>
      </c>
      <c r="O5033">
        <v>-0.73611380000000004</v>
      </c>
      <c r="P5033">
        <v>-0.90119870000000002</v>
      </c>
      <c r="Q5033">
        <v>0.20429040000000001</v>
      </c>
      <c r="R5033">
        <v>-0.38223879999999999</v>
      </c>
      <c r="S5033">
        <v>-3.1650999999999998</v>
      </c>
      <c r="T5033">
        <v>-0.15597559999999999</v>
      </c>
      <c r="U5033">
        <v>-0.48728939999999998</v>
      </c>
      <c r="V5033">
        <v>0.40687000000000001</v>
      </c>
      <c r="W5033">
        <v>0.21265600000000001</v>
      </c>
      <c r="X5033">
        <v>0.88838859999999997</v>
      </c>
      <c r="Y5033">
        <v>0.62322840000000002</v>
      </c>
      <c r="Z5033">
        <v>4.735412E-2</v>
      </c>
      <c r="AA5033">
        <v>0.78060490000000005</v>
      </c>
      <c r="AB5033">
        <v>17</v>
      </c>
      <c r="AC5033">
        <v>-22.332000000000001</v>
      </c>
      <c r="AD5033">
        <v>-1.106896264752</v>
      </c>
      <c r="AE5033">
        <v>-3.3306</v>
      </c>
      <c r="AF5033">
        <v>14.152381429871699</v>
      </c>
      <c r="AG5033">
        <v>-1.106896264752</v>
      </c>
      <c r="AH5033">
        <v>17.5236864545932</v>
      </c>
      <c r="AI5033">
        <v>92.813313706235903</v>
      </c>
      <c r="AJ5033">
        <v>51.075158139305898</v>
      </c>
      <c r="AK5033">
        <v>22.5520443959388</v>
      </c>
      <c r="AL5033">
        <v>77.721954267616297</v>
      </c>
      <c r="AM5033">
        <v>65.392858870117095</v>
      </c>
      <c r="AN5033">
        <v>1.0000000379229701</v>
      </c>
    </row>
    <row r="5034" spans="1:40" x14ac:dyDescent="0.25">
      <c r="A5034" t="str">
        <f>"20190312172216894"</f>
        <v>20190312172216894</v>
      </c>
      <c r="B5034" t="str">
        <f>"1552382536886097"</f>
        <v>1552382536886097</v>
      </c>
      <c r="C5034" t="s">
        <v>40</v>
      </c>
      <c r="D5034">
        <v>3.020016</v>
      </c>
      <c r="E5034">
        <v>0.58469300000000002</v>
      </c>
      <c r="F5034" t="s">
        <v>42</v>
      </c>
      <c r="G5034">
        <v>-222.5531</v>
      </c>
      <c r="H5034" s="1">
        <v>-4.3571409999999998E-6</v>
      </c>
      <c r="I5034">
        <v>144.97149999999999</v>
      </c>
      <c r="J5034">
        <v>-198.095</v>
      </c>
      <c r="K5034">
        <v>1.106892</v>
      </c>
      <c r="L5034">
        <v>148.97929999999999</v>
      </c>
      <c r="M5034">
        <v>-0.68298230000000004</v>
      </c>
      <c r="N5034">
        <v>0</v>
      </c>
      <c r="O5034">
        <v>-0.73030289999999998</v>
      </c>
      <c r="P5034">
        <v>-0.90426740000000005</v>
      </c>
      <c r="Q5034">
        <v>0.20383660000000001</v>
      </c>
      <c r="R5034">
        <v>-0.37516820000000001</v>
      </c>
      <c r="S5034">
        <v>-3.137451</v>
      </c>
      <c r="T5034">
        <v>-0.14126920000000001</v>
      </c>
      <c r="U5034">
        <v>-0.52693179999999995</v>
      </c>
      <c r="V5034">
        <v>0.40630119999999997</v>
      </c>
      <c r="W5034">
        <v>0.21220919999999999</v>
      </c>
      <c r="X5034">
        <v>0.88875569999999904</v>
      </c>
      <c r="Y5034">
        <v>0.60600769999999904</v>
      </c>
      <c r="Z5034">
        <v>4.264606E-2</v>
      </c>
      <c r="AA5034">
        <v>0.79431479999999999</v>
      </c>
      <c r="AB5034">
        <v>17</v>
      </c>
      <c r="AC5034">
        <v>-24.458100000000002</v>
      </c>
      <c r="AD5034">
        <v>-1.106896357141</v>
      </c>
      <c r="AE5034">
        <v>-4.0077999999999996</v>
      </c>
      <c r="AF5034">
        <v>15.095912850107799</v>
      </c>
      <c r="AG5034">
        <v>-1.106896357141</v>
      </c>
      <c r="AH5034">
        <v>19.594167619108202</v>
      </c>
      <c r="AI5034">
        <v>92.562293153982495</v>
      </c>
      <c r="AJ5034">
        <v>52.388305027033098</v>
      </c>
      <c r="AK5034">
        <v>24.759709388626</v>
      </c>
      <c r="AL5034">
        <v>77.748152139629198</v>
      </c>
      <c r="AM5034">
        <v>65.432141872345198</v>
      </c>
      <c r="AN5034">
        <v>1.00000005198428</v>
      </c>
    </row>
    <row r="5035" spans="1:40" x14ac:dyDescent="0.25">
      <c r="A5035" t="str">
        <f>"20190312172216915"</f>
        <v>20190312172216915</v>
      </c>
      <c r="B5035" t="str">
        <f>"1552382536905616"</f>
        <v>1552382536905616</v>
      </c>
      <c r="C5035" t="s">
        <v>40</v>
      </c>
      <c r="D5035">
        <v>2.977033</v>
      </c>
      <c r="E5035">
        <v>0.5843429</v>
      </c>
      <c r="F5035" t="s">
        <v>42</v>
      </c>
      <c r="G5035">
        <v>-221.97620000000001</v>
      </c>
      <c r="H5035" s="1">
        <v>-4.5853629999999998E-6</v>
      </c>
      <c r="I5035">
        <v>145.1514</v>
      </c>
      <c r="J5035">
        <v>-198.21600000000001</v>
      </c>
      <c r="K5035">
        <v>1.106894</v>
      </c>
      <c r="L5035">
        <v>148.86429999999999</v>
      </c>
      <c r="M5035">
        <v>-0.68896550000000001</v>
      </c>
      <c r="N5035">
        <v>0</v>
      </c>
      <c r="O5035">
        <v>-0.72466140000000001</v>
      </c>
      <c r="P5035">
        <v>-0.90721280000000004</v>
      </c>
      <c r="Q5035">
        <v>0.20343839999999999</v>
      </c>
      <c r="R5035">
        <v>-0.36820950000000002</v>
      </c>
      <c r="S5035">
        <v>-3.1415099999999998</v>
      </c>
      <c r="T5035">
        <v>-0.14560989999999999</v>
      </c>
      <c r="U5035">
        <v>-0.50353999999999999</v>
      </c>
      <c r="V5035">
        <v>0.40587790000000001</v>
      </c>
      <c r="W5035">
        <v>0.21181639999999999</v>
      </c>
      <c r="X5035">
        <v>0.88904269999999996</v>
      </c>
      <c r="Y5035">
        <v>0.60533079999999995</v>
      </c>
      <c r="Z5035">
        <v>4.3771530000000003E-2</v>
      </c>
      <c r="AA5035">
        <v>0.79476950000000002</v>
      </c>
      <c r="AB5035">
        <v>17</v>
      </c>
      <c r="AC5035">
        <v>-23.760200000000001</v>
      </c>
      <c r="AD5035">
        <v>-1.106898585363</v>
      </c>
      <c r="AE5035">
        <v>-3.7128999999999901</v>
      </c>
      <c r="AF5035">
        <v>14.630454963731999</v>
      </c>
      <c r="AG5035">
        <v>-1.106898585363</v>
      </c>
      <c r="AH5035">
        <v>19.022088060791901</v>
      </c>
      <c r="AI5035">
        <v>92.640906164688701</v>
      </c>
      <c r="AJ5035">
        <v>52.435042323723899</v>
      </c>
      <c r="AK5035">
        <v>24.023223578791299</v>
      </c>
      <c r="AL5035">
        <v>77.771180675412495</v>
      </c>
      <c r="AM5035">
        <v>65.461707254009099</v>
      </c>
      <c r="AN5035">
        <v>0.99999998972033</v>
      </c>
    </row>
    <row r="5036" spans="1:40" x14ac:dyDescent="0.25">
      <c r="A5036" t="str">
        <f>"20190312172216937"</f>
        <v>20190312172216937</v>
      </c>
      <c r="B5036" t="str">
        <f>"1552382536935873"</f>
        <v>1552382536935873</v>
      </c>
      <c r="C5036" t="s">
        <v>40</v>
      </c>
      <c r="D5036">
        <v>2.9544790000000001</v>
      </c>
      <c r="E5036">
        <v>0.6098095</v>
      </c>
      <c r="F5036" t="s">
        <v>42</v>
      </c>
      <c r="G5036">
        <v>-221.80529999999999</v>
      </c>
      <c r="H5036" s="1">
        <v>-4.6610290000000001E-6</v>
      </c>
      <c r="I5036">
        <v>145.25020000000001</v>
      </c>
      <c r="J5036">
        <v>-198.3425</v>
      </c>
      <c r="K5036">
        <v>1.1069</v>
      </c>
      <c r="L5036">
        <v>148.74600000000001</v>
      </c>
      <c r="M5036">
        <v>-0.69514600000000004</v>
      </c>
      <c r="N5036">
        <v>0</v>
      </c>
      <c r="O5036">
        <v>-0.71873500000000001</v>
      </c>
      <c r="P5036">
        <v>-0.91020440000000002</v>
      </c>
      <c r="Q5036">
        <v>0.2030315</v>
      </c>
      <c r="R5036">
        <v>-0.36098010000000003</v>
      </c>
      <c r="S5036">
        <v>-3.144409</v>
      </c>
      <c r="T5036">
        <v>-0.1475475</v>
      </c>
      <c r="U5036">
        <v>-0.48175050000000003</v>
      </c>
      <c r="V5036">
        <v>0.40539599999999998</v>
      </c>
      <c r="W5036">
        <v>0.21141560000000001</v>
      </c>
      <c r="X5036">
        <v>0.88935789999999904</v>
      </c>
      <c r="Y5036">
        <v>0.60398189999999996</v>
      </c>
      <c r="Z5036">
        <v>4.4152089999999998E-2</v>
      </c>
      <c r="AA5036">
        <v>0.79577419999999899</v>
      </c>
      <c r="AB5036">
        <v>17</v>
      </c>
      <c r="AC5036">
        <v>-23.462799999999898</v>
      </c>
      <c r="AD5036">
        <v>-1.1069046610290001</v>
      </c>
      <c r="AE5036">
        <v>-3.4958</v>
      </c>
      <c r="AF5036">
        <v>14.4034690782073</v>
      </c>
      <c r="AG5036">
        <v>-1.1069046610290001</v>
      </c>
      <c r="AH5036">
        <v>18.783534923590999</v>
      </c>
      <c r="AI5036">
        <v>92.677402003450496</v>
      </c>
      <c r="AJ5036">
        <v>52.518520488522199</v>
      </c>
      <c r="AK5036">
        <v>23.696125076502401</v>
      </c>
      <c r="AL5036">
        <v>77.794676746127294</v>
      </c>
      <c r="AM5036">
        <v>65.495078902241005</v>
      </c>
      <c r="AN5036">
        <v>0.99999997351588399</v>
      </c>
    </row>
    <row r="5037" spans="1:40" x14ac:dyDescent="0.25">
      <c r="A5037" t="str">
        <f>"20190312172216950"</f>
        <v>20190312172216950</v>
      </c>
      <c r="B5037" t="str">
        <f>"1552382536945634"</f>
        <v>1552382536945634</v>
      </c>
      <c r="C5037" t="s">
        <v>40</v>
      </c>
      <c r="D5037">
        <v>2.996747</v>
      </c>
      <c r="E5037">
        <v>0.60858500000000004</v>
      </c>
      <c r="F5037" t="s">
        <v>42</v>
      </c>
      <c r="G5037">
        <v>-231.643</v>
      </c>
      <c r="H5037" s="1">
        <v>-4.8449900000000003E-6</v>
      </c>
      <c r="I5037">
        <v>145.9759</v>
      </c>
      <c r="J5037">
        <v>-198.4162</v>
      </c>
      <c r="K5037">
        <v>1.1068979999999999</v>
      </c>
      <c r="L5037">
        <v>148.6782</v>
      </c>
      <c r="M5037">
        <v>-0.6987063</v>
      </c>
      <c r="N5037">
        <v>0</v>
      </c>
      <c r="O5037">
        <v>-0.71527450000000004</v>
      </c>
      <c r="P5037">
        <v>-0.91191040000000001</v>
      </c>
      <c r="Q5037">
        <v>0.20285130000000001</v>
      </c>
      <c r="R5037">
        <v>-0.35675079999999998</v>
      </c>
      <c r="S5037">
        <v>-3.2137760000000002</v>
      </c>
      <c r="T5037">
        <v>-0.1068255</v>
      </c>
      <c r="U5037">
        <v>-0.26733400000000002</v>
      </c>
      <c r="V5037">
        <v>0.40513490000000002</v>
      </c>
      <c r="W5037">
        <v>0.21123710000000001</v>
      </c>
      <c r="X5037">
        <v>0.88951930000000001</v>
      </c>
      <c r="Y5037">
        <v>0.65428330000000001</v>
      </c>
      <c r="Z5037">
        <v>3.2310739999999998E-2</v>
      </c>
      <c r="AA5037">
        <v>0.75555899999999998</v>
      </c>
      <c r="AB5037">
        <v>17</v>
      </c>
      <c r="AC5037">
        <v>-33.226799999999997</v>
      </c>
      <c r="AD5037">
        <v>-1.10690284499</v>
      </c>
      <c r="AE5037">
        <v>-2.7023000000000001</v>
      </c>
      <c r="AF5037">
        <v>21.856171748135701</v>
      </c>
      <c r="AG5037">
        <v>-1.10690284499</v>
      </c>
      <c r="AH5037">
        <v>25.123375544379901</v>
      </c>
      <c r="AI5037">
        <v>91.903841186373498</v>
      </c>
      <c r="AJ5037">
        <v>48.978243227727802</v>
      </c>
      <c r="AK5037">
        <v>33.3181853667963</v>
      </c>
      <c r="AL5037">
        <v>77.805140591029797</v>
      </c>
      <c r="AM5037">
        <v>65.512929746453594</v>
      </c>
      <c r="AN5037">
        <v>0.99999999234345505</v>
      </c>
    </row>
    <row r="5038" spans="1:40" x14ac:dyDescent="0.25">
      <c r="A5038" t="str">
        <f>"20190312172216971"</f>
        <v>20190312172216971</v>
      </c>
      <c r="B5038" t="str">
        <f>"1552382536965153"</f>
        <v>1552382536965153</v>
      </c>
      <c r="C5038" t="s">
        <v>40</v>
      </c>
      <c r="D5038">
        <v>2.9829189999999999</v>
      </c>
      <c r="E5038">
        <v>0.60718609999999995</v>
      </c>
      <c r="F5038" t="s">
        <v>42</v>
      </c>
      <c r="G5038">
        <v>-233.0789</v>
      </c>
      <c r="H5038" s="1">
        <v>-4.3350739999999999E-6</v>
      </c>
      <c r="I5038">
        <v>145.85589999999999</v>
      </c>
      <c r="J5038">
        <v>-198.53710000000001</v>
      </c>
      <c r="K5038">
        <v>1.1068929999999999</v>
      </c>
      <c r="L5038">
        <v>148.56829999999999</v>
      </c>
      <c r="M5038">
        <v>-0.70449689999999998</v>
      </c>
      <c r="N5038">
        <v>0</v>
      </c>
      <c r="O5038">
        <v>-0.70957169999999903</v>
      </c>
      <c r="P5038">
        <v>-0.91459100000000004</v>
      </c>
      <c r="Q5038">
        <v>0.20254179999999999</v>
      </c>
      <c r="R5038">
        <v>-0.3500006</v>
      </c>
      <c r="S5038">
        <v>-3.2103419999999998</v>
      </c>
      <c r="T5038">
        <v>-0.1025175</v>
      </c>
      <c r="U5038">
        <v>-0.26138309999999998</v>
      </c>
      <c r="V5038">
        <v>0.40452500000000002</v>
      </c>
      <c r="W5038">
        <v>0.21092939999999999</v>
      </c>
      <c r="X5038">
        <v>0.88986989999999999</v>
      </c>
      <c r="Y5038">
        <v>0.64950699999999995</v>
      </c>
      <c r="Z5038">
        <v>3.0852890000000001E-2</v>
      </c>
      <c r="AA5038">
        <v>0.7597294</v>
      </c>
      <c r="AB5038">
        <v>17</v>
      </c>
      <c r="AC5038">
        <v>-34.541799999999903</v>
      </c>
      <c r="AD5038">
        <v>-1.1068973350739999</v>
      </c>
      <c r="AE5038">
        <v>-2.7124000000000001</v>
      </c>
      <c r="AF5038">
        <v>22.5781343184502</v>
      </c>
      <c r="AG5038">
        <v>-1.1068973350739999</v>
      </c>
      <c r="AH5038">
        <v>26.234980742475798</v>
      </c>
      <c r="AI5038">
        <v>91.831661338061906</v>
      </c>
      <c r="AJ5038">
        <v>49.284324298972301</v>
      </c>
      <c r="AK5038">
        <v>34.630500798724398</v>
      </c>
      <c r="AL5038">
        <v>77.823177770675898</v>
      </c>
      <c r="AM5038">
        <v>65.553981130687902</v>
      </c>
      <c r="AN5038">
        <v>1.00000006316768</v>
      </c>
    </row>
    <row r="5039" spans="1:40" x14ac:dyDescent="0.25">
      <c r="A5039" t="str">
        <f>"20190312172216985"</f>
        <v>20190312172216985</v>
      </c>
      <c r="B5039" t="str">
        <f>"1552382536975889"</f>
        <v>1552382536975889</v>
      </c>
      <c r="C5039" t="s">
        <v>40</v>
      </c>
      <c r="D5039">
        <v>2.975549</v>
      </c>
      <c r="E5039">
        <v>0.60661699999999996</v>
      </c>
      <c r="F5039" t="s">
        <v>42</v>
      </c>
      <c r="G5039">
        <v>-233.41120000000001</v>
      </c>
      <c r="H5039" s="1">
        <v>-4.2244270000000003E-6</v>
      </c>
      <c r="I5039">
        <v>145.86959999999999</v>
      </c>
      <c r="J5039">
        <v>-198.61680000000001</v>
      </c>
      <c r="K5039">
        <v>1.1068849999999999</v>
      </c>
      <c r="L5039">
        <v>148.4967</v>
      </c>
      <c r="M5039">
        <v>-0.70827819999999997</v>
      </c>
      <c r="N5039">
        <v>0</v>
      </c>
      <c r="O5039">
        <v>-0.70579749999999997</v>
      </c>
      <c r="P5039">
        <v>-0.91639029999999999</v>
      </c>
      <c r="Q5039">
        <v>0.2023517</v>
      </c>
      <c r="R5039">
        <v>-0.34537309999999999</v>
      </c>
      <c r="S5039">
        <v>-3.2077179999999998</v>
      </c>
      <c r="T5039">
        <v>-0.1018124</v>
      </c>
      <c r="U5039">
        <v>-0.24821470000000001</v>
      </c>
      <c r="V5039">
        <v>0.40429700000000002</v>
      </c>
      <c r="W5039">
        <v>0.21073410000000001</v>
      </c>
      <c r="X5039">
        <v>0.89001969999999997</v>
      </c>
      <c r="Y5039">
        <v>0.64850379999999996</v>
      </c>
      <c r="Z5039">
        <v>3.0583599999999999E-2</v>
      </c>
      <c r="AA5039">
        <v>0.76059679999999996</v>
      </c>
      <c r="AB5039">
        <v>17</v>
      </c>
      <c r="AC5039">
        <v>-34.794400000000003</v>
      </c>
      <c r="AD5039">
        <v>-1.1068892244269899</v>
      </c>
      <c r="AE5039">
        <v>-2.6271000000000102</v>
      </c>
      <c r="AF5039">
        <v>22.676441796647001</v>
      </c>
      <c r="AG5039">
        <v>-1.1068892244269899</v>
      </c>
      <c r="AH5039">
        <v>26.474217636364902</v>
      </c>
      <c r="AI5039">
        <v>91.818753934993495</v>
      </c>
      <c r="AJ5039">
        <v>49.418354335082903</v>
      </c>
      <c r="AK5039">
        <v>34.8759288875507</v>
      </c>
      <c r="AL5039">
        <v>77.834624108304894</v>
      </c>
      <c r="AM5039">
        <v>65.569780158096407</v>
      </c>
      <c r="AN5039">
        <v>0.99999999574995002</v>
      </c>
    </row>
    <row r="5040" spans="1:40" x14ac:dyDescent="0.25">
      <c r="A5040" t="str">
        <f>"20190312172217016"</f>
        <v>20190312172217016</v>
      </c>
      <c r="B5040" t="str">
        <f>"1552382537005172"</f>
        <v>1552382537005172</v>
      </c>
      <c r="C5040" t="s">
        <v>40</v>
      </c>
      <c r="D5040">
        <v>2.9842610000000001</v>
      </c>
      <c r="E5040">
        <v>0.60522719999999997</v>
      </c>
      <c r="F5040" t="s">
        <v>42</v>
      </c>
      <c r="G5040">
        <v>-233.52209999999999</v>
      </c>
      <c r="H5040" s="1">
        <v>-4.1961600000000003E-6</v>
      </c>
      <c r="I5040">
        <v>145.923</v>
      </c>
      <c r="J5040">
        <v>-198.7961</v>
      </c>
      <c r="K5040">
        <v>1.106884</v>
      </c>
      <c r="L5040">
        <v>148.33879999999999</v>
      </c>
      <c r="M5040">
        <v>-0.71666850000000004</v>
      </c>
      <c r="N5040">
        <v>0</v>
      </c>
      <c r="O5040">
        <v>-0.69727680000000003</v>
      </c>
      <c r="P5040">
        <v>-0.92014099999999999</v>
      </c>
      <c r="Q5040">
        <v>0.20156109999999999</v>
      </c>
      <c r="R5040">
        <v>-0.33572879999999999</v>
      </c>
      <c r="S5040">
        <v>-3.207077</v>
      </c>
      <c r="T5040">
        <v>-0.1017004</v>
      </c>
      <c r="U5040">
        <v>-0.2364655</v>
      </c>
      <c r="V5040">
        <v>0.40311390000000002</v>
      </c>
      <c r="W5040">
        <v>0.20994070000000001</v>
      </c>
      <c r="X5040">
        <v>0.89074359999999997</v>
      </c>
      <c r="Y5040">
        <v>0.64214799999999905</v>
      </c>
      <c r="Z5040">
        <v>3.028585E-2</v>
      </c>
      <c r="AA5040">
        <v>0.76598219999999995</v>
      </c>
      <c r="AB5040">
        <v>17</v>
      </c>
      <c r="AC5040">
        <v>-34.725999999999999</v>
      </c>
      <c r="AD5040">
        <v>-1.1068881961599999</v>
      </c>
      <c r="AE5040">
        <v>-2.4157999999999902</v>
      </c>
      <c r="AF5040">
        <v>22.4617459761572</v>
      </c>
      <c r="AG5040">
        <v>-1.1068881961599999</v>
      </c>
      <c r="AH5040">
        <v>26.547211564409999</v>
      </c>
      <c r="AI5040">
        <v>91.823121212072394</v>
      </c>
      <c r="AJ5040">
        <v>49.765250627835997</v>
      </c>
      <c r="AK5040">
        <v>34.7923795625099</v>
      </c>
      <c r="AL5040">
        <v>77.881123323208996</v>
      </c>
      <c r="AM5040">
        <v>65.650449380287895</v>
      </c>
      <c r="AN5040">
        <v>1.00000003741532</v>
      </c>
    </row>
    <row r="5041" spans="1:40" x14ac:dyDescent="0.25">
      <c r="A5041" t="str">
        <f>"20190312172217038"</f>
        <v>20190312172217038</v>
      </c>
      <c r="B5041" t="str">
        <f>"1552382537025665"</f>
        <v>1552382537025665</v>
      </c>
      <c r="C5041" t="s">
        <v>40</v>
      </c>
      <c r="D5041">
        <v>2.966726</v>
      </c>
      <c r="E5041">
        <v>0.60428210000000004</v>
      </c>
      <c r="F5041" t="s">
        <v>42</v>
      </c>
      <c r="G5041">
        <v>-232.9974</v>
      </c>
      <c r="H5041" s="1">
        <v>-4.3997859999999998E-6</v>
      </c>
      <c r="I5041">
        <v>146.06440000000001</v>
      </c>
      <c r="J5041">
        <v>-198.92269999999999</v>
      </c>
      <c r="K5041">
        <v>1.106887</v>
      </c>
      <c r="L5041">
        <v>148.2296</v>
      </c>
      <c r="M5041">
        <v>-0.72250170000000002</v>
      </c>
      <c r="N5041">
        <v>0</v>
      </c>
      <c r="O5041">
        <v>-0.69123129999999999</v>
      </c>
      <c r="P5041">
        <v>-0.92264930000000001</v>
      </c>
      <c r="Q5041">
        <v>0.2022862</v>
      </c>
      <c r="R5041">
        <v>-0.32832820000000001</v>
      </c>
      <c r="S5041">
        <v>-3.2053379999999998</v>
      </c>
      <c r="T5041">
        <v>-0.1037371</v>
      </c>
      <c r="U5041">
        <v>-0.21315000000000001</v>
      </c>
      <c r="V5041">
        <v>0.40268080000000001</v>
      </c>
      <c r="W5041">
        <v>0.21065900000000001</v>
      </c>
      <c r="X5041">
        <v>0.89076979999999994</v>
      </c>
      <c r="Y5041">
        <v>0.64120080000000002</v>
      </c>
      <c r="Z5041">
        <v>3.078144E-2</v>
      </c>
      <c r="AA5041">
        <v>0.76675550000000003</v>
      </c>
      <c r="AB5041">
        <v>17</v>
      </c>
      <c r="AC5041">
        <v>-34.0747</v>
      </c>
      <c r="AD5041">
        <v>-1.1068913997859999</v>
      </c>
      <c r="AE5041">
        <v>-2.1651999999999898</v>
      </c>
      <c r="AF5041">
        <v>21.968146018345099</v>
      </c>
      <c r="AG5041">
        <v>-1.1068913997859999</v>
      </c>
      <c r="AH5041">
        <v>26.090750700600999</v>
      </c>
      <c r="AI5041">
        <v>91.858764628863298</v>
      </c>
      <c r="AJ5041">
        <v>49.902963291905699</v>
      </c>
      <c r="AK5041">
        <v>34.125531793294698</v>
      </c>
      <c r="AL5041">
        <v>77.839025130034202</v>
      </c>
      <c r="AM5041">
        <v>65.674208935962298</v>
      </c>
      <c r="AN5041">
        <v>0.99999993878083804</v>
      </c>
    </row>
    <row r="5042" spans="1:40" x14ac:dyDescent="0.25">
      <c r="A5042" t="str">
        <f>"20190312172217060"</f>
        <v>20190312172217060</v>
      </c>
      <c r="B5042" t="str">
        <f>"1552382537055921"</f>
        <v>1552382537055921</v>
      </c>
      <c r="C5042" t="s">
        <v>40</v>
      </c>
      <c r="D5042">
        <v>3.000013</v>
      </c>
      <c r="E5042">
        <v>0.59732759999999996</v>
      </c>
      <c r="F5042" t="s">
        <v>42</v>
      </c>
      <c r="G5042">
        <v>-234.90450000000001</v>
      </c>
      <c r="H5042" s="1">
        <v>-3.7472579999999998E-6</v>
      </c>
      <c r="I5042">
        <v>146.0444</v>
      </c>
      <c r="J5042">
        <v>-199.05629999999999</v>
      </c>
      <c r="K5042">
        <v>1.106892</v>
      </c>
      <c r="L5042">
        <v>148.1163</v>
      </c>
      <c r="M5042">
        <v>-0.72857419999999995</v>
      </c>
      <c r="N5042">
        <v>0</v>
      </c>
      <c r="O5042">
        <v>-0.68482790000000004</v>
      </c>
      <c r="P5042">
        <v>-0.92513570000000001</v>
      </c>
      <c r="Q5042">
        <v>0.20262740000000001</v>
      </c>
      <c r="R5042">
        <v>-0.32103979999999999</v>
      </c>
      <c r="S5042">
        <v>-3.2038880000000001</v>
      </c>
      <c r="T5042">
        <v>-9.8559620000000001E-2</v>
      </c>
      <c r="U5042">
        <v>-0.19456480000000001</v>
      </c>
      <c r="V5042">
        <v>0.40179300000000001</v>
      </c>
      <c r="W5042">
        <v>0.21100869999999999</v>
      </c>
      <c r="X5042">
        <v>0.89108790000000004</v>
      </c>
      <c r="Y5042">
        <v>0.63889910000000005</v>
      </c>
      <c r="Z5042">
        <v>2.9102980000000001E-2</v>
      </c>
      <c r="AA5042">
        <v>0.76873979999999997</v>
      </c>
      <c r="AB5042">
        <v>17</v>
      </c>
      <c r="AC5042">
        <v>-35.848199999999999</v>
      </c>
      <c r="AD5042">
        <v>-1.1068957472580001</v>
      </c>
      <c r="AE5042">
        <v>-2.0718999999999901</v>
      </c>
      <c r="AF5042">
        <v>23.020633208270102</v>
      </c>
      <c r="AG5042">
        <v>-1.1068957472580001</v>
      </c>
      <c r="AH5042">
        <v>27.513446012095301</v>
      </c>
      <c r="AI5042">
        <v>91.767309290117197</v>
      </c>
      <c r="AJ5042">
        <v>50.080614266033102</v>
      </c>
      <c r="AK5042">
        <v>35.891008386021802</v>
      </c>
      <c r="AL5042">
        <v>77.818528395308107</v>
      </c>
      <c r="AM5042">
        <v>65.729308302329201</v>
      </c>
      <c r="AN5042">
        <v>0.99999996592554896</v>
      </c>
    </row>
    <row r="5043" spans="1:40" x14ac:dyDescent="0.25">
      <c r="A5043" t="str">
        <f>"20190312172217085"</f>
        <v>20190312172217085</v>
      </c>
      <c r="B5043" t="str">
        <f>"1552382537075441"</f>
        <v>1552382537075441</v>
      </c>
      <c r="C5043" t="s">
        <v>40</v>
      </c>
      <c r="D5043">
        <v>2.9789159999999999</v>
      </c>
      <c r="E5043">
        <v>0.59764649999999997</v>
      </c>
      <c r="F5043" t="s">
        <v>42</v>
      </c>
      <c r="G5043">
        <v>-236.85489999999999</v>
      </c>
      <c r="H5043" s="1">
        <v>-2.8926379999999998E-6</v>
      </c>
      <c r="I5043">
        <v>145.48330000000001</v>
      </c>
      <c r="J5043">
        <v>-199.2</v>
      </c>
      <c r="K5043">
        <v>1.106894</v>
      </c>
      <c r="L5043">
        <v>147.99690000000001</v>
      </c>
      <c r="M5043">
        <v>-0.73501000000000005</v>
      </c>
      <c r="N5043">
        <v>0</v>
      </c>
      <c r="O5043">
        <v>-0.67791590000000002</v>
      </c>
      <c r="P5043">
        <v>-0.92795519999999998</v>
      </c>
      <c r="Q5043">
        <v>0.20245959999999999</v>
      </c>
      <c r="R5043">
        <v>-0.31290430000000002</v>
      </c>
      <c r="S5043">
        <v>-3.186172</v>
      </c>
      <c r="T5043">
        <v>-9.3303919999999999E-2</v>
      </c>
      <c r="U5043">
        <v>-0.2219391</v>
      </c>
      <c r="V5043">
        <v>0.40121689999999999</v>
      </c>
      <c r="W5043">
        <v>0.21084359999999999</v>
      </c>
      <c r="X5043">
        <v>0.89138660000000003</v>
      </c>
      <c r="Y5043">
        <v>0.6247566</v>
      </c>
      <c r="Z5043">
        <v>2.7333980000000001E-2</v>
      </c>
      <c r="AA5043">
        <v>0.78034099999999995</v>
      </c>
      <c r="AB5043">
        <v>17</v>
      </c>
      <c r="AC5043">
        <v>-37.654899999999998</v>
      </c>
      <c r="AD5043">
        <v>-1.1068968926380001</v>
      </c>
      <c r="AE5043">
        <v>-2.5135999999999901</v>
      </c>
      <c r="AF5043">
        <v>23.661232768848802</v>
      </c>
      <c r="AG5043">
        <v>-1.1068968926380001</v>
      </c>
      <c r="AH5043">
        <v>29.3582775354106</v>
      </c>
      <c r="AI5043">
        <v>91.681479522358003</v>
      </c>
      <c r="AJ5043">
        <v>51.133006370171401</v>
      </c>
      <c r="AK5043">
        <v>37.722508091572699</v>
      </c>
      <c r="AL5043">
        <v>77.828206656828698</v>
      </c>
      <c r="AM5043">
        <v>65.767287495858398</v>
      </c>
      <c r="AN5043">
        <v>1.0000000475830599</v>
      </c>
    </row>
    <row r="5044" spans="1:40" x14ac:dyDescent="0.25">
      <c r="A5044" t="str">
        <f>"20190312172217106"</f>
        <v>20190312172217106</v>
      </c>
      <c r="B5044" t="str">
        <f>"1552382537095937"</f>
        <v>1552382537095937</v>
      </c>
      <c r="C5044" t="s">
        <v>40</v>
      </c>
      <c r="D5044">
        <v>2.9814259999999999</v>
      </c>
      <c r="E5044">
        <v>0.59713700000000003</v>
      </c>
      <c r="F5044" t="s">
        <v>42</v>
      </c>
      <c r="G5044">
        <v>-238.20490000000001</v>
      </c>
      <c r="H5044" s="1">
        <v>-2.3568520000000002E-6</v>
      </c>
      <c r="I5044">
        <v>145.6463</v>
      </c>
      <c r="J5044">
        <v>-199.33009999999999</v>
      </c>
      <c r="K5044">
        <v>1.106895</v>
      </c>
      <c r="L5044">
        <v>147.89070000000001</v>
      </c>
      <c r="M5044">
        <v>-0.74074549999999995</v>
      </c>
      <c r="N5044">
        <v>0</v>
      </c>
      <c r="O5044">
        <v>-0.67164460000000004</v>
      </c>
      <c r="P5044">
        <v>-0.93033829999999995</v>
      </c>
      <c r="Q5044">
        <v>0.20179939999999999</v>
      </c>
      <c r="R5044">
        <v>-0.30618299999999998</v>
      </c>
      <c r="S5044">
        <v>-3.187881</v>
      </c>
      <c r="T5044">
        <v>-9.0466980000000002E-2</v>
      </c>
      <c r="U5044">
        <v>-0.19210820000000001</v>
      </c>
      <c r="V5044">
        <v>0.40017019999999998</v>
      </c>
      <c r="W5044">
        <v>0.21019289999999999</v>
      </c>
      <c r="X5044">
        <v>0.89201049999999904</v>
      </c>
      <c r="Y5044">
        <v>0.62545459999999997</v>
      </c>
      <c r="Z5044">
        <v>2.6395060000000001E-2</v>
      </c>
      <c r="AA5044">
        <v>0.77981400000000001</v>
      </c>
      <c r="AB5044">
        <v>17</v>
      </c>
      <c r="AC5044">
        <v>-38.8748</v>
      </c>
      <c r="AD5044">
        <v>-1.106897356852</v>
      </c>
      <c r="AE5044">
        <v>-2.2444000000000099</v>
      </c>
      <c r="AF5044">
        <v>24.43009817399</v>
      </c>
      <c r="AG5044">
        <v>-1.106897356852</v>
      </c>
      <c r="AH5044">
        <v>30.282176820400402</v>
      </c>
      <c r="AI5044">
        <v>91.629569474664606</v>
      </c>
      <c r="AJ5044">
        <v>51.105200942342002</v>
      </c>
      <c r="AK5044">
        <v>38.923837831480597</v>
      </c>
      <c r="AL5044">
        <v>77.866342940589206</v>
      </c>
      <c r="AM5044">
        <v>65.838231636343096</v>
      </c>
      <c r="AN5044">
        <v>0.99999998814434898</v>
      </c>
    </row>
    <row r="5045" spans="1:40" x14ac:dyDescent="0.25">
      <c r="A5045" t="str">
        <f>"20190312172217128"</f>
        <v>20190312172217128</v>
      </c>
      <c r="B5045" t="str">
        <f>"1552382537115457"</f>
        <v>1552382537115457</v>
      </c>
      <c r="C5045" t="s">
        <v>40</v>
      </c>
      <c r="D5045">
        <v>2.9886699999999999</v>
      </c>
      <c r="E5045">
        <v>0.59651109999999996</v>
      </c>
      <c r="F5045" t="s">
        <v>42</v>
      </c>
      <c r="G5045">
        <v>-238.14580000000001</v>
      </c>
      <c r="H5045" s="1">
        <v>-2.417181E-6</v>
      </c>
      <c r="I5045">
        <v>145.77780000000001</v>
      </c>
      <c r="J5045">
        <v>-199.45699999999999</v>
      </c>
      <c r="K5045">
        <v>1.1069040000000001</v>
      </c>
      <c r="L5045">
        <v>147.78880000000001</v>
      </c>
      <c r="M5045">
        <v>-0.74625929999999996</v>
      </c>
      <c r="N5045">
        <v>0</v>
      </c>
      <c r="O5045">
        <v>-0.66551319999999903</v>
      </c>
      <c r="P5045">
        <v>-0.9325987</v>
      </c>
      <c r="Q5045">
        <v>0.2016192</v>
      </c>
      <c r="R5045">
        <v>-0.29934880000000003</v>
      </c>
      <c r="S5045">
        <v>-3.1872560000000001</v>
      </c>
      <c r="T5045">
        <v>-9.089005E-2</v>
      </c>
      <c r="U5045">
        <v>-0.17349239999999999</v>
      </c>
      <c r="V5045">
        <v>0.39937509999999998</v>
      </c>
      <c r="W5045">
        <v>0.2100186</v>
      </c>
      <c r="X5045">
        <v>0.89240779999999997</v>
      </c>
      <c r="Y5045">
        <v>0.62354860000000001</v>
      </c>
      <c r="Z5045">
        <v>2.6384000000000001E-2</v>
      </c>
      <c r="AA5045">
        <v>0.78133920000000001</v>
      </c>
      <c r="AB5045">
        <v>17</v>
      </c>
      <c r="AC5045">
        <v>-38.688800000000001</v>
      </c>
      <c r="AD5045">
        <v>-1.1069064171809999</v>
      </c>
      <c r="AE5045">
        <v>-2.0109999999999899</v>
      </c>
      <c r="AF5045">
        <v>24.229694154915499</v>
      </c>
      <c r="AG5045">
        <v>-1.1069064171809999</v>
      </c>
      <c r="AH5045">
        <v>30.188438207424401</v>
      </c>
      <c r="AI5045">
        <v>91.637941715331706</v>
      </c>
      <c r="AJ5045">
        <v>51.248948443523901</v>
      </c>
      <c r="AK5045">
        <v>38.725251736568801</v>
      </c>
      <c r="AL5045">
        <v>77.876557526432194</v>
      </c>
      <c r="AM5045">
        <v>65.890274693925207</v>
      </c>
      <c r="AN5045">
        <v>0.99999998217340402</v>
      </c>
    </row>
    <row r="5046" spans="1:40" x14ac:dyDescent="0.25">
      <c r="A5046" t="str">
        <f>"20190312172217149"</f>
        <v>20190312172217149</v>
      </c>
      <c r="B5046" t="str">
        <f>"1552382537145713"</f>
        <v>1552382537145713</v>
      </c>
      <c r="C5046" t="s">
        <v>40</v>
      </c>
      <c r="D5046">
        <v>2.9721229999999998</v>
      </c>
      <c r="E5046">
        <v>0.59255729999999995</v>
      </c>
      <c r="F5046" t="s">
        <v>42</v>
      </c>
      <c r="G5046">
        <v>-238.87450000000001</v>
      </c>
      <c r="H5046" s="1">
        <v>-2.1285489999999999E-6</v>
      </c>
      <c r="I5046">
        <v>145.86789999999999</v>
      </c>
      <c r="J5046">
        <v>-199.58750000000001</v>
      </c>
      <c r="K5046">
        <v>1.1069089999999999</v>
      </c>
      <c r="L5046">
        <v>147.6859</v>
      </c>
      <c r="M5046">
        <v>-0.75183849999999997</v>
      </c>
      <c r="N5046">
        <v>0</v>
      </c>
      <c r="O5046">
        <v>-0.65920419999999902</v>
      </c>
      <c r="P5046">
        <v>-0.93472569999999999</v>
      </c>
      <c r="Q5046">
        <v>0.2012507</v>
      </c>
      <c r="R5046">
        <v>-0.29289320000000002</v>
      </c>
      <c r="S5046">
        <v>-3.1863250000000001</v>
      </c>
      <c r="T5046">
        <v>-8.9477059999999997E-2</v>
      </c>
      <c r="U5046">
        <v>-0.15527340000000001</v>
      </c>
      <c r="V5046">
        <v>0.39806799999999998</v>
      </c>
      <c r="W5046">
        <v>0.20966660000000001</v>
      </c>
      <c r="X5046">
        <v>0.89307429999999999</v>
      </c>
      <c r="Y5046">
        <v>0.62142399999999998</v>
      </c>
      <c r="Z5046">
        <v>2.5834920000000001E-2</v>
      </c>
      <c r="AA5046">
        <v>0.78304849999999904</v>
      </c>
      <c r="AB5046">
        <v>17</v>
      </c>
      <c r="AC5046">
        <v>-39.286999999999999</v>
      </c>
      <c r="AD5046">
        <v>-1.1069111285490001</v>
      </c>
      <c r="AE5046">
        <v>-1.8180000000000101</v>
      </c>
      <c r="AF5046">
        <v>24.514209234333499</v>
      </c>
      <c r="AG5046">
        <v>-1.1069111285490001</v>
      </c>
      <c r="AH5046">
        <v>30.714482622093001</v>
      </c>
      <c r="AI5046">
        <v>91.613433587360404</v>
      </c>
      <c r="AJ5046">
        <v>51.405515047674598</v>
      </c>
      <c r="AK5046">
        <v>39.313498310046597</v>
      </c>
      <c r="AL5046">
        <v>77.897184640540999</v>
      </c>
      <c r="AM5046">
        <v>65.976140524925597</v>
      </c>
      <c r="AN5046">
        <v>0.99999996055002405</v>
      </c>
    </row>
    <row r="5047" spans="1:40" x14ac:dyDescent="0.25">
      <c r="A5047" t="str">
        <f>"20190312172217173"</f>
        <v>20190312172217173</v>
      </c>
      <c r="B5047" t="str">
        <f>"1552382537165233"</f>
        <v>1552382537165233</v>
      </c>
      <c r="C5047" t="s">
        <v>40</v>
      </c>
      <c r="D5047">
        <v>2.9859680000000002</v>
      </c>
      <c r="E5047">
        <v>0.59188699999999905</v>
      </c>
      <c r="F5047" t="s">
        <v>42</v>
      </c>
      <c r="G5047">
        <v>-243.6173</v>
      </c>
      <c r="H5047" s="1">
        <v>-4.0739099999999999E-6</v>
      </c>
      <c r="I5047">
        <v>145.41650000000001</v>
      </c>
      <c r="J5047">
        <v>-199.72989999999999</v>
      </c>
      <c r="K5047">
        <v>1.1069100000000001</v>
      </c>
      <c r="L5047">
        <v>147.57560000000001</v>
      </c>
      <c r="M5047">
        <v>-0.75783210000000001</v>
      </c>
      <c r="N5047">
        <v>0</v>
      </c>
      <c r="O5047">
        <v>-0.65230519999999903</v>
      </c>
      <c r="P5047">
        <v>-0.93687229999999999</v>
      </c>
      <c r="Q5047">
        <v>0.20096430000000001</v>
      </c>
      <c r="R5047">
        <v>-0.28615279999999998</v>
      </c>
      <c r="S5047">
        <v>-3.1753999999999998</v>
      </c>
      <c r="T5047">
        <v>-7.9829810000000001E-2</v>
      </c>
      <c r="U5047">
        <v>-0.1636658</v>
      </c>
      <c r="V5047">
        <v>0.39636450000000001</v>
      </c>
      <c r="W5047">
        <v>0.2093998</v>
      </c>
      <c r="X5047">
        <v>0.89389419999999897</v>
      </c>
      <c r="Y5047">
        <v>0.61212310000000003</v>
      </c>
      <c r="Z5047">
        <v>2.2879759999999999E-2</v>
      </c>
      <c r="AA5047">
        <v>0.79043140000000001</v>
      </c>
      <c r="AB5047">
        <v>17</v>
      </c>
      <c r="AC5047">
        <v>-43.8874</v>
      </c>
      <c r="AD5047">
        <v>-1.1069140739100001</v>
      </c>
      <c r="AE5047">
        <v>-2.1590999999999898</v>
      </c>
      <c r="AF5047">
        <v>26.977167751799801</v>
      </c>
      <c r="AG5047">
        <v>-1.1069140739100001</v>
      </c>
      <c r="AH5047">
        <v>34.648951279844397</v>
      </c>
      <c r="AI5047">
        <v>91.443960531075007</v>
      </c>
      <c r="AJ5047">
        <v>52.096195613298697</v>
      </c>
      <c r="AK5047">
        <v>43.926559886574303</v>
      </c>
      <c r="AL5047">
        <v>77.912818274656004</v>
      </c>
      <c r="AM5047">
        <v>66.086869062046205</v>
      </c>
      <c r="AN5047">
        <v>0.99999996694696403</v>
      </c>
    </row>
    <row r="5048" spans="1:40" x14ac:dyDescent="0.25">
      <c r="A5048" t="str">
        <f>"20190312172217195"</f>
        <v>20190312172217195</v>
      </c>
      <c r="B5048" t="str">
        <f>"1552382537185729"</f>
        <v>1552382537185729</v>
      </c>
      <c r="C5048" t="s">
        <v>40</v>
      </c>
      <c r="D5048">
        <v>2.9732829999999999</v>
      </c>
      <c r="E5048">
        <v>0.58889279999999999</v>
      </c>
      <c r="F5048" t="s">
        <v>42</v>
      </c>
      <c r="G5048">
        <v>-242.76509999999999</v>
      </c>
      <c r="H5048" s="1">
        <v>-4.3979470000000001E-6</v>
      </c>
      <c r="I5048">
        <v>145.60830000000001</v>
      </c>
      <c r="J5048">
        <v>-199.86770000000001</v>
      </c>
      <c r="K5048">
        <v>1.106914</v>
      </c>
      <c r="L5048">
        <v>147.4709</v>
      </c>
      <c r="M5048">
        <v>-0.76354040000000001</v>
      </c>
      <c r="N5048">
        <v>0</v>
      </c>
      <c r="O5048">
        <v>-0.64561469999999999</v>
      </c>
      <c r="P5048">
        <v>-0.93895799999999996</v>
      </c>
      <c r="Q5048">
        <v>0.2008499</v>
      </c>
      <c r="R5048">
        <v>-0.27931539999999999</v>
      </c>
      <c r="S5048">
        <v>-3.1753390000000001</v>
      </c>
      <c r="T5048">
        <v>-8.1673380000000004E-2</v>
      </c>
      <c r="U5048">
        <v>-0.14515690000000001</v>
      </c>
      <c r="V5048">
        <v>0.39502589999999999</v>
      </c>
      <c r="W5048">
        <v>0.2092917</v>
      </c>
      <c r="X5048">
        <v>0.89451190000000003</v>
      </c>
      <c r="Y5048">
        <v>0.6097477</v>
      </c>
      <c r="Z5048">
        <v>2.326044E-2</v>
      </c>
      <c r="AA5048">
        <v>0.79225419999999902</v>
      </c>
      <c r="AB5048">
        <v>17</v>
      </c>
      <c r="AC5048">
        <v>-42.897399999999898</v>
      </c>
      <c r="AD5048">
        <v>-1.1069183979470001</v>
      </c>
      <c r="AE5048">
        <v>-1.86259999999998</v>
      </c>
      <c r="AF5048">
        <v>26.258037245275201</v>
      </c>
      <c r="AG5048">
        <v>-1.1069183979470001</v>
      </c>
      <c r="AH5048">
        <v>33.937053342805797</v>
      </c>
      <c r="AI5048">
        <v>91.477714347056093</v>
      </c>
      <c r="AJ5048">
        <v>52.269887892547203</v>
      </c>
      <c r="AK5048">
        <v>42.9235760148945</v>
      </c>
      <c r="AL5048">
        <v>77.919152807105505</v>
      </c>
      <c r="AM5048">
        <v>66.173240584455399</v>
      </c>
      <c r="AN5048">
        <v>1.0000000083006499</v>
      </c>
    </row>
    <row r="5049" spans="1:40" x14ac:dyDescent="0.25">
      <c r="A5049" t="str">
        <f>"20190312172217216"</f>
        <v>20190312172217216</v>
      </c>
      <c r="B5049" t="str">
        <f>"1552382537205253"</f>
        <v>1552382537205253</v>
      </c>
      <c r="C5049" t="s">
        <v>40</v>
      </c>
      <c r="D5049">
        <v>2.9716740000000001</v>
      </c>
      <c r="E5049">
        <v>0.58791070000000001</v>
      </c>
      <c r="F5049" t="s">
        <v>42</v>
      </c>
      <c r="G5049">
        <v>-238.9837</v>
      </c>
      <c r="H5049" s="1">
        <v>-2.0342380000000001E-6</v>
      </c>
      <c r="I5049">
        <v>145.68940000000001</v>
      </c>
      <c r="J5049">
        <v>-199.99889999999999</v>
      </c>
      <c r="K5049">
        <v>1.106911</v>
      </c>
      <c r="L5049">
        <v>147.37280000000001</v>
      </c>
      <c r="M5049">
        <v>-0.76889209999999997</v>
      </c>
      <c r="N5049">
        <v>0</v>
      </c>
      <c r="O5049">
        <v>-0.63923249999999998</v>
      </c>
      <c r="P5049">
        <v>-0.94101319999999999</v>
      </c>
      <c r="Q5049">
        <v>0.20057130000000001</v>
      </c>
      <c r="R5049">
        <v>-0.27251700000000001</v>
      </c>
      <c r="S5049">
        <v>-3.171265</v>
      </c>
      <c r="T5049">
        <v>-8.9741470000000004E-2</v>
      </c>
      <c r="U5049">
        <v>-0.14442439999999901</v>
      </c>
      <c r="V5049">
        <v>0.39407379999999997</v>
      </c>
      <c r="W5049">
        <v>0.20901239999999999</v>
      </c>
      <c r="X5049">
        <v>0.89499699999999904</v>
      </c>
      <c r="Y5049">
        <v>0.60318709999999998</v>
      </c>
      <c r="Z5049">
        <v>2.536155E-2</v>
      </c>
      <c r="AA5049">
        <v>0.79719640000000003</v>
      </c>
      <c r="AB5049">
        <v>17</v>
      </c>
      <c r="AC5049">
        <v>-38.9848</v>
      </c>
      <c r="AD5049">
        <v>-1.106913034238</v>
      </c>
      <c r="AE5049">
        <v>-1.6834</v>
      </c>
      <c r="AF5049">
        <v>23.609206547891699</v>
      </c>
      <c r="AG5049">
        <v>-1.106913034238</v>
      </c>
      <c r="AH5049">
        <v>31.029119783266101</v>
      </c>
      <c r="AI5049">
        <v>91.626181449898596</v>
      </c>
      <c r="AJ5049">
        <v>52.733488554895899</v>
      </c>
      <c r="AK5049">
        <v>39.005463268760899</v>
      </c>
      <c r="AL5049">
        <v>77.935517187267493</v>
      </c>
      <c r="AM5049">
        <v>66.235751323453599</v>
      </c>
      <c r="AN5049">
        <v>0.99999998660459899</v>
      </c>
    </row>
    <row r="5050" spans="1:40" x14ac:dyDescent="0.25">
      <c r="A5050" t="str">
        <f>"20190312172217239"</f>
        <v>20190312172217239</v>
      </c>
      <c r="B5050" t="str">
        <f>"1552382537235505"</f>
        <v>1552382537235505</v>
      </c>
      <c r="C5050" t="s">
        <v>40</v>
      </c>
      <c r="D5050">
        <v>2.9710290000000001</v>
      </c>
      <c r="E5050">
        <v>0.58738449999999998</v>
      </c>
      <c r="F5050" t="s">
        <v>42</v>
      </c>
      <c r="G5050">
        <v>-238.31700000000001</v>
      </c>
      <c r="H5050" s="1">
        <v>-2.3523470000000001E-6</v>
      </c>
      <c r="I5050">
        <v>145.81</v>
      </c>
      <c r="J5050">
        <v>-200.136</v>
      </c>
      <c r="K5050">
        <v>1.1069199999999999</v>
      </c>
      <c r="L5050">
        <v>147.2722</v>
      </c>
      <c r="M5050">
        <v>-0.77439150000000001</v>
      </c>
      <c r="N5050">
        <v>0</v>
      </c>
      <c r="O5050">
        <v>-0.63255950000000005</v>
      </c>
      <c r="P5050">
        <v>-0.94298979999999999</v>
      </c>
      <c r="Q5050">
        <v>0.2000062</v>
      </c>
      <c r="R5050">
        <v>-0.266022599999999</v>
      </c>
      <c r="S5050">
        <v>-3.1701350000000001</v>
      </c>
      <c r="T5050">
        <v>-9.1577409999999998E-2</v>
      </c>
      <c r="U5050">
        <v>-0.12928770000000001</v>
      </c>
      <c r="V5050">
        <v>0.39256629999999998</v>
      </c>
      <c r="W5050">
        <v>0.20845929999999999</v>
      </c>
      <c r="X5050">
        <v>0.89578819999999904</v>
      </c>
      <c r="Y5050">
        <v>0.60005750000000002</v>
      </c>
      <c r="Z5050">
        <v>2.5706730000000001E-2</v>
      </c>
      <c r="AA5050">
        <v>0.79954369999999997</v>
      </c>
      <c r="AB5050">
        <v>17</v>
      </c>
      <c r="AC5050">
        <v>-38.180999999999997</v>
      </c>
      <c r="AD5050">
        <v>-1.106922352347</v>
      </c>
      <c r="AE5050">
        <v>-1.46219999999999</v>
      </c>
      <c r="AF5050">
        <v>23.002278200431601</v>
      </c>
      <c r="AG5050">
        <v>-1.106922352347</v>
      </c>
      <c r="AH5050">
        <v>30.4692388290045</v>
      </c>
      <c r="AI5050">
        <v>91.660798456659705</v>
      </c>
      <c r="AJ5050">
        <v>52.949587514982397</v>
      </c>
      <c r="AK5050">
        <v>38.192991429358997</v>
      </c>
      <c r="AL5050">
        <v>77.967921924746406</v>
      </c>
      <c r="AM5050">
        <v>66.335255062186306</v>
      </c>
      <c r="AN5050">
        <v>1.0000000394557</v>
      </c>
    </row>
    <row r="5051" spans="1:40" x14ac:dyDescent="0.25">
      <c r="A5051" t="str">
        <f>"20190312172217261"</f>
        <v>20190312172217261</v>
      </c>
      <c r="B5051" t="str">
        <f>"1552382537256001"</f>
        <v>1552382537256001</v>
      </c>
      <c r="C5051" t="s">
        <v>40</v>
      </c>
      <c r="D5051">
        <v>3.016651</v>
      </c>
      <c r="E5051">
        <v>0.58280399999999999</v>
      </c>
      <c r="F5051" t="s">
        <v>42</v>
      </c>
      <c r="G5051">
        <v>-238.4461</v>
      </c>
      <c r="H5051" s="1">
        <v>-2.3286909999999998E-6</v>
      </c>
      <c r="I5051">
        <v>145.92930000000001</v>
      </c>
      <c r="J5051">
        <v>-200.2747</v>
      </c>
      <c r="K5051">
        <v>1.1069209999999901</v>
      </c>
      <c r="L5051">
        <v>147.17230000000001</v>
      </c>
      <c r="M5051">
        <v>-0.77986730000000004</v>
      </c>
      <c r="N5051">
        <v>0</v>
      </c>
      <c r="O5051">
        <v>-0.62579659999999904</v>
      </c>
      <c r="P5051">
        <v>-0.94473280000000004</v>
      </c>
      <c r="Q5051">
        <v>0.1994937</v>
      </c>
      <c r="R5051">
        <v>-0.2601581</v>
      </c>
      <c r="S5051">
        <v>-3.1694640000000001</v>
      </c>
      <c r="T5051">
        <v>-9.1577770000000003E-2</v>
      </c>
      <c r="U5051">
        <v>-0.1110992</v>
      </c>
      <c r="V5051">
        <v>0.39038630000000002</v>
      </c>
      <c r="W5051">
        <v>0.20797470000000001</v>
      </c>
      <c r="X5051">
        <v>0.89685289999999995</v>
      </c>
      <c r="Y5051">
        <v>0.59767320000000002</v>
      </c>
      <c r="Z5051">
        <v>2.5538089999999999E-2</v>
      </c>
      <c r="AA5051">
        <v>0.80133299999999996</v>
      </c>
      <c r="AB5051">
        <v>17</v>
      </c>
      <c r="AC5051">
        <v>-38.171399999999998</v>
      </c>
      <c r="AD5051">
        <v>-1.1069233286910001</v>
      </c>
      <c r="AE5051">
        <v>-1.2429999999999899</v>
      </c>
      <c r="AF5051">
        <v>22.901046761058499</v>
      </c>
      <c r="AG5051">
        <v>-1.1069233286910001</v>
      </c>
      <c r="AH5051">
        <v>30.523686050064899</v>
      </c>
      <c r="AI5051">
        <v>91.661555482142305</v>
      </c>
      <c r="AJ5051">
        <v>53.120153890657697</v>
      </c>
      <c r="AK5051">
        <v>38.175628771386499</v>
      </c>
      <c r="AL5051">
        <v>77.9963095470019</v>
      </c>
      <c r="AM5051">
        <v>66.477247062004594</v>
      </c>
      <c r="AN5051">
        <v>1.0000000316530899</v>
      </c>
    </row>
    <row r="5052" spans="1:40" x14ac:dyDescent="0.25">
      <c r="A5052" t="str">
        <f>"20190312172217285"</f>
        <v>20190312172217285</v>
      </c>
      <c r="B5052" t="str">
        <f>"1552382537275521"</f>
        <v>1552382537275521</v>
      </c>
      <c r="C5052" t="s">
        <v>40</v>
      </c>
      <c r="D5052">
        <v>2.9812180000000001</v>
      </c>
      <c r="E5052">
        <v>0.58188509999999904</v>
      </c>
      <c r="F5052" t="s">
        <v>42</v>
      </c>
      <c r="G5052">
        <v>-233.38200000000001</v>
      </c>
      <c r="H5052" s="1">
        <v>-4.2320390000000003E-6</v>
      </c>
      <c r="I5052">
        <v>145.85650000000001</v>
      </c>
      <c r="J5052">
        <v>-200.42679999999999</v>
      </c>
      <c r="K5052">
        <v>1.10693</v>
      </c>
      <c r="L5052">
        <v>147.0651</v>
      </c>
      <c r="M5052">
        <v>-0.78576579999999996</v>
      </c>
      <c r="N5052">
        <v>0</v>
      </c>
      <c r="O5052">
        <v>-0.61837469999999894</v>
      </c>
      <c r="P5052">
        <v>-0.9466907</v>
      </c>
      <c r="Q5052">
        <v>0.1991416</v>
      </c>
      <c r="R5052">
        <v>-0.25321870000000002</v>
      </c>
      <c r="S5052">
        <v>-3.1632229999999999</v>
      </c>
      <c r="T5052">
        <v>-0.1057609</v>
      </c>
      <c r="U5052">
        <v>-0.1257172</v>
      </c>
      <c r="V5052">
        <v>0.38849400000000001</v>
      </c>
      <c r="W5052">
        <v>0.2076412</v>
      </c>
      <c r="X5052">
        <v>0.89775139999999998</v>
      </c>
      <c r="Y5052">
        <v>0.58611020000000003</v>
      </c>
      <c r="Z5052">
        <v>2.9153249999999999E-2</v>
      </c>
      <c r="AA5052">
        <v>0.809706699999999</v>
      </c>
      <c r="AB5052">
        <v>17</v>
      </c>
      <c r="AC5052">
        <v>-32.955199999999998</v>
      </c>
      <c r="AD5052">
        <v>-1.1069342320390001</v>
      </c>
      <c r="AE5052">
        <v>-1.2085999999999899</v>
      </c>
      <c r="AF5052">
        <v>19.4089130142318</v>
      </c>
      <c r="AG5052">
        <v>-1.1069342320390001</v>
      </c>
      <c r="AH5052">
        <v>26.614912084920501</v>
      </c>
      <c r="AI5052">
        <v>91.924661186069997</v>
      </c>
      <c r="AJ5052">
        <v>53.898615238191397</v>
      </c>
      <c r="AK5052">
        <v>32.958834219009098</v>
      </c>
      <c r="AL5052">
        <v>78.015843946631705</v>
      </c>
      <c r="AM5052">
        <v>66.599877541241398</v>
      </c>
      <c r="AN5052">
        <v>1.0000000160877001</v>
      </c>
    </row>
    <row r="5053" spans="1:40" x14ac:dyDescent="0.25">
      <c r="A5053" t="str">
        <f>"20190312172217306"</f>
        <v>20190312172217306</v>
      </c>
      <c r="B5053" t="str">
        <f>"1552382537296017"</f>
        <v>1552382537296017</v>
      </c>
      <c r="C5053" t="s">
        <v>40</v>
      </c>
      <c r="D5053">
        <v>3.013655</v>
      </c>
      <c r="E5053">
        <v>0.5816479</v>
      </c>
      <c r="F5053" t="s">
        <v>42</v>
      </c>
      <c r="G5053">
        <v>-233.1901</v>
      </c>
      <c r="H5053" s="1">
        <v>-4.3107070000000001E-6</v>
      </c>
      <c r="I5053">
        <v>145.93190000000001</v>
      </c>
      <c r="J5053">
        <v>-200.56059999999999</v>
      </c>
      <c r="K5053">
        <v>1.1069329999999999</v>
      </c>
      <c r="L5053">
        <v>146.97239999999999</v>
      </c>
      <c r="M5053">
        <v>-0.79086889999999999</v>
      </c>
      <c r="N5053">
        <v>0</v>
      </c>
      <c r="O5053">
        <v>-0.61183489999999996</v>
      </c>
      <c r="P5053">
        <v>-0.94827119999999998</v>
      </c>
      <c r="Q5053">
        <v>0.19896259999999999</v>
      </c>
      <c r="R5053">
        <v>-0.24737780000000001</v>
      </c>
      <c r="S5053">
        <v>-3.1621549999999998</v>
      </c>
      <c r="T5053">
        <v>-0.10683579999999999</v>
      </c>
      <c r="U5053">
        <v>-0.1093597</v>
      </c>
      <c r="V5053">
        <v>0.38658959999999998</v>
      </c>
      <c r="W5053">
        <v>0.20747840000000001</v>
      </c>
      <c r="X5053">
        <v>0.89861069999999998</v>
      </c>
      <c r="Y5053">
        <v>0.5835513</v>
      </c>
      <c r="Z5053">
        <v>2.925351E-2</v>
      </c>
      <c r="AA5053">
        <v>0.81154919999999997</v>
      </c>
      <c r="AB5053">
        <v>17</v>
      </c>
      <c r="AC5053">
        <v>-32.6295</v>
      </c>
      <c r="AD5053">
        <v>-1.106937310707</v>
      </c>
      <c r="AE5053">
        <v>-1.04049999999998</v>
      </c>
      <c r="AF5053">
        <v>19.120750095324599</v>
      </c>
      <c r="AG5053">
        <v>-1.106937310707</v>
      </c>
      <c r="AH5053">
        <v>26.414341286767002</v>
      </c>
      <c r="AI5053">
        <v>91.944226362492003</v>
      </c>
      <c r="AJ5053">
        <v>54.100062864969701</v>
      </c>
      <c r="AK5053">
        <v>32.627378381222897</v>
      </c>
      <c r="AL5053">
        <v>78.025379135281497</v>
      </c>
      <c r="AM5053">
        <v>66.722233386459195</v>
      </c>
      <c r="AN5053">
        <v>0.99999999772460402</v>
      </c>
    </row>
    <row r="5054" spans="1:40" x14ac:dyDescent="0.25">
      <c r="A5054" t="str">
        <f>"20190312172217328"</f>
        <v>20190312172217328</v>
      </c>
      <c r="B5054" t="str">
        <f>"1552382537315537"</f>
        <v>1552382537315537</v>
      </c>
      <c r="C5054" t="s">
        <v>40</v>
      </c>
      <c r="D5054">
        <v>3.0092850000000002</v>
      </c>
      <c r="E5054">
        <v>0.57688759999999994</v>
      </c>
      <c r="F5054" t="s">
        <v>42</v>
      </c>
      <c r="G5054">
        <v>-233.0257</v>
      </c>
      <c r="H5054" s="1">
        <v>-4.3829949999999999E-6</v>
      </c>
      <c r="I5054">
        <v>146.0241</v>
      </c>
      <c r="J5054">
        <v>-200.6942</v>
      </c>
      <c r="K5054">
        <v>1.1069469999999999</v>
      </c>
      <c r="L5054">
        <v>146.88130000000001</v>
      </c>
      <c r="M5054">
        <v>-0.79588530000000002</v>
      </c>
      <c r="N5054">
        <v>0</v>
      </c>
      <c r="O5054">
        <v>-0.60529599999999995</v>
      </c>
      <c r="P5054">
        <v>-0.94999520000000004</v>
      </c>
      <c r="Q5054">
        <v>0.19849829999999999</v>
      </c>
      <c r="R5054">
        <v>-0.24105489999999999</v>
      </c>
      <c r="S5054">
        <v>-3.1621549999999998</v>
      </c>
      <c r="T5054">
        <v>-0.10781739999999999</v>
      </c>
      <c r="U5054">
        <v>-9.2361449999999998E-2</v>
      </c>
      <c r="V5054">
        <v>0.38521339999999998</v>
      </c>
      <c r="W5054">
        <v>0.2070245</v>
      </c>
      <c r="X5054">
        <v>0.8993061</v>
      </c>
      <c r="Y5054">
        <v>0.58120869999999902</v>
      </c>
      <c r="Z5054">
        <v>2.931632E-2</v>
      </c>
      <c r="AA5054">
        <v>0.81322629999999996</v>
      </c>
      <c r="AB5054">
        <v>17</v>
      </c>
      <c r="AC5054">
        <v>-32.331499999999998</v>
      </c>
      <c r="AD5054">
        <v>-1.106951382995</v>
      </c>
      <c r="AE5054">
        <v>-0.85720000000000596</v>
      </c>
      <c r="AF5054">
        <v>18.867525287225099</v>
      </c>
      <c r="AG5054">
        <v>-1.106951382995</v>
      </c>
      <c r="AH5054">
        <v>26.2227151574114</v>
      </c>
      <c r="AI5054">
        <v>91.962507305710005</v>
      </c>
      <c r="AJ5054">
        <v>54.2645787753452</v>
      </c>
      <c r="AK5054">
        <v>32.3239793660237</v>
      </c>
      <c r="AL5054">
        <v>78.051962721548904</v>
      </c>
      <c r="AM5054">
        <v>66.8123637495503</v>
      </c>
      <c r="AN5054">
        <v>0.99999998431850901</v>
      </c>
    </row>
    <row r="5055" spans="1:40" x14ac:dyDescent="0.25">
      <c r="A5055" t="str">
        <f>"20190312172217350"</f>
        <v>20190312172217350</v>
      </c>
      <c r="B5055" t="str">
        <f>"1552382537345793"</f>
        <v>1552382537345793</v>
      </c>
      <c r="C5055" t="s">
        <v>40</v>
      </c>
      <c r="D5055">
        <v>3.0141789999999999</v>
      </c>
      <c r="E5055">
        <v>0.57613040000000004</v>
      </c>
      <c r="F5055" t="s">
        <v>42</v>
      </c>
      <c r="G5055">
        <v>-229.93170000000001</v>
      </c>
      <c r="H5055" s="1">
        <v>-1.6779169999999999E-6</v>
      </c>
      <c r="I5055">
        <v>145.87870000000001</v>
      </c>
      <c r="J5055">
        <v>-200.8389</v>
      </c>
      <c r="K5055">
        <v>1.1069530000000001</v>
      </c>
      <c r="L5055">
        <v>146.78469999999999</v>
      </c>
      <c r="M5055">
        <v>-0.80121960000000003</v>
      </c>
      <c r="N5055">
        <v>0</v>
      </c>
      <c r="O5055">
        <v>-0.59821759999999902</v>
      </c>
      <c r="P5055">
        <v>-0.95181959999999999</v>
      </c>
      <c r="Q5055">
        <v>0.19777890000000001</v>
      </c>
      <c r="R5055">
        <v>-0.2343566</v>
      </c>
      <c r="S5055">
        <v>-3.1554259999999998</v>
      </c>
      <c r="T5055">
        <v>-0.1194667</v>
      </c>
      <c r="U5055">
        <v>-0.10820009999999999</v>
      </c>
      <c r="V5055">
        <v>0.3836484</v>
      </c>
      <c r="W5055">
        <v>0.20631910000000001</v>
      </c>
      <c r="X5055">
        <v>0.90013679999999996</v>
      </c>
      <c r="Y5055">
        <v>0.56967619999999997</v>
      </c>
      <c r="Z5055">
        <v>3.2107490000000002E-2</v>
      </c>
      <c r="AA5055">
        <v>0.82124189999999997</v>
      </c>
      <c r="AB5055">
        <v>17</v>
      </c>
      <c r="AC5055">
        <v>-29.0928</v>
      </c>
      <c r="AD5055">
        <v>-1.1069546779170001</v>
      </c>
      <c r="AE5055">
        <v>-0.90599999999997705</v>
      </c>
      <c r="AF5055">
        <v>16.655355914976699</v>
      </c>
      <c r="AG5055">
        <v>-1.1069546779170001</v>
      </c>
      <c r="AH5055">
        <v>23.819436945732999</v>
      </c>
      <c r="AI5055">
        <v>92.1810935311712</v>
      </c>
      <c r="AJ5055">
        <v>55.037452696328202</v>
      </c>
      <c r="AK5055">
        <v>29.085938281672501</v>
      </c>
      <c r="AL5055">
        <v>78.093270732036999</v>
      </c>
      <c r="AM5055">
        <v>66.915753272935703</v>
      </c>
      <c r="AN5055">
        <v>0.99999996228080401</v>
      </c>
    </row>
    <row r="5056" spans="1:40" x14ac:dyDescent="0.25">
      <c r="A5056" t="str">
        <f>"20190312172217374"</f>
        <v>20190312172217374</v>
      </c>
      <c r="B5056" t="str">
        <f>"1552382537365313"</f>
        <v>1552382537365313</v>
      </c>
      <c r="C5056" t="s">
        <v>40</v>
      </c>
      <c r="D5056">
        <v>3.0118909999999999</v>
      </c>
      <c r="E5056">
        <v>0.57289860000000004</v>
      </c>
      <c r="F5056" t="s">
        <v>42</v>
      </c>
      <c r="G5056">
        <v>-229.58770000000001</v>
      </c>
      <c r="H5056" s="1">
        <v>-1.8437569999999999E-6</v>
      </c>
      <c r="I5056">
        <v>145.94739999999999</v>
      </c>
      <c r="J5056">
        <v>-200.98869999999999</v>
      </c>
      <c r="K5056">
        <v>1.1069580000000001</v>
      </c>
      <c r="L5056">
        <v>146.68639999999999</v>
      </c>
      <c r="M5056">
        <v>-0.80664720000000001</v>
      </c>
      <c r="N5056">
        <v>0</v>
      </c>
      <c r="O5056">
        <v>-0.59087909999999999</v>
      </c>
      <c r="P5056">
        <v>-0.9535266</v>
      </c>
      <c r="Q5056">
        <v>0.19713739999999999</v>
      </c>
      <c r="R5056">
        <v>-0.22786870000000001</v>
      </c>
      <c r="S5056">
        <v>-3.15448</v>
      </c>
      <c r="T5056">
        <v>-0.12146129999999999</v>
      </c>
      <c r="U5056">
        <v>-9.1857910000000001E-2</v>
      </c>
      <c r="V5056">
        <v>0.38162200000000002</v>
      </c>
      <c r="W5056">
        <v>0.2056944</v>
      </c>
      <c r="X5056">
        <v>0.90114070000000002</v>
      </c>
      <c r="Y5056">
        <v>0.56639439999999996</v>
      </c>
      <c r="Z5056">
        <v>3.237342E-2</v>
      </c>
      <c r="AA5056">
        <v>0.82349819999999996</v>
      </c>
      <c r="AB5056">
        <v>17</v>
      </c>
      <c r="AC5056">
        <v>-28.599</v>
      </c>
      <c r="AD5056">
        <v>-1.1069598437570001</v>
      </c>
      <c r="AE5056">
        <v>-0.73900000000000399</v>
      </c>
      <c r="AF5056">
        <v>16.279551010603502</v>
      </c>
      <c r="AG5056">
        <v>-1.1069598437570001</v>
      </c>
      <c r="AH5056">
        <v>23.472961327149001</v>
      </c>
      <c r="AI5056">
        <v>92.219173155562999</v>
      </c>
      <c r="AJ5056">
        <v>55.256957393666198</v>
      </c>
      <c r="AK5056">
        <v>28.587218379345099</v>
      </c>
      <c r="AL5056">
        <v>78.129849014443806</v>
      </c>
      <c r="AM5056">
        <v>67.047940038585395</v>
      </c>
      <c r="AN5056">
        <v>1.00000004913592</v>
      </c>
    </row>
    <row r="5057" spans="1:40" x14ac:dyDescent="0.25">
      <c r="A5057" t="str">
        <f>"20190312172217395"</f>
        <v>20190312172217395</v>
      </c>
      <c r="B5057" t="str">
        <f>"1552382537385815"</f>
        <v>1552382537385815</v>
      </c>
      <c r="C5057" t="s">
        <v>40</v>
      </c>
      <c r="D5057">
        <v>3.0160469999999999</v>
      </c>
      <c r="E5057">
        <v>0.57021919999999904</v>
      </c>
      <c r="F5057" t="s">
        <v>42</v>
      </c>
      <c r="G5057">
        <v>-228.20079999999999</v>
      </c>
      <c r="H5057" s="1">
        <v>-2.4169300000000001E-6</v>
      </c>
      <c r="I5057">
        <v>145.8655</v>
      </c>
      <c r="J5057">
        <v>-201.12610000000001</v>
      </c>
      <c r="K5057">
        <v>1.106967</v>
      </c>
      <c r="L5057">
        <v>146.59809999999999</v>
      </c>
      <c r="M5057">
        <v>-0.81153390000000003</v>
      </c>
      <c r="N5057">
        <v>0</v>
      </c>
      <c r="O5057">
        <v>-0.58414999999999995</v>
      </c>
      <c r="P5057">
        <v>-0.95497549999999998</v>
      </c>
      <c r="Q5057">
        <v>0.19712740000000001</v>
      </c>
      <c r="R5057">
        <v>-0.22172710000000001</v>
      </c>
      <c r="S5057">
        <v>-3.149994</v>
      </c>
      <c r="T5057">
        <v>-0.1281388</v>
      </c>
      <c r="U5057">
        <v>-9.501648E-2</v>
      </c>
      <c r="V5057">
        <v>0.37991809999999998</v>
      </c>
      <c r="W5057">
        <v>0.2056925</v>
      </c>
      <c r="X5057">
        <v>0.90186080000000002</v>
      </c>
      <c r="Y5057">
        <v>0.5585774</v>
      </c>
      <c r="Z5057">
        <v>3.3816739999999998E-2</v>
      </c>
      <c r="AA5057">
        <v>0.82876280000000002</v>
      </c>
      <c r="AB5057">
        <v>17</v>
      </c>
      <c r="AC5057">
        <v>-27.074699999999901</v>
      </c>
      <c r="AD5057">
        <v>-1.1069694169299999</v>
      </c>
      <c r="AE5057">
        <v>-0.73259999999999004</v>
      </c>
      <c r="AF5057">
        <v>15.1971521781372</v>
      </c>
      <c r="AG5057">
        <v>-1.1069694169299999</v>
      </c>
      <c r="AH5057">
        <v>22.3646599125973</v>
      </c>
      <c r="AI5057">
        <v>92.344326366187104</v>
      </c>
      <c r="AJ5057">
        <v>55.803251003620801</v>
      </c>
      <c r="AK5057">
        <v>27.062092096170598</v>
      </c>
      <c r="AL5057">
        <v>78.129960083940603</v>
      </c>
      <c r="AM5057">
        <v>67.156242587164201</v>
      </c>
      <c r="AN5057">
        <v>1.00000003492024</v>
      </c>
    </row>
    <row r="5058" spans="1:40" x14ac:dyDescent="0.25">
      <c r="A5058" t="str">
        <f>"20190312172217418"</f>
        <v>20190312172217418</v>
      </c>
      <c r="B5058" t="str">
        <f>"1552382537405329"</f>
        <v>1552382537405329</v>
      </c>
      <c r="C5058" t="s">
        <v>40</v>
      </c>
      <c r="D5058">
        <v>3.0398179999999999</v>
      </c>
      <c r="E5058">
        <v>0.5700847</v>
      </c>
      <c r="F5058" t="s">
        <v>42</v>
      </c>
      <c r="G5058">
        <v>-227.40790000000001</v>
      </c>
      <c r="H5058" s="1">
        <v>-2.7382910000000001E-6</v>
      </c>
      <c r="I5058">
        <v>145.79480000000001</v>
      </c>
      <c r="J5058">
        <v>-201.26609999999999</v>
      </c>
      <c r="K5058">
        <v>1.1069639999999901</v>
      </c>
      <c r="L5058">
        <v>146.50960000000001</v>
      </c>
      <c r="M5058">
        <v>-0.81643489999999996</v>
      </c>
      <c r="N5058">
        <v>0</v>
      </c>
      <c r="O5058">
        <v>-0.57728119999999905</v>
      </c>
      <c r="P5058">
        <v>-0.95651169999999996</v>
      </c>
      <c r="Q5058">
        <v>0.19682740000000001</v>
      </c>
      <c r="R5058">
        <v>-0.21527830000000001</v>
      </c>
      <c r="S5058">
        <v>-3.1464690000000002</v>
      </c>
      <c r="T5058">
        <v>-0.13252710000000001</v>
      </c>
      <c r="U5058">
        <v>-9.6160889999999999E-2</v>
      </c>
      <c r="V5058">
        <v>0.37841659999999999</v>
      </c>
      <c r="W5058">
        <v>0.20539569999999999</v>
      </c>
      <c r="X5058">
        <v>0.90255940000000001</v>
      </c>
      <c r="Y5058">
        <v>0.5511781</v>
      </c>
      <c r="Z5058">
        <v>3.461964E-2</v>
      </c>
      <c r="AA5058">
        <v>0.83366909999999905</v>
      </c>
      <c r="AB5058">
        <v>17</v>
      </c>
      <c r="AC5058">
        <v>-26.1418</v>
      </c>
      <c r="AD5058">
        <v>-1.10696673829099</v>
      </c>
      <c r="AE5058">
        <v>-0.71479999999999599</v>
      </c>
      <c r="AF5058">
        <v>14.482941695607099</v>
      </c>
      <c r="AG5058">
        <v>-1.10696673829099</v>
      </c>
      <c r="AH5058">
        <v>21.718767606450399</v>
      </c>
      <c r="AI5058">
        <v>92.428156994972994</v>
      </c>
      <c r="AJ5058">
        <v>56.303059895409</v>
      </c>
      <c r="AK5058">
        <v>26.128257535875601</v>
      </c>
      <c r="AL5058">
        <v>78.147335997911895</v>
      </c>
      <c r="AM5058">
        <v>67.253129603486499</v>
      </c>
      <c r="AN5058">
        <v>0.99999999363120495</v>
      </c>
    </row>
    <row r="5059" spans="1:40" x14ac:dyDescent="0.25">
      <c r="A5059" t="str">
        <f>"20190312172217440"</f>
        <v>20190312172217440</v>
      </c>
      <c r="B5059" t="str">
        <f>"1552382537435585"</f>
        <v>1552382537435585</v>
      </c>
      <c r="C5059" t="s">
        <v>40</v>
      </c>
      <c r="D5059">
        <v>3.0302570000000002</v>
      </c>
      <c r="E5059">
        <v>0.56936290000000001</v>
      </c>
      <c r="F5059" t="s">
        <v>42</v>
      </c>
      <c r="G5059">
        <v>-227.321</v>
      </c>
      <c r="H5059" s="1">
        <v>-2.7954150000000002E-6</v>
      </c>
      <c r="I5059">
        <v>145.86940000000001</v>
      </c>
      <c r="J5059">
        <v>-201.41149999999999</v>
      </c>
      <c r="K5059">
        <v>1.10697</v>
      </c>
      <c r="L5059">
        <v>146.4195</v>
      </c>
      <c r="M5059">
        <v>-0.82143189999999999</v>
      </c>
      <c r="N5059">
        <v>0</v>
      </c>
      <c r="O5059">
        <v>-0.57014919999999902</v>
      </c>
      <c r="P5059">
        <v>-0.95804999999999996</v>
      </c>
      <c r="Q5059">
        <v>0.19631970000000001</v>
      </c>
      <c r="R5059">
        <v>-0.2088044</v>
      </c>
      <c r="S5059">
        <v>-3.1465000000000001</v>
      </c>
      <c r="T5059">
        <v>-0.13368239999999901</v>
      </c>
      <c r="U5059">
        <v>-7.7301030000000007E-2</v>
      </c>
      <c r="V5059">
        <v>0.37670510000000001</v>
      </c>
      <c r="W5059">
        <v>0.20489209999999999</v>
      </c>
      <c r="X5059">
        <v>0.90338949999999996</v>
      </c>
      <c r="Y5059">
        <v>0.54889730000000003</v>
      </c>
      <c r="Z5059">
        <v>3.4635699999999998E-2</v>
      </c>
      <c r="AA5059">
        <v>0.83517189999999997</v>
      </c>
      <c r="AB5059">
        <v>17</v>
      </c>
      <c r="AC5059">
        <v>-25.909500000000001</v>
      </c>
      <c r="AD5059">
        <v>-1.1069727954149999</v>
      </c>
      <c r="AE5059">
        <v>-0.55009999999998604</v>
      </c>
      <c r="AF5059">
        <v>14.295613285182499</v>
      </c>
      <c r="AG5059">
        <v>-1.1069727954149999</v>
      </c>
      <c r="AH5059">
        <v>21.559131584011901</v>
      </c>
      <c r="AI5059">
        <v>92.450357631210593</v>
      </c>
      <c r="AJ5059">
        <v>56.452097670486999</v>
      </c>
      <c r="AK5059">
        <v>25.891815359800798</v>
      </c>
      <c r="AL5059">
        <v>78.176817802108104</v>
      </c>
      <c r="AM5059">
        <v>67.364313217716997</v>
      </c>
      <c r="AN5059">
        <v>1.00000004685933</v>
      </c>
    </row>
    <row r="5060" spans="1:40" x14ac:dyDescent="0.25">
      <c r="A5060" t="str">
        <f>"20190312172217462"</f>
        <v>20190312172217462</v>
      </c>
      <c r="B5060" t="str">
        <f>"1552382537456082"</f>
        <v>1552382537456082</v>
      </c>
      <c r="C5060" t="s">
        <v>40</v>
      </c>
      <c r="D5060">
        <v>3.0437340000000002</v>
      </c>
      <c r="E5060">
        <v>0.56583269999999997</v>
      </c>
      <c r="F5060" t="s">
        <v>42</v>
      </c>
      <c r="G5060">
        <v>-227.20269999999999</v>
      </c>
      <c r="H5060" s="1">
        <v>-2.856259E-6</v>
      </c>
      <c r="I5060">
        <v>145.90729999999999</v>
      </c>
      <c r="J5060">
        <v>-201.5574</v>
      </c>
      <c r="K5060">
        <v>1.106973</v>
      </c>
      <c r="L5060">
        <v>146.33090000000001</v>
      </c>
      <c r="M5060">
        <v>-0.82635990000000004</v>
      </c>
      <c r="N5060">
        <v>0</v>
      </c>
      <c r="O5060">
        <v>-0.56298359999999903</v>
      </c>
      <c r="P5060">
        <v>-0.95939580000000002</v>
      </c>
      <c r="Q5060">
        <v>0.19607340000000001</v>
      </c>
      <c r="R5060">
        <v>-0.202769</v>
      </c>
      <c r="S5060">
        <v>-3.1454010000000001</v>
      </c>
      <c r="T5060">
        <v>-0.1350026</v>
      </c>
      <c r="U5060">
        <v>-6.2454219999999998E-2</v>
      </c>
      <c r="V5060">
        <v>0.37454999999999999</v>
      </c>
      <c r="W5060">
        <v>0.2046569</v>
      </c>
      <c r="X5060">
        <v>0.90433839999999999</v>
      </c>
      <c r="Y5060">
        <v>0.545548699999999</v>
      </c>
      <c r="Z5060">
        <v>3.4672000000000001E-2</v>
      </c>
      <c r="AA5060">
        <v>0.83736160000000004</v>
      </c>
      <c r="AB5060">
        <v>17</v>
      </c>
      <c r="AC5060">
        <v>-25.645299999999899</v>
      </c>
      <c r="AD5060">
        <v>-1.106975856259</v>
      </c>
      <c r="AE5060">
        <v>-0.42360000000002102</v>
      </c>
      <c r="AF5060">
        <v>14.0629018292598</v>
      </c>
      <c r="AG5060">
        <v>-1.106975856259</v>
      </c>
      <c r="AH5060">
        <v>21.3927950664043</v>
      </c>
      <c r="AI5060">
        <v>92.475891037361706</v>
      </c>
      <c r="AJ5060">
        <v>56.680430224646301</v>
      </c>
      <c r="AK5060">
        <v>25.625032373812001</v>
      </c>
      <c r="AL5060">
        <v>78.1905855013745</v>
      </c>
      <c r="AM5060">
        <v>67.502121534709303</v>
      </c>
      <c r="AN5060">
        <v>1.00000004546608</v>
      </c>
    </row>
    <row r="5061" spans="1:40" x14ac:dyDescent="0.25">
      <c r="A5061" t="str">
        <f>"20190312172217487"</f>
        <v>20190312172217487</v>
      </c>
      <c r="B5061" t="str">
        <f>"1552382537475601"</f>
        <v>1552382537475601</v>
      </c>
      <c r="C5061" t="s">
        <v>40</v>
      </c>
      <c r="D5061">
        <v>3.0421930000000001</v>
      </c>
      <c r="E5061">
        <v>0.56495490000000004</v>
      </c>
      <c r="F5061" t="s">
        <v>42</v>
      </c>
      <c r="G5061">
        <v>-227.7012</v>
      </c>
      <c r="H5061" s="1">
        <v>-2.5988980000000002E-6</v>
      </c>
      <c r="I5061">
        <v>145.7439</v>
      </c>
      <c r="J5061">
        <v>-201.71469999999999</v>
      </c>
      <c r="K5061">
        <v>1.1069770000000001</v>
      </c>
      <c r="L5061">
        <v>146.2373</v>
      </c>
      <c r="M5061">
        <v>-0.83156939999999901</v>
      </c>
      <c r="N5061">
        <v>0</v>
      </c>
      <c r="O5061">
        <v>-0.55526059999999999</v>
      </c>
      <c r="P5061">
        <v>-0.96081689999999997</v>
      </c>
      <c r="Q5061">
        <v>0.1958712</v>
      </c>
      <c r="R5061">
        <v>-0.19612689999999999</v>
      </c>
      <c r="S5061">
        <v>-3.1392669999999998</v>
      </c>
      <c r="T5061">
        <v>-0.13292279999999901</v>
      </c>
      <c r="U5061">
        <v>-7.0480349999999997E-2</v>
      </c>
      <c r="V5061">
        <v>0.37239030000000001</v>
      </c>
      <c r="W5061">
        <v>0.20446780000000001</v>
      </c>
      <c r="X5061">
        <v>0.90527250000000004</v>
      </c>
      <c r="Y5061">
        <v>0.53557540000000003</v>
      </c>
      <c r="Z5061">
        <v>3.3715019999999998E-2</v>
      </c>
      <c r="AA5061">
        <v>0.84381419999999996</v>
      </c>
      <c r="AB5061">
        <v>17</v>
      </c>
      <c r="AC5061">
        <v>-25.986499999999999</v>
      </c>
      <c r="AD5061">
        <v>-1.106979598898</v>
      </c>
      <c r="AE5061">
        <v>-0.493400000000008</v>
      </c>
      <c r="AF5061">
        <v>13.994845034718301</v>
      </c>
      <c r="AG5061">
        <v>-1.106979598898</v>
      </c>
      <c r="AH5061">
        <v>21.845864208107599</v>
      </c>
      <c r="AI5061">
        <v>92.443205104989701</v>
      </c>
      <c r="AJ5061">
        <v>57.355660601378702</v>
      </c>
      <c r="AK5061">
        <v>25.967727555125599</v>
      </c>
      <c r="AL5061">
        <v>78.201653149918997</v>
      </c>
      <c r="AM5061">
        <v>67.639834649747002</v>
      </c>
      <c r="AN5061">
        <v>0.99999995801358899</v>
      </c>
    </row>
    <row r="5062" spans="1:40" x14ac:dyDescent="0.25">
      <c r="A5062" t="str">
        <f>"20190312172217507"</f>
        <v>20190312172217507</v>
      </c>
      <c r="B5062" t="str">
        <f>"1552382537505858"</f>
        <v>1552382537505858</v>
      </c>
      <c r="C5062" t="s">
        <v>40</v>
      </c>
      <c r="D5062">
        <v>3.0510700000000002</v>
      </c>
      <c r="E5062">
        <v>0.56143980000000004</v>
      </c>
      <c r="F5062" t="s">
        <v>42</v>
      </c>
      <c r="G5062">
        <v>-228.00380000000001</v>
      </c>
      <c r="H5062" s="1">
        <v>-2.4773049999999999E-6</v>
      </c>
      <c r="I5062">
        <v>145.7747</v>
      </c>
      <c r="J5062">
        <v>-201.85220000000001</v>
      </c>
      <c r="K5062">
        <v>1.106973</v>
      </c>
      <c r="L5062">
        <v>146.15710000000001</v>
      </c>
      <c r="M5062">
        <v>-0.83604049999999996</v>
      </c>
      <c r="N5062">
        <v>0</v>
      </c>
      <c r="O5062">
        <v>-0.54850600000000005</v>
      </c>
      <c r="P5062">
        <v>-0.96210779999999996</v>
      </c>
      <c r="Q5062">
        <v>0.1958182</v>
      </c>
      <c r="R5062">
        <v>-0.189748</v>
      </c>
      <c r="S5062">
        <v>-3.1379999999999999</v>
      </c>
      <c r="T5062">
        <v>-0.13213520000000001</v>
      </c>
      <c r="U5062">
        <v>-5.52063E-2</v>
      </c>
      <c r="V5062">
        <v>0.3710601</v>
      </c>
      <c r="W5062">
        <v>0.2044203</v>
      </c>
      <c r="X5062">
        <v>0.90582929999999995</v>
      </c>
      <c r="Y5062">
        <v>0.5328503</v>
      </c>
      <c r="Z5062">
        <v>3.3241119999999999E-2</v>
      </c>
      <c r="AA5062">
        <v>0.84555639999999999</v>
      </c>
      <c r="AB5062">
        <v>17</v>
      </c>
      <c r="AC5062">
        <v>-26.151599999999998</v>
      </c>
      <c r="AD5062">
        <v>-1.106975477305</v>
      </c>
      <c r="AE5062">
        <v>-0.382400000000018</v>
      </c>
      <c r="AF5062">
        <v>14.000771485099699</v>
      </c>
      <c r="AG5062">
        <v>-1.106975477305</v>
      </c>
      <c r="AH5062">
        <v>22.036029371445199</v>
      </c>
      <c r="AI5062">
        <v>92.427913310482296</v>
      </c>
      <c r="AJ5062">
        <v>57.569830071451598</v>
      </c>
      <c r="AK5062">
        <v>26.131084695139101</v>
      </c>
      <c r="AL5062">
        <v>78.204433792190102</v>
      </c>
      <c r="AM5062">
        <v>67.724237821552805</v>
      </c>
      <c r="AN5062">
        <v>0.99999998880129404</v>
      </c>
    </row>
    <row r="5063" spans="1:40" x14ac:dyDescent="0.25">
      <c r="A5063" t="str">
        <f>"20190312172217530"</f>
        <v>20190312172217530</v>
      </c>
      <c r="B5063" t="str">
        <f>"1552382537525377"</f>
        <v>1552382537525377</v>
      </c>
      <c r="C5063" t="s">
        <v>40</v>
      </c>
      <c r="D5063">
        <v>3.0347970000000002</v>
      </c>
      <c r="E5063">
        <v>0.56046580000000001</v>
      </c>
      <c r="F5063" t="s">
        <v>42</v>
      </c>
      <c r="G5063">
        <v>-228.37010000000001</v>
      </c>
      <c r="H5063" s="1">
        <v>-2.282554E-6</v>
      </c>
      <c r="I5063">
        <v>145.63339999999999</v>
      </c>
      <c r="J5063">
        <v>-201.99610000000001</v>
      </c>
      <c r="K5063">
        <v>1.1069850000000001</v>
      </c>
      <c r="L5063">
        <v>146.07470000000001</v>
      </c>
      <c r="M5063">
        <v>-0.84063909999999997</v>
      </c>
      <c r="N5063">
        <v>0</v>
      </c>
      <c r="O5063">
        <v>-0.54143240000000004</v>
      </c>
      <c r="P5063">
        <v>-0.96322819999999998</v>
      </c>
      <c r="Q5063">
        <v>0.19568169999999999</v>
      </c>
      <c r="R5063">
        <v>-0.18412000000000001</v>
      </c>
      <c r="S5063">
        <v>-3.1325379999999998</v>
      </c>
      <c r="T5063">
        <v>-0.1307662</v>
      </c>
      <c r="U5063">
        <v>-6.1859129999999998E-2</v>
      </c>
      <c r="V5063">
        <v>0.36871340000000002</v>
      </c>
      <c r="W5063">
        <v>0.20430680000000001</v>
      </c>
      <c r="X5063">
        <v>0.90681270000000003</v>
      </c>
      <c r="Y5063">
        <v>0.52389200000000002</v>
      </c>
      <c r="Z5063">
        <v>3.2513019999999997E-2</v>
      </c>
      <c r="AA5063">
        <v>0.85116399999999903</v>
      </c>
      <c r="AB5063">
        <v>17</v>
      </c>
      <c r="AC5063">
        <v>-26.373999999999899</v>
      </c>
      <c r="AD5063">
        <v>-1.1069872825539999</v>
      </c>
      <c r="AE5063">
        <v>-0.44130000000001202</v>
      </c>
      <c r="AF5063">
        <v>13.8855388160248</v>
      </c>
      <c r="AG5063">
        <v>-1.1069872825539999</v>
      </c>
      <c r="AH5063">
        <v>22.372528942849701</v>
      </c>
      <c r="AI5063">
        <v>92.407337730220505</v>
      </c>
      <c r="AJ5063">
        <v>58.174140524351102</v>
      </c>
      <c r="AK5063">
        <v>26.354575700506299</v>
      </c>
      <c r="AL5063">
        <v>78.211077877243696</v>
      </c>
      <c r="AM5063">
        <v>67.873159038645795</v>
      </c>
      <c r="AN5063">
        <v>1.0000000563735401</v>
      </c>
    </row>
    <row r="5064" spans="1:40" x14ac:dyDescent="0.25">
      <c r="A5064" t="str">
        <f>"20190312172217552"</f>
        <v>20190312172217552</v>
      </c>
      <c r="B5064" t="str">
        <f>"1552382537545874"</f>
        <v>1552382537545874</v>
      </c>
      <c r="C5064" t="s">
        <v>40</v>
      </c>
      <c r="D5064">
        <v>3.0112510000000001</v>
      </c>
      <c r="E5064">
        <v>0.55991499999999905</v>
      </c>
      <c r="F5064" t="s">
        <v>42</v>
      </c>
      <c r="G5064">
        <v>-227.93469999999999</v>
      </c>
      <c r="H5064" s="1">
        <v>-2.4729149999999999E-6</v>
      </c>
      <c r="I5064">
        <v>145.64689999999999</v>
      </c>
      <c r="J5064">
        <v>-202.14830000000001</v>
      </c>
      <c r="K5064">
        <v>1.1069929999999999</v>
      </c>
      <c r="L5064">
        <v>145.98929999999999</v>
      </c>
      <c r="M5064">
        <v>-0.84540949999999904</v>
      </c>
      <c r="N5064">
        <v>0</v>
      </c>
      <c r="O5064">
        <v>-0.53395369999999998</v>
      </c>
      <c r="P5064">
        <v>-0.96417399999999998</v>
      </c>
      <c r="Q5064">
        <v>0.1959292</v>
      </c>
      <c r="R5064">
        <v>-0.17883070000000001</v>
      </c>
      <c r="S5064">
        <v>-3.1318049999999999</v>
      </c>
      <c r="T5064">
        <v>-0.133657</v>
      </c>
      <c r="U5064">
        <v>-5.1651000000000002E-2</v>
      </c>
      <c r="V5064">
        <v>0.36560379999999998</v>
      </c>
      <c r="W5064">
        <v>0.20458970000000001</v>
      </c>
      <c r="X5064">
        <v>0.90800709999999996</v>
      </c>
      <c r="Y5064">
        <v>0.51907060000000005</v>
      </c>
      <c r="Z5064">
        <v>3.2869500000000003E-2</v>
      </c>
      <c r="AA5064">
        <v>0.85409919999999995</v>
      </c>
      <c r="AB5064">
        <v>17</v>
      </c>
      <c r="AC5064">
        <v>-25.786399999999901</v>
      </c>
      <c r="AD5064">
        <v>-1.106995472915</v>
      </c>
      <c r="AE5064">
        <v>-0.34239999999999698</v>
      </c>
      <c r="AF5064">
        <v>13.4556697498103</v>
      </c>
      <c r="AG5064">
        <v>-1.106995472915</v>
      </c>
      <c r="AH5064">
        <v>21.944395497898999</v>
      </c>
      <c r="AI5064">
        <v>92.462472924394405</v>
      </c>
      <c r="AJ5064">
        <v>58.484576480339001</v>
      </c>
      <c r="AK5064">
        <v>25.765034080342801</v>
      </c>
      <c r="AL5064">
        <v>78.194518328655704</v>
      </c>
      <c r="AM5064">
        <v>68.068104559634193</v>
      </c>
      <c r="AN5064">
        <v>0.99999998878546903</v>
      </c>
    </row>
    <row r="5065" spans="1:40" x14ac:dyDescent="0.25">
      <c r="A5065" t="str">
        <f>"20190312172217576"</f>
        <v>20190312172217576</v>
      </c>
      <c r="B5065" t="str">
        <f>"1552382537565394"</f>
        <v>1552382537565394</v>
      </c>
      <c r="C5065" t="s">
        <v>40</v>
      </c>
      <c r="D5065">
        <v>2.5085579999999998</v>
      </c>
      <c r="E5065">
        <v>0.55847049999999998</v>
      </c>
      <c r="F5065" t="s">
        <v>42</v>
      </c>
      <c r="G5065">
        <v>-228.26990000000001</v>
      </c>
      <c r="H5065" s="1">
        <v>-2.3329020000000002E-6</v>
      </c>
      <c r="I5065">
        <v>145.66120000000001</v>
      </c>
      <c r="J5065">
        <v>-202.30070000000001</v>
      </c>
      <c r="K5065">
        <v>1.107016</v>
      </c>
      <c r="L5065">
        <v>145.90549999999999</v>
      </c>
      <c r="M5065">
        <v>-0.85008589999999995</v>
      </c>
      <c r="N5065">
        <v>0</v>
      </c>
      <c r="O5065">
        <v>-0.52647749999999904</v>
      </c>
      <c r="P5065">
        <v>-0.96520969999999995</v>
      </c>
      <c r="Q5065">
        <v>0.19594439999999999</v>
      </c>
      <c r="R5065">
        <v>-0.1731374</v>
      </c>
      <c r="S5065">
        <v>-3.1311490000000002</v>
      </c>
      <c r="T5065">
        <v>-0.13269349999999999</v>
      </c>
      <c r="U5065">
        <v>-3.93219E-2</v>
      </c>
      <c r="V5065">
        <v>0.36293609999999998</v>
      </c>
      <c r="W5065">
        <v>0.20463919999999999</v>
      </c>
      <c r="X5065">
        <v>0.90906549999999997</v>
      </c>
      <c r="Y5065">
        <v>0.51491179999999903</v>
      </c>
      <c r="Z5065">
        <v>3.2285950000000001E-2</v>
      </c>
      <c r="AA5065">
        <v>0.85663500000000004</v>
      </c>
      <c r="AB5065">
        <v>17</v>
      </c>
      <c r="AC5065">
        <v>-25.969200000000001</v>
      </c>
      <c r="AD5065">
        <v>-1.107018332902</v>
      </c>
      <c r="AE5065">
        <v>-0.244299999999981</v>
      </c>
      <c r="AF5065">
        <v>13.4412817730274</v>
      </c>
      <c r="AG5065">
        <v>-1.107018332902</v>
      </c>
      <c r="AH5065">
        <v>22.166340704604</v>
      </c>
      <c r="AI5065">
        <v>92.4452556344025</v>
      </c>
      <c r="AJ5065">
        <v>58.768109219709402</v>
      </c>
      <c r="AK5065">
        <v>25.946872750369799</v>
      </c>
      <c r="AL5065">
        <v>78.191620409633799</v>
      </c>
      <c r="AM5065">
        <v>68.236096028563907</v>
      </c>
      <c r="AN5065">
        <v>0.99999994907504797</v>
      </c>
    </row>
    <row r="5066" spans="1:40" x14ac:dyDescent="0.25">
      <c r="A5066" t="str">
        <f>"20190312172217687"</f>
        <v>20190312172217687</v>
      </c>
      <c r="B5066" t="str">
        <f>"1552382537685442"</f>
        <v>1552382537685442</v>
      </c>
      <c r="C5066" t="s">
        <v>40</v>
      </c>
      <c r="D5066">
        <v>2.9803120000000001</v>
      </c>
      <c r="E5066">
        <v>0.54997510000000005</v>
      </c>
      <c r="F5066" t="s">
        <v>42</v>
      </c>
      <c r="G5066">
        <v>-221.37450000000001</v>
      </c>
      <c r="H5066" s="1">
        <v>-4.8910399999999997E-6</v>
      </c>
      <c r="I5066">
        <v>145.72049999999999</v>
      </c>
      <c r="J5066">
        <v>-203.0471</v>
      </c>
      <c r="K5066">
        <v>1.1072090000000001</v>
      </c>
      <c r="L5066">
        <v>145.5189</v>
      </c>
      <c r="M5066">
        <v>-0.8714248</v>
      </c>
      <c r="N5066">
        <v>0</v>
      </c>
      <c r="O5066">
        <v>-0.49035289999999998</v>
      </c>
      <c r="P5066">
        <v>-0.969499</v>
      </c>
      <c r="Q5066">
        <v>0.19352040000000001</v>
      </c>
      <c r="R5066">
        <v>-0.1504057</v>
      </c>
      <c r="S5066">
        <v>-3.1396329999999999</v>
      </c>
      <c r="T5066">
        <v>-0.1822201</v>
      </c>
      <c r="U5066">
        <v>-3.0441280000000001E-2</v>
      </c>
      <c r="V5066">
        <v>0.34616429999999998</v>
      </c>
      <c r="W5066">
        <v>0.20254440000000001</v>
      </c>
      <c r="X5066">
        <v>0.91604909999999995</v>
      </c>
      <c r="Y5066">
        <v>0.48034789999999999</v>
      </c>
      <c r="Z5066">
        <v>4.1370799999999999E-2</v>
      </c>
      <c r="AA5066">
        <v>0.87610180000000004</v>
      </c>
      <c r="AB5066">
        <v>16</v>
      </c>
      <c r="AC5066">
        <v>-18.327400000000001</v>
      </c>
      <c r="AD5066">
        <v>-1.10721389104</v>
      </c>
      <c r="AE5066">
        <v>0.20159999999998399</v>
      </c>
      <c r="AF5066">
        <v>9.1300467437588395</v>
      </c>
      <c r="AG5066">
        <v>-1.10721389104</v>
      </c>
      <c r="AH5066">
        <v>15.8157513518076</v>
      </c>
      <c r="AI5066">
        <v>93.469586374591998</v>
      </c>
      <c r="AJ5066">
        <v>60.003210425989899</v>
      </c>
      <c r="AK5066">
        <v>18.295400158672098</v>
      </c>
      <c r="AL5066">
        <v>78.314211270597895</v>
      </c>
      <c r="AM5066">
        <v>69.2990044427806</v>
      </c>
      <c r="AN5066">
        <v>0.99999995508832895</v>
      </c>
    </row>
    <row r="5067" spans="1:40" x14ac:dyDescent="0.25">
      <c r="A5067" t="str">
        <f>"20190312172217708"</f>
        <v>20190312172217708</v>
      </c>
      <c r="B5067" t="str">
        <f>"1552382537705938"</f>
        <v>1552382537705938</v>
      </c>
      <c r="C5067" t="s">
        <v>40</v>
      </c>
      <c r="D5067">
        <v>3.1903350000000001</v>
      </c>
      <c r="E5067">
        <v>0.54618669999999903</v>
      </c>
      <c r="F5067" t="s">
        <v>42</v>
      </c>
      <c r="G5067">
        <v>-222.547</v>
      </c>
      <c r="H5067" s="1">
        <v>-4.4270530000000001E-6</v>
      </c>
      <c r="I5067">
        <v>145.35399999999899</v>
      </c>
      <c r="J5067">
        <v>-203.18960000000001</v>
      </c>
      <c r="K5067">
        <v>1.107253</v>
      </c>
      <c r="L5067">
        <v>145.44929999999999</v>
      </c>
      <c r="M5067">
        <v>-0.87518130000000005</v>
      </c>
      <c r="N5067">
        <v>0</v>
      </c>
      <c r="O5067">
        <v>-0.48361680000000001</v>
      </c>
      <c r="P5067">
        <v>-0.97041929999999998</v>
      </c>
      <c r="Q5067">
        <v>0.19210840000000001</v>
      </c>
      <c r="R5067">
        <v>-0.14622289999999999</v>
      </c>
      <c r="S5067">
        <v>-3.1257169999999999</v>
      </c>
      <c r="T5067">
        <v>-0.17748039999999901</v>
      </c>
      <c r="U5067">
        <v>-2.6412959999999999E-2</v>
      </c>
      <c r="V5067">
        <v>0.34313579999999999</v>
      </c>
      <c r="W5067">
        <v>0.201206</v>
      </c>
      <c r="X5067">
        <v>0.91748240000000003</v>
      </c>
      <c r="Y5067">
        <v>0.47475529999999999</v>
      </c>
      <c r="Z5067">
        <v>3.9980000000000002E-2</v>
      </c>
      <c r="AA5067">
        <v>0.87920929999999997</v>
      </c>
      <c r="AB5067">
        <v>16</v>
      </c>
      <c r="AC5067">
        <v>-19.357399999999899</v>
      </c>
      <c r="AD5067">
        <v>-1.107257427053</v>
      </c>
      <c r="AE5067">
        <v>-9.5300000000008794E-2</v>
      </c>
      <c r="AF5067">
        <v>9.2486990285375299</v>
      </c>
      <c r="AG5067">
        <v>-1.107257427053</v>
      </c>
      <c r="AH5067">
        <v>16.933384979260701</v>
      </c>
      <c r="AI5067">
        <v>93.284441250544702</v>
      </c>
      <c r="AJ5067">
        <v>61.357456085352602</v>
      </c>
      <c r="AK5067">
        <v>19.326251048407801</v>
      </c>
      <c r="AL5067">
        <v>78.392508429487606</v>
      </c>
      <c r="AM5067">
        <v>69.494346611057495</v>
      </c>
      <c r="AN5067">
        <v>0.99999999299370002</v>
      </c>
    </row>
    <row r="5068" spans="1:40" x14ac:dyDescent="0.25">
      <c r="A5068" t="str">
        <f>"20190312172217731"</f>
        <v>20190312172217731</v>
      </c>
      <c r="B5068" t="str">
        <f>"1552382537725457"</f>
        <v>1552382537725457</v>
      </c>
      <c r="C5068" t="s">
        <v>40</v>
      </c>
      <c r="D5068">
        <v>3.0026299999999999</v>
      </c>
      <c r="E5068">
        <v>0.54327019999999904</v>
      </c>
      <c r="F5068" t="s">
        <v>42</v>
      </c>
      <c r="G5068">
        <v>-223.9819</v>
      </c>
      <c r="H5068" s="1">
        <v>-3.9027389999999999E-6</v>
      </c>
      <c r="I5068">
        <v>145.15100000000001</v>
      </c>
      <c r="J5068">
        <v>-203.34110000000001</v>
      </c>
      <c r="K5068">
        <v>1.1073090000000001</v>
      </c>
      <c r="L5068">
        <v>145.3766</v>
      </c>
      <c r="M5068">
        <v>-0.87905659999999897</v>
      </c>
      <c r="N5068">
        <v>0</v>
      </c>
      <c r="O5068">
        <v>-0.47653699999999999</v>
      </c>
      <c r="P5068">
        <v>-0.97122920000000001</v>
      </c>
      <c r="Q5068">
        <v>0.1911447</v>
      </c>
      <c r="R5068">
        <v>-0.14205000000000001</v>
      </c>
      <c r="S5068">
        <v>-3.1175839999999999</v>
      </c>
      <c r="T5068">
        <v>-0.1660218</v>
      </c>
      <c r="U5068">
        <v>-4.4723510000000001E-2</v>
      </c>
      <c r="V5068">
        <v>0.33971289999999998</v>
      </c>
      <c r="W5068">
        <v>0.20032630000000001</v>
      </c>
      <c r="X5068">
        <v>0.91894750000000003</v>
      </c>
      <c r="Y5068">
        <v>0.46263369999999998</v>
      </c>
      <c r="Z5068">
        <v>3.683148E-2</v>
      </c>
      <c r="AA5068">
        <v>0.88578409999999996</v>
      </c>
      <c r="AB5068">
        <v>16</v>
      </c>
      <c r="AC5068">
        <v>-20.640799999999899</v>
      </c>
      <c r="AD5068">
        <v>-1.1073129027390001</v>
      </c>
      <c r="AE5068">
        <v>-0.22559999999998501</v>
      </c>
      <c r="AF5068">
        <v>9.6109617636101099</v>
      </c>
      <c r="AG5068">
        <v>-1.1073129027390001</v>
      </c>
      <c r="AH5068">
        <v>18.201131694196299</v>
      </c>
      <c r="AI5068">
        <v>93.079427741017497</v>
      </c>
      <c r="AJ5068">
        <v>62.164064824348301</v>
      </c>
      <c r="AK5068">
        <v>20.612567109305601</v>
      </c>
      <c r="AL5068">
        <v>78.443959121800702</v>
      </c>
      <c r="AM5068">
        <v>69.711852967096704</v>
      </c>
      <c r="AN5068">
        <v>0.99999999432717501</v>
      </c>
    </row>
    <row r="5069" spans="1:40" x14ac:dyDescent="0.25">
      <c r="A5069" t="str">
        <f>"20190312172217753"</f>
        <v>20190312172217753</v>
      </c>
      <c r="B5069" t="str">
        <f>"1552382537745954"</f>
        <v>1552382537745954</v>
      </c>
      <c r="C5069" t="s">
        <v>40</v>
      </c>
      <c r="D5069">
        <v>3.0206810000000002</v>
      </c>
      <c r="E5069">
        <v>0.54134269999999995</v>
      </c>
      <c r="F5069" t="s">
        <v>42</v>
      </c>
      <c r="G5069">
        <v>-224.96</v>
      </c>
      <c r="H5069" s="1">
        <v>-3.5413120000000002E-6</v>
      </c>
      <c r="I5069">
        <v>144.98990000000001</v>
      </c>
      <c r="J5069">
        <v>-203.49610000000001</v>
      </c>
      <c r="K5069">
        <v>1.1073809999999999</v>
      </c>
      <c r="L5069">
        <v>145.30369999999999</v>
      </c>
      <c r="M5069">
        <v>-0.88288559999999905</v>
      </c>
      <c r="N5069">
        <v>0</v>
      </c>
      <c r="O5069">
        <v>-0.46940530000000003</v>
      </c>
      <c r="P5069">
        <v>-0.9718251</v>
      </c>
      <c r="Q5069">
        <v>0.1912287</v>
      </c>
      <c r="R5069">
        <v>-0.13779620000000001</v>
      </c>
      <c r="S5069">
        <v>-3.1120909999999999</v>
      </c>
      <c r="T5069">
        <v>-0.15940090000000001</v>
      </c>
      <c r="U5069">
        <v>-5.5664060000000001E-2</v>
      </c>
      <c r="V5069">
        <v>0.33624110000000001</v>
      </c>
      <c r="W5069">
        <v>0.2004987</v>
      </c>
      <c r="X5069">
        <v>0.92018599999999995</v>
      </c>
      <c r="Y5069">
        <v>0.4524128</v>
      </c>
      <c r="Z5069">
        <v>3.4832809999999999E-2</v>
      </c>
      <c r="AA5069">
        <v>0.89112809999999898</v>
      </c>
      <c r="AB5069">
        <v>16</v>
      </c>
      <c r="AC5069">
        <v>-21.463899999999899</v>
      </c>
      <c r="AD5069">
        <v>-1.107384541312</v>
      </c>
      <c r="AE5069">
        <v>-0.31379999999998598</v>
      </c>
      <c r="AF5069">
        <v>9.7730515107051499</v>
      </c>
      <c r="AG5069">
        <v>-1.107384541312</v>
      </c>
      <c r="AH5069">
        <v>19.048414439324699</v>
      </c>
      <c r="AI5069">
        <v>92.960965976192298</v>
      </c>
      <c r="AJ5069">
        <v>62.839283496917098</v>
      </c>
      <c r="AK5069">
        <v>21.437838720484599</v>
      </c>
      <c r="AL5069">
        <v>78.433877313931404</v>
      </c>
      <c r="AM5069">
        <v>69.927414382926301</v>
      </c>
      <c r="AN5069">
        <v>1.0000000403134399</v>
      </c>
    </row>
    <row r="5070" spans="1:40" x14ac:dyDescent="0.25">
      <c r="A5070" t="str">
        <f>"20190312172217776"</f>
        <v>20190312172217776</v>
      </c>
      <c r="B5070" t="str">
        <f>"1552382537765473"</f>
        <v>1552382537765473</v>
      </c>
      <c r="C5070" t="s">
        <v>40</v>
      </c>
      <c r="D5070">
        <v>2.9956290000000001</v>
      </c>
      <c r="E5070">
        <v>0.53985430000000001</v>
      </c>
      <c r="F5070" t="s">
        <v>42</v>
      </c>
      <c r="G5070">
        <v>-226.5018</v>
      </c>
      <c r="H5070" s="1">
        <v>-2.8810469999999998E-6</v>
      </c>
      <c r="I5070">
        <v>144.87049999999999</v>
      </c>
      <c r="J5070">
        <v>-203.64789999999999</v>
      </c>
      <c r="K5070">
        <v>1.1074630000000001</v>
      </c>
      <c r="L5070">
        <v>145.23349999999999</v>
      </c>
      <c r="M5070">
        <v>-0.88650620000000002</v>
      </c>
      <c r="N5070">
        <v>0</v>
      </c>
      <c r="O5070">
        <v>-0.4625321</v>
      </c>
      <c r="P5070">
        <v>-0.97247249999999996</v>
      </c>
      <c r="Q5070">
        <v>0.1909275</v>
      </c>
      <c r="R5070">
        <v>-0.13358310000000001</v>
      </c>
      <c r="S5070">
        <v>-3.1081240000000001</v>
      </c>
      <c r="T5070">
        <v>-0.1496101</v>
      </c>
      <c r="U5070">
        <v>-5.851746E-2</v>
      </c>
      <c r="V5070">
        <v>0.33305190000000001</v>
      </c>
      <c r="W5070">
        <v>0.20028889999999999</v>
      </c>
      <c r="X5070">
        <v>0.92139070000000001</v>
      </c>
      <c r="Y5070">
        <v>0.44478489999999998</v>
      </c>
      <c r="Z5070">
        <v>3.2255599999999898E-2</v>
      </c>
      <c r="AA5070">
        <v>0.89505639999999997</v>
      </c>
      <c r="AB5070">
        <v>16</v>
      </c>
      <c r="AC5070">
        <v>-22.853899999999999</v>
      </c>
      <c r="AD5070">
        <v>-1.1074658810469999</v>
      </c>
      <c r="AE5070">
        <v>-0.36299999999999899</v>
      </c>
      <c r="AF5070">
        <v>10.225729767694</v>
      </c>
      <c r="AG5070">
        <v>-1.1074658810469999</v>
      </c>
      <c r="AH5070">
        <v>20.381918815436599</v>
      </c>
      <c r="AI5070">
        <v>92.780450415439702</v>
      </c>
      <c r="AJ5070">
        <v>63.356807597364202</v>
      </c>
      <c r="AK5070">
        <v>22.830125811274801</v>
      </c>
      <c r="AL5070">
        <v>78.446146574860705</v>
      </c>
      <c r="AM5070">
        <v>70.126772782777493</v>
      </c>
      <c r="AN5070">
        <v>1.0000000168016501</v>
      </c>
    </row>
    <row r="5071" spans="1:40" x14ac:dyDescent="0.25">
      <c r="A5071" t="str">
        <f>"20190312172217797"</f>
        <v>20190312172217797</v>
      </c>
      <c r="B5071" t="str">
        <f>"1552382537785969"</f>
        <v>1552382537785969</v>
      </c>
      <c r="C5071" t="s">
        <v>40</v>
      </c>
      <c r="D5071">
        <v>3.0323060000000002</v>
      </c>
      <c r="E5071">
        <v>0.53848589999999996</v>
      </c>
      <c r="F5071" t="s">
        <v>42</v>
      </c>
      <c r="G5071">
        <v>-227.54949999999999</v>
      </c>
      <c r="H5071" s="1">
        <v>-2.4094519999999999E-6</v>
      </c>
      <c r="I5071">
        <v>144.78739999999999</v>
      </c>
      <c r="J5071">
        <v>-203.79400000000001</v>
      </c>
      <c r="K5071">
        <v>1.1075520000000001</v>
      </c>
      <c r="L5071">
        <v>145.16720000000001</v>
      </c>
      <c r="M5071">
        <v>-0.8898625</v>
      </c>
      <c r="N5071">
        <v>0</v>
      </c>
      <c r="O5071">
        <v>-0.45604159999999999</v>
      </c>
      <c r="P5071">
        <v>-0.97312670000000001</v>
      </c>
      <c r="Q5071">
        <v>0.1904372</v>
      </c>
      <c r="R5071">
        <v>-0.1294525</v>
      </c>
      <c r="S5071">
        <v>-3.1052089999999999</v>
      </c>
      <c r="T5071">
        <v>-0.14387800000000001</v>
      </c>
      <c r="U5071">
        <v>-5.7952879999999998E-2</v>
      </c>
      <c r="V5071">
        <v>0.33021660000000003</v>
      </c>
      <c r="W5071">
        <v>0.1998895</v>
      </c>
      <c r="X5071">
        <v>0.92249729999999996</v>
      </c>
      <c r="Y5071">
        <v>0.43846610000000003</v>
      </c>
      <c r="Z5071">
        <v>3.0633179999999999E-2</v>
      </c>
      <c r="AA5071">
        <v>0.89822549999999901</v>
      </c>
      <c r="AB5071">
        <v>16</v>
      </c>
      <c r="AC5071">
        <v>-23.755499999999898</v>
      </c>
      <c r="AD5071">
        <v>-1.107554409452</v>
      </c>
      <c r="AE5071">
        <v>-0.37980000000001701</v>
      </c>
      <c r="AF5071">
        <v>10.4736619369788</v>
      </c>
      <c r="AG5071">
        <v>-1.107554409452</v>
      </c>
      <c r="AH5071">
        <v>21.267934891482501</v>
      </c>
      <c r="AI5071">
        <v>92.6748234825304</v>
      </c>
      <c r="AJ5071">
        <v>63.781479599338901</v>
      </c>
      <c r="AK5071">
        <v>23.732874366337398</v>
      </c>
      <c r="AL5071">
        <v>78.469503118844798</v>
      </c>
      <c r="AM5071">
        <v>70.304693477262902</v>
      </c>
      <c r="AN5071">
        <v>1.00000004181654</v>
      </c>
    </row>
    <row r="5072" spans="1:40" x14ac:dyDescent="0.25">
      <c r="A5072" t="str">
        <f>"20190312172217822"</f>
        <v>20190312172217822</v>
      </c>
      <c r="B5072" t="str">
        <f>"1552382537815250"</f>
        <v>1552382537815250</v>
      </c>
      <c r="C5072" t="s">
        <v>40</v>
      </c>
      <c r="D5072">
        <v>3.0054810000000001</v>
      </c>
      <c r="E5072">
        <v>0.5366976</v>
      </c>
      <c r="F5072" t="s">
        <v>42</v>
      </c>
      <c r="G5072">
        <v>-228.41139999999999</v>
      </c>
      <c r="H5072" s="1">
        <v>-2.0210359999999999E-6</v>
      </c>
      <c r="I5072">
        <v>144.71709999999999</v>
      </c>
      <c r="J5072">
        <v>-203.95490000000001</v>
      </c>
      <c r="K5072">
        <v>1.1076539999999999</v>
      </c>
      <c r="L5072">
        <v>145.09530000000001</v>
      </c>
      <c r="M5072">
        <v>-0.89341819999999905</v>
      </c>
      <c r="N5072">
        <v>0</v>
      </c>
      <c r="O5072">
        <v>-0.4490362</v>
      </c>
      <c r="P5072">
        <v>-0.97364569999999995</v>
      </c>
      <c r="Q5072">
        <v>0.19070960000000001</v>
      </c>
      <c r="R5072">
        <v>-0.12507550000000001</v>
      </c>
      <c r="S5072">
        <v>-3.1026310000000001</v>
      </c>
      <c r="T5072">
        <v>-0.13958989999999999</v>
      </c>
      <c r="U5072">
        <v>-5.6716919999999997E-2</v>
      </c>
      <c r="V5072">
        <v>0.3270324</v>
      </c>
      <c r="W5072">
        <v>0.20026189999999999</v>
      </c>
      <c r="X5072">
        <v>0.92355019999999999</v>
      </c>
      <c r="Y5072">
        <v>0.43180540000000001</v>
      </c>
      <c r="Z5072">
        <v>2.9311489999999999E-2</v>
      </c>
      <c r="AA5072">
        <v>0.90149040000000003</v>
      </c>
      <c r="AB5072">
        <v>16</v>
      </c>
      <c r="AC5072">
        <v>-24.456499999999899</v>
      </c>
      <c r="AD5072">
        <v>-1.107656021036</v>
      </c>
      <c r="AE5072">
        <v>-0.37820000000002002</v>
      </c>
      <c r="AF5072">
        <v>10.623084578207999</v>
      </c>
      <c r="AG5072">
        <v>-1.107656021036</v>
      </c>
      <c r="AH5072">
        <v>21.976515317792799</v>
      </c>
      <c r="AI5072">
        <v>92.5982037884025</v>
      </c>
      <c r="AJ5072">
        <v>64.201644194929997</v>
      </c>
      <c r="AK5072">
        <v>24.434484920494601</v>
      </c>
      <c r="AL5072">
        <v>78.447725302987195</v>
      </c>
      <c r="AM5072">
        <v>70.5007650667457</v>
      </c>
      <c r="AN5072">
        <v>0.99999999558070496</v>
      </c>
    </row>
    <row r="5073" spans="1:40" x14ac:dyDescent="0.25">
      <c r="A5073" t="str">
        <f>"20190312172217844"</f>
        <v>20190312172217844</v>
      </c>
      <c r="B5073" t="str">
        <f>"1552382537835746"</f>
        <v>1552382537835746</v>
      </c>
      <c r="C5073" t="s">
        <v>40</v>
      </c>
      <c r="D5073">
        <v>3.0063439999999999</v>
      </c>
      <c r="E5073">
        <v>0.53578359999999903</v>
      </c>
      <c r="F5073" t="s">
        <v>42</v>
      </c>
      <c r="G5073">
        <v>-229.7937</v>
      </c>
      <c r="H5073" s="1">
        <v>-1.4005829999999999E-6</v>
      </c>
      <c r="I5073">
        <v>144.614</v>
      </c>
      <c r="J5073">
        <v>-204.11490000000001</v>
      </c>
      <c r="K5073">
        <v>1.1077589999999999</v>
      </c>
      <c r="L5073">
        <v>145.02529999999999</v>
      </c>
      <c r="M5073">
        <v>-0.89680020000000005</v>
      </c>
      <c r="N5073">
        <v>0</v>
      </c>
      <c r="O5073">
        <v>-0.44224439999999998</v>
      </c>
      <c r="P5073">
        <v>-0.97410960000000002</v>
      </c>
      <c r="Q5073">
        <v>0.19061049999999999</v>
      </c>
      <c r="R5073">
        <v>-0.1215648</v>
      </c>
      <c r="S5073">
        <v>-3.0998079999999999</v>
      </c>
      <c r="T5073">
        <v>-0.13288259999999999</v>
      </c>
      <c r="U5073">
        <v>-5.7739260000000001E-2</v>
      </c>
      <c r="V5073">
        <v>0.32329829999999998</v>
      </c>
      <c r="W5073">
        <v>0.20026649999999999</v>
      </c>
      <c r="X5073">
        <v>0.92486299999999999</v>
      </c>
      <c r="Y5073">
        <v>0.42472989999999999</v>
      </c>
      <c r="Z5073">
        <v>2.751338E-2</v>
      </c>
      <c r="AA5073">
        <v>0.90490190000000004</v>
      </c>
      <c r="AB5073">
        <v>16</v>
      </c>
      <c r="AC5073">
        <v>-25.678799999999899</v>
      </c>
      <c r="AD5073">
        <v>-1.107760400583</v>
      </c>
      <c r="AE5073">
        <v>-0.41129999999998201</v>
      </c>
      <c r="AF5073">
        <v>10.967975765366401</v>
      </c>
      <c r="AG5073">
        <v>-1.107760400583</v>
      </c>
      <c r="AH5073">
        <v>23.169506055163801</v>
      </c>
      <c r="AI5073">
        <v>92.474430034149194</v>
      </c>
      <c r="AJ5073">
        <v>64.668071654172095</v>
      </c>
      <c r="AK5073">
        <v>25.658324893395498</v>
      </c>
      <c r="AL5073">
        <v>78.447456523567396</v>
      </c>
      <c r="AM5073">
        <v>70.732239697887707</v>
      </c>
      <c r="AN5073">
        <v>1.0000000152870601</v>
      </c>
    </row>
    <row r="5074" spans="1:40" x14ac:dyDescent="0.25">
      <c r="A5074" t="str">
        <f>"20190312172217866"</f>
        <v>20190312172217866</v>
      </c>
      <c r="B5074" t="str">
        <f>"1552382537855265"</f>
        <v>1552382537855265</v>
      </c>
      <c r="C5074" t="s">
        <v>40</v>
      </c>
      <c r="D5074">
        <v>3.030627</v>
      </c>
      <c r="E5074">
        <v>0.53477350000000001</v>
      </c>
      <c r="F5074" t="s">
        <v>42</v>
      </c>
      <c r="G5074">
        <v>-230.1345</v>
      </c>
      <c r="H5074" s="1">
        <v>-5.1090319999999997E-6</v>
      </c>
      <c r="I5074">
        <v>144.57040000000001</v>
      </c>
      <c r="J5074">
        <v>-204.26650000000001</v>
      </c>
      <c r="K5074">
        <v>1.1078410000000001</v>
      </c>
      <c r="L5074">
        <v>144.9599</v>
      </c>
      <c r="M5074">
        <v>-0.89989079999999999</v>
      </c>
      <c r="N5074">
        <v>0</v>
      </c>
      <c r="O5074">
        <v>-0.43592209999999998</v>
      </c>
      <c r="P5074">
        <v>-0.97445879999999996</v>
      </c>
      <c r="Q5074">
        <v>0.19060759999999999</v>
      </c>
      <c r="R5074">
        <v>-0.11874029999999999</v>
      </c>
      <c r="S5074">
        <v>-3.0987849999999999</v>
      </c>
      <c r="T5074">
        <v>-0.1319282</v>
      </c>
      <c r="U5074">
        <v>-5.41687E-2</v>
      </c>
      <c r="V5074">
        <v>0.31941839999999999</v>
      </c>
      <c r="W5074">
        <v>0.20034920000000001</v>
      </c>
      <c r="X5074">
        <v>0.92619229999999997</v>
      </c>
      <c r="Y5074">
        <v>0.41941030000000001</v>
      </c>
      <c r="Z5074">
        <v>2.6967930000000001E-2</v>
      </c>
      <c r="AA5074">
        <v>0.90739610000000004</v>
      </c>
      <c r="AB5074">
        <v>16</v>
      </c>
      <c r="AC5074">
        <v>-25.867999999999899</v>
      </c>
      <c r="AD5074">
        <v>-1.107846109032</v>
      </c>
      <c r="AE5074">
        <v>-0.38949999999999801</v>
      </c>
      <c r="AF5074">
        <v>10.9068457030732</v>
      </c>
      <c r="AG5074">
        <v>-1.107846109032</v>
      </c>
      <c r="AH5074">
        <v>23.4072198330622</v>
      </c>
      <c r="AI5074">
        <v>92.456514985342494</v>
      </c>
      <c r="AJ5074">
        <v>65.016328510534393</v>
      </c>
      <c r="AK5074">
        <v>25.847331516139999</v>
      </c>
      <c r="AL5074">
        <v>78.442620508216805</v>
      </c>
      <c r="AM5074">
        <v>70.972086022625206</v>
      </c>
      <c r="AN5074">
        <v>1.00000004638924</v>
      </c>
    </row>
    <row r="5075" spans="1:40" x14ac:dyDescent="0.25">
      <c r="A5075" t="str">
        <f>"20190312172217889"</f>
        <v>20190312172217889</v>
      </c>
      <c r="B5075" t="str">
        <f>"1552382537885521"</f>
        <v>1552382537885521</v>
      </c>
      <c r="C5075" t="s">
        <v>40</v>
      </c>
      <c r="D5075">
        <v>3.0291100000000002</v>
      </c>
      <c r="E5075">
        <v>0.53346830000000001</v>
      </c>
      <c r="F5075" t="s">
        <v>42</v>
      </c>
      <c r="G5075">
        <v>-230.5146</v>
      </c>
      <c r="H5075" s="1">
        <v>-4.9674509999999996E-6</v>
      </c>
      <c r="I5075">
        <v>144.50139999999999</v>
      </c>
      <c r="J5075">
        <v>-204.4205</v>
      </c>
      <c r="K5075">
        <v>1.1079049999999999</v>
      </c>
      <c r="L5075">
        <v>144.8947</v>
      </c>
      <c r="M5075">
        <v>-0.90291690000000002</v>
      </c>
      <c r="N5075">
        <v>0</v>
      </c>
      <c r="O5075">
        <v>-0.4296198</v>
      </c>
      <c r="P5075">
        <v>-0.97468719999999998</v>
      </c>
      <c r="Q5075">
        <v>0.19063630000000001</v>
      </c>
      <c r="R5075">
        <v>-0.11680210000000001</v>
      </c>
      <c r="S5075">
        <v>-3.0975799999999998</v>
      </c>
      <c r="T5075">
        <v>-0.13073889999999999</v>
      </c>
      <c r="U5075">
        <v>-5.4107669999999997E-2</v>
      </c>
      <c r="V5075">
        <v>0.31473390000000001</v>
      </c>
      <c r="W5075">
        <v>0.20045569999999999</v>
      </c>
      <c r="X5075">
        <v>0.92777160000000003</v>
      </c>
      <c r="Y5075">
        <v>0.41309040000000002</v>
      </c>
      <c r="Z5075">
        <v>2.6358920000000001E-2</v>
      </c>
      <c r="AA5075">
        <v>0.91030849999999996</v>
      </c>
      <c r="AB5075">
        <v>16</v>
      </c>
      <c r="AC5075">
        <v>-26.094100000000001</v>
      </c>
      <c r="AD5075">
        <v>-1.107909967451</v>
      </c>
      <c r="AE5075">
        <v>-0.39330000000000997</v>
      </c>
      <c r="AF5075">
        <v>10.836805120268</v>
      </c>
      <c r="AG5075">
        <v>-1.107909967451</v>
      </c>
      <c r="AH5075">
        <v>23.689071031522399</v>
      </c>
      <c r="AI5075">
        <v>92.435318855013307</v>
      </c>
      <c r="AJ5075">
        <v>65.417795122541193</v>
      </c>
      <c r="AK5075">
        <v>26.073662881290002</v>
      </c>
      <c r="AL5075">
        <v>78.436391949236096</v>
      </c>
      <c r="AM5075">
        <v>71.261193280492606</v>
      </c>
      <c r="AN5075">
        <v>1.00000002861912</v>
      </c>
    </row>
    <row r="5076" spans="1:40" x14ac:dyDescent="0.25">
      <c r="A5076" t="str">
        <f>"20190312172217910"</f>
        <v>20190312172217910</v>
      </c>
      <c r="B5076" t="str">
        <f>"1552382537906017"</f>
        <v>1552382537906017</v>
      </c>
      <c r="C5076" t="s">
        <v>40</v>
      </c>
      <c r="D5076">
        <v>3.024956</v>
      </c>
      <c r="E5076">
        <v>0.53271059999999903</v>
      </c>
      <c r="F5076" t="s">
        <v>42</v>
      </c>
      <c r="G5076">
        <v>-230.9194</v>
      </c>
      <c r="H5076" s="1">
        <v>-4.8094790000000003E-6</v>
      </c>
      <c r="I5076">
        <v>144.38749999999999</v>
      </c>
      <c r="J5076">
        <v>-204.5693</v>
      </c>
      <c r="K5076">
        <v>1.1079479999999999</v>
      </c>
      <c r="L5076">
        <v>144.83269999999999</v>
      </c>
      <c r="M5076">
        <v>-0.90573840000000005</v>
      </c>
      <c r="N5076">
        <v>0</v>
      </c>
      <c r="O5076">
        <v>-0.42364000000000002</v>
      </c>
      <c r="P5076">
        <v>-0.97489760000000003</v>
      </c>
      <c r="Q5076">
        <v>0.1903552</v>
      </c>
      <c r="R5076">
        <v>-0.11549710000000001</v>
      </c>
      <c r="S5076">
        <v>-3.09613</v>
      </c>
      <c r="T5076">
        <v>-0.1294478</v>
      </c>
      <c r="U5076">
        <v>-5.9249879999999998E-2</v>
      </c>
      <c r="V5076">
        <v>0.30981910000000001</v>
      </c>
      <c r="W5076">
        <v>0.20024310000000001</v>
      </c>
      <c r="X5076">
        <v>0.92947020000000002</v>
      </c>
      <c r="Y5076">
        <v>0.40556229999999999</v>
      </c>
      <c r="Z5076">
        <v>2.572253E-2</v>
      </c>
      <c r="AA5076">
        <v>0.9137054</v>
      </c>
      <c r="AB5076">
        <v>16</v>
      </c>
      <c r="AC5076">
        <v>-26.350100000000001</v>
      </c>
      <c r="AD5076">
        <v>-1.1079528094790001</v>
      </c>
      <c r="AE5076">
        <v>-0.44519999999999899</v>
      </c>
      <c r="AF5076">
        <v>10.741635117482</v>
      </c>
      <c r="AG5076">
        <v>-1.1079528094790001</v>
      </c>
      <c r="AH5076">
        <v>24.014466951074802</v>
      </c>
      <c r="AI5076">
        <v>92.411626243830995</v>
      </c>
      <c r="AJ5076">
        <v>65.901103541825705</v>
      </c>
      <c r="AK5076">
        <v>26.330683761904499</v>
      </c>
      <c r="AL5076">
        <v>78.448824940327995</v>
      </c>
      <c r="AM5076">
        <v>71.565289737684296</v>
      </c>
      <c r="AN5076">
        <v>1.00000001325523</v>
      </c>
    </row>
    <row r="5077" spans="1:40" x14ac:dyDescent="0.25">
      <c r="A5077" t="str">
        <f>"20190312172217933"</f>
        <v>20190312172217933</v>
      </c>
      <c r="B5077" t="str">
        <f>"1552382537925538"</f>
        <v>1552382537925538</v>
      </c>
      <c r="C5077" t="s">
        <v>40</v>
      </c>
      <c r="D5077">
        <v>3.0406569999999999</v>
      </c>
      <c r="E5077">
        <v>0.532045199999999</v>
      </c>
      <c r="F5077" t="s">
        <v>42</v>
      </c>
      <c r="G5077">
        <v>-231.0224</v>
      </c>
      <c r="H5077" s="1">
        <v>-4.7593280000000003E-6</v>
      </c>
      <c r="I5077">
        <v>144.3023</v>
      </c>
      <c r="J5077">
        <v>-204.72040000000001</v>
      </c>
      <c r="K5077">
        <v>1.1079969999999999</v>
      </c>
      <c r="L5077">
        <v>144.77070000000001</v>
      </c>
      <c r="M5077">
        <v>-0.90850649999999999</v>
      </c>
      <c r="N5077">
        <v>0</v>
      </c>
      <c r="O5077">
        <v>-0.41767179999999998</v>
      </c>
      <c r="P5077">
        <v>-0.97513459999999996</v>
      </c>
      <c r="Q5077">
        <v>0.19026570000000001</v>
      </c>
      <c r="R5077">
        <v>-0.11363090000000001</v>
      </c>
      <c r="S5077">
        <v>-3.0952000000000002</v>
      </c>
      <c r="T5077">
        <v>-0.12963830000000001</v>
      </c>
      <c r="U5077">
        <v>-6.2057500000000002E-2</v>
      </c>
      <c r="V5077">
        <v>0.30544939999999998</v>
      </c>
      <c r="W5077">
        <v>0.20021140000000001</v>
      </c>
      <c r="X5077">
        <v>0.93092220000000003</v>
      </c>
      <c r="Y5077">
        <v>0.39871309999999999</v>
      </c>
      <c r="Z5077">
        <v>2.5393800000000001E-2</v>
      </c>
      <c r="AA5077">
        <v>0.91672410000000004</v>
      </c>
      <c r="AB5077">
        <v>16</v>
      </c>
      <c r="AC5077">
        <v>-26.3019999999999</v>
      </c>
      <c r="AD5077">
        <v>-1.1080017593279901</v>
      </c>
      <c r="AE5077">
        <v>-0.46840000000000198</v>
      </c>
      <c r="AF5077">
        <v>10.542234484149599</v>
      </c>
      <c r="AG5077">
        <v>-1.1080017593279901</v>
      </c>
      <c r="AH5077">
        <v>24.050510956160998</v>
      </c>
      <c r="AI5077">
        <v>92.416115529630005</v>
      </c>
      <c r="AJ5077">
        <v>66.330371257231505</v>
      </c>
      <c r="AK5077">
        <v>26.282949854799099</v>
      </c>
      <c r="AL5077">
        <v>78.450679088569004</v>
      </c>
      <c r="AM5077">
        <v>71.834568386868199</v>
      </c>
      <c r="AN5077">
        <v>1.00000004155157</v>
      </c>
    </row>
    <row r="5078" spans="1:40" x14ac:dyDescent="0.25">
      <c r="A5078" t="str">
        <f>"20190312172217955"</f>
        <v>20190312172217955</v>
      </c>
      <c r="B5078" t="str">
        <f>"1552382537946033"</f>
        <v>1552382537946033</v>
      </c>
      <c r="C5078" t="s">
        <v>40</v>
      </c>
      <c r="D5078">
        <v>3.0329440000000001</v>
      </c>
      <c r="E5078">
        <v>0.53148139999999999</v>
      </c>
      <c r="F5078" t="s">
        <v>42</v>
      </c>
      <c r="G5078">
        <v>-231.2253</v>
      </c>
      <c r="H5078" s="1">
        <v>-4.6790200000000001E-6</v>
      </c>
      <c r="I5078">
        <v>144.2388</v>
      </c>
      <c r="J5078">
        <v>-204.87710000000001</v>
      </c>
      <c r="K5078">
        <v>1.1080479999999999</v>
      </c>
      <c r="L5078">
        <v>144.70760000000001</v>
      </c>
      <c r="M5078">
        <v>-0.91128339999999997</v>
      </c>
      <c r="N5078">
        <v>0</v>
      </c>
      <c r="O5078">
        <v>-0.41157899999999997</v>
      </c>
      <c r="P5078">
        <v>-0.97527509999999995</v>
      </c>
      <c r="Q5078">
        <v>0.19042129999999999</v>
      </c>
      <c r="R5078">
        <v>-0.1121539</v>
      </c>
      <c r="S5078">
        <v>-3.0944820000000002</v>
      </c>
      <c r="T5078">
        <v>-0.1293607</v>
      </c>
      <c r="U5078">
        <v>-6.2103270000000002E-2</v>
      </c>
      <c r="V5078">
        <v>0.30057139999999999</v>
      </c>
      <c r="W5078">
        <v>0.20042209999999999</v>
      </c>
      <c r="X5078">
        <v>0.93246329999999999</v>
      </c>
      <c r="Y5078">
        <v>0.39255980000000001</v>
      </c>
      <c r="Z5078">
        <v>2.4981900000000001E-2</v>
      </c>
      <c r="AA5078">
        <v>0.91938719999999996</v>
      </c>
      <c r="AB5078">
        <v>16</v>
      </c>
      <c r="AC5078">
        <v>-26.348199999999899</v>
      </c>
      <c r="AD5078">
        <v>-1.10805267901999</v>
      </c>
      <c r="AE5078">
        <v>-0.46880000000001498</v>
      </c>
      <c r="AF5078">
        <v>10.3996306783559</v>
      </c>
      <c r="AG5078">
        <v>-1.10805267901999</v>
      </c>
      <c r="AH5078">
        <v>24.162906153323402</v>
      </c>
      <c r="AI5078">
        <v>92.4119808652122</v>
      </c>
      <c r="AJ5078">
        <v>66.713124331044199</v>
      </c>
      <c r="AK5078">
        <v>26.329187848469601</v>
      </c>
      <c r="AL5078">
        <v>78.438356573950799</v>
      </c>
      <c r="AM5078">
        <v>72.133727035450406</v>
      </c>
      <c r="AN5078">
        <v>0.99999999525662997</v>
      </c>
    </row>
    <row r="5079" spans="1:40" x14ac:dyDescent="0.25">
      <c r="A5079" t="str">
        <f>"20190312172217977"</f>
        <v>20190312172217977</v>
      </c>
      <c r="B5079" t="str">
        <f>"1552382537965553"</f>
        <v>1552382537965553</v>
      </c>
      <c r="C5079" t="s">
        <v>40</v>
      </c>
      <c r="D5079">
        <v>3.0648390000000001</v>
      </c>
      <c r="E5079">
        <v>0.53094430000000004</v>
      </c>
      <c r="F5079" t="s">
        <v>42</v>
      </c>
      <c r="G5079">
        <v>-231.6542</v>
      </c>
      <c r="H5079" s="1">
        <v>-4.5198990000000003E-6</v>
      </c>
      <c r="I5079">
        <v>144.16470000000001</v>
      </c>
      <c r="J5079">
        <v>-205.0265</v>
      </c>
      <c r="K5079">
        <v>1.1080939999999999</v>
      </c>
      <c r="L5079">
        <v>144.64830000000001</v>
      </c>
      <c r="M5079">
        <v>-0.91384829999999995</v>
      </c>
      <c r="N5079">
        <v>0</v>
      </c>
      <c r="O5079">
        <v>-0.40585369999999998</v>
      </c>
      <c r="P5079">
        <v>-0.97542799999999996</v>
      </c>
      <c r="Q5079">
        <v>0.19025110000000001</v>
      </c>
      <c r="R5079">
        <v>-0.1111082</v>
      </c>
      <c r="S5079">
        <v>-3.093826</v>
      </c>
      <c r="T5079">
        <v>-0.12802430000000001</v>
      </c>
      <c r="U5079">
        <v>-6.2713619999999998E-2</v>
      </c>
      <c r="V5079">
        <v>0.29569260000000003</v>
      </c>
      <c r="W5079">
        <v>0.20029640000000001</v>
      </c>
      <c r="X5079">
        <v>0.93404880000000001</v>
      </c>
      <c r="Y5079">
        <v>0.38662079999999999</v>
      </c>
      <c r="Z5079">
        <v>2.4387180000000001E-2</v>
      </c>
      <c r="AA5079">
        <v>0.92191619999999996</v>
      </c>
      <c r="AB5079">
        <v>16</v>
      </c>
      <c r="AC5079">
        <v>-26.627700000000001</v>
      </c>
      <c r="AD5079">
        <v>-1.1080985198989901</v>
      </c>
      <c r="AE5079">
        <v>-0.48359999999999498</v>
      </c>
      <c r="AF5079">
        <v>10.347949542204599</v>
      </c>
      <c r="AG5079">
        <v>-1.1080985198989901</v>
      </c>
      <c r="AH5079">
        <v>24.489565416492699</v>
      </c>
      <c r="AI5079">
        <v>92.386687962022904</v>
      </c>
      <c r="AJ5079">
        <v>67.093742297913295</v>
      </c>
      <c r="AK5079">
        <v>26.609147982347999</v>
      </c>
      <c r="AL5079">
        <v>78.445707316950703</v>
      </c>
      <c r="AM5079">
        <v>72.433732166584903</v>
      </c>
      <c r="AN5079">
        <v>0.99999996116457901</v>
      </c>
    </row>
    <row r="5080" spans="1:40" x14ac:dyDescent="0.25">
      <c r="A5080" t="str">
        <f>"20190312172217999"</f>
        <v>20190312172217999</v>
      </c>
      <c r="B5080" t="str">
        <f>"1552382537995810"</f>
        <v>1552382537995810</v>
      </c>
      <c r="C5080" t="s">
        <v>40</v>
      </c>
      <c r="D5080">
        <v>3.0741299999999998</v>
      </c>
      <c r="E5080">
        <v>0.53028419999999998</v>
      </c>
      <c r="F5080" t="s">
        <v>42</v>
      </c>
      <c r="G5080">
        <v>-231.74719999999999</v>
      </c>
      <c r="H5080" s="1">
        <v>-4.4746980000000001E-6</v>
      </c>
      <c r="I5080">
        <v>144.0882</v>
      </c>
      <c r="J5080">
        <v>-205.17959999999999</v>
      </c>
      <c r="K5080">
        <v>1.1081350000000001</v>
      </c>
      <c r="L5080">
        <v>144.58850000000001</v>
      </c>
      <c r="M5080">
        <v>-0.91639859999999995</v>
      </c>
      <c r="N5080">
        <v>0</v>
      </c>
      <c r="O5080">
        <v>-0.40006370000000002</v>
      </c>
      <c r="P5080">
        <v>-0.97559079999999998</v>
      </c>
      <c r="Q5080">
        <v>0.1899798</v>
      </c>
      <c r="R5080">
        <v>-0.110139</v>
      </c>
      <c r="S5080">
        <v>-3.0932010000000001</v>
      </c>
      <c r="T5080">
        <v>-0.1282741</v>
      </c>
      <c r="U5080">
        <v>-6.4834589999999998E-2</v>
      </c>
      <c r="V5080">
        <v>0.29068959999999999</v>
      </c>
      <c r="W5080">
        <v>0.20006280000000001</v>
      </c>
      <c r="X5080">
        <v>0.9356679</v>
      </c>
      <c r="Y5080">
        <v>0.38014910000000002</v>
      </c>
      <c r="Z5080">
        <v>2.408219E-2</v>
      </c>
      <c r="AA5080">
        <v>0.92461159999999998</v>
      </c>
      <c r="AB5080">
        <v>16</v>
      </c>
      <c r="AC5080">
        <v>-26.567599999999999</v>
      </c>
      <c r="AD5080">
        <v>-1.108139474698</v>
      </c>
      <c r="AE5080">
        <v>-0.50030000000000996</v>
      </c>
      <c r="AF5080">
        <v>10.153427236492901</v>
      </c>
      <c r="AG5080">
        <v>-1.108139474698</v>
      </c>
      <c r="AH5080">
        <v>24.506040703796</v>
      </c>
      <c r="AI5080">
        <v>92.392158381894504</v>
      </c>
      <c r="AJ5080">
        <v>67.494626340711406</v>
      </c>
      <c r="AK5080">
        <v>26.549314279623999</v>
      </c>
      <c r="AL5080">
        <v>78.459368492736303</v>
      </c>
      <c r="AM5080">
        <v>72.741232218452296</v>
      </c>
      <c r="AN5080">
        <v>0.99999999329120504</v>
      </c>
    </row>
    <row r="5081" spans="1:40" x14ac:dyDescent="0.25">
      <c r="A5081" t="str">
        <f>"20190312172218023"</f>
        <v>20190312172218023</v>
      </c>
      <c r="B5081" t="str">
        <f>"1552382538015330"</f>
        <v>1552382538015330</v>
      </c>
      <c r="C5081" t="s">
        <v>40</v>
      </c>
      <c r="D5081">
        <v>3.0923880000000001</v>
      </c>
      <c r="E5081">
        <v>0.52995139999999996</v>
      </c>
      <c r="F5081" t="s">
        <v>42</v>
      </c>
      <c r="G5081">
        <v>-231.89879999999999</v>
      </c>
      <c r="H5081" s="1">
        <v>-4.4080949999999998E-6</v>
      </c>
      <c r="I5081">
        <v>144.00360000000001</v>
      </c>
      <c r="J5081">
        <v>-205.3391</v>
      </c>
      <c r="K5081">
        <v>1.108169</v>
      </c>
      <c r="L5081">
        <v>144.5274</v>
      </c>
      <c r="M5081">
        <v>-0.91896909999999998</v>
      </c>
      <c r="N5081">
        <v>0</v>
      </c>
      <c r="O5081">
        <v>-0.3941249</v>
      </c>
      <c r="P5081">
        <v>-0.97552130000000004</v>
      </c>
      <c r="Q5081">
        <v>0.18952140000000001</v>
      </c>
      <c r="R5081">
        <v>-0.1115367</v>
      </c>
      <c r="S5081">
        <v>-3.0923919999999998</v>
      </c>
      <c r="T5081">
        <v>-0.12825239999999999</v>
      </c>
      <c r="U5081">
        <v>-6.7687990000000003E-2</v>
      </c>
      <c r="V5081">
        <v>0.28327669999999999</v>
      </c>
      <c r="W5081">
        <v>0.19965959999999999</v>
      </c>
      <c r="X5081">
        <v>0.93802470000000004</v>
      </c>
      <c r="Y5081">
        <v>0.3733069</v>
      </c>
      <c r="Z5081">
        <v>2.371272E-2</v>
      </c>
      <c r="AA5081">
        <v>0.92740480000000003</v>
      </c>
      <c r="AB5081">
        <v>16</v>
      </c>
      <c r="AC5081">
        <v>-26.5596999999999</v>
      </c>
      <c r="AD5081">
        <v>-1.1081734080950001</v>
      </c>
      <c r="AE5081">
        <v>-0.52379999999999405</v>
      </c>
      <c r="AF5081">
        <v>9.9699391502423502</v>
      </c>
      <c r="AG5081">
        <v>-1.1081734080950001</v>
      </c>
      <c r="AH5081">
        <v>24.573209875534701</v>
      </c>
      <c r="AI5081">
        <v>92.392903847345494</v>
      </c>
      <c r="AJ5081">
        <v>67.916428410509596</v>
      </c>
      <c r="AK5081">
        <v>26.541860872007799</v>
      </c>
      <c r="AL5081">
        <v>78.482945818674906</v>
      </c>
      <c r="AM5081">
        <v>73.196062216348807</v>
      </c>
      <c r="AN5081">
        <v>0.99999999122256999</v>
      </c>
    </row>
    <row r="5082" spans="1:40" x14ac:dyDescent="0.25">
      <c r="A5082" t="str">
        <f>"20190312172218055"</f>
        <v>20190312172218055</v>
      </c>
      <c r="B5082" t="str">
        <f>"1552382538045585"</f>
        <v>1552382538045585</v>
      </c>
      <c r="C5082" t="s">
        <v>40</v>
      </c>
      <c r="D5082">
        <v>3.0850529999999998</v>
      </c>
      <c r="E5082">
        <v>0.52948619999999902</v>
      </c>
      <c r="F5082" t="s">
        <v>42</v>
      </c>
      <c r="G5082">
        <v>-231.8519</v>
      </c>
      <c r="H5082" s="1">
        <v>-4.4037319999999999E-6</v>
      </c>
      <c r="I5082">
        <v>143.88890000000001</v>
      </c>
      <c r="J5082">
        <v>-205.57149999999999</v>
      </c>
      <c r="K5082">
        <v>1.1081829999999999</v>
      </c>
      <c r="L5082">
        <v>144.4401</v>
      </c>
      <c r="M5082">
        <v>-0.9225738</v>
      </c>
      <c r="N5082">
        <v>0</v>
      </c>
      <c r="O5082">
        <v>-0.38561430000000002</v>
      </c>
      <c r="P5082">
        <v>-0.97590169999999998</v>
      </c>
      <c r="Q5082">
        <v>0.18886910000000001</v>
      </c>
      <c r="R5082">
        <v>-0.10929030000000001</v>
      </c>
      <c r="S5082">
        <v>-3.091888</v>
      </c>
      <c r="T5082">
        <v>-0.12923399999999999</v>
      </c>
      <c r="U5082">
        <v>-7.4447630000000001E-2</v>
      </c>
      <c r="V5082">
        <v>0.2767637</v>
      </c>
      <c r="W5082">
        <v>0.19902420000000001</v>
      </c>
      <c r="X5082">
        <v>0.94010170000000004</v>
      </c>
      <c r="Y5082">
        <v>0.36268590000000001</v>
      </c>
      <c r="Z5082">
        <v>2.3342229999999999E-2</v>
      </c>
      <c r="AA5082">
        <v>0.93161899999999997</v>
      </c>
      <c r="AB5082">
        <v>16</v>
      </c>
      <c r="AC5082">
        <v>-26.2804</v>
      </c>
      <c r="AD5082">
        <v>-1.1081874037320001</v>
      </c>
      <c r="AE5082">
        <v>-0.55119999999999403</v>
      </c>
      <c r="AF5082">
        <v>9.60926267073636</v>
      </c>
      <c r="AG5082">
        <v>-1.1081874037320001</v>
      </c>
      <c r="AH5082">
        <v>24.416709249114199</v>
      </c>
      <c r="AI5082">
        <v>92.418363397718196</v>
      </c>
      <c r="AJ5082">
        <v>68.517746035364397</v>
      </c>
      <c r="AK5082">
        <v>26.262933936496498</v>
      </c>
      <c r="AL5082">
        <v>78.520097195943293</v>
      </c>
      <c r="AM5082">
        <v>73.595696858650498</v>
      </c>
      <c r="AN5082">
        <v>0.99999999208310997</v>
      </c>
    </row>
    <row r="5083" spans="1:40" x14ac:dyDescent="0.25">
      <c r="A5083" t="str">
        <f>"20190312172218076"</f>
        <v>20190312172218076</v>
      </c>
      <c r="B5083" t="str">
        <f>"1552382538066082"</f>
        <v>1552382538066082</v>
      </c>
      <c r="C5083" t="s">
        <v>40</v>
      </c>
      <c r="D5083">
        <v>3.1150609999999999</v>
      </c>
      <c r="E5083">
        <v>0.52920440000000002</v>
      </c>
      <c r="F5083" t="s">
        <v>42</v>
      </c>
      <c r="G5083">
        <v>-231.76609999999999</v>
      </c>
      <c r="H5083" s="1">
        <v>-4.4230550000000003E-6</v>
      </c>
      <c r="I5083">
        <v>143.83330000000001</v>
      </c>
      <c r="J5083">
        <v>-205.721</v>
      </c>
      <c r="K5083">
        <v>1.1081909999999999</v>
      </c>
      <c r="L5083">
        <v>144.3852</v>
      </c>
      <c r="M5083">
        <v>-0.92481519999999995</v>
      </c>
      <c r="N5083">
        <v>0</v>
      </c>
      <c r="O5083">
        <v>-0.38020920000000002</v>
      </c>
      <c r="P5083">
        <v>-0.97617520000000002</v>
      </c>
      <c r="Q5083">
        <v>0.18787400000000001</v>
      </c>
      <c r="R5083">
        <v>-0.10856010000000001</v>
      </c>
      <c r="S5083">
        <v>-3.0913539999999999</v>
      </c>
      <c r="T5083">
        <v>-0.13078299999999901</v>
      </c>
      <c r="U5083">
        <v>-7.1609500000000006E-2</v>
      </c>
      <c r="V5083">
        <v>0.27200849999999999</v>
      </c>
      <c r="W5083">
        <v>0.19803380000000001</v>
      </c>
      <c r="X5083">
        <v>0.94169740000000002</v>
      </c>
      <c r="Y5083">
        <v>0.35807309999999998</v>
      </c>
      <c r="Z5083">
        <v>2.3315579999999999E-2</v>
      </c>
      <c r="AA5083">
        <v>0.93340239999999997</v>
      </c>
      <c r="AB5083">
        <v>16</v>
      </c>
      <c r="AC5083">
        <v>-26.045100000000001</v>
      </c>
      <c r="AD5083">
        <v>-1.108195423055</v>
      </c>
      <c r="AE5083">
        <v>-0.55189999999998895</v>
      </c>
      <c r="AF5083">
        <v>9.3759554543584205</v>
      </c>
      <c r="AG5083">
        <v>-1.108195423055</v>
      </c>
      <c r="AH5083">
        <v>24.254767445540399</v>
      </c>
      <c r="AI5083">
        <v>92.440270428595298</v>
      </c>
      <c r="AJ5083">
        <v>68.865425137103898</v>
      </c>
      <c r="AK5083">
        <v>26.027492803092699</v>
      </c>
      <c r="AL5083">
        <v>78.577995512203103</v>
      </c>
      <c r="AM5083">
        <v>73.888682914040103</v>
      </c>
      <c r="AN5083">
        <v>1.00000000159072</v>
      </c>
    </row>
    <row r="5084" spans="1:40" x14ac:dyDescent="0.25">
      <c r="A5084" t="str">
        <f>"20190312172218101"</f>
        <v>20190312172218101</v>
      </c>
      <c r="B5084" t="str">
        <f>"1552382538095362"</f>
        <v>1552382538095362</v>
      </c>
      <c r="C5084" t="s">
        <v>40</v>
      </c>
      <c r="D5084">
        <v>3.1092179999999998</v>
      </c>
      <c r="E5084">
        <v>0.50746239999999998</v>
      </c>
      <c r="F5084" t="s">
        <v>42</v>
      </c>
      <c r="G5084">
        <v>-231.32149999999999</v>
      </c>
      <c r="H5084" s="1">
        <v>-4.5665299999999998E-6</v>
      </c>
      <c r="I5084">
        <v>143.7894</v>
      </c>
      <c r="J5084">
        <v>-205.8861</v>
      </c>
      <c r="K5084">
        <v>1.108201</v>
      </c>
      <c r="L5084">
        <v>144.32550000000001</v>
      </c>
      <c r="M5084">
        <v>-0.92722139999999997</v>
      </c>
      <c r="N5084">
        <v>0</v>
      </c>
      <c r="O5084">
        <v>-0.3743049</v>
      </c>
      <c r="P5084">
        <v>-0.97630640000000002</v>
      </c>
      <c r="Q5084">
        <v>0.18760279999999999</v>
      </c>
      <c r="R5084">
        <v>-0.1078456</v>
      </c>
      <c r="S5084">
        <v>-3.090973</v>
      </c>
      <c r="T5084">
        <v>-0.133801799999999</v>
      </c>
      <c r="U5084">
        <v>-7.1929930000000003E-2</v>
      </c>
      <c r="V5084">
        <v>0.26668439999999999</v>
      </c>
      <c r="W5084">
        <v>0.19776550000000001</v>
      </c>
      <c r="X5084">
        <v>0.94327530000000004</v>
      </c>
      <c r="Y5084">
        <v>0.35199449999999999</v>
      </c>
      <c r="Z5084">
        <v>2.3485180000000001E-2</v>
      </c>
      <c r="AA5084">
        <v>0.93570739999999997</v>
      </c>
      <c r="AB5084">
        <v>16</v>
      </c>
      <c r="AC5084">
        <v>-25.435399999999898</v>
      </c>
      <c r="AD5084">
        <v>-1.1082055665299999</v>
      </c>
      <c r="AE5084">
        <v>-0.53610000000000402</v>
      </c>
      <c r="AF5084">
        <v>9.0071262258955702</v>
      </c>
      <c r="AG5084">
        <v>-1.1082055665299999</v>
      </c>
      <c r="AH5084">
        <v>23.7417225072614</v>
      </c>
      <c r="AI5084">
        <v>92.498939351539406</v>
      </c>
      <c r="AJ5084">
        <v>69.224274276389096</v>
      </c>
      <c r="AK5084">
        <v>25.417038183838599</v>
      </c>
      <c r="AL5084">
        <v>78.593678428808104</v>
      </c>
      <c r="AM5084">
        <v>74.213250862963406</v>
      </c>
      <c r="AN5084">
        <v>1.0000000268918401</v>
      </c>
    </row>
    <row r="5085" spans="1:40" x14ac:dyDescent="0.25">
      <c r="A5085" t="str">
        <f>"20190312172218123"</f>
        <v>20190312172218123</v>
      </c>
      <c r="B5085" t="str">
        <f>"1552382538115859"</f>
        <v>1552382538115859</v>
      </c>
      <c r="C5085" t="s">
        <v>40</v>
      </c>
      <c r="D5085">
        <v>3.1260379999999999</v>
      </c>
      <c r="E5085">
        <v>0.50639250000000002</v>
      </c>
      <c r="F5085" t="s">
        <v>42</v>
      </c>
      <c r="G5085">
        <v>-224.07939999999999</v>
      </c>
      <c r="H5085" s="1">
        <v>-3.3965099999999999E-6</v>
      </c>
      <c r="I5085">
        <v>142.90209999999999</v>
      </c>
      <c r="J5085">
        <v>-206.0436</v>
      </c>
      <c r="K5085">
        <v>1.1082190000000001</v>
      </c>
      <c r="L5085">
        <v>144.2697</v>
      </c>
      <c r="M5085">
        <v>-0.92944369999999998</v>
      </c>
      <c r="N5085">
        <v>0</v>
      </c>
      <c r="O5085">
        <v>-0.3687551</v>
      </c>
      <c r="P5085">
        <v>-0.97639109999999996</v>
      </c>
      <c r="Q5085">
        <v>0.18781780000000001</v>
      </c>
      <c r="R5085">
        <v>-0.10670109999999999</v>
      </c>
      <c r="S5085">
        <v>-3.0822600000000002</v>
      </c>
      <c r="T5085">
        <v>-0.18774930000000001</v>
      </c>
      <c r="U5085">
        <v>-0.2411346</v>
      </c>
      <c r="V5085">
        <v>0.26211109999999999</v>
      </c>
      <c r="W5085">
        <v>0.19797870000000001</v>
      </c>
      <c r="X5085">
        <v>0.94451169999999995</v>
      </c>
      <c r="Y5085">
        <v>0.2939754</v>
      </c>
      <c r="Z5085">
        <v>3.0850700000000002E-2</v>
      </c>
      <c r="AA5085">
        <v>0.95531500000000003</v>
      </c>
      <c r="AB5085">
        <v>16</v>
      </c>
      <c r="AC5085">
        <v>-18.035799999999899</v>
      </c>
      <c r="AD5085">
        <v>-1.10822239651</v>
      </c>
      <c r="AE5085">
        <v>-1.3676000000000099</v>
      </c>
      <c r="AF5085">
        <v>5.3599792322600601</v>
      </c>
      <c r="AG5085">
        <v>-1.10822239651</v>
      </c>
      <c r="AH5085">
        <v>17.204315819803899</v>
      </c>
      <c r="AI5085">
        <v>93.519247645385605</v>
      </c>
      <c r="AJ5085">
        <v>72.695654131184099</v>
      </c>
      <c r="AK5085">
        <v>18.053975104611801</v>
      </c>
      <c r="AL5085">
        <v>78.581217103795396</v>
      </c>
      <c r="AM5085">
        <v>74.490152742922405</v>
      </c>
      <c r="AN5085">
        <v>1.0000000729168901</v>
      </c>
    </row>
    <row r="5086" spans="1:40" x14ac:dyDescent="0.25">
      <c r="A5086" t="str">
        <f>"20190312172218146"</f>
        <v>20190312172218146</v>
      </c>
      <c r="B5086" t="str">
        <f>"1552382538135381"</f>
        <v>1552382538135381</v>
      </c>
      <c r="C5086" t="s">
        <v>40</v>
      </c>
      <c r="D5086">
        <v>3.1022780000000001</v>
      </c>
      <c r="E5086">
        <v>0.50631919999999997</v>
      </c>
      <c r="F5086" t="s">
        <v>42</v>
      </c>
      <c r="G5086">
        <v>-223.99260000000001</v>
      </c>
      <c r="H5086" s="1">
        <v>-3.4149870000000002E-6</v>
      </c>
      <c r="I5086">
        <v>142.83170000000001</v>
      </c>
      <c r="J5086">
        <v>-206.2003</v>
      </c>
      <c r="K5086">
        <v>1.108241</v>
      </c>
      <c r="L5086">
        <v>144.21510000000001</v>
      </c>
      <c r="M5086">
        <v>-0.9315947</v>
      </c>
      <c r="N5086">
        <v>0</v>
      </c>
      <c r="O5086">
        <v>-0.36328830000000001</v>
      </c>
      <c r="P5086">
        <v>-0.97651379999999999</v>
      </c>
      <c r="Q5086">
        <v>0.1878445</v>
      </c>
      <c r="R5086">
        <v>-0.10552499999999999</v>
      </c>
      <c r="S5086">
        <v>-3.0821689999999999</v>
      </c>
      <c r="T5086">
        <v>-0.19030150000000001</v>
      </c>
      <c r="U5086">
        <v>-0.24691769999999999</v>
      </c>
      <c r="V5086">
        <v>0.25767220000000002</v>
      </c>
      <c r="W5086">
        <v>0.1980034</v>
      </c>
      <c r="X5086">
        <v>0.94572710000000004</v>
      </c>
      <c r="Y5086">
        <v>0.28656029999999999</v>
      </c>
      <c r="Z5086">
        <v>3.072244E-2</v>
      </c>
      <c r="AA5086">
        <v>0.95756949999999996</v>
      </c>
      <c r="AB5086">
        <v>16</v>
      </c>
      <c r="AC5086">
        <v>-17.792300000000001</v>
      </c>
      <c r="AD5086">
        <v>-1.1082444149869899</v>
      </c>
      <c r="AE5086">
        <v>-1.38339999999999</v>
      </c>
      <c r="AF5086">
        <v>5.1554801266481602</v>
      </c>
      <c r="AG5086">
        <v>-1.1082444149869899</v>
      </c>
      <c r="AH5086">
        <v>17.013479509676301</v>
      </c>
      <c r="AI5086">
        <v>93.567198302613306</v>
      </c>
      <c r="AJ5086">
        <v>73.141970516159205</v>
      </c>
      <c r="AK5086">
        <v>17.811952898146501</v>
      </c>
      <c r="AL5086">
        <v>78.579772801102195</v>
      </c>
      <c r="AM5086">
        <v>74.759169848635906</v>
      </c>
      <c r="AN5086">
        <v>1.0000000283693999</v>
      </c>
    </row>
    <row r="5087" spans="1:40" x14ac:dyDescent="0.25">
      <c r="A5087" t="str">
        <f>"20190312172218166"</f>
        <v>20190312172218166</v>
      </c>
      <c r="B5087" t="str">
        <f>"1552382538155874"</f>
        <v>1552382538155874</v>
      </c>
      <c r="C5087" t="s">
        <v>40</v>
      </c>
      <c r="D5087">
        <v>3.1236389999999998</v>
      </c>
      <c r="E5087">
        <v>0.50658149999999902</v>
      </c>
      <c r="F5087" t="s">
        <v>42</v>
      </c>
      <c r="G5087">
        <v>-223.67959999999999</v>
      </c>
      <c r="H5087" s="1">
        <v>-3.5481829999999999E-6</v>
      </c>
      <c r="I5087">
        <v>142.82759999999999</v>
      </c>
      <c r="J5087">
        <v>-206.35</v>
      </c>
      <c r="K5087">
        <v>1.10826</v>
      </c>
      <c r="L5087">
        <v>144.16370000000001</v>
      </c>
      <c r="M5087">
        <v>-0.93359650000000005</v>
      </c>
      <c r="N5087">
        <v>0</v>
      </c>
      <c r="O5087">
        <v>-0.3581145</v>
      </c>
      <c r="P5087">
        <v>-0.97667689999999996</v>
      </c>
      <c r="Q5087">
        <v>0.1873089</v>
      </c>
      <c r="R5087">
        <v>-0.1049641</v>
      </c>
      <c r="S5087">
        <v>-3.083313</v>
      </c>
      <c r="T5087">
        <v>-0.19549179999999999</v>
      </c>
      <c r="U5087">
        <v>-0.2447357</v>
      </c>
      <c r="V5087">
        <v>0.25297510000000001</v>
      </c>
      <c r="W5087">
        <v>0.19746920000000001</v>
      </c>
      <c r="X5087">
        <v>0.94710589999999995</v>
      </c>
      <c r="Y5087">
        <v>0.28189829999999999</v>
      </c>
      <c r="Z5087">
        <v>3.109427E-2</v>
      </c>
      <c r="AA5087">
        <v>0.95894029999999997</v>
      </c>
      <c r="AB5087">
        <v>16</v>
      </c>
      <c r="AC5087">
        <v>-17.329599999999999</v>
      </c>
      <c r="AD5087">
        <v>-1.1082635481829901</v>
      </c>
      <c r="AE5087">
        <v>-1.3361000000000101</v>
      </c>
      <c r="AF5087">
        <v>4.9388985424241998</v>
      </c>
      <c r="AG5087">
        <v>-1.1082635481829901</v>
      </c>
      <c r="AH5087">
        <v>16.591138738165199</v>
      </c>
      <c r="AI5087">
        <v>93.663194610561405</v>
      </c>
      <c r="AJ5087">
        <v>73.422630729816106</v>
      </c>
      <c r="AK5087">
        <v>17.346090381801801</v>
      </c>
      <c r="AL5087">
        <v>78.610996802365705</v>
      </c>
      <c r="AM5087">
        <v>75.045229651032102</v>
      </c>
      <c r="AN5087">
        <v>1.00000003599172</v>
      </c>
    </row>
    <row r="5088" spans="1:40" x14ac:dyDescent="0.25">
      <c r="A5088" t="str">
        <f>"20190312172218189"</f>
        <v>20190312172218189</v>
      </c>
      <c r="B5088" t="str">
        <f>"1552382538186130"</f>
        <v>1552382538186130</v>
      </c>
      <c r="C5088" t="s">
        <v>40</v>
      </c>
      <c r="D5088">
        <v>3.242051</v>
      </c>
      <c r="E5088">
        <v>0.50689319999999904</v>
      </c>
      <c r="F5088" t="s">
        <v>42</v>
      </c>
      <c r="G5088">
        <v>-223.51009999999999</v>
      </c>
      <c r="H5088" s="1">
        <v>-3.618478E-6</v>
      </c>
      <c r="I5088">
        <v>142.8184</v>
      </c>
      <c r="J5088">
        <v>-206.5051</v>
      </c>
      <c r="K5088">
        <v>1.1082799999999999</v>
      </c>
      <c r="L5088">
        <v>144.11150000000001</v>
      </c>
      <c r="M5088">
        <v>-0.93560960000000004</v>
      </c>
      <c r="N5088">
        <v>0</v>
      </c>
      <c r="O5088">
        <v>-0.35282400000000003</v>
      </c>
      <c r="P5088">
        <v>-0.97674589999999994</v>
      </c>
      <c r="Q5088">
        <v>0.18747520000000001</v>
      </c>
      <c r="R5088">
        <v>-0.104021699999999</v>
      </c>
      <c r="S5088">
        <v>-3.0838619999999999</v>
      </c>
      <c r="T5088">
        <v>-0.1991686</v>
      </c>
      <c r="U5088">
        <v>-0.24176030000000001</v>
      </c>
      <c r="V5088">
        <v>0.24848919999999999</v>
      </c>
      <c r="W5088">
        <v>0.1976281</v>
      </c>
      <c r="X5088">
        <v>0.94825959999999998</v>
      </c>
      <c r="Y5088">
        <v>0.27737089999999998</v>
      </c>
      <c r="Z5088">
        <v>3.120819E-2</v>
      </c>
      <c r="AA5088">
        <v>0.96025590000000005</v>
      </c>
      <c r="AB5088">
        <v>16</v>
      </c>
      <c r="AC5088">
        <v>-17.0049999999999</v>
      </c>
      <c r="AD5088">
        <v>-1.1082836184779901</v>
      </c>
      <c r="AE5088">
        <v>-1.2930999999999999</v>
      </c>
      <c r="AF5088">
        <v>4.7701489699167698</v>
      </c>
      <c r="AG5088">
        <v>-1.1082836184779901</v>
      </c>
      <c r="AH5088">
        <v>16.2986717607779</v>
      </c>
      <c r="AI5088">
        <v>93.733874647133106</v>
      </c>
      <c r="AJ5088">
        <v>73.686775695140895</v>
      </c>
      <c r="AK5088">
        <v>17.018499197630899</v>
      </c>
      <c r="AL5088">
        <v>78.601709163685101</v>
      </c>
      <c r="AM5088">
        <v>75.315945757256401</v>
      </c>
      <c r="AN5088">
        <v>1.0000000087092</v>
      </c>
    </row>
    <row r="5089" spans="1:40" x14ac:dyDescent="0.25">
      <c r="A5089" t="str">
        <f>"20190312172218211"</f>
        <v>20190312172218211</v>
      </c>
      <c r="B5089" t="str">
        <f>"1552382538205650"</f>
        <v>1552382538205650</v>
      </c>
      <c r="C5089" t="s">
        <v>40</v>
      </c>
      <c r="D5089">
        <v>3.117712</v>
      </c>
      <c r="E5089">
        <v>0.50704499999999997</v>
      </c>
      <c r="F5089" t="s">
        <v>42</v>
      </c>
      <c r="G5089">
        <v>-223.68860000000001</v>
      </c>
      <c r="H5089" s="1">
        <v>-3.5333729999999998E-6</v>
      </c>
      <c r="I5089">
        <v>142.78639999999999</v>
      </c>
      <c r="J5089">
        <v>-206.66290000000001</v>
      </c>
      <c r="K5089">
        <v>1.1083080000000001</v>
      </c>
      <c r="L5089">
        <v>144.0592</v>
      </c>
      <c r="M5089">
        <v>-0.93759499999999996</v>
      </c>
      <c r="N5089">
        <v>0</v>
      </c>
      <c r="O5089">
        <v>-0.34751710000000002</v>
      </c>
      <c r="P5089">
        <v>-0.97680129999999998</v>
      </c>
      <c r="Q5089">
        <v>0.187858</v>
      </c>
      <c r="R5089">
        <v>-0.1028075</v>
      </c>
      <c r="S5089">
        <v>-3.0842589999999999</v>
      </c>
      <c r="T5089">
        <v>-0.1989253</v>
      </c>
      <c r="U5089">
        <v>-0.23782349999999999</v>
      </c>
      <c r="V5089">
        <v>0.2442416</v>
      </c>
      <c r="W5089">
        <v>0.19799549999999999</v>
      </c>
      <c r="X5089">
        <v>0.94928590000000002</v>
      </c>
      <c r="Y5089">
        <v>0.27317540000000001</v>
      </c>
      <c r="Z5089">
        <v>3.071231E-2</v>
      </c>
      <c r="AA5089">
        <v>0.96147380000000005</v>
      </c>
      <c r="AB5089">
        <v>16</v>
      </c>
      <c r="AC5089">
        <v>-17.025700000000001</v>
      </c>
      <c r="AD5089">
        <v>-1.108311533373</v>
      </c>
      <c r="AE5089">
        <v>-1.2728000000000099</v>
      </c>
      <c r="AF5089">
        <v>4.7038772290632398</v>
      </c>
      <c r="AG5089">
        <v>-1.108311533373</v>
      </c>
      <c r="AH5089">
        <v>16.337893146169399</v>
      </c>
      <c r="AI5089">
        <v>93.729765474486598</v>
      </c>
      <c r="AJ5089">
        <v>73.938249800181794</v>
      </c>
      <c r="AK5089">
        <v>17.037651478321699</v>
      </c>
      <c r="AL5089">
        <v>78.580233656372201</v>
      </c>
      <c r="AM5089">
        <v>75.571328949352093</v>
      </c>
      <c r="AN5089">
        <v>0.99999994856480801</v>
      </c>
    </row>
    <row r="5090" spans="1:40" x14ac:dyDescent="0.25">
      <c r="A5090" t="str">
        <f>"20190312172218234"</f>
        <v>20190312172218234</v>
      </c>
      <c r="B5090" t="str">
        <f>"1552382538225311"</f>
        <v>1552382538225311</v>
      </c>
      <c r="C5090" t="s">
        <v>40</v>
      </c>
      <c r="D5090">
        <v>3.111656</v>
      </c>
      <c r="E5090">
        <v>0.50728609999999996</v>
      </c>
      <c r="F5090" t="s">
        <v>42</v>
      </c>
      <c r="G5090">
        <v>-223.9145</v>
      </c>
      <c r="H5090" s="1">
        <v>-3.4277339999999999E-6</v>
      </c>
      <c r="I5090">
        <v>142.75360000000001</v>
      </c>
      <c r="J5090">
        <v>-206.82589999999999</v>
      </c>
      <c r="K5090">
        <v>1.108344</v>
      </c>
      <c r="L5090">
        <v>144.006</v>
      </c>
      <c r="M5090">
        <v>-0.93957559999999996</v>
      </c>
      <c r="N5090">
        <v>0</v>
      </c>
      <c r="O5090">
        <v>-0.3421284</v>
      </c>
      <c r="P5090">
        <v>-0.97668929999999998</v>
      </c>
      <c r="Q5090">
        <v>0.1890993</v>
      </c>
      <c r="R5090">
        <v>-0.1015839</v>
      </c>
      <c r="S5090">
        <v>-3.0848080000000002</v>
      </c>
      <c r="T5090">
        <v>-0.19818089999999999</v>
      </c>
      <c r="U5090">
        <v>-0.23344419999999999</v>
      </c>
      <c r="V5090">
        <v>0.239871</v>
      </c>
      <c r="W5090">
        <v>0.19922039999999999</v>
      </c>
      <c r="X5090">
        <v>0.95014379999999998</v>
      </c>
      <c r="Y5090">
        <v>0.269049599999999</v>
      </c>
      <c r="Z5090">
        <v>3.0136969999999999E-2</v>
      </c>
      <c r="AA5090">
        <v>0.96265469999999997</v>
      </c>
      <c r="AB5090">
        <v>16</v>
      </c>
      <c r="AC5090">
        <v>-17.0886</v>
      </c>
      <c r="AD5090">
        <v>-1.108347427734</v>
      </c>
      <c r="AE5090">
        <v>-1.25239999999999</v>
      </c>
      <c r="AF5090">
        <v>4.6506522164323902</v>
      </c>
      <c r="AG5090">
        <v>-1.108347427734</v>
      </c>
      <c r="AH5090">
        <v>16.4170233629983</v>
      </c>
      <c r="AI5090">
        <v>93.716486281660096</v>
      </c>
      <c r="AJ5090">
        <v>74.183512539721505</v>
      </c>
      <c r="AK5090">
        <v>17.098995764664199</v>
      </c>
      <c r="AL5090">
        <v>78.508626754441494</v>
      </c>
      <c r="AM5090">
        <v>75.831307525191207</v>
      </c>
      <c r="AN5090">
        <v>1.0000000525477899</v>
      </c>
    </row>
    <row r="5091" spans="1:40" x14ac:dyDescent="0.25">
      <c r="A5091" t="str">
        <f>"20190312172218256"</f>
        <v>20190312172218256</v>
      </c>
      <c r="B5091" t="str">
        <f>"1552382538245804"</f>
        <v>1552382538245804</v>
      </c>
      <c r="C5091" t="s">
        <v>40</v>
      </c>
      <c r="D5091">
        <v>3.1305559999999999</v>
      </c>
      <c r="E5091">
        <v>0.50758820000000004</v>
      </c>
      <c r="F5091" t="s">
        <v>42</v>
      </c>
      <c r="G5091">
        <v>-224.3201</v>
      </c>
      <c r="H5091" s="1">
        <v>-3.2437220000000001E-6</v>
      </c>
      <c r="I5091">
        <v>142.71600000000001</v>
      </c>
      <c r="J5091">
        <v>-206.9828</v>
      </c>
      <c r="K5091">
        <v>1.1083809999999901</v>
      </c>
      <c r="L5091">
        <v>143.95580000000001</v>
      </c>
      <c r="M5091">
        <v>-0.9414148</v>
      </c>
      <c r="N5091">
        <v>0</v>
      </c>
      <c r="O5091">
        <v>-0.3370377</v>
      </c>
      <c r="P5091">
        <v>-0.97686989999999996</v>
      </c>
      <c r="Q5091">
        <v>0.1891109</v>
      </c>
      <c r="R5091">
        <v>-9.9813799999999994E-2</v>
      </c>
      <c r="S5091">
        <v>-3.0857999999999999</v>
      </c>
      <c r="T5091">
        <v>-0.1955017</v>
      </c>
      <c r="U5091">
        <v>-0.22753909999999999</v>
      </c>
      <c r="V5091">
        <v>0.23641619999999999</v>
      </c>
      <c r="W5091">
        <v>0.19921520000000001</v>
      </c>
      <c r="X5091">
        <v>0.95101029999999998</v>
      </c>
      <c r="Y5091">
        <v>0.26574049999999999</v>
      </c>
      <c r="Z5091">
        <v>2.931574E-2</v>
      </c>
      <c r="AA5091">
        <v>0.96359879999999998</v>
      </c>
      <c r="AB5091">
        <v>16</v>
      </c>
      <c r="AC5091">
        <v>-17.337299999999999</v>
      </c>
      <c r="AD5091">
        <v>-1.10838424372199</v>
      </c>
      <c r="AE5091">
        <v>-1.2398</v>
      </c>
      <c r="AF5091">
        <v>4.6575546621855199</v>
      </c>
      <c r="AG5091">
        <v>-1.10838424372199</v>
      </c>
      <c r="AH5091">
        <v>16.672856217194202</v>
      </c>
      <c r="AI5091">
        <v>93.663480624517007</v>
      </c>
      <c r="AJ5091">
        <v>74.392318717340103</v>
      </c>
      <c r="AK5091">
        <v>17.346626920015499</v>
      </c>
      <c r="AL5091">
        <v>78.508929628630099</v>
      </c>
      <c r="AM5091">
        <v>76.039558447642605</v>
      </c>
      <c r="AN5091">
        <v>0.99999995311978296</v>
      </c>
    </row>
    <row r="5092" spans="1:40" x14ac:dyDescent="0.25">
      <c r="A5092" t="str">
        <f>"20190312172218278"</f>
        <v>20190312172218278</v>
      </c>
      <c r="B5092" t="str">
        <f>"1552382538265324"</f>
        <v>1552382538265324</v>
      </c>
      <c r="C5092" t="s">
        <v>40</v>
      </c>
      <c r="D5092">
        <v>3.0815290000000002</v>
      </c>
      <c r="E5092">
        <v>0.50808549999999997</v>
      </c>
      <c r="F5092" t="s">
        <v>42</v>
      </c>
      <c r="G5092">
        <v>-224.39879999999999</v>
      </c>
      <c r="H5092" s="1">
        <v>-3.2088570000000002E-6</v>
      </c>
      <c r="I5092">
        <v>142.71190000000001</v>
      </c>
      <c r="J5092">
        <v>-207.1344</v>
      </c>
      <c r="K5092">
        <v>1.108412</v>
      </c>
      <c r="L5092">
        <v>143.90799999999999</v>
      </c>
      <c r="M5092">
        <v>-0.9431311</v>
      </c>
      <c r="N5092">
        <v>0</v>
      </c>
      <c r="O5092">
        <v>-0.33220719999999998</v>
      </c>
      <c r="P5092">
        <v>-0.9770411</v>
      </c>
      <c r="Q5092">
        <v>0.18859970000000001</v>
      </c>
      <c r="R5092">
        <v>-9.9102819999999994E-2</v>
      </c>
      <c r="S5092">
        <v>-3.0865330000000002</v>
      </c>
      <c r="T5092">
        <v>-0.196432</v>
      </c>
      <c r="U5092">
        <v>-0.22044369999999999</v>
      </c>
      <c r="V5092">
        <v>0.2322263</v>
      </c>
      <c r="W5092">
        <v>0.1986947</v>
      </c>
      <c r="X5092">
        <v>0.95215090000000002</v>
      </c>
      <c r="Y5092">
        <v>0.26302199999999998</v>
      </c>
      <c r="Z5092">
        <v>2.9075460000000001E-2</v>
      </c>
      <c r="AA5092">
        <v>0.96435159999999998</v>
      </c>
      <c r="AB5092">
        <v>16</v>
      </c>
      <c r="AC5092">
        <v>-17.264399999999899</v>
      </c>
      <c r="AD5092">
        <v>-1.1084152088570001</v>
      </c>
      <c r="AE5092">
        <v>-1.19609999999997</v>
      </c>
      <c r="AF5092">
        <v>4.5887819251169297</v>
      </c>
      <c r="AG5092">
        <v>-1.1084152088570001</v>
      </c>
      <c r="AH5092">
        <v>16.6129802285229</v>
      </c>
      <c r="AI5092">
        <v>93.679714256131703</v>
      </c>
      <c r="AJ5092">
        <v>74.558960536085493</v>
      </c>
      <c r="AK5092">
        <v>17.270686607798702</v>
      </c>
      <c r="AL5092">
        <v>78.539360834047102</v>
      </c>
      <c r="AM5092">
        <v>76.293358579879396</v>
      </c>
      <c r="AN5092">
        <v>0.99999998729529405</v>
      </c>
    </row>
    <row r="5093" spans="1:40" x14ac:dyDescent="0.25">
      <c r="A5093" t="str">
        <f>"20190312172218301"</f>
        <v>20190312172218301</v>
      </c>
      <c r="B5093" t="str">
        <f>"1552382538295580"</f>
        <v>1552382538295580</v>
      </c>
      <c r="C5093" t="s">
        <v>40</v>
      </c>
      <c r="D5093">
        <v>3.0985719999999999</v>
      </c>
      <c r="E5093">
        <v>0.50848509999999902</v>
      </c>
      <c r="F5093" t="s">
        <v>42</v>
      </c>
      <c r="G5093">
        <v>-224.10849999999999</v>
      </c>
      <c r="H5093" s="1">
        <v>-3.336894E-6</v>
      </c>
      <c r="I5093">
        <v>142.72499999999999</v>
      </c>
      <c r="J5093">
        <v>-207.30119999999999</v>
      </c>
      <c r="K5093">
        <v>1.108457</v>
      </c>
      <c r="L5093">
        <v>143.8562</v>
      </c>
      <c r="M5093">
        <v>-0.94495079999999998</v>
      </c>
      <c r="N5093">
        <v>0</v>
      </c>
      <c r="O5093">
        <v>-0.32699840000000002</v>
      </c>
      <c r="P5093">
        <v>-0.97709869999999999</v>
      </c>
      <c r="Q5093">
        <v>0.188918</v>
      </c>
      <c r="R5093">
        <v>-9.791909E-2</v>
      </c>
      <c r="S5093">
        <v>-3.0876009999999998</v>
      </c>
      <c r="T5093">
        <v>-0.20162150000000001</v>
      </c>
      <c r="U5093">
        <v>-0.21517939999999999</v>
      </c>
      <c r="V5093">
        <v>0.2280692</v>
      </c>
      <c r="W5093">
        <v>0.1989938</v>
      </c>
      <c r="X5093">
        <v>0.95309279999999996</v>
      </c>
      <c r="Y5093">
        <v>0.25931359999999998</v>
      </c>
      <c r="Z5093">
        <v>2.939195E-2</v>
      </c>
      <c r="AA5093">
        <v>0.96534589999999998</v>
      </c>
      <c r="AB5093">
        <v>16</v>
      </c>
      <c r="AC5093">
        <v>-16.807299999999898</v>
      </c>
      <c r="AD5093">
        <v>-1.108460336894</v>
      </c>
      <c r="AE5093">
        <v>-1.1312</v>
      </c>
      <c r="AF5093">
        <v>4.40825439548441</v>
      </c>
      <c r="AG5093">
        <v>-1.108460336894</v>
      </c>
      <c r="AH5093">
        <v>16.183038651855</v>
      </c>
      <c r="AI5093">
        <v>93.7810180979005</v>
      </c>
      <c r="AJ5093">
        <v>74.762353500462297</v>
      </c>
      <c r="AK5093">
        <v>16.8092870503542</v>
      </c>
      <c r="AL5093">
        <v>78.521874501857894</v>
      </c>
      <c r="AM5093">
        <v>76.542531309291405</v>
      </c>
      <c r="AN5093">
        <v>0.99999998891945996</v>
      </c>
    </row>
    <row r="5094" spans="1:40" x14ac:dyDescent="0.25">
      <c r="A5094" t="str">
        <f>"20190312172218324"</f>
        <v>20190312172218324</v>
      </c>
      <c r="B5094" t="str">
        <f>"1552382538316076"</f>
        <v>1552382538316076</v>
      </c>
      <c r="C5094" t="s">
        <v>40</v>
      </c>
      <c r="D5094">
        <v>3.1283300000000001</v>
      </c>
      <c r="E5094">
        <v>0.50860669999999997</v>
      </c>
      <c r="F5094" t="s">
        <v>42</v>
      </c>
      <c r="G5094">
        <v>-224.11869999999999</v>
      </c>
      <c r="H5094" s="1">
        <v>-3.3301230000000001E-6</v>
      </c>
      <c r="I5094">
        <v>142.71610000000001</v>
      </c>
      <c r="J5094">
        <v>-207.46770000000001</v>
      </c>
      <c r="K5094">
        <v>1.108487</v>
      </c>
      <c r="L5094">
        <v>143.80539999999999</v>
      </c>
      <c r="M5094">
        <v>-0.94669619999999999</v>
      </c>
      <c r="N5094">
        <v>0</v>
      </c>
      <c r="O5094">
        <v>-0.32191350000000002</v>
      </c>
      <c r="P5094">
        <v>-0.97716800000000004</v>
      </c>
      <c r="Q5094">
        <v>0.18910679999999999</v>
      </c>
      <c r="R5094">
        <v>-9.6857700000000005E-2</v>
      </c>
      <c r="S5094">
        <v>-3.0886840000000002</v>
      </c>
      <c r="T5094">
        <v>-0.20357800000000001</v>
      </c>
      <c r="U5094">
        <v>-0.20938109999999999</v>
      </c>
      <c r="V5094">
        <v>0.2239341</v>
      </c>
      <c r="W5094">
        <v>0.19916010000000001</v>
      </c>
      <c r="X5094">
        <v>0.9540381</v>
      </c>
      <c r="Y5094">
        <v>0.25594240000000001</v>
      </c>
      <c r="Z5094">
        <v>2.9240729999999999E-2</v>
      </c>
      <c r="AA5094">
        <v>0.96624969999999999</v>
      </c>
      <c r="AB5094">
        <v>16</v>
      </c>
      <c r="AC5094">
        <v>-16.6509999999999</v>
      </c>
      <c r="AD5094">
        <v>-1.108490330123</v>
      </c>
      <c r="AE5094">
        <v>-1.08929999999998</v>
      </c>
      <c r="AF5094">
        <v>4.3102234754635003</v>
      </c>
      <c r="AG5094">
        <v>-1.108490330123</v>
      </c>
      <c r="AH5094">
        <v>16.0444077327858</v>
      </c>
      <c r="AI5094">
        <v>93.817296792798601</v>
      </c>
      <c r="AJ5094">
        <v>74.962898272496503</v>
      </c>
      <c r="AK5094">
        <v>16.650219119167499</v>
      </c>
      <c r="AL5094">
        <v>78.5121512783291</v>
      </c>
      <c r="AM5094">
        <v>76.790523359265407</v>
      </c>
      <c r="AN5094">
        <v>0.99999996141321401</v>
      </c>
    </row>
    <row r="5095" spans="1:40" x14ac:dyDescent="0.25">
      <c r="A5095" t="str">
        <f>"20190312172218346"</f>
        <v>20190312172218346</v>
      </c>
      <c r="B5095" t="str">
        <f>"1552382538336102"</f>
        <v>1552382538336102</v>
      </c>
      <c r="C5095" t="s">
        <v>40</v>
      </c>
      <c r="D5095">
        <v>3.1326230000000002</v>
      </c>
      <c r="E5095">
        <v>0.50899150000000004</v>
      </c>
      <c r="F5095" t="s">
        <v>42</v>
      </c>
      <c r="G5095">
        <v>-224.24379999999999</v>
      </c>
      <c r="H5095" s="1">
        <v>-3.2690200000000001E-6</v>
      </c>
      <c r="I5095">
        <v>142.68809999999999</v>
      </c>
      <c r="J5095">
        <v>-207.62469999999999</v>
      </c>
      <c r="K5095">
        <v>1.1085130000000001</v>
      </c>
      <c r="L5095">
        <v>143.75829999999999</v>
      </c>
      <c r="M5095">
        <v>-0.94828699999999999</v>
      </c>
      <c r="N5095">
        <v>0</v>
      </c>
      <c r="O5095">
        <v>-0.31719989999999998</v>
      </c>
      <c r="P5095">
        <v>-0.97738400000000003</v>
      </c>
      <c r="Q5095">
        <v>0.18853449999999999</v>
      </c>
      <c r="R5095">
        <v>-9.5788150000000002E-2</v>
      </c>
      <c r="S5095">
        <v>-3.0892179999999998</v>
      </c>
      <c r="T5095">
        <v>-0.20412230000000001</v>
      </c>
      <c r="U5095">
        <v>-0.20573430000000001</v>
      </c>
      <c r="V5095">
        <v>0.22023719999999999</v>
      </c>
      <c r="W5095">
        <v>0.19856289999999999</v>
      </c>
      <c r="X5095">
        <v>0.9550227</v>
      </c>
      <c r="Y5095">
        <v>0.25229049999999997</v>
      </c>
      <c r="Z5095">
        <v>2.8899319999999999E-2</v>
      </c>
      <c r="AA5095">
        <v>0.96721990000000002</v>
      </c>
      <c r="AB5095">
        <v>16</v>
      </c>
      <c r="AC5095">
        <v>-16.6191</v>
      </c>
      <c r="AD5095">
        <v>-1.1085162690199999</v>
      </c>
      <c r="AE5095">
        <v>-1.07019999999999</v>
      </c>
      <c r="AF5095">
        <v>4.23823126085935</v>
      </c>
      <c r="AG5095">
        <v>-1.1085162690199999</v>
      </c>
      <c r="AH5095">
        <v>16.0292179927674</v>
      </c>
      <c r="AI5095">
        <v>93.8250112417509</v>
      </c>
      <c r="AJ5095">
        <v>75.1895452174832</v>
      </c>
      <c r="AK5095">
        <v>16.6170768187087</v>
      </c>
      <c r="AL5095">
        <v>78.547066132110004</v>
      </c>
      <c r="AM5095">
        <v>77.0140787889423</v>
      </c>
      <c r="AN5095">
        <v>1.0000000035177701</v>
      </c>
    </row>
    <row r="5096" spans="1:40" x14ac:dyDescent="0.25">
      <c r="A5096" t="str">
        <f>"20190312172218367"</f>
        <v>20190312172218367</v>
      </c>
      <c r="B5096" t="str">
        <f>"1552382538355622"</f>
        <v>1552382538355622</v>
      </c>
      <c r="C5096" t="s">
        <v>40</v>
      </c>
      <c r="D5096">
        <v>3.0947339999999999</v>
      </c>
      <c r="E5096">
        <v>0.50935980000000003</v>
      </c>
      <c r="F5096" t="s">
        <v>42</v>
      </c>
      <c r="G5096">
        <v>-224.04239999999999</v>
      </c>
      <c r="H5096" s="1">
        <v>-3.3565200000000001E-6</v>
      </c>
      <c r="I5096">
        <v>142.69220000000001</v>
      </c>
      <c r="J5096">
        <v>-207.77340000000001</v>
      </c>
      <c r="K5096">
        <v>1.108527</v>
      </c>
      <c r="L5096">
        <v>143.71440000000001</v>
      </c>
      <c r="M5096">
        <v>-0.94974879999999995</v>
      </c>
      <c r="N5096">
        <v>0</v>
      </c>
      <c r="O5096">
        <v>-0.31279820000000003</v>
      </c>
      <c r="P5096">
        <v>-0.97758440000000002</v>
      </c>
      <c r="Q5096">
        <v>0.1879989</v>
      </c>
      <c r="R5096">
        <v>-9.4791929999999996E-2</v>
      </c>
      <c r="S5096">
        <v>-3.0899960000000002</v>
      </c>
      <c r="T5096">
        <v>-0.20863480000000001</v>
      </c>
      <c r="U5096">
        <v>-0.20063780000000001</v>
      </c>
      <c r="V5096">
        <v>0.21679000000000001</v>
      </c>
      <c r="W5096">
        <v>0.19799929999999999</v>
      </c>
      <c r="X5096">
        <v>0.955928</v>
      </c>
      <c r="Y5096">
        <v>0.2493688</v>
      </c>
      <c r="Z5096">
        <v>2.9150869999999999E-2</v>
      </c>
      <c r="AA5096">
        <v>0.96796970000000004</v>
      </c>
      <c r="AB5096">
        <v>16</v>
      </c>
      <c r="AC5096">
        <v>-16.268999999999899</v>
      </c>
      <c r="AD5096">
        <v>-1.10853035652</v>
      </c>
      <c r="AE5096">
        <v>-1.02219999999999</v>
      </c>
      <c r="AF5096">
        <v>4.0994000978981502</v>
      </c>
      <c r="AG5096">
        <v>-1.10853035652</v>
      </c>
      <c r="AH5096">
        <v>15.699663603730899</v>
      </c>
      <c r="AI5096">
        <v>93.908258282844798</v>
      </c>
      <c r="AJ5096">
        <v>75.366020441737106</v>
      </c>
      <c r="AK5096">
        <v>16.2638666369436</v>
      </c>
      <c r="AL5096">
        <v>78.580011945563498</v>
      </c>
      <c r="AM5096">
        <v>77.222316413072505</v>
      </c>
      <c r="AN5096">
        <v>0.99999998404224499</v>
      </c>
    </row>
    <row r="5097" spans="1:40" x14ac:dyDescent="0.25">
      <c r="A5097" t="str">
        <f>"20190312172218389"</f>
        <v>20190312172218389</v>
      </c>
      <c r="B5097" t="str">
        <f>"1552382538385877"</f>
        <v>1552382538385877</v>
      </c>
      <c r="C5097" t="s">
        <v>40</v>
      </c>
      <c r="D5097">
        <v>3.1049340000000001</v>
      </c>
      <c r="E5097">
        <v>0.50984259999999904</v>
      </c>
      <c r="F5097" t="s">
        <v>42</v>
      </c>
      <c r="G5097">
        <v>-223.886</v>
      </c>
      <c r="H5097" s="1">
        <v>-3.423886E-6</v>
      </c>
      <c r="I5097">
        <v>142.69309999999999</v>
      </c>
      <c r="J5097">
        <v>-207.93289999999999</v>
      </c>
      <c r="K5097">
        <v>1.1085389999999999</v>
      </c>
      <c r="L5097">
        <v>143.66800000000001</v>
      </c>
      <c r="M5097">
        <v>-0.95126869999999997</v>
      </c>
      <c r="N5097">
        <v>0</v>
      </c>
      <c r="O5097">
        <v>-0.30814750000000002</v>
      </c>
      <c r="P5097">
        <v>-0.97775469999999998</v>
      </c>
      <c r="Q5097">
        <v>0.1876787</v>
      </c>
      <c r="R5097">
        <v>-9.3663109999999994E-2</v>
      </c>
      <c r="S5097">
        <v>-3.0906829999999998</v>
      </c>
      <c r="T5097">
        <v>-0.21263670000000001</v>
      </c>
      <c r="U5097">
        <v>-0.1958771</v>
      </c>
      <c r="V5097">
        <v>0.2132144</v>
      </c>
      <c r="W5097">
        <v>0.19764590000000001</v>
      </c>
      <c r="X5097">
        <v>0.95680489999999996</v>
      </c>
      <c r="Y5097">
        <v>0.24609890000000001</v>
      </c>
      <c r="Z5097">
        <v>2.9287460000000001E-2</v>
      </c>
      <c r="AA5097">
        <v>0.96880219999999995</v>
      </c>
      <c r="AB5097">
        <v>16</v>
      </c>
      <c r="AC5097">
        <v>-15.953099999999999</v>
      </c>
      <c r="AD5097">
        <v>-1.108542423886</v>
      </c>
      <c r="AE5097">
        <v>-0.97490000000001897</v>
      </c>
      <c r="AF5097">
        <v>3.96968484043725</v>
      </c>
      <c r="AG5097">
        <v>-1.108542423886</v>
      </c>
      <c r="AH5097">
        <v>15.403029598426301</v>
      </c>
      <c r="AI5097">
        <v>93.986603022411799</v>
      </c>
      <c r="AJ5097">
        <v>75.548158266300803</v>
      </c>
      <c r="AK5097">
        <v>15.944923482035</v>
      </c>
      <c r="AL5097">
        <v>78.600668092443698</v>
      </c>
      <c r="AM5097">
        <v>77.437466567863794</v>
      </c>
      <c r="AN5097">
        <v>0.99999994940908798</v>
      </c>
    </row>
    <row r="5098" spans="1:40" x14ac:dyDescent="0.25">
      <c r="A5098" t="str">
        <f>"20190312172218412"</f>
        <v>20190312172218412</v>
      </c>
      <c r="B5098" t="str">
        <f>"1552382538405398"</f>
        <v>1552382538405398</v>
      </c>
      <c r="C5098" t="s">
        <v>40</v>
      </c>
      <c r="D5098">
        <v>3.1333609999999998</v>
      </c>
      <c r="E5098">
        <v>0.51004490000000002</v>
      </c>
      <c r="F5098" t="s">
        <v>42</v>
      </c>
      <c r="G5098">
        <v>-223.81630000000001</v>
      </c>
      <c r="H5098" s="1">
        <v>-3.4544759999999999E-6</v>
      </c>
      <c r="I5098">
        <v>142.69579999999999</v>
      </c>
      <c r="J5098">
        <v>-208.09729999999999</v>
      </c>
      <c r="K5098">
        <v>1.1085510000000001</v>
      </c>
      <c r="L5098">
        <v>143.62100000000001</v>
      </c>
      <c r="M5098">
        <v>-0.95278660000000004</v>
      </c>
      <c r="N5098">
        <v>0</v>
      </c>
      <c r="O5098">
        <v>-0.30342419999999998</v>
      </c>
      <c r="P5098">
        <v>-0.97783810000000004</v>
      </c>
      <c r="Q5098">
        <v>0.18815680000000001</v>
      </c>
      <c r="R5098">
        <v>-9.1814049999999994E-2</v>
      </c>
      <c r="S5098">
        <v>-3.0915370000000002</v>
      </c>
      <c r="T5098">
        <v>-0.21576619999999999</v>
      </c>
      <c r="U5098">
        <v>-0.18920899999999999</v>
      </c>
      <c r="V5098">
        <v>0.21023330000000001</v>
      </c>
      <c r="W5098">
        <v>0.19808339999999999</v>
      </c>
      <c r="X5098">
        <v>0.95737399999999995</v>
      </c>
      <c r="Y5098">
        <v>0.24336849999999999</v>
      </c>
      <c r="Z5098">
        <v>2.9303030000000001E-2</v>
      </c>
      <c r="AA5098">
        <v>0.9694912</v>
      </c>
      <c r="AB5098">
        <v>17</v>
      </c>
      <c r="AC5098">
        <v>-15.718999999999999</v>
      </c>
      <c r="AD5098">
        <v>-1.108554454476</v>
      </c>
      <c r="AE5098">
        <v>-0.92520000000001701</v>
      </c>
      <c r="AF5098">
        <v>3.8690858435748998</v>
      </c>
      <c r="AG5098">
        <v>-1.108554454476</v>
      </c>
      <c r="AH5098">
        <v>15.183329585210201</v>
      </c>
      <c r="AI5098">
        <v>94.046950645954098</v>
      </c>
      <c r="AJ5098">
        <v>75.703884805274598</v>
      </c>
      <c r="AK5098">
        <v>15.7077119764977</v>
      </c>
      <c r="AL5098">
        <v>78.575096475913895</v>
      </c>
      <c r="AM5098">
        <v>77.614787878338205</v>
      </c>
      <c r="AN5098">
        <v>1.0000000248302201</v>
      </c>
    </row>
    <row r="5099" spans="1:40" x14ac:dyDescent="0.25">
      <c r="A5099" t="str">
        <f>"20190312172218434"</f>
        <v>20190312172218434</v>
      </c>
      <c r="B5099" t="str">
        <f>"1552382538425893"</f>
        <v>1552382538425893</v>
      </c>
      <c r="C5099" t="s">
        <v>40</v>
      </c>
      <c r="D5099">
        <v>3.121381</v>
      </c>
      <c r="E5099">
        <v>0.5102257</v>
      </c>
      <c r="F5099" t="s">
        <v>42</v>
      </c>
      <c r="G5099">
        <v>-224.05330000000001</v>
      </c>
      <c r="H5099" s="1">
        <v>-3.349189E-6</v>
      </c>
      <c r="I5099">
        <v>142.68219999999999</v>
      </c>
      <c r="J5099">
        <v>-208.26</v>
      </c>
      <c r="K5099">
        <v>1.108563</v>
      </c>
      <c r="L5099">
        <v>143.5752</v>
      </c>
      <c r="M5099">
        <v>-0.95424439999999999</v>
      </c>
      <c r="N5099">
        <v>0</v>
      </c>
      <c r="O5099">
        <v>-0.29881089999999999</v>
      </c>
      <c r="P5099">
        <v>-0.97783169999999997</v>
      </c>
      <c r="Q5099">
        <v>0.18878990000000001</v>
      </c>
      <c r="R5099">
        <v>-9.0572979999999997E-2</v>
      </c>
      <c r="S5099">
        <v>-3.0922390000000002</v>
      </c>
      <c r="T5099">
        <v>-0.2148352</v>
      </c>
      <c r="U5099">
        <v>-0.1819153</v>
      </c>
      <c r="V5099">
        <v>0.20676249999999999</v>
      </c>
      <c r="W5099">
        <v>0.19868160000000001</v>
      </c>
      <c r="X5099">
        <v>0.95800569999999896</v>
      </c>
      <c r="Y5099">
        <v>0.2409956</v>
      </c>
      <c r="Z5099">
        <v>2.8785270000000002E-2</v>
      </c>
      <c r="AA5099">
        <v>0.97009920000000005</v>
      </c>
      <c r="AB5099">
        <v>17</v>
      </c>
      <c r="AC5099">
        <v>-15.7933</v>
      </c>
      <c r="AD5099">
        <v>-1.1085663491890001</v>
      </c>
      <c r="AE5099">
        <v>-0.89300000000000002</v>
      </c>
      <c r="AF5099">
        <v>3.8484201627319199</v>
      </c>
      <c r="AG5099">
        <v>-1.1085663491890001</v>
      </c>
      <c r="AH5099">
        <v>15.263537799516699</v>
      </c>
      <c r="AI5099">
        <v>94.028372017406994</v>
      </c>
      <c r="AJ5099">
        <v>75.848866998895602</v>
      </c>
      <c r="AK5099">
        <v>15.780204157638501</v>
      </c>
      <c r="AL5099">
        <v>78.540127004114296</v>
      </c>
      <c r="AM5099">
        <v>77.820894387688199</v>
      </c>
      <c r="AN5099">
        <v>1.0000000154086399</v>
      </c>
    </row>
    <row r="5100" spans="1:40" x14ac:dyDescent="0.25">
      <c r="A5100" t="str">
        <f>"20190312172218457"</f>
        <v>20190312172218457</v>
      </c>
      <c r="B5100" t="str">
        <f>"1552382538445417"</f>
        <v>1552382538445417</v>
      </c>
      <c r="C5100" t="s">
        <v>40</v>
      </c>
      <c r="D5100">
        <v>3.143402</v>
      </c>
      <c r="E5100">
        <v>0.51046709999999995</v>
      </c>
      <c r="F5100" t="s">
        <v>42</v>
      </c>
      <c r="G5100">
        <v>-224.31909999999999</v>
      </c>
      <c r="H5100" s="1">
        <v>-3.2281079999999999E-6</v>
      </c>
      <c r="I5100">
        <v>142.6558</v>
      </c>
      <c r="J5100">
        <v>-208.41669999999999</v>
      </c>
      <c r="K5100">
        <v>1.1085860000000001</v>
      </c>
      <c r="L5100">
        <v>143.5318</v>
      </c>
      <c r="M5100">
        <v>-0.9556074</v>
      </c>
      <c r="N5100">
        <v>0</v>
      </c>
      <c r="O5100">
        <v>-0.29442580000000002</v>
      </c>
      <c r="P5100">
        <v>-0.97784760000000004</v>
      </c>
      <c r="Q5100">
        <v>0.1894778</v>
      </c>
      <c r="R5100">
        <v>-8.8950459999999995E-2</v>
      </c>
      <c r="S5100">
        <v>-3.0928339999999999</v>
      </c>
      <c r="T5100">
        <v>-0.21349940000000001</v>
      </c>
      <c r="U5100">
        <v>-0.177063</v>
      </c>
      <c r="V5100">
        <v>0.20389769999999999</v>
      </c>
      <c r="W5100">
        <v>0.19933490000000001</v>
      </c>
      <c r="X5100">
        <v>0.95848390000000006</v>
      </c>
      <c r="Y5100">
        <v>0.23809930000000001</v>
      </c>
      <c r="Z5100">
        <v>2.821386E-2</v>
      </c>
      <c r="AA5100">
        <v>0.97083090000000005</v>
      </c>
      <c r="AB5100">
        <v>17</v>
      </c>
      <c r="AC5100">
        <v>-15.9024</v>
      </c>
      <c r="AD5100">
        <v>-1.1085892281080001</v>
      </c>
      <c r="AE5100">
        <v>-0.876000000000004</v>
      </c>
      <c r="AF5100">
        <v>3.8266702684575402</v>
      </c>
      <c r="AG5100">
        <v>-1.1085892281080001</v>
      </c>
      <c r="AH5100">
        <v>15.380835637223001</v>
      </c>
      <c r="AI5100">
        <v>94.000968007746295</v>
      </c>
      <c r="AJ5100">
        <v>76.028771694386407</v>
      </c>
      <c r="AK5100">
        <v>15.8884385739896</v>
      </c>
      <c r="AL5100">
        <v>78.501931857033995</v>
      </c>
      <c r="AM5100">
        <v>77.990525785375993</v>
      </c>
      <c r="AN5100">
        <v>1.00000003049125</v>
      </c>
    </row>
    <row r="5101" spans="1:40" x14ac:dyDescent="0.25">
      <c r="A5101" t="str">
        <f>"20190312172218478"</f>
        <v>20190312172218478</v>
      </c>
      <c r="B5101" t="str">
        <f>"1552382538475670"</f>
        <v>1552382538475670</v>
      </c>
      <c r="C5101" t="s">
        <v>40</v>
      </c>
      <c r="D5101">
        <v>3.1451570000000002</v>
      </c>
      <c r="E5101">
        <v>0.51085779999999903</v>
      </c>
      <c r="F5101" t="s">
        <v>42</v>
      </c>
      <c r="G5101">
        <v>-224.5386</v>
      </c>
      <c r="H5101" s="1">
        <v>-3.1292029999999999E-6</v>
      </c>
      <c r="I5101">
        <v>142.6379</v>
      </c>
      <c r="J5101">
        <v>-208.57550000000001</v>
      </c>
      <c r="K5101">
        <v>1.108609</v>
      </c>
      <c r="L5101">
        <v>143.48859999999999</v>
      </c>
      <c r="M5101">
        <v>-0.95694820000000003</v>
      </c>
      <c r="N5101">
        <v>0</v>
      </c>
      <c r="O5101">
        <v>-0.2900413</v>
      </c>
      <c r="P5101">
        <v>-0.97790489999999997</v>
      </c>
      <c r="Q5101">
        <v>0.19004380000000001</v>
      </c>
      <c r="R5101">
        <v>-8.7094599999999994E-2</v>
      </c>
      <c r="S5101">
        <v>-3.0935670000000002</v>
      </c>
      <c r="T5101">
        <v>-0.212723</v>
      </c>
      <c r="U5101">
        <v>-0.17152400000000001</v>
      </c>
      <c r="V5101">
        <v>0.20127320000000001</v>
      </c>
      <c r="W5101">
        <v>0.19986519999999999</v>
      </c>
      <c r="X5101">
        <v>0.958928</v>
      </c>
      <c r="Y5101">
        <v>0.2354174</v>
      </c>
      <c r="Z5101">
        <v>2.7726239999999999E-2</v>
      </c>
      <c r="AA5101">
        <v>0.9714988</v>
      </c>
      <c r="AB5101">
        <v>17</v>
      </c>
      <c r="AC5101">
        <v>-15.963099999999899</v>
      </c>
      <c r="AD5101">
        <v>-1.108612129203</v>
      </c>
      <c r="AE5101">
        <v>-0.85069999999998902</v>
      </c>
      <c r="AF5101">
        <v>3.7978577111895202</v>
      </c>
      <c r="AG5101">
        <v>-1.108612129203</v>
      </c>
      <c r="AH5101">
        <v>15.449275284536</v>
      </c>
      <c r="AI5101">
        <v>93.986129702390201</v>
      </c>
      <c r="AJ5101">
        <v>76.188976920026604</v>
      </c>
      <c r="AK5101">
        <v>15.947816492072899</v>
      </c>
      <c r="AL5101">
        <v>78.470923055871197</v>
      </c>
      <c r="AM5101">
        <v>78.146039758167703</v>
      </c>
      <c r="AN5101">
        <v>0.99999995419663901</v>
      </c>
    </row>
    <row r="5102" spans="1:40" x14ac:dyDescent="0.25">
      <c r="A5102" t="str">
        <f>"20190312172218503"</f>
        <v>20190312172218503</v>
      </c>
      <c r="B5102" t="str">
        <f>"1552382538495190"</f>
        <v>1552382538495190</v>
      </c>
      <c r="C5102" t="s">
        <v>40</v>
      </c>
      <c r="D5102">
        <v>3.1337109999999999</v>
      </c>
      <c r="E5102">
        <v>0.51102239999999999</v>
      </c>
      <c r="F5102" t="s">
        <v>42</v>
      </c>
      <c r="G5102">
        <v>-224.7039</v>
      </c>
      <c r="H5102" s="1">
        <v>-3.0582659999999999E-6</v>
      </c>
      <c r="I5102">
        <v>142.6378</v>
      </c>
      <c r="J5102">
        <v>-208.74979999999999</v>
      </c>
      <c r="K5102">
        <v>1.1086320000000001</v>
      </c>
      <c r="L5102">
        <v>143.4419</v>
      </c>
      <c r="M5102">
        <v>-0.95837130000000004</v>
      </c>
      <c r="N5102">
        <v>0</v>
      </c>
      <c r="O5102">
        <v>-0.2853059</v>
      </c>
      <c r="P5102">
        <v>-0.97821970000000003</v>
      </c>
      <c r="Q5102">
        <v>0.18947420000000001</v>
      </c>
      <c r="R5102">
        <v>-8.4768499999999997E-2</v>
      </c>
      <c r="S5102">
        <v>-3.0946039999999999</v>
      </c>
      <c r="T5102">
        <v>-0.21271229999999999</v>
      </c>
      <c r="U5102">
        <v>-0.16322329999999999</v>
      </c>
      <c r="V5102">
        <v>0.1988202</v>
      </c>
      <c r="W5102">
        <v>0.19925780000000001</v>
      </c>
      <c r="X5102">
        <v>0.95956600000000003</v>
      </c>
      <c r="Y5102">
        <v>0.23324439999999999</v>
      </c>
      <c r="Z5102">
        <v>2.733211E-2</v>
      </c>
      <c r="AA5102">
        <v>0.97203390000000001</v>
      </c>
      <c r="AB5102">
        <v>17</v>
      </c>
      <c r="AC5102">
        <v>-15.9541</v>
      </c>
      <c r="AD5102">
        <v>-1.1086350582660001</v>
      </c>
      <c r="AE5102">
        <v>-0.80410000000000503</v>
      </c>
      <c r="AF5102">
        <v>3.7632830124594001</v>
      </c>
      <c r="AG5102">
        <v>-1.1086350582660001</v>
      </c>
      <c r="AH5102">
        <v>15.445940802504699</v>
      </c>
      <c r="AI5102">
        <v>93.989075580934298</v>
      </c>
      <c r="AJ5102">
        <v>76.307113182922507</v>
      </c>
      <c r="AK5102">
        <v>15.936387859197</v>
      </c>
      <c r="AL5102">
        <v>78.506439736715194</v>
      </c>
      <c r="AM5102">
        <v>78.294066573519103</v>
      </c>
      <c r="AN5102">
        <v>1.00000002557243</v>
      </c>
    </row>
    <row r="5103" spans="1:40" x14ac:dyDescent="0.25">
      <c r="A5103" t="str">
        <f>"20190312172218526"</f>
        <v>20190312172218526</v>
      </c>
      <c r="B5103" t="str">
        <f>"1552382538515686"</f>
        <v>1552382538515686</v>
      </c>
      <c r="C5103" t="s">
        <v>40</v>
      </c>
      <c r="D5103">
        <v>3.133213</v>
      </c>
      <c r="E5103">
        <v>0.51115820000000001</v>
      </c>
      <c r="F5103" t="s">
        <v>42</v>
      </c>
      <c r="G5103">
        <v>-224.6728</v>
      </c>
      <c r="H5103" s="1">
        <v>-3.073334E-6</v>
      </c>
      <c r="I5103">
        <v>142.64429999999999</v>
      </c>
      <c r="J5103">
        <v>-208.91739999999999</v>
      </c>
      <c r="K5103">
        <v>1.108644</v>
      </c>
      <c r="L5103">
        <v>143.39779999999999</v>
      </c>
      <c r="M5103">
        <v>-0.95969439999999995</v>
      </c>
      <c r="N5103">
        <v>0</v>
      </c>
      <c r="O5103">
        <v>-0.28082649999999998</v>
      </c>
      <c r="P5103">
        <v>-0.97855519999999996</v>
      </c>
      <c r="Q5103">
        <v>0.188551</v>
      </c>
      <c r="R5103">
        <v>-8.2936079999999995E-2</v>
      </c>
      <c r="S5103">
        <v>-3.0951080000000002</v>
      </c>
      <c r="T5103">
        <v>-0.21549550000000001</v>
      </c>
      <c r="U5103">
        <v>-0.15502929999999901</v>
      </c>
      <c r="V5103">
        <v>0.1961619</v>
      </c>
      <c r="W5103">
        <v>0.1983007</v>
      </c>
      <c r="X5103">
        <v>0.96031109999999997</v>
      </c>
      <c r="Y5103">
        <v>0.23126140000000001</v>
      </c>
      <c r="Z5103">
        <v>2.7319010000000001E-2</v>
      </c>
      <c r="AA5103">
        <v>0.97250800000000004</v>
      </c>
      <c r="AB5103">
        <v>17</v>
      </c>
      <c r="AC5103">
        <v>-15.7554</v>
      </c>
      <c r="AD5103">
        <v>-1.1086470733339999</v>
      </c>
      <c r="AE5103">
        <v>-0.75350000000000195</v>
      </c>
      <c r="AF5103">
        <v>3.6834354833632199</v>
      </c>
      <c r="AG5103">
        <v>-1.1086470733339999</v>
      </c>
      <c r="AH5103">
        <v>15.257542204970701</v>
      </c>
      <c r="AI5103">
        <v>94.040265582162405</v>
      </c>
      <c r="AJ5103">
        <v>76.4275058443436</v>
      </c>
      <c r="AK5103">
        <v>15.734973448651701</v>
      </c>
      <c r="AL5103">
        <v>78.562394232402795</v>
      </c>
      <c r="AM5103">
        <v>78.455067199451506</v>
      </c>
      <c r="AN5103">
        <v>1.00000003370765</v>
      </c>
    </row>
    <row r="5104" spans="1:40" x14ac:dyDescent="0.25">
      <c r="A5104" t="str">
        <f>"20190312172218546"</f>
        <v>20190312172218546</v>
      </c>
      <c r="B5104" t="str">
        <f>"1552382538535209"</f>
        <v>1552382538535209</v>
      </c>
      <c r="C5104" t="s">
        <v>40</v>
      </c>
      <c r="D5104">
        <v>3.1309010000000002</v>
      </c>
      <c r="E5104">
        <v>0.51604890000000003</v>
      </c>
      <c r="F5104" t="s">
        <v>42</v>
      </c>
      <c r="G5104">
        <v>-224.55779999999999</v>
      </c>
      <c r="H5104" s="1">
        <v>-3.1235600000000002E-6</v>
      </c>
      <c r="I5104">
        <v>142.64769999999999</v>
      </c>
      <c r="J5104">
        <v>-209.07149999999999</v>
      </c>
      <c r="K5104">
        <v>1.108649</v>
      </c>
      <c r="L5104">
        <v>143.358</v>
      </c>
      <c r="M5104">
        <v>-0.96087500000000003</v>
      </c>
      <c r="N5104">
        <v>0</v>
      </c>
      <c r="O5104">
        <v>-0.27676289999999998</v>
      </c>
      <c r="P5104">
        <v>-0.97896519999999998</v>
      </c>
      <c r="Q5104">
        <v>0.1875541</v>
      </c>
      <c r="R5104">
        <v>-8.0319230000000005E-2</v>
      </c>
      <c r="S5104">
        <v>-3.0954440000000001</v>
      </c>
      <c r="T5104">
        <v>-0.21941579999999999</v>
      </c>
      <c r="U5104">
        <v>-0.148452799999999</v>
      </c>
      <c r="V5104">
        <v>0.19470199999999999</v>
      </c>
      <c r="W5104">
        <v>0.19726440000000001</v>
      </c>
      <c r="X5104">
        <v>0.96082140000000005</v>
      </c>
      <c r="Y5104">
        <v>0.22918140000000001</v>
      </c>
      <c r="Z5104">
        <v>2.746347E-2</v>
      </c>
      <c r="AA5104">
        <v>0.97299619999999998</v>
      </c>
      <c r="AB5104">
        <v>17</v>
      </c>
      <c r="AC5104">
        <v>-15.4863</v>
      </c>
      <c r="AD5104">
        <v>-1.10865212356</v>
      </c>
      <c r="AE5104">
        <v>-0.71030000000001703</v>
      </c>
      <c r="AF5104">
        <v>3.5854060873511999</v>
      </c>
      <c r="AG5104">
        <v>-1.10865212356</v>
      </c>
      <c r="AH5104">
        <v>15.0011795562347</v>
      </c>
      <c r="AI5104">
        <v>94.111336897626003</v>
      </c>
      <c r="AJ5104">
        <v>76.558005640570101</v>
      </c>
      <c r="AK5104">
        <v>15.4634936033448</v>
      </c>
      <c r="AL5104">
        <v>78.622965288023195</v>
      </c>
      <c r="AM5104">
        <v>78.544632550057898</v>
      </c>
      <c r="AN5104">
        <v>0.99999993750465799</v>
      </c>
    </row>
    <row r="5105" spans="1:40" x14ac:dyDescent="0.25">
      <c r="A5105" t="str">
        <f>"20190312172218568"</f>
        <v>20190312172218568</v>
      </c>
      <c r="B5105" t="str">
        <f>"1552382538565463"</f>
        <v>1552382538565463</v>
      </c>
      <c r="C5105" t="s">
        <v>40</v>
      </c>
      <c r="D5105">
        <v>3.2337370000000001</v>
      </c>
      <c r="E5105">
        <v>0.51541440000000005</v>
      </c>
      <c r="F5105" t="s">
        <v>42</v>
      </c>
      <c r="G5105">
        <v>-222.74270000000001</v>
      </c>
      <c r="H5105" s="1">
        <v>-3.9275129999999998E-6</v>
      </c>
      <c r="I5105">
        <v>142.9134</v>
      </c>
      <c r="J5105">
        <v>-209.22880000000001</v>
      </c>
      <c r="K5105">
        <v>1.108654</v>
      </c>
      <c r="L5105">
        <v>143.31790000000001</v>
      </c>
      <c r="M5105">
        <v>-0.96204529999999999</v>
      </c>
      <c r="N5105">
        <v>0</v>
      </c>
      <c r="O5105">
        <v>-0.27266889999999999</v>
      </c>
      <c r="P5105">
        <v>-0.9792054</v>
      </c>
      <c r="Q5105">
        <v>0.18672730000000001</v>
      </c>
      <c r="R5105">
        <v>-7.9307920000000004E-2</v>
      </c>
      <c r="S5105">
        <v>-3.1044160000000001</v>
      </c>
      <c r="T5105">
        <v>-0.25174920000000001</v>
      </c>
      <c r="U5105">
        <v>-0.1009369</v>
      </c>
      <c r="V5105">
        <v>0.1916272</v>
      </c>
      <c r="W5105">
        <v>0.1964108</v>
      </c>
      <c r="X5105">
        <v>0.96161419999999997</v>
      </c>
      <c r="Y5105">
        <v>0.2396171</v>
      </c>
      <c r="Z5105">
        <v>3.1530519999999999E-2</v>
      </c>
      <c r="AA5105">
        <v>0.97035530000000003</v>
      </c>
      <c r="AB5105">
        <v>17</v>
      </c>
      <c r="AC5105">
        <v>-13.5139</v>
      </c>
      <c r="AD5105">
        <v>-1.108657927513</v>
      </c>
      <c r="AE5105">
        <v>-0.40450000000001202</v>
      </c>
      <c r="AF5105">
        <v>3.2738572424244601</v>
      </c>
      <c r="AG5105">
        <v>-1.108657927513</v>
      </c>
      <c r="AH5105">
        <v>13.0244885427438</v>
      </c>
      <c r="AI5105">
        <v>94.719238230896906</v>
      </c>
      <c r="AJ5105">
        <v>75.890351224684693</v>
      </c>
      <c r="AK5105">
        <v>13.4753317378117</v>
      </c>
      <c r="AL5105">
        <v>78.6728499250992</v>
      </c>
      <c r="AM5105">
        <v>78.729927161537901</v>
      </c>
      <c r="AN5105">
        <v>1.00000002788905</v>
      </c>
    </row>
    <row r="5106" spans="1:40" x14ac:dyDescent="0.25">
      <c r="A5106" t="str">
        <f>"20190312172218590"</f>
        <v>20190312172218590</v>
      </c>
      <c r="B5106" t="str">
        <f>"1552382538585958"</f>
        <v>1552382538585958</v>
      </c>
      <c r="C5106" t="s">
        <v>40</v>
      </c>
      <c r="D5106">
        <v>3.12676</v>
      </c>
      <c r="E5106">
        <v>0.51535980000000003</v>
      </c>
      <c r="F5106" t="s">
        <v>42</v>
      </c>
      <c r="G5106">
        <v>-222.86660000000001</v>
      </c>
      <c r="H5106" s="1">
        <v>-3.8763039999999997E-6</v>
      </c>
      <c r="I5106">
        <v>142.86240000000001</v>
      </c>
      <c r="J5106">
        <v>-209.39529999999999</v>
      </c>
      <c r="K5106">
        <v>1.1086530000000001</v>
      </c>
      <c r="L5106">
        <v>143.27619999999999</v>
      </c>
      <c r="M5106">
        <v>-0.96324529999999997</v>
      </c>
      <c r="N5106">
        <v>0</v>
      </c>
      <c r="O5106">
        <v>-0.26840170000000002</v>
      </c>
      <c r="P5106">
        <v>-0.97938499999999995</v>
      </c>
      <c r="Q5106">
        <v>0.18644920000000001</v>
      </c>
      <c r="R5106">
        <v>-7.7730160000000006E-2</v>
      </c>
      <c r="S5106">
        <v>-3.103424</v>
      </c>
      <c r="T5106">
        <v>-0.25228640000000002</v>
      </c>
      <c r="U5106">
        <v>-0.103653</v>
      </c>
      <c r="V5106">
        <v>0.18891140000000001</v>
      </c>
      <c r="W5106">
        <v>0.19610079999999999</v>
      </c>
      <c r="X5106">
        <v>0.96221460000000003</v>
      </c>
      <c r="Y5106">
        <v>0.2344753</v>
      </c>
      <c r="Z5106">
        <v>3.1062579999999999E-2</v>
      </c>
      <c r="AA5106">
        <v>0.97162570000000004</v>
      </c>
      <c r="AB5106">
        <v>17</v>
      </c>
      <c r="AC5106">
        <v>-13.471299999999999</v>
      </c>
      <c r="AD5106">
        <v>-1.1086568763039999</v>
      </c>
      <c r="AE5106">
        <v>-0.41379999999998002</v>
      </c>
      <c r="AF5106">
        <v>3.1956966215092102</v>
      </c>
      <c r="AG5106">
        <v>-1.1086568763039999</v>
      </c>
      <c r="AH5106">
        <v>13.000044788157499</v>
      </c>
      <c r="AI5106">
        <v>94.734175326054299</v>
      </c>
      <c r="AJ5106">
        <v>76.189279169690494</v>
      </c>
      <c r="AK5106">
        <v>13.4328984757648</v>
      </c>
      <c r="AL5106">
        <v>78.690963433491504</v>
      </c>
      <c r="AM5106">
        <v>78.892408507375606</v>
      </c>
      <c r="AN5106">
        <v>0.999999988631879</v>
      </c>
    </row>
    <row r="5107" spans="1:40" x14ac:dyDescent="0.25">
      <c r="A5107" t="str">
        <f>"20190312172218614"</f>
        <v>20190312172218614</v>
      </c>
      <c r="B5107" t="str">
        <f>"1552382538605490"</f>
        <v>1552382538605490</v>
      </c>
      <c r="C5107" t="s">
        <v>40</v>
      </c>
      <c r="D5107">
        <v>3.1320060000000001</v>
      </c>
      <c r="E5107">
        <v>0.51544069999999997</v>
      </c>
      <c r="F5107" t="s">
        <v>42</v>
      </c>
      <c r="G5107">
        <v>-223.04519999999999</v>
      </c>
      <c r="H5107" s="1">
        <v>-3.811506E-6</v>
      </c>
      <c r="I5107">
        <v>142.8398</v>
      </c>
      <c r="J5107">
        <v>-209.5642</v>
      </c>
      <c r="K5107">
        <v>1.1086640000000001</v>
      </c>
      <c r="L5107">
        <v>143.2346</v>
      </c>
      <c r="M5107">
        <v>-0.96442150000000004</v>
      </c>
      <c r="N5107">
        <v>0</v>
      </c>
      <c r="O5107">
        <v>-0.2641464</v>
      </c>
      <c r="P5107">
        <v>-0.97958959999999995</v>
      </c>
      <c r="Q5107">
        <v>0.18613979999999999</v>
      </c>
      <c r="R5107">
        <v>-7.5873079999999996E-2</v>
      </c>
      <c r="S5107">
        <v>-3.1032709999999999</v>
      </c>
      <c r="T5107">
        <v>-0.2520502</v>
      </c>
      <c r="U5107">
        <v>-9.9212649999999999E-2</v>
      </c>
      <c r="V5107">
        <v>0.18648439999999999</v>
      </c>
      <c r="W5107">
        <v>0.19575799999999999</v>
      </c>
      <c r="X5107">
        <v>0.96275770000000005</v>
      </c>
      <c r="Y5107">
        <v>0.23159650000000001</v>
      </c>
      <c r="Z5107">
        <v>3.0585680000000001E-2</v>
      </c>
      <c r="AA5107">
        <v>0.97233099999999995</v>
      </c>
      <c r="AB5107">
        <v>17</v>
      </c>
      <c r="AC5107">
        <v>-13.4809999999999</v>
      </c>
      <c r="AD5107">
        <v>-1.10866781150599</v>
      </c>
      <c r="AE5107">
        <v>-0.39480000000000298</v>
      </c>
      <c r="AF5107">
        <v>3.15904416449838</v>
      </c>
      <c r="AG5107">
        <v>-1.10866781150599</v>
      </c>
      <c r="AH5107">
        <v>13.018451313053999</v>
      </c>
      <c r="AI5107">
        <v>94.730990731540601</v>
      </c>
      <c r="AJ5107">
        <v>76.360302697282293</v>
      </c>
      <c r="AK5107">
        <v>13.442052631197299</v>
      </c>
      <c r="AL5107">
        <v>78.7109928482367</v>
      </c>
      <c r="AM5107">
        <v>79.037665805002703</v>
      </c>
      <c r="AN5107">
        <v>1.00000000745832</v>
      </c>
    </row>
    <row r="5108" spans="1:40" x14ac:dyDescent="0.25">
      <c r="A5108" t="str">
        <f>"20190312172218626"</f>
        <v>20190312172218626</v>
      </c>
      <c r="B5108" t="str">
        <f>"1552382538615238"</f>
        <v>1552382538615238</v>
      </c>
      <c r="C5108" t="s">
        <v>40</v>
      </c>
      <c r="D5108">
        <v>3.1333039999999999</v>
      </c>
      <c r="E5108">
        <v>0.51558400000000004</v>
      </c>
      <c r="F5108" t="s">
        <v>42</v>
      </c>
      <c r="G5108">
        <v>-223.2627</v>
      </c>
      <c r="H5108" s="1">
        <v>-3.7264379999999998E-6</v>
      </c>
      <c r="I5108">
        <v>142.8254</v>
      </c>
      <c r="J5108">
        <v>-209.65950000000001</v>
      </c>
      <c r="K5108">
        <v>1.1086780000000001</v>
      </c>
      <c r="L5108">
        <v>143.2114</v>
      </c>
      <c r="M5108">
        <v>-0.96506570000000003</v>
      </c>
      <c r="N5108">
        <v>0</v>
      </c>
      <c r="O5108">
        <v>-0.26178459999999998</v>
      </c>
      <c r="P5108">
        <v>-0.97978880000000002</v>
      </c>
      <c r="Q5108">
        <v>0.18552109999999999</v>
      </c>
      <c r="R5108">
        <v>-7.4804839999999997E-2</v>
      </c>
      <c r="S5108">
        <v>-3.1030579999999999</v>
      </c>
      <c r="T5108">
        <v>-0.25114170000000002</v>
      </c>
      <c r="U5108">
        <v>-9.2681879999999994E-2</v>
      </c>
      <c r="V5108">
        <v>0.18519350000000001</v>
      </c>
      <c r="W5108">
        <v>0.19512109999999999</v>
      </c>
      <c r="X5108">
        <v>0.96313610000000005</v>
      </c>
      <c r="Y5108">
        <v>0.23127739999999999</v>
      </c>
      <c r="Z5108">
        <v>3.028229E-2</v>
      </c>
      <c r="AA5108">
        <v>0.97241650000000002</v>
      </c>
      <c r="AB5108">
        <v>17</v>
      </c>
      <c r="AC5108">
        <v>-13.6031999999999</v>
      </c>
      <c r="AD5108">
        <v>-1.108681726438</v>
      </c>
      <c r="AE5108">
        <v>-0.38599999999999501</v>
      </c>
      <c r="AF5108">
        <v>3.1677546045454599</v>
      </c>
      <c r="AG5108">
        <v>-1.108681726438</v>
      </c>
      <c r="AH5108">
        <v>13.1425753390178</v>
      </c>
      <c r="AI5108">
        <v>94.688304661523802</v>
      </c>
      <c r="AJ5108">
        <v>76.448480591992194</v>
      </c>
      <c r="AK5108">
        <v>13.564333044676999</v>
      </c>
      <c r="AL5108">
        <v>78.748202130210004</v>
      </c>
      <c r="AM5108">
        <v>79.115906029005203</v>
      </c>
      <c r="AN5108">
        <v>1.00000001161533</v>
      </c>
    </row>
    <row r="5109" spans="1:40" x14ac:dyDescent="0.25">
      <c r="A5109" t="str">
        <f>"20190312172218647"</f>
        <v>20190312172218647</v>
      </c>
      <c r="B5109" t="str">
        <f>"1552382538635749"</f>
        <v>1552382538635749</v>
      </c>
      <c r="C5109" t="s">
        <v>40</v>
      </c>
      <c r="D5109">
        <v>3.2341540000000002</v>
      </c>
      <c r="E5109">
        <v>0.51568639999999999</v>
      </c>
      <c r="F5109" t="s">
        <v>42</v>
      </c>
      <c r="G5109">
        <v>-223.20689999999999</v>
      </c>
      <c r="H5109" s="1">
        <v>-3.750366E-6</v>
      </c>
      <c r="I5109">
        <v>142.8252</v>
      </c>
      <c r="J5109">
        <v>-209.81</v>
      </c>
      <c r="K5109">
        <v>1.1087</v>
      </c>
      <c r="L5109">
        <v>143.17529999999999</v>
      </c>
      <c r="M5109">
        <v>-0.96605660000000004</v>
      </c>
      <c r="N5109">
        <v>0</v>
      </c>
      <c r="O5109">
        <v>-0.25810620000000001</v>
      </c>
      <c r="P5109">
        <v>-0.98004159999999996</v>
      </c>
      <c r="Q5109">
        <v>0.1846525</v>
      </c>
      <c r="R5109">
        <v>-7.3634720000000001E-2</v>
      </c>
      <c r="S5109">
        <v>-3.1032259999999998</v>
      </c>
      <c r="T5109">
        <v>-0.25395980000000001</v>
      </c>
      <c r="U5109">
        <v>-8.8455199999999998E-2</v>
      </c>
      <c r="V5109">
        <v>0.1826903</v>
      </c>
      <c r="W5109">
        <v>0.19422539999999999</v>
      </c>
      <c r="X5109">
        <v>0.96379490000000001</v>
      </c>
      <c r="Y5109">
        <v>0.22888040000000001</v>
      </c>
      <c r="Z5109">
        <v>3.0231089999999999E-2</v>
      </c>
      <c r="AA5109">
        <v>0.97298499999999999</v>
      </c>
      <c r="AB5109">
        <v>17</v>
      </c>
      <c r="AC5109">
        <v>-13.396899999999899</v>
      </c>
      <c r="AD5109">
        <v>-1.108703750366</v>
      </c>
      <c r="AE5109">
        <v>-0.35009999999999702</v>
      </c>
      <c r="AF5109">
        <v>3.0985797739394201</v>
      </c>
      <c r="AG5109">
        <v>-1.108703750366</v>
      </c>
      <c r="AH5109">
        <v>12.944684854131999</v>
      </c>
      <c r="AI5109">
        <v>94.761529436706297</v>
      </c>
      <c r="AJ5109">
        <v>76.538357814378998</v>
      </c>
      <c r="AK5109">
        <v>13.356469840280999</v>
      </c>
      <c r="AL5109">
        <v>78.800522035245393</v>
      </c>
      <c r="AM5109">
        <v>79.266748902766594</v>
      </c>
      <c r="AN5109">
        <v>0.99999993049262703</v>
      </c>
    </row>
    <row r="5110" spans="1:40" x14ac:dyDescent="0.25">
      <c r="A5110" t="str">
        <f>"20190312172218668"</f>
        <v>20190312172218668</v>
      </c>
      <c r="B5110" t="str">
        <f>"1552382538665990"</f>
        <v>1552382538665990</v>
      </c>
      <c r="C5110" t="s">
        <v>40</v>
      </c>
      <c r="D5110">
        <v>3.1207389999999999</v>
      </c>
      <c r="E5110">
        <v>0.51581779999999999</v>
      </c>
      <c r="F5110" t="s">
        <v>42</v>
      </c>
      <c r="G5110">
        <v>-223.25370000000001</v>
      </c>
      <c r="H5110" s="1">
        <v>-3.7254400000000002E-6</v>
      </c>
      <c r="I5110">
        <v>142.80709999999999</v>
      </c>
      <c r="J5110">
        <v>-209.96879999999999</v>
      </c>
      <c r="K5110">
        <v>1.10873</v>
      </c>
      <c r="L5110">
        <v>143.1377</v>
      </c>
      <c r="M5110">
        <v>-0.96706420000000004</v>
      </c>
      <c r="N5110">
        <v>0</v>
      </c>
      <c r="O5110">
        <v>-0.25430829999999999</v>
      </c>
      <c r="P5110">
        <v>-0.98037640000000004</v>
      </c>
      <c r="Q5110">
        <v>0.18334619999999999</v>
      </c>
      <c r="R5110">
        <v>-7.2432849999999993E-2</v>
      </c>
      <c r="S5110">
        <v>-3.1029360000000001</v>
      </c>
      <c r="T5110">
        <v>-0.25590059999999998</v>
      </c>
      <c r="U5110">
        <v>-8.4976199999999905E-2</v>
      </c>
      <c r="V5110">
        <v>0.18011440000000001</v>
      </c>
      <c r="W5110">
        <v>0.1928907</v>
      </c>
      <c r="X5110">
        <v>0.96454759999999995</v>
      </c>
      <c r="Y5110">
        <v>0.22613949999999999</v>
      </c>
      <c r="Z5110">
        <v>3.004865E-2</v>
      </c>
      <c r="AA5110">
        <v>0.97363140000000004</v>
      </c>
      <c r="AB5110">
        <v>17</v>
      </c>
      <c r="AC5110">
        <v>-13.2849</v>
      </c>
      <c r="AD5110">
        <v>-1.10873372544</v>
      </c>
      <c r="AE5110">
        <v>-0.330600000000003</v>
      </c>
      <c r="AF5110">
        <v>3.0377776147022599</v>
      </c>
      <c r="AG5110">
        <v>-1.10873372544</v>
      </c>
      <c r="AH5110">
        <v>12.842765492769299</v>
      </c>
      <c r="AI5110">
        <v>94.802320394595498</v>
      </c>
      <c r="AJ5110">
        <v>76.692071639727203</v>
      </c>
      <c r="AK5110">
        <v>13.2436403157357</v>
      </c>
      <c r="AL5110">
        <v>78.878470089455206</v>
      </c>
      <c r="AM5110">
        <v>79.422715981719605</v>
      </c>
      <c r="AN5110">
        <v>1.0000000459498</v>
      </c>
    </row>
    <row r="5111" spans="1:40" x14ac:dyDescent="0.25">
      <c r="A5111" t="str">
        <f>"20190312172218692"</f>
        <v>20190312172218692</v>
      </c>
      <c r="B5111" t="str">
        <f>"1552382538685510"</f>
        <v>1552382538685510</v>
      </c>
      <c r="C5111" t="s">
        <v>40</v>
      </c>
      <c r="D5111">
        <v>3.1648480000000001</v>
      </c>
      <c r="E5111">
        <v>0.51584289999999999</v>
      </c>
      <c r="F5111" t="s">
        <v>42</v>
      </c>
      <c r="G5111">
        <v>-223.27709999999999</v>
      </c>
      <c r="H5111" s="1">
        <v>-3.7112620000000002E-6</v>
      </c>
      <c r="I5111">
        <v>142.79159999999999</v>
      </c>
      <c r="J5111">
        <v>-210.1413</v>
      </c>
      <c r="K5111">
        <v>1.108765</v>
      </c>
      <c r="L5111">
        <v>143.09739999999999</v>
      </c>
      <c r="M5111">
        <v>-0.96811409999999998</v>
      </c>
      <c r="N5111">
        <v>0</v>
      </c>
      <c r="O5111">
        <v>-0.25028499999999998</v>
      </c>
      <c r="P5111">
        <v>-0.98062740000000004</v>
      </c>
      <c r="Q5111">
        <v>0.18263309999999999</v>
      </c>
      <c r="R5111">
        <v>-7.0819140000000003E-2</v>
      </c>
      <c r="S5111">
        <v>-3.1024319999999999</v>
      </c>
      <c r="T5111">
        <v>-0.258469</v>
      </c>
      <c r="U5111">
        <v>-8.0673220000000004E-2</v>
      </c>
      <c r="V5111">
        <v>0.1776914</v>
      </c>
      <c r="W5111">
        <v>0.19214439999999999</v>
      </c>
      <c r="X5111">
        <v>0.9651457</v>
      </c>
      <c r="Y5111">
        <v>0.22342419999999999</v>
      </c>
      <c r="Z5111">
        <v>2.991711E-2</v>
      </c>
      <c r="AA5111">
        <v>0.97426210000000002</v>
      </c>
      <c r="AB5111">
        <v>17</v>
      </c>
      <c r="AC5111">
        <v>-13.1357999999999</v>
      </c>
      <c r="AD5111">
        <v>-1.1087687112619999</v>
      </c>
      <c r="AE5111">
        <v>-0.30580000000000401</v>
      </c>
      <c r="AF5111">
        <v>2.9706590162031401</v>
      </c>
      <c r="AG5111">
        <v>-1.1087687112619999</v>
      </c>
      <c r="AH5111">
        <v>12.703748248890999</v>
      </c>
      <c r="AI5111">
        <v>94.857677584992203</v>
      </c>
      <c r="AJ5111">
        <v>76.838387711612398</v>
      </c>
      <c r="AK5111">
        <v>13.093487030459899</v>
      </c>
      <c r="AL5111">
        <v>78.922044133946102</v>
      </c>
      <c r="AM5111">
        <v>79.568185873215697</v>
      </c>
      <c r="AN5111">
        <v>0.99999996315690398</v>
      </c>
    </row>
    <row r="5112" spans="1:40" x14ac:dyDescent="0.25">
      <c r="A5112" t="str">
        <f>"20190312172218715"</f>
        <v>20190312172218715</v>
      </c>
      <c r="B5112" t="str">
        <f>"1552382538706006"</f>
        <v>1552382538706006</v>
      </c>
      <c r="C5112" t="s">
        <v>40</v>
      </c>
      <c r="D5112">
        <v>3.152406</v>
      </c>
      <c r="E5112">
        <v>0.51586449999999995</v>
      </c>
      <c r="F5112" t="s">
        <v>42</v>
      </c>
      <c r="G5112">
        <v>-223.42250000000001</v>
      </c>
      <c r="H5112" s="1">
        <v>-3.6440679999999999E-6</v>
      </c>
      <c r="I5112">
        <v>142.77340000000001</v>
      </c>
      <c r="J5112">
        <v>-210.3192</v>
      </c>
      <c r="K5112">
        <v>1.10880499999999</v>
      </c>
      <c r="L5112">
        <v>143.0566</v>
      </c>
      <c r="M5112">
        <v>-0.96914979999999995</v>
      </c>
      <c r="N5112">
        <v>0</v>
      </c>
      <c r="O5112">
        <v>-0.24624679999999999</v>
      </c>
      <c r="P5112">
        <v>-0.98073180000000004</v>
      </c>
      <c r="Q5112">
        <v>0.1828408</v>
      </c>
      <c r="R5112">
        <v>-6.8805279999999996E-2</v>
      </c>
      <c r="S5112">
        <v>-3.102036</v>
      </c>
      <c r="T5112">
        <v>-0.25897110000000001</v>
      </c>
      <c r="U5112">
        <v>-7.5683589999999995E-2</v>
      </c>
      <c r="V5112">
        <v>0.17561079999999901</v>
      </c>
      <c r="W5112">
        <v>0.19231100000000001</v>
      </c>
      <c r="X5112">
        <v>0.9654933</v>
      </c>
      <c r="Y5112">
        <v>0.2209391</v>
      </c>
      <c r="Z5112">
        <v>2.9549140000000002E-2</v>
      </c>
      <c r="AA5112">
        <v>0.97483989999999998</v>
      </c>
      <c r="AB5112">
        <v>17</v>
      </c>
      <c r="AC5112">
        <v>-13.103300000000001</v>
      </c>
      <c r="AD5112">
        <v>-1.1088086440679901</v>
      </c>
      <c r="AE5112">
        <v>-0.28319999999999301</v>
      </c>
      <c r="AF5112">
        <v>2.9313659389466502</v>
      </c>
      <c r="AG5112">
        <v>-1.1088086440679901</v>
      </c>
      <c r="AH5112">
        <v>12.678761876083</v>
      </c>
      <c r="AI5112">
        <v>94.870199227459395</v>
      </c>
      <c r="AJ5112">
        <v>76.981796831702695</v>
      </c>
      <c r="AK5112">
        <v>13.060373868599299</v>
      </c>
      <c r="AL5112">
        <v>78.912317589684704</v>
      </c>
      <c r="AM5112">
        <v>79.691329860434493</v>
      </c>
      <c r="AN5112">
        <v>0.99999999307126497</v>
      </c>
    </row>
    <row r="5113" spans="1:40" x14ac:dyDescent="0.25">
      <c r="A5113" t="str">
        <f>"20190312172218738"</f>
        <v>20190312172218738</v>
      </c>
      <c r="B5113" t="str">
        <f>"1552382538725526"</f>
        <v>1552382538725526</v>
      </c>
      <c r="C5113" t="s">
        <v>40</v>
      </c>
      <c r="D5113">
        <v>3.112679</v>
      </c>
      <c r="E5113">
        <v>0.4961295</v>
      </c>
      <c r="F5113" t="s">
        <v>42</v>
      </c>
      <c r="G5113">
        <v>-223.67769999999999</v>
      </c>
      <c r="H5113" s="1">
        <v>-3.5301720000000002E-6</v>
      </c>
      <c r="I5113">
        <v>142.7569</v>
      </c>
      <c r="J5113">
        <v>-210.48439999999999</v>
      </c>
      <c r="K5113">
        <v>1.108838</v>
      </c>
      <c r="L5113">
        <v>143.01920000000001</v>
      </c>
      <c r="M5113">
        <v>-0.97006630000000005</v>
      </c>
      <c r="N5113">
        <v>0</v>
      </c>
      <c r="O5113">
        <v>-0.24261540000000001</v>
      </c>
      <c r="P5113">
        <v>-0.98082320000000001</v>
      </c>
      <c r="Q5113">
        <v>0.1829501</v>
      </c>
      <c r="R5113">
        <v>-6.7198380000000002E-2</v>
      </c>
      <c r="S5113">
        <v>-3.1020810000000001</v>
      </c>
      <c r="T5113">
        <v>-0.25748510000000002</v>
      </c>
      <c r="U5113">
        <v>-6.9580080000000002E-2</v>
      </c>
      <c r="V5113">
        <v>0.17354420000000001</v>
      </c>
      <c r="W5113">
        <v>0.19237370000000001</v>
      </c>
      <c r="X5113">
        <v>0.9658544</v>
      </c>
      <c r="Y5113">
        <v>0.2192405</v>
      </c>
      <c r="Z5113">
        <v>2.9017899999999999E-2</v>
      </c>
      <c r="AA5113">
        <v>0.97523919999999997</v>
      </c>
      <c r="AB5113">
        <v>17</v>
      </c>
      <c r="AC5113">
        <v>-13.193299999999899</v>
      </c>
      <c r="AD5113">
        <v>-1.1088415301719901</v>
      </c>
      <c r="AE5113">
        <v>-0.26230000000001003</v>
      </c>
      <c r="AF5113">
        <v>2.9259503074657101</v>
      </c>
      <c r="AG5113">
        <v>-1.1088415301719901</v>
      </c>
      <c r="AH5113">
        <v>12.772530040128</v>
      </c>
      <c r="AI5113">
        <v>94.836989529241905</v>
      </c>
      <c r="AJ5113">
        <v>77.097227764104701</v>
      </c>
      <c r="AK5113">
        <v>13.1502181870403</v>
      </c>
      <c r="AL5113">
        <v>78.908656596562295</v>
      </c>
      <c r="AM5113">
        <v>79.813816319776706</v>
      </c>
      <c r="AN5113">
        <v>0.99999997590234402</v>
      </c>
    </row>
    <row r="5114" spans="1:40" x14ac:dyDescent="0.25">
      <c r="A5114" t="str">
        <f>"20190312172218759"</f>
        <v>20190312172218759</v>
      </c>
      <c r="B5114" t="str">
        <f>"1552382538755782"</f>
        <v>1552382538755782</v>
      </c>
      <c r="C5114" t="s">
        <v>40</v>
      </c>
      <c r="D5114">
        <v>3.2420040000000001</v>
      </c>
      <c r="E5114">
        <v>0.49142079999999999</v>
      </c>
      <c r="F5114" t="s">
        <v>42</v>
      </c>
      <c r="G5114">
        <v>-229.50470000000001</v>
      </c>
      <c r="H5114" s="1">
        <v>-7.3279219999999997E-7</v>
      </c>
      <c r="I5114">
        <v>141.63820000000001</v>
      </c>
      <c r="J5114">
        <v>-210.64349999999999</v>
      </c>
      <c r="K5114">
        <v>1.10887</v>
      </c>
      <c r="L5114">
        <v>142.9837</v>
      </c>
      <c r="M5114">
        <v>-0.97090719999999997</v>
      </c>
      <c r="N5114">
        <v>0</v>
      </c>
      <c r="O5114">
        <v>-0.23923240000000001</v>
      </c>
      <c r="P5114">
        <v>-0.98093799999999998</v>
      </c>
      <c r="Q5114">
        <v>0.18250669999999999</v>
      </c>
      <c r="R5114">
        <v>-6.6725409999999999E-2</v>
      </c>
      <c r="S5114">
        <v>-3.0768279999999999</v>
      </c>
      <c r="T5114">
        <v>-0.17937220000000001</v>
      </c>
      <c r="U5114">
        <v>-0.2233887</v>
      </c>
      <c r="V5114">
        <v>0.17063</v>
      </c>
      <c r="W5114">
        <v>0.1918781</v>
      </c>
      <c r="X5114">
        <v>0.966472</v>
      </c>
      <c r="Y5114">
        <v>0.1676289</v>
      </c>
      <c r="Z5114">
        <v>1.8660380000000001E-2</v>
      </c>
      <c r="AA5114">
        <v>0.98567349999999998</v>
      </c>
      <c r="AB5114">
        <v>17</v>
      </c>
      <c r="AC5114">
        <v>-18.8612</v>
      </c>
      <c r="AD5114">
        <v>-1.1088707327922001</v>
      </c>
      <c r="AE5114">
        <v>-1.3454999999999799</v>
      </c>
      <c r="AF5114">
        <v>3.19503874361485</v>
      </c>
      <c r="AG5114">
        <v>-1.1088707327922001</v>
      </c>
      <c r="AH5114">
        <v>18.571494337501299</v>
      </c>
      <c r="AI5114">
        <v>93.367614746838697</v>
      </c>
      <c r="AJ5114">
        <v>80.238396191934996</v>
      </c>
      <c r="AK5114">
        <v>18.876924241069801</v>
      </c>
      <c r="AL5114">
        <v>78.937591305626995</v>
      </c>
      <c r="AM5114">
        <v>79.9876440260349</v>
      </c>
      <c r="AN5114">
        <v>0.99999996447180395</v>
      </c>
    </row>
    <row r="5115" spans="1:40" x14ac:dyDescent="0.25">
      <c r="A5115" t="str">
        <f>"20190312172218784"</f>
        <v>20190312172218784</v>
      </c>
      <c r="B5115" t="str">
        <f>"1552382538775302"</f>
        <v>1552382538775302</v>
      </c>
      <c r="C5115" t="s">
        <v>40</v>
      </c>
      <c r="D5115">
        <v>3.1212810000000002</v>
      </c>
      <c r="E5115">
        <v>0.49006369999999999</v>
      </c>
      <c r="F5115" t="s">
        <v>42</v>
      </c>
      <c r="G5115">
        <v>-232.6216</v>
      </c>
      <c r="H5115" s="1">
        <v>-3.547955E-6</v>
      </c>
      <c r="I5115">
        <v>141.1208</v>
      </c>
      <c r="J5115">
        <v>-210.81899999999999</v>
      </c>
      <c r="K5115">
        <v>1.108908</v>
      </c>
      <c r="L5115">
        <v>142.94499999999999</v>
      </c>
      <c r="M5115">
        <v>-0.9717867</v>
      </c>
      <c r="N5115">
        <v>0</v>
      </c>
      <c r="O5115">
        <v>-0.23563990000000001</v>
      </c>
      <c r="P5115">
        <v>-0.98103960000000001</v>
      </c>
      <c r="Q5115">
        <v>0.18204680000000001</v>
      </c>
      <c r="R5115">
        <v>-6.6489989999999999E-2</v>
      </c>
      <c r="S5115">
        <v>-3.0694119999999998</v>
      </c>
      <c r="T5115">
        <v>-0.15486259999999999</v>
      </c>
      <c r="U5115">
        <v>-0.26014710000000002</v>
      </c>
      <c r="V5115">
        <v>0.16726959999999999</v>
      </c>
      <c r="W5115">
        <v>0.19134979999999999</v>
      </c>
      <c r="X5115">
        <v>0.96716400000000002</v>
      </c>
      <c r="Y5115">
        <v>0.15225359999999999</v>
      </c>
      <c r="Z5115">
        <v>1.5578140000000001E-2</v>
      </c>
      <c r="AA5115">
        <v>0.98821870000000001</v>
      </c>
      <c r="AB5115">
        <v>17</v>
      </c>
      <c r="AC5115">
        <v>-21.802599999999899</v>
      </c>
      <c r="AD5115">
        <v>-1.108911547955</v>
      </c>
      <c r="AE5115">
        <v>-1.8241999999999901</v>
      </c>
      <c r="AF5115">
        <v>3.3563827042713599</v>
      </c>
      <c r="AG5115">
        <v>-1.108911547955</v>
      </c>
      <c r="AH5115">
        <v>21.563066627077902</v>
      </c>
      <c r="AI5115">
        <v>92.908956708942796</v>
      </c>
      <c r="AJ5115">
        <v>81.152665018898503</v>
      </c>
      <c r="AK5115">
        <v>21.8508771458383</v>
      </c>
      <c r="AL5115">
        <v>78.968432912834999</v>
      </c>
      <c r="AM5115">
        <v>80.187841484739593</v>
      </c>
      <c r="AN5115">
        <v>1.0000000339700901</v>
      </c>
    </row>
    <row r="5116" spans="1:40" x14ac:dyDescent="0.25">
      <c r="A5116" t="str">
        <f>"20190312172218805"</f>
        <v>20190312172218805</v>
      </c>
      <c r="B5116" t="str">
        <f>"1552382538795799"</f>
        <v>1552382538795799</v>
      </c>
      <c r="C5116" t="s">
        <v>40</v>
      </c>
      <c r="D5116">
        <v>3.2447240000000002</v>
      </c>
      <c r="E5116">
        <v>0.48926399999999998</v>
      </c>
      <c r="F5116" t="s">
        <v>42</v>
      </c>
      <c r="G5116">
        <v>-233.60749999999999</v>
      </c>
      <c r="H5116" s="1">
        <v>-3.0751949999999999E-6</v>
      </c>
      <c r="I5116">
        <v>140.93360000000001</v>
      </c>
      <c r="J5116">
        <v>-210.99180000000001</v>
      </c>
      <c r="K5116">
        <v>1.1089469999999999</v>
      </c>
      <c r="L5116">
        <v>142.9074</v>
      </c>
      <c r="M5116">
        <v>-0.97260769999999996</v>
      </c>
      <c r="N5116">
        <v>0</v>
      </c>
      <c r="O5116">
        <v>-0.23223299999999999</v>
      </c>
      <c r="P5116">
        <v>-0.98107120000000003</v>
      </c>
      <c r="Q5116">
        <v>0.18191470000000001</v>
      </c>
      <c r="R5116">
        <v>-6.6382140000000006E-2</v>
      </c>
      <c r="S5116">
        <v>-3.067307</v>
      </c>
      <c r="T5116">
        <v>-0.14925849999999999</v>
      </c>
      <c r="U5116">
        <v>-0.2707214</v>
      </c>
      <c r="V5116">
        <v>0.16395599999999999</v>
      </c>
      <c r="W5116">
        <v>0.19114339999999999</v>
      </c>
      <c r="X5116">
        <v>0.96777199999999997</v>
      </c>
      <c r="Y5116">
        <v>0.14539360000000001</v>
      </c>
      <c r="Z5116">
        <v>1.4694479999999999E-2</v>
      </c>
      <c r="AA5116">
        <v>0.98926480000000006</v>
      </c>
      <c r="AB5116">
        <v>17</v>
      </c>
      <c r="AC5116">
        <v>-22.615699999999901</v>
      </c>
      <c r="AD5116">
        <v>-1.1089500751950001</v>
      </c>
      <c r="AE5116">
        <v>-1.97379999999998</v>
      </c>
      <c r="AF5116">
        <v>3.3246156767801298</v>
      </c>
      <c r="AG5116">
        <v>-1.1089500751950001</v>
      </c>
      <c r="AH5116">
        <v>22.402275298117502</v>
      </c>
      <c r="AI5116">
        <v>92.803271709702798</v>
      </c>
      <c r="AJ5116">
        <v>81.558616004800896</v>
      </c>
      <c r="AK5116">
        <v>22.674760819029899</v>
      </c>
      <c r="AL5116">
        <v>78.980480842486699</v>
      </c>
      <c r="AM5116">
        <v>80.384482219866797</v>
      </c>
      <c r="AN5116">
        <v>1.00000000664178</v>
      </c>
    </row>
    <row r="5117" spans="1:40" x14ac:dyDescent="0.25">
      <c r="A5117" t="str">
        <f>"20190312172218827"</f>
        <v>20190312172218827</v>
      </c>
      <c r="B5117" t="str">
        <f>"1552382538815318"</f>
        <v>1552382538815318</v>
      </c>
      <c r="C5117" t="s">
        <v>40</v>
      </c>
      <c r="D5117">
        <v>3.2433860000000001</v>
      </c>
      <c r="E5117">
        <v>0.48875800000000003</v>
      </c>
      <c r="F5117" t="s">
        <v>42</v>
      </c>
      <c r="G5117">
        <v>-234.21719999999999</v>
      </c>
      <c r="H5117" s="1">
        <v>-2.7800850000000001E-6</v>
      </c>
      <c r="I5117">
        <v>140.8075</v>
      </c>
      <c r="J5117">
        <v>-211.15369999999999</v>
      </c>
      <c r="K5117">
        <v>1.108976</v>
      </c>
      <c r="L5117">
        <v>142.87260000000001</v>
      </c>
      <c r="M5117">
        <v>-0.97334390000000004</v>
      </c>
      <c r="N5117">
        <v>0</v>
      </c>
      <c r="O5117">
        <v>-0.2291319</v>
      </c>
      <c r="P5117">
        <v>-0.98106380000000004</v>
      </c>
      <c r="Q5117">
        <v>0.1819113</v>
      </c>
      <c r="R5117">
        <v>-6.6501389999999994E-2</v>
      </c>
      <c r="S5117">
        <v>-3.0662690000000001</v>
      </c>
      <c r="T5117">
        <v>-0.14640600000000001</v>
      </c>
      <c r="U5117">
        <v>-0.27722170000000002</v>
      </c>
      <c r="V5117">
        <v>0.16072600000000001</v>
      </c>
      <c r="W5117">
        <v>0.19106380000000001</v>
      </c>
      <c r="X5117">
        <v>0.96832940000000001</v>
      </c>
      <c r="Y5117">
        <v>0.140153799999999</v>
      </c>
      <c r="Z5117">
        <v>1.414817E-2</v>
      </c>
      <c r="AA5117">
        <v>0.99002869999999998</v>
      </c>
      <c r="AB5117">
        <v>17</v>
      </c>
      <c r="AC5117">
        <v>-23.063500000000001</v>
      </c>
      <c r="AD5117">
        <v>-1.1089787800849999</v>
      </c>
      <c r="AE5117">
        <v>-2.0651000000000002</v>
      </c>
      <c r="AF5117">
        <v>3.2672013629770298</v>
      </c>
      <c r="AG5117">
        <v>-1.1089787800849999</v>
      </c>
      <c r="AH5117">
        <v>22.870588848595499</v>
      </c>
      <c r="AI5117">
        <v>92.748200378796199</v>
      </c>
      <c r="AJ5117">
        <v>81.869960534522093</v>
      </c>
      <c r="AK5117">
        <v>23.129381162547698</v>
      </c>
      <c r="AL5117">
        <v>78.985127422628906</v>
      </c>
      <c r="AM5117">
        <v>80.575807144512396</v>
      </c>
      <c r="AN5117">
        <v>1.00000002482539</v>
      </c>
    </row>
    <row r="5118" spans="1:40" x14ac:dyDescent="0.25">
      <c r="A5118" t="str">
        <f>"20190312172218848"</f>
        <v>20190312172218848</v>
      </c>
      <c r="B5118" t="str">
        <f>"1552382538845575"</f>
        <v>1552382538845575</v>
      </c>
      <c r="C5118" t="s">
        <v>40</v>
      </c>
      <c r="D5118">
        <v>3.1251769999999999</v>
      </c>
      <c r="E5118">
        <v>0.4881952</v>
      </c>
      <c r="F5118" t="s">
        <v>42</v>
      </c>
      <c r="G5118">
        <v>-234.80250000000001</v>
      </c>
      <c r="H5118" s="1">
        <v>-2.4997599999999999E-6</v>
      </c>
      <c r="I5118">
        <v>140.6977</v>
      </c>
      <c r="J5118">
        <v>-211.31780000000001</v>
      </c>
      <c r="K5118">
        <v>1.1089880000000001</v>
      </c>
      <c r="L5118">
        <v>142.83779999999999</v>
      </c>
      <c r="M5118">
        <v>-0.9740605</v>
      </c>
      <c r="N5118">
        <v>0</v>
      </c>
      <c r="O5118">
        <v>-0.22607160000000001</v>
      </c>
      <c r="P5118">
        <v>-0.98110120000000001</v>
      </c>
      <c r="Q5118">
        <v>0.1814539</v>
      </c>
      <c r="R5118">
        <v>-6.7194450000000003E-2</v>
      </c>
      <c r="S5118">
        <v>-3.065445</v>
      </c>
      <c r="T5118">
        <v>-0.14375009999999999</v>
      </c>
      <c r="U5118">
        <v>-0.28192139999999999</v>
      </c>
      <c r="V5118">
        <v>0.1569922</v>
      </c>
      <c r="W5118">
        <v>0.1905162</v>
      </c>
      <c r="X5118">
        <v>0.96904959999999996</v>
      </c>
      <c r="Y5118">
        <v>0.13553399999999999</v>
      </c>
      <c r="Z5118">
        <v>1.364654E-2</v>
      </c>
      <c r="AA5118">
        <v>0.99067870000000002</v>
      </c>
      <c r="AB5118">
        <v>17</v>
      </c>
      <c r="AC5118">
        <v>-23.4847</v>
      </c>
      <c r="AD5118">
        <v>-1.10899049976</v>
      </c>
      <c r="AE5118">
        <v>-2.1400999999999799</v>
      </c>
      <c r="AF5118">
        <v>3.2176784706728698</v>
      </c>
      <c r="AG5118">
        <v>-1.10899049976</v>
      </c>
      <c r="AH5118">
        <v>23.308927970782999</v>
      </c>
      <c r="AI5118">
        <v>92.698409072581995</v>
      </c>
      <c r="AJ5118">
        <v>82.140284971367606</v>
      </c>
      <c r="AK5118">
        <v>23.556091310239399</v>
      </c>
      <c r="AL5118">
        <v>79.017089993546193</v>
      </c>
      <c r="AM5118">
        <v>80.797671655275195</v>
      </c>
      <c r="AN5118">
        <v>1.0000000502917099</v>
      </c>
    </row>
    <row r="5119" spans="1:40" x14ac:dyDescent="0.25">
      <c r="A5119" t="str">
        <f>"20190312172218871"</f>
        <v>20190312172218871</v>
      </c>
      <c r="B5119" t="str">
        <f>"1552382538866071"</f>
        <v>1552382538866071</v>
      </c>
      <c r="C5119" t="s">
        <v>40</v>
      </c>
      <c r="D5119">
        <v>3.0984560000000001</v>
      </c>
      <c r="E5119">
        <v>0.4878728</v>
      </c>
      <c r="F5119" t="s">
        <v>42</v>
      </c>
      <c r="G5119">
        <v>-235.21260000000001</v>
      </c>
      <c r="H5119" s="1">
        <v>-2.295345E-6</v>
      </c>
      <c r="I5119">
        <v>140.5907</v>
      </c>
      <c r="J5119">
        <v>-211.4915</v>
      </c>
      <c r="K5119">
        <v>1.1089789999999999</v>
      </c>
      <c r="L5119">
        <v>142.8014</v>
      </c>
      <c r="M5119">
        <v>-0.97478799999999999</v>
      </c>
      <c r="N5119">
        <v>0</v>
      </c>
      <c r="O5119">
        <v>-0.2229218</v>
      </c>
      <c r="P5119">
        <v>-0.98119060000000002</v>
      </c>
      <c r="Q5119">
        <v>0.1808052</v>
      </c>
      <c r="R5119">
        <v>-6.7637470000000005E-2</v>
      </c>
      <c r="S5119">
        <v>-3.064346</v>
      </c>
      <c r="T5119">
        <v>-0.1422206</v>
      </c>
      <c r="U5119">
        <v>-0.28817749999999998</v>
      </c>
      <c r="V5119">
        <v>0.15342739999999999</v>
      </c>
      <c r="W5119">
        <v>0.189747</v>
      </c>
      <c r="X5119">
        <v>0.9697711</v>
      </c>
      <c r="Y5119">
        <v>0.13030839999999999</v>
      </c>
      <c r="Z5119">
        <v>1.3241340000000001E-2</v>
      </c>
      <c r="AA5119">
        <v>0.99138510000000002</v>
      </c>
      <c r="AB5119">
        <v>17</v>
      </c>
      <c r="AC5119">
        <v>-23.7211</v>
      </c>
      <c r="AD5119">
        <v>-1.108981295345</v>
      </c>
      <c r="AE5119">
        <v>-2.2107000000000001</v>
      </c>
      <c r="AF5119">
        <v>3.1263598309518499</v>
      </c>
      <c r="AG5119">
        <v>-1.108981295345</v>
      </c>
      <c r="AH5119">
        <v>23.565906440717701</v>
      </c>
      <c r="AI5119">
        <v>92.670911130598199</v>
      </c>
      <c r="AJ5119">
        <v>82.443010364944698</v>
      </c>
      <c r="AK5119">
        <v>23.798233373060999</v>
      </c>
      <c r="AL5119">
        <v>79.061979541006096</v>
      </c>
      <c r="AM5119">
        <v>81.009755310946602</v>
      </c>
      <c r="AN5119">
        <v>0.99999993873748305</v>
      </c>
    </row>
    <row r="5120" spans="1:40" x14ac:dyDescent="0.25">
      <c r="A5120" t="str">
        <f>"20190312172218893"</f>
        <v>20190312172218893</v>
      </c>
      <c r="B5120" t="str">
        <f>"1552382538885590"</f>
        <v>1552382538885590</v>
      </c>
      <c r="C5120" t="s">
        <v>40</v>
      </c>
      <c r="D5120">
        <v>3.1158739999999998</v>
      </c>
      <c r="E5120">
        <v>0.48768030000000001</v>
      </c>
      <c r="F5120" t="s">
        <v>42</v>
      </c>
      <c r="G5120">
        <v>-235.18549999999999</v>
      </c>
      <c r="H5120" s="1">
        <v>-2.2946099999999999E-6</v>
      </c>
      <c r="I5120">
        <v>140.54419999999999</v>
      </c>
      <c r="J5120">
        <v>-211.6592</v>
      </c>
      <c r="K5120">
        <v>1.1089709999999999</v>
      </c>
      <c r="L5120">
        <v>142.76679999999999</v>
      </c>
      <c r="M5120">
        <v>-0.97546219999999995</v>
      </c>
      <c r="N5120">
        <v>0</v>
      </c>
      <c r="O5120">
        <v>-0.2199595</v>
      </c>
      <c r="P5120">
        <v>-0.98116530000000002</v>
      </c>
      <c r="Q5120">
        <v>0.1807367</v>
      </c>
      <c r="R5120">
        <v>-6.8184579999999995E-2</v>
      </c>
      <c r="S5120">
        <v>-3.0637819999999998</v>
      </c>
      <c r="T5120">
        <v>-0.14339849999999901</v>
      </c>
      <c r="U5120">
        <v>-0.29187010000000002</v>
      </c>
      <c r="V5120">
        <v>0.14992829999999999</v>
      </c>
      <c r="W5120">
        <v>0.18955130000000001</v>
      </c>
      <c r="X5120">
        <v>0.97035649999999996</v>
      </c>
      <c r="Y5120">
        <v>0.12609509999999999</v>
      </c>
      <c r="Z5120">
        <v>1.3119E-2</v>
      </c>
      <c r="AA5120">
        <v>0.99193140000000002</v>
      </c>
      <c r="AB5120">
        <v>17</v>
      </c>
      <c r="AC5120">
        <v>-23.5262999999999</v>
      </c>
      <c r="AD5120">
        <v>-1.1089732946099999</v>
      </c>
      <c r="AE5120">
        <v>-2.2225999999999999</v>
      </c>
      <c r="AF5120">
        <v>3.0003006354538799</v>
      </c>
      <c r="AG5120">
        <v>-1.1089732946099999</v>
      </c>
      <c r="AH5120">
        <v>23.387462378737499</v>
      </c>
      <c r="AI5120">
        <v>92.692750380000604</v>
      </c>
      <c r="AJ5120">
        <v>82.689641732115504</v>
      </c>
      <c r="AK5120">
        <v>23.6051905772465</v>
      </c>
      <c r="AL5120">
        <v>79.073399854506704</v>
      </c>
      <c r="AM5120">
        <v>81.216770814887496</v>
      </c>
      <c r="AN5120">
        <v>0.99999996378241396</v>
      </c>
    </row>
    <row r="5121" spans="1:40" x14ac:dyDescent="0.25">
      <c r="A5121" t="str">
        <f>"20190312172218916"</f>
        <v>20190312172218916</v>
      </c>
      <c r="B5121" t="str">
        <f>"1552382538906086"</f>
        <v>1552382538906086</v>
      </c>
      <c r="C5121" t="s">
        <v>40</v>
      </c>
      <c r="D5121">
        <v>3.1295850000000001</v>
      </c>
      <c r="E5121">
        <v>0.48750470000000001</v>
      </c>
      <c r="F5121" t="s">
        <v>42</v>
      </c>
      <c r="G5121">
        <v>-235.49109999999999</v>
      </c>
      <c r="H5121" s="1">
        <v>-2.1445430000000001E-6</v>
      </c>
      <c r="I5121">
        <v>140.47290000000001</v>
      </c>
      <c r="J5121">
        <v>-211.8426</v>
      </c>
      <c r="K5121">
        <v>1.1089610000000001</v>
      </c>
      <c r="L5121">
        <v>142.7294</v>
      </c>
      <c r="M5121">
        <v>-0.97617370000000003</v>
      </c>
      <c r="N5121">
        <v>0</v>
      </c>
      <c r="O5121">
        <v>-0.21678700000000001</v>
      </c>
      <c r="P5121">
        <v>-0.98105889999999996</v>
      </c>
      <c r="Q5121">
        <v>0.1813476</v>
      </c>
      <c r="R5121">
        <v>-6.8094699999999994E-2</v>
      </c>
      <c r="S5121">
        <v>-3.063339</v>
      </c>
      <c r="T5121">
        <v>-0.1425466</v>
      </c>
      <c r="U5121">
        <v>-0.29484559999999999</v>
      </c>
      <c r="V5121">
        <v>0.1468274</v>
      </c>
      <c r="W5121">
        <v>0.19002089999999999</v>
      </c>
      <c r="X5121">
        <v>0.97073880000000001</v>
      </c>
      <c r="Y5121">
        <v>0.1219124</v>
      </c>
      <c r="Z5121">
        <v>1.2801379999999999E-2</v>
      </c>
      <c r="AA5121">
        <v>0.99245830000000002</v>
      </c>
      <c r="AB5121">
        <v>17</v>
      </c>
      <c r="AC5121">
        <v>-23.648499999999899</v>
      </c>
      <c r="AD5121">
        <v>-1.1089631445429999</v>
      </c>
      <c r="AE5121">
        <v>-2.25649999999998</v>
      </c>
      <c r="AF5121">
        <v>2.9177223137473298</v>
      </c>
      <c r="AG5121">
        <v>-1.1089631445429999</v>
      </c>
      <c r="AH5121">
        <v>23.524001764384401</v>
      </c>
      <c r="AI5121">
        <v>92.678532186887594</v>
      </c>
      <c r="AJ5121">
        <v>82.929615196500293</v>
      </c>
      <c r="AK5121">
        <v>23.730182505974401</v>
      </c>
      <c r="AL5121">
        <v>79.045996351997601</v>
      </c>
      <c r="AM5121">
        <v>81.399021387687</v>
      </c>
      <c r="AN5121">
        <v>1.0000000228265</v>
      </c>
    </row>
    <row r="5122" spans="1:40" x14ac:dyDescent="0.25">
      <c r="A5122" t="str">
        <f>"20190312172218939"</f>
        <v>20190312172218939</v>
      </c>
      <c r="B5122" t="str">
        <f>"1552382538936342"</f>
        <v>1552382538936342</v>
      </c>
      <c r="C5122" t="s">
        <v>40</v>
      </c>
      <c r="D5122">
        <v>3.12399</v>
      </c>
      <c r="E5122">
        <v>0.4873345</v>
      </c>
      <c r="F5122" t="s">
        <v>42</v>
      </c>
      <c r="G5122">
        <v>-236.1788</v>
      </c>
      <c r="H5122" s="1">
        <v>-1.8243250000000001E-6</v>
      </c>
      <c r="I5122">
        <v>140.37809999999999</v>
      </c>
      <c r="J5122">
        <v>-212.00960000000001</v>
      </c>
      <c r="K5122">
        <v>1.1089450000000001</v>
      </c>
      <c r="L5122">
        <v>142.69579999999999</v>
      </c>
      <c r="M5122">
        <v>-0.97680040000000001</v>
      </c>
      <c r="N5122">
        <v>0</v>
      </c>
      <c r="O5122">
        <v>-0.213951</v>
      </c>
      <c r="P5122">
        <v>-0.98095969999999999</v>
      </c>
      <c r="Q5122">
        <v>0.18187990000000001</v>
      </c>
      <c r="R5122">
        <v>-6.8103460000000005E-2</v>
      </c>
      <c r="S5122">
        <v>-3.0631870000000001</v>
      </c>
      <c r="T5122">
        <v>-0.13958480000000001</v>
      </c>
      <c r="U5122">
        <v>-0.29594419999999999</v>
      </c>
      <c r="V5122">
        <v>0.14396989999999901</v>
      </c>
      <c r="W5122">
        <v>0.1904295</v>
      </c>
      <c r="X5122">
        <v>0.97108660000000002</v>
      </c>
      <c r="Y5122">
        <v>0.11869250000000001</v>
      </c>
      <c r="Z5122">
        <v>1.2336949999999999E-2</v>
      </c>
      <c r="AA5122">
        <v>0.99285440000000003</v>
      </c>
      <c r="AB5122">
        <v>17</v>
      </c>
      <c r="AC5122">
        <v>-24.169199999999901</v>
      </c>
      <c r="AD5122">
        <v>-1.108946824325</v>
      </c>
      <c r="AE5122">
        <v>-2.3176999999999999</v>
      </c>
      <c r="AF5122">
        <v>2.9011672254015299</v>
      </c>
      <c r="AG5122">
        <v>-1.108946824325</v>
      </c>
      <c r="AH5122">
        <v>24.055214386408</v>
      </c>
      <c r="AI5122">
        <v>92.620507448314996</v>
      </c>
      <c r="AJ5122">
        <v>83.1230851161489</v>
      </c>
      <c r="AK5122">
        <v>24.254893805270999</v>
      </c>
      <c r="AL5122">
        <v>79.022149124861897</v>
      </c>
      <c r="AM5122">
        <v>81.566956328160998</v>
      </c>
      <c r="AN5122">
        <v>0.999999955637909</v>
      </c>
    </row>
    <row r="5123" spans="1:40" x14ac:dyDescent="0.25">
      <c r="A5123" t="str">
        <f>"20190312172218960"</f>
        <v>20190312172218960</v>
      </c>
      <c r="B5123" t="str">
        <f>"1552382538955862"</f>
        <v>1552382538955862</v>
      </c>
      <c r="C5123" t="s">
        <v>40</v>
      </c>
      <c r="D5123">
        <v>3.1217790000000001</v>
      </c>
      <c r="E5123">
        <v>0.48724050000000002</v>
      </c>
      <c r="F5123" t="s">
        <v>42</v>
      </c>
      <c r="G5123">
        <v>-236.73220000000001</v>
      </c>
      <c r="H5123" s="1">
        <v>-1.5656019999999999E-6</v>
      </c>
      <c r="I5123">
        <v>140.29810000000001</v>
      </c>
      <c r="J5123">
        <v>-212.17089999999999</v>
      </c>
      <c r="K5123">
        <v>1.10894</v>
      </c>
      <c r="L5123">
        <v>142.66370000000001</v>
      </c>
      <c r="M5123">
        <v>-0.97738930000000002</v>
      </c>
      <c r="N5123">
        <v>0</v>
      </c>
      <c r="O5123">
        <v>-0.21125060000000001</v>
      </c>
      <c r="P5123">
        <v>-0.98102330000000004</v>
      </c>
      <c r="Q5123">
        <v>0.18155950000000001</v>
      </c>
      <c r="R5123">
        <v>-6.8040799999999999E-2</v>
      </c>
      <c r="S5123">
        <v>-3.0630950000000001</v>
      </c>
      <c r="T5123">
        <v>-0.1373965</v>
      </c>
      <c r="U5123">
        <v>-0.29705809999999999</v>
      </c>
      <c r="V5123">
        <v>0.141351</v>
      </c>
      <c r="W5123">
        <v>0.1899904</v>
      </c>
      <c r="X5123">
        <v>0.97155729999999996</v>
      </c>
      <c r="Y5123">
        <v>0.1156031</v>
      </c>
      <c r="Z5123">
        <v>1.1956639999999999E-2</v>
      </c>
      <c r="AA5123">
        <v>0.99322350000000004</v>
      </c>
      <c r="AB5123">
        <v>17</v>
      </c>
      <c r="AC5123">
        <v>-24.561299999999999</v>
      </c>
      <c r="AD5123">
        <v>-1.1089415656020001</v>
      </c>
      <c r="AE5123">
        <v>-2.3656000000000001</v>
      </c>
      <c r="AF5123">
        <v>2.87079871671436</v>
      </c>
      <c r="AG5123">
        <v>-1.1089415656020001</v>
      </c>
      <c r="AH5123">
        <v>24.4573090191647</v>
      </c>
      <c r="AI5123">
        <v>92.578444934454097</v>
      </c>
      <c r="AJ5123">
        <v>83.305256610068099</v>
      </c>
      <c r="AK5123">
        <v>24.6501764928108</v>
      </c>
      <c r="AL5123">
        <v>79.047776292000194</v>
      </c>
      <c r="AM5123">
        <v>81.722168209184403</v>
      </c>
      <c r="AN5123">
        <v>1.0000000222382199</v>
      </c>
    </row>
    <row r="5124" spans="1:40" x14ac:dyDescent="0.25">
      <c r="A5124" t="str">
        <f>"20190312172218983"</f>
        <v>20190312172218983</v>
      </c>
      <c r="B5124" t="str">
        <f>"1552382538976359"</f>
        <v>1552382538976359</v>
      </c>
      <c r="C5124" t="s">
        <v>40</v>
      </c>
      <c r="D5124">
        <v>3.1278169999999998</v>
      </c>
      <c r="E5124">
        <v>0.48717919999999998</v>
      </c>
      <c r="F5124" t="s">
        <v>42</v>
      </c>
      <c r="G5124">
        <v>-236.80779999999999</v>
      </c>
      <c r="H5124" s="1">
        <v>-1.5259230000000001E-6</v>
      </c>
      <c r="I5124">
        <v>140.27090000000001</v>
      </c>
      <c r="J5124">
        <v>-212.34809999999999</v>
      </c>
      <c r="K5124">
        <v>1.108924</v>
      </c>
      <c r="L5124">
        <v>142.62909999999999</v>
      </c>
      <c r="M5124">
        <v>-0.97801689999999997</v>
      </c>
      <c r="N5124">
        <v>0</v>
      </c>
      <c r="O5124">
        <v>-0.20833260000000001</v>
      </c>
      <c r="P5124">
        <v>-0.98090239999999995</v>
      </c>
      <c r="Q5124">
        <v>0.18250910000000001</v>
      </c>
      <c r="R5124">
        <v>-6.7237699999999997E-2</v>
      </c>
      <c r="S5124">
        <v>-3.062897</v>
      </c>
      <c r="T5124">
        <v>-0.13786519999999999</v>
      </c>
      <c r="U5124">
        <v>-0.29747010000000002</v>
      </c>
      <c r="V5124">
        <v>0.13920650000000001</v>
      </c>
      <c r="W5124">
        <v>0.19079840000000001</v>
      </c>
      <c r="X5124">
        <v>0.97170849999999998</v>
      </c>
      <c r="Y5124">
        <v>0.1125029</v>
      </c>
      <c r="Z5124">
        <v>1.1800389999999999E-2</v>
      </c>
      <c r="AA5124">
        <v>0.9935813</v>
      </c>
      <c r="AB5124">
        <v>18</v>
      </c>
      <c r="AC5124">
        <v>-24.459700000000002</v>
      </c>
      <c r="AD5124">
        <v>-1.108925525923</v>
      </c>
      <c r="AE5124">
        <v>-2.3581999999999801</v>
      </c>
      <c r="AF5124">
        <v>2.78383640086704</v>
      </c>
      <c r="AG5124">
        <v>-1.108925525923</v>
      </c>
      <c r="AH5124">
        <v>24.3646536437024</v>
      </c>
      <c r="AI5124">
        <v>92.589122323057694</v>
      </c>
      <c r="AJ5124">
        <v>83.481812570992403</v>
      </c>
      <c r="AK5124">
        <v>24.548234317490401</v>
      </c>
      <c r="AL5124">
        <v>79.000617808732301</v>
      </c>
      <c r="AM5124">
        <v>81.847305110180699</v>
      </c>
      <c r="AN5124">
        <v>0.99999994402852799</v>
      </c>
    </row>
    <row r="5125" spans="1:40" x14ac:dyDescent="0.25">
      <c r="A5125" t="str">
        <f>"20190312172219005"</f>
        <v>20190312172219005</v>
      </c>
      <c r="B5125" t="str">
        <f>"1552382538995878"</f>
        <v>1552382538995878</v>
      </c>
      <c r="C5125" t="s">
        <v>40</v>
      </c>
      <c r="D5125">
        <v>3.1362299999999999</v>
      </c>
      <c r="E5125">
        <v>0.4871335</v>
      </c>
      <c r="F5125" t="s">
        <v>42</v>
      </c>
      <c r="G5125">
        <v>-237.66489999999999</v>
      </c>
      <c r="H5125" s="1">
        <v>-1.1347969999999901E-6</v>
      </c>
      <c r="I5125">
        <v>140.18270000000001</v>
      </c>
      <c r="J5125">
        <v>-212.53190000000001</v>
      </c>
      <c r="K5125">
        <v>1.1089039999999999</v>
      </c>
      <c r="L5125">
        <v>142.59360000000001</v>
      </c>
      <c r="M5125">
        <v>-0.97864810000000002</v>
      </c>
      <c r="N5125">
        <v>0</v>
      </c>
      <c r="O5125">
        <v>-0.2053538</v>
      </c>
      <c r="P5125">
        <v>-0.98094680000000001</v>
      </c>
      <c r="Q5125">
        <v>0.18274860000000001</v>
      </c>
      <c r="R5125">
        <v>-6.5926369999999998E-2</v>
      </c>
      <c r="S5125">
        <v>-3.0630799999999998</v>
      </c>
      <c r="T5125">
        <v>-0.1341687</v>
      </c>
      <c r="U5125">
        <v>-0.29597469999999998</v>
      </c>
      <c r="V5125">
        <v>0.13753360000000001</v>
      </c>
      <c r="W5125">
        <v>0.1908878</v>
      </c>
      <c r="X5125">
        <v>0.97192920000000005</v>
      </c>
      <c r="Y5125">
        <v>0.1099851</v>
      </c>
      <c r="Z5125">
        <v>1.13017E-2</v>
      </c>
      <c r="AA5125">
        <v>0.993869</v>
      </c>
      <c r="AB5125">
        <v>18</v>
      </c>
      <c r="AC5125">
        <v>-25.1329999999999</v>
      </c>
      <c r="AD5125">
        <v>-1.108905134797</v>
      </c>
      <c r="AE5125">
        <v>-2.4108999999999901</v>
      </c>
      <c r="AF5125">
        <v>2.7964489985196002</v>
      </c>
      <c r="AG5125">
        <v>-1.108905134797</v>
      </c>
      <c r="AH5125">
        <v>25.044116221048899</v>
      </c>
      <c r="AI5125">
        <v>92.519651873087298</v>
      </c>
      <c r="AJ5125">
        <v>83.628692707391593</v>
      </c>
      <c r="AK5125">
        <v>25.224146266875</v>
      </c>
      <c r="AL5125">
        <v>78.995400355821999</v>
      </c>
      <c r="AM5125">
        <v>81.945790774330206</v>
      </c>
      <c r="AN5125">
        <v>1.0000000065652199</v>
      </c>
    </row>
    <row r="5126" spans="1:40" x14ac:dyDescent="0.25">
      <c r="A5126" t="str">
        <f>"20190312172219027"</f>
        <v>20190312172219027</v>
      </c>
      <c r="B5126" t="str">
        <f>"1552382539016378"</f>
        <v>1552382539016378</v>
      </c>
      <c r="C5126" t="s">
        <v>40</v>
      </c>
      <c r="D5126">
        <v>3.1385239999999999</v>
      </c>
      <c r="E5126">
        <v>0.48710750000000003</v>
      </c>
      <c r="F5126" t="s">
        <v>42</v>
      </c>
      <c r="G5126">
        <v>-238.01570000000001</v>
      </c>
      <c r="H5126" s="1">
        <v>-9.7600590000000007E-7</v>
      </c>
      <c r="I5126">
        <v>140.1516</v>
      </c>
      <c r="J5126">
        <v>-212.69929999999999</v>
      </c>
      <c r="K5126">
        <v>1.108884</v>
      </c>
      <c r="L5126">
        <v>142.5617</v>
      </c>
      <c r="M5126">
        <v>-0.97920799999999997</v>
      </c>
      <c r="N5126">
        <v>0</v>
      </c>
      <c r="O5126">
        <v>-0.2026732</v>
      </c>
      <c r="P5126">
        <v>-0.98110310000000001</v>
      </c>
      <c r="Q5126">
        <v>0.18216860000000001</v>
      </c>
      <c r="R5126">
        <v>-6.5204380000000006E-2</v>
      </c>
      <c r="S5126">
        <v>-3.063339</v>
      </c>
      <c r="T5126">
        <v>-0.133298</v>
      </c>
      <c r="U5126">
        <v>-0.2935333</v>
      </c>
      <c r="V5126">
        <v>0.13560440000000001</v>
      </c>
      <c r="W5126">
        <v>0.19018099999999999</v>
      </c>
      <c r="X5126">
        <v>0.9723387</v>
      </c>
      <c r="Y5126">
        <v>0.10806399999999999</v>
      </c>
      <c r="Z5126">
        <v>1.1072510000000001E-2</v>
      </c>
      <c r="AA5126">
        <v>0.99408229999999997</v>
      </c>
      <c r="AB5126">
        <v>18</v>
      </c>
      <c r="AC5126">
        <v>-25.316400000000002</v>
      </c>
      <c r="AD5126">
        <v>-1.1088849760058901</v>
      </c>
      <c r="AE5126">
        <v>-2.4100999999999999</v>
      </c>
      <c r="AF5126">
        <v>2.7658122448603599</v>
      </c>
      <c r="AG5126">
        <v>-1.1088849760058901</v>
      </c>
      <c r="AH5126">
        <v>25.231462853843801</v>
      </c>
      <c r="AI5126">
        <v>92.501479495695705</v>
      </c>
      <c r="AJ5126">
        <v>83.744350728604502</v>
      </c>
      <c r="AK5126">
        <v>25.406811311314399</v>
      </c>
      <c r="AL5126">
        <v>79.036652183173302</v>
      </c>
      <c r="AM5126">
        <v>82.060618614464403</v>
      </c>
      <c r="AN5126">
        <v>0.99999995678902398</v>
      </c>
    </row>
    <row r="5127" spans="1:40" x14ac:dyDescent="0.25">
      <c r="A5127" t="str">
        <f>"20190312172219048"</f>
        <v>20190312172219048</v>
      </c>
      <c r="B5127" t="str">
        <f>"1552382539035894"</f>
        <v>1552382539035894</v>
      </c>
      <c r="C5127" t="s">
        <v>40</v>
      </c>
      <c r="D5127">
        <v>3.1304150000000002</v>
      </c>
      <c r="E5127">
        <v>0.48704409999999998</v>
      </c>
      <c r="F5127" t="s">
        <v>42</v>
      </c>
      <c r="G5127">
        <v>-237.8929</v>
      </c>
      <c r="H5127" s="1">
        <v>-1.030318E-6</v>
      </c>
      <c r="I5127">
        <v>140.15770000000001</v>
      </c>
      <c r="J5127">
        <v>-212.87029999999999</v>
      </c>
      <c r="K5127">
        <v>1.108857</v>
      </c>
      <c r="L5127">
        <v>142.52959999999999</v>
      </c>
      <c r="M5127">
        <v>-0.97976450000000004</v>
      </c>
      <c r="N5127">
        <v>0</v>
      </c>
      <c r="O5127">
        <v>-0.19997200000000001</v>
      </c>
      <c r="P5127">
        <v>-0.98118209999999995</v>
      </c>
      <c r="Q5127">
        <v>0.18179609999999999</v>
      </c>
      <c r="R5127">
        <v>-6.505495E-2</v>
      </c>
      <c r="S5127">
        <v>-3.0634000000000001</v>
      </c>
      <c r="T5127">
        <v>-0.1348346</v>
      </c>
      <c r="U5127">
        <v>-0.29231259999999998</v>
      </c>
      <c r="V5127">
        <v>0.1330799</v>
      </c>
      <c r="W5127">
        <v>0.189688</v>
      </c>
      <c r="X5127">
        <v>0.97278370000000003</v>
      </c>
      <c r="Y5127">
        <v>0.1057144</v>
      </c>
      <c r="Z5127">
        <v>1.103239E-2</v>
      </c>
      <c r="AA5127">
        <v>0.99433539999999998</v>
      </c>
      <c r="AB5127">
        <v>18</v>
      </c>
      <c r="AC5127">
        <v>-25.022600000000001</v>
      </c>
      <c r="AD5127">
        <v>-1.108858030318</v>
      </c>
      <c r="AE5127">
        <v>-2.3718999999999801</v>
      </c>
      <c r="AF5127">
        <v>2.6748075144382399</v>
      </c>
      <c r="AG5127">
        <v>-1.108858030318</v>
      </c>
      <c r="AH5127">
        <v>24.942931934152501</v>
      </c>
      <c r="AI5127">
        <v>92.530961669369304</v>
      </c>
      <c r="AJ5127">
        <v>83.879158441985496</v>
      </c>
      <c r="AK5127">
        <v>25.110436372999601</v>
      </c>
      <c r="AL5127">
        <v>79.065422779271202</v>
      </c>
      <c r="AM5127">
        <v>82.210111399846994</v>
      </c>
      <c r="AN5127">
        <v>0.99999996205684905</v>
      </c>
    </row>
    <row r="5128" spans="1:40" x14ac:dyDescent="0.25">
      <c r="A5128" t="str">
        <f>"20190312172219083"</f>
        <v>20190312172219083</v>
      </c>
      <c r="B5128" t="str">
        <f>"1552382539075910"</f>
        <v>1552382539075910</v>
      </c>
      <c r="C5128" t="s">
        <v>40</v>
      </c>
      <c r="D5128">
        <v>3.1313249999999999</v>
      </c>
      <c r="E5128">
        <v>0.48695559999999899</v>
      </c>
      <c r="F5128" t="s">
        <v>42</v>
      </c>
      <c r="G5128">
        <v>-237.7901</v>
      </c>
      <c r="H5128" s="1">
        <v>-1.0723389999999999E-6</v>
      </c>
      <c r="I5128">
        <v>140.1498</v>
      </c>
      <c r="J5128">
        <v>-213.1491</v>
      </c>
      <c r="K5128">
        <v>1.108822</v>
      </c>
      <c r="L5128">
        <v>142.47819999999999</v>
      </c>
      <c r="M5128">
        <v>-0.9806395</v>
      </c>
      <c r="N5128">
        <v>0</v>
      </c>
      <c r="O5128">
        <v>-0.19564570000000001</v>
      </c>
      <c r="P5128">
        <v>-0.98161509999999996</v>
      </c>
      <c r="Q5128">
        <v>0.1808786</v>
      </c>
      <c r="R5128">
        <v>-6.095159E-2</v>
      </c>
      <c r="S5128">
        <v>-3.0633849999999998</v>
      </c>
      <c r="T5128">
        <v>-0.13631179999999901</v>
      </c>
      <c r="U5128">
        <v>-0.29254150000000001</v>
      </c>
      <c r="V5128">
        <v>0.132883</v>
      </c>
      <c r="W5128">
        <v>0.1885549</v>
      </c>
      <c r="X5128">
        <v>0.97303090000000003</v>
      </c>
      <c r="Y5128">
        <v>0.10125199999999999</v>
      </c>
      <c r="Z5128">
        <v>1.0865939999999999E-2</v>
      </c>
      <c r="AA5128">
        <v>0.99480150000000001</v>
      </c>
      <c r="AB5128">
        <v>18</v>
      </c>
      <c r="AC5128">
        <v>-24.640999999999899</v>
      </c>
      <c r="AD5128">
        <v>-1.108823072339</v>
      </c>
      <c r="AE5128">
        <v>-2.3283999999999798</v>
      </c>
      <c r="AF5128">
        <v>2.5325892401232699</v>
      </c>
      <c r="AG5128">
        <v>-1.108823072339</v>
      </c>
      <c r="AH5128">
        <v>24.5710139204411</v>
      </c>
      <c r="AI5128">
        <v>92.570251217775294</v>
      </c>
      <c r="AJ5128">
        <v>84.115177317283695</v>
      </c>
      <c r="AK5128">
        <v>24.726063616019701</v>
      </c>
      <c r="AL5128">
        <v>79.131538040531595</v>
      </c>
      <c r="AM5128">
        <v>82.2234477832571</v>
      </c>
      <c r="AN5128">
        <v>0.99999998717890903</v>
      </c>
    </row>
    <row r="5129" spans="1:40" x14ac:dyDescent="0.25">
      <c r="A5129" t="str">
        <f>"20190312172219106"</f>
        <v>20190312172219106</v>
      </c>
      <c r="B5129" t="str">
        <f>"1552382539095434"</f>
        <v>1552382539095434</v>
      </c>
      <c r="C5129" t="s">
        <v>40</v>
      </c>
      <c r="D5129">
        <v>3.1201720000000002</v>
      </c>
      <c r="E5129">
        <v>0.48693500000000001</v>
      </c>
      <c r="F5129" t="s">
        <v>42</v>
      </c>
      <c r="G5129">
        <v>-237.55940000000001</v>
      </c>
      <c r="H5129" s="1">
        <v>-1.1931339999999999E-6</v>
      </c>
      <c r="I5129">
        <v>140.2319</v>
      </c>
      <c r="J5129">
        <v>-213.33189999999999</v>
      </c>
      <c r="K5129">
        <v>1.1088070000000001</v>
      </c>
      <c r="L5129">
        <v>142.4452</v>
      </c>
      <c r="M5129">
        <v>-0.98119029999999996</v>
      </c>
      <c r="N5129">
        <v>0</v>
      </c>
      <c r="O5129">
        <v>-0.19287070000000001</v>
      </c>
      <c r="P5129">
        <v>-0.98184700000000003</v>
      </c>
      <c r="Q5129">
        <v>0.18059210000000001</v>
      </c>
      <c r="R5129">
        <v>-5.7993580000000003E-2</v>
      </c>
      <c r="S5129">
        <v>-3.0643310000000001</v>
      </c>
      <c r="T5129">
        <v>-0.1391954</v>
      </c>
      <c r="U5129">
        <v>-0.28198240000000002</v>
      </c>
      <c r="V5129">
        <v>0.13306889999999999</v>
      </c>
      <c r="W5129">
        <v>0.18813199999999999</v>
      </c>
      <c r="X5129">
        <v>0.97308740000000005</v>
      </c>
      <c r="Y5129">
        <v>0.10185429999999999</v>
      </c>
      <c r="Z5129">
        <v>1.098498E-2</v>
      </c>
      <c r="AA5129">
        <v>0.99473869999999998</v>
      </c>
      <c r="AB5129">
        <v>18</v>
      </c>
      <c r="AC5129">
        <v>-24.227499999999999</v>
      </c>
      <c r="AD5129">
        <v>-1.1088081931339999</v>
      </c>
      <c r="AE5129">
        <v>-2.2132999999999998</v>
      </c>
      <c r="AF5129">
        <v>2.4960047493975499</v>
      </c>
      <c r="AG5129">
        <v>-1.1088081931339999</v>
      </c>
      <c r="AH5129">
        <v>24.149309362012701</v>
      </c>
      <c r="AI5129">
        <v>92.614961125584401</v>
      </c>
      <c r="AJ5129">
        <v>84.099022527297393</v>
      </c>
      <c r="AK5129">
        <v>24.303263936771401</v>
      </c>
      <c r="AL5129">
        <v>79.156210496963794</v>
      </c>
      <c r="AM5129">
        <v>82.213148577119696</v>
      </c>
      <c r="AN5129">
        <v>1.00000003480498</v>
      </c>
    </row>
    <row r="5130" spans="1:40" x14ac:dyDescent="0.25">
      <c r="A5130" t="str">
        <f>"20190312172219128"</f>
        <v>20190312172219128</v>
      </c>
      <c r="B5130" t="str">
        <f>"1552382539125686"</f>
        <v>1552382539125686</v>
      </c>
      <c r="C5130" t="s">
        <v>40</v>
      </c>
      <c r="D5130">
        <v>3.125505</v>
      </c>
      <c r="E5130">
        <v>0.486927</v>
      </c>
      <c r="F5130" t="s">
        <v>42</v>
      </c>
      <c r="G5130">
        <v>-237.60769999999999</v>
      </c>
      <c r="H5130" s="1">
        <v>-1.182824E-6</v>
      </c>
      <c r="I5130">
        <v>140.27099999999999</v>
      </c>
      <c r="J5130">
        <v>-213.51339999999999</v>
      </c>
      <c r="K5130">
        <v>1.1087940000000001</v>
      </c>
      <c r="L5130">
        <v>142.4128</v>
      </c>
      <c r="M5130">
        <v>-0.98172099999999995</v>
      </c>
      <c r="N5130">
        <v>0</v>
      </c>
      <c r="O5130">
        <v>-0.19015570000000001</v>
      </c>
      <c r="P5130">
        <v>-0.98222730000000003</v>
      </c>
      <c r="Q5130">
        <v>0.17929039999999999</v>
      </c>
      <c r="R5130">
        <v>-5.5540949999999999E-2</v>
      </c>
      <c r="S5130">
        <v>-3.0649869999999999</v>
      </c>
      <c r="T5130">
        <v>-0.1399946</v>
      </c>
      <c r="U5130">
        <v>-0.27449040000000002</v>
      </c>
      <c r="V5130">
        <v>0.13284489999999999</v>
      </c>
      <c r="W5130">
        <v>0.1867114</v>
      </c>
      <c r="X5130">
        <v>0.97339149999999997</v>
      </c>
      <c r="Y5130">
        <v>0.101533</v>
      </c>
      <c r="Z5130">
        <v>1.091861E-2</v>
      </c>
      <c r="AA5130">
        <v>0.99477230000000005</v>
      </c>
      <c r="AB5130">
        <v>18</v>
      </c>
      <c r="AC5130">
        <v>-24.0943</v>
      </c>
      <c r="AD5130">
        <v>-1.1087951828239999</v>
      </c>
      <c r="AE5130">
        <v>-2.1417999999999799</v>
      </c>
      <c r="AF5130">
        <v>2.4739006087962898</v>
      </c>
      <c r="AG5130">
        <v>-1.1087951828239999</v>
      </c>
      <c r="AH5130">
        <v>24.0114824604082</v>
      </c>
      <c r="AI5130">
        <v>92.6300070464914</v>
      </c>
      <c r="AJ5130">
        <v>84.117577325285595</v>
      </c>
      <c r="AK5130">
        <v>24.164041485772799</v>
      </c>
      <c r="AL5130">
        <v>79.239072473377107</v>
      </c>
      <c r="AM5130">
        <v>82.228495056718998</v>
      </c>
      <c r="AN5130">
        <v>0.99999996330910901</v>
      </c>
    </row>
    <row r="5131" spans="1:40" x14ac:dyDescent="0.25">
      <c r="A5131" t="str">
        <f>"20190312172219149"</f>
        <v>20190312172219149</v>
      </c>
      <c r="B5131" t="str">
        <f>"1552382539146182"</f>
        <v>1552382539146182</v>
      </c>
      <c r="C5131" t="s">
        <v>40</v>
      </c>
      <c r="D5131">
        <v>3.14411</v>
      </c>
      <c r="E5131">
        <v>0.48692940000000001</v>
      </c>
      <c r="F5131" t="s">
        <v>42</v>
      </c>
      <c r="G5131">
        <v>-236.8776</v>
      </c>
      <c r="H5131" s="1">
        <v>-1.5232530000000001E-6</v>
      </c>
      <c r="I5131">
        <v>140.3734</v>
      </c>
      <c r="J5131">
        <v>-213.67910000000001</v>
      </c>
      <c r="K5131">
        <v>1.108787</v>
      </c>
      <c r="L5131">
        <v>142.3836</v>
      </c>
      <c r="M5131">
        <v>-0.98219069999999997</v>
      </c>
      <c r="N5131">
        <v>0</v>
      </c>
      <c r="O5131">
        <v>-0.1877191</v>
      </c>
      <c r="P5131">
        <v>-0.98257369999999999</v>
      </c>
      <c r="Q5131">
        <v>0.1779329</v>
      </c>
      <c r="R5131">
        <v>-5.3748890000000001E-2</v>
      </c>
      <c r="S5131">
        <v>-3.0657040000000002</v>
      </c>
      <c r="T5131">
        <v>-0.14548900000000001</v>
      </c>
      <c r="U5131">
        <v>-0.26759339999999998</v>
      </c>
      <c r="V5131">
        <v>0.13224179999999999</v>
      </c>
      <c r="W5131">
        <v>0.1852557</v>
      </c>
      <c r="X5131">
        <v>0.9737517</v>
      </c>
      <c r="Y5131">
        <v>0.10128479999999999</v>
      </c>
      <c r="Z5131">
        <v>1.1226450000000001E-2</v>
      </c>
      <c r="AA5131">
        <v>0.99479410000000001</v>
      </c>
      <c r="AB5131">
        <v>18</v>
      </c>
      <c r="AC5131">
        <v>-23.198499999999999</v>
      </c>
      <c r="AD5131">
        <v>-1.1087885232529999</v>
      </c>
      <c r="AE5131">
        <v>-2.01019999999999</v>
      </c>
      <c r="AF5131">
        <v>2.3750914532674399</v>
      </c>
      <c r="AG5131">
        <v>-1.1087885232529999</v>
      </c>
      <c r="AH5131">
        <v>23.111031141201799</v>
      </c>
      <c r="AI5131">
        <v>92.732381086719698</v>
      </c>
      <c r="AJ5131">
        <v>84.132384087308793</v>
      </c>
      <c r="AK5131">
        <v>23.259196714639099</v>
      </c>
      <c r="AL5131">
        <v>79.323959057424105</v>
      </c>
      <c r="AM5131">
        <v>82.2661757237058</v>
      </c>
      <c r="AN5131">
        <v>0.99999997065130897</v>
      </c>
    </row>
    <row r="5132" spans="1:40" x14ac:dyDescent="0.25">
      <c r="A5132" t="str">
        <f>"20190312172219172"</f>
        <v>20190312172219172</v>
      </c>
      <c r="B5132" t="str">
        <f>"1552382539165703"</f>
        <v>1552382539165703</v>
      </c>
      <c r="C5132" t="s">
        <v>40</v>
      </c>
      <c r="D5132">
        <v>3.118341</v>
      </c>
      <c r="E5132">
        <v>0.48682740000000002</v>
      </c>
      <c r="F5132" t="s">
        <v>42</v>
      </c>
      <c r="G5132">
        <v>-236.26589999999999</v>
      </c>
      <c r="H5132" s="1">
        <v>-1.8066969999999999E-6</v>
      </c>
      <c r="I5132">
        <v>140.45240000000001</v>
      </c>
      <c r="J5132">
        <v>-213.87</v>
      </c>
      <c r="K5132">
        <v>1.1087849999999999</v>
      </c>
      <c r="L5132">
        <v>142.35050000000001</v>
      </c>
      <c r="M5132">
        <v>-0.98271390000000003</v>
      </c>
      <c r="N5132">
        <v>0</v>
      </c>
      <c r="O5132">
        <v>-0.18496580000000001</v>
      </c>
      <c r="P5132">
        <v>-0.98285310000000004</v>
      </c>
      <c r="Q5132">
        <v>0.17716709999999999</v>
      </c>
      <c r="R5132">
        <v>-5.110344E-2</v>
      </c>
      <c r="S5132">
        <v>-3.0661010000000002</v>
      </c>
      <c r="T5132">
        <v>-0.1505147</v>
      </c>
      <c r="U5132">
        <v>-0.26214599999999999</v>
      </c>
      <c r="V5132">
        <v>0.1321502</v>
      </c>
      <c r="W5132">
        <v>0.1843766</v>
      </c>
      <c r="X5132">
        <v>0.97393099999999999</v>
      </c>
      <c r="Y5132">
        <v>0.100244</v>
      </c>
      <c r="Z5132">
        <v>1.145559E-2</v>
      </c>
      <c r="AA5132">
        <v>0.99489689999999997</v>
      </c>
      <c r="AB5132">
        <v>18</v>
      </c>
      <c r="AC5132">
        <v>-22.395899999999902</v>
      </c>
      <c r="AD5132">
        <v>-1.1087868066969999</v>
      </c>
      <c r="AE5132">
        <v>-1.8980999999999999</v>
      </c>
      <c r="AF5132">
        <v>2.2717273187829599</v>
      </c>
      <c r="AG5132">
        <v>-1.1087868066969999</v>
      </c>
      <c r="AH5132">
        <v>22.306243648406099</v>
      </c>
      <c r="AI5132">
        <v>92.831065787730296</v>
      </c>
      <c r="AJ5132">
        <v>84.184894384910606</v>
      </c>
      <c r="AK5132">
        <v>22.4490235621879</v>
      </c>
      <c r="AL5132">
        <v>79.375210995353896</v>
      </c>
      <c r="AM5132">
        <v>82.272873576174405</v>
      </c>
      <c r="AN5132">
        <v>0.99999999937429995</v>
      </c>
    </row>
    <row r="5133" spans="1:40" x14ac:dyDescent="0.25">
      <c r="A5133" t="str">
        <f>"20190312172219194"</f>
        <v>20190312172219194</v>
      </c>
      <c r="B5133" t="str">
        <f>"1552382539186202"</f>
        <v>1552382539186202</v>
      </c>
      <c r="C5133" t="s">
        <v>40</v>
      </c>
      <c r="D5133">
        <v>3.125651</v>
      </c>
      <c r="E5133">
        <v>0.48678749999999998</v>
      </c>
      <c r="F5133" t="s">
        <v>42</v>
      </c>
      <c r="G5133">
        <v>-236.09979999999999</v>
      </c>
      <c r="H5133" s="1">
        <v>-1.889575E-6</v>
      </c>
      <c r="I5133">
        <v>140.49610000000001</v>
      </c>
      <c r="J5133">
        <v>-214.05600000000001</v>
      </c>
      <c r="K5133">
        <v>1.1087830000000001</v>
      </c>
      <c r="L5133">
        <v>142.31870000000001</v>
      </c>
      <c r="M5133">
        <v>-0.98320459999999998</v>
      </c>
      <c r="N5133">
        <v>0</v>
      </c>
      <c r="O5133">
        <v>-0.18234510000000001</v>
      </c>
      <c r="P5133">
        <v>-0.98307940000000005</v>
      </c>
      <c r="Q5133">
        <v>0.17645179999999999</v>
      </c>
      <c r="R5133">
        <v>-4.919337E-2</v>
      </c>
      <c r="S5133">
        <v>-3.066605</v>
      </c>
      <c r="T5133">
        <v>-0.1529576</v>
      </c>
      <c r="U5133">
        <v>-0.25581359999999997</v>
      </c>
      <c r="V5133">
        <v>0.131458299999999</v>
      </c>
      <c r="W5133">
        <v>0.18355450000000001</v>
      </c>
      <c r="X5133">
        <v>0.97417989999999999</v>
      </c>
      <c r="Y5133">
        <v>9.9637779999999995E-2</v>
      </c>
      <c r="Z5133">
        <v>1.1497510000000001E-2</v>
      </c>
      <c r="AA5133">
        <v>0.99495730000000004</v>
      </c>
      <c r="AB5133">
        <v>18</v>
      </c>
      <c r="AC5133">
        <v>-22.043800000000001</v>
      </c>
      <c r="AD5133">
        <v>-1.1087848895749901</v>
      </c>
      <c r="AE5133">
        <v>-1.82259999999999</v>
      </c>
      <c r="AF5133">
        <v>2.22207221803543</v>
      </c>
      <c r="AG5133">
        <v>-1.1087848895749901</v>
      </c>
      <c r="AH5133">
        <v>21.951396613553101</v>
      </c>
      <c r="AI5133">
        <v>92.876926810952099</v>
      </c>
      <c r="AJ5133">
        <v>84.219814157504501</v>
      </c>
      <c r="AK5133">
        <v>22.091419650149799</v>
      </c>
      <c r="AL5133">
        <v>79.423131831166003</v>
      </c>
      <c r="AM5133">
        <v>82.314786128255406</v>
      </c>
      <c r="AN5133">
        <v>1.0000000083365701</v>
      </c>
    </row>
    <row r="5134" spans="1:40" x14ac:dyDescent="0.25">
      <c r="A5134" t="str">
        <f>"20190312172219216"</f>
        <v>20190312172219216</v>
      </c>
      <c r="B5134" t="str">
        <f>"1552382539205718"</f>
        <v>1552382539205718</v>
      </c>
      <c r="C5134" t="s">
        <v>40</v>
      </c>
      <c r="D5134">
        <v>3.253987</v>
      </c>
      <c r="E5134">
        <v>0.48669869999999998</v>
      </c>
      <c r="F5134" t="s">
        <v>42</v>
      </c>
      <c r="G5134">
        <v>-235.9838</v>
      </c>
      <c r="H5134" s="1">
        <v>-1.9455689999999998E-6</v>
      </c>
      <c r="I5134">
        <v>140.51949999999999</v>
      </c>
      <c r="J5134">
        <v>-214.2338</v>
      </c>
      <c r="K5134">
        <v>1.108779</v>
      </c>
      <c r="L5134">
        <v>142.2886</v>
      </c>
      <c r="M5134">
        <v>-0.98365689999999995</v>
      </c>
      <c r="N5134">
        <v>0</v>
      </c>
      <c r="O5134">
        <v>-0.17989340000000001</v>
      </c>
      <c r="P5134">
        <v>-0.98328110000000002</v>
      </c>
      <c r="Q5134">
        <v>0.1756586</v>
      </c>
      <c r="R5134">
        <v>-4.7984199999999998E-2</v>
      </c>
      <c r="S5134">
        <v>-3.0668790000000001</v>
      </c>
      <c r="T5134">
        <v>-0.1550773</v>
      </c>
      <c r="U5134">
        <v>-0.25163269999999999</v>
      </c>
      <c r="V5134">
        <v>0.13024079999999999</v>
      </c>
      <c r="W5134">
        <v>0.18266379999999999</v>
      </c>
      <c r="X5134">
        <v>0.97451080000000001</v>
      </c>
      <c r="Y5134">
        <v>9.8506369999999996E-2</v>
      </c>
      <c r="Z5134">
        <v>1.150633E-2</v>
      </c>
      <c r="AA5134">
        <v>0.99506989999999995</v>
      </c>
      <c r="AB5134">
        <v>18</v>
      </c>
      <c r="AC5134">
        <v>-21.75</v>
      </c>
      <c r="AD5134">
        <v>-1.1087809455689901</v>
      </c>
      <c r="AE5134">
        <v>-1.7690999999999999</v>
      </c>
      <c r="AF5134">
        <v>2.1669619649912502</v>
      </c>
      <c r="AG5134">
        <v>-1.1087809455689901</v>
      </c>
      <c r="AH5134">
        <v>21.657497304034901</v>
      </c>
      <c r="AI5134">
        <v>92.916229978817398</v>
      </c>
      <c r="AJ5134">
        <v>84.286231617406798</v>
      </c>
      <c r="AK5134">
        <v>21.7938594291432</v>
      </c>
      <c r="AL5134">
        <v>79.475042930937093</v>
      </c>
      <c r="AM5134">
        <v>82.387678986602694</v>
      </c>
      <c r="AN5134">
        <v>1.0000000145658601</v>
      </c>
    </row>
    <row r="5135" spans="1:40" x14ac:dyDescent="0.25">
      <c r="A5135" t="str">
        <f>"20190312172219238"</f>
        <v>20190312172219238</v>
      </c>
      <c r="B5135" t="str">
        <f>"1552382539235974"</f>
        <v>1552382539235974</v>
      </c>
      <c r="C5135" t="s">
        <v>40</v>
      </c>
      <c r="D5135">
        <v>3.2963580000000001</v>
      </c>
      <c r="E5135">
        <v>0.48650450000000001</v>
      </c>
      <c r="F5135" t="s">
        <v>42</v>
      </c>
      <c r="G5135">
        <v>-235.85400000000001</v>
      </c>
      <c r="H5135" s="1">
        <v>-2.0037450000000002E-6</v>
      </c>
      <c r="I5135">
        <v>140.52889999999999</v>
      </c>
      <c r="J5135">
        <v>-214.4153</v>
      </c>
      <c r="K5135">
        <v>1.10877</v>
      </c>
      <c r="L5135">
        <v>142.25839999999999</v>
      </c>
      <c r="M5135">
        <v>-0.98410209999999998</v>
      </c>
      <c r="N5135">
        <v>0</v>
      </c>
      <c r="O5135">
        <v>-0.17744689999999999</v>
      </c>
      <c r="P5135">
        <v>-0.98348630000000004</v>
      </c>
      <c r="Q5135">
        <v>0.1745594</v>
      </c>
      <c r="R5135">
        <v>-4.7792580000000001E-2</v>
      </c>
      <c r="S5135">
        <v>-3.0669400000000002</v>
      </c>
      <c r="T5135">
        <v>-0.15728639999999999</v>
      </c>
      <c r="U5135">
        <v>-0.24961849999999999</v>
      </c>
      <c r="V5135">
        <v>0.1280271</v>
      </c>
      <c r="W5135">
        <v>0.18147289999999999</v>
      </c>
      <c r="X5135">
        <v>0.97502650000000002</v>
      </c>
      <c r="Y5135">
        <v>9.6677840000000001E-2</v>
      </c>
      <c r="Z5135">
        <v>1.150026E-2</v>
      </c>
      <c r="AA5135">
        <v>0.9952493</v>
      </c>
      <c r="AB5135">
        <v>19</v>
      </c>
      <c r="AC5135">
        <v>-21.438700000000001</v>
      </c>
      <c r="AD5135">
        <v>-1.108772003745</v>
      </c>
      <c r="AE5135">
        <v>-1.7295</v>
      </c>
      <c r="AF5135">
        <v>2.0967127972658499</v>
      </c>
      <c r="AG5135">
        <v>-1.108772003745</v>
      </c>
      <c r="AH5135">
        <v>21.348626166335102</v>
      </c>
      <c r="AI5135">
        <v>92.958857983131907</v>
      </c>
      <c r="AJ5135">
        <v>84.390798049015501</v>
      </c>
      <c r="AK5135">
        <v>21.479977167130201</v>
      </c>
      <c r="AL5135">
        <v>79.544436319326294</v>
      </c>
      <c r="AM5135">
        <v>82.519499869208005</v>
      </c>
      <c r="AN5135">
        <v>1.00000001373553</v>
      </c>
    </row>
    <row r="5136" spans="1:40" x14ac:dyDescent="0.25">
      <c r="A5136" t="str">
        <f>"20190312172219262"</f>
        <v>20190312172219262</v>
      </c>
      <c r="B5136" t="str">
        <f>"1552382539255494"</f>
        <v>1552382539255494</v>
      </c>
      <c r="C5136" t="s">
        <v>40</v>
      </c>
      <c r="D5136">
        <v>3.252024</v>
      </c>
      <c r="E5136">
        <v>0.48639969999999999</v>
      </c>
      <c r="F5136" t="s">
        <v>42</v>
      </c>
      <c r="G5136">
        <v>-235.6198</v>
      </c>
      <c r="H5136" s="1">
        <v>-2.1022080000000002E-6</v>
      </c>
      <c r="I5136">
        <v>140.5213</v>
      </c>
      <c r="J5136">
        <v>-214.60579999999999</v>
      </c>
      <c r="K5136">
        <v>1.108765</v>
      </c>
      <c r="L5136">
        <v>142.227</v>
      </c>
      <c r="M5136">
        <v>-0.98455250000000005</v>
      </c>
      <c r="N5136">
        <v>0</v>
      </c>
      <c r="O5136">
        <v>-0.1749348</v>
      </c>
      <c r="P5136">
        <v>-0.98354739999999996</v>
      </c>
      <c r="Q5136">
        <v>0.17441860000000001</v>
      </c>
      <c r="R5136">
        <v>-4.7038870000000003E-2</v>
      </c>
      <c r="S5136">
        <v>-3.0666350000000002</v>
      </c>
      <c r="T5136">
        <v>-0.16035250000000001</v>
      </c>
      <c r="U5136">
        <v>-0.25120540000000002</v>
      </c>
      <c r="V5136">
        <v>0.12628</v>
      </c>
      <c r="W5136">
        <v>0.18123420000000001</v>
      </c>
      <c r="X5136">
        <v>0.97529869999999996</v>
      </c>
      <c r="Y5136">
        <v>9.3611059999999996E-2</v>
      </c>
      <c r="Z5136">
        <v>1.1515940000000001E-2</v>
      </c>
      <c r="AA5136">
        <v>0.99554219999999904</v>
      </c>
      <c r="AB5136">
        <v>19</v>
      </c>
      <c r="AC5136">
        <v>-21.013999999999999</v>
      </c>
      <c r="AD5136">
        <v>-1.1087671022079999</v>
      </c>
      <c r="AE5136">
        <v>-1.7057</v>
      </c>
      <c r="AF5136">
        <v>1.9912754433328199</v>
      </c>
      <c r="AG5136">
        <v>-1.1087671022079999</v>
      </c>
      <c r="AH5136">
        <v>20.930453039631399</v>
      </c>
      <c r="AI5136">
        <v>93.018739391486704</v>
      </c>
      <c r="AJ5136">
        <v>84.5653677782188</v>
      </c>
      <c r="AK5136">
        <v>21.054177894716599</v>
      </c>
      <c r="AL5136">
        <v>79.558343432075503</v>
      </c>
      <c r="AM5136">
        <v>82.6224852924244</v>
      </c>
      <c r="AN5136">
        <v>1.00000001393566</v>
      </c>
    </row>
    <row r="5137" spans="1:40" x14ac:dyDescent="0.25">
      <c r="A5137" t="str">
        <f>"20190312172219284"</f>
        <v>20190312172219284</v>
      </c>
      <c r="B5137" t="str">
        <f>"1552382539275990"</f>
        <v>1552382539275990</v>
      </c>
      <c r="C5137" t="s">
        <v>40</v>
      </c>
      <c r="D5137">
        <v>3.1254580000000001</v>
      </c>
      <c r="E5137">
        <v>0.48627999999999999</v>
      </c>
      <c r="F5137" t="s">
        <v>42</v>
      </c>
      <c r="G5137">
        <v>-235.8039</v>
      </c>
      <c r="H5137" s="1">
        <v>-2.0160089999999999E-6</v>
      </c>
      <c r="I5137">
        <v>140.49420000000001</v>
      </c>
      <c r="J5137">
        <v>-214.80189999999999</v>
      </c>
      <c r="K5137">
        <v>1.1087560000000001</v>
      </c>
      <c r="L5137">
        <v>142.1953</v>
      </c>
      <c r="M5137">
        <v>-0.98499950000000003</v>
      </c>
      <c r="N5137">
        <v>0</v>
      </c>
      <c r="O5137">
        <v>-0.172404799999999</v>
      </c>
      <c r="P5137">
        <v>-0.98351120000000003</v>
      </c>
      <c r="Q5137">
        <v>0.174872</v>
      </c>
      <c r="R5137">
        <v>-4.610587E-2</v>
      </c>
      <c r="S5137">
        <v>-3.0666350000000002</v>
      </c>
      <c r="T5137">
        <v>-0.1604005</v>
      </c>
      <c r="U5137">
        <v>-0.25067139999999999</v>
      </c>
      <c r="V5137">
        <v>0.1246797</v>
      </c>
      <c r="W5137">
        <v>0.18158820000000001</v>
      </c>
      <c r="X5137">
        <v>0.97543869999999999</v>
      </c>
      <c r="Y5137">
        <v>9.1231389999999996E-2</v>
      </c>
      <c r="Z5137">
        <v>1.132737E-2</v>
      </c>
      <c r="AA5137">
        <v>0.99576529999999996</v>
      </c>
      <c r="AB5137">
        <v>19</v>
      </c>
      <c r="AC5137">
        <v>-21.001999999999999</v>
      </c>
      <c r="AD5137">
        <v>-1.10875801600899</v>
      </c>
      <c r="AE5137">
        <v>-1.7010999999999901</v>
      </c>
      <c r="AF5137">
        <v>1.93994252374481</v>
      </c>
      <c r="AG5137">
        <v>-1.10875801600899</v>
      </c>
      <c r="AH5137">
        <v>20.922854821484702</v>
      </c>
      <c r="AI5137">
        <v>93.020487851179695</v>
      </c>
      <c r="AJ5137">
        <v>84.702747749667296</v>
      </c>
      <c r="AK5137">
        <v>21.0418291793851</v>
      </c>
      <c r="AL5137">
        <v>79.537718141602198</v>
      </c>
      <c r="AM5137">
        <v>82.716001462178994</v>
      </c>
      <c r="AN5137">
        <v>0.99999997971450905</v>
      </c>
    </row>
    <row r="5138" spans="1:40" x14ac:dyDescent="0.25">
      <c r="A5138" t="str">
        <f>"20190312172219307"</f>
        <v>20190312172219307</v>
      </c>
      <c r="B5138" t="str">
        <f>"1552382539295514"</f>
        <v>1552382539295514</v>
      </c>
      <c r="C5138" t="s">
        <v>40</v>
      </c>
      <c r="D5138">
        <v>3.460636</v>
      </c>
      <c r="E5138">
        <v>0.48622219999999999</v>
      </c>
      <c r="F5138" t="s">
        <v>42</v>
      </c>
      <c r="G5138">
        <v>-236.25790000000001</v>
      </c>
      <c r="H5138" s="1">
        <v>-1.809616E-6</v>
      </c>
      <c r="I5138">
        <v>140.45050000000001</v>
      </c>
      <c r="J5138">
        <v>-214.9932</v>
      </c>
      <c r="K5138">
        <v>1.108746</v>
      </c>
      <c r="L5138">
        <v>142.16470000000001</v>
      </c>
      <c r="M5138">
        <v>-0.98542260000000004</v>
      </c>
      <c r="N5138">
        <v>0</v>
      </c>
      <c r="O5138">
        <v>-0.1699744</v>
      </c>
      <c r="P5138">
        <v>-0.98364200000000002</v>
      </c>
      <c r="Q5138">
        <v>0.17423050000000001</v>
      </c>
      <c r="R5138">
        <v>-4.5744960000000001E-2</v>
      </c>
      <c r="S5138">
        <v>-3.0667719999999998</v>
      </c>
      <c r="T5138">
        <v>-0.15847809999999901</v>
      </c>
      <c r="U5138">
        <v>-0.2493744</v>
      </c>
      <c r="V5138">
        <v>0.12264419999999999</v>
      </c>
      <c r="W5138">
        <v>0.18085899999999999</v>
      </c>
      <c r="X5138">
        <v>0.97583220000000004</v>
      </c>
      <c r="Y5138">
        <v>8.9210869999999998E-2</v>
      </c>
      <c r="Z5138">
        <v>1.101602E-2</v>
      </c>
      <c r="AA5138">
        <v>0.99595180000000005</v>
      </c>
      <c r="AB5138">
        <v>19</v>
      </c>
      <c r="AC5138">
        <v>-21.264700000000001</v>
      </c>
      <c r="AD5138">
        <v>-1.1087478096159999</v>
      </c>
      <c r="AE5138">
        <v>-1.7141999999999999</v>
      </c>
      <c r="AF5138">
        <v>1.9201059828451299</v>
      </c>
      <c r="AG5138">
        <v>-1.1087478096159999</v>
      </c>
      <c r="AH5138">
        <v>21.189394115648302</v>
      </c>
      <c r="AI5138">
        <v>92.983104112997296</v>
      </c>
      <c r="AJ5138">
        <v>84.822205715792293</v>
      </c>
      <c r="AK5138">
        <v>21.305082766301499</v>
      </c>
      <c r="AL5138">
        <v>79.580202202751494</v>
      </c>
      <c r="AM5138">
        <v>82.836532130016195</v>
      </c>
      <c r="AN5138">
        <v>1.0000000301157299</v>
      </c>
    </row>
    <row r="5139" spans="1:40" x14ac:dyDescent="0.25">
      <c r="A5139" t="str">
        <f>"20190312172219329"</f>
        <v>20190312172219329</v>
      </c>
      <c r="B5139" t="str">
        <f>"1552382539325767"</f>
        <v>1552382539325767</v>
      </c>
      <c r="C5139" t="s">
        <v>40</v>
      </c>
      <c r="D5139">
        <v>3.327925</v>
      </c>
      <c r="E5139">
        <v>0.48612749999999999</v>
      </c>
      <c r="F5139" t="s">
        <v>42</v>
      </c>
      <c r="G5139">
        <v>-236.20650000000001</v>
      </c>
      <c r="H5139" s="1">
        <v>-1.8294809999999999E-6</v>
      </c>
      <c r="I5139">
        <v>140.44229999999999</v>
      </c>
      <c r="J5139">
        <v>-215.17840000000001</v>
      </c>
      <c r="K5139">
        <v>1.108727</v>
      </c>
      <c r="L5139">
        <v>142.13550000000001</v>
      </c>
      <c r="M5139">
        <v>-0.98582119999999995</v>
      </c>
      <c r="N5139">
        <v>0</v>
      </c>
      <c r="O5139">
        <v>-0.16765070000000001</v>
      </c>
      <c r="P5139">
        <v>-0.98376949999999996</v>
      </c>
      <c r="Q5139">
        <v>0.1736076</v>
      </c>
      <c r="R5139">
        <v>-4.5366770000000001E-2</v>
      </c>
      <c r="S5139">
        <v>-3.0666959999999999</v>
      </c>
      <c r="T5139">
        <v>-0.1602857</v>
      </c>
      <c r="U5139">
        <v>-0.24899289999999999</v>
      </c>
      <c r="V5139">
        <v>0.12073339999999901</v>
      </c>
      <c r="W5139">
        <v>0.18015510000000001</v>
      </c>
      <c r="X5139">
        <v>0.97620059999999997</v>
      </c>
      <c r="Y5139">
        <v>8.6981680000000006E-2</v>
      </c>
      <c r="Z5139">
        <v>1.096429E-2</v>
      </c>
      <c r="AA5139">
        <v>0.99614959999999997</v>
      </c>
      <c r="AB5139">
        <v>19</v>
      </c>
      <c r="AC5139">
        <v>-21.028099999999899</v>
      </c>
      <c r="AD5139">
        <v>-1.108728829481</v>
      </c>
      <c r="AE5139">
        <v>-1.69320000000001</v>
      </c>
      <c r="AF5139">
        <v>1.8511164318142199</v>
      </c>
      <c r="AG5139">
        <v>-1.108728829481</v>
      </c>
      <c r="AH5139">
        <v>20.9564518340147</v>
      </c>
      <c r="AI5139">
        <v>93.016761122228701</v>
      </c>
      <c r="AJ5139">
        <v>84.952075010738795</v>
      </c>
      <c r="AK5139">
        <v>21.067244364957499</v>
      </c>
      <c r="AL5139">
        <v>79.621206063850096</v>
      </c>
      <c r="AM5139">
        <v>82.949641232907396</v>
      </c>
      <c r="AN5139">
        <v>1.0000000126859601</v>
      </c>
    </row>
    <row r="5140" spans="1:40" x14ac:dyDescent="0.25">
      <c r="A5140" t="str">
        <f>"20190312172219350"</f>
        <v>20190312172219350</v>
      </c>
      <c r="B5140" t="str">
        <f>"1552382539345287"</f>
        <v>1552382539345287</v>
      </c>
      <c r="C5140" t="s">
        <v>40</v>
      </c>
      <c r="D5140">
        <v>3.132708</v>
      </c>
      <c r="E5140">
        <v>0.48601490000000003</v>
      </c>
      <c r="F5140" t="s">
        <v>42</v>
      </c>
      <c r="G5140">
        <v>-236.12889999999999</v>
      </c>
      <c r="H5140" s="1">
        <v>-1.8622459999999999E-6</v>
      </c>
      <c r="I5140">
        <v>140.44030000000001</v>
      </c>
      <c r="J5140">
        <v>-215.35820000000001</v>
      </c>
      <c r="K5140">
        <v>1.1087100000000001</v>
      </c>
      <c r="L5140">
        <v>142.10759999999999</v>
      </c>
      <c r="M5140">
        <v>-0.98619849999999998</v>
      </c>
      <c r="N5140">
        <v>0</v>
      </c>
      <c r="O5140">
        <v>-0.1654204</v>
      </c>
      <c r="P5140">
        <v>-0.98385319999999998</v>
      </c>
      <c r="Q5140">
        <v>0.17335629999999999</v>
      </c>
      <c r="R5140">
        <v>-4.4503979999999999E-2</v>
      </c>
      <c r="S5140">
        <v>-3.0666660000000001</v>
      </c>
      <c r="T5140">
        <v>-0.162292299999999</v>
      </c>
      <c r="U5140">
        <v>-0.24813840000000001</v>
      </c>
      <c r="V5140">
        <v>0.11938790000000001</v>
      </c>
      <c r="W5140">
        <v>0.17982479999999901</v>
      </c>
      <c r="X5140">
        <v>0.97642700000000004</v>
      </c>
      <c r="Y5140">
        <v>8.5000140000000002E-2</v>
      </c>
      <c r="Z5140">
        <v>1.093322E-2</v>
      </c>
      <c r="AA5140">
        <v>0.99632100000000001</v>
      </c>
      <c r="AB5140">
        <v>19</v>
      </c>
      <c r="AC5140">
        <v>-20.770699999999898</v>
      </c>
      <c r="AD5140">
        <v>-1.1087118622459999</v>
      </c>
      <c r="AE5140">
        <v>-1.66729999999998</v>
      </c>
      <c r="AF5140">
        <v>1.7865943731579099</v>
      </c>
      <c r="AG5140">
        <v>-1.1087118622459999</v>
      </c>
      <c r="AH5140">
        <v>20.701735800696799</v>
      </c>
      <c r="AI5140">
        <v>93.054299345087699</v>
      </c>
      <c r="AJ5140">
        <v>85.067500029863993</v>
      </c>
      <c r="AK5140">
        <v>20.808244198142599</v>
      </c>
      <c r="AL5140">
        <v>79.640445535350395</v>
      </c>
      <c r="AM5140">
        <v>83.029036230690807</v>
      </c>
      <c r="AN5140">
        <v>1.0000000578452199</v>
      </c>
    </row>
    <row r="5141" spans="1:40" x14ac:dyDescent="0.25">
      <c r="A5141" t="str">
        <f>"20190312172219373"</f>
        <v>20190312172219373</v>
      </c>
      <c r="B5141" t="str">
        <f>"1552382539365785"</f>
        <v>1552382539365785</v>
      </c>
      <c r="C5141" t="s">
        <v>40</v>
      </c>
      <c r="D5141">
        <v>3.1396060000000001</v>
      </c>
      <c r="E5141">
        <v>0.48593350000000002</v>
      </c>
      <c r="F5141" t="s">
        <v>42</v>
      </c>
      <c r="G5141">
        <v>-236.21350000000001</v>
      </c>
      <c r="H5141" s="1">
        <v>-1.8241109999999999E-6</v>
      </c>
      <c r="I5141">
        <v>140.4333</v>
      </c>
      <c r="J5141">
        <v>-215.5547</v>
      </c>
      <c r="K5141">
        <v>1.108692</v>
      </c>
      <c r="L5141">
        <v>142.07749999999999</v>
      </c>
      <c r="M5141">
        <v>-0.98660150000000002</v>
      </c>
      <c r="N5141">
        <v>0</v>
      </c>
      <c r="O5141">
        <v>-0.16300300000000001</v>
      </c>
      <c r="P5141">
        <v>-0.98387910000000001</v>
      </c>
      <c r="Q5141">
        <v>0.17350699999999999</v>
      </c>
      <c r="R5141">
        <v>-4.3323430000000003E-2</v>
      </c>
      <c r="S5141">
        <v>-3.0668030000000002</v>
      </c>
      <c r="T5141">
        <v>-0.1630374</v>
      </c>
      <c r="U5141">
        <v>-0.24620059999999999</v>
      </c>
      <c r="V5141">
        <v>0.11816359999999999</v>
      </c>
      <c r="W5141">
        <v>0.1798881</v>
      </c>
      <c r="X5141">
        <v>0.97656419999999999</v>
      </c>
      <c r="Y5141">
        <v>8.3189929999999995E-2</v>
      </c>
      <c r="Z5141">
        <v>1.0808770000000001E-2</v>
      </c>
      <c r="AA5141">
        <v>0.99647509999999995</v>
      </c>
      <c r="AB5141">
        <v>19</v>
      </c>
      <c r="AC5141">
        <v>-20.658799999999999</v>
      </c>
      <c r="AD5141">
        <v>-1.108693824111</v>
      </c>
      <c r="AE5141">
        <v>-1.6441999999999799</v>
      </c>
      <c r="AF5141">
        <v>1.74033678653686</v>
      </c>
      <c r="AG5141">
        <v>-1.108693824111</v>
      </c>
      <c r="AH5141">
        <v>20.591569847499201</v>
      </c>
      <c r="AI5141">
        <v>93.071022759072605</v>
      </c>
      <c r="AJ5141">
        <v>85.169016098888093</v>
      </c>
      <c r="AK5141">
        <v>20.694702774155399</v>
      </c>
      <c r="AL5141">
        <v>79.636757991541003</v>
      </c>
      <c r="AM5141">
        <v>83.100789492174499</v>
      </c>
      <c r="AN5141">
        <v>1.0000000008040999</v>
      </c>
    </row>
    <row r="5142" spans="1:40" x14ac:dyDescent="0.25">
      <c r="A5142" t="str">
        <f>"20190312172219396"</f>
        <v>20190312172219396</v>
      </c>
      <c r="B5142" t="str">
        <f>"1552382539386278"</f>
        <v>1552382539386278</v>
      </c>
      <c r="C5142" t="s">
        <v>40</v>
      </c>
      <c r="D5142">
        <v>3.3557510000000002</v>
      </c>
      <c r="E5142">
        <v>0.48585679999999998</v>
      </c>
      <c r="F5142" t="s">
        <v>42</v>
      </c>
      <c r="G5142">
        <v>-236.51089999999999</v>
      </c>
      <c r="H5142" s="1">
        <v>-1.6905189999999901E-6</v>
      </c>
      <c r="I5142">
        <v>140.41079999999999</v>
      </c>
      <c r="J5142">
        <v>-215.75069999999999</v>
      </c>
      <c r="K5142">
        <v>1.10867</v>
      </c>
      <c r="L5142">
        <v>142.048</v>
      </c>
      <c r="M5142">
        <v>-0.98699490000000001</v>
      </c>
      <c r="N5142">
        <v>0</v>
      </c>
      <c r="O5142">
        <v>-0.1606088</v>
      </c>
      <c r="P5142">
        <v>-0.98395129999999997</v>
      </c>
      <c r="Q5142">
        <v>0.1734445</v>
      </c>
      <c r="R5142">
        <v>-4.1920590000000001E-2</v>
      </c>
      <c r="S5142">
        <v>-3.0670009999999999</v>
      </c>
      <c r="T5142">
        <v>-0.1622604</v>
      </c>
      <c r="U5142">
        <v>-0.243927</v>
      </c>
      <c r="V5142">
        <v>0.11719010000000001</v>
      </c>
      <c r="W5142">
        <v>0.17973520000000001</v>
      </c>
      <c r="X5142">
        <v>0.97670970000000001</v>
      </c>
      <c r="Y5142">
        <v>8.1519850000000005E-2</v>
      </c>
      <c r="Z5142">
        <v>1.058829E-2</v>
      </c>
      <c r="AA5142">
        <v>0.99661549999999999</v>
      </c>
      <c r="AB5142">
        <v>19</v>
      </c>
      <c r="AC5142">
        <v>-20.760200000000001</v>
      </c>
      <c r="AD5142">
        <v>-1.1086716905189999</v>
      </c>
      <c r="AE5142">
        <v>-1.6372</v>
      </c>
      <c r="AF5142">
        <v>1.7135454297286099</v>
      </c>
      <c r="AG5142">
        <v>-1.1086716905189999</v>
      </c>
      <c r="AH5142">
        <v>20.6949799762636</v>
      </c>
      <c r="AI5142">
        <v>93.056080571351899</v>
      </c>
      <c r="AJ5142">
        <v>85.266703661058699</v>
      </c>
      <c r="AK5142">
        <v>20.795374174923001</v>
      </c>
      <c r="AL5142">
        <v>79.645664182963998</v>
      </c>
      <c r="AM5142">
        <v>83.158097729444606</v>
      </c>
      <c r="AN5142">
        <v>1.0000000498655599</v>
      </c>
    </row>
    <row r="5143" spans="1:40" x14ac:dyDescent="0.25">
      <c r="A5143" t="str">
        <f>"20190312172219417"</f>
        <v>20190312172219417</v>
      </c>
      <c r="B5143" t="str">
        <f>"1552382539405798"</f>
        <v>1552382539405798</v>
      </c>
      <c r="C5143" t="s">
        <v>40</v>
      </c>
      <c r="D5143">
        <v>3.1173289999999998</v>
      </c>
      <c r="E5143">
        <v>0.48577559999999897</v>
      </c>
      <c r="F5143" t="s">
        <v>42</v>
      </c>
      <c r="G5143">
        <v>-236.70959999999999</v>
      </c>
      <c r="H5143" s="1">
        <v>-1.6036789999999901E-6</v>
      </c>
      <c r="I5143">
        <v>140.40479999999999</v>
      </c>
      <c r="J5143">
        <v>-215.93450000000001</v>
      </c>
      <c r="K5143">
        <v>1.1086480000000001</v>
      </c>
      <c r="L5143">
        <v>142.02070000000001</v>
      </c>
      <c r="M5143">
        <v>-0.98735609999999996</v>
      </c>
      <c r="N5143">
        <v>0</v>
      </c>
      <c r="O5143">
        <v>-0.15837699999999999</v>
      </c>
      <c r="P5143">
        <v>-0.98409409999999997</v>
      </c>
      <c r="Q5143">
        <v>0.1729108</v>
      </c>
      <c r="R5143">
        <v>-4.07526E-2</v>
      </c>
      <c r="S5143">
        <v>-3.0672760000000001</v>
      </c>
      <c r="T5143">
        <v>-0.1622507</v>
      </c>
      <c r="U5143">
        <v>-0.24046329999999999</v>
      </c>
      <c r="V5143">
        <v>0.11615590000000001</v>
      </c>
      <c r="W5143">
        <v>0.1791198</v>
      </c>
      <c r="X5143">
        <v>0.97694619999999999</v>
      </c>
      <c r="Y5143">
        <v>8.0396590000000004E-2</v>
      </c>
      <c r="Z5143">
        <v>1.044144E-2</v>
      </c>
      <c r="AA5143">
        <v>0.99670829999999999</v>
      </c>
      <c r="AB5143">
        <v>19</v>
      </c>
      <c r="AC5143">
        <v>-20.775099999999899</v>
      </c>
      <c r="AD5143">
        <v>-1.1086496036789999</v>
      </c>
      <c r="AE5143">
        <v>-1.6159000000000101</v>
      </c>
      <c r="AF5143">
        <v>1.69008313801562</v>
      </c>
      <c r="AG5143">
        <v>-1.1086496036789999</v>
      </c>
      <c r="AH5143">
        <v>20.710184018387199</v>
      </c>
      <c r="AI5143">
        <v>93.0540776130984</v>
      </c>
      <c r="AJ5143">
        <v>85.334637026631</v>
      </c>
      <c r="AK5143">
        <v>20.808584935852899</v>
      </c>
      <c r="AL5143">
        <v>79.681505010705294</v>
      </c>
      <c r="AM5143">
        <v>83.219538999411796</v>
      </c>
      <c r="AN5143">
        <v>0.99999998677564395</v>
      </c>
    </row>
    <row r="5144" spans="1:40" x14ac:dyDescent="0.25">
      <c r="A5144" t="str">
        <f>"20190312172219439"</f>
        <v>20190312172219439</v>
      </c>
      <c r="B5144" t="str">
        <f>"1552382539436056"</f>
        <v>1552382539436056</v>
      </c>
      <c r="C5144" t="s">
        <v>40</v>
      </c>
      <c r="D5144">
        <v>3.1156830000000002</v>
      </c>
      <c r="E5144">
        <v>0.48572789999999999</v>
      </c>
      <c r="F5144" t="s">
        <v>42</v>
      </c>
      <c r="G5144">
        <v>-236.68860000000001</v>
      </c>
      <c r="H5144" s="1">
        <v>-1.6161319999999999E-6</v>
      </c>
      <c r="I5144">
        <v>140.41759999999999</v>
      </c>
      <c r="J5144">
        <v>-216.13210000000001</v>
      </c>
      <c r="K5144">
        <v>1.1086129999999901</v>
      </c>
      <c r="L5144">
        <v>141.99180000000001</v>
      </c>
      <c r="M5144">
        <v>-0.98773690000000003</v>
      </c>
      <c r="N5144">
        <v>0</v>
      </c>
      <c r="O5144">
        <v>-0.15598799999999999</v>
      </c>
      <c r="P5144">
        <v>-0.98421599999999998</v>
      </c>
      <c r="Q5144">
        <v>0.1725921</v>
      </c>
      <c r="R5144">
        <v>-3.9125710000000001E-2</v>
      </c>
      <c r="S5144">
        <v>-3.0674739999999998</v>
      </c>
      <c r="T5144">
        <v>-0.16385949999999999</v>
      </c>
      <c r="U5144">
        <v>-0.2369232</v>
      </c>
      <c r="V5144">
        <v>0.1154179</v>
      </c>
      <c r="W5144">
        <v>0.17871310000000001</v>
      </c>
      <c r="X5144">
        <v>0.97710819999999998</v>
      </c>
      <c r="Y5144">
        <v>7.9132110000000006E-2</v>
      </c>
      <c r="Z5144">
        <v>1.038536E-2</v>
      </c>
      <c r="AA5144">
        <v>0.99680999999999997</v>
      </c>
      <c r="AB5144">
        <v>19</v>
      </c>
      <c r="AC5144">
        <v>-20.5565</v>
      </c>
      <c r="AD5144">
        <v>-1.1086146161320001</v>
      </c>
      <c r="AE5144">
        <v>-1.57420000000001</v>
      </c>
      <c r="AF5144">
        <v>1.64694572269015</v>
      </c>
      <c r="AG5144">
        <v>-1.1086146161320001</v>
      </c>
      <c r="AH5144">
        <v>20.4911672479343</v>
      </c>
      <c r="AI5144">
        <v>93.086866275918695</v>
      </c>
      <c r="AJ5144">
        <v>85.4048185661226</v>
      </c>
      <c r="AK5144">
        <v>20.587117130948702</v>
      </c>
      <c r="AL5144">
        <v>79.705190018041705</v>
      </c>
      <c r="AM5144">
        <v>83.263328370836703</v>
      </c>
      <c r="AN5144">
        <v>1.0000000491296199</v>
      </c>
    </row>
    <row r="5145" spans="1:40" x14ac:dyDescent="0.25">
      <c r="A5145" t="str">
        <f>"20190312172219462"</f>
        <v>20190312172219462</v>
      </c>
      <c r="B5145" t="str">
        <f>"1552382539455574"</f>
        <v>1552382539455574</v>
      </c>
      <c r="C5145" t="s">
        <v>40</v>
      </c>
      <c r="D5145">
        <v>3.2189049999999999</v>
      </c>
      <c r="E5145">
        <v>0.48986299999999999</v>
      </c>
      <c r="F5145" t="s">
        <v>42</v>
      </c>
      <c r="G5145">
        <v>-236.74529999999999</v>
      </c>
      <c r="H5145" s="1">
        <v>-1.5964169999999999E-6</v>
      </c>
      <c r="I5145">
        <v>140.435</v>
      </c>
      <c r="J5145">
        <v>-216.3287</v>
      </c>
      <c r="K5145">
        <v>1.1085799999999999</v>
      </c>
      <c r="L5145">
        <v>141.96350000000001</v>
      </c>
      <c r="M5145">
        <v>-0.98810790000000004</v>
      </c>
      <c r="N5145">
        <v>0</v>
      </c>
      <c r="O5145">
        <v>-0.15362379999999901</v>
      </c>
      <c r="P5145">
        <v>-0.98439840000000001</v>
      </c>
      <c r="Q5145">
        <v>0.1719137</v>
      </c>
      <c r="R5145">
        <v>-3.7488349999999997E-2</v>
      </c>
      <c r="S5145">
        <v>-3.067825</v>
      </c>
      <c r="T5145">
        <v>-0.1649938</v>
      </c>
      <c r="U5145">
        <v>-0.23168949999999999</v>
      </c>
      <c r="V5145">
        <v>0.1147249</v>
      </c>
      <c r="W5145">
        <v>0.1779473</v>
      </c>
      <c r="X5145">
        <v>0.97732949999999996</v>
      </c>
      <c r="Y5145">
        <v>7.8445699999999993E-2</v>
      </c>
      <c r="Z5145">
        <v>1.031313E-2</v>
      </c>
      <c r="AA5145">
        <v>0.996865</v>
      </c>
      <c r="AB5145">
        <v>20</v>
      </c>
      <c r="AC5145">
        <v>-20.416599999999899</v>
      </c>
      <c r="AD5145">
        <v>-1.1085815964169901</v>
      </c>
      <c r="AE5145">
        <v>-1.5285</v>
      </c>
      <c r="AF5145">
        <v>1.62143351858326</v>
      </c>
      <c r="AG5145">
        <v>-1.1085815964169901</v>
      </c>
      <c r="AH5145">
        <v>20.3493902131219</v>
      </c>
      <c r="AI5145">
        <v>93.108409607735894</v>
      </c>
      <c r="AJ5145">
        <v>85.444313746149504</v>
      </c>
      <c r="AK5145">
        <v>20.443964435916001</v>
      </c>
      <c r="AL5145">
        <v>79.7497813709859</v>
      </c>
      <c r="AM5145">
        <v>83.304911265691899</v>
      </c>
      <c r="AN5145">
        <v>0.99999999791377403</v>
      </c>
    </row>
    <row r="5146" spans="1:40" x14ac:dyDescent="0.25">
      <c r="A5146" t="str">
        <f>"20190312172219484"</f>
        <v>20190312172219484</v>
      </c>
      <c r="B5146" t="str">
        <f>"1552382539476070"</f>
        <v>1552382539476070</v>
      </c>
      <c r="C5146" t="s">
        <v>40</v>
      </c>
      <c r="D5146">
        <v>3.1205050000000001</v>
      </c>
      <c r="E5146">
        <v>0.49128939999999999</v>
      </c>
      <c r="F5146" t="s">
        <v>41</v>
      </c>
      <c r="G5146">
        <v>-217.2011</v>
      </c>
      <c r="H5146">
        <v>1.0000309999999999</v>
      </c>
      <c r="I5146">
        <v>141.9093</v>
      </c>
      <c r="J5146">
        <v>-216.53460000000001</v>
      </c>
      <c r="K5146">
        <v>1.1085499999999999</v>
      </c>
      <c r="L5146">
        <v>141.93440000000001</v>
      </c>
      <c r="M5146">
        <v>-0.98848860000000005</v>
      </c>
      <c r="N5146">
        <v>0</v>
      </c>
      <c r="O5146">
        <v>-0.15115889999999901</v>
      </c>
      <c r="P5146">
        <v>-0.98445269999999996</v>
      </c>
      <c r="Q5146">
        <v>0.17188390000000001</v>
      </c>
      <c r="R5146">
        <v>-3.6176069999999998E-2</v>
      </c>
      <c r="S5146">
        <v>-3.1076969999999999</v>
      </c>
      <c r="T5146">
        <v>-0.38658700000000001</v>
      </c>
      <c r="U5146">
        <v>-0.1938782</v>
      </c>
      <c r="V5146">
        <v>0.11359470000000001</v>
      </c>
      <c r="W5146">
        <v>0.17782390000000001</v>
      </c>
      <c r="X5146">
        <v>0.97748400000000002</v>
      </c>
      <c r="Y5146">
        <v>8.7497480000000002E-2</v>
      </c>
      <c r="Z5146">
        <v>2.40538E-2</v>
      </c>
      <c r="AA5146">
        <v>0.99587429999999999</v>
      </c>
      <c r="AB5146">
        <v>20</v>
      </c>
      <c r="AC5146">
        <v>-0.66649999999998499</v>
      </c>
      <c r="AD5146">
        <v>-0.108519</v>
      </c>
      <c r="AE5146">
        <v>-2.5100000000009001E-2</v>
      </c>
      <c r="AF5146">
        <v>7.3979484610675494E-2</v>
      </c>
      <c r="AG5146">
        <v>-0.108519</v>
      </c>
      <c r="AH5146">
        <v>0.64554616285570598</v>
      </c>
      <c r="AI5146">
        <v>99.481519892080001</v>
      </c>
      <c r="AJ5146">
        <v>83.462433054133498</v>
      </c>
      <c r="AK5146">
        <v>0.65877096618019404</v>
      </c>
      <c r="AL5146">
        <v>79.756966621615902</v>
      </c>
      <c r="AM5146">
        <v>83.371315748050307</v>
      </c>
      <c r="AN5146">
        <v>1.0000000327676399</v>
      </c>
    </row>
    <row r="5147" spans="1:40" x14ac:dyDescent="0.25">
      <c r="A5147" t="str">
        <f>"20190312172219507"</f>
        <v>20190312172219507</v>
      </c>
      <c r="B5147" t="str">
        <f>"1552382539495590"</f>
        <v>1552382539495590</v>
      </c>
      <c r="C5147" t="s">
        <v>40</v>
      </c>
      <c r="D5147">
        <v>3.2125219999999999</v>
      </c>
      <c r="E5147">
        <v>0.49211739999999998</v>
      </c>
      <c r="F5147" t="s">
        <v>41</v>
      </c>
      <c r="G5147">
        <v>-217.37459999999999</v>
      </c>
      <c r="H5147">
        <v>0.99129579999999995</v>
      </c>
      <c r="I5147">
        <v>141.8862</v>
      </c>
      <c r="J5147">
        <v>-216.726</v>
      </c>
      <c r="K5147">
        <v>1.1085290000000001</v>
      </c>
      <c r="L5147">
        <v>141.90770000000001</v>
      </c>
      <c r="M5147">
        <v>-0.98883549999999998</v>
      </c>
      <c r="N5147">
        <v>0</v>
      </c>
      <c r="O5147">
        <v>-0.14887629999999999</v>
      </c>
      <c r="P5147">
        <v>-0.98452720000000005</v>
      </c>
      <c r="Q5147">
        <v>0.17172219999999999</v>
      </c>
      <c r="R5147">
        <v>-3.489283E-2</v>
      </c>
      <c r="S5147">
        <v>-3.1167910000000001</v>
      </c>
      <c r="T5147">
        <v>-0.43506519999999999</v>
      </c>
      <c r="U5147">
        <v>-0.1788177</v>
      </c>
      <c r="V5147">
        <v>0.1126197</v>
      </c>
      <c r="W5147">
        <v>0.1775775</v>
      </c>
      <c r="X5147">
        <v>0.9776416</v>
      </c>
      <c r="Y5147">
        <v>8.970243E-2</v>
      </c>
      <c r="Z5147">
        <v>2.6810049999999998E-2</v>
      </c>
      <c r="AA5147">
        <v>0.99560769999999998</v>
      </c>
      <c r="AB5147">
        <v>20</v>
      </c>
      <c r="AC5147">
        <v>-0.64859999999998696</v>
      </c>
      <c r="AD5147">
        <v>-0.1172332</v>
      </c>
      <c r="AE5147">
        <v>-2.15000000000031E-2</v>
      </c>
      <c r="AF5147">
        <v>7.2922950485139207E-2</v>
      </c>
      <c r="AG5147">
        <v>-0.1172332</v>
      </c>
      <c r="AH5147">
        <v>0.62420228047011295</v>
      </c>
      <c r="AI5147">
        <v>100.566739744416</v>
      </c>
      <c r="AJ5147">
        <v>83.336578100969703</v>
      </c>
      <c r="AK5147">
        <v>0.63928856304003101</v>
      </c>
      <c r="AL5147">
        <v>79.7713126127816</v>
      </c>
      <c r="AM5147">
        <v>83.428761039677795</v>
      </c>
      <c r="AN5147">
        <v>1.00000003169244</v>
      </c>
    </row>
    <row r="5148" spans="1:40" x14ac:dyDescent="0.25">
      <c r="A5148" t="str">
        <f>"20190312172219529"</f>
        <v>20190312172219529</v>
      </c>
      <c r="B5148" t="str">
        <f>"1552382539525846"</f>
        <v>1552382539525846</v>
      </c>
      <c r="C5148" t="s">
        <v>40</v>
      </c>
      <c r="D5148">
        <v>3.1009389999999999</v>
      </c>
      <c r="E5148">
        <v>0.49275989999999997</v>
      </c>
      <c r="F5148" t="s">
        <v>41</v>
      </c>
      <c r="G5148">
        <v>-217.5513</v>
      </c>
      <c r="H5148">
        <v>0.98694539999999997</v>
      </c>
      <c r="I5148">
        <v>141.86349999999999</v>
      </c>
      <c r="J5148">
        <v>-216.93199999999999</v>
      </c>
      <c r="K5148">
        <v>1.1085039999999999</v>
      </c>
      <c r="L5148">
        <v>141.87960000000001</v>
      </c>
      <c r="M5148">
        <v>-0.98920090000000005</v>
      </c>
      <c r="N5148">
        <v>0</v>
      </c>
      <c r="O5148">
        <v>-0.14643220000000001</v>
      </c>
      <c r="P5148">
        <v>-0.98456270000000001</v>
      </c>
      <c r="Q5148">
        <v>0.17183380000000001</v>
      </c>
      <c r="R5148">
        <v>-3.3312799999999997E-2</v>
      </c>
      <c r="S5148">
        <v>-3.1213989999999998</v>
      </c>
      <c r="T5148">
        <v>-0.45977509999999999</v>
      </c>
      <c r="U5148">
        <v>-0.167968799999999</v>
      </c>
      <c r="V5148">
        <v>0.1117746</v>
      </c>
      <c r="W5148">
        <v>0.17760570000000001</v>
      </c>
      <c r="X5148">
        <v>0.97773339999999997</v>
      </c>
      <c r="Y5148">
        <v>9.0532559999999998E-2</v>
      </c>
      <c r="Z5148">
        <v>2.7986339999999998E-2</v>
      </c>
      <c r="AA5148">
        <v>0.99550019999999995</v>
      </c>
      <c r="AB5148">
        <v>20</v>
      </c>
      <c r="AC5148">
        <v>-0.61929999999998098</v>
      </c>
      <c r="AD5148">
        <v>-0.1215586</v>
      </c>
      <c r="AE5148">
        <v>-1.6100000000022801E-2</v>
      </c>
      <c r="AF5148">
        <v>7.1989114825683903E-2</v>
      </c>
      <c r="AG5148">
        <v>-0.1215586</v>
      </c>
      <c r="AH5148">
        <v>0.59218193099222705</v>
      </c>
      <c r="AI5148">
        <v>101.51759998732901</v>
      </c>
      <c r="AJ5148">
        <v>83.068798587316394</v>
      </c>
      <c r="AK5148">
        <v>0.60880075992152605</v>
      </c>
      <c r="AL5148">
        <v>79.769670173717998</v>
      </c>
      <c r="AM5148">
        <v>83.478252347126002</v>
      </c>
      <c r="AN5148">
        <v>0.99999997367660398</v>
      </c>
    </row>
    <row r="5149" spans="1:40" x14ac:dyDescent="0.25">
      <c r="A5149" t="str">
        <f>"20190312172219552"</f>
        <v>20190312172219552</v>
      </c>
      <c r="B5149" t="str">
        <f>"1552382539545368"</f>
        <v>1552382539545368</v>
      </c>
      <c r="C5149" t="s">
        <v>40</v>
      </c>
      <c r="D5149">
        <v>3.2221160000000002</v>
      </c>
      <c r="E5149">
        <v>0.49302649999999998</v>
      </c>
      <c r="F5149" t="s">
        <v>41</v>
      </c>
      <c r="G5149">
        <v>-217.73070000000001</v>
      </c>
      <c r="H5149">
        <v>0.98685239999999996</v>
      </c>
      <c r="I5149">
        <v>141.83920000000001</v>
      </c>
      <c r="J5149">
        <v>-217.12960000000001</v>
      </c>
      <c r="K5149">
        <v>1.108481</v>
      </c>
      <c r="L5149">
        <v>141.85310000000001</v>
      </c>
      <c r="M5149">
        <v>-0.98954359999999997</v>
      </c>
      <c r="N5149">
        <v>0</v>
      </c>
      <c r="O5149">
        <v>-0.14410249999999999</v>
      </c>
      <c r="P5149">
        <v>-0.98457249999999996</v>
      </c>
      <c r="Q5149">
        <v>0.17213210000000001</v>
      </c>
      <c r="R5149">
        <v>-3.1426410000000002E-2</v>
      </c>
      <c r="S5149">
        <v>-3.1247410000000002</v>
      </c>
      <c r="T5149">
        <v>-0.47584340000000003</v>
      </c>
      <c r="U5149">
        <v>-0.15795899999999999</v>
      </c>
      <c r="V5149">
        <v>0.1113425</v>
      </c>
      <c r="W5149">
        <v>0.177831399999999</v>
      </c>
      <c r="X5149">
        <v>0.97774170000000005</v>
      </c>
      <c r="Y5149">
        <v>9.1268870000000002E-2</v>
      </c>
      <c r="Z5149">
        <v>2.8633209999999999E-2</v>
      </c>
      <c r="AA5149">
        <v>0.99541460000000004</v>
      </c>
      <c r="AB5149">
        <v>20</v>
      </c>
      <c r="AC5149">
        <v>-0.60110000000000197</v>
      </c>
      <c r="AD5149">
        <v>-0.1216286</v>
      </c>
      <c r="AE5149">
        <v>-1.39000000000066E-2</v>
      </c>
      <c r="AF5149">
        <v>7.0002182402593705E-2</v>
      </c>
      <c r="AG5149">
        <v>-0.1216286</v>
      </c>
      <c r="AH5149">
        <v>0.57336630427047497</v>
      </c>
      <c r="AI5149">
        <v>101.890899125228</v>
      </c>
      <c r="AJ5149">
        <v>83.039218449184204</v>
      </c>
      <c r="AK5149">
        <v>0.59029038680285895</v>
      </c>
      <c r="AL5149">
        <v>79.756529557746703</v>
      </c>
      <c r="AM5149">
        <v>83.503302939802495</v>
      </c>
      <c r="AN5149">
        <v>0.99999999552554997</v>
      </c>
    </row>
    <row r="5150" spans="1:40" x14ac:dyDescent="0.25">
      <c r="A5150" t="str">
        <f>"20190312172219574"</f>
        <v>20190312172219574</v>
      </c>
      <c r="B5150" t="str">
        <f>"1552382539565863"</f>
        <v>1552382539565863</v>
      </c>
      <c r="C5150" t="s">
        <v>40</v>
      </c>
      <c r="D5150">
        <v>3.1381380000000001</v>
      </c>
      <c r="E5150">
        <v>0.49323719999999999</v>
      </c>
      <c r="F5150" t="s">
        <v>41</v>
      </c>
      <c r="G5150">
        <v>-217.9117</v>
      </c>
      <c r="H5150">
        <v>0.98786629999999997</v>
      </c>
      <c r="I5150">
        <v>141.81540000000001</v>
      </c>
      <c r="J5150">
        <v>-217.3409</v>
      </c>
      <c r="K5150">
        <v>1.1084620000000001</v>
      </c>
      <c r="L5150">
        <v>141.82509999999999</v>
      </c>
      <c r="M5150">
        <v>-0.98990080000000003</v>
      </c>
      <c r="N5150">
        <v>0</v>
      </c>
      <c r="O5150">
        <v>-0.14163049999999999</v>
      </c>
      <c r="P5150">
        <v>-0.98456630000000001</v>
      </c>
      <c r="Q5150">
        <v>0.17243530000000001</v>
      </c>
      <c r="R5150">
        <v>-2.9924010000000001E-2</v>
      </c>
      <c r="S5150">
        <v>-3.1264799999999999</v>
      </c>
      <c r="T5150">
        <v>-0.48215950000000002</v>
      </c>
      <c r="U5150">
        <v>-0.15081789999999901</v>
      </c>
      <c r="V5150">
        <v>0.1103871</v>
      </c>
      <c r="W5150">
        <v>0.1780651</v>
      </c>
      <c r="X5150">
        <v>0.97780750000000005</v>
      </c>
      <c r="Y5150">
        <v>9.1040490000000002E-2</v>
      </c>
      <c r="Z5150">
        <v>2.860277E-2</v>
      </c>
      <c r="AA5150">
        <v>0.9954364</v>
      </c>
      <c r="AB5150">
        <v>20</v>
      </c>
      <c r="AC5150">
        <v>-0.57079999999999098</v>
      </c>
      <c r="AD5150">
        <v>-0.120595699999999</v>
      </c>
      <c r="AE5150">
        <v>-9.6999999999809391E-3</v>
      </c>
      <c r="AF5150">
        <v>6.8198666958536297E-2</v>
      </c>
      <c r="AG5150">
        <v>-0.120595699999999</v>
      </c>
      <c r="AH5150">
        <v>0.54222344955614799</v>
      </c>
      <c r="AI5150">
        <v>102.44408320508199</v>
      </c>
      <c r="AJ5150">
        <v>82.831213421346604</v>
      </c>
      <c r="AK5150">
        <v>0.55964332416457896</v>
      </c>
      <c r="AL5150">
        <v>79.742922400898607</v>
      </c>
      <c r="AM5150">
        <v>83.559008630311695</v>
      </c>
      <c r="AN5150">
        <v>0.99999999937033501</v>
      </c>
    </row>
    <row r="5151" spans="1:40" x14ac:dyDescent="0.25">
      <c r="A5151" t="str">
        <f>"20190312172219596"</f>
        <v>20190312172219596</v>
      </c>
      <c r="B5151" t="str">
        <f>"1552382539585385"</f>
        <v>1552382539585385</v>
      </c>
      <c r="C5151" t="s">
        <v>40</v>
      </c>
      <c r="D5151">
        <v>3.2164999999999999</v>
      </c>
      <c r="E5151">
        <v>0.49327199999999999</v>
      </c>
      <c r="F5151" t="s">
        <v>41</v>
      </c>
      <c r="G5151">
        <v>-218.09460000000001</v>
      </c>
      <c r="H5151">
        <v>0.99122049999999995</v>
      </c>
      <c r="I5151">
        <v>141.7903</v>
      </c>
      <c r="J5151">
        <v>-217.53729999999999</v>
      </c>
      <c r="K5151">
        <v>1.1084499999999999</v>
      </c>
      <c r="L5151">
        <v>141.7997</v>
      </c>
      <c r="M5151">
        <v>-0.9902242</v>
      </c>
      <c r="N5151">
        <v>0</v>
      </c>
      <c r="O5151">
        <v>-0.13935449999999999</v>
      </c>
      <c r="P5151">
        <v>-0.98455800000000004</v>
      </c>
      <c r="Q5151">
        <v>0.1726348</v>
      </c>
      <c r="R5151">
        <v>-2.903553E-2</v>
      </c>
      <c r="S5151">
        <v>-3.1277919999999999</v>
      </c>
      <c r="T5151">
        <v>-0.48639290000000002</v>
      </c>
      <c r="U5151">
        <v>-0.14521789999999901</v>
      </c>
      <c r="V5151">
        <v>0.1090165</v>
      </c>
      <c r="W5151">
        <v>0.1782049</v>
      </c>
      <c r="X5151">
        <v>0.97793580000000002</v>
      </c>
      <c r="Y5151">
        <v>9.0536930000000002E-2</v>
      </c>
      <c r="Z5151">
        <v>2.8453559999999999E-2</v>
      </c>
      <c r="AA5151">
        <v>0.9954866</v>
      </c>
      <c r="AB5151">
        <v>20</v>
      </c>
      <c r="AC5151">
        <v>-0.557300000000026</v>
      </c>
      <c r="AD5151">
        <v>-0.1172295</v>
      </c>
      <c r="AE5151">
        <v>-9.3999999999994002E-3</v>
      </c>
      <c r="AF5151">
        <v>6.5459745024666505E-2</v>
      </c>
      <c r="AG5151">
        <v>-0.1172295</v>
      </c>
      <c r="AH5151">
        <v>0.52973861439854297</v>
      </c>
      <c r="AI5151">
        <v>102.387001217845</v>
      </c>
      <c r="AJ5151">
        <v>82.955676174711996</v>
      </c>
      <c r="AK5151">
        <v>0.546489463277959</v>
      </c>
      <c r="AL5151">
        <v>79.734782329724794</v>
      </c>
      <c r="AM5151">
        <v>83.639149995943299</v>
      </c>
      <c r="AN5151">
        <v>1.00000000628895</v>
      </c>
    </row>
    <row r="5152" spans="1:40" x14ac:dyDescent="0.25">
      <c r="A5152" t="str">
        <f>"20190312172219617"</f>
        <v>20190312172219617</v>
      </c>
      <c r="B5152" t="str">
        <f>"1552382539605879"</f>
        <v>1552382539605879</v>
      </c>
      <c r="C5152" t="s">
        <v>40</v>
      </c>
      <c r="D5152">
        <v>3.2151360000000002</v>
      </c>
      <c r="E5152">
        <v>0.49338759999999998</v>
      </c>
      <c r="F5152" t="s">
        <v>41</v>
      </c>
      <c r="G5152">
        <v>-218.27780000000001</v>
      </c>
      <c r="H5152">
        <v>0.99294020000000005</v>
      </c>
      <c r="I5152">
        <v>141.76609999999999</v>
      </c>
      <c r="J5152">
        <v>-217.73310000000001</v>
      </c>
      <c r="K5152">
        <v>1.108444</v>
      </c>
      <c r="L5152">
        <v>141.7747</v>
      </c>
      <c r="M5152">
        <v>-0.99053720000000001</v>
      </c>
      <c r="N5152">
        <v>0</v>
      </c>
      <c r="O5152">
        <v>-0.13711419999999999</v>
      </c>
      <c r="P5152">
        <v>-0.98457810000000001</v>
      </c>
      <c r="Q5152">
        <v>0.1727264</v>
      </c>
      <c r="R5152">
        <v>-2.7780160000000002E-2</v>
      </c>
      <c r="S5152">
        <v>-3.1284179999999999</v>
      </c>
      <c r="T5152">
        <v>-0.48791479999999998</v>
      </c>
      <c r="U5152">
        <v>-0.14248659999999999</v>
      </c>
      <c r="V5152">
        <v>0.1080463</v>
      </c>
      <c r="W5152">
        <v>0.17824010000000001</v>
      </c>
      <c r="X5152">
        <v>0.97803709999999999</v>
      </c>
      <c r="Y5152">
        <v>8.9187669999999997E-2</v>
      </c>
      <c r="Z5152">
        <v>2.8088200000000001E-2</v>
      </c>
      <c r="AA5152">
        <v>0.99561869999999997</v>
      </c>
      <c r="AB5152">
        <v>20</v>
      </c>
      <c r="AC5152">
        <v>-0.54470000000000596</v>
      </c>
      <c r="AD5152">
        <v>-0.115503799999999</v>
      </c>
      <c r="AE5152">
        <v>-8.6000000000012698E-3</v>
      </c>
      <c r="AF5152">
        <v>6.3322078996901995E-2</v>
      </c>
      <c r="AG5152">
        <v>-0.115503799999999</v>
      </c>
      <c r="AH5152">
        <v>0.51747196187351396</v>
      </c>
      <c r="AI5152">
        <v>102.49238491203801</v>
      </c>
      <c r="AJ5152">
        <v>83.023506253926698</v>
      </c>
      <c r="AK5152">
        <v>0.53397382410391003</v>
      </c>
      <c r="AL5152">
        <v>79.732733184710796</v>
      </c>
      <c r="AM5152">
        <v>83.695948704804707</v>
      </c>
      <c r="AN5152">
        <v>1.00000005258405</v>
      </c>
    </row>
    <row r="5153" spans="1:40" x14ac:dyDescent="0.25">
      <c r="A5153" t="str">
        <f>"20190312172219641"</f>
        <v>20190312172219641</v>
      </c>
      <c r="B5153" t="str">
        <f>"1552382539636136"</f>
        <v>1552382539636136</v>
      </c>
      <c r="C5153" t="s">
        <v>40</v>
      </c>
      <c r="D5153">
        <v>3.2133129999999999</v>
      </c>
      <c r="E5153">
        <v>0.4934944</v>
      </c>
      <c r="F5153" t="s">
        <v>41</v>
      </c>
      <c r="G5153">
        <v>-218.46170000000001</v>
      </c>
      <c r="H5153">
        <v>0.99381019999999998</v>
      </c>
      <c r="I5153">
        <v>141.74270000000001</v>
      </c>
      <c r="J5153">
        <v>-217.95140000000001</v>
      </c>
      <c r="K5153">
        <v>1.1084449999999999</v>
      </c>
      <c r="L5153">
        <v>141.7473</v>
      </c>
      <c r="M5153">
        <v>-0.99087449999999999</v>
      </c>
      <c r="N5153">
        <v>0</v>
      </c>
      <c r="O5153">
        <v>-0.13465759999999999</v>
      </c>
      <c r="P5153">
        <v>-0.98460049999999999</v>
      </c>
      <c r="Q5153">
        <v>0.1728568</v>
      </c>
      <c r="R5153">
        <v>-2.6126969999999999E-2</v>
      </c>
      <c r="S5153">
        <v>-3.1294710000000001</v>
      </c>
      <c r="T5153">
        <v>-0.49228450000000001</v>
      </c>
      <c r="U5153">
        <v>-0.13763429999999999</v>
      </c>
      <c r="V5153">
        <v>0.1072555</v>
      </c>
      <c r="W5153">
        <v>0.17831559999999999</v>
      </c>
      <c r="X5153">
        <v>0.97811029999999999</v>
      </c>
      <c r="Y5153">
        <v>8.8268139999999995E-2</v>
      </c>
      <c r="Z5153">
        <v>2.7876359999999999E-2</v>
      </c>
      <c r="AA5153">
        <v>0.9957066</v>
      </c>
      <c r="AB5153">
        <v>20</v>
      </c>
      <c r="AC5153">
        <v>-0.51029999999999998</v>
      </c>
      <c r="AD5153">
        <v>-0.1146348</v>
      </c>
      <c r="AE5153">
        <v>-4.5999999999821696E-3</v>
      </c>
      <c r="AF5153">
        <v>6.1076937958401301E-2</v>
      </c>
      <c r="AG5153">
        <v>-0.1146348</v>
      </c>
      <c r="AH5153">
        <v>0.48195228415211999</v>
      </c>
      <c r="AI5153">
        <v>103.27708890517</v>
      </c>
      <c r="AJ5153">
        <v>82.7775101518112</v>
      </c>
      <c r="AK5153">
        <v>0.49914880939541501</v>
      </c>
      <c r="AL5153">
        <v>79.728336143889095</v>
      </c>
      <c r="AM5153">
        <v>83.742185787234405</v>
      </c>
      <c r="AN5153">
        <v>0.99999997722484901</v>
      </c>
    </row>
    <row r="5154" spans="1:40" x14ac:dyDescent="0.25">
      <c r="A5154" t="str">
        <f>"20190312172219663"</f>
        <v>20190312172219663</v>
      </c>
      <c r="B5154" t="str">
        <f>"1552382539655655"</f>
        <v>1552382539655655</v>
      </c>
      <c r="C5154" t="s">
        <v>40</v>
      </c>
      <c r="D5154">
        <v>3.3433670000000002</v>
      </c>
      <c r="E5154">
        <v>0.49333929999999998</v>
      </c>
      <c r="F5154" t="s">
        <v>41</v>
      </c>
      <c r="G5154">
        <v>-218.822</v>
      </c>
      <c r="H5154">
        <v>0.97030760000000005</v>
      </c>
      <c r="I5154">
        <v>141.71080000000001</v>
      </c>
      <c r="J5154">
        <v>-218.15719999999999</v>
      </c>
      <c r="K5154">
        <v>1.108452</v>
      </c>
      <c r="L5154">
        <v>141.72200000000001</v>
      </c>
      <c r="M5154">
        <v>-0.99118019999999996</v>
      </c>
      <c r="N5154">
        <v>0</v>
      </c>
      <c r="O5154">
        <v>-0.13239100000000001</v>
      </c>
      <c r="P5154">
        <v>-0.9845971</v>
      </c>
      <c r="Q5154">
        <v>0.1730978</v>
      </c>
      <c r="R5154">
        <v>-2.4612869999999998E-2</v>
      </c>
      <c r="S5154">
        <v>-3.1306150000000001</v>
      </c>
      <c r="T5154">
        <v>-0.49669190000000002</v>
      </c>
      <c r="U5154">
        <v>-0.1314545</v>
      </c>
      <c r="V5154">
        <v>0.10651049999999999</v>
      </c>
      <c r="W5154">
        <v>0.178509</v>
      </c>
      <c r="X5154">
        <v>0.97815640000000004</v>
      </c>
      <c r="Y5154">
        <v>8.7952950000000002E-2</v>
      </c>
      <c r="Z5154">
        <v>2.7735449999999998E-2</v>
      </c>
      <c r="AA5154">
        <v>0.99573840000000002</v>
      </c>
      <c r="AB5154">
        <v>21</v>
      </c>
      <c r="AC5154">
        <v>-0.66480000000001305</v>
      </c>
      <c r="AD5154">
        <v>-0.1381444</v>
      </c>
      <c r="AE5154">
        <v>-1.12000000000023E-2</v>
      </c>
      <c r="AF5154">
        <v>7.3730834729487396E-2</v>
      </c>
      <c r="AG5154">
        <v>-0.1381444</v>
      </c>
      <c r="AH5154">
        <v>0.63310107909202396</v>
      </c>
      <c r="AI5154">
        <v>102.229021509161</v>
      </c>
      <c r="AJ5154">
        <v>83.357267794459801</v>
      </c>
      <c r="AK5154">
        <v>0.65217872365537299</v>
      </c>
      <c r="AL5154">
        <v>79.7170741335607</v>
      </c>
      <c r="AM5154">
        <v>83.785602060025596</v>
      </c>
      <c r="AN5154">
        <v>0.999999946276103</v>
      </c>
    </row>
    <row r="5155" spans="1:40" x14ac:dyDescent="0.25">
      <c r="A5155" t="str">
        <f>"20190312172219676"</f>
        <v>20190312172219676</v>
      </c>
      <c r="B5155" t="str">
        <f>"1552382539665415"</f>
        <v>1552382539665415</v>
      </c>
      <c r="C5155" t="s">
        <v>40</v>
      </c>
      <c r="D5155">
        <v>3.1505109999999998</v>
      </c>
      <c r="E5155">
        <v>0.49335449999999997</v>
      </c>
      <c r="F5155" t="s">
        <v>41</v>
      </c>
      <c r="G5155">
        <v>-219.0094</v>
      </c>
      <c r="H5155">
        <v>0.97256659999999995</v>
      </c>
      <c r="I5155">
        <v>141.68719999999999</v>
      </c>
      <c r="J5155">
        <v>-218.27799999999999</v>
      </c>
      <c r="K5155">
        <v>1.108457</v>
      </c>
      <c r="L5155">
        <v>141.7073</v>
      </c>
      <c r="M5155">
        <v>-0.99135499999999999</v>
      </c>
      <c r="N5155">
        <v>0</v>
      </c>
      <c r="O5155">
        <v>-0.1310781</v>
      </c>
      <c r="P5155">
        <v>-0.98457810000000001</v>
      </c>
      <c r="Q5155">
        <v>0.17336409999999999</v>
      </c>
      <c r="R5155">
        <v>-2.3476509999999999E-2</v>
      </c>
      <c r="S5155">
        <v>-3.1314850000000001</v>
      </c>
      <c r="T5155">
        <v>-0.49923190000000001</v>
      </c>
      <c r="U5155">
        <v>-0.12820429999999999</v>
      </c>
      <c r="V5155">
        <v>0.10633479999999999</v>
      </c>
      <c r="W5155">
        <v>0.1787463</v>
      </c>
      <c r="X5155">
        <v>0.97813220000000001</v>
      </c>
      <c r="Y5155">
        <v>8.7670490000000004E-2</v>
      </c>
      <c r="Z5155">
        <v>2.764022E-2</v>
      </c>
      <c r="AA5155">
        <v>0.99576600000000004</v>
      </c>
      <c r="AB5155">
        <v>21</v>
      </c>
      <c r="AC5155">
        <v>-0.73140000000000704</v>
      </c>
      <c r="AD5155">
        <v>-0.13589039999999999</v>
      </c>
      <c r="AE5155">
        <v>-2.0100000000013499E-2</v>
      </c>
      <c r="AF5155">
        <v>7.3413274752845398E-2</v>
      </c>
      <c r="AG5155">
        <v>-0.13589039999999999</v>
      </c>
      <c r="AH5155">
        <v>0.70345910706357895</v>
      </c>
      <c r="AI5155">
        <v>100.875771203349</v>
      </c>
      <c r="AJ5155">
        <v>84.042156136947099</v>
      </c>
      <c r="AK5155">
        <v>0.72021554067708404</v>
      </c>
      <c r="AL5155">
        <v>79.7032557928421</v>
      </c>
      <c r="AM5155">
        <v>83.7956210337383</v>
      </c>
      <c r="AN5155">
        <v>0.99999996506578404</v>
      </c>
    </row>
    <row r="5156" spans="1:40" x14ac:dyDescent="0.25">
      <c r="A5156" t="str">
        <f>"20190312172219696"</f>
        <v>20190312172219696</v>
      </c>
      <c r="B5156" t="str">
        <f>"1552382539685911"</f>
        <v>1552382539685911</v>
      </c>
      <c r="C5156" t="s">
        <v>40</v>
      </c>
      <c r="D5156">
        <v>3.1603750000000002</v>
      </c>
      <c r="E5156">
        <v>0.49341210000000002</v>
      </c>
      <c r="F5156" t="s">
        <v>41</v>
      </c>
      <c r="G5156">
        <v>-219.01689999999999</v>
      </c>
      <c r="H5156">
        <v>0.99051750000000005</v>
      </c>
      <c r="I5156">
        <v>141.678</v>
      </c>
      <c r="J5156">
        <v>-218.4624</v>
      </c>
      <c r="K5156">
        <v>1.1084590000000001</v>
      </c>
      <c r="L5156">
        <v>141.68520000000001</v>
      </c>
      <c r="M5156">
        <v>-0.991614</v>
      </c>
      <c r="N5156">
        <v>0</v>
      </c>
      <c r="O5156">
        <v>-0.12910460000000001</v>
      </c>
      <c r="P5156">
        <v>-0.98453889999999999</v>
      </c>
      <c r="Q5156">
        <v>0.173667299999999</v>
      </c>
      <c r="R5156">
        <v>-2.2867459999999999E-2</v>
      </c>
      <c r="S5156">
        <v>-3.1320039999999998</v>
      </c>
      <c r="T5156">
        <v>-0.49983450000000001</v>
      </c>
      <c r="U5156">
        <v>-0.1246033</v>
      </c>
      <c r="V5156">
        <v>0.10498</v>
      </c>
      <c r="W5156">
        <v>0.1790119</v>
      </c>
      <c r="X5156">
        <v>0.97823000000000004</v>
      </c>
      <c r="Y5156">
        <v>8.686671E-2</v>
      </c>
      <c r="Z5156">
        <v>2.7295529999999998E-2</v>
      </c>
      <c r="AA5156">
        <v>0.99584589999999995</v>
      </c>
      <c r="AB5156">
        <v>21</v>
      </c>
      <c r="AC5156">
        <v>-0.55449999999999</v>
      </c>
      <c r="AD5156">
        <v>-0.1179415</v>
      </c>
      <c r="AE5156">
        <v>-7.2000000000116398E-3</v>
      </c>
      <c r="AF5156">
        <v>6.1660849769834498E-2</v>
      </c>
      <c r="AG5156">
        <v>-0.1179415</v>
      </c>
      <c r="AH5156">
        <v>0.52695303708115604</v>
      </c>
      <c r="AI5156">
        <v>102.53311593849401</v>
      </c>
      <c r="AJ5156">
        <v>83.325945769418595</v>
      </c>
      <c r="AK5156">
        <v>0.54349955023499597</v>
      </c>
      <c r="AL5156">
        <v>79.687788894270099</v>
      </c>
      <c r="AM5156">
        <v>83.874673253161902</v>
      </c>
      <c r="AN5156">
        <v>0.99999999682080498</v>
      </c>
    </row>
    <row r="5157" spans="1:40" x14ac:dyDescent="0.25">
      <c r="A5157" t="str">
        <f>"20190312172219720"</f>
        <v>20190312172219720</v>
      </c>
      <c r="B5157" t="str">
        <f>"1552382539716166"</f>
        <v>1552382539716166</v>
      </c>
      <c r="C5157" t="s">
        <v>40</v>
      </c>
      <c r="D5157">
        <v>3.1615220000000002</v>
      </c>
      <c r="E5157">
        <v>0.49356559999999999</v>
      </c>
      <c r="F5157" t="s">
        <v>41</v>
      </c>
      <c r="G5157">
        <v>-219.20419999999999</v>
      </c>
      <c r="H5157">
        <v>0.98983909999999997</v>
      </c>
      <c r="I5157">
        <v>141.65639999999999</v>
      </c>
      <c r="J5157">
        <v>-218.6842</v>
      </c>
      <c r="K5157">
        <v>1.108465</v>
      </c>
      <c r="L5157">
        <v>141.65899999999999</v>
      </c>
      <c r="M5157">
        <v>-0.99191419999999997</v>
      </c>
      <c r="N5157">
        <v>0</v>
      </c>
      <c r="O5157">
        <v>-0.12678159999999999</v>
      </c>
      <c r="P5157">
        <v>-0.9844212</v>
      </c>
      <c r="Q5157">
        <v>0.17447779999999999</v>
      </c>
      <c r="R5157">
        <v>-2.1736950000000001E-2</v>
      </c>
      <c r="S5157">
        <v>-3.1326290000000001</v>
      </c>
      <c r="T5157">
        <v>-0.50089929999999905</v>
      </c>
      <c r="U5157">
        <v>-0.1219635</v>
      </c>
      <c r="V5157">
        <v>0.1037872</v>
      </c>
      <c r="W5157">
        <v>0.17977979999999999</v>
      </c>
      <c r="X5157">
        <v>0.97821650000000004</v>
      </c>
      <c r="Y5157">
        <v>8.5416190000000003E-2</v>
      </c>
      <c r="Z5157">
        <v>2.6866859999999999E-2</v>
      </c>
      <c r="AA5157">
        <v>0.99598310000000001</v>
      </c>
      <c r="AB5157">
        <v>21</v>
      </c>
      <c r="AC5157">
        <v>-0.51999999999998103</v>
      </c>
      <c r="AD5157">
        <v>-0.11862590000000001</v>
      </c>
      <c r="AE5157">
        <v>-2.6000000000010398E-3</v>
      </c>
      <c r="AF5157">
        <v>6.0214876575503999E-2</v>
      </c>
      <c r="AG5157">
        <v>-0.11862590000000001</v>
      </c>
      <c r="AH5157">
        <v>0.49060225239288302</v>
      </c>
      <c r="AI5157">
        <v>103.495492793881</v>
      </c>
      <c r="AJ5157">
        <v>83.002704379779303</v>
      </c>
      <c r="AK5157">
        <v>0.50831929489719596</v>
      </c>
      <c r="AL5157">
        <v>79.643066375153893</v>
      </c>
      <c r="AM5157">
        <v>83.943667087601796</v>
      </c>
      <c r="AN5157">
        <v>1.0000000401220599</v>
      </c>
    </row>
    <row r="5158" spans="1:40" x14ac:dyDescent="0.25">
      <c r="A5158" t="str">
        <f>"20190312172219742"</f>
        <v>20190312172219742</v>
      </c>
      <c r="B5158" t="str">
        <f>"1552382539735403"</f>
        <v>1552382539735403</v>
      </c>
      <c r="C5158" t="s">
        <v>40</v>
      </c>
      <c r="D5158">
        <v>3.2990560000000002</v>
      </c>
      <c r="E5158">
        <v>0.49367549999999999</v>
      </c>
      <c r="F5158" t="s">
        <v>41</v>
      </c>
      <c r="G5158">
        <v>-219.3948</v>
      </c>
      <c r="H5158">
        <v>0.99480659999999999</v>
      </c>
      <c r="I5158">
        <v>141.63249999999999</v>
      </c>
      <c r="J5158">
        <v>-218.8955</v>
      </c>
      <c r="K5158">
        <v>1.108473</v>
      </c>
      <c r="L5158">
        <v>141.6345</v>
      </c>
      <c r="M5158">
        <v>-0.99218629999999997</v>
      </c>
      <c r="N5158">
        <v>0</v>
      </c>
      <c r="O5158">
        <v>-0.1246356</v>
      </c>
      <c r="P5158">
        <v>-0.9844077</v>
      </c>
      <c r="Q5158">
        <v>0.17471679999999901</v>
      </c>
      <c r="R5158">
        <v>-2.0389890000000001E-2</v>
      </c>
      <c r="S5158">
        <v>-3.1337130000000002</v>
      </c>
      <c r="T5158">
        <v>-0.50120439999999999</v>
      </c>
      <c r="U5158">
        <v>-0.1173553</v>
      </c>
      <c r="V5158">
        <v>0.10299560000000001</v>
      </c>
      <c r="W5158">
        <v>0.1799848</v>
      </c>
      <c r="X5158">
        <v>0.97826239999999998</v>
      </c>
      <c r="Y5158">
        <v>8.4770600000000002E-2</v>
      </c>
      <c r="Z5158">
        <v>2.6485290000000002E-2</v>
      </c>
      <c r="AA5158">
        <v>0.9960485</v>
      </c>
      <c r="AB5158">
        <v>21</v>
      </c>
      <c r="AC5158">
        <v>-0.49930000000000502</v>
      </c>
      <c r="AD5158">
        <v>-0.1136664</v>
      </c>
      <c r="AE5158">
        <v>-2.0000000000095402E-3</v>
      </c>
      <c r="AF5158">
        <v>5.7278721673648302E-2</v>
      </c>
      <c r="AG5158">
        <v>-0.1136664</v>
      </c>
      <c r="AH5158">
        <v>0.47123446525629198</v>
      </c>
      <c r="AI5158">
        <v>103.465797118202</v>
      </c>
      <c r="AJ5158">
        <v>83.069674275954</v>
      </c>
      <c r="AK5158">
        <v>0.48812173040227402</v>
      </c>
      <c r="AL5158">
        <v>79.6311252622437</v>
      </c>
      <c r="AM5158">
        <v>83.989800137596504</v>
      </c>
      <c r="AN5158">
        <v>0.99999997255207895</v>
      </c>
    </row>
    <row r="5159" spans="1:40" x14ac:dyDescent="0.25">
      <c r="A5159" t="str">
        <f>"20190312172219764"</f>
        <v>20190312172219764</v>
      </c>
      <c r="B5159" t="str">
        <f>"1552382539755899"</f>
        <v>1552382539755899</v>
      </c>
      <c r="C5159" t="s">
        <v>40</v>
      </c>
      <c r="D5159">
        <v>3.1647789999999998</v>
      </c>
      <c r="E5159">
        <v>0.49378349999999999</v>
      </c>
      <c r="F5159" t="s">
        <v>41</v>
      </c>
      <c r="G5159">
        <v>-219.76410000000001</v>
      </c>
      <c r="H5159">
        <v>0.96944989999999998</v>
      </c>
      <c r="I5159">
        <v>141.6035</v>
      </c>
      <c r="J5159">
        <v>-219.10980000000001</v>
      </c>
      <c r="K5159">
        <v>1.108482</v>
      </c>
      <c r="L5159">
        <v>141.61000000000001</v>
      </c>
      <c r="M5159">
        <v>-0.99245030000000001</v>
      </c>
      <c r="N5159">
        <v>0</v>
      </c>
      <c r="O5159">
        <v>-0.1225175</v>
      </c>
      <c r="P5159">
        <v>-0.98441959999999995</v>
      </c>
      <c r="Q5159">
        <v>0.1747628</v>
      </c>
      <c r="R5159">
        <v>-1.939109E-2</v>
      </c>
      <c r="S5159">
        <v>-3.134201</v>
      </c>
      <c r="T5159">
        <v>-0.50162079999999998</v>
      </c>
      <c r="U5159">
        <v>-0.1123657</v>
      </c>
      <c r="V5159">
        <v>0.1018882</v>
      </c>
      <c r="W5159">
        <v>0.1800031</v>
      </c>
      <c r="X5159">
        <v>0.97837499999999999</v>
      </c>
      <c r="Y5159">
        <v>8.4262840000000006E-2</v>
      </c>
      <c r="Z5159">
        <v>2.6129409999999999E-2</v>
      </c>
      <c r="AA5159">
        <v>0.99610089999999996</v>
      </c>
      <c r="AB5159">
        <v>21</v>
      </c>
      <c r="AC5159">
        <v>-0.65430000000000599</v>
      </c>
      <c r="AD5159">
        <v>-0.13903209999999999</v>
      </c>
      <c r="AE5159">
        <v>-6.5000000000168196E-3</v>
      </c>
      <c r="AF5159">
        <v>7.0529231025724295E-2</v>
      </c>
      <c r="AG5159">
        <v>-0.13903209999999999</v>
      </c>
      <c r="AH5159">
        <v>0.62208154275558003</v>
      </c>
      <c r="AI5159">
        <v>102.520619485655</v>
      </c>
      <c r="AJ5159">
        <v>83.531643924603202</v>
      </c>
      <c r="AK5159">
        <v>0.64131875311474595</v>
      </c>
      <c r="AL5159">
        <v>79.630059428740694</v>
      </c>
      <c r="AM5159">
        <v>84.054635256993507</v>
      </c>
      <c r="AN5159">
        <v>0.999999980966924</v>
      </c>
    </row>
    <row r="5160" spans="1:40" x14ac:dyDescent="0.25">
      <c r="A5160" t="str">
        <f>"20190312172219787"</f>
        <v>20190312172219787</v>
      </c>
      <c r="B5160" t="str">
        <f>"1552382539775422"</f>
        <v>1552382539775422</v>
      </c>
      <c r="C5160" t="s">
        <v>40</v>
      </c>
      <c r="D5160">
        <v>3.1860919999999999</v>
      </c>
      <c r="E5160">
        <v>0.49388270000000001</v>
      </c>
      <c r="F5160" t="s">
        <v>41</v>
      </c>
      <c r="G5160">
        <v>-219.95670000000001</v>
      </c>
      <c r="H5160">
        <v>0.97250930000000002</v>
      </c>
      <c r="I5160">
        <v>141.58070000000001</v>
      </c>
      <c r="J5160">
        <v>-219.3229</v>
      </c>
      <c r="K5160">
        <v>1.1084959999999999</v>
      </c>
      <c r="L5160">
        <v>141.58609999999999</v>
      </c>
      <c r="M5160">
        <v>-0.9927028</v>
      </c>
      <c r="N5160">
        <v>0</v>
      </c>
      <c r="O5160">
        <v>-0.1204559</v>
      </c>
      <c r="P5160">
        <v>-0.98437300000000005</v>
      </c>
      <c r="Q5160">
        <v>0.17505229999999999</v>
      </c>
      <c r="R5160">
        <v>-1.9146860000000002E-2</v>
      </c>
      <c r="S5160">
        <v>-3.1346889999999998</v>
      </c>
      <c r="T5160">
        <v>-0.50325149999999996</v>
      </c>
      <c r="U5160">
        <v>-0.10855099999999999</v>
      </c>
      <c r="V5160">
        <v>0.1000837</v>
      </c>
      <c r="W5160">
        <v>0.18027000000000001</v>
      </c>
      <c r="X5160">
        <v>0.9785121</v>
      </c>
      <c r="Y5160">
        <v>8.3430169999999998E-2</v>
      </c>
      <c r="Z5160">
        <v>2.5817179999999999E-2</v>
      </c>
      <c r="AA5160">
        <v>0.99617920000000004</v>
      </c>
      <c r="AB5160">
        <v>21</v>
      </c>
      <c r="AC5160">
        <v>-0.63380000000000702</v>
      </c>
      <c r="AD5160">
        <v>-0.13598669999999899</v>
      </c>
      <c r="AE5160">
        <v>-5.3999999999802999E-3</v>
      </c>
      <c r="AF5160">
        <v>6.7861685538277303E-2</v>
      </c>
      <c r="AG5160">
        <v>-0.13598669999999899</v>
      </c>
      <c r="AH5160">
        <v>0.60211887829288002</v>
      </c>
      <c r="AI5160">
        <v>102.649079646076</v>
      </c>
      <c r="AJ5160">
        <v>83.569626220690097</v>
      </c>
      <c r="AK5160">
        <v>0.62100300686684495</v>
      </c>
      <c r="AL5160">
        <v>79.614512804227601</v>
      </c>
      <c r="AM5160">
        <v>84.160009403147598</v>
      </c>
      <c r="AN5160">
        <v>0.99999997487604897</v>
      </c>
    </row>
    <row r="5161" spans="1:40" x14ac:dyDescent="0.25">
      <c r="A5161" t="str">
        <f>"20190312172219807"</f>
        <v>20190312172219807</v>
      </c>
      <c r="B5161" t="str">
        <f>"1552382539795915"</f>
        <v>1552382539795915</v>
      </c>
      <c r="C5161" t="s">
        <v>40</v>
      </c>
      <c r="D5161">
        <v>3.1684809999999999</v>
      </c>
      <c r="E5161">
        <v>0.4939016</v>
      </c>
      <c r="F5161" t="s">
        <v>41</v>
      </c>
      <c r="G5161">
        <v>-220.15049999999999</v>
      </c>
      <c r="H5161">
        <v>0.9755374</v>
      </c>
      <c r="I5161">
        <v>141.5583</v>
      </c>
      <c r="J5161">
        <v>-219.52449999999999</v>
      </c>
      <c r="K5161">
        <v>1.1085069999999999</v>
      </c>
      <c r="L5161">
        <v>141.56379999999999</v>
      </c>
      <c r="M5161">
        <v>-0.99293330000000002</v>
      </c>
      <c r="N5161">
        <v>0</v>
      </c>
      <c r="O5161">
        <v>-0.1185432</v>
      </c>
      <c r="P5161">
        <v>-0.98423459999999996</v>
      </c>
      <c r="Q5161">
        <v>0.17579249999999999</v>
      </c>
      <c r="R5161">
        <v>-1.9479469999999999E-2</v>
      </c>
      <c r="S5161">
        <v>-3.1351170000000002</v>
      </c>
      <c r="T5161">
        <v>-0.50358970000000003</v>
      </c>
      <c r="U5161">
        <v>-0.1062012</v>
      </c>
      <c r="V5161">
        <v>9.7846559999999999E-2</v>
      </c>
      <c r="W5161">
        <v>0.18099270000000001</v>
      </c>
      <c r="X5161">
        <v>0.97860499999999995</v>
      </c>
      <c r="Y5161">
        <v>8.2296969999999997E-2</v>
      </c>
      <c r="Z5161">
        <v>2.5437749999999999E-2</v>
      </c>
      <c r="AA5161">
        <v>0.99628320000000004</v>
      </c>
      <c r="AB5161">
        <v>21</v>
      </c>
      <c r="AC5161">
        <v>-0.626000000000004</v>
      </c>
      <c r="AD5161">
        <v>-0.13296959999999899</v>
      </c>
      <c r="AE5161">
        <v>-5.4999999999836204E-3</v>
      </c>
      <c r="AF5161">
        <v>6.5780286303594102E-2</v>
      </c>
      <c r="AG5161">
        <v>-0.13296959999999899</v>
      </c>
      <c r="AH5161">
        <v>0.59537732400558596</v>
      </c>
      <c r="AI5161">
        <v>102.515904724891</v>
      </c>
      <c r="AJ5161">
        <v>83.695244572603798</v>
      </c>
      <c r="AK5161">
        <v>0.61358138704689802</v>
      </c>
      <c r="AL5161">
        <v>79.572413174271503</v>
      </c>
      <c r="AM5161">
        <v>84.290214947815201</v>
      </c>
      <c r="AN5161">
        <v>1.00000002639106</v>
      </c>
    </row>
    <row r="5162" spans="1:40" x14ac:dyDescent="0.25">
      <c r="A5162" t="str">
        <f>"20190312172219831"</f>
        <v>20190312172219831</v>
      </c>
      <c r="B5162" t="str">
        <f>"1552382539826171"</f>
        <v>1552382539826171</v>
      </c>
      <c r="C5162" t="s">
        <v>40</v>
      </c>
      <c r="D5162">
        <v>3.2185549999999998</v>
      </c>
      <c r="E5162">
        <v>0.4983379</v>
      </c>
      <c r="F5162" t="s">
        <v>41</v>
      </c>
      <c r="G5162">
        <v>-220.34460000000001</v>
      </c>
      <c r="H5162">
        <v>0.97726959999999996</v>
      </c>
      <c r="I5162">
        <v>141.536</v>
      </c>
      <c r="J5162">
        <v>-219.75299999999999</v>
      </c>
      <c r="K5162">
        <v>1.1085149999999999</v>
      </c>
      <c r="L5162">
        <v>141.53899999999999</v>
      </c>
      <c r="M5162">
        <v>-0.99318519999999999</v>
      </c>
      <c r="N5162">
        <v>0</v>
      </c>
      <c r="O5162">
        <v>-0.11641459999999999</v>
      </c>
      <c r="P5162">
        <v>-0.98398140000000001</v>
      </c>
      <c r="Q5162">
        <v>0.17722199999999999</v>
      </c>
      <c r="R5162">
        <v>-1.932557E-2</v>
      </c>
      <c r="S5162">
        <v>-3.1355900000000001</v>
      </c>
      <c r="T5162">
        <v>-0.501859099999999</v>
      </c>
      <c r="U5162">
        <v>-0.105957</v>
      </c>
      <c r="V5162">
        <v>9.5870360000000002E-2</v>
      </c>
      <c r="W5162">
        <v>0.18240219999999999</v>
      </c>
      <c r="X5162">
        <v>0.97853889999999999</v>
      </c>
      <c r="Y5162">
        <v>8.0313709999999996E-2</v>
      </c>
      <c r="Z5162">
        <v>2.4853710000000001E-2</v>
      </c>
      <c r="AA5162">
        <v>0.99645969999999995</v>
      </c>
      <c r="AB5162">
        <v>22</v>
      </c>
      <c r="AC5162">
        <v>-0.59160000000002799</v>
      </c>
      <c r="AD5162">
        <v>-0.13124539999999901</v>
      </c>
      <c r="AE5162">
        <v>-2.9999999999858998E-3</v>
      </c>
      <c r="AF5162">
        <v>6.2801536158429705E-2</v>
      </c>
      <c r="AG5162">
        <v>-0.13124539999999901</v>
      </c>
      <c r="AH5162">
        <v>0.56034888872014799</v>
      </c>
      <c r="AI5162">
        <v>103.103058147166</v>
      </c>
      <c r="AJ5162">
        <v>83.605216901134696</v>
      </c>
      <c r="AK5162">
        <v>0.57893027650566298</v>
      </c>
      <c r="AL5162">
        <v>79.4902878245138</v>
      </c>
      <c r="AM5162">
        <v>84.4044202841187</v>
      </c>
      <c r="AN5162">
        <v>1.0000000336522801</v>
      </c>
    </row>
    <row r="5163" spans="1:40" x14ac:dyDescent="0.25">
      <c r="A5163" t="str">
        <f>"20190312172219853"</f>
        <v>20190312172219853</v>
      </c>
      <c r="B5163" t="str">
        <f>"1552382539845691"</f>
        <v>1552382539845691</v>
      </c>
      <c r="C5163" t="s">
        <v>40</v>
      </c>
      <c r="D5163">
        <v>3.1718549999999999</v>
      </c>
      <c r="E5163">
        <v>0.49877779999999999</v>
      </c>
      <c r="F5163" t="s">
        <v>41</v>
      </c>
      <c r="G5163">
        <v>-220.57509999999999</v>
      </c>
      <c r="H5163">
        <v>1.0495139999999901</v>
      </c>
      <c r="I5163">
        <v>141.5204</v>
      </c>
      <c r="J5163">
        <v>-219.97229999999999</v>
      </c>
      <c r="K5163">
        <v>1.1085160000000001</v>
      </c>
      <c r="L5163">
        <v>141.51560000000001</v>
      </c>
      <c r="M5163">
        <v>-0.99341919999999995</v>
      </c>
      <c r="N5163">
        <v>0</v>
      </c>
      <c r="O5163">
        <v>-0.1144028</v>
      </c>
      <c r="P5163">
        <v>-0.98379179999999999</v>
      </c>
      <c r="Q5163">
        <v>0.1783322</v>
      </c>
      <c r="R5163">
        <v>-1.8757090000000001E-2</v>
      </c>
      <c r="S5163">
        <v>-3.0873569999999999</v>
      </c>
      <c r="T5163">
        <v>-0.2215239</v>
      </c>
      <c r="U5163">
        <v>-7.0083619999999999E-2</v>
      </c>
      <c r="V5163">
        <v>9.4431769999999998E-2</v>
      </c>
      <c r="W5163">
        <v>0.1834944</v>
      </c>
      <c r="X5163">
        <v>0.97847459999999997</v>
      </c>
      <c r="Y5163">
        <v>9.1302519999999998E-2</v>
      </c>
      <c r="Z5163">
        <v>1.1451940000000001E-2</v>
      </c>
      <c r="AA5163">
        <v>0.99575729999999996</v>
      </c>
      <c r="AB5163">
        <v>22</v>
      </c>
      <c r="AC5163">
        <v>-0.602800000000002</v>
      </c>
      <c r="AD5163">
        <v>-5.90020000000002E-2</v>
      </c>
      <c r="AE5163">
        <v>4.7999999999888097E-3</v>
      </c>
      <c r="AF5163">
        <v>7.3031900923679796E-2</v>
      </c>
      <c r="AG5163">
        <v>-5.90020000000002E-2</v>
      </c>
      <c r="AH5163">
        <v>0.59261584179669202</v>
      </c>
      <c r="AI5163">
        <v>95.6433300918941</v>
      </c>
      <c r="AJ5163">
        <v>82.974491897896399</v>
      </c>
      <c r="AK5163">
        <v>0.60000702537964401</v>
      </c>
      <c r="AL5163">
        <v>79.426635233797398</v>
      </c>
      <c r="AM5163">
        <v>84.487504159528001</v>
      </c>
      <c r="AN5163">
        <v>1.0000000484309199</v>
      </c>
    </row>
    <row r="5164" spans="1:40" x14ac:dyDescent="0.25">
      <c r="A5164" t="str">
        <f>"20190312172219876"</f>
        <v>20190312172219876</v>
      </c>
      <c r="B5164" t="str">
        <f>"1552382539866187"</f>
        <v>1552382539866187</v>
      </c>
      <c r="C5164" t="s">
        <v>40</v>
      </c>
      <c r="D5164">
        <v>3.1831670000000001</v>
      </c>
      <c r="E5164">
        <v>0.49911509999999998</v>
      </c>
      <c r="F5164" t="s">
        <v>41</v>
      </c>
      <c r="G5164">
        <v>-220.774</v>
      </c>
      <c r="H5164">
        <v>1.0535460000000001</v>
      </c>
      <c r="I5164">
        <v>141.49889999999999</v>
      </c>
      <c r="J5164">
        <v>-220.19390000000001</v>
      </c>
      <c r="K5164">
        <v>1.108519</v>
      </c>
      <c r="L5164">
        <v>141.4923</v>
      </c>
      <c r="M5164">
        <v>-0.99364870000000005</v>
      </c>
      <c r="N5164">
        <v>0</v>
      </c>
      <c r="O5164">
        <v>-0.1123913</v>
      </c>
      <c r="P5164">
        <v>-0.98377239999999999</v>
      </c>
      <c r="Q5164">
        <v>0.17853160000000001</v>
      </c>
      <c r="R5164">
        <v>-1.7849799999999999E-2</v>
      </c>
      <c r="S5164">
        <v>-3.0865480000000001</v>
      </c>
      <c r="T5164">
        <v>-0.21160109999999999</v>
      </c>
      <c r="U5164">
        <v>-6.4575199999999999E-2</v>
      </c>
      <c r="V5164">
        <v>9.3349760000000004E-2</v>
      </c>
      <c r="W5164">
        <v>0.1836778</v>
      </c>
      <c r="X5164">
        <v>0.97854399999999997</v>
      </c>
      <c r="Y5164">
        <v>9.1107690000000005E-2</v>
      </c>
      <c r="Z5164">
        <v>1.079982E-2</v>
      </c>
      <c r="AA5164">
        <v>0.99578250000000001</v>
      </c>
      <c r="AB5164">
        <v>22</v>
      </c>
      <c r="AC5164">
        <v>-0.58009999999998696</v>
      </c>
      <c r="AD5164">
        <v>-5.4973000000000098E-2</v>
      </c>
      <c r="AE5164">
        <v>6.5999999999917201E-3</v>
      </c>
      <c r="AF5164">
        <v>7.1118778615205103E-2</v>
      </c>
      <c r="AG5164">
        <v>-5.4973000000000098E-2</v>
      </c>
      <c r="AH5164">
        <v>0.57055943616750604</v>
      </c>
      <c r="AI5164">
        <v>95.461415261268598</v>
      </c>
      <c r="AJ5164">
        <v>82.894873394358001</v>
      </c>
      <c r="AK5164">
        <v>0.57759672921554905</v>
      </c>
      <c r="AL5164">
        <v>79.415945367804397</v>
      </c>
      <c r="AM5164">
        <v>84.550668694837498</v>
      </c>
      <c r="AN5164">
        <v>1.00000003592044</v>
      </c>
    </row>
    <row r="5165" spans="1:40" x14ac:dyDescent="0.25">
      <c r="A5165" t="str">
        <f>"20190312172219897"</f>
        <v>20190312172219897</v>
      </c>
      <c r="B5165" t="str">
        <f>"1552382539885707"</f>
        <v>1552382539885707</v>
      </c>
      <c r="C5165" t="s">
        <v>40</v>
      </c>
      <c r="D5165">
        <v>3.2130909999999999</v>
      </c>
      <c r="E5165">
        <v>0.49953140000000001</v>
      </c>
      <c r="F5165" t="s">
        <v>41</v>
      </c>
      <c r="G5165">
        <v>-220.97200000000001</v>
      </c>
      <c r="H5165">
        <v>1.055517</v>
      </c>
      <c r="I5165">
        <v>141.4778</v>
      </c>
      <c r="J5165">
        <v>-220.39879999999999</v>
      </c>
      <c r="K5165">
        <v>1.1085069999999999</v>
      </c>
      <c r="L5165">
        <v>141.47120000000001</v>
      </c>
      <c r="M5165">
        <v>-0.99385599999999996</v>
      </c>
      <c r="N5165">
        <v>0</v>
      </c>
      <c r="O5165">
        <v>-0.1105439</v>
      </c>
      <c r="P5165">
        <v>-0.98378180000000004</v>
      </c>
      <c r="Q5165">
        <v>0.178537</v>
      </c>
      <c r="R5165">
        <v>-1.7275229999999999E-2</v>
      </c>
      <c r="S5165">
        <v>-3.0865480000000001</v>
      </c>
      <c r="T5165">
        <v>-0.2101432</v>
      </c>
      <c r="U5165">
        <v>-5.8868410000000003E-2</v>
      </c>
      <c r="V5165">
        <v>9.2103770000000001E-2</v>
      </c>
      <c r="W5165">
        <v>0.18367030000000001</v>
      </c>
      <c r="X5165">
        <v>0.97866339999999996</v>
      </c>
      <c r="Y5165">
        <v>9.1107590000000002E-2</v>
      </c>
      <c r="Z5165">
        <v>1.0601009999999999E-2</v>
      </c>
      <c r="AA5165">
        <v>0.99578460000000002</v>
      </c>
      <c r="AB5165">
        <v>22</v>
      </c>
      <c r="AC5165">
        <v>-0.57320000000001403</v>
      </c>
      <c r="AD5165">
        <v>-5.2989999999999801E-2</v>
      </c>
      <c r="AE5165">
        <v>6.5999999999917201E-3</v>
      </c>
      <c r="AF5165">
        <v>6.9331823957067606E-2</v>
      </c>
      <c r="AG5165">
        <v>-5.2989999999999801E-2</v>
      </c>
      <c r="AH5165">
        <v>0.56413667584872595</v>
      </c>
      <c r="AI5165">
        <v>95.326272275202001</v>
      </c>
      <c r="AJ5165">
        <v>82.993541533104207</v>
      </c>
      <c r="AK5165">
        <v>0.57084589071908398</v>
      </c>
      <c r="AL5165">
        <v>79.416381785801406</v>
      </c>
      <c r="AM5165">
        <v>84.623626884281293</v>
      </c>
      <c r="AN5165">
        <v>0.99999996702492999</v>
      </c>
    </row>
    <row r="5166" spans="1:40" x14ac:dyDescent="0.25">
      <c r="A5166" t="str">
        <f>"20190312172219921"</f>
        <v>20190312172219921</v>
      </c>
      <c r="B5166" t="str">
        <f>"1552382539915963"</f>
        <v>1552382539915963</v>
      </c>
      <c r="C5166" t="s">
        <v>40</v>
      </c>
      <c r="D5166">
        <v>3.2485889999999999</v>
      </c>
      <c r="E5166">
        <v>0.49954490000000001</v>
      </c>
      <c r="F5166" t="s">
        <v>41</v>
      </c>
      <c r="G5166">
        <v>-221.1696</v>
      </c>
      <c r="H5166">
        <v>1.055831</v>
      </c>
      <c r="I5166">
        <v>141.4581</v>
      </c>
      <c r="J5166">
        <v>-220.63810000000001</v>
      </c>
      <c r="K5166">
        <v>1.108493</v>
      </c>
      <c r="L5166">
        <v>141.44710000000001</v>
      </c>
      <c r="M5166">
        <v>-0.994093</v>
      </c>
      <c r="N5166">
        <v>0</v>
      </c>
      <c r="O5166">
        <v>-0.1083939</v>
      </c>
      <c r="P5166">
        <v>-0.98372720000000002</v>
      </c>
      <c r="Q5166">
        <v>0.17892759999999999</v>
      </c>
      <c r="R5166">
        <v>-1.6306299999999999E-2</v>
      </c>
      <c r="S5166">
        <v>-3.0868229999999999</v>
      </c>
      <c r="T5166">
        <v>-0.21090030000000001</v>
      </c>
      <c r="U5166">
        <v>-5.3070069999999997E-2</v>
      </c>
      <c r="V5166">
        <v>9.0948089999999995E-2</v>
      </c>
      <c r="W5166">
        <v>0.18404709999999999</v>
      </c>
      <c r="X5166">
        <v>0.97870080000000004</v>
      </c>
      <c r="Y5166">
        <v>9.0827519999999995E-2</v>
      </c>
      <c r="Z5166">
        <v>1.0483009999999999E-2</v>
      </c>
      <c r="AA5166">
        <v>0.99581149999999996</v>
      </c>
      <c r="AB5166">
        <v>22</v>
      </c>
      <c r="AC5166">
        <v>-0.53149999999999398</v>
      </c>
      <c r="AD5166">
        <v>-5.2661999999999903E-2</v>
      </c>
      <c r="AE5166">
        <v>1.09999999999956E-2</v>
      </c>
      <c r="AF5166">
        <v>6.7881284974917605E-2</v>
      </c>
      <c r="AG5166">
        <v>-5.2661999999999903E-2</v>
      </c>
      <c r="AH5166">
        <v>0.52205305883763098</v>
      </c>
      <c r="AI5166">
        <v>95.712448924289802</v>
      </c>
      <c r="AJ5166">
        <v>82.591535097344803</v>
      </c>
      <c r="AK5166">
        <v>0.52907518495538297</v>
      </c>
      <c r="AL5166">
        <v>79.394419454014098</v>
      </c>
      <c r="AM5166">
        <v>84.690901177401898</v>
      </c>
      <c r="AN5166">
        <v>1.0000000730068399</v>
      </c>
    </row>
    <row r="5167" spans="1:40" x14ac:dyDescent="0.25">
      <c r="A5167" t="str">
        <f>"20190312172219943"</f>
        <v>20190312172219943</v>
      </c>
      <c r="B5167" t="str">
        <f>"1552382539935955"</f>
        <v>1552382539935955</v>
      </c>
      <c r="C5167" t="s">
        <v>40</v>
      </c>
      <c r="D5167">
        <v>3.2361309999999999</v>
      </c>
      <c r="E5167">
        <v>0.49947029999999998</v>
      </c>
      <c r="F5167" t="s">
        <v>41</v>
      </c>
      <c r="G5167">
        <v>-221.56100000000001</v>
      </c>
      <c r="H5167">
        <v>1.045145</v>
      </c>
      <c r="I5167">
        <v>141.4323</v>
      </c>
      <c r="J5167">
        <v>-220.86080000000001</v>
      </c>
      <c r="K5167">
        <v>1.108474</v>
      </c>
      <c r="L5167">
        <v>141.42500000000001</v>
      </c>
      <c r="M5167">
        <v>-0.99430890000000005</v>
      </c>
      <c r="N5167">
        <v>0</v>
      </c>
      <c r="O5167">
        <v>-0.1063939</v>
      </c>
      <c r="P5167">
        <v>-0.98367360000000004</v>
      </c>
      <c r="Q5167">
        <v>0.1793159</v>
      </c>
      <c r="R5167">
        <v>-1.5237860000000001E-2</v>
      </c>
      <c r="S5167">
        <v>-3.0873569999999999</v>
      </c>
      <c r="T5167">
        <v>-0.2119113</v>
      </c>
      <c r="U5167">
        <v>-4.9057009999999998E-2</v>
      </c>
      <c r="V5167">
        <v>9.0041259999999998E-2</v>
      </c>
      <c r="W5167">
        <v>0.1844239</v>
      </c>
      <c r="X5167">
        <v>0.97871359999999996</v>
      </c>
      <c r="Y5167">
        <v>9.0123239999999993E-2</v>
      </c>
      <c r="Z5167">
        <v>1.037098E-2</v>
      </c>
      <c r="AA5167">
        <v>0.9958766</v>
      </c>
      <c r="AB5167">
        <v>22</v>
      </c>
      <c r="AC5167">
        <v>-0.70019999999996596</v>
      </c>
      <c r="AD5167">
        <v>-6.3328999999999899E-2</v>
      </c>
      <c r="AE5167">
        <v>7.2999999999865299E-3</v>
      </c>
      <c r="AF5167">
        <v>8.1093412370472295E-2</v>
      </c>
      <c r="AG5167">
        <v>-6.3328999999999899E-2</v>
      </c>
      <c r="AH5167">
        <v>0.68980679315275895</v>
      </c>
      <c r="AI5167">
        <v>95.209764704316498</v>
      </c>
      <c r="AJ5167">
        <v>83.295105715541595</v>
      </c>
      <c r="AK5167">
        <v>0.697438252213471</v>
      </c>
      <c r="AL5167">
        <v>79.372453164988499</v>
      </c>
      <c r="AM5167">
        <v>84.743607767944894</v>
      </c>
      <c r="AN5167">
        <v>0.99999995710927703</v>
      </c>
    </row>
    <row r="5168" spans="1:40" x14ac:dyDescent="0.25">
      <c r="A5168" t="str">
        <f>"20190312172219965"</f>
        <v>20190312172219965</v>
      </c>
      <c r="B5168" t="str">
        <f>"1552382539955478"</f>
        <v>1552382539955478</v>
      </c>
      <c r="C5168" t="s">
        <v>40</v>
      </c>
      <c r="D5168">
        <v>3.2514820000000002</v>
      </c>
      <c r="E5168">
        <v>0.49935930000000001</v>
      </c>
      <c r="F5168" t="s">
        <v>41</v>
      </c>
      <c r="G5168">
        <v>-221.76179999999999</v>
      </c>
      <c r="H5168">
        <v>1.0463469999999999</v>
      </c>
      <c r="I5168">
        <v>141.4118</v>
      </c>
      <c r="J5168">
        <v>-221.0804</v>
      </c>
      <c r="K5168">
        <v>1.1084510000000001</v>
      </c>
      <c r="L5168">
        <v>141.40379999999999</v>
      </c>
      <c r="M5168">
        <v>-0.99451820000000002</v>
      </c>
      <c r="N5168">
        <v>0</v>
      </c>
      <c r="O5168">
        <v>-0.104420899999999</v>
      </c>
      <c r="P5168">
        <v>-0.98361330000000002</v>
      </c>
      <c r="Q5168">
        <v>0.17973919999999999</v>
      </c>
      <c r="R5168">
        <v>-1.409798E-2</v>
      </c>
      <c r="S5168">
        <v>-3.0879210000000001</v>
      </c>
      <c r="T5168">
        <v>-0.21292359999999999</v>
      </c>
      <c r="U5168">
        <v>-4.6081539999999997E-2</v>
      </c>
      <c r="V5168">
        <v>8.9232649999999997E-2</v>
      </c>
      <c r="W5168">
        <v>0.18483730000000001</v>
      </c>
      <c r="X5168">
        <v>0.97870970000000002</v>
      </c>
      <c r="Y5168">
        <v>8.9112339999999998E-2</v>
      </c>
      <c r="Z5168">
        <v>1.024862E-2</v>
      </c>
      <c r="AA5168">
        <v>0.99596890000000005</v>
      </c>
      <c r="AB5168">
        <v>22</v>
      </c>
      <c r="AC5168">
        <v>-0.68139999999999601</v>
      </c>
      <c r="AD5168">
        <v>-6.2104000000000097E-2</v>
      </c>
      <c r="AE5168">
        <v>8.0000000000097701E-3</v>
      </c>
      <c r="AF5168">
        <v>7.8458079162848096E-2</v>
      </c>
      <c r="AG5168">
        <v>-6.2104000000000097E-2</v>
      </c>
      <c r="AH5168">
        <v>0.67126412500849497</v>
      </c>
      <c r="AI5168">
        <v>95.250303189126399</v>
      </c>
      <c r="AJ5168">
        <v>83.333454965975093</v>
      </c>
      <c r="AK5168">
        <v>0.67868114938116797</v>
      </c>
      <c r="AL5168">
        <v>79.348353055416396</v>
      </c>
      <c r="AM5168">
        <v>84.790530939031299</v>
      </c>
      <c r="AN5168">
        <v>0.99999998508570098</v>
      </c>
    </row>
    <row r="5169" spans="1:40" x14ac:dyDescent="0.25">
      <c r="A5169" t="str">
        <f>"20190312172219988"</f>
        <v>20190312172219988</v>
      </c>
      <c r="B5169" t="str">
        <f>"1552382539985731"</f>
        <v>1552382539985731</v>
      </c>
      <c r="C5169" t="s">
        <v>40</v>
      </c>
      <c r="D5169">
        <v>3.2630970000000001</v>
      </c>
      <c r="E5169">
        <v>0.49942710000000001</v>
      </c>
      <c r="F5169" t="s">
        <v>41</v>
      </c>
      <c r="G5169">
        <v>-221.96350000000001</v>
      </c>
      <c r="H5169">
        <v>1.0473330000000001</v>
      </c>
      <c r="I5169">
        <v>141.3914</v>
      </c>
      <c r="J5169">
        <v>-221.31460000000001</v>
      </c>
      <c r="K5169">
        <v>1.1084290000000001</v>
      </c>
      <c r="L5169">
        <v>141.38159999999999</v>
      </c>
      <c r="M5169">
        <v>-0.99473690000000003</v>
      </c>
      <c r="N5169">
        <v>0</v>
      </c>
      <c r="O5169">
        <v>-0.10231759999999999</v>
      </c>
      <c r="P5169">
        <v>-0.98355389999999998</v>
      </c>
      <c r="Q5169">
        <v>0.1801442</v>
      </c>
      <c r="R5169">
        <v>-1.303784E-2</v>
      </c>
      <c r="S5169">
        <v>-3.0884399999999999</v>
      </c>
      <c r="T5169">
        <v>-0.21375520000000001</v>
      </c>
      <c r="U5169">
        <v>-4.3090820000000002E-2</v>
      </c>
      <c r="V5169">
        <v>8.8217619999999997E-2</v>
      </c>
      <c r="W5169">
        <v>0.18523419999999999</v>
      </c>
      <c r="X5169">
        <v>0.97872669999999995</v>
      </c>
      <c r="Y5169">
        <v>8.7977059999999996E-2</v>
      </c>
      <c r="Z5169">
        <v>1.0102989999999999E-2</v>
      </c>
      <c r="AA5169">
        <v>0.99607129999999999</v>
      </c>
      <c r="AB5169">
        <v>22</v>
      </c>
      <c r="AC5169">
        <v>-0.64889999999999703</v>
      </c>
      <c r="AD5169">
        <v>-6.1095999999999998E-2</v>
      </c>
      <c r="AE5169">
        <v>9.8000000000126805E-3</v>
      </c>
      <c r="AF5169">
        <v>7.5474523884717801E-2</v>
      </c>
      <c r="AG5169">
        <v>-6.1095999999999998E-2</v>
      </c>
      <c r="AH5169">
        <v>0.63882978245136601</v>
      </c>
      <c r="AI5169">
        <v>95.425495826184004</v>
      </c>
      <c r="AJ5169">
        <v>83.262026216192396</v>
      </c>
      <c r="AK5169">
        <v>0.64616763762856799</v>
      </c>
      <c r="AL5169">
        <v>79.325212987104806</v>
      </c>
      <c r="AM5169">
        <v>84.849557591819703</v>
      </c>
      <c r="AN5169">
        <v>1.00000000531049</v>
      </c>
    </row>
    <row r="5170" spans="1:40" x14ac:dyDescent="0.25">
      <c r="A5170" t="str">
        <f>"20190312172220009"</f>
        <v>20190312172220009</v>
      </c>
      <c r="B5170" t="str">
        <f>"1552382540006226"</f>
        <v>1552382540006226</v>
      </c>
      <c r="C5170" t="s">
        <v>40</v>
      </c>
      <c r="D5170">
        <v>3.2626400000000002</v>
      </c>
      <c r="E5170">
        <v>0.49935010000000002</v>
      </c>
      <c r="F5170" t="s">
        <v>41</v>
      </c>
      <c r="G5170">
        <v>-222.16679999999999</v>
      </c>
      <c r="H5170">
        <v>1.0491520000000001</v>
      </c>
      <c r="I5170">
        <v>141.37090000000001</v>
      </c>
      <c r="J5170">
        <v>-221.5241</v>
      </c>
      <c r="K5170">
        <v>1.1084160000000001</v>
      </c>
      <c r="L5170">
        <v>141.3621</v>
      </c>
      <c r="M5170">
        <v>-0.99492820000000004</v>
      </c>
      <c r="N5170">
        <v>0</v>
      </c>
      <c r="O5170">
        <v>-0.100439899999999</v>
      </c>
      <c r="P5170">
        <v>-0.98356900000000003</v>
      </c>
      <c r="Q5170">
        <v>0.18015410000000001</v>
      </c>
      <c r="R5170">
        <v>-1.168254E-2</v>
      </c>
      <c r="S5170">
        <v>-3.0890049999999998</v>
      </c>
      <c r="T5170">
        <v>-0.2148851</v>
      </c>
      <c r="U5170">
        <v>-3.9367680000000002E-2</v>
      </c>
      <c r="V5170">
        <v>8.7723449999999994E-2</v>
      </c>
      <c r="W5170">
        <v>0.18523790000000001</v>
      </c>
      <c r="X5170">
        <v>0.97877040000000004</v>
      </c>
      <c r="Y5170">
        <v>8.730135E-2</v>
      </c>
      <c r="Z5170">
        <v>1.000122E-2</v>
      </c>
      <c r="AA5170">
        <v>0.99613169999999995</v>
      </c>
      <c r="AB5170">
        <v>23</v>
      </c>
      <c r="AC5170">
        <v>-0.64269999999998995</v>
      </c>
      <c r="AD5170">
        <v>-5.92639999999999E-2</v>
      </c>
      <c r="AE5170">
        <v>8.8000000000079091E-3</v>
      </c>
      <c r="AF5170">
        <v>7.2691212892996293E-2</v>
      </c>
      <c r="AG5170">
        <v>-5.92639999999999E-2</v>
      </c>
      <c r="AH5170">
        <v>0.63318310509370301</v>
      </c>
      <c r="AI5170">
        <v>95.312439575370703</v>
      </c>
      <c r="AJ5170">
        <v>83.450953358327197</v>
      </c>
      <c r="AK5170">
        <v>0.64009146120219296</v>
      </c>
      <c r="AL5170">
        <v>79.324997089630997</v>
      </c>
      <c r="AM5170">
        <v>84.878482483183703</v>
      </c>
      <c r="AN5170">
        <v>0.99999998959623604</v>
      </c>
    </row>
    <row r="5171" spans="1:40" x14ac:dyDescent="0.25">
      <c r="A5171" t="str">
        <f>"20190312172220031"</f>
        <v>20190312172220031</v>
      </c>
      <c r="B5171" t="str">
        <f>"1552382540025747"</f>
        <v>1552382540025747</v>
      </c>
      <c r="C5171" t="s">
        <v>40</v>
      </c>
      <c r="D5171">
        <v>3.2746689999999998</v>
      </c>
      <c r="E5171">
        <v>0.49934010000000001</v>
      </c>
      <c r="F5171" t="s">
        <v>41</v>
      </c>
      <c r="G5171">
        <v>-222.37020000000001</v>
      </c>
      <c r="H5171">
        <v>1.049256</v>
      </c>
      <c r="I5171">
        <v>141.35239999999999</v>
      </c>
      <c r="J5171">
        <v>-221.74979999999999</v>
      </c>
      <c r="K5171">
        <v>1.1084020000000001</v>
      </c>
      <c r="L5171">
        <v>141.3416</v>
      </c>
      <c r="M5171">
        <v>-0.99512900000000004</v>
      </c>
      <c r="N5171">
        <v>0</v>
      </c>
      <c r="O5171">
        <v>-9.8431420000000006E-2</v>
      </c>
      <c r="P5171">
        <v>-0.98361010000000004</v>
      </c>
      <c r="Q5171">
        <v>0.1799953</v>
      </c>
      <c r="R5171">
        <v>-1.064621E-2</v>
      </c>
      <c r="S5171">
        <v>-3.0892330000000001</v>
      </c>
      <c r="T5171">
        <v>-0.21599670000000001</v>
      </c>
      <c r="U5171">
        <v>-3.5720830000000002E-2</v>
      </c>
      <c r="V5171">
        <v>8.6783600000000002E-2</v>
      </c>
      <c r="W5171">
        <v>0.18507580000000001</v>
      </c>
      <c r="X5171">
        <v>0.97888489999999995</v>
      </c>
      <c r="Y5171">
        <v>8.6469580000000004E-2</v>
      </c>
      <c r="Z5171">
        <v>9.8835299999999997E-3</v>
      </c>
      <c r="AA5171">
        <v>0.99620540000000002</v>
      </c>
      <c r="AB5171">
        <v>23</v>
      </c>
      <c r="AC5171">
        <v>-0.62040000000001705</v>
      </c>
      <c r="AD5171">
        <v>-5.9146000000000101E-2</v>
      </c>
      <c r="AE5171">
        <v>1.0799999999989001E-2</v>
      </c>
      <c r="AF5171">
        <v>7.1168663756690995E-2</v>
      </c>
      <c r="AG5171">
        <v>-5.9146000000000101E-2</v>
      </c>
      <c r="AH5171">
        <v>0.61077453805847604</v>
      </c>
      <c r="AI5171">
        <v>95.494201969696107</v>
      </c>
      <c r="AJ5171">
        <v>83.3537532196912</v>
      </c>
      <c r="AK5171">
        <v>0.61774490233223101</v>
      </c>
      <c r="AL5171">
        <v>79.334448765043405</v>
      </c>
      <c r="AM5171">
        <v>84.933655731921604</v>
      </c>
      <c r="AN5171">
        <v>1.0000000462112999</v>
      </c>
    </row>
    <row r="5172" spans="1:40" x14ac:dyDescent="0.25">
      <c r="A5172" t="str">
        <f>"20190312172220055"</f>
        <v>20190312172220055</v>
      </c>
      <c r="B5172" t="str">
        <f>"1552382540046259"</f>
        <v>1552382540046259</v>
      </c>
      <c r="C5172" t="s">
        <v>40</v>
      </c>
      <c r="D5172">
        <v>3.2801740000000001</v>
      </c>
      <c r="E5172">
        <v>0.49924970000000002</v>
      </c>
      <c r="F5172" t="s">
        <v>41</v>
      </c>
      <c r="G5172">
        <v>-222.5753</v>
      </c>
      <c r="H5172">
        <v>1.0502069999999999</v>
      </c>
      <c r="I5172">
        <v>141.333</v>
      </c>
      <c r="J5172">
        <v>-221.99420000000001</v>
      </c>
      <c r="K5172">
        <v>1.1084000000000001</v>
      </c>
      <c r="L5172">
        <v>141.31979999999999</v>
      </c>
      <c r="M5172">
        <v>-0.99533890000000003</v>
      </c>
      <c r="N5172">
        <v>0</v>
      </c>
      <c r="O5172">
        <v>-9.6286010000000005E-2</v>
      </c>
      <c r="P5172">
        <v>-0.98375440000000003</v>
      </c>
      <c r="Q5172">
        <v>0.17927109999999999</v>
      </c>
      <c r="R5172">
        <v>-9.4666079999999996E-3</v>
      </c>
      <c r="S5172">
        <v>-3.0894780000000002</v>
      </c>
      <c r="T5172">
        <v>-0.21778020000000001</v>
      </c>
      <c r="U5172">
        <v>-3.2897950000000002E-2</v>
      </c>
      <c r="V5172">
        <v>8.5855780000000007E-2</v>
      </c>
      <c r="W5172">
        <v>0.18435219999999999</v>
      </c>
      <c r="X5172">
        <v>0.97910319999999995</v>
      </c>
      <c r="Y5172">
        <v>8.5233959999999998E-2</v>
      </c>
      <c r="Z5172">
        <v>9.7703240000000004E-3</v>
      </c>
      <c r="AA5172">
        <v>0.996313</v>
      </c>
      <c r="AB5172">
        <v>23</v>
      </c>
      <c r="AC5172">
        <v>-0.58109999999999196</v>
      </c>
      <c r="AD5172">
        <v>-5.8193000000000099E-2</v>
      </c>
      <c r="AE5172">
        <v>1.32000000000118E-2</v>
      </c>
      <c r="AF5172">
        <v>6.8405634198493007E-2</v>
      </c>
      <c r="AG5172">
        <v>-5.8193000000000099E-2</v>
      </c>
      <c r="AH5172">
        <v>0.57140157094218502</v>
      </c>
      <c r="AI5172">
        <v>95.774151484308206</v>
      </c>
      <c r="AJ5172">
        <v>83.173295447382699</v>
      </c>
      <c r="AK5172">
        <v>0.57841638230110204</v>
      </c>
      <c r="AL5172">
        <v>79.376633535488693</v>
      </c>
      <c r="AM5172">
        <v>84.988655442438301</v>
      </c>
      <c r="AN5172">
        <v>1.0000000124272399</v>
      </c>
    </row>
    <row r="5173" spans="1:40" x14ac:dyDescent="0.25">
      <c r="A5173" t="str">
        <f>"20190312172220076"</f>
        <v>20190312172220076</v>
      </c>
      <c r="B5173" t="str">
        <f>"1552382540065762"</f>
        <v>1552382540065762</v>
      </c>
      <c r="C5173" t="s">
        <v>40</v>
      </c>
      <c r="D5173">
        <v>3.2674129999999999</v>
      </c>
      <c r="E5173">
        <v>0.49916450000000001</v>
      </c>
      <c r="F5173" t="s">
        <v>41</v>
      </c>
      <c r="G5173">
        <v>-222.7818</v>
      </c>
      <c r="H5173">
        <v>1.051995</v>
      </c>
      <c r="I5173">
        <v>141.31209999999999</v>
      </c>
      <c r="J5173">
        <v>-222.21770000000001</v>
      </c>
      <c r="K5173">
        <v>1.108412</v>
      </c>
      <c r="L5173">
        <v>141.30029999999999</v>
      </c>
      <c r="M5173">
        <v>-0.99552280000000004</v>
      </c>
      <c r="N5173">
        <v>0</v>
      </c>
      <c r="O5173">
        <v>-9.4366549999999993E-2</v>
      </c>
      <c r="P5173">
        <v>-0.98377119999999996</v>
      </c>
      <c r="Q5173">
        <v>0.17920520000000001</v>
      </c>
      <c r="R5173">
        <v>-8.9639339999999998E-3</v>
      </c>
      <c r="S5173">
        <v>-3.0895540000000001</v>
      </c>
      <c r="T5173">
        <v>-0.2211999</v>
      </c>
      <c r="U5173">
        <v>-3.0853269999999999E-2</v>
      </c>
      <c r="V5173">
        <v>8.4461229999999998E-2</v>
      </c>
      <c r="W5173">
        <v>0.18429129999999999</v>
      </c>
      <c r="X5173">
        <v>0.97923590000000005</v>
      </c>
      <c r="Y5173">
        <v>8.3966180000000001E-2</v>
      </c>
      <c r="Z5173">
        <v>9.7411310000000001E-3</v>
      </c>
      <c r="AA5173">
        <v>0.996421</v>
      </c>
      <c r="AB5173">
        <v>23</v>
      </c>
      <c r="AC5173">
        <v>-0.56409999999999605</v>
      </c>
      <c r="AD5173">
        <v>-5.6417000000000099E-2</v>
      </c>
      <c r="AE5173">
        <v>1.17999999999938E-2</v>
      </c>
      <c r="AF5173">
        <v>6.4337043503672905E-2</v>
      </c>
      <c r="AG5173">
        <v>-5.6417000000000099E-2</v>
      </c>
      <c r="AH5173">
        <v>0.55492094064333697</v>
      </c>
      <c r="AI5173">
        <v>95.766763059064402</v>
      </c>
      <c r="AJ5173">
        <v>83.386704185761303</v>
      </c>
      <c r="AK5173">
        <v>0.56147963758294905</v>
      </c>
      <c r="AL5173">
        <v>79.380183169731893</v>
      </c>
      <c r="AM5173">
        <v>85.070314715787504</v>
      </c>
      <c r="AN5173">
        <v>0.99999996523880597</v>
      </c>
    </row>
    <row r="5174" spans="1:40" x14ac:dyDescent="0.25">
      <c r="A5174" t="str">
        <f>"20190312172220090"</f>
        <v>20190312172220090</v>
      </c>
      <c r="B5174" t="str">
        <f>"1552382540085283"</f>
        <v>1552382540085283</v>
      </c>
      <c r="C5174" t="s">
        <v>40</v>
      </c>
      <c r="D5174">
        <v>3.2826369999999998</v>
      </c>
      <c r="E5174">
        <v>0.49912040000000002</v>
      </c>
      <c r="F5174" t="s">
        <v>41</v>
      </c>
      <c r="G5174">
        <v>-222.9889</v>
      </c>
      <c r="H5174">
        <v>1.0528759999999999</v>
      </c>
      <c r="I5174">
        <v>141.29300000000001</v>
      </c>
      <c r="J5174">
        <v>-222.3475</v>
      </c>
      <c r="K5174">
        <v>1.1084270000000001</v>
      </c>
      <c r="L5174">
        <v>141.28919999999999</v>
      </c>
      <c r="M5174">
        <v>-0.99562479999999998</v>
      </c>
      <c r="N5174">
        <v>0</v>
      </c>
      <c r="O5174">
        <v>-9.3282030000000002E-2</v>
      </c>
      <c r="P5174">
        <v>-0.98372230000000005</v>
      </c>
      <c r="Q5174">
        <v>0.17948989999999901</v>
      </c>
      <c r="R5174">
        <v>-8.6176589999999997E-3</v>
      </c>
      <c r="S5174">
        <v>-3.0897519999999998</v>
      </c>
      <c r="T5174">
        <v>-0.2224981</v>
      </c>
      <c r="U5174">
        <v>-3.02124E-2</v>
      </c>
      <c r="V5174">
        <v>8.3727819999999994E-2</v>
      </c>
      <c r="W5174">
        <v>0.18457950000000001</v>
      </c>
      <c r="X5174">
        <v>0.97924460000000002</v>
      </c>
      <c r="Y5174">
        <v>8.3087759999999997E-2</v>
      </c>
      <c r="Z5174">
        <v>9.6882470000000005E-3</v>
      </c>
      <c r="AA5174">
        <v>0.99649509999999997</v>
      </c>
      <c r="AB5174">
        <v>23</v>
      </c>
      <c r="AC5174">
        <v>-0.64140000000000397</v>
      </c>
      <c r="AD5174">
        <v>-5.55510000000001E-2</v>
      </c>
      <c r="AE5174">
        <v>3.8000000000124601E-3</v>
      </c>
      <c r="AF5174">
        <v>6.3141796348255105E-2</v>
      </c>
      <c r="AG5174">
        <v>-5.55510000000001E-2</v>
      </c>
      <c r="AH5174">
        <v>0.63349699230735901</v>
      </c>
      <c r="AI5174">
        <v>94.986832345668702</v>
      </c>
      <c r="AJ5174">
        <v>84.308024788878996</v>
      </c>
      <c r="AK5174">
        <v>0.63905495797275103</v>
      </c>
      <c r="AL5174">
        <v>79.363382277905302</v>
      </c>
      <c r="AM5174">
        <v>85.112956095425702</v>
      </c>
      <c r="AN5174">
        <v>0.99999996314567996</v>
      </c>
    </row>
    <row r="5175" spans="1:40" x14ac:dyDescent="0.25">
      <c r="A5175" t="str">
        <f>"20190312172220110"</f>
        <v>20190312172220110</v>
      </c>
      <c r="B5175" t="str">
        <f>"1552382540105779"</f>
        <v>1552382540105779</v>
      </c>
      <c r="C5175" t="s">
        <v>40</v>
      </c>
      <c r="D5175">
        <v>3.257682</v>
      </c>
      <c r="E5175">
        <v>0.49908940000000002</v>
      </c>
      <c r="F5175" t="s">
        <v>41</v>
      </c>
      <c r="G5175">
        <v>-223.19239999999999</v>
      </c>
      <c r="H5175">
        <v>1.0472079999999999</v>
      </c>
      <c r="I5175">
        <v>141.28120000000001</v>
      </c>
      <c r="J5175">
        <v>-222.566</v>
      </c>
      <c r="K5175">
        <v>1.1084579999999999</v>
      </c>
      <c r="L5175">
        <v>141.27070000000001</v>
      </c>
      <c r="M5175">
        <v>-0.99579010000000001</v>
      </c>
      <c r="N5175">
        <v>0</v>
      </c>
      <c r="O5175">
        <v>-9.1501609999999997E-2</v>
      </c>
      <c r="P5175">
        <v>-0.98351650000000002</v>
      </c>
      <c r="Q5175">
        <v>0.18064540000000001</v>
      </c>
      <c r="R5175">
        <v>-7.9236769999999901E-3</v>
      </c>
      <c r="S5175">
        <v>-3.0902560000000001</v>
      </c>
      <c r="T5175">
        <v>-0.22397329999999999</v>
      </c>
      <c r="U5175">
        <v>-2.9266360000000002E-2</v>
      </c>
      <c r="V5175">
        <v>8.2635860000000005E-2</v>
      </c>
      <c r="W5175">
        <v>0.18574209999999999</v>
      </c>
      <c r="X5175">
        <v>0.97911760000000003</v>
      </c>
      <c r="Y5175">
        <v>8.1615049999999995E-2</v>
      </c>
      <c r="Z5175">
        <v>9.5690429999999993E-3</v>
      </c>
      <c r="AA5175">
        <v>0.996618</v>
      </c>
      <c r="AB5175">
        <v>23</v>
      </c>
      <c r="AC5175">
        <v>-0.62640000000001705</v>
      </c>
      <c r="AD5175">
        <v>-6.1249999999999999E-2</v>
      </c>
      <c r="AE5175">
        <v>1.05000000000075E-2</v>
      </c>
      <c r="AF5175">
        <v>6.7131731186718002E-2</v>
      </c>
      <c r="AG5175">
        <v>-6.1249999999999999E-2</v>
      </c>
      <c r="AH5175">
        <v>0.61691461160221595</v>
      </c>
      <c r="AI5175">
        <v>95.636935250375899</v>
      </c>
      <c r="AJ5175">
        <v>83.789594934735504</v>
      </c>
      <c r="AK5175">
        <v>0.62357186421489397</v>
      </c>
      <c r="AL5175">
        <v>79.2955989637382</v>
      </c>
      <c r="AM5175">
        <v>85.175766445893601</v>
      </c>
      <c r="AN5175">
        <v>1.00000004385005</v>
      </c>
    </row>
    <row r="5176" spans="1:40" x14ac:dyDescent="0.25">
      <c r="A5176" t="str">
        <f>"20190312172220133"</f>
        <v>20190312172220133</v>
      </c>
      <c r="B5176" t="str">
        <f>"1552382540126276"</f>
        <v>1552382540126276</v>
      </c>
      <c r="C5176" t="s">
        <v>40</v>
      </c>
      <c r="D5176">
        <v>3.2841429999999998</v>
      </c>
      <c r="E5176">
        <v>0.49825920000000001</v>
      </c>
      <c r="F5176" t="s">
        <v>41</v>
      </c>
      <c r="G5176">
        <v>-223.40119999999999</v>
      </c>
      <c r="H5176">
        <v>1.0482959999999999</v>
      </c>
      <c r="I5176">
        <v>141.26349999999999</v>
      </c>
      <c r="J5176">
        <v>-222.80459999999999</v>
      </c>
      <c r="K5176">
        <v>1.1085039999999999</v>
      </c>
      <c r="L5176">
        <v>141.2509</v>
      </c>
      <c r="M5176">
        <v>-0.99595979999999995</v>
      </c>
      <c r="N5176">
        <v>0</v>
      </c>
      <c r="O5176">
        <v>-8.9636950000000007E-2</v>
      </c>
      <c r="P5176">
        <v>-0.98347390000000001</v>
      </c>
      <c r="Q5176">
        <v>0.18094569999999999</v>
      </c>
      <c r="R5176">
        <v>-6.1953969999999896E-3</v>
      </c>
      <c r="S5176">
        <v>-3.0909420000000001</v>
      </c>
      <c r="T5176">
        <v>-0.22264390000000001</v>
      </c>
      <c r="U5176">
        <v>-2.716064E-2</v>
      </c>
      <c r="V5176">
        <v>8.2499710000000004E-2</v>
      </c>
      <c r="W5176">
        <v>0.1860504</v>
      </c>
      <c r="X5176">
        <v>0.97907049999999995</v>
      </c>
      <c r="Y5176">
        <v>8.0443280000000006E-2</v>
      </c>
      <c r="Z5176">
        <v>9.3345230000000008E-3</v>
      </c>
      <c r="AA5176">
        <v>0.99671549999999998</v>
      </c>
      <c r="AB5176">
        <v>23</v>
      </c>
      <c r="AC5176">
        <v>-0.59659999999999502</v>
      </c>
      <c r="AD5176">
        <v>-6.0208000000000199E-2</v>
      </c>
      <c r="AE5176">
        <v>1.2599999999991901E-2</v>
      </c>
      <c r="AF5176">
        <v>6.5362078304822893E-2</v>
      </c>
      <c r="AG5176">
        <v>-6.0208000000000199E-2</v>
      </c>
      <c r="AH5176">
        <v>0.587092272240057</v>
      </c>
      <c r="AI5176">
        <v>95.819670308295201</v>
      </c>
      <c r="AJ5176">
        <v>83.647314469633102</v>
      </c>
      <c r="AK5176">
        <v>0.59377987560064605</v>
      </c>
      <c r="AL5176">
        <v>79.277620824515395</v>
      </c>
      <c r="AM5176">
        <v>85.183446774925798</v>
      </c>
      <c r="AN5176">
        <v>0.99999999873024703</v>
      </c>
    </row>
    <row r="5177" spans="1:40" x14ac:dyDescent="0.25">
      <c r="A5177" t="str">
        <f>"20190312172220156"</f>
        <v>20190312172220156</v>
      </c>
      <c r="B5177" t="str">
        <f>"1552382540145326"</f>
        <v>1552382540145326</v>
      </c>
      <c r="C5177" t="s">
        <v>40</v>
      </c>
      <c r="D5177">
        <v>3.2809620000000002</v>
      </c>
      <c r="E5177">
        <v>0.49850630000000001</v>
      </c>
      <c r="F5177" t="s">
        <v>41</v>
      </c>
      <c r="G5177">
        <v>-223.6079</v>
      </c>
      <c r="H5177">
        <v>1.043453</v>
      </c>
      <c r="I5177">
        <v>141.24379999999999</v>
      </c>
      <c r="J5177">
        <v>-223.0471</v>
      </c>
      <c r="K5177">
        <v>1.1085529999999999</v>
      </c>
      <c r="L5177">
        <v>141.2311</v>
      </c>
      <c r="M5177">
        <v>-0.99612109999999998</v>
      </c>
      <c r="N5177">
        <v>0</v>
      </c>
      <c r="O5177">
        <v>-8.782595E-2</v>
      </c>
      <c r="P5177">
        <v>-0.98331400000000002</v>
      </c>
      <c r="Q5177">
        <v>0.18184020000000001</v>
      </c>
      <c r="R5177">
        <v>-5.3263059999999899E-3</v>
      </c>
      <c r="S5177">
        <v>-3.0963750000000001</v>
      </c>
      <c r="T5177">
        <v>-0.2507529</v>
      </c>
      <c r="U5177">
        <v>-2.818298E-2</v>
      </c>
      <c r="V5177">
        <v>8.1550839999999999E-2</v>
      </c>
      <c r="W5177">
        <v>0.18695590000000001</v>
      </c>
      <c r="X5177">
        <v>0.97897749999999994</v>
      </c>
      <c r="Y5177">
        <v>7.8214370000000005E-2</v>
      </c>
      <c r="Z5177">
        <v>1.0254900000000001E-2</v>
      </c>
      <c r="AA5177">
        <v>0.99688379999999999</v>
      </c>
      <c r="AB5177">
        <v>23</v>
      </c>
      <c r="AC5177">
        <v>-0.56079999999999997</v>
      </c>
      <c r="AD5177">
        <v>-6.5100000000000102E-2</v>
      </c>
      <c r="AE5177">
        <v>1.26999999999952E-2</v>
      </c>
      <c r="AF5177">
        <v>6.1081752110827899E-2</v>
      </c>
      <c r="AG5177">
        <v>-6.5100000000000102E-2</v>
      </c>
      <c r="AH5177">
        <v>0.55010830375304598</v>
      </c>
      <c r="AI5177">
        <v>96.708166520166102</v>
      </c>
      <c r="AJ5177">
        <v>83.664066919019007</v>
      </c>
      <c r="AK5177">
        <v>0.55730434799935102</v>
      </c>
      <c r="AL5177">
        <v>79.224812924901599</v>
      </c>
      <c r="AM5177">
        <v>85.238137928473506</v>
      </c>
      <c r="AN5177">
        <v>0.99999999677788198</v>
      </c>
    </row>
    <row r="5178" spans="1:40" x14ac:dyDescent="0.25">
      <c r="A5178" t="str">
        <f>"20190312172220177"</f>
        <v>20190312172220177</v>
      </c>
      <c r="B5178" t="str">
        <f>"1552382540165831"</f>
        <v>1552382540165831</v>
      </c>
      <c r="C5178" t="s">
        <v>40</v>
      </c>
      <c r="D5178">
        <v>3.2964060000000002</v>
      </c>
      <c r="E5178">
        <v>0.49841350000000001</v>
      </c>
      <c r="F5178" t="s">
        <v>41</v>
      </c>
      <c r="G5178">
        <v>-223.8192</v>
      </c>
      <c r="H5178">
        <v>1.0460199999999999</v>
      </c>
      <c r="I5178">
        <v>141.22540000000001</v>
      </c>
      <c r="J5178">
        <v>-223.2664</v>
      </c>
      <c r="K5178">
        <v>1.108592</v>
      </c>
      <c r="L5178">
        <v>141.21350000000001</v>
      </c>
      <c r="M5178">
        <v>-0.99625699999999995</v>
      </c>
      <c r="N5178">
        <v>0</v>
      </c>
      <c r="O5178">
        <v>-8.6268629999999999E-2</v>
      </c>
      <c r="P5178">
        <v>-0.98316930000000002</v>
      </c>
      <c r="Q5178">
        <v>0.18264169999999999</v>
      </c>
      <c r="R5178">
        <v>-4.4787859999999898E-3</v>
      </c>
      <c r="S5178">
        <v>-3.0971679999999999</v>
      </c>
      <c r="T5178">
        <v>-0.2508724</v>
      </c>
      <c r="U5178">
        <v>-2.31781E-2</v>
      </c>
      <c r="V5178">
        <v>8.0833580000000002E-2</v>
      </c>
      <c r="W5178">
        <v>0.1877672</v>
      </c>
      <c r="X5178">
        <v>0.97888169999999997</v>
      </c>
      <c r="Y5178">
        <v>7.8273700000000002E-2</v>
      </c>
      <c r="Z5178">
        <v>1.013418E-2</v>
      </c>
      <c r="AA5178">
        <v>0.9968804</v>
      </c>
      <c r="AB5178">
        <v>23</v>
      </c>
      <c r="AC5178">
        <v>-0.55279999999998997</v>
      </c>
      <c r="AD5178">
        <v>-6.2571999999999794E-2</v>
      </c>
      <c r="AE5178">
        <v>1.18999999999971E-2</v>
      </c>
      <c r="AF5178">
        <v>5.8792725851807601E-2</v>
      </c>
      <c r="AG5178">
        <v>-6.2571999999999794E-2</v>
      </c>
      <c r="AH5178">
        <v>0.54276168489350296</v>
      </c>
      <c r="AI5178">
        <v>96.5383696245122</v>
      </c>
      <c r="AJ5178">
        <v>83.817743517538801</v>
      </c>
      <c r="AK5178">
        <v>0.54951077003596505</v>
      </c>
      <c r="AL5178">
        <v>79.177490711405397</v>
      </c>
      <c r="AM5178">
        <v>85.279369760018199</v>
      </c>
      <c r="AN5178">
        <v>0.99999998582317295</v>
      </c>
    </row>
    <row r="5179" spans="1:40" x14ac:dyDescent="0.25">
      <c r="A5179" t="str">
        <f>"20190312172220199"</f>
        <v>20190312172220199</v>
      </c>
      <c r="B5179" t="str">
        <f>"1552382540196078"</f>
        <v>1552382540196078</v>
      </c>
      <c r="C5179" t="s">
        <v>40</v>
      </c>
      <c r="D5179">
        <v>3.2887789999999999</v>
      </c>
      <c r="E5179">
        <v>0.49773210000000001</v>
      </c>
      <c r="F5179" t="s">
        <v>41</v>
      </c>
      <c r="G5179">
        <v>-224.03100000000001</v>
      </c>
      <c r="H5179">
        <v>1.047282</v>
      </c>
      <c r="I5179">
        <v>141.20830000000001</v>
      </c>
      <c r="J5179">
        <v>-223.50069999999999</v>
      </c>
      <c r="K5179">
        <v>1.1086279999999999</v>
      </c>
      <c r="L5179">
        <v>141.19499999999999</v>
      </c>
      <c r="M5179">
        <v>-0.99639279999999997</v>
      </c>
      <c r="N5179">
        <v>0</v>
      </c>
      <c r="O5179">
        <v>-8.4688299999999994E-2</v>
      </c>
      <c r="P5179">
        <v>-0.98319029999999996</v>
      </c>
      <c r="Q5179">
        <v>0.1825532</v>
      </c>
      <c r="R5179">
        <v>-3.3961120000000002E-3</v>
      </c>
      <c r="S5179">
        <v>-3.097397</v>
      </c>
      <c r="T5179">
        <v>-0.24837429999999999</v>
      </c>
      <c r="U5179">
        <v>-2.1163939999999999E-2</v>
      </c>
      <c r="V5179">
        <v>8.0339869999999994E-2</v>
      </c>
      <c r="W5179">
        <v>0.18769040000000001</v>
      </c>
      <c r="X5179">
        <v>0.9789371</v>
      </c>
      <c r="Y5179">
        <v>7.7359880000000006E-2</v>
      </c>
      <c r="Z5179">
        <v>9.8701959999999995E-3</v>
      </c>
      <c r="AA5179">
        <v>0.99695440000000002</v>
      </c>
      <c r="AB5179">
        <v>24</v>
      </c>
      <c r="AC5179">
        <v>-0.53029999999998201</v>
      </c>
      <c r="AD5179">
        <v>-6.1346000000000102E-2</v>
      </c>
      <c r="AE5179">
        <v>1.33000000000151E-2</v>
      </c>
      <c r="AF5179">
        <v>5.7395483177171601E-2</v>
      </c>
      <c r="AG5179">
        <v>-6.1346000000000102E-2</v>
      </c>
      <c r="AH5179">
        <v>0.52030992451157598</v>
      </c>
      <c r="AI5179">
        <v>96.684115408858602</v>
      </c>
      <c r="AJ5179">
        <v>83.705142378146505</v>
      </c>
      <c r="AK5179">
        <v>0.52704837610069799</v>
      </c>
      <c r="AL5179">
        <v>79.181970978579301</v>
      </c>
      <c r="AM5179">
        <v>85.308337335788096</v>
      </c>
      <c r="AN5179">
        <v>1.0000000133600899</v>
      </c>
    </row>
    <row r="5180" spans="1:40" x14ac:dyDescent="0.25">
      <c r="A5180" t="str">
        <f>"20190312172220221"</f>
        <v>20190312172220221</v>
      </c>
      <c r="B5180" t="str">
        <f>"1552382540215599"</f>
        <v>1552382540215599</v>
      </c>
      <c r="C5180" t="s">
        <v>40</v>
      </c>
      <c r="D5180">
        <v>3.2859989999999999</v>
      </c>
      <c r="E5180">
        <v>0.49745549999999999</v>
      </c>
      <c r="F5180" t="s">
        <v>41</v>
      </c>
      <c r="G5180">
        <v>-224.24449999999999</v>
      </c>
      <c r="H5180">
        <v>1.0498000000000001</v>
      </c>
      <c r="I5180">
        <v>141.18960000000001</v>
      </c>
      <c r="J5180">
        <v>-223.73570000000001</v>
      </c>
      <c r="K5180">
        <v>1.108662</v>
      </c>
      <c r="L5180">
        <v>141.17679999999999</v>
      </c>
      <c r="M5180">
        <v>-0.9965193</v>
      </c>
      <c r="N5180">
        <v>0</v>
      </c>
      <c r="O5180">
        <v>-8.3186049999999997E-2</v>
      </c>
      <c r="P5180">
        <v>-0.98332459999999999</v>
      </c>
      <c r="Q5180">
        <v>0.18184320000000001</v>
      </c>
      <c r="R5180">
        <v>-2.413269E-3</v>
      </c>
      <c r="S5180">
        <v>-3.0967099999999999</v>
      </c>
      <c r="T5180">
        <v>-0.24489159999999999</v>
      </c>
      <c r="U5180">
        <v>-2.336121E-2</v>
      </c>
      <c r="V5180">
        <v>7.9832840000000002E-2</v>
      </c>
      <c r="W5180">
        <v>0.18699250000000001</v>
      </c>
      <c r="X5180">
        <v>0.97911210000000004</v>
      </c>
      <c r="Y5180">
        <v>7.5173530000000002E-2</v>
      </c>
      <c r="Z5180">
        <v>9.5297139999999999E-3</v>
      </c>
      <c r="AA5180">
        <v>0.99712489999999998</v>
      </c>
      <c r="AB5180">
        <v>24</v>
      </c>
      <c r="AC5180">
        <v>-0.50879999999997905</v>
      </c>
      <c r="AD5180">
        <v>-5.8861999999999901E-2</v>
      </c>
      <c r="AE5180">
        <v>1.2800000000027E-2</v>
      </c>
      <c r="AF5180">
        <v>5.4354316897180399E-2</v>
      </c>
      <c r="AG5180">
        <v>-5.8861999999999901E-2</v>
      </c>
      <c r="AH5180">
        <v>0.49929350530907701</v>
      </c>
      <c r="AI5180">
        <v>96.684466822545701</v>
      </c>
      <c r="AJ5180">
        <v>83.787106749597399</v>
      </c>
      <c r="AK5180">
        <v>0.50568085909314797</v>
      </c>
      <c r="AL5180">
        <v>79.222678189773802</v>
      </c>
      <c r="AM5180">
        <v>85.338645393646303</v>
      </c>
      <c r="AN5180">
        <v>0.99999999088256197</v>
      </c>
    </row>
    <row r="5181" spans="1:40" x14ac:dyDescent="0.25">
      <c r="A5181" t="str">
        <f>"20190312172220244"</f>
        <v>20190312172220244</v>
      </c>
      <c r="B5181" t="str">
        <f>"1552382540235624"</f>
        <v>1552382540235624</v>
      </c>
      <c r="C5181" t="s">
        <v>40</v>
      </c>
      <c r="D5181">
        <v>3.251325</v>
      </c>
      <c r="E5181">
        <v>0.49735499999999999</v>
      </c>
      <c r="F5181" t="s">
        <v>41</v>
      </c>
      <c r="G5181">
        <v>-224.6651</v>
      </c>
      <c r="H5181">
        <v>1.0347569999999999</v>
      </c>
      <c r="I5181">
        <v>141.16999999999999</v>
      </c>
      <c r="J5181">
        <v>-223.98589999999999</v>
      </c>
      <c r="K5181">
        <v>1.1086910000000001</v>
      </c>
      <c r="L5181">
        <v>141.1576</v>
      </c>
      <c r="M5181">
        <v>-0.99664569999999997</v>
      </c>
      <c r="N5181">
        <v>0</v>
      </c>
      <c r="O5181">
        <v>-8.1656980000000004E-2</v>
      </c>
      <c r="P5181">
        <v>-0.98346290000000003</v>
      </c>
      <c r="Q5181">
        <v>0.18110200000000001</v>
      </c>
      <c r="R5181">
        <v>-1.805184E-3</v>
      </c>
      <c r="S5181">
        <v>-3.0963590000000001</v>
      </c>
      <c r="T5181">
        <v>-0.2462404</v>
      </c>
      <c r="U5181">
        <v>-2.3071290000000001E-2</v>
      </c>
      <c r="V5181">
        <v>7.8929159999999998E-2</v>
      </c>
      <c r="W5181">
        <v>0.18626400000000001</v>
      </c>
      <c r="X5181">
        <v>0.97932419999999998</v>
      </c>
      <c r="Y5181">
        <v>7.3739810000000003E-2</v>
      </c>
      <c r="Z5181">
        <v>9.4051299999999994E-3</v>
      </c>
      <c r="AA5181">
        <v>0.99723320000000004</v>
      </c>
      <c r="AB5181">
        <v>24</v>
      </c>
      <c r="AC5181">
        <v>-0.67920000000000802</v>
      </c>
      <c r="AD5181">
        <v>-7.3934000000000097E-2</v>
      </c>
      <c r="AE5181">
        <v>1.23999999999853E-2</v>
      </c>
      <c r="AF5181">
        <v>6.7026869887525098E-2</v>
      </c>
      <c r="AG5181">
        <v>-7.3934000000000097E-2</v>
      </c>
      <c r="AH5181">
        <v>0.668006400793418</v>
      </c>
      <c r="AI5181">
        <v>96.284408969615995</v>
      </c>
      <c r="AJ5181">
        <v>84.270195600998207</v>
      </c>
      <c r="AK5181">
        <v>0.675419417209704</v>
      </c>
      <c r="AL5181">
        <v>79.265164610905799</v>
      </c>
      <c r="AM5181">
        <v>85.392175571037995</v>
      </c>
      <c r="AN5181">
        <v>0.99999998934997203</v>
      </c>
    </row>
    <row r="5182" spans="1:40" x14ac:dyDescent="0.25">
      <c r="A5182" t="str">
        <f>"20190312172220265"</f>
        <v>20190312172220265</v>
      </c>
      <c r="B5182" t="str">
        <f>"1552382540256132"</f>
        <v>1552382540256132</v>
      </c>
      <c r="C5182" t="s">
        <v>40</v>
      </c>
      <c r="D5182">
        <v>3.2733780000000001</v>
      </c>
      <c r="E5182">
        <v>0.49736399999999997</v>
      </c>
      <c r="F5182" t="s">
        <v>41</v>
      </c>
      <c r="G5182">
        <v>-224.8811</v>
      </c>
      <c r="H5182">
        <v>1.03718</v>
      </c>
      <c r="I5182">
        <v>141.15119999999999</v>
      </c>
      <c r="J5182">
        <v>-224.2166</v>
      </c>
      <c r="K5182">
        <v>1.108703</v>
      </c>
      <c r="L5182">
        <v>141.1403</v>
      </c>
      <c r="M5182">
        <v>-0.9967568</v>
      </c>
      <c r="N5182">
        <v>0</v>
      </c>
      <c r="O5182">
        <v>-8.0288059999999994E-2</v>
      </c>
      <c r="P5182">
        <v>-0.98366019999999998</v>
      </c>
      <c r="Q5182">
        <v>0.18003039999999901</v>
      </c>
      <c r="R5182">
        <v>-1.4290419999999999E-3</v>
      </c>
      <c r="S5182">
        <v>-3.0959780000000001</v>
      </c>
      <c r="T5182">
        <v>-0.247359</v>
      </c>
      <c r="U5182">
        <v>-2.2827150000000001E-2</v>
      </c>
      <c r="V5182">
        <v>7.7961970000000005E-2</v>
      </c>
      <c r="W5182">
        <v>0.1852037</v>
      </c>
      <c r="X5182">
        <v>0.9796028</v>
      </c>
      <c r="Y5182">
        <v>7.2451699999999994E-2</v>
      </c>
      <c r="Z5182">
        <v>9.2886029999999994E-3</v>
      </c>
      <c r="AA5182">
        <v>0.99732869999999996</v>
      </c>
      <c r="AB5182">
        <v>24</v>
      </c>
      <c r="AC5182">
        <v>-0.66450000000000298</v>
      </c>
      <c r="AD5182">
        <v>-7.1523000000000003E-2</v>
      </c>
      <c r="AE5182">
        <v>1.08999999999923E-2</v>
      </c>
      <c r="AF5182">
        <v>6.3481771217917093E-2</v>
      </c>
      <c r="AG5182">
        <v>-7.1523000000000003E-2</v>
      </c>
      <c r="AH5182">
        <v>0.65390602151376997</v>
      </c>
      <c r="AI5182">
        <v>96.213110385696197</v>
      </c>
      <c r="AJ5182">
        <v>84.455051627520405</v>
      </c>
      <c r="AK5182">
        <v>0.66086198239717997</v>
      </c>
      <c r="AL5182">
        <v>79.326991895330494</v>
      </c>
      <c r="AM5182">
        <v>85.449689715527199</v>
      </c>
      <c r="AN5182">
        <v>1.0000000625139001</v>
      </c>
    </row>
    <row r="5183" spans="1:40" x14ac:dyDescent="0.25">
      <c r="A5183" t="str">
        <f>"20190312172220288"</f>
        <v>20190312172220288</v>
      </c>
      <c r="B5183" t="str">
        <f>"1552382540275640"</f>
        <v>1552382540275640</v>
      </c>
      <c r="C5183" t="s">
        <v>40</v>
      </c>
      <c r="D5183">
        <v>3.277933</v>
      </c>
      <c r="E5183">
        <v>0.49145060000000002</v>
      </c>
      <c r="F5183" t="s">
        <v>41</v>
      </c>
      <c r="G5183">
        <v>-225.09719999999999</v>
      </c>
      <c r="H5183">
        <v>1.037596</v>
      </c>
      <c r="I5183">
        <v>141.1345</v>
      </c>
      <c r="J5183">
        <v>-224.4529</v>
      </c>
      <c r="K5183">
        <v>1.1087039999999999</v>
      </c>
      <c r="L5183">
        <v>141.12280000000001</v>
      </c>
      <c r="M5183">
        <v>-0.99686680000000005</v>
      </c>
      <c r="N5183">
        <v>0</v>
      </c>
      <c r="O5183">
        <v>-7.8910519999999998E-2</v>
      </c>
      <c r="P5183">
        <v>-0.98374740000000005</v>
      </c>
      <c r="Q5183">
        <v>0.17955289999999999</v>
      </c>
      <c r="R5183">
        <v>-1.41528799999999E-3</v>
      </c>
      <c r="S5183">
        <v>-3.0955349999999999</v>
      </c>
      <c r="T5183">
        <v>-0.24995519999999999</v>
      </c>
      <c r="U5183">
        <v>-2.0843509999999999E-2</v>
      </c>
      <c r="V5183">
        <v>7.6622659999999995E-2</v>
      </c>
      <c r="W5183">
        <v>0.1847374</v>
      </c>
      <c r="X5183">
        <v>0.97979640000000001</v>
      </c>
      <c r="Y5183">
        <v>7.1707899999999894E-2</v>
      </c>
      <c r="Z5183">
        <v>9.2464260000000003E-3</v>
      </c>
      <c r="AA5183">
        <v>0.99738280000000001</v>
      </c>
      <c r="AB5183">
        <v>24</v>
      </c>
      <c r="AC5183">
        <v>-0.64429999999998699</v>
      </c>
      <c r="AD5183">
        <v>-7.1108000000000102E-2</v>
      </c>
      <c r="AE5183">
        <v>1.16999999999904E-2</v>
      </c>
      <c r="AF5183">
        <v>6.1754374732272098E-2</v>
      </c>
      <c r="AG5183">
        <v>-7.1108000000000102E-2</v>
      </c>
      <c r="AH5183">
        <v>0.63365198010586399</v>
      </c>
      <c r="AI5183">
        <v>96.372962335668404</v>
      </c>
      <c r="AJ5183">
        <v>84.433653854518298</v>
      </c>
      <c r="AK5183">
        <v>0.64061281781951296</v>
      </c>
      <c r="AL5183">
        <v>79.354176958017305</v>
      </c>
      <c r="AM5183">
        <v>85.5284198062824</v>
      </c>
      <c r="AN5183">
        <v>0.99999996221859699</v>
      </c>
    </row>
    <row r="5184" spans="1:40" x14ac:dyDescent="0.25">
      <c r="A5184" t="str">
        <f>"20190312172220310"</f>
        <v>20190312172220310</v>
      </c>
      <c r="B5184" t="str">
        <f>"1552382540305896"</f>
        <v>1552382540305896</v>
      </c>
      <c r="C5184" t="s">
        <v>40</v>
      </c>
      <c r="D5184">
        <v>3.2719499999999999</v>
      </c>
      <c r="E5184">
        <v>0.49145369999999999</v>
      </c>
      <c r="F5184" t="s">
        <v>42</v>
      </c>
      <c r="G5184">
        <v>-253.4254</v>
      </c>
      <c r="H5184" s="1">
        <v>-3.0324189999999999E-6</v>
      </c>
      <c r="I5184">
        <v>140.47919999999999</v>
      </c>
      <c r="J5184">
        <v>-224.6978</v>
      </c>
      <c r="K5184">
        <v>1.1086959999999999</v>
      </c>
      <c r="L5184">
        <v>141.10489999999999</v>
      </c>
      <c r="M5184">
        <v>-0.99697769999999997</v>
      </c>
      <c r="N5184">
        <v>0</v>
      </c>
      <c r="O5184">
        <v>-7.7497670000000005E-2</v>
      </c>
      <c r="P5184">
        <v>-0.98374329999999999</v>
      </c>
      <c r="Q5184">
        <v>0.1795805</v>
      </c>
      <c r="R5184">
        <v>-5.1994439999999997E-4</v>
      </c>
      <c r="S5184">
        <v>-3.0709080000000002</v>
      </c>
      <c r="T5184">
        <v>-0.1175165</v>
      </c>
      <c r="U5184">
        <v>-6.8206790000000003E-2</v>
      </c>
      <c r="V5184">
        <v>7.6126280000000004E-2</v>
      </c>
      <c r="W5184">
        <v>0.18477730000000001</v>
      </c>
      <c r="X5184">
        <v>0.97982760000000002</v>
      </c>
      <c r="Y5184">
        <v>5.5244359999999999E-2</v>
      </c>
      <c r="Z5184">
        <v>4.0178999999999996E-3</v>
      </c>
      <c r="AA5184">
        <v>0.99846480000000004</v>
      </c>
      <c r="AB5184">
        <v>24</v>
      </c>
      <c r="AC5184">
        <v>-28.727599999999899</v>
      </c>
      <c r="AD5184">
        <v>-1.10869903241899</v>
      </c>
      <c r="AE5184">
        <v>-0.62569999999999404</v>
      </c>
      <c r="AF5184">
        <v>1.60015458191563</v>
      </c>
      <c r="AG5184">
        <v>-1.10869903241899</v>
      </c>
      <c r="AH5184">
        <v>28.6470427720547</v>
      </c>
      <c r="AI5184">
        <v>92.212911384917803</v>
      </c>
      <c r="AJ5184">
        <v>86.802918492143405</v>
      </c>
      <c r="AK5184">
        <v>28.713111426915098</v>
      </c>
      <c r="AL5184">
        <v>79.351851145776195</v>
      </c>
      <c r="AM5184">
        <v>85.557412328398996</v>
      </c>
      <c r="AN5184">
        <v>0.99999999341184398</v>
      </c>
    </row>
    <row r="5185" spans="1:40" x14ac:dyDescent="0.25">
      <c r="A5185" t="str">
        <f>"20190312172220334"</f>
        <v>20190312172220334</v>
      </c>
      <c r="B5185" t="str">
        <f>"1552382540326392"</f>
        <v>1552382540326392</v>
      </c>
      <c r="C5185" t="s">
        <v>40</v>
      </c>
      <c r="D5185">
        <v>3.31433</v>
      </c>
      <c r="E5185">
        <v>0.49129529999999899</v>
      </c>
      <c r="F5185" t="s">
        <v>42</v>
      </c>
      <c r="G5185">
        <v>-252.89109999999999</v>
      </c>
      <c r="H5185" s="1">
        <v>-3.2649529999999998E-6</v>
      </c>
      <c r="I5185">
        <v>140.49170000000001</v>
      </c>
      <c r="J5185">
        <v>-224.959</v>
      </c>
      <c r="K5185">
        <v>1.108681</v>
      </c>
      <c r="L5185">
        <v>141.08629999999999</v>
      </c>
      <c r="M5185">
        <v>-0.99709320000000001</v>
      </c>
      <c r="N5185">
        <v>0</v>
      </c>
      <c r="O5185">
        <v>-7.5994549999999994E-2</v>
      </c>
      <c r="P5185">
        <v>-0.98384530000000003</v>
      </c>
      <c r="Q5185">
        <v>0.17901909999999999</v>
      </c>
      <c r="R5185">
        <v>7.7005659999999996E-4</v>
      </c>
      <c r="S5185">
        <v>-3.071609</v>
      </c>
      <c r="T5185">
        <v>-0.1207908</v>
      </c>
      <c r="U5185">
        <v>-6.6802979999999998E-2</v>
      </c>
      <c r="V5185">
        <v>7.5945410000000005E-2</v>
      </c>
      <c r="W5185">
        <v>0.18423129999999999</v>
      </c>
      <c r="X5185">
        <v>0.9799445</v>
      </c>
      <c r="Y5185">
        <v>5.4196759999999997E-2</v>
      </c>
      <c r="Z5185">
        <v>4.0493430000000004E-3</v>
      </c>
      <c r="AA5185">
        <v>0.99852200000000002</v>
      </c>
      <c r="AB5185">
        <v>24</v>
      </c>
      <c r="AC5185">
        <v>-27.932099999999899</v>
      </c>
      <c r="AD5185">
        <v>-1.108684264953</v>
      </c>
      <c r="AE5185">
        <v>-0.59459999999998503</v>
      </c>
      <c r="AF5185">
        <v>1.5274333580472499</v>
      </c>
      <c r="AG5185">
        <v>-1.108684264953</v>
      </c>
      <c r="AH5185">
        <v>27.852650504029</v>
      </c>
      <c r="AI5185">
        <v>92.276058325155404</v>
      </c>
      <c r="AJ5185">
        <v>86.861055954320307</v>
      </c>
      <c r="AK5185">
        <v>27.916525098267801</v>
      </c>
      <c r="AL5185">
        <v>79.3836817174179</v>
      </c>
      <c r="AM5185">
        <v>85.568452065516198</v>
      </c>
      <c r="AN5185">
        <v>1.0000000501399999</v>
      </c>
    </row>
    <row r="5186" spans="1:40" x14ac:dyDescent="0.25">
      <c r="A5186" t="str">
        <f>"20190312172220356"</f>
        <v>20190312172220356</v>
      </c>
      <c r="B5186" t="str">
        <f>"1552382540345912"</f>
        <v>1552382540345912</v>
      </c>
      <c r="C5186" t="s">
        <v>40</v>
      </c>
      <c r="D5186">
        <v>3.2849629999999999</v>
      </c>
      <c r="E5186">
        <v>0.49126579999999898</v>
      </c>
      <c r="F5186" t="s">
        <v>42</v>
      </c>
      <c r="G5186">
        <v>-252.98230000000001</v>
      </c>
      <c r="H5186" s="1">
        <v>-3.2253950000000001E-6</v>
      </c>
      <c r="I5186">
        <v>140.49010000000001</v>
      </c>
      <c r="J5186">
        <v>-225.2072</v>
      </c>
      <c r="K5186">
        <v>1.1086670000000001</v>
      </c>
      <c r="L5186">
        <v>141.06890000000001</v>
      </c>
      <c r="M5186">
        <v>-0.99720109999999995</v>
      </c>
      <c r="N5186">
        <v>0</v>
      </c>
      <c r="O5186">
        <v>-7.4562110000000001E-2</v>
      </c>
      <c r="P5186">
        <v>-0.9842168</v>
      </c>
      <c r="Q5186">
        <v>0.1769665</v>
      </c>
      <c r="R5186">
        <v>3.9972739999999998E-4</v>
      </c>
      <c r="S5186">
        <v>-3.0714419999999998</v>
      </c>
      <c r="T5186">
        <v>-0.1215156</v>
      </c>
      <c r="U5186">
        <v>-6.5338129999999994E-2</v>
      </c>
      <c r="V5186">
        <v>7.4196460000000006E-2</v>
      </c>
      <c r="W5186">
        <v>0.1821982</v>
      </c>
      <c r="X5186">
        <v>0.98045839999999995</v>
      </c>
      <c r="Y5186">
        <v>5.3237800000000002E-2</v>
      </c>
      <c r="Z5186">
        <v>3.9984169999999998E-3</v>
      </c>
      <c r="AA5186">
        <v>0.99857379999999996</v>
      </c>
      <c r="AB5186">
        <v>24</v>
      </c>
      <c r="AC5186">
        <v>-27.775099999999998</v>
      </c>
      <c r="AD5186">
        <v>-1.108670225395</v>
      </c>
      <c r="AE5186">
        <v>-0.57880000000000098</v>
      </c>
      <c r="AF5186">
        <v>1.4914375603274601</v>
      </c>
      <c r="AG5186">
        <v>-1.108670225395</v>
      </c>
      <c r="AH5186">
        <v>27.696829498668698</v>
      </c>
      <c r="AI5186">
        <v>92.288943571468593</v>
      </c>
      <c r="AJ5186">
        <v>86.917675162002098</v>
      </c>
      <c r="AK5186">
        <v>27.7591048116354</v>
      </c>
      <c r="AL5186">
        <v>79.502174862417306</v>
      </c>
      <c r="AM5186">
        <v>85.672374567767093</v>
      </c>
      <c r="AN5186">
        <v>0.99999998644516497</v>
      </c>
    </row>
    <row r="5187" spans="1:40" x14ac:dyDescent="0.25">
      <c r="A5187" t="str">
        <f>"20190312172220377"</f>
        <v>20190312172220377</v>
      </c>
      <c r="B5187" t="str">
        <f>"1552382540365432"</f>
        <v>1552382540365432</v>
      </c>
      <c r="C5187" t="s">
        <v>40</v>
      </c>
      <c r="D5187">
        <v>3.2945790000000001</v>
      </c>
      <c r="E5187">
        <v>0.4912514</v>
      </c>
      <c r="F5187" t="s">
        <v>42</v>
      </c>
      <c r="G5187">
        <v>-252.0669</v>
      </c>
      <c r="H5187" s="1">
        <v>-3.6190949999999999E-6</v>
      </c>
      <c r="I5187">
        <v>140.4939</v>
      </c>
      <c r="J5187">
        <v>-225.4316</v>
      </c>
      <c r="K5187">
        <v>1.1086450000000001</v>
      </c>
      <c r="L5187">
        <v>141.05359999999999</v>
      </c>
      <c r="M5187">
        <v>-0.99729769999999895</v>
      </c>
      <c r="N5187">
        <v>0</v>
      </c>
      <c r="O5187">
        <v>-7.3259130000000006E-2</v>
      </c>
      <c r="P5187">
        <v>-0.98427580000000003</v>
      </c>
      <c r="Q5187">
        <v>0.1766382</v>
      </c>
      <c r="R5187">
        <v>2.252767E-4</v>
      </c>
      <c r="S5187">
        <v>-3.0709230000000001</v>
      </c>
      <c r="T5187">
        <v>-0.12675639999999999</v>
      </c>
      <c r="U5187">
        <v>-6.5734860000000006E-2</v>
      </c>
      <c r="V5187">
        <v>7.2749720000000004E-2</v>
      </c>
      <c r="W5187">
        <v>0.18188550000000001</v>
      </c>
      <c r="X5187">
        <v>0.98062490000000002</v>
      </c>
      <c r="Y5187">
        <v>5.1793989999999998E-2</v>
      </c>
      <c r="Z5187">
        <v>4.0880129999999997E-3</v>
      </c>
      <c r="AA5187">
        <v>0.99864940000000002</v>
      </c>
      <c r="AB5187">
        <v>24</v>
      </c>
      <c r="AC5187">
        <v>-26.635300000000001</v>
      </c>
      <c r="AD5187">
        <v>-1.108648619095</v>
      </c>
      <c r="AE5187">
        <v>-0.55969999999999198</v>
      </c>
      <c r="AF5187">
        <v>1.39070422791437</v>
      </c>
      <c r="AG5187">
        <v>-1.108648619095</v>
      </c>
      <c r="AH5187">
        <v>26.558738281880501</v>
      </c>
      <c r="AI5187">
        <v>92.387059004580294</v>
      </c>
      <c r="AJ5187">
        <v>87.002539246778298</v>
      </c>
      <c r="AK5187">
        <v>26.6182219379053</v>
      </c>
      <c r="AL5187">
        <v>79.520396124945293</v>
      </c>
      <c r="AM5187">
        <v>85.757164541087306</v>
      </c>
      <c r="AN5187">
        <v>1.00000002568516</v>
      </c>
    </row>
    <row r="5188" spans="1:40" x14ac:dyDescent="0.25">
      <c r="A5188" t="str">
        <f>"20190312172220400"</f>
        <v>20190312172220400</v>
      </c>
      <c r="B5188" t="str">
        <f>"1552382540395688"</f>
        <v>1552382540395688</v>
      </c>
      <c r="C5188" t="s">
        <v>40</v>
      </c>
      <c r="D5188">
        <v>3.2838669999999999</v>
      </c>
      <c r="E5188">
        <v>0.49100490000000002</v>
      </c>
      <c r="F5188" t="s">
        <v>42</v>
      </c>
      <c r="G5188">
        <v>-252.16200000000001</v>
      </c>
      <c r="H5188" s="1">
        <v>-3.5762479999999998E-6</v>
      </c>
      <c r="I5188">
        <v>140.48609999999999</v>
      </c>
      <c r="J5188">
        <v>-225.6824</v>
      </c>
      <c r="K5188">
        <v>1.1086259999999999</v>
      </c>
      <c r="L5188">
        <v>141.0367</v>
      </c>
      <c r="M5188">
        <v>-0.99740419999999996</v>
      </c>
      <c r="N5188">
        <v>0</v>
      </c>
      <c r="O5188">
        <v>-7.1794499999999997E-2</v>
      </c>
      <c r="P5188">
        <v>-0.98415839999999999</v>
      </c>
      <c r="Q5188">
        <v>0.1772917</v>
      </c>
      <c r="R5188">
        <v>5.2319559999999897E-4</v>
      </c>
      <c r="S5188">
        <v>-3.0708009999999999</v>
      </c>
      <c r="T5188">
        <v>-0.12736249999999999</v>
      </c>
      <c r="U5188">
        <v>-6.5185549999999995E-2</v>
      </c>
      <c r="V5188">
        <v>7.1604680000000004E-2</v>
      </c>
      <c r="W5188">
        <v>0.18255460000000001</v>
      </c>
      <c r="X5188">
        <v>0.98058480000000003</v>
      </c>
      <c r="Y5188">
        <v>5.0506450000000001E-2</v>
      </c>
      <c r="Z5188">
        <v>4.02046E-3</v>
      </c>
      <c r="AA5188">
        <v>0.99871560000000004</v>
      </c>
      <c r="AB5188">
        <v>25</v>
      </c>
      <c r="AC5188">
        <v>-26.479600000000001</v>
      </c>
      <c r="AD5188">
        <v>-1.1086295762480001</v>
      </c>
      <c r="AE5188">
        <v>-0.55060000000000198</v>
      </c>
      <c r="AF5188">
        <v>1.3495748382494199</v>
      </c>
      <c r="AG5188">
        <v>-1.1086295762480001</v>
      </c>
      <c r="AH5188">
        <v>26.4045327642622</v>
      </c>
      <c r="AI5188">
        <v>92.401097156815098</v>
      </c>
      <c r="AJ5188">
        <v>87.074073824259202</v>
      </c>
      <c r="AK5188">
        <v>26.462232753121199</v>
      </c>
      <c r="AL5188">
        <v>79.481406275743893</v>
      </c>
      <c r="AM5188">
        <v>85.8235360631258</v>
      </c>
      <c r="AN5188">
        <v>0.99999998108505095</v>
      </c>
    </row>
    <row r="5189" spans="1:40" x14ac:dyDescent="0.25">
      <c r="A5189" t="str">
        <f>"20190312172220423"</f>
        <v>20190312172220423</v>
      </c>
      <c r="B5189" t="str">
        <f>"1552382540416185"</f>
        <v>1552382540416185</v>
      </c>
      <c r="C5189" t="s">
        <v>40</v>
      </c>
      <c r="D5189">
        <v>3.3267679999999999</v>
      </c>
      <c r="E5189">
        <v>0.49077369999999998</v>
      </c>
      <c r="F5189" t="s">
        <v>42</v>
      </c>
      <c r="G5189">
        <v>-253.04740000000001</v>
      </c>
      <c r="H5189" s="1">
        <v>-3.1861209999999998E-6</v>
      </c>
      <c r="I5189">
        <v>140.44739999999999</v>
      </c>
      <c r="J5189">
        <v>-225.9366</v>
      </c>
      <c r="K5189">
        <v>1.1086119999999999</v>
      </c>
      <c r="L5189">
        <v>141.02000000000001</v>
      </c>
      <c r="M5189">
        <v>-0.99751040000000002</v>
      </c>
      <c r="N5189">
        <v>0</v>
      </c>
      <c r="O5189">
        <v>-7.0301630000000004E-2</v>
      </c>
      <c r="P5189">
        <v>-0.98391989999999996</v>
      </c>
      <c r="Q5189">
        <v>0.17860699999999999</v>
      </c>
      <c r="R5189">
        <v>1.0037729999999999E-3</v>
      </c>
      <c r="S5189">
        <v>-3.0707399999999998</v>
      </c>
      <c r="T5189">
        <v>-0.1244041</v>
      </c>
      <c r="U5189">
        <v>-6.6116330000000001E-2</v>
      </c>
      <c r="V5189">
        <v>7.0607039999999996E-2</v>
      </c>
      <c r="W5189">
        <v>0.1838844</v>
      </c>
      <c r="X5189">
        <v>0.98040870000000002</v>
      </c>
      <c r="Y5189">
        <v>4.871611E-2</v>
      </c>
      <c r="Z5189">
        <v>3.830651E-3</v>
      </c>
      <c r="AA5189">
        <v>0.99880530000000001</v>
      </c>
      <c r="AB5189">
        <v>25</v>
      </c>
      <c r="AC5189">
        <v>-27.110800000000001</v>
      </c>
      <c r="AD5189">
        <v>-1.1086151861210001</v>
      </c>
      <c r="AE5189">
        <v>-0.57260000000002198</v>
      </c>
      <c r="AF5189">
        <v>1.3325522104443599</v>
      </c>
      <c r="AG5189">
        <v>-1.1086151861210001</v>
      </c>
      <c r="AH5189">
        <v>27.038782251998001</v>
      </c>
      <c r="AI5189">
        <v>92.3450222183845</v>
      </c>
      <c r="AJ5189">
        <v>87.178575061128399</v>
      </c>
      <c r="AK5189">
        <v>27.094288488451198</v>
      </c>
      <c r="AL5189">
        <v>79.403902803805593</v>
      </c>
      <c r="AM5189">
        <v>85.880786254694499</v>
      </c>
      <c r="AN5189">
        <v>1.0000000228482999</v>
      </c>
    </row>
    <row r="5190" spans="1:40" x14ac:dyDescent="0.25">
      <c r="A5190" t="str">
        <f>"20190312172220445"</f>
        <v>20190312172220445</v>
      </c>
      <c r="B5190" t="str">
        <f>"1552382540435704"</f>
        <v>1552382540435704</v>
      </c>
      <c r="C5190" t="s">
        <v>40</v>
      </c>
      <c r="D5190">
        <v>3.3114659999999998</v>
      </c>
      <c r="E5190">
        <v>0.49061939999999998</v>
      </c>
      <c r="F5190" t="s">
        <v>42</v>
      </c>
      <c r="G5190">
        <v>-254.3879</v>
      </c>
      <c r="H5190" s="1">
        <v>-2.5971460000000001E-6</v>
      </c>
      <c r="I5190">
        <v>140.39519999999999</v>
      </c>
      <c r="J5190">
        <v>-226.18770000000001</v>
      </c>
      <c r="K5190">
        <v>1.108595</v>
      </c>
      <c r="L5190">
        <v>141.00389999999999</v>
      </c>
      <c r="M5190">
        <v>-0.99761339999999998</v>
      </c>
      <c r="N5190">
        <v>0</v>
      </c>
      <c r="O5190">
        <v>-6.8822460000000002E-2</v>
      </c>
      <c r="P5190">
        <v>-0.98401329999999998</v>
      </c>
      <c r="Q5190">
        <v>0.17809330000000001</v>
      </c>
      <c r="R5190">
        <v>9.491565E-4</v>
      </c>
      <c r="S5190">
        <v>-3.0708160000000002</v>
      </c>
      <c r="T5190">
        <v>-0.119655399999999</v>
      </c>
      <c r="U5190">
        <v>-6.7428589999999997E-2</v>
      </c>
      <c r="V5190">
        <v>6.9108230000000007E-2</v>
      </c>
      <c r="W5190">
        <v>0.1833881</v>
      </c>
      <c r="X5190">
        <v>0.98060840000000005</v>
      </c>
      <c r="Y5190">
        <v>4.6818800000000001E-2</v>
      </c>
      <c r="Z5190">
        <v>3.589994E-3</v>
      </c>
      <c r="AA5190">
        <v>0.99889700000000003</v>
      </c>
      <c r="AB5190">
        <v>25</v>
      </c>
      <c r="AC5190">
        <v>-28.200199999999899</v>
      </c>
      <c r="AD5190">
        <v>-1.108597597146</v>
      </c>
      <c r="AE5190">
        <v>-0.60869999999999802</v>
      </c>
      <c r="AF5190">
        <v>1.33152372194998</v>
      </c>
      <c r="AG5190">
        <v>-1.108597597146</v>
      </c>
      <c r="AH5190">
        <v>28.1317711236496</v>
      </c>
      <c r="AI5190">
        <v>92.254184215001501</v>
      </c>
      <c r="AJ5190">
        <v>87.290117472643402</v>
      </c>
      <c r="AK5190">
        <v>28.185075671495301</v>
      </c>
      <c r="AL5190">
        <v>79.432830269813493</v>
      </c>
      <c r="AM5190">
        <v>85.968753713794797</v>
      </c>
      <c r="AN5190">
        <v>0.99999998841295101</v>
      </c>
    </row>
    <row r="5191" spans="1:40" x14ac:dyDescent="0.25">
      <c r="A5191" t="str">
        <f>"20190312172220465"</f>
        <v>20190312172220465</v>
      </c>
      <c r="B5191" t="str">
        <f>"1552382540456204"</f>
        <v>1552382540456204</v>
      </c>
      <c r="C5191" t="s">
        <v>40</v>
      </c>
      <c r="D5191">
        <v>3.3239800000000002</v>
      </c>
      <c r="E5191">
        <v>0.49050880000000002</v>
      </c>
      <c r="F5191" t="s">
        <v>42</v>
      </c>
      <c r="G5191">
        <v>-254.49109999999999</v>
      </c>
      <c r="H5191" s="1">
        <v>-2.544603E-6</v>
      </c>
      <c r="I5191">
        <v>140.36420000000001</v>
      </c>
      <c r="J5191">
        <v>-226.4272</v>
      </c>
      <c r="K5191">
        <v>1.1085739999999999</v>
      </c>
      <c r="L5191">
        <v>140.9889</v>
      </c>
      <c r="M5191">
        <v>-0.99770990000000004</v>
      </c>
      <c r="N5191">
        <v>0</v>
      </c>
      <c r="O5191">
        <v>-6.7410769999999995E-2</v>
      </c>
      <c r="P5191">
        <v>-0.98420850000000004</v>
      </c>
      <c r="Q5191">
        <v>0.17701310000000001</v>
      </c>
      <c r="R5191">
        <v>6.1268360000000003E-4</v>
      </c>
      <c r="S5191">
        <v>-3.0705719999999999</v>
      </c>
      <c r="T5191">
        <v>-0.1202694</v>
      </c>
      <c r="U5191">
        <v>-6.9396970000000002E-2</v>
      </c>
      <c r="V5191">
        <v>6.7398979999999997E-2</v>
      </c>
      <c r="W5191">
        <v>0.18232580000000001</v>
      </c>
      <c r="X5191">
        <v>0.98092539999999995</v>
      </c>
      <c r="Y5191">
        <v>4.4765239999999998E-2</v>
      </c>
      <c r="Z5191">
        <v>3.5133019999999998E-3</v>
      </c>
      <c r="AA5191">
        <v>0.99899139999999997</v>
      </c>
      <c r="AB5191">
        <v>25</v>
      </c>
      <c r="AC5191">
        <v>-28.063899999999901</v>
      </c>
      <c r="AD5191">
        <v>-1.108576544603</v>
      </c>
      <c r="AE5191">
        <v>-0.62469999999999004</v>
      </c>
      <c r="AF5191">
        <v>1.2665838380293499</v>
      </c>
      <c r="AG5191">
        <v>-1.108576544603</v>
      </c>
      <c r="AH5191">
        <v>27.998506261985799</v>
      </c>
      <c r="AI5191">
        <v>92.265078207597895</v>
      </c>
      <c r="AJ5191">
        <v>87.409845185635803</v>
      </c>
      <c r="AK5191">
        <v>28.049055768001601</v>
      </c>
      <c r="AL5191">
        <v>79.494739309126103</v>
      </c>
      <c r="AM5191">
        <v>86.069408284000303</v>
      </c>
      <c r="AN5191">
        <v>0.99999998010791902</v>
      </c>
    </row>
    <row r="5192" spans="1:40" x14ac:dyDescent="0.25">
      <c r="A5192" t="str">
        <f>"20190312172220488"</f>
        <v>20190312172220488</v>
      </c>
      <c r="B5192" t="str">
        <f>"1552382540485480"</f>
        <v>1552382540485480</v>
      </c>
      <c r="C5192" t="s">
        <v>40</v>
      </c>
      <c r="D5192">
        <v>3.333056</v>
      </c>
      <c r="E5192">
        <v>0.49044369999999998</v>
      </c>
      <c r="F5192" t="s">
        <v>42</v>
      </c>
      <c r="G5192">
        <v>-253.92519999999999</v>
      </c>
      <c r="H5192" s="1">
        <v>-2.78592E-6</v>
      </c>
      <c r="I5192">
        <v>140.3586</v>
      </c>
      <c r="J5192">
        <v>-226.67830000000001</v>
      </c>
      <c r="K5192">
        <v>1.108568</v>
      </c>
      <c r="L5192">
        <v>140.9736</v>
      </c>
      <c r="M5192">
        <v>-0.99780869999999999</v>
      </c>
      <c r="N5192">
        <v>0</v>
      </c>
      <c r="O5192">
        <v>-6.5930180000000005E-2</v>
      </c>
      <c r="P5192">
        <v>-0.98412639999999996</v>
      </c>
      <c r="Q5192">
        <v>0.1774647</v>
      </c>
      <c r="R5192">
        <v>1.331582E-3</v>
      </c>
      <c r="S5192">
        <v>-3.0704189999999998</v>
      </c>
      <c r="T5192">
        <v>-0.1237835</v>
      </c>
      <c r="U5192">
        <v>-7.0373539999999998E-2</v>
      </c>
      <c r="V5192">
        <v>6.6659899999999994E-2</v>
      </c>
      <c r="W5192">
        <v>0.1827908</v>
      </c>
      <c r="X5192">
        <v>0.98088940000000002</v>
      </c>
      <c r="Y5192">
        <v>4.2961609999999997E-2</v>
      </c>
      <c r="Z5192">
        <v>3.5201619999999999E-3</v>
      </c>
      <c r="AA5192">
        <v>0.99907049999999997</v>
      </c>
      <c r="AB5192">
        <v>25</v>
      </c>
      <c r="AC5192">
        <v>-27.246899999999901</v>
      </c>
      <c r="AD5192">
        <v>-1.10857078592</v>
      </c>
      <c r="AE5192">
        <v>-0.61500000000000898</v>
      </c>
      <c r="AF5192">
        <v>1.1808053459677801</v>
      </c>
      <c r="AG5192">
        <v>-1.10857078592</v>
      </c>
      <c r="AH5192">
        <v>27.1831880285844</v>
      </c>
      <c r="AI5192">
        <v>92.333115186567099</v>
      </c>
      <c r="AJ5192">
        <v>87.512703172718005</v>
      </c>
      <c r="AK5192">
        <v>27.231396252301</v>
      </c>
      <c r="AL5192">
        <v>79.467641783410699</v>
      </c>
      <c r="AM5192">
        <v>86.112235007692803</v>
      </c>
      <c r="AN5192">
        <v>1.0000000169325001</v>
      </c>
    </row>
    <row r="5193" spans="1:40" x14ac:dyDescent="0.25">
      <c r="A5193" t="str">
        <f>"20190312172220511"</f>
        <v>20190312172220511</v>
      </c>
      <c r="B5193" t="str">
        <f>"1552382540505976"</f>
        <v>1552382540505976</v>
      </c>
      <c r="C5193" t="s">
        <v>40</v>
      </c>
      <c r="D5193">
        <v>3.3148740000000001</v>
      </c>
      <c r="E5193">
        <v>0.49030420000000002</v>
      </c>
      <c r="F5193" t="s">
        <v>42</v>
      </c>
      <c r="G5193">
        <v>-254.52959999999999</v>
      </c>
      <c r="H5193" s="1">
        <v>-2.5243469999999999E-6</v>
      </c>
      <c r="I5193">
        <v>140.3501</v>
      </c>
      <c r="J5193">
        <v>-226.93600000000001</v>
      </c>
      <c r="K5193">
        <v>1.10856</v>
      </c>
      <c r="L5193">
        <v>140.95820000000001</v>
      </c>
      <c r="M5193">
        <v>-0.99790780000000001</v>
      </c>
      <c r="N5193">
        <v>0</v>
      </c>
      <c r="O5193">
        <v>-6.4411800000000005E-2</v>
      </c>
      <c r="P5193">
        <v>-0.98386090000000004</v>
      </c>
      <c r="Q5193">
        <v>0.17891079999999901</v>
      </c>
      <c r="R5193">
        <v>3.0277609999999999E-3</v>
      </c>
      <c r="S5193">
        <v>-3.0705110000000002</v>
      </c>
      <c r="T5193">
        <v>-0.12221600000000001</v>
      </c>
      <c r="U5193">
        <v>-6.8725590000000003E-2</v>
      </c>
      <c r="V5193">
        <v>6.6849779999999998E-2</v>
      </c>
      <c r="W5193">
        <v>0.1842463</v>
      </c>
      <c r="X5193">
        <v>0.98060409999999998</v>
      </c>
      <c r="Y5193">
        <v>4.1982159999999998E-2</v>
      </c>
      <c r="Z5193">
        <v>3.3957789999999998E-3</v>
      </c>
      <c r="AA5193">
        <v>0.99911260000000002</v>
      </c>
      <c r="AB5193">
        <v>25</v>
      </c>
      <c r="AC5193">
        <v>-27.593599999999999</v>
      </c>
      <c r="AD5193">
        <v>-1.1085625243469901</v>
      </c>
      <c r="AE5193">
        <v>-0.60810000000000697</v>
      </c>
      <c r="AF5193">
        <v>1.16865863842748</v>
      </c>
      <c r="AG5193">
        <v>-1.1085625243469901</v>
      </c>
      <c r="AH5193">
        <v>27.531053313462099</v>
      </c>
      <c r="AI5193">
        <v>92.303747867601899</v>
      </c>
      <c r="AJ5193">
        <v>87.569325354302407</v>
      </c>
      <c r="AK5193">
        <v>27.578135731630798</v>
      </c>
      <c r="AL5193">
        <v>79.382806736624104</v>
      </c>
      <c r="AM5193">
        <v>86.100064026337293</v>
      </c>
      <c r="AN5193">
        <v>0.99999999654327398</v>
      </c>
    </row>
    <row r="5194" spans="1:40" x14ac:dyDescent="0.25">
      <c r="A5194" t="str">
        <f>"20190312172220535"</f>
        <v>20190312172220535</v>
      </c>
      <c r="B5194" t="str">
        <f>"1552382540525496"</f>
        <v>1552382540525496</v>
      </c>
      <c r="C5194" t="s">
        <v>40</v>
      </c>
      <c r="D5194">
        <v>3.301879</v>
      </c>
      <c r="E5194">
        <v>0.49019249999999998</v>
      </c>
      <c r="F5194" t="s">
        <v>42</v>
      </c>
      <c r="G5194">
        <v>-255.96799999999999</v>
      </c>
      <c r="H5194" s="1">
        <v>-1.90204E-6</v>
      </c>
      <c r="I5194">
        <v>140.3304</v>
      </c>
      <c r="J5194">
        <v>-227.20949999999999</v>
      </c>
      <c r="K5194">
        <v>1.1085480000000001</v>
      </c>
      <c r="L5194">
        <v>140.94220000000001</v>
      </c>
      <c r="M5194">
        <v>-0.99801030000000002</v>
      </c>
      <c r="N5194">
        <v>0</v>
      </c>
      <c r="O5194">
        <v>-6.2801629999999997E-2</v>
      </c>
      <c r="P5194">
        <v>-0.98386940000000001</v>
      </c>
      <c r="Q5194">
        <v>0.1788389</v>
      </c>
      <c r="R5194">
        <v>4.2514240000000002E-3</v>
      </c>
      <c r="S5194">
        <v>-3.0707399999999998</v>
      </c>
      <c r="T5194">
        <v>-0.11725339999999999</v>
      </c>
      <c r="U5194">
        <v>-6.6390989999999997E-2</v>
      </c>
      <c r="V5194">
        <v>6.6492599999999999E-2</v>
      </c>
      <c r="W5194">
        <v>0.18418770000000001</v>
      </c>
      <c r="X5194">
        <v>0.98063940000000005</v>
      </c>
      <c r="Y5194">
        <v>4.1139500000000002E-2</v>
      </c>
      <c r="Z5194">
        <v>3.1803759999999999E-3</v>
      </c>
      <c r="AA5194">
        <v>0.99914840000000005</v>
      </c>
      <c r="AB5194">
        <v>25</v>
      </c>
      <c r="AC5194">
        <v>-28.758500000000002</v>
      </c>
      <c r="AD5194">
        <v>-1.10854990203999</v>
      </c>
      <c r="AE5194">
        <v>-0.611800000000016</v>
      </c>
      <c r="AF5194">
        <v>1.1937438080165499</v>
      </c>
      <c r="AG5194">
        <v>-1.10854990203999</v>
      </c>
      <c r="AH5194">
        <v>28.697531182756499</v>
      </c>
      <c r="AI5194">
        <v>92.210255222559994</v>
      </c>
      <c r="AJ5194">
        <v>87.6180155495165</v>
      </c>
      <c r="AK5194">
        <v>28.743733284835699</v>
      </c>
      <c r="AL5194">
        <v>79.386222809514607</v>
      </c>
      <c r="AM5194">
        <v>86.120976901781205</v>
      </c>
      <c r="AN5194">
        <v>1.0000000037592001</v>
      </c>
    </row>
    <row r="5195" spans="1:40" x14ac:dyDescent="0.25">
      <c r="A5195" t="str">
        <f>"20190312172220557"</f>
        <v>20190312172220557</v>
      </c>
      <c r="B5195" t="str">
        <f>"1552382540545992"</f>
        <v>1552382540545992</v>
      </c>
      <c r="C5195" t="s">
        <v>40</v>
      </c>
      <c r="D5195">
        <v>3.2987929999999999</v>
      </c>
      <c r="E5195">
        <v>0.4901877</v>
      </c>
      <c r="F5195" t="s">
        <v>42</v>
      </c>
      <c r="G5195">
        <v>-256.2835</v>
      </c>
      <c r="H5195" s="1">
        <v>-1.76717E-6</v>
      </c>
      <c r="I5195">
        <v>140.3322</v>
      </c>
      <c r="J5195">
        <v>-227.464</v>
      </c>
      <c r="K5195">
        <v>1.10853</v>
      </c>
      <c r="L5195">
        <v>140.92779999999999</v>
      </c>
      <c r="M5195">
        <v>-0.99810319999999997</v>
      </c>
      <c r="N5195">
        <v>0</v>
      </c>
      <c r="O5195">
        <v>-6.1305180000000001E-2</v>
      </c>
      <c r="P5195">
        <v>-0.98415070000000004</v>
      </c>
      <c r="Q5195">
        <v>0.17729539999999999</v>
      </c>
      <c r="R5195">
        <v>3.7387789999999998E-3</v>
      </c>
      <c r="S5195">
        <v>-3.0707399999999998</v>
      </c>
      <c r="T5195">
        <v>-0.11708300000000001</v>
      </c>
      <c r="U5195">
        <v>-6.4422610000000005E-2</v>
      </c>
      <c r="V5195">
        <v>6.4527009999999996E-2</v>
      </c>
      <c r="W5195">
        <v>0.1826624</v>
      </c>
      <c r="X5195">
        <v>0.98105589999999998</v>
      </c>
      <c r="Y5195">
        <v>4.0283520000000003E-2</v>
      </c>
      <c r="Z5195">
        <v>3.102549E-3</v>
      </c>
      <c r="AA5195">
        <v>0.9991835</v>
      </c>
      <c r="AB5195">
        <v>25</v>
      </c>
      <c r="AC5195">
        <v>-28.819499999999898</v>
      </c>
      <c r="AD5195">
        <v>-1.1085317671699999</v>
      </c>
      <c r="AE5195">
        <v>-0.59559999999999003</v>
      </c>
      <c r="AF5195">
        <v>1.1706017377694999</v>
      </c>
      <c r="AG5195">
        <v>-1.1085317671699999</v>
      </c>
      <c r="AH5195">
        <v>28.759272714877302</v>
      </c>
      <c r="AI5195">
        <v>92.205559725754199</v>
      </c>
      <c r="AJ5195">
        <v>87.669150526596397</v>
      </c>
      <c r="AK5195">
        <v>28.8044253231336</v>
      </c>
      <c r="AL5195">
        <v>79.475124183356399</v>
      </c>
      <c r="AM5195">
        <v>86.236903761136901</v>
      </c>
      <c r="AN5195">
        <v>0.99999998315905503</v>
      </c>
    </row>
    <row r="5196" spans="1:40" x14ac:dyDescent="0.25">
      <c r="A5196" t="str">
        <f>"20190312172220578"</f>
        <v>20190312172220578</v>
      </c>
      <c r="B5196" t="str">
        <f>"1552382540565512"</f>
        <v>1552382540565512</v>
      </c>
      <c r="C5196" t="s">
        <v>40</v>
      </c>
      <c r="D5196">
        <v>3.3050679999999999</v>
      </c>
      <c r="E5196">
        <v>0.49019560000000001</v>
      </c>
      <c r="F5196" t="s">
        <v>42</v>
      </c>
      <c r="G5196">
        <v>-255.31630000000001</v>
      </c>
      <c r="H5196" s="1">
        <v>-2.1843270000000001E-6</v>
      </c>
      <c r="I5196">
        <v>140.34049999999999</v>
      </c>
      <c r="J5196">
        <v>-227.7011</v>
      </c>
      <c r="K5196">
        <v>1.108517</v>
      </c>
      <c r="L5196">
        <v>140.91470000000001</v>
      </c>
      <c r="M5196">
        <v>-0.99818770000000001</v>
      </c>
      <c r="N5196">
        <v>0</v>
      </c>
      <c r="O5196">
        <v>-5.9912340000000001E-2</v>
      </c>
      <c r="P5196">
        <v>-0.98431679999999999</v>
      </c>
      <c r="Q5196">
        <v>0.17635809999999999</v>
      </c>
      <c r="R5196">
        <v>4.297525E-3</v>
      </c>
      <c r="S5196">
        <v>-3.0705719999999999</v>
      </c>
      <c r="T5196">
        <v>-0.1222101</v>
      </c>
      <c r="U5196">
        <v>-6.4743040000000002E-2</v>
      </c>
      <c r="V5196">
        <v>6.3725840000000006E-2</v>
      </c>
      <c r="W5196">
        <v>0.1817387</v>
      </c>
      <c r="X5196">
        <v>0.98127980000000004</v>
      </c>
      <c r="Y5196">
        <v>3.877949E-2</v>
      </c>
      <c r="Z5196">
        <v>3.1532489999999999E-3</v>
      </c>
      <c r="AA5196">
        <v>0.99924279999999999</v>
      </c>
      <c r="AB5196">
        <v>26</v>
      </c>
      <c r="AC5196">
        <v>-27.615200000000002</v>
      </c>
      <c r="AD5196">
        <v>-1.1085191843269999</v>
      </c>
      <c r="AE5196">
        <v>-0.57420000000001803</v>
      </c>
      <c r="AF5196">
        <v>1.07961020371987</v>
      </c>
      <c r="AG5196">
        <v>-1.1085191843269999</v>
      </c>
      <c r="AH5196">
        <v>27.555611293991898</v>
      </c>
      <c r="AI5196">
        <v>92.301913353380002</v>
      </c>
      <c r="AJ5196">
        <v>87.756337682673305</v>
      </c>
      <c r="AK5196">
        <v>27.59902329358</v>
      </c>
      <c r="AL5196">
        <v>79.528949346644694</v>
      </c>
      <c r="AM5196">
        <v>86.284340376117697</v>
      </c>
      <c r="AN5196">
        <v>0.99999999182471699</v>
      </c>
    </row>
    <row r="5197" spans="1:40" x14ac:dyDescent="0.25">
      <c r="A5197" t="str">
        <f>"20190312172220601"</f>
        <v>20190312172220601</v>
      </c>
      <c r="B5197" t="str">
        <f>"1552382540595768"</f>
        <v>1552382540595768</v>
      </c>
      <c r="C5197" t="s">
        <v>40</v>
      </c>
      <c r="D5197">
        <v>3.263827</v>
      </c>
      <c r="E5197">
        <v>0.49019380000000001</v>
      </c>
      <c r="F5197" t="s">
        <v>42</v>
      </c>
      <c r="G5197">
        <v>-254.8057</v>
      </c>
      <c r="H5197" s="1">
        <v>-2.4116389999999999E-6</v>
      </c>
      <c r="I5197">
        <v>140.3716</v>
      </c>
      <c r="J5197">
        <v>-227.9641</v>
      </c>
      <c r="K5197">
        <v>1.1084969999999901</v>
      </c>
      <c r="L5197">
        <v>140.9006</v>
      </c>
      <c r="M5197">
        <v>-0.99827909999999997</v>
      </c>
      <c r="N5197">
        <v>0</v>
      </c>
      <c r="O5197">
        <v>-5.8368330000000003E-2</v>
      </c>
      <c r="P5197">
        <v>-0.98426559999999996</v>
      </c>
      <c r="Q5197">
        <v>0.17661830000000001</v>
      </c>
      <c r="R5197">
        <v>5.218538E-3</v>
      </c>
      <c r="S5197">
        <v>-3.0705719999999999</v>
      </c>
      <c r="T5197">
        <v>-0.12558</v>
      </c>
      <c r="U5197">
        <v>-6.1523439999999999E-2</v>
      </c>
      <c r="V5197">
        <v>6.3127440000000007E-2</v>
      </c>
      <c r="W5197">
        <v>0.1820107</v>
      </c>
      <c r="X5197">
        <v>0.98126800000000003</v>
      </c>
      <c r="Y5197">
        <v>3.8278550000000001E-2</v>
      </c>
      <c r="Z5197">
        <v>3.1669279999999998E-3</v>
      </c>
      <c r="AA5197">
        <v>0.99926210000000004</v>
      </c>
      <c r="AB5197">
        <v>26</v>
      </c>
      <c r="AC5197">
        <v>-26.8416</v>
      </c>
      <c r="AD5197">
        <v>-1.1084994116389999</v>
      </c>
      <c r="AE5197">
        <v>-0.52899999999999603</v>
      </c>
      <c r="AF5197">
        <v>1.0368586429723701</v>
      </c>
      <c r="AG5197">
        <v>-1.1084994116389999</v>
      </c>
      <c r="AH5197">
        <v>26.781056442350401</v>
      </c>
      <c r="AI5197">
        <v>92.368414368796493</v>
      </c>
      <c r="AJ5197">
        <v>87.782836976378206</v>
      </c>
      <c r="AK5197">
        <v>26.824034576466499</v>
      </c>
      <c r="AL5197">
        <v>79.513099889226496</v>
      </c>
      <c r="AM5197">
        <v>86.319090741469907</v>
      </c>
      <c r="AN5197">
        <v>0.99999992820971895</v>
      </c>
    </row>
    <row r="5198" spans="1:40" x14ac:dyDescent="0.25">
      <c r="A5198" t="str">
        <f>"20190312172220625"</f>
        <v>20190312172220625</v>
      </c>
      <c r="B5198" t="str">
        <f>"1552382540616264"</f>
        <v>1552382540616264</v>
      </c>
      <c r="C5198" t="s">
        <v>40</v>
      </c>
      <c r="D5198">
        <v>3.2623289999999998</v>
      </c>
      <c r="E5198">
        <v>0.49018800000000001</v>
      </c>
      <c r="F5198" t="s">
        <v>42</v>
      </c>
      <c r="G5198">
        <v>-255.1371</v>
      </c>
      <c r="H5198" s="1">
        <v>-2.2715359999999999E-6</v>
      </c>
      <c r="I5198">
        <v>140.3793</v>
      </c>
      <c r="J5198">
        <v>-228.23949999999999</v>
      </c>
      <c r="K5198">
        <v>1.1084909999999999</v>
      </c>
      <c r="L5198">
        <v>140.88630000000001</v>
      </c>
      <c r="M5198">
        <v>-0.99837220000000004</v>
      </c>
      <c r="N5198">
        <v>0</v>
      </c>
      <c r="O5198">
        <v>-5.675268E-2</v>
      </c>
      <c r="P5198">
        <v>-0.98394870000000001</v>
      </c>
      <c r="Q5198">
        <v>0.17830170000000001</v>
      </c>
      <c r="R5198">
        <v>7.3098460000000001E-3</v>
      </c>
      <c r="S5198">
        <v>-3.0707399999999998</v>
      </c>
      <c r="T5198">
        <v>-0.1252682</v>
      </c>
      <c r="U5198">
        <v>-5.8898930000000002E-2</v>
      </c>
      <c r="V5198">
        <v>6.3616039999999999E-2</v>
      </c>
      <c r="W5198">
        <v>0.18370159999999999</v>
      </c>
      <c r="X5198">
        <v>0.9809213</v>
      </c>
      <c r="Y5198">
        <v>3.7518580000000003E-2</v>
      </c>
      <c r="Z5198">
        <v>3.077673E-3</v>
      </c>
      <c r="AA5198">
        <v>0.99929120000000005</v>
      </c>
      <c r="AB5198">
        <v>26</v>
      </c>
      <c r="AC5198">
        <v>-26.897600000000001</v>
      </c>
      <c r="AD5198">
        <v>-1.1084932715360001</v>
      </c>
      <c r="AE5198">
        <v>-0.507000000000005</v>
      </c>
      <c r="AF5198">
        <v>1.01862313716068</v>
      </c>
      <c r="AG5198">
        <v>-1.1084932715360001</v>
      </c>
      <c r="AH5198">
        <v>26.837456499978899</v>
      </c>
      <c r="AI5198">
        <v>92.363498375749003</v>
      </c>
      <c r="AJ5198">
        <v>87.826366109176703</v>
      </c>
      <c r="AK5198">
        <v>26.879646980882399</v>
      </c>
      <c r="AL5198">
        <v>79.414557070469101</v>
      </c>
      <c r="AM5198">
        <v>86.289372738816795</v>
      </c>
      <c r="AN5198">
        <v>0.999999937590763</v>
      </c>
    </row>
    <row r="5199" spans="1:40" x14ac:dyDescent="0.25">
      <c r="A5199" t="str">
        <f>"20190312172220636"</f>
        <v>20190312172220636</v>
      </c>
      <c r="B5199" t="str">
        <f>"1552382540626025"</f>
        <v>1552382540626025</v>
      </c>
      <c r="C5199" t="s">
        <v>40</v>
      </c>
      <c r="D5199">
        <v>3.3349470000000001</v>
      </c>
      <c r="E5199">
        <v>0.49062529999999999</v>
      </c>
      <c r="F5199" t="s">
        <v>42</v>
      </c>
      <c r="G5199">
        <v>-256.64240000000001</v>
      </c>
      <c r="H5199" s="1">
        <v>-1.625632E-6</v>
      </c>
      <c r="I5199">
        <v>140.37889999999999</v>
      </c>
      <c r="J5199">
        <v>-228.38839999999999</v>
      </c>
      <c r="K5199">
        <v>1.1084830000000001</v>
      </c>
      <c r="L5199">
        <v>140.87870000000001</v>
      </c>
      <c r="M5199">
        <v>-0.99842140000000001</v>
      </c>
      <c r="N5199">
        <v>0</v>
      </c>
      <c r="O5199">
        <v>-5.5879829999999998E-2</v>
      </c>
      <c r="P5199">
        <v>-0.98393929999999996</v>
      </c>
      <c r="Q5199">
        <v>0.17831029999999901</v>
      </c>
      <c r="R5199">
        <v>8.3166719999999902E-3</v>
      </c>
      <c r="S5199">
        <v>-3.071075</v>
      </c>
      <c r="T5199">
        <v>-0.1198564</v>
      </c>
      <c r="U5199">
        <v>-5.4855349999999997E-2</v>
      </c>
      <c r="V5199">
        <v>6.3764769999999998E-2</v>
      </c>
      <c r="W5199">
        <v>0.18371570000000001</v>
      </c>
      <c r="X5199">
        <v>0.98090900000000003</v>
      </c>
      <c r="Y5199">
        <v>3.7969259999999998E-2</v>
      </c>
      <c r="Z5199">
        <v>2.9193380000000001E-3</v>
      </c>
      <c r="AA5199">
        <v>0.99927469999999996</v>
      </c>
      <c r="AB5199">
        <v>26</v>
      </c>
      <c r="AC5199">
        <v>-28.254000000000001</v>
      </c>
      <c r="AD5199">
        <v>-1.10848462563199</v>
      </c>
      <c r="AE5199">
        <v>-0.49980000000002101</v>
      </c>
      <c r="AF5199">
        <v>1.0781760347348199</v>
      </c>
      <c r="AG5199">
        <v>-1.10848462563199</v>
      </c>
      <c r="AH5199">
        <v>28.194397256137002</v>
      </c>
      <c r="AI5199">
        <v>92.249825761654705</v>
      </c>
      <c r="AJ5199">
        <v>87.810031197455601</v>
      </c>
      <c r="AK5199">
        <v>28.236771032892602</v>
      </c>
      <c r="AL5199">
        <v>79.413735187983093</v>
      </c>
      <c r="AM5199">
        <v>86.280675358063903</v>
      </c>
      <c r="AN5199">
        <v>0.99999993530031905</v>
      </c>
    </row>
    <row r="5200" spans="1:40" x14ac:dyDescent="0.25">
      <c r="A5200" t="str">
        <f>"20190312172220650"</f>
        <v>20190312172220650</v>
      </c>
      <c r="B5200" t="str">
        <f>"1552382540645544"</f>
        <v>1552382540645544</v>
      </c>
      <c r="C5200" t="s">
        <v>40</v>
      </c>
      <c r="D5200">
        <v>3.2906</v>
      </c>
      <c r="E5200">
        <v>0.51798880000000003</v>
      </c>
      <c r="F5200" t="s">
        <v>42</v>
      </c>
      <c r="G5200">
        <v>-256.88740000000001</v>
      </c>
      <c r="H5200" s="1">
        <v>-1.5317540000000001E-6</v>
      </c>
      <c r="I5200">
        <v>140.4211</v>
      </c>
      <c r="J5200">
        <v>-228.53659999999999</v>
      </c>
      <c r="K5200">
        <v>1.1084750000000001</v>
      </c>
      <c r="L5200">
        <v>140.87119999999999</v>
      </c>
      <c r="M5200">
        <v>-0.99846970000000002</v>
      </c>
      <c r="N5200">
        <v>0</v>
      </c>
      <c r="O5200">
        <v>-5.5011379999999999E-2</v>
      </c>
      <c r="P5200">
        <v>-0.98400659999999895</v>
      </c>
      <c r="Q5200">
        <v>0.1779049</v>
      </c>
      <c r="R5200">
        <v>9.0003630000000008E-3</v>
      </c>
      <c r="S5200">
        <v>-3.0710449999999998</v>
      </c>
      <c r="T5200">
        <v>-0.1194501</v>
      </c>
      <c r="U5200">
        <v>-4.9301150000000002E-2</v>
      </c>
      <c r="V5200">
        <v>6.359803E-2</v>
      </c>
      <c r="W5200">
        <v>0.18331729999999999</v>
      </c>
      <c r="X5200">
        <v>0.98099440000000004</v>
      </c>
      <c r="Y5200">
        <v>3.890706E-2</v>
      </c>
      <c r="Z5200">
        <v>2.8940630000000001E-3</v>
      </c>
      <c r="AA5200">
        <v>0.99923870000000004</v>
      </c>
      <c r="AB5200">
        <v>26</v>
      </c>
      <c r="AC5200">
        <v>-28.3508</v>
      </c>
      <c r="AD5200">
        <v>-1.108476531754</v>
      </c>
      <c r="AE5200">
        <v>-0.45009999999999201</v>
      </c>
      <c r="AF5200">
        <v>1.1085290056422501</v>
      </c>
      <c r="AG5200">
        <v>-1.108476531754</v>
      </c>
      <c r="AH5200">
        <v>28.289393698132098</v>
      </c>
      <c r="AI5200">
        <v>92.242180380952703</v>
      </c>
      <c r="AJ5200">
        <v>87.755994500663704</v>
      </c>
      <c r="AK5200">
        <v>28.332796413092002</v>
      </c>
      <c r="AL5200">
        <v>79.436956648713405</v>
      </c>
      <c r="AM5200">
        <v>86.290695953344198</v>
      </c>
      <c r="AN5200">
        <v>0.99999997736526502</v>
      </c>
    </row>
    <row r="5201" spans="1:40" x14ac:dyDescent="0.25">
      <c r="A5201" t="str">
        <f>"20190312172220667"</f>
        <v>20190312172220667</v>
      </c>
      <c r="B5201" t="str">
        <f>"1552382540655304"</f>
        <v>1552382540655304</v>
      </c>
      <c r="C5201" t="s">
        <v>40</v>
      </c>
      <c r="D5201">
        <v>3.3081330000000002</v>
      </c>
      <c r="E5201">
        <v>0.51851449999999999</v>
      </c>
      <c r="F5201" t="s">
        <v>42</v>
      </c>
      <c r="G5201">
        <v>-257.42610000000002</v>
      </c>
      <c r="H5201" s="1">
        <v>-1.848863E-6</v>
      </c>
      <c r="I5201">
        <v>142.4813</v>
      </c>
      <c r="J5201">
        <v>-228.7449</v>
      </c>
      <c r="K5201">
        <v>1.108465</v>
      </c>
      <c r="L5201">
        <v>140.86109999999999</v>
      </c>
      <c r="M5201">
        <v>-0.99853610000000004</v>
      </c>
      <c r="N5201">
        <v>0</v>
      </c>
      <c r="O5201">
        <v>-5.3790919999999999E-2</v>
      </c>
      <c r="P5201">
        <v>-0.98436570000000001</v>
      </c>
      <c r="Q5201">
        <v>0.17590020000000001</v>
      </c>
      <c r="R5201">
        <v>9.1452419999999996E-3</v>
      </c>
      <c r="S5201">
        <v>-3.0684659999999999</v>
      </c>
      <c r="T5201">
        <v>-0.1177359</v>
      </c>
      <c r="U5201">
        <v>0.17102049999999999</v>
      </c>
      <c r="V5201">
        <v>6.2559669999999998E-2</v>
      </c>
      <c r="W5201">
        <v>0.1813256</v>
      </c>
      <c r="X5201">
        <v>0.98143119999999995</v>
      </c>
      <c r="Y5201">
        <v>0.1091568</v>
      </c>
      <c r="Z5201">
        <v>4.1534010000000001E-3</v>
      </c>
      <c r="AA5201">
        <v>0.99401589999999995</v>
      </c>
      <c r="AB5201">
        <v>26</v>
      </c>
      <c r="AC5201">
        <v>-28.6812</v>
      </c>
      <c r="AD5201">
        <v>-1.1084668488630001</v>
      </c>
      <c r="AE5201">
        <v>1.6202000000000101</v>
      </c>
      <c r="AF5201">
        <v>3.1559682632841302</v>
      </c>
      <c r="AG5201">
        <v>-1.1084668488630001</v>
      </c>
      <c r="AH5201">
        <v>28.510072354602102</v>
      </c>
      <c r="AI5201">
        <v>92.213024814168705</v>
      </c>
      <c r="AJ5201">
        <v>83.683269053436803</v>
      </c>
      <c r="AK5201">
        <v>28.705627672958698</v>
      </c>
      <c r="AL5201">
        <v>79.553017619701393</v>
      </c>
      <c r="AM5201">
        <v>86.352712109812202</v>
      </c>
      <c r="AN5201">
        <v>0.999999942929652</v>
      </c>
    </row>
    <row r="5202" spans="1:40" x14ac:dyDescent="0.25">
      <c r="A5202" t="str">
        <f>"20190312172220690"</f>
        <v>20190312172220690</v>
      </c>
      <c r="B5202" t="str">
        <f>"1552382540685560"</f>
        <v>1552382540685560</v>
      </c>
      <c r="C5202" t="s">
        <v>40</v>
      </c>
      <c r="D5202">
        <v>3.2792050000000001</v>
      </c>
      <c r="E5202">
        <v>0.51917239999999998</v>
      </c>
      <c r="F5202" t="s">
        <v>42</v>
      </c>
      <c r="G5202">
        <v>-256.17520000000002</v>
      </c>
      <c r="H5202" s="1">
        <v>-2.3744929999999999E-6</v>
      </c>
      <c r="I5202">
        <v>142.44</v>
      </c>
      <c r="J5202">
        <v>-229.00649999999999</v>
      </c>
      <c r="K5202">
        <v>1.1084499999999999</v>
      </c>
      <c r="L5202">
        <v>140.8486</v>
      </c>
      <c r="M5202">
        <v>-0.99861739999999999</v>
      </c>
      <c r="N5202">
        <v>0</v>
      </c>
      <c r="O5202">
        <v>-5.2259189999999997E-2</v>
      </c>
      <c r="P5202">
        <v>-0.98445249999999995</v>
      </c>
      <c r="Q5202">
        <v>0.17536260000000001</v>
      </c>
      <c r="R5202">
        <v>1.008534E-2</v>
      </c>
      <c r="S5202">
        <v>-3.0681609999999999</v>
      </c>
      <c r="T5202">
        <v>-0.1239856</v>
      </c>
      <c r="U5202">
        <v>0.17662050000000001</v>
      </c>
      <c r="V5202">
        <v>6.1998419999999999E-2</v>
      </c>
      <c r="W5202">
        <v>0.1808004</v>
      </c>
      <c r="X5202">
        <v>0.98156370000000004</v>
      </c>
      <c r="Y5202">
        <v>0.109434</v>
      </c>
      <c r="Z5202">
        <v>4.3177240000000002E-3</v>
      </c>
      <c r="AA5202">
        <v>0.99398470000000005</v>
      </c>
      <c r="AB5202">
        <v>26</v>
      </c>
      <c r="AC5202">
        <v>-27.168700000000001</v>
      </c>
      <c r="AD5202">
        <v>-1.1084523744929999</v>
      </c>
      <c r="AE5202">
        <v>1.5913999999999899</v>
      </c>
      <c r="AF5202">
        <v>3.0040791939315001</v>
      </c>
      <c r="AG5202">
        <v>-1.1084523744929999</v>
      </c>
      <c r="AH5202">
        <v>27.003612528007299</v>
      </c>
      <c r="AI5202">
        <v>92.336179034933494</v>
      </c>
      <c r="AJ5202">
        <v>83.652100039916803</v>
      </c>
      <c r="AK5202">
        <v>27.192797723527502</v>
      </c>
      <c r="AL5202">
        <v>79.5836150957835</v>
      </c>
      <c r="AM5202">
        <v>86.385833015557395</v>
      </c>
      <c r="AN5202">
        <v>0.99999994294017103</v>
      </c>
    </row>
    <row r="5203" spans="1:40" x14ac:dyDescent="0.25">
      <c r="A5203" t="str">
        <f>"20190312172220703"</f>
        <v>20190312172220703</v>
      </c>
      <c r="B5203" t="str">
        <f>"1552382540696296"</f>
        <v>1552382540696296</v>
      </c>
      <c r="C5203" t="s">
        <v>40</v>
      </c>
      <c r="D5203">
        <v>3.3060019999999999</v>
      </c>
      <c r="E5203">
        <v>0.5194955</v>
      </c>
      <c r="F5203" t="s">
        <v>42</v>
      </c>
      <c r="G5203">
        <v>-256.74439999999998</v>
      </c>
      <c r="H5203" s="1">
        <v>-2.1525050000000001E-6</v>
      </c>
      <c r="I5203">
        <v>142.52340000000001</v>
      </c>
      <c r="J5203">
        <v>-229.15719999999999</v>
      </c>
      <c r="K5203">
        <v>1.1084430000000001</v>
      </c>
      <c r="L5203">
        <v>140.8416</v>
      </c>
      <c r="M5203">
        <v>-0.99866310000000003</v>
      </c>
      <c r="N5203">
        <v>0</v>
      </c>
      <c r="O5203">
        <v>-5.1377520000000003E-2</v>
      </c>
      <c r="P5203">
        <v>-0.98432120000000001</v>
      </c>
      <c r="Q5203">
        <v>0.176042899999999</v>
      </c>
      <c r="R5203">
        <v>1.0998229999999999E-2</v>
      </c>
      <c r="S5203">
        <v>-3.067307</v>
      </c>
      <c r="T5203">
        <v>-0.1225752</v>
      </c>
      <c r="U5203">
        <v>0.18521119999999999</v>
      </c>
      <c r="V5203">
        <v>6.2039799999999999E-2</v>
      </c>
      <c r="W5203">
        <v>0.18148510000000001</v>
      </c>
      <c r="X5203">
        <v>0.98143480000000005</v>
      </c>
      <c r="Y5203">
        <v>0.1113484</v>
      </c>
      <c r="Z5203">
        <v>4.2725389999999997E-3</v>
      </c>
      <c r="AA5203">
        <v>0.99377230000000005</v>
      </c>
      <c r="AB5203">
        <v>26</v>
      </c>
      <c r="AC5203">
        <v>-27.587199999999999</v>
      </c>
      <c r="AD5203">
        <v>-1.1084451525049901</v>
      </c>
      <c r="AE5203">
        <v>1.6818</v>
      </c>
      <c r="AF5203">
        <v>3.0919903860006799</v>
      </c>
      <c r="AG5203">
        <v>-1.1084451525049901</v>
      </c>
      <c r="AH5203">
        <v>27.420252827551099</v>
      </c>
      <c r="AI5203">
        <v>92.300319852011796</v>
      </c>
      <c r="AJ5203">
        <v>83.566332386479502</v>
      </c>
      <c r="AK5203">
        <v>27.616287229279301</v>
      </c>
      <c r="AL5203">
        <v>79.543725600118805</v>
      </c>
      <c r="AM5203">
        <v>86.382953455481001</v>
      </c>
      <c r="AN5203">
        <v>1.0000000224785399</v>
      </c>
    </row>
    <row r="5204" spans="1:40" x14ac:dyDescent="0.25">
      <c r="A5204" t="str">
        <f>"20190312172220714"</f>
        <v>20190312172220714</v>
      </c>
      <c r="B5204" t="str">
        <f>"1552382540706056"</f>
        <v>1552382540706056</v>
      </c>
      <c r="C5204" t="s">
        <v>40</v>
      </c>
      <c r="D5204">
        <v>3.2927420000000001</v>
      </c>
      <c r="E5204">
        <v>0.51958329999999997</v>
      </c>
      <c r="F5204" t="s">
        <v>42</v>
      </c>
      <c r="G5204">
        <v>-257.63209999999998</v>
      </c>
      <c r="H5204" s="1">
        <v>-1.793997E-6</v>
      </c>
      <c r="I5204">
        <v>142.60740000000001</v>
      </c>
      <c r="J5204">
        <v>-229.30760000000001</v>
      </c>
      <c r="K5204">
        <v>1.1084430000000001</v>
      </c>
      <c r="L5204">
        <v>140.8347</v>
      </c>
      <c r="M5204">
        <v>-0.99870800000000004</v>
      </c>
      <c r="N5204">
        <v>0</v>
      </c>
      <c r="O5204">
        <v>-5.0497390000000003E-2</v>
      </c>
      <c r="P5204">
        <v>-0.9842687</v>
      </c>
      <c r="Q5204">
        <v>0.17628750000000001</v>
      </c>
      <c r="R5204">
        <v>1.174888E-2</v>
      </c>
      <c r="S5204">
        <v>-3.0670009999999999</v>
      </c>
      <c r="T5204">
        <v>-0.1193893</v>
      </c>
      <c r="U5204">
        <v>0.1902008</v>
      </c>
      <c r="V5204">
        <v>6.1923720000000002E-2</v>
      </c>
      <c r="W5204">
        <v>0.18173549999999999</v>
      </c>
      <c r="X5204">
        <v>0.98139580000000004</v>
      </c>
      <c r="Y5204">
        <v>0.112096</v>
      </c>
      <c r="Z5204">
        <v>4.1421260000000003E-3</v>
      </c>
      <c r="AA5204">
        <v>0.99368880000000004</v>
      </c>
      <c r="AB5204">
        <v>26</v>
      </c>
      <c r="AC5204">
        <v>-28.324499999999901</v>
      </c>
      <c r="AD5204">
        <v>-1.1084447939969999</v>
      </c>
      <c r="AE5204">
        <v>1.7727000000000099</v>
      </c>
      <c r="AF5204">
        <v>3.19589948526915</v>
      </c>
      <c r="AG5204">
        <v>-1.1084447939969999</v>
      </c>
      <c r="AH5204">
        <v>28.155892877268499</v>
      </c>
      <c r="AI5204">
        <v>92.240093765957994</v>
      </c>
      <c r="AJ5204">
        <v>83.524226728752694</v>
      </c>
      <c r="AK5204">
        <v>28.358362560230901</v>
      </c>
      <c r="AL5204">
        <v>79.529136177529594</v>
      </c>
      <c r="AM5204">
        <v>86.389560147973</v>
      </c>
      <c r="AN5204">
        <v>1.0000000276582599</v>
      </c>
    </row>
    <row r="5205" spans="1:40" x14ac:dyDescent="0.25">
      <c r="A5205" t="str">
        <f>"20190312172220728"</f>
        <v>20190312172220728</v>
      </c>
      <c r="B5205" t="str">
        <f>"1552382540715819"</f>
        <v>1552382540715819</v>
      </c>
      <c r="C5205" t="s">
        <v>40</v>
      </c>
      <c r="D5205">
        <v>3.2922959999999999</v>
      </c>
      <c r="E5205">
        <v>0.51960220000000001</v>
      </c>
      <c r="F5205" t="s">
        <v>42</v>
      </c>
      <c r="G5205">
        <v>-258.26620000000003</v>
      </c>
      <c r="H5205" s="1">
        <v>-1.5341149999999901E-6</v>
      </c>
      <c r="I5205">
        <v>142.65299999999999</v>
      </c>
      <c r="J5205">
        <v>-229.45490000000001</v>
      </c>
      <c r="K5205">
        <v>1.108441</v>
      </c>
      <c r="L5205">
        <v>140.82820000000001</v>
      </c>
      <c r="M5205">
        <v>-0.99875100000000006</v>
      </c>
      <c r="N5205">
        <v>0</v>
      </c>
      <c r="O5205">
        <v>-4.9636340000000001E-2</v>
      </c>
      <c r="P5205">
        <v>-0.9841645</v>
      </c>
      <c r="Q5205">
        <v>0.1767869</v>
      </c>
      <c r="R5205">
        <v>1.2906600000000001E-2</v>
      </c>
      <c r="S5205">
        <v>-3.0666959999999999</v>
      </c>
      <c r="T5205">
        <v>-0.11738369999999999</v>
      </c>
      <c r="U5205">
        <v>0.19256590000000001</v>
      </c>
      <c r="V5205">
        <v>6.2231450000000001E-2</v>
      </c>
      <c r="W5205">
        <v>0.18223900000000001</v>
      </c>
      <c r="X5205">
        <v>0.98128289999999996</v>
      </c>
      <c r="Y5205">
        <v>0.1120136</v>
      </c>
      <c r="Z5205">
        <v>4.0384269999999998E-3</v>
      </c>
      <c r="AA5205">
        <v>0.99369850000000004</v>
      </c>
      <c r="AB5205">
        <v>26</v>
      </c>
      <c r="AC5205">
        <v>-28.811299999999999</v>
      </c>
      <c r="AD5205">
        <v>-1.1084425341149999</v>
      </c>
      <c r="AE5205">
        <v>1.82479999999998</v>
      </c>
      <c r="AF5205">
        <v>3.2478733698741</v>
      </c>
      <c r="AG5205">
        <v>-1.1084425341149999</v>
      </c>
      <c r="AH5205">
        <v>28.642980899576202</v>
      </c>
      <c r="AI5205">
        <v>92.202061716166298</v>
      </c>
      <c r="AJ5205">
        <v>83.530771949625304</v>
      </c>
      <c r="AK5205">
        <v>28.847836679578901</v>
      </c>
      <c r="AL5205">
        <v>79.499797196896907</v>
      </c>
      <c r="AM5205">
        <v>86.371249537241795</v>
      </c>
      <c r="AN5205">
        <v>0.99999996816125503</v>
      </c>
    </row>
    <row r="5206" spans="1:40" x14ac:dyDescent="0.25">
      <c r="A5206" t="str">
        <f>"20190312172220748"</f>
        <v>20190312172220748</v>
      </c>
      <c r="B5206" t="str">
        <f>"1552382540735336"</f>
        <v>1552382540735336</v>
      </c>
      <c r="C5206" t="s">
        <v>40</v>
      </c>
      <c r="D5206">
        <v>3.2826119999999999</v>
      </c>
      <c r="E5206">
        <v>0.51960790000000001</v>
      </c>
      <c r="F5206" t="s">
        <v>42</v>
      </c>
      <c r="G5206">
        <v>-258.94529999999997</v>
      </c>
      <c r="H5206" s="1">
        <v>-1.2580029999999999E-6</v>
      </c>
      <c r="I5206">
        <v>142.71010000000001</v>
      </c>
      <c r="J5206">
        <v>-229.69200000000001</v>
      </c>
      <c r="K5206">
        <v>1.1084290000000001</v>
      </c>
      <c r="L5206">
        <v>140.81780000000001</v>
      </c>
      <c r="M5206">
        <v>-0.99881880000000001</v>
      </c>
      <c r="N5206">
        <v>0</v>
      </c>
      <c r="O5206">
        <v>-4.8250050000000003E-2</v>
      </c>
      <c r="P5206">
        <v>-0.98408189999999995</v>
      </c>
      <c r="Q5206">
        <v>0.177177</v>
      </c>
      <c r="R5206">
        <v>1.382241E-2</v>
      </c>
      <c r="S5206">
        <v>-3.0664060000000002</v>
      </c>
      <c r="T5206">
        <v>-0.11525580000000001</v>
      </c>
      <c r="U5206">
        <v>0.19569400000000001</v>
      </c>
      <c r="V5206">
        <v>6.1783119999999997E-2</v>
      </c>
      <c r="W5206">
        <v>0.18263889999999999</v>
      </c>
      <c r="X5206">
        <v>0.98123689999999997</v>
      </c>
      <c r="Y5206">
        <v>0.1116553</v>
      </c>
      <c r="Z5206">
        <v>3.9067750000000004E-3</v>
      </c>
      <c r="AA5206">
        <v>0.99373929999999999</v>
      </c>
      <c r="AB5206">
        <v>26</v>
      </c>
      <c r="AC5206">
        <v>-29.2532999999999</v>
      </c>
      <c r="AD5206">
        <v>-1.1084302580030001</v>
      </c>
      <c r="AE5206">
        <v>1.8923000000000001</v>
      </c>
      <c r="AF5206">
        <v>3.29687873505276</v>
      </c>
      <c r="AG5206">
        <v>-1.1084302580030001</v>
      </c>
      <c r="AH5206">
        <v>29.086336573269602</v>
      </c>
      <c r="AI5206">
        <v>92.168515111893299</v>
      </c>
      <c r="AJ5206">
        <v>83.533236943058199</v>
      </c>
      <c r="AK5206">
        <v>29.293565885429899</v>
      </c>
      <c r="AL5206">
        <v>79.476493721466397</v>
      </c>
      <c r="AM5206">
        <v>86.397154361038204</v>
      </c>
      <c r="AN5206">
        <v>0.99999998781587696</v>
      </c>
    </row>
    <row r="5207" spans="1:40" x14ac:dyDescent="0.25">
      <c r="A5207" t="str">
        <f>"20190312172220769"</f>
        <v>20190312172220769</v>
      </c>
      <c r="B5207" t="str">
        <f>"1552382540765593"</f>
        <v>1552382540765593</v>
      </c>
      <c r="C5207" t="s">
        <v>40</v>
      </c>
      <c r="D5207">
        <v>3.2820529999999999</v>
      </c>
      <c r="E5207">
        <v>0.51966959999999995</v>
      </c>
      <c r="F5207" t="s">
        <v>42</v>
      </c>
      <c r="G5207">
        <v>-259.68060000000003</v>
      </c>
      <c r="H5207" s="1">
        <v>-9.5432450000000006E-7</v>
      </c>
      <c r="I5207">
        <v>142.7544</v>
      </c>
      <c r="J5207">
        <v>-229.95189999999999</v>
      </c>
      <c r="K5207">
        <v>1.1084130000000001</v>
      </c>
      <c r="L5207">
        <v>140.80690000000001</v>
      </c>
      <c r="M5207">
        <v>-0.99889099999999997</v>
      </c>
      <c r="N5207">
        <v>0</v>
      </c>
      <c r="O5207">
        <v>-4.6731080000000001E-2</v>
      </c>
      <c r="P5207">
        <v>-0.98421029999999998</v>
      </c>
      <c r="Q5207">
        <v>0.1764096</v>
      </c>
      <c r="R5207">
        <v>1.448665E-2</v>
      </c>
      <c r="S5207">
        <v>-3.066147</v>
      </c>
      <c r="T5207">
        <v>-0.1133301</v>
      </c>
      <c r="U5207">
        <v>0.1980133</v>
      </c>
      <c r="V5207">
        <v>6.0960750000000001E-2</v>
      </c>
      <c r="W5207">
        <v>0.18188460000000001</v>
      </c>
      <c r="X5207">
        <v>0.98142839999999998</v>
      </c>
      <c r="Y5207">
        <v>0.1109033</v>
      </c>
      <c r="Z5207">
        <v>3.7718439999999999E-3</v>
      </c>
      <c r="AA5207">
        <v>0.99382409999999999</v>
      </c>
      <c r="AB5207">
        <v>27</v>
      </c>
      <c r="AC5207">
        <v>-29.7287</v>
      </c>
      <c r="AD5207">
        <v>-1.1084139543245</v>
      </c>
      <c r="AE5207">
        <v>1.94749999999999</v>
      </c>
      <c r="AF5207">
        <v>3.33004009033416</v>
      </c>
      <c r="AG5207">
        <v>-1.1084139543245</v>
      </c>
      <c r="AH5207">
        <v>29.564287954906</v>
      </c>
      <c r="AI5207">
        <v>92.133628132260199</v>
      </c>
      <c r="AJ5207">
        <v>83.573447831340403</v>
      </c>
      <c r="AK5207">
        <v>29.771880538151599</v>
      </c>
      <c r="AL5207">
        <v>79.520447896681105</v>
      </c>
      <c r="AM5207">
        <v>86.445678452396706</v>
      </c>
      <c r="AN5207">
        <v>0.99999996254213996</v>
      </c>
    </row>
    <row r="5208" spans="1:40" x14ac:dyDescent="0.25">
      <c r="A5208" t="str">
        <f>"20190312172220791"</f>
        <v>20190312172220791</v>
      </c>
      <c r="B5208" t="str">
        <f>"1552382540786089"</f>
        <v>1552382540786089</v>
      </c>
      <c r="C5208" t="s">
        <v>40</v>
      </c>
      <c r="D5208">
        <v>3.268043</v>
      </c>
      <c r="E5208">
        <v>0.519740799999999</v>
      </c>
      <c r="F5208" t="s">
        <v>42</v>
      </c>
      <c r="G5208">
        <v>-259.6268</v>
      </c>
      <c r="H5208" s="1">
        <v>-9.7792799999999991E-7</v>
      </c>
      <c r="I5208">
        <v>142.75630000000001</v>
      </c>
      <c r="J5208">
        <v>-230.2183</v>
      </c>
      <c r="K5208">
        <v>1.1084069999999999</v>
      </c>
      <c r="L5208">
        <v>140.79599999999999</v>
      </c>
      <c r="M5208">
        <v>-0.99896249999999998</v>
      </c>
      <c r="N5208">
        <v>0</v>
      </c>
      <c r="O5208">
        <v>-4.5175390000000003E-2</v>
      </c>
      <c r="P5208">
        <v>-0.98431449999999998</v>
      </c>
      <c r="Q5208">
        <v>0.17578009999999999</v>
      </c>
      <c r="R5208">
        <v>1.5047400000000001E-2</v>
      </c>
      <c r="S5208">
        <v>-3.0656590000000001</v>
      </c>
      <c r="T5208">
        <v>-0.1145085</v>
      </c>
      <c r="U5208">
        <v>0.20140079999999999</v>
      </c>
      <c r="V5208">
        <v>5.9997549999999997E-2</v>
      </c>
      <c r="W5208">
        <v>0.1812684</v>
      </c>
      <c r="X5208">
        <v>0.98160179999999997</v>
      </c>
      <c r="Y5208">
        <v>0.110458399999999</v>
      </c>
      <c r="Z5208">
        <v>3.7451960000000001E-3</v>
      </c>
      <c r="AA5208">
        <v>0.99387369999999997</v>
      </c>
      <c r="AB5208">
        <v>27</v>
      </c>
      <c r="AC5208">
        <v>-29.4085</v>
      </c>
      <c r="AD5208">
        <v>-1.1084079779279901</v>
      </c>
      <c r="AE5208">
        <v>1.9603000000000099</v>
      </c>
      <c r="AF5208">
        <v>3.2822191569547399</v>
      </c>
      <c r="AG5208">
        <v>-1.1084079779279901</v>
      </c>
      <c r="AH5208">
        <v>29.248551279921902</v>
      </c>
      <c r="AI5208">
        <v>92.156727542292401</v>
      </c>
      <c r="AJ5208">
        <v>83.597159125925202</v>
      </c>
      <c r="AK5208">
        <v>29.453001253081698</v>
      </c>
      <c r="AL5208">
        <v>79.556350939006407</v>
      </c>
      <c r="AM5208">
        <v>86.502313764831896</v>
      </c>
      <c r="AN5208">
        <v>1.0000000163039</v>
      </c>
    </row>
    <row r="5209" spans="1:40" x14ac:dyDescent="0.25">
      <c r="A5209" t="str">
        <f>"20190312172220814"</f>
        <v>20190312172220814</v>
      </c>
      <c r="B5209" t="str">
        <f>"1552382540805608"</f>
        <v>1552382540805608</v>
      </c>
      <c r="C5209" t="s">
        <v>40</v>
      </c>
      <c r="D5209">
        <v>3.26458</v>
      </c>
      <c r="E5209">
        <v>0.51976940000000005</v>
      </c>
      <c r="F5209" t="s">
        <v>42</v>
      </c>
      <c r="G5209">
        <v>-259.52620000000002</v>
      </c>
      <c r="H5209" s="1">
        <v>-1.017783E-6</v>
      </c>
      <c r="I5209">
        <v>142.74379999999999</v>
      </c>
      <c r="J5209">
        <v>-230.49019999999999</v>
      </c>
      <c r="K5209">
        <v>1.1083970000000001</v>
      </c>
      <c r="L5209">
        <v>140.78540000000001</v>
      </c>
      <c r="M5209">
        <v>-0.99903310000000001</v>
      </c>
      <c r="N5209">
        <v>0</v>
      </c>
      <c r="O5209">
        <v>-4.3588469999999997E-2</v>
      </c>
      <c r="P5209">
        <v>-0.98416919999999997</v>
      </c>
      <c r="Q5209">
        <v>0.17644409999999999</v>
      </c>
      <c r="R5209">
        <v>1.66917E-2</v>
      </c>
      <c r="S5209">
        <v>-3.0653990000000002</v>
      </c>
      <c r="T5209">
        <v>-0.1159319</v>
      </c>
      <c r="U5209">
        <v>0.20373540000000001</v>
      </c>
      <c r="V5209">
        <v>6.0078649999999997E-2</v>
      </c>
      <c r="W5209">
        <v>0.1819413</v>
      </c>
      <c r="X5209">
        <v>0.98147229999999996</v>
      </c>
      <c r="Y5209">
        <v>0.1096377</v>
      </c>
      <c r="Z5209">
        <v>3.7165229999999998E-3</v>
      </c>
      <c r="AA5209">
        <v>0.99396470000000003</v>
      </c>
      <c r="AB5209">
        <v>27</v>
      </c>
      <c r="AC5209">
        <v>-29.036000000000001</v>
      </c>
      <c r="AD5209">
        <v>-1.108398017783</v>
      </c>
      <c r="AE5209">
        <v>1.9583999999999799</v>
      </c>
      <c r="AF5209">
        <v>3.2175269259161201</v>
      </c>
      <c r="AG5209">
        <v>-1.108398017783</v>
      </c>
      <c r="AH5209">
        <v>28.8811424767608</v>
      </c>
      <c r="AI5209">
        <v>92.184313900178594</v>
      </c>
      <c r="AJ5209">
        <v>83.643129991113199</v>
      </c>
      <c r="AK5209">
        <v>29.080945934542399</v>
      </c>
      <c r="AL5209">
        <v>79.517144267348002</v>
      </c>
      <c r="AM5209">
        <v>86.497136654345496</v>
      </c>
      <c r="AN5209">
        <v>0.99999997824940101</v>
      </c>
    </row>
    <row r="5210" spans="1:40" x14ac:dyDescent="0.25">
      <c r="A5210" t="str">
        <f>"20190312172220836"</f>
        <v>20190312172220836</v>
      </c>
      <c r="B5210" t="str">
        <f>"1552382540826105"</f>
        <v>1552382540826105</v>
      </c>
      <c r="C5210" t="s">
        <v>40</v>
      </c>
      <c r="D5210">
        <v>3.2604500000000001</v>
      </c>
      <c r="E5210">
        <v>0.51980789999999999</v>
      </c>
      <c r="F5210" t="s">
        <v>42</v>
      </c>
      <c r="G5210">
        <v>-260.4599</v>
      </c>
      <c r="H5210" s="1">
        <v>-4.6876130000000004E-6</v>
      </c>
      <c r="I5210">
        <v>142.81890000000001</v>
      </c>
      <c r="J5210">
        <v>-230.76060000000001</v>
      </c>
      <c r="K5210">
        <v>1.1083799999999999</v>
      </c>
      <c r="L5210">
        <v>140.77520000000001</v>
      </c>
      <c r="M5210">
        <v>-0.99910049999999995</v>
      </c>
      <c r="N5210">
        <v>0</v>
      </c>
      <c r="O5210">
        <v>-4.2010730000000003E-2</v>
      </c>
      <c r="P5210">
        <v>-0.98414610000000002</v>
      </c>
      <c r="Q5210">
        <v>0.17647599999999999</v>
      </c>
      <c r="R5210">
        <v>1.7686710000000001E-2</v>
      </c>
      <c r="S5210">
        <v>-3.065048</v>
      </c>
      <c r="T5210">
        <v>-0.1133579</v>
      </c>
      <c r="U5210">
        <v>0.2079773</v>
      </c>
      <c r="V5210">
        <v>5.9524189999999998E-2</v>
      </c>
      <c r="W5210">
        <v>0.1819849</v>
      </c>
      <c r="X5210">
        <v>0.98149799999999998</v>
      </c>
      <c r="Y5210">
        <v>0.10945100000000001</v>
      </c>
      <c r="Z5210">
        <v>3.5726080000000001E-3</v>
      </c>
      <c r="AA5210">
        <v>0.99398580000000003</v>
      </c>
      <c r="AB5210">
        <v>27</v>
      </c>
      <c r="AC5210">
        <v>-29.699299999999901</v>
      </c>
      <c r="AD5210">
        <v>-1.1083846876129999</v>
      </c>
      <c r="AE5210">
        <v>2.0436999999999999</v>
      </c>
      <c r="AF5210">
        <v>3.2850518653337</v>
      </c>
      <c r="AG5210">
        <v>-1.1083846876129999</v>
      </c>
      <c r="AH5210">
        <v>29.5462625521969</v>
      </c>
      <c r="AI5210">
        <v>92.135215055455703</v>
      </c>
      <c r="AJ5210">
        <v>83.655720899425603</v>
      </c>
      <c r="AK5210">
        <v>29.748978355180899</v>
      </c>
      <c r="AL5210">
        <v>79.514603761223199</v>
      </c>
      <c r="AM5210">
        <v>86.529475507061306</v>
      </c>
      <c r="AN5210">
        <v>0.99999997851358202</v>
      </c>
    </row>
    <row r="5211" spans="1:40" x14ac:dyDescent="0.25">
      <c r="A5211" t="str">
        <f>"20190312172220858"</f>
        <v>20190312172220858</v>
      </c>
      <c r="B5211" t="str">
        <f>"1552382540855385"</f>
        <v>1552382540855385</v>
      </c>
      <c r="C5211" t="s">
        <v>40</v>
      </c>
      <c r="D5211">
        <v>3.237304</v>
      </c>
      <c r="E5211">
        <v>0.51984019999999997</v>
      </c>
      <c r="F5211" t="s">
        <v>42</v>
      </c>
      <c r="G5211">
        <v>-260.82420000000002</v>
      </c>
      <c r="H5211" s="1">
        <v>-4.5670800000000002E-6</v>
      </c>
      <c r="I5211">
        <v>142.8382</v>
      </c>
      <c r="J5211">
        <v>-231.0257</v>
      </c>
      <c r="K5211">
        <v>1.108366</v>
      </c>
      <c r="L5211">
        <v>140.76570000000001</v>
      </c>
      <c r="M5211">
        <v>-0.99916419999999995</v>
      </c>
      <c r="N5211">
        <v>0</v>
      </c>
      <c r="O5211">
        <v>-4.046458E-2</v>
      </c>
      <c r="P5211">
        <v>-0.98428530000000003</v>
      </c>
      <c r="Q5211">
        <v>0.17566499999999999</v>
      </c>
      <c r="R5211">
        <v>1.800879E-2</v>
      </c>
      <c r="S5211">
        <v>-3.0648040000000001</v>
      </c>
      <c r="T5211">
        <v>-0.1129932</v>
      </c>
      <c r="U5211">
        <v>0.2103119</v>
      </c>
      <c r="V5211">
        <v>5.8332750000000003E-2</v>
      </c>
      <c r="W5211">
        <v>0.18118770000000001</v>
      </c>
      <c r="X5211">
        <v>0.98171699999999995</v>
      </c>
      <c r="Y5211">
        <v>0.10867400000000001</v>
      </c>
      <c r="Z5211">
        <v>3.4900959999999998E-3</v>
      </c>
      <c r="AA5211">
        <v>0.99407129999999999</v>
      </c>
      <c r="AB5211">
        <v>27</v>
      </c>
      <c r="AC5211">
        <v>-29.798500000000001</v>
      </c>
      <c r="AD5211">
        <v>-1.1083705670799999</v>
      </c>
      <c r="AE5211">
        <v>2.07249999999999</v>
      </c>
      <c r="AF5211">
        <v>3.2721013264545999</v>
      </c>
      <c r="AG5211">
        <v>-1.1083705670799999</v>
      </c>
      <c r="AH5211">
        <v>29.649406499761199</v>
      </c>
      <c r="AI5211">
        <v>92.1279584476748</v>
      </c>
      <c r="AJ5211">
        <v>83.702336122767406</v>
      </c>
      <c r="AK5211">
        <v>29.849998964700699</v>
      </c>
      <c r="AL5211">
        <v>79.561052181163404</v>
      </c>
      <c r="AM5211">
        <v>86.5995339675342</v>
      </c>
      <c r="AN5211">
        <v>0.999999980221426</v>
      </c>
    </row>
    <row r="5212" spans="1:40" x14ac:dyDescent="0.25">
      <c r="A5212" t="str">
        <f>"20190312172220880"</f>
        <v>20190312172220880</v>
      </c>
      <c r="B5212" t="str">
        <f>"1552382540875882"</f>
        <v>1552382540875882</v>
      </c>
      <c r="C5212" t="s">
        <v>40</v>
      </c>
      <c r="D5212">
        <v>3.2380490000000002</v>
      </c>
      <c r="E5212">
        <v>0.51974089999999995</v>
      </c>
      <c r="F5212" t="s">
        <v>42</v>
      </c>
      <c r="G5212">
        <v>-260.5976</v>
      </c>
      <c r="H5212" s="1">
        <v>-4.6387969999999997E-6</v>
      </c>
      <c r="I5212">
        <v>142.80779999999999</v>
      </c>
      <c r="J5212">
        <v>-231.29689999999999</v>
      </c>
      <c r="K5212">
        <v>1.1083529999999999</v>
      </c>
      <c r="L5212">
        <v>140.75640000000001</v>
      </c>
      <c r="M5212">
        <v>-0.99922699999999998</v>
      </c>
      <c r="N5212">
        <v>0</v>
      </c>
      <c r="O5212">
        <v>-3.888374E-2</v>
      </c>
      <c r="P5212">
        <v>-0.98454379999999997</v>
      </c>
      <c r="Q5212">
        <v>0.17421600000000001</v>
      </c>
      <c r="R5212">
        <v>1.795165E-2</v>
      </c>
      <c r="S5212">
        <v>-3.064514</v>
      </c>
      <c r="T5212">
        <v>-0.11486</v>
      </c>
      <c r="U5212">
        <v>0.21162410000000001</v>
      </c>
      <c r="V5212">
        <v>5.6730580000000003E-2</v>
      </c>
      <c r="W5212">
        <v>0.17975539999999901</v>
      </c>
      <c r="X5212">
        <v>0.98207409999999995</v>
      </c>
      <c r="Y5212">
        <v>0.10752979999999999</v>
      </c>
      <c r="Z5212">
        <v>3.467426E-3</v>
      </c>
      <c r="AA5212">
        <v>0.99419579999999996</v>
      </c>
      <c r="AB5212">
        <v>27</v>
      </c>
      <c r="AC5212">
        <v>-29.300699999999999</v>
      </c>
      <c r="AD5212">
        <v>-1.108357638797</v>
      </c>
      <c r="AE5212">
        <v>2.0513999999999699</v>
      </c>
      <c r="AF5212">
        <v>3.18465378286183</v>
      </c>
      <c r="AG5212">
        <v>-1.108357638797</v>
      </c>
      <c r="AH5212">
        <v>29.1572558222657</v>
      </c>
      <c r="AI5212">
        <v>92.164084090672404</v>
      </c>
      <c r="AJ5212">
        <v>83.766670768606105</v>
      </c>
      <c r="AK5212">
        <v>29.351593542041599</v>
      </c>
      <c r="AL5212">
        <v>79.644486602906397</v>
      </c>
      <c r="AM5212">
        <v>86.6939210017416</v>
      </c>
      <c r="AN5212">
        <v>0.99999995021355104</v>
      </c>
    </row>
    <row r="5213" spans="1:40" x14ac:dyDescent="0.25">
      <c r="A5213" t="str">
        <f>"20190312172220903"</f>
        <v>20190312172220903</v>
      </c>
      <c r="B5213" t="str">
        <f>"1552382540895404"</f>
        <v>1552382540895404</v>
      </c>
      <c r="C5213" t="s">
        <v>40</v>
      </c>
      <c r="D5213">
        <v>3.2733829999999999</v>
      </c>
      <c r="E5213">
        <v>0.51967019999999997</v>
      </c>
      <c r="F5213" t="s">
        <v>42</v>
      </c>
      <c r="G5213">
        <v>-259.91489999999999</v>
      </c>
      <c r="H5213" s="1">
        <v>-8.4660729999999998E-7</v>
      </c>
      <c r="I5213">
        <v>142.72730000000001</v>
      </c>
      <c r="J5213">
        <v>-231.5789</v>
      </c>
      <c r="K5213">
        <v>1.1083369999999999</v>
      </c>
      <c r="L5213">
        <v>140.74709999999999</v>
      </c>
      <c r="M5213">
        <v>-0.99928950000000005</v>
      </c>
      <c r="N5213">
        <v>0</v>
      </c>
      <c r="O5213">
        <v>-3.7241150000000001E-2</v>
      </c>
      <c r="P5213">
        <v>-0.98459969999999997</v>
      </c>
      <c r="Q5213">
        <v>0.17390700000000001</v>
      </c>
      <c r="R5213">
        <v>1.7889249999999999E-2</v>
      </c>
      <c r="S5213">
        <v>-3.0642550000000002</v>
      </c>
      <c r="T5213">
        <v>-0.11867659999999999</v>
      </c>
      <c r="U5213">
        <v>0.21104429999999999</v>
      </c>
      <c r="V5213">
        <v>5.5057479999999999E-2</v>
      </c>
      <c r="W5213">
        <v>0.1794618</v>
      </c>
      <c r="X5213">
        <v>0.98222310000000002</v>
      </c>
      <c r="Y5213">
        <v>0.1057096</v>
      </c>
      <c r="Z5213">
        <v>3.4841640000000001E-3</v>
      </c>
      <c r="AA5213">
        <v>0.99439100000000002</v>
      </c>
      <c r="AB5213">
        <v>27</v>
      </c>
      <c r="AC5213">
        <v>-28.335999999999899</v>
      </c>
      <c r="AD5213">
        <v>-1.1083378466072999</v>
      </c>
      <c r="AE5213">
        <v>1.9802000000000199</v>
      </c>
      <c r="AF5213">
        <v>3.0294969083534999</v>
      </c>
      <c r="AG5213">
        <v>-1.1083378466072999</v>
      </c>
      <c r="AH5213">
        <v>28.199663301004499</v>
      </c>
      <c r="AI5213">
        <v>92.237886957261196</v>
      </c>
      <c r="AJ5213">
        <v>83.868217353866498</v>
      </c>
      <c r="AK5213">
        <v>28.3835740277712</v>
      </c>
      <c r="AL5213">
        <v>79.661587672866304</v>
      </c>
      <c r="AM5213">
        <v>86.791702898156103</v>
      </c>
      <c r="AN5213">
        <v>1.00000004096839</v>
      </c>
    </row>
    <row r="5214" spans="1:40" x14ac:dyDescent="0.25">
      <c r="A5214" t="str">
        <f>"20190312172220915"</f>
        <v>20190312172220915</v>
      </c>
      <c r="B5214" t="str">
        <f>"1552382540906137"</f>
        <v>1552382540906137</v>
      </c>
      <c r="C5214" t="s">
        <v>40</v>
      </c>
      <c r="D5214">
        <v>3.238699</v>
      </c>
      <c r="E5214">
        <v>0.51960770000000001</v>
      </c>
      <c r="F5214" t="s">
        <v>42</v>
      </c>
      <c r="G5214">
        <v>-260.01859999999999</v>
      </c>
      <c r="H5214" s="1">
        <v>-4.8158240000000004E-6</v>
      </c>
      <c r="I5214">
        <v>142.6951</v>
      </c>
      <c r="J5214">
        <v>-231.73400000000001</v>
      </c>
      <c r="K5214">
        <v>1.1083350000000001</v>
      </c>
      <c r="L5214">
        <v>140.7422</v>
      </c>
      <c r="M5214">
        <v>-0.99932279999999996</v>
      </c>
      <c r="N5214">
        <v>0</v>
      </c>
      <c r="O5214">
        <v>-3.6338370000000002E-2</v>
      </c>
      <c r="P5214">
        <v>-0.98469439999999997</v>
      </c>
      <c r="Q5214">
        <v>0.1734067</v>
      </c>
      <c r="R5214">
        <v>1.7533079999999999E-2</v>
      </c>
      <c r="S5214">
        <v>-3.064209</v>
      </c>
      <c r="T5214">
        <v>-0.11941740000000001</v>
      </c>
      <c r="U5214">
        <v>0.2098846</v>
      </c>
      <c r="V5214">
        <v>5.3817370000000003E-2</v>
      </c>
      <c r="W5214">
        <v>0.17897150000000001</v>
      </c>
      <c r="X5214">
        <v>0.98238119999999995</v>
      </c>
      <c r="Y5214">
        <v>0.1044379</v>
      </c>
      <c r="Z5214">
        <v>3.4461169999999998E-3</v>
      </c>
      <c r="AA5214">
        <v>0.9945254</v>
      </c>
      <c r="AB5214">
        <v>27</v>
      </c>
      <c r="AC5214">
        <v>-28.284599999999902</v>
      </c>
      <c r="AD5214">
        <v>-1.1083398158239901</v>
      </c>
      <c r="AE5214">
        <v>1.9529000000000001</v>
      </c>
      <c r="AF5214">
        <v>2.9748973692610501</v>
      </c>
      <c r="AG5214">
        <v>-1.1083398158239901</v>
      </c>
      <c r="AH5214">
        <v>28.1519304358957</v>
      </c>
      <c r="AI5214">
        <v>92.242096150117504</v>
      </c>
      <c r="AJ5214">
        <v>83.967773322722607</v>
      </c>
      <c r="AK5214">
        <v>28.3303656660567</v>
      </c>
      <c r="AL5214">
        <v>79.690141303608698</v>
      </c>
      <c r="AM5214">
        <v>86.864324115570497</v>
      </c>
      <c r="AN5214">
        <v>0.99999996461970198</v>
      </c>
    </row>
    <row r="5215" spans="1:40" x14ac:dyDescent="0.25">
      <c r="A5215" t="str">
        <f>"20190312172220937"</f>
        <v>20190312172220937</v>
      </c>
      <c r="B5215" t="str">
        <f>"1552382540925656"</f>
        <v>1552382540925656</v>
      </c>
      <c r="C5215" t="s">
        <v>40</v>
      </c>
      <c r="D5215">
        <v>3.239182</v>
      </c>
      <c r="E5215">
        <v>0.51948539999999999</v>
      </c>
      <c r="F5215" t="s">
        <v>42</v>
      </c>
      <c r="G5215">
        <v>-259.81319999999999</v>
      </c>
      <c r="H5215" s="1">
        <v>-8.6867159999999898E-7</v>
      </c>
      <c r="I5215">
        <v>142.64619999999999</v>
      </c>
      <c r="J5215">
        <v>-231.99619999999999</v>
      </c>
      <c r="K5215">
        <v>1.108317</v>
      </c>
      <c r="L5215">
        <v>140.73429999999999</v>
      </c>
      <c r="M5215">
        <v>-0.99937690000000001</v>
      </c>
      <c r="N5215">
        <v>0</v>
      </c>
      <c r="O5215">
        <v>-3.4812370000000002E-2</v>
      </c>
      <c r="P5215">
        <v>-0.98486410000000002</v>
      </c>
      <c r="Q5215">
        <v>0.1725177</v>
      </c>
      <c r="R5215">
        <v>1.674546E-2</v>
      </c>
      <c r="S5215">
        <v>-3.064209</v>
      </c>
      <c r="T5215">
        <v>-0.12095</v>
      </c>
      <c r="U5215">
        <v>0.20777889999999999</v>
      </c>
      <c r="V5215">
        <v>5.1535699999999997E-2</v>
      </c>
      <c r="W5215">
        <v>0.178099799999999</v>
      </c>
      <c r="X5215">
        <v>0.98266200000000004</v>
      </c>
      <c r="Y5215">
        <v>0.10223889999999999</v>
      </c>
      <c r="Z5215">
        <v>3.3869030000000001E-3</v>
      </c>
      <c r="AA5215">
        <v>0.99475409999999997</v>
      </c>
      <c r="AB5215">
        <v>27</v>
      </c>
      <c r="AC5215">
        <v>-27.817</v>
      </c>
      <c r="AD5215">
        <v>-1.1083178686716</v>
      </c>
      <c r="AE5215">
        <v>1.9118999999999999</v>
      </c>
      <c r="AF5215">
        <v>2.8745913099707798</v>
      </c>
      <c r="AG5215">
        <v>-1.1083178686716</v>
      </c>
      <c r="AH5215">
        <v>27.689829336705799</v>
      </c>
      <c r="AI5215">
        <v>92.2798676852737</v>
      </c>
      <c r="AJ5215">
        <v>84.073128379667295</v>
      </c>
      <c r="AK5215">
        <v>27.860694398978499</v>
      </c>
      <c r="AL5215">
        <v>79.740902328457807</v>
      </c>
      <c r="AM5215">
        <v>86.997873754902201</v>
      </c>
      <c r="AN5215">
        <v>1.0000000366892601</v>
      </c>
    </row>
    <row r="5216" spans="1:40" x14ac:dyDescent="0.25">
      <c r="A5216" t="str">
        <f>"20190312172220958"</f>
        <v>20190312172220958</v>
      </c>
      <c r="B5216" t="str">
        <f>"1552382540955913"</f>
        <v>1552382540955913</v>
      </c>
      <c r="C5216" t="s">
        <v>40</v>
      </c>
      <c r="D5216">
        <v>3.2301679999999999</v>
      </c>
      <c r="E5216">
        <v>0.51936850000000001</v>
      </c>
      <c r="F5216" t="s">
        <v>42</v>
      </c>
      <c r="G5216">
        <v>-259.62970000000001</v>
      </c>
      <c r="H5216" s="1">
        <v>-9.2809299999999997E-7</v>
      </c>
      <c r="I5216">
        <v>142.5736</v>
      </c>
      <c r="J5216">
        <v>-232.26150000000001</v>
      </c>
      <c r="K5216">
        <v>1.1082970000000001</v>
      </c>
      <c r="L5216">
        <v>140.72659999999999</v>
      </c>
      <c r="M5216">
        <v>-0.99942940000000002</v>
      </c>
      <c r="N5216">
        <v>0</v>
      </c>
      <c r="O5216">
        <v>-3.3269559999999997E-2</v>
      </c>
      <c r="P5216">
        <v>-0.98503309999999999</v>
      </c>
      <c r="Q5216">
        <v>0.17167769999999999</v>
      </c>
      <c r="R5216">
        <v>1.538546E-2</v>
      </c>
      <c r="S5216">
        <v>-3.0641479999999999</v>
      </c>
      <c r="T5216">
        <v>-0.12289659999999999</v>
      </c>
      <c r="U5216">
        <v>0.20396420000000001</v>
      </c>
      <c r="V5216">
        <v>4.8664659999999998E-2</v>
      </c>
      <c r="W5216">
        <v>0.17727960000000001</v>
      </c>
      <c r="X5216">
        <v>0.98295659999999896</v>
      </c>
      <c r="Y5216">
        <v>9.9471359999999995E-2</v>
      </c>
      <c r="Z5216">
        <v>3.3243629999999999E-3</v>
      </c>
      <c r="AA5216">
        <v>0.99503490000000006</v>
      </c>
      <c r="AB5216">
        <v>27</v>
      </c>
      <c r="AC5216">
        <v>-27.368200000000002</v>
      </c>
      <c r="AD5216">
        <v>-1.1082979280930001</v>
      </c>
      <c r="AE5216">
        <v>1.847</v>
      </c>
      <c r="AF5216">
        <v>2.7520283270224799</v>
      </c>
      <c r="AG5216">
        <v>-1.1082979280930001</v>
      </c>
      <c r="AH5216">
        <v>27.2471186421369</v>
      </c>
      <c r="AI5216">
        <v>92.317488747089001</v>
      </c>
      <c r="AJ5216">
        <v>84.232539656815305</v>
      </c>
      <c r="AK5216">
        <v>27.408164084973599</v>
      </c>
      <c r="AL5216">
        <v>79.788655790067907</v>
      </c>
      <c r="AM5216">
        <v>87.165688832342596</v>
      </c>
      <c r="AN5216">
        <v>0.99999999159631703</v>
      </c>
    </row>
    <row r="5217" spans="1:40" x14ac:dyDescent="0.25">
      <c r="A5217" t="str">
        <f>"20190312172220981"</f>
        <v>20190312172220981</v>
      </c>
      <c r="B5217" t="str">
        <f>"1552382540975433"</f>
        <v>1552382540975433</v>
      </c>
      <c r="C5217" t="s">
        <v>40</v>
      </c>
      <c r="D5217">
        <v>3.2414679999999998</v>
      </c>
      <c r="E5217">
        <v>0.51936669999999996</v>
      </c>
      <c r="F5217" t="s">
        <v>42</v>
      </c>
      <c r="G5217">
        <v>-259.50970000000001</v>
      </c>
      <c r="H5217" s="1">
        <v>-9.5904110000000006E-7</v>
      </c>
      <c r="I5217">
        <v>142.4965</v>
      </c>
      <c r="J5217">
        <v>-232.5333</v>
      </c>
      <c r="K5217">
        <v>1.1082860000000001</v>
      </c>
      <c r="L5217">
        <v>140.7192</v>
      </c>
      <c r="M5217">
        <v>-0.99948079999999995</v>
      </c>
      <c r="N5217">
        <v>0</v>
      </c>
      <c r="O5217">
        <v>-3.1689429999999998E-2</v>
      </c>
      <c r="P5217">
        <v>-0.9851394</v>
      </c>
      <c r="Q5217">
        <v>0.1711715</v>
      </c>
      <c r="R5217">
        <v>1.4185430000000001E-2</v>
      </c>
      <c r="S5217">
        <v>-3.0641630000000002</v>
      </c>
      <c r="T5217">
        <v>-0.1246326</v>
      </c>
      <c r="U5217">
        <v>0.19903560000000001</v>
      </c>
      <c r="V5217">
        <v>4.5915440000000002E-2</v>
      </c>
      <c r="W5217">
        <v>0.17679239999999999</v>
      </c>
      <c r="X5217">
        <v>0.98317659999999996</v>
      </c>
      <c r="Y5217">
        <v>9.6304669999999995E-2</v>
      </c>
      <c r="Z5217">
        <v>3.242942E-3</v>
      </c>
      <c r="AA5217">
        <v>0.99534659999999997</v>
      </c>
      <c r="AB5217">
        <v>28</v>
      </c>
      <c r="AC5217">
        <v>-26.976400000000002</v>
      </c>
      <c r="AD5217">
        <v>-1.1082869590411</v>
      </c>
      <c r="AE5217">
        <v>1.7772999999999901</v>
      </c>
      <c r="AF5217">
        <v>2.6268739462288901</v>
      </c>
      <c r="AG5217">
        <v>-1.1082869590411</v>
      </c>
      <c r="AH5217">
        <v>26.861386122493201</v>
      </c>
      <c r="AI5217">
        <v>92.351449552163203</v>
      </c>
      <c r="AJ5217">
        <v>84.414594911100295</v>
      </c>
      <c r="AK5217">
        <v>27.012271861778402</v>
      </c>
      <c r="AL5217">
        <v>79.817018421</v>
      </c>
      <c r="AM5217">
        <v>87.326166156119399</v>
      </c>
      <c r="AN5217">
        <v>1.00000000355785</v>
      </c>
    </row>
    <row r="5218" spans="1:40" x14ac:dyDescent="0.25">
      <c r="A5218" t="str">
        <f>"20190312172221003"</f>
        <v>20190312172221003</v>
      </c>
      <c r="B5218" t="str">
        <f>"1552382540995929"</f>
        <v>1552382540995929</v>
      </c>
      <c r="C5218" t="s">
        <v>40</v>
      </c>
      <c r="D5218">
        <v>3.244815</v>
      </c>
      <c r="E5218">
        <v>0.51939539999999995</v>
      </c>
      <c r="F5218" t="s">
        <v>42</v>
      </c>
      <c r="G5218">
        <v>-259.58629999999999</v>
      </c>
      <c r="H5218" s="1">
        <v>-9.1143969999999998E-7</v>
      </c>
      <c r="I5218">
        <v>142.44110000000001</v>
      </c>
      <c r="J5218">
        <v>-232.8244</v>
      </c>
      <c r="K5218">
        <v>1.1082700000000001</v>
      </c>
      <c r="L5218">
        <v>140.71170000000001</v>
      </c>
      <c r="M5218">
        <v>-0.99953289999999995</v>
      </c>
      <c r="N5218">
        <v>0</v>
      </c>
      <c r="O5218">
        <v>-2.9998799999999999E-2</v>
      </c>
      <c r="P5218">
        <v>-0.98514939999999995</v>
      </c>
      <c r="Q5218">
        <v>0.17117850000000001</v>
      </c>
      <c r="R5218">
        <v>1.3369560000000001E-2</v>
      </c>
      <c r="S5218">
        <v>-3.0642550000000002</v>
      </c>
      <c r="T5218">
        <v>-0.12553439999999999</v>
      </c>
      <c r="U5218">
        <v>0.19505310000000001</v>
      </c>
      <c r="V5218">
        <v>4.343938E-2</v>
      </c>
      <c r="W5218">
        <v>0.17681769999999999</v>
      </c>
      <c r="X5218">
        <v>0.98328450000000001</v>
      </c>
      <c r="Y5218">
        <v>9.3332830000000006E-2</v>
      </c>
      <c r="Z5218">
        <v>3.1364610000000001E-3</v>
      </c>
      <c r="AA5218">
        <v>0.99563000000000001</v>
      </c>
      <c r="AB5218">
        <v>28</v>
      </c>
      <c r="AC5218">
        <v>-26.761900000000001</v>
      </c>
      <c r="AD5218">
        <v>-1.1082709114397</v>
      </c>
      <c r="AE5218">
        <v>1.7293999999999901</v>
      </c>
      <c r="AF5218">
        <v>2.5271442185869999</v>
      </c>
      <c r="AG5218">
        <v>-1.1082709114397</v>
      </c>
      <c r="AH5218">
        <v>26.652455946762</v>
      </c>
      <c r="AI5218">
        <v>92.370499617157506</v>
      </c>
      <c r="AJ5218">
        <v>84.583497418229797</v>
      </c>
      <c r="AK5218">
        <v>26.794927324192798</v>
      </c>
      <c r="AL5218">
        <v>79.815545015676193</v>
      </c>
      <c r="AM5218">
        <v>87.470441304743005</v>
      </c>
      <c r="AN5218">
        <v>0.99999994335415998</v>
      </c>
    </row>
    <row r="5219" spans="1:40" x14ac:dyDescent="0.25">
      <c r="A5219" t="str">
        <f>"20190312172221025"</f>
        <v>20190312172221025</v>
      </c>
      <c r="B5219" t="str">
        <f>"1552382541015448"</f>
        <v>1552382541015448</v>
      </c>
      <c r="C5219" t="s">
        <v>40</v>
      </c>
      <c r="D5219">
        <v>3.2918690000000002</v>
      </c>
      <c r="E5219">
        <v>0.51938850000000003</v>
      </c>
      <c r="F5219" t="s">
        <v>42</v>
      </c>
      <c r="G5219">
        <v>-260.0027</v>
      </c>
      <c r="H5219" s="1">
        <v>-4.7724110000000003E-6</v>
      </c>
      <c r="I5219">
        <v>142.41970000000001</v>
      </c>
      <c r="J5219">
        <v>-233.0977</v>
      </c>
      <c r="K5219">
        <v>1.1082650000000001</v>
      </c>
      <c r="L5219">
        <v>140.70519999999999</v>
      </c>
      <c r="M5219">
        <v>-0.99957910000000005</v>
      </c>
      <c r="N5219">
        <v>0</v>
      </c>
      <c r="O5219">
        <v>-2.8411280000000001E-2</v>
      </c>
      <c r="P5219">
        <v>-0.9852573</v>
      </c>
      <c r="Q5219">
        <v>0.17076169999999999</v>
      </c>
      <c r="R5219">
        <v>1.041431E-2</v>
      </c>
      <c r="S5219">
        <v>-3.0643310000000001</v>
      </c>
      <c r="T5219">
        <v>-0.1249572</v>
      </c>
      <c r="U5219">
        <v>0.19258120000000001</v>
      </c>
      <c r="V5219">
        <v>3.8927719999999999E-2</v>
      </c>
      <c r="W5219">
        <v>0.1764259</v>
      </c>
      <c r="X5219">
        <v>0.98354390000000003</v>
      </c>
      <c r="Y5219">
        <v>9.0954010000000002E-2</v>
      </c>
      <c r="Z5219">
        <v>3.0089600000000002E-3</v>
      </c>
      <c r="AA5219">
        <v>0.99585060000000003</v>
      </c>
      <c r="AB5219">
        <v>28</v>
      </c>
      <c r="AC5219">
        <v>-26.905000000000001</v>
      </c>
      <c r="AD5219">
        <v>-1.108269772411</v>
      </c>
      <c r="AE5219">
        <v>1.7145000000000099</v>
      </c>
      <c r="AF5219">
        <v>2.4740455805819401</v>
      </c>
      <c r="AG5219">
        <v>-1.108269772411</v>
      </c>
      <c r="AH5219">
        <v>26.8001366211715</v>
      </c>
      <c r="AI5219">
        <v>92.357996398274807</v>
      </c>
      <c r="AJ5219">
        <v>84.725708025902193</v>
      </c>
      <c r="AK5219">
        <v>26.9368982315465</v>
      </c>
      <c r="AL5219">
        <v>79.838352992837301</v>
      </c>
      <c r="AM5219">
        <v>87.733471258423606</v>
      </c>
      <c r="AN5219">
        <v>1.0000000344012001</v>
      </c>
    </row>
    <row r="5220" spans="1:40" x14ac:dyDescent="0.25">
      <c r="A5220" t="str">
        <f>"20190312172221037"</f>
        <v>20190312172221037</v>
      </c>
      <c r="B5220" t="str">
        <f>"1552382541026185"</f>
        <v>1552382541026185</v>
      </c>
      <c r="C5220" t="s">
        <v>40</v>
      </c>
      <c r="D5220">
        <v>3.2462219999999999</v>
      </c>
      <c r="E5220">
        <v>0.49898029999999999</v>
      </c>
      <c r="F5220" t="s">
        <v>42</v>
      </c>
      <c r="G5220">
        <v>-259.99829999999997</v>
      </c>
      <c r="H5220" s="1">
        <v>-4.755229E-6</v>
      </c>
      <c r="I5220">
        <v>142.31450000000001</v>
      </c>
      <c r="J5220">
        <v>-233.25899999999999</v>
      </c>
      <c r="K5220">
        <v>1.108258</v>
      </c>
      <c r="L5220">
        <v>140.70150000000001</v>
      </c>
      <c r="M5220">
        <v>-0.99960539999999998</v>
      </c>
      <c r="N5220">
        <v>0</v>
      </c>
      <c r="O5220">
        <v>-2.7474060000000002E-2</v>
      </c>
      <c r="P5220">
        <v>-0.98530070000000003</v>
      </c>
      <c r="Q5220">
        <v>0.17055290000000001</v>
      </c>
      <c r="R5220">
        <v>9.7263660000000002E-3</v>
      </c>
      <c r="S5220">
        <v>-3.064835</v>
      </c>
      <c r="T5220">
        <v>-0.1262673</v>
      </c>
      <c r="U5220">
        <v>0.1833649</v>
      </c>
      <c r="V5220">
        <v>3.7319989999999997E-2</v>
      </c>
      <c r="W5220">
        <v>0.1762282</v>
      </c>
      <c r="X5220">
        <v>0.9836416</v>
      </c>
      <c r="Y5220">
        <v>8.7027969999999996E-2</v>
      </c>
      <c r="Z5220">
        <v>2.9209140000000001E-3</v>
      </c>
      <c r="AA5220">
        <v>0.99620160000000002</v>
      </c>
      <c r="AB5220">
        <v>28</v>
      </c>
      <c r="AC5220">
        <v>-26.739299999999901</v>
      </c>
      <c r="AD5220">
        <v>-1.1082627552290001</v>
      </c>
      <c r="AE5220">
        <v>1.61299999999999</v>
      </c>
      <c r="AF5220">
        <v>2.34303041829794</v>
      </c>
      <c r="AG5220">
        <v>-1.1082627552290001</v>
      </c>
      <c r="AH5220">
        <v>26.639293192545701</v>
      </c>
      <c r="AI5220">
        <v>92.373126355785203</v>
      </c>
      <c r="AJ5220">
        <v>84.973545996846099</v>
      </c>
      <c r="AK5220">
        <v>26.7650888224588</v>
      </c>
      <c r="AL5220">
        <v>79.849860103131505</v>
      </c>
      <c r="AM5220">
        <v>87.827203737228501</v>
      </c>
      <c r="AN5220">
        <v>0.99999997868969903</v>
      </c>
    </row>
    <row r="5221" spans="1:40" x14ac:dyDescent="0.25">
      <c r="A5221" t="str">
        <f>"20190312172221059"</f>
        <v>20190312172221059</v>
      </c>
      <c r="B5221" t="str">
        <f>"1552382541045704"</f>
        <v>1552382541045704</v>
      </c>
      <c r="C5221" t="s">
        <v>40</v>
      </c>
      <c r="D5221">
        <v>3.2606820000000001</v>
      </c>
      <c r="E5221">
        <v>0.49491410000000002</v>
      </c>
      <c r="F5221" t="s">
        <v>42</v>
      </c>
      <c r="G5221">
        <v>-259.40019999999998</v>
      </c>
      <c r="H5221" s="1">
        <v>-5.7062079999999995E-7</v>
      </c>
      <c r="I5221">
        <v>140.86019999999999</v>
      </c>
      <c r="J5221">
        <v>-233.51439999999999</v>
      </c>
      <c r="K5221">
        <v>1.1082430000000001</v>
      </c>
      <c r="L5221">
        <v>140.69589999999999</v>
      </c>
      <c r="M5221">
        <v>-0.99964489999999995</v>
      </c>
      <c r="N5221">
        <v>0</v>
      </c>
      <c r="O5221">
        <v>-2.5989769999999999E-2</v>
      </c>
      <c r="P5221">
        <v>-0.98536089999999998</v>
      </c>
      <c r="Q5221">
        <v>0.17031579999999999</v>
      </c>
      <c r="R5221">
        <v>7.5296260000000002E-3</v>
      </c>
      <c r="S5221">
        <v>-3.0670929999999998</v>
      </c>
      <c r="T5221">
        <v>-0.13003000000000001</v>
      </c>
      <c r="U5221">
        <v>1.8630979999999998E-2</v>
      </c>
      <c r="V5221">
        <v>3.3666630000000003E-2</v>
      </c>
      <c r="W5221">
        <v>0.1760128</v>
      </c>
      <c r="X5221">
        <v>0.98381200000000002</v>
      </c>
      <c r="Y5221">
        <v>3.2009959999999997E-2</v>
      </c>
      <c r="Z5221">
        <v>1.7795090000000001E-3</v>
      </c>
      <c r="AA5221">
        <v>0.99948599999999999</v>
      </c>
      <c r="AB5221">
        <v>28</v>
      </c>
      <c r="AC5221">
        <v>-25.8857999999999</v>
      </c>
      <c r="AD5221">
        <v>-1.1082435706208</v>
      </c>
      <c r="AE5221">
        <v>0.164299999999997</v>
      </c>
      <c r="AF5221">
        <v>0.83549078905229002</v>
      </c>
      <c r="AG5221">
        <v>-1.1082435706208</v>
      </c>
      <c r="AH5221">
        <v>25.825451023470499</v>
      </c>
      <c r="AI5221">
        <v>92.455933999985504</v>
      </c>
      <c r="AJ5221">
        <v>88.147044714549295</v>
      </c>
      <c r="AK5221">
        <v>25.862717746518602</v>
      </c>
      <c r="AL5221">
        <v>79.862397806290602</v>
      </c>
      <c r="AM5221">
        <v>88.040069270554298</v>
      </c>
      <c r="AN5221">
        <v>0.99999999954169805</v>
      </c>
    </row>
    <row r="5222" spans="1:40" x14ac:dyDescent="0.25">
      <c r="A5222" t="str">
        <f>"20190312172221081"</f>
        <v>20190312172221081</v>
      </c>
      <c r="B5222" t="str">
        <f>"1552382541075961"</f>
        <v>1552382541075961</v>
      </c>
      <c r="C5222" t="s">
        <v>40</v>
      </c>
      <c r="D5222">
        <v>3.2336659999999999</v>
      </c>
      <c r="E5222">
        <v>0.4934983</v>
      </c>
      <c r="F5222" t="s">
        <v>42</v>
      </c>
      <c r="G5222">
        <v>-259.3605</v>
      </c>
      <c r="H5222" s="1">
        <v>-4.9870290000000002E-7</v>
      </c>
      <c r="I5222">
        <v>140.52590000000001</v>
      </c>
      <c r="J5222">
        <v>-233.8</v>
      </c>
      <c r="K5222">
        <v>1.1082299999999901</v>
      </c>
      <c r="L5222">
        <v>140.6902</v>
      </c>
      <c r="M5222">
        <v>-0.99968670000000004</v>
      </c>
      <c r="N5222">
        <v>0</v>
      </c>
      <c r="O5222">
        <v>-2.4329420000000001E-2</v>
      </c>
      <c r="P5222">
        <v>-0.98536100000000004</v>
      </c>
      <c r="Q5222">
        <v>0.17040810000000001</v>
      </c>
      <c r="R5222">
        <v>4.9866550000000004E-3</v>
      </c>
      <c r="S5222">
        <v>-3.0674440000000001</v>
      </c>
      <c r="T5222">
        <v>-0.1315277</v>
      </c>
      <c r="U5222">
        <v>-2.0172120000000002E-2</v>
      </c>
      <c r="V5222">
        <v>2.9493249999999999E-2</v>
      </c>
      <c r="W5222">
        <v>0.1761287</v>
      </c>
      <c r="X5222">
        <v>0.98392520000000006</v>
      </c>
      <c r="Y5222">
        <v>1.7716579999999999E-2</v>
      </c>
      <c r="Z5222">
        <v>1.4222939999999999E-3</v>
      </c>
      <c r="AA5222">
        <v>0.99984200000000001</v>
      </c>
      <c r="AB5222">
        <v>28</v>
      </c>
      <c r="AC5222">
        <v>-25.560499999999902</v>
      </c>
      <c r="AD5222">
        <v>-1.1082304987028999</v>
      </c>
      <c r="AE5222">
        <v>-0.164299999999997</v>
      </c>
      <c r="AF5222">
        <v>0.45677290216392802</v>
      </c>
      <c r="AG5222">
        <v>-1.1082304987028999</v>
      </c>
      <c r="AH5222">
        <v>25.508980228562599</v>
      </c>
      <c r="AI5222">
        <v>92.487236566101004</v>
      </c>
      <c r="AJ5222">
        <v>88.974150960142296</v>
      </c>
      <c r="AK5222">
        <v>25.537127650219499</v>
      </c>
      <c r="AL5222">
        <v>79.8556516873129</v>
      </c>
      <c r="AM5222">
        <v>88.283067745824795</v>
      </c>
      <c r="AN5222">
        <v>0.99999998497714604</v>
      </c>
    </row>
    <row r="5223" spans="1:40" x14ac:dyDescent="0.25">
      <c r="A5223" t="str">
        <f>"20190312172221104"</f>
        <v>20190312172221104</v>
      </c>
      <c r="B5223" t="str">
        <f>"1552382541095484"</f>
        <v>1552382541095484</v>
      </c>
      <c r="C5223" t="s">
        <v>40</v>
      </c>
      <c r="D5223">
        <v>3.2164679999999999</v>
      </c>
      <c r="E5223">
        <v>0.49319380000000002</v>
      </c>
      <c r="F5223" t="s">
        <v>42</v>
      </c>
      <c r="G5223">
        <v>-259.67599999999999</v>
      </c>
      <c r="H5223" s="1">
        <v>-3.1805480000000001E-7</v>
      </c>
      <c r="I5223">
        <v>140.35560000000001</v>
      </c>
      <c r="J5223">
        <v>-234.0943</v>
      </c>
      <c r="K5223">
        <v>1.108214</v>
      </c>
      <c r="L5223">
        <v>140.6848</v>
      </c>
      <c r="M5223">
        <v>-0.99972680000000003</v>
      </c>
      <c r="N5223">
        <v>0</v>
      </c>
      <c r="O5223">
        <v>-2.2617680000000001E-2</v>
      </c>
      <c r="P5223">
        <v>-0.98539160000000003</v>
      </c>
      <c r="Q5223">
        <v>0.17028929999999901</v>
      </c>
      <c r="R5223">
        <v>2.3653670000000002E-3</v>
      </c>
      <c r="S5223">
        <v>-3.0674899999999998</v>
      </c>
      <c r="T5223">
        <v>-0.1313763</v>
      </c>
      <c r="U5223">
        <v>-3.965759E-2</v>
      </c>
      <c r="V5223">
        <v>2.5191310000000001E-2</v>
      </c>
      <c r="W5223">
        <v>0.17603489999999999</v>
      </c>
      <c r="X5223">
        <v>0.98406150000000003</v>
      </c>
      <c r="Y5223">
        <v>9.662637E-3</v>
      </c>
      <c r="Z5223">
        <v>1.1749340000000001E-3</v>
      </c>
      <c r="AA5223">
        <v>0.99995259999999997</v>
      </c>
      <c r="AB5223">
        <v>28</v>
      </c>
      <c r="AC5223">
        <v>-25.581699999999898</v>
      </c>
      <c r="AD5223">
        <v>-1.1082143180548001</v>
      </c>
      <c r="AE5223">
        <v>-0.329199999999985</v>
      </c>
      <c r="AF5223">
        <v>0.24902571628720899</v>
      </c>
      <c r="AG5223">
        <v>-1.1082143180548001</v>
      </c>
      <c r="AH5223">
        <v>25.534689185897399</v>
      </c>
      <c r="AI5223">
        <v>92.484979052398799</v>
      </c>
      <c r="AJ5223">
        <v>89.441243631074997</v>
      </c>
      <c r="AK5223">
        <v>25.559939448333999</v>
      </c>
      <c r="AL5223">
        <v>79.861111099645299</v>
      </c>
      <c r="AM5223">
        <v>88.533586998296499</v>
      </c>
      <c r="AN5223">
        <v>0.99999996194988705</v>
      </c>
    </row>
    <row r="5224" spans="1:40" x14ac:dyDescent="0.25">
      <c r="A5224" t="str">
        <f>"20190312172221125"</f>
        <v>20190312172221125</v>
      </c>
      <c r="B5224" t="str">
        <f>"1552382541115976"</f>
        <v>1552382541115976</v>
      </c>
      <c r="C5224" t="s">
        <v>40</v>
      </c>
      <c r="D5224">
        <v>3.2304179999999998</v>
      </c>
      <c r="E5224">
        <v>0.49312679999999998</v>
      </c>
      <c r="F5224" t="s">
        <v>42</v>
      </c>
      <c r="G5224">
        <v>-259.80160000000001</v>
      </c>
      <c r="H5224" s="1">
        <v>-2.3760629999999999E-7</v>
      </c>
      <c r="I5224">
        <v>140.25579999999999</v>
      </c>
      <c r="J5224">
        <v>-234.37119999999999</v>
      </c>
      <c r="K5224">
        <v>1.108198</v>
      </c>
      <c r="L5224">
        <v>140.68020000000001</v>
      </c>
      <c r="M5224">
        <v>-0.99976180000000003</v>
      </c>
      <c r="N5224">
        <v>0</v>
      </c>
      <c r="O5224">
        <v>-2.1007040000000001E-2</v>
      </c>
      <c r="P5224">
        <v>-0.9854851</v>
      </c>
      <c r="Q5224">
        <v>0.16975309999999999</v>
      </c>
      <c r="R5224">
        <v>-1.773246E-3</v>
      </c>
      <c r="S5224">
        <v>-3.0674589999999999</v>
      </c>
      <c r="T5224">
        <v>-0.1322352</v>
      </c>
      <c r="U5224">
        <v>-5.1177979999999998E-2</v>
      </c>
      <c r="V5224">
        <v>1.9470879999999999E-2</v>
      </c>
      <c r="W5224">
        <v>0.1755284</v>
      </c>
      <c r="X5224">
        <v>0.98428179999999998</v>
      </c>
      <c r="Y5224">
        <v>4.302831E-3</v>
      </c>
      <c r="Z5224">
        <v>9.9773250000000004E-4</v>
      </c>
      <c r="AA5224">
        <v>0.99999020000000005</v>
      </c>
      <c r="AB5224">
        <v>28</v>
      </c>
      <c r="AC5224">
        <v>-25.430399999999999</v>
      </c>
      <c r="AD5224">
        <v>-1.1081982376063</v>
      </c>
      <c r="AE5224">
        <v>-0.42440000000001898</v>
      </c>
      <c r="AF5224">
        <v>0.109712161240118</v>
      </c>
      <c r="AG5224">
        <v>-1.1081982376063</v>
      </c>
      <c r="AH5224">
        <v>25.385509509252699</v>
      </c>
      <c r="AI5224">
        <v>92.499622907597796</v>
      </c>
      <c r="AJ5224">
        <v>89.752378235272701</v>
      </c>
      <c r="AK5224">
        <v>25.4099239104826</v>
      </c>
      <c r="AL5224">
        <v>79.890590800025606</v>
      </c>
      <c r="AM5224">
        <v>88.866733325021301</v>
      </c>
      <c r="AN5224">
        <v>0.99999999809288698</v>
      </c>
    </row>
    <row r="5225" spans="1:40" x14ac:dyDescent="0.25">
      <c r="A5225" t="str">
        <f>"20190312172221149"</f>
        <v>20190312172221149</v>
      </c>
      <c r="B5225" t="str">
        <f>"1552382541146232"</f>
        <v>1552382541146232</v>
      </c>
      <c r="C5225" t="s">
        <v>40</v>
      </c>
      <c r="D5225">
        <v>3.212914</v>
      </c>
      <c r="E5225">
        <v>0.49338539999999997</v>
      </c>
      <c r="F5225" t="s">
        <v>42</v>
      </c>
      <c r="G5225">
        <v>-259.56950000000001</v>
      </c>
      <c r="H5225" s="1">
        <v>-3.0679019999999999E-7</v>
      </c>
      <c r="I5225">
        <v>140.14160000000001</v>
      </c>
      <c r="J5225">
        <v>-234.66159999999999</v>
      </c>
      <c r="K5225">
        <v>1.108179</v>
      </c>
      <c r="L5225">
        <v>140.67580000000001</v>
      </c>
      <c r="M5225">
        <v>-0.99979589999999996</v>
      </c>
      <c r="N5225">
        <v>0</v>
      </c>
      <c r="O5225">
        <v>-1.9319269999999999E-2</v>
      </c>
      <c r="P5225">
        <v>-0.98575299999999999</v>
      </c>
      <c r="Q5225">
        <v>0.16805309999999901</v>
      </c>
      <c r="R5225">
        <v>-7.0252739999999998E-3</v>
      </c>
      <c r="S5225">
        <v>-3.067291</v>
      </c>
      <c r="T5225">
        <v>-0.13489709999999999</v>
      </c>
      <c r="U5225">
        <v>-6.5551760000000001E-2</v>
      </c>
      <c r="V5225">
        <v>1.2560460000000001E-2</v>
      </c>
      <c r="W5225">
        <v>0.1738635</v>
      </c>
      <c r="X5225">
        <v>0.9846897</v>
      </c>
      <c r="Y5225">
        <v>-2.0638229999999998E-3</v>
      </c>
      <c r="Z5225">
        <v>8.0371529999999998E-4</v>
      </c>
      <c r="AA5225">
        <v>0.99999760000000004</v>
      </c>
      <c r="AB5225">
        <v>28</v>
      </c>
      <c r="AC5225">
        <v>-24.907900000000001</v>
      </c>
      <c r="AD5225">
        <v>-1.1081793067901999</v>
      </c>
      <c r="AE5225">
        <v>-0.53419999999999801</v>
      </c>
      <c r="AF5225">
        <v>-5.27850105489941E-2</v>
      </c>
      <c r="AG5225">
        <v>-1.1081793067901999</v>
      </c>
      <c r="AH5225">
        <v>24.8643763884352</v>
      </c>
      <c r="AI5225">
        <v>92.551918542188403</v>
      </c>
      <c r="AJ5225">
        <v>90.121634009049998</v>
      </c>
      <c r="AK5225">
        <v>24.8891153080842</v>
      </c>
      <c r="AL5225">
        <v>79.987472818843699</v>
      </c>
      <c r="AM5225">
        <v>89.269188741696695</v>
      </c>
      <c r="AN5225">
        <v>1.0000000435368701</v>
      </c>
    </row>
    <row r="5226" spans="1:40" x14ac:dyDescent="0.25">
      <c r="A5226" t="str">
        <f>"20190312172221173"</f>
        <v>20190312172221173</v>
      </c>
      <c r="B5226" t="str">
        <f>"1552382541165753"</f>
        <v>1552382541165753</v>
      </c>
      <c r="C5226" t="s">
        <v>40</v>
      </c>
      <c r="D5226">
        <v>3.2258209999999998</v>
      </c>
      <c r="E5226">
        <v>0.49359979999999998</v>
      </c>
      <c r="F5226" t="s">
        <v>42</v>
      </c>
      <c r="G5226">
        <v>-258.9785</v>
      </c>
      <c r="H5226" s="1">
        <v>-5.3144840000000003E-7</v>
      </c>
      <c r="I5226">
        <v>140.03299999999999</v>
      </c>
      <c r="J5226">
        <v>-234.9708</v>
      </c>
      <c r="K5226">
        <v>1.108163</v>
      </c>
      <c r="L5226">
        <v>140.67160000000001</v>
      </c>
      <c r="M5226">
        <v>-0.99982890000000002</v>
      </c>
      <c r="N5226">
        <v>0</v>
      </c>
      <c r="O5226">
        <v>-1.7521950000000001E-2</v>
      </c>
      <c r="P5226">
        <v>-0.98596349999999999</v>
      </c>
      <c r="Q5226">
        <v>0.1665276</v>
      </c>
      <c r="R5226">
        <v>-1.2039050000000001E-2</v>
      </c>
      <c r="S5226">
        <v>-3.0666199999999999</v>
      </c>
      <c r="T5226">
        <v>-0.13975360000000001</v>
      </c>
      <c r="U5226">
        <v>-8.1054689999999999E-2</v>
      </c>
      <c r="V5226">
        <v>5.7787419999999999E-3</v>
      </c>
      <c r="W5226">
        <v>0.17237339999999901</v>
      </c>
      <c r="X5226">
        <v>0.98501470000000002</v>
      </c>
      <c r="Y5226">
        <v>-8.9107890000000006E-3</v>
      </c>
      <c r="Z5226">
        <v>5.9500060000000003E-4</v>
      </c>
      <c r="AA5226">
        <v>0.99996010000000002</v>
      </c>
      <c r="AB5226">
        <v>29</v>
      </c>
      <c r="AC5226">
        <v>-24.0077</v>
      </c>
      <c r="AD5226">
        <v>-1.1081635314484</v>
      </c>
      <c r="AE5226">
        <v>-0.63860000000002504</v>
      </c>
      <c r="AF5226">
        <v>-0.21737003905657601</v>
      </c>
      <c r="AG5226">
        <v>-1.1081635314484</v>
      </c>
      <c r="AH5226">
        <v>23.9641813612925</v>
      </c>
      <c r="AI5226">
        <v>92.6475049126785</v>
      </c>
      <c r="AJ5226">
        <v>90.519694125710501</v>
      </c>
      <c r="AK5226">
        <v>23.990774569888899</v>
      </c>
      <c r="AL5226">
        <v>80.074157398652304</v>
      </c>
      <c r="AM5226">
        <v>89.663869250843902</v>
      </c>
      <c r="AN5226">
        <v>0.99999997105137595</v>
      </c>
    </row>
    <row r="5227" spans="1:40" x14ac:dyDescent="0.25">
      <c r="A5227" t="str">
        <f>"20190312172221194"</f>
        <v>20190312172221194</v>
      </c>
      <c r="B5227" t="str">
        <f>"1552382541186249"</f>
        <v>1552382541186249</v>
      </c>
      <c r="C5227" t="s">
        <v>40</v>
      </c>
      <c r="D5227">
        <v>3.1749900000000002</v>
      </c>
      <c r="E5227">
        <v>0.46811009999999997</v>
      </c>
      <c r="F5227" t="s">
        <v>42</v>
      </c>
      <c r="G5227">
        <v>-258.58420000000001</v>
      </c>
      <c r="H5227" s="1">
        <v>-6.7326599999999999E-7</v>
      </c>
      <c r="I5227">
        <v>139.93029999999999</v>
      </c>
      <c r="J5227">
        <v>-235.24270000000001</v>
      </c>
      <c r="K5227">
        <v>1.108155</v>
      </c>
      <c r="L5227">
        <v>140.66839999999999</v>
      </c>
      <c r="M5227">
        <v>-0.99985520000000006</v>
      </c>
      <c r="N5227">
        <v>0</v>
      </c>
      <c r="O5227">
        <v>-1.5942419999999999E-2</v>
      </c>
      <c r="P5227">
        <v>-0.98614000000000002</v>
      </c>
      <c r="Q5227">
        <v>0.16483490000000001</v>
      </c>
      <c r="R5227">
        <v>-1.890905E-2</v>
      </c>
      <c r="S5227">
        <v>-3.065842</v>
      </c>
      <c r="T5227">
        <v>-0.1438786</v>
      </c>
      <c r="U5227">
        <v>-9.6237180000000005E-2</v>
      </c>
      <c r="V5227">
        <v>-2.647356E-3</v>
      </c>
      <c r="W5227">
        <v>0.17072019999999999</v>
      </c>
      <c r="X5227">
        <v>0.98531599999999997</v>
      </c>
      <c r="Y5227">
        <v>-1.5436399999999999E-2</v>
      </c>
      <c r="Z5227">
        <v>3.8559469999999998E-4</v>
      </c>
      <c r="AA5227">
        <v>0.99988080000000001</v>
      </c>
      <c r="AB5227">
        <v>29</v>
      </c>
      <c r="AC5227">
        <v>-23.3415</v>
      </c>
      <c r="AD5227">
        <v>-1.1081556732660001</v>
      </c>
      <c r="AE5227">
        <v>-0.73810000000000198</v>
      </c>
      <c r="AF5227">
        <v>-0.36505760699378997</v>
      </c>
      <c r="AG5227">
        <v>-1.1081556732660001</v>
      </c>
      <c r="AH5227">
        <v>23.297841086448098</v>
      </c>
      <c r="AI5227">
        <v>92.722872490922597</v>
      </c>
      <c r="AJ5227">
        <v>90.897703290603502</v>
      </c>
      <c r="AK5227">
        <v>23.327037431744401</v>
      </c>
      <c r="AL5227">
        <v>80.170304439393604</v>
      </c>
      <c r="AM5227">
        <v>90.153942451634606</v>
      </c>
      <c r="AN5227">
        <v>1.0000000075189099</v>
      </c>
    </row>
    <row r="5228" spans="1:40" x14ac:dyDescent="0.25">
      <c r="A5228" t="str">
        <f>"20190312172221215"</f>
        <v>20190312172221215</v>
      </c>
      <c r="B5228" t="str">
        <f>"1552382541205782"</f>
        <v>1552382541205782</v>
      </c>
      <c r="C5228" t="s">
        <v>40</v>
      </c>
      <c r="D5228">
        <v>3.200698</v>
      </c>
      <c r="E5228">
        <v>0.45727600000000002</v>
      </c>
      <c r="F5228" t="s">
        <v>42</v>
      </c>
      <c r="G5228">
        <v>-263.16739999999999</v>
      </c>
      <c r="H5228" s="1">
        <v>-3.2484250000000002E-6</v>
      </c>
      <c r="I5228">
        <v>137.72790000000001</v>
      </c>
      <c r="J5228">
        <v>-235.52350000000001</v>
      </c>
      <c r="K5228">
        <v>1.108136</v>
      </c>
      <c r="L5228">
        <v>140.66560000000001</v>
      </c>
      <c r="M5228">
        <v>-0.99987990000000004</v>
      </c>
      <c r="N5228">
        <v>0</v>
      </c>
      <c r="O5228">
        <v>-1.431055E-2</v>
      </c>
      <c r="P5228">
        <v>-0.98604080000000005</v>
      </c>
      <c r="Q5228">
        <v>0.1644167</v>
      </c>
      <c r="R5228">
        <v>-2.6289819999999998E-2</v>
      </c>
      <c r="S5228">
        <v>-3.0562589999999998</v>
      </c>
      <c r="T5228">
        <v>-0.1212844</v>
      </c>
      <c r="U5228">
        <v>-0.32182309999999997</v>
      </c>
      <c r="V5228">
        <v>-1.1634899999999899E-2</v>
      </c>
      <c r="W5228">
        <v>0.17034160000000001</v>
      </c>
      <c r="X5228">
        <v>0.98531639999999998</v>
      </c>
      <c r="Y5228">
        <v>-9.0418659999999998E-2</v>
      </c>
      <c r="Z5228">
        <v>-1.222438E-3</v>
      </c>
      <c r="AA5228">
        <v>0.99590310000000004</v>
      </c>
      <c r="AB5228">
        <v>29</v>
      </c>
      <c r="AC5228">
        <v>-27.643899999999899</v>
      </c>
      <c r="AD5228">
        <v>-1.1081392484249999</v>
      </c>
      <c r="AE5228">
        <v>-2.9377</v>
      </c>
      <c r="AF5228">
        <v>-2.5377603515210398</v>
      </c>
      <c r="AG5228">
        <v>-1.1081392484249999</v>
      </c>
      <c r="AH5228">
        <v>27.6391924073693</v>
      </c>
      <c r="AI5228">
        <v>92.286325436022693</v>
      </c>
      <c r="AJ5228">
        <v>95.246043588672194</v>
      </c>
      <c r="AK5228">
        <v>27.777565716369601</v>
      </c>
      <c r="AL5228">
        <v>80.192319206901104</v>
      </c>
      <c r="AM5228">
        <v>90.676533632869095</v>
      </c>
      <c r="AN5228">
        <v>1.00000001984876</v>
      </c>
    </row>
    <row r="5229" spans="1:40" x14ac:dyDescent="0.25">
      <c r="A5229" t="str">
        <f>"20190312172221237"</f>
        <v>20190312172221237</v>
      </c>
      <c r="B5229" t="str">
        <f>"1552382541226265"</f>
        <v>1552382541226265</v>
      </c>
      <c r="C5229" t="s">
        <v>40</v>
      </c>
      <c r="D5229">
        <v>3.1881560000000002</v>
      </c>
      <c r="E5229">
        <v>0.45467079999999999</v>
      </c>
      <c r="F5229" t="s">
        <v>42</v>
      </c>
      <c r="G5229">
        <v>-261.57979999999998</v>
      </c>
      <c r="H5229" s="1">
        <v>-4.0630129999999996E-6</v>
      </c>
      <c r="I5229">
        <v>136.9752</v>
      </c>
      <c r="J5229">
        <v>-235.81700000000001</v>
      </c>
      <c r="K5229">
        <v>1.1081209999999999</v>
      </c>
      <c r="L5229">
        <v>140.66309999999999</v>
      </c>
      <c r="M5229">
        <v>-0.99990270000000003</v>
      </c>
      <c r="N5229">
        <v>0</v>
      </c>
      <c r="O5229">
        <v>-1.259774E-2</v>
      </c>
      <c r="P5229">
        <v>-0.98591799999999996</v>
      </c>
      <c r="Q5229">
        <v>0.16381970000000001</v>
      </c>
      <c r="R5229">
        <v>-3.3595399999999997E-2</v>
      </c>
      <c r="S5229">
        <v>-3.0526119999999999</v>
      </c>
      <c r="T5229">
        <v>-0.12982360000000001</v>
      </c>
      <c r="U5229">
        <v>-0.43234250000000002</v>
      </c>
      <c r="V5229">
        <v>-2.0627550000000001E-2</v>
      </c>
      <c r="W5229">
        <v>0.1697852</v>
      </c>
      <c r="X5229">
        <v>0.98526519999999995</v>
      </c>
      <c r="Y5229">
        <v>-0.12764439999999999</v>
      </c>
      <c r="Z5229">
        <v>-2.166847E-3</v>
      </c>
      <c r="AA5229">
        <v>0.99181770000000002</v>
      </c>
      <c r="AB5229">
        <v>29</v>
      </c>
      <c r="AC5229">
        <v>-25.762799999999899</v>
      </c>
      <c r="AD5229">
        <v>-1.108125063013</v>
      </c>
      <c r="AE5229">
        <v>-3.68789999999998</v>
      </c>
      <c r="AF5229">
        <v>-3.35696250491362</v>
      </c>
      <c r="AG5229">
        <v>-1.108125063013</v>
      </c>
      <c r="AH5229">
        <v>25.760513447967401</v>
      </c>
      <c r="AI5229">
        <v>92.442514264009802</v>
      </c>
      <c r="AJ5229">
        <v>97.424618511539293</v>
      </c>
      <c r="AK5229">
        <v>26.001945917903601</v>
      </c>
      <c r="AL5229">
        <v>80.224669749868099</v>
      </c>
      <c r="AM5229">
        <v>91.199371421710296</v>
      </c>
      <c r="AN5229">
        <v>1.00000001214454</v>
      </c>
    </row>
    <row r="5230" spans="1:40" x14ac:dyDescent="0.25">
      <c r="A5230" t="str">
        <f>"20190312172221260"</f>
        <v>20190312172221260</v>
      </c>
      <c r="B5230" t="str">
        <f>"1552382541255545"</f>
        <v>1552382541255545</v>
      </c>
      <c r="C5230" t="s">
        <v>40</v>
      </c>
      <c r="D5230">
        <v>3.1028910000000001</v>
      </c>
      <c r="E5230">
        <v>0.45164670000000001</v>
      </c>
      <c r="F5230" t="s">
        <v>42</v>
      </c>
      <c r="G5230">
        <v>-261.81849999999997</v>
      </c>
      <c r="H5230" s="1">
        <v>-4.0281719999999999E-6</v>
      </c>
      <c r="I5230">
        <v>136.5942</v>
      </c>
      <c r="J5230">
        <v>-236.10050000000001</v>
      </c>
      <c r="K5230">
        <v>1.1081030000000001</v>
      </c>
      <c r="L5230">
        <v>140.6611</v>
      </c>
      <c r="M5230">
        <v>-0.99992239999999999</v>
      </c>
      <c r="N5230">
        <v>0</v>
      </c>
      <c r="O5230">
        <v>-1.093104E-2</v>
      </c>
      <c r="P5230">
        <v>-0.98571529999999996</v>
      </c>
      <c r="Q5230">
        <v>0.16357439999999901</v>
      </c>
      <c r="R5230">
        <v>-4.0117130000000001E-2</v>
      </c>
      <c r="S5230">
        <v>-3.0481569999999998</v>
      </c>
      <c r="T5230">
        <v>-0.1299053</v>
      </c>
      <c r="U5230">
        <v>-0.47698970000000002</v>
      </c>
      <c r="V5230">
        <v>-2.878841E-2</v>
      </c>
      <c r="W5230">
        <v>0.16957839999999999</v>
      </c>
      <c r="X5230">
        <v>0.98509619999999998</v>
      </c>
      <c r="Y5230">
        <v>-0.14367659999999999</v>
      </c>
      <c r="Z5230">
        <v>-2.578973E-3</v>
      </c>
      <c r="AA5230">
        <v>0.98962130000000004</v>
      </c>
      <c r="AB5230">
        <v>29</v>
      </c>
      <c r="AC5230">
        <v>-25.7179999999999</v>
      </c>
      <c r="AD5230">
        <v>-1.108107028172</v>
      </c>
      <c r="AE5230">
        <v>-4.0669000000000004</v>
      </c>
      <c r="AF5230">
        <v>-3.7786836171714202</v>
      </c>
      <c r="AG5230">
        <v>-1.108107028172</v>
      </c>
      <c r="AH5230">
        <v>25.714346251589401</v>
      </c>
      <c r="AI5230">
        <v>92.441331642332798</v>
      </c>
      <c r="AJ5230">
        <v>98.359696595059106</v>
      </c>
      <c r="AK5230">
        <v>26.014110675000801</v>
      </c>
      <c r="AL5230">
        <v>80.236693384202596</v>
      </c>
      <c r="AM5230">
        <v>91.673933028915101</v>
      </c>
      <c r="AN5230">
        <v>1.0000000647756599</v>
      </c>
    </row>
    <row r="5231" spans="1:40" x14ac:dyDescent="0.25">
      <c r="A5231" t="str">
        <f>"20190312172221282"</f>
        <v>20190312172221282</v>
      </c>
      <c r="B5231" t="str">
        <f>"1552382541276041"</f>
        <v>1552382541276041</v>
      </c>
      <c r="C5231" t="s">
        <v>40</v>
      </c>
      <c r="D5231">
        <v>3.0669590000000002</v>
      </c>
      <c r="E5231">
        <v>0.45065090000000002</v>
      </c>
      <c r="F5231" t="s">
        <v>42</v>
      </c>
      <c r="G5231">
        <v>-262.60500000000002</v>
      </c>
      <c r="H5231" s="1">
        <v>-3.7748740000000002E-6</v>
      </c>
      <c r="I5231">
        <v>136.12010000000001</v>
      </c>
      <c r="J5231">
        <v>-236.39750000000001</v>
      </c>
      <c r="K5231">
        <v>1.1080779999999999</v>
      </c>
      <c r="L5231">
        <v>140.65969999999999</v>
      </c>
      <c r="M5231">
        <v>-0.99993989999999999</v>
      </c>
      <c r="N5231">
        <v>0</v>
      </c>
      <c r="O5231">
        <v>-9.1684880000000007E-3</v>
      </c>
      <c r="P5231">
        <v>-0.98557450000000002</v>
      </c>
      <c r="Q5231">
        <v>0.163019</v>
      </c>
      <c r="R5231">
        <v>-4.5475099999999997E-2</v>
      </c>
      <c r="S5231">
        <v>-3.0433650000000001</v>
      </c>
      <c r="T5231">
        <v>-0.12723809999999999</v>
      </c>
      <c r="U5231">
        <v>-0.52140810000000004</v>
      </c>
      <c r="V5231">
        <v>-3.5878140000000003E-2</v>
      </c>
      <c r="W5231">
        <v>0.1690596</v>
      </c>
      <c r="X5231">
        <v>0.98495259999999996</v>
      </c>
      <c r="Y5231">
        <v>-0.159694</v>
      </c>
      <c r="Z5231">
        <v>-2.932399E-3</v>
      </c>
      <c r="AA5231">
        <v>0.98716219999999999</v>
      </c>
      <c r="AB5231">
        <v>29</v>
      </c>
      <c r="AC5231">
        <v>-26.2075</v>
      </c>
      <c r="AD5231">
        <v>-1.1080817748739999</v>
      </c>
      <c r="AE5231">
        <v>-4.5395999999999699</v>
      </c>
      <c r="AF5231">
        <v>-4.2916730044899696</v>
      </c>
      <c r="AG5231">
        <v>-1.1080817748739999</v>
      </c>
      <c r="AH5231">
        <v>26.2025429153292</v>
      </c>
      <c r="AI5231">
        <v>92.389739156421399</v>
      </c>
      <c r="AJ5231">
        <v>99.301793168225899</v>
      </c>
      <c r="AK5231">
        <v>26.5747917701521</v>
      </c>
      <c r="AL5231">
        <v>80.266853341685504</v>
      </c>
      <c r="AM5231">
        <v>92.086148632669804</v>
      </c>
      <c r="AN5231">
        <v>1.0000000067643799</v>
      </c>
    </row>
    <row r="5232" spans="1:40" x14ac:dyDescent="0.25">
      <c r="A5232" t="str">
        <f>"20190312172221304"</f>
        <v>20190312172221304</v>
      </c>
      <c r="B5232" t="str">
        <f>"1552382541295565"</f>
        <v>1552382541295565</v>
      </c>
      <c r="C5232" t="s">
        <v>40</v>
      </c>
      <c r="D5232">
        <v>3.1437520000000001</v>
      </c>
      <c r="E5232">
        <v>0.45030130000000002</v>
      </c>
      <c r="F5232" t="s">
        <v>42</v>
      </c>
      <c r="G5232">
        <v>-262.47820000000002</v>
      </c>
      <c r="H5232" s="1">
        <v>-3.8544139999999999E-6</v>
      </c>
      <c r="I5232">
        <v>135.9785</v>
      </c>
      <c r="J5232">
        <v>-236.6968</v>
      </c>
      <c r="K5232">
        <v>1.108039</v>
      </c>
      <c r="L5232">
        <v>140.65870000000001</v>
      </c>
      <c r="M5232">
        <v>-0.99995460000000003</v>
      </c>
      <c r="N5232">
        <v>0</v>
      </c>
      <c r="O5232">
        <v>-7.3744569999999897E-3</v>
      </c>
      <c r="P5232">
        <v>-0.98548610000000003</v>
      </c>
      <c r="Q5232">
        <v>0.162609</v>
      </c>
      <c r="R5232">
        <v>-4.8737719999999998E-2</v>
      </c>
      <c r="S5232">
        <v>-3.0400999999999998</v>
      </c>
      <c r="T5232">
        <v>-0.129164</v>
      </c>
      <c r="U5232">
        <v>-0.54565430000000004</v>
      </c>
      <c r="V5232">
        <v>-4.0901970000000003E-2</v>
      </c>
      <c r="W5232">
        <v>0.16868029999999901</v>
      </c>
      <c r="X5232">
        <v>0.98482179999999997</v>
      </c>
      <c r="Y5232">
        <v>-0.16925770000000001</v>
      </c>
      <c r="Z5232">
        <v>-3.2548849999999999E-3</v>
      </c>
      <c r="AA5232">
        <v>0.98556639999999995</v>
      </c>
      <c r="AB5232">
        <v>29</v>
      </c>
      <c r="AC5232">
        <v>-25.781400000000001</v>
      </c>
      <c r="AD5232">
        <v>-1.108042854414</v>
      </c>
      <c r="AE5232">
        <v>-4.6802000000000099</v>
      </c>
      <c r="AF5232">
        <v>-4.4819308049776696</v>
      </c>
      <c r="AG5232">
        <v>-1.108042854414</v>
      </c>
      <c r="AH5232">
        <v>25.769132836287401</v>
      </c>
      <c r="AI5232">
        <v>92.425763187475994</v>
      </c>
      <c r="AJ5232">
        <v>99.866546077405999</v>
      </c>
      <c r="AK5232">
        <v>26.179451289934502</v>
      </c>
      <c r="AL5232">
        <v>80.288902187292194</v>
      </c>
      <c r="AM5232">
        <v>92.378261913719498</v>
      </c>
      <c r="AN5232">
        <v>0.99999999625660496</v>
      </c>
    </row>
    <row r="5233" spans="1:40" x14ac:dyDescent="0.25">
      <c r="A5233" t="str">
        <f>"20190312172221326"</f>
        <v>20190312172221326</v>
      </c>
      <c r="B5233" t="str">
        <f>"1552382541316057"</f>
        <v>1552382541316057</v>
      </c>
      <c r="C5233" t="s">
        <v>40</v>
      </c>
      <c r="D5233">
        <v>3.1269990000000001</v>
      </c>
      <c r="E5233">
        <v>0.45057079999999999</v>
      </c>
      <c r="F5233" t="s">
        <v>42</v>
      </c>
      <c r="G5233">
        <v>-262.35770000000002</v>
      </c>
      <c r="H5233" s="1">
        <v>-3.9119529999999997E-6</v>
      </c>
      <c r="I5233">
        <v>135.94550000000001</v>
      </c>
      <c r="J5233">
        <v>-236.98099999999999</v>
      </c>
      <c r="K5233">
        <v>1.108015</v>
      </c>
      <c r="L5233">
        <v>140.6583</v>
      </c>
      <c r="M5233">
        <v>-0.99996589999999996</v>
      </c>
      <c r="N5233">
        <v>0</v>
      </c>
      <c r="O5233">
        <v>-5.6573229999999997E-3</v>
      </c>
      <c r="P5233">
        <v>-0.98538460000000005</v>
      </c>
      <c r="Q5233">
        <v>0.16254859999999999</v>
      </c>
      <c r="R5233">
        <v>-5.0943950000000002E-2</v>
      </c>
      <c r="S5233">
        <v>-3.0382539999999998</v>
      </c>
      <c r="T5233">
        <v>-0.1311927</v>
      </c>
      <c r="U5233">
        <v>-0.5580444</v>
      </c>
      <c r="V5233">
        <v>-4.4792529999999997E-2</v>
      </c>
      <c r="W5233">
        <v>0.1686465</v>
      </c>
      <c r="X5233">
        <v>0.98465829999999999</v>
      </c>
      <c r="Y5233">
        <v>-0.17493110000000001</v>
      </c>
      <c r="Z5233">
        <v>-3.5016380000000001E-3</v>
      </c>
      <c r="AA5233">
        <v>0.98457439999999996</v>
      </c>
      <c r="AB5233">
        <v>29</v>
      </c>
      <c r="AC5233">
        <v>-25.3767</v>
      </c>
      <c r="AD5233">
        <v>-1.108018911953</v>
      </c>
      <c r="AE5233">
        <v>-4.7127999999999801</v>
      </c>
      <c r="AF5233">
        <v>-4.5607528553538401</v>
      </c>
      <c r="AG5233">
        <v>-1.108018911953</v>
      </c>
      <c r="AH5233">
        <v>25.3562276220615</v>
      </c>
      <c r="AI5233">
        <v>92.462655516791401</v>
      </c>
      <c r="AJ5233">
        <v>100.19660169043</v>
      </c>
      <c r="AK5233">
        <v>25.786943435363899</v>
      </c>
      <c r="AL5233">
        <v>80.290866873101606</v>
      </c>
      <c r="AM5233">
        <v>92.604614023692307</v>
      </c>
      <c r="AN5233">
        <v>0.99999999023246999</v>
      </c>
    </row>
    <row r="5234" spans="1:40" x14ac:dyDescent="0.25">
      <c r="A5234" t="str">
        <f>"20190312172221350"</f>
        <v>20190312172221350</v>
      </c>
      <c r="B5234" t="str">
        <f>"1552382541335577"</f>
        <v>1552382541335577</v>
      </c>
      <c r="C5234" t="s">
        <v>40</v>
      </c>
      <c r="D5234">
        <v>3.241053</v>
      </c>
      <c r="E5234">
        <v>0.45105400000000001</v>
      </c>
      <c r="F5234" t="s">
        <v>42</v>
      </c>
      <c r="G5234">
        <v>-262.55630000000002</v>
      </c>
      <c r="H5234" s="1">
        <v>-3.8304569999999999E-6</v>
      </c>
      <c r="I5234">
        <v>135.9247</v>
      </c>
      <c r="J5234">
        <v>-237.29409999999999</v>
      </c>
      <c r="K5234">
        <v>1.1079939999999999</v>
      </c>
      <c r="L5234">
        <v>140.6585</v>
      </c>
      <c r="M5234">
        <v>-0.99997469999999999</v>
      </c>
      <c r="N5234">
        <v>0</v>
      </c>
      <c r="O5234">
        <v>-3.7512470000000001E-3</v>
      </c>
      <c r="P5234">
        <v>-0.98520940000000001</v>
      </c>
      <c r="Q5234">
        <v>0.1634651</v>
      </c>
      <c r="R5234">
        <v>-5.1395349999999999E-2</v>
      </c>
      <c r="S5234">
        <v>-3.0371549999999998</v>
      </c>
      <c r="T5234">
        <v>-0.13158149999999999</v>
      </c>
      <c r="U5234">
        <v>-0.56213380000000002</v>
      </c>
      <c r="V5234">
        <v>-4.7111189999999997E-2</v>
      </c>
      <c r="W5234">
        <v>0.1695845</v>
      </c>
      <c r="X5234">
        <v>0.98438890000000001</v>
      </c>
      <c r="Y5234">
        <v>-0.17814650000000001</v>
      </c>
      <c r="Z5234">
        <v>-3.6636960000000001E-3</v>
      </c>
      <c r="AA5234">
        <v>0.98399720000000002</v>
      </c>
      <c r="AB5234">
        <v>29</v>
      </c>
      <c r="AC5234">
        <v>-25.2622</v>
      </c>
      <c r="AD5234">
        <v>-1.107997830457</v>
      </c>
      <c r="AE5234">
        <v>-4.7337999999999996</v>
      </c>
      <c r="AF5234">
        <v>-4.6303949208542097</v>
      </c>
      <c r="AG5234">
        <v>-1.107997830457</v>
      </c>
      <c r="AH5234">
        <v>25.232886545659401</v>
      </c>
      <c r="AI5234">
        <v>92.473049847687506</v>
      </c>
      <c r="AJ5234">
        <v>100.39844831340299</v>
      </c>
      <c r="AK5234">
        <v>25.678138167349498</v>
      </c>
      <c r="AL5234">
        <v>80.236337480221806</v>
      </c>
      <c r="AM5234">
        <v>92.739988597704894</v>
      </c>
      <c r="AN5234">
        <v>0.99999993665333597</v>
      </c>
    </row>
    <row r="5235" spans="1:40" x14ac:dyDescent="0.25">
      <c r="A5235" t="str">
        <f>"20190312172221372"</f>
        <v>20190312172221372</v>
      </c>
      <c r="B5235" t="str">
        <f>"1552382541365834"</f>
        <v>1552382541365834</v>
      </c>
      <c r="C5235" t="s">
        <v>40</v>
      </c>
      <c r="D5235">
        <v>3.1714259999999999</v>
      </c>
      <c r="E5235">
        <v>0.45163110000000001</v>
      </c>
      <c r="F5235" t="s">
        <v>42</v>
      </c>
      <c r="G5235">
        <v>-263.06110000000001</v>
      </c>
      <c r="H5235" s="1">
        <v>-3.6151100000000002E-6</v>
      </c>
      <c r="I5235">
        <v>135.9178</v>
      </c>
      <c r="J5235">
        <v>-237.58969999999999</v>
      </c>
      <c r="K5235">
        <v>1.1079840000000001</v>
      </c>
      <c r="L5235">
        <v>140.6592</v>
      </c>
      <c r="M5235">
        <v>-0.99997979999999997</v>
      </c>
      <c r="N5235">
        <v>0</v>
      </c>
      <c r="O5235">
        <v>-1.9416240000000001E-3</v>
      </c>
      <c r="P5235">
        <v>-0.98515680000000005</v>
      </c>
      <c r="Q5235">
        <v>0.16398099999999999</v>
      </c>
      <c r="R5235">
        <v>-5.0760430000000002E-2</v>
      </c>
      <c r="S5235">
        <v>-3.0375519999999998</v>
      </c>
      <c r="T5235">
        <v>-0.13061710000000001</v>
      </c>
      <c r="U5235">
        <v>-0.55885309999999999</v>
      </c>
      <c r="V5235">
        <v>-4.8250109999999999E-2</v>
      </c>
      <c r="W5235">
        <v>0.17011789999999999</v>
      </c>
      <c r="X5235">
        <v>0.98424179999999994</v>
      </c>
      <c r="Y5235">
        <v>-0.17887639999999999</v>
      </c>
      <c r="Z5235">
        <v>-3.7294310000000001E-3</v>
      </c>
      <c r="AA5235">
        <v>0.98386450000000003</v>
      </c>
      <c r="AB5235">
        <v>30</v>
      </c>
      <c r="AC5235">
        <v>-25.471399999999999</v>
      </c>
      <c r="AD5235">
        <v>-1.1079876151100001</v>
      </c>
      <c r="AE5235">
        <v>-4.7413999999999898</v>
      </c>
      <c r="AF5235">
        <v>-4.6833692433381104</v>
      </c>
      <c r="AG5235">
        <v>-1.1079876151100001</v>
      </c>
      <c r="AH5235">
        <v>25.4340439239744</v>
      </c>
      <c r="AI5235">
        <v>92.453216813966606</v>
      </c>
      <c r="AJ5235">
        <v>100.43344590799801</v>
      </c>
      <c r="AK5235">
        <v>25.8853660269918</v>
      </c>
      <c r="AL5235">
        <v>80.205326384165303</v>
      </c>
      <c r="AM5235">
        <v>92.806542320326201</v>
      </c>
      <c r="AN5235">
        <v>1.0000000469413299</v>
      </c>
    </row>
    <row r="5236" spans="1:40" x14ac:dyDescent="0.25">
      <c r="A5236" t="str">
        <f>"20190312172221394"</f>
        <v>20190312172221394</v>
      </c>
      <c r="B5236" t="str">
        <f>"1552382541386333"</f>
        <v>1552382541386333</v>
      </c>
      <c r="C5236" t="s">
        <v>40</v>
      </c>
      <c r="D5236">
        <v>3.2240859999999998</v>
      </c>
      <c r="E5236">
        <v>0.45201029999999998</v>
      </c>
      <c r="F5236" t="s">
        <v>42</v>
      </c>
      <c r="G5236">
        <v>-263.27699999999999</v>
      </c>
      <c r="H5236" s="1">
        <v>-3.5099289999999998E-6</v>
      </c>
      <c r="I5236">
        <v>135.98859999999999</v>
      </c>
      <c r="J5236">
        <v>-237.88890000000001</v>
      </c>
      <c r="K5236">
        <v>1.107969</v>
      </c>
      <c r="L5236">
        <v>140.66040000000001</v>
      </c>
      <c r="M5236">
        <v>-0.99998160000000003</v>
      </c>
      <c r="N5236">
        <v>0</v>
      </c>
      <c r="O5236">
        <v>-1.037572E-4</v>
      </c>
      <c r="P5236">
        <v>-0.98534750000000004</v>
      </c>
      <c r="Q5236">
        <v>0.1634082</v>
      </c>
      <c r="R5236">
        <v>-4.8870280000000002E-2</v>
      </c>
      <c r="S5236">
        <v>-3.0385589999999998</v>
      </c>
      <c r="T5236">
        <v>-0.1310644</v>
      </c>
      <c r="U5236">
        <v>-0.55247500000000005</v>
      </c>
      <c r="V5236">
        <v>-4.8167040000000001E-2</v>
      </c>
      <c r="W5236">
        <v>0.16956009999999999</v>
      </c>
      <c r="X5236">
        <v>0.9843421</v>
      </c>
      <c r="Y5236">
        <v>-0.1786257</v>
      </c>
      <c r="Z5236">
        <v>-3.814904E-3</v>
      </c>
      <c r="AA5236">
        <v>0.9839097</v>
      </c>
      <c r="AB5236">
        <v>30</v>
      </c>
      <c r="AC5236">
        <v>-25.388099999999898</v>
      </c>
      <c r="AD5236">
        <v>-1.1079725099290001</v>
      </c>
      <c r="AE5236">
        <v>-4.6718000000000099</v>
      </c>
      <c r="AF5236">
        <v>-4.66058003996051</v>
      </c>
      <c r="AG5236">
        <v>-1.1079725099290001</v>
      </c>
      <c r="AH5236">
        <v>25.341899932625999</v>
      </c>
      <c r="AI5236">
        <v>92.462192868770501</v>
      </c>
      <c r="AJ5236">
        <v>100.42071401952001</v>
      </c>
      <c r="AK5236">
        <v>25.790705720993099</v>
      </c>
      <c r="AL5236">
        <v>80.237756966840905</v>
      </c>
      <c r="AM5236">
        <v>92.801433103036899</v>
      </c>
      <c r="AN5236">
        <v>1.00000003054339</v>
      </c>
    </row>
    <row r="5237" spans="1:40" x14ac:dyDescent="0.25">
      <c r="A5237" t="str">
        <f>"20190312172221415"</f>
        <v>20190312172221415</v>
      </c>
      <c r="B5237" t="str">
        <f>"1552382541405849"</f>
        <v>1552382541405849</v>
      </c>
      <c r="C5237" t="s">
        <v>40</v>
      </c>
      <c r="D5237">
        <v>3.173959</v>
      </c>
      <c r="E5237">
        <v>0.45224760000000003</v>
      </c>
      <c r="F5237" t="s">
        <v>42</v>
      </c>
      <c r="G5237">
        <v>-262.892</v>
      </c>
      <c r="H5237" s="1">
        <v>-3.6394900000000002E-6</v>
      </c>
      <c r="I5237">
        <v>136.18940000000001</v>
      </c>
      <c r="J5237">
        <v>-238.1754</v>
      </c>
      <c r="K5237">
        <v>1.107955</v>
      </c>
      <c r="L5237">
        <v>140.66220000000001</v>
      </c>
      <c r="M5237">
        <v>-0.99998019999999999</v>
      </c>
      <c r="N5237">
        <v>0</v>
      </c>
      <c r="O5237">
        <v>1.6591799999999999E-3</v>
      </c>
      <c r="P5237">
        <v>-0.98566039999999999</v>
      </c>
      <c r="Q5237">
        <v>0.16223950000000001</v>
      </c>
      <c r="R5237">
        <v>-4.6395989999999998E-2</v>
      </c>
      <c r="S5237">
        <v>-3.0399929999999999</v>
      </c>
      <c r="T5237">
        <v>-0.13471279999999999</v>
      </c>
      <c r="U5237">
        <v>-0.54360959999999903</v>
      </c>
      <c r="V5237">
        <v>-4.742934E-2</v>
      </c>
      <c r="W5237">
        <v>0.16840350000000001</v>
      </c>
      <c r="X5237">
        <v>0.98457640000000002</v>
      </c>
      <c r="Y5237">
        <v>-0.1774898</v>
      </c>
      <c r="Z5237">
        <v>-3.9727010000000004E-3</v>
      </c>
      <c r="AA5237">
        <v>0.98411459999999995</v>
      </c>
      <c r="AB5237">
        <v>30</v>
      </c>
      <c r="AC5237">
        <v>-24.7166</v>
      </c>
      <c r="AD5237">
        <v>-1.1079586394900001</v>
      </c>
      <c r="AE5237">
        <v>-4.4728000000000003</v>
      </c>
      <c r="AF5237">
        <v>-4.5050384439469404</v>
      </c>
      <c r="AG5237">
        <v>-1.1079586394900001</v>
      </c>
      <c r="AH5237">
        <v>24.661161494042599</v>
      </c>
      <c r="AI5237">
        <v>92.530591123346099</v>
      </c>
      <c r="AJ5237">
        <v>100.35249703664699</v>
      </c>
      <c r="AK5237">
        <v>25.093740852322401</v>
      </c>
      <c r="AL5237">
        <v>80.304991712394994</v>
      </c>
      <c r="AM5237">
        <v>92.757939226927405</v>
      </c>
      <c r="AN5237">
        <v>0.99999998427102199</v>
      </c>
    </row>
    <row r="5238" spans="1:40" x14ac:dyDescent="0.25">
      <c r="A5238" t="str">
        <f>"20190312172221438"</f>
        <v>20190312172221438</v>
      </c>
      <c r="B5238" t="str">
        <f>"1552382541426345"</f>
        <v>1552382541426345</v>
      </c>
      <c r="C5238" t="s">
        <v>40</v>
      </c>
      <c r="D5238">
        <v>3.438056</v>
      </c>
      <c r="E5238">
        <v>0.45251609999999998</v>
      </c>
      <c r="F5238" t="s">
        <v>42</v>
      </c>
      <c r="G5238">
        <v>-262.42770000000002</v>
      </c>
      <c r="H5238" s="1">
        <v>-3.8005310000000001E-6</v>
      </c>
      <c r="I5238">
        <v>136.40440000000001</v>
      </c>
      <c r="J5238">
        <v>-238.47040000000001</v>
      </c>
      <c r="K5238">
        <v>1.107944</v>
      </c>
      <c r="L5238">
        <v>140.6644</v>
      </c>
      <c r="M5238">
        <v>-0.99997559999999996</v>
      </c>
      <c r="N5238">
        <v>0</v>
      </c>
      <c r="O5238">
        <v>3.47409E-3</v>
      </c>
      <c r="P5238">
        <v>-0.98588160000000002</v>
      </c>
      <c r="Q5238">
        <v>0.16189229999999999</v>
      </c>
      <c r="R5238">
        <v>-4.2767439999999997E-2</v>
      </c>
      <c r="S5238">
        <v>-3.0414119999999998</v>
      </c>
      <c r="T5238">
        <v>-0.13894670000000001</v>
      </c>
      <c r="U5238">
        <v>-0.53395079999999995</v>
      </c>
      <c r="V5238">
        <v>-4.558686E-2</v>
      </c>
      <c r="W5238">
        <v>0.16806360000000001</v>
      </c>
      <c r="X5238">
        <v>0.98472150000000003</v>
      </c>
      <c r="Y5238">
        <v>-0.17615459999999999</v>
      </c>
      <c r="Z5238">
        <v>-4.1486769999999999E-3</v>
      </c>
      <c r="AA5238">
        <v>0.98435379999999995</v>
      </c>
      <c r="AB5238">
        <v>30</v>
      </c>
      <c r="AC5238">
        <v>-23.9573</v>
      </c>
      <c r="AD5238">
        <v>-1.1079478005309999</v>
      </c>
      <c r="AE5238">
        <v>-4.25999999999999</v>
      </c>
      <c r="AF5238">
        <v>-4.3342198805708998</v>
      </c>
      <c r="AG5238">
        <v>-1.1079478005309999</v>
      </c>
      <c r="AH5238">
        <v>23.892820647884101</v>
      </c>
      <c r="AI5238">
        <v>92.612418895704593</v>
      </c>
      <c r="AJ5238">
        <v>100.28179587205101</v>
      </c>
      <c r="AK5238">
        <v>24.308021079754599</v>
      </c>
      <c r="AL5238">
        <v>80.324748130695795</v>
      </c>
      <c r="AM5238">
        <v>92.650567853522006</v>
      </c>
      <c r="AN5238">
        <v>0.99999998400593404</v>
      </c>
    </row>
    <row r="5239" spans="1:40" x14ac:dyDescent="0.25">
      <c r="A5239" t="str">
        <f>"20190312172221460"</f>
        <v>20190312172221460</v>
      </c>
      <c r="B5239" t="str">
        <f>"1552382541455625"</f>
        <v>1552382541455625</v>
      </c>
      <c r="C5239" t="s">
        <v>40</v>
      </c>
      <c r="D5239">
        <v>3.3194889999999999</v>
      </c>
      <c r="E5239">
        <v>0.452963</v>
      </c>
      <c r="F5239" t="s">
        <v>42</v>
      </c>
      <c r="G5239">
        <v>-262.3974</v>
      </c>
      <c r="H5239" s="1">
        <v>-3.7826719999999999E-6</v>
      </c>
      <c r="I5239">
        <v>136.57830000000001</v>
      </c>
      <c r="J5239">
        <v>-238.77330000000001</v>
      </c>
      <c r="K5239">
        <v>1.1079300000000001</v>
      </c>
      <c r="L5239">
        <v>140.66730000000001</v>
      </c>
      <c r="M5239">
        <v>-0.99996719999999895</v>
      </c>
      <c r="N5239">
        <v>0</v>
      </c>
      <c r="O5239">
        <v>5.3355490000000002E-3</v>
      </c>
      <c r="P5239">
        <v>-0.98609089999999999</v>
      </c>
      <c r="Q5239">
        <v>0.16167400000000001</v>
      </c>
      <c r="R5239">
        <v>-3.8555659999999999E-2</v>
      </c>
      <c r="S5239">
        <v>-3.0435639999999999</v>
      </c>
      <c r="T5239">
        <v>-0.14093359999999999</v>
      </c>
      <c r="U5239">
        <v>-0.51976009999999995</v>
      </c>
      <c r="V5239">
        <v>-4.3207679999999998E-2</v>
      </c>
      <c r="W5239">
        <v>0.16785159999999999</v>
      </c>
      <c r="X5239">
        <v>0.98486499999999999</v>
      </c>
      <c r="Y5239">
        <v>-0.17340749999999999</v>
      </c>
      <c r="Z5239">
        <v>-4.2291070000000002E-3</v>
      </c>
      <c r="AA5239">
        <v>0.98484110000000002</v>
      </c>
      <c r="AB5239">
        <v>30</v>
      </c>
      <c r="AC5239">
        <v>-23.624099999999999</v>
      </c>
      <c r="AD5239">
        <v>-1.1079337826719999</v>
      </c>
      <c r="AE5239">
        <v>-4.0889999999999898</v>
      </c>
      <c r="AF5239">
        <v>-4.2060097922693203</v>
      </c>
      <c r="AG5239">
        <v>-1.1079337826719999</v>
      </c>
      <c r="AH5239">
        <v>23.551651972184501</v>
      </c>
      <c r="AI5239">
        <v>92.651474863134297</v>
      </c>
      <c r="AJ5239">
        <v>100.125514856574</v>
      </c>
      <c r="AK5239">
        <v>23.9499132828984</v>
      </c>
      <c r="AL5239">
        <v>80.337070673440905</v>
      </c>
      <c r="AM5239">
        <v>92.512051138530495</v>
      </c>
      <c r="AN5239">
        <v>1.00000006572926</v>
      </c>
    </row>
    <row r="5240" spans="1:40" x14ac:dyDescent="0.25">
      <c r="A5240" t="str">
        <f>"20190312172221483"</f>
        <v>20190312172221483</v>
      </c>
      <c r="B5240" t="str">
        <f>"1552382541476131"</f>
        <v>1552382541476131</v>
      </c>
      <c r="C5240" t="s">
        <v>40</v>
      </c>
      <c r="D5240">
        <v>3.2260249999999999</v>
      </c>
      <c r="E5240">
        <v>0.49880010000000002</v>
      </c>
      <c r="F5240" t="s">
        <v>42</v>
      </c>
      <c r="G5240">
        <v>-262.69940000000003</v>
      </c>
      <c r="H5240" s="1">
        <v>-3.6284389999999999E-6</v>
      </c>
      <c r="I5240">
        <v>136.71729999999999</v>
      </c>
      <c r="J5240">
        <v>-239.0934</v>
      </c>
      <c r="K5240">
        <v>1.1079129999999999</v>
      </c>
      <c r="L5240">
        <v>140.67099999999999</v>
      </c>
      <c r="M5240">
        <v>-0.99995460000000003</v>
      </c>
      <c r="N5240">
        <v>0</v>
      </c>
      <c r="O5240">
        <v>7.3017919999999997E-3</v>
      </c>
      <c r="P5240">
        <v>-0.98633490000000001</v>
      </c>
      <c r="Q5240">
        <v>0.16124759999999999</v>
      </c>
      <c r="R5240">
        <v>-3.3805050000000003E-2</v>
      </c>
      <c r="S5240">
        <v>-3.045776</v>
      </c>
      <c r="T5240">
        <v>-0.141039</v>
      </c>
      <c r="U5240">
        <v>-0.50282289999999996</v>
      </c>
      <c r="V5240">
        <v>-4.0394609999999997E-2</v>
      </c>
      <c r="W5240">
        <v>0.16743050000000001</v>
      </c>
      <c r="X5240">
        <v>0.98505600000000004</v>
      </c>
      <c r="Y5240">
        <v>-0.1698991</v>
      </c>
      <c r="Z5240">
        <v>-4.2409400000000003E-3</v>
      </c>
      <c r="AA5240">
        <v>0.98545240000000001</v>
      </c>
      <c r="AB5240">
        <v>30</v>
      </c>
      <c r="AC5240">
        <v>-23.606000000000002</v>
      </c>
      <c r="AD5240">
        <v>-1.1079166284390001</v>
      </c>
      <c r="AE5240">
        <v>-3.9536999999999898</v>
      </c>
      <c r="AF5240">
        <v>-4.1171422716448198</v>
      </c>
      <c r="AG5240">
        <v>-1.1079166284390001</v>
      </c>
      <c r="AH5240">
        <v>23.526092502659498</v>
      </c>
      <c r="AI5240">
        <v>92.655939112841693</v>
      </c>
      <c r="AJ5240">
        <v>99.926425295780305</v>
      </c>
      <c r="AK5240">
        <v>23.909315510575102</v>
      </c>
      <c r="AL5240">
        <v>80.361543730314295</v>
      </c>
      <c r="AM5240">
        <v>92.348236696650503</v>
      </c>
      <c r="AN5240">
        <v>1.00000000999165</v>
      </c>
    </row>
    <row r="5241" spans="1:40" x14ac:dyDescent="0.25">
      <c r="A5241" t="str">
        <f>"20190312172221506"</f>
        <v>20190312172221506</v>
      </c>
      <c r="B5241" t="str">
        <f>"1552382541495644"</f>
        <v>1552382541495644</v>
      </c>
      <c r="C5241" t="s">
        <v>40</v>
      </c>
      <c r="D5241">
        <v>3.2348590000000002</v>
      </c>
      <c r="E5241">
        <v>0.50558139999999996</v>
      </c>
      <c r="F5241" t="s">
        <v>42</v>
      </c>
      <c r="G5241">
        <v>-268.07089999999999</v>
      </c>
      <c r="H5241" s="1">
        <v>-8.2837030000000003E-7</v>
      </c>
      <c r="I5241">
        <v>139.5119</v>
      </c>
      <c r="J5241">
        <v>-239.3973</v>
      </c>
      <c r="K5241">
        <v>1.1079000000000001</v>
      </c>
      <c r="L5241">
        <v>140.67509999999999</v>
      </c>
      <c r="M5241">
        <v>-0.99993929999999998</v>
      </c>
      <c r="N5241">
        <v>0</v>
      </c>
      <c r="O5241">
        <v>9.1652160000000003E-3</v>
      </c>
      <c r="P5241">
        <v>-0.98669090000000004</v>
      </c>
      <c r="Q5241">
        <v>0.1597759</v>
      </c>
      <c r="R5241">
        <v>-3.0219159999999998E-2</v>
      </c>
      <c r="S5241">
        <v>-3.0564879999999999</v>
      </c>
      <c r="T5241">
        <v>-0.1168607</v>
      </c>
      <c r="U5241">
        <v>-0.122253399999999</v>
      </c>
      <c r="V5241">
        <v>-3.8650329999999997E-2</v>
      </c>
      <c r="W5241">
        <v>0.1659678</v>
      </c>
      <c r="X5241">
        <v>0.98537339999999995</v>
      </c>
      <c r="Y5241">
        <v>-4.9079940000000002E-2</v>
      </c>
      <c r="Z5241">
        <v>-1.287706E-3</v>
      </c>
      <c r="AA5241">
        <v>0.99879399999999996</v>
      </c>
      <c r="AB5241">
        <v>30</v>
      </c>
      <c r="AC5241">
        <v>-28.6736</v>
      </c>
      <c r="AD5241">
        <v>-1.1079008283703</v>
      </c>
      <c r="AE5241">
        <v>-1.16319999999998</v>
      </c>
      <c r="AF5241">
        <v>-1.42383361227329</v>
      </c>
      <c r="AG5241">
        <v>-1.1079008283703</v>
      </c>
      <c r="AH5241">
        <v>28.6190785678514</v>
      </c>
      <c r="AI5241">
        <v>92.214189497382804</v>
      </c>
      <c r="AJ5241">
        <v>92.848185630042195</v>
      </c>
      <c r="AK5241">
        <v>28.6758854174338</v>
      </c>
      <c r="AL5241">
        <v>80.446538955097694</v>
      </c>
      <c r="AM5241">
        <v>92.246220716175301</v>
      </c>
      <c r="AN5241">
        <v>0.99999994803675296</v>
      </c>
    </row>
    <row r="5242" spans="1:40" x14ac:dyDescent="0.25">
      <c r="A5242" t="str">
        <f>"20190312172221526"</f>
        <v>20190312172221526</v>
      </c>
      <c r="B5242" t="str">
        <f>"1552382541516137"</f>
        <v>1552382541516137</v>
      </c>
      <c r="C5242" t="s">
        <v>40</v>
      </c>
      <c r="D5242">
        <v>3.2468110000000001</v>
      </c>
      <c r="E5242">
        <v>0.50835429999999904</v>
      </c>
      <c r="F5242" t="s">
        <v>42</v>
      </c>
      <c r="G5242">
        <v>-267.17450000000002</v>
      </c>
      <c r="H5242" s="1">
        <v>-1.339075E-6</v>
      </c>
      <c r="I5242">
        <v>140.15979999999999</v>
      </c>
      <c r="J5242">
        <v>-239.68600000000001</v>
      </c>
      <c r="K5242">
        <v>1.1078840000000001</v>
      </c>
      <c r="L5242">
        <v>140.67949999999999</v>
      </c>
      <c r="M5242">
        <v>-0.99992130000000001</v>
      </c>
      <c r="N5242">
        <v>0</v>
      </c>
      <c r="O5242">
        <v>1.093417E-2</v>
      </c>
      <c r="P5242">
        <v>-0.98673630000000001</v>
      </c>
      <c r="Q5242">
        <v>0.15996270000000001</v>
      </c>
      <c r="R5242">
        <v>-2.7632400000000001E-2</v>
      </c>
      <c r="S5242">
        <v>-3.058487</v>
      </c>
      <c r="T5242">
        <v>-0.12198870000000001</v>
      </c>
      <c r="U5242">
        <v>-5.673218E-2</v>
      </c>
      <c r="V5242">
        <v>-3.7804699999999997E-2</v>
      </c>
      <c r="W5242">
        <v>0.1661648</v>
      </c>
      <c r="X5242">
        <v>0.9853731</v>
      </c>
      <c r="Y5242">
        <v>-2.9445200000000001E-2</v>
      </c>
      <c r="Z5242">
        <v>-1.022846E-3</v>
      </c>
      <c r="AA5242">
        <v>0.99956590000000001</v>
      </c>
      <c r="AB5242">
        <v>30</v>
      </c>
      <c r="AC5242">
        <v>-27.488499999999998</v>
      </c>
      <c r="AD5242">
        <v>-1.1078853390750001</v>
      </c>
      <c r="AE5242">
        <v>-0.51970000000000005</v>
      </c>
      <c r="AF5242">
        <v>-0.81890880626776996</v>
      </c>
      <c r="AG5242">
        <v>-1.1078853390750001</v>
      </c>
      <c r="AH5242">
        <v>27.4366225170082</v>
      </c>
      <c r="AI5242">
        <v>92.311307725999299</v>
      </c>
      <c r="AJ5242">
        <v>91.709616143624004</v>
      </c>
      <c r="AK5242">
        <v>27.471189939613499</v>
      </c>
      <c r="AL5242">
        <v>80.4350936496743</v>
      </c>
      <c r="AM5242">
        <v>92.197125056569504</v>
      </c>
      <c r="AN5242">
        <v>1.00000004115236</v>
      </c>
    </row>
    <row r="5243" spans="1:40" x14ac:dyDescent="0.25">
      <c r="A5243" t="str">
        <f>"20190312172221551"</f>
        <v>20190312172221551</v>
      </c>
      <c r="B5243" t="str">
        <f>"1552382541546393"</f>
        <v>1552382541546393</v>
      </c>
      <c r="C5243" t="s">
        <v>40</v>
      </c>
      <c r="D5243">
        <v>3.201117</v>
      </c>
      <c r="E5243">
        <v>0.51029150000000001</v>
      </c>
      <c r="F5243" t="s">
        <v>42</v>
      </c>
      <c r="G5243">
        <v>-267.60090000000002</v>
      </c>
      <c r="H5243" s="1">
        <v>-1.230288E-6</v>
      </c>
      <c r="I5243">
        <v>140.4384</v>
      </c>
      <c r="J5243">
        <v>-240.0069</v>
      </c>
      <c r="K5243">
        <v>1.1078749999999999</v>
      </c>
      <c r="L5243">
        <v>140.685</v>
      </c>
      <c r="M5243">
        <v>-0.99989799999999995</v>
      </c>
      <c r="N5243">
        <v>0</v>
      </c>
      <c r="O5243">
        <v>1.2898740000000001E-2</v>
      </c>
      <c r="P5243">
        <v>-0.98669569999999995</v>
      </c>
      <c r="Q5243">
        <v>0.16071640000000001</v>
      </c>
      <c r="R5243">
        <v>-2.4533289999999999E-2</v>
      </c>
      <c r="S5243">
        <v>-3.0592800000000002</v>
      </c>
      <c r="T5243">
        <v>-0.1214166</v>
      </c>
      <c r="U5243">
        <v>-2.6412959999999999E-2</v>
      </c>
      <c r="V5243">
        <v>-3.6636040000000002E-2</v>
      </c>
      <c r="W5243">
        <v>0.16692789999999999</v>
      </c>
      <c r="X5243">
        <v>0.98528819999999995</v>
      </c>
      <c r="Y5243">
        <v>-2.1504100000000002E-2</v>
      </c>
      <c r="Z5243">
        <v>-9.3827090000000004E-4</v>
      </c>
      <c r="AA5243">
        <v>0.99976830000000005</v>
      </c>
      <c r="AB5243">
        <v>30</v>
      </c>
      <c r="AC5243">
        <v>-27.594000000000001</v>
      </c>
      <c r="AD5243">
        <v>-1.1078762302880001</v>
      </c>
      <c r="AE5243">
        <v>-0.24660000000000001</v>
      </c>
      <c r="AF5243">
        <v>-0.60154442369974004</v>
      </c>
      <c r="AG5243">
        <v>-1.1078762302880001</v>
      </c>
      <c r="AH5243">
        <v>27.544127045058101</v>
      </c>
      <c r="AI5243">
        <v>92.302753200391805</v>
      </c>
      <c r="AJ5243">
        <v>91.251100774004101</v>
      </c>
      <c r="AK5243">
        <v>27.572961032678801</v>
      </c>
      <c r="AL5243">
        <v>80.390751356425696</v>
      </c>
      <c r="AM5243">
        <v>92.129451955743704</v>
      </c>
      <c r="AN5243">
        <v>0.99999998014226499</v>
      </c>
    </row>
    <row r="5244" spans="1:40" x14ac:dyDescent="0.25">
      <c r="A5244" t="str">
        <f>"20190312172221573"</f>
        <v>20190312172221573</v>
      </c>
      <c r="B5244" t="str">
        <f>"1552382541565913"</f>
        <v>1552382541565913</v>
      </c>
      <c r="C5244" t="s">
        <v>40</v>
      </c>
      <c r="D5244">
        <v>3.219001</v>
      </c>
      <c r="E5244">
        <v>0.51071979999999995</v>
      </c>
      <c r="F5244" t="s">
        <v>42</v>
      </c>
      <c r="G5244">
        <v>-267.96390000000002</v>
      </c>
      <c r="H5244" s="1">
        <v>-1.1358880000000001E-6</v>
      </c>
      <c r="I5244">
        <v>140.66890000000001</v>
      </c>
      <c r="J5244">
        <v>-240.3271</v>
      </c>
      <c r="K5244">
        <v>1.1078669999999999</v>
      </c>
      <c r="L5244">
        <v>140.69110000000001</v>
      </c>
      <c r="M5244">
        <v>-0.9998705</v>
      </c>
      <c r="N5244">
        <v>0</v>
      </c>
      <c r="O5244">
        <v>1.48583E-2</v>
      </c>
      <c r="P5244">
        <v>-0.98664879999999999</v>
      </c>
      <c r="Q5244">
        <v>0.1614177</v>
      </c>
      <c r="R5244">
        <v>-2.1647860000000001E-2</v>
      </c>
      <c r="S5244">
        <v>-3.060165</v>
      </c>
      <c r="T5244">
        <v>-0.12126770000000001</v>
      </c>
      <c r="U5244">
        <v>-1.7547610000000001E-3</v>
      </c>
      <c r="V5244">
        <v>-3.5676029999999997E-2</v>
      </c>
      <c r="W5244">
        <v>0.16764009999999999</v>
      </c>
      <c r="X5244">
        <v>0.98520260000000004</v>
      </c>
      <c r="Y5244">
        <v>-1.540819E-2</v>
      </c>
      <c r="Z5244">
        <v>-8.9374369999999895E-4</v>
      </c>
      <c r="AA5244">
        <v>0.99988089999999996</v>
      </c>
      <c r="AB5244">
        <v>31</v>
      </c>
      <c r="AC5244">
        <v>-27.636800000000001</v>
      </c>
      <c r="AD5244">
        <v>-1.107868135888</v>
      </c>
      <c r="AE5244">
        <v>-2.2199999999997999E-2</v>
      </c>
      <c r="AF5244">
        <v>-0.432146825825861</v>
      </c>
      <c r="AG5244">
        <v>-1.107868135888</v>
      </c>
      <c r="AH5244">
        <v>27.5890851041435</v>
      </c>
      <c r="AI5244">
        <v>92.299253838340405</v>
      </c>
      <c r="AJ5244">
        <v>90.897389836388996</v>
      </c>
      <c r="AK5244">
        <v>27.6147015115003</v>
      </c>
      <c r="AL5244">
        <v>80.349362974985397</v>
      </c>
      <c r="AM5244">
        <v>92.073881231499598</v>
      </c>
      <c r="AN5244">
        <v>1.0000000726456599</v>
      </c>
    </row>
    <row r="5245" spans="1:40" x14ac:dyDescent="0.25">
      <c r="A5245" t="str">
        <f>"20190312172221595"</f>
        <v>20190312172221595</v>
      </c>
      <c r="B5245" t="str">
        <f>"1552382541586409"</f>
        <v>1552382541586409</v>
      </c>
      <c r="C5245" t="s">
        <v>40</v>
      </c>
      <c r="D5245">
        <v>3.2101150000000001</v>
      </c>
      <c r="E5245">
        <v>0.51093929999999999</v>
      </c>
      <c r="F5245" t="s">
        <v>42</v>
      </c>
      <c r="G5245">
        <v>-268.70310000000001</v>
      </c>
      <c r="H5245" s="1">
        <v>-8.5017429999999998E-7</v>
      </c>
      <c r="I5245">
        <v>140.7868</v>
      </c>
      <c r="J5245">
        <v>-240.6208</v>
      </c>
      <c r="K5245">
        <v>1.1078589999999999</v>
      </c>
      <c r="L5245">
        <v>140.69720000000001</v>
      </c>
      <c r="M5245">
        <v>-0.99984220000000001</v>
      </c>
      <c r="N5245">
        <v>0</v>
      </c>
      <c r="O5245">
        <v>1.6653769999999998E-2</v>
      </c>
      <c r="P5245">
        <v>-0.98666100000000001</v>
      </c>
      <c r="Q5245">
        <v>0.16161439999999999</v>
      </c>
      <c r="R5245">
        <v>-1.951719E-2</v>
      </c>
      <c r="S5245">
        <v>-3.0603790000000002</v>
      </c>
      <c r="T5245">
        <v>-0.1194853</v>
      </c>
      <c r="U5245">
        <v>1.0330199999999999E-2</v>
      </c>
      <c r="V5245">
        <v>-3.5312089999999997E-2</v>
      </c>
      <c r="W5245">
        <v>0.16784830000000001</v>
      </c>
      <c r="X5245">
        <v>0.98518019999999995</v>
      </c>
      <c r="Y5245">
        <v>-1.3256240000000001E-2</v>
      </c>
      <c r="Z5245">
        <v>-9.08623E-4</v>
      </c>
      <c r="AA5245">
        <v>0.99991169999999996</v>
      </c>
      <c r="AB5245">
        <v>31</v>
      </c>
      <c r="AC5245">
        <v>-28.0823</v>
      </c>
      <c r="AD5245">
        <v>-1.1078598501743</v>
      </c>
      <c r="AE5245">
        <v>8.9599999999990104E-2</v>
      </c>
      <c r="AF5245">
        <v>-0.37751000330398299</v>
      </c>
      <c r="AG5245">
        <v>-1.1078598501743</v>
      </c>
      <c r="AH5245">
        <v>28.036264005052399</v>
      </c>
      <c r="AI5245">
        <v>92.262674581231394</v>
      </c>
      <c r="AJ5245">
        <v>90.771444541904202</v>
      </c>
      <c r="AK5245">
        <v>28.060683644758502</v>
      </c>
      <c r="AL5245">
        <v>80.337261936633695</v>
      </c>
      <c r="AM5245">
        <v>92.052789881963903</v>
      </c>
      <c r="AN5245">
        <v>1.00000001099254</v>
      </c>
    </row>
    <row r="5246" spans="1:40" x14ac:dyDescent="0.25">
      <c r="A5246" t="str">
        <f>"20190312172221608"</f>
        <v>20190312172221608</v>
      </c>
      <c r="B5246" t="str">
        <f>"1552382541596169"</f>
        <v>1552382541596169</v>
      </c>
      <c r="C5246" t="s">
        <v>40</v>
      </c>
      <c r="D5246">
        <v>3.2226249999999999</v>
      </c>
      <c r="E5246">
        <v>0.51091160000000002</v>
      </c>
      <c r="F5246" t="s">
        <v>42</v>
      </c>
      <c r="G5246">
        <v>-269.10129999999998</v>
      </c>
      <c r="H5246" s="1">
        <v>-7.006549E-7</v>
      </c>
      <c r="I5246">
        <v>140.86689999999999</v>
      </c>
      <c r="J5246">
        <v>-240.8023</v>
      </c>
      <c r="K5246">
        <v>1.1078520000000001</v>
      </c>
      <c r="L5246">
        <v>140.7012</v>
      </c>
      <c r="M5246">
        <v>-0.99982300000000002</v>
      </c>
      <c r="N5246">
        <v>0</v>
      </c>
      <c r="O5246">
        <v>1.7762360000000001E-2</v>
      </c>
      <c r="P5246">
        <v>-0.98672090000000001</v>
      </c>
      <c r="Q5246">
        <v>0.16138540000000001</v>
      </c>
      <c r="R5246">
        <v>-1.8348739999999999E-2</v>
      </c>
      <c r="S5246">
        <v>-3.060425</v>
      </c>
      <c r="T5246">
        <v>-0.11904720000000001</v>
      </c>
      <c r="U5246">
        <v>1.824951E-2</v>
      </c>
      <c r="V5246">
        <v>-3.5236860000000002E-2</v>
      </c>
      <c r="W5246">
        <v>0.16762739999999901</v>
      </c>
      <c r="X5246">
        <v>0.98522050000000005</v>
      </c>
      <c r="Y5246">
        <v>-1.177803E-2</v>
      </c>
      <c r="Z5246">
        <v>-9.1963400000000001E-4</v>
      </c>
      <c r="AA5246">
        <v>0.99993019999999999</v>
      </c>
      <c r="AB5246">
        <v>31</v>
      </c>
      <c r="AC5246">
        <v>-28.2989999999999</v>
      </c>
      <c r="AD5246">
        <v>-1.1078527006548999</v>
      </c>
      <c r="AE5246">
        <v>0.165699999999986</v>
      </c>
      <c r="AF5246">
        <v>-0.33647717721373099</v>
      </c>
      <c r="AG5246">
        <v>-1.1078527006548999</v>
      </c>
      <c r="AH5246">
        <v>28.254178392714</v>
      </c>
      <c r="AI5246">
        <v>92.245271109268899</v>
      </c>
      <c r="AJ5246">
        <v>90.682299466626802</v>
      </c>
      <c r="AK5246">
        <v>28.277891561154998</v>
      </c>
      <c r="AL5246">
        <v>80.350100442032002</v>
      </c>
      <c r="AM5246">
        <v>92.048336564385707</v>
      </c>
      <c r="AN5246">
        <v>1.0000000075768301</v>
      </c>
    </row>
    <row r="5247" spans="1:40" x14ac:dyDescent="0.25">
      <c r="A5247" t="str">
        <f>"20190312172221628"</f>
        <v>20190312172221628</v>
      </c>
      <c r="B5247" t="str">
        <f>"1552382541615689"</f>
        <v>1552382541615689</v>
      </c>
      <c r="C5247" t="s">
        <v>40</v>
      </c>
      <c r="D5247">
        <v>3.2265480000000002</v>
      </c>
      <c r="E5247">
        <v>0.51081299999999996</v>
      </c>
      <c r="F5247" t="s">
        <v>42</v>
      </c>
      <c r="G5247">
        <v>-269.12580000000003</v>
      </c>
      <c r="H5247" s="1">
        <v>-6.9871449999999995E-7</v>
      </c>
      <c r="I5247">
        <v>140.89920000000001</v>
      </c>
      <c r="J5247">
        <v>-241.07570000000001</v>
      </c>
      <c r="K5247">
        <v>1.107839</v>
      </c>
      <c r="L5247">
        <v>140.70769999999999</v>
      </c>
      <c r="M5247">
        <v>-0.99979200000000001</v>
      </c>
      <c r="N5247">
        <v>0</v>
      </c>
      <c r="O5247">
        <v>1.942878E-2</v>
      </c>
      <c r="P5247">
        <v>-0.98670760000000002</v>
      </c>
      <c r="Q5247">
        <v>0.1616562</v>
      </c>
      <c r="R5247">
        <v>-1.6599289999999999E-2</v>
      </c>
      <c r="S5247">
        <v>-3.0603639999999999</v>
      </c>
      <c r="T5247">
        <v>-0.1197039</v>
      </c>
      <c r="U5247">
        <v>2.139282E-2</v>
      </c>
      <c r="V5247">
        <v>-3.5127569999999997E-2</v>
      </c>
      <c r="W5247">
        <v>0.1679099</v>
      </c>
      <c r="X5247">
        <v>0.9851763</v>
      </c>
      <c r="Y5247">
        <v>-1.2415539999999999E-2</v>
      </c>
      <c r="Z5247">
        <v>-1.0023250000000001E-3</v>
      </c>
      <c r="AA5247">
        <v>0.99992239999999999</v>
      </c>
      <c r="AB5247">
        <v>31</v>
      </c>
      <c r="AC5247">
        <v>-28.0501</v>
      </c>
      <c r="AD5247">
        <v>-1.1078396987145001</v>
      </c>
      <c r="AE5247">
        <v>0.19150000000001899</v>
      </c>
      <c r="AF5247">
        <v>-0.35297529003536998</v>
      </c>
      <c r="AG5247">
        <v>-1.1078396987145001</v>
      </c>
      <c r="AH5247">
        <v>28.004844298835501</v>
      </c>
      <c r="AI5247">
        <v>92.265194749472599</v>
      </c>
      <c r="AJ5247">
        <v>90.722122334648304</v>
      </c>
      <c r="AK5247">
        <v>28.028970807995101</v>
      </c>
      <c r="AL5247">
        <v>80.333681708387701</v>
      </c>
      <c r="AM5247">
        <v>92.042080404241901</v>
      </c>
      <c r="AN5247">
        <v>1.0000000113869001</v>
      </c>
    </row>
    <row r="5248" spans="1:40" x14ac:dyDescent="0.25">
      <c r="A5248" t="str">
        <f>"20190312172221641"</f>
        <v>20190312172221641</v>
      </c>
      <c r="B5248" t="str">
        <f>"1552382541636185"</f>
        <v>1552382541636185</v>
      </c>
      <c r="C5248" t="s">
        <v>40</v>
      </c>
      <c r="D5248">
        <v>3.2317170000000002</v>
      </c>
      <c r="E5248">
        <v>0.51059589999999999</v>
      </c>
      <c r="F5248" t="s">
        <v>42</v>
      </c>
      <c r="G5248">
        <v>-269.56119999999999</v>
      </c>
      <c r="H5248" s="1">
        <v>-5.2506009999999996E-7</v>
      </c>
      <c r="I5248">
        <v>140.9485</v>
      </c>
      <c r="J5248">
        <v>-241.25710000000001</v>
      </c>
      <c r="K5248">
        <v>1.107834</v>
      </c>
      <c r="L5248">
        <v>140.7122</v>
      </c>
      <c r="M5248">
        <v>-0.99976989999999999</v>
      </c>
      <c r="N5248">
        <v>0</v>
      </c>
      <c r="O5248">
        <v>2.0532479999999999E-2</v>
      </c>
      <c r="P5248">
        <v>-0.98666980000000004</v>
      </c>
      <c r="Q5248">
        <v>0.16198979999999999</v>
      </c>
      <c r="R5248">
        <v>-1.555517E-2</v>
      </c>
      <c r="S5248">
        <v>-3.0603639999999999</v>
      </c>
      <c r="T5248">
        <v>-0.11902169999999899</v>
      </c>
      <c r="U5248">
        <v>2.5878910000000001E-2</v>
      </c>
      <c r="V5248">
        <v>-3.5168709999999999E-2</v>
      </c>
      <c r="W5248">
        <v>0.16825119999999999</v>
      </c>
      <c r="X5248">
        <v>0.98511660000000001</v>
      </c>
      <c r="Y5248">
        <v>-1.205344E-2</v>
      </c>
      <c r="Z5248">
        <v>-1.03247E-3</v>
      </c>
      <c r="AA5248">
        <v>0.9999268</v>
      </c>
      <c r="AB5248">
        <v>31</v>
      </c>
      <c r="AC5248">
        <v>-28.304099999999899</v>
      </c>
      <c r="AD5248">
        <v>-1.1078345250601001</v>
      </c>
      <c r="AE5248">
        <v>0.23629999999999901</v>
      </c>
      <c r="AF5248">
        <v>-0.344386836016568</v>
      </c>
      <c r="AG5248">
        <v>-1.1078345250601001</v>
      </c>
      <c r="AH5248">
        <v>28.2596947295111</v>
      </c>
      <c r="AI5248">
        <v>92.244788987925801</v>
      </c>
      <c r="AJ5248">
        <v>90.698200589162397</v>
      </c>
      <c r="AK5248">
        <v>28.283497765179099</v>
      </c>
      <c r="AL5248">
        <v>80.313844426111103</v>
      </c>
      <c r="AM5248">
        <v>92.044593772204607</v>
      </c>
      <c r="AN5248">
        <v>1.0000000100300299</v>
      </c>
    </row>
    <row r="5249" spans="1:40" x14ac:dyDescent="0.25">
      <c r="A5249" t="str">
        <f>"20190312172221662"</f>
        <v>20190312172221662</v>
      </c>
      <c r="B5249" t="str">
        <f>"1552382541655706"</f>
        <v>1552382541655706</v>
      </c>
      <c r="C5249" t="s">
        <v>40</v>
      </c>
      <c r="D5249">
        <v>3.2301030000000002</v>
      </c>
      <c r="E5249">
        <v>0.51027659999999997</v>
      </c>
      <c r="F5249" t="s">
        <v>42</v>
      </c>
      <c r="G5249">
        <v>-269.97680000000003</v>
      </c>
      <c r="H5249" s="1">
        <v>-4.5239869999999997E-6</v>
      </c>
      <c r="I5249">
        <v>140.96960000000001</v>
      </c>
      <c r="J5249">
        <v>-241.55359999999999</v>
      </c>
      <c r="K5249">
        <v>1.1078330000000001</v>
      </c>
      <c r="L5249">
        <v>140.7201</v>
      </c>
      <c r="M5249">
        <v>-0.99973129999999999</v>
      </c>
      <c r="N5249">
        <v>0</v>
      </c>
      <c r="O5249">
        <v>2.2327400000000001E-2</v>
      </c>
      <c r="P5249">
        <v>-0.98658869999999999</v>
      </c>
      <c r="Q5249">
        <v>0.16265350000000001</v>
      </c>
      <c r="R5249">
        <v>-1.3667489999999999E-2</v>
      </c>
      <c r="S5249">
        <v>-3.060333</v>
      </c>
      <c r="T5249">
        <v>-0.11805</v>
      </c>
      <c r="U5249">
        <v>2.7435299999999999E-2</v>
      </c>
      <c r="V5249">
        <v>-3.5045750000000001E-2</v>
      </c>
      <c r="W5249">
        <v>0.16892660000000001</v>
      </c>
      <c r="X5249">
        <v>0.98500540000000003</v>
      </c>
      <c r="Y5249">
        <v>-1.33382E-2</v>
      </c>
      <c r="Z5249">
        <v>-1.1180210000000001E-3</v>
      </c>
      <c r="AA5249">
        <v>0.99991039999999998</v>
      </c>
      <c r="AB5249">
        <v>31</v>
      </c>
      <c r="AC5249">
        <v>-28.423200000000001</v>
      </c>
      <c r="AD5249">
        <v>-1.107837523987</v>
      </c>
      <c r="AE5249">
        <v>0.24950000000001099</v>
      </c>
      <c r="AF5249">
        <v>-0.38460643468832101</v>
      </c>
      <c r="AG5249">
        <v>-1.107837523987</v>
      </c>
      <c r="AH5249">
        <v>28.378576428911799</v>
      </c>
      <c r="AI5249">
        <v>92.235361610717305</v>
      </c>
      <c r="AJ5249">
        <v>90.776465179828904</v>
      </c>
      <c r="AK5249">
        <v>28.402796098636902</v>
      </c>
      <c r="AL5249">
        <v>80.274585005366006</v>
      </c>
      <c r="AM5249">
        <v>92.037681134984496</v>
      </c>
      <c r="AN5249">
        <v>1.0000000194048899</v>
      </c>
    </row>
    <row r="5250" spans="1:40" x14ac:dyDescent="0.25">
      <c r="A5250" t="str">
        <f>"20190312172221684"</f>
        <v>20190312172221684</v>
      </c>
      <c r="B5250" t="str">
        <f>"1552382541676205"</f>
        <v>1552382541676205</v>
      </c>
      <c r="C5250" t="s">
        <v>40</v>
      </c>
      <c r="D5250">
        <v>3.2190530000000002</v>
      </c>
      <c r="E5250">
        <v>0.50999729999999999</v>
      </c>
      <c r="F5250" t="s">
        <v>42</v>
      </c>
      <c r="G5250">
        <v>-270.79169999999999</v>
      </c>
      <c r="H5250" s="1">
        <v>-4.25371999999999E-6</v>
      </c>
      <c r="I5250">
        <v>141.00919999999999</v>
      </c>
      <c r="J5250">
        <v>-241.8715</v>
      </c>
      <c r="K5250">
        <v>1.107831</v>
      </c>
      <c r="L5250">
        <v>140.72909999999999</v>
      </c>
      <c r="M5250">
        <v>-0.99968679999999999</v>
      </c>
      <c r="N5250">
        <v>0</v>
      </c>
      <c r="O5250">
        <v>2.4239070000000001E-2</v>
      </c>
      <c r="P5250">
        <v>-0.98662879999999997</v>
      </c>
      <c r="Q5250">
        <v>0.16258699999999901</v>
      </c>
      <c r="R5250">
        <v>-1.139623E-2</v>
      </c>
      <c r="S5250">
        <v>-3.060333</v>
      </c>
      <c r="T5250">
        <v>-0.1159568</v>
      </c>
      <c r="U5250">
        <v>3.0273439999999999E-2</v>
      </c>
      <c r="V5250">
        <v>-3.4661400000000002E-2</v>
      </c>
      <c r="W5250">
        <v>0.1688721</v>
      </c>
      <c r="X5250">
        <v>0.98502829999999997</v>
      </c>
      <c r="Y5250">
        <v>-1.432188E-2</v>
      </c>
      <c r="Z5250">
        <v>-1.1892210000000001E-3</v>
      </c>
      <c r="AA5250">
        <v>0.99989669999999997</v>
      </c>
      <c r="AB5250">
        <v>31</v>
      </c>
      <c r="AC5250">
        <v>-28.920199999999902</v>
      </c>
      <c r="AD5250">
        <v>-1.10783525372</v>
      </c>
      <c r="AE5250">
        <v>0.28010000000000401</v>
      </c>
      <c r="AF5250">
        <v>-0.42037783693300002</v>
      </c>
      <c r="AG5250">
        <v>-1.10783525372</v>
      </c>
      <c r="AH5250">
        <v>28.876123361274399</v>
      </c>
      <c r="AI5250">
        <v>92.196848021393507</v>
      </c>
      <c r="AJ5250">
        <v>90.834051518228407</v>
      </c>
      <c r="AK5250">
        <v>28.900424163854499</v>
      </c>
      <c r="AL5250">
        <v>80.277752708012002</v>
      </c>
      <c r="AM5250">
        <v>92.015305412397396</v>
      </c>
      <c r="AN5250">
        <v>0.99999997530462903</v>
      </c>
    </row>
    <row r="5251" spans="1:40" x14ac:dyDescent="0.25">
      <c r="A5251" t="str">
        <f>"20190312172221696"</f>
        <v>20190312172221696</v>
      </c>
      <c r="B5251" t="str">
        <f>"1552382541685962"</f>
        <v>1552382541685962</v>
      </c>
      <c r="C5251" t="s">
        <v>40</v>
      </c>
      <c r="D5251">
        <v>3.2061289999999998</v>
      </c>
      <c r="E5251">
        <v>0.50987159999999998</v>
      </c>
      <c r="F5251" t="s">
        <v>42</v>
      </c>
      <c r="G5251">
        <v>-270.64920000000001</v>
      </c>
      <c r="H5251" s="1">
        <v>-4.3109079999999999E-6</v>
      </c>
      <c r="I5251">
        <v>141.0583</v>
      </c>
      <c r="J5251">
        <v>-242.0444</v>
      </c>
      <c r="K5251">
        <v>1.107834</v>
      </c>
      <c r="L5251">
        <v>140.73419999999999</v>
      </c>
      <c r="M5251">
        <v>-0.99966109999999997</v>
      </c>
      <c r="N5251">
        <v>0</v>
      </c>
      <c r="O5251">
        <v>2.5272300000000001E-2</v>
      </c>
      <c r="P5251">
        <v>-0.98661069999999995</v>
      </c>
      <c r="Q5251">
        <v>0.16277369999999999</v>
      </c>
      <c r="R5251">
        <v>-1.020596E-2</v>
      </c>
      <c r="S5251">
        <v>-3.0605009999999999</v>
      </c>
      <c r="T5251">
        <v>-0.1178184</v>
      </c>
      <c r="U5251">
        <v>3.5018920000000002E-2</v>
      </c>
      <c r="V5251">
        <v>-3.4489279999999997E-2</v>
      </c>
      <c r="W5251">
        <v>0.169064299999999</v>
      </c>
      <c r="X5251">
        <v>0.98500140000000003</v>
      </c>
      <c r="Y5251">
        <v>-1.380439E-2</v>
      </c>
      <c r="Z5251">
        <v>-1.2380099999999999E-3</v>
      </c>
      <c r="AA5251">
        <v>0.99990400000000002</v>
      </c>
      <c r="AB5251">
        <v>31</v>
      </c>
      <c r="AC5251">
        <v>-28.604800000000001</v>
      </c>
      <c r="AD5251">
        <v>-1.1078383109079999</v>
      </c>
      <c r="AE5251">
        <v>0.32410000000001499</v>
      </c>
      <c r="AF5251">
        <v>-0.39832930807421602</v>
      </c>
      <c r="AG5251">
        <v>-1.1078383109079999</v>
      </c>
      <c r="AH5251">
        <v>28.561019889070401</v>
      </c>
      <c r="AI5251">
        <v>92.221086367977406</v>
      </c>
      <c r="AJ5251">
        <v>90.799029892708504</v>
      </c>
      <c r="AK5251">
        <v>28.585272940181301</v>
      </c>
      <c r="AL5251">
        <v>80.266580081456198</v>
      </c>
      <c r="AM5251">
        <v>92.005360810842504</v>
      </c>
      <c r="AN5251">
        <v>1.0000000029856799</v>
      </c>
    </row>
    <row r="5252" spans="1:40" x14ac:dyDescent="0.25">
      <c r="A5252" t="str">
        <f>"20190312172221709"</f>
        <v>20190312172221709</v>
      </c>
      <c r="B5252" t="str">
        <f>"1552382541705481"</f>
        <v>1552382541705481</v>
      </c>
      <c r="C5252" t="s">
        <v>40</v>
      </c>
      <c r="D5252">
        <v>3.1503369999999999</v>
      </c>
      <c r="E5252">
        <v>0.50983420000000002</v>
      </c>
      <c r="F5252" t="s">
        <v>42</v>
      </c>
      <c r="G5252">
        <v>-270.75819999999999</v>
      </c>
      <c r="H5252" s="1">
        <v>-4.2794110000000001E-6</v>
      </c>
      <c r="I5252">
        <v>141.0899</v>
      </c>
      <c r="J5252">
        <v>-242.21530000000001</v>
      </c>
      <c r="K5252">
        <v>1.1078349999999999</v>
      </c>
      <c r="L5252">
        <v>140.73949999999999</v>
      </c>
      <c r="M5252">
        <v>-0.99963489999999999</v>
      </c>
      <c r="N5252">
        <v>0</v>
      </c>
      <c r="O5252">
        <v>2.6285679999999999E-2</v>
      </c>
      <c r="P5252">
        <v>-0.98664540000000001</v>
      </c>
      <c r="Q5252">
        <v>0.16264799999999999</v>
      </c>
      <c r="R5252">
        <v>-8.7352969999999995E-3</v>
      </c>
      <c r="S5252">
        <v>-3.0605929999999999</v>
      </c>
      <c r="T5252">
        <v>-0.11808440000000001</v>
      </c>
      <c r="U5252">
        <v>3.7918090000000002E-2</v>
      </c>
      <c r="V5252">
        <v>-3.4021240000000001E-2</v>
      </c>
      <c r="W5252">
        <v>0.16894439999999999</v>
      </c>
      <c r="X5252">
        <v>0.98503819999999997</v>
      </c>
      <c r="Y5252">
        <v>-1.387041E-2</v>
      </c>
      <c r="Z5252">
        <v>-1.2811000000000001E-3</v>
      </c>
      <c r="AA5252">
        <v>0.99990299999999999</v>
      </c>
      <c r="AB5252">
        <v>31</v>
      </c>
      <c r="AC5252">
        <v>-28.5428999999999</v>
      </c>
      <c r="AD5252">
        <v>-1.1078392794109999</v>
      </c>
      <c r="AE5252">
        <v>0.35040000000000698</v>
      </c>
      <c r="AF5252">
        <v>-0.39940369819185001</v>
      </c>
      <c r="AG5252">
        <v>-1.1078392794109999</v>
      </c>
      <c r="AH5252">
        <v>28.499321329328801</v>
      </c>
      <c r="AI5252">
        <v>92.225889829717801</v>
      </c>
      <c r="AJ5252">
        <v>90.802919057074106</v>
      </c>
      <c r="AK5252">
        <v>28.523641903085799</v>
      </c>
      <c r="AL5252">
        <v>80.273549638391401</v>
      </c>
      <c r="AM5252">
        <v>91.978094800431705</v>
      </c>
      <c r="AN5252">
        <v>0.99999995526086705</v>
      </c>
    </row>
    <row r="5253" spans="1:40" x14ac:dyDescent="0.25">
      <c r="A5253" t="str">
        <f>"20190312172221728"</f>
        <v>20190312172221728</v>
      </c>
      <c r="B5253" t="str">
        <f>"1552382541716218"</f>
        <v>1552382541716218</v>
      </c>
      <c r="C5253" t="s">
        <v>40</v>
      </c>
      <c r="D5253">
        <v>3.1784210000000002</v>
      </c>
      <c r="E5253">
        <v>0.50971060000000001</v>
      </c>
      <c r="F5253" t="s">
        <v>42</v>
      </c>
      <c r="G5253">
        <v>-270.2801</v>
      </c>
      <c r="H5253" s="1">
        <v>-4.448515E-6</v>
      </c>
      <c r="I5253">
        <v>141.126</v>
      </c>
      <c r="J5253">
        <v>-242.48220000000001</v>
      </c>
      <c r="K5253">
        <v>1.107837</v>
      </c>
      <c r="L5253">
        <v>140.74799999999999</v>
      </c>
      <c r="M5253">
        <v>-0.99959249999999999</v>
      </c>
      <c r="N5253">
        <v>0</v>
      </c>
      <c r="O5253">
        <v>2.785342E-2</v>
      </c>
      <c r="P5253">
        <v>-0.98664799999999997</v>
      </c>
      <c r="Q5253">
        <v>0.16271729999999901</v>
      </c>
      <c r="R5253">
        <v>-7.0236830000000002E-3</v>
      </c>
      <c r="S5253">
        <v>-3.0608979999999999</v>
      </c>
      <c r="T5253">
        <v>-0.12082710000000001</v>
      </c>
      <c r="U5253">
        <v>4.2160030000000001E-2</v>
      </c>
      <c r="V5253">
        <v>-3.3858739999999998E-2</v>
      </c>
      <c r="W5253">
        <v>0.16902300000000001</v>
      </c>
      <c r="X5253">
        <v>0.98503039999999997</v>
      </c>
      <c r="Y5253">
        <v>-1.4051599999999999E-2</v>
      </c>
      <c r="Z5253">
        <v>-1.376097E-3</v>
      </c>
      <c r="AA5253">
        <v>0.99990029999999996</v>
      </c>
      <c r="AB5253">
        <v>31</v>
      </c>
      <c r="AC5253">
        <v>-27.797899999999998</v>
      </c>
      <c r="AD5253">
        <v>-1.1078414485150001</v>
      </c>
      <c r="AE5253">
        <v>0.37800000000001399</v>
      </c>
      <c r="AF5253">
        <v>-0.39579982263133501</v>
      </c>
      <c r="AG5253">
        <v>-1.1078414485150001</v>
      </c>
      <c r="AH5253">
        <v>27.7535705834139</v>
      </c>
      <c r="AI5253">
        <v>92.285634379223396</v>
      </c>
      <c r="AJ5253">
        <v>90.817052424863107</v>
      </c>
      <c r="AK5253">
        <v>27.778492585148999</v>
      </c>
      <c r="AL5253">
        <v>80.268981301598501</v>
      </c>
      <c r="AM5253">
        <v>91.968669602116407</v>
      </c>
      <c r="AN5253">
        <v>1.00000003886377</v>
      </c>
    </row>
    <row r="5254" spans="1:40" x14ac:dyDescent="0.25">
      <c r="A5254" t="str">
        <f>"20190312172221741"</f>
        <v>20190312172221741</v>
      </c>
      <c r="B5254" t="str">
        <f>"1552382541735738"</f>
        <v>1552382541735738</v>
      </c>
      <c r="C5254" t="s">
        <v>40</v>
      </c>
      <c r="D5254">
        <v>3.2683330000000002</v>
      </c>
      <c r="E5254">
        <v>0.50949409999999995</v>
      </c>
      <c r="F5254" t="s">
        <v>42</v>
      </c>
      <c r="G5254">
        <v>-270.4966</v>
      </c>
      <c r="H5254" s="1">
        <v>-4.3829739999999999E-6</v>
      </c>
      <c r="I5254">
        <v>141.17179999999999</v>
      </c>
      <c r="J5254">
        <v>-242.66489999999999</v>
      </c>
      <c r="K5254">
        <v>1.1078410000000001</v>
      </c>
      <c r="L5254">
        <v>140.75399999999999</v>
      </c>
      <c r="M5254">
        <v>-0.99956230000000001</v>
      </c>
      <c r="N5254">
        <v>0</v>
      </c>
      <c r="O5254">
        <v>2.8914039999999998E-2</v>
      </c>
      <c r="P5254">
        <v>-0.98661620000000005</v>
      </c>
      <c r="Q5254">
        <v>0.1629671</v>
      </c>
      <c r="R5254">
        <v>-5.5303740000000002E-3</v>
      </c>
      <c r="S5254">
        <v>-3.0609130000000002</v>
      </c>
      <c r="T5254">
        <v>-0.1210455</v>
      </c>
      <c r="U5254">
        <v>4.6310419999999998E-2</v>
      </c>
      <c r="V5254">
        <v>-3.3413379999999999E-2</v>
      </c>
      <c r="W5254">
        <v>0.16927809999999999</v>
      </c>
      <c r="X5254">
        <v>0.98500169999999998</v>
      </c>
      <c r="Y5254">
        <v>-1.375641E-2</v>
      </c>
      <c r="Z5254">
        <v>-1.414631E-3</v>
      </c>
      <c r="AA5254">
        <v>0.99990440000000003</v>
      </c>
      <c r="AB5254">
        <v>31</v>
      </c>
      <c r="AC5254">
        <v>-27.831700000000001</v>
      </c>
      <c r="AD5254">
        <v>-1.107845382974</v>
      </c>
      <c r="AE5254">
        <v>0.41779999999999901</v>
      </c>
      <c r="AF5254">
        <v>-0.38650508270638001</v>
      </c>
      <c r="AG5254">
        <v>-1.107845382974</v>
      </c>
      <c r="AH5254">
        <v>27.7881246767185</v>
      </c>
      <c r="AI5254">
        <v>92.282814647323207</v>
      </c>
      <c r="AJ5254">
        <v>90.796875728605897</v>
      </c>
      <c r="AK5254">
        <v>27.812885154553499</v>
      </c>
      <c r="AL5254">
        <v>80.254150471782395</v>
      </c>
      <c r="AM5254">
        <v>91.942851300952896</v>
      </c>
      <c r="AN5254">
        <v>0.99999993905275997</v>
      </c>
    </row>
    <row r="5255" spans="1:40" x14ac:dyDescent="0.25">
      <c r="A5255" t="str">
        <f>"20190312172221763"</f>
        <v>20190312172221763</v>
      </c>
      <c r="B5255" t="str">
        <f>"1552382541755595"</f>
        <v>1552382541755595</v>
      </c>
      <c r="C5255" t="s">
        <v>40</v>
      </c>
      <c r="D5255">
        <v>3.1652529999999999</v>
      </c>
      <c r="E5255">
        <v>0.50937029999999905</v>
      </c>
      <c r="F5255" t="s">
        <v>42</v>
      </c>
      <c r="G5255">
        <v>-270.72329999999999</v>
      </c>
      <c r="H5255" s="1">
        <v>-4.3116719999999998E-6</v>
      </c>
      <c r="I5255">
        <v>141.20480000000001</v>
      </c>
      <c r="J5255">
        <v>-242.9803</v>
      </c>
      <c r="K5255">
        <v>1.107855</v>
      </c>
      <c r="L5255">
        <v>140.76490000000001</v>
      </c>
      <c r="M5255">
        <v>-0.99950870000000003</v>
      </c>
      <c r="N5255">
        <v>0</v>
      </c>
      <c r="O5255">
        <v>3.0708889999999999E-2</v>
      </c>
      <c r="P5255">
        <v>-0.9865931</v>
      </c>
      <c r="Q5255">
        <v>0.16316900000000001</v>
      </c>
      <c r="R5255">
        <v>-3.2040910000000001E-3</v>
      </c>
      <c r="S5255">
        <v>-3.060959</v>
      </c>
      <c r="T5255">
        <v>-0.1208576</v>
      </c>
      <c r="U5255">
        <v>4.917908E-2</v>
      </c>
      <c r="V5255">
        <v>-3.286451E-2</v>
      </c>
      <c r="W5255">
        <v>0.16948920000000001</v>
      </c>
      <c r="X5255">
        <v>0.98498390000000002</v>
      </c>
      <c r="Y5255">
        <v>-1.4613330000000001E-2</v>
      </c>
      <c r="Z5255">
        <v>-1.500115E-3</v>
      </c>
      <c r="AA5255">
        <v>0.99989209999999995</v>
      </c>
      <c r="AB5255">
        <v>32</v>
      </c>
      <c r="AC5255">
        <v>-27.742999999999899</v>
      </c>
      <c r="AD5255">
        <v>-1.1078593116719999</v>
      </c>
      <c r="AE5255">
        <v>0.43989999999999402</v>
      </c>
      <c r="AF5255">
        <v>-0.41162473635194802</v>
      </c>
      <c r="AG5255">
        <v>-1.1078593116719999</v>
      </c>
      <c r="AH5255">
        <v>27.6992649577573</v>
      </c>
      <c r="AI5255">
        <v>92.290127628431904</v>
      </c>
      <c r="AJ5255">
        <v>90.851380869633303</v>
      </c>
      <c r="AK5255">
        <v>27.724466926851399</v>
      </c>
      <c r="AL5255">
        <v>80.241878342335795</v>
      </c>
      <c r="AM5255">
        <v>91.910995124552201</v>
      </c>
      <c r="AN5255">
        <v>0.99999997409669406</v>
      </c>
    </row>
    <row r="5256" spans="1:40" x14ac:dyDescent="0.25">
      <c r="A5256" t="str">
        <f>"20190312172221786"</f>
        <v>20190312172221786</v>
      </c>
      <c r="B5256" t="str">
        <f>"1552382541776092"</f>
        <v>1552382541776092</v>
      </c>
      <c r="C5256" t="s">
        <v>40</v>
      </c>
      <c r="D5256">
        <v>3.288357</v>
      </c>
      <c r="E5256">
        <v>0.50920120000000002</v>
      </c>
      <c r="F5256" t="s">
        <v>42</v>
      </c>
      <c r="G5256">
        <v>-271.01839999999999</v>
      </c>
      <c r="H5256" s="1">
        <v>-4.2224560000000003E-6</v>
      </c>
      <c r="I5256">
        <v>141.2679</v>
      </c>
      <c r="J5256">
        <v>-243.30449999999999</v>
      </c>
      <c r="K5256">
        <v>1.1078760000000001</v>
      </c>
      <c r="L5256">
        <v>140.77670000000001</v>
      </c>
      <c r="M5256">
        <v>-0.99945170000000005</v>
      </c>
      <c r="N5256">
        <v>0</v>
      </c>
      <c r="O5256">
        <v>3.2508490000000001E-2</v>
      </c>
      <c r="P5256">
        <v>-0.98656080000000002</v>
      </c>
      <c r="Q5256">
        <v>0.16338749999999999</v>
      </c>
      <c r="R5256">
        <v>-1.6467789999999999E-3</v>
      </c>
      <c r="S5256">
        <v>-3.0609280000000001</v>
      </c>
      <c r="T5256">
        <v>-0.12094580000000001</v>
      </c>
      <c r="U5256">
        <v>5.4916380000000001E-2</v>
      </c>
      <c r="V5256">
        <v>-3.3090509999999997E-2</v>
      </c>
      <c r="W5256">
        <v>0.16971849999999999</v>
      </c>
      <c r="X5256">
        <v>0.9849369</v>
      </c>
      <c r="Y5256">
        <v>-1.4538489999999999E-2</v>
      </c>
      <c r="Z5256">
        <v>-1.570751E-3</v>
      </c>
      <c r="AA5256">
        <v>0.99989309999999998</v>
      </c>
      <c r="AB5256">
        <v>32</v>
      </c>
      <c r="AC5256">
        <v>-27.713899999999899</v>
      </c>
      <c r="AD5256">
        <v>-1.107880222456</v>
      </c>
      <c r="AE5256">
        <v>0.49119999999999198</v>
      </c>
      <c r="AF5256">
        <v>-0.40936049027305399</v>
      </c>
      <c r="AG5256">
        <v>-1.107880222456</v>
      </c>
      <c r="AH5256">
        <v>27.671014210610899</v>
      </c>
      <c r="AI5256">
        <v>92.292508729780806</v>
      </c>
      <c r="AJ5256">
        <v>90.847562628655396</v>
      </c>
      <c r="AK5256">
        <v>27.696209163749</v>
      </c>
      <c r="AL5256">
        <v>80.228547776391494</v>
      </c>
      <c r="AM5256">
        <v>91.924218404579904</v>
      </c>
      <c r="AN5256">
        <v>1.0000000240379501</v>
      </c>
    </row>
    <row r="5257" spans="1:40" x14ac:dyDescent="0.25">
      <c r="A5257" t="str">
        <f>"20190312172221806"</f>
        <v>20190312172221806</v>
      </c>
      <c r="B5257" t="str">
        <f>"1552382541795611"</f>
        <v>1552382541795611</v>
      </c>
      <c r="C5257" t="s">
        <v>40</v>
      </c>
      <c r="D5257">
        <v>3.1595580000000001</v>
      </c>
      <c r="E5257">
        <v>0.50891719999999996</v>
      </c>
      <c r="F5257" t="s">
        <v>42</v>
      </c>
      <c r="G5257">
        <v>-271.19459999999998</v>
      </c>
      <c r="H5257" s="1">
        <v>-4.1695480000000001E-6</v>
      </c>
      <c r="I5257">
        <v>141.30770000000001</v>
      </c>
      <c r="J5257">
        <v>-243.59559999999999</v>
      </c>
      <c r="K5257">
        <v>1.1079049999999999</v>
      </c>
      <c r="L5257">
        <v>140.7876</v>
      </c>
      <c r="M5257">
        <v>-0.99939909999999998</v>
      </c>
      <c r="N5257">
        <v>0</v>
      </c>
      <c r="O5257">
        <v>3.4081519999999997E-2</v>
      </c>
      <c r="P5257">
        <v>-0.98666489999999996</v>
      </c>
      <c r="Q5257">
        <v>0.16276550000000001</v>
      </c>
      <c r="R5257">
        <v>-3.438429E-4</v>
      </c>
      <c r="S5257">
        <v>-3.0611269999999999</v>
      </c>
      <c r="T5257">
        <v>-0.1215976</v>
      </c>
      <c r="U5257">
        <v>5.8288569999999998E-2</v>
      </c>
      <c r="V5257">
        <v>-3.33566E-2</v>
      </c>
      <c r="W5257">
        <v>0.1691076</v>
      </c>
      <c r="X5257">
        <v>0.98503300000000005</v>
      </c>
      <c r="Y5257">
        <v>-1.50102999999999E-2</v>
      </c>
      <c r="Z5257">
        <v>-1.6508740000000001E-3</v>
      </c>
      <c r="AA5257">
        <v>0.99988600000000005</v>
      </c>
      <c r="AB5257">
        <v>32</v>
      </c>
      <c r="AC5257">
        <v>-27.598999999999901</v>
      </c>
      <c r="AD5257">
        <v>-1.1079091695479999</v>
      </c>
      <c r="AE5257">
        <v>0.520100000000013</v>
      </c>
      <c r="AF5257">
        <v>-0.42015995815294999</v>
      </c>
      <c r="AG5257">
        <v>-1.1079091695479999</v>
      </c>
      <c r="AH5257">
        <v>27.5563017183269</v>
      </c>
      <c r="AI5257">
        <v>92.302086255469405</v>
      </c>
      <c r="AJ5257">
        <v>90.873539827418398</v>
      </c>
      <c r="AK5257">
        <v>27.581765018030801</v>
      </c>
      <c r="AL5257">
        <v>80.264063167744496</v>
      </c>
      <c r="AM5257">
        <v>91.939490716762606</v>
      </c>
      <c r="AN5257">
        <v>1.0000000271151499</v>
      </c>
    </row>
    <row r="5258" spans="1:40" x14ac:dyDescent="0.25">
      <c r="A5258" t="str">
        <f>"20190312172221820"</f>
        <v>20190312172221820</v>
      </c>
      <c r="B5258" t="str">
        <f>"1552382541816108"</f>
        <v>1552382541816108</v>
      </c>
      <c r="C5258" t="s">
        <v>40</v>
      </c>
      <c r="D5258">
        <v>3.1243530000000002</v>
      </c>
      <c r="E5258">
        <v>0.50866400000000001</v>
      </c>
      <c r="F5258" t="s">
        <v>42</v>
      </c>
      <c r="G5258">
        <v>-270.92700000000002</v>
      </c>
      <c r="H5258" s="1">
        <v>-4.2640540000000004E-6</v>
      </c>
      <c r="I5258">
        <v>141.3271</v>
      </c>
      <c r="J5258">
        <v>-243.8006</v>
      </c>
      <c r="K5258">
        <v>1.107923</v>
      </c>
      <c r="L5258">
        <v>140.79560000000001</v>
      </c>
      <c r="M5258">
        <v>-0.99936179999999997</v>
      </c>
      <c r="N5258">
        <v>0</v>
      </c>
      <c r="O5258">
        <v>3.5163439999999997E-2</v>
      </c>
      <c r="P5258">
        <v>-0.98666640000000005</v>
      </c>
      <c r="Q5258">
        <v>0.16275590000000001</v>
      </c>
      <c r="R5258">
        <v>4.4980740000000001E-4</v>
      </c>
      <c r="S5258">
        <v>-3.0610499999999998</v>
      </c>
      <c r="T5258">
        <v>-0.1240835</v>
      </c>
      <c r="U5258">
        <v>6.0424800000000001E-2</v>
      </c>
      <c r="V5258">
        <v>-3.3639370000000002E-2</v>
      </c>
      <c r="W5258">
        <v>0.16910559999999999</v>
      </c>
      <c r="X5258">
        <v>0.98502369999999995</v>
      </c>
      <c r="Y5258">
        <v>-1.539195E-2</v>
      </c>
      <c r="Z5258">
        <v>-1.7361620000000001E-3</v>
      </c>
      <c r="AA5258">
        <v>0.99987999999999999</v>
      </c>
      <c r="AB5258">
        <v>32</v>
      </c>
      <c r="AC5258">
        <v>-27.1264</v>
      </c>
      <c r="AD5258">
        <v>-1.1079272640540001</v>
      </c>
      <c r="AE5258">
        <v>0.53149999999999398</v>
      </c>
      <c r="AF5258">
        <v>-0.42200139947784798</v>
      </c>
      <c r="AG5258">
        <v>-1.1079272640540001</v>
      </c>
      <c r="AH5258">
        <v>27.083151689233802</v>
      </c>
      <c r="AI5258">
        <v>92.342286075006797</v>
      </c>
      <c r="AJ5258">
        <v>90.892693099724696</v>
      </c>
      <c r="AK5258">
        <v>27.109088760517999</v>
      </c>
      <c r="AL5258">
        <v>80.264179170805903</v>
      </c>
      <c r="AM5258">
        <v>91.955937869859696</v>
      </c>
      <c r="AN5258">
        <v>1.0000000003635201</v>
      </c>
    </row>
    <row r="5259" spans="1:40" x14ac:dyDescent="0.25">
      <c r="A5259" t="str">
        <f>"20190312172221841"</f>
        <v>20190312172221841</v>
      </c>
      <c r="B5259" t="str">
        <f>"1552382541835629"</f>
        <v>1552382541835629</v>
      </c>
      <c r="C5259" t="s">
        <v>40</v>
      </c>
      <c r="D5259">
        <v>3.1155379999999999</v>
      </c>
      <c r="E5259">
        <v>0.50841049999999999</v>
      </c>
      <c r="F5259" t="s">
        <v>42</v>
      </c>
      <c r="G5259">
        <v>-270.93119999999999</v>
      </c>
      <c r="H5259" s="1">
        <v>-4.2638779999999998E-6</v>
      </c>
      <c r="I5259">
        <v>141.33430000000001</v>
      </c>
      <c r="J5259">
        <v>-244.0891</v>
      </c>
      <c r="K5259">
        <v>1.1079570000000001</v>
      </c>
      <c r="L5259">
        <v>140.80709999999999</v>
      </c>
      <c r="M5259">
        <v>-0.999309</v>
      </c>
      <c r="N5259">
        <v>0</v>
      </c>
      <c r="O5259">
        <v>3.6630269999999999E-2</v>
      </c>
      <c r="P5259">
        <v>-0.98663559999999995</v>
      </c>
      <c r="Q5259">
        <v>0.16293460000000001</v>
      </c>
      <c r="R5259">
        <v>1.723816E-3</v>
      </c>
      <c r="S5259">
        <v>-3.0611570000000001</v>
      </c>
      <c r="T5259">
        <v>-0.12500799999999901</v>
      </c>
      <c r="U5259">
        <v>6.0791020000000001E-2</v>
      </c>
      <c r="V5259">
        <v>-3.382661E-2</v>
      </c>
      <c r="W5259">
        <v>0.16929269999999999</v>
      </c>
      <c r="X5259">
        <v>0.98498520000000001</v>
      </c>
      <c r="Y5259">
        <v>-1.6737740000000001E-2</v>
      </c>
      <c r="Z5259">
        <v>-1.8363190000000001E-3</v>
      </c>
      <c r="AA5259">
        <v>0.99985820000000003</v>
      </c>
      <c r="AB5259">
        <v>32</v>
      </c>
      <c r="AC5259">
        <v>-26.842099999999899</v>
      </c>
      <c r="AD5259">
        <v>-1.1079612638779901</v>
      </c>
      <c r="AE5259">
        <v>0.52720000000002099</v>
      </c>
      <c r="AF5259">
        <v>-0.45563073585501301</v>
      </c>
      <c r="AG5259">
        <v>-1.1079612638779901</v>
      </c>
      <c r="AH5259">
        <v>26.797756893690501</v>
      </c>
      <c r="AI5259">
        <v>92.367220917314796</v>
      </c>
      <c r="AJ5259">
        <v>90.974081640842996</v>
      </c>
      <c r="AK5259">
        <v>26.824521469413799</v>
      </c>
      <c r="AL5259">
        <v>80.253302805075506</v>
      </c>
      <c r="AM5259">
        <v>91.966893099385103</v>
      </c>
      <c r="AN5259">
        <v>1.0000000510182001</v>
      </c>
    </row>
    <row r="5260" spans="1:40" x14ac:dyDescent="0.25">
      <c r="A5260" t="str">
        <f>"20190312172221864"</f>
        <v>20190312172221864</v>
      </c>
      <c r="B5260" t="str">
        <f>"1552382541855655"</f>
        <v>1552382541855655</v>
      </c>
      <c r="C5260" t="s">
        <v>40</v>
      </c>
      <c r="D5260">
        <v>3.1239710000000001</v>
      </c>
      <c r="E5260">
        <v>0.50812789999999997</v>
      </c>
      <c r="F5260" t="s">
        <v>42</v>
      </c>
      <c r="G5260">
        <v>-271.30939999999998</v>
      </c>
      <c r="H5260" s="1">
        <v>-4.1407019999999996E-6</v>
      </c>
      <c r="I5260">
        <v>141.36539999999999</v>
      </c>
      <c r="J5260">
        <v>-244.417</v>
      </c>
      <c r="K5260">
        <v>1.1080129999999999</v>
      </c>
      <c r="L5260">
        <v>140.82069999999999</v>
      </c>
      <c r="M5260">
        <v>-0.99924950000000001</v>
      </c>
      <c r="N5260">
        <v>0</v>
      </c>
      <c r="O5260">
        <v>3.8215060000000002E-2</v>
      </c>
      <c r="P5260">
        <v>-0.98648380000000002</v>
      </c>
      <c r="Q5260">
        <v>0.1638319</v>
      </c>
      <c r="R5260">
        <v>2.9911769999999998E-3</v>
      </c>
      <c r="S5260">
        <v>-3.0611109999999999</v>
      </c>
      <c r="T5260">
        <v>-0.124598</v>
      </c>
      <c r="U5260">
        <v>6.2789919999999999E-2</v>
      </c>
      <c r="V5260">
        <v>-3.4135890000000002E-2</v>
      </c>
      <c r="W5260">
        <v>0.17019819999999999</v>
      </c>
      <c r="X5260">
        <v>0.98481839999999998</v>
      </c>
      <c r="Y5260">
        <v>-1.7668719999999999E-2</v>
      </c>
      <c r="Z5260">
        <v>-1.9136789999999999E-3</v>
      </c>
      <c r="AA5260">
        <v>0.99984200000000001</v>
      </c>
      <c r="AB5260">
        <v>32</v>
      </c>
      <c r="AC5260">
        <v>-26.892399999999899</v>
      </c>
      <c r="AD5260">
        <v>-1.1080171407020001</v>
      </c>
      <c r="AE5260">
        <v>0.54470000000000596</v>
      </c>
      <c r="AF5260">
        <v>-0.48259424322796501</v>
      </c>
      <c r="AG5260">
        <v>-1.1080171407020001</v>
      </c>
      <c r="AH5260">
        <v>26.8480131559527</v>
      </c>
      <c r="AI5260">
        <v>92.362873687067804</v>
      </c>
      <c r="AJ5260">
        <v>91.029783313169006</v>
      </c>
      <c r="AK5260">
        <v>26.875200643155999</v>
      </c>
      <c r="AL5260">
        <v>80.200656818554506</v>
      </c>
      <c r="AM5260">
        <v>91.985198185547006</v>
      </c>
      <c r="AN5260">
        <v>0.99999998362394504</v>
      </c>
    </row>
    <row r="5261" spans="1:40" x14ac:dyDescent="0.25">
      <c r="A5261" t="str">
        <f>"20190312172221886"</f>
        <v>20190312172221886</v>
      </c>
      <c r="B5261" t="str">
        <f>"1552382541876152"</f>
        <v>1552382541876152</v>
      </c>
      <c r="C5261" t="s">
        <v>40</v>
      </c>
      <c r="D5261">
        <v>3.116225</v>
      </c>
      <c r="E5261">
        <v>0.50791900000000001</v>
      </c>
      <c r="F5261" t="s">
        <v>42</v>
      </c>
      <c r="G5261">
        <v>-272.2473</v>
      </c>
      <c r="H5261" s="1">
        <v>-3.7844219999999999E-6</v>
      </c>
      <c r="I5261">
        <v>141.4059</v>
      </c>
      <c r="J5261">
        <v>-244.7465</v>
      </c>
      <c r="K5261">
        <v>1.10807099999999</v>
      </c>
      <c r="L5261">
        <v>140.8348</v>
      </c>
      <c r="M5261">
        <v>-0.99919069999999999</v>
      </c>
      <c r="N5261">
        <v>0</v>
      </c>
      <c r="O5261">
        <v>3.9719289999999997E-2</v>
      </c>
      <c r="P5261">
        <v>-0.98644810000000005</v>
      </c>
      <c r="Q5261">
        <v>0.16402620000000001</v>
      </c>
      <c r="R5261">
        <v>4.0023139999999999E-3</v>
      </c>
      <c r="S5261">
        <v>-3.0611419999999998</v>
      </c>
      <c r="T5261">
        <v>-0.1218746</v>
      </c>
      <c r="U5261">
        <v>6.4376829999999996E-2</v>
      </c>
      <c r="V5261">
        <v>-3.4631490000000001E-2</v>
      </c>
      <c r="W5261">
        <v>0.1704012</v>
      </c>
      <c r="X5261">
        <v>0.98476600000000003</v>
      </c>
      <c r="Y5261">
        <v>-1.8656010000000001E-2</v>
      </c>
      <c r="Z5261">
        <v>-1.951307E-3</v>
      </c>
      <c r="AA5261">
        <v>0.99982400000000005</v>
      </c>
      <c r="AB5261">
        <v>32</v>
      </c>
      <c r="AC5261">
        <v>-27.500800000000002</v>
      </c>
      <c r="AD5261">
        <v>-1.10807478442199</v>
      </c>
      <c r="AE5261">
        <v>0.57110000000000105</v>
      </c>
      <c r="AF5261">
        <v>-0.52083975024814599</v>
      </c>
      <c r="AG5261">
        <v>-1.10807478442199</v>
      </c>
      <c r="AH5261">
        <v>27.4572246766154</v>
      </c>
      <c r="AI5261">
        <v>92.310582217697998</v>
      </c>
      <c r="AJ5261">
        <v>91.086720937616306</v>
      </c>
      <c r="AK5261">
        <v>27.484510014105201</v>
      </c>
      <c r="AL5261">
        <v>80.188853435870996</v>
      </c>
      <c r="AM5261">
        <v>92.014103685693399</v>
      </c>
      <c r="AN5261">
        <v>0.99999999190852995</v>
      </c>
    </row>
    <row r="5262" spans="1:40" x14ac:dyDescent="0.25">
      <c r="A5262" t="str">
        <f>"20190312172221907"</f>
        <v>20190312172221907</v>
      </c>
      <c r="B5262" t="str">
        <f>"1552382541895672"</f>
        <v>1552382541895672</v>
      </c>
      <c r="C5262" t="s">
        <v>40</v>
      </c>
      <c r="D5262">
        <v>3.1310769999999999</v>
      </c>
      <c r="E5262">
        <v>0.50769989999999998</v>
      </c>
      <c r="F5262" t="s">
        <v>42</v>
      </c>
      <c r="G5262">
        <v>-272.62509999999997</v>
      </c>
      <c r="H5262" s="1">
        <v>-3.6307919999999998E-6</v>
      </c>
      <c r="I5262">
        <v>141.43770000000001</v>
      </c>
      <c r="J5262">
        <v>-245.0438</v>
      </c>
      <c r="K5262">
        <v>1.108133</v>
      </c>
      <c r="L5262">
        <v>140.84780000000001</v>
      </c>
      <c r="M5262">
        <v>-0.99913920000000001</v>
      </c>
      <c r="N5262">
        <v>0</v>
      </c>
      <c r="O5262">
        <v>4.0991340000000001E-2</v>
      </c>
      <c r="P5262">
        <v>-0.98646440000000002</v>
      </c>
      <c r="Q5262">
        <v>0.1639177</v>
      </c>
      <c r="R5262">
        <v>4.3520119999999997E-3</v>
      </c>
      <c r="S5262">
        <v>-3.061172</v>
      </c>
      <c r="T5262">
        <v>-0.121671</v>
      </c>
      <c r="U5262">
        <v>6.6207890000000005E-2</v>
      </c>
      <c r="V5262">
        <v>-3.5563259999999999E-2</v>
      </c>
      <c r="W5262">
        <v>0.1703016</v>
      </c>
      <c r="X5262">
        <v>0.98475000000000001</v>
      </c>
      <c r="Y5262">
        <v>-1.932996E-2</v>
      </c>
      <c r="Z5262">
        <v>-2.0118929999999998E-3</v>
      </c>
      <c r="AA5262">
        <v>0.99981109999999895</v>
      </c>
      <c r="AB5262">
        <v>32</v>
      </c>
      <c r="AC5262">
        <v>-27.581299999999899</v>
      </c>
      <c r="AD5262">
        <v>-1.108136630792</v>
      </c>
      <c r="AE5262">
        <v>0.58989999999999998</v>
      </c>
      <c r="AF5262">
        <v>-0.54034139032886797</v>
      </c>
      <c r="AG5262">
        <v>-1.108136630792</v>
      </c>
      <c r="AH5262">
        <v>27.537867026448001</v>
      </c>
      <c r="AI5262">
        <v>92.303922648488097</v>
      </c>
      <c r="AJ5262">
        <v>91.124099727972293</v>
      </c>
      <c r="AK5262">
        <v>27.565450404028098</v>
      </c>
      <c r="AL5262">
        <v>80.194644542475501</v>
      </c>
      <c r="AM5262">
        <v>92.068280841546098</v>
      </c>
      <c r="AN5262">
        <v>0.99999997146219299</v>
      </c>
    </row>
    <row r="5263" spans="1:40" x14ac:dyDescent="0.25">
      <c r="A5263" t="str">
        <f>"20190312172221922"</f>
        <v>20190312172221922</v>
      </c>
      <c r="B5263" t="str">
        <f>"1552382541916168"</f>
        <v>1552382541916168</v>
      </c>
      <c r="C5263" t="s">
        <v>40</v>
      </c>
      <c r="D5263">
        <v>3.1392980000000001</v>
      </c>
      <c r="E5263">
        <v>0.50747259999999905</v>
      </c>
      <c r="F5263" t="s">
        <v>42</v>
      </c>
      <c r="G5263">
        <v>-272.77670000000001</v>
      </c>
      <c r="H5263" s="1">
        <v>-3.5688360000000002E-6</v>
      </c>
      <c r="I5263">
        <v>141.44919999999999</v>
      </c>
      <c r="J5263">
        <v>-245.251</v>
      </c>
      <c r="K5263">
        <v>1.1081799999999999</v>
      </c>
      <c r="L5263">
        <v>140.8571</v>
      </c>
      <c r="M5263">
        <v>-0.99910449999999995</v>
      </c>
      <c r="N5263">
        <v>0</v>
      </c>
      <c r="O5263">
        <v>4.1830119999999998E-2</v>
      </c>
      <c r="P5263">
        <v>-0.98644080000000001</v>
      </c>
      <c r="Q5263">
        <v>0.16404759999999999</v>
      </c>
      <c r="R5263">
        <v>4.8155150000000002E-3</v>
      </c>
      <c r="S5263">
        <v>-3.061188</v>
      </c>
      <c r="T5263">
        <v>-0.1223176</v>
      </c>
      <c r="U5263">
        <v>6.6390989999999997E-2</v>
      </c>
      <c r="V5263">
        <v>-3.5945110000000002E-2</v>
      </c>
      <c r="W5263">
        <v>0.170435999999999</v>
      </c>
      <c r="X5263">
        <v>0.9847129</v>
      </c>
      <c r="Y5263">
        <v>-2.0107839999999998E-2</v>
      </c>
      <c r="Z5263">
        <v>-2.0715669999999999E-3</v>
      </c>
      <c r="AA5263">
        <v>0.99979569999999995</v>
      </c>
      <c r="AB5263">
        <v>32</v>
      </c>
      <c r="AC5263">
        <v>-27.525700000000001</v>
      </c>
      <c r="AD5263">
        <v>-1.108183568836</v>
      </c>
      <c r="AE5263">
        <v>0.59209999999998697</v>
      </c>
      <c r="AF5263">
        <v>-0.55893933374442395</v>
      </c>
      <c r="AG5263">
        <v>-1.108183568836</v>
      </c>
      <c r="AH5263">
        <v>27.481851175928899</v>
      </c>
      <c r="AI5263">
        <v>92.3086782931979</v>
      </c>
      <c r="AJ5263">
        <v>91.165148955167197</v>
      </c>
      <c r="AK5263">
        <v>27.5098641955381</v>
      </c>
      <c r="AL5263">
        <v>80.186829906098595</v>
      </c>
      <c r="AM5263">
        <v>92.090547488050404</v>
      </c>
      <c r="AN5263">
        <v>0.99999998822766101</v>
      </c>
    </row>
    <row r="5264" spans="1:40" x14ac:dyDescent="0.25">
      <c r="A5264" t="str">
        <f>"20190312172221941"</f>
        <v>20190312172221941</v>
      </c>
      <c r="B5264" t="str">
        <f>"1552382541935688"</f>
        <v>1552382541935688</v>
      </c>
      <c r="C5264" t="s">
        <v>40</v>
      </c>
      <c r="D5264">
        <v>3.1246529999999999</v>
      </c>
      <c r="E5264">
        <v>0.50723169999999995</v>
      </c>
      <c r="F5264" t="s">
        <v>42</v>
      </c>
      <c r="G5264">
        <v>-272.9665</v>
      </c>
      <c r="H5264" s="1">
        <v>-3.4899100000000001E-6</v>
      </c>
      <c r="I5264">
        <v>141.45859999999999</v>
      </c>
      <c r="J5264">
        <v>-245.52889999999999</v>
      </c>
      <c r="K5264">
        <v>1.1082510000000001</v>
      </c>
      <c r="L5264">
        <v>140.86969999999999</v>
      </c>
      <c r="M5264">
        <v>-0.99906059999999997</v>
      </c>
      <c r="N5264">
        <v>0</v>
      </c>
      <c r="O5264">
        <v>4.2864859999999998E-2</v>
      </c>
      <c r="P5264">
        <v>-0.9864811</v>
      </c>
      <c r="Q5264">
        <v>0.1637866</v>
      </c>
      <c r="R5264">
        <v>5.3971660000000001E-3</v>
      </c>
      <c r="S5264">
        <v>-3.061264</v>
      </c>
      <c r="T5264">
        <v>-0.12240280000000001</v>
      </c>
      <c r="U5264">
        <v>6.6452029999999995E-2</v>
      </c>
      <c r="V5264">
        <v>-3.6417690000000003E-2</v>
      </c>
      <c r="W5264">
        <v>0.17018039999999901</v>
      </c>
      <c r="X5264">
        <v>0.98473980000000005</v>
      </c>
      <c r="Y5264">
        <v>-2.112224E-2</v>
      </c>
      <c r="Z5264">
        <v>-2.134543E-3</v>
      </c>
      <c r="AA5264">
        <v>0.99977459999999996</v>
      </c>
      <c r="AB5264">
        <v>32</v>
      </c>
      <c r="AC5264">
        <v>-27.4376</v>
      </c>
      <c r="AD5264">
        <v>-1.10825448991</v>
      </c>
      <c r="AE5264">
        <v>0.58889999999999498</v>
      </c>
      <c r="AF5264">
        <v>-0.58681705372326298</v>
      </c>
      <c r="AG5264">
        <v>-1.10825448991</v>
      </c>
      <c r="AH5264">
        <v>27.392953152912298</v>
      </c>
      <c r="AI5264">
        <v>92.316258206959205</v>
      </c>
      <c r="AJ5264">
        <v>91.227213384815101</v>
      </c>
      <c r="AK5264">
        <v>27.421642268591299</v>
      </c>
      <c r="AL5264">
        <v>80.201692391388306</v>
      </c>
      <c r="AM5264">
        <v>92.117949802029898</v>
      </c>
      <c r="AN5264">
        <v>1.0000000451965601</v>
      </c>
    </row>
    <row r="5265" spans="1:40" x14ac:dyDescent="0.25">
      <c r="A5265" t="str">
        <f>"20190312172221964"</f>
        <v>20190312172221964</v>
      </c>
      <c r="B5265" t="str">
        <f>"1552382541956184"</f>
        <v>1552382541956184</v>
      </c>
      <c r="C5265" t="s">
        <v>40</v>
      </c>
      <c r="D5265">
        <v>3.1353409999999999</v>
      </c>
      <c r="E5265">
        <v>0.50700900000000004</v>
      </c>
      <c r="F5265" t="s">
        <v>42</v>
      </c>
      <c r="G5265">
        <v>-273.00760000000002</v>
      </c>
      <c r="H5265" s="1">
        <v>-3.4753340000000001E-6</v>
      </c>
      <c r="I5265">
        <v>141.47020000000001</v>
      </c>
      <c r="J5265">
        <v>-245.87440000000001</v>
      </c>
      <c r="K5265">
        <v>1.108352</v>
      </c>
      <c r="L5265">
        <v>140.88570000000001</v>
      </c>
      <c r="M5265">
        <v>-0.99901099999999998</v>
      </c>
      <c r="N5265">
        <v>0</v>
      </c>
      <c r="O5265">
        <v>4.4004170000000002E-2</v>
      </c>
      <c r="P5265">
        <v>-0.98637439999999998</v>
      </c>
      <c r="Q5265">
        <v>0.16440920000000001</v>
      </c>
      <c r="R5265">
        <v>5.9555800000000002E-3</v>
      </c>
      <c r="S5265">
        <v>-3.0612490000000001</v>
      </c>
      <c r="T5265">
        <v>-0.12346459999999999</v>
      </c>
      <c r="U5265">
        <v>6.6909789999999997E-2</v>
      </c>
      <c r="V5265">
        <v>-3.701981E-2</v>
      </c>
      <c r="W5265">
        <v>0.1708076</v>
      </c>
      <c r="X5265">
        <v>0.9846087</v>
      </c>
      <c r="Y5265">
        <v>-2.2110230000000002E-2</v>
      </c>
      <c r="Z5265">
        <v>-2.2188469999999999E-3</v>
      </c>
      <c r="AA5265">
        <v>0.99975309999999995</v>
      </c>
      <c r="AB5265">
        <v>32</v>
      </c>
      <c r="AC5265">
        <v>-27.133199999999999</v>
      </c>
      <c r="AD5265">
        <v>-1.1083554753339999</v>
      </c>
      <c r="AE5265">
        <v>0.58449999999999103</v>
      </c>
      <c r="AF5265">
        <v>-0.60904862092048195</v>
      </c>
      <c r="AG5265">
        <v>-1.1083554753339999</v>
      </c>
      <c r="AH5265">
        <v>27.087459672226</v>
      </c>
      <c r="AI5265">
        <v>92.342510782328404</v>
      </c>
      <c r="AJ5265">
        <v>91.288051264860101</v>
      </c>
      <c r="AK5265">
        <v>27.116966341698699</v>
      </c>
      <c r="AL5265">
        <v>80.165222038184893</v>
      </c>
      <c r="AM5265">
        <v>92.153221104533202</v>
      </c>
      <c r="AN5265">
        <v>0.99999999733294298</v>
      </c>
    </row>
    <row r="5266" spans="1:40" x14ac:dyDescent="0.25">
      <c r="A5266" t="str">
        <f>"20190312172221997"</f>
        <v>20190312172221997</v>
      </c>
      <c r="B5266" t="str">
        <f>"1552382541985464"</f>
        <v>1552382541985464</v>
      </c>
      <c r="C5266" t="s">
        <v>40</v>
      </c>
      <c r="D5266">
        <v>3.0904750000000001</v>
      </c>
      <c r="E5266">
        <v>0.50652159999999902</v>
      </c>
      <c r="F5266" t="s">
        <v>42</v>
      </c>
      <c r="G5266">
        <v>-273.68389999999999</v>
      </c>
      <c r="H5266" s="1">
        <v>-3.1931049999999999E-6</v>
      </c>
      <c r="I5266">
        <v>141.4999</v>
      </c>
      <c r="J5266">
        <v>-246.35499999999999</v>
      </c>
      <c r="K5266">
        <v>1.1085119999999999</v>
      </c>
      <c r="L5266">
        <v>140.9083</v>
      </c>
      <c r="M5266">
        <v>-0.99895069999999997</v>
      </c>
      <c r="N5266">
        <v>0</v>
      </c>
      <c r="O5266">
        <v>4.5347419999999999E-2</v>
      </c>
      <c r="P5266">
        <v>-0.98629920000000004</v>
      </c>
      <c r="Q5266">
        <v>0.16481589999999999</v>
      </c>
      <c r="R5266">
        <v>7.0694529999999998E-3</v>
      </c>
      <c r="S5266">
        <v>-3.0613860000000002</v>
      </c>
      <c r="T5266">
        <v>-0.1220123</v>
      </c>
      <c r="U5266">
        <v>6.7626950000000005E-2</v>
      </c>
      <c r="V5266">
        <v>-3.7292699999999998E-2</v>
      </c>
      <c r="W5266">
        <v>0.17121829999999999</v>
      </c>
      <c r="X5266">
        <v>0.98452709999999999</v>
      </c>
      <c r="Y5266">
        <v>-2.322072E-2</v>
      </c>
      <c r="Z5266">
        <v>-2.268235E-3</v>
      </c>
      <c r="AA5266">
        <v>0.99972780000000006</v>
      </c>
      <c r="AB5266">
        <v>33</v>
      </c>
      <c r="AC5266">
        <v>-27.328900000000001</v>
      </c>
      <c r="AD5266">
        <v>-1.1085151931049999</v>
      </c>
      <c r="AE5266">
        <v>0.59159999999999902</v>
      </c>
      <c r="AF5266">
        <v>-0.64726476805464095</v>
      </c>
      <c r="AG5266">
        <v>-1.1085151931049999</v>
      </c>
      <c r="AH5266">
        <v>27.2827464030842</v>
      </c>
      <c r="AI5266">
        <v>92.326030101926705</v>
      </c>
      <c r="AJ5266">
        <v>91.359048808770694</v>
      </c>
      <c r="AK5266">
        <v>27.312927505273301</v>
      </c>
      <c r="AL5266">
        <v>80.1413391695895</v>
      </c>
      <c r="AM5266">
        <v>92.169257985952498</v>
      </c>
      <c r="AN5266">
        <v>1.00000003118129</v>
      </c>
    </row>
    <row r="5267" spans="1:40" x14ac:dyDescent="0.25">
      <c r="A5267" t="str">
        <f>"20190312172222019"</f>
        <v>20190312172222019</v>
      </c>
      <c r="B5267" t="str">
        <f>"1552382542015720"</f>
        <v>1552382542015720</v>
      </c>
      <c r="C5267" t="s">
        <v>40</v>
      </c>
      <c r="D5267">
        <v>3.1448960000000001</v>
      </c>
      <c r="E5267">
        <v>0.49996590000000002</v>
      </c>
      <c r="F5267" t="s">
        <v>42</v>
      </c>
      <c r="G5267">
        <v>-274.44839999999999</v>
      </c>
      <c r="H5267" s="1">
        <v>-2.8719579999999999E-6</v>
      </c>
      <c r="I5267">
        <v>141.52549999999999</v>
      </c>
      <c r="J5267">
        <v>-246.67779999999999</v>
      </c>
      <c r="K5267">
        <v>1.1086240000000001</v>
      </c>
      <c r="L5267">
        <v>140.9237</v>
      </c>
      <c r="M5267">
        <v>-0.99891779999999997</v>
      </c>
      <c r="N5267">
        <v>0</v>
      </c>
      <c r="O5267">
        <v>4.6064529999999999E-2</v>
      </c>
      <c r="P5267">
        <v>-0.98639049999999995</v>
      </c>
      <c r="Q5267">
        <v>0.1642769</v>
      </c>
      <c r="R5267">
        <v>6.843175E-3</v>
      </c>
      <c r="S5267">
        <v>-3.061401</v>
      </c>
      <c r="T5267">
        <v>-0.1207979</v>
      </c>
      <c r="U5267">
        <v>6.7260739999999999E-2</v>
      </c>
      <c r="V5267">
        <v>-3.8278859999999998E-2</v>
      </c>
      <c r="W5267">
        <v>0.1706831</v>
      </c>
      <c r="X5267">
        <v>0.98458210000000002</v>
      </c>
      <c r="Y5267">
        <v>-2.40579E-2</v>
      </c>
      <c r="Z5267">
        <v>-2.2904309999999999E-3</v>
      </c>
      <c r="AA5267">
        <v>0.99970789999999998</v>
      </c>
      <c r="AB5267">
        <v>33</v>
      </c>
      <c r="AC5267">
        <v>-27.770600000000002</v>
      </c>
      <c r="AD5267">
        <v>-1.1086268719579999</v>
      </c>
      <c r="AE5267">
        <v>0.601799999999997</v>
      </c>
      <c r="AF5267">
        <v>-0.67702644873302797</v>
      </c>
      <c r="AG5267">
        <v>-1.1086268719579999</v>
      </c>
      <c r="AH5267">
        <v>27.7246781160766</v>
      </c>
      <c r="AI5267">
        <v>92.289185020312701</v>
      </c>
      <c r="AJ5267">
        <v>91.398863863382701</v>
      </c>
      <c r="AK5267">
        <v>27.755093136099699</v>
      </c>
      <c r="AL5267">
        <v>80.172461222485296</v>
      </c>
      <c r="AM5267">
        <v>92.226440123764803</v>
      </c>
      <c r="AN5267">
        <v>0.99999995169445799</v>
      </c>
    </row>
    <row r="5268" spans="1:40" x14ac:dyDescent="0.25">
      <c r="A5268" t="str">
        <f>"20190312172222043"</f>
        <v>20190312172222043</v>
      </c>
      <c r="B5268" t="str">
        <f>"1552382542036216"</f>
        <v>1552382542036216</v>
      </c>
      <c r="C5268" t="s">
        <v>40</v>
      </c>
      <c r="D5268">
        <v>3.0940210000000001</v>
      </c>
      <c r="E5268">
        <v>0.49913469999999999</v>
      </c>
      <c r="F5268" t="s">
        <v>42</v>
      </c>
      <c r="G5268">
        <v>-271.37639999999999</v>
      </c>
      <c r="H5268" s="1">
        <v>-4.0609140000000003E-6</v>
      </c>
      <c r="I5268">
        <v>141.04399999999899</v>
      </c>
      <c r="J5268">
        <v>-247.01779999999999</v>
      </c>
      <c r="K5268">
        <v>1.1087610000000001</v>
      </c>
      <c r="L5268">
        <v>140.93989999999999</v>
      </c>
      <c r="M5268">
        <v>-0.99889280000000003</v>
      </c>
      <c r="N5268">
        <v>0</v>
      </c>
      <c r="O5268">
        <v>4.6601459999999997E-2</v>
      </c>
      <c r="P5268">
        <v>-0.98649600000000004</v>
      </c>
      <c r="Q5268">
        <v>0.16365539999999901</v>
      </c>
      <c r="R5268">
        <v>6.5346939999999997E-3</v>
      </c>
      <c r="S5268">
        <v>-3.0642239999999998</v>
      </c>
      <c r="T5268">
        <v>-0.137542</v>
      </c>
      <c r="U5268">
        <v>1.493835E-2</v>
      </c>
      <c r="V5268">
        <v>-3.9182649999999999E-2</v>
      </c>
      <c r="W5268">
        <v>0.1700634</v>
      </c>
      <c r="X5268">
        <v>0.98465380000000002</v>
      </c>
      <c r="Y5268">
        <v>-4.1643310000000003E-2</v>
      </c>
      <c r="Z5268">
        <v>-3.024255E-3</v>
      </c>
      <c r="AA5268">
        <v>0.99912800000000002</v>
      </c>
      <c r="AB5268">
        <v>33</v>
      </c>
      <c r="AC5268">
        <v>-24.358599999999999</v>
      </c>
      <c r="AD5268">
        <v>-1.1087650609140001</v>
      </c>
      <c r="AE5268">
        <v>0.10409999999998799</v>
      </c>
      <c r="AF5268">
        <v>-1.0290508897994699</v>
      </c>
      <c r="AG5268">
        <v>-1.1087650609140001</v>
      </c>
      <c r="AH5268">
        <v>24.286666822622099</v>
      </c>
      <c r="AI5268">
        <v>92.611583068153607</v>
      </c>
      <c r="AJ5268">
        <v>92.426229478804004</v>
      </c>
      <c r="AK5268">
        <v>24.3337315479388</v>
      </c>
      <c r="AL5268">
        <v>80.208494446886704</v>
      </c>
      <c r="AM5268">
        <v>92.2787873332217</v>
      </c>
      <c r="AN5268">
        <v>0.99999997296751097</v>
      </c>
    </row>
    <row r="5269" spans="1:40" x14ac:dyDescent="0.25">
      <c r="A5269" t="str">
        <f>"20190312172222064"</f>
        <v>20190312172222064</v>
      </c>
      <c r="B5269" t="str">
        <f>"1552382542056246"</f>
        <v>1552382542056246</v>
      </c>
      <c r="C5269" t="s">
        <v>40</v>
      </c>
      <c r="D5269">
        <v>3.1007229999999999</v>
      </c>
      <c r="E5269">
        <v>0.49868000000000001</v>
      </c>
      <c r="F5269" t="s">
        <v>42</v>
      </c>
      <c r="G5269">
        <v>-272.13929999999999</v>
      </c>
      <c r="H5269" s="1">
        <v>-3.7249530000000001E-6</v>
      </c>
      <c r="I5269">
        <v>141.00829999999999</v>
      </c>
      <c r="J5269">
        <v>-247.3424</v>
      </c>
      <c r="K5269">
        <v>1.1089059999999999</v>
      </c>
      <c r="L5269">
        <v>140.9554</v>
      </c>
      <c r="M5269">
        <v>-0.99887700000000001</v>
      </c>
      <c r="N5269">
        <v>0</v>
      </c>
      <c r="O5269">
        <v>4.6937279999999998E-2</v>
      </c>
      <c r="P5269">
        <v>-0.9864522</v>
      </c>
      <c r="Q5269">
        <v>0.16391819999999999</v>
      </c>
      <c r="R5269">
        <v>6.5363890000000001E-3</v>
      </c>
      <c r="S5269">
        <v>-3.0634160000000001</v>
      </c>
      <c r="T5269">
        <v>-0.13520769999999999</v>
      </c>
      <c r="U5269">
        <v>8.3465580000000004E-3</v>
      </c>
      <c r="V5269">
        <v>-3.9570059999999997E-2</v>
      </c>
      <c r="W5269">
        <v>0.17032559999999999</v>
      </c>
      <c r="X5269">
        <v>0.98459300000000005</v>
      </c>
      <c r="Y5269">
        <v>-4.4127880000000001E-2</v>
      </c>
      <c r="Z5269">
        <v>-3.0434059999999998E-3</v>
      </c>
      <c r="AA5269">
        <v>0.99902120000000005</v>
      </c>
      <c r="AB5269">
        <v>33</v>
      </c>
      <c r="AC5269">
        <v>-24.796899999999901</v>
      </c>
      <c r="AD5269">
        <v>-1.108909724953</v>
      </c>
      <c r="AE5269">
        <v>5.2899999999993903E-2</v>
      </c>
      <c r="AF5269">
        <v>-1.1088640203367801</v>
      </c>
      <c r="AG5269">
        <v>-1.108909724953</v>
      </c>
      <c r="AH5269">
        <v>24.722610398707801</v>
      </c>
      <c r="AI5269">
        <v>92.565651623169899</v>
      </c>
      <c r="AJ5269">
        <v>92.568121853540006</v>
      </c>
      <c r="AK5269">
        <v>24.772297534140598</v>
      </c>
      <c r="AL5269">
        <v>80.193249215920702</v>
      </c>
      <c r="AM5269">
        <v>92.301436201018603</v>
      </c>
      <c r="AN5269">
        <v>0.99999998765638098</v>
      </c>
    </row>
    <row r="5270" spans="1:40" x14ac:dyDescent="0.25">
      <c r="A5270" t="str">
        <f>"20190312172222086"</f>
        <v>20190312172222086</v>
      </c>
      <c r="B5270" t="str">
        <f>"1552382542075765"</f>
        <v>1552382542075765</v>
      </c>
      <c r="C5270" t="s">
        <v>40</v>
      </c>
      <c r="D5270">
        <v>3.045337</v>
      </c>
      <c r="E5270">
        <v>0.498363</v>
      </c>
      <c r="F5270" t="s">
        <v>42</v>
      </c>
      <c r="G5270">
        <v>-273.43040000000002</v>
      </c>
      <c r="H5270" s="1">
        <v>-3.1684710000000001E-6</v>
      </c>
      <c r="I5270">
        <v>140.99850000000001</v>
      </c>
      <c r="J5270">
        <v>-247.66040000000001</v>
      </c>
      <c r="K5270">
        <v>1.1090370000000001</v>
      </c>
      <c r="L5270">
        <v>140.97059999999999</v>
      </c>
      <c r="M5270">
        <v>-0.99886790000000003</v>
      </c>
      <c r="N5270">
        <v>0</v>
      </c>
      <c r="O5270">
        <v>4.712943E-2</v>
      </c>
      <c r="P5270">
        <v>-0.98631259999999998</v>
      </c>
      <c r="Q5270">
        <v>0.164760299999999</v>
      </c>
      <c r="R5270">
        <v>6.426078E-3</v>
      </c>
      <c r="S5270">
        <v>-3.062805</v>
      </c>
      <c r="T5270">
        <v>-0.13018950000000001</v>
      </c>
      <c r="U5270">
        <v>5.065918E-3</v>
      </c>
      <c r="V5270">
        <v>-3.9916269999999997E-2</v>
      </c>
      <c r="W5270">
        <v>0.1711666</v>
      </c>
      <c r="X5270">
        <v>0.98443320000000001</v>
      </c>
      <c r="Y5270">
        <v>-4.5394660000000003E-2</v>
      </c>
      <c r="Z5270">
        <v>-2.9662239999999999E-3</v>
      </c>
      <c r="AA5270">
        <v>0.99896470000000004</v>
      </c>
      <c r="AB5270">
        <v>33</v>
      </c>
      <c r="AC5270">
        <v>-25.77</v>
      </c>
      <c r="AD5270">
        <v>-1.1090401684710001</v>
      </c>
      <c r="AE5270">
        <v>2.7900000000016599E-2</v>
      </c>
      <c r="AF5270">
        <v>-1.1844879660609799</v>
      </c>
      <c r="AG5270">
        <v>-1.1090401684710001</v>
      </c>
      <c r="AH5270">
        <v>25.695087930090899</v>
      </c>
      <c r="AI5270">
        <v>92.468822989486597</v>
      </c>
      <c r="AJ5270">
        <v>92.639342998957503</v>
      </c>
      <c r="AK5270">
        <v>25.746272071353001</v>
      </c>
      <c r="AL5270">
        <v>80.144345628417796</v>
      </c>
      <c r="AM5270">
        <v>92.321926639090705</v>
      </c>
      <c r="AN5270">
        <v>1.00000001941425</v>
      </c>
    </row>
    <row r="5271" spans="1:40" x14ac:dyDescent="0.25">
      <c r="A5271" t="str">
        <f>"20190312172222107"</f>
        <v>20190312172222107</v>
      </c>
      <c r="B5271" t="str">
        <f>"1552382542096259"</f>
        <v>1552382542096259</v>
      </c>
      <c r="C5271" t="s">
        <v>40</v>
      </c>
      <c r="D5271">
        <v>3.117334</v>
      </c>
      <c r="E5271">
        <v>0.49800280000000002</v>
      </c>
      <c r="F5271" t="s">
        <v>42</v>
      </c>
      <c r="G5271">
        <v>-274.71350000000001</v>
      </c>
      <c r="H5271" s="1">
        <v>-2.615055E-6</v>
      </c>
      <c r="I5271">
        <v>140.98740000000001</v>
      </c>
      <c r="J5271">
        <v>-247.98820000000001</v>
      </c>
      <c r="K5271">
        <v>1.109167</v>
      </c>
      <c r="L5271">
        <v>140.9862</v>
      </c>
      <c r="M5271">
        <v>-0.99886580000000003</v>
      </c>
      <c r="N5271">
        <v>0</v>
      </c>
      <c r="O5271">
        <v>4.7171570000000003E-2</v>
      </c>
      <c r="P5271">
        <v>-0.98626270000000005</v>
      </c>
      <c r="Q5271">
        <v>0.16507720000000001</v>
      </c>
      <c r="R5271">
        <v>5.9620460000000004E-3</v>
      </c>
      <c r="S5271">
        <v>-3.0626069999999999</v>
      </c>
      <c r="T5271">
        <v>-0.12555150000000001</v>
      </c>
      <c r="U5271">
        <v>1.907349E-3</v>
      </c>
      <c r="V5271">
        <v>-4.047307E-2</v>
      </c>
      <c r="W5271">
        <v>0.17148369999999999</v>
      </c>
      <c r="X5271">
        <v>0.98435530000000004</v>
      </c>
      <c r="Y5271">
        <v>-4.6471819999999997E-2</v>
      </c>
      <c r="Z5271">
        <v>-2.884635E-3</v>
      </c>
      <c r="AA5271">
        <v>0.99891540000000001</v>
      </c>
      <c r="AB5271">
        <v>33</v>
      </c>
      <c r="AC5271">
        <v>-26.725300000000001</v>
      </c>
      <c r="AD5271">
        <v>-1.1091696150549999</v>
      </c>
      <c r="AE5271">
        <v>1.20000000001141E-3</v>
      </c>
      <c r="AF5271">
        <v>-1.25733642354276</v>
      </c>
      <c r="AG5271">
        <v>-1.1091696150549999</v>
      </c>
      <c r="AH5271">
        <v>26.649701590063401</v>
      </c>
      <c r="AI5271">
        <v>92.380649151309299</v>
      </c>
      <c r="AJ5271">
        <v>92.701219322998796</v>
      </c>
      <c r="AK5271">
        <v>26.702392157938899</v>
      </c>
      <c r="AL5271">
        <v>80.125904708346198</v>
      </c>
      <c r="AM5271">
        <v>92.354465565593401</v>
      </c>
      <c r="AN5271">
        <v>1.0000000426994999</v>
      </c>
    </row>
    <row r="5272" spans="1:40" x14ac:dyDescent="0.25">
      <c r="A5272" t="str">
        <f>"20190312172222130"</f>
        <v>20190312172222130</v>
      </c>
      <c r="B5272" t="str">
        <f>"1552382542125539"</f>
        <v>1552382542125539</v>
      </c>
      <c r="C5272" t="s">
        <v>40</v>
      </c>
      <c r="D5272">
        <v>3.0986220000000002</v>
      </c>
      <c r="E5272">
        <v>0.49756260000000002</v>
      </c>
      <c r="F5272" t="s">
        <v>42</v>
      </c>
      <c r="G5272">
        <v>-275.38389999999998</v>
      </c>
      <c r="H5272" s="1">
        <v>-2.322092E-6</v>
      </c>
      <c r="I5272">
        <v>140.96729999999999</v>
      </c>
      <c r="J5272">
        <v>-248.32149999999999</v>
      </c>
      <c r="K5272">
        <v>1.109305</v>
      </c>
      <c r="L5272">
        <v>141.00190000000001</v>
      </c>
      <c r="M5272">
        <v>-0.99887230000000005</v>
      </c>
      <c r="N5272">
        <v>0</v>
      </c>
      <c r="O5272">
        <v>4.703359E-2</v>
      </c>
      <c r="P5272">
        <v>-0.9862708</v>
      </c>
      <c r="Q5272">
        <v>0.16506399999999999</v>
      </c>
      <c r="R5272">
        <v>4.8987060000000001E-3</v>
      </c>
      <c r="S5272">
        <v>-3.0625460000000002</v>
      </c>
      <c r="T5272">
        <v>-0.1239934</v>
      </c>
      <c r="U5272">
        <v>-2.1057129999999999E-3</v>
      </c>
      <c r="V5272">
        <v>-4.1457430000000003E-2</v>
      </c>
      <c r="W5272">
        <v>0.1714705</v>
      </c>
      <c r="X5272">
        <v>0.98431659999999999</v>
      </c>
      <c r="Y5272">
        <v>-4.7643829999999998E-2</v>
      </c>
      <c r="Z5272">
        <v>-2.8670750000000002E-3</v>
      </c>
      <c r="AA5272">
        <v>0.99886030000000003</v>
      </c>
      <c r="AB5272">
        <v>33</v>
      </c>
      <c r="AC5272">
        <v>-27.0624</v>
      </c>
      <c r="AD5272">
        <v>-1.109307322092</v>
      </c>
      <c r="AE5272">
        <v>-3.4600000000011698E-2</v>
      </c>
      <c r="AF5272">
        <v>-1.30523713695104</v>
      </c>
      <c r="AG5272">
        <v>-1.109307322092</v>
      </c>
      <c r="AH5272">
        <v>26.985479623471399</v>
      </c>
      <c r="AI5272">
        <v>92.351218954227505</v>
      </c>
      <c r="AJ5272">
        <v>92.769131513449906</v>
      </c>
      <c r="AK5272">
        <v>27.039791368043399</v>
      </c>
      <c r="AL5272">
        <v>80.126672056777196</v>
      </c>
      <c r="AM5272">
        <v>92.4117572598782</v>
      </c>
      <c r="AN5272">
        <v>1.0000000099540001</v>
      </c>
    </row>
    <row r="5273" spans="1:40" x14ac:dyDescent="0.25">
      <c r="A5273" t="str">
        <f>"20190312172222154"</f>
        <v>20190312172222154</v>
      </c>
      <c r="B5273" t="str">
        <f>"1552382542145569"</f>
        <v>1552382542145569</v>
      </c>
      <c r="C5273" t="s">
        <v>40</v>
      </c>
      <c r="D5273">
        <v>3.1075870000000001</v>
      </c>
      <c r="E5273">
        <v>0.4973458</v>
      </c>
      <c r="F5273" t="s">
        <v>42</v>
      </c>
      <c r="G5273">
        <v>-276.00189999999998</v>
      </c>
      <c r="H5273" s="1">
        <v>-2.0463939999999998E-6</v>
      </c>
      <c r="I5273">
        <v>140.92750000000001</v>
      </c>
      <c r="J5273">
        <v>-248.6746</v>
      </c>
      <c r="K5273">
        <v>1.1094679999999999</v>
      </c>
      <c r="L5273">
        <v>141.01820000000001</v>
      </c>
      <c r="M5273">
        <v>-0.99888889999999997</v>
      </c>
      <c r="N5273">
        <v>0</v>
      </c>
      <c r="O5273">
        <v>4.6676580000000002E-2</v>
      </c>
      <c r="P5273">
        <v>-0.98627390000000004</v>
      </c>
      <c r="Q5273">
        <v>0.16507959999999999</v>
      </c>
      <c r="R5273">
        <v>3.5102129999999999E-3</v>
      </c>
      <c r="S5273">
        <v>-3.0623629999999999</v>
      </c>
      <c r="T5273">
        <v>-0.1227259</v>
      </c>
      <c r="U5273">
        <v>-8.2244869999999904E-3</v>
      </c>
      <c r="V5273">
        <v>-4.2560760000000003E-2</v>
      </c>
      <c r="W5273">
        <v>0.1714841</v>
      </c>
      <c r="X5273">
        <v>0.98426709999999995</v>
      </c>
      <c r="Y5273">
        <v>-4.9283140000000003E-2</v>
      </c>
      <c r="Z5273">
        <v>-2.8565230000000001E-3</v>
      </c>
      <c r="AA5273">
        <v>0.99878080000000002</v>
      </c>
      <c r="AB5273">
        <v>33</v>
      </c>
      <c r="AC5273">
        <v>-27.327299999999902</v>
      </c>
      <c r="AD5273">
        <v>-1.1094700463939999</v>
      </c>
      <c r="AE5273">
        <v>-9.0699999999998199E-2</v>
      </c>
      <c r="AF5273">
        <v>-1.36392485688948</v>
      </c>
      <c r="AG5273">
        <v>-1.1094700463939999</v>
      </c>
      <c r="AH5273">
        <v>27.248366677582599</v>
      </c>
      <c r="AI5273">
        <v>92.328708456621598</v>
      </c>
      <c r="AJ5273">
        <v>92.865565118898999</v>
      </c>
      <c r="AK5273">
        <v>27.305030697566998</v>
      </c>
      <c r="AL5273">
        <v>80.125880715353205</v>
      </c>
      <c r="AM5273">
        <v>92.475988239129194</v>
      </c>
      <c r="AN5273">
        <v>0.99999996949349801</v>
      </c>
    </row>
    <row r="5274" spans="1:40" x14ac:dyDescent="0.25">
      <c r="A5274" t="str">
        <f>"20190312172222177"</f>
        <v>20190312172222177</v>
      </c>
      <c r="B5274" t="str">
        <f>"1552382542166061"</f>
        <v>1552382542166061</v>
      </c>
      <c r="C5274" t="s">
        <v>40</v>
      </c>
      <c r="D5274">
        <v>3.1264970000000001</v>
      </c>
      <c r="E5274">
        <v>0.4973784</v>
      </c>
      <c r="F5274" t="s">
        <v>42</v>
      </c>
      <c r="G5274">
        <v>-276.38139999999999</v>
      </c>
      <c r="H5274" s="1">
        <v>-1.8745649999999999E-6</v>
      </c>
      <c r="I5274">
        <v>140.89349999999999</v>
      </c>
      <c r="J5274">
        <v>-249.01509999999999</v>
      </c>
      <c r="K5274">
        <v>1.1096440000000001</v>
      </c>
      <c r="L5274">
        <v>141.03370000000001</v>
      </c>
      <c r="M5274">
        <v>-0.99891490000000005</v>
      </c>
      <c r="N5274">
        <v>0</v>
      </c>
      <c r="O5274">
        <v>4.6116619999999997E-2</v>
      </c>
      <c r="P5274">
        <v>-0.98627050000000005</v>
      </c>
      <c r="Q5274">
        <v>0.1651272</v>
      </c>
      <c r="R5274">
        <v>2.0384769999999999E-3</v>
      </c>
      <c r="S5274">
        <v>-3.0623469999999999</v>
      </c>
      <c r="T5274">
        <v>-0.1226265</v>
      </c>
      <c r="U5274">
        <v>-1.377869E-2</v>
      </c>
      <c r="V5274">
        <v>-4.3551640000000003E-2</v>
      </c>
      <c r="W5274">
        <v>0.17152779999999901</v>
      </c>
      <c r="X5274">
        <v>0.98421619999999999</v>
      </c>
      <c r="Y5274">
        <v>-5.0534240000000001E-2</v>
      </c>
      <c r="Z5274">
        <v>-2.8568769999999999E-3</v>
      </c>
      <c r="AA5274">
        <v>0.99871829999999995</v>
      </c>
      <c r="AB5274">
        <v>33</v>
      </c>
      <c r="AC5274">
        <v>-27.366299999999899</v>
      </c>
      <c r="AD5274">
        <v>-1.109645874565</v>
      </c>
      <c r="AE5274">
        <v>-0.140200000000021</v>
      </c>
      <c r="AF5274">
        <v>-1.39981734407679</v>
      </c>
      <c r="AG5274">
        <v>-1.109645874565</v>
      </c>
      <c r="AH5274">
        <v>27.285856685866101</v>
      </c>
      <c r="AI5274">
        <v>92.3257341287202</v>
      </c>
      <c r="AJ5274">
        <v>92.936809915338102</v>
      </c>
      <c r="AK5274">
        <v>27.344264072110999</v>
      </c>
      <c r="AL5274">
        <v>80.12333983568</v>
      </c>
      <c r="AM5274">
        <v>92.533689651339003</v>
      </c>
      <c r="AN5274">
        <v>1.0000000299309799</v>
      </c>
    </row>
    <row r="5275" spans="1:40" x14ac:dyDescent="0.25">
      <c r="A5275" t="str">
        <f>"20190312172222198"</f>
        <v>20190312172222198</v>
      </c>
      <c r="B5275" t="str">
        <f>"1552382542185582"</f>
        <v>1552382542185582</v>
      </c>
      <c r="C5275" t="s">
        <v>40</v>
      </c>
      <c r="D5275">
        <v>3.1314470000000001</v>
      </c>
      <c r="E5275">
        <v>0.50764830000000005</v>
      </c>
      <c r="F5275" t="s">
        <v>42</v>
      </c>
      <c r="G5275">
        <v>-276.4769</v>
      </c>
      <c r="H5275" s="1">
        <v>-1.8289950000000001E-6</v>
      </c>
      <c r="I5275">
        <v>140.87629999999999</v>
      </c>
      <c r="J5275">
        <v>-249.32679999999999</v>
      </c>
      <c r="K5275">
        <v>1.109828</v>
      </c>
      <c r="L5275">
        <v>141.04750000000001</v>
      </c>
      <c r="M5275">
        <v>-0.99894749999999999</v>
      </c>
      <c r="N5275">
        <v>0</v>
      </c>
      <c r="O5275">
        <v>4.5402909999999998E-2</v>
      </c>
      <c r="P5275">
        <v>-0.98619129999999999</v>
      </c>
      <c r="Q5275">
        <v>0.1656096</v>
      </c>
      <c r="R5275">
        <v>7.9789200000000002E-4</v>
      </c>
      <c r="S5275">
        <v>-3.0625460000000002</v>
      </c>
      <c r="T5275">
        <v>-0.1237482</v>
      </c>
      <c r="U5275">
        <v>-1.7547610000000002E-2</v>
      </c>
      <c r="V5275">
        <v>-4.415753E-2</v>
      </c>
      <c r="W5275">
        <v>0.17200460000000001</v>
      </c>
      <c r="X5275">
        <v>0.98410589999999998</v>
      </c>
      <c r="Y5275">
        <v>-5.1048179999999999E-2</v>
      </c>
      <c r="Z5275">
        <v>-2.8643779999999999E-3</v>
      </c>
      <c r="AA5275">
        <v>0.99869209999999997</v>
      </c>
      <c r="AB5275">
        <v>33</v>
      </c>
      <c r="AC5275">
        <v>-27.150099999999998</v>
      </c>
      <c r="AD5275">
        <v>-1.1098298289949999</v>
      </c>
      <c r="AE5275">
        <v>-0.171200000000027</v>
      </c>
      <c r="AF5275">
        <v>-1.4014015525200501</v>
      </c>
      <c r="AG5275">
        <v>-1.1098298289949999</v>
      </c>
      <c r="AH5275">
        <v>27.069097310371198</v>
      </c>
      <c r="AI5275">
        <v>92.344668760978294</v>
      </c>
      <c r="AJ5275">
        <v>92.963629405520294</v>
      </c>
      <c r="AK5275">
        <v>27.128060707670901</v>
      </c>
      <c r="AL5275">
        <v>80.095608228536193</v>
      </c>
      <c r="AM5275">
        <v>92.569178960431799</v>
      </c>
      <c r="AN5275">
        <v>0.99999994614583398</v>
      </c>
    </row>
    <row r="5276" spans="1:40" x14ac:dyDescent="0.25">
      <c r="A5276" t="str">
        <f>"20190312172222220"</f>
        <v>20190312172222220</v>
      </c>
      <c r="B5276" t="str">
        <f>"1552382542215838"</f>
        <v>1552382542215838</v>
      </c>
      <c r="C5276" t="s">
        <v>40</v>
      </c>
      <c r="D5276">
        <v>3.1121910000000002</v>
      </c>
      <c r="E5276">
        <v>0.50711079999999997</v>
      </c>
      <c r="F5276" t="s">
        <v>42</v>
      </c>
      <c r="G5276">
        <v>-269.1694</v>
      </c>
      <c r="H5276" s="1">
        <v>-8.2244129999999995E-7</v>
      </c>
      <c r="I5276">
        <v>141.43440000000001</v>
      </c>
      <c r="J5276">
        <v>-249.6618</v>
      </c>
      <c r="K5276">
        <v>1.1100289999999999</v>
      </c>
      <c r="L5276">
        <v>141.06200000000001</v>
      </c>
      <c r="M5276">
        <v>-0.99899150000000003</v>
      </c>
      <c r="N5276">
        <v>0</v>
      </c>
      <c r="O5276">
        <v>4.4419210000000001E-2</v>
      </c>
      <c r="P5276">
        <v>-0.98606970000000005</v>
      </c>
      <c r="Q5276">
        <v>0.1663319</v>
      </c>
      <c r="R5276">
        <v>-7.1859080000000002E-4</v>
      </c>
      <c r="S5276">
        <v>-3.0708009999999999</v>
      </c>
      <c r="T5276">
        <v>-0.17175599999999999</v>
      </c>
      <c r="U5276">
        <v>5.9875490000000003E-2</v>
      </c>
      <c r="V5276">
        <v>-4.4782049999999997E-2</v>
      </c>
      <c r="W5276">
        <v>0.1727205</v>
      </c>
      <c r="X5276">
        <v>0.9839523</v>
      </c>
      <c r="Y5276">
        <v>-2.4828200000000002E-2</v>
      </c>
      <c r="Z5276">
        <v>-3.1751890000000001E-3</v>
      </c>
      <c r="AA5276">
        <v>0.99968670000000004</v>
      </c>
      <c r="AB5276">
        <v>34</v>
      </c>
      <c r="AC5276">
        <v>-19.5076</v>
      </c>
      <c r="AD5276">
        <v>-1.1100298224413001</v>
      </c>
      <c r="AE5276">
        <v>0.37239999999999801</v>
      </c>
      <c r="AF5276">
        <v>-0.49290297518490001</v>
      </c>
      <c r="AG5276">
        <v>-1.1100298224413001</v>
      </c>
      <c r="AH5276">
        <v>19.441958924454699</v>
      </c>
      <c r="AI5276">
        <v>93.2666815240419</v>
      </c>
      <c r="AJ5276">
        <v>91.4522822483666</v>
      </c>
      <c r="AK5276">
        <v>19.479858479204601</v>
      </c>
      <c r="AL5276">
        <v>80.053967154356599</v>
      </c>
      <c r="AM5276">
        <v>92.605871304342998</v>
      </c>
      <c r="AN5276">
        <v>0.99999996589886997</v>
      </c>
    </row>
    <row r="5277" spans="1:40" x14ac:dyDescent="0.25">
      <c r="A5277" t="str">
        <f>"20190312172222243"</f>
        <v>20190312172222243</v>
      </c>
      <c r="B5277" t="str">
        <f>"1552382542236334"</f>
        <v>1552382542236334</v>
      </c>
      <c r="C5277" t="s">
        <v>40</v>
      </c>
      <c r="D5277">
        <v>3.1174979999999999</v>
      </c>
      <c r="E5277">
        <v>0.50709539999999997</v>
      </c>
      <c r="F5277" t="s">
        <v>42</v>
      </c>
      <c r="G5277">
        <v>-270.02210000000002</v>
      </c>
      <c r="H5277" s="1">
        <v>-4.5839229999999999E-6</v>
      </c>
      <c r="I5277">
        <v>141.39429999999999</v>
      </c>
      <c r="J5277">
        <v>-250.0121</v>
      </c>
      <c r="K5277">
        <v>1.1102449999999999</v>
      </c>
      <c r="L5277">
        <v>141.07640000000001</v>
      </c>
      <c r="M5277">
        <v>-0.99904850000000001</v>
      </c>
      <c r="N5277">
        <v>0</v>
      </c>
      <c r="O5277">
        <v>4.3116759999999997E-2</v>
      </c>
      <c r="P5277">
        <v>-0.98615399999999998</v>
      </c>
      <c r="Q5277">
        <v>0.1658104</v>
      </c>
      <c r="R5277">
        <v>-2.7914319999999999E-3</v>
      </c>
      <c r="S5277">
        <v>-3.0706479999999998</v>
      </c>
      <c r="T5277">
        <v>-0.16741039999999999</v>
      </c>
      <c r="U5277">
        <v>5.0140379999999998E-2</v>
      </c>
      <c r="V5277">
        <v>-4.5661819999999999E-2</v>
      </c>
      <c r="W5277">
        <v>0.17219209999999999</v>
      </c>
      <c r="X5277">
        <v>0.98400449999999995</v>
      </c>
      <c r="Y5277">
        <v>-2.6696770000000002E-2</v>
      </c>
      <c r="Z5277">
        <v>-3.075263E-3</v>
      </c>
      <c r="AA5277">
        <v>0.9996389</v>
      </c>
      <c r="AB5277">
        <v>34</v>
      </c>
      <c r="AC5277">
        <v>-20.010000000000002</v>
      </c>
      <c r="AD5277">
        <v>-1.110249583923</v>
      </c>
      <c r="AE5277">
        <v>0.31789999999997998</v>
      </c>
      <c r="AF5277">
        <v>-0.54350778481652096</v>
      </c>
      <c r="AG5277">
        <v>-1.110249583923</v>
      </c>
      <c r="AH5277">
        <v>19.943715461394799</v>
      </c>
      <c r="AI5277">
        <v>93.185138131146601</v>
      </c>
      <c r="AJ5277">
        <v>91.561042953370006</v>
      </c>
      <c r="AK5277">
        <v>19.981987920520702</v>
      </c>
      <c r="AL5277">
        <v>80.084702978958902</v>
      </c>
      <c r="AM5277">
        <v>92.656851790410201</v>
      </c>
      <c r="AN5277">
        <v>0.99999998856418604</v>
      </c>
    </row>
    <row r="5278" spans="1:40" x14ac:dyDescent="0.25">
      <c r="A5278" t="str">
        <f>"20190312172222265"</f>
        <v>20190312172222265</v>
      </c>
      <c r="B5278" t="str">
        <f>"1552382542255854"</f>
        <v>1552382542255854</v>
      </c>
      <c r="C5278" t="s">
        <v>40</v>
      </c>
      <c r="D5278">
        <v>3.135367</v>
      </c>
      <c r="E5278">
        <v>0.50725050000000005</v>
      </c>
      <c r="F5278" t="s">
        <v>42</v>
      </c>
      <c r="G5278">
        <v>-270.14580000000001</v>
      </c>
      <c r="H5278" s="1">
        <v>-4.5367479999999997E-6</v>
      </c>
      <c r="I5278">
        <v>141.3657</v>
      </c>
      <c r="J5278">
        <v>-250.3492</v>
      </c>
      <c r="K5278">
        <v>1.1104459999999901</v>
      </c>
      <c r="L5278">
        <v>141.08959999999999</v>
      </c>
      <c r="M5278">
        <v>-0.99911119999999998</v>
      </c>
      <c r="N5278">
        <v>0</v>
      </c>
      <c r="O5278">
        <v>4.1634339999999999E-2</v>
      </c>
      <c r="P5278">
        <v>-0.98634449999999996</v>
      </c>
      <c r="Q5278">
        <v>0.16460729999999901</v>
      </c>
      <c r="R5278">
        <v>-5.3819289999999997E-3</v>
      </c>
      <c r="S5278">
        <v>-3.0707239999999998</v>
      </c>
      <c r="T5278">
        <v>-0.16933139999999999</v>
      </c>
      <c r="U5278">
        <v>4.4143679999999998E-2</v>
      </c>
      <c r="V5278">
        <v>-4.6879549999999999E-2</v>
      </c>
      <c r="W5278">
        <v>0.17098239999999901</v>
      </c>
      <c r="X5278">
        <v>0.98415819999999998</v>
      </c>
      <c r="Y5278">
        <v>-2.7164770000000001E-2</v>
      </c>
      <c r="Z5278">
        <v>-3.041771E-3</v>
      </c>
      <c r="AA5278">
        <v>0.99962629999999997</v>
      </c>
      <c r="AB5278">
        <v>34</v>
      </c>
      <c r="AC5278">
        <v>-19.796600000000002</v>
      </c>
      <c r="AD5278">
        <v>-1.11045053674799</v>
      </c>
      <c r="AE5278">
        <v>0.276100000000013</v>
      </c>
      <c r="AF5278">
        <v>-0.54665599361232897</v>
      </c>
      <c r="AG5278">
        <v>-1.11045053674799</v>
      </c>
      <c r="AH5278">
        <v>19.728866107578501</v>
      </c>
      <c r="AI5278">
        <v>93.220293294398701</v>
      </c>
      <c r="AJ5278">
        <v>91.587170247689002</v>
      </c>
      <c r="AK5278">
        <v>19.767652644172902</v>
      </c>
      <c r="AL5278">
        <v>80.155057408725199</v>
      </c>
      <c r="AM5278">
        <v>92.727174958491801</v>
      </c>
      <c r="AN5278">
        <v>1.0000000179726001</v>
      </c>
    </row>
    <row r="5279" spans="1:40" x14ac:dyDescent="0.25">
      <c r="A5279" t="str">
        <f>"20190312172222287"</f>
        <v>20190312172222287</v>
      </c>
      <c r="B5279" t="str">
        <f>"1552382542276354"</f>
        <v>1552382542276354</v>
      </c>
      <c r="C5279" t="s">
        <v>40</v>
      </c>
      <c r="D5279">
        <v>3.2278530000000001</v>
      </c>
      <c r="E5279">
        <v>0.50738859999999997</v>
      </c>
      <c r="F5279" t="s">
        <v>42</v>
      </c>
      <c r="G5279">
        <v>-270.0729</v>
      </c>
      <c r="H5279" s="1">
        <v>-4.5558819999999998E-6</v>
      </c>
      <c r="I5279">
        <v>141.33369999999999</v>
      </c>
      <c r="J5279">
        <v>-250.67449999999999</v>
      </c>
      <c r="K5279">
        <v>1.1106229999999999</v>
      </c>
      <c r="L5279">
        <v>141.10169999999999</v>
      </c>
      <c r="M5279">
        <v>-0.99917690000000003</v>
      </c>
      <c r="N5279">
        <v>0</v>
      </c>
      <c r="O5279">
        <v>4.0023389999999999E-2</v>
      </c>
      <c r="P5279">
        <v>-0.9864444</v>
      </c>
      <c r="Q5279">
        <v>0.163905</v>
      </c>
      <c r="R5279">
        <v>-7.9268009999999903E-3</v>
      </c>
      <c r="S5279">
        <v>-3.0705719999999999</v>
      </c>
      <c r="T5279">
        <v>-0.1728749</v>
      </c>
      <c r="U5279">
        <v>3.8009639999999997E-2</v>
      </c>
      <c r="V5279">
        <v>-4.7910399999999999E-2</v>
      </c>
      <c r="W5279">
        <v>0.17027429999999999</v>
      </c>
      <c r="X5279">
        <v>0.98423130000000003</v>
      </c>
      <c r="Y5279">
        <v>-2.754643E-2</v>
      </c>
      <c r="Z5279">
        <v>-3.0257259999999998E-3</v>
      </c>
      <c r="AA5279">
        <v>0.99961599999999995</v>
      </c>
      <c r="AB5279">
        <v>34</v>
      </c>
      <c r="AC5279">
        <v>-19.398399999999999</v>
      </c>
      <c r="AD5279">
        <v>-1.110627555882</v>
      </c>
      <c r="AE5279">
        <v>0.23199999999999901</v>
      </c>
      <c r="AF5279">
        <v>-0.54281350155768904</v>
      </c>
      <c r="AG5279">
        <v>-1.110627555882</v>
      </c>
      <c r="AH5279">
        <v>19.328791697226499</v>
      </c>
      <c r="AI5279">
        <v>93.287291991391996</v>
      </c>
      <c r="AJ5279">
        <v>91.608623601470597</v>
      </c>
      <c r="AK5279">
        <v>19.368281507147898</v>
      </c>
      <c r="AL5279">
        <v>80.196232162327505</v>
      </c>
      <c r="AM5279">
        <v>92.786843505896798</v>
      </c>
      <c r="AN5279">
        <v>0.99999999778417004</v>
      </c>
    </row>
    <row r="5280" spans="1:40" x14ac:dyDescent="0.25">
      <c r="A5280" t="str">
        <f>"20190312172222309"</f>
        <v>20190312172222309</v>
      </c>
      <c r="B5280" t="str">
        <f>"1552382542305632"</f>
        <v>1552382542305632</v>
      </c>
      <c r="C5280" t="s">
        <v>40</v>
      </c>
      <c r="D5280">
        <v>3.1581130000000002</v>
      </c>
      <c r="E5280">
        <v>0.50752790000000003</v>
      </c>
      <c r="F5280" t="s">
        <v>42</v>
      </c>
      <c r="G5280">
        <v>-270.12119999999999</v>
      </c>
      <c r="H5280" s="1">
        <v>-4.5335249999999999E-6</v>
      </c>
      <c r="I5280">
        <v>141.30029999999999</v>
      </c>
      <c r="J5280">
        <v>-251.01439999999999</v>
      </c>
      <c r="K5280">
        <v>1.110797</v>
      </c>
      <c r="L5280">
        <v>141.11369999999999</v>
      </c>
      <c r="M5280">
        <v>-0.99925010000000003</v>
      </c>
      <c r="N5280">
        <v>0</v>
      </c>
      <c r="O5280">
        <v>3.815006E-2</v>
      </c>
      <c r="P5280">
        <v>-0.98649620000000005</v>
      </c>
      <c r="Q5280">
        <v>0.1634594</v>
      </c>
      <c r="R5280">
        <v>-1.0325590000000001E-2</v>
      </c>
      <c r="S5280">
        <v>-3.0706329999999999</v>
      </c>
      <c r="T5280">
        <v>-0.17536889999999999</v>
      </c>
      <c r="U5280">
        <v>3.1372070000000002E-2</v>
      </c>
      <c r="V5280">
        <v>-4.8533720000000002E-2</v>
      </c>
      <c r="W5280">
        <v>0.16982369999999999</v>
      </c>
      <c r="X5280">
        <v>0.9842786</v>
      </c>
      <c r="Y5280">
        <v>-2.7832590000000001E-2</v>
      </c>
      <c r="Z5280">
        <v>-2.9706419999999999E-3</v>
      </c>
      <c r="AA5280">
        <v>0.99960819999999995</v>
      </c>
      <c r="AB5280">
        <v>34</v>
      </c>
      <c r="AC5280">
        <v>-19.1068</v>
      </c>
      <c r="AD5280">
        <v>-1.1108015335250001</v>
      </c>
      <c r="AE5280">
        <v>0.18659999999999799</v>
      </c>
      <c r="AF5280">
        <v>-0.54065024023948305</v>
      </c>
      <c r="AG5280">
        <v>-1.1108015335250001</v>
      </c>
      <c r="AH5280">
        <v>19.0356774682534</v>
      </c>
      <c r="AI5280">
        <v>93.338288341626296</v>
      </c>
      <c r="AJ5280">
        <v>91.626874149117697</v>
      </c>
      <c r="AK5280">
        <v>19.075722775416001</v>
      </c>
      <c r="AL5280">
        <v>80.222431105077504</v>
      </c>
      <c r="AM5280">
        <v>92.822906951843095</v>
      </c>
      <c r="AN5280">
        <v>0.999999986738344</v>
      </c>
    </row>
    <row r="5281" spans="1:40" x14ac:dyDescent="0.25">
      <c r="A5281" t="str">
        <f>"20190312172222331"</f>
        <v>20190312172222331</v>
      </c>
      <c r="B5281" t="str">
        <f>"1552382542326127"</f>
        <v>1552382542326127</v>
      </c>
      <c r="C5281" t="s">
        <v>40</v>
      </c>
      <c r="D5281">
        <v>3.1583480000000002</v>
      </c>
      <c r="E5281">
        <v>0.50761460000000003</v>
      </c>
      <c r="F5281" t="s">
        <v>42</v>
      </c>
      <c r="G5281">
        <v>-270.19690000000003</v>
      </c>
      <c r="H5281" s="1">
        <v>-4.5029669999999996E-6</v>
      </c>
      <c r="I5281">
        <v>141.27330000000001</v>
      </c>
      <c r="J5281">
        <v>-251.3655</v>
      </c>
      <c r="K5281">
        <v>1.110976</v>
      </c>
      <c r="L5281">
        <v>141.12520000000001</v>
      </c>
      <c r="M5281">
        <v>-0.99932929999999998</v>
      </c>
      <c r="N5281">
        <v>0</v>
      </c>
      <c r="O5281">
        <v>3.6015039999999998E-2</v>
      </c>
      <c r="P5281">
        <v>-0.98648860000000005</v>
      </c>
      <c r="Q5281">
        <v>0.16332189999999999</v>
      </c>
      <c r="R5281">
        <v>-1.2904499999999999E-2</v>
      </c>
      <c r="S5281">
        <v>-3.0708160000000002</v>
      </c>
      <c r="T5281">
        <v>-0.177822799999999</v>
      </c>
      <c r="U5281">
        <v>2.555847E-2</v>
      </c>
      <c r="V5281">
        <v>-4.9079850000000001E-2</v>
      </c>
      <c r="W5281">
        <v>0.16968129999999901</v>
      </c>
      <c r="X5281">
        <v>0.98427609999999999</v>
      </c>
      <c r="Y5281">
        <v>-2.7590730000000001E-2</v>
      </c>
      <c r="Z5281">
        <v>-2.8815550000000001E-3</v>
      </c>
      <c r="AA5281">
        <v>0.99961509999999998</v>
      </c>
      <c r="AB5281">
        <v>34</v>
      </c>
      <c r="AC5281">
        <v>-18.831399999999999</v>
      </c>
      <c r="AD5281">
        <v>-1.1109805029669999</v>
      </c>
      <c r="AE5281">
        <v>0.14809999999999901</v>
      </c>
      <c r="AF5281">
        <v>-0.52838562682377299</v>
      </c>
      <c r="AG5281">
        <v>-1.1109805029669999</v>
      </c>
      <c r="AH5281">
        <v>18.759228139574802</v>
      </c>
      <c r="AI5281">
        <v>93.387936972453602</v>
      </c>
      <c r="AJ5281">
        <v>91.613406681394096</v>
      </c>
      <c r="AK5281">
        <v>18.7995241812452</v>
      </c>
      <c r="AL5281">
        <v>80.230710391798993</v>
      </c>
      <c r="AM5281">
        <v>92.8546269530502</v>
      </c>
      <c r="AN5281">
        <v>1.0000000081384599</v>
      </c>
    </row>
    <row r="5282" spans="1:40" x14ac:dyDescent="0.25">
      <c r="A5282" t="str">
        <f>"20190312172222355"</f>
        <v>20190312172222355</v>
      </c>
      <c r="B5282" t="str">
        <f>"1552382542345651"</f>
        <v>1552382542345651</v>
      </c>
      <c r="C5282" t="s">
        <v>40</v>
      </c>
      <c r="D5282">
        <v>3.165699</v>
      </c>
      <c r="E5282">
        <v>0.50789430000000002</v>
      </c>
      <c r="F5282" t="s">
        <v>42</v>
      </c>
      <c r="G5282">
        <v>-270.41370000000001</v>
      </c>
      <c r="H5282" s="1">
        <v>-4.4231449999999998E-6</v>
      </c>
      <c r="I5282">
        <v>141.23920000000001</v>
      </c>
      <c r="J5282">
        <v>-251.71350000000001</v>
      </c>
      <c r="K5282">
        <v>1.1111530000000001</v>
      </c>
      <c r="L5282">
        <v>141.13570000000001</v>
      </c>
      <c r="M5282">
        <v>-0.99940949999999995</v>
      </c>
      <c r="N5282">
        <v>0</v>
      </c>
      <c r="O5282">
        <v>3.3708040000000002E-2</v>
      </c>
      <c r="P5282">
        <v>-0.98646500000000004</v>
      </c>
      <c r="Q5282">
        <v>0.16325390000000001</v>
      </c>
      <c r="R5282">
        <v>-1.532915E-2</v>
      </c>
      <c r="S5282">
        <v>-3.070999</v>
      </c>
      <c r="T5282">
        <v>-0.1791162</v>
      </c>
      <c r="U5282">
        <v>1.8386840000000002E-2</v>
      </c>
      <c r="V5282">
        <v>-4.9301049999999999E-2</v>
      </c>
      <c r="W5282">
        <v>0.16961039999999999</v>
      </c>
      <c r="X5282">
        <v>0.98427719999999996</v>
      </c>
      <c r="Y5282">
        <v>-2.7620240000000001E-2</v>
      </c>
      <c r="Z5282">
        <v>-2.7688360000000002E-3</v>
      </c>
      <c r="AA5282">
        <v>0.99961469999999997</v>
      </c>
      <c r="AB5282">
        <v>34</v>
      </c>
      <c r="AC5282">
        <v>-18.700199999999899</v>
      </c>
      <c r="AD5282">
        <v>-1.1111574231450001</v>
      </c>
      <c r="AE5282">
        <v>0.103499999999996</v>
      </c>
      <c r="AF5282">
        <v>-0.52506612414963105</v>
      </c>
      <c r="AG5282">
        <v>-1.1111574231450001</v>
      </c>
      <c r="AH5282">
        <v>18.6272964280693</v>
      </c>
      <c r="AI5282">
        <v>93.412416261208193</v>
      </c>
      <c r="AJ5282">
        <v>91.614625552043904</v>
      </c>
      <c r="AK5282">
        <v>18.667794124451401</v>
      </c>
      <c r="AL5282">
        <v>80.234831777175202</v>
      </c>
      <c r="AM5282">
        <v>92.867467965636706</v>
      </c>
      <c r="AN5282">
        <v>0.99999994387954905</v>
      </c>
    </row>
    <row r="5283" spans="1:40" x14ac:dyDescent="0.25">
      <c r="A5283" t="str">
        <f>"20190312172222377"</f>
        <v>20190312172222377</v>
      </c>
      <c r="B5283" t="str">
        <f>"1552382542366143"</f>
        <v>1552382542366143</v>
      </c>
      <c r="C5283" t="s">
        <v>40</v>
      </c>
      <c r="D5283">
        <v>3.1545999999999998</v>
      </c>
      <c r="E5283">
        <v>0.50810759999999999</v>
      </c>
      <c r="F5283" t="s">
        <v>42</v>
      </c>
      <c r="G5283">
        <v>-270.58240000000001</v>
      </c>
      <c r="H5283" s="1">
        <v>-4.3626630000000002E-6</v>
      </c>
      <c r="I5283">
        <v>141.22190000000001</v>
      </c>
      <c r="J5283">
        <v>-252.0549</v>
      </c>
      <c r="K5283">
        <v>1.111324</v>
      </c>
      <c r="L5283">
        <v>141.14510000000001</v>
      </c>
      <c r="M5283">
        <v>-0.9994885</v>
      </c>
      <c r="N5283">
        <v>0</v>
      </c>
      <c r="O5283">
        <v>3.1274440000000001E-2</v>
      </c>
      <c r="P5283">
        <v>-0.98645530000000003</v>
      </c>
      <c r="Q5283">
        <v>0.16300300000000001</v>
      </c>
      <c r="R5283">
        <v>-1.8329350000000001E-2</v>
      </c>
      <c r="S5283">
        <v>-3.0713200000000001</v>
      </c>
      <c r="T5283">
        <v>-0.1808659</v>
      </c>
      <c r="U5283">
        <v>1.403809E-2</v>
      </c>
      <c r="V5283">
        <v>-4.997066E-2</v>
      </c>
      <c r="W5283">
        <v>0.1693547</v>
      </c>
      <c r="X5283">
        <v>0.98428749999999998</v>
      </c>
      <c r="Y5283">
        <v>-2.660614E-2</v>
      </c>
      <c r="Z5283">
        <v>-2.6226069999999999E-3</v>
      </c>
      <c r="AA5283">
        <v>0.99964260000000005</v>
      </c>
      <c r="AB5283">
        <v>34</v>
      </c>
      <c r="AC5283">
        <v>-18.5275</v>
      </c>
      <c r="AD5283">
        <v>-1.1113283626629999</v>
      </c>
      <c r="AE5283">
        <v>7.67999999999915E-2</v>
      </c>
      <c r="AF5283">
        <v>-0.50088557854353399</v>
      </c>
      <c r="AG5283">
        <v>-1.1113283626629999</v>
      </c>
      <c r="AH5283">
        <v>18.454442110420299</v>
      </c>
      <c r="AI5283">
        <v>93.444930198899101</v>
      </c>
      <c r="AJ5283">
        <v>91.5547251677975</v>
      </c>
      <c r="AK5283">
        <v>18.494657896249599</v>
      </c>
      <c r="AL5283">
        <v>80.249697741537801</v>
      </c>
      <c r="AM5283">
        <v>92.9063174103905</v>
      </c>
      <c r="AN5283">
        <v>0.99999998196458695</v>
      </c>
    </row>
    <row r="5284" spans="1:40" x14ac:dyDescent="0.25">
      <c r="A5284" t="str">
        <f>"20190312172222398"</f>
        <v>20190312172222398</v>
      </c>
      <c r="B5284" t="str">
        <f>"1552382542385662"</f>
        <v>1552382542385662</v>
      </c>
      <c r="C5284" t="s">
        <v>40</v>
      </c>
      <c r="D5284">
        <v>3.1983760000000001</v>
      </c>
      <c r="E5284">
        <v>0.50827290000000003</v>
      </c>
      <c r="F5284" t="s">
        <v>42</v>
      </c>
      <c r="G5284">
        <v>-270.75810000000001</v>
      </c>
      <c r="H5284" s="1">
        <v>-4.2968099999999999E-6</v>
      </c>
      <c r="I5284">
        <v>141.18780000000001</v>
      </c>
      <c r="J5284">
        <v>-252.37700000000001</v>
      </c>
      <c r="K5284">
        <v>1.1114850000000001</v>
      </c>
      <c r="L5284">
        <v>141.15309999999999</v>
      </c>
      <c r="M5284">
        <v>-0.9995619</v>
      </c>
      <c r="N5284">
        <v>0</v>
      </c>
      <c r="O5284">
        <v>2.883196E-2</v>
      </c>
      <c r="P5284">
        <v>-0.98635269999999997</v>
      </c>
      <c r="Q5284">
        <v>0.16329250000000001</v>
      </c>
      <c r="R5284">
        <v>-2.1078159999999999E-2</v>
      </c>
      <c r="S5284">
        <v>-3.0714869999999999</v>
      </c>
      <c r="T5284">
        <v>-0.1825051</v>
      </c>
      <c r="U5284">
        <v>7.019043E-3</v>
      </c>
      <c r="V5284">
        <v>-5.0375059999999999E-2</v>
      </c>
      <c r="W5284">
        <v>0.16964089999999901</v>
      </c>
      <c r="X5284">
        <v>0.98421760000000003</v>
      </c>
      <c r="Y5284">
        <v>-2.6450769999999998E-2</v>
      </c>
      <c r="Z5284">
        <v>-2.4966509999999999E-3</v>
      </c>
      <c r="AA5284">
        <v>0.99964699999999995</v>
      </c>
      <c r="AB5284">
        <v>34</v>
      </c>
      <c r="AC5284">
        <v>-18.3811</v>
      </c>
      <c r="AD5284">
        <v>-1.1114892968100001</v>
      </c>
      <c r="AE5284">
        <v>3.4700000000014997E-2</v>
      </c>
      <c r="AF5284">
        <v>-0.49348498861855</v>
      </c>
      <c r="AG5284">
        <v>-1.1114892968100001</v>
      </c>
      <c r="AH5284">
        <v>18.307517117570999</v>
      </c>
      <c r="AI5284">
        <v>93.473028817156703</v>
      </c>
      <c r="AJ5284">
        <v>91.544052199666794</v>
      </c>
      <c r="AK5284">
        <v>18.347864150932399</v>
      </c>
      <c r="AL5284">
        <v>80.233058944044501</v>
      </c>
      <c r="AM5284">
        <v>92.930004407433898</v>
      </c>
      <c r="AN5284">
        <v>0.999999982886286</v>
      </c>
    </row>
    <row r="5285" spans="1:40" x14ac:dyDescent="0.25">
      <c r="A5285" t="str">
        <f>"20190312172222421"</f>
        <v>20190312172222421</v>
      </c>
      <c r="B5285" t="str">
        <f>"1552382542415919"</f>
        <v>1552382542415919</v>
      </c>
      <c r="C5285" t="s">
        <v>40</v>
      </c>
      <c r="D5285">
        <v>3.200437</v>
      </c>
      <c r="E5285">
        <v>0.50873489999999999</v>
      </c>
      <c r="F5285" t="s">
        <v>42</v>
      </c>
      <c r="G5285">
        <v>-271.18790000000001</v>
      </c>
      <c r="H5285" s="1">
        <v>-4.144759E-6</v>
      </c>
      <c r="I5285">
        <v>141.15520000000001</v>
      </c>
      <c r="J5285">
        <v>-252.73560000000001</v>
      </c>
      <c r="K5285">
        <v>1.1116509999999999</v>
      </c>
      <c r="L5285">
        <v>141.1609</v>
      </c>
      <c r="M5285">
        <v>-0.99964030000000004</v>
      </c>
      <c r="N5285">
        <v>0</v>
      </c>
      <c r="O5285">
        <v>2.5966820000000002E-2</v>
      </c>
      <c r="P5285">
        <v>-0.98634140000000003</v>
      </c>
      <c r="Q5285">
        <v>0.162945799999999</v>
      </c>
      <c r="R5285">
        <v>-2.4069770000000001E-2</v>
      </c>
      <c r="S5285">
        <v>-3.0715479999999999</v>
      </c>
      <c r="T5285">
        <v>-0.1814904</v>
      </c>
      <c r="U5285">
        <v>3.509521E-4</v>
      </c>
      <c r="V5285">
        <v>-5.0607640000000002E-2</v>
      </c>
      <c r="W5285">
        <v>0.16929269999999999</v>
      </c>
      <c r="X5285">
        <v>0.98426559999999996</v>
      </c>
      <c r="Y5285">
        <v>-2.576297E-2</v>
      </c>
      <c r="Z5285">
        <v>-2.2933570000000002E-3</v>
      </c>
      <c r="AA5285">
        <v>0.99966540000000004</v>
      </c>
      <c r="AB5285">
        <v>34</v>
      </c>
      <c r="AC5285">
        <v>-18.452300000000001</v>
      </c>
      <c r="AD5285">
        <v>-1.111655144759</v>
      </c>
      <c r="AE5285">
        <v>-5.6999999999902597E-3</v>
      </c>
      <c r="AF5285">
        <v>-0.483103019189975</v>
      </c>
      <c r="AG5285">
        <v>-1.111655144759</v>
      </c>
      <c r="AH5285">
        <v>18.379223477393101</v>
      </c>
      <c r="AI5285">
        <v>93.460088273013795</v>
      </c>
      <c r="AJ5285">
        <v>91.505688852886607</v>
      </c>
      <c r="AK5285">
        <v>18.419148224605198</v>
      </c>
      <c r="AL5285">
        <v>80.253301923281199</v>
      </c>
      <c r="AM5285">
        <v>92.943365111851605</v>
      </c>
      <c r="AN5285">
        <v>0.99999996142150804</v>
      </c>
    </row>
    <row r="5286" spans="1:40" x14ac:dyDescent="0.25">
      <c r="A5286" t="str">
        <f>"20190312172222445"</f>
        <v>20190312172222445</v>
      </c>
      <c r="B5286" t="str">
        <f>"1552382542436418"</f>
        <v>1552382542436418</v>
      </c>
      <c r="C5286" t="s">
        <v>40</v>
      </c>
      <c r="D5286">
        <v>3.1890900000000002</v>
      </c>
      <c r="E5286">
        <v>0.50906119999999999</v>
      </c>
      <c r="F5286" t="s">
        <v>42</v>
      </c>
      <c r="G5286">
        <v>-271.1995</v>
      </c>
      <c r="H5286" s="1">
        <v>-4.1367029999999996E-6</v>
      </c>
      <c r="I5286">
        <v>141.1319</v>
      </c>
      <c r="J5286">
        <v>-253.09899999999999</v>
      </c>
      <c r="K5286">
        <v>1.1117980000000001</v>
      </c>
      <c r="L5286">
        <v>141.16759999999999</v>
      </c>
      <c r="M5286">
        <v>-0.99971460000000001</v>
      </c>
      <c r="N5286">
        <v>0</v>
      </c>
      <c r="O5286">
        <v>2.2922149999999999E-2</v>
      </c>
      <c r="P5286">
        <v>-0.98628130000000003</v>
      </c>
      <c r="Q5286">
        <v>0.16274340000000001</v>
      </c>
      <c r="R5286">
        <v>-2.7640769999999999E-2</v>
      </c>
      <c r="S5286">
        <v>-3.072006</v>
      </c>
      <c r="T5286">
        <v>-0.18495729999999999</v>
      </c>
      <c r="U5286">
        <v>-4.8217770000000002E-3</v>
      </c>
      <c r="V5286">
        <v>-5.1235070000000001E-2</v>
      </c>
      <c r="W5286">
        <v>0.16908870000000001</v>
      </c>
      <c r="X5286">
        <v>0.98426820000000004</v>
      </c>
      <c r="Y5286">
        <v>-2.4406110000000002E-2</v>
      </c>
      <c r="Z5286">
        <v>-2.1128280000000002E-3</v>
      </c>
      <c r="AA5286">
        <v>0.99969989999999997</v>
      </c>
      <c r="AB5286">
        <v>35</v>
      </c>
      <c r="AC5286">
        <v>-18.100499999999901</v>
      </c>
      <c r="AD5286">
        <v>-1.111802136703</v>
      </c>
      <c r="AE5286">
        <v>-3.5699999999991398E-2</v>
      </c>
      <c r="AF5286">
        <v>-0.44890871657564302</v>
      </c>
      <c r="AG5286">
        <v>-1.111802136703</v>
      </c>
      <c r="AH5286">
        <v>18.026912344059198</v>
      </c>
      <c r="AI5286">
        <v>93.528131558279497</v>
      </c>
      <c r="AJ5286">
        <v>91.426492776324295</v>
      </c>
      <c r="AK5286">
        <v>18.0667426972154</v>
      </c>
      <c r="AL5286">
        <v>80.265161173354798</v>
      </c>
      <c r="AM5286">
        <v>92.979783527360993</v>
      </c>
      <c r="AN5286">
        <v>0.999999955198416</v>
      </c>
    </row>
    <row r="5287" spans="1:40" x14ac:dyDescent="0.25">
      <c r="A5287" t="str">
        <f>"20190312172222465"</f>
        <v>20190312172222465</v>
      </c>
      <c r="B5287" t="str">
        <f>"1552382542455935"</f>
        <v>1552382542455935</v>
      </c>
      <c r="C5287" t="s">
        <v>40</v>
      </c>
      <c r="D5287">
        <v>3.1653910000000001</v>
      </c>
      <c r="E5287">
        <v>0.50922040000000002</v>
      </c>
      <c r="F5287" t="s">
        <v>42</v>
      </c>
      <c r="G5287">
        <v>-271.38889999999998</v>
      </c>
      <c r="H5287" s="1">
        <v>-4.0654190000000004E-6</v>
      </c>
      <c r="I5287">
        <v>141.0934</v>
      </c>
      <c r="J5287">
        <v>-253.4272</v>
      </c>
      <c r="K5287">
        <v>1.11191</v>
      </c>
      <c r="L5287">
        <v>141.17259999999999</v>
      </c>
      <c r="M5287">
        <v>-0.99977530000000003</v>
      </c>
      <c r="N5287">
        <v>0</v>
      </c>
      <c r="O5287">
        <v>2.0088370000000001E-2</v>
      </c>
      <c r="P5287">
        <v>-0.98621000000000003</v>
      </c>
      <c r="Q5287">
        <v>0.1624775</v>
      </c>
      <c r="R5287">
        <v>-3.1483339999999999E-2</v>
      </c>
      <c r="S5287">
        <v>-3.072174</v>
      </c>
      <c r="T5287">
        <v>-0.18675140000000001</v>
      </c>
      <c r="U5287">
        <v>-1.2451169999999999E-2</v>
      </c>
      <c r="V5287">
        <v>-5.2326820000000003E-2</v>
      </c>
      <c r="W5287">
        <v>0.16881940000000001</v>
      </c>
      <c r="X5287">
        <v>0.98425700000000005</v>
      </c>
      <c r="Y5287">
        <v>-2.4059210000000001E-2</v>
      </c>
      <c r="Z5287">
        <v>-1.950558E-3</v>
      </c>
      <c r="AA5287">
        <v>0.99970870000000001</v>
      </c>
      <c r="AB5287">
        <v>35</v>
      </c>
      <c r="AC5287">
        <v>-17.961699999999901</v>
      </c>
      <c r="AD5287">
        <v>-1.1119140654189901</v>
      </c>
      <c r="AE5287">
        <v>-7.9199999999985907E-2</v>
      </c>
      <c r="AF5287">
        <v>-0.43833380927107701</v>
      </c>
      <c r="AG5287">
        <v>-1.1119140654189901</v>
      </c>
      <c r="AH5287">
        <v>17.887935557377201</v>
      </c>
      <c r="AI5287">
        <v>93.555864481380297</v>
      </c>
      <c r="AJ5287">
        <v>91.403719963650403</v>
      </c>
      <c r="AK5287">
        <v>17.927819943375798</v>
      </c>
      <c r="AL5287">
        <v>80.280816068349907</v>
      </c>
      <c r="AM5287">
        <v>93.043195140060206</v>
      </c>
      <c r="AN5287">
        <v>0.99999996397833502</v>
      </c>
    </row>
    <row r="5288" spans="1:40" x14ac:dyDescent="0.25">
      <c r="A5288" t="str">
        <f>"20190312172222487"</f>
        <v>20190312172222487</v>
      </c>
      <c r="B5288" t="str">
        <f>"1552382542475457"</f>
        <v>1552382542475457</v>
      </c>
      <c r="C5288" t="s">
        <v>40</v>
      </c>
      <c r="D5288">
        <v>3.1535820000000001</v>
      </c>
      <c r="E5288">
        <v>0.50948679999999902</v>
      </c>
      <c r="F5288" t="s">
        <v>42</v>
      </c>
      <c r="G5288">
        <v>-271.63869999999997</v>
      </c>
      <c r="H5288" s="1">
        <v>-3.9479349999999998E-6</v>
      </c>
      <c r="I5288">
        <v>141.03919999999999</v>
      </c>
      <c r="J5288">
        <v>-253.76179999999999</v>
      </c>
      <c r="K5288">
        <v>1.1120000000000001</v>
      </c>
      <c r="L5288">
        <v>141.17670000000001</v>
      </c>
      <c r="M5288">
        <v>-0.99983040000000001</v>
      </c>
      <c r="N5288">
        <v>0</v>
      </c>
      <c r="O5288">
        <v>1.713255E-2</v>
      </c>
      <c r="P5288">
        <v>-0.98622299999999996</v>
      </c>
      <c r="Q5288">
        <v>0.1618105</v>
      </c>
      <c r="R5288">
        <v>-3.4377730000000002E-2</v>
      </c>
      <c r="S5288">
        <v>-3.0721590000000001</v>
      </c>
      <c r="T5288">
        <v>-0.1875733</v>
      </c>
      <c r="U5288">
        <v>-2.2491460000000001E-2</v>
      </c>
      <c r="V5288">
        <v>-5.2343149999999998E-2</v>
      </c>
      <c r="W5288">
        <v>0.16815720000000001</v>
      </c>
      <c r="X5288">
        <v>0.98436950000000001</v>
      </c>
      <c r="Y5288">
        <v>-2.4374980000000001E-2</v>
      </c>
      <c r="Z5288">
        <v>-1.7884719999999999E-3</v>
      </c>
      <c r="AA5288">
        <v>0.99970130000000001</v>
      </c>
      <c r="AB5288">
        <v>35</v>
      </c>
      <c r="AC5288">
        <v>-17.8768999999999</v>
      </c>
      <c r="AD5288">
        <v>-1.1120039479349999</v>
      </c>
      <c r="AE5288">
        <v>-0.137500000000017</v>
      </c>
      <c r="AF5288">
        <v>-0.44205337192274302</v>
      </c>
      <c r="AG5288">
        <v>-1.1120039479349999</v>
      </c>
      <c r="AH5288">
        <v>17.8030396905875</v>
      </c>
      <c r="AI5288">
        <v>93.573036656071906</v>
      </c>
      <c r="AJ5288">
        <v>91.422374476401899</v>
      </c>
      <c r="AK5288">
        <v>17.843211207304702</v>
      </c>
      <c r="AL5288">
        <v>80.319307789704197</v>
      </c>
      <c r="AM5288">
        <v>93.043795815707099</v>
      </c>
      <c r="AN5288">
        <v>0.99999998089700604</v>
      </c>
    </row>
    <row r="5289" spans="1:40" x14ac:dyDescent="0.25">
      <c r="A5289" t="str">
        <f>"20190312172222509"</f>
        <v>20190312172222509</v>
      </c>
      <c r="B5289" t="str">
        <f>"1552382542505711"</f>
        <v>1552382542505711</v>
      </c>
      <c r="C5289" t="s">
        <v>40</v>
      </c>
      <c r="D5289">
        <v>3.1934840000000002</v>
      </c>
      <c r="E5289">
        <v>0.51532129999999998</v>
      </c>
      <c r="F5289" t="s">
        <v>42</v>
      </c>
      <c r="G5289">
        <v>-271.70479999999998</v>
      </c>
      <c r="H5289" s="1">
        <v>-3.9098950000000001E-6</v>
      </c>
      <c r="I5289">
        <v>141.00290000000001</v>
      </c>
      <c r="J5289">
        <v>-254.1103</v>
      </c>
      <c r="K5289">
        <v>1.11208</v>
      </c>
      <c r="L5289">
        <v>141.18</v>
      </c>
      <c r="M5289">
        <v>-0.99987890000000001</v>
      </c>
      <c r="N5289">
        <v>0</v>
      </c>
      <c r="O5289">
        <v>1.400118E-2</v>
      </c>
      <c r="P5289">
        <v>-0.98621789999999998</v>
      </c>
      <c r="Q5289">
        <v>0.16099359999999999</v>
      </c>
      <c r="R5289">
        <v>-3.8151320000000002E-2</v>
      </c>
      <c r="S5289">
        <v>-3.0721129999999999</v>
      </c>
      <c r="T5289">
        <v>-0.19039239999999999</v>
      </c>
      <c r="U5289">
        <v>-2.9754639999999999E-2</v>
      </c>
      <c r="V5289">
        <v>-5.3058889999999997E-2</v>
      </c>
      <c r="W5289">
        <v>0.16734299999999999</v>
      </c>
      <c r="X5289">
        <v>0.98446999999999996</v>
      </c>
      <c r="Y5289">
        <v>-2.361268E-2</v>
      </c>
      <c r="Z5289">
        <v>-1.5978489999999999E-3</v>
      </c>
      <c r="AA5289">
        <v>0.99971989999999999</v>
      </c>
      <c r="AB5289">
        <v>35</v>
      </c>
      <c r="AC5289">
        <v>-17.594499999999901</v>
      </c>
      <c r="AD5289">
        <v>-1.1120839098949999</v>
      </c>
      <c r="AE5289">
        <v>-0.17709999999999501</v>
      </c>
      <c r="AF5289">
        <v>-0.42174735863951601</v>
      </c>
      <c r="AG5289">
        <v>-1.1120839098949999</v>
      </c>
      <c r="AH5289">
        <v>17.5203083563432</v>
      </c>
      <c r="AI5289">
        <v>93.630870467544199</v>
      </c>
      <c r="AJ5289">
        <v>91.3789527787835</v>
      </c>
      <c r="AK5289">
        <v>17.5606322881187</v>
      </c>
      <c r="AL5289">
        <v>80.366629275423904</v>
      </c>
      <c r="AM5289">
        <v>93.085022434224797</v>
      </c>
      <c r="AN5289">
        <v>1.00000005317851</v>
      </c>
    </row>
    <row r="5290" spans="1:40" x14ac:dyDescent="0.25">
      <c r="A5290" t="str">
        <f>"20190312172222522"</f>
        <v>20190312172222522</v>
      </c>
      <c r="B5290" t="str">
        <f>"1552382542515471"</f>
        <v>1552382542515471</v>
      </c>
      <c r="C5290" t="s">
        <v>40</v>
      </c>
      <c r="D5290">
        <v>3.1966760000000001</v>
      </c>
      <c r="E5290">
        <v>0.51565470000000002</v>
      </c>
      <c r="F5290" t="s">
        <v>42</v>
      </c>
      <c r="G5290">
        <v>-270.75850000000003</v>
      </c>
      <c r="H5290" s="1">
        <v>-4.3003290000000003E-6</v>
      </c>
      <c r="I5290">
        <v>141.20830000000001</v>
      </c>
      <c r="J5290">
        <v>-254.30799999999999</v>
      </c>
      <c r="K5290">
        <v>1.11212</v>
      </c>
      <c r="L5290">
        <v>141.1814</v>
      </c>
      <c r="M5290">
        <v>-0.99990239999999997</v>
      </c>
      <c r="N5290">
        <v>0</v>
      </c>
      <c r="O5290">
        <v>1.2210439999999999E-2</v>
      </c>
      <c r="P5290">
        <v>-0.98622480000000001</v>
      </c>
      <c r="Q5290">
        <v>0.16040019999999999</v>
      </c>
      <c r="R5290">
        <v>-4.0408310000000003E-2</v>
      </c>
      <c r="S5290">
        <v>-3.0756839999999999</v>
      </c>
      <c r="T5290">
        <v>-0.20545389999999999</v>
      </c>
      <c r="U5290">
        <v>5.2490230000000002E-3</v>
      </c>
      <c r="V5290">
        <v>-5.3564750000000001E-2</v>
      </c>
      <c r="W5290">
        <v>0.1667506</v>
      </c>
      <c r="X5290">
        <v>0.9845431</v>
      </c>
      <c r="Y5290">
        <v>-1.04537E-2</v>
      </c>
      <c r="Z5290">
        <v>-1.163505E-3</v>
      </c>
      <c r="AA5290">
        <v>0.99994470000000002</v>
      </c>
      <c r="AB5290">
        <v>35</v>
      </c>
      <c r="AC5290">
        <v>-16.450500000000002</v>
      </c>
      <c r="AD5290">
        <v>-1.112124300329</v>
      </c>
      <c r="AE5290">
        <v>2.6900000000011901E-2</v>
      </c>
      <c r="AF5290">
        <v>-0.173182975571918</v>
      </c>
      <c r="AG5290">
        <v>-1.112124300329</v>
      </c>
      <c r="AH5290">
        <v>16.3747639943197</v>
      </c>
      <c r="AI5290">
        <v>93.885172196133695</v>
      </c>
      <c r="AJ5290">
        <v>90.605949718832605</v>
      </c>
      <c r="AK5290">
        <v>16.4134002775805</v>
      </c>
      <c r="AL5290">
        <v>80.401054790317403</v>
      </c>
      <c r="AM5290">
        <v>93.114146429481593</v>
      </c>
      <c r="AN5290">
        <v>1.0000000304002601</v>
      </c>
    </row>
    <row r="5291" spans="1:40" x14ac:dyDescent="0.25">
      <c r="A5291" t="str">
        <f>"20190312172222534"</f>
        <v>20190312172222534</v>
      </c>
      <c r="B5291" t="str">
        <f>"1552382542526206"</f>
        <v>1552382542526206</v>
      </c>
      <c r="C5291" t="s">
        <v>40</v>
      </c>
      <c r="D5291">
        <v>3.205838</v>
      </c>
      <c r="E5291">
        <v>0.5160709</v>
      </c>
      <c r="F5291" t="s">
        <v>41</v>
      </c>
      <c r="G5291">
        <v>-255.32210000000001</v>
      </c>
      <c r="H5291">
        <v>1.043496</v>
      </c>
      <c r="I5291">
        <v>141.18170000000001</v>
      </c>
      <c r="J5291">
        <v>-254.50219999999999</v>
      </c>
      <c r="K5291">
        <v>1.11215</v>
      </c>
      <c r="L5291">
        <v>141.1823</v>
      </c>
      <c r="M5291">
        <v>-0.99992230000000004</v>
      </c>
      <c r="N5291">
        <v>0</v>
      </c>
      <c r="O5291">
        <v>1.0439820000000001E-2</v>
      </c>
      <c r="P5291">
        <v>-0.98618039999999996</v>
      </c>
      <c r="Q5291">
        <v>0.16016440000000001</v>
      </c>
      <c r="R5291">
        <v>-4.237809E-2</v>
      </c>
      <c r="S5291">
        <v>-3.075806</v>
      </c>
      <c r="T5291">
        <v>-0.20820340000000001</v>
      </c>
      <c r="U5291">
        <v>9.765625E-4</v>
      </c>
      <c r="V5291">
        <v>-5.3801160000000001E-2</v>
      </c>
      <c r="W5291">
        <v>0.1665179</v>
      </c>
      <c r="X5291">
        <v>0.98456949999999999</v>
      </c>
      <c r="Y5291">
        <v>-1.007563E-2</v>
      </c>
      <c r="Z5291">
        <v>-1.0464999999999999E-3</v>
      </c>
      <c r="AA5291">
        <v>0.99994870000000002</v>
      </c>
      <c r="AB5291">
        <v>35</v>
      </c>
      <c r="AC5291">
        <v>-0.81990000000001795</v>
      </c>
      <c r="AD5291">
        <v>-6.8653999999999896E-2</v>
      </c>
      <c r="AE5291">
        <v>-5.9999999999149601E-4</v>
      </c>
      <c r="AF5291">
        <v>-9.0959979205916201E-3</v>
      </c>
      <c r="AG5291">
        <v>-6.8653999999999896E-2</v>
      </c>
      <c r="AH5291">
        <v>0.81414072108166402</v>
      </c>
      <c r="AI5291">
        <v>94.819874779154006</v>
      </c>
      <c r="AJ5291">
        <v>90.640111217552302</v>
      </c>
      <c r="AK5291">
        <v>0.81708091558764395</v>
      </c>
      <c r="AL5291">
        <v>80.414575675600901</v>
      </c>
      <c r="AM5291">
        <v>93.127779894757793</v>
      </c>
      <c r="AN5291">
        <v>0.99999993808400001</v>
      </c>
    </row>
    <row r="5292" spans="1:40" x14ac:dyDescent="0.25">
      <c r="A5292" t="str">
        <f>"20190312172222546"</f>
        <v>20190312172222546</v>
      </c>
      <c r="B5292" t="str">
        <f>"1552382542535967"</f>
        <v>1552382542535967</v>
      </c>
      <c r="C5292" t="s">
        <v>40</v>
      </c>
      <c r="D5292">
        <v>3.212682</v>
      </c>
      <c r="E5292">
        <v>0.51627860000000003</v>
      </c>
      <c r="F5292" t="s">
        <v>42</v>
      </c>
      <c r="G5292">
        <v>-270.81630000000001</v>
      </c>
      <c r="H5292" s="1">
        <v>-4.2745460000000003E-6</v>
      </c>
      <c r="I5292">
        <v>141.1739</v>
      </c>
      <c r="J5292">
        <v>-254.68709999999999</v>
      </c>
      <c r="K5292">
        <v>1.1121780000000001</v>
      </c>
      <c r="L5292">
        <v>141.18289999999999</v>
      </c>
      <c r="M5292">
        <v>-0.99993840000000001</v>
      </c>
      <c r="N5292">
        <v>0</v>
      </c>
      <c r="O5292">
        <v>8.7502719999999999E-3</v>
      </c>
      <c r="P5292">
        <v>-0.98618189999999994</v>
      </c>
      <c r="Q5292">
        <v>0.15959849999999901</v>
      </c>
      <c r="R5292">
        <v>-4.4424100000000001E-2</v>
      </c>
      <c r="S5292">
        <v>-3.07605</v>
      </c>
      <c r="T5292">
        <v>-0.2096991</v>
      </c>
      <c r="U5292">
        <v>-1.5716549999999999E-3</v>
      </c>
      <c r="V5292">
        <v>-5.4190879999999997E-2</v>
      </c>
      <c r="W5292">
        <v>0.16595409999999999</v>
      </c>
      <c r="X5292">
        <v>0.98464339999999995</v>
      </c>
      <c r="Y5292">
        <v>-9.2196799999999992E-3</v>
      </c>
      <c r="Z5292">
        <v>-9.0973219999999997E-4</v>
      </c>
      <c r="AA5292">
        <v>0.99995710000000004</v>
      </c>
      <c r="AB5292">
        <v>35</v>
      </c>
      <c r="AC5292">
        <v>-16.129200000000001</v>
      </c>
      <c r="AD5292">
        <v>-1.1121822745459999</v>
      </c>
      <c r="AE5292">
        <v>-8.9999999999861302E-3</v>
      </c>
      <c r="AF5292">
        <v>-0.149427346010575</v>
      </c>
      <c r="AG5292">
        <v>-1.1121822745459999</v>
      </c>
      <c r="AH5292">
        <v>16.052179888773999</v>
      </c>
      <c r="AI5292">
        <v>93.963257859084194</v>
      </c>
      <c r="AJ5292">
        <v>90.533342452098395</v>
      </c>
      <c r="AK5292">
        <v>16.091356596791599</v>
      </c>
      <c r="AL5292">
        <v>80.447335639479505</v>
      </c>
      <c r="AM5292">
        <v>93.150155182078507</v>
      </c>
      <c r="AN5292">
        <v>1.0000000199727701</v>
      </c>
    </row>
    <row r="5293" spans="1:40" x14ac:dyDescent="0.25">
      <c r="A5293" t="str">
        <f>"20190312172222559"</f>
        <v>20190312172222559</v>
      </c>
      <c r="B5293" t="str">
        <f>"1552382542555486"</f>
        <v>1552382542555486</v>
      </c>
      <c r="C5293" t="s">
        <v>40</v>
      </c>
      <c r="D5293">
        <v>3.1761409999999999</v>
      </c>
      <c r="E5293">
        <v>0.51638200000000001</v>
      </c>
      <c r="F5293" t="s">
        <v>42</v>
      </c>
      <c r="G5293">
        <v>-270.85719999999998</v>
      </c>
      <c r="H5293" s="1">
        <v>-4.2565050000000002E-6</v>
      </c>
      <c r="I5293">
        <v>141.1506</v>
      </c>
      <c r="J5293">
        <v>-254.88740000000001</v>
      </c>
      <c r="K5293">
        <v>1.112206</v>
      </c>
      <c r="L5293">
        <v>141.1832</v>
      </c>
      <c r="M5293">
        <v>-0.99995270000000003</v>
      </c>
      <c r="N5293">
        <v>0</v>
      </c>
      <c r="O5293">
        <v>6.9166519999999997E-3</v>
      </c>
      <c r="P5293">
        <v>-0.9861415</v>
      </c>
      <c r="Q5293">
        <v>0.15934989999999999</v>
      </c>
      <c r="R5293">
        <v>-4.6181850000000003E-2</v>
      </c>
      <c r="S5293">
        <v>-3.0759889999999999</v>
      </c>
      <c r="T5293">
        <v>-0.2115678</v>
      </c>
      <c r="U5293">
        <v>-6.1187739999999996E-3</v>
      </c>
      <c r="V5293">
        <v>-5.4152279999999997E-2</v>
      </c>
      <c r="W5293">
        <v>0.165711</v>
      </c>
      <c r="X5293">
        <v>0.98468639999999996</v>
      </c>
      <c r="Y5293">
        <v>-8.8686619999999994E-3</v>
      </c>
      <c r="Z5293">
        <v>-7.7981269999999997E-4</v>
      </c>
      <c r="AA5293">
        <v>0.99996039999999997</v>
      </c>
      <c r="AB5293">
        <v>35</v>
      </c>
      <c r="AC5293">
        <v>-15.9697999999999</v>
      </c>
      <c r="AD5293">
        <v>-1.112210256505</v>
      </c>
      <c r="AE5293">
        <v>-3.26000000000021E-2</v>
      </c>
      <c r="AF5293">
        <v>-0.14236881323891301</v>
      </c>
      <c r="AG5293">
        <v>-1.112210256505</v>
      </c>
      <c r="AH5293">
        <v>15.8921102035718</v>
      </c>
      <c r="AI5293">
        <v>94.003160899255207</v>
      </c>
      <c r="AJ5293">
        <v>90.513268145311201</v>
      </c>
      <c r="AK5293">
        <v>15.9316178480444</v>
      </c>
      <c r="AL5293">
        <v>80.461459188209503</v>
      </c>
      <c r="AM5293">
        <v>93.147778661385999</v>
      </c>
      <c r="AN5293">
        <v>0.99999995564757804</v>
      </c>
    </row>
    <row r="5294" spans="1:40" x14ac:dyDescent="0.25">
      <c r="A5294" t="str">
        <f>"20190312172222577"</f>
        <v>20190312172222577</v>
      </c>
      <c r="B5294" t="str">
        <f>"1552382542566223"</f>
        <v>1552382542566223</v>
      </c>
      <c r="C5294" t="s">
        <v>40</v>
      </c>
      <c r="D5294">
        <v>3.1978270000000002</v>
      </c>
      <c r="E5294">
        <v>0.51426590000000005</v>
      </c>
      <c r="F5294" t="s">
        <v>42</v>
      </c>
      <c r="G5294">
        <v>-270.97329999999999</v>
      </c>
      <c r="H5294" s="1">
        <v>-4.2124440000000001E-6</v>
      </c>
      <c r="I5294">
        <v>141.1249</v>
      </c>
      <c r="J5294">
        <v>-255.178</v>
      </c>
      <c r="K5294">
        <v>1.112239</v>
      </c>
      <c r="L5294">
        <v>141.18299999999999</v>
      </c>
      <c r="M5294">
        <v>-0.99996759999999996</v>
      </c>
      <c r="N5294">
        <v>0</v>
      </c>
      <c r="O5294">
        <v>4.2517919999999999E-3</v>
      </c>
      <c r="P5294">
        <v>-0.98615269999999999</v>
      </c>
      <c r="Q5294">
        <v>0.158582</v>
      </c>
      <c r="R5294">
        <v>-4.8527359999999999E-2</v>
      </c>
      <c r="S5294">
        <v>-3.0759889999999999</v>
      </c>
      <c r="T5294">
        <v>-0.21268110000000001</v>
      </c>
      <c r="U5294">
        <v>-1.113892E-2</v>
      </c>
      <c r="V5294">
        <v>-5.3881239999999997E-2</v>
      </c>
      <c r="W5294">
        <v>0.16495479999999901</v>
      </c>
      <c r="X5294">
        <v>0.98482829999999999</v>
      </c>
      <c r="Y5294">
        <v>-7.8441769999999904E-3</v>
      </c>
      <c r="Z5294">
        <v>-5.6449240000000002E-4</v>
      </c>
      <c r="AA5294">
        <v>0.99996910000000006</v>
      </c>
      <c r="AB5294">
        <v>35</v>
      </c>
      <c r="AC5294">
        <v>-15.7952999999999</v>
      </c>
      <c r="AD5294">
        <v>-1.112243212444</v>
      </c>
      <c r="AE5294">
        <v>-5.8099999999996002E-2</v>
      </c>
      <c r="AF5294">
        <v>-0.12464135741478199</v>
      </c>
      <c r="AG5294">
        <v>-1.112243212444</v>
      </c>
      <c r="AH5294">
        <v>15.716979771216</v>
      </c>
      <c r="AI5294">
        <v>94.047774245359307</v>
      </c>
      <c r="AJ5294">
        <v>90.454366814275502</v>
      </c>
      <c r="AK5294">
        <v>15.7567786542941</v>
      </c>
      <c r="AL5294">
        <v>80.505391541795007</v>
      </c>
      <c r="AM5294">
        <v>93.131604632868502</v>
      </c>
      <c r="AN5294">
        <v>1.00000002727393</v>
      </c>
    </row>
    <row r="5295" spans="1:40" x14ac:dyDescent="0.25">
      <c r="A5295" t="str">
        <f>"20190312172222600"</f>
        <v>20190312172222600</v>
      </c>
      <c r="B5295" t="str">
        <f>"1552382542595502"</f>
        <v>1552382542595502</v>
      </c>
      <c r="C5295" t="s">
        <v>40</v>
      </c>
      <c r="D5295">
        <v>3.1937600000000002</v>
      </c>
      <c r="E5295">
        <v>0.51602890000000001</v>
      </c>
      <c r="F5295" t="s">
        <v>42</v>
      </c>
      <c r="G5295">
        <v>-273.13369999999998</v>
      </c>
      <c r="H5295" s="1">
        <v>-3.2889080000000002E-6</v>
      </c>
      <c r="I5295">
        <v>140.97280000000001</v>
      </c>
      <c r="J5295">
        <v>-255.5308</v>
      </c>
      <c r="K5295">
        <v>1.112277</v>
      </c>
      <c r="L5295">
        <v>141.18170000000001</v>
      </c>
      <c r="M5295">
        <v>-0.99997599999999998</v>
      </c>
      <c r="N5295">
        <v>0</v>
      </c>
      <c r="O5295">
        <v>1.013346E-3</v>
      </c>
      <c r="P5295">
        <v>-0.98607840000000002</v>
      </c>
      <c r="Q5295">
        <v>0.15814210000000001</v>
      </c>
      <c r="R5295">
        <v>-5.1385939999999998E-2</v>
      </c>
      <c r="S5295">
        <v>-3.0709689999999998</v>
      </c>
      <c r="T5295">
        <v>-0.1902276</v>
      </c>
      <c r="U5295">
        <v>-3.593445E-2</v>
      </c>
      <c r="V5295">
        <v>-5.3560139999999999E-2</v>
      </c>
      <c r="W5295">
        <v>0.1645287</v>
      </c>
      <c r="X5295">
        <v>0.98491700000000004</v>
      </c>
      <c r="Y5295">
        <v>-1.268758E-2</v>
      </c>
      <c r="Z5295">
        <v>-4.55279E-4</v>
      </c>
      <c r="AA5295">
        <v>0.99991940000000001</v>
      </c>
      <c r="AB5295">
        <v>35</v>
      </c>
      <c r="AC5295">
        <v>-17.602899999999899</v>
      </c>
      <c r="AD5295">
        <v>-1.1122802889079999</v>
      </c>
      <c r="AE5295">
        <v>-0.208899999999999</v>
      </c>
      <c r="AF5295">
        <v>-0.22583658303468801</v>
      </c>
      <c r="AG5295">
        <v>-1.1122802889079999</v>
      </c>
      <c r="AH5295">
        <v>17.532687435299799</v>
      </c>
      <c r="AI5295">
        <v>93.629700866318998</v>
      </c>
      <c r="AJ5295">
        <v>90.737979705541306</v>
      </c>
      <c r="AK5295">
        <v>17.569385256953399</v>
      </c>
      <c r="AL5295">
        <v>80.530142624315801</v>
      </c>
      <c r="AM5295">
        <v>93.112699156751702</v>
      </c>
      <c r="AN5295">
        <v>0.99999993930475295</v>
      </c>
    </row>
    <row r="5296" spans="1:40" x14ac:dyDescent="0.25">
      <c r="A5296" t="str">
        <f>"20190312172222622"</f>
        <v>20190312172222622</v>
      </c>
      <c r="B5296" t="str">
        <f>"1552382542615998"</f>
        <v>1552382542615998</v>
      </c>
      <c r="C5296" t="s">
        <v>40</v>
      </c>
      <c r="D5296">
        <v>3.2144490000000001</v>
      </c>
      <c r="E5296">
        <v>0.51686969999999999</v>
      </c>
      <c r="F5296" t="s">
        <v>42</v>
      </c>
      <c r="G5296">
        <v>-273.27980000000002</v>
      </c>
      <c r="H5296" s="1">
        <v>-3.2342720000000002E-6</v>
      </c>
      <c r="I5296">
        <v>141.00299999999999</v>
      </c>
      <c r="J5296">
        <v>-255.88820000000001</v>
      </c>
      <c r="K5296">
        <v>1.112309</v>
      </c>
      <c r="L5296">
        <v>141.17920000000001</v>
      </c>
      <c r="M5296">
        <v>-0.99997389999999997</v>
      </c>
      <c r="N5296">
        <v>0</v>
      </c>
      <c r="O5296">
        <v>-2.2671449999999999E-3</v>
      </c>
      <c r="P5296">
        <v>-0.98594470000000001</v>
      </c>
      <c r="Q5296">
        <v>0.15790989999999999</v>
      </c>
      <c r="R5296">
        <v>-5.4570639999999997E-2</v>
      </c>
      <c r="S5296">
        <v>-3.071609</v>
      </c>
      <c r="T5296">
        <v>-0.19248999999999999</v>
      </c>
      <c r="U5296">
        <v>-3.091431E-2</v>
      </c>
      <c r="V5296">
        <v>-5.3523620000000001E-2</v>
      </c>
      <c r="W5296">
        <v>0.1643086</v>
      </c>
      <c r="X5296">
        <v>0.98495580000000005</v>
      </c>
      <c r="Y5296">
        <v>-7.7860869999999997E-3</v>
      </c>
      <c r="Z5296">
        <v>-1.017857E-4</v>
      </c>
      <c r="AA5296">
        <v>0.99996969999999996</v>
      </c>
      <c r="AB5296">
        <v>35</v>
      </c>
      <c r="AC5296">
        <v>-17.3916</v>
      </c>
      <c r="AD5296">
        <v>-1.112312234272</v>
      </c>
      <c r="AE5296">
        <v>-0.17620000000002201</v>
      </c>
      <c r="AF5296">
        <v>-0.13621222408164901</v>
      </c>
      <c r="AG5296">
        <v>-1.112312234272</v>
      </c>
      <c r="AH5296">
        <v>17.3211103856449</v>
      </c>
      <c r="AI5296">
        <v>93.674212771266298</v>
      </c>
      <c r="AJ5296">
        <v>90.450561454295993</v>
      </c>
      <c r="AK5296">
        <v>17.3573228715778</v>
      </c>
      <c r="AL5296">
        <v>80.542928102697601</v>
      </c>
      <c r="AM5296">
        <v>93.110458637714501</v>
      </c>
      <c r="AN5296">
        <v>1.00000001094275</v>
      </c>
    </row>
    <row r="5297" spans="1:40" x14ac:dyDescent="0.25">
      <c r="A5297" t="str">
        <f>"20190312172222635"</f>
        <v>20190312172222635</v>
      </c>
      <c r="B5297" t="str">
        <f>"1552382542625759"</f>
        <v>1552382542625759</v>
      </c>
      <c r="C5297" t="s">
        <v>40</v>
      </c>
      <c r="D5297">
        <v>3.2150539999999999</v>
      </c>
      <c r="E5297">
        <v>0.51712760000000002</v>
      </c>
      <c r="F5297" t="s">
        <v>42</v>
      </c>
      <c r="G5297">
        <v>-273.89260000000002</v>
      </c>
      <c r="H5297" s="1">
        <v>-2.9647749999999999E-6</v>
      </c>
      <c r="I5297">
        <v>140.97829999999999</v>
      </c>
      <c r="J5297">
        <v>-256.1001</v>
      </c>
      <c r="K5297">
        <v>1.112325</v>
      </c>
      <c r="L5297">
        <v>141.1771</v>
      </c>
      <c r="M5297">
        <v>-0.99996739999999995</v>
      </c>
      <c r="N5297">
        <v>0</v>
      </c>
      <c r="O5297">
        <v>-4.2112520000000004E-3</v>
      </c>
      <c r="P5297">
        <v>-0.98586169999999995</v>
      </c>
      <c r="Q5297">
        <v>0.15785080000000001</v>
      </c>
      <c r="R5297">
        <v>-5.6213840000000001E-2</v>
      </c>
      <c r="S5297">
        <v>-3.0712429999999999</v>
      </c>
      <c r="T5297">
        <v>-0.1897411</v>
      </c>
      <c r="U5297">
        <v>-3.4255979999999998E-2</v>
      </c>
      <c r="V5297">
        <v>-5.3256820000000003E-2</v>
      </c>
      <c r="W5297">
        <v>0.16425919999999999</v>
      </c>
      <c r="X5297">
        <v>0.98497849999999998</v>
      </c>
      <c r="Y5297">
        <v>-6.9367049999999996E-3</v>
      </c>
      <c r="Z5297" s="1">
        <v>4.585518E-5</v>
      </c>
      <c r="AA5297">
        <v>0.99997590000000003</v>
      </c>
      <c r="AB5297">
        <v>36</v>
      </c>
      <c r="AC5297">
        <v>-17.7925</v>
      </c>
      <c r="AD5297">
        <v>-1.112327964775</v>
      </c>
      <c r="AE5297">
        <v>-0.198800000000005</v>
      </c>
      <c r="AF5297">
        <v>-0.12338558560631201</v>
      </c>
      <c r="AG5297">
        <v>-1.112327964775</v>
      </c>
      <c r="AH5297">
        <v>17.723917081160199</v>
      </c>
      <c r="AI5297">
        <v>93.5910055566615</v>
      </c>
      <c r="AJ5297">
        <v>90.398859861312701</v>
      </c>
      <c r="AK5297">
        <v>17.759215472644001</v>
      </c>
      <c r="AL5297">
        <v>80.545797487222401</v>
      </c>
      <c r="AM5297">
        <v>93.094912917097403</v>
      </c>
      <c r="AN5297">
        <v>1.0000000095617001</v>
      </c>
    </row>
    <row r="5298" spans="1:40" x14ac:dyDescent="0.25">
      <c r="A5298" t="str">
        <f>"20190312172222649"</f>
        <v>20190312172222649</v>
      </c>
      <c r="B5298" t="str">
        <f>"1552382542646255"</f>
        <v>1552382542646255</v>
      </c>
      <c r="C5298" t="s">
        <v>40</v>
      </c>
      <c r="D5298">
        <v>3.180885</v>
      </c>
      <c r="E5298">
        <v>0.51959250000000001</v>
      </c>
      <c r="F5298" t="s">
        <v>42</v>
      </c>
      <c r="G5298">
        <v>-274.2432</v>
      </c>
      <c r="H5298" s="1">
        <v>-2.8086920000000001E-6</v>
      </c>
      <c r="I5298">
        <v>140.95689999999999</v>
      </c>
      <c r="J5298">
        <v>-256.29860000000002</v>
      </c>
      <c r="K5298">
        <v>1.112341</v>
      </c>
      <c r="L5298">
        <v>141.1748</v>
      </c>
      <c r="M5298">
        <v>-0.99995809999999996</v>
      </c>
      <c r="N5298">
        <v>0</v>
      </c>
      <c r="O5298">
        <v>-6.0299000000000004E-3</v>
      </c>
      <c r="P5298">
        <v>-0.98579419999999995</v>
      </c>
      <c r="Q5298">
        <v>0.1576785</v>
      </c>
      <c r="R5298">
        <v>-5.785643E-2</v>
      </c>
      <c r="S5298">
        <v>-3.0710449999999998</v>
      </c>
      <c r="T5298">
        <v>-0.1882817</v>
      </c>
      <c r="U5298">
        <v>-3.7261959999999997E-2</v>
      </c>
      <c r="V5298">
        <v>-5.3111739999999998E-2</v>
      </c>
      <c r="W5298">
        <v>0.16409499999999999</v>
      </c>
      <c r="X5298">
        <v>0.98501369999999999</v>
      </c>
      <c r="Y5298">
        <v>-6.1024690000000001E-3</v>
      </c>
      <c r="Z5298">
        <v>1.8244370000000001E-4</v>
      </c>
      <c r="AA5298">
        <v>0.99998129999999996</v>
      </c>
      <c r="AB5298">
        <v>36</v>
      </c>
      <c r="AC5298">
        <v>-17.944599999999902</v>
      </c>
      <c r="AD5298">
        <v>-1.1123438086919999</v>
      </c>
      <c r="AE5298">
        <v>-0.217900000000014</v>
      </c>
      <c r="AF5298">
        <v>-0.10926952522672</v>
      </c>
      <c r="AG5298">
        <v>-1.1123438086919999</v>
      </c>
      <c r="AH5298">
        <v>17.876906343223101</v>
      </c>
      <c r="AI5298">
        <v>93.560423677692796</v>
      </c>
      <c r="AJ5298">
        <v>90.350206268293903</v>
      </c>
      <c r="AK5298">
        <v>17.911812554352199</v>
      </c>
      <c r="AL5298">
        <v>80.555334849017598</v>
      </c>
      <c r="AM5298">
        <v>93.086388123992407</v>
      </c>
      <c r="AN5298">
        <v>1.0000000075692499</v>
      </c>
    </row>
    <row r="5299" spans="1:40" x14ac:dyDescent="0.25">
      <c r="A5299" t="str">
        <f>"20190312172222661"</f>
        <v>20190312172222661</v>
      </c>
      <c r="B5299" t="str">
        <f>"1552382542656015"</f>
        <v>1552382542656015</v>
      </c>
      <c r="C5299" t="s">
        <v>40</v>
      </c>
      <c r="D5299">
        <v>3.18255</v>
      </c>
      <c r="E5299">
        <v>0.5195748</v>
      </c>
      <c r="F5299" t="s">
        <v>42</v>
      </c>
      <c r="G5299">
        <v>-275.63099999999997</v>
      </c>
      <c r="H5299" s="1">
        <v>-2.2333740000000002E-6</v>
      </c>
      <c r="I5299">
        <v>141.03219999999999</v>
      </c>
      <c r="J5299">
        <v>-256.5095</v>
      </c>
      <c r="K5299">
        <v>1.112357</v>
      </c>
      <c r="L5299">
        <v>141.1721</v>
      </c>
      <c r="M5299">
        <v>-0.99994459999999996</v>
      </c>
      <c r="N5299">
        <v>0</v>
      </c>
      <c r="O5299">
        <v>-7.960122E-3</v>
      </c>
      <c r="P5299">
        <v>-0.9857148</v>
      </c>
      <c r="Q5299">
        <v>0.1576285</v>
      </c>
      <c r="R5299">
        <v>-5.9328140000000001E-2</v>
      </c>
      <c r="S5299">
        <v>-3.0701900000000002</v>
      </c>
      <c r="T5299">
        <v>-0.17665149999999999</v>
      </c>
      <c r="U5299">
        <v>-2.2628780000000001E-2</v>
      </c>
      <c r="V5299">
        <v>-5.2686080000000003E-2</v>
      </c>
      <c r="W5299">
        <v>0.16405649999999999</v>
      </c>
      <c r="X5299">
        <v>0.985043</v>
      </c>
      <c r="Y5299">
        <v>5.7592889999999995E-4</v>
      </c>
      <c r="Z5299">
        <v>4.7418090000000003E-4</v>
      </c>
      <c r="AA5299">
        <v>0.99999970000000005</v>
      </c>
      <c r="AB5299">
        <v>36</v>
      </c>
      <c r="AC5299">
        <v>-19.121499999999902</v>
      </c>
      <c r="AD5299">
        <v>-1.112359233374</v>
      </c>
      <c r="AE5299">
        <v>-0.13990000000001099</v>
      </c>
      <c r="AF5299">
        <v>1.22759742271606E-2</v>
      </c>
      <c r="AG5299">
        <v>-1.112359233374</v>
      </c>
      <c r="AH5299">
        <v>19.057518261530301</v>
      </c>
      <c r="AI5299">
        <v>93.340479351142704</v>
      </c>
      <c r="AJ5299">
        <v>89.963092706736902</v>
      </c>
      <c r="AK5299">
        <v>19.089957989796002</v>
      </c>
      <c r="AL5299">
        <v>80.557571303677804</v>
      </c>
      <c r="AM5299">
        <v>93.061608855257901</v>
      </c>
      <c r="AN5299">
        <v>1.0000000350335001</v>
      </c>
    </row>
    <row r="5300" spans="1:40" x14ac:dyDescent="0.25">
      <c r="A5300" t="str">
        <f>"20190312172222677"</f>
        <v>20190312172222677</v>
      </c>
      <c r="B5300" t="str">
        <f>"1552382542665775"</f>
        <v>1552382542665775</v>
      </c>
      <c r="C5300" t="s">
        <v>40</v>
      </c>
      <c r="D5300">
        <v>3.1794790000000002</v>
      </c>
      <c r="E5300">
        <v>0.51957399999999998</v>
      </c>
      <c r="F5300" t="s">
        <v>42</v>
      </c>
      <c r="G5300">
        <v>-275.59780000000001</v>
      </c>
      <c r="H5300" s="1">
        <v>-2.2395470000000001E-6</v>
      </c>
      <c r="I5300">
        <v>141.0018</v>
      </c>
      <c r="J5300">
        <v>-256.76209999999998</v>
      </c>
      <c r="K5300">
        <v>1.1123700000000001</v>
      </c>
      <c r="L5300">
        <v>141.16810000000001</v>
      </c>
      <c r="M5300">
        <v>-0.99992349999999997</v>
      </c>
      <c r="N5300">
        <v>0</v>
      </c>
      <c r="O5300">
        <v>-1.025828E-2</v>
      </c>
      <c r="P5300">
        <v>-0.9855853</v>
      </c>
      <c r="Q5300">
        <v>0.157919899999999</v>
      </c>
      <c r="R5300">
        <v>-6.0688430000000002E-2</v>
      </c>
      <c r="S5300">
        <v>-3.0704349999999998</v>
      </c>
      <c r="T5300">
        <v>-0.1789279</v>
      </c>
      <c r="U5300">
        <v>-2.7374269999999999E-2</v>
      </c>
      <c r="V5300">
        <v>-5.1788109999999998E-2</v>
      </c>
      <c r="W5300">
        <v>0.16436410000000001</v>
      </c>
      <c r="X5300">
        <v>0.98503929999999995</v>
      </c>
      <c r="Y5300">
        <v>1.3238569999999999E-3</v>
      </c>
      <c r="Z5300">
        <v>6.3581689999999997E-4</v>
      </c>
      <c r="AA5300">
        <v>0.99999890000000002</v>
      </c>
      <c r="AB5300">
        <v>36</v>
      </c>
      <c r="AC5300">
        <v>-18.835699999999999</v>
      </c>
      <c r="AD5300">
        <v>-1.1123722395469999</v>
      </c>
      <c r="AE5300">
        <v>-0.166300000000006</v>
      </c>
      <c r="AF5300">
        <v>2.68416420043639E-2</v>
      </c>
      <c r="AG5300">
        <v>-1.1123722395469999</v>
      </c>
      <c r="AH5300">
        <v>18.7709528644776</v>
      </c>
      <c r="AI5300">
        <v>93.391395204050397</v>
      </c>
      <c r="AJ5300">
        <v>89.918069595884205</v>
      </c>
      <c r="AK5300">
        <v>18.803902890450701</v>
      </c>
      <c r="AL5300">
        <v>80.539704197543799</v>
      </c>
      <c r="AM5300">
        <v>93.009535503435899</v>
      </c>
      <c r="AN5300">
        <v>0.99999999412533502</v>
      </c>
    </row>
    <row r="5301" spans="1:40" x14ac:dyDescent="0.25">
      <c r="A5301" t="str">
        <f>"20190312172222691"</f>
        <v>20190312172222691</v>
      </c>
      <c r="B5301" t="str">
        <f>"1552382542686271"</f>
        <v>1552382542686271</v>
      </c>
      <c r="C5301" t="s">
        <v>40</v>
      </c>
      <c r="D5301">
        <v>3.189638</v>
      </c>
      <c r="E5301">
        <v>0.51972649999999998</v>
      </c>
      <c r="F5301" t="s">
        <v>42</v>
      </c>
      <c r="G5301">
        <v>-275.72239999999999</v>
      </c>
      <c r="H5301" s="1">
        <v>-2.1787169999999998E-6</v>
      </c>
      <c r="I5301">
        <v>140.97409999999999</v>
      </c>
      <c r="J5301">
        <v>-256.97149999999999</v>
      </c>
      <c r="K5301">
        <v>1.1123730000000001</v>
      </c>
      <c r="L5301">
        <v>141.1644</v>
      </c>
      <c r="M5301">
        <v>-0.99990239999999997</v>
      </c>
      <c r="N5301">
        <v>0</v>
      </c>
      <c r="O5301">
        <v>-1.214572E-2</v>
      </c>
      <c r="P5301">
        <v>-0.98550870000000002</v>
      </c>
      <c r="Q5301">
        <v>0.15778449999999999</v>
      </c>
      <c r="R5301">
        <v>-6.226334E-2</v>
      </c>
      <c r="S5301">
        <v>-3.0708009999999999</v>
      </c>
      <c r="T5301">
        <v>-0.18015999999999999</v>
      </c>
      <c r="U5301">
        <v>-3.1417849999999997E-2</v>
      </c>
      <c r="V5301">
        <v>-5.150267E-2</v>
      </c>
      <c r="W5301">
        <v>0.16423940000000001</v>
      </c>
      <c r="X5301">
        <v>0.98507509999999998</v>
      </c>
      <c r="Y5301">
        <v>1.891371E-3</v>
      </c>
      <c r="Z5301">
        <v>7.6736909999999998E-4</v>
      </c>
      <c r="AA5301">
        <v>0.9999979</v>
      </c>
      <c r="AB5301">
        <v>36</v>
      </c>
      <c r="AC5301">
        <v>-18.750900000000001</v>
      </c>
      <c r="AD5301">
        <v>-1.112375178717</v>
      </c>
      <c r="AE5301">
        <v>-0.19030000000000699</v>
      </c>
      <c r="AF5301">
        <v>3.7331280331937201E-2</v>
      </c>
      <c r="AG5301">
        <v>-1.112375178717</v>
      </c>
      <c r="AH5301">
        <v>18.686072781959702</v>
      </c>
      <c r="AI5301">
        <v>93.406769833091801</v>
      </c>
      <c r="AJ5301">
        <v>89.885533895423706</v>
      </c>
      <c r="AK5301">
        <v>18.7191903717926</v>
      </c>
      <c r="AL5301">
        <v>80.546947749230895</v>
      </c>
      <c r="AM5301">
        <v>92.992869545277401</v>
      </c>
      <c r="AN5301">
        <v>1.0000000290847399</v>
      </c>
    </row>
    <row r="5302" spans="1:40" x14ac:dyDescent="0.25">
      <c r="A5302" t="str">
        <f>"20190312172222704"</f>
        <v>20190312172222704</v>
      </c>
      <c r="B5302" t="str">
        <f>"1552382542696031"</f>
        <v>1552382542696031</v>
      </c>
      <c r="C5302" t="s">
        <v>40</v>
      </c>
      <c r="D5302">
        <v>3.2084160000000002</v>
      </c>
      <c r="E5302">
        <v>0.52349849999999998</v>
      </c>
      <c r="F5302" t="s">
        <v>42</v>
      </c>
      <c r="G5302">
        <v>-276.0052</v>
      </c>
      <c r="H5302" s="1">
        <v>-2.0503379999999999E-6</v>
      </c>
      <c r="I5302">
        <v>140.9477</v>
      </c>
      <c r="J5302">
        <v>-257.2047</v>
      </c>
      <c r="K5302">
        <v>1.1123700000000001</v>
      </c>
      <c r="L5302">
        <v>141.15989999999999</v>
      </c>
      <c r="M5302">
        <v>-0.99987479999999995</v>
      </c>
      <c r="N5302">
        <v>0</v>
      </c>
      <c r="O5302">
        <v>-1.4228899999999999E-2</v>
      </c>
      <c r="P5302">
        <v>-0.9853866</v>
      </c>
      <c r="Q5302">
        <v>0.15785009999999999</v>
      </c>
      <c r="R5302">
        <v>-6.4007649999999999E-2</v>
      </c>
      <c r="S5302">
        <v>-3.0706180000000001</v>
      </c>
      <c r="T5302">
        <v>-0.179453799999999</v>
      </c>
      <c r="U5302">
        <v>-3.4957889999999998E-2</v>
      </c>
      <c r="V5302">
        <v>-5.119245E-2</v>
      </c>
      <c r="W5302">
        <v>0.16431750000000001</v>
      </c>
      <c r="X5302">
        <v>0.98507820000000001</v>
      </c>
      <c r="Y5302">
        <v>2.816486E-3</v>
      </c>
      <c r="Z5302">
        <v>9.1304359999999998E-4</v>
      </c>
      <c r="AA5302">
        <v>0.99999559999999998</v>
      </c>
      <c r="AB5302">
        <v>36</v>
      </c>
      <c r="AC5302">
        <v>-18.8005</v>
      </c>
      <c r="AD5302">
        <v>-1.1123720503379999</v>
      </c>
      <c r="AE5302">
        <v>-0.212199999999995</v>
      </c>
      <c r="AF5302">
        <v>5.5145302454021002E-2</v>
      </c>
      <c r="AG5302">
        <v>-1.1123720503379999</v>
      </c>
      <c r="AH5302">
        <v>18.7360342145505</v>
      </c>
      <c r="AI5302">
        <v>93.397689214881098</v>
      </c>
      <c r="AJ5302">
        <v>89.831363247379798</v>
      </c>
      <c r="AK5302">
        <v>18.769107348820899</v>
      </c>
      <c r="AL5302">
        <v>80.542410886058505</v>
      </c>
      <c r="AM5302">
        <v>92.974865497732495</v>
      </c>
      <c r="AN5302">
        <v>0.99999998392924605</v>
      </c>
    </row>
    <row r="5303" spans="1:40" x14ac:dyDescent="0.25">
      <c r="A5303" t="str">
        <f>"20190312172222716"</f>
        <v>20190312172222716</v>
      </c>
      <c r="B5303" t="str">
        <f>"1552382542705790"</f>
        <v>1552382542705790</v>
      </c>
      <c r="C5303" t="s">
        <v>40</v>
      </c>
      <c r="D5303">
        <v>3.210769</v>
      </c>
      <c r="E5303">
        <v>0.52339550000000001</v>
      </c>
      <c r="F5303" t="s">
        <v>41</v>
      </c>
      <c r="G5303">
        <v>-258.17790000000002</v>
      </c>
      <c r="H5303">
        <v>1.0506329999999999</v>
      </c>
      <c r="I5303">
        <v>141.15710000000001</v>
      </c>
      <c r="J5303">
        <v>-257.39949999999999</v>
      </c>
      <c r="K5303">
        <v>1.112355</v>
      </c>
      <c r="L5303">
        <v>141.1558</v>
      </c>
      <c r="M5303">
        <v>-0.99984879999999998</v>
      </c>
      <c r="N5303">
        <v>0</v>
      </c>
      <c r="O5303">
        <v>-1.5945730000000002E-2</v>
      </c>
      <c r="P5303">
        <v>-0.98534069999999996</v>
      </c>
      <c r="Q5303">
        <v>0.15772079999999999</v>
      </c>
      <c r="R5303">
        <v>-6.5022919999999998E-2</v>
      </c>
      <c r="S5303">
        <v>-3.0751339999999998</v>
      </c>
      <c r="T5303">
        <v>-0.1953714</v>
      </c>
      <c r="U5303">
        <v>-9.9639889999999995E-3</v>
      </c>
      <c r="V5303">
        <v>-5.0509499999999999E-2</v>
      </c>
      <c r="W5303">
        <v>0.16420270000000001</v>
      </c>
      <c r="X5303">
        <v>0.98513260000000002</v>
      </c>
      <c r="Y5303">
        <v>1.2648629999999999E-2</v>
      </c>
      <c r="Z5303">
        <v>1.4134309999999999E-3</v>
      </c>
      <c r="AA5303">
        <v>0.999919</v>
      </c>
      <c r="AB5303">
        <v>36</v>
      </c>
      <c r="AC5303">
        <v>-0.77840000000003295</v>
      </c>
      <c r="AD5303">
        <v>-6.1721999999999999E-2</v>
      </c>
      <c r="AE5303">
        <v>1.3000000000147299E-3</v>
      </c>
      <c r="AF5303">
        <v>1.36266131639576E-2</v>
      </c>
      <c r="AG5303">
        <v>-6.1721999999999999E-2</v>
      </c>
      <c r="AH5303">
        <v>0.77341749076074695</v>
      </c>
      <c r="AI5303">
        <v>94.562071524492794</v>
      </c>
      <c r="AJ5303">
        <v>88.990627104350196</v>
      </c>
      <c r="AK5303">
        <v>0.77599607272522297</v>
      </c>
      <c r="AL5303">
        <v>80.549079052594706</v>
      </c>
      <c r="AM5303">
        <v>92.935086376189403</v>
      </c>
      <c r="AN5303">
        <v>0.99999998793014999</v>
      </c>
    </row>
    <row r="5304" spans="1:40" x14ac:dyDescent="0.25">
      <c r="A5304" t="str">
        <f>"20190312172222735"</f>
        <v>20190312172222735</v>
      </c>
      <c r="B5304" t="str">
        <f>"1552382542726290"</f>
        <v>1552382542726290</v>
      </c>
      <c r="C5304" t="s">
        <v>40</v>
      </c>
      <c r="D5304">
        <v>3.1697190000000002</v>
      </c>
      <c r="E5304">
        <v>0.52339420000000003</v>
      </c>
      <c r="F5304" t="s">
        <v>42</v>
      </c>
      <c r="G5304">
        <v>-274.96640000000002</v>
      </c>
      <c r="H5304" s="1">
        <v>-2.5304590000000001E-6</v>
      </c>
      <c r="I5304">
        <v>141.0772</v>
      </c>
      <c r="J5304">
        <v>-257.68290000000002</v>
      </c>
      <c r="K5304">
        <v>1.112322</v>
      </c>
      <c r="L5304">
        <v>141.14920000000001</v>
      </c>
      <c r="M5304">
        <v>-0.99980670000000005</v>
      </c>
      <c r="N5304">
        <v>0</v>
      </c>
      <c r="O5304">
        <v>-1.838882E-2</v>
      </c>
      <c r="P5304">
        <v>-0.98520050000000003</v>
      </c>
      <c r="Q5304">
        <v>0.15774759999999999</v>
      </c>
      <c r="R5304">
        <v>-6.704802E-2</v>
      </c>
      <c r="S5304">
        <v>-3.0748600000000001</v>
      </c>
      <c r="T5304">
        <v>-0.1947044</v>
      </c>
      <c r="U5304">
        <v>-1.3748170000000001E-2</v>
      </c>
      <c r="V5304">
        <v>-5.0114529999999997E-2</v>
      </c>
      <c r="W5304">
        <v>0.164247</v>
      </c>
      <c r="X5304">
        <v>0.98514539999999995</v>
      </c>
      <c r="Y5304">
        <v>1.3854160000000001E-2</v>
      </c>
      <c r="Z5304">
        <v>1.6013939999999999E-3</v>
      </c>
      <c r="AA5304">
        <v>0.99990270000000003</v>
      </c>
      <c r="AB5304">
        <v>36</v>
      </c>
      <c r="AC5304">
        <v>-17.2835</v>
      </c>
      <c r="AD5304">
        <v>-1.1123245304589999</v>
      </c>
      <c r="AE5304">
        <v>-7.2000000000002701E-2</v>
      </c>
      <c r="AF5304">
        <v>0.244828999544558</v>
      </c>
      <c r="AG5304">
        <v>-1.1123245304589999</v>
      </c>
      <c r="AH5304">
        <v>17.210618014908601</v>
      </c>
      <c r="AI5304">
        <v>93.697517741759299</v>
      </c>
      <c r="AJ5304">
        <v>89.184996015345405</v>
      </c>
      <c r="AK5304">
        <v>17.248263088066999</v>
      </c>
      <c r="AL5304">
        <v>80.5465060398123</v>
      </c>
      <c r="AM5304">
        <v>92.912136721669896</v>
      </c>
      <c r="AN5304">
        <v>1.0000000011336401</v>
      </c>
    </row>
    <row r="5305" spans="1:40" x14ac:dyDescent="0.25">
      <c r="A5305" t="str">
        <f>"20190312172222755"</f>
        <v>20190312172222755</v>
      </c>
      <c r="B5305" t="str">
        <f>"1552382542745806"</f>
        <v>1552382542745806</v>
      </c>
      <c r="C5305" t="s">
        <v>40</v>
      </c>
      <c r="D5305">
        <v>3.1569609999999999</v>
      </c>
      <c r="E5305">
        <v>0.52336629999999995</v>
      </c>
      <c r="F5305" t="s">
        <v>42</v>
      </c>
      <c r="G5305">
        <v>-275.23259999999999</v>
      </c>
      <c r="H5305" s="1">
        <v>-2.4059550000000002E-6</v>
      </c>
      <c r="I5305">
        <v>141.0385</v>
      </c>
      <c r="J5305">
        <v>-258.0181</v>
      </c>
      <c r="K5305">
        <v>1.112266</v>
      </c>
      <c r="L5305">
        <v>141.14070000000001</v>
      </c>
      <c r="M5305">
        <v>-0.99975119999999895</v>
      </c>
      <c r="N5305">
        <v>0</v>
      </c>
      <c r="O5305">
        <v>-2.1188249999999999E-2</v>
      </c>
      <c r="P5305">
        <v>-0.9850392</v>
      </c>
      <c r="Q5305">
        <v>0.15768779999999999</v>
      </c>
      <c r="R5305">
        <v>-6.9517430000000005E-2</v>
      </c>
      <c r="S5305">
        <v>-3.0749819999999999</v>
      </c>
      <c r="T5305">
        <v>-0.1948965</v>
      </c>
      <c r="U5305">
        <v>-1.9393919999999999E-2</v>
      </c>
      <c r="V5305">
        <v>-4.9801529999999997E-2</v>
      </c>
      <c r="W5305">
        <v>0.16420789999999999</v>
      </c>
      <c r="X5305">
        <v>0.98516780000000004</v>
      </c>
      <c r="Y5305">
        <v>1.481065E-2</v>
      </c>
      <c r="Z5305">
        <v>1.8103990000000001E-3</v>
      </c>
      <c r="AA5305">
        <v>0.99988869999999996</v>
      </c>
      <c r="AB5305">
        <v>36</v>
      </c>
      <c r="AC5305">
        <v>-17.214499999999902</v>
      </c>
      <c r="AD5305">
        <v>-1.1122684059550001</v>
      </c>
      <c r="AE5305">
        <v>-0.10220000000001001</v>
      </c>
      <c r="AF5305">
        <v>0.26148533997332801</v>
      </c>
      <c r="AG5305">
        <v>-1.1122684059550001</v>
      </c>
      <c r="AH5305">
        <v>17.141242849180198</v>
      </c>
      <c r="AI5305">
        <v>93.712197867310394</v>
      </c>
      <c r="AJ5305">
        <v>89.126035110865104</v>
      </c>
      <c r="AK5305">
        <v>17.179281766257802</v>
      </c>
      <c r="AL5305">
        <v>80.548777229855403</v>
      </c>
      <c r="AM5305">
        <v>92.893913734562005</v>
      </c>
      <c r="AN5305">
        <v>1.0000000104847899</v>
      </c>
    </row>
    <row r="5306" spans="1:40" x14ac:dyDescent="0.25">
      <c r="A5306" t="str">
        <f>"20190312172222769"</f>
        <v>20190312172222769</v>
      </c>
      <c r="B5306" t="str">
        <f>"1552382542766303"</f>
        <v>1552382542766303</v>
      </c>
      <c r="C5306" t="s">
        <v>40</v>
      </c>
      <c r="D5306">
        <v>3.1303010000000002</v>
      </c>
      <c r="E5306">
        <v>0.52320940000000005</v>
      </c>
      <c r="F5306" t="s">
        <v>42</v>
      </c>
      <c r="G5306">
        <v>-275.61009999999999</v>
      </c>
      <c r="H5306" s="1">
        <v>-2.230229E-6</v>
      </c>
      <c r="I5306">
        <v>140.98670000000001</v>
      </c>
      <c r="J5306">
        <v>-258.22379999999998</v>
      </c>
      <c r="K5306">
        <v>1.1122190000000001</v>
      </c>
      <c r="L5306">
        <v>141.13499999999999</v>
      </c>
      <c r="M5306">
        <v>-0.99971480000000001</v>
      </c>
      <c r="N5306">
        <v>0</v>
      </c>
      <c r="O5306">
        <v>-2.283899E-2</v>
      </c>
      <c r="P5306">
        <v>-0.98495140000000003</v>
      </c>
      <c r="Q5306">
        <v>0.15764739999999999</v>
      </c>
      <c r="R5306">
        <v>-7.0839669999999993E-2</v>
      </c>
      <c r="S5306">
        <v>-3.0747990000000001</v>
      </c>
      <c r="T5306">
        <v>-0.19440640000000001</v>
      </c>
      <c r="U5306">
        <v>-2.6901250000000002E-2</v>
      </c>
      <c r="V5306">
        <v>-4.9477609999999998E-2</v>
      </c>
      <c r="W5306">
        <v>0.16418250000000001</v>
      </c>
      <c r="X5306">
        <v>0.98518839999999996</v>
      </c>
      <c r="Y5306">
        <v>1.401876E-2</v>
      </c>
      <c r="Z5306">
        <v>1.8851720000000001E-3</v>
      </c>
      <c r="AA5306">
        <v>0.99990000000000001</v>
      </c>
      <c r="AB5306">
        <v>36</v>
      </c>
      <c r="AC5306">
        <v>-17.386299999999999</v>
      </c>
      <c r="AD5306">
        <v>-1.112221230229</v>
      </c>
      <c r="AE5306">
        <v>-0.14829999999997701</v>
      </c>
      <c r="AF5306">
        <v>0.24781980555931599</v>
      </c>
      <c r="AG5306">
        <v>-1.112221230229</v>
      </c>
      <c r="AH5306">
        <v>17.314301523428501</v>
      </c>
      <c r="AI5306">
        <v>93.675091736723402</v>
      </c>
      <c r="AJ5306">
        <v>89.179980813955794</v>
      </c>
      <c r="AK5306">
        <v>17.351757489234299</v>
      </c>
      <c r="AL5306">
        <v>80.550252993913205</v>
      </c>
      <c r="AM5306">
        <v>92.875062757107301</v>
      </c>
      <c r="AN5306">
        <v>1.00000005534605</v>
      </c>
    </row>
    <row r="5307" spans="1:40" x14ac:dyDescent="0.25">
      <c r="A5307" t="str">
        <f>"20190312172222784"</f>
        <v>20190312172222784</v>
      </c>
      <c r="B5307" t="str">
        <f>"1552382542776062"</f>
        <v>1552382542776062</v>
      </c>
      <c r="C5307" t="s">
        <v>40</v>
      </c>
      <c r="D5307">
        <v>3.145721</v>
      </c>
      <c r="E5307">
        <v>0.5230553</v>
      </c>
      <c r="F5307" t="s">
        <v>42</v>
      </c>
      <c r="G5307">
        <v>-275.78609999999998</v>
      </c>
      <c r="H5307" s="1">
        <v>-2.1454400000000001E-6</v>
      </c>
      <c r="I5307">
        <v>140.95179999999999</v>
      </c>
      <c r="J5307">
        <v>-258.47269999999997</v>
      </c>
      <c r="K5307">
        <v>1.11215</v>
      </c>
      <c r="L5307">
        <v>141.1277</v>
      </c>
      <c r="M5307">
        <v>-0.99966869999999997</v>
      </c>
      <c r="N5307">
        <v>0</v>
      </c>
      <c r="O5307">
        <v>-2.4776940000000001E-2</v>
      </c>
      <c r="P5307">
        <v>-0.98479159999999999</v>
      </c>
      <c r="Q5307">
        <v>0.15790019999999999</v>
      </c>
      <c r="R5307">
        <v>-7.2479589999999997E-2</v>
      </c>
      <c r="S5307">
        <v>-3.0747070000000001</v>
      </c>
      <c r="T5307">
        <v>-0.1947218</v>
      </c>
      <c r="U5307">
        <v>-3.2058719999999999E-2</v>
      </c>
      <c r="V5307">
        <v>-4.9183629999999999E-2</v>
      </c>
      <c r="W5307">
        <v>0.16445299999999999</v>
      </c>
      <c r="X5307">
        <v>0.98515799999999998</v>
      </c>
      <c r="Y5307">
        <v>1.427516E-2</v>
      </c>
      <c r="Z5307">
        <v>2.018943E-3</v>
      </c>
      <c r="AA5307">
        <v>0.99989600000000001</v>
      </c>
      <c r="AB5307">
        <v>36</v>
      </c>
      <c r="AC5307">
        <v>-17.313400000000001</v>
      </c>
      <c r="AD5307">
        <v>-1.1121521454400001</v>
      </c>
      <c r="AE5307">
        <v>-0.17590000000001199</v>
      </c>
      <c r="AF5307">
        <v>0.25209737023749201</v>
      </c>
      <c r="AG5307">
        <v>-1.1121521454400001</v>
      </c>
      <c r="AH5307">
        <v>17.241307040698199</v>
      </c>
      <c r="AI5307">
        <v>93.6903630145639</v>
      </c>
      <c r="AJ5307">
        <v>89.162297493916697</v>
      </c>
      <c r="AK5307">
        <v>17.2789786720835</v>
      </c>
      <c r="AL5307">
        <v>80.534540885665095</v>
      </c>
      <c r="AM5307">
        <v>92.858096514582499</v>
      </c>
      <c r="AN5307">
        <v>1.00000005181648</v>
      </c>
    </row>
    <row r="5308" spans="1:40" x14ac:dyDescent="0.25">
      <c r="A5308" t="str">
        <f>"20190312172222801"</f>
        <v>20190312172222801</v>
      </c>
      <c r="B5308" t="str">
        <f>"1552382542795583"</f>
        <v>1552382542795583</v>
      </c>
      <c r="C5308" t="s">
        <v>40</v>
      </c>
      <c r="D5308">
        <v>3.1606730000000001</v>
      </c>
      <c r="E5308">
        <v>0.5229279</v>
      </c>
      <c r="F5308" t="s">
        <v>41</v>
      </c>
      <c r="G5308">
        <v>-259.4665</v>
      </c>
      <c r="H5308">
        <v>1.049685</v>
      </c>
      <c r="I5308">
        <v>141.11580000000001</v>
      </c>
      <c r="J5308">
        <v>-258.75450000000001</v>
      </c>
      <c r="K5308">
        <v>1.11205</v>
      </c>
      <c r="L5308">
        <v>141.1191</v>
      </c>
      <c r="M5308">
        <v>-0.99961460000000002</v>
      </c>
      <c r="N5308">
        <v>0</v>
      </c>
      <c r="O5308">
        <v>-2.6868909999999999E-2</v>
      </c>
      <c r="P5308">
        <v>-0.98482420000000004</v>
      </c>
      <c r="Q5308">
        <v>0.15714059999999999</v>
      </c>
      <c r="R5308">
        <v>-7.3678110000000005E-2</v>
      </c>
      <c r="S5308">
        <v>-3.074554</v>
      </c>
      <c r="T5308">
        <v>-0.19347110000000001</v>
      </c>
      <c r="U5308">
        <v>-3.805542E-2</v>
      </c>
      <c r="V5308">
        <v>-4.8275419999999999E-2</v>
      </c>
      <c r="W5308">
        <v>0.16372010000000001</v>
      </c>
      <c r="X5308">
        <v>0.98532489999999995</v>
      </c>
      <c r="Y5308">
        <v>1.4413749999999999E-2</v>
      </c>
      <c r="Z5308">
        <v>2.14189E-3</v>
      </c>
      <c r="AA5308">
        <v>0.99989380000000005</v>
      </c>
      <c r="AB5308">
        <v>36</v>
      </c>
      <c r="AC5308">
        <v>-0.71199999999998898</v>
      </c>
      <c r="AD5308">
        <v>-6.2364999999999997E-2</v>
      </c>
      <c r="AE5308">
        <v>-3.2999999999958601E-3</v>
      </c>
      <c r="AF5308">
        <v>1.57117794991339E-2</v>
      </c>
      <c r="AG5308">
        <v>-6.2364999999999997E-2</v>
      </c>
      <c r="AH5308">
        <v>0.70641195884199903</v>
      </c>
      <c r="AI5308">
        <v>95.043989313104802</v>
      </c>
      <c r="AJ5308">
        <v>88.725856431024994</v>
      </c>
      <c r="AK5308">
        <v>0.70933356669131298</v>
      </c>
      <c r="AL5308">
        <v>80.577109194591898</v>
      </c>
      <c r="AM5308">
        <v>92.804930437120404</v>
      </c>
      <c r="AN5308">
        <v>0.99999997294009701</v>
      </c>
    </row>
    <row r="5309" spans="1:40" x14ac:dyDescent="0.25">
      <c r="A5309" t="str">
        <f>"20190312172222824"</f>
        <v>20190312172222824</v>
      </c>
      <c r="B5309" t="str">
        <f>"1552382542816079"</f>
        <v>1552382542816079</v>
      </c>
      <c r="C5309" t="s">
        <v>40</v>
      </c>
      <c r="D5309">
        <v>3.137194</v>
      </c>
      <c r="E5309">
        <v>0.52313859999999901</v>
      </c>
      <c r="F5309" t="s">
        <v>41</v>
      </c>
      <c r="G5309">
        <v>-259.78789999999998</v>
      </c>
      <c r="H5309">
        <v>1.0463929999999999</v>
      </c>
      <c r="I5309">
        <v>141.10499999999999</v>
      </c>
      <c r="J5309">
        <v>-259.13150000000002</v>
      </c>
      <c r="K5309">
        <v>1.1119049999999999</v>
      </c>
      <c r="L5309">
        <v>141.10659999999999</v>
      </c>
      <c r="M5309">
        <v>-0.99954100000000001</v>
      </c>
      <c r="N5309">
        <v>0</v>
      </c>
      <c r="O5309">
        <v>-2.9473599999999999E-2</v>
      </c>
      <c r="P5309">
        <v>-0.98497650000000003</v>
      </c>
      <c r="Q5309">
        <v>0.15553420000000001</v>
      </c>
      <c r="R5309">
        <v>-7.503667E-2</v>
      </c>
      <c r="S5309">
        <v>-3.074249</v>
      </c>
      <c r="T5309">
        <v>-0.19542789999999999</v>
      </c>
      <c r="U5309">
        <v>-4.2312620000000002E-2</v>
      </c>
      <c r="V5309">
        <v>-4.6994719999999997E-2</v>
      </c>
      <c r="W5309">
        <v>0.16215109999999999</v>
      </c>
      <c r="X5309">
        <v>0.98564620000000003</v>
      </c>
      <c r="Y5309">
        <v>1.5624259999999999E-2</v>
      </c>
      <c r="Z5309">
        <v>2.3674740000000001E-3</v>
      </c>
      <c r="AA5309">
        <v>0.99987510000000002</v>
      </c>
      <c r="AB5309">
        <v>36</v>
      </c>
      <c r="AC5309">
        <v>-0.65639999999996201</v>
      </c>
      <c r="AD5309">
        <v>-6.5511999999999695E-2</v>
      </c>
      <c r="AE5309">
        <v>-1.59999999999627E-3</v>
      </c>
      <c r="AF5309">
        <v>1.75726008221328E-2</v>
      </c>
      <c r="AG5309">
        <v>-6.5511999999999695E-2</v>
      </c>
      <c r="AH5309">
        <v>0.649690425706274</v>
      </c>
      <c r="AI5309">
        <v>95.755907266520197</v>
      </c>
      <c r="AJ5309">
        <v>88.450661415682205</v>
      </c>
      <c r="AK5309">
        <v>0.65322145379499996</v>
      </c>
      <c r="AL5309">
        <v>80.668223730001799</v>
      </c>
      <c r="AM5309">
        <v>92.729743730997797</v>
      </c>
      <c r="AN5309">
        <v>0.99999995725676305</v>
      </c>
    </row>
    <row r="5310" spans="1:40" x14ac:dyDescent="0.25">
      <c r="A5310" t="str">
        <f>"20190312172222838"</f>
        <v>20190312172222838</v>
      </c>
      <c r="B5310" t="str">
        <f>"1552382542835599"</f>
        <v>1552382542835599</v>
      </c>
      <c r="C5310" t="s">
        <v>40</v>
      </c>
      <c r="D5310">
        <v>3.1486000000000001</v>
      </c>
      <c r="E5310">
        <v>0.52331839999999996</v>
      </c>
      <c r="F5310" t="s">
        <v>41</v>
      </c>
      <c r="G5310">
        <v>-260.11430000000001</v>
      </c>
      <c r="H5310">
        <v>1.047785</v>
      </c>
      <c r="I5310">
        <v>141.0925</v>
      </c>
      <c r="J5310">
        <v>-259.36529999999999</v>
      </c>
      <c r="K5310">
        <v>1.1118110000000001</v>
      </c>
      <c r="L5310">
        <v>141.0986</v>
      </c>
      <c r="M5310">
        <v>-0.99949489999999996</v>
      </c>
      <c r="N5310">
        <v>0</v>
      </c>
      <c r="O5310">
        <v>-3.0999860000000001E-2</v>
      </c>
      <c r="P5310">
        <v>-0.98500109999999996</v>
      </c>
      <c r="Q5310">
        <v>0.15493979999999999</v>
      </c>
      <c r="R5310">
        <v>-7.5938140000000001E-2</v>
      </c>
      <c r="S5310">
        <v>-3.0740660000000002</v>
      </c>
      <c r="T5310">
        <v>-0.2005702</v>
      </c>
      <c r="U5310">
        <v>-4.4342039999999999E-2</v>
      </c>
      <c r="V5310">
        <v>-4.6349109999999999E-2</v>
      </c>
      <c r="W5310">
        <v>0.1615789</v>
      </c>
      <c r="X5310">
        <v>0.98577079999999995</v>
      </c>
      <c r="Y5310">
        <v>1.6480359999999999E-2</v>
      </c>
      <c r="Z5310">
        <v>2.5570929999999999E-3</v>
      </c>
      <c r="AA5310">
        <v>0.99986090000000005</v>
      </c>
      <c r="AB5310">
        <v>36</v>
      </c>
      <c r="AC5310">
        <v>-0.74900000000002298</v>
      </c>
      <c r="AD5310">
        <v>-6.4026000000000097E-2</v>
      </c>
      <c r="AE5310">
        <v>-6.1000000000035401E-3</v>
      </c>
      <c r="AF5310">
        <v>1.69981949244578E-2</v>
      </c>
      <c r="AG5310">
        <v>-6.4026000000000097E-2</v>
      </c>
      <c r="AH5310">
        <v>0.74339733926223495</v>
      </c>
      <c r="AI5310">
        <v>94.921241367701796</v>
      </c>
      <c r="AJ5310">
        <v>88.690128284401098</v>
      </c>
      <c r="AK5310">
        <v>0.74634299844566099</v>
      </c>
      <c r="AL5310">
        <v>80.701447128893903</v>
      </c>
      <c r="AM5310">
        <v>92.691958471564107</v>
      </c>
      <c r="AN5310">
        <v>1.0000000255278201</v>
      </c>
    </row>
    <row r="5311" spans="1:40" x14ac:dyDescent="0.25">
      <c r="A5311" t="str">
        <f>"20190312172222858"</f>
        <v>20190312172222858</v>
      </c>
      <c r="B5311" t="str">
        <f>"1552382542846334"</f>
        <v>1552382542846334</v>
      </c>
      <c r="C5311" t="s">
        <v>40</v>
      </c>
      <c r="D5311">
        <v>3.146102</v>
      </c>
      <c r="E5311">
        <v>0.52351210000000004</v>
      </c>
      <c r="F5311" t="s">
        <v>42</v>
      </c>
      <c r="G5311">
        <v>-276.19209999999998</v>
      </c>
      <c r="H5311" s="1">
        <v>-1.9443230000000002E-6</v>
      </c>
      <c r="I5311">
        <v>140.85040000000001</v>
      </c>
      <c r="J5311">
        <v>-259.66309999999999</v>
      </c>
      <c r="K5311">
        <v>1.1116889999999999</v>
      </c>
      <c r="L5311">
        <v>141.08779999999999</v>
      </c>
      <c r="M5311">
        <v>-0.99943749999999998</v>
      </c>
      <c r="N5311">
        <v>0</v>
      </c>
      <c r="O5311">
        <v>-3.2794070000000002E-2</v>
      </c>
      <c r="P5311">
        <v>-0.9850624</v>
      </c>
      <c r="Q5311">
        <v>0.15422439999999901</v>
      </c>
      <c r="R5311">
        <v>-7.6596300000000006E-2</v>
      </c>
      <c r="S5311">
        <v>-3.0741269999999998</v>
      </c>
      <c r="T5311">
        <v>-0.20312079999999999</v>
      </c>
      <c r="U5311">
        <v>-4.5318600000000001E-2</v>
      </c>
      <c r="V5311">
        <v>-4.5181430000000002E-2</v>
      </c>
      <c r="W5311">
        <v>0.16089419999999999</v>
      </c>
      <c r="X5311">
        <v>0.9859369</v>
      </c>
      <c r="Y5311">
        <v>1.794832E-2</v>
      </c>
      <c r="Z5311">
        <v>2.756283E-3</v>
      </c>
      <c r="AA5311">
        <v>0.99983509999999998</v>
      </c>
      <c r="AB5311">
        <v>36</v>
      </c>
      <c r="AC5311">
        <v>-16.5289999999999</v>
      </c>
      <c r="AD5311">
        <v>-1.1116909443230001</v>
      </c>
      <c r="AE5311">
        <v>-0.23739999999997899</v>
      </c>
      <c r="AF5311">
        <v>0.30342197608185301</v>
      </c>
      <c r="AG5311">
        <v>-1.1116909443230001</v>
      </c>
      <c r="AH5311">
        <v>16.453482566325</v>
      </c>
      <c r="AI5311">
        <v>93.864699125290997</v>
      </c>
      <c r="AJ5311">
        <v>88.943516775586502</v>
      </c>
      <c r="AK5311">
        <v>16.4937870184994</v>
      </c>
      <c r="AL5311">
        <v>80.741196835619604</v>
      </c>
      <c r="AM5311">
        <v>92.623794106384196</v>
      </c>
      <c r="AN5311">
        <v>0.99999993799604503</v>
      </c>
    </row>
    <row r="5312" spans="1:40" x14ac:dyDescent="0.25">
      <c r="A5312" t="str">
        <f>"20190312172222880"</f>
        <v>20190312172222880</v>
      </c>
      <c r="B5312" t="str">
        <f>"1552382542875614"</f>
        <v>1552382542875614</v>
      </c>
      <c r="C5312" t="s">
        <v>40</v>
      </c>
      <c r="D5312">
        <v>3.1548159999999998</v>
      </c>
      <c r="E5312">
        <v>0.52370559999999999</v>
      </c>
      <c r="F5312" t="s">
        <v>42</v>
      </c>
      <c r="G5312">
        <v>-276.26080000000002</v>
      </c>
      <c r="H5312" s="1">
        <v>-1.9128519999999999E-6</v>
      </c>
      <c r="I5312">
        <v>140.84299999999999</v>
      </c>
      <c r="J5312">
        <v>-260.02710000000002</v>
      </c>
      <c r="K5312">
        <v>1.1115060000000001</v>
      </c>
      <c r="L5312">
        <v>141.07419999999999</v>
      </c>
      <c r="M5312">
        <v>-0.99937160000000003</v>
      </c>
      <c r="N5312">
        <v>0</v>
      </c>
      <c r="O5312">
        <v>-3.4742679999999998E-2</v>
      </c>
      <c r="P5312">
        <v>-0.9847437</v>
      </c>
      <c r="Q5312">
        <v>0.15578710000000001</v>
      </c>
      <c r="R5312">
        <v>-7.7528219999999995E-2</v>
      </c>
      <c r="S5312">
        <v>-3.0741879999999999</v>
      </c>
      <c r="T5312">
        <v>-0.2059047</v>
      </c>
      <c r="U5312">
        <v>-4.5333859999999997E-2</v>
      </c>
      <c r="V5312">
        <v>-4.4133980000000003E-2</v>
      </c>
      <c r="W5312">
        <v>0.1624922</v>
      </c>
      <c r="X5312">
        <v>0.98572230000000005</v>
      </c>
      <c r="Y5312">
        <v>1.9881329999999999E-2</v>
      </c>
      <c r="Z5312">
        <v>2.9888720000000001E-3</v>
      </c>
      <c r="AA5312">
        <v>0.99979790000000002</v>
      </c>
      <c r="AB5312">
        <v>36</v>
      </c>
      <c r="AC5312">
        <v>-16.233699999999999</v>
      </c>
      <c r="AD5312">
        <v>-1.11150791285199</v>
      </c>
      <c r="AE5312">
        <v>-0.23120000000000099</v>
      </c>
      <c r="AF5312">
        <v>0.331402437949669</v>
      </c>
      <c r="AG5312">
        <v>-1.11150791285199</v>
      </c>
      <c r="AH5312">
        <v>16.156206419930601</v>
      </c>
      <c r="AI5312">
        <v>93.934784495776498</v>
      </c>
      <c r="AJ5312">
        <v>88.824891309262796</v>
      </c>
      <c r="AK5312">
        <v>16.1977863703538</v>
      </c>
      <c r="AL5312">
        <v>80.648417755910003</v>
      </c>
      <c r="AM5312">
        <v>92.563605499444193</v>
      </c>
      <c r="AN5312">
        <v>0.99999998798438505</v>
      </c>
    </row>
    <row r="5313" spans="1:40" x14ac:dyDescent="0.25">
      <c r="A5313" t="str">
        <f>"20190312172222901"</f>
        <v>20190312172222901</v>
      </c>
      <c r="B5313" t="str">
        <f>"1552382542896111"</f>
        <v>1552382542896111</v>
      </c>
      <c r="C5313" t="s">
        <v>40</v>
      </c>
      <c r="D5313">
        <v>3.142954</v>
      </c>
      <c r="E5313">
        <v>0.52380090000000001</v>
      </c>
      <c r="F5313" t="s">
        <v>42</v>
      </c>
      <c r="G5313">
        <v>-277.07589999999999</v>
      </c>
      <c r="H5313" s="1">
        <v>-1.556045E-6</v>
      </c>
      <c r="I5313">
        <v>140.81620000000001</v>
      </c>
      <c r="J5313">
        <v>-260.387</v>
      </c>
      <c r="K5313">
        <v>1.111259</v>
      </c>
      <c r="L5313">
        <v>141.06030000000001</v>
      </c>
      <c r="M5313">
        <v>-0.99931499999999995</v>
      </c>
      <c r="N5313">
        <v>0</v>
      </c>
      <c r="O5313">
        <v>-3.6334890000000002E-2</v>
      </c>
      <c r="P5313">
        <v>-0.98511729999999997</v>
      </c>
      <c r="Q5313">
        <v>0.1530965</v>
      </c>
      <c r="R5313">
        <v>-7.8138559999999996E-2</v>
      </c>
      <c r="S5313">
        <v>-3.0745239999999998</v>
      </c>
      <c r="T5313">
        <v>-0.2004457</v>
      </c>
      <c r="U5313">
        <v>-4.6508790000000001E-2</v>
      </c>
      <c r="V5313">
        <v>-4.305341E-2</v>
      </c>
      <c r="W5313">
        <v>0.15984509999999999</v>
      </c>
      <c r="X5313">
        <v>0.98620280000000005</v>
      </c>
      <c r="Y5313">
        <v>2.109434E-2</v>
      </c>
      <c r="Z5313">
        <v>3.0525970000000002E-3</v>
      </c>
      <c r="AA5313">
        <v>0.99977280000000002</v>
      </c>
      <c r="AB5313">
        <v>37</v>
      </c>
      <c r="AC5313">
        <v>-16.688899999999901</v>
      </c>
      <c r="AD5313">
        <v>-1.111260556045</v>
      </c>
      <c r="AE5313">
        <v>-0.24410000000000301</v>
      </c>
      <c r="AF5313">
        <v>0.36086582460800898</v>
      </c>
      <c r="AG5313">
        <v>-1.111260556045</v>
      </c>
      <c r="AH5313">
        <v>16.613105359833199</v>
      </c>
      <c r="AI5313">
        <v>93.825948386770605</v>
      </c>
      <c r="AJ5313">
        <v>88.755630732820293</v>
      </c>
      <c r="AK5313">
        <v>16.6541404420555</v>
      </c>
      <c r="AL5313">
        <v>80.802094679647297</v>
      </c>
      <c r="AM5313">
        <v>92.499702287066398</v>
      </c>
      <c r="AN5313">
        <v>1.0000000074172299</v>
      </c>
    </row>
    <row r="5314" spans="1:40" x14ac:dyDescent="0.25">
      <c r="A5314" t="str">
        <f>"20190312172222914"</f>
        <v>20190312172222914</v>
      </c>
      <c r="B5314" t="str">
        <f>"1552382542905871"</f>
        <v>1552382542905871</v>
      </c>
      <c r="C5314" t="s">
        <v>40</v>
      </c>
      <c r="D5314">
        <v>3.1460539999999999</v>
      </c>
      <c r="E5314">
        <v>0.52383190000000002</v>
      </c>
      <c r="F5314" t="s">
        <v>41</v>
      </c>
      <c r="G5314">
        <v>-261.41899999999998</v>
      </c>
      <c r="H5314">
        <v>1.0414639999999999</v>
      </c>
      <c r="I5314">
        <v>141.04509999999999</v>
      </c>
      <c r="J5314">
        <v>-260.6028</v>
      </c>
      <c r="K5314">
        <v>1.1110880000000001</v>
      </c>
      <c r="L5314">
        <v>141.05170000000001</v>
      </c>
      <c r="M5314">
        <v>-0.99928609999999896</v>
      </c>
      <c r="N5314">
        <v>0</v>
      </c>
      <c r="O5314">
        <v>-3.7116679999999999E-2</v>
      </c>
      <c r="P5314">
        <v>-0.98562280000000002</v>
      </c>
      <c r="Q5314">
        <v>0.149834299999999</v>
      </c>
      <c r="R5314">
        <v>-7.8087210000000004E-2</v>
      </c>
      <c r="S5314">
        <v>-3.0740050000000001</v>
      </c>
      <c r="T5314">
        <v>-0.20795240000000001</v>
      </c>
      <c r="U5314">
        <v>-4.5776369999999997E-2</v>
      </c>
      <c r="V5314">
        <v>-4.2134499999999998E-2</v>
      </c>
      <c r="W5314">
        <v>0.15661329999999901</v>
      </c>
      <c r="X5314">
        <v>0.98676090000000005</v>
      </c>
      <c r="Y5314">
        <v>2.2098690000000001E-2</v>
      </c>
      <c r="Z5314">
        <v>3.253925E-3</v>
      </c>
      <c r="AA5314">
        <v>0.99975049999999999</v>
      </c>
      <c r="AB5314">
        <v>37</v>
      </c>
      <c r="AC5314">
        <v>-0.81620000000003701</v>
      </c>
      <c r="AD5314">
        <v>-6.9623999999999894E-2</v>
      </c>
      <c r="AE5314">
        <v>-6.6000000000201401E-3</v>
      </c>
      <c r="AF5314">
        <v>2.35287376808977E-2</v>
      </c>
      <c r="AG5314">
        <v>-6.9623999999999894E-2</v>
      </c>
      <c r="AH5314">
        <v>0.80998900648962102</v>
      </c>
      <c r="AI5314">
        <v>94.910820146980498</v>
      </c>
      <c r="AJ5314">
        <v>88.336127560945897</v>
      </c>
      <c r="AK5314">
        <v>0.81331623216735305</v>
      </c>
      <c r="AL5314">
        <v>80.989626164110604</v>
      </c>
      <c r="AM5314">
        <v>92.4450334615386</v>
      </c>
      <c r="AN5314">
        <v>1.00000005779797</v>
      </c>
    </row>
    <row r="5315" spans="1:40" x14ac:dyDescent="0.25">
      <c r="A5315" t="str">
        <f>"20190312172222927"</f>
        <v>20190312172222927</v>
      </c>
      <c r="B5315" t="str">
        <f>"1552382542915631"</f>
        <v>1552382542915631</v>
      </c>
      <c r="C5315" t="s">
        <v>40</v>
      </c>
      <c r="D5315">
        <v>3.1624409999999998</v>
      </c>
      <c r="E5315">
        <v>0.523841</v>
      </c>
      <c r="F5315" t="s">
        <v>41</v>
      </c>
      <c r="G5315">
        <v>-261.43279999999999</v>
      </c>
      <c r="H5315">
        <v>1.052378</v>
      </c>
      <c r="I5315">
        <v>141.03970000000001</v>
      </c>
      <c r="J5315">
        <v>-260.80799999999999</v>
      </c>
      <c r="K5315">
        <v>1.1109279999999999</v>
      </c>
      <c r="L5315">
        <v>141.0436</v>
      </c>
      <c r="M5315">
        <v>-0.99926139999999997</v>
      </c>
      <c r="N5315">
        <v>0</v>
      </c>
      <c r="O5315">
        <v>-3.7778140000000002E-2</v>
      </c>
      <c r="P5315">
        <v>-0.98595200000000005</v>
      </c>
      <c r="Q5315">
        <v>0.1478862</v>
      </c>
      <c r="R5315">
        <v>-7.7644110000000002E-2</v>
      </c>
      <c r="S5315">
        <v>-3.073242</v>
      </c>
      <c r="T5315">
        <v>-0.21742729999999999</v>
      </c>
      <c r="U5315">
        <v>-4.5074459999999997E-2</v>
      </c>
      <c r="V5315">
        <v>-4.096035E-2</v>
      </c>
      <c r="W5315">
        <v>0.15469430000000001</v>
      </c>
      <c r="X5315">
        <v>0.98711289999999996</v>
      </c>
      <c r="Y5315">
        <v>2.2968559999999999E-2</v>
      </c>
      <c r="Z5315">
        <v>3.4801110000000001E-3</v>
      </c>
      <c r="AA5315">
        <v>0.99973009999999995</v>
      </c>
      <c r="AB5315">
        <v>37</v>
      </c>
      <c r="AC5315">
        <v>-0.62479999999999303</v>
      </c>
      <c r="AD5315">
        <v>-5.8550000000000102E-2</v>
      </c>
      <c r="AE5315">
        <v>-3.8999999999873498E-3</v>
      </c>
      <c r="AF5315">
        <v>1.9535603418085402E-2</v>
      </c>
      <c r="AG5315">
        <v>-5.8550000000000102E-2</v>
      </c>
      <c r="AH5315">
        <v>0.61906515657477401</v>
      </c>
      <c r="AI5315">
        <v>95.400181860255003</v>
      </c>
      <c r="AJ5315">
        <v>88.192538712612006</v>
      </c>
      <c r="AK5315">
        <v>0.62213455971024301</v>
      </c>
      <c r="AL5315">
        <v>81.100932702210997</v>
      </c>
      <c r="AM5315">
        <v>92.376131038127994</v>
      </c>
      <c r="AN5315">
        <v>0.99999997703551002</v>
      </c>
    </row>
    <row r="5316" spans="1:40" x14ac:dyDescent="0.25">
      <c r="A5316" t="str">
        <f>"20190312172222946"</f>
        <v>20190312172222946</v>
      </c>
      <c r="B5316" t="str">
        <f>"1552382542936176"</f>
        <v>1552382542936176</v>
      </c>
      <c r="C5316" t="s">
        <v>40</v>
      </c>
      <c r="D5316">
        <v>3.1312329999999999</v>
      </c>
      <c r="E5316">
        <v>0.52295950000000002</v>
      </c>
      <c r="F5316" t="s">
        <v>41</v>
      </c>
      <c r="G5316">
        <v>-261.74900000000002</v>
      </c>
      <c r="H5316">
        <v>1.0425180000000001</v>
      </c>
      <c r="I5316">
        <v>141.03049999999999</v>
      </c>
      <c r="J5316">
        <v>-261.11470000000003</v>
      </c>
      <c r="K5316">
        <v>1.110703</v>
      </c>
      <c r="L5316">
        <v>141.03129999999999</v>
      </c>
      <c r="M5316">
        <v>-0.99922979999999995</v>
      </c>
      <c r="N5316">
        <v>0</v>
      </c>
      <c r="O5316">
        <v>-3.8600000000000002E-2</v>
      </c>
      <c r="P5316">
        <v>-0.98615109999999995</v>
      </c>
      <c r="Q5316">
        <v>0.1473515</v>
      </c>
      <c r="R5316">
        <v>-7.6116450000000002E-2</v>
      </c>
      <c r="S5316">
        <v>-3.072845</v>
      </c>
      <c r="T5316">
        <v>-0.223412</v>
      </c>
      <c r="U5316">
        <v>-4.3319700000000003E-2</v>
      </c>
      <c r="V5316">
        <v>-3.8526919999999999E-2</v>
      </c>
      <c r="W5316">
        <v>0.15420200000000001</v>
      </c>
      <c r="X5316">
        <v>0.9872879</v>
      </c>
      <c r="Y5316">
        <v>2.4345390000000001E-2</v>
      </c>
      <c r="Z5316">
        <v>3.6857510000000001E-3</v>
      </c>
      <c r="AA5316">
        <v>0.99969680000000005</v>
      </c>
      <c r="AB5316">
        <v>37</v>
      </c>
      <c r="AC5316">
        <v>-0.63429999999999598</v>
      </c>
      <c r="AD5316">
        <v>-6.8184999999999898E-2</v>
      </c>
      <c r="AE5316">
        <v>-7.9999999999813499E-4</v>
      </c>
      <c r="AF5316">
        <v>2.3414619572503799E-2</v>
      </c>
      <c r="AG5316">
        <v>-6.8184999999999898E-2</v>
      </c>
      <c r="AH5316">
        <v>0.62661728365106995</v>
      </c>
      <c r="AI5316">
        <v>96.205876388008505</v>
      </c>
      <c r="AJ5316">
        <v>87.860041455820095</v>
      </c>
      <c r="AK5316">
        <v>0.63075086904812905</v>
      </c>
      <c r="AL5316">
        <v>81.129482087571802</v>
      </c>
      <c r="AM5316">
        <v>92.234718413750798</v>
      </c>
      <c r="AN5316">
        <v>0.99999998892754804</v>
      </c>
    </row>
    <row r="5317" spans="1:40" x14ac:dyDescent="0.25">
      <c r="A5317" t="str">
        <f>"20190312172222959"</f>
        <v>20190312172222959</v>
      </c>
      <c r="B5317" t="str">
        <f>"1552382542955830"</f>
        <v>1552382542955830</v>
      </c>
      <c r="C5317" t="s">
        <v>40</v>
      </c>
      <c r="D5317">
        <v>3.1776800000000001</v>
      </c>
      <c r="E5317">
        <v>0.52146459999999994</v>
      </c>
      <c r="F5317" t="s">
        <v>41</v>
      </c>
      <c r="G5317">
        <v>-262.07830000000001</v>
      </c>
      <c r="H5317">
        <v>1.04037</v>
      </c>
      <c r="I5317">
        <v>141.0171</v>
      </c>
      <c r="J5317">
        <v>-261.34769999999997</v>
      </c>
      <c r="K5317">
        <v>1.110536</v>
      </c>
      <c r="L5317">
        <v>141.02189999999999</v>
      </c>
      <c r="M5317">
        <v>-0.99921040000000005</v>
      </c>
      <c r="N5317">
        <v>0</v>
      </c>
      <c r="O5317">
        <v>-3.9098269999999997E-2</v>
      </c>
      <c r="P5317">
        <v>-0.98606990000000005</v>
      </c>
      <c r="Q5317">
        <v>0.14832039999999999</v>
      </c>
      <c r="R5317">
        <v>-7.5285759999999993E-2</v>
      </c>
      <c r="S5317">
        <v>-3.0720519999999998</v>
      </c>
      <c r="T5317">
        <v>-0.2243513</v>
      </c>
      <c r="U5317">
        <v>-4.6524049999999997E-2</v>
      </c>
      <c r="V5317">
        <v>-3.7144950000000003E-2</v>
      </c>
      <c r="W5317">
        <v>0.155198</v>
      </c>
      <c r="X5317">
        <v>0.98718479999999997</v>
      </c>
      <c r="Y5317">
        <v>2.3796399999999999E-2</v>
      </c>
      <c r="Z5317">
        <v>3.718411E-3</v>
      </c>
      <c r="AA5317">
        <v>0.99970990000000004</v>
      </c>
      <c r="AB5317">
        <v>37</v>
      </c>
      <c r="AC5317">
        <v>-0.730600000000038</v>
      </c>
      <c r="AD5317">
        <v>-7.0165999999999895E-2</v>
      </c>
      <c r="AE5317">
        <v>-4.7999999999888097E-3</v>
      </c>
      <c r="AF5317">
        <v>2.3552354283714501E-2</v>
      </c>
      <c r="AG5317">
        <v>-7.0165999999999895E-2</v>
      </c>
      <c r="AH5317">
        <v>0.72355560828764498</v>
      </c>
      <c r="AI5317">
        <v>95.535961551663604</v>
      </c>
      <c r="AJ5317">
        <v>88.135631624924201</v>
      </c>
      <c r="AK5317">
        <v>0.72733121700694903</v>
      </c>
      <c r="AL5317">
        <v>81.071720201094607</v>
      </c>
      <c r="AM5317">
        <v>92.154860289896803</v>
      </c>
      <c r="AN5317">
        <v>0.99999999793277095</v>
      </c>
    </row>
    <row r="5318" spans="1:40" x14ac:dyDescent="0.25">
      <c r="A5318" t="str">
        <f>"20190312172222973"</f>
        <v>20190312172222973</v>
      </c>
      <c r="B5318" t="str">
        <f>"1552382542966566"</f>
        <v>1552382542966566</v>
      </c>
      <c r="C5318" t="s">
        <v>40</v>
      </c>
      <c r="D5318">
        <v>3.1335739999999999</v>
      </c>
      <c r="E5318">
        <v>0.52082479999999998</v>
      </c>
      <c r="F5318" t="s">
        <v>42</v>
      </c>
      <c r="G5318">
        <v>-276.86110000000002</v>
      </c>
      <c r="H5318" s="1">
        <v>-1.6275869999999999E-6</v>
      </c>
      <c r="I5318">
        <v>140.73869999999999</v>
      </c>
      <c r="J5318">
        <v>-261.56049999999999</v>
      </c>
      <c r="K5318">
        <v>1.1103769999999999</v>
      </c>
      <c r="L5318">
        <v>141.01329999999999</v>
      </c>
      <c r="M5318">
        <v>-0.99919899999999995</v>
      </c>
      <c r="N5318">
        <v>0</v>
      </c>
      <c r="O5318">
        <v>-3.9385570000000002E-2</v>
      </c>
      <c r="P5318">
        <v>-0.98615900000000001</v>
      </c>
      <c r="Q5318">
        <v>0.14825459999999999</v>
      </c>
      <c r="R5318">
        <v>-7.4236300000000005E-2</v>
      </c>
      <c r="S5318">
        <v>-3.071167</v>
      </c>
      <c r="T5318">
        <v>-0.21985209999999999</v>
      </c>
      <c r="U5318">
        <v>-5.6060789999999999E-2</v>
      </c>
      <c r="V5318">
        <v>-3.5748960000000003E-2</v>
      </c>
      <c r="W5318">
        <v>0.15515880000000001</v>
      </c>
      <c r="X5318">
        <v>0.98724250000000002</v>
      </c>
      <c r="Y5318">
        <v>2.0988920000000001E-2</v>
      </c>
      <c r="Z5318">
        <v>3.565117E-3</v>
      </c>
      <c r="AA5318">
        <v>0.99977329999999998</v>
      </c>
      <c r="AB5318">
        <v>37</v>
      </c>
      <c r="AC5318">
        <v>-15.300599999999999</v>
      </c>
      <c r="AD5318">
        <v>-1.110378627587</v>
      </c>
      <c r="AE5318">
        <v>-0.27459999999999202</v>
      </c>
      <c r="AF5318">
        <v>0.32653189644028802</v>
      </c>
      <c r="AG5318">
        <v>-1.110378627587</v>
      </c>
      <c r="AH5318">
        <v>15.219415197588701</v>
      </c>
      <c r="AI5318">
        <v>94.1718375379034</v>
      </c>
      <c r="AJ5318">
        <v>88.770910088941307</v>
      </c>
      <c r="AK5318">
        <v>15.263360138992599</v>
      </c>
      <c r="AL5318">
        <v>81.073993733054607</v>
      </c>
      <c r="AM5318">
        <v>92.073826830266597</v>
      </c>
      <c r="AN5318">
        <v>0.999999997582385</v>
      </c>
    </row>
    <row r="5319" spans="1:40" x14ac:dyDescent="0.25">
      <c r="A5319" t="str">
        <f>"20190312172222996"</f>
        <v>20190312172222996</v>
      </c>
      <c r="B5319" t="str">
        <f>"1552382542986087"</f>
        <v>1552382542986087</v>
      </c>
      <c r="C5319" t="s">
        <v>40</v>
      </c>
      <c r="D5319">
        <v>3.1347320000000001</v>
      </c>
      <c r="E5319">
        <v>0.51959079999999902</v>
      </c>
      <c r="F5319" t="s">
        <v>41</v>
      </c>
      <c r="G5319">
        <v>-262.41669999999999</v>
      </c>
      <c r="H5319">
        <v>1.049315</v>
      </c>
      <c r="I5319">
        <v>140.9973</v>
      </c>
      <c r="J5319">
        <v>-261.95620000000002</v>
      </c>
      <c r="K5319">
        <v>1.110061</v>
      </c>
      <c r="L5319">
        <v>140.9975</v>
      </c>
      <c r="M5319">
        <v>-0.99918790000000002</v>
      </c>
      <c r="N5319">
        <v>0</v>
      </c>
      <c r="O5319">
        <v>-3.9660149999999998E-2</v>
      </c>
      <c r="P5319">
        <v>-0.98651710000000004</v>
      </c>
      <c r="Q5319">
        <v>0.14685699999999999</v>
      </c>
      <c r="R5319">
        <v>-7.2229799999999997E-2</v>
      </c>
      <c r="S5319">
        <v>-3.0706479999999998</v>
      </c>
      <c r="T5319">
        <v>-0.2190155</v>
      </c>
      <c r="U5319">
        <v>-5.825806E-2</v>
      </c>
      <c r="V5319">
        <v>-3.3337239999999997E-2</v>
      </c>
      <c r="W5319">
        <v>0.15380959999999999</v>
      </c>
      <c r="X5319">
        <v>0.98753800000000003</v>
      </c>
      <c r="Y5319">
        <v>2.054696E-2</v>
      </c>
      <c r="Z5319">
        <v>3.5559540000000001E-3</v>
      </c>
      <c r="AA5319">
        <v>0.99978259999999997</v>
      </c>
      <c r="AB5319">
        <v>37</v>
      </c>
      <c r="AC5319">
        <v>-0.46049999999996699</v>
      </c>
      <c r="AD5319">
        <v>-6.0745999999999897E-2</v>
      </c>
      <c r="AE5319">
        <v>-2.0000000000663901E-4</v>
      </c>
      <c r="AF5319">
        <v>1.7755159814219601E-2</v>
      </c>
      <c r="AG5319">
        <v>-6.0745999999999897E-2</v>
      </c>
      <c r="AH5319">
        <v>0.45227552551618899</v>
      </c>
      <c r="AI5319">
        <v>97.643908312754704</v>
      </c>
      <c r="AJ5319">
        <v>87.751871264715504</v>
      </c>
      <c r="AK5319">
        <v>0.456682026356384</v>
      </c>
      <c r="AL5319">
        <v>81.152236805612205</v>
      </c>
      <c r="AM5319">
        <v>91.933452761036605</v>
      </c>
      <c r="AN5319">
        <v>1.00000003303348</v>
      </c>
    </row>
    <row r="5320" spans="1:40" x14ac:dyDescent="0.25">
      <c r="A5320" t="str">
        <f>"20190312172223014"</f>
        <v>20190312172223014</v>
      </c>
      <c r="B5320" t="str">
        <f>"1552382543005605"</f>
        <v>1552382543005605</v>
      </c>
      <c r="C5320" t="s">
        <v>40</v>
      </c>
      <c r="D5320">
        <v>3.1179380000000001</v>
      </c>
      <c r="E5320">
        <v>0.51849389999999995</v>
      </c>
      <c r="F5320" t="s">
        <v>42</v>
      </c>
      <c r="G5320">
        <v>-277.30560000000003</v>
      </c>
      <c r="H5320" s="1">
        <v>-1.422885E-6</v>
      </c>
      <c r="I5320">
        <v>140.68610000000001</v>
      </c>
      <c r="J5320">
        <v>-262.2473</v>
      </c>
      <c r="K5320">
        <v>1.109812</v>
      </c>
      <c r="L5320">
        <v>140.98589999999999</v>
      </c>
      <c r="M5320">
        <v>-0.99919170000000002</v>
      </c>
      <c r="N5320">
        <v>0</v>
      </c>
      <c r="O5320">
        <v>-3.9568510000000001E-2</v>
      </c>
      <c r="P5320">
        <v>-0.98668339999999999</v>
      </c>
      <c r="Q5320">
        <v>0.14666209999999999</v>
      </c>
      <c r="R5320">
        <v>-7.0332399999999906E-2</v>
      </c>
      <c r="S5320">
        <v>-3.0694889999999999</v>
      </c>
      <c r="T5320">
        <v>-0.22198419999999999</v>
      </c>
      <c r="U5320">
        <v>-6.2240599999999903E-2</v>
      </c>
      <c r="V5320">
        <v>-3.1432259999999997E-2</v>
      </c>
      <c r="W5320">
        <v>0.15364939999999999</v>
      </c>
      <c r="X5320">
        <v>0.98762539999999999</v>
      </c>
      <c r="Y5320">
        <v>1.915101E-2</v>
      </c>
      <c r="Z5320">
        <v>3.548303E-3</v>
      </c>
      <c r="AA5320">
        <v>0.99981030000000004</v>
      </c>
      <c r="AB5320">
        <v>37</v>
      </c>
      <c r="AC5320">
        <v>-15.058299999999999</v>
      </c>
      <c r="AD5320">
        <v>-1.1098134228850001</v>
      </c>
      <c r="AE5320">
        <v>-0.29979999999997597</v>
      </c>
      <c r="AF5320">
        <v>0.29468422376923897</v>
      </c>
      <c r="AG5320">
        <v>-1.1098134228850001</v>
      </c>
      <c r="AH5320">
        <v>14.977048683258699</v>
      </c>
      <c r="AI5320">
        <v>94.237108743572406</v>
      </c>
      <c r="AJ5320">
        <v>88.872809699488798</v>
      </c>
      <c r="AK5320">
        <v>15.0210023595649</v>
      </c>
      <c r="AL5320">
        <v>81.161525964575503</v>
      </c>
      <c r="AM5320">
        <v>91.822885632203395</v>
      </c>
      <c r="AN5320">
        <v>1.00000002790711</v>
      </c>
    </row>
    <row r="5321" spans="1:40" x14ac:dyDescent="0.25">
      <c r="A5321" t="str">
        <f>"20190312172223035"</f>
        <v>20190312172223035</v>
      </c>
      <c r="B5321" t="str">
        <f>"1552382543026119"</f>
        <v>1552382543026119</v>
      </c>
      <c r="C5321" t="s">
        <v>40</v>
      </c>
      <c r="D5321">
        <v>3.1379239999999999</v>
      </c>
      <c r="E5321">
        <v>0.51754060000000002</v>
      </c>
      <c r="F5321" t="s">
        <v>41</v>
      </c>
      <c r="G5321">
        <v>-263.08229999999998</v>
      </c>
      <c r="H5321">
        <v>1.0496430000000001</v>
      </c>
      <c r="I5321">
        <v>140.9683</v>
      </c>
      <c r="J5321">
        <v>-262.60739999999998</v>
      </c>
      <c r="K5321">
        <v>1.1094919999999999</v>
      </c>
      <c r="L5321">
        <v>140.97190000000001</v>
      </c>
      <c r="M5321">
        <v>-0.99920759999999997</v>
      </c>
      <c r="N5321">
        <v>0</v>
      </c>
      <c r="O5321">
        <v>-3.9163959999999998E-2</v>
      </c>
      <c r="P5321">
        <v>-0.98683889999999996</v>
      </c>
      <c r="Q5321">
        <v>0.14652119999999999</v>
      </c>
      <c r="R5321">
        <v>-6.8417939999999997E-2</v>
      </c>
      <c r="S5321">
        <v>-3.0687259999999998</v>
      </c>
      <c r="T5321">
        <v>-0.2211291</v>
      </c>
      <c r="U5321">
        <v>-6.5124509999999997E-2</v>
      </c>
      <c r="V5321">
        <v>-2.9793819999999999E-2</v>
      </c>
      <c r="W5321">
        <v>0.1535504</v>
      </c>
      <c r="X5321">
        <v>0.98769149999999994</v>
      </c>
      <c r="Y5321">
        <v>1.7807590000000002E-2</v>
      </c>
      <c r="Z5321">
        <v>3.458076E-3</v>
      </c>
      <c r="AA5321">
        <v>0.99983540000000004</v>
      </c>
      <c r="AB5321">
        <v>37</v>
      </c>
      <c r="AC5321">
        <v>-0.474899999999991</v>
      </c>
      <c r="AD5321">
        <v>-5.9848999999999798E-2</v>
      </c>
      <c r="AE5321">
        <v>-3.6000000000058199E-3</v>
      </c>
      <c r="AF5321">
        <v>1.47676660773147E-2</v>
      </c>
      <c r="AG5321">
        <v>-5.9848999999999798E-2</v>
      </c>
      <c r="AH5321">
        <v>0.46725602448589099</v>
      </c>
      <c r="AI5321">
        <v>97.295446214865393</v>
      </c>
      <c r="AJ5321">
        <v>88.189764630637697</v>
      </c>
      <c r="AK5321">
        <v>0.47130476252710501</v>
      </c>
      <c r="AL5321">
        <v>81.167265656782206</v>
      </c>
      <c r="AM5321">
        <v>91.727809395502106</v>
      </c>
      <c r="AN5321">
        <v>0.999999948111299</v>
      </c>
    </row>
    <row r="5322" spans="1:40" x14ac:dyDescent="0.25">
      <c r="A5322" t="str">
        <f>"20190312172223057"</f>
        <v>20190312172223057</v>
      </c>
      <c r="B5322" t="str">
        <f>"1552382543045621"</f>
        <v>1552382543045621</v>
      </c>
      <c r="C5322" t="s">
        <v>40</v>
      </c>
      <c r="D5322">
        <v>3.1462560000000002</v>
      </c>
      <c r="E5322">
        <v>0.51670519999999998</v>
      </c>
      <c r="F5322" t="s">
        <v>41</v>
      </c>
      <c r="G5322">
        <v>-263.42599999999999</v>
      </c>
      <c r="H5322">
        <v>1.050611</v>
      </c>
      <c r="I5322">
        <v>140.95410000000001</v>
      </c>
      <c r="J5322">
        <v>-262.96620000000001</v>
      </c>
      <c r="K5322">
        <v>1.109173</v>
      </c>
      <c r="L5322">
        <v>140.95830000000001</v>
      </c>
      <c r="M5322">
        <v>-0.99923519999999999</v>
      </c>
      <c r="N5322">
        <v>0</v>
      </c>
      <c r="O5322">
        <v>-3.8442839999999999E-2</v>
      </c>
      <c r="P5322">
        <v>-0.98704179999999997</v>
      </c>
      <c r="Q5322">
        <v>0.1461826</v>
      </c>
      <c r="R5322">
        <v>-6.6175429999999993E-2</v>
      </c>
      <c r="S5322">
        <v>-3.068085</v>
      </c>
      <c r="T5322">
        <v>-0.2206967</v>
      </c>
      <c r="U5322">
        <v>-6.7565920000000002E-2</v>
      </c>
      <c r="V5322">
        <v>-2.8138699999999999E-2</v>
      </c>
      <c r="W5322">
        <v>0.15325269999999999</v>
      </c>
      <c r="X5322">
        <v>0.98778639999999995</v>
      </c>
      <c r="Y5322">
        <v>1.6292640000000001E-2</v>
      </c>
      <c r="Z5322">
        <v>3.345841E-3</v>
      </c>
      <c r="AA5322">
        <v>0.99986169999999996</v>
      </c>
      <c r="AB5322">
        <v>37</v>
      </c>
      <c r="AC5322">
        <v>-0.45979999999997201</v>
      </c>
      <c r="AD5322">
        <v>-5.8562000000000003E-2</v>
      </c>
      <c r="AE5322">
        <v>-4.1999999999973101E-3</v>
      </c>
      <c r="AF5322">
        <v>1.3264422531822201E-2</v>
      </c>
      <c r="AG5322">
        <v>-5.8562000000000003E-2</v>
      </c>
      <c r="AH5322">
        <v>0.45228537946307101</v>
      </c>
      <c r="AI5322">
        <v>97.374486810535004</v>
      </c>
      <c r="AJ5322">
        <v>88.320136613719697</v>
      </c>
      <c r="AK5322">
        <v>0.45625378598446398</v>
      </c>
      <c r="AL5322">
        <v>81.184528037614498</v>
      </c>
      <c r="AM5322">
        <v>91.631722062479199</v>
      </c>
      <c r="AN5322">
        <v>1.00000007425996</v>
      </c>
    </row>
    <row r="5323" spans="1:40" x14ac:dyDescent="0.25">
      <c r="A5323" t="str">
        <f>"20190312172223070"</f>
        <v>20190312172223070</v>
      </c>
      <c r="B5323" t="str">
        <f>"1552382543066117"</f>
        <v>1552382543066117</v>
      </c>
      <c r="C5323" t="s">
        <v>40</v>
      </c>
      <c r="D5323">
        <v>3.1573980000000001</v>
      </c>
      <c r="E5323">
        <v>0.51591160000000003</v>
      </c>
      <c r="F5323" t="s">
        <v>42</v>
      </c>
      <c r="G5323">
        <v>-278.4264</v>
      </c>
      <c r="H5323" s="1">
        <v>-9.2409459999999997E-7</v>
      </c>
      <c r="I5323">
        <v>140.61850000000001</v>
      </c>
      <c r="J5323">
        <v>-263.18979999999999</v>
      </c>
      <c r="K5323">
        <v>1.108981</v>
      </c>
      <c r="L5323">
        <v>140.9502</v>
      </c>
      <c r="M5323">
        <v>-0.99925889999999995</v>
      </c>
      <c r="N5323">
        <v>0</v>
      </c>
      <c r="O5323">
        <v>-3.7823450000000002E-2</v>
      </c>
      <c r="P5323">
        <v>-0.98707820000000002</v>
      </c>
      <c r="Q5323">
        <v>0.1465688</v>
      </c>
      <c r="R5323">
        <v>-6.4766329999999997E-2</v>
      </c>
      <c r="S5323">
        <v>-3.0675050000000001</v>
      </c>
      <c r="T5323">
        <v>-0.22007550000000001</v>
      </c>
      <c r="U5323">
        <v>-6.7413329999999994E-2</v>
      </c>
      <c r="V5323">
        <v>-2.7269330000000001E-2</v>
      </c>
      <c r="W5323">
        <v>0.1536621</v>
      </c>
      <c r="X5323">
        <v>0.98774709999999999</v>
      </c>
      <c r="Y5323">
        <v>1.572221E-2</v>
      </c>
      <c r="Z5323">
        <v>3.272301E-3</v>
      </c>
      <c r="AA5323">
        <v>0.99987099999999995</v>
      </c>
      <c r="AB5323">
        <v>37</v>
      </c>
      <c r="AC5323">
        <v>-15.236599999999999</v>
      </c>
      <c r="AD5323">
        <v>-1.1089819240945999</v>
      </c>
      <c r="AE5323">
        <v>-0.33169999999998301</v>
      </c>
      <c r="AF5323">
        <v>0.24356317936098301</v>
      </c>
      <c r="AG5323">
        <v>-1.1089819240945999</v>
      </c>
      <c r="AH5323">
        <v>15.1579813518952</v>
      </c>
      <c r="AI5323">
        <v>94.183856620698606</v>
      </c>
      <c r="AJ5323">
        <v>89.079432738758996</v>
      </c>
      <c r="AK5323">
        <v>15.2004461314368</v>
      </c>
      <c r="AL5323">
        <v>81.160789273793895</v>
      </c>
      <c r="AM5323">
        <v>91.581397457821794</v>
      </c>
      <c r="AN5323">
        <v>0.99999999544673401</v>
      </c>
    </row>
    <row r="5324" spans="1:40" x14ac:dyDescent="0.25">
      <c r="A5324" t="str">
        <f>"20190312172223083"</f>
        <v>20190312172223083</v>
      </c>
      <c r="B5324" t="str">
        <f>"1552382543075878"</f>
        <v>1552382543075878</v>
      </c>
      <c r="C5324" t="s">
        <v>40</v>
      </c>
      <c r="D5324">
        <v>3.1677650000000002</v>
      </c>
      <c r="E5324">
        <v>0.51550909999999905</v>
      </c>
      <c r="F5324" t="s">
        <v>41</v>
      </c>
      <c r="G5324">
        <v>-264.08319999999998</v>
      </c>
      <c r="H5324">
        <v>1.0452410000000001</v>
      </c>
      <c r="I5324">
        <v>140.93039999999999</v>
      </c>
      <c r="J5324">
        <v>-263.41320000000002</v>
      </c>
      <c r="K5324">
        <v>1.108798</v>
      </c>
      <c r="L5324">
        <v>140.94220000000001</v>
      </c>
      <c r="M5324">
        <v>-0.99928510000000004</v>
      </c>
      <c r="N5324">
        <v>0</v>
      </c>
      <c r="O5324">
        <v>-3.712505E-2</v>
      </c>
      <c r="P5324">
        <v>-0.98711009999999999</v>
      </c>
      <c r="Q5324">
        <v>0.14705170000000001</v>
      </c>
      <c r="R5324">
        <v>-6.3164499999999998E-2</v>
      </c>
      <c r="S5324">
        <v>-3.0672609999999998</v>
      </c>
      <c r="T5324">
        <v>-0.21886839999999999</v>
      </c>
      <c r="U5324">
        <v>-6.8771360000000004E-2</v>
      </c>
      <c r="V5324">
        <v>-2.6287089999999999E-2</v>
      </c>
      <c r="W5324">
        <v>0.15416679999999999</v>
      </c>
      <c r="X5324">
        <v>0.98769510000000005</v>
      </c>
      <c r="Y5324">
        <v>1.45852999999999E-2</v>
      </c>
      <c r="Z5324">
        <v>3.164399E-3</v>
      </c>
      <c r="AA5324">
        <v>0.99988860000000002</v>
      </c>
      <c r="AB5324">
        <v>37</v>
      </c>
      <c r="AC5324">
        <v>-0.66999999999995896</v>
      </c>
      <c r="AD5324">
        <v>-6.3556999999999794E-2</v>
      </c>
      <c r="AE5324">
        <v>-1.1800000000022201E-2</v>
      </c>
      <c r="AF5324">
        <v>1.29659135687125E-2</v>
      </c>
      <c r="AG5324">
        <v>-6.3556999999999794E-2</v>
      </c>
      <c r="AH5324">
        <v>0.664002909340484</v>
      </c>
      <c r="AI5324">
        <v>95.466541765364298</v>
      </c>
      <c r="AJ5324">
        <v>88.881333628677297</v>
      </c>
      <c r="AK5324">
        <v>0.66716375109585901</v>
      </c>
      <c r="AL5324">
        <v>81.131523513523803</v>
      </c>
      <c r="AM5324">
        <v>91.524543197844693</v>
      </c>
      <c r="AN5324">
        <v>1.00000001194345</v>
      </c>
    </row>
    <row r="5325" spans="1:40" x14ac:dyDescent="0.25">
      <c r="A5325" t="str">
        <f>"20190312172223103"</f>
        <v>20190312172223103</v>
      </c>
      <c r="B5325" t="str">
        <f>"1552382543096374"</f>
        <v>1552382543096374</v>
      </c>
      <c r="C5325" t="s">
        <v>40</v>
      </c>
      <c r="D5325">
        <v>3.162185</v>
      </c>
      <c r="E5325">
        <v>0.51476579999999905</v>
      </c>
      <c r="F5325" t="s">
        <v>41</v>
      </c>
      <c r="G5325">
        <v>-264.41399999999999</v>
      </c>
      <c r="H5325">
        <v>1.0379719999999999</v>
      </c>
      <c r="I5325">
        <v>140.92070000000001</v>
      </c>
      <c r="J5325">
        <v>-263.74209999999999</v>
      </c>
      <c r="K5325">
        <v>1.108549</v>
      </c>
      <c r="L5325">
        <v>140.93090000000001</v>
      </c>
      <c r="M5325">
        <v>-0.99932949999999998</v>
      </c>
      <c r="N5325">
        <v>0</v>
      </c>
      <c r="O5325">
        <v>-3.5904180000000001E-2</v>
      </c>
      <c r="P5325">
        <v>-0.98705920000000003</v>
      </c>
      <c r="Q5325">
        <v>0.14871039999999999</v>
      </c>
      <c r="R5325">
        <v>-5.9997149999999999E-2</v>
      </c>
      <c r="S5325">
        <v>-3.0672609999999998</v>
      </c>
      <c r="T5325">
        <v>-0.21704670000000001</v>
      </c>
      <c r="U5325">
        <v>-6.6131590000000004E-2</v>
      </c>
      <c r="V5325">
        <v>-2.4229939999999998E-2</v>
      </c>
      <c r="W5325">
        <v>0.15585270000000001</v>
      </c>
      <c r="X5325">
        <v>0.98748309999999995</v>
      </c>
      <c r="Y5325">
        <v>1.422994E-2</v>
      </c>
      <c r="Z5325">
        <v>3.0393949999999999E-3</v>
      </c>
      <c r="AA5325">
        <v>0.99989410000000001</v>
      </c>
      <c r="AB5325">
        <v>37</v>
      </c>
      <c r="AC5325">
        <v>-0.67189999999999295</v>
      </c>
      <c r="AD5325">
        <v>-7.0577000000000098E-2</v>
      </c>
      <c r="AE5325">
        <v>-1.0199999999997499E-2</v>
      </c>
      <c r="AF5325">
        <v>1.3779216669258401E-2</v>
      </c>
      <c r="AG5325">
        <v>-7.0577000000000098E-2</v>
      </c>
      <c r="AH5325">
        <v>0.66450282664444005</v>
      </c>
      <c r="AI5325">
        <v>96.061376072305606</v>
      </c>
      <c r="AJ5325">
        <v>88.812077540214204</v>
      </c>
      <c r="AK5325">
        <v>0.66838236538636198</v>
      </c>
      <c r="AL5325">
        <v>81.033746726915098</v>
      </c>
      <c r="AM5325">
        <v>91.405588398373695</v>
      </c>
      <c r="AN5325">
        <v>1.0000000134376501</v>
      </c>
    </row>
    <row r="5326" spans="1:40" x14ac:dyDescent="0.25">
      <c r="A5326" t="str">
        <f>"20190312172223114"</f>
        <v>20190312172223114</v>
      </c>
      <c r="B5326" t="str">
        <f>"1552382543106134"</f>
        <v>1552382543106134</v>
      </c>
      <c r="C5326" t="s">
        <v>40</v>
      </c>
      <c r="D5326">
        <v>3.1959529999999998</v>
      </c>
      <c r="E5326">
        <v>0.5143894</v>
      </c>
      <c r="F5326" t="s">
        <v>41</v>
      </c>
      <c r="G5326">
        <v>-264.7516</v>
      </c>
      <c r="H5326">
        <v>1.0387690000000001</v>
      </c>
      <c r="I5326">
        <v>140.9111</v>
      </c>
      <c r="J5326">
        <v>-263.94569999999999</v>
      </c>
      <c r="K5326">
        <v>1.108409</v>
      </c>
      <c r="L5326">
        <v>140.92429999999999</v>
      </c>
      <c r="M5326">
        <v>-0.99935960000000001</v>
      </c>
      <c r="N5326">
        <v>0</v>
      </c>
      <c r="O5326">
        <v>-3.5053819999999999E-2</v>
      </c>
      <c r="P5326">
        <v>-0.98704990000000004</v>
      </c>
      <c r="Q5326">
        <v>0.1502657</v>
      </c>
      <c r="R5326">
        <v>-5.6151350000000003E-2</v>
      </c>
      <c r="S5326">
        <v>-3.0675349999999999</v>
      </c>
      <c r="T5326">
        <v>-0.21201300000000001</v>
      </c>
      <c r="U5326">
        <v>-6.1340329999999998E-2</v>
      </c>
      <c r="V5326">
        <v>-2.1168570000000001E-2</v>
      </c>
      <c r="W5326">
        <v>0.15741810000000001</v>
      </c>
      <c r="X5326">
        <v>0.98730510000000005</v>
      </c>
      <c r="Y5326">
        <v>1.494819E-2</v>
      </c>
      <c r="Z5326">
        <v>2.9350040000000002E-3</v>
      </c>
      <c r="AA5326">
        <v>0.99988390000000005</v>
      </c>
      <c r="AB5326">
        <v>38</v>
      </c>
      <c r="AC5326">
        <v>-0.80590000000000805</v>
      </c>
      <c r="AD5326">
        <v>-6.9639999999999896E-2</v>
      </c>
      <c r="AE5326">
        <v>-1.31999999999834E-2</v>
      </c>
      <c r="AF5326">
        <v>1.49471328507141E-2</v>
      </c>
      <c r="AG5326">
        <v>-6.9639999999999896E-2</v>
      </c>
      <c r="AH5326">
        <v>0.79989606504004296</v>
      </c>
      <c r="AI5326">
        <v>94.974835472618096</v>
      </c>
      <c r="AJ5326">
        <v>88.929475957575406</v>
      </c>
      <c r="AK5326">
        <v>0.80306093246216403</v>
      </c>
      <c r="AL5326">
        <v>80.942934513523596</v>
      </c>
      <c r="AM5326">
        <v>91.228276766757304</v>
      </c>
      <c r="AN5326">
        <v>0.99999996352473097</v>
      </c>
    </row>
    <row r="5327" spans="1:40" x14ac:dyDescent="0.25">
      <c r="A5327" t="str">
        <f>"20190312172223146"</f>
        <v>20190312172223146</v>
      </c>
      <c r="B5327" t="str">
        <f>"1552382543136393"</f>
        <v>1552382543136393</v>
      </c>
      <c r="C5327" t="s">
        <v>40</v>
      </c>
      <c r="D5327">
        <v>3.1789070000000001</v>
      </c>
      <c r="E5327">
        <v>0.51331059999999995</v>
      </c>
      <c r="F5327" t="s">
        <v>62</v>
      </c>
      <c r="G5327">
        <v>-280.36709999999999</v>
      </c>
      <c r="H5327" s="1">
        <v>-4.1133610000000003E-6</v>
      </c>
      <c r="I5327">
        <v>140.6455</v>
      </c>
      <c r="J5327">
        <v>-264.46440000000001</v>
      </c>
      <c r="K5327">
        <v>1.1080840000000001</v>
      </c>
      <c r="L5327">
        <v>140.90809999999999</v>
      </c>
      <c r="M5327">
        <v>-0.99944029999999995</v>
      </c>
      <c r="N5327">
        <v>0</v>
      </c>
      <c r="O5327">
        <v>-3.2666290000000001E-2</v>
      </c>
      <c r="P5327">
        <v>-0.98748069999999999</v>
      </c>
      <c r="Q5327">
        <v>0.150616</v>
      </c>
      <c r="R5327">
        <v>-4.6870090000000003E-2</v>
      </c>
      <c r="S5327">
        <v>-3.0679020000000001</v>
      </c>
      <c r="T5327">
        <v>-0.20707829999999999</v>
      </c>
      <c r="U5327">
        <v>-5.207825E-2</v>
      </c>
      <c r="V5327">
        <v>-1.4116790000000001E-2</v>
      </c>
      <c r="W5327">
        <v>0.15778629999999999</v>
      </c>
      <c r="X5327">
        <v>0.98737229999999998</v>
      </c>
      <c r="Y5327">
        <v>1.5589E-2</v>
      </c>
      <c r="Z5327">
        <v>2.7273480000000001E-3</v>
      </c>
      <c r="AA5327">
        <v>0.99987479999999995</v>
      </c>
      <c r="AB5327">
        <v>38</v>
      </c>
      <c r="AC5327">
        <v>-15.9026999999999</v>
      </c>
      <c r="AD5327">
        <v>-1.1080881133609899</v>
      </c>
      <c r="AE5327">
        <v>-0.26259999999999101</v>
      </c>
      <c r="AF5327">
        <v>0.25579427718764602</v>
      </c>
      <c r="AG5327">
        <v>-1.1080881133609899</v>
      </c>
      <c r="AH5327">
        <v>15.8259736322485</v>
      </c>
      <c r="AI5327">
        <v>94.004624174965699</v>
      </c>
      <c r="AJ5327">
        <v>89.074012329025393</v>
      </c>
      <c r="AK5327">
        <v>15.8667807506072</v>
      </c>
      <c r="AL5327">
        <v>80.921570911400806</v>
      </c>
      <c r="AM5327">
        <v>90.819120996082106</v>
      </c>
      <c r="AN5327">
        <v>0.99999992951743899</v>
      </c>
    </row>
    <row r="5328" spans="1:40" x14ac:dyDescent="0.25">
      <c r="A5328" t="str">
        <f>"20190312172223168"</f>
        <v>20190312172223168</v>
      </c>
      <c r="B5328" t="str">
        <f>"1552382543165671"</f>
        <v>1552382543165671</v>
      </c>
      <c r="C5328" t="s">
        <v>40</v>
      </c>
      <c r="D5328">
        <v>3.1828370000000001</v>
      </c>
      <c r="E5328">
        <v>0.5126193</v>
      </c>
      <c r="F5328" t="s">
        <v>41</v>
      </c>
      <c r="G5328">
        <v>-265.43169999999998</v>
      </c>
      <c r="H5328">
        <v>1.0431220000000001</v>
      </c>
      <c r="I5328">
        <v>140.89789999999999</v>
      </c>
      <c r="J5328">
        <v>-264.84249999999997</v>
      </c>
      <c r="K5328">
        <v>1.1079019999999999</v>
      </c>
      <c r="L5328">
        <v>140.8973</v>
      </c>
      <c r="M5328">
        <v>-0.99950030000000001</v>
      </c>
      <c r="N5328">
        <v>0</v>
      </c>
      <c r="O5328">
        <v>-3.0777209999999999E-2</v>
      </c>
      <c r="P5328">
        <v>-0.98788549999999997</v>
      </c>
      <c r="Q5328">
        <v>0.14962890000000001</v>
      </c>
      <c r="R5328">
        <v>-4.1152960000000002E-2</v>
      </c>
      <c r="S5328">
        <v>-3.0679020000000001</v>
      </c>
      <c r="T5328">
        <v>-0.20606679999999999</v>
      </c>
      <c r="U5328">
        <v>-3.311157E-2</v>
      </c>
      <c r="V5328">
        <v>-1.01931E-2</v>
      </c>
      <c r="W5328">
        <v>0.1568078</v>
      </c>
      <c r="X5328">
        <v>0.98757649999999997</v>
      </c>
      <c r="Y5328">
        <v>1.9874960000000001E-2</v>
      </c>
      <c r="Z5328">
        <v>2.7313179999999999E-3</v>
      </c>
      <c r="AA5328">
        <v>0.99979870000000004</v>
      </c>
      <c r="AB5328">
        <v>38</v>
      </c>
      <c r="AC5328">
        <v>-0.58920000000000505</v>
      </c>
      <c r="AD5328">
        <v>-6.4780000000000004E-2</v>
      </c>
      <c r="AE5328">
        <v>5.9999999999149601E-4</v>
      </c>
      <c r="AF5328">
        <v>1.8510364532404899E-2</v>
      </c>
      <c r="AG5328">
        <v>-6.4780000000000004E-2</v>
      </c>
      <c r="AH5328">
        <v>0.58186874285935997</v>
      </c>
      <c r="AI5328">
        <v>96.349447935112494</v>
      </c>
      <c r="AJ5328">
        <v>88.177925466226199</v>
      </c>
      <c r="AK5328">
        <v>0.58575619152669101</v>
      </c>
      <c r="AL5328">
        <v>80.978341874194498</v>
      </c>
      <c r="AM5328">
        <v>90.591347478310297</v>
      </c>
      <c r="AN5328">
        <v>0.99999996439034899</v>
      </c>
    </row>
    <row r="5329" spans="1:40" x14ac:dyDescent="0.25">
      <c r="A5329" t="str">
        <f>"20190312172223192"</f>
        <v>20190312172223192</v>
      </c>
      <c r="B5329" t="str">
        <f>"1552382543186166"</f>
        <v>1552382543186166</v>
      </c>
      <c r="C5329" t="s">
        <v>40</v>
      </c>
      <c r="D5329">
        <v>3.2027990000000002</v>
      </c>
      <c r="E5329">
        <v>0.49676900000000002</v>
      </c>
      <c r="F5329" t="s">
        <v>41</v>
      </c>
      <c r="G5329">
        <v>-265.7724</v>
      </c>
      <c r="H5329">
        <v>1.0443899999999999</v>
      </c>
      <c r="I5329">
        <v>140.89089999999999</v>
      </c>
      <c r="J5329">
        <v>-265.24189999999999</v>
      </c>
      <c r="K5329">
        <v>1.107737</v>
      </c>
      <c r="L5329">
        <v>140.88669999999999</v>
      </c>
      <c r="M5329">
        <v>-0.9995617</v>
      </c>
      <c r="N5329">
        <v>0</v>
      </c>
      <c r="O5329">
        <v>-2.870321E-2</v>
      </c>
      <c r="P5329">
        <v>-0.98843780000000003</v>
      </c>
      <c r="Q5329">
        <v>0.1472271</v>
      </c>
      <c r="R5329">
        <v>-3.6260880000000002E-2</v>
      </c>
      <c r="S5329">
        <v>-3.0676269999999999</v>
      </c>
      <c r="T5329">
        <v>-0.20951030000000001</v>
      </c>
      <c r="U5329">
        <v>-2.157593E-2</v>
      </c>
      <c r="V5329">
        <v>-7.2907809999999997E-3</v>
      </c>
      <c r="W5329">
        <v>0.15441740000000001</v>
      </c>
      <c r="X5329">
        <v>0.98797880000000005</v>
      </c>
      <c r="Y5329">
        <v>2.155584E-2</v>
      </c>
      <c r="Z5329">
        <v>2.69308E-3</v>
      </c>
      <c r="AA5329">
        <v>0.99976399999999999</v>
      </c>
      <c r="AB5329">
        <v>38</v>
      </c>
      <c r="AC5329">
        <v>-0.53050000000001696</v>
      </c>
      <c r="AD5329">
        <v>-6.3347000000000001E-2</v>
      </c>
      <c r="AE5329">
        <v>4.1999999999973101E-3</v>
      </c>
      <c r="AF5329">
        <v>1.9152646698265701E-2</v>
      </c>
      <c r="AG5329">
        <v>-6.3347000000000001E-2</v>
      </c>
      <c r="AH5329">
        <v>0.52270815853555297</v>
      </c>
      <c r="AI5329">
        <v>96.905388665255103</v>
      </c>
      <c r="AJ5329">
        <v>87.901553475980506</v>
      </c>
      <c r="AK5329">
        <v>0.52688090237185203</v>
      </c>
      <c r="AL5329">
        <v>81.116991055337806</v>
      </c>
      <c r="AM5329">
        <v>90.422806034020994</v>
      </c>
      <c r="AN5329">
        <v>0.99999999907989501</v>
      </c>
    </row>
    <row r="5330" spans="1:40" x14ac:dyDescent="0.25">
      <c r="A5330" t="str">
        <f>"20190312172223215"</f>
        <v>20190312172223215</v>
      </c>
      <c r="B5330" t="str">
        <f>"1552382543205686"</f>
        <v>1552382543205686</v>
      </c>
      <c r="C5330" t="s">
        <v>40</v>
      </c>
      <c r="D5330">
        <v>3.1665589999999999</v>
      </c>
      <c r="E5330">
        <v>0.49579580000000001</v>
      </c>
      <c r="F5330" t="s">
        <v>62</v>
      </c>
      <c r="G5330">
        <v>-280.48469999999998</v>
      </c>
      <c r="H5330" s="1">
        <v>-4.0294370000000003E-6</v>
      </c>
      <c r="I5330">
        <v>140.22499999999999</v>
      </c>
      <c r="J5330">
        <v>-265.64159999999998</v>
      </c>
      <c r="K5330">
        <v>1.107594</v>
      </c>
      <c r="L5330">
        <v>140.8768</v>
      </c>
      <c r="M5330">
        <v>-0.99962030000000002</v>
      </c>
      <c r="N5330">
        <v>0</v>
      </c>
      <c r="O5330">
        <v>-2.6581810000000001E-2</v>
      </c>
      <c r="P5330">
        <v>-0.98896229999999996</v>
      </c>
      <c r="Q5330">
        <v>0.14472550000000001</v>
      </c>
      <c r="R5330">
        <v>-3.1750680000000003E-2</v>
      </c>
      <c r="S5330">
        <v>-3.0633849999999998</v>
      </c>
      <c r="T5330">
        <v>-0.2226253</v>
      </c>
      <c r="U5330">
        <v>-0.1329803</v>
      </c>
      <c r="V5330">
        <v>-4.8330100000000004E-3</v>
      </c>
      <c r="W5330">
        <v>0.15192510000000001</v>
      </c>
      <c r="X5330">
        <v>0.98838020000000004</v>
      </c>
      <c r="Y5330">
        <v>-1.6821619999999999E-2</v>
      </c>
      <c r="Z5330">
        <v>1.317786E-3</v>
      </c>
      <c r="AA5330">
        <v>0.99985769999999996</v>
      </c>
      <c r="AB5330">
        <v>38</v>
      </c>
      <c r="AC5330">
        <v>-14.8430999999999</v>
      </c>
      <c r="AD5330">
        <v>-1.107598029437</v>
      </c>
      <c r="AE5330">
        <v>-0.65180000000000804</v>
      </c>
      <c r="AF5330">
        <v>-0.25558241889928002</v>
      </c>
      <c r="AG5330">
        <v>-1.107598029437</v>
      </c>
      <c r="AH5330">
        <v>14.773080061611401</v>
      </c>
      <c r="AI5330">
        <v>94.287037172442098</v>
      </c>
      <c r="AJ5330">
        <v>90.9911496529662</v>
      </c>
      <c r="AK5330">
        <v>14.8167469531758</v>
      </c>
      <c r="AL5330">
        <v>81.261494626416606</v>
      </c>
      <c r="AM5330">
        <v>90.280164321741296</v>
      </c>
      <c r="AN5330">
        <v>1.0000000068738499</v>
      </c>
    </row>
    <row r="5331" spans="1:40" x14ac:dyDescent="0.25">
      <c r="A5331" t="str">
        <f>"20190312172223236"</f>
        <v>20190312172223236</v>
      </c>
      <c r="B5331" t="str">
        <f>"1552382543226182"</f>
        <v>1552382543226182</v>
      </c>
      <c r="C5331" t="s">
        <v>40</v>
      </c>
      <c r="D5331">
        <v>3.1940789999999999</v>
      </c>
      <c r="E5331">
        <v>0.49505919999999998</v>
      </c>
      <c r="F5331" t="s">
        <v>62</v>
      </c>
      <c r="G5331">
        <v>-280.56700000000001</v>
      </c>
      <c r="H5331" s="1">
        <v>-4.0754339999999996E-6</v>
      </c>
      <c r="I5331">
        <v>140.2543</v>
      </c>
      <c r="J5331">
        <v>-266.00720000000001</v>
      </c>
      <c r="K5331">
        <v>1.107497</v>
      </c>
      <c r="L5331">
        <v>140.86859999999999</v>
      </c>
      <c r="M5331">
        <v>-0.99967050000000002</v>
      </c>
      <c r="N5331">
        <v>0</v>
      </c>
      <c r="O5331">
        <v>-2.462232E-2</v>
      </c>
      <c r="P5331">
        <v>-0.98944169999999998</v>
      </c>
      <c r="Q5331">
        <v>0.1421839</v>
      </c>
      <c r="R5331">
        <v>-2.809331E-2</v>
      </c>
      <c r="S5331">
        <v>-3.0626220000000002</v>
      </c>
      <c r="T5331">
        <v>-0.2272739</v>
      </c>
      <c r="U5331">
        <v>-0.12773129999999999</v>
      </c>
      <c r="V5331">
        <v>-3.081926E-3</v>
      </c>
      <c r="W5331">
        <v>0.1493932</v>
      </c>
      <c r="X5331">
        <v>0.98877300000000001</v>
      </c>
      <c r="Y5331">
        <v>-1.707678E-2</v>
      </c>
      <c r="Z5331">
        <v>1.1910930000000001E-3</v>
      </c>
      <c r="AA5331">
        <v>0.99985349999999995</v>
      </c>
      <c r="AB5331">
        <v>38</v>
      </c>
      <c r="AC5331">
        <v>-14.5597999999999</v>
      </c>
      <c r="AD5331">
        <v>-1.107501075434</v>
      </c>
      <c r="AE5331">
        <v>-0.61429999999998497</v>
      </c>
      <c r="AF5331">
        <v>-0.25414041982367702</v>
      </c>
      <c r="AG5331">
        <v>-1.107501075434</v>
      </c>
      <c r="AH5331">
        <v>14.486839757059901</v>
      </c>
      <c r="AI5331">
        <v>94.371018494389801</v>
      </c>
      <c r="AJ5331">
        <v>91.005028028094898</v>
      </c>
      <c r="AK5331">
        <v>14.531334148377701</v>
      </c>
      <c r="AL5331">
        <v>81.408236187672202</v>
      </c>
      <c r="AM5331">
        <v>90.178585763096905</v>
      </c>
      <c r="AN5331">
        <v>0.99999993600155201</v>
      </c>
    </row>
    <row r="5332" spans="1:40" x14ac:dyDescent="0.25">
      <c r="A5332" t="str">
        <f>"20190312172223258"</f>
        <v>20190312172223258</v>
      </c>
      <c r="B5332" t="str">
        <f>"1552382543245702"</f>
        <v>1552382543245702</v>
      </c>
      <c r="C5332" t="s">
        <v>40</v>
      </c>
      <c r="D5332">
        <v>3.2226279999999998</v>
      </c>
      <c r="E5332">
        <v>0.4943959</v>
      </c>
      <c r="F5332" t="s">
        <v>62</v>
      </c>
      <c r="G5332">
        <v>-280.42219999999998</v>
      </c>
      <c r="H5332" s="1">
        <v>-4.021488E-6</v>
      </c>
      <c r="I5332">
        <v>140.286</v>
      </c>
      <c r="J5332">
        <v>-266.37079999999997</v>
      </c>
      <c r="K5332">
        <v>1.107415</v>
      </c>
      <c r="L5332">
        <v>140.86109999999999</v>
      </c>
      <c r="M5332">
        <v>-0.99971650000000001</v>
      </c>
      <c r="N5332">
        <v>0</v>
      </c>
      <c r="O5332">
        <v>-2.2668259999999999E-2</v>
      </c>
      <c r="P5332">
        <v>-0.98977099999999996</v>
      </c>
      <c r="Q5332">
        <v>0.14049829999999999</v>
      </c>
      <c r="R5332">
        <v>-2.477031E-2</v>
      </c>
      <c r="S5332">
        <v>-3.0623170000000002</v>
      </c>
      <c r="T5332">
        <v>-0.23527709999999999</v>
      </c>
      <c r="U5332">
        <v>-0.123764</v>
      </c>
      <c r="V5332">
        <v>-1.6674249999999999E-3</v>
      </c>
      <c r="W5332">
        <v>0.14771779999999901</v>
      </c>
      <c r="X5332">
        <v>0.98902820000000002</v>
      </c>
      <c r="Y5332">
        <v>-1.7735959999999999E-2</v>
      </c>
      <c r="Z5332">
        <v>1.058018E-3</v>
      </c>
      <c r="AA5332">
        <v>0.99984220000000001</v>
      </c>
      <c r="AB5332">
        <v>38</v>
      </c>
      <c r="AC5332">
        <v>-14.051399999999999</v>
      </c>
      <c r="AD5332">
        <v>-1.107419021488</v>
      </c>
      <c r="AE5332">
        <v>-0.57509999999999195</v>
      </c>
      <c r="AF5332">
        <v>-0.254842709205511</v>
      </c>
      <c r="AG5332">
        <v>-1.107419021488</v>
      </c>
      <c r="AH5332">
        <v>13.974172973667701</v>
      </c>
      <c r="AI5332">
        <v>94.530330720814703</v>
      </c>
      <c r="AJ5332">
        <v>91.044769757018898</v>
      </c>
      <c r="AK5332">
        <v>14.0203007098126</v>
      </c>
      <c r="AL5332">
        <v>81.505307656630094</v>
      </c>
      <c r="AM5332">
        <v>90.096596158369593</v>
      </c>
      <c r="AN5332">
        <v>1.0000000545690999</v>
      </c>
    </row>
    <row r="5333" spans="1:40" x14ac:dyDescent="0.25">
      <c r="A5333" t="str">
        <f>"20190312172223280"</f>
        <v>20190312172223280</v>
      </c>
      <c r="B5333" t="str">
        <f>"1552382543275958"</f>
        <v>1552382543275958</v>
      </c>
      <c r="C5333" t="s">
        <v>40</v>
      </c>
      <c r="D5333">
        <v>3.2036549999999999</v>
      </c>
      <c r="E5333">
        <v>0.4887244</v>
      </c>
      <c r="F5333" t="s">
        <v>62</v>
      </c>
      <c r="G5333">
        <v>-280.51960000000003</v>
      </c>
      <c r="H5333" s="1">
        <v>-4.0725649999999999E-6</v>
      </c>
      <c r="I5333">
        <v>140.31039999999999</v>
      </c>
      <c r="J5333">
        <v>-266.76159999999999</v>
      </c>
      <c r="K5333">
        <v>1.107345</v>
      </c>
      <c r="L5333">
        <v>140.85390000000001</v>
      </c>
      <c r="M5333">
        <v>-0.99976180000000003</v>
      </c>
      <c r="N5333">
        <v>0</v>
      </c>
      <c r="O5333">
        <v>-2.0569750000000001E-2</v>
      </c>
      <c r="P5333">
        <v>-0.98990089999999997</v>
      </c>
      <c r="Q5333">
        <v>0.13991289999999901</v>
      </c>
      <c r="R5333">
        <v>-2.2824230000000001E-2</v>
      </c>
      <c r="S5333">
        <v>-3.0620419999999999</v>
      </c>
      <c r="T5333">
        <v>-0.2396655</v>
      </c>
      <c r="U5333">
        <v>-0.1191864</v>
      </c>
      <c r="V5333">
        <v>-1.7746319999999999E-3</v>
      </c>
      <c r="W5333">
        <v>0.14714959999999999</v>
      </c>
      <c r="X5333">
        <v>0.98911269999999996</v>
      </c>
      <c r="Y5333">
        <v>-1.8338219999999999E-2</v>
      </c>
      <c r="Z5333">
        <v>8.9042500000000003E-4</v>
      </c>
      <c r="AA5333">
        <v>0.99983140000000004</v>
      </c>
      <c r="AB5333">
        <v>38</v>
      </c>
      <c r="AC5333">
        <v>-13.757999999999999</v>
      </c>
      <c r="AD5333">
        <v>-1.1073490725649999</v>
      </c>
      <c r="AE5333">
        <v>-0.54350000000002296</v>
      </c>
      <c r="AF5333">
        <v>-0.25870549721908198</v>
      </c>
      <c r="AG5333">
        <v>-1.1073490725649999</v>
      </c>
      <c r="AH5333">
        <v>13.6777985964642</v>
      </c>
      <c r="AI5333">
        <v>94.627724225123799</v>
      </c>
      <c r="AJ5333">
        <v>91.083578310819107</v>
      </c>
      <c r="AK5333">
        <v>13.7249890691483</v>
      </c>
      <c r="AL5333">
        <v>81.538222723375199</v>
      </c>
      <c r="AM5333">
        <v>90.102798007432796</v>
      </c>
      <c r="AN5333">
        <v>1.00000004370009</v>
      </c>
    </row>
    <row r="5334" spans="1:40" x14ac:dyDescent="0.25">
      <c r="A5334" t="str">
        <f>"20190312172223303"</f>
        <v>20190312172223303</v>
      </c>
      <c r="B5334" t="str">
        <f>"1552382543295478"</f>
        <v>1552382543295478</v>
      </c>
      <c r="C5334" t="s">
        <v>40</v>
      </c>
      <c r="D5334">
        <v>3.1924839999999999</v>
      </c>
      <c r="E5334">
        <v>0.48928519999999998</v>
      </c>
      <c r="F5334" t="s">
        <v>62</v>
      </c>
      <c r="G5334">
        <v>-281.4101</v>
      </c>
      <c r="H5334" s="1">
        <v>-4.3974350000000004E-6</v>
      </c>
      <c r="I5334">
        <v>140.09399999999999</v>
      </c>
      <c r="J5334">
        <v>-267.15159999999997</v>
      </c>
      <c r="K5334">
        <v>1.1072900000000001</v>
      </c>
      <c r="L5334">
        <v>140.8476</v>
      </c>
      <c r="M5334">
        <v>-0.99980250000000004</v>
      </c>
      <c r="N5334">
        <v>0</v>
      </c>
      <c r="O5334">
        <v>-1.8476889999999999E-2</v>
      </c>
      <c r="P5334">
        <v>-0.98983149999999998</v>
      </c>
      <c r="Q5334">
        <v>0.140624</v>
      </c>
      <c r="R5334">
        <v>-2.1408139999999999E-2</v>
      </c>
      <c r="S5334">
        <v>-3.059631</v>
      </c>
      <c r="T5334">
        <v>-0.2312921</v>
      </c>
      <c r="U5334">
        <v>-0.1587219</v>
      </c>
      <c r="V5334">
        <v>-2.4092010000000001E-3</v>
      </c>
      <c r="W5334">
        <v>0.1478787</v>
      </c>
      <c r="X5334">
        <v>0.98900259999999995</v>
      </c>
      <c r="Y5334">
        <v>-3.3302900000000003E-2</v>
      </c>
      <c r="Z5334">
        <v>1.3751629999999901E-4</v>
      </c>
      <c r="AA5334">
        <v>0.99944529999999998</v>
      </c>
      <c r="AB5334">
        <v>38</v>
      </c>
      <c r="AC5334">
        <v>-14.2585</v>
      </c>
      <c r="AD5334">
        <v>-1.10729439743499</v>
      </c>
      <c r="AE5334">
        <v>-0.75360000000000504</v>
      </c>
      <c r="AF5334">
        <v>-0.48708221503765597</v>
      </c>
      <c r="AG5334">
        <v>-1.10729439743499</v>
      </c>
      <c r="AH5334">
        <v>14.184682928965501</v>
      </c>
      <c r="AI5334">
        <v>94.460991496371093</v>
      </c>
      <c r="AJ5334">
        <v>91.966684348414105</v>
      </c>
      <c r="AK5334">
        <v>14.236171527559</v>
      </c>
      <c r="AL5334">
        <v>81.495986172291197</v>
      </c>
      <c r="AM5334">
        <v>90.139571702096703</v>
      </c>
      <c r="AN5334">
        <v>1.00000002848495</v>
      </c>
    </row>
    <row r="5335" spans="1:40" x14ac:dyDescent="0.25">
      <c r="A5335" t="str">
        <f>"20190312172223324"</f>
        <v>20190312172223324</v>
      </c>
      <c r="B5335" t="str">
        <f>"1552382543315974"</f>
        <v>1552382543315974</v>
      </c>
      <c r="C5335" t="s">
        <v>40</v>
      </c>
      <c r="D5335">
        <v>3.2333409999999998</v>
      </c>
      <c r="E5335">
        <v>0.48916769999999998</v>
      </c>
      <c r="F5335" t="s">
        <v>62</v>
      </c>
      <c r="G5335">
        <v>-281.74639999999999</v>
      </c>
      <c r="H5335" s="1">
        <v>-4.5592210000000003E-6</v>
      </c>
      <c r="I5335">
        <v>140.13310000000001</v>
      </c>
      <c r="J5335">
        <v>-267.52289999999999</v>
      </c>
      <c r="K5335">
        <v>1.107251</v>
      </c>
      <c r="L5335">
        <v>140.84229999999999</v>
      </c>
      <c r="M5335">
        <v>-0.99983730000000004</v>
      </c>
      <c r="N5335">
        <v>0</v>
      </c>
      <c r="O5335">
        <v>-1.648444E-2</v>
      </c>
      <c r="P5335">
        <v>-0.9895524</v>
      </c>
      <c r="Q5335">
        <v>0.1426751</v>
      </c>
      <c r="R5335">
        <v>-2.0733830000000002E-2</v>
      </c>
      <c r="S5335">
        <v>-3.0605769999999999</v>
      </c>
      <c r="T5335">
        <v>-0.23220360000000001</v>
      </c>
      <c r="U5335">
        <v>-0.14982599999999999</v>
      </c>
      <c r="V5335">
        <v>-3.6851119999999999E-3</v>
      </c>
      <c r="W5335">
        <v>0.1499491</v>
      </c>
      <c r="X5335">
        <v>0.98868690000000004</v>
      </c>
      <c r="Y5335">
        <v>-3.2377610000000001E-2</v>
      </c>
      <c r="Z5335" s="1">
        <v>2.2249410000000002E-5</v>
      </c>
      <c r="AA5335">
        <v>0.99947569999999997</v>
      </c>
      <c r="AB5335">
        <v>38</v>
      </c>
      <c r="AC5335">
        <v>-14.2235</v>
      </c>
      <c r="AD5335">
        <v>-1.1072555592209901</v>
      </c>
      <c r="AE5335">
        <v>-0.70919999999998096</v>
      </c>
      <c r="AF5335">
        <v>-0.471778952829083</v>
      </c>
      <c r="AG5335">
        <v>-1.1072555592209901</v>
      </c>
      <c r="AH5335">
        <v>14.147733673312301</v>
      </c>
      <c r="AI5335">
        <v>94.472588067406804</v>
      </c>
      <c r="AJ5335">
        <v>91.909912267713196</v>
      </c>
      <c r="AK5335">
        <v>14.1988365137688</v>
      </c>
      <c r="AL5335">
        <v>81.376023587804994</v>
      </c>
      <c r="AM5335">
        <v>90.213556371458907</v>
      </c>
      <c r="AN5335">
        <v>1.0000000494364301</v>
      </c>
    </row>
    <row r="5336" spans="1:40" x14ac:dyDescent="0.25">
      <c r="A5336" t="str">
        <f>"20190312172223347"</f>
        <v>20190312172223347</v>
      </c>
      <c r="B5336" t="str">
        <f>"1552382543335494"</f>
        <v>1552382543335494</v>
      </c>
      <c r="C5336" t="s">
        <v>40</v>
      </c>
      <c r="D5336">
        <v>3.2235640000000001</v>
      </c>
      <c r="E5336">
        <v>0.48842059999999998</v>
      </c>
      <c r="F5336" t="s">
        <v>62</v>
      </c>
      <c r="G5336">
        <v>-282.346</v>
      </c>
      <c r="H5336" s="1">
        <v>-4.821842E-6</v>
      </c>
      <c r="I5336">
        <v>140.12289999999999</v>
      </c>
      <c r="J5336">
        <v>-267.90539999999999</v>
      </c>
      <c r="K5336">
        <v>1.1072120000000001</v>
      </c>
      <c r="L5336">
        <v>140.83760000000001</v>
      </c>
      <c r="M5336">
        <v>-0.99986900000000001</v>
      </c>
      <c r="N5336">
        <v>0</v>
      </c>
      <c r="O5336">
        <v>-1.4424050000000001E-2</v>
      </c>
      <c r="P5336">
        <v>-0.98922390000000004</v>
      </c>
      <c r="Q5336">
        <v>0.144999499999999</v>
      </c>
      <c r="R5336">
        <v>-2.0278899999999999E-2</v>
      </c>
      <c r="S5336">
        <v>-3.061493</v>
      </c>
      <c r="T5336">
        <v>-0.2286879</v>
      </c>
      <c r="U5336">
        <v>-0.14857479999999901</v>
      </c>
      <c r="V5336">
        <v>-5.2469769999999999E-3</v>
      </c>
      <c r="W5336">
        <v>0.15229509999999999</v>
      </c>
      <c r="X5336">
        <v>0.98832109999999995</v>
      </c>
      <c r="Y5336">
        <v>-3.4006189999999999E-2</v>
      </c>
      <c r="Z5336">
        <v>-1.9236190000000001E-4</v>
      </c>
      <c r="AA5336">
        <v>0.99942160000000002</v>
      </c>
      <c r="AB5336">
        <v>38</v>
      </c>
      <c r="AC5336">
        <v>-14.4406</v>
      </c>
      <c r="AD5336">
        <v>-1.107216821842</v>
      </c>
      <c r="AE5336">
        <v>-0.71470000000002099</v>
      </c>
      <c r="AF5336">
        <v>-0.50337603296438205</v>
      </c>
      <c r="AG5336">
        <v>-1.107216821842</v>
      </c>
      <c r="AH5336">
        <v>14.3651620201985</v>
      </c>
      <c r="AI5336">
        <v>94.404752844007106</v>
      </c>
      <c r="AJ5336">
        <v>92.006905739396302</v>
      </c>
      <c r="AK5336">
        <v>14.4165597972501</v>
      </c>
      <c r="AL5336">
        <v>81.240045205614905</v>
      </c>
      <c r="AM5336">
        <v>90.304179292446094</v>
      </c>
      <c r="AN5336">
        <v>0.99999996247842804</v>
      </c>
    </row>
    <row r="5337" spans="1:40" x14ac:dyDescent="0.25">
      <c r="A5337" t="str">
        <f>"20190312172223369"</f>
        <v>20190312172223369</v>
      </c>
      <c r="B5337" t="str">
        <f>"1552382543365751"</f>
        <v>1552382543365751</v>
      </c>
      <c r="C5337" t="s">
        <v>40</v>
      </c>
      <c r="D5337">
        <v>3.1746979999999998</v>
      </c>
      <c r="E5337">
        <v>0.48775180000000001</v>
      </c>
      <c r="F5337" t="s">
        <v>62</v>
      </c>
      <c r="G5337">
        <v>-283.27629999999999</v>
      </c>
      <c r="H5337" s="1">
        <v>-5.2159089999999999E-6</v>
      </c>
      <c r="I5337">
        <v>140.0658</v>
      </c>
      <c r="J5337">
        <v>-268.29149999999998</v>
      </c>
      <c r="K5337">
        <v>1.107164</v>
      </c>
      <c r="L5337">
        <v>140.83369999999999</v>
      </c>
      <c r="M5337">
        <v>-0.99989700000000004</v>
      </c>
      <c r="N5337">
        <v>0</v>
      </c>
      <c r="O5337">
        <v>-1.232255E-2</v>
      </c>
      <c r="P5337">
        <v>-0.98922569999999999</v>
      </c>
      <c r="Q5337">
        <v>0.14505119999999999</v>
      </c>
      <c r="R5337">
        <v>-1.9815200000000002E-2</v>
      </c>
      <c r="S5337">
        <v>-3.0618590000000001</v>
      </c>
      <c r="T5337">
        <v>-0.2205551</v>
      </c>
      <c r="U5337">
        <v>-0.15374760000000001</v>
      </c>
      <c r="V5337">
        <v>-6.8459009999999997E-3</v>
      </c>
      <c r="W5337">
        <v>0.1523719</v>
      </c>
      <c r="X5337">
        <v>0.9882995</v>
      </c>
      <c r="Y5337">
        <v>-3.7773670000000002E-2</v>
      </c>
      <c r="Z5337">
        <v>-4.7199889999999998E-4</v>
      </c>
      <c r="AA5337">
        <v>0.99928620000000001</v>
      </c>
      <c r="AB5337">
        <v>39</v>
      </c>
      <c r="AC5337">
        <v>-14.9848</v>
      </c>
      <c r="AD5337">
        <v>-1.1071692159090001</v>
      </c>
      <c r="AE5337">
        <v>-0.76789999999999703</v>
      </c>
      <c r="AF5337">
        <v>-0.58002757554885598</v>
      </c>
      <c r="AG5337">
        <v>-1.1071692159090001</v>
      </c>
      <c r="AH5337">
        <v>14.9119315001857</v>
      </c>
      <c r="AI5337">
        <v>94.243063276530705</v>
      </c>
      <c r="AJ5337">
        <v>92.227504000146396</v>
      </c>
      <c r="AK5337">
        <v>14.964222556727901</v>
      </c>
      <c r="AL5337">
        <v>81.235593100012693</v>
      </c>
      <c r="AM5337">
        <v>90.396878639375899</v>
      </c>
      <c r="AN5337">
        <v>0.99999998198518003</v>
      </c>
    </row>
    <row r="5338" spans="1:40" x14ac:dyDescent="0.25">
      <c r="A5338" t="str">
        <f>"20190312172223394"</f>
        <v>20190312172223394</v>
      </c>
      <c r="B5338" t="str">
        <f>"1552382543386246"</f>
        <v>1552382543386246</v>
      </c>
      <c r="C5338" t="s">
        <v>40</v>
      </c>
      <c r="D5338">
        <v>3.2330580000000002</v>
      </c>
      <c r="E5338">
        <v>0.4876006</v>
      </c>
      <c r="F5338" t="s">
        <v>62</v>
      </c>
      <c r="G5338">
        <v>-283.85410000000002</v>
      </c>
      <c r="H5338" s="1">
        <v>-5.4600159999999998E-6</v>
      </c>
      <c r="I5338">
        <v>140.0284</v>
      </c>
      <c r="J5338">
        <v>-268.71910000000003</v>
      </c>
      <c r="K5338">
        <v>1.1071070000000001</v>
      </c>
      <c r="L5338">
        <v>140.8304</v>
      </c>
      <c r="M5338">
        <v>-0.99992329999999996</v>
      </c>
      <c r="N5338">
        <v>0</v>
      </c>
      <c r="O5338">
        <v>-9.9516009999999992E-3</v>
      </c>
      <c r="P5338">
        <v>-0.98922940000000004</v>
      </c>
      <c r="Q5338">
        <v>0.14509079999999999</v>
      </c>
      <c r="R5338">
        <v>-1.9340679999999999E-2</v>
      </c>
      <c r="S5338">
        <v>-3.061401</v>
      </c>
      <c r="T5338">
        <v>-0.21779789999999999</v>
      </c>
      <c r="U5338">
        <v>-0.15841669999999999</v>
      </c>
      <c r="V5338">
        <v>-8.6959540000000005E-3</v>
      </c>
      <c r="W5338">
        <v>0.15244070000000001</v>
      </c>
      <c r="X5338">
        <v>0.98827430000000005</v>
      </c>
      <c r="Y5338">
        <v>-4.16563E-2</v>
      </c>
      <c r="Z5338">
        <v>-7.7233640000000001E-4</v>
      </c>
      <c r="AA5338">
        <v>0.99913169999999996</v>
      </c>
      <c r="AB5338">
        <v>39</v>
      </c>
      <c r="AC5338">
        <v>-15.1349999999999</v>
      </c>
      <c r="AD5338">
        <v>-1.1071124600160001</v>
      </c>
      <c r="AE5338">
        <v>-0.80199999999999205</v>
      </c>
      <c r="AF5338">
        <v>-0.64788173107688496</v>
      </c>
      <c r="AG5338">
        <v>-1.1071124600160001</v>
      </c>
      <c r="AH5338">
        <v>15.0618645559101</v>
      </c>
      <c r="AI5338">
        <v>94.200058496350294</v>
      </c>
      <c r="AJ5338">
        <v>92.463042976037997</v>
      </c>
      <c r="AK5338">
        <v>15.1163888755604</v>
      </c>
      <c r="AL5338">
        <v>81.231604178926204</v>
      </c>
      <c r="AM5338">
        <v>90.504139999296996</v>
      </c>
      <c r="AN5338">
        <v>0.99999993933647302</v>
      </c>
    </row>
    <row r="5339" spans="1:40" x14ac:dyDescent="0.25">
      <c r="A5339" t="str">
        <f>"20190312172223415"</f>
        <v>20190312172223415</v>
      </c>
      <c r="B5339" t="str">
        <f>"1552382543405766"</f>
        <v>1552382543405766</v>
      </c>
      <c r="C5339" t="s">
        <v>40</v>
      </c>
      <c r="D5339">
        <v>3.232558</v>
      </c>
      <c r="E5339">
        <v>0.4903285</v>
      </c>
      <c r="F5339" t="s">
        <v>62</v>
      </c>
      <c r="G5339">
        <v>-284.3449</v>
      </c>
      <c r="H5339" s="1">
        <v>-5.6772499999999997E-6</v>
      </c>
      <c r="I5339">
        <v>140.02699999999999</v>
      </c>
      <c r="J5339">
        <v>-269.09460000000001</v>
      </c>
      <c r="K5339">
        <v>1.107046</v>
      </c>
      <c r="L5339">
        <v>140.82830000000001</v>
      </c>
      <c r="M5339">
        <v>-0.99994209999999994</v>
      </c>
      <c r="N5339">
        <v>0</v>
      </c>
      <c r="O5339">
        <v>-7.8156149999999997E-3</v>
      </c>
      <c r="P5339">
        <v>-0.98921740000000002</v>
      </c>
      <c r="Q5339">
        <v>0.14525629999999901</v>
      </c>
      <c r="R5339">
        <v>-1.869927E-2</v>
      </c>
      <c r="S5339">
        <v>-3.061401</v>
      </c>
      <c r="T5339">
        <v>-0.21690490000000001</v>
      </c>
      <c r="U5339">
        <v>-0.15739439999999999</v>
      </c>
      <c r="V5339">
        <v>-1.0145660000000001E-2</v>
      </c>
      <c r="W5339">
        <v>0.15263199999999999</v>
      </c>
      <c r="X5339">
        <v>0.98823099999999997</v>
      </c>
      <c r="Y5339">
        <v>-4.3448559999999997E-2</v>
      </c>
      <c r="Z5339">
        <v>-9.8358610000000009E-4</v>
      </c>
      <c r="AA5339">
        <v>0.99905520000000003</v>
      </c>
      <c r="AB5339">
        <v>39</v>
      </c>
      <c r="AC5339">
        <v>-15.2502999999999</v>
      </c>
      <c r="AD5339">
        <v>-1.1070516772500001</v>
      </c>
      <c r="AE5339">
        <v>-0.80129999999999701</v>
      </c>
      <c r="AF5339">
        <v>-0.67851611519194899</v>
      </c>
      <c r="AG5339">
        <v>-1.1070516772500001</v>
      </c>
      <c r="AH5339">
        <v>15.1763436880209</v>
      </c>
      <c r="AI5339">
        <v>94.167952375976299</v>
      </c>
      <c r="AJ5339">
        <v>92.559920801818393</v>
      </c>
      <c r="AK5339">
        <v>15.2317876584335</v>
      </c>
      <c r="AL5339">
        <v>81.220514122824</v>
      </c>
      <c r="AM5339">
        <v>90.588205668910504</v>
      </c>
      <c r="AN5339">
        <v>0.99999998560091696</v>
      </c>
    </row>
    <row r="5340" spans="1:40" x14ac:dyDescent="0.25">
      <c r="A5340" t="str">
        <f>"20190312172223436"</f>
        <v>20190312172223436</v>
      </c>
      <c r="B5340" t="str">
        <f>"1552382543426262"</f>
        <v>1552382543426262</v>
      </c>
      <c r="C5340" t="s">
        <v>40</v>
      </c>
      <c r="D5340">
        <v>3.2306620000000001</v>
      </c>
      <c r="E5340">
        <v>0.49233830000000001</v>
      </c>
      <c r="F5340" t="s">
        <v>62</v>
      </c>
      <c r="G5340">
        <v>-285.64609999999999</v>
      </c>
      <c r="H5340" s="1">
        <v>-6.4041360000000004E-6</v>
      </c>
      <c r="I5340">
        <v>140.10929999999999</v>
      </c>
      <c r="J5340">
        <v>-269.46409999999997</v>
      </c>
      <c r="K5340">
        <v>1.1069770000000001</v>
      </c>
      <c r="L5340">
        <v>140.8271</v>
      </c>
      <c r="M5340">
        <v>-0.99995650000000003</v>
      </c>
      <c r="N5340">
        <v>0</v>
      </c>
      <c r="O5340">
        <v>-5.6533929999999996E-3</v>
      </c>
      <c r="P5340">
        <v>-0.98924920000000005</v>
      </c>
      <c r="Q5340">
        <v>0.14515939999999999</v>
      </c>
      <c r="R5340">
        <v>-1.7740010000000001E-2</v>
      </c>
      <c r="S5340">
        <v>-3.0602420000000001</v>
      </c>
      <c r="T5340">
        <v>-0.2046859</v>
      </c>
      <c r="U5340">
        <v>-0.13293460000000001</v>
      </c>
      <c r="V5340">
        <v>-1.13017E-2</v>
      </c>
      <c r="W5340">
        <v>0.1525609</v>
      </c>
      <c r="X5340">
        <v>0.98822949999999998</v>
      </c>
      <c r="Y5340">
        <v>-3.7677990000000001E-2</v>
      </c>
      <c r="Z5340">
        <v>-8.805312E-4</v>
      </c>
      <c r="AA5340">
        <v>0.9992896</v>
      </c>
      <c r="AB5340">
        <v>39</v>
      </c>
      <c r="AC5340">
        <v>-16.181999999999999</v>
      </c>
      <c r="AD5340">
        <v>-1.106983404136</v>
      </c>
      <c r="AE5340">
        <v>-0.71780000000001098</v>
      </c>
      <c r="AF5340">
        <v>-0.62339125146668595</v>
      </c>
      <c r="AG5340">
        <v>-1.106983404136</v>
      </c>
      <c r="AH5340">
        <v>16.1105550266074</v>
      </c>
      <c r="AI5340">
        <v>93.927781217969695</v>
      </c>
      <c r="AJ5340">
        <v>92.215930939729105</v>
      </c>
      <c r="AK5340">
        <v>16.1605696735846</v>
      </c>
      <c r="AL5340">
        <v>81.224636702665293</v>
      </c>
      <c r="AM5340">
        <v>90.655223794812201</v>
      </c>
      <c r="AN5340">
        <v>1.0000000506509701</v>
      </c>
    </row>
    <row r="5341" spans="1:40" x14ac:dyDescent="0.25">
      <c r="A5341" t="str">
        <f>"20190312172223459"</f>
        <v>20190312172223459</v>
      </c>
      <c r="B5341" t="str">
        <f>"1552382543455605"</f>
        <v>1552382543455605</v>
      </c>
      <c r="C5341" t="s">
        <v>40</v>
      </c>
      <c r="D5341">
        <v>3.2116820000000001</v>
      </c>
      <c r="E5341">
        <v>0.49459439999999999</v>
      </c>
      <c r="F5341" t="s">
        <v>62</v>
      </c>
      <c r="G5341">
        <v>-286.73020000000002</v>
      </c>
      <c r="H5341" s="1">
        <v>-7.1036069999999899E-6</v>
      </c>
      <c r="I5341">
        <v>140.18520000000001</v>
      </c>
      <c r="J5341">
        <v>-269.8503</v>
      </c>
      <c r="K5341">
        <v>1.106903</v>
      </c>
      <c r="L5341">
        <v>140.82669999999999</v>
      </c>
      <c r="M5341">
        <v>-0.99996689999999999</v>
      </c>
      <c r="N5341">
        <v>0</v>
      </c>
      <c r="O5341">
        <v>-3.3267750000000001E-3</v>
      </c>
      <c r="P5341">
        <v>-0.9894001</v>
      </c>
      <c r="Q5341">
        <v>0.14433319999999999</v>
      </c>
      <c r="R5341">
        <v>-1.5975130000000001E-2</v>
      </c>
      <c r="S5341">
        <v>-3.0593569999999999</v>
      </c>
      <c r="T5341">
        <v>-0.1961444</v>
      </c>
      <c r="U5341">
        <v>-0.11373900000000001</v>
      </c>
      <c r="V5341">
        <v>-1.181539E-2</v>
      </c>
      <c r="W5341">
        <v>0.15175920000000001</v>
      </c>
      <c r="X5341">
        <v>0.98834690000000003</v>
      </c>
      <c r="Y5341">
        <v>-3.3764580000000002E-2</v>
      </c>
      <c r="Z5341">
        <v>-8.678917E-4</v>
      </c>
      <c r="AA5341">
        <v>0.99942949999999997</v>
      </c>
      <c r="AB5341">
        <v>39</v>
      </c>
      <c r="AC5341">
        <v>-16.879899999999999</v>
      </c>
      <c r="AD5341">
        <v>-1.1069101036069999</v>
      </c>
      <c r="AE5341">
        <v>-0.64149999999997898</v>
      </c>
      <c r="AF5341">
        <v>-0.582836594518234</v>
      </c>
      <c r="AG5341">
        <v>-1.1069101036069999</v>
      </c>
      <c r="AH5341">
        <v>16.8097603033513</v>
      </c>
      <c r="AI5341">
        <v>93.765188975657395</v>
      </c>
      <c r="AJ5341">
        <v>91.985793022800394</v>
      </c>
      <c r="AK5341">
        <v>16.8562448347638</v>
      </c>
      <c r="AL5341">
        <v>81.271111678750799</v>
      </c>
      <c r="AM5341">
        <v>90.684921188386795</v>
      </c>
      <c r="AN5341">
        <v>1.0000000264825499</v>
      </c>
    </row>
    <row r="5342" spans="1:40" x14ac:dyDescent="0.25">
      <c r="A5342" t="str">
        <f>"20190312172223482"</f>
        <v>20190312172223482</v>
      </c>
      <c r="B5342" t="str">
        <f>"1552382543476100"</f>
        <v>1552382543476100</v>
      </c>
      <c r="C5342" t="s">
        <v>40</v>
      </c>
      <c r="D5342">
        <v>3.228037</v>
      </c>
      <c r="E5342">
        <v>0.49571759999999898</v>
      </c>
      <c r="F5342" t="s">
        <v>62</v>
      </c>
      <c r="G5342">
        <v>-287.73840000000001</v>
      </c>
      <c r="H5342" s="1">
        <v>-7.7681419999999993E-6</v>
      </c>
      <c r="I5342">
        <v>140.29929999999999</v>
      </c>
      <c r="J5342">
        <v>-270.2595</v>
      </c>
      <c r="K5342">
        <v>1.1068249999999999</v>
      </c>
      <c r="L5342">
        <v>140.82740000000001</v>
      </c>
      <c r="M5342">
        <v>-0.99997190000000002</v>
      </c>
      <c r="N5342">
        <v>0</v>
      </c>
      <c r="O5342">
        <v>-7.9608499999999998E-4</v>
      </c>
      <c r="P5342">
        <v>-0.98944650000000001</v>
      </c>
      <c r="Q5342">
        <v>0.14415</v>
      </c>
      <c r="R5342">
        <v>-1.4713260000000001E-2</v>
      </c>
      <c r="S5342">
        <v>-3.0582889999999998</v>
      </c>
      <c r="T5342">
        <v>-0.18924679999999999</v>
      </c>
      <c r="U5342">
        <v>-9.017944E-2</v>
      </c>
      <c r="V5342">
        <v>-1.303113E-2</v>
      </c>
      <c r="W5342">
        <v>0.1516055</v>
      </c>
      <c r="X5342">
        <v>0.98835519999999999</v>
      </c>
      <c r="Y5342">
        <v>-2.8625129999999999E-2</v>
      </c>
      <c r="Z5342">
        <v>-8.3541819999999995E-4</v>
      </c>
      <c r="AA5342">
        <v>0.99958990000000003</v>
      </c>
      <c r="AB5342">
        <v>39</v>
      </c>
      <c r="AC5342">
        <v>-17.478899999999999</v>
      </c>
      <c r="AD5342">
        <v>-1.106832768142</v>
      </c>
      <c r="AE5342">
        <v>-0.528100000000023</v>
      </c>
      <c r="AF5342">
        <v>-0.51213301593405103</v>
      </c>
      <c r="AG5342">
        <v>-1.106832768142</v>
      </c>
      <c r="AH5342">
        <v>17.409567563511601</v>
      </c>
      <c r="AI5342">
        <v>93.636178785560901</v>
      </c>
      <c r="AJ5342">
        <v>91.684970099606502</v>
      </c>
      <c r="AK5342">
        <v>17.452231999120301</v>
      </c>
      <c r="AL5342">
        <v>81.280021068636302</v>
      </c>
      <c r="AM5342">
        <v>90.755381761852902</v>
      </c>
      <c r="AN5342">
        <v>1.00000001967318</v>
      </c>
    </row>
    <row r="5343" spans="1:40" x14ac:dyDescent="0.25">
      <c r="A5343" t="str">
        <f>"20190312172223504"</f>
        <v>20190312172223504</v>
      </c>
      <c r="B5343" t="str">
        <f>"1552382543495623"</f>
        <v>1552382543495623</v>
      </c>
      <c r="C5343" t="s">
        <v>40</v>
      </c>
      <c r="D5343">
        <v>3.2247729999999999</v>
      </c>
      <c r="E5343">
        <v>0.49657299999999899</v>
      </c>
      <c r="F5343" t="s">
        <v>62</v>
      </c>
      <c r="G5343">
        <v>-288.57920000000001</v>
      </c>
      <c r="H5343" s="1">
        <v>-8.3140840000000001E-6</v>
      </c>
      <c r="I5343">
        <v>140.36879999999999</v>
      </c>
      <c r="J5343">
        <v>-270.64909999999998</v>
      </c>
      <c r="K5343">
        <v>1.1067579999999999</v>
      </c>
      <c r="L5343">
        <v>140.82910000000001</v>
      </c>
      <c r="M5343">
        <v>-0.99997069999999999</v>
      </c>
      <c r="N5343">
        <v>0</v>
      </c>
      <c r="O5343">
        <v>1.661437E-3</v>
      </c>
      <c r="P5343">
        <v>-0.98954520000000001</v>
      </c>
      <c r="Q5343">
        <v>0.14358199999999999</v>
      </c>
      <c r="R5343">
        <v>-1.359253E-2</v>
      </c>
      <c r="S5343">
        <v>-3.0577700000000001</v>
      </c>
      <c r="T5343">
        <v>-0.1847435</v>
      </c>
      <c r="U5343">
        <v>-7.6553339999999998E-2</v>
      </c>
      <c r="V5343">
        <v>-1.432363E-2</v>
      </c>
      <c r="W5343">
        <v>0.151065899999999</v>
      </c>
      <c r="X5343">
        <v>0.98841990000000002</v>
      </c>
      <c r="Y5343">
        <v>-2.66372E-2</v>
      </c>
      <c r="Z5343">
        <v>-9.0409729999999997E-4</v>
      </c>
      <c r="AA5343">
        <v>0.9996448</v>
      </c>
      <c r="AB5343">
        <v>39</v>
      </c>
      <c r="AC5343">
        <v>-17.930099999999999</v>
      </c>
      <c r="AD5343">
        <v>-1.1067663140839901</v>
      </c>
      <c r="AE5343">
        <v>-0.46030000000001697</v>
      </c>
      <c r="AF5343">
        <v>-0.48823090147238202</v>
      </c>
      <c r="AG5343">
        <v>-1.1067663140839901</v>
      </c>
      <c r="AH5343">
        <v>17.861300374735901</v>
      </c>
      <c r="AI5343">
        <v>93.544449565270995</v>
      </c>
      <c r="AJ5343">
        <v>91.565765399698506</v>
      </c>
      <c r="AK5343">
        <v>17.9022164036659</v>
      </c>
      <c r="AL5343">
        <v>81.311297808471394</v>
      </c>
      <c r="AM5343">
        <v>90.830240371704406</v>
      </c>
      <c r="AN5343">
        <v>0.99999998561759795</v>
      </c>
    </row>
    <row r="5344" spans="1:40" x14ac:dyDescent="0.25">
      <c r="A5344" t="str">
        <f>"20190312172223525"</f>
        <v>20190312172223525</v>
      </c>
      <c r="B5344" t="str">
        <f>"1552382543516116"</f>
        <v>1552382543516116</v>
      </c>
      <c r="C5344" t="s">
        <v>40</v>
      </c>
      <c r="D5344">
        <v>3.197095</v>
      </c>
      <c r="E5344">
        <v>0.49731609999999998</v>
      </c>
      <c r="F5344" t="s">
        <v>62</v>
      </c>
      <c r="G5344">
        <v>-289.20490000000001</v>
      </c>
      <c r="H5344" s="1">
        <v>-8.7244889999999907E-6</v>
      </c>
      <c r="I5344">
        <v>140.4333</v>
      </c>
      <c r="J5344">
        <v>-271.02890000000002</v>
      </c>
      <c r="K5344">
        <v>1.1067089999999999</v>
      </c>
      <c r="L5344">
        <v>140.83170000000001</v>
      </c>
      <c r="M5344">
        <v>-0.99996359999999995</v>
      </c>
      <c r="N5344">
        <v>0</v>
      </c>
      <c r="O5344">
        <v>4.0891900000000004E-3</v>
      </c>
      <c r="P5344">
        <v>-0.98968909999999999</v>
      </c>
      <c r="Q5344">
        <v>0.14266799999999999</v>
      </c>
      <c r="R5344">
        <v>-1.2713800000000001E-2</v>
      </c>
      <c r="S5344">
        <v>-3.0572509999999999</v>
      </c>
      <c r="T5344">
        <v>-0.18235100000000001</v>
      </c>
      <c r="U5344">
        <v>-6.5216060000000006E-2</v>
      </c>
      <c r="V5344">
        <v>-1.5835869999999998E-2</v>
      </c>
      <c r="W5344">
        <v>0.1501806</v>
      </c>
      <c r="X5344">
        <v>0.98853179999999996</v>
      </c>
      <c r="Y5344">
        <v>-2.5362630000000001E-2</v>
      </c>
      <c r="Z5344">
        <v>-9.9929110000000006E-4</v>
      </c>
      <c r="AA5344">
        <v>0.99967779999999995</v>
      </c>
      <c r="AB5344">
        <v>39</v>
      </c>
      <c r="AC5344">
        <v>-18.175999999999899</v>
      </c>
      <c r="AD5344">
        <v>-1.1067177244890001</v>
      </c>
      <c r="AE5344">
        <v>-0.39840000000000902</v>
      </c>
      <c r="AF5344">
        <v>-0.47097857215347599</v>
      </c>
      <c r="AG5344">
        <v>-1.1067177244890001</v>
      </c>
      <c r="AH5344">
        <v>18.107119565820099</v>
      </c>
      <c r="AI5344">
        <v>93.496420856043699</v>
      </c>
      <c r="AJ5344">
        <v>91.489966483018506</v>
      </c>
      <c r="AK5344">
        <v>18.147022452954399</v>
      </c>
      <c r="AL5344">
        <v>81.362607731410094</v>
      </c>
      <c r="AM5344">
        <v>90.917776153310299</v>
      </c>
      <c r="AN5344">
        <v>1.0000000535031199</v>
      </c>
    </row>
    <row r="5345" spans="1:40" x14ac:dyDescent="0.25">
      <c r="A5345" t="str">
        <f>"20190312172223548"</f>
        <v>20190312172223548</v>
      </c>
      <c r="B5345" t="str">
        <f>"1552382543535636"</f>
        <v>1552382543535636</v>
      </c>
      <c r="C5345" t="s">
        <v>40</v>
      </c>
      <c r="D5345">
        <v>3.1911160000000001</v>
      </c>
      <c r="E5345">
        <v>0.49792910000000001</v>
      </c>
      <c r="F5345" t="s">
        <v>62</v>
      </c>
      <c r="G5345">
        <v>-289.68049999999999</v>
      </c>
      <c r="H5345" s="1">
        <v>-9.0236760000000007E-6</v>
      </c>
      <c r="I5345">
        <v>140.4924</v>
      </c>
      <c r="J5345">
        <v>-271.41809999999998</v>
      </c>
      <c r="K5345">
        <v>1.1066739999999999</v>
      </c>
      <c r="L5345">
        <v>140.83529999999999</v>
      </c>
      <c r="M5345">
        <v>-0.99995009999999995</v>
      </c>
      <c r="N5345">
        <v>0</v>
      </c>
      <c r="O5345">
        <v>6.5986430000000004E-3</v>
      </c>
      <c r="P5345">
        <v>-0.98969450000000003</v>
      </c>
      <c r="Q5345">
        <v>0.14272699999999999</v>
      </c>
      <c r="R5345">
        <v>-1.156714E-2</v>
      </c>
      <c r="S5345">
        <v>-3.0567319999999998</v>
      </c>
      <c r="T5345">
        <v>-0.18137510000000001</v>
      </c>
      <c r="U5345">
        <v>-5.5603029999999998E-2</v>
      </c>
      <c r="V5345">
        <v>-1.715829E-2</v>
      </c>
      <c r="W5345">
        <v>0.15026589999999901</v>
      </c>
      <c r="X5345">
        <v>0.98849670000000001</v>
      </c>
      <c r="Y5345">
        <v>-2.4729600000000001E-2</v>
      </c>
      <c r="Z5345">
        <v>-1.1241529999999999E-3</v>
      </c>
      <c r="AA5345">
        <v>0.99969359999999996</v>
      </c>
      <c r="AB5345">
        <v>39</v>
      </c>
      <c r="AC5345">
        <v>-18.2624</v>
      </c>
      <c r="AD5345">
        <v>-1.1066830236759999</v>
      </c>
      <c r="AE5345">
        <v>-0.34289999999998599</v>
      </c>
      <c r="AF5345">
        <v>-0.46170807755235599</v>
      </c>
      <c r="AG5345">
        <v>-1.1066830236759999</v>
      </c>
      <c r="AH5345">
        <v>18.1929543343003</v>
      </c>
      <c r="AI5345">
        <v>93.479912812466907</v>
      </c>
      <c r="AJ5345">
        <v>91.453763175871103</v>
      </c>
      <c r="AK5345">
        <v>18.2324301472323</v>
      </c>
      <c r="AL5345">
        <v>81.357663722976199</v>
      </c>
      <c r="AM5345">
        <v>90.994438204088397</v>
      </c>
      <c r="AN5345">
        <v>0.99999998676471102</v>
      </c>
    </row>
    <row r="5346" spans="1:40" x14ac:dyDescent="0.25">
      <c r="A5346" t="str">
        <f>"20190312172223571"</f>
        <v>20190312172223571</v>
      </c>
      <c r="B5346" t="str">
        <f>"1552382543565893"</f>
        <v>1552382543565893</v>
      </c>
      <c r="C5346" t="s">
        <v>40</v>
      </c>
      <c r="D5346">
        <v>3.1986829999999999</v>
      </c>
      <c r="E5346">
        <v>0.49871680000000002</v>
      </c>
      <c r="F5346" t="s">
        <v>62</v>
      </c>
      <c r="G5346">
        <v>-290.45030000000003</v>
      </c>
      <c r="H5346" s="1">
        <v>-9.1344739999999992E-6</v>
      </c>
      <c r="I5346">
        <v>140.5437</v>
      </c>
      <c r="J5346">
        <v>-271.83260000000001</v>
      </c>
      <c r="K5346">
        <v>1.1066499999999999</v>
      </c>
      <c r="L5346">
        <v>140.84010000000001</v>
      </c>
      <c r="M5346">
        <v>-0.9999287</v>
      </c>
      <c r="N5346">
        <v>0</v>
      </c>
      <c r="O5346">
        <v>9.2772970000000003E-3</v>
      </c>
      <c r="P5346">
        <v>-0.98967179999999999</v>
      </c>
      <c r="Q5346">
        <v>0.1429463</v>
      </c>
      <c r="R5346">
        <v>-1.0782659999999999E-2</v>
      </c>
      <c r="S5346">
        <v>-3.056305</v>
      </c>
      <c r="T5346">
        <v>-0.1777176</v>
      </c>
      <c r="U5346">
        <v>-4.6829219999999998E-2</v>
      </c>
      <c r="V5346">
        <v>-1.9013240000000001E-2</v>
      </c>
      <c r="W5346">
        <v>0.15051489999999901</v>
      </c>
      <c r="X5346">
        <v>0.98842490000000005</v>
      </c>
      <c r="Y5346">
        <v>-2.453907E-2</v>
      </c>
      <c r="Z5346">
        <v>-1.2517909999999999E-3</v>
      </c>
      <c r="AA5346">
        <v>0.99969810000000003</v>
      </c>
      <c r="AB5346">
        <v>39</v>
      </c>
      <c r="AC5346">
        <v>-18.617699999999999</v>
      </c>
      <c r="AD5346">
        <v>-1.106659134474</v>
      </c>
      <c r="AE5346">
        <v>-0.29640000000000499</v>
      </c>
      <c r="AF5346">
        <v>-0.46746280847614402</v>
      </c>
      <c r="AG5346">
        <v>-1.106659134474</v>
      </c>
      <c r="AH5346">
        <v>18.5486283385486</v>
      </c>
      <c r="AI5346">
        <v>93.413285702505604</v>
      </c>
      <c r="AJ5346">
        <v>91.443663499388705</v>
      </c>
      <c r="AK5346">
        <v>18.587491201311401</v>
      </c>
      <c r="AL5346">
        <v>81.343233156539497</v>
      </c>
      <c r="AM5346">
        <v>91.101999831094702</v>
      </c>
      <c r="AN5346">
        <v>1.00000001067865</v>
      </c>
    </row>
    <row r="5347" spans="1:40" x14ac:dyDescent="0.25">
      <c r="A5347" t="str">
        <f>"20190312172223594"</f>
        <v>20190312172223594</v>
      </c>
      <c r="B5347" t="str">
        <f>"1552382543586392"</f>
        <v>1552382543586392</v>
      </c>
      <c r="C5347" t="s">
        <v>40</v>
      </c>
      <c r="D5347">
        <v>3.1970139999999998</v>
      </c>
      <c r="E5347">
        <v>0.49918630000000003</v>
      </c>
      <c r="F5347" t="s">
        <v>62</v>
      </c>
      <c r="G5347">
        <v>-291.47000000000003</v>
      </c>
      <c r="H5347" s="1">
        <v>-9.0547580000000002E-6</v>
      </c>
      <c r="I5347">
        <v>140.5977</v>
      </c>
      <c r="J5347">
        <v>-272.23910000000001</v>
      </c>
      <c r="K5347">
        <v>1.1066320000000001</v>
      </c>
      <c r="L5347">
        <v>140.846</v>
      </c>
      <c r="M5347">
        <v>-0.99990080000000003</v>
      </c>
      <c r="N5347">
        <v>0</v>
      </c>
      <c r="O5347">
        <v>1.189013E-2</v>
      </c>
      <c r="P5347">
        <v>-0.98967830000000001</v>
      </c>
      <c r="Q5347">
        <v>0.14292750000000001</v>
      </c>
      <c r="R5347">
        <v>-1.0409119999999999E-2</v>
      </c>
      <c r="S5347">
        <v>-3.0557859999999999</v>
      </c>
      <c r="T5347">
        <v>-0.17220759999999999</v>
      </c>
      <c r="U5347">
        <v>-3.7734990000000003E-2</v>
      </c>
      <c r="V5347">
        <v>-2.1218919999999999E-2</v>
      </c>
      <c r="W5347">
        <v>0.15052760000000001</v>
      </c>
      <c r="X5347">
        <v>0.98837799999999998</v>
      </c>
      <c r="Y5347">
        <v>-2.4179220000000001E-2</v>
      </c>
      <c r="Z5347">
        <v>-1.3502659999999999E-3</v>
      </c>
      <c r="AA5347">
        <v>0.99970669999999995</v>
      </c>
      <c r="AB5347">
        <v>39</v>
      </c>
      <c r="AC5347">
        <v>-19.230899999999998</v>
      </c>
      <c r="AD5347">
        <v>-1.1066410547579999</v>
      </c>
      <c r="AE5347">
        <v>-0.24829999999999999</v>
      </c>
      <c r="AF5347">
        <v>-0.47537296897834203</v>
      </c>
      <c r="AG5347">
        <v>-1.1066410547579999</v>
      </c>
      <c r="AH5347">
        <v>19.163141441977</v>
      </c>
      <c r="AI5347">
        <v>93.304055544430597</v>
      </c>
      <c r="AJ5347">
        <v>91.421023794806601</v>
      </c>
      <c r="AK5347">
        <v>19.2009537213371</v>
      </c>
      <c r="AL5347">
        <v>81.342496461933493</v>
      </c>
      <c r="AM5347">
        <v>91.229861283579694</v>
      </c>
      <c r="AN5347">
        <v>0.999999935905861</v>
      </c>
    </row>
    <row r="5348" spans="1:40" x14ac:dyDescent="0.25">
      <c r="A5348" t="str">
        <f>"20190312172223616"</f>
        <v>20190312172223616</v>
      </c>
      <c r="B5348" t="str">
        <f>"1552382543605908"</f>
        <v>1552382543605908</v>
      </c>
      <c r="C5348" t="s">
        <v>40</v>
      </c>
      <c r="D5348">
        <v>3.1628159999999998</v>
      </c>
      <c r="E5348">
        <v>0.4996102</v>
      </c>
      <c r="F5348" t="s">
        <v>62</v>
      </c>
      <c r="G5348">
        <v>-292.1361</v>
      </c>
      <c r="H5348" s="1">
        <v>-9.0062019999999906E-6</v>
      </c>
      <c r="I5348">
        <v>140.6354</v>
      </c>
      <c r="J5348">
        <v>-272.63060000000002</v>
      </c>
      <c r="K5348">
        <v>1.106625</v>
      </c>
      <c r="L5348">
        <v>140.85249999999999</v>
      </c>
      <c r="M5348">
        <v>-0.99986819999999998</v>
      </c>
      <c r="N5348">
        <v>0</v>
      </c>
      <c r="O5348">
        <v>1.437444E-2</v>
      </c>
      <c r="P5348">
        <v>-0.98974459999999997</v>
      </c>
      <c r="Q5348">
        <v>0.14248229999999901</v>
      </c>
      <c r="R5348">
        <v>-1.0247569999999999E-2</v>
      </c>
      <c r="S5348">
        <v>-3.0554809999999999</v>
      </c>
      <c r="T5348">
        <v>-0.16994119999999999</v>
      </c>
      <c r="U5348">
        <v>-3.233337E-2</v>
      </c>
      <c r="V5348">
        <v>-2.3517929999999999E-2</v>
      </c>
      <c r="W5348">
        <v>0.15011269999999999</v>
      </c>
      <c r="X5348">
        <v>0.98838910000000002</v>
      </c>
      <c r="Y5348">
        <v>-2.4893769999999999E-2</v>
      </c>
      <c r="Z5348">
        <v>-1.490585E-3</v>
      </c>
      <c r="AA5348">
        <v>0.99968900000000005</v>
      </c>
      <c r="AB5348">
        <v>40</v>
      </c>
      <c r="AC5348">
        <v>-19.505499999999898</v>
      </c>
      <c r="AD5348">
        <v>-1.1066340062019999</v>
      </c>
      <c r="AE5348">
        <v>-0.217099999999987</v>
      </c>
      <c r="AF5348">
        <v>-0.495870284169175</v>
      </c>
      <c r="AG5348">
        <v>-1.1066340062019999</v>
      </c>
      <c r="AH5348">
        <v>19.437805207151101</v>
      </c>
      <c r="AI5348">
        <v>93.257390975661295</v>
      </c>
      <c r="AJ5348">
        <v>91.461333381102406</v>
      </c>
      <c r="AK5348">
        <v>19.475594918603999</v>
      </c>
      <c r="AL5348">
        <v>81.366541947285</v>
      </c>
      <c r="AM5348">
        <v>91.363050159436199</v>
      </c>
      <c r="AN5348">
        <v>0.99999996436579097</v>
      </c>
    </row>
    <row r="5349" spans="1:40" x14ac:dyDescent="0.25">
      <c r="A5349" t="str">
        <f>"20190312172223638"</f>
        <v>20190312172223638</v>
      </c>
      <c r="B5349" t="str">
        <f>"1552382543626404"</f>
        <v>1552382543626404</v>
      </c>
      <c r="C5349" t="s">
        <v>40</v>
      </c>
      <c r="D5349">
        <v>3.1647949999999998</v>
      </c>
      <c r="E5349">
        <v>0.49991609999999997</v>
      </c>
      <c r="F5349" t="s">
        <v>62</v>
      </c>
      <c r="G5349">
        <v>-292.63490000000002</v>
      </c>
      <c r="H5349" s="1">
        <v>-8.9714050000000005E-6</v>
      </c>
      <c r="I5349">
        <v>140.6696</v>
      </c>
      <c r="J5349">
        <v>-273.01179999999999</v>
      </c>
      <c r="K5349">
        <v>1.1066290000000001</v>
      </c>
      <c r="L5349">
        <v>140.85980000000001</v>
      </c>
      <c r="M5349">
        <v>-0.99983120000000003</v>
      </c>
      <c r="N5349">
        <v>0</v>
      </c>
      <c r="O5349">
        <v>1.6744459999999999E-2</v>
      </c>
      <c r="P5349">
        <v>-0.98973940000000005</v>
      </c>
      <c r="Q5349">
        <v>0.1425855</v>
      </c>
      <c r="R5349">
        <v>-9.2447329999999998E-3</v>
      </c>
      <c r="S5349">
        <v>-3.0550839999999999</v>
      </c>
      <c r="T5349">
        <v>-0.1690075</v>
      </c>
      <c r="U5349">
        <v>-2.793884E-2</v>
      </c>
      <c r="V5349">
        <v>-2.486298E-2</v>
      </c>
      <c r="W5349">
        <v>0.1502386</v>
      </c>
      <c r="X5349">
        <v>0.98833709999999997</v>
      </c>
      <c r="Y5349">
        <v>-2.582253E-2</v>
      </c>
      <c r="Z5349">
        <v>-1.6392819999999999E-3</v>
      </c>
      <c r="AA5349">
        <v>0.99966520000000003</v>
      </c>
      <c r="AB5349">
        <v>40</v>
      </c>
      <c r="AC5349">
        <v>-19.623100000000001</v>
      </c>
      <c r="AD5349">
        <v>-1.1066379714049901</v>
      </c>
      <c r="AE5349">
        <v>-0.190200000000004</v>
      </c>
      <c r="AF5349">
        <v>-0.51711648199306204</v>
      </c>
      <c r="AG5349">
        <v>-1.1066379714049901</v>
      </c>
      <c r="AH5349">
        <v>19.554977857446602</v>
      </c>
      <c r="AI5349">
        <v>93.237847740426403</v>
      </c>
      <c r="AJ5349">
        <v>91.514790180025003</v>
      </c>
      <c r="AK5349">
        <v>19.593091028751299</v>
      </c>
      <c r="AL5349">
        <v>81.359246095544194</v>
      </c>
      <c r="AM5349">
        <v>91.441050254864905</v>
      </c>
      <c r="AN5349">
        <v>1.0000000139704199</v>
      </c>
    </row>
    <row r="5350" spans="1:40" x14ac:dyDescent="0.25">
      <c r="A5350" t="str">
        <f>"20190312172223661"</f>
        <v>20190312172223661</v>
      </c>
      <c r="B5350" t="str">
        <f>"1552382543656191"</f>
        <v>1552382543656191</v>
      </c>
      <c r="C5350" t="s">
        <v>40</v>
      </c>
      <c r="D5350">
        <v>3.201314</v>
      </c>
      <c r="E5350">
        <v>0.50047609999999998</v>
      </c>
      <c r="F5350" t="s">
        <v>62</v>
      </c>
      <c r="G5350">
        <v>-293.35480000000001</v>
      </c>
      <c r="H5350" s="1">
        <v>-8.9181550000000007E-6</v>
      </c>
      <c r="I5350">
        <v>140.70750000000001</v>
      </c>
      <c r="J5350">
        <v>-273.41230000000002</v>
      </c>
      <c r="K5350">
        <v>1.1066469999999999</v>
      </c>
      <c r="L5350">
        <v>140.8683</v>
      </c>
      <c r="M5350">
        <v>-0.9997876</v>
      </c>
      <c r="N5350">
        <v>0</v>
      </c>
      <c r="O5350">
        <v>1.9166909999999999E-2</v>
      </c>
      <c r="P5350">
        <v>-0.98979220000000001</v>
      </c>
      <c r="Q5350">
        <v>0.14225260000000001</v>
      </c>
      <c r="R5350">
        <v>-8.7126589999999993E-3</v>
      </c>
      <c r="S5350">
        <v>-3.05484</v>
      </c>
      <c r="T5350">
        <v>-0.1661801</v>
      </c>
      <c r="U5350">
        <v>-2.2872920000000001E-2</v>
      </c>
      <c r="V5350">
        <v>-2.674083E-2</v>
      </c>
      <c r="W5350">
        <v>0.14993029999999999</v>
      </c>
      <c r="X5350">
        <v>0.98833490000000002</v>
      </c>
      <c r="Y5350">
        <v>-2.6585129999999998E-2</v>
      </c>
      <c r="Z5350">
        <v>-1.7644329999999999E-3</v>
      </c>
      <c r="AA5350">
        <v>0.99964500000000001</v>
      </c>
      <c r="AB5350">
        <v>40</v>
      </c>
      <c r="AC5350">
        <v>-19.9424999999999</v>
      </c>
      <c r="AD5350">
        <v>-1.106655918155</v>
      </c>
      <c r="AE5350">
        <v>-0.160799999999994</v>
      </c>
      <c r="AF5350">
        <v>-0.54135060301383398</v>
      </c>
      <c r="AG5350">
        <v>-1.106655918155</v>
      </c>
      <c r="AH5350">
        <v>19.874556464779101</v>
      </c>
      <c r="AI5350">
        <v>93.185875804679497</v>
      </c>
      <c r="AJ5350">
        <v>91.560258083110696</v>
      </c>
      <c r="AK5350">
        <v>19.912703042737899</v>
      </c>
      <c r="AL5350">
        <v>81.377112815130104</v>
      </c>
      <c r="AM5350">
        <v>91.549842058862794</v>
      </c>
      <c r="AN5350">
        <v>1.0000000207025901</v>
      </c>
    </row>
    <row r="5351" spans="1:40" x14ac:dyDescent="0.25">
      <c r="A5351" t="str">
        <f>"20190312172223673"</f>
        <v>20190312172223673</v>
      </c>
      <c r="B5351" t="str">
        <f>"1552382543665951"</f>
        <v>1552382543665951</v>
      </c>
      <c r="C5351" t="s">
        <v>40</v>
      </c>
      <c r="D5351">
        <v>3.1815349999999998</v>
      </c>
      <c r="E5351">
        <v>0.50064179999999903</v>
      </c>
      <c r="F5351" t="s">
        <v>62</v>
      </c>
      <c r="G5351">
        <v>-293.85419999999999</v>
      </c>
      <c r="H5351" s="1">
        <v>-8.8868639999999994E-6</v>
      </c>
      <c r="I5351">
        <v>140.7552</v>
      </c>
      <c r="J5351">
        <v>-273.65219999999999</v>
      </c>
      <c r="K5351">
        <v>1.10667</v>
      </c>
      <c r="L5351">
        <v>140.874</v>
      </c>
      <c r="M5351">
        <v>-0.99975959999999997</v>
      </c>
      <c r="N5351">
        <v>0</v>
      </c>
      <c r="O5351">
        <v>2.0567499999999999E-2</v>
      </c>
      <c r="P5351">
        <v>-0.98986070000000004</v>
      </c>
      <c r="Q5351">
        <v>0.14182500000000001</v>
      </c>
      <c r="R5351">
        <v>-7.8446269999999999E-3</v>
      </c>
      <c r="S5351">
        <v>-3.0545650000000002</v>
      </c>
      <c r="T5351">
        <v>-0.1653636</v>
      </c>
      <c r="U5351">
        <v>-1.690674E-2</v>
      </c>
      <c r="V5351">
        <v>-2.7272279999999999E-2</v>
      </c>
      <c r="W5351">
        <v>0.14951349999999999</v>
      </c>
      <c r="X5351">
        <v>0.98838349999999997</v>
      </c>
      <c r="Y5351">
        <v>-2.6033190000000001E-2</v>
      </c>
      <c r="Z5351">
        <v>-1.816771E-3</v>
      </c>
      <c r="AA5351">
        <v>0.99965939999999998</v>
      </c>
      <c r="AB5351">
        <v>40</v>
      </c>
      <c r="AC5351">
        <v>-20.202000000000002</v>
      </c>
      <c r="AD5351">
        <v>-1.1066788868640001</v>
      </c>
      <c r="AE5351">
        <v>-0.11879999999999299</v>
      </c>
      <c r="AF5351">
        <v>-0.53269298129361198</v>
      </c>
      <c r="AG5351">
        <v>-1.1066788868640001</v>
      </c>
      <c r="AH5351">
        <v>20.134861832295002</v>
      </c>
      <c r="AI5351">
        <v>93.144902709001002</v>
      </c>
      <c r="AJ5351">
        <v>91.515478077066703</v>
      </c>
      <c r="AK5351">
        <v>20.172286954546401</v>
      </c>
      <c r="AL5351">
        <v>81.401265797214805</v>
      </c>
      <c r="AM5351">
        <v>91.5805506237472</v>
      </c>
      <c r="AN5351">
        <v>1.0000000035054399</v>
      </c>
    </row>
    <row r="5352" spans="1:40" x14ac:dyDescent="0.25">
      <c r="A5352" t="str">
        <f>"20190312172223695"</f>
        <v>20190312172223695</v>
      </c>
      <c r="B5352" t="str">
        <f>"1552382543685475"</f>
        <v>1552382543685475</v>
      </c>
      <c r="C5352" t="s">
        <v>40</v>
      </c>
      <c r="D5352">
        <v>3.1930990000000001</v>
      </c>
      <c r="E5352">
        <v>0.50089229999999996</v>
      </c>
      <c r="F5352" t="s">
        <v>62</v>
      </c>
      <c r="G5352">
        <v>-293.99779999999998</v>
      </c>
      <c r="H5352" s="1">
        <v>-8.8826689999999906E-6</v>
      </c>
      <c r="I5352">
        <v>140.78710000000001</v>
      </c>
      <c r="J5352">
        <v>-274.03019999999998</v>
      </c>
      <c r="K5352">
        <v>1.106711</v>
      </c>
      <c r="L5352">
        <v>140.88339999999999</v>
      </c>
      <c r="M5352">
        <v>-0.99971279999999996</v>
      </c>
      <c r="N5352">
        <v>0</v>
      </c>
      <c r="O5352">
        <v>2.27283E-2</v>
      </c>
      <c r="P5352">
        <v>-0.99000639999999995</v>
      </c>
      <c r="Q5352">
        <v>0.140864299999999</v>
      </c>
      <c r="R5352">
        <v>-6.6751780000000004E-3</v>
      </c>
      <c r="S5352">
        <v>-3.0544739999999999</v>
      </c>
      <c r="T5352">
        <v>-0.1661455</v>
      </c>
      <c r="U5352">
        <v>-1.304626E-2</v>
      </c>
      <c r="V5352">
        <v>-2.8267E-2</v>
      </c>
      <c r="W5352">
        <v>0.14857049999999999</v>
      </c>
      <c r="X5352">
        <v>0.98849770000000003</v>
      </c>
      <c r="Y5352">
        <v>-2.692541E-2</v>
      </c>
      <c r="Z5352">
        <v>-1.9670870000000002E-3</v>
      </c>
      <c r="AA5352">
        <v>0.99963550000000001</v>
      </c>
      <c r="AB5352">
        <v>40</v>
      </c>
      <c r="AC5352">
        <v>-19.967600000000001</v>
      </c>
      <c r="AD5352">
        <v>-1.1067198826689999</v>
      </c>
      <c r="AE5352">
        <v>-9.6299999999985106E-2</v>
      </c>
      <c r="AF5352">
        <v>-0.54843307155384502</v>
      </c>
      <c r="AG5352">
        <v>-1.1067198826689999</v>
      </c>
      <c r="AH5352">
        <v>19.899123814539202</v>
      </c>
      <c r="AI5352">
        <v>93.182106144055993</v>
      </c>
      <c r="AJ5352">
        <v>91.578710102334796</v>
      </c>
      <c r="AK5352">
        <v>19.9374205031401</v>
      </c>
      <c r="AL5352">
        <v>81.455905627112202</v>
      </c>
      <c r="AM5352">
        <v>91.637979084980401</v>
      </c>
      <c r="AN5352">
        <v>0.99999995983226897</v>
      </c>
    </row>
    <row r="5353" spans="1:40" x14ac:dyDescent="0.25">
      <c r="A5353" t="str">
        <f>"20190312172223707"</f>
        <v>20190312172223707</v>
      </c>
      <c r="B5353" t="str">
        <f>"1552382543696210"</f>
        <v>1552382543696210</v>
      </c>
      <c r="C5353" t="s">
        <v>40</v>
      </c>
      <c r="D5353">
        <v>3.1543739999999998</v>
      </c>
      <c r="E5353">
        <v>0.50101909999999905</v>
      </c>
      <c r="F5353" t="s">
        <v>62</v>
      </c>
      <c r="G5353">
        <v>-294.18259999999998</v>
      </c>
      <c r="H5353" s="1">
        <v>-8.8790840000000007E-6</v>
      </c>
      <c r="I5353">
        <v>140.83510000000001</v>
      </c>
      <c r="J5353">
        <v>-274.25810000000001</v>
      </c>
      <c r="K5353">
        <v>1.1067400000000001</v>
      </c>
      <c r="L5353">
        <v>140.88939999999999</v>
      </c>
      <c r="M5353">
        <v>-0.99968319999999999</v>
      </c>
      <c r="N5353">
        <v>0</v>
      </c>
      <c r="O5353">
        <v>2.399095E-2</v>
      </c>
      <c r="P5353">
        <v>-0.99009780000000003</v>
      </c>
      <c r="Q5353">
        <v>0.14025979999999999</v>
      </c>
      <c r="R5353">
        <v>-5.8349830000000002E-3</v>
      </c>
      <c r="S5353">
        <v>-3.0541079999999998</v>
      </c>
      <c r="T5353">
        <v>-0.16772400000000001</v>
      </c>
      <c r="U5353">
        <v>-7.3242189999999999E-3</v>
      </c>
      <c r="V5353">
        <v>-2.869333E-2</v>
      </c>
      <c r="W5353">
        <v>0.14797489999999999</v>
      </c>
      <c r="X5353">
        <v>0.98857479999999998</v>
      </c>
      <c r="Y5353">
        <v>-2.631323E-2</v>
      </c>
      <c r="Z5353">
        <v>-2.0384660000000001E-3</v>
      </c>
      <c r="AA5353">
        <v>0.99965170000000003</v>
      </c>
      <c r="AB5353">
        <v>40</v>
      </c>
      <c r="AC5353">
        <v>-19.924499999999899</v>
      </c>
      <c r="AD5353">
        <v>-1.1067488790839899</v>
      </c>
      <c r="AE5353">
        <v>-5.42999999999835E-2</v>
      </c>
      <c r="AF5353">
        <v>-0.53066854333925495</v>
      </c>
      <c r="AG5353">
        <v>-1.1067488790839899</v>
      </c>
      <c r="AH5353">
        <v>19.856196642098201</v>
      </c>
      <c r="AI5353">
        <v>93.189126828749707</v>
      </c>
      <c r="AJ5353">
        <v>91.530899018104606</v>
      </c>
      <c r="AK5353">
        <v>19.894095789301801</v>
      </c>
      <c r="AL5353">
        <v>81.490412817499106</v>
      </c>
      <c r="AM5353">
        <v>91.662540132814598</v>
      </c>
      <c r="AN5353">
        <v>1.0000000067057599</v>
      </c>
    </row>
    <row r="5354" spans="1:40" x14ac:dyDescent="0.25">
      <c r="A5354" t="str">
        <f>"20190312172223719"</f>
        <v>20190312172223719</v>
      </c>
      <c r="B5354" t="str">
        <f>"1552382543715728"</f>
        <v>1552382543715728</v>
      </c>
      <c r="C5354" t="s">
        <v>40</v>
      </c>
      <c r="D5354">
        <v>3.272465</v>
      </c>
      <c r="E5354">
        <v>0.50118180000000001</v>
      </c>
      <c r="F5354" t="s">
        <v>62</v>
      </c>
      <c r="G5354">
        <v>-294.27480000000003</v>
      </c>
      <c r="H5354" s="1">
        <v>-8.8792529999999996E-6</v>
      </c>
      <c r="I5354">
        <v>140.8664</v>
      </c>
      <c r="J5354">
        <v>-274.48020000000002</v>
      </c>
      <c r="K5354">
        <v>1.10677</v>
      </c>
      <c r="L5354">
        <v>140.8955</v>
      </c>
      <c r="M5354">
        <v>-0.99965329999999997</v>
      </c>
      <c r="N5354">
        <v>0</v>
      </c>
      <c r="O5354">
        <v>2.5201189999999998E-2</v>
      </c>
      <c r="P5354">
        <v>-0.9901527</v>
      </c>
      <c r="Q5354">
        <v>0.13990710000000001</v>
      </c>
      <c r="R5354">
        <v>-4.8688109999999998E-3</v>
      </c>
      <c r="S5354">
        <v>-3.0538940000000001</v>
      </c>
      <c r="T5354">
        <v>-0.16885359999999999</v>
      </c>
      <c r="U5354">
        <v>-3.5095209999999998E-3</v>
      </c>
      <c r="V5354">
        <v>-2.8940899999999999E-2</v>
      </c>
      <c r="W5354">
        <v>0.1476297</v>
      </c>
      <c r="X5354">
        <v>0.98861920000000003</v>
      </c>
      <c r="Y5354">
        <v>-2.6272130000000001E-2</v>
      </c>
      <c r="Z5354">
        <v>-2.1180320000000002E-3</v>
      </c>
      <c r="AA5354">
        <v>0.9996526</v>
      </c>
      <c r="AB5354">
        <v>40</v>
      </c>
      <c r="AC5354">
        <v>-19.794599999999999</v>
      </c>
      <c r="AD5354">
        <v>-1.106778879253</v>
      </c>
      <c r="AE5354">
        <v>-2.9099999999999598E-2</v>
      </c>
      <c r="AF5354">
        <v>-0.52630736280993395</v>
      </c>
      <c r="AG5354">
        <v>-1.106778879253</v>
      </c>
      <c r="AH5354">
        <v>19.725910841751201</v>
      </c>
      <c r="AI5354">
        <v>93.210237126094896</v>
      </c>
      <c r="AJ5354">
        <v>91.528347072036297</v>
      </c>
      <c r="AK5354">
        <v>19.763944886191801</v>
      </c>
      <c r="AL5354">
        <v>81.510411018149895</v>
      </c>
      <c r="AM5354">
        <v>91.676801335521702</v>
      </c>
      <c r="AN5354">
        <v>1.0000000133117699</v>
      </c>
    </row>
    <row r="5355" spans="1:40" x14ac:dyDescent="0.25">
      <c r="A5355" t="str">
        <f>"20190312172223732"</f>
        <v>20190312172223732</v>
      </c>
      <c r="B5355" t="str">
        <f>"1552382543726463"</f>
        <v>1552382543726463</v>
      </c>
      <c r="C5355" t="s">
        <v>40</v>
      </c>
      <c r="D5355">
        <v>3.2711260000000002</v>
      </c>
      <c r="E5355">
        <v>0.50124979999999997</v>
      </c>
      <c r="F5355" t="s">
        <v>62</v>
      </c>
      <c r="G5355">
        <v>-294.50990000000002</v>
      </c>
      <c r="H5355" s="1">
        <v>-8.8674839999999905E-6</v>
      </c>
      <c r="I5355">
        <v>140.90010000000001</v>
      </c>
      <c r="J5355">
        <v>-274.69330000000002</v>
      </c>
      <c r="K5355">
        <v>1.106806</v>
      </c>
      <c r="L5355">
        <v>140.90170000000001</v>
      </c>
      <c r="M5355">
        <v>-0.99962459999999997</v>
      </c>
      <c r="N5355">
        <v>0</v>
      </c>
      <c r="O5355">
        <v>2.631267E-2</v>
      </c>
      <c r="P5355">
        <v>-0.99020949999999996</v>
      </c>
      <c r="Q5355">
        <v>0.1395362</v>
      </c>
      <c r="R5355">
        <v>-3.8283549999999999E-3</v>
      </c>
      <c r="S5355">
        <v>-3.0537109999999998</v>
      </c>
      <c r="T5355">
        <v>-0.16873850000000001</v>
      </c>
      <c r="U5355">
        <v>7.0190429999999896E-4</v>
      </c>
      <c r="V5355">
        <v>-2.901745E-2</v>
      </c>
      <c r="W5355">
        <v>0.1472646</v>
      </c>
      <c r="X5355">
        <v>0.98867139999999998</v>
      </c>
      <c r="Y5355">
        <v>-2.600386E-2</v>
      </c>
      <c r="Z5355">
        <v>-2.1706609999999999E-3</v>
      </c>
      <c r="AA5355">
        <v>0.99965950000000003</v>
      </c>
      <c r="AB5355">
        <v>40</v>
      </c>
      <c r="AC5355">
        <v>-19.816599999999902</v>
      </c>
      <c r="AD5355">
        <v>-1.1068148674839999</v>
      </c>
      <c r="AE5355">
        <v>-1.59999999999627E-3</v>
      </c>
      <c r="AF5355">
        <v>-0.52141572183611795</v>
      </c>
      <c r="AG5355">
        <v>-1.1068148674839999</v>
      </c>
      <c r="AH5355">
        <v>19.748091114528599</v>
      </c>
      <c r="AI5355">
        <v>93.206766661405595</v>
      </c>
      <c r="AJ5355">
        <v>91.512449008879102</v>
      </c>
      <c r="AK5355">
        <v>19.785955023035498</v>
      </c>
      <c r="AL5355">
        <v>81.531560814007307</v>
      </c>
      <c r="AM5355">
        <v>91.6811452943668</v>
      </c>
      <c r="AN5355">
        <v>1.00000000599781</v>
      </c>
    </row>
    <row r="5356" spans="1:40" x14ac:dyDescent="0.25">
      <c r="A5356" t="str">
        <f>"20190312172223744"</f>
        <v>20190312172223744</v>
      </c>
      <c r="B5356" t="str">
        <f>"1552382543736223"</f>
        <v>1552382543736223</v>
      </c>
      <c r="C5356" t="s">
        <v>40</v>
      </c>
      <c r="D5356">
        <v>3.1525840000000001</v>
      </c>
      <c r="E5356">
        <v>0.50130810000000003</v>
      </c>
      <c r="F5356" t="s">
        <v>62</v>
      </c>
      <c r="G5356">
        <v>-294.68459999999999</v>
      </c>
      <c r="H5356" s="1">
        <v>-8.8602020000000008E-6</v>
      </c>
      <c r="I5356">
        <v>140.9307</v>
      </c>
      <c r="J5356">
        <v>-274.92079999999999</v>
      </c>
      <c r="K5356">
        <v>1.1068480000000001</v>
      </c>
      <c r="L5356">
        <v>140.9085</v>
      </c>
      <c r="M5356">
        <v>-0.99959310000000001</v>
      </c>
      <c r="N5356">
        <v>0</v>
      </c>
      <c r="O5356">
        <v>2.747848E-2</v>
      </c>
      <c r="P5356">
        <v>-0.9902533</v>
      </c>
      <c r="Q5356">
        <v>0.13925660000000001</v>
      </c>
      <c r="R5356">
        <v>-2.4287100000000002E-3</v>
      </c>
      <c r="S5356">
        <v>-3.0534970000000001</v>
      </c>
      <c r="T5356">
        <v>-0.1690565</v>
      </c>
      <c r="U5356">
        <v>4.4250490000000003E-3</v>
      </c>
      <c r="V5356">
        <v>-2.8789519999999999E-2</v>
      </c>
      <c r="W5356">
        <v>0.1469896</v>
      </c>
      <c r="X5356">
        <v>0.98871900000000001</v>
      </c>
      <c r="Y5356">
        <v>-2.5948820000000001E-2</v>
      </c>
      <c r="Z5356">
        <v>-2.2378480000000002E-3</v>
      </c>
      <c r="AA5356">
        <v>0.99966080000000002</v>
      </c>
      <c r="AB5356">
        <v>40</v>
      </c>
      <c r="AC5356">
        <v>-19.7638</v>
      </c>
      <c r="AD5356">
        <v>-1.1068568602019999</v>
      </c>
      <c r="AE5356">
        <v>2.2199999999997999E-2</v>
      </c>
      <c r="AF5356">
        <v>-0.51927477942640898</v>
      </c>
      <c r="AG5356">
        <v>-1.1068568602019999</v>
      </c>
      <c r="AH5356">
        <v>19.6951733306481</v>
      </c>
      <c r="AI5356">
        <v>93.215489607007498</v>
      </c>
      <c r="AJ5356">
        <v>91.510286891555495</v>
      </c>
      <c r="AK5356">
        <v>19.733084678524001</v>
      </c>
      <c r="AL5356">
        <v>81.547490625626594</v>
      </c>
      <c r="AM5356">
        <v>91.667867252051806</v>
      </c>
      <c r="AN5356">
        <v>1.0000000199654899</v>
      </c>
    </row>
    <row r="5357" spans="1:40" x14ac:dyDescent="0.25">
      <c r="A5357" t="str">
        <f>"20190312172223760"</f>
        <v>20190312172223760</v>
      </c>
      <c r="B5357" t="str">
        <f>"1552382543755744"</f>
        <v>1552382543755744</v>
      </c>
      <c r="C5357" t="s">
        <v>40</v>
      </c>
      <c r="D5357">
        <v>3.1737980000000001</v>
      </c>
      <c r="E5357">
        <v>0.50143369999999998</v>
      </c>
      <c r="F5357" t="s">
        <v>62</v>
      </c>
      <c r="G5357">
        <v>-294.9151</v>
      </c>
      <c r="H5357" s="1">
        <v>-8.8496669999999906E-6</v>
      </c>
      <c r="I5357">
        <v>140.9675</v>
      </c>
      <c r="J5357">
        <v>-275.21230000000003</v>
      </c>
      <c r="K5357">
        <v>1.1069070000000001</v>
      </c>
      <c r="L5357">
        <v>140.91739999999999</v>
      </c>
      <c r="M5357">
        <v>-0.99955240000000001</v>
      </c>
      <c r="N5357">
        <v>0</v>
      </c>
      <c r="O5357">
        <v>2.89214E-2</v>
      </c>
      <c r="P5357">
        <v>-0.99022069999999995</v>
      </c>
      <c r="Q5357">
        <v>0.13950839999999901</v>
      </c>
      <c r="R5357">
        <v>-6.3507579999999998E-4</v>
      </c>
      <c r="S5357">
        <v>-3.0532840000000001</v>
      </c>
      <c r="T5357">
        <v>-0.16902539999999999</v>
      </c>
      <c r="U5357">
        <v>9.017944E-3</v>
      </c>
      <c r="V5357">
        <v>-2.844379E-2</v>
      </c>
      <c r="W5357">
        <v>0.14724579999999901</v>
      </c>
      <c r="X5357">
        <v>0.98869090000000004</v>
      </c>
      <c r="Y5357">
        <v>-2.588594E-2</v>
      </c>
      <c r="Z5357">
        <v>-2.3156359999999998E-3</v>
      </c>
      <c r="AA5357">
        <v>0.99966219999999995</v>
      </c>
      <c r="AB5357">
        <v>40</v>
      </c>
      <c r="AC5357">
        <v>-19.7027999999999</v>
      </c>
      <c r="AD5357">
        <v>-1.106915849667</v>
      </c>
      <c r="AE5357">
        <v>5.0100000000014598E-2</v>
      </c>
      <c r="AF5357">
        <v>-0.51813484202022997</v>
      </c>
      <c r="AG5357">
        <v>-1.106915849667</v>
      </c>
      <c r="AH5357">
        <v>19.634036818485999</v>
      </c>
      <c r="AI5357">
        <v>93.225650396769694</v>
      </c>
      <c r="AJ5357">
        <v>91.511663208622195</v>
      </c>
      <c r="AK5357">
        <v>19.672039248700798</v>
      </c>
      <c r="AL5357">
        <v>81.532650096431496</v>
      </c>
      <c r="AM5357">
        <v>91.647895946582807</v>
      </c>
      <c r="AN5357">
        <v>1.000000035275</v>
      </c>
    </row>
    <row r="5358" spans="1:40" x14ac:dyDescent="0.25">
      <c r="A5358" t="str">
        <f>"20190312172223774"</f>
        <v>20190312172223774</v>
      </c>
      <c r="B5358" t="str">
        <f>"1552382543766481"</f>
        <v>1552382543766481</v>
      </c>
      <c r="C5358" t="s">
        <v>40</v>
      </c>
      <c r="D5358">
        <v>3.1532629999999999</v>
      </c>
      <c r="E5358">
        <v>0.50149730000000003</v>
      </c>
      <c r="F5358" t="s">
        <v>62</v>
      </c>
      <c r="G5358">
        <v>-295.53699999999998</v>
      </c>
      <c r="H5358" s="1">
        <v>-8.8095019999999997E-6</v>
      </c>
      <c r="I5358">
        <v>141.0224</v>
      </c>
      <c r="J5358">
        <v>-275.46469999999999</v>
      </c>
      <c r="K5358">
        <v>1.1069580000000001</v>
      </c>
      <c r="L5358">
        <v>140.9256</v>
      </c>
      <c r="M5358">
        <v>-0.99951730000000005</v>
      </c>
      <c r="N5358">
        <v>0</v>
      </c>
      <c r="O5358">
        <v>3.0111840000000001E-2</v>
      </c>
      <c r="P5358">
        <v>-0.99014400000000002</v>
      </c>
      <c r="Q5358">
        <v>0.1400525</v>
      </c>
      <c r="R5358">
        <v>5.7760250000000004E-4</v>
      </c>
      <c r="S5358">
        <v>-3.05307</v>
      </c>
      <c r="T5358">
        <v>-0.16627449999999999</v>
      </c>
      <c r="U5358">
        <v>1.5762330000000001E-2</v>
      </c>
      <c r="V5358">
        <v>-2.8424000000000001E-2</v>
      </c>
      <c r="W5358">
        <v>0.14779429999999999</v>
      </c>
      <c r="X5358">
        <v>0.98860959999999998</v>
      </c>
      <c r="Y5358">
        <v>-2.4870489999999999E-2</v>
      </c>
      <c r="Z5358">
        <v>-2.3152749999999999E-3</v>
      </c>
      <c r="AA5358">
        <v>0.99968800000000002</v>
      </c>
      <c r="AB5358">
        <v>40</v>
      </c>
      <c r="AC5358">
        <v>-20.072299999999998</v>
      </c>
      <c r="AD5358">
        <v>-1.106966809502</v>
      </c>
      <c r="AE5358">
        <v>9.6800000000001704E-2</v>
      </c>
      <c r="AF5358">
        <v>-0.50613611545596704</v>
      </c>
      <c r="AG5358">
        <v>-1.106966809502</v>
      </c>
      <c r="AH5358">
        <v>20.005269503528801</v>
      </c>
      <c r="AI5358">
        <v>93.166150099366206</v>
      </c>
      <c r="AJ5358">
        <v>91.449282058129398</v>
      </c>
      <c r="AK5358">
        <v>20.0422642731187</v>
      </c>
      <c r="AL5358">
        <v>81.500875504731297</v>
      </c>
      <c r="AM5358">
        <v>91.646885389720396</v>
      </c>
      <c r="AN5358">
        <v>1.0000000100503199</v>
      </c>
    </row>
    <row r="5359" spans="1:40" x14ac:dyDescent="0.25">
      <c r="A5359" t="str">
        <f>"20190312172223786"</f>
        <v>20190312172223786</v>
      </c>
      <c r="B5359" t="str">
        <f>"1552382543776241"</f>
        <v>1552382543776241</v>
      </c>
      <c r="C5359" t="s">
        <v>40</v>
      </c>
      <c r="D5359">
        <v>3.1721059999999999</v>
      </c>
      <c r="E5359">
        <v>0.50154940000000003</v>
      </c>
      <c r="F5359" t="s">
        <v>62</v>
      </c>
      <c r="G5359">
        <v>-296.10539999999997</v>
      </c>
      <c r="H5359" s="1">
        <v>-8.7697599999999992E-6</v>
      </c>
      <c r="I5359">
        <v>141.06100000000001</v>
      </c>
      <c r="J5359">
        <v>-275.67880000000002</v>
      </c>
      <c r="K5359">
        <v>1.107003</v>
      </c>
      <c r="L5359">
        <v>140.93279999999999</v>
      </c>
      <c r="M5359">
        <v>-0.99948700000000001</v>
      </c>
      <c r="N5359">
        <v>0</v>
      </c>
      <c r="O5359">
        <v>3.109667E-2</v>
      </c>
      <c r="P5359">
        <v>-0.99014329999999995</v>
      </c>
      <c r="Q5359">
        <v>0.14005219999999999</v>
      </c>
      <c r="R5359">
        <v>1.461646E-3</v>
      </c>
      <c r="S5359">
        <v>-3.0529790000000001</v>
      </c>
      <c r="T5359">
        <v>-0.16373190000000001</v>
      </c>
      <c r="U5359">
        <v>2.0019530000000001E-2</v>
      </c>
      <c r="V5359">
        <v>-2.8530989999999999E-2</v>
      </c>
      <c r="W5359">
        <v>0.1477985</v>
      </c>
      <c r="X5359">
        <v>0.98860590000000004</v>
      </c>
      <c r="Y5359">
        <v>-2.4463019999999999E-2</v>
      </c>
      <c r="Z5359">
        <v>-2.3218119999999999E-3</v>
      </c>
      <c r="AA5359">
        <v>0.99969799999999998</v>
      </c>
      <c r="AB5359">
        <v>40</v>
      </c>
      <c r="AC5359">
        <v>-20.426599999999901</v>
      </c>
      <c r="AD5359">
        <v>-1.1070117697599999</v>
      </c>
      <c r="AE5359">
        <v>0.12820000000001999</v>
      </c>
      <c r="AF5359">
        <v>-0.50559499504330496</v>
      </c>
      <c r="AG5359">
        <v>-1.1070117697599999</v>
      </c>
      <c r="AH5359">
        <v>20.360908665878899</v>
      </c>
      <c r="AI5359">
        <v>93.111119841217899</v>
      </c>
      <c r="AJ5359">
        <v>91.422456529148704</v>
      </c>
      <c r="AK5359">
        <v>20.397247438261399</v>
      </c>
      <c r="AL5359">
        <v>81.500632273417395</v>
      </c>
      <c r="AM5359">
        <v>91.653087136276099</v>
      </c>
      <c r="AN5359">
        <v>1.00000001975371</v>
      </c>
    </row>
    <row r="5360" spans="1:40" x14ac:dyDescent="0.25">
      <c r="A5360" t="str">
        <f>"20190312172223806"</f>
        <v>20190312172223806</v>
      </c>
      <c r="B5360" t="str">
        <f>"1552382543795759"</f>
        <v>1552382543795759</v>
      </c>
      <c r="C5360" t="s">
        <v>40</v>
      </c>
      <c r="D5360">
        <v>3.173079</v>
      </c>
      <c r="E5360">
        <v>0.50162669999999998</v>
      </c>
      <c r="F5360" t="s">
        <v>62</v>
      </c>
      <c r="G5360">
        <v>-296.44909999999999</v>
      </c>
      <c r="H5360" s="1">
        <v>-8.7475549999999993E-6</v>
      </c>
      <c r="I5360">
        <v>141.09129999999999</v>
      </c>
      <c r="J5360">
        <v>-276.04270000000002</v>
      </c>
      <c r="K5360">
        <v>1.107078</v>
      </c>
      <c r="L5360">
        <v>140.9453</v>
      </c>
      <c r="M5360">
        <v>-0.99943559999999998</v>
      </c>
      <c r="N5360">
        <v>0</v>
      </c>
      <c r="O5360">
        <v>3.2704410000000003E-2</v>
      </c>
      <c r="P5360">
        <v>-0.99009939999999996</v>
      </c>
      <c r="Q5360">
        <v>0.14033599999999999</v>
      </c>
      <c r="R5360">
        <v>3.0110929999999998E-3</v>
      </c>
      <c r="S5360">
        <v>-3.0528559999999998</v>
      </c>
      <c r="T5360">
        <v>-0.16271040000000001</v>
      </c>
      <c r="U5360">
        <v>2.3300169999999999E-2</v>
      </c>
      <c r="V5360">
        <v>-2.8599030000000001E-2</v>
      </c>
      <c r="W5360">
        <v>0.14808950000000001</v>
      </c>
      <c r="X5360">
        <v>0.98856040000000001</v>
      </c>
      <c r="Y5360">
        <v>-2.4994599999999999E-2</v>
      </c>
      <c r="Z5360">
        <v>-2.4071710000000001E-3</v>
      </c>
      <c r="AA5360">
        <v>0.99968469999999998</v>
      </c>
      <c r="AB5360">
        <v>40</v>
      </c>
      <c r="AC5360">
        <v>-20.406399999999898</v>
      </c>
      <c r="AD5360">
        <v>-1.1070867475549999</v>
      </c>
      <c r="AE5360">
        <v>0.145999999999986</v>
      </c>
      <c r="AF5360">
        <v>-0.51994676630568704</v>
      </c>
      <c r="AG5360">
        <v>-1.1070867475549999</v>
      </c>
      <c r="AH5360">
        <v>20.340394035288899</v>
      </c>
      <c r="AI5360">
        <v>93.114404764421096</v>
      </c>
      <c r="AJ5360">
        <v>91.464291647837896</v>
      </c>
      <c r="AK5360">
        <v>20.377134617438699</v>
      </c>
      <c r="AL5360">
        <v>81.483773811970096</v>
      </c>
      <c r="AM5360">
        <v>91.657103407100607</v>
      </c>
      <c r="AN5360">
        <v>1.0000000344876701</v>
      </c>
    </row>
    <row r="5361" spans="1:40" x14ac:dyDescent="0.25">
      <c r="A5361" t="str">
        <f>"20190312172223829"</f>
        <v>20190312172223829</v>
      </c>
      <c r="B5361" t="str">
        <f>"1552382543826016"</f>
        <v>1552382543826016</v>
      </c>
      <c r="C5361" t="s">
        <v>40</v>
      </c>
      <c r="D5361">
        <v>3.127297</v>
      </c>
      <c r="E5361">
        <v>0.50166540000000004</v>
      </c>
      <c r="F5361" t="s">
        <v>62</v>
      </c>
      <c r="G5361">
        <v>-297.17610000000002</v>
      </c>
      <c r="H5361" s="1">
        <v>-8.6966450000000005E-6</v>
      </c>
      <c r="I5361">
        <v>141.1404</v>
      </c>
      <c r="J5361">
        <v>-276.46019999999999</v>
      </c>
      <c r="K5361">
        <v>1.1071709999999999</v>
      </c>
      <c r="L5361">
        <v>140.96029999999999</v>
      </c>
      <c r="M5361">
        <v>-0.99937730000000002</v>
      </c>
      <c r="N5361">
        <v>0</v>
      </c>
      <c r="O5361">
        <v>3.4439810000000001E-2</v>
      </c>
      <c r="P5361">
        <v>-0.99003759999999996</v>
      </c>
      <c r="Q5361">
        <v>0.14072379999999901</v>
      </c>
      <c r="R5361">
        <v>4.8008240000000004E-3</v>
      </c>
      <c r="S5361">
        <v>-3.0525820000000001</v>
      </c>
      <c r="T5361">
        <v>-0.1599112</v>
      </c>
      <c r="U5361">
        <v>2.818298E-2</v>
      </c>
      <c r="V5361">
        <v>-2.8557720000000002E-2</v>
      </c>
      <c r="W5361">
        <v>0.14848459999999999</v>
      </c>
      <c r="X5361">
        <v>0.98850229999999994</v>
      </c>
      <c r="Y5361">
        <v>-2.5131069999999998E-2</v>
      </c>
      <c r="Z5361">
        <v>-2.4603749999999999E-3</v>
      </c>
      <c r="AA5361">
        <v>0.99968109999999999</v>
      </c>
      <c r="AB5361">
        <v>40</v>
      </c>
      <c r="AC5361">
        <v>-20.715900000000001</v>
      </c>
      <c r="AD5361">
        <v>-1.1071796966449901</v>
      </c>
      <c r="AE5361">
        <v>0.18010000000001</v>
      </c>
      <c r="AF5361">
        <v>-0.53196011300180102</v>
      </c>
      <c r="AG5361">
        <v>-1.1071796966449901</v>
      </c>
      <c r="AH5361">
        <v>20.6508289809818</v>
      </c>
      <c r="AI5361">
        <v>93.067918930357806</v>
      </c>
      <c r="AJ5361">
        <v>91.475598410382702</v>
      </c>
      <c r="AK5361">
        <v>20.687328634800799</v>
      </c>
      <c r="AL5361">
        <v>81.460882955633593</v>
      </c>
      <c r="AM5361">
        <v>91.6548083310484</v>
      </c>
      <c r="AN5361">
        <v>1.00000000845702</v>
      </c>
    </row>
    <row r="5362" spans="1:40" x14ac:dyDescent="0.25">
      <c r="A5362" t="str">
        <f>"20190312172223850"</f>
        <v>20190312172223850</v>
      </c>
      <c r="B5362" t="str">
        <f>"1552382543845536"</f>
        <v>1552382543845536</v>
      </c>
      <c r="C5362" t="s">
        <v>40</v>
      </c>
      <c r="D5362">
        <v>3.1367400000000001</v>
      </c>
      <c r="E5362">
        <v>0.50167519999999999</v>
      </c>
      <c r="F5362" t="s">
        <v>62</v>
      </c>
      <c r="G5362">
        <v>-298.10090000000002</v>
      </c>
      <c r="H5362" s="1">
        <v>-8.6304279999999995E-6</v>
      </c>
      <c r="I5362">
        <v>141.19739999999999</v>
      </c>
      <c r="J5362">
        <v>-276.84640000000002</v>
      </c>
      <c r="K5362">
        <v>1.1072580000000001</v>
      </c>
      <c r="L5362">
        <v>140.97470000000001</v>
      </c>
      <c r="M5362">
        <v>-0.99932390000000004</v>
      </c>
      <c r="N5362">
        <v>0</v>
      </c>
      <c r="O5362">
        <v>3.5946319999999997E-2</v>
      </c>
      <c r="P5362">
        <v>-0.99005259999999995</v>
      </c>
      <c r="Q5362">
        <v>0.1405846</v>
      </c>
      <c r="R5362">
        <v>5.664377E-3</v>
      </c>
      <c r="S5362">
        <v>-3.0521850000000001</v>
      </c>
      <c r="T5362">
        <v>-0.15615570000000001</v>
      </c>
      <c r="U5362">
        <v>3.3432009999999998E-2</v>
      </c>
      <c r="V5362">
        <v>-2.921959E-2</v>
      </c>
      <c r="W5362">
        <v>0.148356399999999</v>
      </c>
      <c r="X5362">
        <v>0.9885022</v>
      </c>
      <c r="Y5362">
        <v>-2.491993E-2</v>
      </c>
      <c r="Z5362">
        <v>-2.474534E-3</v>
      </c>
      <c r="AA5362">
        <v>0.99968639999999998</v>
      </c>
      <c r="AB5362">
        <v>40</v>
      </c>
      <c r="AC5362">
        <v>-21.2545</v>
      </c>
      <c r="AD5362">
        <v>-1.1072666304279899</v>
      </c>
      <c r="AE5362">
        <v>0.222699999999974</v>
      </c>
      <c r="AF5362">
        <v>-0.54002232842873499</v>
      </c>
      <c r="AG5362">
        <v>-1.1072666304279899</v>
      </c>
      <c r="AH5362">
        <v>21.191262534417799</v>
      </c>
      <c r="AI5362">
        <v>92.990078103534501</v>
      </c>
      <c r="AJ5362">
        <v>91.459766975355095</v>
      </c>
      <c r="AK5362">
        <v>21.227041039878301</v>
      </c>
      <c r="AL5362">
        <v>81.468310489827303</v>
      </c>
      <c r="AM5362">
        <v>91.693139212271504</v>
      </c>
      <c r="AN5362">
        <v>1.00000000263278</v>
      </c>
    </row>
    <row r="5363" spans="1:40" x14ac:dyDescent="0.25">
      <c r="A5363" t="str">
        <f>"20190312172223874"</f>
        <v>20190312172223874</v>
      </c>
      <c r="B5363" t="str">
        <f>"1552382543865564"</f>
        <v>1552382543865564</v>
      </c>
      <c r="C5363" t="s">
        <v>40</v>
      </c>
      <c r="D5363">
        <v>3.1263969999999999</v>
      </c>
      <c r="E5363">
        <v>0.501695</v>
      </c>
      <c r="F5363" t="s">
        <v>62</v>
      </c>
      <c r="G5363">
        <v>-298.57510000000002</v>
      </c>
      <c r="H5363" s="1">
        <v>-8.5971639999999995E-6</v>
      </c>
      <c r="I5363">
        <v>141.22919999999999</v>
      </c>
      <c r="J5363">
        <v>-277.26740000000001</v>
      </c>
      <c r="K5363">
        <v>1.1073519999999999</v>
      </c>
      <c r="L5363">
        <v>140.99109999999999</v>
      </c>
      <c r="M5363">
        <v>-0.99926749999999998</v>
      </c>
      <c r="N5363">
        <v>0</v>
      </c>
      <c r="O5363">
        <v>3.7481250000000001E-2</v>
      </c>
      <c r="P5363">
        <v>-0.99003059999999998</v>
      </c>
      <c r="Q5363">
        <v>0.1407089</v>
      </c>
      <c r="R5363">
        <v>6.3704529999999999E-3</v>
      </c>
      <c r="S5363">
        <v>-3.0520320000000001</v>
      </c>
      <c r="T5363">
        <v>-0.15552750000000001</v>
      </c>
      <c r="U5363">
        <v>3.5736080000000003E-2</v>
      </c>
      <c r="V5363">
        <v>-3.0068339999999999E-2</v>
      </c>
      <c r="W5363">
        <v>0.1484917</v>
      </c>
      <c r="X5363">
        <v>0.98845640000000001</v>
      </c>
      <c r="Y5363">
        <v>-2.5697939999999999E-2</v>
      </c>
      <c r="Z5363">
        <v>-2.562627E-3</v>
      </c>
      <c r="AA5363">
        <v>0.99966650000000001</v>
      </c>
      <c r="AB5363">
        <v>41</v>
      </c>
      <c r="AC5363">
        <v>-21.307700000000001</v>
      </c>
      <c r="AD5363">
        <v>-1.1073605971639999</v>
      </c>
      <c r="AE5363">
        <v>0.238100000000002</v>
      </c>
      <c r="AF5363">
        <v>-0.55922015740233999</v>
      </c>
      <c r="AG5363">
        <v>-1.1073605971639999</v>
      </c>
      <c r="AH5363">
        <v>21.244280352001599</v>
      </c>
      <c r="AI5363">
        <v>92.982817383647699</v>
      </c>
      <c r="AJ5363">
        <v>91.507867378978403</v>
      </c>
      <c r="AK5363">
        <v>21.280470444777201</v>
      </c>
      <c r="AL5363">
        <v>81.460471284871701</v>
      </c>
      <c r="AM5363">
        <v>91.742371117415104</v>
      </c>
      <c r="AN5363">
        <v>0.99999997237010196</v>
      </c>
    </row>
    <row r="5364" spans="1:40" x14ac:dyDescent="0.25">
      <c r="A5364" t="str">
        <f>"20190312172223895"</f>
        <v>20190312172223895</v>
      </c>
      <c r="B5364" t="str">
        <f>"1552382543886060"</f>
        <v>1552382543886060</v>
      </c>
      <c r="C5364" t="s">
        <v>40</v>
      </c>
      <c r="D5364">
        <v>3.077172</v>
      </c>
      <c r="E5364">
        <v>0.50162899999999999</v>
      </c>
      <c r="F5364" t="s">
        <v>62</v>
      </c>
      <c r="G5364">
        <v>-299.21589999999998</v>
      </c>
      <c r="H5364" s="1">
        <v>-8.5504659999999992E-6</v>
      </c>
      <c r="I5364">
        <v>141.2655</v>
      </c>
      <c r="J5364">
        <v>-277.6617</v>
      </c>
      <c r="K5364">
        <v>1.1074580000000001</v>
      </c>
      <c r="L5364">
        <v>141.0069</v>
      </c>
      <c r="M5364">
        <v>-0.9992164</v>
      </c>
      <c r="N5364">
        <v>0</v>
      </c>
      <c r="O5364">
        <v>3.881511E-2</v>
      </c>
      <c r="P5364">
        <v>-0.98992429999999998</v>
      </c>
      <c r="Q5364">
        <v>0.14143349999999999</v>
      </c>
      <c r="R5364">
        <v>6.8321600000000003E-3</v>
      </c>
      <c r="S5364">
        <v>-3.0518190000000001</v>
      </c>
      <c r="T5364">
        <v>-0.15397249999999901</v>
      </c>
      <c r="U5364">
        <v>3.8162229999999998E-2</v>
      </c>
      <c r="V5364">
        <v>-3.0955690000000001E-2</v>
      </c>
      <c r="W5364">
        <v>0.14922589999999999</v>
      </c>
      <c r="X5364">
        <v>0.98831840000000004</v>
      </c>
      <c r="Y5364">
        <v>-2.623619E-2</v>
      </c>
      <c r="Z5364">
        <v>-2.6179739999999999E-3</v>
      </c>
      <c r="AA5364">
        <v>0.99965230000000005</v>
      </c>
      <c r="AB5364">
        <v>41</v>
      </c>
      <c r="AC5364">
        <v>-21.554199999999899</v>
      </c>
      <c r="AD5364">
        <v>-1.107466550466</v>
      </c>
      <c r="AE5364">
        <v>0.258600000000001</v>
      </c>
      <c r="AF5364">
        <v>-0.57672630738594399</v>
      </c>
      <c r="AG5364">
        <v>-1.107466550466</v>
      </c>
      <c r="AH5364">
        <v>21.491265950884198</v>
      </c>
      <c r="AI5364">
        <v>92.948840174866106</v>
      </c>
      <c r="AJ5364">
        <v>91.537185141911493</v>
      </c>
      <c r="AK5364">
        <v>21.527508159693401</v>
      </c>
      <c r="AL5364">
        <v>81.417930490717097</v>
      </c>
      <c r="AM5364">
        <v>91.794007607897697</v>
      </c>
      <c r="AN5364">
        <v>0.99999994187637098</v>
      </c>
    </row>
    <row r="5365" spans="1:40" x14ac:dyDescent="0.25">
      <c r="A5365" t="str">
        <f>"20190312172223909"</f>
        <v>20190312172223909</v>
      </c>
      <c r="B5365" t="str">
        <f>"1552382543905580"</f>
        <v>1552382543905580</v>
      </c>
      <c r="C5365" t="s">
        <v>40</v>
      </c>
      <c r="D5365">
        <v>3.121108</v>
      </c>
      <c r="E5365">
        <v>0.50156859999999903</v>
      </c>
      <c r="F5365" t="s">
        <v>62</v>
      </c>
      <c r="G5365">
        <v>-300.14699999999999</v>
      </c>
      <c r="H5365" s="1">
        <v>-8.5272610000000005E-6</v>
      </c>
      <c r="I5365">
        <v>141.29740000000001</v>
      </c>
      <c r="J5365">
        <v>-277.91180000000003</v>
      </c>
      <c r="K5365">
        <v>1.107521</v>
      </c>
      <c r="L5365">
        <v>141.0172</v>
      </c>
      <c r="M5365">
        <v>-0.9991854</v>
      </c>
      <c r="N5365">
        <v>0</v>
      </c>
      <c r="O5365">
        <v>3.9604979999999998E-2</v>
      </c>
      <c r="P5365">
        <v>-0.98990069999999997</v>
      </c>
      <c r="Q5365">
        <v>0.1415884</v>
      </c>
      <c r="R5365">
        <v>7.0246329999999997E-3</v>
      </c>
      <c r="S5365">
        <v>-3.051758</v>
      </c>
      <c r="T5365">
        <v>-0.1503082</v>
      </c>
      <c r="U5365">
        <v>3.9428709999999999E-2</v>
      </c>
      <c r="V5365">
        <v>-3.1567079999999997E-2</v>
      </c>
      <c r="W5365">
        <v>0.14938709999999999</v>
      </c>
      <c r="X5365">
        <v>0.98827480000000001</v>
      </c>
      <c r="Y5365">
        <v>-2.6613850000000001E-2</v>
      </c>
      <c r="Z5365">
        <v>-2.603934E-3</v>
      </c>
      <c r="AA5365">
        <v>0.99964240000000004</v>
      </c>
      <c r="AB5365">
        <v>41</v>
      </c>
      <c r="AC5365">
        <v>-22.235199999999899</v>
      </c>
      <c r="AD5365">
        <v>-1.107529527261</v>
      </c>
      <c r="AE5365">
        <v>0.280200000000007</v>
      </c>
      <c r="AF5365">
        <v>-0.59918457021724203</v>
      </c>
      <c r="AG5365">
        <v>-1.107529527261</v>
      </c>
      <c r="AH5365">
        <v>22.1738463929386</v>
      </c>
      <c r="AI5365">
        <v>92.8583664694616</v>
      </c>
      <c r="AJ5365">
        <v>91.5478773515825</v>
      </c>
      <c r="AK5365">
        <v>22.2095724330878</v>
      </c>
      <c r="AL5365">
        <v>81.408590500308605</v>
      </c>
      <c r="AM5365">
        <v>91.829496944520997</v>
      </c>
      <c r="AN5365">
        <v>1.0000000332505801</v>
      </c>
    </row>
    <row r="5366" spans="1:40" x14ac:dyDescent="0.25">
      <c r="A5366" t="str">
        <f>"20190312172223922"</f>
        <v>20190312172223922</v>
      </c>
      <c r="B5366" t="str">
        <f>"1552382543916317"</f>
        <v>1552382543916317</v>
      </c>
      <c r="C5366" t="s">
        <v>40</v>
      </c>
      <c r="D5366">
        <v>3.1246930000000002</v>
      </c>
      <c r="E5366">
        <v>0.50154790000000005</v>
      </c>
      <c r="F5366" t="s">
        <v>62</v>
      </c>
      <c r="G5366">
        <v>-300.61329999999998</v>
      </c>
      <c r="H5366" s="1">
        <v>-8.6138989999999996E-6</v>
      </c>
      <c r="I5366">
        <v>141.31229999999999</v>
      </c>
      <c r="J5366">
        <v>-278.15159999999997</v>
      </c>
      <c r="K5366">
        <v>1.1075820000000001</v>
      </c>
      <c r="L5366">
        <v>141.02709999999999</v>
      </c>
      <c r="M5366">
        <v>-0.99915609999999999</v>
      </c>
      <c r="N5366">
        <v>0</v>
      </c>
      <c r="O5366">
        <v>4.033465E-2</v>
      </c>
      <c r="P5366">
        <v>-0.98984680000000003</v>
      </c>
      <c r="Q5366">
        <v>0.14196909999999999</v>
      </c>
      <c r="R5366">
        <v>6.9427289999999999E-3</v>
      </c>
      <c r="S5366">
        <v>-3.0516049999999999</v>
      </c>
      <c r="T5366">
        <v>-0.14887800000000001</v>
      </c>
      <c r="U5366">
        <v>3.9672850000000003E-2</v>
      </c>
      <c r="V5366">
        <v>-3.2389359999999999E-2</v>
      </c>
      <c r="W5366">
        <v>0.1497742</v>
      </c>
      <c r="X5366">
        <v>0.9881896</v>
      </c>
      <c r="Y5366">
        <v>-2.726313E-2</v>
      </c>
      <c r="Z5366">
        <v>-2.630692E-3</v>
      </c>
      <c r="AA5366">
        <v>0.99962479999999998</v>
      </c>
      <c r="AB5366">
        <v>41</v>
      </c>
      <c r="AC5366">
        <v>-22.4617</v>
      </c>
      <c r="AD5366">
        <v>-1.1075906138989999</v>
      </c>
      <c r="AE5366">
        <v>0.28520000000000301</v>
      </c>
      <c r="AF5366">
        <v>-0.61953802262568902</v>
      </c>
      <c r="AG5366">
        <v>-1.1075906138989999</v>
      </c>
      <c r="AH5366">
        <v>22.400466129849999</v>
      </c>
      <c r="AI5366">
        <v>92.829603128103997</v>
      </c>
      <c r="AJ5366">
        <v>91.5842468189242</v>
      </c>
      <c r="AK5366">
        <v>22.436387123688899</v>
      </c>
      <c r="AL5366">
        <v>81.386158941934298</v>
      </c>
      <c r="AM5366">
        <v>91.877280945642497</v>
      </c>
      <c r="AN5366">
        <v>1.0000000335874999</v>
      </c>
    </row>
    <row r="5367" spans="1:40" x14ac:dyDescent="0.25">
      <c r="A5367" t="str">
        <f>"20190312172223938"</f>
        <v>20190312172223938</v>
      </c>
      <c r="B5367" t="str">
        <f>"1552382543935836"</f>
        <v>1552382543935836</v>
      </c>
      <c r="C5367" t="s">
        <v>40</v>
      </c>
      <c r="D5367">
        <v>3.2744499999999999</v>
      </c>
      <c r="E5367">
        <v>0.50147319999999995</v>
      </c>
      <c r="F5367" t="s">
        <v>62</v>
      </c>
      <c r="G5367">
        <v>-301.08240000000001</v>
      </c>
      <c r="H5367" s="1">
        <v>-8.700256E-6</v>
      </c>
      <c r="I5367">
        <v>141.32419999999999</v>
      </c>
      <c r="J5367">
        <v>-278.45920000000001</v>
      </c>
      <c r="K5367">
        <v>1.1076619999999999</v>
      </c>
      <c r="L5367">
        <v>141.0402</v>
      </c>
      <c r="M5367">
        <v>-0.99912020000000001</v>
      </c>
      <c r="N5367">
        <v>0</v>
      </c>
      <c r="O5367">
        <v>4.1212440000000003E-2</v>
      </c>
      <c r="P5367">
        <v>-0.98982809999999999</v>
      </c>
      <c r="Q5367">
        <v>0.14213419999999999</v>
      </c>
      <c r="R5367">
        <v>6.1977350000000002E-3</v>
      </c>
      <c r="S5367">
        <v>-3.0516049999999999</v>
      </c>
      <c r="T5367">
        <v>-0.14739730000000001</v>
      </c>
      <c r="U5367">
        <v>3.9535519999999998E-2</v>
      </c>
      <c r="V5367">
        <v>-3.4030560000000001E-2</v>
      </c>
      <c r="W5367">
        <v>0.14994959999999999</v>
      </c>
      <c r="X5367">
        <v>0.98810779999999998</v>
      </c>
      <c r="Y5367">
        <v>-2.8185809999999999E-2</v>
      </c>
      <c r="Z5367">
        <v>-2.6691710000000001E-3</v>
      </c>
      <c r="AA5367">
        <v>0.99959920000000002</v>
      </c>
      <c r="AB5367">
        <v>41</v>
      </c>
      <c r="AC5367">
        <v>-22.623200000000001</v>
      </c>
      <c r="AD5367">
        <v>-1.107670700256</v>
      </c>
      <c r="AE5367">
        <v>0.28399999999999098</v>
      </c>
      <c r="AF5367">
        <v>-0.647075754179537</v>
      </c>
      <c r="AG5367">
        <v>-1.107670700256</v>
      </c>
      <c r="AH5367">
        <v>22.561605721911899</v>
      </c>
      <c r="AI5367">
        <v>92.809548063091299</v>
      </c>
      <c r="AJ5367">
        <v>91.642815221461007</v>
      </c>
      <c r="AK5367">
        <v>22.598046246586499</v>
      </c>
      <c r="AL5367">
        <v>81.375994121784203</v>
      </c>
      <c r="AM5367">
        <v>91.972494405111505</v>
      </c>
      <c r="AN5367">
        <v>0.99999999298745601</v>
      </c>
    </row>
    <row r="5368" spans="1:40" x14ac:dyDescent="0.25">
      <c r="A5368" t="str">
        <f>"20190312172223963"</f>
        <v>20190312172223963</v>
      </c>
      <c r="B5368" t="str">
        <f>"1552382543956332"</f>
        <v>1552382543956332</v>
      </c>
      <c r="C5368" t="s">
        <v>40</v>
      </c>
      <c r="D5368">
        <v>3.0769199999999999</v>
      </c>
      <c r="E5368">
        <v>0.50138039999999995</v>
      </c>
      <c r="F5368" t="s">
        <v>62</v>
      </c>
      <c r="G5368">
        <v>-301.68169999999998</v>
      </c>
      <c r="H5368" s="1">
        <v>-8.8048430000000001E-6</v>
      </c>
      <c r="I5368">
        <v>141.3203</v>
      </c>
      <c r="J5368">
        <v>-278.88470000000001</v>
      </c>
      <c r="K5368">
        <v>1.107775</v>
      </c>
      <c r="L5368">
        <v>141.05860000000001</v>
      </c>
      <c r="M5368">
        <v>-0.99907360000000001</v>
      </c>
      <c r="N5368">
        <v>0</v>
      </c>
      <c r="O5368">
        <v>4.2324830000000001E-2</v>
      </c>
      <c r="P5368">
        <v>-0.98979969999999995</v>
      </c>
      <c r="Q5368">
        <v>0.14234559999999999</v>
      </c>
      <c r="R5368">
        <v>5.871139E-3</v>
      </c>
      <c r="S5368">
        <v>-3.0514830000000002</v>
      </c>
      <c r="T5368">
        <v>-0.1455504</v>
      </c>
      <c r="U5368">
        <v>3.6804200000000002E-2</v>
      </c>
      <c r="V5368">
        <v>-3.5496529999999998E-2</v>
      </c>
      <c r="W5368">
        <v>0.1501712</v>
      </c>
      <c r="X5368">
        <v>0.98802259999999997</v>
      </c>
      <c r="Y5368">
        <v>-3.0191229999999999E-2</v>
      </c>
      <c r="Z5368">
        <v>-2.73668E-3</v>
      </c>
      <c r="AA5368">
        <v>0.9995404</v>
      </c>
      <c r="AB5368">
        <v>41</v>
      </c>
      <c r="AC5368">
        <v>-22.796999999999901</v>
      </c>
      <c r="AD5368">
        <v>-1.107783804843</v>
      </c>
      <c r="AE5368">
        <v>0.26169999999999</v>
      </c>
      <c r="AF5368">
        <v>-0.70178596359913603</v>
      </c>
      <c r="AG5368">
        <v>-1.107783804843</v>
      </c>
      <c r="AH5368">
        <v>22.7339720975347</v>
      </c>
      <c r="AI5368">
        <v>92.7883830929662</v>
      </c>
      <c r="AJ5368">
        <v>91.768129598676396</v>
      </c>
      <c r="AK5368">
        <v>22.771762686021098</v>
      </c>
      <c r="AL5368">
        <v>81.363152246214696</v>
      </c>
      <c r="AM5368">
        <v>92.057571353740599</v>
      </c>
      <c r="AN5368">
        <v>1.0000000255311201</v>
      </c>
    </row>
    <row r="5369" spans="1:40" x14ac:dyDescent="0.25">
      <c r="A5369" t="str">
        <f>"20190312172223974"</f>
        <v>20190312172223974</v>
      </c>
      <c r="B5369" t="str">
        <f>"1552382543966092"</f>
        <v>1552382543966092</v>
      </c>
      <c r="C5369" t="s">
        <v>40</v>
      </c>
      <c r="D5369">
        <v>3.129575</v>
      </c>
      <c r="E5369">
        <v>0.50132749999999904</v>
      </c>
      <c r="F5369" t="s">
        <v>62</v>
      </c>
      <c r="G5369">
        <v>-302.40109999999999</v>
      </c>
      <c r="H5369" s="1">
        <v>-8.9107139999999992E-6</v>
      </c>
      <c r="I5369">
        <v>141.3288</v>
      </c>
      <c r="J5369">
        <v>-279.12470000000002</v>
      </c>
      <c r="K5369">
        <v>1.107842</v>
      </c>
      <c r="L5369">
        <v>141.0692</v>
      </c>
      <c r="M5369">
        <v>-0.99904910000000002</v>
      </c>
      <c r="N5369">
        <v>0</v>
      </c>
      <c r="O5369">
        <v>4.2897789999999998E-2</v>
      </c>
      <c r="P5369">
        <v>-0.98979890000000004</v>
      </c>
      <c r="Q5369">
        <v>0.142354799999999</v>
      </c>
      <c r="R5369">
        <v>5.7898339999999998E-3</v>
      </c>
      <c r="S5369">
        <v>-3.051361</v>
      </c>
      <c r="T5369">
        <v>-0.14374000000000001</v>
      </c>
      <c r="U5369">
        <v>3.5064699999999997E-2</v>
      </c>
      <c r="V5369">
        <v>-3.6167789999999998E-2</v>
      </c>
      <c r="W5369">
        <v>0.15018529999999999</v>
      </c>
      <c r="X5369">
        <v>0.98799610000000004</v>
      </c>
      <c r="Y5369">
        <v>-3.133383E-2</v>
      </c>
      <c r="Z5369">
        <v>-2.7566499999999998E-3</v>
      </c>
      <c r="AA5369">
        <v>0.99950519999999998</v>
      </c>
      <c r="AB5369">
        <v>41</v>
      </c>
      <c r="AC5369">
        <v>-23.276399999999899</v>
      </c>
      <c r="AD5369">
        <v>-1.107850910714</v>
      </c>
      <c r="AE5369">
        <v>0.25960000000000599</v>
      </c>
      <c r="AF5369">
        <v>-0.73750491557308695</v>
      </c>
      <c r="AG5369">
        <v>-1.107850910714</v>
      </c>
      <c r="AH5369">
        <v>23.213528881317501</v>
      </c>
      <c r="AI5369">
        <v>92.730955689220295</v>
      </c>
      <c r="AJ5369">
        <v>91.819702237486993</v>
      </c>
      <c r="AK5369">
        <v>23.2516487644344</v>
      </c>
      <c r="AL5369">
        <v>81.362335003753003</v>
      </c>
      <c r="AM5369">
        <v>92.096503005950098</v>
      </c>
      <c r="AN5369">
        <v>1.0000000134923901</v>
      </c>
    </row>
    <row r="5370" spans="1:40" x14ac:dyDescent="0.25">
      <c r="A5370" t="str">
        <f>"20190312172223988"</f>
        <v>20190312172223988</v>
      </c>
      <c r="B5370" t="str">
        <f>"1552382543975853"</f>
        <v>1552382543975853</v>
      </c>
      <c r="C5370" t="s">
        <v>40</v>
      </c>
      <c r="D5370">
        <v>3.0786609999999999</v>
      </c>
      <c r="E5370">
        <v>0.50131139999999996</v>
      </c>
      <c r="F5370" t="s">
        <v>62</v>
      </c>
      <c r="G5370">
        <v>-302.73649999999998</v>
      </c>
      <c r="H5370" s="1">
        <v>-8.96067E-6</v>
      </c>
      <c r="I5370">
        <v>141.3348</v>
      </c>
      <c r="J5370">
        <v>-279.35219999999998</v>
      </c>
      <c r="K5370">
        <v>1.1079019999999999</v>
      </c>
      <c r="L5370">
        <v>141.07929999999999</v>
      </c>
      <c r="M5370">
        <v>-0.999027</v>
      </c>
      <c r="N5370">
        <v>0</v>
      </c>
      <c r="O5370">
        <v>4.3410150000000002E-2</v>
      </c>
      <c r="P5370">
        <v>-0.98977199999999999</v>
      </c>
      <c r="Q5370">
        <v>0.14254710000000001</v>
      </c>
      <c r="R5370">
        <v>5.6694919999999999E-3</v>
      </c>
      <c r="S5370">
        <v>-3.0512700000000001</v>
      </c>
      <c r="T5370">
        <v>-0.1431636</v>
      </c>
      <c r="U5370">
        <v>3.433228E-2</v>
      </c>
      <c r="V5370">
        <v>-3.6814909999999999E-2</v>
      </c>
      <c r="W5370">
        <v>0.150382399999999</v>
      </c>
      <c r="X5370">
        <v>0.98794219999999999</v>
      </c>
      <c r="Y5370">
        <v>-3.2085240000000001E-2</v>
      </c>
      <c r="Z5370">
        <v>-2.7873220000000001E-3</v>
      </c>
      <c r="AA5370">
        <v>0.99948130000000002</v>
      </c>
      <c r="AB5370">
        <v>41</v>
      </c>
      <c r="AC5370">
        <v>-23.3843</v>
      </c>
      <c r="AD5370">
        <v>-1.1079109606699999</v>
      </c>
      <c r="AE5370">
        <v>0.255500000000012</v>
      </c>
      <c r="AF5370">
        <v>-0.75818589454016305</v>
      </c>
      <c r="AG5370">
        <v>-1.1079109606699999</v>
      </c>
      <c r="AH5370">
        <v>23.321004004520098</v>
      </c>
      <c r="AI5370">
        <v>92.718471569373193</v>
      </c>
      <c r="AJ5370">
        <v>91.862079201676494</v>
      </c>
      <c r="AK5370">
        <v>23.359613445566598</v>
      </c>
      <c r="AL5370">
        <v>81.350912134450596</v>
      </c>
      <c r="AM5370">
        <v>92.134095921629395</v>
      </c>
      <c r="AN5370">
        <v>0.99999999718445298</v>
      </c>
    </row>
    <row r="5371" spans="1:40" x14ac:dyDescent="0.25">
      <c r="A5371" t="str">
        <f>"20190312172224008"</f>
        <v>20190312172224008</v>
      </c>
      <c r="B5371" t="str">
        <f>"1552382543996351"</f>
        <v>1552382543996351</v>
      </c>
      <c r="C5371" t="s">
        <v>40</v>
      </c>
      <c r="D5371">
        <v>3.0612279999999998</v>
      </c>
      <c r="E5371">
        <v>0.50123869999999904</v>
      </c>
      <c r="F5371" t="s">
        <v>62</v>
      </c>
      <c r="G5371">
        <v>-303.11009999999999</v>
      </c>
      <c r="H5371" s="1">
        <v>-9.016047E-6</v>
      </c>
      <c r="I5371">
        <v>141.3407</v>
      </c>
      <c r="J5371">
        <v>-279.70429999999999</v>
      </c>
      <c r="K5371">
        <v>1.1079909999999999</v>
      </c>
      <c r="L5371">
        <v>141.0951</v>
      </c>
      <c r="M5371">
        <v>-0.99899470000000001</v>
      </c>
      <c r="N5371">
        <v>0</v>
      </c>
      <c r="O5371">
        <v>4.4141510000000002E-2</v>
      </c>
      <c r="P5371">
        <v>-0.98979930000000005</v>
      </c>
      <c r="Q5371">
        <v>0.14235510000000001</v>
      </c>
      <c r="R5371">
        <v>5.6764129999999999E-3</v>
      </c>
      <c r="S5371">
        <v>-3.0512999999999999</v>
      </c>
      <c r="T5371">
        <v>-0.14229259999999999</v>
      </c>
      <c r="U5371">
        <v>3.3569340000000003E-2</v>
      </c>
      <c r="V5371">
        <v>-3.7568310000000001E-2</v>
      </c>
      <c r="W5371">
        <v>0.1501971</v>
      </c>
      <c r="X5371">
        <v>0.98794199999999999</v>
      </c>
      <c r="Y5371">
        <v>-3.3066070000000003E-2</v>
      </c>
      <c r="Z5371">
        <v>-2.827277E-3</v>
      </c>
      <c r="AA5371">
        <v>0.99944920000000004</v>
      </c>
      <c r="AB5371">
        <v>41</v>
      </c>
      <c r="AC5371">
        <v>-23.405799999999999</v>
      </c>
      <c r="AD5371">
        <v>-1.108000016047</v>
      </c>
      <c r="AE5371">
        <v>0.24559999999999599</v>
      </c>
      <c r="AF5371">
        <v>-0.78607696494461898</v>
      </c>
      <c r="AG5371">
        <v>-1.108000016047</v>
      </c>
      <c r="AH5371">
        <v>23.341524711286102</v>
      </c>
      <c r="AI5371">
        <v>92.716198628721003</v>
      </c>
      <c r="AJ5371">
        <v>91.928831882136393</v>
      </c>
      <c r="AK5371">
        <v>23.3810255736988</v>
      </c>
      <c r="AL5371">
        <v>81.361650787354904</v>
      </c>
      <c r="AM5371">
        <v>92.177728013414097</v>
      </c>
      <c r="AN5371">
        <v>0.99999997106433203</v>
      </c>
    </row>
    <row r="5372" spans="1:40" x14ac:dyDescent="0.25">
      <c r="A5372" t="str">
        <f>"20190312172224029"</f>
        <v>20190312172224029</v>
      </c>
      <c r="B5372" t="str">
        <f>"1552382544025628"</f>
        <v>1552382544025628</v>
      </c>
      <c r="C5372" t="s">
        <v>40</v>
      </c>
      <c r="D5372">
        <v>3.0686520000000002</v>
      </c>
      <c r="E5372">
        <v>0.50113549999999996</v>
      </c>
      <c r="F5372" t="s">
        <v>62</v>
      </c>
      <c r="G5372">
        <v>-303.52980000000002</v>
      </c>
      <c r="H5372" s="1">
        <v>-9.0794869999999995E-6</v>
      </c>
      <c r="I5372">
        <v>141.35130000000001</v>
      </c>
      <c r="J5372">
        <v>-280.11489999999998</v>
      </c>
      <c r="K5372">
        <v>1.108106</v>
      </c>
      <c r="L5372">
        <v>141.1138</v>
      </c>
      <c r="M5372">
        <v>-0.99896169999999995</v>
      </c>
      <c r="N5372">
        <v>0</v>
      </c>
      <c r="O5372">
        <v>4.4878710000000002E-2</v>
      </c>
      <c r="P5372">
        <v>-0.98995080000000002</v>
      </c>
      <c r="Q5372">
        <v>0.14130329999999999</v>
      </c>
      <c r="R5372">
        <v>5.5546019999999996E-3</v>
      </c>
      <c r="S5372">
        <v>-3.0511469999999998</v>
      </c>
      <c r="T5372">
        <v>-0.1418933</v>
      </c>
      <c r="U5372">
        <v>3.2806399999999999E-2</v>
      </c>
      <c r="V5372">
        <v>-3.8472329999999999E-2</v>
      </c>
      <c r="W5372">
        <v>0.149152799999999</v>
      </c>
      <c r="X5372">
        <v>0.98806539999999998</v>
      </c>
      <c r="Y5372">
        <v>-3.4051539999999998E-2</v>
      </c>
      <c r="Z5372">
        <v>-2.8766350000000002E-3</v>
      </c>
      <c r="AA5372">
        <v>0.99941590000000002</v>
      </c>
      <c r="AB5372">
        <v>41</v>
      </c>
      <c r="AC5372">
        <v>-23.414899999999999</v>
      </c>
      <c r="AD5372">
        <v>-1.1081150794870001</v>
      </c>
      <c r="AE5372">
        <v>0.23750000000001101</v>
      </c>
      <c r="AF5372">
        <v>-0.811784144393639</v>
      </c>
      <c r="AG5372">
        <v>-1.1081150794870001</v>
      </c>
      <c r="AH5372">
        <v>23.349675409143298</v>
      </c>
      <c r="AI5372">
        <v>92.7154325033639</v>
      </c>
      <c r="AJ5372">
        <v>91.991165978442297</v>
      </c>
      <c r="AK5372">
        <v>23.390046050378501</v>
      </c>
      <c r="AL5372">
        <v>81.422166340610204</v>
      </c>
      <c r="AM5372">
        <v>92.229800956723295</v>
      </c>
      <c r="AN5372">
        <v>0.99999995630031302</v>
      </c>
    </row>
    <row r="5373" spans="1:40" x14ac:dyDescent="0.25">
      <c r="A5373" t="str">
        <f>"20190312172224052"</f>
        <v>20190312172224052</v>
      </c>
      <c r="B5373" t="str">
        <f>"1552382544046124"</f>
        <v>1552382544046124</v>
      </c>
      <c r="C5373" t="s">
        <v>40</v>
      </c>
      <c r="D5373">
        <v>3.0780630000000002</v>
      </c>
      <c r="E5373">
        <v>0.50106649999999997</v>
      </c>
      <c r="F5373" t="s">
        <v>62</v>
      </c>
      <c r="G5373">
        <v>-303.68400000000003</v>
      </c>
      <c r="H5373" s="1">
        <v>-9.1043149999999996E-6</v>
      </c>
      <c r="I5373">
        <v>141.3603</v>
      </c>
      <c r="J5373">
        <v>-280.5367</v>
      </c>
      <c r="K5373">
        <v>1.1082270000000001</v>
      </c>
      <c r="L5373">
        <v>141.13329999999999</v>
      </c>
      <c r="M5373">
        <v>-0.99893339999999997</v>
      </c>
      <c r="N5373">
        <v>0</v>
      </c>
      <c r="O5373">
        <v>4.5503780000000001E-2</v>
      </c>
      <c r="P5373">
        <v>-0.99002290000000004</v>
      </c>
      <c r="Q5373">
        <v>0.1407899</v>
      </c>
      <c r="R5373">
        <v>5.7400250000000002E-3</v>
      </c>
      <c r="S5373">
        <v>-3.0507200000000001</v>
      </c>
      <c r="T5373">
        <v>-0.1434317</v>
      </c>
      <c r="U5373">
        <v>3.1906129999999998E-2</v>
      </c>
      <c r="V5373">
        <v>-3.8957329999999998E-2</v>
      </c>
      <c r="W5373">
        <v>0.148644</v>
      </c>
      <c r="X5373">
        <v>0.98812310000000003</v>
      </c>
      <c r="Y5373">
        <v>-3.4966700000000003E-2</v>
      </c>
      <c r="Z5373">
        <v>-2.9590509999999999E-3</v>
      </c>
      <c r="AA5373">
        <v>0.9993841</v>
      </c>
      <c r="AB5373">
        <v>41</v>
      </c>
      <c r="AC5373">
        <v>-23.147300000000001</v>
      </c>
      <c r="AD5373">
        <v>-1.108236104315</v>
      </c>
      <c r="AE5373">
        <v>0.227000000000003</v>
      </c>
      <c r="AF5373">
        <v>-0.82466699941046295</v>
      </c>
      <c r="AG5373">
        <v>-1.108236104315</v>
      </c>
      <c r="AH5373">
        <v>23.080749457744901</v>
      </c>
      <c r="AI5373">
        <v>92.747229794170394</v>
      </c>
      <c r="AJ5373">
        <v>92.0462874266738</v>
      </c>
      <c r="AK5373">
        <v>23.1220513461504</v>
      </c>
      <c r="AL5373">
        <v>81.451647331629601</v>
      </c>
      <c r="AM5373">
        <v>92.2577502381248</v>
      </c>
      <c r="AN5373">
        <v>0.99999998652516897</v>
      </c>
    </row>
    <row r="5374" spans="1:40" x14ac:dyDescent="0.25">
      <c r="A5374" t="str">
        <f>"20190312172224066"</f>
        <v>20190312172224066</v>
      </c>
      <c r="B5374" t="str">
        <f>"1552382544055885"</f>
        <v>1552382544055885</v>
      </c>
      <c r="C5374" t="s">
        <v>40</v>
      </c>
      <c r="D5374">
        <v>3.0607850000000001</v>
      </c>
      <c r="E5374">
        <v>0.50102910000000001</v>
      </c>
      <c r="F5374" t="s">
        <v>62</v>
      </c>
      <c r="G5374">
        <v>-304.0104</v>
      </c>
      <c r="H5374" s="1">
        <v>-9.1576369999999997E-6</v>
      </c>
      <c r="I5374">
        <v>141.38200000000001</v>
      </c>
      <c r="J5374">
        <v>-280.78840000000002</v>
      </c>
      <c r="K5374">
        <v>1.108309</v>
      </c>
      <c r="L5374">
        <v>141.14500000000001</v>
      </c>
      <c r="M5374">
        <v>-0.99891929999999995</v>
      </c>
      <c r="N5374">
        <v>0</v>
      </c>
      <c r="O5374">
        <v>4.5809019999999999E-2</v>
      </c>
      <c r="P5374">
        <v>-0.99005960000000004</v>
      </c>
      <c r="Q5374">
        <v>0.1405285</v>
      </c>
      <c r="R5374">
        <v>5.8290819999999898E-3</v>
      </c>
      <c r="S5374">
        <v>-3.0504760000000002</v>
      </c>
      <c r="T5374">
        <v>-0.14401789999999901</v>
      </c>
      <c r="U5374">
        <v>3.2318119999999999E-2</v>
      </c>
      <c r="V5374">
        <v>-3.9202000000000001E-2</v>
      </c>
      <c r="W5374">
        <v>0.14838470000000001</v>
      </c>
      <c r="X5374">
        <v>0.98815240000000004</v>
      </c>
      <c r="Y5374">
        <v>-3.5135029999999998E-2</v>
      </c>
      <c r="Z5374">
        <v>-2.9897280000000001E-3</v>
      </c>
      <c r="AA5374">
        <v>0.99937810000000005</v>
      </c>
      <c r="AB5374">
        <v>41</v>
      </c>
      <c r="AC5374">
        <v>-23.221999999999898</v>
      </c>
      <c r="AD5374">
        <v>-1.108318157637</v>
      </c>
      <c r="AE5374">
        <v>0.23699999999999399</v>
      </c>
      <c r="AF5374">
        <v>-0.82517927223188803</v>
      </c>
      <c r="AG5374">
        <v>-1.108318157637</v>
      </c>
      <c r="AH5374">
        <v>23.1557371251699</v>
      </c>
      <c r="AI5374">
        <v>92.738558270296807</v>
      </c>
      <c r="AJ5374">
        <v>92.040932268426303</v>
      </c>
      <c r="AK5374">
        <v>23.1969276366471</v>
      </c>
      <c r="AL5374">
        <v>81.466670770088399</v>
      </c>
      <c r="AM5374">
        <v>92.271847843948507</v>
      </c>
      <c r="AN5374">
        <v>0.99999999081192503</v>
      </c>
    </row>
    <row r="5375" spans="1:40" x14ac:dyDescent="0.25">
      <c r="A5375" t="str">
        <f>"20190312172224086"</f>
        <v>20190312172224086</v>
      </c>
      <c r="B5375" t="str">
        <f>"1552382544076384"</f>
        <v>1552382544076384</v>
      </c>
      <c r="C5375" t="s">
        <v>40</v>
      </c>
      <c r="D5375">
        <v>3.0670999999999999</v>
      </c>
      <c r="E5375">
        <v>0.50095749999999994</v>
      </c>
      <c r="F5375" t="s">
        <v>62</v>
      </c>
      <c r="G5375">
        <v>-304.2047</v>
      </c>
      <c r="H5375" s="1">
        <v>-9.1887670000000006E-6</v>
      </c>
      <c r="I5375">
        <v>141.3929</v>
      </c>
      <c r="J5375">
        <v>-281.15379999999999</v>
      </c>
      <c r="K5375">
        <v>1.1084229999999999</v>
      </c>
      <c r="L5375">
        <v>141.16200000000001</v>
      </c>
      <c r="M5375">
        <v>-0.99890319999999999</v>
      </c>
      <c r="N5375">
        <v>0</v>
      </c>
      <c r="O5375">
        <v>4.6157669999999998E-2</v>
      </c>
      <c r="P5375">
        <v>-0.99014009999999997</v>
      </c>
      <c r="Q5375">
        <v>0.1399522</v>
      </c>
      <c r="R5375">
        <v>6.0085759999999998E-3</v>
      </c>
      <c r="S5375">
        <v>-3.0503849999999999</v>
      </c>
      <c r="T5375">
        <v>-0.144377799999999</v>
      </c>
      <c r="U5375">
        <v>3.22876E-2</v>
      </c>
      <c r="V5375">
        <v>-3.941745E-2</v>
      </c>
      <c r="W5375">
        <v>0.14781169999999999</v>
      </c>
      <c r="X5375">
        <v>0.98822969999999999</v>
      </c>
      <c r="Y5375">
        <v>-3.5492269999999999E-2</v>
      </c>
      <c r="Z5375">
        <v>-3.0222069999999998E-3</v>
      </c>
      <c r="AA5375">
        <v>0.99936539999999996</v>
      </c>
      <c r="AB5375">
        <v>41</v>
      </c>
      <c r="AC5375">
        <v>-23.050899999999999</v>
      </c>
      <c r="AD5375">
        <v>-1.1084321887669999</v>
      </c>
      <c r="AE5375">
        <v>0.230899999999991</v>
      </c>
      <c r="AF5375">
        <v>-0.83143254422111901</v>
      </c>
      <c r="AG5375">
        <v>-1.1084321887669999</v>
      </c>
      <c r="AH5375">
        <v>22.983848186367901</v>
      </c>
      <c r="AI5375">
        <v>92.759237772469803</v>
      </c>
      <c r="AJ5375">
        <v>92.071751086195604</v>
      </c>
      <c r="AK5375">
        <v>23.0255766365729</v>
      </c>
      <c r="AL5375">
        <v>81.4998672894869</v>
      </c>
      <c r="AM5375">
        <v>92.284141994142402</v>
      </c>
      <c r="AN5375">
        <v>0.99999998699174097</v>
      </c>
    </row>
    <row r="5376" spans="1:40" x14ac:dyDescent="0.25">
      <c r="A5376" t="str">
        <f>"20190312172224098"</f>
        <v>20190312172224098</v>
      </c>
      <c r="B5376" t="str">
        <f>"1552382544095901"</f>
        <v>1552382544095901</v>
      </c>
      <c r="C5376" t="s">
        <v>40</v>
      </c>
      <c r="D5376">
        <v>3.0701350000000001</v>
      </c>
      <c r="E5376">
        <v>0.50089170000000005</v>
      </c>
      <c r="F5376" t="s">
        <v>62</v>
      </c>
      <c r="G5376">
        <v>-304.43990000000002</v>
      </c>
      <c r="H5376" s="1">
        <v>-9.22751E-6</v>
      </c>
      <c r="I5376">
        <v>141.40950000000001</v>
      </c>
      <c r="J5376">
        <v>-281.40679999999998</v>
      </c>
      <c r="K5376">
        <v>1.1085</v>
      </c>
      <c r="L5376">
        <v>141.1738</v>
      </c>
      <c r="M5376">
        <v>-0.99889430000000001</v>
      </c>
      <c r="N5376">
        <v>0</v>
      </c>
      <c r="O5376">
        <v>4.6348689999999998E-2</v>
      </c>
      <c r="P5376">
        <v>-0.99024060000000003</v>
      </c>
      <c r="Q5376">
        <v>0.13923669999999999</v>
      </c>
      <c r="R5376">
        <v>6.0673280000000003E-3</v>
      </c>
      <c r="S5376">
        <v>-3.0502009999999999</v>
      </c>
      <c r="T5376">
        <v>-0.1451915</v>
      </c>
      <c r="U5376">
        <v>3.2424929999999998E-2</v>
      </c>
      <c r="V5376">
        <v>-3.9584759999999997E-2</v>
      </c>
      <c r="W5376">
        <v>0.14709820000000001</v>
      </c>
      <c r="X5376">
        <v>0.98832949999999997</v>
      </c>
      <c r="Y5376">
        <v>-3.5636330000000001E-2</v>
      </c>
      <c r="Z5376">
        <v>-3.0519079999999999E-3</v>
      </c>
      <c r="AA5376">
        <v>0.99936009999999997</v>
      </c>
      <c r="AB5376">
        <v>41</v>
      </c>
      <c r="AC5376">
        <v>-23.033100000000001</v>
      </c>
      <c r="AD5376">
        <v>-1.1085092275099999</v>
      </c>
      <c r="AE5376">
        <v>0.23570000000000799</v>
      </c>
      <c r="AF5376">
        <v>-0.83021767303624205</v>
      </c>
      <c r="AG5376">
        <v>-1.1085092275099999</v>
      </c>
      <c r="AH5376">
        <v>22.966081826574001</v>
      </c>
      <c r="AI5376">
        <v>92.761563097872099</v>
      </c>
      <c r="AJ5376">
        <v>92.070325477263594</v>
      </c>
      <c r="AK5376">
        <v>23.007802340879699</v>
      </c>
      <c r="AL5376">
        <v>81.541199899704495</v>
      </c>
      <c r="AM5376">
        <v>92.293595473309495</v>
      </c>
      <c r="AN5376">
        <v>1.0000000171188701</v>
      </c>
    </row>
    <row r="5377" spans="1:40" x14ac:dyDescent="0.25">
      <c r="A5377" t="str">
        <f>"20190312172224118"</f>
        <v>20190312172224118</v>
      </c>
      <c r="B5377" t="str">
        <f>"1552382544105660"</f>
        <v>1552382544105660</v>
      </c>
      <c r="C5377" t="s">
        <v>40</v>
      </c>
      <c r="D5377">
        <v>3.0967730000000002</v>
      </c>
      <c r="E5377">
        <v>0.50086999999999904</v>
      </c>
      <c r="F5377" t="s">
        <v>62</v>
      </c>
      <c r="G5377">
        <v>-304.47239999999999</v>
      </c>
      <c r="H5377" s="1">
        <v>-9.2341759999999998E-6</v>
      </c>
      <c r="I5377">
        <v>141.41630000000001</v>
      </c>
      <c r="J5377">
        <v>-281.75279999999998</v>
      </c>
      <c r="K5377">
        <v>1.108608</v>
      </c>
      <c r="L5377">
        <v>141.19</v>
      </c>
      <c r="M5377">
        <v>-0.99888589999999999</v>
      </c>
      <c r="N5377">
        <v>0</v>
      </c>
      <c r="O5377">
        <v>4.6526720000000001E-2</v>
      </c>
      <c r="P5377">
        <v>-0.99034230000000001</v>
      </c>
      <c r="Q5377">
        <v>0.138520899999999</v>
      </c>
      <c r="R5377">
        <v>5.8546419999999898E-3</v>
      </c>
      <c r="S5377">
        <v>-3.0499879999999999</v>
      </c>
      <c r="T5377">
        <v>-0.14657890000000001</v>
      </c>
      <c r="U5377">
        <v>3.2058719999999999E-2</v>
      </c>
      <c r="V5377">
        <v>-4.0018829999999998E-2</v>
      </c>
      <c r="W5377">
        <v>0.14638590000000001</v>
      </c>
      <c r="X5377">
        <v>0.98841769999999995</v>
      </c>
      <c r="Y5377">
        <v>-3.5931350000000001E-2</v>
      </c>
      <c r="Z5377">
        <v>-3.0968850000000002E-3</v>
      </c>
      <c r="AA5377">
        <v>0.9993495</v>
      </c>
      <c r="AB5377">
        <v>41</v>
      </c>
      <c r="AC5377">
        <v>-22.7196</v>
      </c>
      <c r="AD5377">
        <v>-1.1086172341760001</v>
      </c>
      <c r="AE5377">
        <v>0.22630000000000899</v>
      </c>
      <c r="AF5377">
        <v>-0.82907260670694505</v>
      </c>
      <c r="AG5377">
        <v>-1.1086172341760001</v>
      </c>
      <c r="AH5377">
        <v>22.6515950982016</v>
      </c>
      <c r="AI5377">
        <v>92.800069600897004</v>
      </c>
      <c r="AJ5377">
        <v>92.096151114652798</v>
      </c>
      <c r="AK5377">
        <v>22.6938571876174</v>
      </c>
      <c r="AL5377">
        <v>81.582457695240095</v>
      </c>
      <c r="AM5377">
        <v>92.318512101976296</v>
      </c>
      <c r="AN5377">
        <v>0.99999994407333204</v>
      </c>
    </row>
    <row r="5378" spans="1:40" x14ac:dyDescent="0.25">
      <c r="A5378" t="str">
        <f>"20190312172224132"</f>
        <v>20190312172224132</v>
      </c>
      <c r="B5378" t="str">
        <f>"1552382544126156"</f>
        <v>1552382544126156</v>
      </c>
      <c r="C5378" t="s">
        <v>40</v>
      </c>
      <c r="D5378">
        <v>3.0642529999999999</v>
      </c>
      <c r="E5378">
        <v>0.50079859999999998</v>
      </c>
      <c r="F5378" t="s">
        <v>62</v>
      </c>
      <c r="G5378">
        <v>-304.52100000000002</v>
      </c>
      <c r="H5378" s="1">
        <v>-9.2443349999999996E-6</v>
      </c>
      <c r="I5378">
        <v>141.42689999999999</v>
      </c>
      <c r="J5378">
        <v>-282.02170000000001</v>
      </c>
      <c r="K5378">
        <v>1.1086929999999999</v>
      </c>
      <c r="L5378">
        <v>141.20259999999999</v>
      </c>
      <c r="M5378">
        <v>-0.99888239999999995</v>
      </c>
      <c r="N5378">
        <v>0</v>
      </c>
      <c r="O5378">
        <v>4.6600570000000001E-2</v>
      </c>
      <c r="P5378">
        <v>-0.99038130000000002</v>
      </c>
      <c r="Q5378">
        <v>0.13824</v>
      </c>
      <c r="R5378">
        <v>5.9159969999999897E-3</v>
      </c>
      <c r="S5378">
        <v>-3.0498349999999999</v>
      </c>
      <c r="T5378">
        <v>-0.14850079999999999</v>
      </c>
      <c r="U5378">
        <v>3.1738280000000001E-2</v>
      </c>
      <c r="V5378">
        <v>-4.0062439999999998E-2</v>
      </c>
      <c r="W5378">
        <v>0.14610719999999999</v>
      </c>
      <c r="X5378">
        <v>0.98845729999999998</v>
      </c>
      <c r="Y5378">
        <v>-3.6106880000000001E-2</v>
      </c>
      <c r="Z5378">
        <v>-3.1454629999999998E-3</v>
      </c>
      <c r="AA5378">
        <v>0.99934299999999998</v>
      </c>
      <c r="AB5378">
        <v>41</v>
      </c>
      <c r="AC5378">
        <v>-22.499299999999899</v>
      </c>
      <c r="AD5378">
        <v>-1.1087022443350001</v>
      </c>
      <c r="AE5378">
        <v>0.224299999999999</v>
      </c>
      <c r="AF5378">
        <v>-0.822459648090059</v>
      </c>
      <c r="AG5378">
        <v>-1.1087022443350001</v>
      </c>
      <c r="AH5378">
        <v>22.430846050007801</v>
      </c>
      <c r="AI5378">
        <v>92.827791185254</v>
      </c>
      <c r="AJ5378">
        <v>92.099892510361201</v>
      </c>
      <c r="AK5378">
        <v>22.473284474203599</v>
      </c>
      <c r="AL5378">
        <v>81.598600679634004</v>
      </c>
      <c r="AM5378">
        <v>92.320943024047594</v>
      </c>
      <c r="AN5378">
        <v>1.0000000734569301</v>
      </c>
    </row>
    <row r="5379" spans="1:40" x14ac:dyDescent="0.25">
      <c r="A5379" t="str">
        <f>"20190312172224146"</f>
        <v>20190312172224146</v>
      </c>
      <c r="B5379" t="str">
        <f>"1552382544135916"</f>
        <v>1552382544135916</v>
      </c>
      <c r="C5379" t="s">
        <v>40</v>
      </c>
      <c r="D5379">
        <v>3.0649199999999999</v>
      </c>
      <c r="E5379">
        <v>0.5007587</v>
      </c>
      <c r="F5379" t="s">
        <v>62</v>
      </c>
      <c r="G5379">
        <v>-304.82530000000003</v>
      </c>
      <c r="H5379" s="1">
        <v>-9.2915499999999992E-6</v>
      </c>
      <c r="I5379">
        <v>141.43879999999999</v>
      </c>
      <c r="J5379">
        <v>-282.28140000000002</v>
      </c>
      <c r="K5379">
        <v>1.108768</v>
      </c>
      <c r="L5379">
        <v>141.21469999999999</v>
      </c>
      <c r="M5379">
        <v>-0.99888069999999896</v>
      </c>
      <c r="N5379">
        <v>0</v>
      </c>
      <c r="O5379">
        <v>4.6633309999999997E-2</v>
      </c>
      <c r="P5379">
        <v>-0.99046000000000001</v>
      </c>
      <c r="Q5379">
        <v>0.13767670000000001</v>
      </c>
      <c r="R5379">
        <v>5.8677829999999997E-3</v>
      </c>
      <c r="S5379">
        <v>-3.049652</v>
      </c>
      <c r="T5379">
        <v>-0.14827279999999901</v>
      </c>
      <c r="U5379">
        <v>3.158569E-2</v>
      </c>
      <c r="V5379">
        <v>-4.017561E-2</v>
      </c>
      <c r="W5379">
        <v>0.1455467</v>
      </c>
      <c r="X5379">
        <v>0.98853530000000001</v>
      </c>
      <c r="Y5379">
        <v>-3.6189159999999998E-2</v>
      </c>
      <c r="Z5379">
        <v>-3.144417E-3</v>
      </c>
      <c r="AA5379">
        <v>0.99934000000000001</v>
      </c>
      <c r="AB5379">
        <v>42</v>
      </c>
      <c r="AC5379">
        <v>-22.543900000000001</v>
      </c>
      <c r="AD5379">
        <v>-1.10877729155</v>
      </c>
      <c r="AE5379">
        <v>0.224099999999992</v>
      </c>
      <c r="AF5379">
        <v>-0.82547683979920505</v>
      </c>
      <c r="AG5379">
        <v>-1.10877729155</v>
      </c>
      <c r="AH5379">
        <v>22.475461148360498</v>
      </c>
      <c r="AI5379">
        <v>92.822371315336397</v>
      </c>
      <c r="AJ5379">
        <v>92.103409102591797</v>
      </c>
      <c r="AK5379">
        <v>22.517929587925298</v>
      </c>
      <c r="AL5379">
        <v>81.631061185507605</v>
      </c>
      <c r="AM5379">
        <v>92.327308669604605</v>
      </c>
      <c r="AN5379">
        <v>0.99999998043292504</v>
      </c>
    </row>
    <row r="5380" spans="1:40" x14ac:dyDescent="0.25">
      <c r="A5380" t="str">
        <f>"20190312172224163"</f>
        <v>20190312172224163</v>
      </c>
      <c r="B5380" t="str">
        <f>"1552382544156416"</f>
        <v>1552382544156416</v>
      </c>
      <c r="C5380" t="s">
        <v>40</v>
      </c>
      <c r="D5380">
        <v>3.0726469999999999</v>
      </c>
      <c r="E5380">
        <v>0.4987916</v>
      </c>
      <c r="F5380" t="s">
        <v>62</v>
      </c>
      <c r="G5380">
        <v>-304.90550000000002</v>
      </c>
      <c r="H5380" s="1">
        <v>-9.3061340000000002E-6</v>
      </c>
      <c r="I5380">
        <v>141.44909999999999</v>
      </c>
      <c r="J5380">
        <v>-282.59789999999998</v>
      </c>
      <c r="K5380">
        <v>1.108851</v>
      </c>
      <c r="L5380">
        <v>141.2295</v>
      </c>
      <c r="M5380">
        <v>-0.99888120000000002</v>
      </c>
      <c r="N5380">
        <v>0</v>
      </c>
      <c r="O5380">
        <v>4.6619430000000003E-2</v>
      </c>
      <c r="P5380">
        <v>-0.99073540000000004</v>
      </c>
      <c r="Q5380">
        <v>0.13570850000000001</v>
      </c>
      <c r="R5380">
        <v>5.1438200000000003E-3</v>
      </c>
      <c r="S5380">
        <v>-3.0494690000000002</v>
      </c>
      <c r="T5380">
        <v>-0.14945039999999901</v>
      </c>
      <c r="U5380">
        <v>3.158569E-2</v>
      </c>
      <c r="V5380">
        <v>-4.093223E-2</v>
      </c>
      <c r="W5380">
        <v>0.14358389999999999</v>
      </c>
      <c r="X5380">
        <v>0.98879130000000004</v>
      </c>
      <c r="Y5380">
        <v>-3.6173139999999999E-2</v>
      </c>
      <c r="Z5380">
        <v>-3.1684809999999999E-3</v>
      </c>
      <c r="AA5380">
        <v>0.99934049999999996</v>
      </c>
      <c r="AB5380">
        <v>42</v>
      </c>
      <c r="AC5380">
        <v>-22.307600000000001</v>
      </c>
      <c r="AD5380">
        <v>-1.1088603061339899</v>
      </c>
      <c r="AE5380">
        <v>0.219599999999985</v>
      </c>
      <c r="AF5380">
        <v>-0.81861663590838596</v>
      </c>
      <c r="AG5380">
        <v>-1.1088603061339899</v>
      </c>
      <c r="AH5380">
        <v>22.2386386689018</v>
      </c>
      <c r="AI5380">
        <v>92.852582345172706</v>
      </c>
      <c r="AJ5380">
        <v>92.108137609901803</v>
      </c>
      <c r="AK5380">
        <v>22.281309526620799</v>
      </c>
      <c r="AL5380">
        <v>81.744715510332597</v>
      </c>
      <c r="AM5380">
        <v>92.370475711218404</v>
      </c>
      <c r="AN5380">
        <v>1.0000000093738299</v>
      </c>
    </row>
    <row r="5381" spans="1:40" x14ac:dyDescent="0.25">
      <c r="A5381" t="str">
        <f>"20190312172224175"</f>
        <v>20190312172224175</v>
      </c>
      <c r="B5381" t="str">
        <f>"1552382544166172"</f>
        <v>1552382544166172</v>
      </c>
      <c r="C5381" t="s">
        <v>40</v>
      </c>
      <c r="D5381">
        <v>3.060476</v>
      </c>
      <c r="E5381">
        <v>0.49821680000000002</v>
      </c>
      <c r="F5381" t="s">
        <v>62</v>
      </c>
      <c r="G5381">
        <v>-315.83839999999998</v>
      </c>
      <c r="H5381" s="1">
        <v>-7.6793999999999997E-6</v>
      </c>
      <c r="I5381">
        <v>141.38040000000001</v>
      </c>
      <c r="J5381">
        <v>-282.84750000000003</v>
      </c>
      <c r="K5381">
        <v>1.108916</v>
      </c>
      <c r="L5381">
        <v>141.24109999999999</v>
      </c>
      <c r="M5381">
        <v>-0.99888370000000004</v>
      </c>
      <c r="N5381">
        <v>0</v>
      </c>
      <c r="O5381">
        <v>4.6569449999999998E-2</v>
      </c>
      <c r="P5381">
        <v>-0.99083639999999995</v>
      </c>
      <c r="Q5381">
        <v>0.134988</v>
      </c>
      <c r="R5381">
        <v>4.643248E-3</v>
      </c>
      <c r="S5381">
        <v>-3.0418699999999999</v>
      </c>
      <c r="T5381">
        <v>-0.1014727</v>
      </c>
      <c r="U5381">
        <v>1.3809200000000001E-2</v>
      </c>
      <c r="V5381">
        <v>-4.1411829999999997E-2</v>
      </c>
      <c r="W5381">
        <v>0.1428671</v>
      </c>
      <c r="X5381">
        <v>0.98887519999999995</v>
      </c>
      <c r="Y5381">
        <v>-4.1986450000000002E-2</v>
      </c>
      <c r="Z5381">
        <v>-2.2527490000000001E-3</v>
      </c>
      <c r="AA5381">
        <v>0.99911559999999999</v>
      </c>
      <c r="AB5381">
        <v>42</v>
      </c>
      <c r="AC5381">
        <v>-32.990899999999897</v>
      </c>
      <c r="AD5381">
        <v>-1.1089236793999999</v>
      </c>
      <c r="AE5381">
        <v>0.13930000000001899</v>
      </c>
      <c r="AF5381">
        <v>-1.39569046014773</v>
      </c>
      <c r="AG5381">
        <v>-1.1089236793999999</v>
      </c>
      <c r="AH5381">
        <v>32.924393293656998</v>
      </c>
      <c r="AI5381">
        <v>91.927315452587706</v>
      </c>
      <c r="AJ5381">
        <v>92.427359070828999</v>
      </c>
      <c r="AK5381">
        <v>32.972614960641003</v>
      </c>
      <c r="AL5381">
        <v>81.786213334645794</v>
      </c>
      <c r="AM5381">
        <v>92.398014926469301</v>
      </c>
      <c r="AN5381">
        <v>1.00000005455069</v>
      </c>
    </row>
    <row r="5382" spans="1:40" x14ac:dyDescent="0.25">
      <c r="A5382" t="str">
        <f>"20190312172224189"</f>
        <v>20190312172224189</v>
      </c>
      <c r="B5382" t="str">
        <f>"1552382544185693"</f>
        <v>1552382544185693</v>
      </c>
      <c r="C5382" t="s">
        <v>40</v>
      </c>
      <c r="D5382">
        <v>3.07504</v>
      </c>
      <c r="E5382">
        <v>0.4978648</v>
      </c>
      <c r="F5382" t="s">
        <v>62</v>
      </c>
      <c r="G5382">
        <v>-315.10320000000002</v>
      </c>
      <c r="H5382" s="1">
        <v>-7.9913829999999996E-6</v>
      </c>
      <c r="I5382">
        <v>141.3272</v>
      </c>
      <c r="J5382">
        <v>-283.08179999999999</v>
      </c>
      <c r="K5382">
        <v>1.1089719999999901</v>
      </c>
      <c r="L5382">
        <v>141.25200000000001</v>
      </c>
      <c r="M5382">
        <v>-0.99888690000000002</v>
      </c>
      <c r="N5382">
        <v>0</v>
      </c>
      <c r="O5382">
        <v>4.6497610000000002E-2</v>
      </c>
      <c r="P5382">
        <v>-0.9909673</v>
      </c>
      <c r="Q5382">
        <v>0.13404449999999901</v>
      </c>
      <c r="R5382">
        <v>4.0050110000000002E-3</v>
      </c>
      <c r="S5382">
        <v>-3.0419619999999998</v>
      </c>
      <c r="T5382">
        <v>-0.1045799</v>
      </c>
      <c r="U5382">
        <v>8.1176759999999903E-3</v>
      </c>
      <c r="V5382">
        <v>-4.2004609999999998E-2</v>
      </c>
      <c r="W5382">
        <v>0.14192729999999901</v>
      </c>
      <c r="X5382">
        <v>0.98898549999999996</v>
      </c>
      <c r="Y5382">
        <v>-4.377992E-2</v>
      </c>
      <c r="Z5382">
        <v>-2.3499979999999998E-3</v>
      </c>
      <c r="AA5382">
        <v>0.99903850000000005</v>
      </c>
      <c r="AB5382">
        <v>42</v>
      </c>
      <c r="AC5382">
        <v>-32.0214</v>
      </c>
      <c r="AD5382">
        <v>-1.1089799913830001</v>
      </c>
      <c r="AE5382">
        <v>7.5199999999995201E-2</v>
      </c>
      <c r="AF5382">
        <v>-1.41215302597161</v>
      </c>
      <c r="AG5382">
        <v>-1.1089799913830001</v>
      </c>
      <c r="AH5382">
        <v>31.951937057464399</v>
      </c>
      <c r="AI5382">
        <v>91.985872919344501</v>
      </c>
      <c r="AJ5382">
        <v>92.530606802790103</v>
      </c>
      <c r="AK5382">
        <v>32.002348265622899</v>
      </c>
      <c r="AL5382">
        <v>81.840614093587504</v>
      </c>
      <c r="AM5382">
        <v>92.432028873242004</v>
      </c>
      <c r="AN5382">
        <v>1.00000003247839</v>
      </c>
    </row>
    <row r="5383" spans="1:40" x14ac:dyDescent="0.25">
      <c r="A5383" t="str">
        <f>"20190312172224203"</f>
        <v>20190312172224203</v>
      </c>
      <c r="B5383" t="str">
        <f>"1552382544196429"</f>
        <v>1552382544196429</v>
      </c>
      <c r="C5383" t="s">
        <v>40</v>
      </c>
      <c r="D5383">
        <v>3.0694729999999999</v>
      </c>
      <c r="E5383">
        <v>0.49784329999999999</v>
      </c>
      <c r="F5383" t="s">
        <v>62</v>
      </c>
      <c r="G5383">
        <v>-313.18669999999997</v>
      </c>
      <c r="H5383" s="1">
        <v>-8.7127349999999995E-6</v>
      </c>
      <c r="I5383">
        <v>141.28980000000001</v>
      </c>
      <c r="J5383">
        <v>-283.32580000000002</v>
      </c>
      <c r="K5383">
        <v>1.109032</v>
      </c>
      <c r="L5383">
        <v>141.26329999999999</v>
      </c>
      <c r="M5383">
        <v>-0.99889090000000003</v>
      </c>
      <c r="N5383">
        <v>0</v>
      </c>
      <c r="O5383">
        <v>4.6408850000000001E-2</v>
      </c>
      <c r="P5383">
        <v>-0.99103070000000004</v>
      </c>
      <c r="Q5383">
        <v>0.13359589999999999</v>
      </c>
      <c r="R5383">
        <v>3.2318640000000001E-3</v>
      </c>
      <c r="S5383">
        <v>-3.0424799999999999</v>
      </c>
      <c r="T5383">
        <v>-0.1120768</v>
      </c>
      <c r="U5383">
        <v>3.8299559999999998E-3</v>
      </c>
      <c r="V5383">
        <v>-4.271142E-2</v>
      </c>
      <c r="W5383">
        <v>0.1414832</v>
      </c>
      <c r="X5383">
        <v>0.98901890000000003</v>
      </c>
      <c r="Y5383">
        <v>-4.5090770000000002E-2</v>
      </c>
      <c r="Z5383">
        <v>-2.5388059999999998E-3</v>
      </c>
      <c r="AA5383">
        <v>0.99897970000000003</v>
      </c>
      <c r="AB5383">
        <v>42</v>
      </c>
      <c r="AC5383">
        <v>-29.860899999999901</v>
      </c>
      <c r="AD5383">
        <v>-1.1090407127349999</v>
      </c>
      <c r="AE5383">
        <v>2.6500000000026998E-2</v>
      </c>
      <c r="AF5383">
        <v>-1.35750982634423</v>
      </c>
      <c r="AG5383">
        <v>-1.1090407127349999</v>
      </c>
      <c r="AH5383">
        <v>29.788862952996901</v>
      </c>
      <c r="AI5383">
        <v>92.129931269198096</v>
      </c>
      <c r="AJ5383">
        <v>92.609223744118097</v>
      </c>
      <c r="AK5383">
        <v>29.8403947739227</v>
      </c>
      <c r="AL5383">
        <v>81.866318866003695</v>
      </c>
      <c r="AM5383">
        <v>92.472818740191997</v>
      </c>
      <c r="AN5383">
        <v>1.00000007291893</v>
      </c>
    </row>
    <row r="5384" spans="1:40" x14ac:dyDescent="0.25">
      <c r="A5384" t="str">
        <f>"20190312172224219"</f>
        <v>20190312172224219</v>
      </c>
      <c r="B5384" t="str">
        <f>"1552382544215948"</f>
        <v>1552382544215948</v>
      </c>
      <c r="C5384" t="s">
        <v>40</v>
      </c>
      <c r="D5384">
        <v>3.0725199999999999</v>
      </c>
      <c r="E5384">
        <v>0.49778040000000001</v>
      </c>
      <c r="F5384" t="s">
        <v>62</v>
      </c>
      <c r="G5384">
        <v>-312.90620000000001</v>
      </c>
      <c r="H5384" s="1">
        <v>-8.8148239999999997E-6</v>
      </c>
      <c r="I5384">
        <v>141.2766</v>
      </c>
      <c r="J5384">
        <v>-283.65460000000002</v>
      </c>
      <c r="K5384">
        <v>1.1090979999999999</v>
      </c>
      <c r="L5384">
        <v>141.27850000000001</v>
      </c>
      <c r="M5384">
        <v>-0.9988977</v>
      </c>
      <c r="N5384">
        <v>0</v>
      </c>
      <c r="O5384">
        <v>4.6261139999999999E-2</v>
      </c>
      <c r="P5384">
        <v>-0.99119420000000003</v>
      </c>
      <c r="Q5384">
        <v>0.13240869999999999</v>
      </c>
      <c r="R5384">
        <v>1.4607509999999999E-3</v>
      </c>
      <c r="S5384">
        <v>-3.0425110000000002</v>
      </c>
      <c r="T5384">
        <v>-0.11407109999999999</v>
      </c>
      <c r="U5384">
        <v>1.373291E-3</v>
      </c>
      <c r="V5384">
        <v>-4.4364779999999999E-2</v>
      </c>
      <c r="W5384">
        <v>0.1403025</v>
      </c>
      <c r="X5384">
        <v>0.98911420000000005</v>
      </c>
      <c r="Y5384">
        <v>-4.5747099999999999E-2</v>
      </c>
      <c r="Z5384">
        <v>-2.5907030000000002E-3</v>
      </c>
      <c r="AA5384">
        <v>0.99894970000000005</v>
      </c>
      <c r="AB5384">
        <v>42</v>
      </c>
      <c r="AC5384">
        <v>-29.2516</v>
      </c>
      <c r="AD5384">
        <v>-1.109106814824</v>
      </c>
      <c r="AE5384">
        <v>-1.90000000000623E-3</v>
      </c>
      <c r="AF5384">
        <v>-1.35320774052804</v>
      </c>
      <c r="AG5384">
        <v>-1.109106814824</v>
      </c>
      <c r="AH5384">
        <v>29.178245223866199</v>
      </c>
      <c r="AI5384">
        <v>92.174511451955198</v>
      </c>
      <c r="AJ5384">
        <v>92.655319946626093</v>
      </c>
      <c r="AK5384">
        <v>29.2306565690849</v>
      </c>
      <c r="AL5384">
        <v>81.934648708351602</v>
      </c>
      <c r="AM5384">
        <v>92.568168674225802</v>
      </c>
      <c r="AN5384">
        <v>0.999999962926168</v>
      </c>
    </row>
    <row r="5385" spans="1:40" x14ac:dyDescent="0.25">
      <c r="A5385" t="str">
        <f>"20190312172224243"</f>
        <v>20190312172224243</v>
      </c>
      <c r="B5385" t="str">
        <f>"1552382544236444"</f>
        <v>1552382544236444</v>
      </c>
      <c r="C5385" t="s">
        <v>40</v>
      </c>
      <c r="D5385">
        <v>3.196955</v>
      </c>
      <c r="E5385">
        <v>0.49766519999999997</v>
      </c>
      <c r="F5385" t="s">
        <v>62</v>
      </c>
      <c r="G5385">
        <v>-312.12720000000002</v>
      </c>
      <c r="H5385" s="1">
        <v>-9.0986520000000002E-6</v>
      </c>
      <c r="I5385">
        <v>141.24090000000001</v>
      </c>
      <c r="J5385">
        <v>-284.07690000000002</v>
      </c>
      <c r="K5385">
        <v>1.109159</v>
      </c>
      <c r="L5385">
        <v>141.2979</v>
      </c>
      <c r="M5385">
        <v>-0.99890780000000001</v>
      </c>
      <c r="N5385">
        <v>0</v>
      </c>
      <c r="O5385">
        <v>4.6038450000000002E-2</v>
      </c>
      <c r="P5385">
        <v>-0.99127569999999998</v>
      </c>
      <c r="Q5385">
        <v>0.13180310000000001</v>
      </c>
      <c r="R5385">
        <v>-6.7515529999999998E-4</v>
      </c>
      <c r="S5385">
        <v>-3.0424500000000001</v>
      </c>
      <c r="T5385">
        <v>-0.1185141</v>
      </c>
      <c r="U5385">
        <v>-4.0130620000000004E-3</v>
      </c>
      <c r="V5385">
        <v>-4.630476E-2</v>
      </c>
      <c r="W5385">
        <v>0.13970479999999999</v>
      </c>
      <c r="X5385">
        <v>0.98910989999999999</v>
      </c>
      <c r="Y5385">
        <v>-4.7286740000000001E-2</v>
      </c>
      <c r="Z5385">
        <v>-2.7129160000000001E-3</v>
      </c>
      <c r="AA5385">
        <v>0.99887760000000003</v>
      </c>
      <c r="AB5385">
        <v>42</v>
      </c>
      <c r="AC5385">
        <v>-28.0503</v>
      </c>
      <c r="AD5385">
        <v>-1.1091680986520001</v>
      </c>
      <c r="AE5385">
        <v>-5.6999999999987901E-2</v>
      </c>
      <c r="AF5385">
        <v>-1.3462680163973899</v>
      </c>
      <c r="AG5385">
        <v>-1.1091680986520001</v>
      </c>
      <c r="AH5385">
        <v>27.974191544006</v>
      </c>
      <c r="AI5385">
        <v>92.267948619771204</v>
      </c>
      <c r="AJ5385">
        <v>92.755254179542604</v>
      </c>
      <c r="AK5385">
        <v>28.028522686431</v>
      </c>
      <c r="AL5385">
        <v>81.969235161556298</v>
      </c>
      <c r="AM5385">
        <v>92.680320666007702</v>
      </c>
      <c r="AN5385">
        <v>0.99999997810985297</v>
      </c>
    </row>
    <row r="5386" spans="1:40" x14ac:dyDescent="0.25">
      <c r="A5386" t="str">
        <f>"20190312172224264"</f>
        <v>20190312172224264</v>
      </c>
      <c r="B5386" t="str">
        <f>"1552382544255964"</f>
        <v>1552382544255964</v>
      </c>
      <c r="C5386" t="s">
        <v>40</v>
      </c>
      <c r="D5386">
        <v>3.086322</v>
      </c>
      <c r="E5386">
        <v>0.4978264</v>
      </c>
      <c r="F5386" t="s">
        <v>62</v>
      </c>
      <c r="G5386">
        <v>-312.18020000000001</v>
      </c>
      <c r="H5386" s="1">
        <v>-9.0681149999999998E-6</v>
      </c>
      <c r="I5386">
        <v>141.20079999999999</v>
      </c>
      <c r="J5386">
        <v>-284.48809999999997</v>
      </c>
      <c r="K5386">
        <v>1.109216</v>
      </c>
      <c r="L5386">
        <v>141.3167</v>
      </c>
      <c r="M5386">
        <v>-0.99891859999999999</v>
      </c>
      <c r="N5386">
        <v>0</v>
      </c>
      <c r="O5386">
        <v>4.5801219999999997E-2</v>
      </c>
      <c r="P5386">
        <v>-0.99136009999999997</v>
      </c>
      <c r="Q5386">
        <v>0.13115569999999999</v>
      </c>
      <c r="R5386">
        <v>-1.8689480000000001E-3</v>
      </c>
      <c r="S5386">
        <v>-3.0423279999999999</v>
      </c>
      <c r="T5386">
        <v>-0.12007329999999999</v>
      </c>
      <c r="U5386">
        <v>-1.051331E-2</v>
      </c>
      <c r="V5386">
        <v>-4.728533E-2</v>
      </c>
      <c r="W5386">
        <v>0.13906640000000001</v>
      </c>
      <c r="X5386">
        <v>0.98915350000000002</v>
      </c>
      <c r="Y5386">
        <v>-4.9180519999999998E-2</v>
      </c>
      <c r="Z5386">
        <v>-2.7767099999999999E-3</v>
      </c>
      <c r="AA5386">
        <v>0.99878599999999995</v>
      </c>
      <c r="AB5386">
        <v>42</v>
      </c>
      <c r="AC5386">
        <v>-27.6921</v>
      </c>
      <c r="AD5386">
        <v>-1.109225068115</v>
      </c>
      <c r="AE5386">
        <v>-0.11590000000001</v>
      </c>
      <c r="AF5386">
        <v>-1.3819336281437899</v>
      </c>
      <c r="AG5386">
        <v>-1.109225068115</v>
      </c>
      <c r="AH5386">
        <v>27.613425062571899</v>
      </c>
      <c r="AI5386">
        <v>92.297449641223295</v>
      </c>
      <c r="AJ5386">
        <v>92.865018021331494</v>
      </c>
      <c r="AK5386">
        <v>27.670225233825001</v>
      </c>
      <c r="AL5386">
        <v>82.006173599667406</v>
      </c>
      <c r="AM5386">
        <v>92.736874443709993</v>
      </c>
      <c r="AN5386">
        <v>1.0000000063022001</v>
      </c>
    </row>
    <row r="5387" spans="1:40" x14ac:dyDescent="0.25">
      <c r="A5387" t="str">
        <f>"20190312172224286"</f>
        <v>20190312172224286</v>
      </c>
      <c r="B5387" t="str">
        <f>"1552382544276464"</f>
        <v>1552382544276464</v>
      </c>
      <c r="C5387" t="s">
        <v>40</v>
      </c>
      <c r="D5387">
        <v>3.059304</v>
      </c>
      <c r="E5387">
        <v>0.4980753</v>
      </c>
      <c r="F5387" t="s">
        <v>62</v>
      </c>
      <c r="G5387">
        <v>-312.44220000000001</v>
      </c>
      <c r="H5387" s="1">
        <v>-8.9684690000000008E-6</v>
      </c>
      <c r="I5387">
        <v>141.1969</v>
      </c>
      <c r="J5387">
        <v>-284.88549999999998</v>
      </c>
      <c r="K5387">
        <v>1.109272</v>
      </c>
      <c r="L5387">
        <v>141.3348</v>
      </c>
      <c r="M5387">
        <v>-0.99892959999999997</v>
      </c>
      <c r="N5387">
        <v>0</v>
      </c>
      <c r="O5387">
        <v>4.5560629999999998E-2</v>
      </c>
      <c r="P5387">
        <v>-0.99100180000000004</v>
      </c>
      <c r="Q5387">
        <v>0.13382869999999999</v>
      </c>
      <c r="R5387">
        <v>-2.3850770000000002E-3</v>
      </c>
      <c r="S5387">
        <v>-3.0421140000000002</v>
      </c>
      <c r="T5387">
        <v>-0.1207119</v>
      </c>
      <c r="U5387">
        <v>-1.3031010000000001E-2</v>
      </c>
      <c r="V5387">
        <v>-4.756233E-2</v>
      </c>
      <c r="W5387">
        <v>0.14174610000000001</v>
      </c>
      <c r="X5387">
        <v>0.98875979999999997</v>
      </c>
      <c r="Y5387">
        <v>-4.9765719999999999E-2</v>
      </c>
      <c r="Z5387">
        <v>-2.7937370000000001E-3</v>
      </c>
      <c r="AA5387">
        <v>0.99875700000000001</v>
      </c>
      <c r="AB5387">
        <v>42</v>
      </c>
      <c r="AC5387">
        <v>-27.556699999999999</v>
      </c>
      <c r="AD5387">
        <v>-1.1092809684689999</v>
      </c>
      <c r="AE5387">
        <v>-0.13790000000000099</v>
      </c>
      <c r="AF5387">
        <v>-1.3910434854358</v>
      </c>
      <c r="AG5387">
        <v>-1.1092809684689999</v>
      </c>
      <c r="AH5387">
        <v>27.4772758758393</v>
      </c>
      <c r="AI5387">
        <v>92.308870276021196</v>
      </c>
      <c r="AJ5387">
        <v>92.898137968012904</v>
      </c>
      <c r="AK5387">
        <v>27.5348178821354</v>
      </c>
      <c r="AL5387">
        <v>81.851102159639495</v>
      </c>
      <c r="AM5387">
        <v>92.753977053077605</v>
      </c>
      <c r="AN5387">
        <v>1.0000000370981299</v>
      </c>
    </row>
    <row r="5388" spans="1:40" x14ac:dyDescent="0.25">
      <c r="A5388" t="str">
        <f>"20190312172224307"</f>
        <v>20190312172224307</v>
      </c>
      <c r="B5388" t="str">
        <f>"1552382544295980"</f>
        <v>1552382544295980</v>
      </c>
      <c r="C5388" t="s">
        <v>40</v>
      </c>
      <c r="D5388">
        <v>3.0822929999999999</v>
      </c>
      <c r="E5388">
        <v>0.49813770000000002</v>
      </c>
      <c r="F5388" t="s">
        <v>62</v>
      </c>
      <c r="G5388">
        <v>-315.17410000000001</v>
      </c>
      <c r="H5388" s="1">
        <v>-7.9287180000000001E-6</v>
      </c>
      <c r="I5388">
        <v>141.2088</v>
      </c>
      <c r="J5388">
        <v>-285.2971</v>
      </c>
      <c r="K5388">
        <v>1.109302</v>
      </c>
      <c r="L5388">
        <v>141.35339999999999</v>
      </c>
      <c r="M5388">
        <v>-0.99894099999999997</v>
      </c>
      <c r="N5388">
        <v>0</v>
      </c>
      <c r="O5388">
        <v>4.5306190000000003E-2</v>
      </c>
      <c r="P5388">
        <v>-0.99097500000000005</v>
      </c>
      <c r="Q5388">
        <v>0.13403380000000001</v>
      </c>
      <c r="R5388">
        <v>-2.0115649999999999E-3</v>
      </c>
      <c r="S5388">
        <v>-3.0423279999999999</v>
      </c>
      <c r="T5388">
        <v>-0.1114213</v>
      </c>
      <c r="U5388">
        <v>-1.2649540000000001E-2</v>
      </c>
      <c r="V5388">
        <v>-4.6949350000000001E-2</v>
      </c>
      <c r="W5388">
        <v>0.1419618</v>
      </c>
      <c r="X5388">
        <v>0.98875809999999997</v>
      </c>
      <c r="Y5388">
        <v>-4.939731E-2</v>
      </c>
      <c r="Z5388">
        <v>-2.5626329999999999E-3</v>
      </c>
      <c r="AA5388">
        <v>0.99877590000000005</v>
      </c>
      <c r="AB5388">
        <v>42</v>
      </c>
      <c r="AC5388">
        <v>-29.876999999999999</v>
      </c>
      <c r="AD5388">
        <v>-1.1093099287179999</v>
      </c>
      <c r="AE5388">
        <v>-0.14459999999999601</v>
      </c>
      <c r="AF5388">
        <v>-1.4960456483937601</v>
      </c>
      <c r="AG5388">
        <v>-1.1093099287179999</v>
      </c>
      <c r="AH5388">
        <v>29.798688367013</v>
      </c>
      <c r="AI5388">
        <v>92.129274956637502</v>
      </c>
      <c r="AJ5388">
        <v>92.874126242859603</v>
      </c>
      <c r="AK5388">
        <v>29.856834217552102</v>
      </c>
      <c r="AL5388">
        <v>81.838616797738396</v>
      </c>
      <c r="AM5388">
        <v>92.718542247615304</v>
      </c>
      <c r="AN5388">
        <v>0.99999998722013606</v>
      </c>
    </row>
    <row r="5389" spans="1:40" x14ac:dyDescent="0.25">
      <c r="A5389" t="str">
        <f>"20190312172224330"</f>
        <v>20190312172224330</v>
      </c>
      <c r="B5389" t="str">
        <f>"1552382544326237"</f>
        <v>1552382544326237</v>
      </c>
      <c r="C5389" t="s">
        <v>40</v>
      </c>
      <c r="D5389">
        <v>3.0922399999999999</v>
      </c>
      <c r="E5389">
        <v>0.4981853</v>
      </c>
      <c r="F5389" t="s">
        <v>62</v>
      </c>
      <c r="G5389">
        <v>-315.7586</v>
      </c>
      <c r="H5389" s="1">
        <v>-7.6801839999999993E-6</v>
      </c>
      <c r="I5389">
        <v>141.2492</v>
      </c>
      <c r="J5389">
        <v>-285.72649999999999</v>
      </c>
      <c r="K5389">
        <v>1.109318</v>
      </c>
      <c r="L5389">
        <v>141.37270000000001</v>
      </c>
      <c r="M5389">
        <v>-0.99895290000000003</v>
      </c>
      <c r="N5389">
        <v>0</v>
      </c>
      <c r="O5389">
        <v>4.5038080000000001E-2</v>
      </c>
      <c r="P5389">
        <v>-0.99150280000000002</v>
      </c>
      <c r="Q5389">
        <v>0.130081</v>
      </c>
      <c r="R5389">
        <v>-1.291628E-3</v>
      </c>
      <c r="S5389">
        <v>-3.042297</v>
      </c>
      <c r="T5389">
        <v>-0.110791</v>
      </c>
      <c r="U5389">
        <v>-1.0406489999999999E-2</v>
      </c>
      <c r="V5389">
        <v>-4.5998740000000003E-2</v>
      </c>
      <c r="W5389">
        <v>0.1380265</v>
      </c>
      <c r="X5389">
        <v>0.98935980000000001</v>
      </c>
      <c r="Y5389">
        <v>-4.839446E-2</v>
      </c>
      <c r="Z5389">
        <v>-2.5201609999999999E-3</v>
      </c>
      <c r="AA5389">
        <v>0.99882510000000002</v>
      </c>
      <c r="AB5389">
        <v>42</v>
      </c>
      <c r="AC5389">
        <v>-30.0321</v>
      </c>
      <c r="AD5389">
        <v>-1.1093256801839999</v>
      </c>
      <c r="AE5389">
        <v>-0.12350000000000699</v>
      </c>
      <c r="AF5389">
        <v>-1.4739954280013601</v>
      </c>
      <c r="AG5389">
        <v>-1.1093256801839999</v>
      </c>
      <c r="AH5389">
        <v>29.955190554228501</v>
      </c>
      <c r="AI5389">
        <v>92.118295443011903</v>
      </c>
      <c r="AJ5389">
        <v>92.817062813578005</v>
      </c>
      <c r="AK5389">
        <v>30.011942741625798</v>
      </c>
      <c r="AL5389">
        <v>82.066335690455105</v>
      </c>
      <c r="AM5389">
        <v>92.661960895524999</v>
      </c>
      <c r="AN5389">
        <v>1.0000000063199299</v>
      </c>
    </row>
    <row r="5390" spans="1:40" x14ac:dyDescent="0.25">
      <c r="A5390" t="str">
        <f>"20190312172224353"</f>
        <v>20190312172224353</v>
      </c>
      <c r="B5390" t="str">
        <f>"1552382544345760"</f>
        <v>1552382544345760</v>
      </c>
      <c r="C5390" t="s">
        <v>40</v>
      </c>
      <c r="D5390">
        <v>3.1004550000000002</v>
      </c>
      <c r="E5390">
        <v>0.49832939999999998</v>
      </c>
      <c r="F5390" t="s">
        <v>62</v>
      </c>
      <c r="G5390">
        <v>-313.19299999999998</v>
      </c>
      <c r="H5390" s="1">
        <v>-8.7127569999999997E-6</v>
      </c>
      <c r="I5390">
        <v>141.2989</v>
      </c>
      <c r="J5390">
        <v>-286.16219999999998</v>
      </c>
      <c r="K5390">
        <v>1.109324</v>
      </c>
      <c r="L5390">
        <v>141.3922</v>
      </c>
      <c r="M5390">
        <v>-0.99896510000000005</v>
      </c>
      <c r="N5390">
        <v>0</v>
      </c>
      <c r="O5390">
        <v>4.4765180000000002E-2</v>
      </c>
      <c r="P5390">
        <v>-0.99236060000000004</v>
      </c>
      <c r="Q5390">
        <v>0.123372</v>
      </c>
      <c r="R5390">
        <v>4.1169349999999998E-4</v>
      </c>
      <c r="S5390">
        <v>-3.0418090000000002</v>
      </c>
      <c r="T5390">
        <v>-0.1228537</v>
      </c>
      <c r="U5390">
        <v>-8.178711E-3</v>
      </c>
      <c r="V5390">
        <v>-4.4072269999999997E-2</v>
      </c>
      <c r="W5390">
        <v>0.13133889999999901</v>
      </c>
      <c r="X5390">
        <v>0.99035740000000005</v>
      </c>
      <c r="Y5390">
        <v>-4.7377429999999998E-2</v>
      </c>
      <c r="Z5390">
        <v>-2.763242E-3</v>
      </c>
      <c r="AA5390">
        <v>0.99887320000000002</v>
      </c>
      <c r="AB5390">
        <v>42</v>
      </c>
      <c r="AC5390">
        <v>-27.030799999999999</v>
      </c>
      <c r="AD5390">
        <v>-1.1093327127570001</v>
      </c>
      <c r="AE5390">
        <v>-9.3299999999999203E-2</v>
      </c>
      <c r="AF5390">
        <v>-1.3010929673313401</v>
      </c>
      <c r="AG5390">
        <v>-1.1093327127570001</v>
      </c>
      <c r="AH5390">
        <v>26.954127262397002</v>
      </c>
      <c r="AI5390">
        <v>92.354015627026399</v>
      </c>
      <c r="AJ5390">
        <v>92.763558850724607</v>
      </c>
      <c r="AK5390">
        <v>27.0083031391224</v>
      </c>
      <c r="AL5390">
        <v>82.453031124216807</v>
      </c>
      <c r="AM5390">
        <v>92.548060050194096</v>
      </c>
      <c r="AN5390">
        <v>1.00000002568546</v>
      </c>
    </row>
    <row r="5391" spans="1:40" x14ac:dyDescent="0.25">
      <c r="A5391" t="str">
        <f>"20190312172224375"</f>
        <v>20190312172224375</v>
      </c>
      <c r="B5391" t="str">
        <f>"1552382544366252"</f>
        <v>1552382544366252</v>
      </c>
      <c r="C5391" t="s">
        <v>40</v>
      </c>
      <c r="D5391">
        <v>3.1870970000000001</v>
      </c>
      <c r="E5391">
        <v>0.49839230000000001</v>
      </c>
      <c r="F5391" t="s">
        <v>62</v>
      </c>
      <c r="G5391">
        <v>-309.709</v>
      </c>
      <c r="H5391" s="1">
        <v>-9.972851E-6</v>
      </c>
      <c r="I5391">
        <v>141.37139999999999</v>
      </c>
      <c r="J5391">
        <v>-286.57990000000001</v>
      </c>
      <c r="K5391">
        <v>1.109329</v>
      </c>
      <c r="L5391">
        <v>141.41079999999999</v>
      </c>
      <c r="M5391">
        <v>-0.99897659999999999</v>
      </c>
      <c r="N5391">
        <v>0</v>
      </c>
      <c r="O5391">
        <v>4.4503019999999997E-2</v>
      </c>
      <c r="P5391">
        <v>-0.99327120000000002</v>
      </c>
      <c r="Q5391">
        <v>0.1158</v>
      </c>
      <c r="R5391">
        <v>1.7647850000000001E-3</v>
      </c>
      <c r="S5391">
        <v>-3.0408940000000002</v>
      </c>
      <c r="T5391">
        <v>-0.14326169999999999</v>
      </c>
      <c r="U5391">
        <v>-2.6855469999999999E-3</v>
      </c>
      <c r="V5391">
        <v>-4.2504889999999997E-2</v>
      </c>
      <c r="W5391">
        <v>0.1237888</v>
      </c>
      <c r="X5391">
        <v>0.99139790000000005</v>
      </c>
      <c r="Y5391">
        <v>-4.528716E-2</v>
      </c>
      <c r="Z5391">
        <v>-3.1611949999999999E-3</v>
      </c>
      <c r="AA5391">
        <v>0.998969</v>
      </c>
      <c r="AB5391">
        <v>42</v>
      </c>
      <c r="AC5391">
        <v>-23.129099999999902</v>
      </c>
      <c r="AD5391">
        <v>-1.1093389728509999</v>
      </c>
      <c r="AE5391">
        <v>-3.9400000000000497E-2</v>
      </c>
      <c r="AF5391">
        <v>-1.06625648364022</v>
      </c>
      <c r="AG5391">
        <v>-1.1093389728509999</v>
      </c>
      <c r="AH5391">
        <v>23.0514016355358</v>
      </c>
      <c r="AI5391">
        <v>92.752271267550199</v>
      </c>
      <c r="AJ5391">
        <v>92.648363114022303</v>
      </c>
      <c r="AK5391">
        <v>23.102697963838999</v>
      </c>
      <c r="AL5391">
        <v>82.889184564938304</v>
      </c>
      <c r="AM5391">
        <v>92.454978234531694</v>
      </c>
      <c r="AN5391">
        <v>1.0000000644018701</v>
      </c>
    </row>
    <row r="5392" spans="1:40" x14ac:dyDescent="0.25">
      <c r="A5392" t="str">
        <f>"20190312172224396"</f>
        <v>20190312172224396</v>
      </c>
      <c r="B5392" t="str">
        <f>"1552382544385772"</f>
        <v>1552382544385772</v>
      </c>
      <c r="C5392" t="s">
        <v>40</v>
      </c>
      <c r="D5392">
        <v>3.10588</v>
      </c>
      <c r="E5392">
        <v>0.49843080000000001</v>
      </c>
      <c r="F5392" t="s">
        <v>62</v>
      </c>
      <c r="G5392">
        <v>-306.8956</v>
      </c>
      <c r="H5392" s="1">
        <v>-9.5849670000000003E-6</v>
      </c>
      <c r="I5392">
        <v>141.42570000000001</v>
      </c>
      <c r="J5392">
        <v>-286.99040000000002</v>
      </c>
      <c r="K5392">
        <v>1.109335</v>
      </c>
      <c r="L5392">
        <v>141.4289</v>
      </c>
      <c r="M5392">
        <v>-0.99898799999999999</v>
      </c>
      <c r="N5392">
        <v>0</v>
      </c>
      <c r="O5392">
        <v>4.4244180000000001E-2</v>
      </c>
      <c r="P5392">
        <v>-0.99408700000000005</v>
      </c>
      <c r="Q5392">
        <v>0.10856689999999899</v>
      </c>
      <c r="R5392">
        <v>2.0162909999999999E-3</v>
      </c>
      <c r="S5392">
        <v>-3.0396730000000001</v>
      </c>
      <c r="T5392">
        <v>-0.16598109999999999</v>
      </c>
      <c r="U5392">
        <v>2.2277830000000001E-3</v>
      </c>
      <c r="V5392">
        <v>-4.2034599999999998E-2</v>
      </c>
      <c r="W5392">
        <v>0.116576399999999</v>
      </c>
      <c r="X5392">
        <v>0.99229179999999995</v>
      </c>
      <c r="Y5392">
        <v>-4.3382940000000002E-2</v>
      </c>
      <c r="Z5392">
        <v>-3.5972080000000002E-3</v>
      </c>
      <c r="AA5392">
        <v>0.99905200000000005</v>
      </c>
      <c r="AB5392">
        <v>42</v>
      </c>
      <c r="AC5392">
        <v>-19.905199999999901</v>
      </c>
      <c r="AD5392">
        <v>-1.1093445849670001</v>
      </c>
      <c r="AE5392">
        <v>-3.19999999999254E-3</v>
      </c>
      <c r="AF5392">
        <v>-0.881178001699786</v>
      </c>
      <c r="AG5392">
        <v>-1.1093445849670001</v>
      </c>
      <c r="AH5392">
        <v>19.823991817967698</v>
      </c>
      <c r="AI5392">
        <v>93.199761055966903</v>
      </c>
      <c r="AJ5392">
        <v>92.545126577509805</v>
      </c>
      <c r="AK5392">
        <v>19.874550854742001</v>
      </c>
      <c r="AL5392">
        <v>83.305442190607593</v>
      </c>
      <c r="AM5392">
        <v>92.425663623206702</v>
      </c>
      <c r="AN5392">
        <v>0.99999999049068</v>
      </c>
    </row>
    <row r="5393" spans="1:40" x14ac:dyDescent="0.25">
      <c r="A5393" t="str">
        <f>"20190312172224419"</f>
        <v>20190312172224419</v>
      </c>
      <c r="B5393" t="str">
        <f>"1552382544416029"</f>
        <v>1552382544416029</v>
      </c>
      <c r="C5393" t="s">
        <v>40</v>
      </c>
      <c r="D5393">
        <v>3.108123</v>
      </c>
      <c r="E5393">
        <v>0.49809110000000001</v>
      </c>
      <c r="F5393" t="s">
        <v>62</v>
      </c>
      <c r="G5393">
        <v>-305.05169999999998</v>
      </c>
      <c r="H5393" s="1">
        <v>-9.3267640000000001E-6</v>
      </c>
      <c r="I5393">
        <v>141.4479</v>
      </c>
      <c r="J5393">
        <v>-287.43259999999998</v>
      </c>
      <c r="K5393">
        <v>1.109354</v>
      </c>
      <c r="L5393">
        <v>141.44829999999999</v>
      </c>
      <c r="M5393">
        <v>-0.99900049999999996</v>
      </c>
      <c r="N5393">
        <v>0</v>
      </c>
      <c r="O5393">
        <v>4.3958579999999997E-2</v>
      </c>
      <c r="P5393">
        <v>-0.99414239999999998</v>
      </c>
      <c r="Q5393">
        <v>0.10807170000000001</v>
      </c>
      <c r="R5393">
        <v>1.2094650000000001E-3</v>
      </c>
      <c r="S5393">
        <v>-3.0382690000000001</v>
      </c>
      <c r="T5393">
        <v>-0.18661420000000001</v>
      </c>
      <c r="U5393">
        <v>3.1890870000000002E-3</v>
      </c>
      <c r="V5393">
        <v>-4.2564579999999998E-2</v>
      </c>
      <c r="W5393">
        <v>0.1160962</v>
      </c>
      <c r="X5393">
        <v>0.99232549999999997</v>
      </c>
      <c r="Y5393">
        <v>-4.2748029999999999E-2</v>
      </c>
      <c r="Z5393">
        <v>-4.0084489999999999E-3</v>
      </c>
      <c r="AA5393">
        <v>0.99907789999999996</v>
      </c>
      <c r="AB5393">
        <v>42</v>
      </c>
      <c r="AC5393">
        <v>-17.6191</v>
      </c>
      <c r="AD5393">
        <v>-1.109363326764</v>
      </c>
      <c r="AE5393">
        <v>-3.9999999998485599E-4</v>
      </c>
      <c r="AF5393">
        <v>-0.77187560982792003</v>
      </c>
      <c r="AG5393">
        <v>-1.109363326764</v>
      </c>
      <c r="AH5393">
        <v>17.532543424768399</v>
      </c>
      <c r="AI5393">
        <v>93.617042162066397</v>
      </c>
      <c r="AJ5393">
        <v>92.520836482130406</v>
      </c>
      <c r="AK5393">
        <v>17.5845545263224</v>
      </c>
      <c r="AL5393">
        <v>83.333143681328593</v>
      </c>
      <c r="AM5393">
        <v>92.456126302919202</v>
      </c>
      <c r="AN5393">
        <v>0.99999998453763295</v>
      </c>
    </row>
    <row r="5394" spans="1:40" x14ac:dyDescent="0.25">
      <c r="A5394" t="str">
        <f>"20190312172224443"</f>
        <v>20190312172224443</v>
      </c>
      <c r="B5394" t="str">
        <f>"1552382544435548"</f>
        <v>1552382544435548</v>
      </c>
      <c r="C5394" t="s">
        <v>40</v>
      </c>
      <c r="D5394">
        <v>3.1088550000000001</v>
      </c>
      <c r="E5394">
        <v>0.49812020000000001</v>
      </c>
      <c r="F5394" t="s">
        <v>62</v>
      </c>
      <c r="G5394">
        <v>-310.53019999999998</v>
      </c>
      <c r="H5394" s="1">
        <v>-9.7709819999999992E-6</v>
      </c>
      <c r="I5394">
        <v>141.42609999999999</v>
      </c>
      <c r="J5394">
        <v>-287.86450000000002</v>
      </c>
      <c r="K5394">
        <v>1.1093839999999999</v>
      </c>
      <c r="L5394">
        <v>141.46709999999999</v>
      </c>
      <c r="M5394">
        <v>-0.99901340000000005</v>
      </c>
      <c r="N5394">
        <v>0</v>
      </c>
      <c r="O5394">
        <v>4.3659900000000001E-2</v>
      </c>
      <c r="P5394">
        <v>-0.99378049999999996</v>
      </c>
      <c r="Q5394">
        <v>0.11135539999999899</v>
      </c>
      <c r="R5394">
        <v>2.1732690000000001E-4</v>
      </c>
      <c r="S5394">
        <v>-3.0334780000000001</v>
      </c>
      <c r="T5394">
        <v>-0.14569570000000001</v>
      </c>
      <c r="U5394">
        <v>-2.9144290000000001E-3</v>
      </c>
      <c r="V5394">
        <v>-4.3251640000000001E-2</v>
      </c>
      <c r="W5394">
        <v>0.11939</v>
      </c>
      <c r="X5394">
        <v>0.99190489999999998</v>
      </c>
      <c r="Y5394">
        <v>-4.4519540000000003E-2</v>
      </c>
      <c r="Z5394">
        <v>-3.1638289999999999E-3</v>
      </c>
      <c r="AA5394">
        <v>0.99900350000000004</v>
      </c>
      <c r="AB5394">
        <v>43</v>
      </c>
      <c r="AC5394">
        <v>-22.665699999999902</v>
      </c>
      <c r="AD5394">
        <v>-1.1093937709820001</v>
      </c>
      <c r="AE5394">
        <v>-4.0999999999996803E-2</v>
      </c>
      <c r="AF5394">
        <v>-1.02811272906901</v>
      </c>
      <c r="AG5394">
        <v>-1.1093937709820001</v>
      </c>
      <c r="AH5394">
        <v>22.588181201673201</v>
      </c>
      <c r="AI5394">
        <v>92.808856735785199</v>
      </c>
      <c r="AJ5394">
        <v>92.606048360616001</v>
      </c>
      <c r="AK5394">
        <v>22.638765432823199</v>
      </c>
      <c r="AL5394">
        <v>83.143100959466594</v>
      </c>
      <c r="AM5394">
        <v>92.496779283869699</v>
      </c>
      <c r="AN5394">
        <v>1.0000000035533401</v>
      </c>
    </row>
    <row r="5395" spans="1:40" x14ac:dyDescent="0.25">
      <c r="A5395" t="str">
        <f>"20190312172224464"</f>
        <v>20190312172224464</v>
      </c>
      <c r="B5395" t="str">
        <f>"1552382544456045"</f>
        <v>1552382544456045</v>
      </c>
      <c r="C5395" t="s">
        <v>40</v>
      </c>
      <c r="D5395">
        <v>3.0877409999999998</v>
      </c>
      <c r="E5395">
        <v>0.49823529999999999</v>
      </c>
      <c r="F5395" t="s">
        <v>62</v>
      </c>
      <c r="G5395">
        <v>-312.70519999999999</v>
      </c>
      <c r="H5395" s="1">
        <v>-8.9278059999999992E-6</v>
      </c>
      <c r="I5395">
        <v>141.4179</v>
      </c>
      <c r="J5395">
        <v>-288.29570000000001</v>
      </c>
      <c r="K5395">
        <v>1.109423</v>
      </c>
      <c r="L5395">
        <v>141.48570000000001</v>
      </c>
      <c r="M5395">
        <v>-0.99902760000000002</v>
      </c>
      <c r="N5395">
        <v>0</v>
      </c>
      <c r="O5395">
        <v>4.3330559999999997E-2</v>
      </c>
      <c r="P5395">
        <v>-0.99327049999999995</v>
      </c>
      <c r="Q5395">
        <v>0.115813</v>
      </c>
      <c r="R5395">
        <v>-1.079871E-3</v>
      </c>
      <c r="S5395">
        <v>-3.0339969999999998</v>
      </c>
      <c r="T5395">
        <v>-0.13549939999999999</v>
      </c>
      <c r="U5395">
        <v>-6.0119630000000004E-3</v>
      </c>
      <c r="V5395">
        <v>-4.4209140000000001E-2</v>
      </c>
      <c r="W5395">
        <v>0.1238556</v>
      </c>
      <c r="X5395">
        <v>0.9913149</v>
      </c>
      <c r="Y5395">
        <v>-4.5223340000000001E-2</v>
      </c>
      <c r="Z5395">
        <v>-2.9431650000000002E-3</v>
      </c>
      <c r="AA5395">
        <v>0.99897259999999999</v>
      </c>
      <c r="AB5395">
        <v>43</v>
      </c>
      <c r="AC5395">
        <v>-24.409499999999898</v>
      </c>
      <c r="AD5395">
        <v>-1.1094319278059901</v>
      </c>
      <c r="AE5395">
        <v>-6.7800000000005398E-2</v>
      </c>
      <c r="AF5395">
        <v>-1.1231285785118299</v>
      </c>
      <c r="AG5395">
        <v>-1.1094319278059901</v>
      </c>
      <c r="AH5395">
        <v>24.3333679910263</v>
      </c>
      <c r="AI5395">
        <v>92.607707885794696</v>
      </c>
      <c r="AJ5395">
        <v>92.642662905908793</v>
      </c>
      <c r="AK5395">
        <v>24.384524903983898</v>
      </c>
      <c r="AL5395">
        <v>82.885326666314299</v>
      </c>
      <c r="AM5395">
        <v>92.553497272123195</v>
      </c>
      <c r="AN5395">
        <v>0.99999994433645301</v>
      </c>
    </row>
    <row r="5396" spans="1:40" x14ac:dyDescent="0.25">
      <c r="A5396" t="str">
        <f>"20190312172224486"</f>
        <v>20190312172224486</v>
      </c>
      <c r="B5396" t="str">
        <f>"1552382544476548"</f>
        <v>1552382544476548</v>
      </c>
      <c r="C5396" t="s">
        <v>40</v>
      </c>
      <c r="D5396">
        <v>3.1387429999999998</v>
      </c>
      <c r="E5396">
        <v>0.49835770000000001</v>
      </c>
      <c r="F5396" t="s">
        <v>62</v>
      </c>
      <c r="G5396">
        <v>-316.94380000000001</v>
      </c>
      <c r="H5396" s="1">
        <v>-7.1949339999999899E-6</v>
      </c>
      <c r="I5396">
        <v>141.40209999999999</v>
      </c>
      <c r="J5396">
        <v>-288.70389999999998</v>
      </c>
      <c r="K5396">
        <v>1.1094710000000001</v>
      </c>
      <c r="L5396">
        <v>141.50319999999999</v>
      </c>
      <c r="M5396">
        <v>-0.99904230000000005</v>
      </c>
      <c r="N5396">
        <v>0</v>
      </c>
      <c r="O5396">
        <v>4.2989279999999998E-2</v>
      </c>
      <c r="P5396">
        <v>-0.99283909999999997</v>
      </c>
      <c r="Q5396">
        <v>0.11944009999999999</v>
      </c>
      <c r="R5396">
        <v>-2.1928389999999998E-3</v>
      </c>
      <c r="S5396">
        <v>-3.0339969999999998</v>
      </c>
      <c r="T5396">
        <v>-0.1174949</v>
      </c>
      <c r="U5396">
        <v>-8.8500980000000007E-3</v>
      </c>
      <c r="V5396">
        <v>-4.4976229999999999E-2</v>
      </c>
      <c r="W5396">
        <v>0.1274901</v>
      </c>
      <c r="X5396">
        <v>0.99081960000000002</v>
      </c>
      <c r="Y5396">
        <v>-4.5838209999999997E-2</v>
      </c>
      <c r="Z5396">
        <v>-2.551111E-3</v>
      </c>
      <c r="AA5396">
        <v>0.99894559999999999</v>
      </c>
      <c r="AB5396">
        <v>43</v>
      </c>
      <c r="AC5396">
        <v>-28.239899999999999</v>
      </c>
      <c r="AD5396">
        <v>-1.10947819493399</v>
      </c>
      <c r="AE5396">
        <v>-0.10110000000000199</v>
      </c>
      <c r="AF5396">
        <v>-1.3130331463961999</v>
      </c>
      <c r="AG5396">
        <v>-1.10947819493399</v>
      </c>
      <c r="AH5396">
        <v>28.1659709863217</v>
      </c>
      <c r="AI5396">
        <v>92.2533118324302</v>
      </c>
      <c r="AJ5396">
        <v>92.669065832462294</v>
      </c>
      <c r="AK5396">
        <v>28.218379108497398</v>
      </c>
      <c r="AL5396">
        <v>82.675421488769004</v>
      </c>
      <c r="AM5396">
        <v>92.599040623524104</v>
      </c>
      <c r="AN5396">
        <v>1.0000000333035901</v>
      </c>
    </row>
    <row r="5397" spans="1:40" x14ac:dyDescent="0.25">
      <c r="A5397" t="str">
        <f>"20190312172224508"</f>
        <v>20190312172224508</v>
      </c>
      <c r="B5397" t="str">
        <f>"1552382544505820"</f>
        <v>1552382544505820</v>
      </c>
      <c r="C5397" t="s">
        <v>40</v>
      </c>
      <c r="D5397">
        <v>3.273304</v>
      </c>
      <c r="E5397">
        <v>0.49844339999999998</v>
      </c>
      <c r="F5397" t="s">
        <v>42</v>
      </c>
      <c r="G5397">
        <v>-320.82819999999998</v>
      </c>
      <c r="H5397" s="1">
        <v>-4.307561E-6</v>
      </c>
      <c r="I5397">
        <v>141.38310000000001</v>
      </c>
      <c r="J5397">
        <v>-289.12720000000002</v>
      </c>
      <c r="K5397">
        <v>1.109523</v>
      </c>
      <c r="L5397">
        <v>141.52109999999999</v>
      </c>
      <c r="M5397">
        <v>-0.99905909999999998</v>
      </c>
      <c r="N5397">
        <v>0</v>
      </c>
      <c r="O5397">
        <v>4.2592280000000003E-2</v>
      </c>
      <c r="P5397">
        <v>-0.99274669999999998</v>
      </c>
      <c r="Q5397">
        <v>0.1201941</v>
      </c>
      <c r="R5397">
        <v>-2.7299640000000001E-3</v>
      </c>
      <c r="S5397">
        <v>-3.0342099999999999</v>
      </c>
      <c r="T5397">
        <v>-0.1047926</v>
      </c>
      <c r="U5397">
        <v>-1.133728E-2</v>
      </c>
      <c r="V5397">
        <v>-4.512766E-2</v>
      </c>
      <c r="W5397">
        <v>0.12825520000000001</v>
      </c>
      <c r="X5397">
        <v>0.99071399999999998</v>
      </c>
      <c r="Y5397">
        <v>-4.6273500000000002E-2</v>
      </c>
      <c r="Z5397">
        <v>-2.2691450000000002E-3</v>
      </c>
      <c r="AA5397">
        <v>0.99892619999999999</v>
      </c>
      <c r="AB5397">
        <v>43</v>
      </c>
      <c r="AC5397">
        <v>-31.700999999999901</v>
      </c>
      <c r="AD5397">
        <v>-1.1095273075609999</v>
      </c>
      <c r="AE5397">
        <v>-0.137999999999976</v>
      </c>
      <c r="AF5397">
        <v>-1.48631705928186</v>
      </c>
      <c r="AG5397">
        <v>-1.1095273075609999</v>
      </c>
      <c r="AH5397">
        <v>31.627610113516901</v>
      </c>
      <c r="AI5397">
        <v>92.006954595348205</v>
      </c>
      <c r="AJ5397">
        <v>92.690594909460003</v>
      </c>
      <c r="AK5397">
        <v>31.681949288823301</v>
      </c>
      <c r="AL5397">
        <v>82.631221875322296</v>
      </c>
      <c r="AM5397">
        <v>92.608056825398194</v>
      </c>
      <c r="AN5397">
        <v>1.0000000659100501</v>
      </c>
    </row>
    <row r="5398" spans="1:40" x14ac:dyDescent="0.25">
      <c r="A5398" t="str">
        <f>"20190312172224532"</f>
        <v>20190312172224532</v>
      </c>
      <c r="B5398" t="str">
        <f>"1552382544526317"</f>
        <v>1552382544526317</v>
      </c>
      <c r="C5398" t="s">
        <v>40</v>
      </c>
      <c r="D5398">
        <v>3.1488619999999998</v>
      </c>
      <c r="E5398">
        <v>0.50053539999999996</v>
      </c>
      <c r="F5398" t="s">
        <v>42</v>
      </c>
      <c r="G5398">
        <v>-322.27370000000002</v>
      </c>
      <c r="H5398" s="1">
        <v>-3.7678690000000002E-6</v>
      </c>
      <c r="I5398">
        <v>141.38650000000001</v>
      </c>
      <c r="J5398">
        <v>-289.57089999999999</v>
      </c>
      <c r="K5398">
        <v>1.109577</v>
      </c>
      <c r="L5398">
        <v>141.53970000000001</v>
      </c>
      <c r="M5398">
        <v>-0.99907950000000001</v>
      </c>
      <c r="N5398">
        <v>0</v>
      </c>
      <c r="O5398">
        <v>4.21102E-2</v>
      </c>
      <c r="P5398">
        <v>-0.99316190000000004</v>
      </c>
      <c r="Q5398">
        <v>0.11672689999999999</v>
      </c>
      <c r="R5398">
        <v>-2.121777E-3</v>
      </c>
      <c r="S5398">
        <v>-3.0341800000000001</v>
      </c>
      <c r="T5398">
        <v>-0.1015646</v>
      </c>
      <c r="U5398">
        <v>-1.231384E-2</v>
      </c>
      <c r="V5398">
        <v>-4.4072449999999999E-2</v>
      </c>
      <c r="W5398">
        <v>0.1248042</v>
      </c>
      <c r="X5398">
        <v>0.99120209999999997</v>
      </c>
      <c r="Y5398">
        <v>-4.6116600000000001E-2</v>
      </c>
      <c r="Z5398">
        <v>-2.1805629999999999E-3</v>
      </c>
      <c r="AA5398">
        <v>0.99893370000000004</v>
      </c>
      <c r="AB5398">
        <v>43</v>
      </c>
      <c r="AC5398">
        <v>-32.702800000000003</v>
      </c>
      <c r="AD5398">
        <v>-1.109580767869</v>
      </c>
      <c r="AE5398">
        <v>-0.153199999999998</v>
      </c>
      <c r="AF5398">
        <v>-1.5284720755903001</v>
      </c>
      <c r="AG5398">
        <v>-1.109580767869</v>
      </c>
      <c r="AH5398">
        <v>32.629775934912402</v>
      </c>
      <c r="AI5398">
        <v>91.945470090312696</v>
      </c>
      <c r="AJ5398">
        <v>92.681937794690896</v>
      </c>
      <c r="AK5398">
        <v>32.684394960422203</v>
      </c>
      <c r="AL5398">
        <v>82.830551537249605</v>
      </c>
      <c r="AM5398">
        <v>92.545901842207101</v>
      </c>
      <c r="AN5398">
        <v>1.0000000361155199</v>
      </c>
    </row>
    <row r="5399" spans="1:40" x14ac:dyDescent="0.25">
      <c r="A5399" t="str">
        <f>"20190312172224553"</f>
        <v>20190312172224553</v>
      </c>
      <c r="B5399" t="str">
        <f>"1552382544545841"</f>
        <v>1552382544545841</v>
      </c>
      <c r="C5399" t="s">
        <v>40</v>
      </c>
      <c r="D5399">
        <v>3.1550549999999999</v>
      </c>
      <c r="E5399">
        <v>0.53432519999999994</v>
      </c>
      <c r="F5399" t="s">
        <v>42</v>
      </c>
      <c r="G5399">
        <v>-320.1927</v>
      </c>
      <c r="H5399" s="1">
        <v>-4.5618299999999997E-6</v>
      </c>
      <c r="I5399">
        <v>141.59719999999999</v>
      </c>
      <c r="J5399">
        <v>-289.9932</v>
      </c>
      <c r="K5399">
        <v>1.1096239999999999</v>
      </c>
      <c r="L5399">
        <v>141.55709999999999</v>
      </c>
      <c r="M5399">
        <v>-0.99910189999999999</v>
      </c>
      <c r="N5399">
        <v>0</v>
      </c>
      <c r="O5399">
        <v>4.1572789999999998E-2</v>
      </c>
      <c r="P5399">
        <v>-0.99358270000000004</v>
      </c>
      <c r="Q5399">
        <v>0.1131089</v>
      </c>
      <c r="R5399">
        <v>-2.6479500000000002E-4</v>
      </c>
      <c r="S5399">
        <v>-3.0335999999999999</v>
      </c>
      <c r="T5399">
        <v>-0.1099228</v>
      </c>
      <c r="U5399">
        <v>5.7067869999999996E-3</v>
      </c>
      <c r="V5399">
        <v>-4.1715120000000001E-2</v>
      </c>
      <c r="W5399">
        <v>0.12120209999999999</v>
      </c>
      <c r="X5399">
        <v>0.99175100000000005</v>
      </c>
      <c r="Y5399">
        <v>-3.9641259999999998E-2</v>
      </c>
      <c r="Z5399">
        <v>-2.2235760000000001E-3</v>
      </c>
      <c r="AA5399">
        <v>0.99921150000000003</v>
      </c>
      <c r="AB5399">
        <v>43</v>
      </c>
      <c r="AC5399">
        <v>-30.1995</v>
      </c>
      <c r="AD5399">
        <v>-1.1096285618299999</v>
      </c>
      <c r="AE5399">
        <v>4.0099999999995299E-2</v>
      </c>
      <c r="AF5399">
        <v>-1.21381553147711</v>
      </c>
      <c r="AG5399">
        <v>-1.1096285618299999</v>
      </c>
      <c r="AH5399">
        <v>30.134373844048699</v>
      </c>
      <c r="AI5399">
        <v>92.107124512672996</v>
      </c>
      <c r="AJ5399">
        <v>92.306632659520304</v>
      </c>
      <c r="AK5399">
        <v>30.179216534936302</v>
      </c>
      <c r="AL5399">
        <v>83.038516258449803</v>
      </c>
      <c r="AM5399">
        <v>92.408560490439896</v>
      </c>
      <c r="AN5399">
        <v>1.0000000731409999</v>
      </c>
    </row>
    <row r="5400" spans="1:40" x14ac:dyDescent="0.25">
      <c r="A5400" t="str">
        <f>"20190312172224576"</f>
        <v>20190312172224576</v>
      </c>
      <c r="B5400" t="str">
        <f>"1552382544566332"</f>
        <v>1552382544566332</v>
      </c>
      <c r="C5400" t="s">
        <v>40</v>
      </c>
      <c r="D5400">
        <v>3.1394890000000002</v>
      </c>
      <c r="E5400">
        <v>0.53531519999999899</v>
      </c>
      <c r="F5400" t="s">
        <v>42</v>
      </c>
      <c r="G5400">
        <v>-323.3777</v>
      </c>
      <c r="H5400" s="1">
        <v>-4.0193020000000003E-6</v>
      </c>
      <c r="I5400">
        <v>144.649</v>
      </c>
      <c r="J5400">
        <v>-290.42020000000002</v>
      </c>
      <c r="K5400">
        <v>1.1096900000000001</v>
      </c>
      <c r="L5400">
        <v>141.5744</v>
      </c>
      <c r="M5400">
        <v>-0.99912769999999995</v>
      </c>
      <c r="N5400">
        <v>0</v>
      </c>
      <c r="O5400">
        <v>4.0938469999999998E-2</v>
      </c>
      <c r="P5400">
        <v>-0.99365060000000005</v>
      </c>
      <c r="Q5400">
        <v>0.1125015</v>
      </c>
      <c r="R5400">
        <v>1.5321740000000001E-3</v>
      </c>
      <c r="S5400">
        <v>-3.0308839999999999</v>
      </c>
      <c r="T5400">
        <v>-0.1007402</v>
      </c>
      <c r="U5400">
        <v>0.28071590000000002</v>
      </c>
      <c r="V5400">
        <v>-3.931457E-2</v>
      </c>
      <c r="W5400">
        <v>0.12060849999999999</v>
      </c>
      <c r="X5400">
        <v>0.99192139999999995</v>
      </c>
      <c r="Y5400">
        <v>5.137539E-2</v>
      </c>
      <c r="Z5400">
        <v>-5.0480260000000004E-4</v>
      </c>
      <c r="AA5400">
        <v>0.99867930000000005</v>
      </c>
      <c r="AB5400">
        <v>43</v>
      </c>
      <c r="AC5400">
        <v>-32.957499999999897</v>
      </c>
      <c r="AD5400">
        <v>-1.109694019302</v>
      </c>
      <c r="AE5400">
        <v>3.0746000000000002</v>
      </c>
      <c r="AF5400">
        <v>1.72081282042878</v>
      </c>
      <c r="AG5400">
        <v>-1.109694019302</v>
      </c>
      <c r="AH5400">
        <v>33.018632298281403</v>
      </c>
      <c r="AI5400">
        <v>91.922271863082003</v>
      </c>
      <c r="AJ5400">
        <v>87.016648338212704</v>
      </c>
      <c r="AK5400">
        <v>33.082060039068601</v>
      </c>
      <c r="AL5400">
        <v>83.072778248345202</v>
      </c>
      <c r="AM5400">
        <v>92.269716652023206</v>
      </c>
      <c r="AN5400">
        <v>1.0000000547322401</v>
      </c>
    </row>
    <row r="5401" spans="1:40" x14ac:dyDescent="0.25">
      <c r="A5401" t="str">
        <f>"20190312172224597"</f>
        <v>20190312172224597</v>
      </c>
      <c r="B5401" t="str">
        <f>"1552382544585852"</f>
        <v>1552382544585852</v>
      </c>
      <c r="C5401" t="s">
        <v>40</v>
      </c>
      <c r="D5401">
        <v>3.1331190000000002</v>
      </c>
      <c r="E5401">
        <v>0.53583349999999996</v>
      </c>
      <c r="F5401" t="s">
        <v>42</v>
      </c>
      <c r="G5401">
        <v>-323.14679999999998</v>
      </c>
      <c r="H5401" s="1">
        <v>-4.1156869999999997E-6</v>
      </c>
      <c r="I5401">
        <v>144.74950000000001</v>
      </c>
      <c r="J5401">
        <v>-290.84059999999999</v>
      </c>
      <c r="K5401">
        <v>1.1097790000000001</v>
      </c>
      <c r="L5401">
        <v>141.59119999999999</v>
      </c>
      <c r="M5401">
        <v>-0.99915719999999997</v>
      </c>
      <c r="N5401">
        <v>0</v>
      </c>
      <c r="O5401">
        <v>4.0214409999999999E-2</v>
      </c>
      <c r="P5401">
        <v>-0.99338409999999999</v>
      </c>
      <c r="Q5401">
        <v>0.1148076</v>
      </c>
      <c r="R5401">
        <v>2.7130209999999999E-3</v>
      </c>
      <c r="S5401">
        <v>-3.0303650000000002</v>
      </c>
      <c r="T5401">
        <v>-0.102754</v>
      </c>
      <c r="U5401">
        <v>0.2940063</v>
      </c>
      <c r="V5401">
        <v>-3.7434549999999997E-2</v>
      </c>
      <c r="W5401">
        <v>0.1229238</v>
      </c>
      <c r="X5401">
        <v>0.99170979999999997</v>
      </c>
      <c r="Y5401">
        <v>5.6451500000000002E-2</v>
      </c>
      <c r="Z5401">
        <v>-4.0455489999999998E-4</v>
      </c>
      <c r="AA5401">
        <v>0.99840530000000005</v>
      </c>
      <c r="AB5401">
        <v>43</v>
      </c>
      <c r="AC5401">
        <v>-32.306199999999897</v>
      </c>
      <c r="AD5401">
        <v>-1.1097831156869999</v>
      </c>
      <c r="AE5401">
        <v>3.1583000000000201</v>
      </c>
      <c r="AF5401">
        <v>1.8543587078272199</v>
      </c>
      <c r="AG5401">
        <v>-1.1097831156869999</v>
      </c>
      <c r="AH5401">
        <v>32.369242285573897</v>
      </c>
      <c r="AI5401">
        <v>91.960411332880994</v>
      </c>
      <c r="AJ5401">
        <v>86.721241564929898</v>
      </c>
      <c r="AK5401">
        <v>32.441302546651002</v>
      </c>
      <c r="AL5401">
        <v>82.939126156717805</v>
      </c>
      <c r="AM5401">
        <v>92.161745184222696</v>
      </c>
      <c r="AN5401">
        <v>0.99999996677809</v>
      </c>
    </row>
    <row r="5402" spans="1:40" x14ac:dyDescent="0.25">
      <c r="A5402" t="str">
        <f>"20190312172224621"</f>
        <v>20190312172224621</v>
      </c>
      <c r="B5402" t="str">
        <f>"1552382544616109"</f>
        <v>1552382544616109</v>
      </c>
      <c r="C5402" t="s">
        <v>40</v>
      </c>
      <c r="D5402">
        <v>3.140619</v>
      </c>
      <c r="E5402">
        <v>0.53652</v>
      </c>
      <c r="F5402" t="s">
        <v>42</v>
      </c>
      <c r="G5402">
        <v>-324.7638</v>
      </c>
      <c r="H5402" s="1">
        <v>-3.605192E-6</v>
      </c>
      <c r="I5402">
        <v>144.97370000000001</v>
      </c>
      <c r="J5402">
        <v>-291.29329999999999</v>
      </c>
      <c r="K5402">
        <v>1.109883</v>
      </c>
      <c r="L5402">
        <v>141.6087</v>
      </c>
      <c r="M5402">
        <v>-0.99919270000000004</v>
      </c>
      <c r="N5402">
        <v>0</v>
      </c>
      <c r="O5402">
        <v>3.9317860000000003E-2</v>
      </c>
      <c r="P5402">
        <v>-0.99299320000000002</v>
      </c>
      <c r="Q5402">
        <v>0.1181376</v>
      </c>
      <c r="R5402">
        <v>2.9042019999999998E-3</v>
      </c>
      <c r="S5402">
        <v>-3.03064</v>
      </c>
      <c r="T5402">
        <v>-9.9146369999999998E-2</v>
      </c>
      <c r="U5402">
        <v>0.30220029999999998</v>
      </c>
      <c r="V5402">
        <v>-3.6375030000000003E-2</v>
      </c>
      <c r="W5402">
        <v>0.12626119999999999</v>
      </c>
      <c r="X5402">
        <v>0.99132989999999999</v>
      </c>
      <c r="Y5402">
        <v>6.0010109999999998E-2</v>
      </c>
      <c r="Z5402">
        <v>-3.0300029999999999E-4</v>
      </c>
      <c r="AA5402">
        <v>0.99819769999999997</v>
      </c>
      <c r="AB5402">
        <v>43</v>
      </c>
      <c r="AC5402">
        <v>-33.470500000000001</v>
      </c>
      <c r="AD5402">
        <v>-1.109886605192</v>
      </c>
      <c r="AE5402">
        <v>3.3650000000000002</v>
      </c>
      <c r="AF5402">
        <v>2.0441394012226102</v>
      </c>
      <c r="AG5402">
        <v>-1.109886605192</v>
      </c>
      <c r="AH5402">
        <v>33.540414575785398</v>
      </c>
      <c r="AI5402">
        <v>91.891776770864993</v>
      </c>
      <c r="AJ5402">
        <v>86.5123903548741</v>
      </c>
      <c r="AK5402">
        <v>33.620972087129999</v>
      </c>
      <c r="AL5402">
        <v>82.746405697982695</v>
      </c>
      <c r="AM5402">
        <v>92.101420628604203</v>
      </c>
      <c r="AN5402">
        <v>1.0000000020334701</v>
      </c>
    </row>
    <row r="5403" spans="1:40" x14ac:dyDescent="0.25">
      <c r="A5403" t="str">
        <f>"20190312172224644"</f>
        <v>20190312172224644</v>
      </c>
      <c r="B5403" t="str">
        <f>"1552382544635628"</f>
        <v>1552382544635628</v>
      </c>
      <c r="C5403" t="s">
        <v>40</v>
      </c>
      <c r="D5403">
        <v>3.134315</v>
      </c>
      <c r="E5403">
        <v>0.53647509999999998</v>
      </c>
      <c r="F5403" t="s">
        <v>42</v>
      </c>
      <c r="G5403">
        <v>-328.1474</v>
      </c>
      <c r="H5403" s="1">
        <v>-2.3028959999999999E-6</v>
      </c>
      <c r="I5403">
        <v>145.35079999999999</v>
      </c>
      <c r="J5403">
        <v>-291.73750000000001</v>
      </c>
      <c r="K5403">
        <v>1.109993</v>
      </c>
      <c r="L5403">
        <v>141.62540000000001</v>
      </c>
      <c r="M5403">
        <v>-0.99923139999999999</v>
      </c>
      <c r="N5403">
        <v>0</v>
      </c>
      <c r="O5403">
        <v>3.8317320000000002E-2</v>
      </c>
      <c r="P5403">
        <v>-0.99269220000000002</v>
      </c>
      <c r="Q5403">
        <v>0.12066490000000001</v>
      </c>
      <c r="R5403">
        <v>1.6014169999999999E-3</v>
      </c>
      <c r="S5403">
        <v>-3.0311279999999998</v>
      </c>
      <c r="T5403">
        <v>-9.1284630000000005E-2</v>
      </c>
      <c r="U5403">
        <v>0.30778499999999998</v>
      </c>
      <c r="V5403">
        <v>-3.6708989999999997E-2</v>
      </c>
      <c r="W5403">
        <v>0.1287934</v>
      </c>
      <c r="X5403">
        <v>0.99099179999999998</v>
      </c>
      <c r="Y5403">
        <v>6.2814179999999997E-2</v>
      </c>
      <c r="Z5403">
        <v>-2.0679659999999999E-4</v>
      </c>
      <c r="AA5403">
        <v>0.99802519999999995</v>
      </c>
      <c r="AB5403">
        <v>43</v>
      </c>
      <c r="AC5403">
        <v>-36.409899999999901</v>
      </c>
      <c r="AD5403">
        <v>-1.1099953028959999</v>
      </c>
      <c r="AE5403">
        <v>3.7253999999999698</v>
      </c>
      <c r="AF5403">
        <v>2.3253476702240801</v>
      </c>
      <c r="AG5403">
        <v>-1.1099953028959999</v>
      </c>
      <c r="AH5403">
        <v>36.492347112765003</v>
      </c>
      <c r="AI5403">
        <v>91.738716227661698</v>
      </c>
      <c r="AJ5403">
        <v>86.353955590957298</v>
      </c>
      <c r="AK5403">
        <v>36.583202828052102</v>
      </c>
      <c r="AL5403">
        <v>82.600127051147396</v>
      </c>
      <c r="AM5403">
        <v>92.121419148672402</v>
      </c>
      <c r="AN5403">
        <v>1.0000000187488001</v>
      </c>
    </row>
    <row r="5404" spans="1:40" x14ac:dyDescent="0.25">
      <c r="A5404" t="str">
        <f>"20190312172224665"</f>
        <v>20190312172224665</v>
      </c>
      <c r="B5404" t="str">
        <f>"1552382544656128"</f>
        <v>1552382544656128</v>
      </c>
      <c r="C5404" t="s">
        <v>40</v>
      </c>
      <c r="D5404">
        <v>3.1640000000000001</v>
      </c>
      <c r="E5404">
        <v>0.53639059999999905</v>
      </c>
      <c r="F5404" t="s">
        <v>42</v>
      </c>
      <c r="G5404">
        <v>-333.1053</v>
      </c>
      <c r="H5404" s="1">
        <v>-4.6093229999999996E-6</v>
      </c>
      <c r="I5404">
        <v>145.76419999999999</v>
      </c>
      <c r="J5404">
        <v>-292.15350000000001</v>
      </c>
      <c r="K5404">
        <v>1.1101019999999999</v>
      </c>
      <c r="L5404">
        <v>141.64070000000001</v>
      </c>
      <c r="M5404">
        <v>-0.99926979999999999</v>
      </c>
      <c r="N5404">
        <v>0</v>
      </c>
      <c r="O5404">
        <v>3.7297700000000003E-2</v>
      </c>
      <c r="P5404">
        <v>-0.99239849999999996</v>
      </c>
      <c r="Q5404">
        <v>0.1230536</v>
      </c>
      <c r="R5404">
        <v>-1.8108200000000001E-3</v>
      </c>
      <c r="S5404">
        <v>-3.0315249999999998</v>
      </c>
      <c r="T5404">
        <v>-8.134305E-2</v>
      </c>
      <c r="U5404">
        <v>0.30329899999999999</v>
      </c>
      <c r="V5404">
        <v>-3.9131060000000002E-2</v>
      </c>
      <c r="W5404">
        <v>0.131181399999999</v>
      </c>
      <c r="X5404">
        <v>0.99058579999999996</v>
      </c>
      <c r="Y5404">
        <v>6.235943E-2</v>
      </c>
      <c r="Z5404">
        <v>-1.631189E-4</v>
      </c>
      <c r="AA5404">
        <v>0.99805370000000004</v>
      </c>
      <c r="AB5404">
        <v>43</v>
      </c>
      <c r="AC5404">
        <v>-40.951799999999899</v>
      </c>
      <c r="AD5404">
        <v>-1.1101066093230001</v>
      </c>
      <c r="AE5404">
        <v>4.1234999999999697</v>
      </c>
      <c r="AF5404">
        <v>2.5912851822109699</v>
      </c>
      <c r="AG5404">
        <v>-1.1101066093230001</v>
      </c>
      <c r="AH5404">
        <v>41.047246314523001</v>
      </c>
      <c r="AI5404">
        <v>91.546087911812705</v>
      </c>
      <c r="AJ5404">
        <v>86.387749353896695</v>
      </c>
      <c r="AK5404">
        <v>41.143936680691198</v>
      </c>
      <c r="AL5404">
        <v>82.462133874018903</v>
      </c>
      <c r="AM5404">
        <v>92.262176030044799</v>
      </c>
      <c r="AN5404">
        <v>1.00000001336216</v>
      </c>
    </row>
    <row r="5405" spans="1:40" x14ac:dyDescent="0.25">
      <c r="A5405" t="str">
        <f>"20190312172224687"</f>
        <v>20190312172224687</v>
      </c>
      <c r="B5405" t="str">
        <f>"1552382544675648"</f>
        <v>1552382544675648</v>
      </c>
      <c r="C5405" t="s">
        <v>40</v>
      </c>
      <c r="D5405">
        <v>3.1734520000000002</v>
      </c>
      <c r="E5405">
        <v>0.53641830000000001</v>
      </c>
      <c r="F5405" t="s">
        <v>42</v>
      </c>
      <c r="G5405">
        <v>-337.81540000000001</v>
      </c>
      <c r="H5405" s="1">
        <v>-2.719725E-6</v>
      </c>
      <c r="I5405">
        <v>146.03020000000001</v>
      </c>
      <c r="J5405">
        <v>-292.57650000000001</v>
      </c>
      <c r="K5405">
        <v>1.1102019999999999</v>
      </c>
      <c r="L5405">
        <v>141.6557</v>
      </c>
      <c r="M5405">
        <v>-0.99931060000000005</v>
      </c>
      <c r="N5405">
        <v>0</v>
      </c>
      <c r="O5405">
        <v>3.6183470000000002E-2</v>
      </c>
      <c r="P5405">
        <v>-0.99235249999999997</v>
      </c>
      <c r="Q5405">
        <v>0.12333330000000001</v>
      </c>
      <c r="R5405">
        <v>-5.0291190000000003E-3</v>
      </c>
      <c r="S5405">
        <v>-3.032654</v>
      </c>
      <c r="T5405">
        <v>-7.3728080000000001E-2</v>
      </c>
      <c r="U5405">
        <v>0.29153440000000003</v>
      </c>
      <c r="V5405">
        <v>-4.126962E-2</v>
      </c>
      <c r="W5405">
        <v>0.1314632</v>
      </c>
      <c r="X5405">
        <v>0.99046160000000005</v>
      </c>
      <c r="Y5405">
        <v>5.9602469999999998E-2</v>
      </c>
      <c r="Z5405">
        <v>-1.5428809999999999E-4</v>
      </c>
      <c r="AA5405">
        <v>0.99822219999999995</v>
      </c>
      <c r="AB5405">
        <v>43</v>
      </c>
      <c r="AC5405">
        <v>-45.238900000000001</v>
      </c>
      <c r="AD5405">
        <v>-1.110204719725</v>
      </c>
      <c r="AE5405">
        <v>4.37450000000001</v>
      </c>
      <c r="AF5405">
        <v>2.7330475482541301</v>
      </c>
      <c r="AG5405">
        <v>-1.110204719725</v>
      </c>
      <c r="AH5405">
        <v>45.340510253860103</v>
      </c>
      <c r="AI5405">
        <v>91.400120039711098</v>
      </c>
      <c r="AJ5405">
        <v>86.550483360289505</v>
      </c>
      <c r="AK5405">
        <v>45.436372803087103</v>
      </c>
      <c r="AL5405">
        <v>82.445846527308603</v>
      </c>
      <c r="AM5405">
        <v>92.3859663593432</v>
      </c>
      <c r="AN5405">
        <v>0.99999996778187095</v>
      </c>
    </row>
    <row r="5406" spans="1:40" x14ac:dyDescent="0.25">
      <c r="A5406" t="str">
        <f>"20190312172224709"</f>
        <v>20190312172224709</v>
      </c>
      <c r="B5406" t="str">
        <f>"1552382544705901"</f>
        <v>1552382544705901</v>
      </c>
      <c r="C5406" t="s">
        <v>40</v>
      </c>
      <c r="D5406">
        <v>3.175249</v>
      </c>
      <c r="E5406">
        <v>0.53646280000000002</v>
      </c>
      <c r="F5406" t="s">
        <v>42</v>
      </c>
      <c r="G5406">
        <v>-338.46870000000001</v>
      </c>
      <c r="H5406" s="1">
        <v>-2.3792399999999999E-6</v>
      </c>
      <c r="I5406">
        <v>145.91120000000001</v>
      </c>
      <c r="J5406">
        <v>-293.01490000000001</v>
      </c>
      <c r="K5406">
        <v>1.1102909999999999</v>
      </c>
      <c r="L5406">
        <v>141.67070000000001</v>
      </c>
      <c r="M5406">
        <v>-0.99935430000000003</v>
      </c>
      <c r="N5406">
        <v>0</v>
      </c>
      <c r="O5406">
        <v>3.4955269999999997E-2</v>
      </c>
      <c r="P5406">
        <v>-0.99230189999999996</v>
      </c>
      <c r="Q5406">
        <v>0.12361129999999999</v>
      </c>
      <c r="R5406">
        <v>-7.5854059999999899E-3</v>
      </c>
      <c r="S5406">
        <v>-3.0336609999999999</v>
      </c>
      <c r="T5406">
        <v>-7.3389049999999997E-2</v>
      </c>
      <c r="U5406">
        <v>0.28131099999999998</v>
      </c>
      <c r="V5406">
        <v>-4.2632419999999997E-2</v>
      </c>
      <c r="W5406">
        <v>0.131744899999999</v>
      </c>
      <c r="X5406">
        <v>0.99036650000000004</v>
      </c>
      <c r="Y5406">
        <v>5.7463649999999998E-2</v>
      </c>
      <c r="Z5406">
        <v>-1.497704E-4</v>
      </c>
      <c r="AA5406">
        <v>0.9983476</v>
      </c>
      <c r="AB5406">
        <v>44</v>
      </c>
      <c r="AC5406">
        <v>-45.453800000000001</v>
      </c>
      <c r="AD5406">
        <v>-1.1102933792399901</v>
      </c>
      <c r="AE5406">
        <v>4.2404999999999902</v>
      </c>
      <c r="AF5406">
        <v>2.6474375783802002</v>
      </c>
      <c r="AG5406">
        <v>-1.1102933792399901</v>
      </c>
      <c r="AH5406">
        <v>45.547310920191997</v>
      </c>
      <c r="AI5406">
        <v>91.394053788170098</v>
      </c>
      <c r="AJ5406">
        <v>86.673425576539799</v>
      </c>
      <c r="AK5406">
        <v>45.637695046748902</v>
      </c>
      <c r="AL5406">
        <v>82.429565113497603</v>
      </c>
      <c r="AM5406">
        <v>92.464896196974195</v>
      </c>
      <c r="AN5406">
        <v>1.0000000231166499</v>
      </c>
    </row>
    <row r="5407" spans="1:40" x14ac:dyDescent="0.25">
      <c r="A5407" t="str">
        <f>"20190312172224734"</f>
        <v>20190312172224734</v>
      </c>
      <c r="B5407" t="str">
        <f>"1552382544726400"</f>
        <v>1552382544726400</v>
      </c>
      <c r="C5407" t="s">
        <v>40</v>
      </c>
      <c r="D5407">
        <v>3.1661709999999998</v>
      </c>
      <c r="E5407">
        <v>0.536582</v>
      </c>
      <c r="F5407" t="s">
        <v>42</v>
      </c>
      <c r="G5407">
        <v>-339.60449999999997</v>
      </c>
      <c r="H5407" s="1">
        <v>-1.8303230000000001E-6</v>
      </c>
      <c r="I5407">
        <v>145.86600000000001</v>
      </c>
      <c r="J5407">
        <v>-293.48540000000003</v>
      </c>
      <c r="K5407">
        <v>1.1103799999999999</v>
      </c>
      <c r="L5407">
        <v>141.68610000000001</v>
      </c>
      <c r="M5407">
        <v>-0.99940169999999995</v>
      </c>
      <c r="N5407">
        <v>0</v>
      </c>
      <c r="O5407">
        <v>3.3567130000000001E-2</v>
      </c>
      <c r="P5407">
        <v>-0.99207970000000001</v>
      </c>
      <c r="Q5407">
        <v>0.12519230000000001</v>
      </c>
      <c r="R5407">
        <v>-1.0254869999999999E-2</v>
      </c>
      <c r="S5407">
        <v>-3.034332</v>
      </c>
      <c r="T5407">
        <v>-7.231224E-2</v>
      </c>
      <c r="U5407">
        <v>0.27323910000000001</v>
      </c>
      <c r="V5407">
        <v>-4.3948580000000001E-2</v>
      </c>
      <c r="W5407">
        <v>0.13332920000000001</v>
      </c>
      <c r="X5407">
        <v>0.99009689999999995</v>
      </c>
      <c r="Y5407">
        <v>5.6196370000000002E-2</v>
      </c>
      <c r="Z5407">
        <v>-1.2966529999999999E-4</v>
      </c>
      <c r="AA5407">
        <v>0.99841970000000002</v>
      </c>
      <c r="AB5407">
        <v>44</v>
      </c>
      <c r="AC5407">
        <v>-46.119099999999897</v>
      </c>
      <c r="AD5407">
        <v>-1.110381830323</v>
      </c>
      <c r="AE5407">
        <v>4.1798999999999999</v>
      </c>
      <c r="AF5407">
        <v>2.6278937927172499</v>
      </c>
      <c r="AG5407">
        <v>-1.110381830323</v>
      </c>
      <c r="AH5407">
        <v>46.206853955202902</v>
      </c>
      <c r="AI5407">
        <v>91.374371210021707</v>
      </c>
      <c r="AJ5407">
        <v>86.744959030289294</v>
      </c>
      <c r="AK5407">
        <v>46.294839086364298</v>
      </c>
      <c r="AL5407">
        <v>82.337983390288798</v>
      </c>
      <c r="AM5407">
        <v>92.541585890568498</v>
      </c>
      <c r="AN5407">
        <v>1.0000000123231301</v>
      </c>
    </row>
    <row r="5408" spans="1:40" x14ac:dyDescent="0.25">
      <c r="A5408" t="str">
        <f>"20190312172224754"</f>
        <v>20190312172224754</v>
      </c>
      <c r="B5408" t="str">
        <f>"1552382544745916"</f>
        <v>1552382544745916</v>
      </c>
      <c r="C5408" t="s">
        <v>40</v>
      </c>
      <c r="D5408">
        <v>3.248605</v>
      </c>
      <c r="E5408">
        <v>0.53683749999999997</v>
      </c>
      <c r="F5408" t="s">
        <v>42</v>
      </c>
      <c r="G5408">
        <v>-344.05630000000002</v>
      </c>
      <c r="H5408" s="1">
        <v>-4.0487190000000002E-6</v>
      </c>
      <c r="I5408">
        <v>146.11670000000001</v>
      </c>
      <c r="J5408">
        <v>-293.88929999999999</v>
      </c>
      <c r="K5408">
        <v>1.110457</v>
      </c>
      <c r="L5408">
        <v>141.69890000000001</v>
      </c>
      <c r="M5408">
        <v>-0.99944250000000001</v>
      </c>
      <c r="N5408">
        <v>0</v>
      </c>
      <c r="O5408">
        <v>3.2326359999999998E-2</v>
      </c>
      <c r="P5408">
        <v>-0.99189130000000003</v>
      </c>
      <c r="Q5408">
        <v>0.1264951</v>
      </c>
      <c r="R5408">
        <v>-1.2296899999999999E-2</v>
      </c>
      <c r="S5408">
        <v>-3.0350950000000001</v>
      </c>
      <c r="T5408">
        <v>-6.6641569999999997E-2</v>
      </c>
      <c r="U5408">
        <v>0.26591490000000001</v>
      </c>
      <c r="V5408">
        <v>-4.4779989999999999E-2</v>
      </c>
      <c r="W5408">
        <v>0.1346357</v>
      </c>
      <c r="X5408">
        <v>0.98988279999999995</v>
      </c>
      <c r="Y5408">
        <v>5.5023860000000001E-2</v>
      </c>
      <c r="Z5408">
        <v>-1.051778E-4</v>
      </c>
      <c r="AA5408">
        <v>0.99848499999999996</v>
      </c>
      <c r="AB5408">
        <v>44</v>
      </c>
      <c r="AC5408">
        <v>-50.167000000000002</v>
      </c>
      <c r="AD5408">
        <v>-1.1104610487190001</v>
      </c>
      <c r="AE5408">
        <v>4.4177999999999997</v>
      </c>
      <c r="AF5408">
        <v>2.7923602838421799</v>
      </c>
      <c r="AG5408">
        <v>-1.1104610487190001</v>
      </c>
      <c r="AH5408">
        <v>50.259159561963997</v>
      </c>
      <c r="AI5408">
        <v>91.263778718601998</v>
      </c>
      <c r="AJ5408">
        <v>86.819959909007594</v>
      </c>
      <c r="AK5408">
        <v>50.3489177596744</v>
      </c>
      <c r="AL5408">
        <v>82.262445190903705</v>
      </c>
      <c r="AM5408">
        <v>92.590161569721502</v>
      </c>
      <c r="AN5408">
        <v>0.99999998847736504</v>
      </c>
    </row>
    <row r="5409" spans="1:40" x14ac:dyDescent="0.25">
      <c r="A5409" t="str">
        <f>"20190312172224777"</f>
        <v>20190312172224777</v>
      </c>
      <c r="B5409" t="str">
        <f>"1552382544766413"</f>
        <v>1552382544766413</v>
      </c>
      <c r="C5409" t="s">
        <v>40</v>
      </c>
      <c r="D5409">
        <v>3.1673480000000001</v>
      </c>
      <c r="E5409">
        <v>0.53711180000000003</v>
      </c>
      <c r="F5409" t="s">
        <v>42</v>
      </c>
      <c r="G5409">
        <v>-348.33839999999998</v>
      </c>
      <c r="H5409" s="1">
        <v>-2.5015499999999998E-6</v>
      </c>
      <c r="I5409">
        <v>146.40539999999999</v>
      </c>
      <c r="J5409">
        <v>-294.32010000000002</v>
      </c>
      <c r="K5409">
        <v>1.11053</v>
      </c>
      <c r="L5409">
        <v>141.71190000000001</v>
      </c>
      <c r="M5409">
        <v>-0.99948559999999997</v>
      </c>
      <c r="N5409">
        <v>0</v>
      </c>
      <c r="O5409">
        <v>3.0962300000000002E-2</v>
      </c>
      <c r="P5409">
        <v>-0.99156500000000003</v>
      </c>
      <c r="Q5409">
        <v>0.1288484</v>
      </c>
      <c r="R5409">
        <v>-1.4045180000000001E-2</v>
      </c>
      <c r="S5409">
        <v>-3.0356749999999999</v>
      </c>
      <c r="T5409">
        <v>-6.1910989999999999E-2</v>
      </c>
      <c r="U5409">
        <v>0.26240540000000001</v>
      </c>
      <c r="V5409">
        <v>-4.519571E-2</v>
      </c>
      <c r="W5409">
        <v>0.136994</v>
      </c>
      <c r="X5409">
        <v>0.98954030000000004</v>
      </c>
      <c r="Y5409">
        <v>5.5224769999999999E-2</v>
      </c>
      <c r="Z5409" s="1">
        <v>-6.7921879999999996E-5</v>
      </c>
      <c r="AA5409">
        <v>0.99847390000000003</v>
      </c>
      <c r="AB5409">
        <v>44</v>
      </c>
      <c r="AC5409">
        <v>-54.018299999999897</v>
      </c>
      <c r="AD5409">
        <v>-1.1105325015500001</v>
      </c>
      <c r="AE5409">
        <v>4.69349999999997</v>
      </c>
      <c r="AF5409">
        <v>3.0173945685577999</v>
      </c>
      <c r="AG5409">
        <v>-1.1105325015500001</v>
      </c>
      <c r="AH5409">
        <v>54.1150255792152</v>
      </c>
      <c r="AI5409">
        <v>91.173819164965806</v>
      </c>
      <c r="AJ5409">
        <v>86.808554797491894</v>
      </c>
      <c r="AK5409">
        <v>54.210459745868903</v>
      </c>
      <c r="AL5409">
        <v>82.126060958384599</v>
      </c>
      <c r="AM5409">
        <v>92.615077980153401</v>
      </c>
      <c r="AN5409">
        <v>1.00000000678124</v>
      </c>
    </row>
    <row r="5410" spans="1:40" x14ac:dyDescent="0.25">
      <c r="A5410" t="str">
        <f>"20190312172224790"</f>
        <v>20190312172224790</v>
      </c>
      <c r="B5410" t="str">
        <f>"1552382544785933"</f>
        <v>1552382544785933</v>
      </c>
      <c r="C5410" t="s">
        <v>40</v>
      </c>
      <c r="D5410">
        <v>3.2006929999999998</v>
      </c>
      <c r="E5410">
        <v>0.5372846</v>
      </c>
      <c r="F5410" t="s">
        <v>42</v>
      </c>
      <c r="G5410">
        <v>-355.02159999999998</v>
      </c>
      <c r="H5410" s="1">
        <v>-3.8582380000000004E-6</v>
      </c>
      <c r="I5410">
        <v>146.8948</v>
      </c>
      <c r="J5410">
        <v>-294.5994</v>
      </c>
      <c r="K5410">
        <v>1.110582</v>
      </c>
      <c r="L5410">
        <v>141.72</v>
      </c>
      <c r="M5410">
        <v>-0.99951310000000004</v>
      </c>
      <c r="N5410">
        <v>0</v>
      </c>
      <c r="O5410">
        <v>3.0054440000000002E-2</v>
      </c>
      <c r="P5410">
        <v>-0.99147779999999996</v>
      </c>
      <c r="Q5410">
        <v>0.1294322</v>
      </c>
      <c r="R5410">
        <v>-1.479656E-2</v>
      </c>
      <c r="S5410">
        <v>-3.0364070000000001</v>
      </c>
      <c r="T5410">
        <v>-5.5551049999999998E-2</v>
      </c>
      <c r="U5410">
        <v>0.2592621</v>
      </c>
      <c r="V5410">
        <v>-4.5061299999999999E-2</v>
      </c>
      <c r="W5410">
        <v>0.13758299999999901</v>
      </c>
      <c r="X5410">
        <v>0.98946469999999997</v>
      </c>
      <c r="Y5410">
        <v>5.5085809999999999E-2</v>
      </c>
      <c r="Z5410" s="1">
        <v>-4.564296E-5</v>
      </c>
      <c r="AA5410">
        <v>0.99848159999999997</v>
      </c>
      <c r="AB5410">
        <v>44</v>
      </c>
      <c r="AC5410">
        <v>-60.422199999999897</v>
      </c>
      <c r="AD5410">
        <v>-1.1105858582379999</v>
      </c>
      <c r="AE5410">
        <v>5.1748000000000003</v>
      </c>
      <c r="AF5410">
        <v>3.3553176686764101</v>
      </c>
      <c r="AG5410">
        <v>-1.1105858582379999</v>
      </c>
      <c r="AH5410">
        <v>60.530133733084099</v>
      </c>
      <c r="AI5410">
        <v>91.049514274992902</v>
      </c>
      <c r="AJ5410">
        <v>86.827216698807902</v>
      </c>
      <c r="AK5410">
        <v>60.633230553478597</v>
      </c>
      <c r="AL5410">
        <v>82.091991067292994</v>
      </c>
      <c r="AM5410">
        <v>92.607510541103593</v>
      </c>
      <c r="AN5410">
        <v>0.99999999759639002</v>
      </c>
    </row>
    <row r="5411" spans="1:40" x14ac:dyDescent="0.25">
      <c r="A5411" t="str">
        <f>"20190312172224803"</f>
        <v>20190312172224803</v>
      </c>
      <c r="B5411" t="str">
        <f>"1552382544795693"</f>
        <v>1552382544795693</v>
      </c>
      <c r="C5411" t="s">
        <v>40</v>
      </c>
      <c r="D5411">
        <v>3.1419899999999998</v>
      </c>
      <c r="E5411">
        <v>0.53735290000000002</v>
      </c>
      <c r="F5411" t="s">
        <v>42</v>
      </c>
      <c r="G5411">
        <v>-356.1619</v>
      </c>
      <c r="H5411" s="1">
        <v>-3.479451E-6</v>
      </c>
      <c r="I5411">
        <v>146.9469</v>
      </c>
      <c r="J5411">
        <v>-294.84539999999998</v>
      </c>
      <c r="K5411">
        <v>1.1106240000000001</v>
      </c>
      <c r="L5411">
        <v>141.727</v>
      </c>
      <c r="M5411">
        <v>-0.99953709999999996</v>
      </c>
      <c r="N5411">
        <v>0</v>
      </c>
      <c r="O5411">
        <v>2.924477E-2</v>
      </c>
      <c r="P5411">
        <v>-0.99144849999999995</v>
      </c>
      <c r="Q5411">
        <v>0.1295712</v>
      </c>
      <c r="R5411">
        <v>-1.5533129999999999E-2</v>
      </c>
      <c r="S5411">
        <v>-3.0368040000000001</v>
      </c>
      <c r="T5411">
        <v>-5.4783940000000003E-2</v>
      </c>
      <c r="U5411">
        <v>0.25784299999999999</v>
      </c>
      <c r="V5411">
        <v>-4.5008010000000001E-2</v>
      </c>
      <c r="W5411">
        <v>0.13772799999999999</v>
      </c>
      <c r="X5411">
        <v>0.98944690000000002</v>
      </c>
      <c r="Y5411">
        <v>5.5420270000000001E-2</v>
      </c>
      <c r="Z5411" s="1">
        <v>-2.743199E-5</v>
      </c>
      <c r="AA5411">
        <v>0.99846310000000005</v>
      </c>
      <c r="AB5411">
        <v>44</v>
      </c>
      <c r="AC5411">
        <v>-61.316499999999998</v>
      </c>
      <c r="AD5411">
        <v>-1.110627479451</v>
      </c>
      <c r="AE5411">
        <v>5.2198999999999902</v>
      </c>
      <c r="AF5411">
        <v>3.4233021467325599</v>
      </c>
      <c r="AG5411">
        <v>-1.110627479451</v>
      </c>
      <c r="AH5411">
        <v>61.422925269622397</v>
      </c>
      <c r="AI5411">
        <v>91.034284262878103</v>
      </c>
      <c r="AJ5411">
        <v>86.810017471082105</v>
      </c>
      <c r="AK5411">
        <v>61.528271872884197</v>
      </c>
      <c r="AL5411">
        <v>82.083602913793101</v>
      </c>
      <c r="AM5411">
        <v>92.604477907115196</v>
      </c>
      <c r="AN5411">
        <v>0.99999994543388304</v>
      </c>
    </row>
    <row r="5412" spans="1:40" x14ac:dyDescent="0.25">
      <c r="A5412" t="str">
        <f>"20190312172224823"</f>
        <v>20190312172224823</v>
      </c>
      <c r="B5412" t="str">
        <f>"1552382544816188"</f>
        <v>1552382544816188</v>
      </c>
      <c r="C5412" t="s">
        <v>40</v>
      </c>
      <c r="D5412">
        <v>3.1443569999999998</v>
      </c>
      <c r="E5412">
        <v>0.53756130000000002</v>
      </c>
      <c r="F5412" t="s">
        <v>42</v>
      </c>
      <c r="G5412">
        <v>-355.96350000000001</v>
      </c>
      <c r="H5412" s="1">
        <v>-3.533611E-6</v>
      </c>
      <c r="I5412">
        <v>146.8717</v>
      </c>
      <c r="J5412">
        <v>-295.2296</v>
      </c>
      <c r="K5412">
        <v>1.1106799999999999</v>
      </c>
      <c r="L5412">
        <v>141.73740000000001</v>
      </c>
      <c r="M5412">
        <v>-0.99957390000000002</v>
      </c>
      <c r="N5412">
        <v>0</v>
      </c>
      <c r="O5412">
        <v>2.7953990000000001E-2</v>
      </c>
      <c r="P5412">
        <v>-0.99160309999999896</v>
      </c>
      <c r="Q5412">
        <v>0.12835139999999901</v>
      </c>
      <c r="R5412">
        <v>-1.5791739999999999E-2</v>
      </c>
      <c r="S5412">
        <v>-3.0371090000000001</v>
      </c>
      <c r="T5412">
        <v>-5.5189849999999999E-2</v>
      </c>
      <c r="U5412">
        <v>0.25566100000000003</v>
      </c>
      <c r="V5412">
        <v>-4.4006669999999998E-2</v>
      </c>
      <c r="W5412">
        <v>0.13652500000000001</v>
      </c>
      <c r="X5412">
        <v>0.9896587</v>
      </c>
      <c r="Y5412">
        <v>5.5988549999999998E-2</v>
      </c>
      <c r="Z5412" s="1">
        <v>9.1124089999999998E-7</v>
      </c>
      <c r="AA5412">
        <v>0.99843139999999997</v>
      </c>
      <c r="AB5412">
        <v>44</v>
      </c>
      <c r="AC5412">
        <v>-60.733899999999998</v>
      </c>
      <c r="AD5412">
        <v>-1.1106835336109999</v>
      </c>
      <c r="AE5412">
        <v>5.1342999999999899</v>
      </c>
      <c r="AF5412">
        <v>3.4333385703133699</v>
      </c>
      <c r="AG5412">
        <v>-1.1106835336109999</v>
      </c>
      <c r="AH5412">
        <v>60.833492621459598</v>
      </c>
      <c r="AI5412">
        <v>91.044315062704896</v>
      </c>
      <c r="AJ5412">
        <v>86.769750766038399</v>
      </c>
      <c r="AK5412">
        <v>60.940423826680302</v>
      </c>
      <c r="AL5412">
        <v>82.153187519597395</v>
      </c>
      <c r="AM5412">
        <v>92.546066237215101</v>
      </c>
      <c r="AN5412">
        <v>1.0000000025575799</v>
      </c>
    </row>
    <row r="5413" spans="1:40" x14ac:dyDescent="0.25">
      <c r="A5413" t="str">
        <f>"20190312172224845"</f>
        <v>20190312172224845</v>
      </c>
      <c r="B5413" t="str">
        <f>"1552382544835709"</f>
        <v>1552382544835709</v>
      </c>
      <c r="C5413" t="s">
        <v>40</v>
      </c>
      <c r="D5413">
        <v>3.2275610000000001</v>
      </c>
      <c r="E5413">
        <v>0.53773329999999997</v>
      </c>
      <c r="F5413" t="s">
        <v>42</v>
      </c>
      <c r="G5413">
        <v>-350.9717</v>
      </c>
      <c r="H5413" s="1">
        <v>-5.1547090000000004E-6</v>
      </c>
      <c r="I5413">
        <v>146.4341</v>
      </c>
      <c r="J5413">
        <v>-295.66730000000001</v>
      </c>
      <c r="K5413">
        <v>1.1107370000000001</v>
      </c>
      <c r="L5413">
        <v>141.74860000000001</v>
      </c>
      <c r="M5413">
        <v>-0.99961469999999997</v>
      </c>
      <c r="N5413">
        <v>0</v>
      </c>
      <c r="O5413">
        <v>2.6444789999999999E-2</v>
      </c>
      <c r="P5413">
        <v>-0.99194640000000001</v>
      </c>
      <c r="Q5413">
        <v>0.12557449999999901</v>
      </c>
      <c r="R5413">
        <v>-1.6542640000000001E-2</v>
      </c>
      <c r="S5413">
        <v>-3.0372919999999999</v>
      </c>
      <c r="T5413">
        <v>-6.0519339999999998E-2</v>
      </c>
      <c r="U5413">
        <v>0.25592039999999999</v>
      </c>
      <c r="V5413">
        <v>-4.3281699999999902E-2</v>
      </c>
      <c r="W5413">
        <v>0.1337701</v>
      </c>
      <c r="X5413">
        <v>0.99006680000000002</v>
      </c>
      <c r="Y5413">
        <v>5.7574029999999998E-2</v>
      </c>
      <c r="Z5413" s="1">
        <v>4.6756229999999898E-5</v>
      </c>
      <c r="AA5413">
        <v>0.99834129999999999</v>
      </c>
      <c r="AB5413">
        <v>44</v>
      </c>
      <c r="AC5413">
        <v>-55.304400000000001</v>
      </c>
      <c r="AD5413">
        <v>-1.110742154709</v>
      </c>
      <c r="AE5413">
        <v>4.6854999999999896</v>
      </c>
      <c r="AF5413">
        <v>3.22000638354658</v>
      </c>
      <c r="AG5413">
        <v>-1.110742154709</v>
      </c>
      <c r="AH5413">
        <v>55.386786454743799</v>
      </c>
      <c r="AI5413">
        <v>91.146935540151503</v>
      </c>
      <c r="AJ5413">
        <v>86.672756199288699</v>
      </c>
      <c r="AK5413">
        <v>55.491425491040701</v>
      </c>
      <c r="AL5413">
        <v>82.312493302081705</v>
      </c>
      <c r="AM5413">
        <v>92.503145050600907</v>
      </c>
      <c r="AN5413">
        <v>1.0000000068355701</v>
      </c>
    </row>
    <row r="5414" spans="1:40" x14ac:dyDescent="0.25">
      <c r="A5414" t="str">
        <f>"20190312172224866"</f>
        <v>20190312172224866</v>
      </c>
      <c r="B5414" t="str">
        <f>"1552382544856205"</f>
        <v>1552382544856205</v>
      </c>
      <c r="C5414" t="s">
        <v>40</v>
      </c>
      <c r="D5414">
        <v>3.1696909999999998</v>
      </c>
      <c r="E5414">
        <v>0.53795959999999998</v>
      </c>
      <c r="F5414" t="s">
        <v>42</v>
      </c>
      <c r="G5414">
        <v>-344.52719999999999</v>
      </c>
      <c r="H5414" s="1">
        <v>-3.8409080000000002E-6</v>
      </c>
      <c r="I5414">
        <v>145.8486</v>
      </c>
      <c r="J5414">
        <v>-296.09359999999998</v>
      </c>
      <c r="K5414">
        <v>1.1107929999999999</v>
      </c>
      <c r="L5414">
        <v>141.75890000000001</v>
      </c>
      <c r="M5414">
        <v>-0.99965320000000002</v>
      </c>
      <c r="N5414">
        <v>0</v>
      </c>
      <c r="O5414">
        <v>2.4937089999999999E-2</v>
      </c>
      <c r="P5414">
        <v>-0.99214709999999995</v>
      </c>
      <c r="Q5414">
        <v>0.123945899999999</v>
      </c>
      <c r="R5414">
        <v>-1.67815999999999E-2</v>
      </c>
      <c r="S5414">
        <v>-3.0373839999999999</v>
      </c>
      <c r="T5414">
        <v>-6.9049479999999996E-2</v>
      </c>
      <c r="U5414">
        <v>0.25488280000000002</v>
      </c>
      <c r="V5414">
        <v>-4.2044930000000001E-2</v>
      </c>
      <c r="W5414">
        <v>0.13216600000000001</v>
      </c>
      <c r="X5414">
        <v>0.99033550000000004</v>
      </c>
      <c r="Y5414">
        <v>5.8736030000000002E-2</v>
      </c>
      <c r="Z5414">
        <v>1.007111E-4</v>
      </c>
      <c r="AA5414">
        <v>0.99827359999999998</v>
      </c>
      <c r="AB5414">
        <v>44</v>
      </c>
      <c r="AC5414">
        <v>-48.433599999999998</v>
      </c>
      <c r="AD5414">
        <v>-1.110796840908</v>
      </c>
      <c r="AE5414">
        <v>4.0896999999999899</v>
      </c>
      <c r="AF5414">
        <v>2.8790881628754499</v>
      </c>
      <c r="AG5414">
        <v>-1.110796840908</v>
      </c>
      <c r="AH5414">
        <v>48.495198721411903</v>
      </c>
      <c r="AI5414">
        <v>91.309841787885802</v>
      </c>
      <c r="AJ5414">
        <v>86.602422362363399</v>
      </c>
      <c r="AK5414">
        <v>48.593284693469897</v>
      </c>
      <c r="AL5414">
        <v>82.405224961760595</v>
      </c>
      <c r="AM5414">
        <v>92.431046083669798</v>
      </c>
      <c r="AN5414">
        <v>1.0000000151274699</v>
      </c>
    </row>
    <row r="5415" spans="1:40" x14ac:dyDescent="0.25">
      <c r="A5415" t="str">
        <f>"20190312172224890"</f>
        <v>20190312172224890</v>
      </c>
      <c r="B5415" t="str">
        <f>"1552382544886461"</f>
        <v>1552382544886461</v>
      </c>
      <c r="C5415" t="s">
        <v>40</v>
      </c>
      <c r="D5415">
        <v>3.1767609999999999</v>
      </c>
      <c r="E5415">
        <v>0.53823100000000001</v>
      </c>
      <c r="F5415" t="s">
        <v>42</v>
      </c>
      <c r="G5415">
        <v>-341.4366</v>
      </c>
      <c r="H5415" s="1">
        <v>-4.8457820000000002E-6</v>
      </c>
      <c r="I5415">
        <v>145.58439999999999</v>
      </c>
      <c r="J5415">
        <v>-296.53730000000002</v>
      </c>
      <c r="K5415">
        <v>1.1108559999999901</v>
      </c>
      <c r="L5415">
        <v>141.7688</v>
      </c>
      <c r="M5415">
        <v>-0.99969209999999997</v>
      </c>
      <c r="N5415">
        <v>0</v>
      </c>
      <c r="O5415">
        <v>2.3324009999999999E-2</v>
      </c>
      <c r="P5415">
        <v>-0.9919732</v>
      </c>
      <c r="Q5415">
        <v>0.12533179999999999</v>
      </c>
      <c r="R5415">
        <v>-1.6778399999999999E-2</v>
      </c>
      <c r="S5415">
        <v>-3.0374150000000002</v>
      </c>
      <c r="T5415">
        <v>-7.4409719999999999E-2</v>
      </c>
      <c r="U5415">
        <v>0.25627139999999998</v>
      </c>
      <c r="V5415">
        <v>-4.0464630000000001E-2</v>
      </c>
      <c r="W5415">
        <v>0.13357579999999999</v>
      </c>
      <c r="X5415">
        <v>0.99021210000000004</v>
      </c>
      <c r="Y5415">
        <v>6.0796540000000003E-2</v>
      </c>
      <c r="Z5415">
        <v>1.7312839999999999E-4</v>
      </c>
      <c r="AA5415">
        <v>0.99815019999999999</v>
      </c>
      <c r="AB5415">
        <v>44</v>
      </c>
      <c r="AC5415">
        <v>-44.899299999999897</v>
      </c>
      <c r="AD5415">
        <v>-1.110860845782</v>
      </c>
      <c r="AE5415">
        <v>3.8155999999999799</v>
      </c>
      <c r="AF5415">
        <v>2.76561189565053</v>
      </c>
      <c r="AG5415">
        <v>-1.110860845782</v>
      </c>
      <c r="AH5415">
        <v>44.948765935164701</v>
      </c>
      <c r="AI5415">
        <v>91.413044871381103</v>
      </c>
      <c r="AJ5415">
        <v>86.479138398599801</v>
      </c>
      <c r="AK5415">
        <v>45.047465856252998</v>
      </c>
      <c r="AL5415">
        <v>82.3237261837928</v>
      </c>
      <c r="AM5415">
        <v>92.340067617399498</v>
      </c>
      <c r="AN5415">
        <v>0.99999994180654095</v>
      </c>
    </row>
    <row r="5416" spans="1:40" x14ac:dyDescent="0.25">
      <c r="A5416" t="str">
        <f>"20190312172224905"</f>
        <v>20190312172224905</v>
      </c>
      <c r="B5416" t="str">
        <f>"1552382544896222"</f>
        <v>1552382544896222</v>
      </c>
      <c r="C5416" t="s">
        <v>40</v>
      </c>
      <c r="D5416">
        <v>3.2101989999999998</v>
      </c>
      <c r="E5416">
        <v>0.53836110000000004</v>
      </c>
      <c r="F5416" t="s">
        <v>42</v>
      </c>
      <c r="G5416">
        <v>-344.59769999999997</v>
      </c>
      <c r="H5416" s="1">
        <v>-3.8191380000000002E-6</v>
      </c>
      <c r="I5416">
        <v>145.86109999999999</v>
      </c>
      <c r="J5416">
        <v>-296.8528</v>
      </c>
      <c r="K5416">
        <v>1.1109100000000001</v>
      </c>
      <c r="L5416">
        <v>141.77549999999999</v>
      </c>
      <c r="M5416">
        <v>-0.99971840000000001</v>
      </c>
      <c r="N5416">
        <v>0</v>
      </c>
      <c r="O5416">
        <v>2.214911E-2</v>
      </c>
      <c r="P5416">
        <v>-0.99163630000000003</v>
      </c>
      <c r="Q5416">
        <v>0.12787960000000001</v>
      </c>
      <c r="R5416">
        <v>-1.7441559999999998E-2</v>
      </c>
      <c r="S5416">
        <v>-3.0375369999999999</v>
      </c>
      <c r="T5416">
        <v>-7.0209149999999998E-2</v>
      </c>
      <c r="U5416">
        <v>0.25865169999999998</v>
      </c>
      <c r="V5416">
        <v>-3.998123E-2</v>
      </c>
      <c r="W5416">
        <v>0.1361357</v>
      </c>
      <c r="X5416">
        <v>0.98988310000000002</v>
      </c>
      <c r="Y5416">
        <v>6.2743149999999998E-2</v>
      </c>
      <c r="Z5416">
        <v>2.1288629999999999E-4</v>
      </c>
      <c r="AA5416">
        <v>0.99802970000000002</v>
      </c>
      <c r="AB5416">
        <v>44</v>
      </c>
      <c r="AC5416">
        <v>-47.744899999999902</v>
      </c>
      <c r="AD5416">
        <v>-1.1109138191379999</v>
      </c>
      <c r="AE5416">
        <v>4.0856000000000003</v>
      </c>
      <c r="AF5416">
        <v>3.0254262266149801</v>
      </c>
      <c r="AG5416">
        <v>-1.1109138191379999</v>
      </c>
      <c r="AH5416">
        <v>47.797992938142698</v>
      </c>
      <c r="AI5416">
        <v>91.328762098470193</v>
      </c>
      <c r="AJ5416">
        <v>86.378232574535403</v>
      </c>
      <c r="AK5416">
        <v>47.906528388947002</v>
      </c>
      <c r="AL5416">
        <v>82.175702881924806</v>
      </c>
      <c r="AM5416">
        <v>92.312910776474098</v>
      </c>
      <c r="AN5416">
        <v>0.99999998961620595</v>
      </c>
    </row>
    <row r="5417" spans="1:40" x14ac:dyDescent="0.25">
      <c r="A5417" t="str">
        <f>"20190312172224923"</f>
        <v>20190312172224923</v>
      </c>
      <c r="B5417" t="str">
        <f>"1552382544915741"</f>
        <v>1552382544915741</v>
      </c>
      <c r="C5417" t="s">
        <v>40</v>
      </c>
      <c r="D5417">
        <v>3.1809129999999999</v>
      </c>
      <c r="E5417">
        <v>0.53846930000000004</v>
      </c>
      <c r="F5417" t="s">
        <v>42</v>
      </c>
      <c r="G5417">
        <v>-350.9529</v>
      </c>
      <c r="H5417" s="1">
        <v>-5.1488139999999997E-6</v>
      </c>
      <c r="I5417">
        <v>146.3648</v>
      </c>
      <c r="J5417">
        <v>-297.20999999999998</v>
      </c>
      <c r="K5417">
        <v>1.110986</v>
      </c>
      <c r="L5417">
        <v>141.7825</v>
      </c>
      <c r="M5417">
        <v>-0.99974759999999996</v>
      </c>
      <c r="N5417">
        <v>0</v>
      </c>
      <c r="O5417">
        <v>2.0788239999999999E-2</v>
      </c>
      <c r="P5417">
        <v>-0.99099820000000005</v>
      </c>
      <c r="Q5417">
        <v>0.132565299999999</v>
      </c>
      <c r="R5417">
        <v>-1.8688679999999999E-2</v>
      </c>
      <c r="S5417">
        <v>-3.0378419999999999</v>
      </c>
      <c r="T5417">
        <v>-6.2380430000000001E-2</v>
      </c>
      <c r="U5417">
        <v>0.25770569999999998</v>
      </c>
      <c r="V5417">
        <v>-3.9903790000000001E-2</v>
      </c>
      <c r="W5417">
        <v>0.14083119999999999</v>
      </c>
      <c r="X5417">
        <v>0.98922909999999997</v>
      </c>
      <c r="Y5417">
        <v>6.3786389999999998E-2</v>
      </c>
      <c r="Z5417">
        <v>2.2770289999999999E-4</v>
      </c>
      <c r="AA5417">
        <v>0.9979635</v>
      </c>
      <c r="AB5417">
        <v>44</v>
      </c>
      <c r="AC5417">
        <v>-53.742899999999999</v>
      </c>
      <c r="AD5417">
        <v>-1.1109911488140001</v>
      </c>
      <c r="AE5417">
        <v>4.5823</v>
      </c>
      <c r="AF5417">
        <v>3.4625798081230399</v>
      </c>
      <c r="AG5417">
        <v>-1.1109911488140001</v>
      </c>
      <c r="AH5417">
        <v>53.803719966343003</v>
      </c>
      <c r="AI5417">
        <v>91.180489082533896</v>
      </c>
      <c r="AJ5417">
        <v>86.317763939289904</v>
      </c>
      <c r="AK5417">
        <v>53.926468848581401</v>
      </c>
      <c r="AL5417">
        <v>81.904052750768003</v>
      </c>
      <c r="AM5417">
        <v>92.309960232548804</v>
      </c>
      <c r="AN5417">
        <v>0.99999997581830602</v>
      </c>
    </row>
    <row r="5418" spans="1:40" x14ac:dyDescent="0.25">
      <c r="A5418" t="str">
        <f>"20190312172224945"</f>
        <v>20190312172224945</v>
      </c>
      <c r="B5418" t="str">
        <f>"1552382544936240"</f>
        <v>1552382544936240</v>
      </c>
      <c r="C5418" t="s">
        <v>40</v>
      </c>
      <c r="D5418">
        <v>3.244459</v>
      </c>
      <c r="E5418">
        <v>0.53846660000000002</v>
      </c>
      <c r="F5418" t="s">
        <v>42</v>
      </c>
      <c r="G5418">
        <v>-368.0729</v>
      </c>
      <c r="H5418" s="1">
        <v>-2.9689679999999998E-6</v>
      </c>
      <c r="I5418">
        <v>147.7354</v>
      </c>
      <c r="J5418">
        <v>-297.63139999999999</v>
      </c>
      <c r="K5418">
        <v>1.1110599999999999</v>
      </c>
      <c r="L5418">
        <v>141.7902</v>
      </c>
      <c r="M5418">
        <v>-0.99978020000000001</v>
      </c>
      <c r="N5418">
        <v>0</v>
      </c>
      <c r="O5418">
        <v>1.9142059999999999E-2</v>
      </c>
      <c r="P5418">
        <v>-0.99066670000000001</v>
      </c>
      <c r="Q5418">
        <v>0.13463039999999901</v>
      </c>
      <c r="R5418">
        <v>-2.1312850000000001E-2</v>
      </c>
      <c r="S5418">
        <v>-3.0384519999999999</v>
      </c>
      <c r="T5418">
        <v>-4.7636869999999998E-2</v>
      </c>
      <c r="U5418">
        <v>0.255249</v>
      </c>
      <c r="V5418">
        <v>-4.0920730000000002E-2</v>
      </c>
      <c r="W5418">
        <v>0.14290530000000001</v>
      </c>
      <c r="X5418">
        <v>0.98889009999999999</v>
      </c>
      <c r="Y5418">
        <v>6.4614969999999994E-2</v>
      </c>
      <c r="Z5418">
        <v>2.060951E-4</v>
      </c>
      <c r="AA5418">
        <v>0.99791030000000003</v>
      </c>
      <c r="AB5418">
        <v>44</v>
      </c>
      <c r="AC5418">
        <v>-70.441500000000005</v>
      </c>
      <c r="AD5418">
        <v>-1.1110629689679901</v>
      </c>
      <c r="AE5418">
        <v>5.9451999999999998</v>
      </c>
      <c r="AF5418">
        <v>4.5945309213332797</v>
      </c>
      <c r="AG5418">
        <v>-1.1110629689679901</v>
      </c>
      <c r="AH5418">
        <v>70.524978579087303</v>
      </c>
      <c r="AI5418">
        <v>90.900664201228196</v>
      </c>
      <c r="AJ5418">
        <v>86.272586588237203</v>
      </c>
      <c r="AK5418">
        <v>70.683214265402697</v>
      </c>
      <c r="AL5418">
        <v>81.784001745362104</v>
      </c>
      <c r="AM5418">
        <v>92.369573982413499</v>
      </c>
      <c r="AN5418">
        <v>1.0000000303949099</v>
      </c>
    </row>
    <row r="5419" spans="1:40" x14ac:dyDescent="0.25">
      <c r="A5419" t="str">
        <f>"20190312172224958"</f>
        <v>20190312172224958</v>
      </c>
      <c r="B5419" t="str">
        <f>"1552382544945997"</f>
        <v>1552382544945997</v>
      </c>
      <c r="C5419" t="s">
        <v>40</v>
      </c>
      <c r="D5419">
        <v>3.1801490000000001</v>
      </c>
      <c r="E5419">
        <v>0.51134009999999996</v>
      </c>
      <c r="F5419" t="s">
        <v>42</v>
      </c>
      <c r="G5419">
        <v>-380.38240000000002</v>
      </c>
      <c r="H5419" s="1">
        <v>-5.7303349999999999E-6</v>
      </c>
      <c r="I5419">
        <v>148.54849999999999</v>
      </c>
      <c r="J5419">
        <v>-297.90469999999999</v>
      </c>
      <c r="K5419">
        <v>1.111102</v>
      </c>
      <c r="L5419">
        <v>141.79480000000001</v>
      </c>
      <c r="M5419">
        <v>-0.99980040000000003</v>
      </c>
      <c r="N5419">
        <v>0</v>
      </c>
      <c r="O5419">
        <v>1.805669E-2</v>
      </c>
      <c r="P5419">
        <v>-0.99060649999999995</v>
      </c>
      <c r="Q5419">
        <v>0.13478699999999999</v>
      </c>
      <c r="R5419">
        <v>-2.3060529999999999E-2</v>
      </c>
      <c r="S5419">
        <v>-3.0391539999999999</v>
      </c>
      <c r="T5419">
        <v>-4.0805580000000001E-2</v>
      </c>
      <c r="U5419">
        <v>0.24821470000000001</v>
      </c>
      <c r="V5419">
        <v>-4.160581E-2</v>
      </c>
      <c r="W5419">
        <v>0.143069</v>
      </c>
      <c r="X5419">
        <v>0.98883779999999999</v>
      </c>
      <c r="Y5419">
        <v>6.3386509999999993E-2</v>
      </c>
      <c r="Z5419">
        <v>1.8282610000000001E-4</v>
      </c>
      <c r="AA5419">
        <v>0.99798909999999996</v>
      </c>
      <c r="AB5419">
        <v>44</v>
      </c>
      <c r="AC5419">
        <v>-82.477699999999999</v>
      </c>
      <c r="AD5419">
        <v>-1.1111077303350001</v>
      </c>
      <c r="AE5419">
        <v>6.7536999999999798</v>
      </c>
      <c r="AF5419">
        <v>5.2623214509308198</v>
      </c>
      <c r="AG5419">
        <v>-1.1111077303350001</v>
      </c>
      <c r="AH5419">
        <v>82.571320569996601</v>
      </c>
      <c r="AI5419">
        <v>90.769384245326705</v>
      </c>
      <c r="AJ5419">
        <v>86.3534360661927</v>
      </c>
      <c r="AK5419">
        <v>82.746296401195394</v>
      </c>
      <c r="AL5419">
        <v>81.774524701744994</v>
      </c>
      <c r="AM5419">
        <v>92.409325443097202</v>
      </c>
      <c r="AN5419">
        <v>0.99999998844779703</v>
      </c>
    </row>
    <row r="5420" spans="1:40" x14ac:dyDescent="0.25">
      <c r="A5420" t="str">
        <f>"20190312172224972"</f>
        <v>20190312172224972</v>
      </c>
      <c r="B5420" t="str">
        <f>"1552382544966494"</f>
        <v>1552382544966494</v>
      </c>
      <c r="C5420" t="s">
        <v>40</v>
      </c>
      <c r="D5420">
        <v>3.171694</v>
      </c>
      <c r="E5420">
        <v>0.49938369999999999</v>
      </c>
      <c r="F5420" t="s">
        <v>42</v>
      </c>
      <c r="G5420">
        <v>-356.88659999999999</v>
      </c>
      <c r="H5420" s="1">
        <v>-2.0364499999999998E-6</v>
      </c>
      <c r="I5420">
        <v>142.31659999999999</v>
      </c>
      <c r="J5420">
        <v>-298.16469999999998</v>
      </c>
      <c r="K5420">
        <v>1.11114</v>
      </c>
      <c r="L5420">
        <v>141.7988</v>
      </c>
      <c r="M5420">
        <v>-0.99981869999999995</v>
      </c>
      <c r="N5420">
        <v>0</v>
      </c>
      <c r="O5420">
        <v>1.7009739999999999E-2</v>
      </c>
      <c r="P5420">
        <v>-0.99061109999999997</v>
      </c>
      <c r="Q5420">
        <v>0.13439860000000001</v>
      </c>
      <c r="R5420">
        <v>-2.5038999999999999E-2</v>
      </c>
      <c r="S5420">
        <v>-3.0368650000000001</v>
      </c>
      <c r="T5420">
        <v>-5.7208660000000001E-2</v>
      </c>
      <c r="U5420">
        <v>2.6870729999999999E-2</v>
      </c>
      <c r="V5420">
        <v>-4.2556860000000002E-2</v>
      </c>
      <c r="W5420">
        <v>0.14268629999999999</v>
      </c>
      <c r="X5420">
        <v>0.98885259999999997</v>
      </c>
      <c r="Y5420">
        <v>-8.1586809999999992E-3</v>
      </c>
      <c r="Z5420">
        <v>-3.9722850000000002E-4</v>
      </c>
      <c r="AA5420">
        <v>0.99996660000000004</v>
      </c>
      <c r="AB5420">
        <v>44</v>
      </c>
      <c r="AC5420">
        <v>-58.721899999999998</v>
      </c>
      <c r="AD5420">
        <v>-1.11114203645</v>
      </c>
      <c r="AE5420">
        <v>0.51779999999999304</v>
      </c>
      <c r="AF5420">
        <v>-0.48098354680199001</v>
      </c>
      <c r="AG5420">
        <v>-1.11114203645</v>
      </c>
      <c r="AH5420">
        <v>58.701195588012098</v>
      </c>
      <c r="AI5420">
        <v>91.084373330589301</v>
      </c>
      <c r="AJ5420">
        <v>90.469457397952795</v>
      </c>
      <c r="AK5420">
        <v>58.713681074001101</v>
      </c>
      <c r="AL5420">
        <v>81.796678903816101</v>
      </c>
      <c r="AM5420">
        <v>92.464295239859098</v>
      </c>
      <c r="AN5420">
        <v>0.99999996553375403</v>
      </c>
    </row>
    <row r="5421" spans="1:40" x14ac:dyDescent="0.25">
      <c r="A5421" t="str">
        <f>"20190312172224986"</f>
        <v>20190312172224986</v>
      </c>
      <c r="B5421" t="str">
        <f>"1552382544976253"</f>
        <v>1552382544976253</v>
      </c>
      <c r="C5421" t="s">
        <v>40</v>
      </c>
      <c r="D5421">
        <v>3.1835939999999998</v>
      </c>
      <c r="E5421">
        <v>0.49626730000000002</v>
      </c>
      <c r="F5421" t="s">
        <v>42</v>
      </c>
      <c r="G5421">
        <v>-374.3485</v>
      </c>
      <c r="H5421" s="1">
        <v>-2.4877279999999998E-6</v>
      </c>
      <c r="I5421">
        <v>139.9204</v>
      </c>
      <c r="J5421">
        <v>-298.43709999999999</v>
      </c>
      <c r="K5421">
        <v>1.1111690000000001</v>
      </c>
      <c r="L5421">
        <v>141.80279999999999</v>
      </c>
      <c r="M5421">
        <v>-0.99983670000000002</v>
      </c>
      <c r="N5421">
        <v>0</v>
      </c>
      <c r="O5421">
        <v>1.590515E-2</v>
      </c>
      <c r="P5421">
        <v>-0.99046900000000004</v>
      </c>
      <c r="Q5421">
        <v>0.13500709999999999</v>
      </c>
      <c r="R5421">
        <v>-2.7288940000000001E-2</v>
      </c>
      <c r="S5421">
        <v>-3.032562</v>
      </c>
      <c r="T5421">
        <v>-4.4229980000000002E-2</v>
      </c>
      <c r="U5421">
        <v>-7.4768070000000006E-2</v>
      </c>
      <c r="V5421">
        <v>-4.3724649999999997E-2</v>
      </c>
      <c r="W5421">
        <v>0.14329890000000001</v>
      </c>
      <c r="X5421">
        <v>0.98871310000000001</v>
      </c>
      <c r="Y5421">
        <v>-4.053938E-2</v>
      </c>
      <c r="Z5421">
        <v>-5.2751519999999995E-4</v>
      </c>
      <c r="AA5421">
        <v>0.9991778</v>
      </c>
      <c r="AB5421">
        <v>44</v>
      </c>
      <c r="AC5421">
        <v>-75.9114</v>
      </c>
      <c r="AD5421">
        <v>-1.1111714877279999</v>
      </c>
      <c r="AE5421">
        <v>-1.8823999999999801</v>
      </c>
      <c r="AF5421">
        <v>-3.08892706844986</v>
      </c>
      <c r="AG5421">
        <v>-1.1111714877279999</v>
      </c>
      <c r="AH5421">
        <v>75.855612831722098</v>
      </c>
      <c r="AI5421">
        <v>90.838542759171901</v>
      </c>
      <c r="AJ5421">
        <v>92.331861151362602</v>
      </c>
      <c r="AK5421">
        <v>75.926610424708599</v>
      </c>
      <c r="AL5421">
        <v>81.761215415997299</v>
      </c>
      <c r="AM5421">
        <v>92.5321871610454</v>
      </c>
      <c r="AN5421">
        <v>1.00000000693522</v>
      </c>
    </row>
    <row r="5422" spans="1:40" x14ac:dyDescent="0.25">
      <c r="A5422" t="str">
        <f>"20190312172224999"</f>
        <v>20190312172224999</v>
      </c>
      <c r="B5422" t="str">
        <f>"1552382544995773"</f>
        <v>1552382544995773</v>
      </c>
      <c r="C5422" t="s">
        <v>40</v>
      </c>
      <c r="D5422">
        <v>3.190083</v>
      </c>
      <c r="E5422">
        <v>0.49302639999999998</v>
      </c>
      <c r="F5422" t="s">
        <v>42</v>
      </c>
      <c r="G5422">
        <v>-377.80369999999999</v>
      </c>
      <c r="H5422" s="1">
        <v>-1.032666E-6</v>
      </c>
      <c r="I5422">
        <v>139.00649999999999</v>
      </c>
      <c r="J5422">
        <v>-298.72800000000001</v>
      </c>
      <c r="K5422">
        <v>1.111194</v>
      </c>
      <c r="L5422">
        <v>141.80680000000001</v>
      </c>
      <c r="M5422">
        <v>-0.99985469999999999</v>
      </c>
      <c r="N5422">
        <v>0</v>
      </c>
      <c r="O5422">
        <v>1.4717360000000001E-2</v>
      </c>
      <c r="P5422">
        <v>-0.99060040000000005</v>
      </c>
      <c r="Q5422">
        <v>0.1333954</v>
      </c>
      <c r="R5422">
        <v>-3.027871E-2</v>
      </c>
      <c r="S5422">
        <v>-3.0316770000000002</v>
      </c>
      <c r="T5422">
        <v>-4.244494E-2</v>
      </c>
      <c r="U5422">
        <v>-0.1068115</v>
      </c>
      <c r="V5422">
        <v>-4.554279E-2</v>
      </c>
      <c r="W5422">
        <v>0.14169039999999999</v>
      </c>
      <c r="X5422">
        <v>0.98886280000000004</v>
      </c>
      <c r="Y5422">
        <v>-4.9908620000000001E-2</v>
      </c>
      <c r="Z5422">
        <v>-5.5523849999999995E-4</v>
      </c>
      <c r="AA5422">
        <v>0.99875360000000002</v>
      </c>
      <c r="AB5422">
        <v>44</v>
      </c>
      <c r="AC5422">
        <v>-79.075699999999898</v>
      </c>
      <c r="AD5422">
        <v>-1.1111950326660001</v>
      </c>
      <c r="AE5422">
        <v>-2.80030000000002</v>
      </c>
      <c r="AF5422">
        <v>-3.96304369149592</v>
      </c>
      <c r="AG5422">
        <v>-1.1111950326660001</v>
      </c>
      <c r="AH5422">
        <v>79.010338037749804</v>
      </c>
      <c r="AI5422">
        <v>90.804738565062294</v>
      </c>
      <c r="AJ5422">
        <v>92.871466529608497</v>
      </c>
      <c r="AK5422">
        <v>79.117469540808898</v>
      </c>
      <c r="AL5422">
        <v>81.854325573848101</v>
      </c>
      <c r="AM5422">
        <v>92.636935107147394</v>
      </c>
      <c r="AN5422">
        <v>0.99999997619849101</v>
      </c>
    </row>
    <row r="5423" spans="1:40" x14ac:dyDescent="0.25">
      <c r="A5423" t="str">
        <f>"20190312172225015"</f>
        <v>20190312172225015</v>
      </c>
      <c r="B5423" t="str">
        <f>"1552382545006509"</f>
        <v>1552382545006509</v>
      </c>
      <c r="C5423" t="s">
        <v>40</v>
      </c>
      <c r="D5423">
        <v>3.1467109999999998</v>
      </c>
      <c r="E5423">
        <v>0.4917842</v>
      </c>
      <c r="F5423" t="s">
        <v>42</v>
      </c>
      <c r="G5423">
        <v>-380.62189999999998</v>
      </c>
      <c r="H5423" s="1">
        <v>-4.3037839999999998E-6</v>
      </c>
      <c r="I5423">
        <v>137.93459999999999</v>
      </c>
      <c r="J5423">
        <v>-299.03629999999998</v>
      </c>
      <c r="K5423">
        <v>1.1112150000000001</v>
      </c>
      <c r="L5423">
        <v>141.81049999999999</v>
      </c>
      <c r="M5423">
        <v>-0.99987250000000005</v>
      </c>
      <c r="N5423">
        <v>0</v>
      </c>
      <c r="O5423">
        <v>1.344677E-2</v>
      </c>
      <c r="P5423">
        <v>-0.99082309999999996</v>
      </c>
      <c r="Q5423">
        <v>0.13133880000000001</v>
      </c>
      <c r="R5423">
        <v>-3.193348E-2</v>
      </c>
      <c r="S5423">
        <v>-3.029633</v>
      </c>
      <c r="T5423">
        <v>-4.1108369999999998E-2</v>
      </c>
      <c r="U5423">
        <v>-0.1432495</v>
      </c>
      <c r="V5423">
        <v>-4.5942450000000003E-2</v>
      </c>
      <c r="W5423">
        <v>0.1396453</v>
      </c>
      <c r="X5423">
        <v>0.98913519999999999</v>
      </c>
      <c r="Y5423">
        <v>-6.0651219999999999E-2</v>
      </c>
      <c r="Z5423">
        <v>-5.9359530000000003E-4</v>
      </c>
      <c r="AA5423">
        <v>0.99815889999999996</v>
      </c>
      <c r="AB5423">
        <v>44</v>
      </c>
      <c r="AC5423">
        <v>-81.585599999999999</v>
      </c>
      <c r="AD5423">
        <v>-1.1112193037839999</v>
      </c>
      <c r="AE5423">
        <v>-3.8759000000000001</v>
      </c>
      <c r="AF5423">
        <v>-4.9717327905586703</v>
      </c>
      <c r="AG5423">
        <v>-1.1112193037839999</v>
      </c>
      <c r="AH5423">
        <v>81.511015636210203</v>
      </c>
      <c r="AI5423">
        <v>90.779601990078007</v>
      </c>
      <c r="AJ5423">
        <v>93.490409632599196</v>
      </c>
      <c r="AK5423">
        <v>81.670059417930702</v>
      </c>
      <c r="AL5423">
        <v>81.972678034374397</v>
      </c>
      <c r="AM5423">
        <v>92.659310891771895</v>
      </c>
      <c r="AN5423">
        <v>0.99999998120156597</v>
      </c>
    </row>
    <row r="5424" spans="1:40" x14ac:dyDescent="0.25">
      <c r="A5424" t="str">
        <f>"20190312172225034"</f>
        <v>20190312172225034</v>
      </c>
      <c r="B5424" t="str">
        <f>"1552382545026029"</f>
        <v>1552382545026029</v>
      </c>
      <c r="C5424" t="s">
        <v>40</v>
      </c>
      <c r="D5424">
        <v>3.2860680000000002</v>
      </c>
      <c r="E5424">
        <v>0.4906681</v>
      </c>
      <c r="F5424" t="s">
        <v>42</v>
      </c>
      <c r="G5424">
        <v>-368.04739999999998</v>
      </c>
      <c r="H5424" s="1">
        <v>-1.0717959999999999E-6</v>
      </c>
      <c r="I5424">
        <v>138.19649999999999</v>
      </c>
      <c r="J5424">
        <v>-299.42349999999999</v>
      </c>
      <c r="K5424">
        <v>1.111224</v>
      </c>
      <c r="L5424">
        <v>141.81469999999999</v>
      </c>
      <c r="M5424">
        <v>-0.99989269999999997</v>
      </c>
      <c r="N5424">
        <v>0</v>
      </c>
      <c r="O5424">
        <v>1.1843090000000001E-2</v>
      </c>
      <c r="P5424">
        <v>-0.99152680000000004</v>
      </c>
      <c r="Q5424">
        <v>0.1255298</v>
      </c>
      <c r="R5424">
        <v>-3.3424549999999997E-2</v>
      </c>
      <c r="S5424">
        <v>-3.029175</v>
      </c>
      <c r="T5424">
        <v>-4.8775789999999999E-2</v>
      </c>
      <c r="U5424">
        <v>-0.15863039999999901</v>
      </c>
      <c r="V5424">
        <v>-4.583508E-2</v>
      </c>
      <c r="W5424">
        <v>0.13385749999999999</v>
      </c>
      <c r="X5424">
        <v>0.98994000000000004</v>
      </c>
      <c r="Y5424">
        <v>-6.410971E-2</v>
      </c>
      <c r="Z5424">
        <v>-7.0633389999999897E-4</v>
      </c>
      <c r="AA5424">
        <v>0.99794260000000001</v>
      </c>
      <c r="AB5424">
        <v>45</v>
      </c>
      <c r="AC5424">
        <v>-68.623899999999907</v>
      </c>
      <c r="AD5424">
        <v>-1.1112250717959999</v>
      </c>
      <c r="AE5424">
        <v>-3.6181999999999999</v>
      </c>
      <c r="AF5424">
        <v>-4.4295372003795999</v>
      </c>
      <c r="AG5424">
        <v>-1.1112250717959999</v>
      </c>
      <c r="AH5424">
        <v>68.558307655936204</v>
      </c>
      <c r="AI5424">
        <v>90.926663651421507</v>
      </c>
      <c r="AJ5424">
        <v>93.696729539073303</v>
      </c>
      <c r="AK5424">
        <v>68.710240645887296</v>
      </c>
      <c r="AL5424">
        <v>82.307439721430896</v>
      </c>
      <c r="AM5424">
        <v>92.650950989240101</v>
      </c>
      <c r="AN5424">
        <v>0.999999944232426</v>
      </c>
    </row>
    <row r="5425" spans="1:40" x14ac:dyDescent="0.25">
      <c r="A5425" t="str">
        <f>"20190312172225057"</f>
        <v>20190312172225057</v>
      </c>
      <c r="B5425" t="str">
        <f>"1552382545045550"</f>
        <v>1552382545045550</v>
      </c>
      <c r="C5425" t="s">
        <v>40</v>
      </c>
      <c r="D5425">
        <v>3.2179859999999998</v>
      </c>
      <c r="E5425">
        <v>0.49015599999999998</v>
      </c>
      <c r="F5425" t="s">
        <v>42</v>
      </c>
      <c r="G5425">
        <v>-354.06139999999999</v>
      </c>
      <c r="H5425" s="1">
        <v>-2.6939050000000001E-6</v>
      </c>
      <c r="I5425">
        <v>138.6919</v>
      </c>
      <c r="J5425">
        <v>-299.86180000000002</v>
      </c>
      <c r="K5425">
        <v>1.111245</v>
      </c>
      <c r="L5425">
        <v>141.81870000000001</v>
      </c>
      <c r="M5425">
        <v>-0.99991229999999998</v>
      </c>
      <c r="N5425">
        <v>0</v>
      </c>
      <c r="O5425">
        <v>1.001964E-2</v>
      </c>
      <c r="P5425">
        <v>-0.99197970000000002</v>
      </c>
      <c r="Q5425">
        <v>0.12158289999999999</v>
      </c>
      <c r="R5425">
        <v>-3.4554000000000001E-2</v>
      </c>
      <c r="S5425">
        <v>-3.0275880000000002</v>
      </c>
      <c r="T5425">
        <v>-6.1575169999999999E-2</v>
      </c>
      <c r="U5425">
        <v>-0.17303470000000001</v>
      </c>
      <c r="V5425">
        <v>-4.5151240000000002E-2</v>
      </c>
      <c r="W5425">
        <v>0.12993479999999999</v>
      </c>
      <c r="X5425">
        <v>0.99049399999999999</v>
      </c>
      <c r="Y5425">
        <v>-6.7044480000000004E-2</v>
      </c>
      <c r="Z5425">
        <v>-8.8476259999999997E-4</v>
      </c>
      <c r="AA5425">
        <v>0.99774960000000001</v>
      </c>
      <c r="AB5425">
        <v>45</v>
      </c>
      <c r="AC5425">
        <v>-54.199599999999897</v>
      </c>
      <c r="AD5425">
        <v>-1.111247693905</v>
      </c>
      <c r="AE5425">
        <v>-3.1267999999999998</v>
      </c>
      <c r="AF5425">
        <v>-3.66818700220567</v>
      </c>
      <c r="AG5425">
        <v>-1.111247693905</v>
      </c>
      <c r="AH5425">
        <v>54.1428640811611</v>
      </c>
      <c r="AI5425">
        <v>91.1731056970536</v>
      </c>
      <c r="AJ5425">
        <v>93.875874533061705</v>
      </c>
      <c r="AK5425">
        <v>54.278358470309698</v>
      </c>
      <c r="AL5425">
        <v>82.534175515094901</v>
      </c>
      <c r="AM5425">
        <v>92.609996478110304</v>
      </c>
      <c r="AN5425">
        <v>1.0000000253802801</v>
      </c>
    </row>
    <row r="5426" spans="1:40" x14ac:dyDescent="0.25">
      <c r="A5426" t="str">
        <f>"20190312172225078"</f>
        <v>20190312172225078</v>
      </c>
      <c r="B5426" t="str">
        <f>"1552382545075805"</f>
        <v>1552382545075805</v>
      </c>
      <c r="C5426" t="s">
        <v>40</v>
      </c>
      <c r="D5426">
        <v>3.221187</v>
      </c>
      <c r="E5426">
        <v>0.48988159999999997</v>
      </c>
      <c r="F5426" t="s">
        <v>42</v>
      </c>
      <c r="G5426">
        <v>-347.43259999999998</v>
      </c>
      <c r="H5426" s="1">
        <v>-1.19711E-6</v>
      </c>
      <c r="I5426">
        <v>138.97710000000001</v>
      </c>
      <c r="J5426">
        <v>-300.29169999999999</v>
      </c>
      <c r="K5426">
        <v>1.111264</v>
      </c>
      <c r="L5426">
        <v>141.8219</v>
      </c>
      <c r="M5426">
        <v>-0.99992859999999995</v>
      </c>
      <c r="N5426">
        <v>0</v>
      </c>
      <c r="O5426">
        <v>8.2255319999999903E-3</v>
      </c>
      <c r="P5426">
        <v>-0.99163109999999999</v>
      </c>
      <c r="Q5426">
        <v>0.12424929999999999</v>
      </c>
      <c r="R5426">
        <v>-3.5073649999999998E-2</v>
      </c>
      <c r="S5426">
        <v>-3.0266109999999999</v>
      </c>
      <c r="T5426">
        <v>-7.0701239999999999E-2</v>
      </c>
      <c r="U5426">
        <v>-0.18078610000000001</v>
      </c>
      <c r="V5426">
        <v>-4.3910770000000002E-2</v>
      </c>
      <c r="W5426">
        <v>0.13262070000000001</v>
      </c>
      <c r="X5426">
        <v>0.99019369999999995</v>
      </c>
      <c r="Y5426">
        <v>-6.7814440000000004E-2</v>
      </c>
      <c r="Z5426">
        <v>-9.8322269999999998E-4</v>
      </c>
      <c r="AA5426">
        <v>0.99769750000000001</v>
      </c>
      <c r="AB5426">
        <v>45</v>
      </c>
      <c r="AC5426">
        <v>-47.140899999999903</v>
      </c>
      <c r="AD5426">
        <v>-1.11126519711</v>
      </c>
      <c r="AE5426">
        <v>-2.84479999999999</v>
      </c>
      <c r="AF5426">
        <v>-3.2306885255211002</v>
      </c>
      <c r="AG5426">
        <v>-1.11126519711</v>
      </c>
      <c r="AH5426">
        <v>47.089831392316</v>
      </c>
      <c r="AI5426">
        <v>91.348693586429306</v>
      </c>
      <c r="AJ5426">
        <v>93.924737156770902</v>
      </c>
      <c r="AK5426">
        <v>47.213604810943998</v>
      </c>
      <c r="AL5426">
        <v>82.378940968162297</v>
      </c>
      <c r="AM5426">
        <v>92.539154244248095</v>
      </c>
      <c r="AN5426">
        <v>0.99999998465508599</v>
      </c>
    </row>
    <row r="5427" spans="1:40" x14ac:dyDescent="0.25">
      <c r="A5427" t="str">
        <f>"20190312172225093"</f>
        <v>20190312172225093</v>
      </c>
      <c r="B5427" t="str">
        <f>"1552382545085565"</f>
        <v>1552382545085565</v>
      </c>
      <c r="C5427" t="s">
        <v>40</v>
      </c>
      <c r="D5427">
        <v>3.2225380000000001</v>
      </c>
      <c r="E5427">
        <v>0.48975770000000002</v>
      </c>
      <c r="F5427" t="s">
        <v>42</v>
      </c>
      <c r="G5427">
        <v>-357.47969999999998</v>
      </c>
      <c r="H5427" s="1">
        <v>-1.2900569999999901E-6</v>
      </c>
      <c r="I5427">
        <v>138.339</v>
      </c>
      <c r="J5427">
        <v>-300.58859999999999</v>
      </c>
      <c r="K5427">
        <v>1.1112770000000001</v>
      </c>
      <c r="L5427">
        <v>141.8236</v>
      </c>
      <c r="M5427">
        <v>-0.99993799999999999</v>
      </c>
      <c r="N5427">
        <v>0</v>
      </c>
      <c r="O5427">
        <v>6.9867899999999997E-3</v>
      </c>
      <c r="P5427">
        <v>-0.99130180000000001</v>
      </c>
      <c r="Q5427">
        <v>0.12661259999999999</v>
      </c>
      <c r="R5427">
        <v>-3.5919949999999999E-2</v>
      </c>
      <c r="S5427">
        <v>-3.026154</v>
      </c>
      <c r="T5427">
        <v>-5.8803559999999998E-2</v>
      </c>
      <c r="U5427">
        <v>-0.18429570000000001</v>
      </c>
      <c r="V5427">
        <v>-4.3543980000000003E-2</v>
      </c>
      <c r="W5427">
        <v>0.13499439999999999</v>
      </c>
      <c r="X5427">
        <v>0.98988909999999997</v>
      </c>
      <c r="Y5427">
        <v>-6.7746920000000002E-2</v>
      </c>
      <c r="Z5427">
        <v>-7.9318949999999998E-4</v>
      </c>
      <c r="AA5427">
        <v>0.99770219999999998</v>
      </c>
      <c r="AB5427">
        <v>45</v>
      </c>
      <c r="AC5427">
        <v>-56.891100000000002</v>
      </c>
      <c r="AD5427">
        <v>-1.111278290057</v>
      </c>
      <c r="AE5427">
        <v>-3.4845999999999999</v>
      </c>
      <c r="AF5427">
        <v>-3.8805409476108599</v>
      </c>
      <c r="AG5427">
        <v>-1.111278290057</v>
      </c>
      <c r="AH5427">
        <v>56.843756271402398</v>
      </c>
      <c r="AI5427">
        <v>91.117372553303298</v>
      </c>
      <c r="AJ5427">
        <v>93.905339889092502</v>
      </c>
      <c r="AK5427">
        <v>56.986894673483</v>
      </c>
      <c r="AL5427">
        <v>82.241703918473604</v>
      </c>
      <c r="AM5427">
        <v>92.518745719254596</v>
      </c>
      <c r="AN5427">
        <v>0.99999999826220498</v>
      </c>
    </row>
    <row r="5428" spans="1:40" x14ac:dyDescent="0.25">
      <c r="A5428" t="str">
        <f>"20190312172225106"</f>
        <v>20190312172225106</v>
      </c>
      <c r="B5428" t="str">
        <f>"1552382545096302"</f>
        <v>1552382545096302</v>
      </c>
      <c r="C5428" t="s">
        <v>40</v>
      </c>
      <c r="D5428">
        <v>3.157162</v>
      </c>
      <c r="E5428">
        <v>0.48970829999999999</v>
      </c>
      <c r="F5428" t="s">
        <v>42</v>
      </c>
      <c r="G5428">
        <v>-366.36989999999997</v>
      </c>
      <c r="H5428" s="1">
        <v>-1.8721259999999999E-6</v>
      </c>
      <c r="I5428">
        <v>137.74170000000001</v>
      </c>
      <c r="J5428">
        <v>-300.8433</v>
      </c>
      <c r="K5428">
        <v>1.1112930000000001</v>
      </c>
      <c r="L5428">
        <v>141.82480000000001</v>
      </c>
      <c r="M5428">
        <v>-0.99994470000000002</v>
      </c>
      <c r="N5428">
        <v>0</v>
      </c>
      <c r="O5428">
        <v>5.9262230000000004E-3</v>
      </c>
      <c r="P5428">
        <v>-0.99089050000000001</v>
      </c>
      <c r="Q5428">
        <v>0.12953100000000001</v>
      </c>
      <c r="R5428">
        <v>-3.6849229999999997E-2</v>
      </c>
      <c r="S5428">
        <v>-3.0260929999999999</v>
      </c>
      <c r="T5428">
        <v>-5.1121470000000002E-2</v>
      </c>
      <c r="U5428">
        <v>-0.18777469999999999</v>
      </c>
      <c r="V5428">
        <v>-4.343851E-2</v>
      </c>
      <c r="W5428">
        <v>0.13791929999999999</v>
      </c>
      <c r="X5428">
        <v>0.98949039999999999</v>
      </c>
      <c r="Y5428">
        <v>-6.7836229999999997E-2</v>
      </c>
      <c r="Z5428">
        <v>-6.7242609999999998E-4</v>
      </c>
      <c r="AA5428">
        <v>0.99769620000000003</v>
      </c>
      <c r="AB5428">
        <v>45</v>
      </c>
      <c r="AC5428">
        <v>-65.526599999999902</v>
      </c>
      <c r="AD5428">
        <v>-1.1112948721259901</v>
      </c>
      <c r="AE5428">
        <v>-4.0831</v>
      </c>
      <c r="AF5428">
        <v>-4.4700874677201696</v>
      </c>
      <c r="AG5428">
        <v>-1.1112948721259901</v>
      </c>
      <c r="AH5428">
        <v>65.4824895656119</v>
      </c>
      <c r="AI5428">
        <v>90.9700089005742</v>
      </c>
      <c r="AJ5428">
        <v>93.905172586915</v>
      </c>
      <c r="AK5428">
        <v>65.644292196445704</v>
      </c>
      <c r="AL5428">
        <v>82.072536615709794</v>
      </c>
      <c r="AM5428">
        <v>92.513663907258007</v>
      </c>
      <c r="AN5428">
        <v>0.99999994457783303</v>
      </c>
    </row>
    <row r="5429" spans="1:40" x14ac:dyDescent="0.25">
      <c r="A5429" t="str">
        <f>"20190312172225118"</f>
        <v>20190312172225118</v>
      </c>
      <c r="B5429" t="str">
        <f>"1552382545115823"</f>
        <v>1552382545115823</v>
      </c>
      <c r="C5429" t="s">
        <v>40</v>
      </c>
      <c r="D5429">
        <v>3.1622810000000001</v>
      </c>
      <c r="E5429">
        <v>0.48959059999999999</v>
      </c>
      <c r="F5429" t="s">
        <v>42</v>
      </c>
      <c r="G5429">
        <v>-382.20370000000003</v>
      </c>
      <c r="H5429" s="1">
        <v>-3.8444089999999996E-6</v>
      </c>
      <c r="I5429">
        <v>136.6987</v>
      </c>
      <c r="J5429">
        <v>-301.10309999999998</v>
      </c>
      <c r="K5429">
        <v>1.1113139999999999</v>
      </c>
      <c r="L5429">
        <v>141.82579999999999</v>
      </c>
      <c r="M5429">
        <v>-0.99995040000000002</v>
      </c>
      <c r="N5429">
        <v>0</v>
      </c>
      <c r="O5429">
        <v>4.8470800000000001E-3</v>
      </c>
      <c r="P5429">
        <v>-0.99054180000000003</v>
      </c>
      <c r="Q5429">
        <v>0.13188279999999999</v>
      </c>
      <c r="R5429">
        <v>-3.7867129999999999E-2</v>
      </c>
      <c r="S5429">
        <v>-3.0258790000000002</v>
      </c>
      <c r="T5429">
        <v>-4.133034E-2</v>
      </c>
      <c r="U5429">
        <v>-0.19064329999999999</v>
      </c>
      <c r="V5429">
        <v>-4.3401809999999999E-2</v>
      </c>
      <c r="W5429">
        <v>0.14027800000000001</v>
      </c>
      <c r="X5429">
        <v>0.98916040000000005</v>
      </c>
      <c r="Y5429">
        <v>-6.7709790000000006E-2</v>
      </c>
      <c r="Z5429">
        <v>-5.280851E-4</v>
      </c>
      <c r="AA5429">
        <v>0.99770490000000001</v>
      </c>
      <c r="AB5429">
        <v>45</v>
      </c>
      <c r="AC5429">
        <v>-81.1006</v>
      </c>
      <c r="AD5429">
        <v>-1.1113178444089999</v>
      </c>
      <c r="AE5429">
        <v>-5.12709999999998</v>
      </c>
      <c r="AF5429">
        <v>-5.5191235373975003</v>
      </c>
      <c r="AG5429">
        <v>-1.1113178444089999</v>
      </c>
      <c r="AH5429">
        <v>81.059634764850799</v>
      </c>
      <c r="AI5429">
        <v>90.783654904290103</v>
      </c>
      <c r="AJ5429">
        <v>93.895097551781404</v>
      </c>
      <c r="AK5429">
        <v>81.254908406713298</v>
      </c>
      <c r="AL5429">
        <v>81.936066498335293</v>
      </c>
      <c r="AM5429">
        <v>92.5123797205773</v>
      </c>
      <c r="AN5429">
        <v>0.99999996566171701</v>
      </c>
    </row>
    <row r="5430" spans="1:40" x14ac:dyDescent="0.25">
      <c r="A5430" t="str">
        <f>"20190312172225135"</f>
        <v>20190312172225135</v>
      </c>
      <c r="B5430" t="str">
        <f>"1552382545126563"</f>
        <v>1552382545126563</v>
      </c>
      <c r="C5430" t="s">
        <v>40</v>
      </c>
      <c r="D5430">
        <v>3.2202440000000001</v>
      </c>
      <c r="E5430">
        <v>0.48955290000000001</v>
      </c>
      <c r="F5430" t="s">
        <v>62</v>
      </c>
      <c r="G5430">
        <v>-401.6551</v>
      </c>
      <c r="H5430" s="1">
        <v>-4.0630769999999997E-6</v>
      </c>
      <c r="I5430">
        <v>135.36940000000001</v>
      </c>
      <c r="J5430">
        <v>-301.42419999999998</v>
      </c>
      <c r="K5430">
        <v>1.111361</v>
      </c>
      <c r="L5430">
        <v>141.82650000000001</v>
      </c>
      <c r="M5430">
        <v>-0.99995579999999995</v>
      </c>
      <c r="N5430">
        <v>0</v>
      </c>
      <c r="O5430">
        <v>3.5241230000000001E-3</v>
      </c>
      <c r="P5430">
        <v>-0.98992199999999997</v>
      </c>
      <c r="Q5430">
        <v>0.13586579999999901</v>
      </c>
      <c r="R5430">
        <v>-3.9936869999999999E-2</v>
      </c>
      <c r="S5430">
        <v>-3.0256349999999999</v>
      </c>
      <c r="T5430">
        <v>-3.3439869999999997E-2</v>
      </c>
      <c r="U5430">
        <v>-0.1942749</v>
      </c>
      <c r="V5430">
        <v>-4.4182760000000001E-2</v>
      </c>
      <c r="W5430">
        <v>0.14426439999999999</v>
      </c>
      <c r="X5430">
        <v>0.98855230000000005</v>
      </c>
      <c r="Y5430">
        <v>-6.7589969999999999E-2</v>
      </c>
      <c r="Z5430">
        <v>-4.120234E-4</v>
      </c>
      <c r="AA5430">
        <v>0.99771310000000002</v>
      </c>
      <c r="AB5430">
        <v>45</v>
      </c>
      <c r="AC5430">
        <v>-100.23090000000001</v>
      </c>
      <c r="AD5430">
        <v>-1.111365063077</v>
      </c>
      <c r="AE5430">
        <v>-6.4570999999999898</v>
      </c>
      <c r="AF5430">
        <v>-6.80946561127808</v>
      </c>
      <c r="AG5430">
        <v>-1.111365063077</v>
      </c>
      <c r="AH5430">
        <v>100.19525349189099</v>
      </c>
      <c r="AI5430">
        <v>90.6340358865654</v>
      </c>
      <c r="AJ5430">
        <v>93.887954785672406</v>
      </c>
      <c r="AK5430">
        <v>100.432528478172</v>
      </c>
      <c r="AL5430">
        <v>81.705315379397803</v>
      </c>
      <c r="AM5430">
        <v>92.559097853577498</v>
      </c>
      <c r="AN5430">
        <v>0.99999999161193298</v>
      </c>
    </row>
    <row r="5431" spans="1:40" x14ac:dyDescent="0.25">
      <c r="A5431" t="str">
        <f>"20190312172225149"</f>
        <v>20190312172225149</v>
      </c>
      <c r="B5431" t="str">
        <f>"1552382545146078"</f>
        <v>1552382545146078</v>
      </c>
      <c r="C5431" t="s">
        <v>40</v>
      </c>
      <c r="D5431">
        <v>3.1616939999999998</v>
      </c>
      <c r="E5431">
        <v>0.48950650000000001</v>
      </c>
      <c r="F5431" t="s">
        <v>42</v>
      </c>
      <c r="G5431">
        <v>-458.50830000000002</v>
      </c>
      <c r="H5431" s="1">
        <v>-1.658726E-6</v>
      </c>
      <c r="I5431">
        <v>131.42949999999999</v>
      </c>
      <c r="J5431">
        <v>-301.71370000000002</v>
      </c>
      <c r="K5431">
        <v>1.1113820000000001</v>
      </c>
      <c r="L5431">
        <v>141.82689999999999</v>
      </c>
      <c r="M5431">
        <v>-0.99995919999999905</v>
      </c>
      <c r="N5431">
        <v>0</v>
      </c>
      <c r="O5431">
        <v>2.3436099999999999E-3</v>
      </c>
      <c r="P5431">
        <v>-0.98957099999999998</v>
      </c>
      <c r="Q5431">
        <v>0.13800490000000001</v>
      </c>
      <c r="R5431">
        <v>-4.1281409999999998E-2</v>
      </c>
      <c r="S5431">
        <v>-3.0253909999999999</v>
      </c>
      <c r="T5431">
        <v>-2.14045E-2</v>
      </c>
      <c r="U5431">
        <v>-0.20024110000000001</v>
      </c>
      <c r="V5431">
        <v>-4.4369909999999999E-2</v>
      </c>
      <c r="W5431">
        <v>0.14641089999999901</v>
      </c>
      <c r="X5431">
        <v>0.98822829999999995</v>
      </c>
      <c r="Y5431">
        <v>-6.8378990000000001E-2</v>
      </c>
      <c r="Z5431">
        <v>-2.581854E-4</v>
      </c>
      <c r="AA5431">
        <v>0.99765939999999997</v>
      </c>
      <c r="AB5431">
        <v>45</v>
      </c>
      <c r="AC5431">
        <v>-156.7946</v>
      </c>
      <c r="AD5431">
        <v>-1.111383658726</v>
      </c>
      <c r="AE5431">
        <v>-10.397399999999999</v>
      </c>
      <c r="AF5431">
        <v>-10.7643123688577</v>
      </c>
      <c r="AG5431">
        <v>-1.111383658726</v>
      </c>
      <c r="AH5431">
        <v>156.76195945833501</v>
      </c>
      <c r="AI5431">
        <v>90.405244611238103</v>
      </c>
      <c r="AJ5431">
        <v>93.928140839892905</v>
      </c>
      <c r="AK5431">
        <v>157.135029600748</v>
      </c>
      <c r="AL5431">
        <v>81.581010230938105</v>
      </c>
      <c r="AM5431">
        <v>92.570764659917302</v>
      </c>
      <c r="AN5431">
        <v>1.00000000673655</v>
      </c>
    </row>
    <row r="5432" spans="1:40" x14ac:dyDescent="0.25">
      <c r="A5432" t="str">
        <f>"20190312172225167"</f>
        <v>20190312172225167</v>
      </c>
      <c r="B5432" t="str">
        <f>"1552382545155837"</f>
        <v>1552382545155837</v>
      </c>
      <c r="C5432" t="s">
        <v>40</v>
      </c>
      <c r="D5432">
        <v>3.1477490000000001</v>
      </c>
      <c r="E5432">
        <v>0.48955389999999999</v>
      </c>
      <c r="F5432" t="s">
        <v>48</v>
      </c>
      <c r="G5432">
        <v>-500.05439999999999</v>
      </c>
      <c r="H5432">
        <v>8.5621089999999997E-2</v>
      </c>
      <c r="I5432">
        <v>128.40440000000001</v>
      </c>
      <c r="J5432">
        <v>-302.07639999999998</v>
      </c>
      <c r="K5432">
        <v>1.111413</v>
      </c>
      <c r="L5432">
        <v>141.82689999999999</v>
      </c>
      <c r="M5432">
        <v>-0.99996149999999995</v>
      </c>
      <c r="N5432">
        <v>0</v>
      </c>
      <c r="O5432">
        <v>8.8555619999999998E-4</v>
      </c>
      <c r="P5432">
        <v>-0.98900069999999995</v>
      </c>
      <c r="Q5432">
        <v>0.1414301</v>
      </c>
      <c r="R5432">
        <v>-4.3306499999999998E-2</v>
      </c>
      <c r="S5432">
        <v>-3.0252379999999999</v>
      </c>
      <c r="T5432">
        <v>-1.564515E-2</v>
      </c>
      <c r="U5432">
        <v>-0.2047272</v>
      </c>
      <c r="V5432">
        <v>-4.496853E-2</v>
      </c>
      <c r="W5432">
        <v>0.14984210000000001</v>
      </c>
      <c r="X5432">
        <v>0.98768679999999998</v>
      </c>
      <c r="Y5432">
        <v>-6.840127E-2</v>
      </c>
      <c r="Z5432">
        <v>-1.8124149999999999E-4</v>
      </c>
      <c r="AA5432">
        <v>0.99765789999999999</v>
      </c>
      <c r="AB5432">
        <v>45</v>
      </c>
      <c r="AC5432">
        <v>-197.97799999999901</v>
      </c>
      <c r="AD5432">
        <v>-1.0257919099999999</v>
      </c>
      <c r="AE5432">
        <v>-13.4224999999999</v>
      </c>
      <c r="AF5432">
        <v>-13.5974586918919</v>
      </c>
      <c r="AG5432">
        <v>-1.0257919099999999</v>
      </c>
      <c r="AH5432">
        <v>197.96074533513701</v>
      </c>
      <c r="AI5432">
        <v>90.296194413405502</v>
      </c>
      <c r="AJ5432">
        <v>93.929340758075398</v>
      </c>
      <c r="AK5432">
        <v>198.429836026651</v>
      </c>
      <c r="AL5432">
        <v>81.382224030474902</v>
      </c>
      <c r="AM5432">
        <v>92.606827294066704</v>
      </c>
      <c r="AN5432">
        <v>1.0000000192584999</v>
      </c>
    </row>
    <row r="5433" spans="1:40" x14ac:dyDescent="0.25">
      <c r="A5433" t="str">
        <f>"20190312172225182"</f>
        <v>20190312172225182</v>
      </c>
      <c r="B5433" t="str">
        <f>"1552382545175654"</f>
        <v>1552382545175654</v>
      </c>
      <c r="C5433" t="s">
        <v>40</v>
      </c>
      <c r="D5433">
        <v>3.6923499999999998</v>
      </c>
      <c r="E5433">
        <v>0.4896334</v>
      </c>
      <c r="F5433" t="s">
        <v>63</v>
      </c>
      <c r="G5433">
        <v>0</v>
      </c>
      <c r="H5433">
        <v>0</v>
      </c>
      <c r="I5433">
        <v>0</v>
      </c>
      <c r="J5433">
        <v>-302.36869999999999</v>
      </c>
      <c r="K5433">
        <v>1.111418</v>
      </c>
      <c r="L5433">
        <v>141.82650000000001</v>
      </c>
      <c r="M5433">
        <v>-0.99996169999999995</v>
      </c>
      <c r="N5433">
        <v>0</v>
      </c>
      <c r="O5433">
        <v>-2.7247330000000001E-4</v>
      </c>
      <c r="P5433">
        <v>-0.98871500000000001</v>
      </c>
      <c r="Q5433">
        <v>0.1430507</v>
      </c>
      <c r="R5433">
        <v>-4.4491629999999997E-2</v>
      </c>
      <c r="S5433">
        <v>-3.0249630000000001</v>
      </c>
      <c r="T5433">
        <v>-5.861163E-3</v>
      </c>
      <c r="U5433">
        <v>-0.21127319999999999</v>
      </c>
      <c r="V5433">
        <v>-4.5013259999999999E-2</v>
      </c>
      <c r="W5433">
        <v>0.1514722</v>
      </c>
      <c r="X5433">
        <v>0.98743610000000004</v>
      </c>
      <c r="Y5433">
        <v>-6.9401539999999998E-2</v>
      </c>
      <c r="Z5433" s="1">
        <v>-6.6626959999999995E-5</v>
      </c>
      <c r="AA5433">
        <v>0.99758880000000005</v>
      </c>
      <c r="AB5433">
        <v>45</v>
      </c>
      <c r="AC5433">
        <v>-3.0249630000000001</v>
      </c>
      <c r="AD5433">
        <v>-5.861163E-3</v>
      </c>
      <c r="AE5433">
        <v>-0.21127319999999999</v>
      </c>
      <c r="AF5433">
        <v>-0.21044815272009201</v>
      </c>
      <c r="AG5433">
        <v>-5.861163E-3</v>
      </c>
      <c r="AH5433">
        <v>3.0250091545887101</v>
      </c>
      <c r="AI5433">
        <v>90.110746691482007</v>
      </c>
      <c r="AJ5433">
        <v>93.979622468104196</v>
      </c>
      <c r="AK5433">
        <v>3.0323263616505001</v>
      </c>
      <c r="AL5433">
        <v>81.2877479756133</v>
      </c>
      <c r="AM5433">
        <v>92.610078299854905</v>
      </c>
      <c r="AN5433">
        <v>1.00000003626593</v>
      </c>
    </row>
    <row r="5434" spans="1:40" x14ac:dyDescent="0.25">
      <c r="A5434" t="str">
        <f>"20190312172225194"</f>
        <v>20190312172225194</v>
      </c>
      <c r="B5434" t="str">
        <f>"1552382545186393"</f>
        <v>1552382545186393</v>
      </c>
      <c r="C5434" t="s">
        <v>40</v>
      </c>
      <c r="D5434">
        <v>3.1299000000000001</v>
      </c>
      <c r="E5434">
        <v>0.48966009999999999</v>
      </c>
      <c r="F5434" t="s">
        <v>63</v>
      </c>
      <c r="G5434">
        <v>0</v>
      </c>
      <c r="H5434">
        <v>0</v>
      </c>
      <c r="I5434">
        <v>0</v>
      </c>
      <c r="J5434">
        <v>-302.62619999999998</v>
      </c>
      <c r="K5434">
        <v>1.1114280000000001</v>
      </c>
      <c r="L5434">
        <v>141.82589999999999</v>
      </c>
      <c r="M5434">
        <v>-0.99996079999999998</v>
      </c>
      <c r="N5434">
        <v>0</v>
      </c>
      <c r="O5434">
        <v>-1.271405E-3</v>
      </c>
      <c r="P5434">
        <v>-0.98822980000000005</v>
      </c>
      <c r="Q5434">
        <v>0.14603329999999901</v>
      </c>
      <c r="R5434">
        <v>-4.5568110000000002E-2</v>
      </c>
      <c r="S5434">
        <v>-3.024902</v>
      </c>
      <c r="T5434">
        <v>-2.3307800000000002E-3</v>
      </c>
      <c r="U5434">
        <v>-0.21495059999999999</v>
      </c>
      <c r="V5434">
        <v>-4.511362E-2</v>
      </c>
      <c r="W5434">
        <v>0.15446070000000001</v>
      </c>
      <c r="X5434">
        <v>0.98696839999999997</v>
      </c>
      <c r="Y5434">
        <v>-6.961328E-2</v>
      </c>
      <c r="Z5434" s="1">
        <v>-2.580736E-5</v>
      </c>
      <c r="AA5434">
        <v>0.99757399999999996</v>
      </c>
      <c r="AB5434">
        <v>45</v>
      </c>
      <c r="AC5434">
        <v>-3.024902</v>
      </c>
      <c r="AD5434">
        <v>-2.3307800000000002E-3</v>
      </c>
      <c r="AE5434">
        <v>-0.21495059999999999</v>
      </c>
      <c r="AF5434">
        <v>-0.21110427836649501</v>
      </c>
      <c r="AG5434">
        <v>-2.3307800000000002E-3</v>
      </c>
      <c r="AH5434">
        <v>3.02517106766518</v>
      </c>
      <c r="AI5434">
        <v>90.044037132852694</v>
      </c>
      <c r="AJ5434">
        <v>93.991776932268806</v>
      </c>
      <c r="AK5434">
        <v>3.0325287199824702</v>
      </c>
      <c r="AL5434">
        <v>81.1144798915808</v>
      </c>
      <c r="AM5434">
        <v>92.617127447754697</v>
      </c>
      <c r="AN5434">
        <v>0.99999998457627703</v>
      </c>
    </row>
    <row r="5435" spans="1:40" x14ac:dyDescent="0.25">
      <c r="A5435" t="str">
        <f>"20190312172225224"</f>
        <v>20190312172225224</v>
      </c>
      <c r="B5435" t="str">
        <f>"1552382545215670"</f>
        <v>1552382545215670</v>
      </c>
      <c r="C5435" t="s">
        <v>40</v>
      </c>
      <c r="D5435">
        <v>3.156704</v>
      </c>
      <c r="E5435">
        <v>0.48978509999999997</v>
      </c>
      <c r="F5435" t="s">
        <v>63</v>
      </c>
      <c r="G5435">
        <v>0</v>
      </c>
      <c r="H5435">
        <v>0</v>
      </c>
      <c r="I5435">
        <v>0</v>
      </c>
      <c r="J5435">
        <v>-303.21539999999999</v>
      </c>
      <c r="K5435">
        <v>1.111378</v>
      </c>
      <c r="L5435">
        <v>141.8236</v>
      </c>
      <c r="M5435">
        <v>-0.99995540000000005</v>
      </c>
      <c r="N5435">
        <v>0</v>
      </c>
      <c r="O5435">
        <v>-3.4961250000000001E-3</v>
      </c>
      <c r="P5435">
        <v>-0.98863760000000001</v>
      </c>
      <c r="Q5435">
        <v>0.14252609999999999</v>
      </c>
      <c r="R5435">
        <v>-4.7775659999999998E-2</v>
      </c>
      <c r="S5435">
        <v>-3.0246580000000001</v>
      </c>
      <c r="T5435">
        <v>6.3140389999999996E-3</v>
      </c>
      <c r="U5435">
        <v>-0.21905520000000001</v>
      </c>
      <c r="V5435">
        <v>-4.5088240000000002E-2</v>
      </c>
      <c r="W5435">
        <v>0.1509829</v>
      </c>
      <c r="X5435">
        <v>0.98750760000000004</v>
      </c>
      <c r="Y5435">
        <v>-6.8746219999999997E-2</v>
      </c>
      <c r="Z5435" s="1">
        <v>6.4371959999999997E-5</v>
      </c>
      <c r="AA5435">
        <v>0.99763420000000003</v>
      </c>
      <c r="AB5435">
        <v>45</v>
      </c>
      <c r="AC5435">
        <v>-3.0246580000000001</v>
      </c>
      <c r="AD5435">
        <v>6.3140389999999996E-3</v>
      </c>
      <c r="AE5435">
        <v>-0.21905520000000001</v>
      </c>
      <c r="AF5435">
        <v>-0.20847796793155399</v>
      </c>
      <c r="AG5435">
        <v>6.3140389999999996E-3</v>
      </c>
      <c r="AH5435">
        <v>3.0253922722251398</v>
      </c>
      <c r="AI5435">
        <v>89.880705921368303</v>
      </c>
      <c r="AJ5435">
        <v>93.941986187705794</v>
      </c>
      <c r="AK5435">
        <v>3.0325733842795901</v>
      </c>
      <c r="AL5435">
        <v>81.316108862235794</v>
      </c>
      <c r="AM5435">
        <v>92.614230928615498</v>
      </c>
      <c r="AN5435">
        <v>1.00000002276823</v>
      </c>
    </row>
    <row r="5436" spans="1:40" x14ac:dyDescent="0.25">
      <c r="A5436" t="str">
        <f>"20190312172225246"</f>
        <v>20190312172225246</v>
      </c>
      <c r="B5436" t="str">
        <f>"1552382545236166"</f>
        <v>1552382545236166</v>
      </c>
      <c r="C5436" t="s">
        <v>40</v>
      </c>
      <c r="D5436">
        <v>3.2010200000000002</v>
      </c>
      <c r="E5436">
        <v>0.48981590000000003</v>
      </c>
      <c r="F5436" t="s">
        <v>63</v>
      </c>
      <c r="G5436">
        <v>0</v>
      </c>
      <c r="H5436">
        <v>0</v>
      </c>
      <c r="I5436">
        <v>0</v>
      </c>
      <c r="J5436">
        <v>-303.68029999999999</v>
      </c>
      <c r="K5436">
        <v>1.111299</v>
      </c>
      <c r="L5436">
        <v>141.82089999999999</v>
      </c>
      <c r="M5436">
        <v>-0.9999479</v>
      </c>
      <c r="N5436">
        <v>0</v>
      </c>
      <c r="O5436">
        <v>-5.1741959999999998E-3</v>
      </c>
      <c r="P5436">
        <v>-0.98954600000000004</v>
      </c>
      <c r="Q5436">
        <v>0.13550999999999999</v>
      </c>
      <c r="R5436">
        <v>-4.9353979999999999E-2</v>
      </c>
      <c r="S5436">
        <v>-3.024597</v>
      </c>
      <c r="T5436">
        <v>-6.707668E-3</v>
      </c>
      <c r="U5436">
        <v>-0.22531129999999999</v>
      </c>
      <c r="V5436">
        <v>-4.4951930000000001E-2</v>
      </c>
      <c r="W5436">
        <v>0.14399729999999999</v>
      </c>
      <c r="X5436">
        <v>0.98855660000000001</v>
      </c>
      <c r="Y5436">
        <v>-6.9125909999999999E-2</v>
      </c>
      <c r="Z5436" s="1">
        <v>-6.5085540000000002E-5</v>
      </c>
      <c r="AA5436">
        <v>0.99760789999999999</v>
      </c>
      <c r="AB5436">
        <v>45</v>
      </c>
      <c r="AC5436">
        <v>-3.024597</v>
      </c>
      <c r="AD5436">
        <v>-6.707668E-3</v>
      </c>
      <c r="AE5436">
        <v>-0.22531129999999999</v>
      </c>
      <c r="AF5436">
        <v>-0.20965679466764101</v>
      </c>
      <c r="AG5436">
        <v>-6.707668E-3</v>
      </c>
      <c r="AH5436">
        <v>3.02570755986208</v>
      </c>
      <c r="AI5436">
        <v>90.126714532712597</v>
      </c>
      <c r="AJ5436">
        <v>93.963793290244496</v>
      </c>
      <c r="AK5436">
        <v>3.0329700298827298</v>
      </c>
      <c r="AL5436">
        <v>81.7207808374568</v>
      </c>
      <c r="AM5436">
        <v>92.603576654365099</v>
      </c>
      <c r="AN5436">
        <v>1.0000000249107801</v>
      </c>
    </row>
    <row r="5437" spans="1:40" x14ac:dyDescent="0.25">
      <c r="A5437" t="str">
        <f>"20190312172225268"</f>
        <v>20190312172225268</v>
      </c>
      <c r="B5437" t="str">
        <f>"1552382545255686"</f>
        <v>1552382545255686</v>
      </c>
      <c r="C5437" t="s">
        <v>40</v>
      </c>
      <c r="D5437">
        <v>3.2073960000000001</v>
      </c>
      <c r="E5437">
        <v>0.4899136</v>
      </c>
      <c r="F5437" t="s">
        <v>62</v>
      </c>
      <c r="G5437">
        <v>-413.5444</v>
      </c>
      <c r="H5437" s="1">
        <v>-7.6607880000000001E-6</v>
      </c>
      <c r="I5437">
        <v>133.43610000000001</v>
      </c>
      <c r="J5437">
        <v>-304.10829999999999</v>
      </c>
      <c r="K5437">
        <v>1.111218</v>
      </c>
      <c r="L5437">
        <v>141.81780000000001</v>
      </c>
      <c r="M5437">
        <v>-0.99993900000000002</v>
      </c>
      <c r="N5437">
        <v>0</v>
      </c>
      <c r="O5437">
        <v>-6.6612759999999998E-3</v>
      </c>
      <c r="P5437">
        <v>-0.99014480000000005</v>
      </c>
      <c r="Q5437">
        <v>0.130963</v>
      </c>
      <c r="R5437">
        <v>-4.9619169999999997E-2</v>
      </c>
      <c r="S5437">
        <v>-3.0243530000000001</v>
      </c>
      <c r="T5437">
        <v>-3.05922E-2</v>
      </c>
      <c r="U5437">
        <v>-0.23081969999999999</v>
      </c>
      <c r="V5437">
        <v>-4.370346E-2</v>
      </c>
      <c r="W5437">
        <v>0.13948099999999999</v>
      </c>
      <c r="X5437">
        <v>0.98925980000000002</v>
      </c>
      <c r="Y5437">
        <v>-6.9451970000000002E-2</v>
      </c>
      <c r="Z5437">
        <v>-2.8346529999999999E-4</v>
      </c>
      <c r="AA5437">
        <v>0.99758519999999995</v>
      </c>
      <c r="AB5437">
        <v>45</v>
      </c>
      <c r="AC5437">
        <v>-109.4361</v>
      </c>
      <c r="AD5437">
        <v>-1.111225660788</v>
      </c>
      <c r="AE5437">
        <v>-8.3816999999999897</v>
      </c>
      <c r="AF5437">
        <v>-7.6517173273775203</v>
      </c>
      <c r="AG5437">
        <v>-1.111225660788</v>
      </c>
      <c r="AH5437">
        <v>109.478284763584</v>
      </c>
      <c r="AI5437">
        <v>90.580128087712893</v>
      </c>
      <c r="AJ5437">
        <v>93.998046917988404</v>
      </c>
      <c r="AK5437">
        <v>109.750983755516</v>
      </c>
      <c r="AL5437">
        <v>81.982184494594605</v>
      </c>
      <c r="AM5437">
        <v>92.529564717669103</v>
      </c>
      <c r="AN5437">
        <v>0.99999994683650395</v>
      </c>
    </row>
    <row r="5438" spans="1:40" x14ac:dyDescent="0.25">
      <c r="A5438" t="str">
        <f>"20190312172225290"</f>
        <v>20190312172225290</v>
      </c>
      <c r="B5438" t="str">
        <f>"1552382545285943"</f>
        <v>1552382545285943</v>
      </c>
      <c r="C5438" t="s">
        <v>40</v>
      </c>
      <c r="D5438">
        <v>3.2120169999999999</v>
      </c>
      <c r="E5438">
        <v>0.49017490000000002</v>
      </c>
      <c r="F5438" t="s">
        <v>42</v>
      </c>
      <c r="G5438">
        <v>-375.85169999999999</v>
      </c>
      <c r="H5438" s="1">
        <v>-2.346488E-6</v>
      </c>
      <c r="I5438">
        <v>136.32069999999999</v>
      </c>
      <c r="J5438">
        <v>-304.57069999999999</v>
      </c>
      <c r="K5438">
        <v>1.1111329999999999</v>
      </c>
      <c r="L5438">
        <v>141.81379999999999</v>
      </c>
      <c r="M5438">
        <v>-0.99992740000000002</v>
      </c>
      <c r="N5438">
        <v>0</v>
      </c>
      <c r="O5438">
        <v>-8.1952780000000003E-3</v>
      </c>
      <c r="P5438">
        <v>-0.99027019999999999</v>
      </c>
      <c r="Q5438">
        <v>0.13008839999999999</v>
      </c>
      <c r="R5438">
        <v>-4.9421079999999999E-2</v>
      </c>
      <c r="S5438">
        <v>-3.0244450000000001</v>
      </c>
      <c r="T5438">
        <v>-4.6845079999999997E-2</v>
      </c>
      <c r="U5438">
        <v>-0.2317352</v>
      </c>
      <c r="V5438">
        <v>-4.1961650000000003E-2</v>
      </c>
      <c r="W5438">
        <v>0.1386376</v>
      </c>
      <c r="X5438">
        <v>0.98945380000000005</v>
      </c>
      <c r="Y5438">
        <v>-6.821547E-2</v>
      </c>
      <c r="Z5438">
        <v>-4.0074810000000001E-4</v>
      </c>
      <c r="AA5438">
        <v>0.99767050000000002</v>
      </c>
      <c r="AB5438">
        <v>45</v>
      </c>
      <c r="AC5438">
        <v>-71.281000000000006</v>
      </c>
      <c r="AD5438">
        <v>-1.1111353464879901</v>
      </c>
      <c r="AE5438">
        <v>-5.4930999999999903</v>
      </c>
      <c r="AF5438">
        <v>-4.9075396751757001</v>
      </c>
      <c r="AG5438">
        <v>-1.1111353464879901</v>
      </c>
      <c r="AH5438">
        <v>71.3064009316614</v>
      </c>
      <c r="AI5438">
        <v>90.890635448222795</v>
      </c>
      <c r="AJ5438">
        <v>93.937074556888106</v>
      </c>
      <c r="AK5438">
        <v>71.483714098027093</v>
      </c>
      <c r="AL5438">
        <v>82.030982244228397</v>
      </c>
      <c r="AM5438">
        <v>92.428396004517595</v>
      </c>
      <c r="AN5438">
        <v>0.99999999326946098</v>
      </c>
    </row>
    <row r="5439" spans="1:40" x14ac:dyDescent="0.25">
      <c r="A5439" t="str">
        <f>"20190312172225314"</f>
        <v>20190312172225314</v>
      </c>
      <c r="B5439" t="str">
        <f>"1552382545306438"</f>
        <v>1552382545306438</v>
      </c>
      <c r="C5439" t="s">
        <v>40</v>
      </c>
      <c r="D5439">
        <v>3.1522749999999999</v>
      </c>
      <c r="E5439">
        <v>0.4902841</v>
      </c>
      <c r="F5439" t="s">
        <v>42</v>
      </c>
      <c r="G5439">
        <v>-371.19439999999997</v>
      </c>
      <c r="H5439" s="1">
        <v>-4.2670549999999996E-6</v>
      </c>
      <c r="I5439">
        <v>136.75700000000001</v>
      </c>
      <c r="J5439">
        <v>-305.0401</v>
      </c>
      <c r="K5439">
        <v>1.1110580000000001</v>
      </c>
      <c r="L5439">
        <v>141.809</v>
      </c>
      <c r="M5439">
        <v>-0.99991419999999998</v>
      </c>
      <c r="N5439">
        <v>0</v>
      </c>
      <c r="O5439">
        <v>-9.6696479999999994E-3</v>
      </c>
      <c r="P5439">
        <v>-0.99006050000000001</v>
      </c>
      <c r="Q5439">
        <v>0.1316408</v>
      </c>
      <c r="R5439">
        <v>-4.9507130000000003E-2</v>
      </c>
      <c r="S5439">
        <v>-3.0246580000000001</v>
      </c>
      <c r="T5439">
        <v>-5.0444719999999998E-2</v>
      </c>
      <c r="U5439">
        <v>-0.22956850000000001</v>
      </c>
      <c r="V5439">
        <v>-4.0575750000000001E-2</v>
      </c>
      <c r="W5439">
        <v>0.14021700000000001</v>
      </c>
      <c r="X5439">
        <v>0.98928899999999997</v>
      </c>
      <c r="Y5439">
        <v>-6.602769E-2</v>
      </c>
      <c r="Z5439">
        <v>-3.887548E-4</v>
      </c>
      <c r="AA5439">
        <v>0.99781770000000003</v>
      </c>
      <c r="AB5439">
        <v>45</v>
      </c>
      <c r="AC5439">
        <v>-66.154299999999907</v>
      </c>
      <c r="AD5439">
        <v>-1.1110622670550001</v>
      </c>
      <c r="AE5439">
        <v>-5.0519999999999898</v>
      </c>
      <c r="AF5439">
        <v>-4.4108130618186197</v>
      </c>
      <c r="AG5439">
        <v>-1.1110622670550001</v>
      </c>
      <c r="AH5439">
        <v>66.181500134682594</v>
      </c>
      <c r="AI5439">
        <v>90.959668873197899</v>
      </c>
      <c r="AJ5439">
        <v>93.812965604868197</v>
      </c>
      <c r="AK5439">
        <v>66.337626512444402</v>
      </c>
      <c r="AL5439">
        <v>81.939596399846494</v>
      </c>
      <c r="AM5439">
        <v>92.348673551195603</v>
      </c>
      <c r="AN5439">
        <v>0.99999996204902997</v>
      </c>
    </row>
    <row r="5440" spans="1:40" x14ac:dyDescent="0.25">
      <c r="A5440" t="str">
        <f>"20190312172225335"</f>
        <v>20190312172225335</v>
      </c>
      <c r="B5440" t="str">
        <f>"1552382545325958"</f>
        <v>1552382545325958</v>
      </c>
      <c r="C5440" t="s">
        <v>40</v>
      </c>
      <c r="D5440">
        <v>3.2125759999999999</v>
      </c>
      <c r="E5440">
        <v>0.49038749999999998</v>
      </c>
      <c r="F5440" t="s">
        <v>42</v>
      </c>
      <c r="G5440">
        <v>-374.55279999999999</v>
      </c>
      <c r="H5440" s="1">
        <v>-2.8624229999999999E-6</v>
      </c>
      <c r="I5440">
        <v>136.55340000000001</v>
      </c>
      <c r="J5440">
        <v>-305.47359999999998</v>
      </c>
      <c r="K5440">
        <v>1.110989</v>
      </c>
      <c r="L5440">
        <v>141.80410000000001</v>
      </c>
      <c r="M5440">
        <v>-0.99990080000000003</v>
      </c>
      <c r="N5440">
        <v>0</v>
      </c>
      <c r="O5440">
        <v>-1.095085E-2</v>
      </c>
      <c r="P5440">
        <v>-0.99018470000000003</v>
      </c>
      <c r="Q5440">
        <v>0.1307981</v>
      </c>
      <c r="R5440">
        <v>-4.9258339999999998E-2</v>
      </c>
      <c r="S5440">
        <v>-3.0251160000000001</v>
      </c>
      <c r="T5440">
        <v>-4.8352119999999998E-2</v>
      </c>
      <c r="U5440">
        <v>-0.228714</v>
      </c>
      <c r="V5440">
        <v>-3.9029660000000001E-2</v>
      </c>
      <c r="W5440">
        <v>0.139403</v>
      </c>
      <c r="X5440">
        <v>0.98946619999999996</v>
      </c>
      <c r="Y5440">
        <v>-6.445845E-2</v>
      </c>
      <c r="Z5440">
        <v>-3.3961180000000003E-4</v>
      </c>
      <c r="AA5440">
        <v>0.99792029999999998</v>
      </c>
      <c r="AB5440">
        <v>45</v>
      </c>
      <c r="AC5440">
        <v>-69.0792</v>
      </c>
      <c r="AD5440">
        <v>-1.110991862423</v>
      </c>
      <c r="AE5440">
        <v>-5.2506999999999904</v>
      </c>
      <c r="AF5440">
        <v>-4.4927240849243404</v>
      </c>
      <c r="AG5440">
        <v>-1.110991862423</v>
      </c>
      <c r="AH5440">
        <v>69.114784956269901</v>
      </c>
      <c r="AI5440">
        <v>90.918987667230994</v>
      </c>
      <c r="AJ5440">
        <v>93.719211133201</v>
      </c>
      <c r="AK5440">
        <v>69.2695631007809</v>
      </c>
      <c r="AL5440">
        <v>81.986697569592394</v>
      </c>
      <c r="AM5440">
        <v>92.258870564378398</v>
      </c>
      <c r="AN5440">
        <v>0.99999993585557501</v>
      </c>
    </row>
    <row r="5441" spans="1:40" x14ac:dyDescent="0.25">
      <c r="A5441" t="str">
        <f>"20190312172225357"</f>
        <v>20190312172225357</v>
      </c>
      <c r="B5441" t="str">
        <f>"1552382545346454"</f>
        <v>1552382545346454</v>
      </c>
      <c r="C5441" t="s">
        <v>40</v>
      </c>
      <c r="D5441">
        <v>3.2125409999999999</v>
      </c>
      <c r="E5441">
        <v>0.4905465</v>
      </c>
      <c r="F5441" t="s">
        <v>42</v>
      </c>
      <c r="G5441">
        <v>-370.08350000000002</v>
      </c>
      <c r="H5441" s="1">
        <v>-4.7057919999999997E-6</v>
      </c>
      <c r="I5441">
        <v>136.97040000000001</v>
      </c>
      <c r="J5441">
        <v>-305.92649999999998</v>
      </c>
      <c r="K5441">
        <v>1.110938</v>
      </c>
      <c r="L5441">
        <v>141.79839999999999</v>
      </c>
      <c r="M5441">
        <v>-0.99988619999999995</v>
      </c>
      <c r="N5441">
        <v>0</v>
      </c>
      <c r="O5441">
        <v>-1.220387E-2</v>
      </c>
      <c r="P5441">
        <v>-0.9899386</v>
      </c>
      <c r="Q5441">
        <v>0.13266149999999999</v>
      </c>
      <c r="R5441">
        <v>-4.921967E-2</v>
      </c>
      <c r="S5441">
        <v>-3.02536</v>
      </c>
      <c r="T5441">
        <v>-5.202234E-2</v>
      </c>
      <c r="U5441">
        <v>-0.2263336</v>
      </c>
      <c r="V5441">
        <v>-3.7734200000000002E-2</v>
      </c>
      <c r="W5441">
        <v>0.141292</v>
      </c>
      <c r="X5441">
        <v>0.98924860000000003</v>
      </c>
      <c r="Y5441">
        <v>-6.2420370000000003E-2</v>
      </c>
      <c r="Z5441">
        <v>-3.26361E-4</v>
      </c>
      <c r="AA5441">
        <v>0.99804990000000005</v>
      </c>
      <c r="AB5441">
        <v>46</v>
      </c>
      <c r="AC5441">
        <v>-64.156999999999996</v>
      </c>
      <c r="AD5441">
        <v>-1.1109427057920001</v>
      </c>
      <c r="AE5441">
        <v>-4.8279999999999701</v>
      </c>
      <c r="AF5441">
        <v>-4.0434403763147104</v>
      </c>
      <c r="AG5441">
        <v>-1.1109427057920001</v>
      </c>
      <c r="AH5441">
        <v>64.192005257961199</v>
      </c>
      <c r="AI5441">
        <v>90.989533031616801</v>
      </c>
      <c r="AJ5441">
        <v>93.604286733075199</v>
      </c>
      <c r="AK5441">
        <v>64.328820468049102</v>
      </c>
      <c r="AL5441">
        <v>81.877384763699098</v>
      </c>
      <c r="AM5441">
        <v>92.184448632386705</v>
      </c>
      <c r="AN5441">
        <v>1.00000004585779</v>
      </c>
    </row>
    <row r="5442" spans="1:40" x14ac:dyDescent="0.25">
      <c r="A5442" t="str">
        <f>"20190312172225380"</f>
        <v>20190312172225380</v>
      </c>
      <c r="B5442" t="str">
        <f>"1552382545376240"</f>
        <v>1552382545376240</v>
      </c>
      <c r="C5442" t="s">
        <v>40</v>
      </c>
      <c r="D5442">
        <v>3.2171690000000002</v>
      </c>
      <c r="E5442">
        <v>0.49045070000000002</v>
      </c>
      <c r="F5442" t="s">
        <v>42</v>
      </c>
      <c r="G5442">
        <v>-377.93380000000002</v>
      </c>
      <c r="H5442" s="1">
        <v>-1.5300439999999999E-6</v>
      </c>
      <c r="I5442">
        <v>136.45599999999999</v>
      </c>
      <c r="J5442">
        <v>-306.3766</v>
      </c>
      <c r="K5442">
        <v>1.1109020000000001</v>
      </c>
      <c r="L5442">
        <v>141.79220000000001</v>
      </c>
      <c r="M5442">
        <v>-0.99987130000000002</v>
      </c>
      <c r="N5442">
        <v>0</v>
      </c>
      <c r="O5442">
        <v>-1.3357600000000001E-2</v>
      </c>
      <c r="P5442">
        <v>-0.98909139999999995</v>
      </c>
      <c r="Q5442">
        <v>0.13876859999999999</v>
      </c>
      <c r="R5442">
        <v>-4.9417019999999999E-2</v>
      </c>
      <c r="S5442">
        <v>-3.025604</v>
      </c>
      <c r="T5442">
        <v>-4.6679499999999999E-2</v>
      </c>
      <c r="U5442">
        <v>-0.224472</v>
      </c>
      <c r="V5442">
        <v>-3.6795250000000002E-2</v>
      </c>
      <c r="W5442">
        <v>0.14741789999999999</v>
      </c>
      <c r="X5442">
        <v>0.98838959999999998</v>
      </c>
      <c r="Y5442">
        <v>-6.0653770000000003E-2</v>
      </c>
      <c r="Z5442">
        <v>-2.6145189999999998E-4</v>
      </c>
      <c r="AA5442">
        <v>0.99815880000000001</v>
      </c>
      <c r="AB5442">
        <v>46</v>
      </c>
      <c r="AC5442">
        <v>-71.557199999999995</v>
      </c>
      <c r="AD5442">
        <v>-1.110903530044</v>
      </c>
      <c r="AE5442">
        <v>-5.3361999999999901</v>
      </c>
      <c r="AF5442">
        <v>-4.3788041661708004</v>
      </c>
      <c r="AG5442">
        <v>-1.110903530044</v>
      </c>
      <c r="AH5442">
        <v>71.604934537701695</v>
      </c>
      <c r="AI5442">
        <v>90.887178047947799</v>
      </c>
      <c r="AJ5442">
        <v>93.499409090968001</v>
      </c>
      <c r="AK5442">
        <v>71.747297389708507</v>
      </c>
      <c r="AL5442">
        <v>81.522680094067596</v>
      </c>
      <c r="AM5442">
        <v>92.131992715038606</v>
      </c>
      <c r="AN5442">
        <v>0.99999996452556505</v>
      </c>
    </row>
    <row r="5443" spans="1:40" x14ac:dyDescent="0.25">
      <c r="A5443" t="str">
        <f>"20190312172225402"</f>
        <v>20190312172225402</v>
      </c>
      <c r="B5443" t="str">
        <f>"1552382545395763"</f>
        <v>1552382545395763</v>
      </c>
      <c r="C5443" t="s">
        <v>40</v>
      </c>
      <c r="D5443">
        <v>3.2170890000000001</v>
      </c>
      <c r="E5443">
        <v>0.49043110000000001</v>
      </c>
      <c r="F5443" t="s">
        <v>62</v>
      </c>
      <c r="G5443">
        <v>-428.64580000000001</v>
      </c>
      <c r="H5443" s="1">
        <v>-8.278629E-6</v>
      </c>
      <c r="I5443">
        <v>132.64590000000001</v>
      </c>
      <c r="J5443">
        <v>-306.84960000000001</v>
      </c>
      <c r="K5443">
        <v>1.110833</v>
      </c>
      <c r="L5443">
        <v>141.7852</v>
      </c>
      <c r="M5443">
        <v>-0.99985579999999996</v>
      </c>
      <c r="N5443">
        <v>0</v>
      </c>
      <c r="O5443">
        <v>-1.4459069999999999E-2</v>
      </c>
      <c r="P5443">
        <v>-0.98872369999999998</v>
      </c>
      <c r="Q5443">
        <v>0.1413161</v>
      </c>
      <c r="R5443">
        <v>-4.9550539999999997E-2</v>
      </c>
      <c r="S5443">
        <v>-3.025665</v>
      </c>
      <c r="T5443">
        <v>-2.7490500000000001E-2</v>
      </c>
      <c r="U5443">
        <v>-0.2263336</v>
      </c>
      <c r="V5443">
        <v>-3.5818349999999999E-2</v>
      </c>
      <c r="W5443">
        <v>0.14999009999999999</v>
      </c>
      <c r="X5443">
        <v>0.98803850000000004</v>
      </c>
      <c r="Y5443">
        <v>-6.0167129999999999E-2</v>
      </c>
      <c r="Z5443">
        <v>-1.4177560000000001E-4</v>
      </c>
      <c r="AA5443">
        <v>0.99818830000000003</v>
      </c>
      <c r="AB5443">
        <v>46</v>
      </c>
      <c r="AC5443">
        <v>-121.7962</v>
      </c>
      <c r="AD5443">
        <v>-1.1108412786290001</v>
      </c>
      <c r="AE5443">
        <v>-9.1392999999999898</v>
      </c>
      <c r="AF5443">
        <v>-7.3766047220648101</v>
      </c>
      <c r="AG5443">
        <v>-1.1108412786290001</v>
      </c>
      <c r="AH5443">
        <v>121.905533964585</v>
      </c>
      <c r="AI5443">
        <v>90.521129429105798</v>
      </c>
      <c r="AJ5443">
        <v>93.4627927343452</v>
      </c>
      <c r="AK5443">
        <v>122.133564087693</v>
      </c>
      <c r="AL5443">
        <v>81.373647428651296</v>
      </c>
      <c r="AM5443">
        <v>92.076176151286901</v>
      </c>
      <c r="AN5443">
        <v>1.00000003088849</v>
      </c>
    </row>
    <row r="5444" spans="1:40" x14ac:dyDescent="0.25">
      <c r="A5444" t="str">
        <f>"20190312172225425"</f>
        <v>20190312172225425</v>
      </c>
      <c r="B5444" t="str">
        <f>"1552382545416256"</f>
        <v>1552382545416256</v>
      </c>
      <c r="C5444" t="s">
        <v>40</v>
      </c>
      <c r="D5444">
        <v>3.6408489999999998</v>
      </c>
      <c r="E5444">
        <v>0.49040990000000001</v>
      </c>
      <c r="F5444" t="s">
        <v>64</v>
      </c>
      <c r="G5444">
        <v>-479.77300000000002</v>
      </c>
      <c r="H5444">
        <v>7.9986570000000007E-2</v>
      </c>
      <c r="I5444">
        <v>128.77860000000001</v>
      </c>
      <c r="J5444">
        <v>-307.30180000000001</v>
      </c>
      <c r="K5444">
        <v>1.1107290000000001</v>
      </c>
      <c r="L5444">
        <v>141.77809999999999</v>
      </c>
      <c r="M5444">
        <v>-0.99984150000000005</v>
      </c>
      <c r="N5444">
        <v>0</v>
      </c>
      <c r="O5444">
        <v>-1.5413090000000001E-2</v>
      </c>
      <c r="P5444">
        <v>-0.98902120000000004</v>
      </c>
      <c r="Q5444">
        <v>0.1395305</v>
      </c>
      <c r="R5444">
        <v>-4.8667679999999998E-2</v>
      </c>
      <c r="S5444">
        <v>-3.02536</v>
      </c>
      <c r="T5444">
        <v>-1.803505E-2</v>
      </c>
      <c r="U5444">
        <v>-0.22755429999999999</v>
      </c>
      <c r="V5444">
        <v>-3.3944250000000002E-2</v>
      </c>
      <c r="W5444">
        <v>0.14823610000000001</v>
      </c>
      <c r="X5444">
        <v>0.98836930000000001</v>
      </c>
      <c r="Y5444">
        <v>-5.9623790000000003E-2</v>
      </c>
      <c r="Z5444" s="1">
        <v>-8.5726050000000002E-5</v>
      </c>
      <c r="AA5444">
        <v>0.99822089999999997</v>
      </c>
      <c r="AB5444">
        <v>46</v>
      </c>
      <c r="AC5444">
        <v>-172.47120000000001</v>
      </c>
      <c r="AD5444">
        <v>-1.0307424300000001</v>
      </c>
      <c r="AE5444">
        <v>-12.9994999999999</v>
      </c>
      <c r="AF5444">
        <v>-10.3391688071648</v>
      </c>
      <c r="AG5444">
        <v>-1.0307424300000001</v>
      </c>
      <c r="AH5444">
        <v>172.64494974178299</v>
      </c>
      <c r="AI5444">
        <v>90.341457277900602</v>
      </c>
      <c r="AJ5444">
        <v>93.427172738567407</v>
      </c>
      <c r="AK5444">
        <v>172.957334371581</v>
      </c>
      <c r="AL5444">
        <v>81.4752803284603</v>
      </c>
      <c r="AM5444">
        <v>91.966975457914103</v>
      </c>
      <c r="AN5444">
        <v>1.00000001331688</v>
      </c>
    </row>
    <row r="5445" spans="1:40" x14ac:dyDescent="0.25">
      <c r="A5445" t="str">
        <f>"20190312172225447"</f>
        <v>20190312172225447</v>
      </c>
      <c r="B5445" t="str">
        <f>"1552382545435777"</f>
        <v>1552382545435777</v>
      </c>
      <c r="C5445" t="s">
        <v>40</v>
      </c>
      <c r="D5445">
        <v>3.1302660000000002</v>
      </c>
      <c r="E5445">
        <v>0.49040859999999897</v>
      </c>
      <c r="F5445" t="s">
        <v>42</v>
      </c>
      <c r="G5445">
        <v>-455.78949999999998</v>
      </c>
      <c r="H5445" s="1">
        <v>-2.7740539999999998E-6</v>
      </c>
      <c r="I5445">
        <v>130.71510000000001</v>
      </c>
      <c r="J5445">
        <v>-307.75659999999999</v>
      </c>
      <c r="K5445">
        <v>1.110611</v>
      </c>
      <c r="L5445">
        <v>141.7705</v>
      </c>
      <c r="M5445">
        <v>-0.99982740000000003</v>
      </c>
      <c r="N5445">
        <v>0</v>
      </c>
      <c r="O5445">
        <v>-1.6287759999999998E-2</v>
      </c>
      <c r="P5445">
        <v>-0.98969700000000005</v>
      </c>
      <c r="Q5445">
        <v>0.13490279999999999</v>
      </c>
      <c r="R5445">
        <v>-4.7970539999999999E-2</v>
      </c>
      <c r="S5445">
        <v>-3.0253909999999999</v>
      </c>
      <c r="T5445">
        <v>-2.2630810000000001E-2</v>
      </c>
      <c r="U5445">
        <v>-0.22540279999999999</v>
      </c>
      <c r="V5445">
        <v>-3.2320109999999999E-2</v>
      </c>
      <c r="W5445">
        <v>0.14364289999999999</v>
      </c>
      <c r="X5445">
        <v>0.98910169999999997</v>
      </c>
      <c r="Y5445">
        <v>-5.8043400000000002E-2</v>
      </c>
      <c r="Z5445" s="1">
        <v>-9.513806E-5</v>
      </c>
      <c r="AA5445">
        <v>0.99831409999999998</v>
      </c>
      <c r="AB5445">
        <v>46</v>
      </c>
      <c r="AC5445">
        <v>-148.03289999999899</v>
      </c>
      <c r="AD5445">
        <v>-1.1106137740539901</v>
      </c>
      <c r="AE5445">
        <v>-11.055399999999899</v>
      </c>
      <c r="AF5445">
        <v>-8.6422289347614107</v>
      </c>
      <c r="AG5445">
        <v>-1.1106137740539901</v>
      </c>
      <c r="AH5445">
        <v>148.185041457674</v>
      </c>
      <c r="AI5445">
        <v>90.428682635270206</v>
      </c>
      <c r="AJ5445">
        <v>93.337738983443998</v>
      </c>
      <c r="AK5445">
        <v>148.440991965591</v>
      </c>
      <c r="AL5445">
        <v>81.741299759997304</v>
      </c>
      <c r="AM5445">
        <v>91.871543885280303</v>
      </c>
      <c r="AN5445">
        <v>1.0000000225868499</v>
      </c>
    </row>
    <row r="5446" spans="1:40" x14ac:dyDescent="0.25">
      <c r="A5446" t="str">
        <f>"20190312172225470"</f>
        <v>20190312172225470</v>
      </c>
      <c r="B5446" t="str">
        <f>"1552382545465562"</f>
        <v>1552382545465562</v>
      </c>
      <c r="C5446" t="s">
        <v>40</v>
      </c>
      <c r="D5446">
        <v>3.1447379999999998</v>
      </c>
      <c r="E5446">
        <v>0.49037809999999998</v>
      </c>
      <c r="F5446" t="s">
        <v>62</v>
      </c>
      <c r="G5446">
        <v>-403.28210000000001</v>
      </c>
      <c r="H5446" s="1">
        <v>-4.5310990000000003E-6</v>
      </c>
      <c r="I5446">
        <v>134.71090000000001</v>
      </c>
      <c r="J5446">
        <v>-308.22609999999997</v>
      </c>
      <c r="K5446">
        <v>1.1104810000000001</v>
      </c>
      <c r="L5446">
        <v>141.76240000000001</v>
      </c>
      <c r="M5446">
        <v>-0.99981390000000003</v>
      </c>
      <c r="N5446">
        <v>0</v>
      </c>
      <c r="O5446">
        <v>-1.7097089999999999E-2</v>
      </c>
      <c r="P5446">
        <v>-0.99033260000000001</v>
      </c>
      <c r="Q5446">
        <v>0.13054069999999901</v>
      </c>
      <c r="R5446">
        <v>-4.6911939999999999E-2</v>
      </c>
      <c r="S5446">
        <v>-3.0252080000000001</v>
      </c>
      <c r="T5446">
        <v>-3.5172219999999997E-2</v>
      </c>
      <c r="U5446">
        <v>-0.22357179999999999</v>
      </c>
      <c r="V5446">
        <v>-3.0401069999999999E-2</v>
      </c>
      <c r="W5446">
        <v>0.1393152</v>
      </c>
      <c r="X5446">
        <v>0.98978129999999998</v>
      </c>
      <c r="Y5446">
        <v>-5.6637260000000002E-2</v>
      </c>
      <c r="Z5446">
        <v>-1.3031450000000001E-4</v>
      </c>
      <c r="AA5446">
        <v>0.99839480000000003</v>
      </c>
      <c r="AB5446">
        <v>46</v>
      </c>
      <c r="AC5446">
        <v>-95.055999999999997</v>
      </c>
      <c r="AD5446">
        <v>-1.1104855310990001</v>
      </c>
      <c r="AE5446">
        <v>-7.0514999999999999</v>
      </c>
      <c r="AF5446">
        <v>-5.4244870700794499</v>
      </c>
      <c r="AG5446">
        <v>-1.1104855310990001</v>
      </c>
      <c r="AH5446">
        <v>95.149754987086396</v>
      </c>
      <c r="AI5446">
        <v>90.6675804264151</v>
      </c>
      <c r="AJ5446">
        <v>93.262900210222995</v>
      </c>
      <c r="AK5446">
        <v>95.3107240146187</v>
      </c>
      <c r="AL5446">
        <v>81.991778115397196</v>
      </c>
      <c r="AM5446">
        <v>91.759283141195397</v>
      </c>
      <c r="AN5446">
        <v>0.99999998591893702</v>
      </c>
    </row>
    <row r="5447" spans="1:40" x14ac:dyDescent="0.25">
      <c r="A5447" t="str">
        <f>"20190312172225491"</f>
        <v>20190312172225491</v>
      </c>
      <c r="B5447" t="str">
        <f>"1552382545486058"</f>
        <v>1552382545486058</v>
      </c>
      <c r="C5447" t="s">
        <v>40</v>
      </c>
      <c r="D5447">
        <v>3.1683129999999999</v>
      </c>
      <c r="E5447">
        <v>0.49029859999999997</v>
      </c>
      <c r="F5447" t="s">
        <v>42</v>
      </c>
      <c r="G5447">
        <v>-377.08640000000003</v>
      </c>
      <c r="H5447" s="1">
        <v>-1.74597999999999E-6</v>
      </c>
      <c r="I5447">
        <v>136.72829999999999</v>
      </c>
      <c r="J5447">
        <v>-308.6771</v>
      </c>
      <c r="K5447">
        <v>1.1103479999999999</v>
      </c>
      <c r="L5447">
        <v>141.7543</v>
      </c>
      <c r="M5447">
        <v>-0.99980179999999996</v>
      </c>
      <c r="N5447">
        <v>0</v>
      </c>
      <c r="O5447">
        <v>-1.7776139999999999E-2</v>
      </c>
      <c r="P5447">
        <v>-0.99058959999999996</v>
      </c>
      <c r="Q5447">
        <v>0.1291398</v>
      </c>
      <c r="R5447">
        <v>-4.5334310000000003E-2</v>
      </c>
      <c r="S5447">
        <v>-3.0252690000000002</v>
      </c>
      <c r="T5447">
        <v>-4.8787360000000002E-2</v>
      </c>
      <c r="U5447">
        <v>-0.22116089999999999</v>
      </c>
      <c r="V5447">
        <v>-2.8107960000000001E-2</v>
      </c>
      <c r="W5447">
        <v>0.13794479999999901</v>
      </c>
      <c r="X5447">
        <v>0.99004099999999995</v>
      </c>
      <c r="Y5447">
        <v>-5.5164100000000001E-2</v>
      </c>
      <c r="Z5447">
        <v>-1.5796150000000001E-4</v>
      </c>
      <c r="AA5447">
        <v>0.99847730000000001</v>
      </c>
      <c r="AB5447">
        <v>46</v>
      </c>
      <c r="AC5447">
        <v>-68.409300000000002</v>
      </c>
      <c r="AD5447">
        <v>-1.11034974597999</v>
      </c>
      <c r="AE5447">
        <v>-5.0260000000000096</v>
      </c>
      <c r="AF5447">
        <v>-3.80810578497162</v>
      </c>
      <c r="AG5447">
        <v>-1.11034974597999</v>
      </c>
      <c r="AH5447">
        <v>68.469895198677904</v>
      </c>
      <c r="AI5447">
        <v>90.927628661578098</v>
      </c>
      <c r="AJ5447">
        <v>93.183352816567407</v>
      </c>
      <c r="AK5447">
        <v>68.584700150586499</v>
      </c>
      <c r="AL5447">
        <v>82.071061943358004</v>
      </c>
      <c r="AM5447">
        <v>91.626230622514896</v>
      </c>
      <c r="AN5447">
        <v>1.0000000034717</v>
      </c>
    </row>
    <row r="5448" spans="1:40" x14ac:dyDescent="0.25">
      <c r="A5448" t="str">
        <f>"20190312172225514"</f>
        <v>20190312172225514</v>
      </c>
      <c r="B5448" t="str">
        <f>"1552382545505581"</f>
        <v>1552382545505581</v>
      </c>
      <c r="C5448" t="s">
        <v>40</v>
      </c>
      <c r="D5448">
        <v>3.1745670000000001</v>
      </c>
      <c r="E5448">
        <v>0.49025849999999999</v>
      </c>
      <c r="F5448" t="s">
        <v>42</v>
      </c>
      <c r="G5448">
        <v>-372.45499999999998</v>
      </c>
      <c r="H5448" s="1">
        <v>-3.650774E-6</v>
      </c>
      <c r="I5448">
        <v>137.18270000000001</v>
      </c>
      <c r="J5448">
        <v>-309.14150000000001</v>
      </c>
      <c r="K5448">
        <v>1.1102129999999999</v>
      </c>
      <c r="L5448">
        <v>141.7457</v>
      </c>
      <c r="M5448">
        <v>-0.99979099999999999</v>
      </c>
      <c r="N5448">
        <v>0</v>
      </c>
      <c r="O5448">
        <v>-1.837186E-2</v>
      </c>
      <c r="P5448">
        <v>-0.9907842</v>
      </c>
      <c r="Q5448">
        <v>0.127808</v>
      </c>
      <c r="R5448">
        <v>-4.4859009999999998E-2</v>
      </c>
      <c r="S5448">
        <v>-3.025452</v>
      </c>
      <c r="T5448">
        <v>-5.2672150000000001E-2</v>
      </c>
      <c r="U5448">
        <v>-0.21685789999999999</v>
      </c>
      <c r="V5448">
        <v>-2.699733E-2</v>
      </c>
      <c r="W5448">
        <v>0.13663929999999999</v>
      </c>
      <c r="X5448">
        <v>0.99025289999999999</v>
      </c>
      <c r="Y5448">
        <v>-5.315156E-2</v>
      </c>
      <c r="Z5448">
        <v>-1.426869E-4</v>
      </c>
      <c r="AA5448">
        <v>0.99858650000000004</v>
      </c>
      <c r="AB5448">
        <v>46</v>
      </c>
      <c r="AC5448">
        <v>-63.313499999999898</v>
      </c>
      <c r="AD5448">
        <v>-1.1102166507739999</v>
      </c>
      <c r="AE5448">
        <v>-4.5629999999999802</v>
      </c>
      <c r="AF5448">
        <v>-3.39795685082857</v>
      </c>
      <c r="AG5448">
        <v>-1.1102166507739999</v>
      </c>
      <c r="AH5448">
        <v>63.367263702387497</v>
      </c>
      <c r="AI5448">
        <v>91.002299723955801</v>
      </c>
      <c r="AJ5448">
        <v>93.069444547228301</v>
      </c>
      <c r="AK5448">
        <v>63.468013998388699</v>
      </c>
      <c r="AL5448">
        <v>82.146576482064205</v>
      </c>
      <c r="AM5448">
        <v>91.561671768176595</v>
      </c>
      <c r="AN5448">
        <v>0.999999980045014</v>
      </c>
    </row>
    <row r="5449" spans="1:40" x14ac:dyDescent="0.25">
      <c r="A5449" t="str">
        <f>"20190312172225535"</f>
        <v>20190312172225535</v>
      </c>
      <c r="B5449" t="str">
        <f>"1552382545526074"</f>
        <v>1552382545526074</v>
      </c>
      <c r="C5449" t="s">
        <v>40</v>
      </c>
      <c r="D5449">
        <v>3.1529120000000002</v>
      </c>
      <c r="E5449">
        <v>0.49018119999999998</v>
      </c>
      <c r="F5449" t="s">
        <v>42</v>
      </c>
      <c r="G5449">
        <v>-368.36669999999998</v>
      </c>
      <c r="H5449" s="1">
        <v>-1.095371E-6</v>
      </c>
      <c r="I5449">
        <v>137.5361</v>
      </c>
      <c r="J5449">
        <v>-309.58980000000003</v>
      </c>
      <c r="K5449">
        <v>1.1100779999999999</v>
      </c>
      <c r="L5449">
        <v>141.7372</v>
      </c>
      <c r="M5449">
        <v>-0.99978199999999995</v>
      </c>
      <c r="N5449">
        <v>0</v>
      </c>
      <c r="O5449">
        <v>-1.8846120000000001E-2</v>
      </c>
      <c r="P5449">
        <v>-0.99084669999999997</v>
      </c>
      <c r="Q5449">
        <v>0.1271322</v>
      </c>
      <c r="R5449">
        <v>-4.5393790000000003E-2</v>
      </c>
      <c r="S5449">
        <v>-3.0254819999999998</v>
      </c>
      <c r="T5449">
        <v>-5.6714649999999998E-2</v>
      </c>
      <c r="U5449">
        <v>-0.21504210000000001</v>
      </c>
      <c r="V5449">
        <v>-2.7021509999999999E-2</v>
      </c>
      <c r="W5449">
        <v>0.13598550000000001</v>
      </c>
      <c r="X5449">
        <v>0.99034230000000001</v>
      </c>
      <c r="Y5449">
        <v>-5.2080260000000003E-2</v>
      </c>
      <c r="Z5449">
        <v>-1.3473510000000001E-4</v>
      </c>
      <c r="AA5449">
        <v>0.9986429</v>
      </c>
      <c r="AB5449">
        <v>46</v>
      </c>
      <c r="AC5449">
        <v>-58.776899999999898</v>
      </c>
      <c r="AD5449">
        <v>-1.110079095371</v>
      </c>
      <c r="AE5449">
        <v>-4.2010999999999896</v>
      </c>
      <c r="AF5449">
        <v>-3.0914954463705699</v>
      </c>
      <c r="AG5449">
        <v>-1.110079095371</v>
      </c>
      <c r="AH5449">
        <v>58.824762055092698</v>
      </c>
      <c r="AI5449">
        <v>91.079607891138593</v>
      </c>
      <c r="AJ5449">
        <v>93.0083731780704</v>
      </c>
      <c r="AK5449">
        <v>58.916400522530097</v>
      </c>
      <c r="AL5449">
        <v>82.184389922202101</v>
      </c>
      <c r="AM5449">
        <v>91.562928745594505</v>
      </c>
      <c r="AN5449">
        <v>1.0000000446910999</v>
      </c>
    </row>
    <row r="5450" spans="1:40" x14ac:dyDescent="0.25">
      <c r="A5450" t="str">
        <f>"20190312172225558"</f>
        <v>20190312172225558</v>
      </c>
      <c r="B5450" t="str">
        <f>"1552382545556330"</f>
        <v>1552382545556330</v>
      </c>
      <c r="C5450" t="s">
        <v>40</v>
      </c>
      <c r="D5450">
        <v>3.1427689999999999</v>
      </c>
      <c r="E5450">
        <v>0.49005369999999998</v>
      </c>
      <c r="F5450" t="s">
        <v>42</v>
      </c>
      <c r="G5450">
        <v>-366.5027</v>
      </c>
      <c r="H5450" s="1">
        <v>-1.8287599999999999E-6</v>
      </c>
      <c r="I5450">
        <v>137.66499999999999</v>
      </c>
      <c r="J5450">
        <v>-310.0437</v>
      </c>
      <c r="K5450">
        <v>1.1099810000000001</v>
      </c>
      <c r="L5450">
        <v>141.72839999999999</v>
      </c>
      <c r="M5450">
        <v>-0.99977459999999996</v>
      </c>
      <c r="N5450">
        <v>0</v>
      </c>
      <c r="O5450">
        <v>-1.92306E-2</v>
      </c>
      <c r="P5450">
        <v>-0.99073140000000004</v>
      </c>
      <c r="Q5450">
        <v>0.12750939999999999</v>
      </c>
      <c r="R5450">
        <v>-4.6827069999999998E-2</v>
      </c>
      <c r="S5450">
        <v>-3.02536</v>
      </c>
      <c r="T5450">
        <v>-5.9009310000000002E-2</v>
      </c>
      <c r="U5450">
        <v>-0.21646119999999999</v>
      </c>
      <c r="V5450">
        <v>-2.803808E-2</v>
      </c>
      <c r="W5450">
        <v>0.13638140000000001</v>
      </c>
      <c r="X5450">
        <v>0.99025949999999996</v>
      </c>
      <c r="Y5450">
        <v>-5.2164679999999998E-2</v>
      </c>
      <c r="Z5450">
        <v>-1.3352559999999999E-4</v>
      </c>
      <c r="AA5450">
        <v>0.99863849999999998</v>
      </c>
      <c r="AB5450">
        <v>46</v>
      </c>
      <c r="AC5450">
        <v>-56.458999999999897</v>
      </c>
      <c r="AD5450">
        <v>-1.10998282876</v>
      </c>
      <c r="AE5450">
        <v>-4.0633999999999997</v>
      </c>
      <c r="AF5450">
        <v>-2.97571989731152</v>
      </c>
      <c r="AG5450">
        <v>-1.10998282876</v>
      </c>
      <c r="AH5450">
        <v>56.504975784728799</v>
      </c>
      <c r="AI5450">
        <v>91.123815714495194</v>
      </c>
      <c r="AJ5450">
        <v>93.014581160918596</v>
      </c>
      <c r="AK5450">
        <v>56.5941627663153</v>
      </c>
      <c r="AL5450">
        <v>82.161492453255903</v>
      </c>
      <c r="AM5450">
        <v>91.6218320234331</v>
      </c>
      <c r="AN5450">
        <v>0.99999994876814602</v>
      </c>
    </row>
    <row r="5451" spans="1:40" x14ac:dyDescent="0.25">
      <c r="A5451" t="str">
        <f>"20190312172225581"</f>
        <v>20190312172225581</v>
      </c>
      <c r="B5451" t="str">
        <f>"1552382545576357"</f>
        <v>1552382545576357</v>
      </c>
      <c r="C5451" t="s">
        <v>40</v>
      </c>
      <c r="D5451">
        <v>3.2102439999999999</v>
      </c>
      <c r="E5451">
        <v>0.4899616</v>
      </c>
      <c r="F5451" t="s">
        <v>42</v>
      </c>
      <c r="G5451">
        <v>-368.39929999999998</v>
      </c>
      <c r="H5451" s="1">
        <v>-1.1063070000000001E-6</v>
      </c>
      <c r="I5451">
        <v>137.45330000000001</v>
      </c>
      <c r="J5451">
        <v>-310.51330000000002</v>
      </c>
      <c r="K5451">
        <v>1.1099060000000001</v>
      </c>
      <c r="L5451">
        <v>141.7192</v>
      </c>
      <c r="M5451">
        <v>-0.99976860000000001</v>
      </c>
      <c r="N5451">
        <v>0</v>
      </c>
      <c r="O5451">
        <v>-1.9531659999999999E-2</v>
      </c>
      <c r="P5451">
        <v>-0.98985730000000005</v>
      </c>
      <c r="Q5451">
        <v>0.1336821</v>
      </c>
      <c r="R5451">
        <v>-4.808287E-2</v>
      </c>
      <c r="S5451">
        <v>-3.0249630000000001</v>
      </c>
      <c r="T5451">
        <v>-5.7537909999999998E-2</v>
      </c>
      <c r="U5451">
        <v>-0.22160340000000001</v>
      </c>
      <c r="V5451">
        <v>-2.8982910000000001E-2</v>
      </c>
      <c r="W5451">
        <v>0.1425669</v>
      </c>
      <c r="X5451">
        <v>0.98936069999999998</v>
      </c>
      <c r="Y5451">
        <v>-5.3562110000000003E-2</v>
      </c>
      <c r="Z5451">
        <v>-1.377629E-4</v>
      </c>
      <c r="AA5451">
        <v>0.99856449999999997</v>
      </c>
      <c r="AB5451">
        <v>46</v>
      </c>
      <c r="AC5451">
        <v>-57.885999999999903</v>
      </c>
      <c r="AD5451">
        <v>-1.1099071063070001</v>
      </c>
      <c r="AE5451">
        <v>-4.2658999999999798</v>
      </c>
      <c r="AF5451">
        <v>-3.1332848479262601</v>
      </c>
      <c r="AG5451">
        <v>-1.1099071063070001</v>
      </c>
      <c r="AH5451">
        <v>57.937095094558003</v>
      </c>
      <c r="AI5451">
        <v>91.095886085169198</v>
      </c>
      <c r="AJ5451">
        <v>93.095586412082</v>
      </c>
      <c r="AK5451">
        <v>58.032373342116003</v>
      </c>
      <c r="AL5451">
        <v>81.803590656177704</v>
      </c>
      <c r="AM5451">
        <v>91.677976130179999</v>
      </c>
      <c r="AN5451">
        <v>0.99999996237608302</v>
      </c>
    </row>
    <row r="5452" spans="1:40" x14ac:dyDescent="0.25">
      <c r="A5452" t="str">
        <f>"20190312172225603"</f>
        <v>20190312172225603</v>
      </c>
      <c r="B5452" t="str">
        <f>"1552382545595877"</f>
        <v>1552382545595877</v>
      </c>
      <c r="C5452" t="s">
        <v>40</v>
      </c>
      <c r="D5452">
        <v>3.1640299999999999</v>
      </c>
      <c r="E5452">
        <v>0.48999399999999999</v>
      </c>
      <c r="F5452" t="s">
        <v>42</v>
      </c>
      <c r="G5452">
        <v>-395.66340000000002</v>
      </c>
      <c r="H5452" s="1">
        <v>-2.5995260000000001E-6</v>
      </c>
      <c r="I5452">
        <v>135.34950000000001</v>
      </c>
      <c r="J5452">
        <v>-310.98079999999999</v>
      </c>
      <c r="K5452">
        <v>1.1098220000000001</v>
      </c>
      <c r="L5452">
        <v>141.7099</v>
      </c>
      <c r="M5452">
        <v>-0.9997644</v>
      </c>
      <c r="N5452">
        <v>0</v>
      </c>
      <c r="O5452">
        <v>-1.9743340000000002E-2</v>
      </c>
      <c r="P5452">
        <v>-0.98942739999999996</v>
      </c>
      <c r="Q5452">
        <v>0.13656489999999999</v>
      </c>
      <c r="R5452">
        <v>-4.8824949999999999E-2</v>
      </c>
      <c r="S5452">
        <v>-3.0250849999999998</v>
      </c>
      <c r="T5452">
        <v>-3.9431210000000001E-2</v>
      </c>
      <c r="U5452">
        <v>-0.22628780000000001</v>
      </c>
      <c r="V5452">
        <v>-2.9490209999999999E-2</v>
      </c>
      <c r="W5452">
        <v>0.1454674</v>
      </c>
      <c r="X5452">
        <v>0.98892340000000001</v>
      </c>
      <c r="Y5452">
        <v>-5.4888729999999997E-2</v>
      </c>
      <c r="Z5452">
        <v>-1.002861E-4</v>
      </c>
      <c r="AA5452">
        <v>0.99849250000000001</v>
      </c>
      <c r="AB5452">
        <v>46</v>
      </c>
      <c r="AC5452">
        <v>-84.682599999999994</v>
      </c>
      <c r="AD5452">
        <v>-1.1098245995260001</v>
      </c>
      <c r="AE5452">
        <v>-6.3603999999999896</v>
      </c>
      <c r="AF5452">
        <v>-4.6863743557964996</v>
      </c>
      <c r="AG5452">
        <v>-1.1098245995260001</v>
      </c>
      <c r="AH5452">
        <v>84.777193489778099</v>
      </c>
      <c r="AI5452">
        <v>90.748877321783496</v>
      </c>
      <c r="AJ5452">
        <v>93.164016913755503</v>
      </c>
      <c r="AK5452">
        <v>84.9138760818728</v>
      </c>
      <c r="AL5452">
        <v>81.635653478811705</v>
      </c>
      <c r="AM5452">
        <v>91.708083745136804</v>
      </c>
      <c r="AN5452">
        <v>0.999999964008081</v>
      </c>
    </row>
    <row r="5453" spans="1:40" x14ac:dyDescent="0.25">
      <c r="A5453" t="str">
        <f>"20190312172225692"</f>
        <v>20190312172225692</v>
      </c>
      <c r="B5453" t="str">
        <f>"1552382545685997"</f>
        <v>1552382545685997</v>
      </c>
      <c r="C5453" t="s">
        <v>40</v>
      </c>
      <c r="D5453">
        <v>3.1781160000000002</v>
      </c>
      <c r="E5453">
        <v>0.52012890000000001</v>
      </c>
      <c r="F5453" t="s">
        <v>62</v>
      </c>
      <c r="G5453">
        <v>-420.40280000000001</v>
      </c>
      <c r="H5453" s="1">
        <v>-7.3541660000000002E-6</v>
      </c>
      <c r="I5453">
        <v>133.4573</v>
      </c>
      <c r="J5453">
        <v>-312.83839999999998</v>
      </c>
      <c r="K5453">
        <v>1.109456</v>
      </c>
      <c r="L5453">
        <v>141.67269999999999</v>
      </c>
      <c r="M5453">
        <v>-0.99975650000000005</v>
      </c>
      <c r="N5453">
        <v>0</v>
      </c>
      <c r="O5453">
        <v>-2.0107360000000001E-2</v>
      </c>
      <c r="P5453">
        <v>-0.99133090000000001</v>
      </c>
      <c r="Q5453">
        <v>0.1241023</v>
      </c>
      <c r="R5453">
        <v>-4.3148510000000001E-2</v>
      </c>
      <c r="S5453">
        <v>-3.025055</v>
      </c>
      <c r="T5453">
        <v>-3.0682089999999999E-2</v>
      </c>
      <c r="U5453">
        <v>-0.2281494</v>
      </c>
      <c r="V5453">
        <v>-2.3298940000000001E-2</v>
      </c>
      <c r="W5453">
        <v>0.13310569999999999</v>
      </c>
      <c r="X5453">
        <v>0.99082800000000004</v>
      </c>
      <c r="Y5453">
        <v>-5.5138090000000001E-2</v>
      </c>
      <c r="Z5453" s="1">
        <v>-7.5612360000000005E-5</v>
      </c>
      <c r="AA5453">
        <v>0.99847870000000005</v>
      </c>
      <c r="AB5453">
        <v>46</v>
      </c>
      <c r="AC5453">
        <v>-107.56440000000001</v>
      </c>
      <c r="AD5453">
        <v>-1.1094633541659999</v>
      </c>
      <c r="AE5453">
        <v>-8.2153999999999794</v>
      </c>
      <c r="AF5453">
        <v>-6.0501735178729401</v>
      </c>
      <c r="AG5453">
        <v>-1.1094633541659999</v>
      </c>
      <c r="AH5453">
        <v>107.69645731211401</v>
      </c>
      <c r="AI5453">
        <v>90.589297544818905</v>
      </c>
      <c r="AJ5453">
        <v>93.215383623979804</v>
      </c>
      <c r="AK5453">
        <v>107.871972384445</v>
      </c>
      <c r="AL5453">
        <v>82.3509044270168</v>
      </c>
      <c r="AM5453">
        <v>91.347040017455299</v>
      </c>
      <c r="AN5453">
        <v>1.0000000467807999</v>
      </c>
    </row>
    <row r="5454" spans="1:40" x14ac:dyDescent="0.25">
      <c r="A5454" t="str">
        <f>"20190312172225714"</f>
        <v>20190312172225714</v>
      </c>
      <c r="B5454" t="str">
        <f>"1552382545705517"</f>
        <v>1552382545705517</v>
      </c>
      <c r="C5454" t="s">
        <v>40</v>
      </c>
      <c r="D5454">
        <v>3.2066180000000002</v>
      </c>
      <c r="E5454">
        <v>0.5201247</v>
      </c>
      <c r="F5454" t="s">
        <v>42</v>
      </c>
      <c r="G5454">
        <v>-363.36950000000002</v>
      </c>
      <c r="H5454" s="1">
        <v>-3.49839E-6</v>
      </c>
      <c r="I5454">
        <v>142.1404</v>
      </c>
      <c r="J5454">
        <v>-313.29809999999998</v>
      </c>
      <c r="K5454">
        <v>1.10938799999999</v>
      </c>
      <c r="L5454">
        <v>141.6634</v>
      </c>
      <c r="M5454">
        <v>-0.99975579999999997</v>
      </c>
      <c r="N5454">
        <v>0</v>
      </c>
      <c r="O5454">
        <v>-2.0139629999999999E-2</v>
      </c>
      <c r="P5454">
        <v>-0.99144469999999996</v>
      </c>
      <c r="Q5454">
        <v>0.12361460000000001</v>
      </c>
      <c r="R5454">
        <v>-4.1919850000000002E-2</v>
      </c>
      <c r="S5454">
        <v>-3.0357970000000001</v>
      </c>
      <c r="T5454">
        <v>-6.6653970000000007E-2</v>
      </c>
      <c r="U5454">
        <v>2.810669E-2</v>
      </c>
      <c r="V5454">
        <v>-2.2019940000000002E-2</v>
      </c>
      <c r="W5454">
        <v>0.13263629999999901</v>
      </c>
      <c r="X5454">
        <v>0.99092009999999997</v>
      </c>
      <c r="Y5454">
        <v>2.9383820000000001E-2</v>
      </c>
      <c r="Z5454">
        <v>7.6465899999999902E-4</v>
      </c>
      <c r="AA5454">
        <v>0.99956789999999995</v>
      </c>
      <c r="AB5454">
        <v>47</v>
      </c>
      <c r="AC5454">
        <v>-50.071399999999997</v>
      </c>
      <c r="AD5454">
        <v>-1.10939149838999</v>
      </c>
      <c r="AE5454">
        <v>0.47700000000000298</v>
      </c>
      <c r="AF5454">
        <v>1.48463569699069</v>
      </c>
      <c r="AG5454">
        <v>-1.10939149838999</v>
      </c>
      <c r="AH5454">
        <v>50.027080626165898</v>
      </c>
      <c r="AI5454">
        <v>91.269813777896204</v>
      </c>
      <c r="AJ5454">
        <v>88.300152640870706</v>
      </c>
      <c r="AK5454">
        <v>50.061399187661401</v>
      </c>
      <c r="AL5454">
        <v>82.378038961729104</v>
      </c>
      <c r="AM5454">
        <v>91.273000738651106</v>
      </c>
      <c r="AN5454">
        <v>0.99999995520965002</v>
      </c>
    </row>
    <row r="5455" spans="1:40" x14ac:dyDescent="0.25">
      <c r="A5455" t="str">
        <f>"20190312172225736"</f>
        <v>20190312172225736</v>
      </c>
      <c r="B5455" t="str">
        <f>"1552382545726013"</f>
        <v>1552382545726013</v>
      </c>
      <c r="C5455" t="s">
        <v>40</v>
      </c>
      <c r="D5455">
        <v>3.2366730000000001</v>
      </c>
      <c r="E5455">
        <v>0.52016720000000005</v>
      </c>
      <c r="F5455" t="s">
        <v>42</v>
      </c>
      <c r="G5455">
        <v>-361.6157</v>
      </c>
      <c r="H5455" s="1">
        <v>-4.1792480000000002E-6</v>
      </c>
      <c r="I5455">
        <v>142.1703</v>
      </c>
      <c r="J5455">
        <v>-313.75310000000002</v>
      </c>
      <c r="K5455">
        <v>1.1093329999999999</v>
      </c>
      <c r="L5455">
        <v>141.6542</v>
      </c>
      <c r="M5455">
        <v>-0.99975499999999995</v>
      </c>
      <c r="N5455">
        <v>0</v>
      </c>
      <c r="O5455">
        <v>-2.0164000000000001E-2</v>
      </c>
      <c r="P5455">
        <v>-0.99133950000000004</v>
      </c>
      <c r="Q5455">
        <v>0.1247461</v>
      </c>
      <c r="R5455">
        <v>-4.1043549999999998E-2</v>
      </c>
      <c r="S5455">
        <v>-3.0359189999999998</v>
      </c>
      <c r="T5455">
        <v>-6.9706080000000004E-2</v>
      </c>
      <c r="U5455">
        <v>3.1860350000000003E-2</v>
      </c>
      <c r="V5455">
        <v>-2.110896E-2</v>
      </c>
      <c r="W5455">
        <v>0.13378329999999999</v>
      </c>
      <c r="X5455">
        <v>0.99078580000000005</v>
      </c>
      <c r="Y5455">
        <v>3.064209E-2</v>
      </c>
      <c r="Z5455">
        <v>8.1463100000000001E-4</v>
      </c>
      <c r="AA5455">
        <v>0.99953009999999998</v>
      </c>
      <c r="AB5455">
        <v>47</v>
      </c>
      <c r="AC5455">
        <v>-47.862599999999901</v>
      </c>
      <c r="AD5455">
        <v>-1.10933717924799</v>
      </c>
      <c r="AE5455">
        <v>0.51609999999999401</v>
      </c>
      <c r="AF5455">
        <v>1.48034160741973</v>
      </c>
      <c r="AG5455">
        <v>-1.10933717924799</v>
      </c>
      <c r="AH5455">
        <v>47.816776871366599</v>
      </c>
      <c r="AI5455">
        <v>91.328373050483606</v>
      </c>
      <c r="AJ5455">
        <v>88.2267678809568</v>
      </c>
      <c r="AK5455">
        <v>47.852546333690299</v>
      </c>
      <c r="AL5455">
        <v>82.311730321263795</v>
      </c>
      <c r="AM5455">
        <v>91.220517463430994</v>
      </c>
      <c r="AN5455">
        <v>1.0000000305164001</v>
      </c>
    </row>
    <row r="5456" spans="1:40" x14ac:dyDescent="0.25">
      <c r="A5456" t="str">
        <f>"20190312172225751"</f>
        <v>20190312172225751</v>
      </c>
      <c r="B5456" t="str">
        <f>"1552382545745533"</f>
        <v>1552382545745533</v>
      </c>
      <c r="C5456" t="s">
        <v>40</v>
      </c>
      <c r="D5456">
        <v>3.2358989999999999</v>
      </c>
      <c r="E5456">
        <v>0.52056000000000002</v>
      </c>
      <c r="F5456" t="s">
        <v>42</v>
      </c>
      <c r="G5456">
        <v>-366.08109999999999</v>
      </c>
      <c r="H5456" s="1">
        <v>-2.366977E-6</v>
      </c>
      <c r="I5456">
        <v>142.26009999999999</v>
      </c>
      <c r="J5456">
        <v>-314.05419999999998</v>
      </c>
      <c r="K5456">
        <v>1.10931</v>
      </c>
      <c r="L5456">
        <v>141.6481</v>
      </c>
      <c r="M5456">
        <v>-0.99975480000000005</v>
      </c>
      <c r="N5456">
        <v>0</v>
      </c>
      <c r="O5456">
        <v>-2.0178060000000001E-2</v>
      </c>
      <c r="P5456">
        <v>-0.99113019999999996</v>
      </c>
      <c r="Q5456">
        <v>0.12652439999999901</v>
      </c>
      <c r="R5456">
        <v>-4.0653870000000002E-2</v>
      </c>
      <c r="S5456">
        <v>-3.0357669999999999</v>
      </c>
      <c r="T5456">
        <v>-6.4357280000000003E-2</v>
      </c>
      <c r="U5456">
        <v>3.515625E-2</v>
      </c>
      <c r="V5456">
        <v>-2.0702310000000002E-2</v>
      </c>
      <c r="W5456">
        <v>0.1355703</v>
      </c>
      <c r="X5456">
        <v>0.99055139999999997</v>
      </c>
      <c r="Y5456">
        <v>3.1743430000000003E-2</v>
      </c>
      <c r="Z5456">
        <v>7.6414089999999896E-4</v>
      </c>
      <c r="AA5456">
        <v>0.99949569999999999</v>
      </c>
      <c r="AB5456">
        <v>47</v>
      </c>
      <c r="AC5456">
        <v>-52.026899999999998</v>
      </c>
      <c r="AD5456">
        <v>-1.109312366977</v>
      </c>
      <c r="AE5456">
        <v>0.61199999999999399</v>
      </c>
      <c r="AF5456">
        <v>1.66096595506054</v>
      </c>
      <c r="AG5456">
        <v>-1.109312366977</v>
      </c>
      <c r="AH5456">
        <v>51.980328865308103</v>
      </c>
      <c r="AI5456">
        <v>91.221940360641398</v>
      </c>
      <c r="AJ5456">
        <v>88.169808243824093</v>
      </c>
      <c r="AK5456">
        <v>52.018688668371702</v>
      </c>
      <c r="AL5456">
        <v>82.208401016775795</v>
      </c>
      <c r="AM5456">
        <v>91.197295092283397</v>
      </c>
      <c r="AN5456">
        <v>0.99999998396169199</v>
      </c>
    </row>
    <row r="5457" spans="1:40" x14ac:dyDescent="0.25">
      <c r="A5457" t="str">
        <f>"20190312172225770"</f>
        <v>20190312172225770</v>
      </c>
      <c r="B5457" t="str">
        <f>"1552382545766029"</f>
        <v>1552382545766029</v>
      </c>
      <c r="C5457" t="s">
        <v>40</v>
      </c>
      <c r="D5457">
        <v>3.3103669999999998</v>
      </c>
      <c r="E5457">
        <v>0.52029499999999995</v>
      </c>
      <c r="F5457" t="s">
        <v>42</v>
      </c>
      <c r="G5457">
        <v>-371.8279</v>
      </c>
      <c r="H5457" s="1">
        <v>-4.1483620000000002E-6</v>
      </c>
      <c r="I5457">
        <v>142.4032</v>
      </c>
      <c r="J5457">
        <v>-314.46890000000002</v>
      </c>
      <c r="K5457">
        <v>1.1092919999999999</v>
      </c>
      <c r="L5457">
        <v>141.6397</v>
      </c>
      <c r="M5457">
        <v>-0.99975429999999998</v>
      </c>
      <c r="N5457">
        <v>0</v>
      </c>
      <c r="O5457">
        <v>-2.0195649999999999E-2</v>
      </c>
      <c r="P5457">
        <v>-0.99074700000000004</v>
      </c>
      <c r="Q5457">
        <v>0.12951979999999999</v>
      </c>
      <c r="R5457">
        <v>-4.0561750000000001E-2</v>
      </c>
      <c r="S5457">
        <v>-3.0358890000000001</v>
      </c>
      <c r="T5457">
        <v>-5.829227E-2</v>
      </c>
      <c r="U5457">
        <v>3.9688109999999999E-2</v>
      </c>
      <c r="V5457">
        <v>-2.0591160000000001E-2</v>
      </c>
      <c r="W5457">
        <v>0.1385767</v>
      </c>
      <c r="X5457">
        <v>0.99013759999999995</v>
      </c>
      <c r="Y5457">
        <v>3.3254110000000003E-2</v>
      </c>
      <c r="Z5457">
        <v>7.0694880000000005E-4</v>
      </c>
      <c r="AA5457">
        <v>0.99944670000000002</v>
      </c>
      <c r="AB5457">
        <v>47</v>
      </c>
      <c r="AC5457">
        <v>-57.358999999999902</v>
      </c>
      <c r="AD5457">
        <v>-1.1092961483620001</v>
      </c>
      <c r="AE5457">
        <v>0.76349999999999296</v>
      </c>
      <c r="AF5457">
        <v>1.9210765204660101</v>
      </c>
      <c r="AG5457">
        <v>-1.1092961483620001</v>
      </c>
      <c r="AH5457">
        <v>57.310449153347101</v>
      </c>
      <c r="AI5457">
        <v>91.108251437740407</v>
      </c>
      <c r="AJ5457">
        <v>88.080134068591306</v>
      </c>
      <c r="AK5457">
        <v>57.353366554201898</v>
      </c>
      <c r="AL5457">
        <v>82.034505478294705</v>
      </c>
      <c r="AM5457">
        <v>91.191366258193696</v>
      </c>
      <c r="AN5457">
        <v>0.99999998229339704</v>
      </c>
    </row>
    <row r="5458" spans="1:40" x14ac:dyDescent="0.25">
      <c r="A5458" t="str">
        <f>"20190312172225784"</f>
        <v>20190312172225784</v>
      </c>
      <c r="B5458" t="str">
        <f>"1552382545775789"</f>
        <v>1552382545775789</v>
      </c>
      <c r="C5458" t="s">
        <v>40</v>
      </c>
      <c r="D5458">
        <v>3.213085</v>
      </c>
      <c r="E5458">
        <v>0.52029150000000002</v>
      </c>
      <c r="F5458" t="s">
        <v>42</v>
      </c>
      <c r="G5458">
        <v>-391.66640000000001</v>
      </c>
      <c r="H5458" s="1">
        <v>-4.2392E-6</v>
      </c>
      <c r="I5458">
        <v>142.60550000000001</v>
      </c>
      <c r="J5458">
        <v>-314.76339999999999</v>
      </c>
      <c r="K5458">
        <v>1.1092799999999901</v>
      </c>
      <c r="L5458">
        <v>141.6337</v>
      </c>
      <c r="M5458">
        <v>-0.99975400000000003</v>
      </c>
      <c r="N5458">
        <v>0</v>
      </c>
      <c r="O5458">
        <v>-2.0207280000000001E-2</v>
      </c>
      <c r="P5458">
        <v>-0.99065179999999997</v>
      </c>
      <c r="Q5458">
        <v>0.13021250000000001</v>
      </c>
      <c r="R5458">
        <v>-4.0667780000000001E-2</v>
      </c>
      <c r="S5458">
        <v>-3.0352779999999999</v>
      </c>
      <c r="T5458">
        <v>-4.36157E-2</v>
      </c>
      <c r="U5458">
        <v>3.797913E-2</v>
      </c>
      <c r="V5458">
        <v>-2.0682119999999998E-2</v>
      </c>
      <c r="W5458">
        <v>0.13927790000000001</v>
      </c>
      <c r="X5458">
        <v>0.99003730000000001</v>
      </c>
      <c r="Y5458">
        <v>3.2710120000000002E-2</v>
      </c>
      <c r="Z5458">
        <v>5.2534450000000002E-4</v>
      </c>
      <c r="AA5458">
        <v>0.99946480000000004</v>
      </c>
      <c r="AB5458">
        <v>47</v>
      </c>
      <c r="AC5458">
        <v>-76.903000000000006</v>
      </c>
      <c r="AD5458">
        <v>-1.10928423919999</v>
      </c>
      <c r="AE5458">
        <v>0.971800000000001</v>
      </c>
      <c r="AF5458">
        <v>2.52514166301876</v>
      </c>
      <c r="AG5458">
        <v>-1.10928423919999</v>
      </c>
      <c r="AH5458">
        <v>76.851670173905205</v>
      </c>
      <c r="AI5458">
        <v>90.826509276722703</v>
      </c>
      <c r="AJ5458">
        <v>88.118089982923195</v>
      </c>
      <c r="AK5458">
        <v>76.901144727893197</v>
      </c>
      <c r="AL5458">
        <v>81.993936155971696</v>
      </c>
      <c r="AM5458">
        <v>91.196748702170098</v>
      </c>
      <c r="AN5458">
        <v>0.99999996945369596</v>
      </c>
    </row>
    <row r="5459" spans="1:40" x14ac:dyDescent="0.25">
      <c r="A5459" t="str">
        <f>"20190312172225796"</f>
        <v>20190312172225796</v>
      </c>
      <c r="B5459" t="str">
        <f>"1552382545785550"</f>
        <v>1552382545785550</v>
      </c>
      <c r="C5459" t="s">
        <v>40</v>
      </c>
      <c r="D5459">
        <v>3.212863</v>
      </c>
      <c r="E5459">
        <v>0.52025920000000003</v>
      </c>
      <c r="F5459" t="s">
        <v>62</v>
      </c>
      <c r="G5459">
        <v>-400.30610000000001</v>
      </c>
      <c r="H5459" s="1">
        <v>-6.7657619999999999E-6</v>
      </c>
      <c r="I5459">
        <v>142.6917</v>
      </c>
      <c r="J5459">
        <v>-315.01249999999999</v>
      </c>
      <c r="K5459">
        <v>1.1092820000000001</v>
      </c>
      <c r="L5459">
        <v>141.62860000000001</v>
      </c>
      <c r="M5459">
        <v>-0.99975369999999997</v>
      </c>
      <c r="N5459">
        <v>0</v>
      </c>
      <c r="O5459">
        <v>-2.0216439999999999E-2</v>
      </c>
      <c r="P5459">
        <v>-0.99057019999999996</v>
      </c>
      <c r="Q5459">
        <v>0.1307442</v>
      </c>
      <c r="R5459">
        <v>-4.094594E-2</v>
      </c>
      <c r="S5459">
        <v>-3.035034</v>
      </c>
      <c r="T5459">
        <v>-3.935719E-2</v>
      </c>
      <c r="U5459">
        <v>3.753662E-2</v>
      </c>
      <c r="V5459">
        <v>-2.0947239999999999E-2</v>
      </c>
      <c r="W5459">
        <v>0.13981759999999999</v>
      </c>
      <c r="X5459">
        <v>0.98995569999999999</v>
      </c>
      <c r="Y5459">
        <v>3.2575609999999998E-2</v>
      </c>
      <c r="Z5459">
        <v>4.7334109999999999E-4</v>
      </c>
      <c r="AA5459">
        <v>0.99946919999999995</v>
      </c>
      <c r="AB5459">
        <v>47</v>
      </c>
      <c r="AC5459">
        <v>-85.293599999999998</v>
      </c>
      <c r="AD5459">
        <v>-1.1092887657620001</v>
      </c>
      <c r="AE5459">
        <v>1.0630999999999899</v>
      </c>
      <c r="AF5459">
        <v>2.7868166438742401</v>
      </c>
      <c r="AG5459">
        <v>-1.1092887657620001</v>
      </c>
      <c r="AH5459">
        <v>85.240258191770195</v>
      </c>
      <c r="AI5459">
        <v>90.745188291109301</v>
      </c>
      <c r="AJ5459">
        <v>88.127457827232803</v>
      </c>
      <c r="AK5459">
        <v>85.293015453623497</v>
      </c>
      <c r="AL5459">
        <v>81.962708459400503</v>
      </c>
      <c r="AM5459">
        <v>91.212184918975794</v>
      </c>
      <c r="AN5459">
        <v>1.00000001804793</v>
      </c>
    </row>
    <row r="5460" spans="1:40" x14ac:dyDescent="0.25">
      <c r="A5460" t="str">
        <f>"20190312172225808"</f>
        <v>20190312172225808</v>
      </c>
      <c r="B5460" t="str">
        <f>"1552382545806045"</f>
        <v>1552382545806045</v>
      </c>
      <c r="C5460" t="s">
        <v>40</v>
      </c>
      <c r="D5460">
        <v>3.2164419999999998</v>
      </c>
      <c r="E5460">
        <v>0.52036850000000001</v>
      </c>
      <c r="F5460" t="s">
        <v>62</v>
      </c>
      <c r="G5460">
        <v>-408.60079999999999</v>
      </c>
      <c r="H5460" s="1">
        <v>-1.110144E-5</v>
      </c>
      <c r="I5460">
        <v>142.7551</v>
      </c>
      <c r="J5460">
        <v>-315.26679999999999</v>
      </c>
      <c r="K5460">
        <v>1.1092839999999999</v>
      </c>
      <c r="L5460">
        <v>141.62350000000001</v>
      </c>
      <c r="M5460">
        <v>-0.99975340000000001</v>
      </c>
      <c r="N5460">
        <v>0</v>
      </c>
      <c r="O5460">
        <v>-2.0225380000000001E-2</v>
      </c>
      <c r="P5460">
        <v>-0.99036299999999999</v>
      </c>
      <c r="Q5460">
        <v>0.1322257</v>
      </c>
      <c r="R5460">
        <v>-4.1203299999999998E-2</v>
      </c>
      <c r="S5460">
        <v>-3.034821</v>
      </c>
      <c r="T5460">
        <v>-3.5971400000000001E-2</v>
      </c>
      <c r="U5460">
        <v>3.6529539999999999E-2</v>
      </c>
      <c r="V5460">
        <v>-2.1195729999999999E-2</v>
      </c>
      <c r="W5460">
        <v>0.14130570000000001</v>
      </c>
      <c r="X5460">
        <v>0.98973909999999998</v>
      </c>
      <c r="Y5460">
        <v>3.2254560000000002E-2</v>
      </c>
      <c r="Z5460">
        <v>4.3085859999999999E-4</v>
      </c>
      <c r="AA5460">
        <v>0.99947960000000002</v>
      </c>
      <c r="AB5460">
        <v>47</v>
      </c>
      <c r="AC5460">
        <v>-93.334000000000003</v>
      </c>
      <c r="AD5460">
        <v>-1.1092951014400001</v>
      </c>
      <c r="AE5460">
        <v>1.1315999999999899</v>
      </c>
      <c r="AF5460">
        <v>3.0187371229334499</v>
      </c>
      <c r="AG5460">
        <v>-1.1092951014400001</v>
      </c>
      <c r="AH5460">
        <v>93.278844068707798</v>
      </c>
      <c r="AI5460">
        <v>90.680986990136205</v>
      </c>
      <c r="AJ5460">
        <v>88.146411935474106</v>
      </c>
      <c r="AK5460">
        <v>93.334270556070393</v>
      </c>
      <c r="AL5460">
        <v>81.876591668925201</v>
      </c>
      <c r="AM5460">
        <v>91.226828635394398</v>
      </c>
      <c r="AN5460">
        <v>1.00000002294576</v>
      </c>
    </row>
    <row r="5461" spans="1:40" x14ac:dyDescent="0.25">
      <c r="A5461" t="str">
        <f>"20190312172225826"</f>
        <v>20190312172225826</v>
      </c>
      <c r="B5461" t="str">
        <f>"1552382545815806"</f>
        <v>1552382545815806</v>
      </c>
      <c r="C5461" t="s">
        <v>40</v>
      </c>
      <c r="D5461">
        <v>3.222394</v>
      </c>
      <c r="E5461">
        <v>0.52049990000000002</v>
      </c>
      <c r="F5461" t="s">
        <v>62</v>
      </c>
      <c r="G5461">
        <v>-430.9701</v>
      </c>
      <c r="H5461" s="1">
        <v>-1.209509E-5</v>
      </c>
      <c r="I5461">
        <v>143.01740000000001</v>
      </c>
      <c r="J5461">
        <v>-315.63510000000002</v>
      </c>
      <c r="K5461">
        <v>1.109294</v>
      </c>
      <c r="L5461">
        <v>141.61600000000001</v>
      </c>
      <c r="M5461">
        <v>-0.99975309999999995</v>
      </c>
      <c r="N5461">
        <v>0</v>
      </c>
      <c r="O5461">
        <v>-2.0237160000000001E-2</v>
      </c>
      <c r="P5461">
        <v>-0.99006019999999995</v>
      </c>
      <c r="Q5461">
        <v>0.1342921</v>
      </c>
      <c r="R5461">
        <v>-4.179186E-2</v>
      </c>
      <c r="S5461">
        <v>-3.034637</v>
      </c>
      <c r="T5461">
        <v>-2.909434E-2</v>
      </c>
      <c r="U5461">
        <v>3.6560059999999998E-2</v>
      </c>
      <c r="V5461">
        <v>-2.1773420000000002E-2</v>
      </c>
      <c r="W5461">
        <v>0.14338239999999999</v>
      </c>
      <c r="X5461">
        <v>0.98942779999999997</v>
      </c>
      <c r="Y5461">
        <v>3.2278389999999997E-2</v>
      </c>
      <c r="Z5461">
        <v>3.487389E-4</v>
      </c>
      <c r="AA5461">
        <v>0.99947889999999995</v>
      </c>
      <c r="AB5461">
        <v>47</v>
      </c>
      <c r="AC5461">
        <v>-115.334999999999</v>
      </c>
      <c r="AD5461">
        <v>-1.10930609509</v>
      </c>
      <c r="AE5461">
        <v>1.40139999999999</v>
      </c>
      <c r="AF5461">
        <v>3.7349186342791798</v>
      </c>
      <c r="AG5461">
        <v>-1.10930609509</v>
      </c>
      <c r="AH5461">
        <v>115.272354669923</v>
      </c>
      <c r="AI5461">
        <v>90.551071093575999</v>
      </c>
      <c r="AJ5461">
        <v>88.144219076848898</v>
      </c>
      <c r="AK5461">
        <v>115.33818070511499</v>
      </c>
      <c r="AL5461">
        <v>81.756381099227596</v>
      </c>
      <c r="AM5461">
        <v>91.260651612531902</v>
      </c>
      <c r="AN5461">
        <v>0.99999998293054804</v>
      </c>
    </row>
    <row r="5462" spans="1:40" x14ac:dyDescent="0.25">
      <c r="A5462" t="str">
        <f>"20190312172225849"</f>
        <v>20190312172225849</v>
      </c>
      <c r="B5462" t="str">
        <f>"1552382545846061"</f>
        <v>1552382545846061</v>
      </c>
      <c r="C5462" t="s">
        <v>40</v>
      </c>
      <c r="D5462">
        <v>3.2121219999999999</v>
      </c>
      <c r="E5462">
        <v>0.52060620000000002</v>
      </c>
      <c r="F5462" t="s">
        <v>42</v>
      </c>
      <c r="G5462">
        <v>-465.26929999999999</v>
      </c>
      <c r="H5462" s="1">
        <v>-2.3533509999999999E-6</v>
      </c>
      <c r="I5462">
        <v>143.37809999999999</v>
      </c>
      <c r="J5462">
        <v>-316.11630000000002</v>
      </c>
      <c r="K5462">
        <v>1.1092759999999999</v>
      </c>
      <c r="L5462">
        <v>141.6063</v>
      </c>
      <c r="M5462">
        <v>-0.99975270000000005</v>
      </c>
      <c r="N5462">
        <v>0</v>
      </c>
      <c r="O5462">
        <v>-2.024979E-2</v>
      </c>
      <c r="P5462">
        <v>-0.99027200000000004</v>
      </c>
      <c r="Q5462">
        <v>0.13290189999999999</v>
      </c>
      <c r="R5462">
        <v>-4.1212449999999998E-2</v>
      </c>
      <c r="S5462">
        <v>-3.034637</v>
      </c>
      <c r="T5462">
        <v>-2.249694E-2</v>
      </c>
      <c r="U5462">
        <v>3.5736080000000003E-2</v>
      </c>
      <c r="V5462">
        <v>-2.1170439999999999E-2</v>
      </c>
      <c r="W5462">
        <v>0.14201369999999999</v>
      </c>
      <c r="X5462">
        <v>0.98963829999999997</v>
      </c>
      <c r="Y5462">
        <v>3.2020640000000003E-2</v>
      </c>
      <c r="Z5462">
        <v>2.6880030000000002E-4</v>
      </c>
      <c r="AA5462">
        <v>0.99948720000000002</v>
      </c>
      <c r="AB5462">
        <v>47</v>
      </c>
      <c r="AC5462">
        <v>-149.152999999999</v>
      </c>
      <c r="AD5462">
        <v>-1.109278353351</v>
      </c>
      <c r="AE5462">
        <v>1.7717999999999801</v>
      </c>
      <c r="AF5462">
        <v>4.7916161915873197</v>
      </c>
      <c r="AG5462">
        <v>-1.109278353351</v>
      </c>
      <c r="AH5462">
        <v>149.078289182969</v>
      </c>
      <c r="AI5462">
        <v>90.426104919542396</v>
      </c>
      <c r="AJ5462">
        <v>88.159055190247301</v>
      </c>
      <c r="AK5462">
        <v>149.159399267742</v>
      </c>
      <c r="AL5462">
        <v>81.835612993777204</v>
      </c>
      <c r="AM5462">
        <v>91.225490045173004</v>
      </c>
      <c r="AN5462">
        <v>1.0000000216721801</v>
      </c>
    </row>
    <row r="5463" spans="1:40" x14ac:dyDescent="0.25">
      <c r="A5463" t="str">
        <f>"20190312172225938"</f>
        <v>20190312172225938</v>
      </c>
      <c r="B5463" t="str">
        <f>"1552382545935854"</f>
        <v>1552382545935854</v>
      </c>
      <c r="C5463" t="s">
        <v>40</v>
      </c>
      <c r="D5463">
        <v>3.3234110000000001</v>
      </c>
      <c r="E5463">
        <v>0.52181659999999996</v>
      </c>
      <c r="F5463" t="s">
        <v>62</v>
      </c>
      <c r="G5463">
        <v>-428.76060000000001</v>
      </c>
      <c r="H5463" s="1">
        <v>-1.2369330000000001E-5</v>
      </c>
      <c r="I5463">
        <v>143.0102</v>
      </c>
      <c r="J5463">
        <v>-317.99189999999999</v>
      </c>
      <c r="K5463">
        <v>1.109121</v>
      </c>
      <c r="L5463">
        <v>141.56829999999999</v>
      </c>
      <c r="M5463">
        <v>-0.99975290000000006</v>
      </c>
      <c r="N5463">
        <v>0</v>
      </c>
      <c r="O5463">
        <v>-2.01992E-2</v>
      </c>
      <c r="P5463">
        <v>-0.99219420000000003</v>
      </c>
      <c r="Q5463">
        <v>0.11995219999999999</v>
      </c>
      <c r="R5463">
        <v>-3.4099879999999999E-2</v>
      </c>
      <c r="S5463">
        <v>-3.035034</v>
      </c>
      <c r="T5463">
        <v>-2.9888149999999999E-2</v>
      </c>
      <c r="U5463">
        <v>3.7826539999999999E-2</v>
      </c>
      <c r="V5463">
        <v>-1.4046090000000001E-2</v>
      </c>
      <c r="W5463">
        <v>0.12916929999999999</v>
      </c>
      <c r="X5463">
        <v>0.99152309999999999</v>
      </c>
      <c r="Y5463">
        <v>3.2655730000000001E-2</v>
      </c>
      <c r="Z5463">
        <v>3.5969019999999998E-4</v>
      </c>
      <c r="AA5463">
        <v>0.99946659999999998</v>
      </c>
      <c r="AB5463">
        <v>47</v>
      </c>
      <c r="AC5463">
        <v>-110.7687</v>
      </c>
      <c r="AD5463">
        <v>-1.1091333693300001</v>
      </c>
      <c r="AE5463">
        <v>1.4419</v>
      </c>
      <c r="AF5463">
        <v>3.6787725033953702</v>
      </c>
      <c r="AG5463">
        <v>-1.1091333693300001</v>
      </c>
      <c r="AH5463">
        <v>110.705874389806</v>
      </c>
      <c r="AI5463">
        <v>90.573695670607805</v>
      </c>
      <c r="AJ5463">
        <v>88.096753154690006</v>
      </c>
      <c r="AK5463">
        <v>110.772533456513</v>
      </c>
      <c r="AL5463">
        <v>82.578408228874494</v>
      </c>
      <c r="AM5463">
        <v>90.811607765339403</v>
      </c>
      <c r="AN5463">
        <v>1.00000002927019</v>
      </c>
    </row>
    <row r="5464" spans="1:40" x14ac:dyDescent="0.25">
      <c r="A5464" t="str">
        <f>"20190312172225952"</f>
        <v>20190312172225952</v>
      </c>
      <c r="B5464" t="str">
        <f>"1552382545946590"</f>
        <v>1552382545946590</v>
      </c>
      <c r="C5464" t="s">
        <v>40</v>
      </c>
      <c r="D5464">
        <v>3.146061</v>
      </c>
      <c r="E5464">
        <v>0.52220619999999995</v>
      </c>
      <c r="F5464" t="s">
        <v>42</v>
      </c>
      <c r="G5464">
        <v>-352.13249999999999</v>
      </c>
      <c r="H5464" s="1">
        <v>-4.0324949999999996E-6</v>
      </c>
      <c r="I5464">
        <v>142.33459999999999</v>
      </c>
      <c r="J5464">
        <v>-318.29050000000001</v>
      </c>
      <c r="K5464">
        <v>1.1091120000000001</v>
      </c>
      <c r="L5464">
        <v>141.56229999999999</v>
      </c>
      <c r="M5464">
        <v>-0.99975329999999996</v>
      </c>
      <c r="N5464">
        <v>0</v>
      </c>
      <c r="O5464">
        <v>-2.015919E-2</v>
      </c>
      <c r="P5464">
        <v>-0.99228340000000004</v>
      </c>
      <c r="Q5464">
        <v>0.119704</v>
      </c>
      <c r="R5464">
        <v>-3.2329459999999997E-2</v>
      </c>
      <c r="S5464">
        <v>-3.0378720000000001</v>
      </c>
      <c r="T5464">
        <v>-9.8691340000000002E-2</v>
      </c>
      <c r="U5464">
        <v>6.819153E-2</v>
      </c>
      <c r="V5464">
        <v>-1.230886E-2</v>
      </c>
      <c r="W5464">
        <v>0.12897310000000001</v>
      </c>
      <c r="X5464">
        <v>0.99157169999999895</v>
      </c>
      <c r="Y5464">
        <v>4.2558840000000001E-2</v>
      </c>
      <c r="Z5464">
        <v>1.345724E-3</v>
      </c>
      <c r="AA5464">
        <v>0.99909309999999996</v>
      </c>
      <c r="AB5464">
        <v>47</v>
      </c>
      <c r="AC5464">
        <v>-33.841999999999899</v>
      </c>
      <c r="AD5464">
        <v>-1.109116032495</v>
      </c>
      <c r="AE5464">
        <v>0.77230000000000099</v>
      </c>
      <c r="AF5464">
        <v>1.4528403367056699</v>
      </c>
      <c r="AG5464">
        <v>-1.109116032495</v>
      </c>
      <c r="AH5464">
        <v>33.783285003413901</v>
      </c>
      <c r="AI5464">
        <v>91.878628233608694</v>
      </c>
      <c r="AJ5464">
        <v>87.537528969245898</v>
      </c>
      <c r="AK5464">
        <v>33.832694675999299</v>
      </c>
      <c r="AL5464">
        <v>82.589744284314506</v>
      </c>
      <c r="AM5464">
        <v>90.711203745643004</v>
      </c>
      <c r="AN5464">
        <v>1.0000000023994899</v>
      </c>
    </row>
    <row r="5465" spans="1:40" x14ac:dyDescent="0.25">
      <c r="A5465" t="str">
        <f>"20190312172225994"</f>
        <v>20190312172225994</v>
      </c>
      <c r="B5465" t="str">
        <f>"1552382545985629"</f>
        <v>1552382545985629</v>
      </c>
      <c r="C5465" t="s">
        <v>40</v>
      </c>
      <c r="D5465">
        <v>3.112857</v>
      </c>
      <c r="E5465">
        <v>0.52272589999999997</v>
      </c>
      <c r="F5465" t="s">
        <v>42</v>
      </c>
      <c r="G5465">
        <v>-350.76889999999997</v>
      </c>
      <c r="H5465" s="1">
        <v>-4.50489E-6</v>
      </c>
      <c r="I5465">
        <v>142.3817</v>
      </c>
      <c r="J5465">
        <v>-319.1841</v>
      </c>
      <c r="K5465">
        <v>1.109197</v>
      </c>
      <c r="L5465">
        <v>141.5445</v>
      </c>
      <c r="M5465">
        <v>-0.99975199999999997</v>
      </c>
      <c r="N5465">
        <v>0</v>
      </c>
      <c r="O5465">
        <v>-1.9966310000000001E-2</v>
      </c>
      <c r="P5465">
        <v>-0.99231639999999999</v>
      </c>
      <c r="Q5465">
        <v>0.12091109999999999</v>
      </c>
      <c r="R5465">
        <v>-2.624806E-2</v>
      </c>
      <c r="S5465">
        <v>-3.0383610000000001</v>
      </c>
      <c r="T5465">
        <v>-0.103758</v>
      </c>
      <c r="U5465">
        <v>7.6660160000000005E-2</v>
      </c>
      <c r="V5465">
        <v>-6.4012419999999997E-3</v>
      </c>
      <c r="W5465">
        <v>0.13070590000000001</v>
      </c>
      <c r="X5465">
        <v>0.99140050000000002</v>
      </c>
      <c r="Y5465">
        <v>4.5140710000000001E-2</v>
      </c>
      <c r="Z5465">
        <v>1.4519870000000001E-3</v>
      </c>
      <c r="AA5465">
        <v>0.99897959999999997</v>
      </c>
      <c r="AB5465">
        <v>47</v>
      </c>
      <c r="AC5465">
        <v>-31.584799999999898</v>
      </c>
      <c r="AD5465">
        <v>-1.1092015048899999</v>
      </c>
      <c r="AE5465">
        <v>0.83719999999999495</v>
      </c>
      <c r="AF5465">
        <v>1.4658890819150701</v>
      </c>
      <c r="AG5465">
        <v>-1.1092015048899999</v>
      </c>
      <c r="AH5465">
        <v>31.522936879531201</v>
      </c>
      <c r="AI5465">
        <v>92.013068662856497</v>
      </c>
      <c r="AJ5465">
        <v>87.337532504302501</v>
      </c>
      <c r="AK5465">
        <v>31.576489803172102</v>
      </c>
      <c r="AL5465">
        <v>82.489614378013798</v>
      </c>
      <c r="AM5465">
        <v>90.369940355678395</v>
      </c>
      <c r="AN5465">
        <v>0.99999997979710098</v>
      </c>
    </row>
    <row r="5466" spans="1:40" x14ac:dyDescent="0.25">
      <c r="A5466" t="str">
        <f>"20190312172226016"</f>
        <v>20190312172226016</v>
      </c>
      <c r="B5466" t="str">
        <f>"1552382546006125"</f>
        <v>1552382546006125</v>
      </c>
      <c r="C5466" t="s">
        <v>40</v>
      </c>
      <c r="D5466">
        <v>3.1193040000000001</v>
      </c>
      <c r="E5466">
        <v>0.52342559999999905</v>
      </c>
      <c r="F5466" t="s">
        <v>42</v>
      </c>
      <c r="G5466">
        <v>-353.81639999999999</v>
      </c>
      <c r="H5466" s="1">
        <v>-3.452323E-6</v>
      </c>
      <c r="I5466">
        <v>142.68780000000001</v>
      </c>
      <c r="J5466">
        <v>-319.64620000000002</v>
      </c>
      <c r="K5466">
        <v>1.109283</v>
      </c>
      <c r="L5466">
        <v>141.53540000000001</v>
      </c>
      <c r="M5466">
        <v>-0.99975060000000004</v>
      </c>
      <c r="N5466">
        <v>0</v>
      </c>
      <c r="O5466">
        <v>-1.9820910000000001E-2</v>
      </c>
      <c r="P5466">
        <v>-0.99188790000000004</v>
      </c>
      <c r="Q5466">
        <v>0.1249445</v>
      </c>
      <c r="R5466">
        <v>-2.339811E-2</v>
      </c>
      <c r="S5466">
        <v>-3.03775</v>
      </c>
      <c r="T5466">
        <v>-9.7292900000000002E-2</v>
      </c>
      <c r="U5466">
        <v>0.100296</v>
      </c>
      <c r="V5466">
        <v>-3.6930499999999998E-3</v>
      </c>
      <c r="W5466">
        <v>0.13516159999999999</v>
      </c>
      <c r="X5466">
        <v>0.99081669999999999</v>
      </c>
      <c r="Y5466">
        <v>5.2766059999999997E-2</v>
      </c>
      <c r="Z5466">
        <v>1.4790889999999901E-3</v>
      </c>
      <c r="AA5466">
        <v>0.99860579999999999</v>
      </c>
      <c r="AB5466">
        <v>47</v>
      </c>
      <c r="AC5466">
        <v>-34.170199999999902</v>
      </c>
      <c r="AD5466">
        <v>-1.1092864523229999</v>
      </c>
      <c r="AE5466">
        <v>1.1524000000000001</v>
      </c>
      <c r="AF5466">
        <v>1.8275700398180501</v>
      </c>
      <c r="AG5466">
        <v>-1.1092864523229999</v>
      </c>
      <c r="AH5466">
        <v>34.104742035039898</v>
      </c>
      <c r="AI5466">
        <v>91.860271235097997</v>
      </c>
      <c r="AJ5466">
        <v>86.932626168200997</v>
      </c>
      <c r="AK5466">
        <v>34.171683569300001</v>
      </c>
      <c r="AL5466">
        <v>82.232035582081593</v>
      </c>
      <c r="AM5466">
        <v>90.213556350700202</v>
      </c>
      <c r="AN5466">
        <v>1.0000000148658701</v>
      </c>
    </row>
    <row r="5467" spans="1:40" x14ac:dyDescent="0.25">
      <c r="A5467" t="str">
        <f>"20190312172226039"</f>
        <v>20190312172226039</v>
      </c>
      <c r="B5467" t="str">
        <f>"1552382546036382"</f>
        <v>1552382546036382</v>
      </c>
      <c r="C5467" t="s">
        <v>40</v>
      </c>
      <c r="D5467">
        <v>3.1493669999999998</v>
      </c>
      <c r="E5467">
        <v>0.52419959999999999</v>
      </c>
      <c r="F5467" t="s">
        <v>42</v>
      </c>
      <c r="G5467">
        <v>-360.24329999999998</v>
      </c>
      <c r="H5467" s="1">
        <v>-4.8059199999999997E-6</v>
      </c>
      <c r="I5467">
        <v>143.0702</v>
      </c>
      <c r="J5467">
        <v>-320.11320000000001</v>
      </c>
      <c r="K5467">
        <v>1.1093440000000001</v>
      </c>
      <c r="L5467">
        <v>141.52629999999999</v>
      </c>
      <c r="M5467">
        <v>-0.99974989999999997</v>
      </c>
      <c r="N5467">
        <v>0</v>
      </c>
      <c r="O5467">
        <v>-1.963239E-2</v>
      </c>
      <c r="P5467">
        <v>-0.99147960000000002</v>
      </c>
      <c r="Q5467">
        <v>0.12863749999999999</v>
      </c>
      <c r="R5467">
        <v>-2.050256E-2</v>
      </c>
      <c r="S5467">
        <v>-3.0376889999999999</v>
      </c>
      <c r="T5467">
        <v>-8.300304E-2</v>
      </c>
      <c r="U5467">
        <v>0.11485289999999999</v>
      </c>
      <c r="V5467">
        <v>-9.8009490000000002E-4</v>
      </c>
      <c r="W5467">
        <v>0.1392581</v>
      </c>
      <c r="X5467">
        <v>0.99025569999999896</v>
      </c>
      <c r="Y5467">
        <v>5.7365819999999998E-2</v>
      </c>
      <c r="Z5467">
        <v>1.3195240000000001E-3</v>
      </c>
      <c r="AA5467">
        <v>0.99835229999999997</v>
      </c>
      <c r="AB5467">
        <v>47</v>
      </c>
      <c r="AC5467">
        <v>-40.130099999999899</v>
      </c>
      <c r="AD5467">
        <v>-1.1093488059200001</v>
      </c>
      <c r="AE5467">
        <v>1.5439000000000001</v>
      </c>
      <c r="AF5467">
        <v>2.3297196732437002</v>
      </c>
      <c r="AG5467">
        <v>-1.1093488059200001</v>
      </c>
      <c r="AH5467">
        <v>40.061483549793699</v>
      </c>
      <c r="AI5467">
        <v>91.583507085883198</v>
      </c>
      <c r="AJ5467">
        <v>86.671792340431097</v>
      </c>
      <c r="AK5467">
        <v>40.144497913655499</v>
      </c>
      <c r="AL5467">
        <v>81.995082548232901</v>
      </c>
      <c r="AM5467">
        <v>90.056707861369503</v>
      </c>
      <c r="AN5467">
        <v>1.00000006519205</v>
      </c>
    </row>
    <row r="5468" spans="1:40" x14ac:dyDescent="0.25">
      <c r="A5468" t="str">
        <f>"20190312172226063"</f>
        <v>20190312172226063</v>
      </c>
      <c r="B5468" t="str">
        <f>"1552382546055902"</f>
        <v>1552382546055902</v>
      </c>
      <c r="C5468" t="s">
        <v>40</v>
      </c>
      <c r="D5468">
        <v>3.1596489999999999</v>
      </c>
      <c r="E5468">
        <v>0.52473110000000001</v>
      </c>
      <c r="F5468" t="s">
        <v>42</v>
      </c>
      <c r="G5468">
        <v>-370.01049999999998</v>
      </c>
      <c r="H5468" s="1">
        <v>-4.9901830000000003E-6</v>
      </c>
      <c r="I5468">
        <v>143.66249999999999</v>
      </c>
      <c r="J5468">
        <v>-320.61</v>
      </c>
      <c r="K5468">
        <v>1.109359</v>
      </c>
      <c r="L5468">
        <v>141.51669999999999</v>
      </c>
      <c r="M5468">
        <v>-0.99975080000000005</v>
      </c>
      <c r="N5468">
        <v>0</v>
      </c>
      <c r="O5468">
        <v>-1.9379489999999999E-2</v>
      </c>
      <c r="P5468">
        <v>-0.99129529999999999</v>
      </c>
      <c r="Q5468">
        <v>0.13045779999999901</v>
      </c>
      <c r="R5468">
        <v>-1.774092E-2</v>
      </c>
      <c r="S5468">
        <v>-3.0372309999999998</v>
      </c>
      <c r="T5468">
        <v>-6.7525740000000001E-2</v>
      </c>
      <c r="U5468">
        <v>0.1300354</v>
      </c>
      <c r="V5468">
        <v>1.543184E-3</v>
      </c>
      <c r="W5468">
        <v>0.1414473</v>
      </c>
      <c r="X5468">
        <v>0.98994459999999995</v>
      </c>
      <c r="Y5468">
        <v>6.2109409999999997E-2</v>
      </c>
      <c r="Z5468">
        <v>1.120685E-3</v>
      </c>
      <c r="AA5468">
        <v>0.99806870000000003</v>
      </c>
      <c r="AB5468">
        <v>47</v>
      </c>
      <c r="AC5468">
        <v>-49.400499999999901</v>
      </c>
      <c r="AD5468">
        <v>-1.1093639901829999</v>
      </c>
      <c r="AE5468">
        <v>2.1457999999999999</v>
      </c>
      <c r="AF5468">
        <v>3.10125123636776</v>
      </c>
      <c r="AG5468">
        <v>-1.1093639901829999</v>
      </c>
      <c r="AH5468">
        <v>49.324806931950398</v>
      </c>
      <c r="AI5468">
        <v>91.285883595083604</v>
      </c>
      <c r="AJ5468">
        <v>86.402317033797203</v>
      </c>
      <c r="AK5468">
        <v>49.434654105879702</v>
      </c>
      <c r="AL5468">
        <v>81.868396211053906</v>
      </c>
      <c r="AM5468">
        <v>89.910684033639299</v>
      </c>
      <c r="AN5468">
        <v>1.00000001558165</v>
      </c>
    </row>
    <row r="5469" spans="1:40" x14ac:dyDescent="0.25">
      <c r="A5469" t="str">
        <f>"20190312172226085"</f>
        <v>20190312172226085</v>
      </c>
      <c r="B5469" t="str">
        <f>"1552382546076398"</f>
        <v>1552382546076398</v>
      </c>
      <c r="C5469" t="s">
        <v>40</v>
      </c>
      <c r="D5469">
        <v>3.2240669999999998</v>
      </c>
      <c r="E5469">
        <v>0.52493400000000001</v>
      </c>
      <c r="F5469" t="s">
        <v>42</v>
      </c>
      <c r="G5469">
        <v>-376.27969999999999</v>
      </c>
      <c r="H5469" s="1">
        <v>-2.7793810000000001E-6</v>
      </c>
      <c r="I5469">
        <v>144.1302</v>
      </c>
      <c r="J5469">
        <v>-321.07690000000002</v>
      </c>
      <c r="K5469">
        <v>1.1093299999999999</v>
      </c>
      <c r="L5469">
        <v>141.50790000000001</v>
      </c>
      <c r="M5469">
        <v>-0.99975259999999999</v>
      </c>
      <c r="N5469">
        <v>0</v>
      </c>
      <c r="O5469">
        <v>-1.9100820000000001E-2</v>
      </c>
      <c r="P5469">
        <v>-0.99153409999999997</v>
      </c>
      <c r="Q5469">
        <v>0.12889320000000001</v>
      </c>
      <c r="R5469">
        <v>-1.5711449999999998E-2</v>
      </c>
      <c r="S5469">
        <v>-3.036896</v>
      </c>
      <c r="T5469">
        <v>-6.051803E-2</v>
      </c>
      <c r="U5469">
        <v>0.14257810000000001</v>
      </c>
      <c r="V5469">
        <v>3.3162669999999999E-3</v>
      </c>
      <c r="W5469">
        <v>0.1401868</v>
      </c>
      <c r="X5469">
        <v>0.99011950000000004</v>
      </c>
      <c r="Y5469">
        <v>6.5952620000000003E-2</v>
      </c>
      <c r="Z5469">
        <v>1.0371480000000001E-3</v>
      </c>
      <c r="AA5469">
        <v>0.99782219999999999</v>
      </c>
      <c r="AB5469">
        <v>47</v>
      </c>
      <c r="AC5469">
        <v>-55.202799999999897</v>
      </c>
      <c r="AD5469">
        <v>-1.1093327793809999</v>
      </c>
      <c r="AE5469">
        <v>2.6222999999999899</v>
      </c>
      <c r="AF5469">
        <v>3.6748280940909601</v>
      </c>
      <c r="AG5469">
        <v>-1.1093327793809999</v>
      </c>
      <c r="AH5469">
        <v>55.120426993225003</v>
      </c>
      <c r="AI5469">
        <v>91.150404334101395</v>
      </c>
      <c r="AJ5469">
        <v>86.1857875686906</v>
      </c>
      <c r="AK5469">
        <v>55.253927033759197</v>
      </c>
      <c r="AL5469">
        <v>81.941344142423205</v>
      </c>
      <c r="AM5469">
        <v>89.808096505193504</v>
      </c>
      <c r="AN5469">
        <v>0.99999998040065197</v>
      </c>
    </row>
    <row r="5470" spans="1:40" x14ac:dyDescent="0.25">
      <c r="A5470" t="str">
        <f>"20190312172226105"</f>
        <v>20190312172226105</v>
      </c>
      <c r="B5470" t="str">
        <f>"1552382546095918"</f>
        <v>1552382546095918</v>
      </c>
      <c r="C5470" t="s">
        <v>40</v>
      </c>
      <c r="D5470">
        <v>3.1790699999999998</v>
      </c>
      <c r="E5470">
        <v>0.52509030000000001</v>
      </c>
      <c r="F5470" t="s">
        <v>42</v>
      </c>
      <c r="G5470">
        <v>-374.84339999999997</v>
      </c>
      <c r="H5470" s="1">
        <v>-3.4058390000000001E-6</v>
      </c>
      <c r="I5470">
        <v>144.1688</v>
      </c>
      <c r="J5470">
        <v>-321.5308</v>
      </c>
      <c r="K5470">
        <v>1.109281</v>
      </c>
      <c r="L5470">
        <v>141.49940000000001</v>
      </c>
      <c r="M5470">
        <v>-0.99975519999999996</v>
      </c>
      <c r="N5470">
        <v>0</v>
      </c>
      <c r="O5470">
        <v>-1.880134E-2</v>
      </c>
      <c r="P5470">
        <v>-0.99190210000000001</v>
      </c>
      <c r="Q5470">
        <v>0.12615280000000001</v>
      </c>
      <c r="R5470">
        <v>-1.469468E-2</v>
      </c>
      <c r="S5470">
        <v>-3.0361630000000002</v>
      </c>
      <c r="T5470">
        <v>-6.2643530000000003E-2</v>
      </c>
      <c r="U5470">
        <v>0.1502686</v>
      </c>
      <c r="V5470">
        <v>4.0570420000000003E-3</v>
      </c>
      <c r="W5470">
        <v>0.1377129</v>
      </c>
      <c r="X5470">
        <v>0.99046389999999995</v>
      </c>
      <c r="Y5470">
        <v>6.8184819999999993E-2</v>
      </c>
      <c r="Z5470">
        <v>1.090599E-3</v>
      </c>
      <c r="AA5470">
        <v>0.99767209999999995</v>
      </c>
      <c r="AB5470">
        <v>47</v>
      </c>
      <c r="AC5470">
        <v>-53.312599999999897</v>
      </c>
      <c r="AD5470">
        <v>-1.1092844058389999</v>
      </c>
      <c r="AE5470">
        <v>2.6693999999999898</v>
      </c>
      <c r="AF5470">
        <v>3.6697597942665601</v>
      </c>
      <c r="AG5470">
        <v>-1.1092844058389999</v>
      </c>
      <c r="AH5470">
        <v>53.229995751263402</v>
      </c>
      <c r="AI5470">
        <v>91.191014107910902</v>
      </c>
      <c r="AJ5470">
        <v>86.056179015420696</v>
      </c>
      <c r="AK5470">
        <v>53.367875135892099</v>
      </c>
      <c r="AL5470">
        <v>82.084476995971201</v>
      </c>
      <c r="AM5470">
        <v>89.765311906983399</v>
      </c>
      <c r="AN5470">
        <v>1.0000000198097001</v>
      </c>
    </row>
    <row r="5471" spans="1:40" x14ac:dyDescent="0.25">
      <c r="A5471" t="str">
        <f>"20190312172226122"</f>
        <v>20190312172226122</v>
      </c>
      <c r="B5471" t="str">
        <f>"1552382546116414"</f>
        <v>1552382546116414</v>
      </c>
      <c r="C5471" t="s">
        <v>40</v>
      </c>
      <c r="D5471">
        <v>3.1460859999999999</v>
      </c>
      <c r="E5471">
        <v>0.5252561</v>
      </c>
      <c r="F5471" t="s">
        <v>42</v>
      </c>
      <c r="G5471">
        <v>-370.16879999999998</v>
      </c>
      <c r="H5471" s="1">
        <v>-4.990734E-6</v>
      </c>
      <c r="I5471">
        <v>143.9692</v>
      </c>
      <c r="J5471">
        <v>-321.86489999999998</v>
      </c>
      <c r="K5471">
        <v>1.1092500000000001</v>
      </c>
      <c r="L5471">
        <v>141.4933</v>
      </c>
      <c r="M5471">
        <v>-0.99975760000000002</v>
      </c>
      <c r="N5471">
        <v>0</v>
      </c>
      <c r="O5471">
        <v>-1.8562240000000001E-2</v>
      </c>
      <c r="P5471">
        <v>-0.99206019999999995</v>
      </c>
      <c r="Q5471">
        <v>0.124955</v>
      </c>
      <c r="R5471">
        <v>-1.42492E-2</v>
      </c>
      <c r="S5471">
        <v>-3.0355530000000002</v>
      </c>
      <c r="T5471">
        <v>-6.9231870000000001E-2</v>
      </c>
      <c r="U5471">
        <v>0.15414430000000001</v>
      </c>
      <c r="V5471">
        <v>4.2789880000000001E-3</v>
      </c>
      <c r="W5471">
        <v>0.1366946</v>
      </c>
      <c r="X5471">
        <v>0.99060400000000004</v>
      </c>
      <c r="Y5471">
        <v>6.9222439999999996E-2</v>
      </c>
      <c r="Z5471">
        <v>1.2118509999999999E-3</v>
      </c>
      <c r="AA5471">
        <v>0.9976005</v>
      </c>
      <c r="AB5471">
        <v>47</v>
      </c>
      <c r="AC5471">
        <v>-48.303899999999999</v>
      </c>
      <c r="AD5471">
        <v>-1.1092549907339999</v>
      </c>
      <c r="AE5471">
        <v>2.47589999999999</v>
      </c>
      <c r="AF5471">
        <v>3.3703920808640002</v>
      </c>
      <c r="AG5471">
        <v>-1.1092549907339999</v>
      </c>
      <c r="AH5471">
        <v>48.224250539913399</v>
      </c>
      <c r="AI5471">
        <v>91.3144807640209</v>
      </c>
      <c r="AJ5471">
        <v>86.002099844531898</v>
      </c>
      <c r="AK5471">
        <v>48.354610220221602</v>
      </c>
      <c r="AL5471">
        <v>82.143378204614805</v>
      </c>
      <c r="AM5471">
        <v>89.752508138303796</v>
      </c>
      <c r="AN5471">
        <v>1.0000000041117301</v>
      </c>
    </row>
    <row r="5472" spans="1:40" x14ac:dyDescent="0.25">
      <c r="A5472" t="str">
        <f>"20190312172226139"</f>
        <v>20190312172226139</v>
      </c>
      <c r="B5472" t="str">
        <f>"1552382546135934"</f>
        <v>1552382546135934</v>
      </c>
      <c r="C5472" t="s">
        <v>40</v>
      </c>
      <c r="D5472">
        <v>3.2236739999999999</v>
      </c>
      <c r="E5472">
        <v>0.5253738</v>
      </c>
      <c r="F5472" t="s">
        <v>42</v>
      </c>
      <c r="G5472">
        <v>-368.78629999999998</v>
      </c>
      <c r="H5472" s="1">
        <v>-1.6450929999999999E-6</v>
      </c>
      <c r="I5472">
        <v>143.90860000000001</v>
      </c>
      <c r="J5472">
        <v>-322.24790000000002</v>
      </c>
      <c r="K5472">
        <v>1.109208</v>
      </c>
      <c r="L5472">
        <v>141.4864</v>
      </c>
      <c r="M5472">
        <v>-0.99976089999999995</v>
      </c>
      <c r="N5472">
        <v>0</v>
      </c>
      <c r="O5472">
        <v>-1.8261989999999999E-2</v>
      </c>
      <c r="P5472">
        <v>-0.9923691</v>
      </c>
      <c r="Q5472">
        <v>0.12250510000000001</v>
      </c>
      <c r="R5472">
        <v>-1.40108E-2</v>
      </c>
      <c r="S5472">
        <v>-3.0352779999999999</v>
      </c>
      <c r="T5472">
        <v>-7.1756009999999995E-2</v>
      </c>
      <c r="U5472">
        <v>0.15625</v>
      </c>
      <c r="V5472">
        <v>4.2357380000000002E-3</v>
      </c>
      <c r="W5472">
        <v>0.134434</v>
      </c>
      <c r="X5472">
        <v>0.9909135</v>
      </c>
      <c r="Y5472">
        <v>6.9615990000000003E-2</v>
      </c>
      <c r="Z5472">
        <v>1.253669E-3</v>
      </c>
      <c r="AA5472">
        <v>0.99757309999999999</v>
      </c>
      <c r="AB5472">
        <v>47</v>
      </c>
      <c r="AC5472">
        <v>-46.538399999999903</v>
      </c>
      <c r="AD5472">
        <v>-1.109209645093</v>
      </c>
      <c r="AE5472">
        <v>2.4222000000000001</v>
      </c>
      <c r="AF5472">
        <v>3.2698887542917401</v>
      </c>
      <c r="AG5472">
        <v>-1.109209645093</v>
      </c>
      <c r="AH5472">
        <v>46.460079126041798</v>
      </c>
      <c r="AI5472">
        <v>91.364272950602398</v>
      </c>
      <c r="AJ5472">
        <v>85.974126569065902</v>
      </c>
      <c r="AK5472">
        <v>46.588211716058296</v>
      </c>
      <c r="AL5472">
        <v>82.274107890058602</v>
      </c>
      <c r="AM5472">
        <v>89.7550861579805</v>
      </c>
      <c r="AN5472">
        <v>1.00000000315732</v>
      </c>
    </row>
    <row r="5473" spans="1:40" x14ac:dyDescent="0.25">
      <c r="A5473" t="str">
        <f>"20190312172226163"</f>
        <v>20190312172226163</v>
      </c>
      <c r="B5473" t="str">
        <f>"1552382546156429"</f>
        <v>1552382546156429</v>
      </c>
      <c r="C5473" t="s">
        <v>40</v>
      </c>
      <c r="D5473">
        <v>3.1231710000000001</v>
      </c>
      <c r="E5473">
        <v>0.52542659999999997</v>
      </c>
      <c r="F5473" t="s">
        <v>42</v>
      </c>
      <c r="G5473">
        <v>-365.13709999999998</v>
      </c>
      <c r="H5473" s="1">
        <v>-3.1565709999999998E-6</v>
      </c>
      <c r="I5473">
        <v>143.70570000000001</v>
      </c>
      <c r="J5473">
        <v>-322.71640000000002</v>
      </c>
      <c r="K5473">
        <v>1.1091500000000001</v>
      </c>
      <c r="L5473">
        <v>141.47819999999999</v>
      </c>
      <c r="M5473">
        <v>-0.99976589999999999</v>
      </c>
      <c r="N5473">
        <v>0</v>
      </c>
      <c r="O5473">
        <v>-1.7847370000000001E-2</v>
      </c>
      <c r="P5473">
        <v>-0.99275919999999895</v>
      </c>
      <c r="Q5473">
        <v>0.1193791</v>
      </c>
      <c r="R5473">
        <v>-1.334481E-2</v>
      </c>
      <c r="S5473">
        <v>-3.0349430000000002</v>
      </c>
      <c r="T5473">
        <v>-7.8490499999999894E-2</v>
      </c>
      <c r="U5473">
        <v>0.1570435</v>
      </c>
      <c r="V5473">
        <v>4.5099889999999998E-3</v>
      </c>
      <c r="W5473">
        <v>0.131513299999999</v>
      </c>
      <c r="X5473">
        <v>0.99130419999999997</v>
      </c>
      <c r="Y5473">
        <v>6.9463479999999994E-2</v>
      </c>
      <c r="Z5473">
        <v>1.358749E-3</v>
      </c>
      <c r="AA5473">
        <v>0.99758360000000001</v>
      </c>
      <c r="AB5473">
        <v>47</v>
      </c>
      <c r="AC5473">
        <v>-42.420699999999897</v>
      </c>
      <c r="AD5473">
        <v>-1.109153156571</v>
      </c>
      <c r="AE5473">
        <v>2.22750000000002</v>
      </c>
      <c r="AF5473">
        <v>2.9822665392976799</v>
      </c>
      <c r="AG5473">
        <v>-1.109153156571</v>
      </c>
      <c r="AH5473">
        <v>42.345315011697899</v>
      </c>
      <c r="AI5473">
        <v>91.496702880227602</v>
      </c>
      <c r="AJ5473">
        <v>85.971464227006706</v>
      </c>
      <c r="AK5473">
        <v>42.464689306246797</v>
      </c>
      <c r="AL5473">
        <v>82.442951511775703</v>
      </c>
      <c r="AM5473">
        <v>89.739331728316898</v>
      </c>
      <c r="AN5473">
        <v>1.00000005250765</v>
      </c>
    </row>
    <row r="5474" spans="1:40" x14ac:dyDescent="0.25">
      <c r="A5474" t="str">
        <f>"20190312172226196"</f>
        <v>20190312172226196</v>
      </c>
      <c r="B5474" t="str">
        <f>"1552382546185713"</f>
        <v>1552382546185713</v>
      </c>
      <c r="C5474" t="s">
        <v>40</v>
      </c>
      <c r="D5474">
        <v>3.1333899999999999</v>
      </c>
      <c r="E5474">
        <v>0.52547279999999996</v>
      </c>
      <c r="F5474" t="s">
        <v>42</v>
      </c>
      <c r="G5474">
        <v>-361.50200000000001</v>
      </c>
      <c r="H5474" s="1">
        <v>-4.4554020000000002E-6</v>
      </c>
      <c r="I5474">
        <v>143.50899999999999</v>
      </c>
      <c r="J5474">
        <v>-323.42660000000001</v>
      </c>
      <c r="K5474">
        <v>1.1090629999999999</v>
      </c>
      <c r="L5474">
        <v>141.46619999999999</v>
      </c>
      <c r="M5474">
        <v>-0.99977550000000004</v>
      </c>
      <c r="N5474">
        <v>0</v>
      </c>
      <c r="O5474">
        <v>-1.711675E-2</v>
      </c>
      <c r="P5474">
        <v>-0.99295840000000002</v>
      </c>
      <c r="Q5474">
        <v>0.1177309</v>
      </c>
      <c r="R5474">
        <v>-1.317249E-2</v>
      </c>
      <c r="S5474">
        <v>-3.0344850000000001</v>
      </c>
      <c r="T5474">
        <v>-8.6777450000000006E-2</v>
      </c>
      <c r="U5474">
        <v>0.1588898</v>
      </c>
      <c r="V5474">
        <v>3.9841770000000002E-3</v>
      </c>
      <c r="W5474">
        <v>0.1301263</v>
      </c>
      <c r="X5474">
        <v>0.99148939999999997</v>
      </c>
      <c r="Y5474">
        <v>6.93415E-2</v>
      </c>
      <c r="Z5474">
        <v>1.479731E-3</v>
      </c>
      <c r="AA5474">
        <v>0.99759189999999998</v>
      </c>
      <c r="AB5474">
        <v>47</v>
      </c>
      <c r="AC5474">
        <v>-38.075399999999902</v>
      </c>
      <c r="AD5474">
        <v>-1.1090674554019999</v>
      </c>
      <c r="AE5474">
        <v>2.0428000000000002</v>
      </c>
      <c r="AF5474">
        <v>2.6920011346183701</v>
      </c>
      <c r="AG5474">
        <v>-1.1090674554019999</v>
      </c>
      <c r="AH5474">
        <v>38.002701272534502</v>
      </c>
      <c r="AI5474">
        <v>91.667464486445795</v>
      </c>
      <c r="AJ5474">
        <v>85.948101449080994</v>
      </c>
      <c r="AK5474">
        <v>38.114068330983997</v>
      </c>
      <c r="AL5474">
        <v>82.523109073297803</v>
      </c>
      <c r="AM5474">
        <v>89.769765266014403</v>
      </c>
      <c r="AN5474">
        <v>0.99999997896520798</v>
      </c>
    </row>
    <row r="5475" spans="1:40" x14ac:dyDescent="0.25">
      <c r="A5475" t="str">
        <f>"20190312172226217"</f>
        <v>20190312172226217</v>
      </c>
      <c r="B5475" t="str">
        <f>"1552382546206205"</f>
        <v>1552382546206205</v>
      </c>
      <c r="C5475" t="s">
        <v>40</v>
      </c>
      <c r="D5475">
        <v>3.1172680000000001</v>
      </c>
      <c r="E5475">
        <v>0.52545430000000004</v>
      </c>
      <c r="F5475" t="s">
        <v>42</v>
      </c>
      <c r="G5475">
        <v>-360.72919999999999</v>
      </c>
      <c r="H5475" s="1">
        <v>-4.7058550000000004E-6</v>
      </c>
      <c r="I5475">
        <v>143.4384</v>
      </c>
      <c r="J5475">
        <v>-323.87450000000001</v>
      </c>
      <c r="K5475">
        <v>1.1090139999999999</v>
      </c>
      <c r="L5475">
        <v>141.459</v>
      </c>
      <c r="M5475">
        <v>-0.99978250000000002</v>
      </c>
      <c r="N5475">
        <v>0</v>
      </c>
      <c r="O5475">
        <v>-1.6597799999999999E-2</v>
      </c>
      <c r="P5475">
        <v>-0.99302509999999999</v>
      </c>
      <c r="Q5475">
        <v>0.1171387</v>
      </c>
      <c r="R5475">
        <v>-1.3409859999999999E-2</v>
      </c>
      <c r="S5475">
        <v>-3.0340579999999999</v>
      </c>
      <c r="T5475">
        <v>-9.0207579999999996E-2</v>
      </c>
      <c r="U5475">
        <v>0.16041559999999999</v>
      </c>
      <c r="V5475">
        <v>3.2482259999999999E-3</v>
      </c>
      <c r="W5475">
        <v>0.12967429999999999</v>
      </c>
      <c r="X5475">
        <v>0.99155130000000002</v>
      </c>
      <c r="Y5475">
        <v>6.932874E-2</v>
      </c>
      <c r="Z5475">
        <v>1.5227859999999999E-3</v>
      </c>
      <c r="AA5475">
        <v>0.9975927</v>
      </c>
      <c r="AB5475">
        <v>47</v>
      </c>
      <c r="AC5475">
        <v>-36.854699999999902</v>
      </c>
      <c r="AD5475">
        <v>-1.1090187058549901</v>
      </c>
      <c r="AE5475">
        <v>1.9793999999999901</v>
      </c>
      <c r="AF5475">
        <v>2.5885458014949898</v>
      </c>
      <c r="AG5475">
        <v>-1.1090187058549901</v>
      </c>
      <c r="AH5475">
        <v>36.783554064270803</v>
      </c>
      <c r="AI5475">
        <v>91.722678381985901</v>
      </c>
      <c r="AJ5475">
        <v>85.974596530701206</v>
      </c>
      <c r="AK5475">
        <v>36.891195988413202</v>
      </c>
      <c r="AL5475">
        <v>82.549228062321504</v>
      </c>
      <c r="AM5475">
        <v>89.812305248390899</v>
      </c>
      <c r="AN5475">
        <v>0.99999997779216299</v>
      </c>
    </row>
    <row r="5476" spans="1:40" x14ac:dyDescent="0.25">
      <c r="A5476" t="str">
        <f>"20190312172226239"</f>
        <v>20190312172226239</v>
      </c>
      <c r="B5476" t="str">
        <f>"1552382546236462"</f>
        <v>1552382546236462</v>
      </c>
      <c r="C5476" t="s">
        <v>40</v>
      </c>
      <c r="D5476">
        <v>3.1173120000000001</v>
      </c>
      <c r="E5476">
        <v>0.52554419999999902</v>
      </c>
      <c r="F5476" t="s">
        <v>42</v>
      </c>
      <c r="G5476">
        <v>-360.91730000000001</v>
      </c>
      <c r="H5476" s="1">
        <v>-4.637298E-6</v>
      </c>
      <c r="I5476">
        <v>143.4128</v>
      </c>
      <c r="J5476">
        <v>-324.34640000000002</v>
      </c>
      <c r="K5476">
        <v>1.1089560000000001</v>
      </c>
      <c r="L5476">
        <v>141.45160000000001</v>
      </c>
      <c r="M5476">
        <v>-0.99979070000000003</v>
      </c>
      <c r="N5476">
        <v>0</v>
      </c>
      <c r="O5476">
        <v>-1.599776E-2</v>
      </c>
      <c r="P5476">
        <v>-0.99303240000000004</v>
      </c>
      <c r="Q5476">
        <v>0.1170447</v>
      </c>
      <c r="R5476">
        <v>-1.369735E-2</v>
      </c>
      <c r="S5476">
        <v>-3.0339360000000002</v>
      </c>
      <c r="T5476">
        <v>-9.0832590000000005E-2</v>
      </c>
      <c r="U5476">
        <v>0.16003419999999999</v>
      </c>
      <c r="V5476">
        <v>2.383381E-3</v>
      </c>
      <c r="W5476">
        <v>0.12970880000000001</v>
      </c>
      <c r="X5476">
        <v>0.99154929999999997</v>
      </c>
      <c r="Y5476">
        <v>6.8607130000000002E-2</v>
      </c>
      <c r="Z5476">
        <v>1.504657E-3</v>
      </c>
      <c r="AA5476">
        <v>0.99764260000000005</v>
      </c>
      <c r="AB5476">
        <v>47</v>
      </c>
      <c r="AC5476">
        <v>-36.570900000000002</v>
      </c>
      <c r="AD5476">
        <v>-1.1089606372980001</v>
      </c>
      <c r="AE5476">
        <v>1.9611999999999901</v>
      </c>
      <c r="AF5476">
        <v>2.54371674984661</v>
      </c>
      <c r="AG5476">
        <v>-1.1089606372980001</v>
      </c>
      <c r="AH5476">
        <v>36.501374337898099</v>
      </c>
      <c r="AI5476">
        <v>91.735979575540398</v>
      </c>
      <c r="AJ5476">
        <v>86.013602542038498</v>
      </c>
      <c r="AK5476">
        <v>36.606701806552998</v>
      </c>
      <c r="AL5476">
        <v>82.547234941113103</v>
      </c>
      <c r="AM5476">
        <v>89.862278749756399</v>
      </c>
      <c r="AN5476">
        <v>1.0000000338164501</v>
      </c>
    </row>
    <row r="5477" spans="1:40" x14ac:dyDescent="0.25">
      <c r="A5477" t="str">
        <f>"20190312172226264"</f>
        <v>20190312172226264</v>
      </c>
      <c r="B5477" t="str">
        <f>"1552382546255982"</f>
        <v>1552382546255982</v>
      </c>
      <c r="C5477" t="s">
        <v>40</v>
      </c>
      <c r="D5477">
        <v>3.2236950000000002</v>
      </c>
      <c r="E5477">
        <v>0.52559929999999999</v>
      </c>
      <c r="F5477" t="s">
        <v>42</v>
      </c>
      <c r="G5477">
        <v>-361.52769999999998</v>
      </c>
      <c r="H5477" s="1">
        <v>-4.4294460000000003E-6</v>
      </c>
      <c r="I5477">
        <v>143.41200000000001</v>
      </c>
      <c r="J5477">
        <v>-324.86360000000002</v>
      </c>
      <c r="K5477">
        <v>1.1088979999999999</v>
      </c>
      <c r="L5477">
        <v>141.44390000000001</v>
      </c>
      <c r="M5477">
        <v>-0.99980049999999998</v>
      </c>
      <c r="N5477">
        <v>0</v>
      </c>
      <c r="O5477">
        <v>-1.526663E-2</v>
      </c>
      <c r="P5477">
        <v>-0.99298690000000001</v>
      </c>
      <c r="Q5477">
        <v>0.1174119</v>
      </c>
      <c r="R5477">
        <v>-1.384284E-2</v>
      </c>
      <c r="S5477">
        <v>-3.0339659999999999</v>
      </c>
      <c r="T5477">
        <v>-9.0490459999999995E-2</v>
      </c>
      <c r="U5477">
        <v>0.15997310000000001</v>
      </c>
      <c r="V5477">
        <v>1.5332309999999999E-3</v>
      </c>
      <c r="W5477">
        <v>0.13019149999999999</v>
      </c>
      <c r="X5477">
        <v>0.99148769999999997</v>
      </c>
      <c r="Y5477">
        <v>6.7857970000000004E-2</v>
      </c>
      <c r="Z5477">
        <v>1.4660249999999999E-3</v>
      </c>
      <c r="AA5477">
        <v>0.99769390000000002</v>
      </c>
      <c r="AB5477">
        <v>47</v>
      </c>
      <c r="AC5477">
        <v>-36.664099999999898</v>
      </c>
      <c r="AD5477">
        <v>-1.1089024294459999</v>
      </c>
      <c r="AE5477">
        <v>1.96809999999999</v>
      </c>
      <c r="AF5477">
        <v>2.5253508391869701</v>
      </c>
      <c r="AG5477">
        <v>-1.1089024294459999</v>
      </c>
      <c r="AH5477">
        <v>36.596397105506497</v>
      </c>
      <c r="AI5477">
        <v>91.731465554421305</v>
      </c>
      <c r="AJ5477">
        <v>86.052536647191999</v>
      </c>
      <c r="AK5477">
        <v>36.7001817783364</v>
      </c>
      <c r="AL5477">
        <v>82.519341633200995</v>
      </c>
      <c r="AM5477">
        <v>89.9113981996001</v>
      </c>
      <c r="AN5477">
        <v>1.0000000183604101</v>
      </c>
    </row>
    <row r="5478" spans="1:40" x14ac:dyDescent="0.25">
      <c r="A5478" t="str">
        <f>"20190312172226285"</f>
        <v>20190312172226285</v>
      </c>
      <c r="B5478" t="str">
        <f>"1552382546276477"</f>
        <v>1552382546276477</v>
      </c>
      <c r="C5478" t="s">
        <v>40</v>
      </c>
      <c r="D5478">
        <v>3.0860919999999998</v>
      </c>
      <c r="E5478">
        <v>0.52568700000000002</v>
      </c>
      <c r="F5478" t="s">
        <v>42</v>
      </c>
      <c r="G5478">
        <v>-362.56740000000002</v>
      </c>
      <c r="H5478" s="1">
        <v>-4.0785909999999998E-6</v>
      </c>
      <c r="I5478">
        <v>143.4288</v>
      </c>
      <c r="J5478">
        <v>-325.30990000000003</v>
      </c>
      <c r="K5478">
        <v>1.1087849999999999</v>
      </c>
      <c r="L5478">
        <v>141.4375</v>
      </c>
      <c r="M5478">
        <v>-0.99981310000000001</v>
      </c>
      <c r="N5478">
        <v>0</v>
      </c>
      <c r="O5478">
        <v>-1.459275E-2</v>
      </c>
      <c r="P5478">
        <v>-0.99285659999999998</v>
      </c>
      <c r="Q5478">
        <v>0.11843330000000001</v>
      </c>
      <c r="R5478">
        <v>-1.447933E-2</v>
      </c>
      <c r="S5478">
        <v>-3.0339659999999999</v>
      </c>
      <c r="T5478">
        <v>-8.9231729999999995E-2</v>
      </c>
      <c r="U5478">
        <v>0.15972900000000001</v>
      </c>
      <c r="V5478">
        <v>2.419004E-4</v>
      </c>
      <c r="W5478">
        <v>0.13102220000000001</v>
      </c>
      <c r="X5478">
        <v>0.99137940000000002</v>
      </c>
      <c r="Y5478">
        <v>6.7107029999999998E-2</v>
      </c>
      <c r="Z5478">
        <v>1.4148050000000001E-3</v>
      </c>
      <c r="AA5478">
        <v>0.99774479999999999</v>
      </c>
      <c r="AB5478">
        <v>47</v>
      </c>
      <c r="AC5478">
        <v>-37.257499999999901</v>
      </c>
      <c r="AD5478">
        <v>-1.108789078591</v>
      </c>
      <c r="AE5478">
        <v>1.9912999999999901</v>
      </c>
      <c r="AF5478">
        <v>2.5325844008680498</v>
      </c>
      <c r="AG5478">
        <v>-1.108789078591</v>
      </c>
      <c r="AH5478">
        <v>37.191625739770402</v>
      </c>
      <c r="AI5478">
        <v>91.703702648713303</v>
      </c>
      <c r="AJ5478">
        <v>86.104425925089402</v>
      </c>
      <c r="AK5478">
        <v>37.294241139021402</v>
      </c>
      <c r="AL5478">
        <v>82.471334637339893</v>
      </c>
      <c r="AM5478">
        <v>89.986019608933304</v>
      </c>
      <c r="AN5478">
        <v>0.99999999507650095</v>
      </c>
    </row>
    <row r="5479" spans="1:40" x14ac:dyDescent="0.25">
      <c r="A5479" t="str">
        <f>"20190312172226305"</f>
        <v>20190312172226305</v>
      </c>
      <c r="B5479" t="str">
        <f>"1552382546295998"</f>
        <v>1552382546295998</v>
      </c>
      <c r="C5479" t="s">
        <v>40</v>
      </c>
      <c r="D5479">
        <v>3.0667339999999998</v>
      </c>
      <c r="E5479">
        <v>0.52577719999999994</v>
      </c>
      <c r="F5479" t="s">
        <v>42</v>
      </c>
      <c r="G5479">
        <v>-364.83260000000001</v>
      </c>
      <c r="H5479" s="1">
        <v>-3.2330569999999999E-6</v>
      </c>
      <c r="I5479">
        <v>143.50219999999999</v>
      </c>
      <c r="J5479">
        <v>-325.75580000000002</v>
      </c>
      <c r="K5479">
        <v>1.108484</v>
      </c>
      <c r="L5479">
        <v>141.4315</v>
      </c>
      <c r="M5479">
        <v>-0.99983599999999995</v>
      </c>
      <c r="N5479">
        <v>0</v>
      </c>
      <c r="O5479">
        <v>-1.391614E-2</v>
      </c>
      <c r="P5479">
        <v>-0.99267130000000003</v>
      </c>
      <c r="Q5479">
        <v>0.1199298</v>
      </c>
      <c r="R5479">
        <v>-1.4856569999999999E-2</v>
      </c>
      <c r="S5479">
        <v>-3.0340880000000001</v>
      </c>
      <c r="T5479">
        <v>-8.5119840000000002E-2</v>
      </c>
      <c r="U5479">
        <v>0.15850829999999999</v>
      </c>
      <c r="V5479">
        <v>-8.0956309999999896E-4</v>
      </c>
      <c r="W5479">
        <v>0.13142960000000001</v>
      </c>
      <c r="X5479">
        <v>0.99132520000000002</v>
      </c>
      <c r="Y5479">
        <v>6.6033040000000001E-2</v>
      </c>
      <c r="Z5479">
        <v>1.3155700000000001E-3</v>
      </c>
      <c r="AA5479">
        <v>0.99781660000000005</v>
      </c>
      <c r="AB5479">
        <v>47</v>
      </c>
      <c r="AC5479">
        <v>-39.076799999999899</v>
      </c>
      <c r="AD5479">
        <v>-1.1084872330569999</v>
      </c>
      <c r="AE5479">
        <v>2.07069999999998</v>
      </c>
      <c r="AF5479">
        <v>2.6122380709165198</v>
      </c>
      <c r="AG5479">
        <v>-1.1084872330569999</v>
      </c>
      <c r="AH5479">
        <v>39.012892431479102</v>
      </c>
      <c r="AI5479">
        <v>91.623893272342798</v>
      </c>
      <c r="AJ5479">
        <v>86.169288433090998</v>
      </c>
      <c r="AK5479">
        <v>39.115959755004802</v>
      </c>
      <c r="AL5479">
        <v>82.447788940056299</v>
      </c>
      <c r="AM5479">
        <v>90.046790436244393</v>
      </c>
      <c r="AN5479">
        <v>1.0000000236518001</v>
      </c>
    </row>
    <row r="5480" spans="1:40" x14ac:dyDescent="0.25">
      <c r="A5480" t="str">
        <f>"20190312172226329"</f>
        <v>20190312172226329</v>
      </c>
      <c r="B5480" t="str">
        <f>"1552382546326255"</f>
        <v>1552382546326255</v>
      </c>
      <c r="C5480" t="s">
        <v>40</v>
      </c>
      <c r="D5480">
        <v>3.082973</v>
      </c>
      <c r="E5480">
        <v>0.52582030000000002</v>
      </c>
      <c r="F5480" t="s">
        <v>42</v>
      </c>
      <c r="G5480">
        <v>-367.65460000000002</v>
      </c>
      <c r="H5480" s="1">
        <v>-2.0522220000000002E-6</v>
      </c>
      <c r="I5480">
        <v>143.61410000000001</v>
      </c>
      <c r="J5480">
        <v>-326.23469999999998</v>
      </c>
      <c r="K5480">
        <v>1.10815</v>
      </c>
      <c r="L5480">
        <v>141.42519999999999</v>
      </c>
      <c r="M5480">
        <v>-0.99986160000000002</v>
      </c>
      <c r="N5480">
        <v>0</v>
      </c>
      <c r="O5480">
        <v>-1.31924E-2</v>
      </c>
      <c r="P5480">
        <v>-0.99258820000000003</v>
      </c>
      <c r="Q5480">
        <v>0.1205446</v>
      </c>
      <c r="R5480">
        <v>-1.5415150000000001E-2</v>
      </c>
      <c r="S5480">
        <v>-3.0342099999999999</v>
      </c>
      <c r="T5480">
        <v>-8.0273990000000003E-2</v>
      </c>
      <c r="U5480">
        <v>0.15806579999999901</v>
      </c>
      <c r="V5480">
        <v>-2.0945930000000001E-3</v>
      </c>
      <c r="W5480">
        <v>0.13060330000000001</v>
      </c>
      <c r="X5480">
        <v>0.99143250000000005</v>
      </c>
      <c r="Y5480">
        <v>6.5167349999999999E-2</v>
      </c>
      <c r="Z5480">
        <v>1.210074E-3</v>
      </c>
      <c r="AA5480">
        <v>0.99787360000000003</v>
      </c>
      <c r="AB5480">
        <v>48</v>
      </c>
      <c r="AC5480">
        <v>-41.419899999999998</v>
      </c>
      <c r="AD5480">
        <v>-1.1081520522220001</v>
      </c>
      <c r="AE5480">
        <v>2.1889000000000101</v>
      </c>
      <c r="AF5480">
        <v>2.73321451945248</v>
      </c>
      <c r="AG5480">
        <v>-1.1081520522220001</v>
      </c>
      <c r="AH5480">
        <v>41.357896014748597</v>
      </c>
      <c r="AI5480">
        <v>91.531488652069896</v>
      </c>
      <c r="AJ5480">
        <v>86.218998488036306</v>
      </c>
      <c r="AK5480">
        <v>41.462923502171698</v>
      </c>
      <c r="AL5480">
        <v>82.4955439473257</v>
      </c>
      <c r="AM5480">
        <v>90.121048240946607</v>
      </c>
      <c r="AN5480">
        <v>1.0000000056734799</v>
      </c>
    </row>
    <row r="5481" spans="1:40" x14ac:dyDescent="0.25">
      <c r="A5481" t="str">
        <f>"20190312172226351"</f>
        <v>20190312172226351</v>
      </c>
      <c r="B5481" t="str">
        <f>"1552382546345777"</f>
        <v>1552382546345777</v>
      </c>
      <c r="C5481" t="s">
        <v>40</v>
      </c>
      <c r="D5481">
        <v>3.1017389999999998</v>
      </c>
      <c r="E5481">
        <v>0.52525489999999997</v>
      </c>
      <c r="F5481" t="s">
        <v>42</v>
      </c>
      <c r="G5481">
        <v>-369.43720000000002</v>
      </c>
      <c r="H5481" s="1">
        <v>-1.2988510000000001E-6</v>
      </c>
      <c r="I5481">
        <v>143.6567</v>
      </c>
      <c r="J5481">
        <v>-326.72219999999999</v>
      </c>
      <c r="K5481">
        <v>1.1078779999999999</v>
      </c>
      <c r="L5481">
        <v>141.41899999999899</v>
      </c>
      <c r="M5481">
        <v>-0.99988460000000001</v>
      </c>
      <c r="N5481">
        <v>0</v>
      </c>
      <c r="O5481">
        <v>-1.243816E-2</v>
      </c>
      <c r="P5481">
        <v>-0.99262799999999995</v>
      </c>
      <c r="Q5481">
        <v>0.1202225</v>
      </c>
      <c r="R5481">
        <v>-1.5364900000000001E-2</v>
      </c>
      <c r="S5481">
        <v>-3.034332</v>
      </c>
      <c r="T5481">
        <v>-7.783139E-2</v>
      </c>
      <c r="U5481">
        <v>0.156738299999999</v>
      </c>
      <c r="V5481">
        <v>-2.7991549999999998E-3</v>
      </c>
      <c r="W5481">
        <v>0.12888469999999999</v>
      </c>
      <c r="X5481">
        <v>0.99165559999999997</v>
      </c>
      <c r="Y5481">
        <v>6.3979170000000002E-2</v>
      </c>
      <c r="Z5481">
        <v>1.138668E-3</v>
      </c>
      <c r="AA5481">
        <v>0.99795060000000002</v>
      </c>
      <c r="AB5481">
        <v>48</v>
      </c>
      <c r="AC5481">
        <v>-42.715000000000003</v>
      </c>
      <c r="AD5481">
        <v>-1.107879298851</v>
      </c>
      <c r="AE5481">
        <v>2.23770000000001</v>
      </c>
      <c r="AF5481">
        <v>2.7669868319448301</v>
      </c>
      <c r="AG5481">
        <v>-1.107879298851</v>
      </c>
      <c r="AH5481">
        <v>42.655245692848098</v>
      </c>
      <c r="AI5481">
        <v>91.484682493886496</v>
      </c>
      <c r="AJ5481">
        <v>86.288502063031203</v>
      </c>
      <c r="AK5481">
        <v>42.759251604608501</v>
      </c>
      <c r="AL5481">
        <v>82.594851582001894</v>
      </c>
      <c r="AM5481">
        <v>90.161728872153901</v>
      </c>
      <c r="AN5481">
        <v>0.999999965087081</v>
      </c>
    </row>
    <row r="5482" spans="1:40" x14ac:dyDescent="0.25">
      <c r="A5482" t="str">
        <f>"20190312172226374"</f>
        <v>20190312172226374</v>
      </c>
      <c r="B5482" t="str">
        <f>"1552382546366270"</f>
        <v>1552382546366270</v>
      </c>
      <c r="C5482" t="s">
        <v>40</v>
      </c>
      <c r="D5482">
        <v>3.0499170000000002</v>
      </c>
      <c r="E5482">
        <v>0.52472220000000003</v>
      </c>
      <c r="F5482" t="s">
        <v>42</v>
      </c>
      <c r="G5482">
        <v>-369.62459999999999</v>
      </c>
      <c r="H5482" s="1">
        <v>-1.196419E-6</v>
      </c>
      <c r="I5482">
        <v>143.57390000000001</v>
      </c>
      <c r="J5482">
        <v>-327.21859999999998</v>
      </c>
      <c r="K5482">
        <v>1.1076699999999999</v>
      </c>
      <c r="L5482">
        <v>141.41299999999899</v>
      </c>
      <c r="M5482">
        <v>-0.9999036</v>
      </c>
      <c r="N5482">
        <v>0</v>
      </c>
      <c r="O5482">
        <v>-1.166001E-2</v>
      </c>
      <c r="P5482">
        <v>-0.9927319</v>
      </c>
      <c r="Q5482">
        <v>0.11949650000000001</v>
      </c>
      <c r="R5482">
        <v>-1.430029E-2</v>
      </c>
      <c r="S5482">
        <v>-3.0341490000000002</v>
      </c>
      <c r="T5482">
        <v>-7.8351740000000003E-2</v>
      </c>
      <c r="U5482">
        <v>0.15240479999999901</v>
      </c>
      <c r="V5482">
        <v>-2.500922E-3</v>
      </c>
      <c r="W5482">
        <v>0.12699679999999999</v>
      </c>
      <c r="X5482">
        <v>0.9919</v>
      </c>
      <c r="Y5482">
        <v>6.178442E-2</v>
      </c>
      <c r="Z5482">
        <v>1.097989E-3</v>
      </c>
      <c r="AA5482">
        <v>0.99808889999999995</v>
      </c>
      <c r="AB5482">
        <v>48</v>
      </c>
      <c r="AC5482">
        <v>-42.405999999999999</v>
      </c>
      <c r="AD5482">
        <v>-1.107671196419</v>
      </c>
      <c r="AE5482">
        <v>2.1609000000000198</v>
      </c>
      <c r="AF5482">
        <v>2.6534158265852001</v>
      </c>
      <c r="AG5482">
        <v>-1.107671196419</v>
      </c>
      <c r="AH5482">
        <v>42.349100827452801</v>
      </c>
      <c r="AI5482">
        <v>91.495339773237404</v>
      </c>
      <c r="AJ5482">
        <v>86.414775063581104</v>
      </c>
      <c r="AK5482">
        <v>42.446600475443397</v>
      </c>
      <c r="AL5482">
        <v>82.703917068217805</v>
      </c>
      <c r="AM5482">
        <v>90.144462114978893</v>
      </c>
      <c r="AN5482">
        <v>1.0000000259105399</v>
      </c>
    </row>
    <row r="5483" spans="1:40" x14ac:dyDescent="0.25">
      <c r="A5483" t="str">
        <f>"20190312172226395"</f>
        <v>20190312172226395</v>
      </c>
      <c r="B5483" t="str">
        <f>"1552382546385790"</f>
        <v>1552382546385790</v>
      </c>
      <c r="C5483" t="s">
        <v>40</v>
      </c>
      <c r="D5483">
        <v>3.0491640000000002</v>
      </c>
      <c r="E5483">
        <v>0.52424529999999903</v>
      </c>
      <c r="F5483" t="s">
        <v>42</v>
      </c>
      <c r="G5483">
        <v>-369.27870000000001</v>
      </c>
      <c r="H5483" s="1">
        <v>-1.3294649999999901E-6</v>
      </c>
      <c r="I5483">
        <v>143.5164</v>
      </c>
      <c r="J5483">
        <v>-327.68150000000003</v>
      </c>
      <c r="K5483">
        <v>1.1075740000000001</v>
      </c>
      <c r="L5483">
        <v>141.40780000000001</v>
      </c>
      <c r="M5483">
        <v>-0.99991660000000004</v>
      </c>
      <c r="N5483">
        <v>0</v>
      </c>
      <c r="O5483">
        <v>-1.0944219999999999E-2</v>
      </c>
      <c r="P5483">
        <v>-0.99285800000000002</v>
      </c>
      <c r="Q5483">
        <v>0.11856999999999999</v>
      </c>
      <c r="R5483">
        <v>-1.320289E-2</v>
      </c>
      <c r="S5483">
        <v>-3.0337830000000001</v>
      </c>
      <c r="T5483">
        <v>-7.9896090000000003E-2</v>
      </c>
      <c r="U5483">
        <v>0.15171809999999999</v>
      </c>
      <c r="V5483">
        <v>-2.0964849999999999E-3</v>
      </c>
      <c r="W5483">
        <v>0.12540119999999999</v>
      </c>
      <c r="X5483">
        <v>0.99210390000000004</v>
      </c>
      <c r="Y5483">
        <v>6.0850139999999997E-2</v>
      </c>
      <c r="Z5483">
        <v>1.0886330000000001E-3</v>
      </c>
      <c r="AA5483">
        <v>0.99814630000000004</v>
      </c>
      <c r="AB5483">
        <v>48</v>
      </c>
      <c r="AC5483">
        <v>-41.597200000000001</v>
      </c>
      <c r="AD5483">
        <v>-1.1075753294649999</v>
      </c>
      <c r="AE5483">
        <v>2.1085999999999898</v>
      </c>
      <c r="AF5483">
        <v>2.56192169054889</v>
      </c>
      <c r="AG5483">
        <v>-1.1075753294649999</v>
      </c>
      <c r="AH5483">
        <v>41.542255027437299</v>
      </c>
      <c r="AI5483">
        <v>91.524330235091597</v>
      </c>
      <c r="AJ5483">
        <v>86.471023647549003</v>
      </c>
      <c r="AK5483">
        <v>41.635911406183801</v>
      </c>
      <c r="AL5483">
        <v>82.796074858868806</v>
      </c>
      <c r="AM5483">
        <v>90.121075588469196</v>
      </c>
      <c r="AN5483">
        <v>1.000000002303</v>
      </c>
    </row>
    <row r="5484" spans="1:40" x14ac:dyDescent="0.25">
      <c r="A5484" t="str">
        <f>"20190312172226417"</f>
        <v>20190312172226417</v>
      </c>
      <c r="B5484" t="str">
        <f>"1552382546416046"</f>
        <v>1552382546416046</v>
      </c>
      <c r="C5484" t="s">
        <v>40</v>
      </c>
      <c r="D5484">
        <v>3.252075</v>
      </c>
      <c r="E5484">
        <v>0.52355929999999995</v>
      </c>
      <c r="F5484" t="s">
        <v>42</v>
      </c>
      <c r="G5484">
        <v>-368.3621</v>
      </c>
      <c r="H5484" s="1">
        <v>-1.7018590000000001E-6</v>
      </c>
      <c r="I5484">
        <v>143.43799999999999</v>
      </c>
      <c r="J5484">
        <v>-328.1771</v>
      </c>
      <c r="K5484">
        <v>1.107561</v>
      </c>
      <c r="L5484">
        <v>141.40260000000001</v>
      </c>
      <c r="M5484">
        <v>-0.99992630000000005</v>
      </c>
      <c r="N5484">
        <v>0</v>
      </c>
      <c r="O5484">
        <v>-1.0191840000000001E-2</v>
      </c>
      <c r="P5484">
        <v>-0.99308169999999996</v>
      </c>
      <c r="Q5484">
        <v>0.11680450000000001</v>
      </c>
      <c r="R5484">
        <v>-1.207575E-2</v>
      </c>
      <c r="S5484">
        <v>-3.0334469999999998</v>
      </c>
      <c r="T5484">
        <v>-8.2589270000000006E-2</v>
      </c>
      <c r="U5484">
        <v>0.1513977</v>
      </c>
      <c r="V5484">
        <v>-1.6905479999999901E-3</v>
      </c>
      <c r="W5484">
        <v>0.12337910000000001</v>
      </c>
      <c r="X5484">
        <v>0.99235810000000002</v>
      </c>
      <c r="Y5484">
        <v>5.9998269999999999E-2</v>
      </c>
      <c r="Z5484">
        <v>1.0933850000000001E-3</v>
      </c>
      <c r="AA5484">
        <v>0.99819789999999997</v>
      </c>
      <c r="AB5484">
        <v>49</v>
      </c>
      <c r="AC5484">
        <v>-40.185000000000002</v>
      </c>
      <c r="AD5484">
        <v>-1.107562701859</v>
      </c>
      <c r="AE5484">
        <v>2.0353999999999801</v>
      </c>
      <c r="AF5484">
        <v>2.44301121950607</v>
      </c>
      <c r="AG5484">
        <v>-1.107562701859</v>
      </c>
      <c r="AH5484">
        <v>40.131760111438098</v>
      </c>
      <c r="AI5484">
        <v>91.577937239405401</v>
      </c>
      <c r="AJ5484">
        <v>86.516432055630801</v>
      </c>
      <c r="AK5484">
        <v>40.221302422959901</v>
      </c>
      <c r="AL5484">
        <v>82.912839022713399</v>
      </c>
      <c r="AM5484">
        <v>90.097607075271299</v>
      </c>
      <c r="AN5484">
        <v>0.99999992945247695</v>
      </c>
    </row>
    <row r="5485" spans="1:40" x14ac:dyDescent="0.25">
      <c r="A5485" t="str">
        <f>"20190312172226441"</f>
        <v>20190312172226441</v>
      </c>
      <c r="B5485" t="str">
        <f>"1552382546436542"</f>
        <v>1552382546436542</v>
      </c>
      <c r="C5485" t="s">
        <v>40</v>
      </c>
      <c r="D5485">
        <v>3.0480200000000002</v>
      </c>
      <c r="E5485">
        <v>0.52316399999999996</v>
      </c>
      <c r="F5485" t="s">
        <v>42</v>
      </c>
      <c r="G5485">
        <v>-366.74650000000003</v>
      </c>
      <c r="H5485" s="1">
        <v>-2.3596720000000001E-6</v>
      </c>
      <c r="I5485">
        <v>143.30549999999999</v>
      </c>
      <c r="J5485">
        <v>-328.65910000000002</v>
      </c>
      <c r="K5485">
        <v>1.107604</v>
      </c>
      <c r="L5485">
        <v>141.398</v>
      </c>
      <c r="M5485">
        <v>-0.99993339999999997</v>
      </c>
      <c r="N5485">
        <v>0</v>
      </c>
      <c r="O5485">
        <v>-9.4440140000000006E-3</v>
      </c>
      <c r="P5485">
        <v>-0.99335070000000003</v>
      </c>
      <c r="Q5485">
        <v>0.1145617</v>
      </c>
      <c r="R5485">
        <v>-1.140446E-2</v>
      </c>
      <c r="S5485">
        <v>-3.032959</v>
      </c>
      <c r="T5485">
        <v>-8.7095019999999995E-2</v>
      </c>
      <c r="U5485">
        <v>0.1496429</v>
      </c>
      <c r="V5485">
        <v>-1.7388179999999901E-3</v>
      </c>
      <c r="W5485">
        <v>0.1211656</v>
      </c>
      <c r="X5485">
        <v>0.99263080000000004</v>
      </c>
      <c r="Y5485">
        <v>5.8681509999999999E-2</v>
      </c>
      <c r="Z5485">
        <v>1.112863E-3</v>
      </c>
      <c r="AA5485">
        <v>0.9982761</v>
      </c>
      <c r="AB5485">
        <v>49</v>
      </c>
      <c r="AC5485">
        <v>-38.087400000000002</v>
      </c>
      <c r="AD5485">
        <v>-1.1076063596720001</v>
      </c>
      <c r="AE5485">
        <v>1.90749999999999</v>
      </c>
      <c r="AF5485">
        <v>2.2652099240916401</v>
      </c>
      <c r="AG5485">
        <v>-1.1076063596720001</v>
      </c>
      <c r="AH5485">
        <v>38.035600908542101</v>
      </c>
      <c r="AI5485">
        <v>91.665047763852201</v>
      </c>
      <c r="AJ5485">
        <v>86.5917759074093</v>
      </c>
      <c r="AK5485">
        <v>38.1190884508284</v>
      </c>
      <c r="AL5485">
        <v>83.040622679004002</v>
      </c>
      <c r="AM5485">
        <v>90.100366451291094</v>
      </c>
      <c r="AN5485">
        <v>1.00000001561001</v>
      </c>
    </row>
    <row r="5486" spans="1:40" x14ac:dyDescent="0.25">
      <c r="A5486" t="str">
        <f>"20190312172226463"</f>
        <v>20190312172226463</v>
      </c>
      <c r="B5486" t="str">
        <f>"1552382546456061"</f>
        <v>1552382546456061</v>
      </c>
      <c r="C5486" t="s">
        <v>40</v>
      </c>
      <c r="D5486">
        <v>3.0598700000000001</v>
      </c>
      <c r="E5486">
        <v>0.52277609999999997</v>
      </c>
      <c r="F5486" t="s">
        <v>42</v>
      </c>
      <c r="G5486">
        <v>-364.86279999999999</v>
      </c>
      <c r="H5486" s="1">
        <v>-3.1331160000000001E-6</v>
      </c>
      <c r="I5486">
        <v>143.17519999999999</v>
      </c>
      <c r="J5486">
        <v>-329.16910000000001</v>
      </c>
      <c r="K5486">
        <v>1.107648</v>
      </c>
      <c r="L5486">
        <v>141.3937</v>
      </c>
      <c r="M5486">
        <v>-0.9999401</v>
      </c>
      <c r="N5486">
        <v>0</v>
      </c>
      <c r="O5486">
        <v>-8.6083779999999999E-3</v>
      </c>
      <c r="P5486">
        <v>-0.99366359999999998</v>
      </c>
      <c r="Q5486">
        <v>0.11188049999999999</v>
      </c>
      <c r="R5486">
        <v>-1.0740359999999999E-2</v>
      </c>
      <c r="S5486">
        <v>-3.0325009999999999</v>
      </c>
      <c r="T5486">
        <v>-9.2775819999999995E-2</v>
      </c>
      <c r="U5486">
        <v>0.14886469999999999</v>
      </c>
      <c r="V5486">
        <v>-1.8885029999999999E-3</v>
      </c>
      <c r="W5486">
        <v>0.1186041</v>
      </c>
      <c r="X5486">
        <v>0.99293980000000004</v>
      </c>
      <c r="Y5486">
        <v>5.7596210000000002E-2</v>
      </c>
      <c r="Z5486">
        <v>1.143469E-3</v>
      </c>
      <c r="AA5486">
        <v>0.99833930000000004</v>
      </c>
      <c r="AB5486">
        <v>49</v>
      </c>
      <c r="AC5486">
        <v>-35.6936999999999</v>
      </c>
      <c r="AD5486">
        <v>-1.1076511331159999</v>
      </c>
      <c r="AE5486">
        <v>1.7814999999999901</v>
      </c>
      <c r="AF5486">
        <v>2.08670138513054</v>
      </c>
      <c r="AG5486">
        <v>-1.1076511331159999</v>
      </c>
      <c r="AH5486">
        <v>35.642802756425297</v>
      </c>
      <c r="AI5486">
        <v>91.776934880162798</v>
      </c>
      <c r="AJ5486">
        <v>86.6494535427301</v>
      </c>
      <c r="AK5486">
        <v>35.721010652511403</v>
      </c>
      <c r="AL5486">
        <v>83.188451739088507</v>
      </c>
      <c r="AM5486">
        <v>90.108972488592599</v>
      </c>
      <c r="AN5486">
        <v>0.99999997270221497</v>
      </c>
    </row>
    <row r="5487" spans="1:40" x14ac:dyDescent="0.25">
      <c r="A5487" t="str">
        <f>"20190312172226486"</f>
        <v>20190312172226486</v>
      </c>
      <c r="B5487" t="str">
        <f>"1552382546476558"</f>
        <v>1552382546476558</v>
      </c>
      <c r="C5487" t="s">
        <v>40</v>
      </c>
      <c r="D5487">
        <v>3.0409410000000001</v>
      </c>
      <c r="E5487">
        <v>0.52243720000000005</v>
      </c>
      <c r="F5487" t="s">
        <v>42</v>
      </c>
      <c r="G5487">
        <v>-362.78399999999999</v>
      </c>
      <c r="H5487" s="1">
        <v>-3.9350770000000002E-6</v>
      </c>
      <c r="I5487">
        <v>143.0351</v>
      </c>
      <c r="J5487">
        <v>-329.65550000000002</v>
      </c>
      <c r="K5487">
        <v>1.1076859999999999</v>
      </c>
      <c r="L5487">
        <v>141.38999999999999</v>
      </c>
      <c r="M5487">
        <v>-0.99994609999999995</v>
      </c>
      <c r="N5487">
        <v>0</v>
      </c>
      <c r="O5487">
        <v>-7.7672940000000001E-3</v>
      </c>
      <c r="P5487">
        <v>-0.99390350000000005</v>
      </c>
      <c r="Q5487">
        <v>0.1098132</v>
      </c>
      <c r="R5487">
        <v>-9.8586590000000005E-3</v>
      </c>
      <c r="S5487">
        <v>-3.0319210000000001</v>
      </c>
      <c r="T5487">
        <v>-9.9905850000000004E-2</v>
      </c>
      <c r="U5487">
        <v>0.14805599999999999</v>
      </c>
      <c r="V5487">
        <v>-1.8335300000000001E-3</v>
      </c>
      <c r="W5487">
        <v>0.1166688</v>
      </c>
      <c r="X5487">
        <v>0.99316919999999997</v>
      </c>
      <c r="Y5487">
        <v>5.649626E-2</v>
      </c>
      <c r="Z5487">
        <v>1.185745E-3</v>
      </c>
      <c r="AA5487">
        <v>0.99840209999999996</v>
      </c>
      <c r="AB5487">
        <v>49</v>
      </c>
      <c r="AC5487">
        <v>-33.128499999999903</v>
      </c>
      <c r="AD5487">
        <v>-1.107689935077</v>
      </c>
      <c r="AE5487">
        <v>1.64510000000001</v>
      </c>
      <c r="AF5487">
        <v>1.9002560614697299</v>
      </c>
      <c r="AG5487">
        <v>-1.107689935077</v>
      </c>
      <c r="AH5487">
        <v>33.077833032925199</v>
      </c>
      <c r="AI5487">
        <v>91.914814017011295</v>
      </c>
      <c r="AJ5487">
        <v>86.712084660463205</v>
      </c>
      <c r="AK5487">
        <v>33.150882163910801</v>
      </c>
      <c r="AL5487">
        <v>83.300111853613302</v>
      </c>
      <c r="AM5487">
        <v>90.105775945590906</v>
      </c>
      <c r="AN5487">
        <v>1.00000001527717</v>
      </c>
    </row>
    <row r="5488" spans="1:40" x14ac:dyDescent="0.25">
      <c r="A5488" t="str">
        <f>"20190312172226507"</f>
        <v>20190312172226507</v>
      </c>
      <c r="B5488" t="str">
        <f>"1552382546496078"</f>
        <v>1552382546496078</v>
      </c>
      <c r="C5488" t="s">
        <v>40</v>
      </c>
      <c r="D5488">
        <v>3.0798359999999998</v>
      </c>
      <c r="E5488">
        <v>0.5221306</v>
      </c>
      <c r="F5488" t="s">
        <v>42</v>
      </c>
      <c r="G5488">
        <v>-361.59539999999998</v>
      </c>
      <c r="H5488" s="1">
        <v>-4.3243920000000003E-6</v>
      </c>
      <c r="I5488">
        <v>142.94970000000001</v>
      </c>
      <c r="J5488">
        <v>-330.12279999999998</v>
      </c>
      <c r="K5488">
        <v>1.107718</v>
      </c>
      <c r="L5488">
        <v>141.3869</v>
      </c>
      <c r="M5488">
        <v>-0.99995140000000005</v>
      </c>
      <c r="N5488">
        <v>0</v>
      </c>
      <c r="O5488">
        <v>-6.9220389999999996E-3</v>
      </c>
      <c r="P5488">
        <v>-0.99410900000000002</v>
      </c>
      <c r="Q5488">
        <v>0.1080325</v>
      </c>
      <c r="R5488">
        <v>-8.7689309999999902E-3</v>
      </c>
      <c r="S5488">
        <v>-3.0315249999999998</v>
      </c>
      <c r="T5488">
        <v>-0.10513500000000001</v>
      </c>
      <c r="U5488">
        <v>0.1480408</v>
      </c>
      <c r="V5488">
        <v>-1.5795220000000001E-3</v>
      </c>
      <c r="W5488">
        <v>0.1150296</v>
      </c>
      <c r="X5488">
        <v>0.99336080000000004</v>
      </c>
      <c r="Y5488">
        <v>5.5650909999999998E-2</v>
      </c>
      <c r="Z5488">
        <v>1.203998E-3</v>
      </c>
      <c r="AA5488">
        <v>0.99844960000000005</v>
      </c>
      <c r="AB5488">
        <v>49</v>
      </c>
      <c r="AC5488">
        <v>-31.4726</v>
      </c>
      <c r="AD5488">
        <v>-1.107722324392</v>
      </c>
      <c r="AE5488">
        <v>1.56280000000001</v>
      </c>
      <c r="AF5488">
        <v>1.7784248199175401</v>
      </c>
      <c r="AG5488">
        <v>-1.107722324392</v>
      </c>
      <c r="AH5488">
        <v>31.4221982636405</v>
      </c>
      <c r="AI5488">
        <v>92.015780602855401</v>
      </c>
      <c r="AJ5488">
        <v>86.760645366972994</v>
      </c>
      <c r="AK5488">
        <v>31.4919733790626</v>
      </c>
      <c r="AL5488">
        <v>83.394667609020999</v>
      </c>
      <c r="AM5488">
        <v>90.091104730503005</v>
      </c>
      <c r="AN5488">
        <v>0.99999999137127404</v>
      </c>
    </row>
    <row r="5489" spans="1:40" x14ac:dyDescent="0.25">
      <c r="A5489" t="str">
        <f>"20190312172226530"</f>
        <v>20190312172226530</v>
      </c>
      <c r="B5489" t="str">
        <f>"1552382546526334"</f>
        <v>1552382546526334</v>
      </c>
      <c r="C5489" t="s">
        <v>40</v>
      </c>
      <c r="D5489">
        <v>3.0807950000000002</v>
      </c>
      <c r="E5489">
        <v>0.5216674</v>
      </c>
      <c r="F5489" t="s">
        <v>42</v>
      </c>
      <c r="G5489">
        <v>-360.86619999999999</v>
      </c>
      <c r="H5489" s="1">
        <v>-4.5632919999999998E-6</v>
      </c>
      <c r="I5489">
        <v>142.89750000000001</v>
      </c>
      <c r="J5489">
        <v>-330.61110000000002</v>
      </c>
      <c r="K5489">
        <v>1.1077410000000001</v>
      </c>
      <c r="L5489">
        <v>141.38399999999999</v>
      </c>
      <c r="M5489">
        <v>-0.99995610000000001</v>
      </c>
      <c r="N5489">
        <v>0</v>
      </c>
      <c r="O5489">
        <v>-6.009889E-3</v>
      </c>
      <c r="P5489">
        <v>-0.99431970000000003</v>
      </c>
      <c r="Q5489">
        <v>0.1061145</v>
      </c>
      <c r="R5489">
        <v>-8.2663230000000008E-3</v>
      </c>
      <c r="S5489">
        <v>-3.0309750000000002</v>
      </c>
      <c r="T5489">
        <v>-0.1092101</v>
      </c>
      <c r="U5489">
        <v>0.14894099999999999</v>
      </c>
      <c r="V5489">
        <v>-1.9830189999999999E-3</v>
      </c>
      <c r="W5489">
        <v>0.1132739</v>
      </c>
      <c r="X5489">
        <v>0.99356180000000005</v>
      </c>
      <c r="Y5489">
        <v>5.5042809999999998E-2</v>
      </c>
      <c r="Z5489">
        <v>1.2070710000000001E-3</v>
      </c>
      <c r="AA5489">
        <v>0.99848320000000002</v>
      </c>
      <c r="AB5489">
        <v>49</v>
      </c>
      <c r="AC5489">
        <v>-30.255099999999899</v>
      </c>
      <c r="AD5489">
        <v>-1.1077455632919999</v>
      </c>
      <c r="AE5489">
        <v>1.5135000000000201</v>
      </c>
      <c r="AF5489">
        <v>1.6930432139582701</v>
      </c>
      <c r="AG5489">
        <v>-1.1077455632919999</v>
      </c>
      <c r="AH5489">
        <v>30.2050670642295</v>
      </c>
      <c r="AI5489">
        <v>92.097044765849802</v>
      </c>
      <c r="AJ5489">
        <v>86.791835199559401</v>
      </c>
      <c r="AK5489">
        <v>30.2727529622254</v>
      </c>
      <c r="AL5489">
        <v>83.495923624902204</v>
      </c>
      <c r="AM5489">
        <v>90.114354707002903</v>
      </c>
      <c r="AN5489">
        <v>0.99999997960240194</v>
      </c>
    </row>
    <row r="5490" spans="1:40" x14ac:dyDescent="0.25">
      <c r="A5490" t="str">
        <f>"20190312172226552"</f>
        <v>20190312172226552</v>
      </c>
      <c r="B5490" t="str">
        <f>"1552382546545854"</f>
        <v>1552382546545854</v>
      </c>
      <c r="C5490" t="s">
        <v>40</v>
      </c>
      <c r="D5490">
        <v>3.0610889999999999</v>
      </c>
      <c r="E5490">
        <v>0.52134259999999999</v>
      </c>
      <c r="F5490" t="s">
        <v>42</v>
      </c>
      <c r="G5490">
        <v>-360.34519999999998</v>
      </c>
      <c r="H5490" s="1">
        <v>-4.7277679999999998E-6</v>
      </c>
      <c r="I5490">
        <v>142.8253</v>
      </c>
      <c r="J5490">
        <v>-331.12060000000002</v>
      </c>
      <c r="K5490">
        <v>1.1077570000000001</v>
      </c>
      <c r="L5490">
        <v>141.38149999999999</v>
      </c>
      <c r="M5490">
        <v>-0.99996019999999997</v>
      </c>
      <c r="N5490">
        <v>0</v>
      </c>
      <c r="O5490">
        <v>-5.0405729999999996E-3</v>
      </c>
      <c r="P5490">
        <v>-0.99457280000000003</v>
      </c>
      <c r="Q5490">
        <v>0.1037048</v>
      </c>
      <c r="R5490">
        <v>-8.3869530000000008E-3</v>
      </c>
      <c r="S5490">
        <v>-3.0303960000000001</v>
      </c>
      <c r="T5490">
        <v>-0.112897499999999</v>
      </c>
      <c r="U5490">
        <v>0.14689639999999901</v>
      </c>
      <c r="V5490">
        <v>-3.0691960000000002E-3</v>
      </c>
      <c r="W5490">
        <v>0.11104169999999999</v>
      </c>
      <c r="X5490">
        <v>0.993811</v>
      </c>
      <c r="Y5490">
        <v>5.3411189999999997E-2</v>
      </c>
      <c r="Z5490">
        <v>1.1816120000000001E-3</v>
      </c>
      <c r="AA5490">
        <v>0.99857189999999996</v>
      </c>
      <c r="AB5490">
        <v>49</v>
      </c>
      <c r="AC5490">
        <v>-29.224599999999899</v>
      </c>
      <c r="AD5490">
        <v>-1.1077617277680001</v>
      </c>
      <c r="AE5490">
        <v>1.44380000000001</v>
      </c>
      <c r="AF5490">
        <v>1.5888171282182799</v>
      </c>
      <c r="AG5490">
        <v>-1.1077617277680001</v>
      </c>
      <c r="AH5490">
        <v>29.175134243661201</v>
      </c>
      <c r="AI5490">
        <v>92.171226524992406</v>
      </c>
      <c r="AJ5490">
        <v>86.882870041114799</v>
      </c>
      <c r="AK5490">
        <v>29.239355910280999</v>
      </c>
      <c r="AL5490">
        <v>83.624631463505295</v>
      </c>
      <c r="AM5490">
        <v>90.176946540367993</v>
      </c>
      <c r="AN5490">
        <v>0.99999999141198803</v>
      </c>
    </row>
    <row r="5491" spans="1:40" x14ac:dyDescent="0.25">
      <c r="A5491" t="str">
        <f>"20190312172226574"</f>
        <v>20190312172226574</v>
      </c>
      <c r="B5491" t="str">
        <f>"1552382546566350"</f>
        <v>1552382546566350</v>
      </c>
      <c r="C5491" t="s">
        <v>40</v>
      </c>
      <c r="D5491">
        <v>3.0448279999999999</v>
      </c>
      <c r="E5491">
        <v>0.52105950000000001</v>
      </c>
      <c r="F5491" t="s">
        <v>42</v>
      </c>
      <c r="G5491">
        <v>-359.39640000000003</v>
      </c>
      <c r="H5491" s="1">
        <v>-1.068792E-6</v>
      </c>
      <c r="I5491">
        <v>142.72640000000001</v>
      </c>
      <c r="J5491">
        <v>-331.59960000000001</v>
      </c>
      <c r="K5491">
        <v>1.1077570000000001</v>
      </c>
      <c r="L5491">
        <v>141.37960000000001</v>
      </c>
      <c r="M5491">
        <v>-0.99996320000000005</v>
      </c>
      <c r="N5491">
        <v>0</v>
      </c>
      <c r="O5491">
        <v>-4.1241619999999998E-3</v>
      </c>
      <c r="P5491">
        <v>-0.99478230000000001</v>
      </c>
      <c r="Q5491">
        <v>0.1016951</v>
      </c>
      <c r="R5491">
        <v>-8.1551319999999903E-3</v>
      </c>
      <c r="S5491">
        <v>-3.0299680000000002</v>
      </c>
      <c r="T5491">
        <v>-0.1187048</v>
      </c>
      <c r="U5491">
        <v>0.14411930000000001</v>
      </c>
      <c r="V5491">
        <v>-3.7495200000000001E-3</v>
      </c>
      <c r="W5491">
        <v>0.1091934</v>
      </c>
      <c r="X5491">
        <v>0.99401340000000005</v>
      </c>
      <c r="Y5491">
        <v>5.1587470000000003E-2</v>
      </c>
      <c r="Z5491">
        <v>1.170988E-3</v>
      </c>
      <c r="AA5491">
        <v>0.99866779999999999</v>
      </c>
      <c r="AB5491">
        <v>49</v>
      </c>
      <c r="AC5491">
        <v>-27.796800000000001</v>
      </c>
      <c r="AD5491">
        <v>-1.1077580687919999</v>
      </c>
      <c r="AE5491">
        <v>1.3468</v>
      </c>
      <c r="AF5491">
        <v>1.4591183777302399</v>
      </c>
      <c r="AG5491">
        <v>-1.1077580687919999</v>
      </c>
      <c r="AH5491">
        <v>27.747044867463298</v>
      </c>
      <c r="AI5491">
        <v>92.283080468083895</v>
      </c>
      <c r="AJ5491">
        <v>86.989791489439199</v>
      </c>
      <c r="AK5491">
        <v>27.807456792310699</v>
      </c>
      <c r="AL5491">
        <v>83.731178961790306</v>
      </c>
      <c r="AM5491">
        <v>90.216124503230603</v>
      </c>
      <c r="AN5491">
        <v>0.99999994844167395</v>
      </c>
    </row>
    <row r="5492" spans="1:40" x14ac:dyDescent="0.25">
      <c r="A5492" t="str">
        <f>"20190312172226596"</f>
        <v>20190312172226596</v>
      </c>
      <c r="B5492" t="str">
        <f>"1552382546585870"</f>
        <v>1552382546585870</v>
      </c>
      <c r="C5492" t="s">
        <v>40</v>
      </c>
      <c r="D5492">
        <v>3.0009890000000001</v>
      </c>
      <c r="E5492">
        <v>0.52080789999999999</v>
      </c>
      <c r="F5492" t="s">
        <v>42</v>
      </c>
      <c r="G5492">
        <v>-358.83580000000001</v>
      </c>
      <c r="H5492" s="1">
        <v>-1.292067E-6</v>
      </c>
      <c r="I5492">
        <v>142.66159999999999</v>
      </c>
      <c r="J5492">
        <v>-332.08300000000003</v>
      </c>
      <c r="K5492">
        <v>1.107739</v>
      </c>
      <c r="L5492">
        <v>141.37809999999999</v>
      </c>
      <c r="M5492">
        <v>-0.9999654</v>
      </c>
      <c r="N5492">
        <v>0</v>
      </c>
      <c r="O5492">
        <v>-3.202126E-3</v>
      </c>
      <c r="P5492">
        <v>-0.99504239999999999</v>
      </c>
      <c r="Q5492">
        <v>9.907262E-2</v>
      </c>
      <c r="R5492">
        <v>-8.6850899999999995E-3</v>
      </c>
      <c r="S5492">
        <v>-3.0295100000000001</v>
      </c>
      <c r="T5492">
        <v>-0.1232176</v>
      </c>
      <c r="U5492">
        <v>0.1426086</v>
      </c>
      <c r="V5492">
        <v>-5.1984570000000001E-3</v>
      </c>
      <c r="W5492">
        <v>0.1067297</v>
      </c>
      <c r="X5492">
        <v>0.99427449999999995</v>
      </c>
      <c r="Y5492">
        <v>5.0175499999999998E-2</v>
      </c>
      <c r="Z5492">
        <v>1.149513E-3</v>
      </c>
      <c r="AA5492">
        <v>0.99873979999999996</v>
      </c>
      <c r="AB5492">
        <v>49</v>
      </c>
      <c r="AC5492">
        <v>-26.752799999999901</v>
      </c>
      <c r="AD5492">
        <v>-1.1077402920669901</v>
      </c>
      <c r="AE5492">
        <v>1.2835000000000001</v>
      </c>
      <c r="AF5492">
        <v>1.3668237432850301</v>
      </c>
      <c r="AG5492">
        <v>-1.1077402920669901</v>
      </c>
      <c r="AH5492">
        <v>26.702875847725899</v>
      </c>
      <c r="AI5492">
        <v>92.372389887700294</v>
      </c>
      <c r="AJ5492">
        <v>87.0697933499914</v>
      </c>
      <c r="AK5492">
        <v>26.760771181693201</v>
      </c>
      <c r="AL5492">
        <v>83.873168959803607</v>
      </c>
      <c r="AM5492">
        <v>90.299562074769398</v>
      </c>
      <c r="AN5492">
        <v>1.00000001708376</v>
      </c>
    </row>
    <row r="5493" spans="1:40" x14ac:dyDescent="0.25">
      <c r="A5493" t="str">
        <f>"20190312172226619"</f>
        <v>20190312172226619</v>
      </c>
      <c r="B5493" t="str">
        <f>"1552382546616127"</f>
        <v>1552382546616127</v>
      </c>
      <c r="C5493" t="s">
        <v>40</v>
      </c>
      <c r="D5493">
        <v>3.0455489999999998</v>
      </c>
      <c r="E5493">
        <v>0.52042250000000001</v>
      </c>
      <c r="F5493" t="s">
        <v>42</v>
      </c>
      <c r="G5493">
        <v>-357.84910000000002</v>
      </c>
      <c r="H5493" s="1">
        <v>-1.68872899999999E-6</v>
      </c>
      <c r="I5493">
        <v>142.5616</v>
      </c>
      <c r="J5493">
        <v>-332.5702</v>
      </c>
      <c r="K5493">
        <v>1.107721</v>
      </c>
      <c r="L5493">
        <v>141.37690000000001</v>
      </c>
      <c r="M5493">
        <v>-0.99996680000000004</v>
      </c>
      <c r="N5493">
        <v>0</v>
      </c>
      <c r="O5493">
        <v>-2.2775629999999998E-3</v>
      </c>
      <c r="P5493">
        <v>-0.99531170000000002</v>
      </c>
      <c r="Q5493">
        <v>9.629894E-2</v>
      </c>
      <c r="R5493">
        <v>-9.0017109999999904E-3</v>
      </c>
      <c r="S5493">
        <v>-3.029083</v>
      </c>
      <c r="T5493">
        <v>-0.13022700000000001</v>
      </c>
      <c r="U5493">
        <v>0.13914489999999999</v>
      </c>
      <c r="V5493">
        <v>-6.4371999999999997E-3</v>
      </c>
      <c r="W5493">
        <v>0.10410469999999999</v>
      </c>
      <c r="X5493">
        <v>0.99454549999999997</v>
      </c>
      <c r="Y5493">
        <v>4.8116579999999999E-2</v>
      </c>
      <c r="Z5493">
        <v>1.1311229999999999E-3</v>
      </c>
      <c r="AA5493">
        <v>0.99884110000000004</v>
      </c>
      <c r="AB5493">
        <v>49</v>
      </c>
      <c r="AC5493">
        <v>-25.2789</v>
      </c>
      <c r="AD5493">
        <v>-1.1077226887289999</v>
      </c>
      <c r="AE5493">
        <v>1.1846999999999901</v>
      </c>
      <c r="AF5493">
        <v>1.2398973473121999</v>
      </c>
      <c r="AG5493">
        <v>-1.1077226887289999</v>
      </c>
      <c r="AH5493">
        <v>25.227799940187701</v>
      </c>
      <c r="AI5493">
        <v>92.511147435069205</v>
      </c>
      <c r="AJ5493">
        <v>87.186287846770099</v>
      </c>
      <c r="AK5493">
        <v>25.282529240745099</v>
      </c>
      <c r="AL5493">
        <v>84.024412974077194</v>
      </c>
      <c r="AM5493">
        <v>90.370841999270993</v>
      </c>
      <c r="AN5493">
        <v>0.99999998883808905</v>
      </c>
    </row>
    <row r="5494" spans="1:40" x14ac:dyDescent="0.25">
      <c r="A5494" t="str">
        <f>"20190312172226641"</f>
        <v>20190312172226641</v>
      </c>
      <c r="B5494" t="str">
        <f>"1552382546636626"</f>
        <v>1552382546636626</v>
      </c>
      <c r="C5494" t="s">
        <v>40</v>
      </c>
      <c r="D5494">
        <v>3.110026</v>
      </c>
      <c r="E5494">
        <v>0.5202002</v>
      </c>
      <c r="F5494" t="s">
        <v>42</v>
      </c>
      <c r="G5494">
        <v>-357.1968</v>
      </c>
      <c r="H5494" s="1">
        <v>-1.9455759999999998E-6</v>
      </c>
      <c r="I5494">
        <v>142.4752</v>
      </c>
      <c r="J5494">
        <v>-333.07220000000001</v>
      </c>
      <c r="K5494">
        <v>1.107702</v>
      </c>
      <c r="L5494">
        <v>141.37629999999999</v>
      </c>
      <c r="M5494">
        <v>-0.99996750000000001</v>
      </c>
      <c r="N5494">
        <v>0</v>
      </c>
      <c r="O5494">
        <v>-1.330571E-3</v>
      </c>
      <c r="P5494">
        <v>-0.99554529999999997</v>
      </c>
      <c r="Q5494">
        <v>9.3822600000000006E-2</v>
      </c>
      <c r="R5494">
        <v>-9.3226509999999995E-3</v>
      </c>
      <c r="S5494">
        <v>-3.0285639999999998</v>
      </c>
      <c r="T5494">
        <v>-0.1362274</v>
      </c>
      <c r="U5494">
        <v>0.13507079999999999</v>
      </c>
      <c r="V5494">
        <v>-7.7033789999999998E-3</v>
      </c>
      <c r="W5494">
        <v>0.1017692</v>
      </c>
      <c r="X5494">
        <v>0.99477819999999995</v>
      </c>
      <c r="Y5494">
        <v>4.583632E-2</v>
      </c>
      <c r="Z5494">
        <v>1.0896390000000001E-3</v>
      </c>
      <c r="AA5494">
        <v>0.99894839999999996</v>
      </c>
      <c r="AB5494">
        <v>49</v>
      </c>
      <c r="AC5494">
        <v>-24.124599999999901</v>
      </c>
      <c r="AD5494">
        <v>-1.107703945576</v>
      </c>
      <c r="AE5494">
        <v>1.09890000000001</v>
      </c>
      <c r="AF5494">
        <v>1.12862501069836</v>
      </c>
      <c r="AG5494">
        <v>-1.107703945576</v>
      </c>
      <c r="AH5494">
        <v>24.0724701425776</v>
      </c>
      <c r="AI5494">
        <v>92.631741954269998</v>
      </c>
      <c r="AJ5494">
        <v>87.315683423969205</v>
      </c>
      <c r="AK5494">
        <v>24.124357425869601</v>
      </c>
      <c r="AL5494">
        <v>84.158941938751596</v>
      </c>
      <c r="AM5494">
        <v>90.443679085938001</v>
      </c>
      <c r="AN5494">
        <v>0.99999998965594805</v>
      </c>
    </row>
    <row r="5495" spans="1:40" x14ac:dyDescent="0.25">
      <c r="A5495" t="str">
        <f>"20190312172226664"</f>
        <v>20190312172226664</v>
      </c>
      <c r="B5495" t="str">
        <f>"1552382546656142"</f>
        <v>1552382546656142</v>
      </c>
      <c r="C5495" t="s">
        <v>40</v>
      </c>
      <c r="D5495">
        <v>3.0854059999999999</v>
      </c>
      <c r="E5495">
        <v>0.51999119999999999</v>
      </c>
      <c r="F5495" t="s">
        <v>41</v>
      </c>
      <c r="G5495">
        <v>-334.22129999999999</v>
      </c>
      <c r="H5495">
        <v>1.053769</v>
      </c>
      <c r="I5495">
        <v>141.4265</v>
      </c>
      <c r="J5495">
        <v>-333.58190000000002</v>
      </c>
      <c r="K5495">
        <v>1.1076760000000001</v>
      </c>
      <c r="L5495">
        <v>141.37610000000001</v>
      </c>
      <c r="M5495">
        <v>-0.99996719999999895</v>
      </c>
      <c r="N5495">
        <v>0</v>
      </c>
      <c r="O5495">
        <v>-3.7092750000000002E-4</v>
      </c>
      <c r="P5495">
        <v>-0.99576900000000002</v>
      </c>
      <c r="Q5495">
        <v>9.1399300000000003E-2</v>
      </c>
      <c r="R5495">
        <v>-9.5045219999999996E-3</v>
      </c>
      <c r="S5495">
        <v>-3.0280459999999998</v>
      </c>
      <c r="T5495">
        <v>-0.1421317</v>
      </c>
      <c r="U5495">
        <v>0.1322632</v>
      </c>
      <c r="V5495">
        <v>-8.8429219999999996E-3</v>
      </c>
      <c r="W5495">
        <v>9.9474930000000003E-2</v>
      </c>
      <c r="X5495">
        <v>0.99500080000000002</v>
      </c>
      <c r="Y5495">
        <v>4.3959650000000003E-2</v>
      </c>
      <c r="Z5495">
        <v>1.0480330000000001E-3</v>
      </c>
      <c r="AA5495">
        <v>0.9990327</v>
      </c>
      <c r="AB5495">
        <v>49</v>
      </c>
      <c r="AC5495">
        <v>-0.639399999999966</v>
      </c>
      <c r="AD5495">
        <v>-5.3907000000000101E-2</v>
      </c>
      <c r="AE5495">
        <v>5.0399999999996198E-2</v>
      </c>
      <c r="AF5495">
        <v>5.0281979868265297E-2</v>
      </c>
      <c r="AG5495">
        <v>-5.3907000000000101E-2</v>
      </c>
      <c r="AH5495">
        <v>0.63489630811568099</v>
      </c>
      <c r="AI5495">
        <v>94.838083248430806</v>
      </c>
      <c r="AJ5495">
        <v>85.471788882652206</v>
      </c>
      <c r="AK5495">
        <v>0.63916161039864905</v>
      </c>
      <c r="AL5495">
        <v>84.291064722404599</v>
      </c>
      <c r="AM5495">
        <v>90.509194334540595</v>
      </c>
      <c r="AN5495">
        <v>1.00000002548432</v>
      </c>
    </row>
    <row r="5496" spans="1:40" x14ac:dyDescent="0.25">
      <c r="A5496" t="str">
        <f>"20190312172226686"</f>
        <v>20190312172226686</v>
      </c>
      <c r="B5496" t="str">
        <f>"1552382546676639"</f>
        <v>1552382546676639</v>
      </c>
      <c r="C5496" t="s">
        <v>40</v>
      </c>
      <c r="D5496">
        <v>3.0776319999999999</v>
      </c>
      <c r="E5496">
        <v>0.51980609999999905</v>
      </c>
      <c r="F5496" t="s">
        <v>41</v>
      </c>
      <c r="G5496">
        <v>-334.67410000000001</v>
      </c>
      <c r="H5496">
        <v>1.054405</v>
      </c>
      <c r="I5496">
        <v>141.42320000000001</v>
      </c>
      <c r="J5496">
        <v>-334.06659999999999</v>
      </c>
      <c r="K5496">
        <v>1.1076520000000001</v>
      </c>
      <c r="L5496">
        <v>141.37639999999999</v>
      </c>
      <c r="M5496">
        <v>-0.99996640000000003</v>
      </c>
      <c r="N5496">
        <v>0</v>
      </c>
      <c r="O5496">
        <v>5.4105339999999905E-4</v>
      </c>
      <c r="P5496">
        <v>-0.9958863</v>
      </c>
      <c r="Q5496">
        <v>9.0169189999999996E-2</v>
      </c>
      <c r="R5496">
        <v>-8.9559169999999903E-3</v>
      </c>
      <c r="S5496">
        <v>-3.0275880000000002</v>
      </c>
      <c r="T5496">
        <v>-0.14767810000000001</v>
      </c>
      <c r="U5496">
        <v>0.1301117</v>
      </c>
      <c r="V5496">
        <v>-9.2031130000000006E-3</v>
      </c>
      <c r="W5496">
        <v>9.8352750000000003E-2</v>
      </c>
      <c r="X5496">
        <v>0.99510909999999997</v>
      </c>
      <c r="Y5496">
        <v>4.2345550000000003E-2</v>
      </c>
      <c r="Z5496">
        <v>1.005302E-3</v>
      </c>
      <c r="AA5496">
        <v>0.9991025</v>
      </c>
      <c r="AB5496">
        <v>49</v>
      </c>
      <c r="AC5496">
        <v>-0.60750000000001503</v>
      </c>
      <c r="AD5496">
        <v>-5.3247000000000003E-2</v>
      </c>
      <c r="AE5496">
        <v>4.6800000000018799E-2</v>
      </c>
      <c r="AF5496">
        <v>4.61190766546382E-2</v>
      </c>
      <c r="AG5496">
        <v>-5.3247000000000003E-2</v>
      </c>
      <c r="AH5496">
        <v>0.60292067352634204</v>
      </c>
      <c r="AI5496">
        <v>95.032363042366796</v>
      </c>
      <c r="AJ5496">
        <v>85.625804791390195</v>
      </c>
      <c r="AK5496">
        <v>0.60702187012160802</v>
      </c>
      <c r="AL5496">
        <v>84.355677851166902</v>
      </c>
      <c r="AM5496">
        <v>90.529876071287006</v>
      </c>
      <c r="AN5496">
        <v>1.0000000408121299</v>
      </c>
    </row>
    <row r="5497" spans="1:40" x14ac:dyDescent="0.25">
      <c r="A5497" t="str">
        <f>"20190312172226708"</f>
        <v>20190312172226708</v>
      </c>
      <c r="B5497" t="str">
        <f>"1552382546696159"</f>
        <v>1552382546696159</v>
      </c>
      <c r="C5497" t="s">
        <v>40</v>
      </c>
      <c r="D5497">
        <v>3.0885690000000001</v>
      </c>
      <c r="E5497">
        <v>0.51966259999999997</v>
      </c>
      <c r="F5497" t="s">
        <v>42</v>
      </c>
      <c r="G5497">
        <v>-356.48079999999999</v>
      </c>
      <c r="H5497" s="1">
        <v>-2.2171220000000001E-6</v>
      </c>
      <c r="I5497">
        <v>142.34139999999999</v>
      </c>
      <c r="J5497">
        <v>-334.55099999999999</v>
      </c>
      <c r="K5497">
        <v>1.1076250000000001</v>
      </c>
      <c r="L5497">
        <v>141.37710000000001</v>
      </c>
      <c r="M5497">
        <v>-0.99996470000000004</v>
      </c>
      <c r="N5497">
        <v>0</v>
      </c>
      <c r="O5497">
        <v>1.454117E-3</v>
      </c>
      <c r="P5497">
        <v>-0.99611939999999999</v>
      </c>
      <c r="Q5497">
        <v>8.7558460000000005E-2</v>
      </c>
      <c r="R5497">
        <v>-8.9324150000000008E-3</v>
      </c>
      <c r="S5497">
        <v>-3.0270999999999999</v>
      </c>
      <c r="T5497">
        <v>-0.14959169999999999</v>
      </c>
      <c r="U5497">
        <v>0.1303406</v>
      </c>
      <c r="V5497">
        <v>-1.009387E-2</v>
      </c>
      <c r="W5497">
        <v>9.5842200000000002E-2</v>
      </c>
      <c r="X5497">
        <v>0.99534540000000005</v>
      </c>
      <c r="Y5497">
        <v>4.151639E-2</v>
      </c>
      <c r="Z5497">
        <v>9.5293500000000002E-4</v>
      </c>
      <c r="AA5497">
        <v>0.99913730000000001</v>
      </c>
      <c r="AB5497">
        <v>49</v>
      </c>
      <c r="AC5497">
        <v>-21.9298</v>
      </c>
      <c r="AD5497">
        <v>-1.1076272171220001</v>
      </c>
      <c r="AE5497">
        <v>0.96429999999997995</v>
      </c>
      <c r="AF5497">
        <v>0.93004139587761003</v>
      </c>
      <c r="AG5497">
        <v>-1.1076272171220001</v>
      </c>
      <c r="AH5497">
        <v>21.8754814518148</v>
      </c>
      <c r="AI5497">
        <v>92.895985773589999</v>
      </c>
      <c r="AJ5497">
        <v>87.565522150986894</v>
      </c>
      <c r="AK5497">
        <v>21.923241179142401</v>
      </c>
      <c r="AL5497">
        <v>84.500204703189894</v>
      </c>
      <c r="AM5497">
        <v>90.581020744710997</v>
      </c>
      <c r="AN5497">
        <v>1.0000000394067801</v>
      </c>
    </row>
    <row r="5498" spans="1:40" x14ac:dyDescent="0.25">
      <c r="A5498" t="str">
        <f>"20190312172226731"</f>
        <v>20190312172226731</v>
      </c>
      <c r="B5498" t="str">
        <f>"1552382546726414"</f>
        <v>1552382546726414</v>
      </c>
      <c r="C5498" t="s">
        <v>40</v>
      </c>
      <c r="D5498">
        <v>3.082138</v>
      </c>
      <c r="E5498">
        <v>0.51944429999999997</v>
      </c>
      <c r="F5498" t="s">
        <v>42</v>
      </c>
      <c r="G5498">
        <v>-356.10050000000001</v>
      </c>
      <c r="H5498" s="1">
        <v>-2.368874E-6</v>
      </c>
      <c r="I5498">
        <v>142.29859999999999</v>
      </c>
      <c r="J5498">
        <v>-335.0616</v>
      </c>
      <c r="K5498">
        <v>1.107594</v>
      </c>
      <c r="L5498">
        <v>141.3783</v>
      </c>
      <c r="M5498">
        <v>-0.99996200000000002</v>
      </c>
      <c r="N5498">
        <v>0</v>
      </c>
      <c r="O5498">
        <v>2.418141E-3</v>
      </c>
      <c r="P5498">
        <v>-0.99640700000000004</v>
      </c>
      <c r="Q5498">
        <v>8.4260399999999999E-2</v>
      </c>
      <c r="R5498">
        <v>-8.5765719999999993E-3</v>
      </c>
      <c r="S5498">
        <v>-3.0264890000000002</v>
      </c>
      <c r="T5498">
        <v>-0.15555920000000001</v>
      </c>
      <c r="U5498">
        <v>0.12942500000000001</v>
      </c>
      <c r="V5498">
        <v>-1.0707009999999999E-2</v>
      </c>
      <c r="W5498">
        <v>9.2638349999999994E-2</v>
      </c>
      <c r="X5498">
        <v>0.99564219999999903</v>
      </c>
      <c r="Y5498">
        <v>4.0259040000000003E-2</v>
      </c>
      <c r="Z5498">
        <v>9.0933340000000004E-4</v>
      </c>
      <c r="AA5498">
        <v>0.99918879999999999</v>
      </c>
      <c r="AB5498">
        <v>50</v>
      </c>
      <c r="AC5498">
        <v>-21.038900000000002</v>
      </c>
      <c r="AD5498">
        <v>-1.107596368874</v>
      </c>
      <c r="AE5498">
        <v>0.92029999999999701</v>
      </c>
      <c r="AF5498">
        <v>0.86702212353563901</v>
      </c>
      <c r="AG5498">
        <v>-1.107596368874</v>
      </c>
      <c r="AH5498">
        <v>20.9830203171908</v>
      </c>
      <c r="AI5498">
        <v>93.0190029499297</v>
      </c>
      <c r="AJ5498">
        <v>87.633874216402305</v>
      </c>
      <c r="AK5498">
        <v>21.030112665192298</v>
      </c>
      <c r="AL5498">
        <v>84.684591990009807</v>
      </c>
      <c r="AM5498">
        <v>90.616127799296905</v>
      </c>
      <c r="AN5498">
        <v>0.99999994718734897</v>
      </c>
    </row>
    <row r="5499" spans="1:40" x14ac:dyDescent="0.25">
      <c r="A5499" t="str">
        <f>"20190312172226745"</f>
        <v>20190312172226745</v>
      </c>
      <c r="B5499" t="str">
        <f>"1552382546736174"</f>
        <v>1552382546736174</v>
      </c>
      <c r="C5499" t="s">
        <v>40</v>
      </c>
      <c r="D5499">
        <v>3.0905179999999999</v>
      </c>
      <c r="E5499">
        <v>0.51936970000000005</v>
      </c>
      <c r="F5499" t="s">
        <v>42</v>
      </c>
      <c r="G5499">
        <v>-355.67180000000002</v>
      </c>
      <c r="H5499" s="1">
        <v>-2.5414919999999999E-6</v>
      </c>
      <c r="I5499">
        <v>142.2561</v>
      </c>
      <c r="J5499">
        <v>-335.37740000000002</v>
      </c>
      <c r="K5499">
        <v>1.1075759999999999</v>
      </c>
      <c r="L5499">
        <v>141.3794</v>
      </c>
      <c r="M5499">
        <v>-0.99996010000000002</v>
      </c>
      <c r="N5499">
        <v>0</v>
      </c>
      <c r="O5499">
        <v>3.0150239999999998E-3</v>
      </c>
      <c r="P5499">
        <v>-0.99653040000000004</v>
      </c>
      <c r="Q5499">
        <v>8.2807439999999996E-2</v>
      </c>
      <c r="R5499">
        <v>-8.3947799999999993E-3</v>
      </c>
      <c r="S5499">
        <v>-3.025665</v>
      </c>
      <c r="T5499">
        <v>-0.16259970000000001</v>
      </c>
      <c r="U5499">
        <v>0.12887570000000001</v>
      </c>
      <c r="V5499">
        <v>-1.112339E-2</v>
      </c>
      <c r="W5499">
        <v>9.1238600000000003E-2</v>
      </c>
      <c r="X5499">
        <v>0.99576690000000001</v>
      </c>
      <c r="Y5499">
        <v>3.949047E-2</v>
      </c>
      <c r="Z5499">
        <v>8.980266E-4</v>
      </c>
      <c r="AA5499">
        <v>0.99921950000000004</v>
      </c>
      <c r="AB5499">
        <v>50</v>
      </c>
      <c r="AC5499">
        <v>-20.2944</v>
      </c>
      <c r="AD5499">
        <v>-1.1075785414920001</v>
      </c>
      <c r="AE5499">
        <v>0.87669999999999904</v>
      </c>
      <c r="AF5499">
        <v>0.81308848090633101</v>
      </c>
      <c r="AG5499">
        <v>-1.1075785414920001</v>
      </c>
      <c r="AH5499">
        <v>20.236788251055302</v>
      </c>
      <c r="AI5499">
        <v>93.130206093738295</v>
      </c>
      <c r="AJ5499">
        <v>87.699165830407097</v>
      </c>
      <c r="AK5499">
        <v>20.283378461721</v>
      </c>
      <c r="AL5499">
        <v>84.765132980440498</v>
      </c>
      <c r="AM5499">
        <v>90.640006003020403</v>
      </c>
      <c r="AN5499">
        <v>0.99999996553532999</v>
      </c>
    </row>
    <row r="5500" spans="1:40" x14ac:dyDescent="0.25">
      <c r="A5500" t="str">
        <f>"20190312172226756"</f>
        <v>20190312172226756</v>
      </c>
      <c r="B5500" t="str">
        <f>"1552382546745935"</f>
        <v>1552382546745935</v>
      </c>
      <c r="C5500" t="s">
        <v>40</v>
      </c>
      <c r="D5500">
        <v>3.1250840000000002</v>
      </c>
      <c r="E5500">
        <v>0.51929040000000004</v>
      </c>
      <c r="F5500" t="s">
        <v>41</v>
      </c>
      <c r="G5500">
        <v>-336.43619999999999</v>
      </c>
      <c r="H5500">
        <v>1.0494669999999999</v>
      </c>
      <c r="I5500">
        <v>141.4247</v>
      </c>
      <c r="J5500">
        <v>-335.642</v>
      </c>
      <c r="K5500">
        <v>1.107561</v>
      </c>
      <c r="L5500">
        <v>141.38030000000001</v>
      </c>
      <c r="M5500">
        <v>-0.99995800000000001</v>
      </c>
      <c r="N5500">
        <v>0</v>
      </c>
      <c r="O5500">
        <v>3.5153110000000001E-3</v>
      </c>
      <c r="P5500">
        <v>-0.99669359999999996</v>
      </c>
      <c r="Q5500">
        <v>8.0833059999999998E-2</v>
      </c>
      <c r="R5500">
        <v>-8.2665629999999993E-3</v>
      </c>
      <c r="S5500">
        <v>-3.0253299999999999</v>
      </c>
      <c r="T5500">
        <v>-0.166046</v>
      </c>
      <c r="U5500">
        <v>0.1291504</v>
      </c>
      <c r="V5500">
        <v>-1.1499570000000001E-2</v>
      </c>
      <c r="W5500">
        <v>8.9306259999999998E-2</v>
      </c>
      <c r="X5500">
        <v>0.99593779999999998</v>
      </c>
      <c r="Y5500">
        <v>3.908491E-2</v>
      </c>
      <c r="Z5500">
        <v>8.7859029999999897E-4</v>
      </c>
      <c r="AA5500">
        <v>0.99923550000000005</v>
      </c>
      <c r="AB5500">
        <v>50</v>
      </c>
      <c r="AC5500">
        <v>-0.79419999999998903</v>
      </c>
      <c r="AD5500">
        <v>-5.8094E-2</v>
      </c>
      <c r="AE5500">
        <v>4.4399999999995998E-2</v>
      </c>
      <c r="AF5500">
        <v>4.13870100937598E-2</v>
      </c>
      <c r="AG5500">
        <v>-5.8094E-2</v>
      </c>
      <c r="AH5500">
        <v>0.79013664189786503</v>
      </c>
      <c r="AI5500">
        <v>94.199312058437201</v>
      </c>
      <c r="AJ5500">
        <v>87.001612386937595</v>
      </c>
      <c r="AK5500">
        <v>0.793349677197978</v>
      </c>
      <c r="AL5500">
        <v>84.876301866630797</v>
      </c>
      <c r="AM5500">
        <v>90.661534835646805</v>
      </c>
      <c r="AN5500">
        <v>0.99999997482710501</v>
      </c>
    </row>
    <row r="5501" spans="1:40" x14ac:dyDescent="0.25">
      <c r="A5501" t="str">
        <f>"20190312172226775"</f>
        <v>20190312172226775</v>
      </c>
      <c r="B5501" t="str">
        <f>"1552382546766430"</f>
        <v>1552382546766430</v>
      </c>
      <c r="C5501" t="s">
        <v>40</v>
      </c>
      <c r="D5501">
        <v>3.1051000000000002</v>
      </c>
      <c r="E5501">
        <v>0.51916079999999998</v>
      </c>
      <c r="F5501" t="s">
        <v>42</v>
      </c>
      <c r="G5501">
        <v>-355.22919999999999</v>
      </c>
      <c r="H5501" s="1">
        <v>-2.7207000000000001E-6</v>
      </c>
      <c r="I5501">
        <v>142.21610000000001</v>
      </c>
      <c r="J5501">
        <v>-336.04390000000001</v>
      </c>
      <c r="K5501">
        <v>1.1075349999999999</v>
      </c>
      <c r="L5501">
        <v>141.38210000000001</v>
      </c>
      <c r="M5501">
        <v>-0.99995449999999997</v>
      </c>
      <c r="N5501">
        <v>0</v>
      </c>
      <c r="O5501">
        <v>4.2760300000000001E-3</v>
      </c>
      <c r="P5501">
        <v>-0.99706249999999996</v>
      </c>
      <c r="Q5501">
        <v>7.6160829999999999E-2</v>
      </c>
      <c r="R5501">
        <v>-8.1139999999999997E-3</v>
      </c>
      <c r="S5501">
        <v>-3.0249329999999999</v>
      </c>
      <c r="T5501">
        <v>-0.17104539999999999</v>
      </c>
      <c r="U5501">
        <v>0.12908939999999999</v>
      </c>
      <c r="V5501">
        <v>-1.2119939999999999E-2</v>
      </c>
      <c r="W5501">
        <v>8.4694199999999997E-2</v>
      </c>
      <c r="X5501">
        <v>0.99633329999999998</v>
      </c>
      <c r="Y5501">
        <v>3.8309349999999999E-2</v>
      </c>
      <c r="Z5501">
        <v>8.4026009999999896E-4</v>
      </c>
      <c r="AA5501">
        <v>0.99926559999999998</v>
      </c>
      <c r="AB5501">
        <v>50</v>
      </c>
      <c r="AC5501">
        <v>-19.185299999999899</v>
      </c>
      <c r="AD5501">
        <v>-1.1075377206999999</v>
      </c>
      <c r="AE5501">
        <v>0.83400000000000296</v>
      </c>
      <c r="AF5501">
        <v>0.74945955479411397</v>
      </c>
      <c r="AG5501">
        <v>-1.1075377206999999</v>
      </c>
      <c r="AH5501">
        <v>19.125075405666198</v>
      </c>
      <c r="AI5501">
        <v>93.311774527931405</v>
      </c>
      <c r="AJ5501">
        <v>87.755882885729207</v>
      </c>
      <c r="AK5501">
        <v>19.1717719238328</v>
      </c>
      <c r="AL5501">
        <v>85.141559699627607</v>
      </c>
      <c r="AM5501">
        <v>90.696942639974296</v>
      </c>
      <c r="AN5501">
        <v>1.00000002257406</v>
      </c>
    </row>
    <row r="5502" spans="1:40" x14ac:dyDescent="0.25">
      <c r="A5502" t="str">
        <f>"20190312172226790"</f>
        <v>20190312172226790</v>
      </c>
      <c r="B5502" t="str">
        <f>"1552382546785950"</f>
        <v>1552382546785950</v>
      </c>
      <c r="C5502" t="s">
        <v>40</v>
      </c>
      <c r="D5502">
        <v>3.132682</v>
      </c>
      <c r="E5502">
        <v>0.51903109999999997</v>
      </c>
      <c r="F5502" t="s">
        <v>42</v>
      </c>
      <c r="G5502">
        <v>-354.35169999999999</v>
      </c>
      <c r="H5502" s="1">
        <v>-3.082719E-6</v>
      </c>
      <c r="I5502">
        <v>142.1619</v>
      </c>
      <c r="J5502">
        <v>-336.38209999999998</v>
      </c>
      <c r="K5502">
        <v>1.1075159999999999</v>
      </c>
      <c r="L5502">
        <v>141.38380000000001</v>
      </c>
      <c r="M5502">
        <v>-0.99995120000000004</v>
      </c>
      <c r="N5502">
        <v>0</v>
      </c>
      <c r="O5502">
        <v>4.9157810000000001E-3</v>
      </c>
      <c r="P5502">
        <v>-0.99724840000000003</v>
      </c>
      <c r="Q5502">
        <v>7.3723730000000001E-2</v>
      </c>
      <c r="R5502">
        <v>-7.7726829999999998E-3</v>
      </c>
      <c r="S5502">
        <v>-3.0238649999999998</v>
      </c>
      <c r="T5502">
        <v>-0.18293000000000001</v>
      </c>
      <c r="U5502">
        <v>0.1288147</v>
      </c>
      <c r="V5502">
        <v>-1.242364E-2</v>
      </c>
      <c r="W5502">
        <v>8.2302180000000003E-2</v>
      </c>
      <c r="X5502">
        <v>0.99653000000000003</v>
      </c>
      <c r="Y5502">
        <v>3.7589119999999997E-2</v>
      </c>
      <c r="Z5502">
        <v>8.3845449999999896E-4</v>
      </c>
      <c r="AA5502">
        <v>0.99929290000000004</v>
      </c>
      <c r="AB5502">
        <v>50</v>
      </c>
      <c r="AC5502">
        <v>-17.9696</v>
      </c>
      <c r="AD5502">
        <v>-1.107519082719</v>
      </c>
      <c r="AE5502">
        <v>0.77809999999999402</v>
      </c>
      <c r="AF5502">
        <v>0.68714741055196005</v>
      </c>
      <c r="AG5502">
        <v>-1.107519082719</v>
      </c>
      <c r="AH5502">
        <v>17.905319794620301</v>
      </c>
      <c r="AI5502">
        <v>93.536877850536698</v>
      </c>
      <c r="AJ5502">
        <v>87.802254523287203</v>
      </c>
      <c r="AK5502">
        <v>17.952694701075799</v>
      </c>
      <c r="AL5502">
        <v>85.279092635177193</v>
      </c>
      <c r="AM5502">
        <v>90.714263758885593</v>
      </c>
      <c r="AN5502">
        <v>1.0000000182818001</v>
      </c>
    </row>
    <row r="5503" spans="1:40" x14ac:dyDescent="0.25">
      <c r="A5503" t="str">
        <f>"20190312172226803"</f>
        <v>20190312172226803</v>
      </c>
      <c r="B5503" t="str">
        <f>"1552382546796687"</f>
        <v>1552382546796687</v>
      </c>
      <c r="C5503" t="s">
        <v>40</v>
      </c>
      <c r="D5503">
        <v>3.1255600000000001</v>
      </c>
      <c r="E5503">
        <v>0.51896819999999999</v>
      </c>
      <c r="F5503" t="s">
        <v>41</v>
      </c>
      <c r="G5503">
        <v>-337.32749999999999</v>
      </c>
      <c r="H5503">
        <v>1.048681</v>
      </c>
      <c r="I5503">
        <v>141.42439999999999</v>
      </c>
      <c r="J5503">
        <v>-336.65750000000003</v>
      </c>
      <c r="K5503">
        <v>1.107497</v>
      </c>
      <c r="L5503">
        <v>141.3854</v>
      </c>
      <c r="M5503">
        <v>-0.99994830000000001</v>
      </c>
      <c r="N5503">
        <v>0</v>
      </c>
      <c r="O5503">
        <v>5.4371209999999996E-3</v>
      </c>
      <c r="P5503">
        <v>-0.99744630000000001</v>
      </c>
      <c r="Q5503">
        <v>7.0992399999999997E-2</v>
      </c>
      <c r="R5503">
        <v>-7.8126489999999996E-3</v>
      </c>
      <c r="S5503">
        <v>-3.023193</v>
      </c>
      <c r="T5503">
        <v>-0.1881632</v>
      </c>
      <c r="U5503">
        <v>0.12896730000000001</v>
      </c>
      <c r="V5503">
        <v>-1.2992439999999999E-2</v>
      </c>
      <c r="W5503">
        <v>7.9606910000000003E-2</v>
      </c>
      <c r="X5503">
        <v>0.99674169999999995</v>
      </c>
      <c r="Y5503">
        <v>3.7126319999999997E-2</v>
      </c>
      <c r="Z5503">
        <v>8.1580189999999999E-4</v>
      </c>
      <c r="AA5503">
        <v>0.99931029999999998</v>
      </c>
      <c r="AB5503">
        <v>50</v>
      </c>
      <c r="AC5503">
        <v>-0.66999999999995896</v>
      </c>
      <c r="AD5503">
        <v>-5.8815999999999903E-2</v>
      </c>
      <c r="AE5503">
        <v>3.8999999999987198E-2</v>
      </c>
      <c r="AF5503">
        <v>3.50869433009353E-2</v>
      </c>
      <c r="AG5503">
        <v>-5.8815999999999903E-2</v>
      </c>
      <c r="AH5503">
        <v>0.66509409791401397</v>
      </c>
      <c r="AI5503">
        <v>95.046686850867601</v>
      </c>
      <c r="AJ5503">
        <v>86.980168803591994</v>
      </c>
      <c r="AK5503">
        <v>0.66861092911068898</v>
      </c>
      <c r="AL5503">
        <v>85.434028908029703</v>
      </c>
      <c r="AM5503">
        <v>90.746803129766704</v>
      </c>
      <c r="AN5503">
        <v>1.0000000400678899</v>
      </c>
    </row>
    <row r="5504" spans="1:40" x14ac:dyDescent="0.25">
      <c r="A5504" t="str">
        <f>"20190312172226815"</f>
        <v>20190312172226815</v>
      </c>
      <c r="B5504" t="str">
        <f>"1552382546806447"</f>
        <v>1552382546806447</v>
      </c>
      <c r="C5504" t="s">
        <v>40</v>
      </c>
      <c r="D5504">
        <v>3.1392760000000002</v>
      </c>
      <c r="E5504">
        <v>0.51890930000000002</v>
      </c>
      <c r="F5504" t="s">
        <v>41</v>
      </c>
      <c r="G5504">
        <v>-337.76510000000002</v>
      </c>
      <c r="H5504">
        <v>1.0359</v>
      </c>
      <c r="I5504">
        <v>141.43270000000001</v>
      </c>
      <c r="J5504">
        <v>-336.93799999999999</v>
      </c>
      <c r="K5504">
        <v>1.1074809999999999</v>
      </c>
      <c r="L5504">
        <v>141.3871</v>
      </c>
      <c r="M5504">
        <v>-0.99994499999999997</v>
      </c>
      <c r="N5504">
        <v>0</v>
      </c>
      <c r="O5504">
        <v>5.9679429999999999E-3</v>
      </c>
      <c r="P5504">
        <v>-0.99766589999999999</v>
      </c>
      <c r="Q5504">
        <v>6.784627E-2</v>
      </c>
      <c r="R5504">
        <v>-7.7221210000000002E-3</v>
      </c>
      <c r="S5504">
        <v>-3.0226139999999999</v>
      </c>
      <c r="T5504">
        <v>-0.19532730000000001</v>
      </c>
      <c r="U5504">
        <v>0.12857060000000001</v>
      </c>
      <c r="V5504">
        <v>-1.3442010000000001E-2</v>
      </c>
      <c r="W5504">
        <v>7.6495060000000004E-2</v>
      </c>
      <c r="X5504">
        <v>0.99697939999999996</v>
      </c>
      <c r="Y5504">
        <v>3.6470759999999998E-2</v>
      </c>
      <c r="Z5504">
        <v>7.9156309999999896E-4</v>
      </c>
      <c r="AA5504">
        <v>0.99933439999999996</v>
      </c>
      <c r="AB5504">
        <v>50</v>
      </c>
      <c r="AC5504">
        <v>-0.82709999999997297</v>
      </c>
      <c r="AD5504">
        <v>-7.1580999999999895E-2</v>
      </c>
      <c r="AE5504">
        <v>4.5600000000007399E-2</v>
      </c>
      <c r="AF5504">
        <v>4.0361528517165103E-2</v>
      </c>
      <c r="AG5504">
        <v>-7.1580999999999895E-2</v>
      </c>
      <c r="AH5504">
        <v>0.82122511457431802</v>
      </c>
      <c r="AI5504">
        <v>94.975545081750397</v>
      </c>
      <c r="AJ5504">
        <v>87.186294121561005</v>
      </c>
      <c r="AK5504">
        <v>0.82532634839367802</v>
      </c>
      <c r="AL5504">
        <v>85.612870482104995</v>
      </c>
      <c r="AM5504">
        <v>90.772457061798505</v>
      </c>
      <c r="AN5504">
        <v>1.0000000529308</v>
      </c>
    </row>
    <row r="5505" spans="1:40" x14ac:dyDescent="0.25">
      <c r="A5505" t="str">
        <f>"20190312172226827"</f>
        <v>20190312172226827</v>
      </c>
      <c r="B5505" t="str">
        <f>"1552382546816207"</f>
        <v>1552382546816207</v>
      </c>
      <c r="C5505" t="s">
        <v>40</v>
      </c>
      <c r="D5505">
        <v>3.112012</v>
      </c>
      <c r="E5505">
        <v>0.51886579999999904</v>
      </c>
      <c r="F5505" t="s">
        <v>41</v>
      </c>
      <c r="G5505">
        <v>-337.77809999999999</v>
      </c>
      <c r="H5505">
        <v>1.050808</v>
      </c>
      <c r="I5505">
        <v>141.423</v>
      </c>
      <c r="J5505">
        <v>-337.20760000000001</v>
      </c>
      <c r="K5505">
        <v>1.1074619999999999</v>
      </c>
      <c r="L5505">
        <v>141.38890000000001</v>
      </c>
      <c r="M5505">
        <v>-0.99994170000000004</v>
      </c>
      <c r="N5505">
        <v>0</v>
      </c>
      <c r="O5505">
        <v>6.4779099999999999E-3</v>
      </c>
      <c r="P5505">
        <v>-0.99785999999999997</v>
      </c>
      <c r="Q5505">
        <v>6.4964930000000004E-2</v>
      </c>
      <c r="R5505">
        <v>-7.4547340000000002E-3</v>
      </c>
      <c r="S5505">
        <v>-3.0218509999999998</v>
      </c>
      <c r="T5505">
        <v>-0.20374719999999999</v>
      </c>
      <c r="U5505">
        <v>0.12849430000000001</v>
      </c>
      <c r="V5505">
        <v>-1.3692640000000001E-2</v>
      </c>
      <c r="W5505">
        <v>7.3643539999999993E-2</v>
      </c>
      <c r="X5505">
        <v>0.99719060000000004</v>
      </c>
      <c r="Y5505">
        <v>3.5943349999999999E-2</v>
      </c>
      <c r="Z5505">
        <v>7.7373669999999896E-4</v>
      </c>
      <c r="AA5505">
        <v>0.99935350000000001</v>
      </c>
      <c r="AB5505">
        <v>50</v>
      </c>
      <c r="AC5505">
        <v>-0.57049999999998102</v>
      </c>
      <c r="AD5505">
        <v>-5.6654000000000197E-2</v>
      </c>
      <c r="AE5505">
        <v>3.40999999999951E-2</v>
      </c>
      <c r="AF5505">
        <v>3.01076446520828E-2</v>
      </c>
      <c r="AG5505">
        <v>-5.6654000000000197E-2</v>
      </c>
      <c r="AH5505">
        <v>0.56515540671428899</v>
      </c>
      <c r="AI5505">
        <v>95.716438723714106</v>
      </c>
      <c r="AJ5505">
        <v>86.950552337720296</v>
      </c>
      <c r="AK5505">
        <v>0.56878535469972302</v>
      </c>
      <c r="AL5505">
        <v>85.776712576962296</v>
      </c>
      <c r="AM5505">
        <v>90.786691311765694</v>
      </c>
      <c r="AN5505">
        <v>0.99999997605113</v>
      </c>
    </row>
    <row r="5506" spans="1:40" x14ac:dyDescent="0.25">
      <c r="A5506" t="str">
        <f>"20190312172226844"</f>
        <v>20190312172226844</v>
      </c>
      <c r="B5506" t="str">
        <f>"1552382546835727"</f>
        <v>1552382546835727</v>
      </c>
      <c r="C5506" t="s">
        <v>40</v>
      </c>
      <c r="D5506">
        <v>3.1121989999999999</v>
      </c>
      <c r="E5506">
        <v>0.51875280000000001</v>
      </c>
      <c r="F5506" t="s">
        <v>41</v>
      </c>
      <c r="G5506">
        <v>-338.21280000000002</v>
      </c>
      <c r="H5506">
        <v>1.0371790000000001</v>
      </c>
      <c r="I5506">
        <v>141.4323</v>
      </c>
      <c r="J5506">
        <v>-337.57029999999997</v>
      </c>
      <c r="K5506">
        <v>1.1074329999999999</v>
      </c>
      <c r="L5506">
        <v>141.39150000000001</v>
      </c>
      <c r="M5506">
        <v>-0.99993659999999995</v>
      </c>
      <c r="N5506">
        <v>0</v>
      </c>
      <c r="O5506">
        <v>7.1639889999999999E-3</v>
      </c>
      <c r="P5506">
        <v>-0.99829489999999999</v>
      </c>
      <c r="Q5506">
        <v>5.7873399999999998E-2</v>
      </c>
      <c r="R5506">
        <v>-7.6130109999999898E-3</v>
      </c>
      <c r="S5506">
        <v>-3.021118</v>
      </c>
      <c r="T5506">
        <v>-0.21125910000000001</v>
      </c>
      <c r="U5506">
        <v>0.129303</v>
      </c>
      <c r="V5506">
        <v>-1.456004E-2</v>
      </c>
      <c r="W5506">
        <v>6.6593739999999998E-2</v>
      </c>
      <c r="X5506">
        <v>0.9976739</v>
      </c>
      <c r="Y5506">
        <v>3.5532620000000001E-2</v>
      </c>
      <c r="Z5506">
        <v>7.401552E-4</v>
      </c>
      <c r="AA5506">
        <v>0.99936829999999999</v>
      </c>
      <c r="AB5506">
        <v>50</v>
      </c>
      <c r="AC5506">
        <v>-0.64250000000004004</v>
      </c>
      <c r="AD5506">
        <v>-7.0253999999999803E-2</v>
      </c>
      <c r="AE5506">
        <v>4.0799999999990101E-2</v>
      </c>
      <c r="AF5506">
        <v>3.5769958543098203E-2</v>
      </c>
      <c r="AG5506">
        <v>-7.0253999999999803E-2</v>
      </c>
      <c r="AH5506">
        <v>0.635211552564934</v>
      </c>
      <c r="AI5506">
        <v>96.301324865211598</v>
      </c>
      <c r="AJ5506">
        <v>86.776970671577303</v>
      </c>
      <c r="AK5506">
        <v>0.64008501854216904</v>
      </c>
      <c r="AL5506">
        <v>86.181633836530395</v>
      </c>
      <c r="AM5506">
        <v>90.836114509142604</v>
      </c>
      <c r="AN5506">
        <v>0.999999965856599</v>
      </c>
    </row>
    <row r="5507" spans="1:40" x14ac:dyDescent="0.25">
      <c r="A5507" t="str">
        <f>"20190312172226866"</f>
        <v>20190312172226866</v>
      </c>
      <c r="B5507" t="str">
        <f>"1552382546856222"</f>
        <v>1552382546856222</v>
      </c>
      <c r="C5507" t="s">
        <v>40</v>
      </c>
      <c r="D5507">
        <v>3.2690929999999998</v>
      </c>
      <c r="E5507">
        <v>0.51863210000000004</v>
      </c>
      <c r="F5507" t="s">
        <v>41</v>
      </c>
      <c r="G5507">
        <v>-338.6542</v>
      </c>
      <c r="H5507">
        <v>1.0247329999999999</v>
      </c>
      <c r="I5507">
        <v>141.4375</v>
      </c>
      <c r="J5507">
        <v>-338.06909999999999</v>
      </c>
      <c r="K5507">
        <v>1.107386</v>
      </c>
      <c r="L5507">
        <v>141.3956</v>
      </c>
      <c r="M5507">
        <v>-0.99992910000000002</v>
      </c>
      <c r="N5507">
        <v>0</v>
      </c>
      <c r="O5507">
        <v>8.106528E-3</v>
      </c>
      <c r="P5507">
        <v>-0.99884430000000002</v>
      </c>
      <c r="Q5507">
        <v>4.7388630000000001E-2</v>
      </c>
      <c r="R5507">
        <v>-8.0408449999999996E-3</v>
      </c>
      <c r="S5507">
        <v>-3.0194700000000001</v>
      </c>
      <c r="T5507">
        <v>-0.23037360000000001</v>
      </c>
      <c r="U5507">
        <v>0.12812809999999999</v>
      </c>
      <c r="V5507">
        <v>-1.5964639999999999E-2</v>
      </c>
      <c r="W5507">
        <v>5.6161229999999999E-2</v>
      </c>
      <c r="X5507">
        <v>0.99829409999999996</v>
      </c>
      <c r="Y5507">
        <v>3.4219109999999997E-2</v>
      </c>
      <c r="Z5507">
        <v>6.8559969999999997E-4</v>
      </c>
      <c r="AA5507">
        <v>0.99941409999999997</v>
      </c>
      <c r="AB5507">
        <v>50</v>
      </c>
      <c r="AC5507">
        <v>-0.58510000000001094</v>
      </c>
      <c r="AD5507">
        <v>-8.2653000000000004E-2</v>
      </c>
      <c r="AE5507">
        <v>4.1899999999998203E-2</v>
      </c>
      <c r="AF5507">
        <v>3.6432012700936198E-2</v>
      </c>
      <c r="AG5507">
        <v>-8.2653000000000004E-2</v>
      </c>
      <c r="AH5507">
        <v>0.57402410152920202</v>
      </c>
      <c r="AI5507">
        <v>98.177400418475401</v>
      </c>
      <c r="AJ5507">
        <v>86.368437273592093</v>
      </c>
      <c r="AK5507">
        <v>0.58108732484442405</v>
      </c>
      <c r="AL5507">
        <v>86.780504709933894</v>
      </c>
      <c r="AM5507">
        <v>90.916191460276096</v>
      </c>
      <c r="AN5507">
        <v>1.0000000317901201</v>
      </c>
    </row>
    <row r="5508" spans="1:40" x14ac:dyDescent="0.25">
      <c r="A5508" t="str">
        <f>"20190312172226888"</f>
        <v>20190312172226888</v>
      </c>
      <c r="B5508" t="str">
        <f>"1552382546875742"</f>
        <v>1552382546875742</v>
      </c>
      <c r="C5508" t="s">
        <v>40</v>
      </c>
      <c r="D5508">
        <v>3.0924589999999998</v>
      </c>
      <c r="E5508">
        <v>0.51268779999999903</v>
      </c>
      <c r="F5508" t="s">
        <v>41</v>
      </c>
      <c r="G5508">
        <v>-339.0994</v>
      </c>
      <c r="H5508">
        <v>1.0188489999999999</v>
      </c>
      <c r="I5508">
        <v>141.4391</v>
      </c>
      <c r="J5508">
        <v>-338.56689999999998</v>
      </c>
      <c r="K5508">
        <v>1.1073309999999901</v>
      </c>
      <c r="L5508">
        <v>141.40010000000001</v>
      </c>
      <c r="M5508">
        <v>-0.99992060000000005</v>
      </c>
      <c r="N5508">
        <v>0</v>
      </c>
      <c r="O5508">
        <v>9.0469899999999995E-3</v>
      </c>
      <c r="P5508">
        <v>-0.99924310000000005</v>
      </c>
      <c r="Q5508">
        <v>3.7891439999999998E-2</v>
      </c>
      <c r="R5508">
        <v>-8.8095829999999993E-3</v>
      </c>
      <c r="S5508">
        <v>-3.0168149999999998</v>
      </c>
      <c r="T5508">
        <v>-0.2592257</v>
      </c>
      <c r="U5508">
        <v>0.12664790000000001</v>
      </c>
      <c r="V5508">
        <v>-1.7704540000000001E-2</v>
      </c>
      <c r="W5508">
        <v>4.6711429999999998E-2</v>
      </c>
      <c r="X5508">
        <v>0.99875150000000001</v>
      </c>
      <c r="Y5508">
        <v>3.2815219999999999E-2</v>
      </c>
      <c r="Z5508">
        <v>6.3105099999999999E-4</v>
      </c>
      <c r="AA5508">
        <v>0.99946120000000005</v>
      </c>
      <c r="AB5508">
        <v>50</v>
      </c>
      <c r="AC5508">
        <v>-0.53250000000002695</v>
      </c>
      <c r="AD5508">
        <v>-8.8481999999999894E-2</v>
      </c>
      <c r="AE5508">
        <v>3.8999999999987198E-2</v>
      </c>
      <c r="AF5508">
        <v>3.32670837795268E-2</v>
      </c>
      <c r="AG5508">
        <v>-8.8481999999999894E-2</v>
      </c>
      <c r="AH5508">
        <v>0.51858906277396899</v>
      </c>
      <c r="AI5508">
        <v>99.663116825571805</v>
      </c>
      <c r="AJ5508">
        <v>86.3295497167056</v>
      </c>
      <c r="AK5508">
        <v>0.52713411881225902</v>
      </c>
      <c r="AL5508">
        <v>87.322657918236402</v>
      </c>
      <c r="AM5508">
        <v>91.015557110489894</v>
      </c>
      <c r="AN5508">
        <v>0.99999998359075304</v>
      </c>
    </row>
    <row r="5509" spans="1:40" x14ac:dyDescent="0.25">
      <c r="A5509" t="str">
        <f>"20190312172226910"</f>
        <v>20190312172226910</v>
      </c>
      <c r="B5509" t="str">
        <f>"1552382546905998"</f>
        <v>1552382546905998</v>
      </c>
      <c r="C5509" t="s">
        <v>40</v>
      </c>
      <c r="D5509">
        <v>3.1019709999999998</v>
      </c>
      <c r="E5509">
        <v>0.51241709999999996</v>
      </c>
      <c r="F5509" t="s">
        <v>42</v>
      </c>
      <c r="G5509">
        <v>-363.37869999999998</v>
      </c>
      <c r="H5509" s="1">
        <v>-3.465443E-6</v>
      </c>
      <c r="I5509">
        <v>142.03139999999999</v>
      </c>
      <c r="J5509">
        <v>-339.06450000000001</v>
      </c>
      <c r="K5509">
        <v>1.1072900000000001</v>
      </c>
      <c r="L5509">
        <v>141.405</v>
      </c>
      <c r="M5509">
        <v>-0.99991140000000001</v>
      </c>
      <c r="N5509">
        <v>0</v>
      </c>
      <c r="O5509">
        <v>9.9864499999999991E-3</v>
      </c>
      <c r="P5509">
        <v>-0.99951020000000002</v>
      </c>
      <c r="Q5509">
        <v>2.9709670000000001E-2</v>
      </c>
      <c r="R5509">
        <v>-9.840428E-3</v>
      </c>
      <c r="S5509">
        <v>-3.0080260000000001</v>
      </c>
      <c r="T5509">
        <v>-0.13424630000000001</v>
      </c>
      <c r="U5509">
        <v>7.6553339999999998E-2</v>
      </c>
      <c r="V5509">
        <v>-1.9702049999999999E-2</v>
      </c>
      <c r="W5509">
        <v>3.8572580000000002E-2</v>
      </c>
      <c r="X5509">
        <v>0.99906150000000005</v>
      </c>
      <c r="Y5509">
        <v>1.545115E-2</v>
      </c>
      <c r="Z5509">
        <v>-1.008326E-4</v>
      </c>
      <c r="AA5509">
        <v>0.99988060000000001</v>
      </c>
      <c r="AB5509">
        <v>50</v>
      </c>
      <c r="AC5509">
        <v>-24.3141999999999</v>
      </c>
      <c r="AD5509">
        <v>-1.10729346544299</v>
      </c>
      <c r="AE5509">
        <v>0.62639999999998897</v>
      </c>
      <c r="AF5509">
        <v>0.38275351566551302</v>
      </c>
      <c r="AG5509">
        <v>-1.10729346544299</v>
      </c>
      <c r="AH5509">
        <v>24.268943186003199</v>
      </c>
      <c r="AI5509">
        <v>92.612037962407996</v>
      </c>
      <c r="AJ5509">
        <v>89.0964442547196</v>
      </c>
      <c r="AK5509">
        <v>24.297205650811399</v>
      </c>
      <c r="AL5509">
        <v>87.789405444310802</v>
      </c>
      <c r="AM5509">
        <v>91.129758289045796</v>
      </c>
      <c r="AN5509">
        <v>0.99999994774215295</v>
      </c>
    </row>
    <row r="5510" spans="1:40" x14ac:dyDescent="0.25">
      <c r="A5510" t="str">
        <f>"20190312172226932"</f>
        <v>20190312172226932</v>
      </c>
      <c r="B5510" t="str">
        <f>"1552382546926498"</f>
        <v>1552382546926498</v>
      </c>
      <c r="C5510" t="s">
        <v>40</v>
      </c>
      <c r="D5510">
        <v>3.0973470000000001</v>
      </c>
      <c r="E5510">
        <v>0.51224529999999902</v>
      </c>
      <c r="F5510" t="s">
        <v>42</v>
      </c>
      <c r="G5510">
        <v>-361.483</v>
      </c>
      <c r="H5510" s="1">
        <v>-4.1826340000000001E-6</v>
      </c>
      <c r="I5510">
        <v>141.9349</v>
      </c>
      <c r="J5510">
        <v>-339.55799999999999</v>
      </c>
      <c r="K5510">
        <v>1.107253</v>
      </c>
      <c r="L5510">
        <v>141.41040000000001</v>
      </c>
      <c r="M5510">
        <v>-0.99990140000000005</v>
      </c>
      <c r="N5510">
        <v>0</v>
      </c>
      <c r="O5510">
        <v>1.091781E-2</v>
      </c>
      <c r="P5510">
        <v>-0.99967779999999995</v>
      </c>
      <c r="Q5510">
        <v>2.268214E-2</v>
      </c>
      <c r="R5510">
        <v>-1.139687E-2</v>
      </c>
      <c r="S5510">
        <v>-3.0065919999999999</v>
      </c>
      <c r="T5510">
        <v>-0.14850169999999999</v>
      </c>
      <c r="U5510">
        <v>7.1075440000000004E-2</v>
      </c>
      <c r="V5510">
        <v>-2.2212760000000002E-2</v>
      </c>
      <c r="W5510">
        <v>3.158503E-2</v>
      </c>
      <c r="X5510">
        <v>0.99925419999999998</v>
      </c>
      <c r="Y5510">
        <v>1.271449E-2</v>
      </c>
      <c r="Z5510">
        <v>-2.2508289999999999E-4</v>
      </c>
      <c r="AA5510">
        <v>0.99991909999999895</v>
      </c>
      <c r="AB5510">
        <v>50</v>
      </c>
      <c r="AC5510">
        <v>-21.924999999999901</v>
      </c>
      <c r="AD5510">
        <v>-1.1072571826340001</v>
      </c>
      <c r="AE5510">
        <v>0.52449999999998898</v>
      </c>
      <c r="AF5510">
        <v>0.28436158061314998</v>
      </c>
      <c r="AG5510">
        <v>-1.1072571826340001</v>
      </c>
      <c r="AH5510">
        <v>21.8736638539261</v>
      </c>
      <c r="AI5510">
        <v>92.897626677766297</v>
      </c>
      <c r="AJ5510">
        <v>89.255186475479306</v>
      </c>
      <c r="AK5510">
        <v>21.903516849391501</v>
      </c>
      <c r="AL5510">
        <v>88.190010034061899</v>
      </c>
      <c r="AM5510">
        <v>91.273437559485501</v>
      </c>
      <c r="AN5510">
        <v>0.999999988522279</v>
      </c>
    </row>
    <row r="5511" spans="1:40" x14ac:dyDescent="0.25">
      <c r="A5511" t="str">
        <f>"20190312172226947"</f>
        <v>20190312172226947</v>
      </c>
      <c r="B5511" t="str">
        <f>"1552382546936254"</f>
        <v>1552382546936254</v>
      </c>
      <c r="C5511" t="s">
        <v>40</v>
      </c>
      <c r="D5511">
        <v>3.0951040000000001</v>
      </c>
      <c r="E5511">
        <v>0.51125759999999998</v>
      </c>
      <c r="F5511" t="s">
        <v>42</v>
      </c>
      <c r="G5511">
        <v>-359.92469999999997</v>
      </c>
      <c r="H5511" s="1">
        <v>-6.0900909999999999E-7</v>
      </c>
      <c r="I5511">
        <v>141.8502</v>
      </c>
      <c r="J5511">
        <v>-339.89389999999997</v>
      </c>
      <c r="K5511">
        <v>1.1072379999999999</v>
      </c>
      <c r="L5511">
        <v>141.4143</v>
      </c>
      <c r="M5511">
        <v>-0.99989399999999995</v>
      </c>
      <c r="N5511">
        <v>0</v>
      </c>
      <c r="O5511">
        <v>1.1551779999999999E-2</v>
      </c>
      <c r="P5511">
        <v>-0.99972890000000003</v>
      </c>
      <c r="Q5511">
        <v>2.0000210000000001E-2</v>
      </c>
      <c r="R5511">
        <v>-1.192531E-2</v>
      </c>
      <c r="S5511">
        <v>-3.0053709999999998</v>
      </c>
      <c r="T5511">
        <v>-0.16338939999999999</v>
      </c>
      <c r="U5511">
        <v>6.4910889999999999E-2</v>
      </c>
      <c r="V5511">
        <v>-2.3383439999999998E-2</v>
      </c>
      <c r="W5511">
        <v>2.8926449999999999E-2</v>
      </c>
      <c r="X5511">
        <v>0.99930799999999997</v>
      </c>
      <c r="Y5511">
        <v>1.004451E-2</v>
      </c>
      <c r="Z5511">
        <v>-3.5467410000000001E-4</v>
      </c>
      <c r="AA5511">
        <v>0.99994950000000005</v>
      </c>
      <c r="AB5511">
        <v>50</v>
      </c>
      <c r="AC5511">
        <v>-20.030799999999999</v>
      </c>
      <c r="AD5511">
        <v>-1.1072386090091</v>
      </c>
      <c r="AE5511">
        <v>0.43590000000000301</v>
      </c>
      <c r="AF5511">
        <v>0.203847862581225</v>
      </c>
      <c r="AG5511">
        <v>-1.1072386090091</v>
      </c>
      <c r="AH5511">
        <v>19.973498340344701</v>
      </c>
      <c r="AI5511">
        <v>93.172801205968199</v>
      </c>
      <c r="AJ5511">
        <v>89.415264341997499</v>
      </c>
      <c r="AK5511">
        <v>20.005203504091401</v>
      </c>
      <c r="AL5511">
        <v>88.342405284395895</v>
      </c>
      <c r="AM5511">
        <v>91.340455570471605</v>
      </c>
      <c r="AN5511">
        <v>1.00000000181991</v>
      </c>
    </row>
    <row r="5512" spans="1:40" x14ac:dyDescent="0.25">
      <c r="A5512" t="str">
        <f>"20190312172226961"</f>
        <v>20190312172226961</v>
      </c>
      <c r="B5512" t="str">
        <f>"1552382546955774"</f>
        <v>1552382546955774</v>
      </c>
      <c r="C5512" t="s">
        <v>40</v>
      </c>
      <c r="D5512">
        <v>3.1261429999999999</v>
      </c>
      <c r="E5512">
        <v>0.51131729999999997</v>
      </c>
      <c r="F5512" t="s">
        <v>42</v>
      </c>
      <c r="G5512">
        <v>-372.2534</v>
      </c>
      <c r="H5512" s="1">
        <v>-3.9334679999999997E-6</v>
      </c>
      <c r="I5512">
        <v>142.00819999999999</v>
      </c>
      <c r="J5512">
        <v>-340.19529999999997</v>
      </c>
      <c r="K5512">
        <v>1.107227</v>
      </c>
      <c r="L5512">
        <v>141.41800000000001</v>
      </c>
      <c r="M5512">
        <v>-0.99988719999999998</v>
      </c>
      <c r="N5512">
        <v>0</v>
      </c>
      <c r="O5512">
        <v>1.212036E-2</v>
      </c>
      <c r="P5512">
        <v>-0.99975650000000005</v>
      </c>
      <c r="Q5512">
        <v>1.8198969999999998E-2</v>
      </c>
      <c r="R5512">
        <v>-1.248603E-2</v>
      </c>
      <c r="S5512">
        <v>-3.0035099999999999</v>
      </c>
      <c r="T5512">
        <v>-0.102770899999999</v>
      </c>
      <c r="U5512">
        <v>5.5129999999999998E-2</v>
      </c>
      <c r="V5512">
        <v>-2.4517790000000001E-2</v>
      </c>
      <c r="W5512">
        <v>2.714569E-2</v>
      </c>
      <c r="X5512">
        <v>0.99933079999999996</v>
      </c>
      <c r="Y5512">
        <v>6.2354029999999996E-3</v>
      </c>
      <c r="Z5512">
        <v>-3.0792470000000002E-4</v>
      </c>
      <c r="AA5512">
        <v>0.99998050000000005</v>
      </c>
      <c r="AB5512">
        <v>50</v>
      </c>
      <c r="AC5512">
        <v>-32.058100000000003</v>
      </c>
      <c r="AD5512">
        <v>-1.1072309334679999</v>
      </c>
      <c r="AE5512">
        <v>0.59019999999998096</v>
      </c>
      <c r="AF5512">
        <v>0.20134554151773601</v>
      </c>
      <c r="AG5512">
        <v>-1.1072309334679999</v>
      </c>
      <c r="AH5512">
        <v>32.024709675584802</v>
      </c>
      <c r="AI5512">
        <v>91.980131832883998</v>
      </c>
      <c r="AJ5512">
        <v>89.639775102772006</v>
      </c>
      <c r="AK5512">
        <v>32.044477373997097</v>
      </c>
      <c r="AL5512">
        <v>88.444475495159097</v>
      </c>
      <c r="AM5512">
        <v>91.405424646229207</v>
      </c>
      <c r="AN5512">
        <v>1.0000000291703399</v>
      </c>
    </row>
    <row r="5513" spans="1:40" x14ac:dyDescent="0.25">
      <c r="A5513" t="str">
        <f>"20190312172226973"</f>
        <v>20190312172226973</v>
      </c>
      <c r="B5513" t="str">
        <f>"1552382546966511"</f>
        <v>1552382546966511</v>
      </c>
      <c r="C5513" t="s">
        <v>40</v>
      </c>
      <c r="D5513">
        <v>3.092765</v>
      </c>
      <c r="E5513">
        <v>0.51126280000000002</v>
      </c>
      <c r="F5513" t="s">
        <v>42</v>
      </c>
      <c r="G5513">
        <v>-372.31180000000001</v>
      </c>
      <c r="H5513" s="1">
        <v>-3.9112769999999997E-6</v>
      </c>
      <c r="I5513">
        <v>141.99510000000001</v>
      </c>
      <c r="J5513">
        <v>-340.4948</v>
      </c>
      <c r="K5513">
        <v>1.1072219999999999</v>
      </c>
      <c r="L5513">
        <v>141.42189999999999</v>
      </c>
      <c r="M5513">
        <v>-0.99988010000000005</v>
      </c>
      <c r="N5513">
        <v>0</v>
      </c>
      <c r="O5513">
        <v>1.268525E-2</v>
      </c>
      <c r="P5513">
        <v>-0.99975760000000002</v>
      </c>
      <c r="Q5513">
        <v>1.783991E-2</v>
      </c>
      <c r="R5513">
        <v>-1.290997E-2</v>
      </c>
      <c r="S5513">
        <v>-3.0032960000000002</v>
      </c>
      <c r="T5513">
        <v>-0.1035403</v>
      </c>
      <c r="U5513">
        <v>5.3970339999999999E-2</v>
      </c>
      <c r="V5513">
        <v>-2.550821E-2</v>
      </c>
      <c r="W5513">
        <v>2.6804399999999999E-2</v>
      </c>
      <c r="X5513">
        <v>0.99931519999999996</v>
      </c>
      <c r="Y5513">
        <v>5.2867139999999996E-3</v>
      </c>
      <c r="Z5513">
        <v>-3.4606509999999998E-4</v>
      </c>
      <c r="AA5513">
        <v>0.99998600000000004</v>
      </c>
      <c r="AB5513">
        <v>50</v>
      </c>
      <c r="AC5513">
        <v>-31.817</v>
      </c>
      <c r="AD5513">
        <v>-1.107225911277</v>
      </c>
      <c r="AE5513">
        <v>0.57320000000001403</v>
      </c>
      <c r="AF5513">
        <v>0.16932636731119399</v>
      </c>
      <c r="AG5513">
        <v>-1.107225911277</v>
      </c>
      <c r="AH5513">
        <v>31.783233358762502</v>
      </c>
      <c r="AI5513">
        <v>91.995166038485195</v>
      </c>
      <c r="AJ5513">
        <v>89.694757474397605</v>
      </c>
      <c r="AK5513">
        <v>31.802964380302999</v>
      </c>
      <c r="AL5513">
        <v>88.464037055218</v>
      </c>
      <c r="AM5513">
        <v>91.462196790827704</v>
      </c>
      <c r="AN5513">
        <v>1.0000000067939001</v>
      </c>
    </row>
    <row r="5514" spans="1:40" x14ac:dyDescent="0.25">
      <c r="A5514" t="str">
        <f>"20190312172226988"</f>
        <v>20190312172226988</v>
      </c>
      <c r="B5514" t="str">
        <f>"1552382546976271"</f>
        <v>1552382546976271</v>
      </c>
      <c r="C5514" t="s">
        <v>40</v>
      </c>
      <c r="D5514">
        <v>3.0964</v>
      </c>
      <c r="E5514">
        <v>0.51132200000000005</v>
      </c>
      <c r="F5514" t="s">
        <v>42</v>
      </c>
      <c r="G5514">
        <v>-372.1574</v>
      </c>
      <c r="H5514" s="1">
        <v>-3.9598559999999996E-6</v>
      </c>
      <c r="I5514">
        <v>141.9727</v>
      </c>
      <c r="J5514">
        <v>-340.81599999999997</v>
      </c>
      <c r="K5514">
        <v>1.1072280000000001</v>
      </c>
      <c r="L5514">
        <v>141.42619999999999</v>
      </c>
      <c r="M5514">
        <v>-0.99987210000000004</v>
      </c>
      <c r="N5514">
        <v>0</v>
      </c>
      <c r="O5514">
        <v>1.3290969999999999E-2</v>
      </c>
      <c r="P5514">
        <v>-0.99973889999999999</v>
      </c>
      <c r="Q5514">
        <v>1.8245480000000001E-2</v>
      </c>
      <c r="R5514">
        <v>-1.376906E-2</v>
      </c>
      <c r="S5514">
        <v>-3.0032649999999999</v>
      </c>
      <c r="T5514">
        <v>-0.1050228</v>
      </c>
      <c r="U5514">
        <v>5.2261349999999998E-2</v>
      </c>
      <c r="V5514">
        <v>-2.6970279999999999E-2</v>
      </c>
      <c r="W5514">
        <v>2.722958E-2</v>
      </c>
      <c r="X5514">
        <v>0.99926530000000002</v>
      </c>
      <c r="Y5514">
        <v>4.1134609999999997E-3</v>
      </c>
      <c r="Z5514">
        <v>-3.9270119999999998E-4</v>
      </c>
      <c r="AA5514">
        <v>0.99999150000000003</v>
      </c>
      <c r="AB5514">
        <v>50</v>
      </c>
      <c r="AC5514">
        <v>-31.3414</v>
      </c>
      <c r="AD5514">
        <v>-1.1072319598559901</v>
      </c>
      <c r="AE5514">
        <v>0.54650000000000798</v>
      </c>
      <c r="AF5514">
        <v>0.12971578871269401</v>
      </c>
      <c r="AG5514">
        <v>-1.1072319598559901</v>
      </c>
      <c r="AH5514">
        <v>31.306833855537299</v>
      </c>
      <c r="AI5514">
        <v>92.025524002125294</v>
      </c>
      <c r="AJ5514">
        <v>89.7626037582218</v>
      </c>
      <c r="AK5514">
        <v>31.326676090147</v>
      </c>
      <c r="AL5514">
        <v>88.439667118352503</v>
      </c>
      <c r="AM5514">
        <v>91.546044029984003</v>
      </c>
      <c r="AN5514">
        <v>0.99999999290717201</v>
      </c>
    </row>
    <row r="5515" spans="1:40" x14ac:dyDescent="0.25">
      <c r="A5515" t="str">
        <f>"20190312172227010"</f>
        <v>20190312172227010</v>
      </c>
      <c r="B5515" t="str">
        <f>"1552382547006527"</f>
        <v>1552382547006527</v>
      </c>
      <c r="C5515" t="s">
        <v>40</v>
      </c>
      <c r="D5515">
        <v>3.1278199999999998</v>
      </c>
      <c r="E5515">
        <v>0.51159079999999901</v>
      </c>
      <c r="F5515" t="s">
        <v>42</v>
      </c>
      <c r="G5515">
        <v>-371.86369999999999</v>
      </c>
      <c r="H5515" s="1">
        <v>-4.0546860000000004E-6</v>
      </c>
      <c r="I5515">
        <v>141.94390000000001</v>
      </c>
      <c r="J5515">
        <v>-341.30520000000001</v>
      </c>
      <c r="K5515">
        <v>1.1072280000000001</v>
      </c>
      <c r="L5515">
        <v>141.4331</v>
      </c>
      <c r="M5515">
        <v>-0.99985919999999895</v>
      </c>
      <c r="N5515">
        <v>0</v>
      </c>
      <c r="O5515">
        <v>1.421329E-2</v>
      </c>
      <c r="P5515">
        <v>-0.99972939999999999</v>
      </c>
      <c r="Q5515">
        <v>1.8887879999999999E-2</v>
      </c>
      <c r="R5515">
        <v>-1.357856E-2</v>
      </c>
      <c r="S5515">
        <v>-3.0034179999999999</v>
      </c>
      <c r="T5515">
        <v>-0.1071087</v>
      </c>
      <c r="U5515">
        <v>5.0094600000000003E-2</v>
      </c>
      <c r="V5515">
        <v>-2.7699749999999999E-2</v>
      </c>
      <c r="W5515">
        <v>2.7896420000000002E-2</v>
      </c>
      <c r="X5515">
        <v>0.99922699999999998</v>
      </c>
      <c r="Y5515">
        <v>2.4707729999999999E-3</v>
      </c>
      <c r="Z5515">
        <v>-4.6263499999999998E-4</v>
      </c>
      <c r="AA5515">
        <v>0.99999680000000002</v>
      </c>
      <c r="AB5515">
        <v>50</v>
      </c>
      <c r="AC5515">
        <v>-30.558499999999899</v>
      </c>
      <c r="AD5515">
        <v>-1.1072320546859999</v>
      </c>
      <c r="AE5515">
        <v>0.51080000000001702</v>
      </c>
      <c r="AF5515">
        <v>7.62941616386313E-2</v>
      </c>
      <c r="AG5515">
        <v>-1.1072320546859999</v>
      </c>
      <c r="AH5515">
        <v>30.5226131115577</v>
      </c>
      <c r="AI5515">
        <v>92.077532483508705</v>
      </c>
      <c r="AJ5515">
        <v>89.856784072076394</v>
      </c>
      <c r="AK5515">
        <v>30.542784659880901</v>
      </c>
      <c r="AL5515">
        <v>88.401445556589906</v>
      </c>
      <c r="AM5515">
        <v>91.587899865012702</v>
      </c>
      <c r="AN5515">
        <v>1.0000000419639301</v>
      </c>
    </row>
    <row r="5516" spans="1:40" x14ac:dyDescent="0.25">
      <c r="A5516" t="str">
        <f>"20190312172227026"</f>
        <v>20190312172227026</v>
      </c>
      <c r="B5516" t="str">
        <f>"1552382547016286"</f>
        <v>1552382547016286</v>
      </c>
      <c r="C5516" t="s">
        <v>40</v>
      </c>
      <c r="D5516">
        <v>3.1391930000000001</v>
      </c>
      <c r="E5516">
        <v>0.5118509</v>
      </c>
      <c r="F5516" t="s">
        <v>42</v>
      </c>
      <c r="G5516">
        <v>-373.37529999999998</v>
      </c>
      <c r="H5516" s="1">
        <v>-3.458238E-6</v>
      </c>
      <c r="I5516">
        <v>141.99889999999999</v>
      </c>
      <c r="J5516">
        <v>-341.67169999999999</v>
      </c>
      <c r="K5516">
        <v>1.1072329999999999</v>
      </c>
      <c r="L5516">
        <v>141.43860000000001</v>
      </c>
      <c r="M5516">
        <v>-0.99984899999999999</v>
      </c>
      <c r="N5516">
        <v>0</v>
      </c>
      <c r="O5516">
        <v>1.4903710000000001E-2</v>
      </c>
      <c r="P5516">
        <v>-0.9997106</v>
      </c>
      <c r="Q5516">
        <v>2.0152509999999998E-2</v>
      </c>
      <c r="R5516">
        <v>-1.3141669999999999E-2</v>
      </c>
      <c r="S5516">
        <v>-3.0035099999999999</v>
      </c>
      <c r="T5516">
        <v>-0.1036974</v>
      </c>
      <c r="U5516">
        <v>5.2993770000000003E-2</v>
      </c>
      <c r="V5516">
        <v>-2.794839E-2</v>
      </c>
      <c r="W5516">
        <v>2.9176210000000001E-2</v>
      </c>
      <c r="X5516">
        <v>0.9991835</v>
      </c>
      <c r="Y5516">
        <v>2.7444959999999999E-3</v>
      </c>
      <c r="Z5516">
        <v>-4.6699349999999997E-4</v>
      </c>
      <c r="AA5516">
        <v>0.99999610000000005</v>
      </c>
      <c r="AB5516">
        <v>50</v>
      </c>
      <c r="AC5516">
        <v>-31.703599999999899</v>
      </c>
      <c r="AD5516">
        <v>-1.1072364582380001</v>
      </c>
      <c r="AE5516">
        <v>0.56029999999998303</v>
      </c>
      <c r="AF5516">
        <v>8.7610808693180997E-2</v>
      </c>
      <c r="AG5516">
        <v>-1.1072364582380001</v>
      </c>
      <c r="AH5516">
        <v>31.669812844915</v>
      </c>
      <c r="AI5516">
        <v>92.002345404056499</v>
      </c>
      <c r="AJ5516">
        <v>89.841498375838995</v>
      </c>
      <c r="AK5516">
        <v>31.689283580734301</v>
      </c>
      <c r="AL5516">
        <v>88.328089070292705</v>
      </c>
      <c r="AM5516">
        <v>91.602215576171702</v>
      </c>
      <c r="AN5516">
        <v>1.0000000152029</v>
      </c>
    </row>
    <row r="5517" spans="1:40" x14ac:dyDescent="0.25">
      <c r="A5517" t="str">
        <f>"20190312172227038"</f>
        <v>20190312172227038</v>
      </c>
      <c r="B5517" t="str">
        <f>"1552382547035807"</f>
        <v>1552382547035807</v>
      </c>
      <c r="C5517" t="s">
        <v>40</v>
      </c>
      <c r="D5517">
        <v>3.1319729999999999</v>
      </c>
      <c r="E5517">
        <v>0.51209780000000005</v>
      </c>
      <c r="F5517" t="s">
        <v>42</v>
      </c>
      <c r="G5517">
        <v>-375.44319999999999</v>
      </c>
      <c r="H5517" s="1">
        <v>-2.5905870000000001E-6</v>
      </c>
      <c r="I5517">
        <v>142.07210000000001</v>
      </c>
      <c r="J5517">
        <v>-341.9615</v>
      </c>
      <c r="K5517">
        <v>1.10724</v>
      </c>
      <c r="L5517">
        <v>141.44309999999999</v>
      </c>
      <c r="M5517">
        <v>-0.99984059999999997</v>
      </c>
      <c r="N5517">
        <v>0</v>
      </c>
      <c r="O5517">
        <v>1.5449310000000001E-2</v>
      </c>
      <c r="P5517">
        <v>-0.99968489999999999</v>
      </c>
      <c r="Q5517">
        <v>2.1677950000000001E-2</v>
      </c>
      <c r="R5517">
        <v>-1.2668789999999999E-2</v>
      </c>
      <c r="S5517">
        <v>-3.0036010000000002</v>
      </c>
      <c r="T5517">
        <v>-9.847641E-2</v>
      </c>
      <c r="U5517">
        <v>5.6350709999999998E-2</v>
      </c>
      <c r="V5517">
        <v>-2.8015709999999999E-2</v>
      </c>
      <c r="W5517">
        <v>3.0713319999999999E-2</v>
      </c>
      <c r="X5517">
        <v>0.99913560000000001</v>
      </c>
      <c r="Y5517">
        <v>3.3148219999999998E-3</v>
      </c>
      <c r="Z5517">
        <v>-4.5200829999999999E-4</v>
      </c>
      <c r="AA5517">
        <v>0.99999439999999995</v>
      </c>
      <c r="AB5517">
        <v>51</v>
      </c>
      <c r="AC5517">
        <v>-33.481699999999897</v>
      </c>
      <c r="AD5517">
        <v>-1.107242590587</v>
      </c>
      <c r="AE5517">
        <v>0.62900000000001899</v>
      </c>
      <c r="AF5517">
        <v>0.111513134353318</v>
      </c>
      <c r="AG5517">
        <v>-1.107242590587</v>
      </c>
      <c r="AH5517">
        <v>33.450851759812203</v>
      </c>
      <c r="AI5517">
        <v>91.8958208137458</v>
      </c>
      <c r="AJ5517">
        <v>89.808997141939301</v>
      </c>
      <c r="AK5517">
        <v>33.469357699102503</v>
      </c>
      <c r="AL5517">
        <v>88.239979727312402</v>
      </c>
      <c r="AM5517">
        <v>91.606149811932596</v>
      </c>
      <c r="AN5517">
        <v>1.00000006760979</v>
      </c>
    </row>
    <row r="5518" spans="1:40" x14ac:dyDescent="0.25">
      <c r="A5518" t="str">
        <f>"20190312172227052"</f>
        <v>20190312172227052</v>
      </c>
      <c r="B5518" t="str">
        <f>"1552382547046543"</f>
        <v>1552382547046543</v>
      </c>
      <c r="C5518" t="s">
        <v>40</v>
      </c>
      <c r="D5518">
        <v>3.114687</v>
      </c>
      <c r="E5518">
        <v>0.51213249999999999</v>
      </c>
      <c r="F5518" t="s">
        <v>42</v>
      </c>
      <c r="G5518">
        <v>-378.42570000000001</v>
      </c>
      <c r="H5518" s="1">
        <v>-1.336569E-6</v>
      </c>
      <c r="I5518">
        <v>142.16759999999999</v>
      </c>
      <c r="J5518">
        <v>-342.25290000000001</v>
      </c>
      <c r="K5518">
        <v>1.1072470000000001</v>
      </c>
      <c r="L5518">
        <v>141.4478</v>
      </c>
      <c r="M5518">
        <v>-0.9998319</v>
      </c>
      <c r="N5518">
        <v>0</v>
      </c>
      <c r="O5518">
        <v>1.5997879999999999E-2</v>
      </c>
      <c r="P5518">
        <v>-0.99966350000000004</v>
      </c>
      <c r="Q5518">
        <v>2.3076599999999999E-2</v>
      </c>
      <c r="R5518">
        <v>-1.185453E-2</v>
      </c>
      <c r="S5518">
        <v>-3.0036930000000002</v>
      </c>
      <c r="T5518">
        <v>-9.1207739999999995E-2</v>
      </c>
      <c r="U5518">
        <v>5.9692380000000003E-2</v>
      </c>
      <c r="V5518">
        <v>-2.7745300000000001E-2</v>
      </c>
      <c r="W5518">
        <v>3.2121200000000003E-2</v>
      </c>
      <c r="X5518">
        <v>0.99909879999999995</v>
      </c>
      <c r="Y5518">
        <v>3.8767570000000002E-3</v>
      </c>
      <c r="Z5518">
        <v>-4.2676379999999998E-4</v>
      </c>
      <c r="AA5518">
        <v>0.9999924</v>
      </c>
      <c r="AB5518">
        <v>51</v>
      </c>
      <c r="AC5518">
        <v>-36.172800000000002</v>
      </c>
      <c r="AD5518">
        <v>-1.10724833656899</v>
      </c>
      <c r="AE5518">
        <v>0.719799999999992</v>
      </c>
      <c r="AF5518">
        <v>0.14086461110748799</v>
      </c>
      <c r="AG5518">
        <v>-1.10724833656899</v>
      </c>
      <c r="AH5518">
        <v>36.145832011400003</v>
      </c>
      <c r="AI5518">
        <v>91.754568627060493</v>
      </c>
      <c r="AJ5518">
        <v>89.7767126556177</v>
      </c>
      <c r="AK5518">
        <v>36.163061451069701</v>
      </c>
      <c r="AL5518">
        <v>88.159274166271302</v>
      </c>
      <c r="AM5518">
        <v>91.5907136802781</v>
      </c>
      <c r="AN5518">
        <v>0.99999999266148398</v>
      </c>
    </row>
    <row r="5519" spans="1:40" x14ac:dyDescent="0.25">
      <c r="A5519" t="str">
        <f>"20190312172227066"</f>
        <v>20190312172227066</v>
      </c>
      <c r="B5519" t="str">
        <f>"1552382547056302"</f>
        <v>1552382547056302</v>
      </c>
      <c r="C5519" t="s">
        <v>40</v>
      </c>
      <c r="D5519">
        <v>3.1267399999999999</v>
      </c>
      <c r="E5519">
        <v>0.51220149999999998</v>
      </c>
      <c r="F5519" t="s">
        <v>42</v>
      </c>
      <c r="G5519">
        <v>-381.12580000000003</v>
      </c>
      <c r="H5519" s="1">
        <v>-4.3613750000000002E-6</v>
      </c>
      <c r="I5519">
        <v>142.25710000000001</v>
      </c>
      <c r="J5519">
        <v>-342.56970000000001</v>
      </c>
      <c r="K5519">
        <v>1.107262</v>
      </c>
      <c r="L5519">
        <v>141.45310000000001</v>
      </c>
      <c r="M5519">
        <v>-0.99982210000000005</v>
      </c>
      <c r="N5519">
        <v>0</v>
      </c>
      <c r="O5519">
        <v>1.659389E-2</v>
      </c>
      <c r="P5519">
        <v>-0.9996235</v>
      </c>
      <c r="Q5519">
        <v>2.5164470000000001E-2</v>
      </c>
      <c r="R5519">
        <v>-1.0953009999999999E-2</v>
      </c>
      <c r="S5519">
        <v>-3.0037229999999999</v>
      </c>
      <c r="T5519">
        <v>-8.5557939999999999E-2</v>
      </c>
      <c r="U5519">
        <v>6.2545779999999995E-2</v>
      </c>
      <c r="V5519">
        <v>-2.7431819999999999E-2</v>
      </c>
      <c r="W5519">
        <v>3.4218609999999997E-2</v>
      </c>
      <c r="X5519">
        <v>0.99903779999999998</v>
      </c>
      <c r="Y5519">
        <v>4.2294189999999999E-3</v>
      </c>
      <c r="Z5519">
        <v>-4.1227860000000001E-4</v>
      </c>
      <c r="AA5519">
        <v>0.99999099999999996</v>
      </c>
      <c r="AB5519">
        <v>51</v>
      </c>
      <c r="AC5519">
        <v>-38.556100000000001</v>
      </c>
      <c r="AD5519">
        <v>-1.107266361375</v>
      </c>
      <c r="AE5519">
        <v>0.80400000000000205</v>
      </c>
      <c r="AF5519">
        <v>0.16393273932805999</v>
      </c>
      <c r="AG5519">
        <v>-1.107266361375</v>
      </c>
      <c r="AH5519">
        <v>38.5323674399243</v>
      </c>
      <c r="AI5519">
        <v>91.645984038897694</v>
      </c>
      <c r="AJ5519">
        <v>89.756241361666198</v>
      </c>
      <c r="AK5519">
        <v>38.5486219372806</v>
      </c>
      <c r="AL5519">
        <v>88.039035197474306</v>
      </c>
      <c r="AM5519">
        <v>91.5728460775331</v>
      </c>
      <c r="AN5519">
        <v>0.99999997192384105</v>
      </c>
    </row>
    <row r="5520" spans="1:40" x14ac:dyDescent="0.25">
      <c r="A5520" t="str">
        <f>"20190312172227088"</f>
        <v>20190312172227088</v>
      </c>
      <c r="B5520" t="str">
        <f>"1552382547086489"</f>
        <v>1552382547086489</v>
      </c>
      <c r="C5520" t="s">
        <v>40</v>
      </c>
      <c r="D5520">
        <v>3.117362</v>
      </c>
      <c r="E5520">
        <v>0.51263149999999902</v>
      </c>
      <c r="F5520" t="s">
        <v>42</v>
      </c>
      <c r="G5520">
        <v>-384.71809999999999</v>
      </c>
      <c r="H5520" s="1">
        <v>-2.9828419999999999E-6</v>
      </c>
      <c r="I5520">
        <v>142.37710000000001</v>
      </c>
      <c r="J5520">
        <v>-343.08240000000001</v>
      </c>
      <c r="K5520">
        <v>1.1072580000000001</v>
      </c>
      <c r="L5520">
        <v>141.46209999999999</v>
      </c>
      <c r="M5520">
        <v>-0.99980550000000001</v>
      </c>
      <c r="N5520">
        <v>0</v>
      </c>
      <c r="O5520">
        <v>1.7558609999999999E-2</v>
      </c>
      <c r="P5520">
        <v>-0.99961040000000001</v>
      </c>
      <c r="Q5520">
        <v>2.634765E-2</v>
      </c>
      <c r="R5520">
        <v>-9.222503E-3</v>
      </c>
      <c r="S5520">
        <v>-3.0038450000000001</v>
      </c>
      <c r="T5520">
        <v>-7.8912969999999999E-2</v>
      </c>
      <c r="U5520">
        <v>6.5856929999999994E-2</v>
      </c>
      <c r="V5520">
        <v>-2.6661339999999999E-2</v>
      </c>
      <c r="W5520">
        <v>3.5416660000000003E-2</v>
      </c>
      <c r="X5520">
        <v>0.99901689999999999</v>
      </c>
      <c r="Y5520">
        <v>4.3650140000000004E-3</v>
      </c>
      <c r="Z5520">
        <v>-4.0380070000000002E-4</v>
      </c>
      <c r="AA5520">
        <v>0.99999039999999995</v>
      </c>
      <c r="AB5520">
        <v>51</v>
      </c>
      <c r="AC5520">
        <v>-41.6356999999999</v>
      </c>
      <c r="AD5520">
        <v>-1.1072609828419999</v>
      </c>
      <c r="AE5520">
        <v>0.91500000000002002</v>
      </c>
      <c r="AF5520">
        <v>0.183634613771196</v>
      </c>
      <c r="AG5520">
        <v>-1.1072609828419999</v>
      </c>
      <c r="AH5520">
        <v>41.615929181511298</v>
      </c>
      <c r="AI5520">
        <v>91.524075064322403</v>
      </c>
      <c r="AJ5520">
        <v>89.747178057510396</v>
      </c>
      <c r="AK5520">
        <v>41.631061843244701</v>
      </c>
      <c r="AL5520">
        <v>87.9703503272641</v>
      </c>
      <c r="AM5520">
        <v>91.5287226386437</v>
      </c>
      <c r="AN5520">
        <v>0.99999996667087998</v>
      </c>
    </row>
    <row r="5521" spans="1:40" x14ac:dyDescent="0.25">
      <c r="A5521" t="str">
        <f>"20190312172227111"</f>
        <v>20190312172227111</v>
      </c>
      <c r="B5521" t="str">
        <f>"1552382547106009"</f>
        <v>1552382547106009</v>
      </c>
      <c r="C5521" t="s">
        <v>40</v>
      </c>
      <c r="D5521">
        <v>3.1125440000000002</v>
      </c>
      <c r="E5521">
        <v>0.51269920000000002</v>
      </c>
      <c r="F5521" t="s">
        <v>42</v>
      </c>
      <c r="G5521">
        <v>-386.20699999999999</v>
      </c>
      <c r="H5521" s="1">
        <v>-2.385858E-6</v>
      </c>
      <c r="I5521">
        <v>142.5341</v>
      </c>
      <c r="J5521">
        <v>-343.59699999999998</v>
      </c>
      <c r="K5521">
        <v>1.1072630000000001</v>
      </c>
      <c r="L5521">
        <v>141.4716</v>
      </c>
      <c r="M5521">
        <v>-0.99978800000000001</v>
      </c>
      <c r="N5521">
        <v>0</v>
      </c>
      <c r="O5521">
        <v>1.852637E-2</v>
      </c>
      <c r="P5521">
        <v>-0.99958089999999999</v>
      </c>
      <c r="Q5521">
        <v>2.7926889999999999E-2</v>
      </c>
      <c r="R5521">
        <v>-7.6453880000000004E-3</v>
      </c>
      <c r="S5521">
        <v>-3.003876</v>
      </c>
      <c r="T5521">
        <v>-7.7126979999999998E-2</v>
      </c>
      <c r="U5521">
        <v>7.4676510000000001E-2</v>
      </c>
      <c r="V5521">
        <v>-2.6045800000000001E-2</v>
      </c>
      <c r="W5521">
        <v>3.7009670000000001E-2</v>
      </c>
      <c r="X5521">
        <v>0.99897539999999996</v>
      </c>
      <c r="Y5521">
        <v>6.330736E-3</v>
      </c>
      <c r="Z5521">
        <v>-3.9425179999999998E-4</v>
      </c>
      <c r="AA5521">
        <v>0.99997990000000003</v>
      </c>
      <c r="AB5521">
        <v>51</v>
      </c>
      <c r="AC5521">
        <v>-42.61</v>
      </c>
      <c r="AD5521">
        <v>-1.1072653858579999</v>
      </c>
      <c r="AE5521">
        <v>1.0625</v>
      </c>
      <c r="AF5521">
        <v>0.27269311073496799</v>
      </c>
      <c r="AG5521">
        <v>-1.1072653858579999</v>
      </c>
      <c r="AH5521">
        <v>42.593626887210803</v>
      </c>
      <c r="AI5521">
        <v>91.489097158933703</v>
      </c>
      <c r="AJ5521">
        <v>89.633185712850405</v>
      </c>
      <c r="AK5521">
        <v>42.608889325753303</v>
      </c>
      <c r="AL5521">
        <v>87.879017675422105</v>
      </c>
      <c r="AM5521">
        <v>91.493506652310899</v>
      </c>
      <c r="AN5521">
        <v>0.99999997458815404</v>
      </c>
    </row>
    <row r="5522" spans="1:40" x14ac:dyDescent="0.25">
      <c r="A5522" t="str">
        <f>"20190312172227133"</f>
        <v>20190312172227133</v>
      </c>
      <c r="B5522" t="str">
        <f>"1552382547126508"</f>
        <v>1552382547126508</v>
      </c>
      <c r="C5522" t="s">
        <v>40</v>
      </c>
      <c r="D5522">
        <v>3.1725819999999998</v>
      </c>
      <c r="E5522">
        <v>0.51277669999999997</v>
      </c>
      <c r="F5522" t="s">
        <v>42</v>
      </c>
      <c r="G5522">
        <v>-389.38659999999999</v>
      </c>
      <c r="H5522" s="1">
        <v>-1.0639859999999999E-6</v>
      </c>
      <c r="I5522">
        <v>142.69239999999999</v>
      </c>
      <c r="J5522">
        <v>-344.09930000000003</v>
      </c>
      <c r="K5522">
        <v>1.1072610000000001</v>
      </c>
      <c r="L5522">
        <v>141.4813</v>
      </c>
      <c r="M5522">
        <v>-0.99976969999999998</v>
      </c>
      <c r="N5522">
        <v>0</v>
      </c>
      <c r="O5522">
        <v>1.9470700000000001E-2</v>
      </c>
      <c r="P5522">
        <v>-0.99955000000000005</v>
      </c>
      <c r="Q5522">
        <v>2.9343540000000001E-2</v>
      </c>
      <c r="R5522">
        <v>-6.2398920000000004E-3</v>
      </c>
      <c r="S5522">
        <v>-3.0039060000000002</v>
      </c>
      <c r="T5522">
        <v>-7.2639350000000005E-2</v>
      </c>
      <c r="U5522">
        <v>8.0093380000000006E-2</v>
      </c>
      <c r="V5522">
        <v>-2.5579500000000002E-2</v>
      </c>
      <c r="W5522">
        <v>3.8438689999999998E-2</v>
      </c>
      <c r="X5522">
        <v>0.99893350000000003</v>
      </c>
      <c r="Y5522">
        <v>7.1875630000000001E-3</v>
      </c>
      <c r="Z5522">
        <v>-3.8377179999999998E-4</v>
      </c>
      <c r="AA5522">
        <v>0.99997409999999998</v>
      </c>
      <c r="AB5522">
        <v>51</v>
      </c>
      <c r="AC5522">
        <v>-45.287299999999902</v>
      </c>
      <c r="AD5522">
        <v>-1.107262063986</v>
      </c>
      <c r="AE5522">
        <v>1.2110999999999801</v>
      </c>
      <c r="AF5522">
        <v>0.32886260094056202</v>
      </c>
      <c r="AG5522">
        <v>-1.107262063986</v>
      </c>
      <c r="AH5522">
        <v>45.275250311111101</v>
      </c>
      <c r="AI5522">
        <v>91.400922720258805</v>
      </c>
      <c r="AJ5522">
        <v>89.583832058861603</v>
      </c>
      <c r="AK5522">
        <v>45.2899820117254</v>
      </c>
      <c r="AL5522">
        <v>87.797082564432799</v>
      </c>
      <c r="AM5522">
        <v>91.466841569570207</v>
      </c>
      <c r="AN5522">
        <v>0.99999999056570799</v>
      </c>
    </row>
    <row r="5523" spans="1:40" x14ac:dyDescent="0.25">
      <c r="A5523" t="str">
        <f>"20190312172227148"</f>
        <v>20190312172227148</v>
      </c>
      <c r="B5523" t="str">
        <f>"1552382547136265"</f>
        <v>1552382547136265</v>
      </c>
      <c r="C5523" t="s">
        <v>40</v>
      </c>
      <c r="D5523">
        <v>3.1500650000000001</v>
      </c>
      <c r="E5523">
        <v>0.51285769999999997</v>
      </c>
      <c r="F5523" t="s">
        <v>42</v>
      </c>
      <c r="G5523">
        <v>-392.7115</v>
      </c>
      <c r="H5523" s="1">
        <v>-3.9280950000000002E-6</v>
      </c>
      <c r="I5523">
        <v>142.85659999999999</v>
      </c>
      <c r="J5523">
        <v>-344.4384</v>
      </c>
      <c r="K5523">
        <v>1.107262</v>
      </c>
      <c r="L5523">
        <v>141.48820000000001</v>
      </c>
      <c r="M5523">
        <v>-0.99975709999999995</v>
      </c>
      <c r="N5523">
        <v>0</v>
      </c>
      <c r="O5523">
        <v>2.0107969999999999E-2</v>
      </c>
      <c r="P5523">
        <v>-0.99954969999999999</v>
      </c>
      <c r="Q5523">
        <v>2.954238E-2</v>
      </c>
      <c r="R5523">
        <v>-5.2622700000000003E-3</v>
      </c>
      <c r="S5523">
        <v>-3.0039060000000002</v>
      </c>
      <c r="T5523">
        <v>-6.8421480000000007E-2</v>
      </c>
      <c r="U5523">
        <v>8.4991460000000005E-2</v>
      </c>
      <c r="V5523">
        <v>-2.5238239999999999E-2</v>
      </c>
      <c r="W5523">
        <v>3.8646439999999997E-2</v>
      </c>
      <c r="X5523">
        <v>0.99893410000000005</v>
      </c>
      <c r="Y5523">
        <v>8.1789540000000004E-3</v>
      </c>
      <c r="Z5523">
        <v>-3.647039E-4</v>
      </c>
      <c r="AA5523">
        <v>0.99996649999999998</v>
      </c>
      <c r="AB5523">
        <v>51</v>
      </c>
      <c r="AC5523">
        <v>-48.273099999999999</v>
      </c>
      <c r="AD5523">
        <v>-1.1072659280949999</v>
      </c>
      <c r="AE5523">
        <v>1.3683999999999801</v>
      </c>
      <c r="AF5523">
        <v>0.39720093429180298</v>
      </c>
      <c r="AG5523">
        <v>-1.1072659280949999</v>
      </c>
      <c r="AH5523">
        <v>48.265482388310303</v>
      </c>
      <c r="AI5523">
        <v>91.314156372146201</v>
      </c>
      <c r="AJ5523">
        <v>89.528494852013495</v>
      </c>
      <c r="AK5523">
        <v>48.279815623032498</v>
      </c>
      <c r="AL5523">
        <v>87.785170372144094</v>
      </c>
      <c r="AM5523">
        <v>91.447279723594505</v>
      </c>
      <c r="AN5523">
        <v>0.99999992611288702</v>
      </c>
    </row>
    <row r="5524" spans="1:40" x14ac:dyDescent="0.25">
      <c r="A5524" t="str">
        <f>"20190312172227161"</f>
        <v>20190312172227161</v>
      </c>
      <c r="B5524" t="str">
        <f>"1552382547155785"</f>
        <v>1552382547155785</v>
      </c>
      <c r="C5524" t="s">
        <v>40</v>
      </c>
      <c r="D5524">
        <v>3.1749649999999998</v>
      </c>
      <c r="E5524">
        <v>0.51284169999999996</v>
      </c>
      <c r="F5524" t="s">
        <v>42</v>
      </c>
      <c r="G5524">
        <v>-393.01729999999998</v>
      </c>
      <c r="H5524" s="1">
        <v>-3.8356220000000004E-6</v>
      </c>
      <c r="I5524">
        <v>142.922</v>
      </c>
      <c r="J5524">
        <v>-344.74169999999998</v>
      </c>
      <c r="K5524">
        <v>1.1072649999999999</v>
      </c>
      <c r="L5524">
        <v>141.49449999999999</v>
      </c>
      <c r="M5524">
        <v>-0.99974540000000001</v>
      </c>
      <c r="N5524">
        <v>0</v>
      </c>
      <c r="O5524">
        <v>2.0677770000000002E-2</v>
      </c>
      <c r="P5524">
        <v>-0.99954180000000004</v>
      </c>
      <c r="Q5524">
        <v>2.9942219999999999E-2</v>
      </c>
      <c r="R5524">
        <v>-4.4688280000000002E-3</v>
      </c>
      <c r="S5524">
        <v>-3.0038450000000001</v>
      </c>
      <c r="T5524">
        <v>-6.8467020000000003E-2</v>
      </c>
      <c r="U5524">
        <v>8.8668819999999995E-2</v>
      </c>
      <c r="V5524">
        <v>-2.501254E-2</v>
      </c>
      <c r="W5524">
        <v>3.9053350000000001E-2</v>
      </c>
      <c r="X5524">
        <v>0.99892400000000003</v>
      </c>
      <c r="Y5524">
        <v>8.8327449999999995E-3</v>
      </c>
      <c r="Z5524">
        <v>-3.704774E-4</v>
      </c>
      <c r="AA5524">
        <v>0.99996090000000004</v>
      </c>
      <c r="AB5524">
        <v>51</v>
      </c>
      <c r="AC5524">
        <v>-48.275599999999997</v>
      </c>
      <c r="AD5524">
        <v>-1.107268835622</v>
      </c>
      <c r="AE5524">
        <v>1.4275</v>
      </c>
      <c r="AF5524">
        <v>0.42869696661173701</v>
      </c>
      <c r="AG5524">
        <v>-1.107268835622</v>
      </c>
      <c r="AH5524">
        <v>48.2694248351414</v>
      </c>
      <c r="AI5524">
        <v>91.314045199277501</v>
      </c>
      <c r="AJ5524">
        <v>89.491150325987505</v>
      </c>
      <c r="AK5524">
        <v>48.284026336655899</v>
      </c>
      <c r="AL5524">
        <v>87.761838638867104</v>
      </c>
      <c r="AM5524">
        <v>91.434356948603494</v>
      </c>
      <c r="AN5524">
        <v>0.99999997453973599</v>
      </c>
    </row>
    <row r="5525" spans="1:40" x14ac:dyDescent="0.25">
      <c r="A5525" t="str">
        <f>"20190312172227173"</f>
        <v>20190312172227173</v>
      </c>
      <c r="B5525" t="str">
        <f>"1552382547166522"</f>
        <v>1552382547166522</v>
      </c>
      <c r="C5525" t="s">
        <v>40</v>
      </c>
      <c r="D5525">
        <v>3.2898510000000001</v>
      </c>
      <c r="E5525">
        <v>0.51281520000000003</v>
      </c>
      <c r="F5525" t="s">
        <v>42</v>
      </c>
      <c r="G5525">
        <v>-394.45800000000003</v>
      </c>
      <c r="H5525" s="1">
        <v>-3.2603910000000001E-6</v>
      </c>
      <c r="I5525">
        <v>143.0008</v>
      </c>
      <c r="J5525">
        <v>-345.02969999999999</v>
      </c>
      <c r="K5525">
        <v>1.1072649999999999</v>
      </c>
      <c r="L5525">
        <v>141.50059999999999</v>
      </c>
      <c r="M5525">
        <v>-0.99973409999999996</v>
      </c>
      <c r="N5525">
        <v>0</v>
      </c>
      <c r="O5525">
        <v>2.1218540000000001E-2</v>
      </c>
      <c r="P5525">
        <v>-0.99954290000000001</v>
      </c>
      <c r="Q5525">
        <v>3.0012230000000001E-2</v>
      </c>
      <c r="R5525">
        <v>-3.675144E-3</v>
      </c>
      <c r="S5525">
        <v>-3.0038149999999999</v>
      </c>
      <c r="T5525">
        <v>-6.6900249999999994E-2</v>
      </c>
      <c r="U5525">
        <v>9.1018680000000005E-2</v>
      </c>
      <c r="V5525">
        <v>-2.4759059999999999E-2</v>
      </c>
      <c r="W5525">
        <v>3.9129579999999997E-2</v>
      </c>
      <c r="X5525">
        <v>0.99892740000000002</v>
      </c>
      <c r="Y5525">
        <v>9.0736470000000007E-3</v>
      </c>
      <c r="Z5525">
        <v>-3.7135469999999998E-4</v>
      </c>
      <c r="AA5525">
        <v>0.99995880000000004</v>
      </c>
      <c r="AB5525">
        <v>51</v>
      </c>
      <c r="AC5525">
        <v>-49.4283</v>
      </c>
      <c r="AD5525">
        <v>-1.107268260391</v>
      </c>
      <c r="AE5525">
        <v>1.5002</v>
      </c>
      <c r="AF5525">
        <v>0.45079710222031399</v>
      </c>
      <c r="AG5525">
        <v>-1.107268260391</v>
      </c>
      <c r="AH5525">
        <v>49.424224624740603</v>
      </c>
      <c r="AI5525">
        <v>91.283349416532104</v>
      </c>
      <c r="AJ5525">
        <v>89.477421135987299</v>
      </c>
      <c r="AK5525">
        <v>49.438681624661598</v>
      </c>
      <c r="AL5525">
        <v>87.757467793553204</v>
      </c>
      <c r="AM5525">
        <v>91.419822157777205</v>
      </c>
      <c r="AN5525">
        <v>1.0000000427769</v>
      </c>
    </row>
    <row r="5526" spans="1:40" x14ac:dyDescent="0.25">
      <c r="A5526" t="str">
        <f>"20190312172227189"</f>
        <v>20190312172227189</v>
      </c>
      <c r="B5526" t="str">
        <f>"1552382547186410"</f>
        <v>1552382547186410</v>
      </c>
      <c r="C5526" t="s">
        <v>40</v>
      </c>
      <c r="D5526">
        <v>3.1487599999999998</v>
      </c>
      <c r="E5526">
        <v>0.51282709999999998</v>
      </c>
      <c r="F5526" t="s">
        <v>42</v>
      </c>
      <c r="G5526">
        <v>-394.72160000000002</v>
      </c>
      <c r="H5526" s="1">
        <v>-3.1584210000000001E-6</v>
      </c>
      <c r="I5526">
        <v>143.0427</v>
      </c>
      <c r="J5526">
        <v>-345.36329999999998</v>
      </c>
      <c r="K5526">
        <v>1.107264</v>
      </c>
      <c r="L5526">
        <v>141.50799999999899</v>
      </c>
      <c r="M5526">
        <v>-0.99972050000000001</v>
      </c>
      <c r="N5526">
        <v>0</v>
      </c>
      <c r="O5526">
        <v>2.1844720000000001E-2</v>
      </c>
      <c r="P5526">
        <v>-0.99953959999999997</v>
      </c>
      <c r="Q5526">
        <v>3.025895E-2</v>
      </c>
      <c r="R5526">
        <v>-2.232801E-3</v>
      </c>
      <c r="S5526">
        <v>-3.0037229999999999</v>
      </c>
      <c r="T5526">
        <v>-6.6930890000000007E-2</v>
      </c>
      <c r="U5526">
        <v>9.3215939999999997E-2</v>
      </c>
      <c r="V5526">
        <v>-2.3941919999999998E-2</v>
      </c>
      <c r="W5526">
        <v>3.9382109999999998E-2</v>
      </c>
      <c r="X5526">
        <v>0.99893739999999998</v>
      </c>
      <c r="Y5526">
        <v>9.1791689999999992E-3</v>
      </c>
      <c r="Z5526">
        <v>-3.8429950000000001E-4</v>
      </c>
      <c r="AA5526">
        <v>0.99995780000000001</v>
      </c>
      <c r="AB5526">
        <v>51</v>
      </c>
      <c r="AC5526">
        <v>-49.3583</v>
      </c>
      <c r="AD5526">
        <v>-1.1072671584209901</v>
      </c>
      <c r="AE5526">
        <v>1.5347000000000099</v>
      </c>
      <c r="AF5526">
        <v>0.45584226452966797</v>
      </c>
      <c r="AG5526">
        <v>-1.1072671584209901</v>
      </c>
      <c r="AH5526">
        <v>49.355233336299399</v>
      </c>
      <c r="AI5526">
        <v>91.285140113117606</v>
      </c>
      <c r="AJ5526">
        <v>89.470834326714197</v>
      </c>
      <c r="AK5526">
        <v>49.369756839696997</v>
      </c>
      <c r="AL5526">
        <v>87.742987740525095</v>
      </c>
      <c r="AM5526">
        <v>91.372967310269203</v>
      </c>
      <c r="AN5526">
        <v>1.0000000476200399</v>
      </c>
    </row>
    <row r="5527" spans="1:40" x14ac:dyDescent="0.25">
      <c r="A5527" t="str">
        <f>"20190312172227203"</f>
        <v>20190312172227203</v>
      </c>
      <c r="B5527" t="str">
        <f>"1552382547196171"</f>
        <v>1552382547196171</v>
      </c>
      <c r="C5527" t="s">
        <v>40</v>
      </c>
      <c r="D5527">
        <v>3.1695630000000001</v>
      </c>
      <c r="E5527">
        <v>0.51282879999999997</v>
      </c>
      <c r="F5527" t="s">
        <v>42</v>
      </c>
      <c r="G5527">
        <v>-394.81029999999998</v>
      </c>
      <c r="H5527" s="1">
        <v>-3.1400999999999998E-6</v>
      </c>
      <c r="I5527">
        <v>143.11680000000001</v>
      </c>
      <c r="J5527">
        <v>-345.71749999999997</v>
      </c>
      <c r="K5527">
        <v>1.1072599999999999</v>
      </c>
      <c r="L5527">
        <v>141.51589999999999</v>
      </c>
      <c r="M5527">
        <v>-0.99970570000000003</v>
      </c>
      <c r="N5527">
        <v>0</v>
      </c>
      <c r="O5527">
        <v>2.250953E-2</v>
      </c>
      <c r="P5527">
        <v>-0.99953009999999998</v>
      </c>
      <c r="Q5527">
        <v>3.062958E-2</v>
      </c>
      <c r="R5527">
        <v>-1.3426379999999999E-3</v>
      </c>
      <c r="S5527">
        <v>-3.0036320000000001</v>
      </c>
      <c r="T5527">
        <v>-6.7260269999999997E-2</v>
      </c>
      <c r="U5527">
        <v>9.7732540000000007E-2</v>
      </c>
      <c r="V5527">
        <v>-2.3714829999999999E-2</v>
      </c>
      <c r="W5527">
        <v>3.9760900000000002E-2</v>
      </c>
      <c r="X5527">
        <v>0.99892780000000003</v>
      </c>
      <c r="Y5527">
        <v>1.001726E-2</v>
      </c>
      <c r="Z5527">
        <v>-3.9168720000000001E-4</v>
      </c>
      <c r="AA5527">
        <v>0.9999498</v>
      </c>
      <c r="AB5527">
        <v>51</v>
      </c>
      <c r="AC5527">
        <v>-49.092799999999997</v>
      </c>
      <c r="AD5527">
        <v>-1.1072631400999999</v>
      </c>
      <c r="AE5527">
        <v>1.60090000000002</v>
      </c>
      <c r="AF5527">
        <v>0.49514165776139801</v>
      </c>
      <c r="AG5527">
        <v>-1.1072631400999999</v>
      </c>
      <c r="AH5527">
        <v>49.0914507004873</v>
      </c>
      <c r="AI5527">
        <v>91.292027915261698</v>
      </c>
      <c r="AJ5527">
        <v>89.422128193439406</v>
      </c>
      <c r="AK5527">
        <v>49.1064326621375</v>
      </c>
      <c r="AL5527">
        <v>87.721267634108003</v>
      </c>
      <c r="AM5527">
        <v>91.359962642953704</v>
      </c>
      <c r="AN5527">
        <v>1.00000003597178</v>
      </c>
    </row>
    <row r="5528" spans="1:40" x14ac:dyDescent="0.25">
      <c r="A5528" t="str">
        <f>"20190312172227215"</f>
        <v>20190312172227215</v>
      </c>
      <c r="B5528" t="str">
        <f>"1552382547205930"</f>
        <v>1552382547205930</v>
      </c>
      <c r="C5528" t="s">
        <v>40</v>
      </c>
      <c r="D5528">
        <v>3.1680199999999998</v>
      </c>
      <c r="E5528">
        <v>0.51277799999999996</v>
      </c>
      <c r="F5528" t="s">
        <v>42</v>
      </c>
      <c r="G5528">
        <v>-395.35849999999999</v>
      </c>
      <c r="H5528" s="1">
        <v>-2.920752E-6</v>
      </c>
      <c r="I5528">
        <v>143.17619999999999</v>
      </c>
      <c r="J5528">
        <v>-345.98660000000001</v>
      </c>
      <c r="K5528">
        <v>1.1072580000000001</v>
      </c>
      <c r="L5528">
        <v>141.5222</v>
      </c>
      <c r="M5528">
        <v>-0.99969410000000003</v>
      </c>
      <c r="N5528">
        <v>0</v>
      </c>
      <c r="O5528">
        <v>2.301448E-2</v>
      </c>
      <c r="P5528">
        <v>-0.99953559999999997</v>
      </c>
      <c r="Q5528">
        <v>3.0473940000000001E-2</v>
      </c>
      <c r="R5528">
        <v>-7.4976019999999999E-4</v>
      </c>
      <c r="S5528">
        <v>-3.0036010000000002</v>
      </c>
      <c r="T5528">
        <v>-6.6996570000000005E-2</v>
      </c>
      <c r="U5528">
        <v>0.10046389999999999</v>
      </c>
      <c r="V5528">
        <v>-2.362732E-2</v>
      </c>
      <c r="W5528">
        <v>3.9611769999999998E-2</v>
      </c>
      <c r="X5528">
        <v>0.99893580000000004</v>
      </c>
      <c r="Y5528">
        <v>1.0420830000000001E-2</v>
      </c>
      <c r="Z5528">
        <v>-3.9690450000000001E-4</v>
      </c>
      <c r="AA5528">
        <v>0.99994559999999999</v>
      </c>
      <c r="AB5528">
        <v>51</v>
      </c>
      <c r="AC5528">
        <v>-49.371899999999897</v>
      </c>
      <c r="AD5528">
        <v>-1.1072609207520001</v>
      </c>
      <c r="AE5528">
        <v>1.6539999999999899</v>
      </c>
      <c r="AF5528">
        <v>0.51698691789845796</v>
      </c>
      <c r="AG5528">
        <v>-1.1072609207520001</v>
      </c>
      <c r="AH5528">
        <v>49.372084656096703</v>
      </c>
      <c r="AI5528">
        <v>91.284678760153298</v>
      </c>
      <c r="AJ5528">
        <v>89.400064102742505</v>
      </c>
      <c r="AK5528">
        <v>49.387205281415604</v>
      </c>
      <c r="AL5528">
        <v>87.729818893775402</v>
      </c>
      <c r="AM5528">
        <v>91.354935277380605</v>
      </c>
      <c r="AN5528">
        <v>1.00000003754727</v>
      </c>
    </row>
    <row r="5529" spans="1:40" x14ac:dyDescent="0.25">
      <c r="A5529" t="str">
        <f>"20190312172227228"</f>
        <v>20190312172227228</v>
      </c>
      <c r="B5529" t="str">
        <f>"1552382547215691"</f>
        <v>1552382547215691</v>
      </c>
      <c r="C5529" t="s">
        <v>40</v>
      </c>
      <c r="D5529">
        <v>3.1480450000000002</v>
      </c>
      <c r="E5529">
        <v>0.512791</v>
      </c>
      <c r="F5529" t="s">
        <v>42</v>
      </c>
      <c r="G5529">
        <v>-395.22359999999998</v>
      </c>
      <c r="H5529" s="1">
        <v>-2.9825459999999998E-6</v>
      </c>
      <c r="I5529">
        <v>143.191</v>
      </c>
      <c r="J5529">
        <v>-346.26170000000002</v>
      </c>
      <c r="K5529">
        <v>1.1072599999999999</v>
      </c>
      <c r="L5529">
        <v>141.52869999999999</v>
      </c>
      <c r="M5529">
        <v>-0.99968190000000001</v>
      </c>
      <c r="N5529">
        <v>0</v>
      </c>
      <c r="O5529">
        <v>2.3530760000000001E-2</v>
      </c>
      <c r="P5529">
        <v>-0.9995328</v>
      </c>
      <c r="Q5529">
        <v>3.0566409999999999E-2</v>
      </c>
      <c r="R5529">
        <v>-1.3734789999999999E-4</v>
      </c>
      <c r="S5529">
        <v>-3.003571</v>
      </c>
      <c r="T5529">
        <v>-6.7545530000000006E-2</v>
      </c>
      <c r="U5529">
        <v>0.1018066</v>
      </c>
      <c r="V5529">
        <v>-2.3530539999999999E-2</v>
      </c>
      <c r="W5529">
        <v>3.9709920000000003E-2</v>
      </c>
      <c r="X5529">
        <v>0.99893410000000005</v>
      </c>
      <c r="Y5529">
        <v>1.035148E-2</v>
      </c>
      <c r="Z5529">
        <v>-4.1253710000000002E-4</v>
      </c>
      <c r="AA5529">
        <v>0.99994640000000001</v>
      </c>
      <c r="AB5529">
        <v>51</v>
      </c>
      <c r="AC5529">
        <v>-48.961899999999901</v>
      </c>
      <c r="AD5529">
        <v>-1.1072629825460001</v>
      </c>
      <c r="AE5529">
        <v>1.6623000000000101</v>
      </c>
      <c r="AF5529">
        <v>0.50942127152071304</v>
      </c>
      <c r="AG5529">
        <v>-1.1072629825460001</v>
      </c>
      <c r="AH5529">
        <v>48.962446812643201</v>
      </c>
      <c r="AI5529">
        <v>91.295426523707803</v>
      </c>
      <c r="AJ5529">
        <v>89.403897524908103</v>
      </c>
      <c r="AK5529">
        <v>48.977614674719597</v>
      </c>
      <c r="AL5529">
        <v>87.724190685987594</v>
      </c>
      <c r="AM5529">
        <v>91.349389671054098</v>
      </c>
      <c r="AN5529">
        <v>0.999999950100952</v>
      </c>
    </row>
    <row r="5530" spans="1:40" x14ac:dyDescent="0.25">
      <c r="A5530" t="str">
        <f>"20190312172227241"</f>
        <v>20190312172227241</v>
      </c>
      <c r="B5530" t="str">
        <f>"1552382547236186"</f>
        <v>1552382547236186</v>
      </c>
      <c r="C5530" t="s">
        <v>40</v>
      </c>
      <c r="D5530">
        <v>3.1958839999999999</v>
      </c>
      <c r="E5530">
        <v>0.51272770000000001</v>
      </c>
      <c r="F5530" t="s">
        <v>42</v>
      </c>
      <c r="G5530">
        <v>-395.22550000000001</v>
      </c>
      <c r="H5530" s="1">
        <v>-2.990008E-6</v>
      </c>
      <c r="I5530">
        <v>143.22210000000001</v>
      </c>
      <c r="J5530">
        <v>-346.55549999999999</v>
      </c>
      <c r="K5530">
        <v>1.1072569999999999</v>
      </c>
      <c r="L5530">
        <v>141.53579999999999</v>
      </c>
      <c r="M5530">
        <v>-0.99966880000000002</v>
      </c>
      <c r="N5530">
        <v>0</v>
      </c>
      <c r="O5530">
        <v>2.408161E-2</v>
      </c>
      <c r="P5530">
        <v>-0.99952949999999996</v>
      </c>
      <c r="Q5530">
        <v>3.0671750000000001E-2</v>
      </c>
      <c r="R5530">
        <v>4.4497679999999998E-4</v>
      </c>
      <c r="S5530">
        <v>-3.003479</v>
      </c>
      <c r="T5530">
        <v>-6.7920449999999993E-2</v>
      </c>
      <c r="U5530">
        <v>0.1038818</v>
      </c>
      <c r="V5530">
        <v>-2.3498040000000001E-2</v>
      </c>
      <c r="W5530">
        <v>3.9821889999999999E-2</v>
      </c>
      <c r="X5530">
        <v>0.99893050000000005</v>
      </c>
      <c r="Y5530">
        <v>1.0491739999999999E-2</v>
      </c>
      <c r="Z5530">
        <v>-4.256946E-4</v>
      </c>
      <c r="AA5530">
        <v>0.99994490000000003</v>
      </c>
      <c r="AB5530">
        <v>51</v>
      </c>
      <c r="AC5530">
        <v>-48.67</v>
      </c>
      <c r="AD5530">
        <v>-1.107259990008</v>
      </c>
      <c r="AE5530">
        <v>1.6863000000000099</v>
      </c>
      <c r="AF5530">
        <v>0.51344526564402704</v>
      </c>
      <c r="AG5530">
        <v>-1.107259990008</v>
      </c>
      <c r="AH5530">
        <v>48.671333784675198</v>
      </c>
      <c r="AI5530">
        <v>91.303166567769395</v>
      </c>
      <c r="AJ5530">
        <v>89.395595862392</v>
      </c>
      <c r="AK5530">
        <v>48.686634542814197</v>
      </c>
      <c r="AL5530">
        <v>87.717770409350805</v>
      </c>
      <c r="AM5530">
        <v>91.347531458105294</v>
      </c>
      <c r="AN5530">
        <v>1.0000000423186299</v>
      </c>
    </row>
    <row r="5531" spans="1:40" x14ac:dyDescent="0.25">
      <c r="A5531" t="str">
        <f>"20190312172227255"</f>
        <v>20190312172227255</v>
      </c>
      <c r="B5531" t="str">
        <f>"1552382547245946"</f>
        <v>1552382547245946</v>
      </c>
      <c r="C5531" t="s">
        <v>40</v>
      </c>
      <c r="D5531">
        <v>3.169184</v>
      </c>
      <c r="E5531">
        <v>0.51270830000000001</v>
      </c>
      <c r="F5531" t="s">
        <v>42</v>
      </c>
      <c r="G5531">
        <v>-394.95960000000002</v>
      </c>
      <c r="H5531" s="1">
        <v>-3.1062539999999998E-6</v>
      </c>
      <c r="I5531">
        <v>143.2303</v>
      </c>
      <c r="J5531">
        <v>-346.89729999999997</v>
      </c>
      <c r="K5531">
        <v>1.107256</v>
      </c>
      <c r="L5531">
        <v>141.54429999999999</v>
      </c>
      <c r="M5531">
        <v>-0.99965309999999996</v>
      </c>
      <c r="N5531">
        <v>0</v>
      </c>
      <c r="O5531">
        <v>2.4721859999999998E-2</v>
      </c>
      <c r="P5531">
        <v>-0.99954089999999995</v>
      </c>
      <c r="Q5531">
        <v>3.028573E-2</v>
      </c>
      <c r="R5531">
        <v>1.102013E-3</v>
      </c>
      <c r="S5531">
        <v>-3.0034179999999999</v>
      </c>
      <c r="T5531">
        <v>-6.8704249999999994E-2</v>
      </c>
      <c r="U5531">
        <v>0.1051483</v>
      </c>
      <c r="V5531">
        <v>-2.3482679999999999E-2</v>
      </c>
      <c r="W5531">
        <v>3.9443579999999999E-2</v>
      </c>
      <c r="X5531">
        <v>0.99894579999999999</v>
      </c>
      <c r="Y5531">
        <v>1.027346E-2</v>
      </c>
      <c r="Z5531">
        <v>-4.4774019999999998E-4</v>
      </c>
      <c r="AA5531">
        <v>0.99994709999999998</v>
      </c>
      <c r="AB5531">
        <v>51</v>
      </c>
      <c r="AC5531">
        <v>-48.0623</v>
      </c>
      <c r="AD5531">
        <v>-1.107259106254</v>
      </c>
      <c r="AE5531">
        <v>1.6859999999999999</v>
      </c>
      <c r="AF5531">
        <v>0.49698273981850599</v>
      </c>
      <c r="AG5531">
        <v>-1.107259106254</v>
      </c>
      <c r="AH5531">
        <v>48.063813709954402</v>
      </c>
      <c r="AI5531">
        <v>91.319634456689698</v>
      </c>
      <c r="AJ5531">
        <v>89.407579288239802</v>
      </c>
      <c r="AK5531">
        <v>48.079134797927303</v>
      </c>
      <c r="AL5531">
        <v>87.739462858986201</v>
      </c>
      <c r="AM5531">
        <v>91.346630321697205</v>
      </c>
      <c r="AN5531">
        <v>0.999999971800419</v>
      </c>
    </row>
    <row r="5532" spans="1:40" x14ac:dyDescent="0.25">
      <c r="A5532" t="str">
        <f>"20190312172227272"</f>
        <v>20190312172227272</v>
      </c>
      <c r="B5532" t="str">
        <f>"1552382547266442"</f>
        <v>1552382547266442</v>
      </c>
      <c r="C5532" t="s">
        <v>40</v>
      </c>
      <c r="D5532">
        <v>3.1561919999999999</v>
      </c>
      <c r="E5532">
        <v>0.51362699999999994</v>
      </c>
      <c r="F5532" t="s">
        <v>42</v>
      </c>
      <c r="G5532">
        <v>-394.27870000000001</v>
      </c>
      <c r="H5532" s="1">
        <v>-3.3989779999999998E-6</v>
      </c>
      <c r="I5532">
        <v>143.23259999999999</v>
      </c>
      <c r="J5532">
        <v>-347.26859999999999</v>
      </c>
      <c r="K5532">
        <v>1.1072550000000001</v>
      </c>
      <c r="L5532">
        <v>141.5538</v>
      </c>
      <c r="M5532">
        <v>-0.99963559999999996</v>
      </c>
      <c r="N5532">
        <v>0</v>
      </c>
      <c r="O5532">
        <v>2.541713E-2</v>
      </c>
      <c r="P5532">
        <v>-0.9995404</v>
      </c>
      <c r="Q5532">
        <v>3.0267229999999999E-2</v>
      </c>
      <c r="R5532">
        <v>1.731128E-3</v>
      </c>
      <c r="S5532">
        <v>-3.003387</v>
      </c>
      <c r="T5532">
        <v>-7.0186380000000007E-2</v>
      </c>
      <c r="U5532">
        <v>0.1070251</v>
      </c>
      <c r="V5532">
        <v>-2.3548900000000001E-2</v>
      </c>
      <c r="W5532">
        <v>3.9433580000000003E-2</v>
      </c>
      <c r="X5532">
        <v>0.99894459999999996</v>
      </c>
      <c r="Y5532">
        <v>1.02028E-2</v>
      </c>
      <c r="Z5532">
        <v>-4.7445380000000001E-4</v>
      </c>
      <c r="AA5532">
        <v>0.99994780000000005</v>
      </c>
      <c r="AB5532">
        <v>51</v>
      </c>
      <c r="AC5532">
        <v>-47.010100000000001</v>
      </c>
      <c r="AD5532">
        <v>-1.1072583989779901</v>
      </c>
      <c r="AE5532">
        <v>1.6787999999999901</v>
      </c>
      <c r="AF5532">
        <v>0.48307873588066202</v>
      </c>
      <c r="AG5532">
        <v>-1.1072583989779901</v>
      </c>
      <c r="AH5532">
        <v>47.011535823125797</v>
      </c>
      <c r="AI5532">
        <v>91.349161593534305</v>
      </c>
      <c r="AJ5532">
        <v>89.411263679865598</v>
      </c>
      <c r="AK5532">
        <v>47.027054837361497</v>
      </c>
      <c r="AL5532">
        <v>87.740036181722999</v>
      </c>
      <c r="AM5532">
        <v>91.350427970220593</v>
      </c>
      <c r="AN5532">
        <v>0.99999993589599101</v>
      </c>
    </row>
    <row r="5533" spans="1:40" x14ac:dyDescent="0.25">
      <c r="A5533" t="str">
        <f>"20190312172227291"</f>
        <v>20190312172227291</v>
      </c>
      <c r="B5533" t="str">
        <f>"1552382547286470"</f>
        <v>1552382547286470</v>
      </c>
      <c r="C5533" t="s">
        <v>40</v>
      </c>
      <c r="D5533">
        <v>3.282985</v>
      </c>
      <c r="E5533">
        <v>0.53709609999999997</v>
      </c>
      <c r="F5533" t="s">
        <v>42</v>
      </c>
      <c r="G5533">
        <v>-394.50599999999997</v>
      </c>
      <c r="H5533" s="1">
        <v>-3.3414700000000001E-6</v>
      </c>
      <c r="I5533">
        <v>143.38290000000001</v>
      </c>
      <c r="J5533">
        <v>-347.6936</v>
      </c>
      <c r="K5533">
        <v>1.1072519999999999</v>
      </c>
      <c r="L5533">
        <v>141.56489999999999</v>
      </c>
      <c r="M5533">
        <v>-0.99961489999999997</v>
      </c>
      <c r="N5533">
        <v>0</v>
      </c>
      <c r="O5533">
        <v>2.6213119999999999E-2</v>
      </c>
      <c r="P5533">
        <v>-0.9995309</v>
      </c>
      <c r="Q5533">
        <v>3.047412E-2</v>
      </c>
      <c r="R5533">
        <v>3.0297259999999999E-3</v>
      </c>
      <c r="S5533">
        <v>-3.0032960000000002</v>
      </c>
      <c r="T5533">
        <v>-7.0398089999999997E-2</v>
      </c>
      <c r="U5533">
        <v>0.1163025</v>
      </c>
      <c r="V5533">
        <v>-2.3045220000000002E-2</v>
      </c>
      <c r="W5533">
        <v>3.9647979999999999E-2</v>
      </c>
      <c r="X5533">
        <v>0.9989479</v>
      </c>
      <c r="Y5533">
        <v>1.2491840000000001E-2</v>
      </c>
      <c r="Z5533">
        <v>-4.6769219999999998E-4</v>
      </c>
      <c r="AA5533">
        <v>0.99992190000000003</v>
      </c>
      <c r="AB5533">
        <v>51</v>
      </c>
      <c r="AC5533">
        <v>-46.812399999999897</v>
      </c>
      <c r="AD5533">
        <v>-1.1072553414699999</v>
      </c>
      <c r="AE5533">
        <v>1.8180000000000101</v>
      </c>
      <c r="AF5533">
        <v>0.58989577228687196</v>
      </c>
      <c r="AG5533">
        <v>-1.1072553414699999</v>
      </c>
      <c r="AH5533">
        <v>46.817816748195497</v>
      </c>
      <c r="AI5533">
        <v>91.354702239281494</v>
      </c>
      <c r="AJ5533">
        <v>89.278122047189797</v>
      </c>
      <c r="AK5533">
        <v>46.834623479654297</v>
      </c>
      <c r="AL5533">
        <v>87.727742441975394</v>
      </c>
      <c r="AM5533">
        <v>91.321550083062604</v>
      </c>
      <c r="AN5533">
        <v>0.99999997569866905</v>
      </c>
    </row>
    <row r="5534" spans="1:40" x14ac:dyDescent="0.25">
      <c r="A5534" t="str">
        <f>"20190312172227311"</f>
        <v>20190312172227311</v>
      </c>
      <c r="B5534" t="str">
        <f>"1552382547305990"</f>
        <v>1552382547305990</v>
      </c>
      <c r="C5534" t="s">
        <v>40</v>
      </c>
      <c r="D5534">
        <v>3.1792609999999999</v>
      </c>
      <c r="E5534">
        <v>0.53652140000000004</v>
      </c>
      <c r="F5534" t="s">
        <v>42</v>
      </c>
      <c r="G5534">
        <v>-392.45920000000001</v>
      </c>
      <c r="H5534" s="1">
        <v>-4.5979469999999999E-6</v>
      </c>
      <c r="I5534">
        <v>146.149</v>
      </c>
      <c r="J5534">
        <v>-348.1866</v>
      </c>
      <c r="K5534">
        <v>1.107254</v>
      </c>
      <c r="L5534">
        <v>141.57820000000001</v>
      </c>
      <c r="M5534">
        <v>-0.99959019999999998</v>
      </c>
      <c r="N5534">
        <v>0</v>
      </c>
      <c r="O5534">
        <v>2.7135349999999999E-2</v>
      </c>
      <c r="P5534">
        <v>-0.99950740000000005</v>
      </c>
      <c r="Q5534">
        <v>3.1033069999999999E-2</v>
      </c>
      <c r="R5534">
        <v>4.69886E-3</v>
      </c>
      <c r="S5534">
        <v>-3.002777</v>
      </c>
      <c r="T5534">
        <v>-7.4272389999999994E-2</v>
      </c>
      <c r="U5534">
        <v>0.30749510000000002</v>
      </c>
      <c r="V5534">
        <v>-2.22959E-2</v>
      </c>
      <c r="W5534">
        <v>4.0216389999999998E-2</v>
      </c>
      <c r="X5534">
        <v>0.9989422</v>
      </c>
      <c r="Y5534">
        <v>7.4823609999999999E-2</v>
      </c>
      <c r="Z5534">
        <v>2.537479E-4</v>
      </c>
      <c r="AA5534">
        <v>0.99719669999999905</v>
      </c>
      <c r="AB5534">
        <v>51</v>
      </c>
      <c r="AC5534">
        <v>-44.272599999999997</v>
      </c>
      <c r="AD5534">
        <v>-1.107258597947</v>
      </c>
      <c r="AE5534">
        <v>4.5707999999999904</v>
      </c>
      <c r="AF5534">
        <v>3.3656313259255799</v>
      </c>
      <c r="AG5534">
        <v>-1.107258597947</v>
      </c>
      <c r="AH5534">
        <v>44.352881309620599</v>
      </c>
      <c r="AI5534">
        <v>91.425979802850804</v>
      </c>
      <c r="AJ5534">
        <v>85.660538714719394</v>
      </c>
      <c r="AK5534">
        <v>44.494174633204103</v>
      </c>
      <c r="AL5534">
        <v>87.695148987618694</v>
      </c>
      <c r="AM5534">
        <v>91.278601411531596</v>
      </c>
      <c r="AN5534">
        <v>0.99999999206114099</v>
      </c>
    </row>
    <row r="5535" spans="1:40" x14ac:dyDescent="0.25">
      <c r="A5535" t="str">
        <f>"20190312172227327"</f>
        <v>20190312172227327</v>
      </c>
      <c r="B5535" t="str">
        <f>"1552382547315750"</f>
        <v>1552382547315750</v>
      </c>
      <c r="C5535" t="s">
        <v>40</v>
      </c>
      <c r="D5535">
        <v>3.159843</v>
      </c>
      <c r="E5535">
        <v>0.53635529999999998</v>
      </c>
      <c r="F5535" t="s">
        <v>42</v>
      </c>
      <c r="G5535">
        <v>-393.54399999999998</v>
      </c>
      <c r="H5535" s="1">
        <v>-4.2439920000000001E-6</v>
      </c>
      <c r="I5535">
        <v>146.2347</v>
      </c>
      <c r="J5535">
        <v>-348.5394</v>
      </c>
      <c r="K5535">
        <v>1.1072489999999999</v>
      </c>
      <c r="L5535">
        <v>141.5881</v>
      </c>
      <c r="M5535">
        <v>-0.99957200000000002</v>
      </c>
      <c r="N5535">
        <v>0</v>
      </c>
      <c r="O5535">
        <v>2.779502E-2</v>
      </c>
      <c r="P5535">
        <v>-0.9994923</v>
      </c>
      <c r="Q5535">
        <v>3.1318180000000001E-2</v>
      </c>
      <c r="R5535">
        <v>5.8556989999999998E-3</v>
      </c>
      <c r="S5535">
        <v>-3.002319</v>
      </c>
      <c r="T5535">
        <v>-7.3292140000000006E-2</v>
      </c>
      <c r="U5535">
        <v>0.30822749999999999</v>
      </c>
      <c r="V5535">
        <v>-2.179739E-2</v>
      </c>
      <c r="W5535">
        <v>4.0509879999999998E-2</v>
      </c>
      <c r="X5535">
        <v>0.99894139999999998</v>
      </c>
      <c r="Y5535">
        <v>7.442232E-2</v>
      </c>
      <c r="Z5535">
        <v>2.2950640000000001E-4</v>
      </c>
      <c r="AA5535">
        <v>0.99722679999999997</v>
      </c>
      <c r="AB5535">
        <v>51</v>
      </c>
      <c r="AC5535">
        <v>-45.004600000000003</v>
      </c>
      <c r="AD5535">
        <v>-1.107253243992</v>
      </c>
      <c r="AE5535">
        <v>4.6466000000000003</v>
      </c>
      <c r="AF5535">
        <v>3.3918173199149799</v>
      </c>
      <c r="AG5535">
        <v>-1.107253243992</v>
      </c>
      <c r="AH5535">
        <v>45.0893631537933</v>
      </c>
      <c r="AI5535">
        <v>91.402760084842697</v>
      </c>
      <c r="AJ5535">
        <v>85.698065381929297</v>
      </c>
      <c r="AK5535">
        <v>45.230311784163703</v>
      </c>
      <c r="AL5535">
        <v>87.678319665743004</v>
      </c>
      <c r="AM5535">
        <v>91.250023568723805</v>
      </c>
      <c r="AN5535">
        <v>1.00000004861119</v>
      </c>
    </row>
    <row r="5536" spans="1:40" x14ac:dyDescent="0.25">
      <c r="A5536" t="str">
        <f>"20190312172227340"</f>
        <v>20190312172227340</v>
      </c>
      <c r="B5536" t="str">
        <f>"1552382547336246"</f>
        <v>1552382547336246</v>
      </c>
      <c r="C5536" t="s">
        <v>40</v>
      </c>
      <c r="D5536">
        <v>3.2120320000000002</v>
      </c>
      <c r="E5536">
        <v>0.53681449999999997</v>
      </c>
      <c r="F5536" t="s">
        <v>42</v>
      </c>
      <c r="G5536">
        <v>-394.88170000000002</v>
      </c>
      <c r="H5536" s="1">
        <v>-3.8142100000000001E-6</v>
      </c>
      <c r="I5536">
        <v>146.37799999999999</v>
      </c>
      <c r="J5536">
        <v>-348.83109999999999</v>
      </c>
      <c r="K5536">
        <v>1.107251</v>
      </c>
      <c r="L5536">
        <v>141.59630000000001</v>
      </c>
      <c r="M5536">
        <v>-0.99955669999999996</v>
      </c>
      <c r="N5536">
        <v>0</v>
      </c>
      <c r="O5536">
        <v>2.8339960000000001E-2</v>
      </c>
      <c r="P5536">
        <v>-0.99947750000000002</v>
      </c>
      <c r="Q5536">
        <v>3.1589029999999997E-2</v>
      </c>
      <c r="R5536">
        <v>6.8684519999999997E-3</v>
      </c>
      <c r="S5536">
        <v>-3.0019529999999999</v>
      </c>
      <c r="T5536">
        <v>-7.1725490000000003E-2</v>
      </c>
      <c r="U5536">
        <v>0.31028749999999999</v>
      </c>
      <c r="V5536">
        <v>-2.132796E-2</v>
      </c>
      <c r="W5536">
        <v>4.0789079999999998E-2</v>
      </c>
      <c r="X5536">
        <v>0.9989401</v>
      </c>
      <c r="Y5536">
        <v>7.4568819999999994E-2</v>
      </c>
      <c r="Z5536">
        <v>2.1339730000000001E-4</v>
      </c>
      <c r="AA5536">
        <v>0.99721590000000004</v>
      </c>
      <c r="AB5536">
        <v>51</v>
      </c>
      <c r="AC5536">
        <v>-46.050600000000003</v>
      </c>
      <c r="AD5536">
        <v>-1.10725481421</v>
      </c>
      <c r="AE5536">
        <v>4.7816999999999696</v>
      </c>
      <c r="AF5536">
        <v>3.47266651305871</v>
      </c>
      <c r="AG5536">
        <v>-1.10725481421</v>
      </c>
      <c r="AH5536">
        <v>46.141229699558401</v>
      </c>
      <c r="AI5536">
        <v>91.370792279293099</v>
      </c>
      <c r="AJ5536">
        <v>85.695937607671098</v>
      </c>
      <c r="AK5536">
        <v>46.284970607335602</v>
      </c>
      <c r="AL5536">
        <v>87.662309284748801</v>
      </c>
      <c r="AM5536">
        <v>91.223112839421802</v>
      </c>
      <c r="AN5536">
        <v>0.99999997715650801</v>
      </c>
    </row>
    <row r="5537" spans="1:40" x14ac:dyDescent="0.25">
      <c r="A5537" t="str">
        <f>"20190312172227353"</f>
        <v>20190312172227353</v>
      </c>
      <c r="B5537" t="str">
        <f>"1552382547346008"</f>
        <v>1552382547346008</v>
      </c>
      <c r="C5537" t="s">
        <v>40</v>
      </c>
      <c r="D5537">
        <v>3.1952780000000001</v>
      </c>
      <c r="E5537">
        <v>0.53700049999999999</v>
      </c>
      <c r="F5537" t="s">
        <v>42</v>
      </c>
      <c r="G5537">
        <v>-396.73860000000002</v>
      </c>
      <c r="H5537" s="1">
        <v>-3.2316629999999999E-6</v>
      </c>
      <c r="I5537">
        <v>146.65629999999999</v>
      </c>
      <c r="J5537">
        <v>-349.13650000000001</v>
      </c>
      <c r="K5537">
        <v>1.107253</v>
      </c>
      <c r="L5537">
        <v>141.6052</v>
      </c>
      <c r="M5537">
        <v>-0.99954030000000005</v>
      </c>
      <c r="N5537">
        <v>0</v>
      </c>
      <c r="O5537">
        <v>2.8909689999999998E-2</v>
      </c>
      <c r="P5537">
        <v>-0.99945870000000003</v>
      </c>
      <c r="Q5537">
        <v>3.195199E-2</v>
      </c>
      <c r="R5537">
        <v>7.886166E-3</v>
      </c>
      <c r="S5537">
        <v>-3.0015869999999998</v>
      </c>
      <c r="T5537">
        <v>-6.9373729999999995E-2</v>
      </c>
      <c r="U5537">
        <v>0.31703189999999998</v>
      </c>
      <c r="V5537">
        <v>-2.0878460000000001E-2</v>
      </c>
      <c r="W5537">
        <v>4.1160700000000001E-2</v>
      </c>
      <c r="X5537">
        <v>0.9989344</v>
      </c>
      <c r="Y5537">
        <v>7.62298E-2</v>
      </c>
      <c r="Z5537">
        <v>2.1243100000000001E-4</v>
      </c>
      <c r="AA5537">
        <v>0.99709029999999998</v>
      </c>
      <c r="AB5537">
        <v>51</v>
      </c>
      <c r="AC5537">
        <v>-47.6021</v>
      </c>
      <c r="AD5537">
        <v>-1.1072562316629999</v>
      </c>
      <c r="AE5537">
        <v>5.0510999999999902</v>
      </c>
      <c r="AF5537">
        <v>3.6708052408376499</v>
      </c>
      <c r="AG5537">
        <v>-1.1072562316629999</v>
      </c>
      <c r="AH5537">
        <v>47.702711225435699</v>
      </c>
      <c r="AI5537">
        <v>91.325769805803205</v>
      </c>
      <c r="AJ5537">
        <v>85.599663696190206</v>
      </c>
      <c r="AK5537">
        <v>47.856551126632901</v>
      </c>
      <c r="AL5537">
        <v>87.640999241321396</v>
      </c>
      <c r="AM5537">
        <v>91.197349392044501</v>
      </c>
      <c r="AN5537">
        <v>1.0000000244099101</v>
      </c>
    </row>
    <row r="5538" spans="1:40" x14ac:dyDescent="0.25">
      <c r="A5538" t="str">
        <f>"20190312172227368"</f>
        <v>20190312172227368</v>
      </c>
      <c r="B5538" t="str">
        <f>"1552382547355767"</f>
        <v>1552382547355767</v>
      </c>
      <c r="C5538" t="s">
        <v>40</v>
      </c>
      <c r="D5538">
        <v>3.3653569999999999</v>
      </c>
      <c r="E5538">
        <v>0.53698630000000003</v>
      </c>
      <c r="F5538" t="s">
        <v>42</v>
      </c>
      <c r="G5538">
        <v>-395.67779999999999</v>
      </c>
      <c r="H5538" s="1">
        <v>-3.581251E-6</v>
      </c>
      <c r="I5538">
        <v>146.59200000000001</v>
      </c>
      <c r="J5538">
        <v>-349.47739999999999</v>
      </c>
      <c r="K5538">
        <v>1.107253</v>
      </c>
      <c r="L5538">
        <v>141.61529999999999</v>
      </c>
      <c r="M5538">
        <v>-0.99952160000000001</v>
      </c>
      <c r="N5538">
        <v>0</v>
      </c>
      <c r="O5538">
        <v>2.954468E-2</v>
      </c>
      <c r="P5538">
        <v>-0.99943749999999998</v>
      </c>
      <c r="Q5538">
        <v>3.217623E-2</v>
      </c>
      <c r="R5538">
        <v>9.4730189999999992E-3</v>
      </c>
      <c r="S5538">
        <v>-3.0013429999999999</v>
      </c>
      <c r="T5538">
        <v>-7.1404579999999995E-2</v>
      </c>
      <c r="U5538">
        <v>0.3215942</v>
      </c>
      <c r="V5538">
        <v>-1.9926079999999999E-2</v>
      </c>
      <c r="W5538">
        <v>4.139367E-2</v>
      </c>
      <c r="X5538">
        <v>0.99894419999999995</v>
      </c>
      <c r="Y5538">
        <v>7.7102710000000005E-2</v>
      </c>
      <c r="Z5538">
        <v>2.1395870000000001E-4</v>
      </c>
      <c r="AA5538">
        <v>0.99702310000000005</v>
      </c>
      <c r="AB5538">
        <v>51</v>
      </c>
      <c r="AC5538">
        <v>-46.200400000000002</v>
      </c>
      <c r="AD5538">
        <v>-1.107256581251</v>
      </c>
      <c r="AE5538">
        <v>4.9767000000000197</v>
      </c>
      <c r="AF5538">
        <v>3.6074458381021102</v>
      </c>
      <c r="AG5538">
        <v>-1.107256581251</v>
      </c>
      <c r="AH5538">
        <v>46.300981524327803</v>
      </c>
      <c r="AI5538">
        <v>91.365790988705299</v>
      </c>
      <c r="AJ5538">
        <v>85.544917273125805</v>
      </c>
      <c r="AK5538">
        <v>46.4545000266681</v>
      </c>
      <c r="AL5538">
        <v>87.627639599162904</v>
      </c>
      <c r="AM5538">
        <v>91.142735401967997</v>
      </c>
      <c r="AN5538">
        <v>0.99999999964693698</v>
      </c>
    </row>
    <row r="5539" spans="1:40" x14ac:dyDescent="0.25">
      <c r="A5539" t="str">
        <f>"20190312172227390"</f>
        <v>20190312172227390</v>
      </c>
      <c r="B5539" t="str">
        <f>"1552382547386314"</f>
        <v>1552382547386314</v>
      </c>
      <c r="C5539" t="s">
        <v>40</v>
      </c>
      <c r="D5539">
        <v>3.190461</v>
      </c>
      <c r="E5539">
        <v>0.53696199999999905</v>
      </c>
      <c r="F5539" t="s">
        <v>42</v>
      </c>
      <c r="G5539">
        <v>-396.19049999999999</v>
      </c>
      <c r="H5539" s="1">
        <v>-3.4247629999999998E-6</v>
      </c>
      <c r="I5539">
        <v>146.6934</v>
      </c>
      <c r="J5539">
        <v>-349.97989999999999</v>
      </c>
      <c r="K5539">
        <v>1.107256</v>
      </c>
      <c r="L5539">
        <v>141.63059999999999</v>
      </c>
      <c r="M5539">
        <v>-0.99949339999999998</v>
      </c>
      <c r="N5539">
        <v>0</v>
      </c>
      <c r="O5539">
        <v>3.0477239999999999E-2</v>
      </c>
      <c r="P5539">
        <v>-0.9994054</v>
      </c>
      <c r="Q5539">
        <v>3.2575939999999998E-2</v>
      </c>
      <c r="R5539">
        <v>1.1308489999999999E-2</v>
      </c>
      <c r="S5539">
        <v>-3.0009459999999999</v>
      </c>
      <c r="T5539">
        <v>-7.1132420000000002E-2</v>
      </c>
      <c r="U5539">
        <v>0.32623289999999999</v>
      </c>
      <c r="V5539">
        <v>-1.902119E-2</v>
      </c>
      <c r="W5539">
        <v>4.1808169999999999E-2</v>
      </c>
      <c r="X5539">
        <v>0.99894459999999996</v>
      </c>
      <c r="Y5539">
        <v>7.7709970000000003E-2</v>
      </c>
      <c r="Z5539">
        <v>1.9832009999999999E-4</v>
      </c>
      <c r="AA5539">
        <v>0.99697599999999997</v>
      </c>
      <c r="AB5539">
        <v>52</v>
      </c>
      <c r="AC5539">
        <v>-46.210599999999999</v>
      </c>
      <c r="AD5539">
        <v>-1.1072594247630001</v>
      </c>
      <c r="AE5539">
        <v>5.06280000000001</v>
      </c>
      <c r="AF5539">
        <v>3.6499464608526999</v>
      </c>
      <c r="AG5539">
        <v>-1.1072594247630001</v>
      </c>
      <c r="AH5539">
        <v>46.317161239196203</v>
      </c>
      <c r="AI5539">
        <v>91.365222934025994</v>
      </c>
      <c r="AJ5539">
        <v>85.494213409282096</v>
      </c>
      <c r="AK5539">
        <v>46.473944935399203</v>
      </c>
      <c r="AL5539">
        <v>87.603869973065699</v>
      </c>
      <c r="AM5539">
        <v>91.090853509852906</v>
      </c>
      <c r="AN5539">
        <v>1.0000000213084601</v>
      </c>
    </row>
    <row r="5540" spans="1:40" x14ac:dyDescent="0.25">
      <c r="A5540" t="str">
        <f>"20190312172227405"</f>
        <v>20190312172227405</v>
      </c>
      <c r="B5540" t="str">
        <f>"1552382547396074"</f>
        <v>1552382547396074</v>
      </c>
      <c r="C5540" t="s">
        <v>40</v>
      </c>
      <c r="D5540">
        <v>3.175624</v>
      </c>
      <c r="E5540">
        <v>0.53696709999999903</v>
      </c>
      <c r="F5540" t="s">
        <v>42</v>
      </c>
      <c r="G5540">
        <v>-396.5213</v>
      </c>
      <c r="H5540" s="1">
        <v>-3.3260640000000001E-6</v>
      </c>
      <c r="I5540">
        <v>146.77170000000001</v>
      </c>
      <c r="J5540">
        <v>-350.35969999999998</v>
      </c>
      <c r="K5540">
        <v>1.107259</v>
      </c>
      <c r="L5540">
        <v>141.64240000000001</v>
      </c>
      <c r="M5540">
        <v>-0.99947160000000002</v>
      </c>
      <c r="N5540">
        <v>0</v>
      </c>
      <c r="O5540">
        <v>3.1178069999999999E-2</v>
      </c>
      <c r="P5540">
        <v>-0.99939120000000004</v>
      </c>
      <c r="Q5540">
        <v>3.261037E-2</v>
      </c>
      <c r="R5540">
        <v>1.241221E-2</v>
      </c>
      <c r="S5540">
        <v>-3.0003660000000001</v>
      </c>
      <c r="T5540">
        <v>-7.1381330000000007E-2</v>
      </c>
      <c r="U5540">
        <v>0.33143620000000001</v>
      </c>
      <c r="V5540">
        <v>-1.8617689999999999E-2</v>
      </c>
      <c r="W5540">
        <v>4.1856280000000003E-2</v>
      </c>
      <c r="X5540">
        <v>0.99895020000000001</v>
      </c>
      <c r="Y5540">
        <v>7.8739829999999997E-2</v>
      </c>
      <c r="Z5540">
        <v>1.946486E-4</v>
      </c>
      <c r="AA5540">
        <v>0.99689519999999998</v>
      </c>
      <c r="AB5540">
        <v>52</v>
      </c>
      <c r="AC5540">
        <v>-46.1616</v>
      </c>
      <c r="AD5540">
        <v>-1.107262326064</v>
      </c>
      <c r="AE5540">
        <v>5.1292999999999997</v>
      </c>
      <c r="AF5540">
        <v>3.6854212071152399</v>
      </c>
      <c r="AG5540">
        <v>-1.107262326064</v>
      </c>
      <c r="AH5540">
        <v>46.2727860917174</v>
      </c>
      <c r="AI5540">
        <v>91.366444677851803</v>
      </c>
      <c r="AJ5540">
        <v>85.446259007397799</v>
      </c>
      <c r="AK5540">
        <v>46.432521921842799</v>
      </c>
      <c r="AL5540">
        <v>87.601111089381106</v>
      </c>
      <c r="AM5540">
        <v>91.067712464700406</v>
      </c>
      <c r="AN5540">
        <v>1.0000000343182001</v>
      </c>
    </row>
    <row r="5541" spans="1:40" x14ac:dyDescent="0.25">
      <c r="A5541" t="str">
        <f>"20190312172227423"</f>
        <v>20190312172227423</v>
      </c>
      <c r="B5541" t="str">
        <f>"1552382547416570"</f>
        <v>1552382547416570</v>
      </c>
      <c r="C5541" t="s">
        <v>40</v>
      </c>
      <c r="D5541">
        <v>3.1585809999999999</v>
      </c>
      <c r="E5541">
        <v>0.53687799999999997</v>
      </c>
      <c r="F5541" t="s">
        <v>42</v>
      </c>
      <c r="G5541">
        <v>-396.09249999999997</v>
      </c>
      <c r="H5541" s="1">
        <v>-3.4678780000000001E-6</v>
      </c>
      <c r="I5541">
        <v>146.74850000000001</v>
      </c>
      <c r="J5541">
        <v>-350.76990000000001</v>
      </c>
      <c r="K5541">
        <v>1.107264</v>
      </c>
      <c r="L5541">
        <v>141.65549999999999</v>
      </c>
      <c r="M5541">
        <v>-0.99944759999999999</v>
      </c>
      <c r="N5541">
        <v>0</v>
      </c>
      <c r="O5541">
        <v>3.1930199999999999E-2</v>
      </c>
      <c r="P5541">
        <v>-0.99936510000000001</v>
      </c>
      <c r="Q5541">
        <v>3.2815200000000003E-2</v>
      </c>
      <c r="R5541">
        <v>1.387708E-2</v>
      </c>
      <c r="S5541">
        <v>-3.0000309999999999</v>
      </c>
      <c r="T5541">
        <v>-7.2635409999999997E-2</v>
      </c>
      <c r="U5541">
        <v>0.33496090000000001</v>
      </c>
      <c r="V5541">
        <v>-1.7904920000000001E-2</v>
      </c>
      <c r="W5541">
        <v>4.2076870000000002E-2</v>
      </c>
      <c r="X5541">
        <v>0.99895389999999995</v>
      </c>
      <c r="Y5541">
        <v>7.9158399999999907E-2</v>
      </c>
      <c r="Z5541">
        <v>1.8500130000000001E-4</v>
      </c>
      <c r="AA5541">
        <v>0.99686209999999997</v>
      </c>
      <c r="AB5541">
        <v>52</v>
      </c>
      <c r="AC5541">
        <v>-45.322599999999902</v>
      </c>
      <c r="AD5541">
        <v>-1.1072674678779999</v>
      </c>
      <c r="AE5541">
        <v>5.0930000000000097</v>
      </c>
      <c r="AF5541">
        <v>3.64103560134363</v>
      </c>
      <c r="AG5541">
        <v>-1.1072674678779999</v>
      </c>
      <c r="AH5541">
        <v>45.435334963884102</v>
      </c>
      <c r="AI5541">
        <v>91.391573009487104</v>
      </c>
      <c r="AJ5541">
        <v>85.418299063989096</v>
      </c>
      <c r="AK5541">
        <v>45.594438748338803</v>
      </c>
      <c r="AL5541">
        <v>87.588460918306296</v>
      </c>
      <c r="AM5541">
        <v>91.026840690760906</v>
      </c>
      <c r="AN5541">
        <v>0.99999997173720601</v>
      </c>
    </row>
    <row r="5542" spans="1:40" x14ac:dyDescent="0.25">
      <c r="A5542" t="str">
        <f>"20190312172227438"</f>
        <v>20190312172227438</v>
      </c>
      <c r="B5542" t="str">
        <f>"1552382547426331"</f>
        <v>1552382547426331</v>
      </c>
      <c r="C5542" t="s">
        <v>40</v>
      </c>
      <c r="D5542">
        <v>3.1793990000000001</v>
      </c>
      <c r="E5542">
        <v>0.53690979999999999</v>
      </c>
      <c r="F5542" t="s">
        <v>42</v>
      </c>
      <c r="G5542">
        <v>-395.68099999999998</v>
      </c>
      <c r="H5542" s="1">
        <v>-3.6038889999999998E-6</v>
      </c>
      <c r="I5542">
        <v>146.72579999999999</v>
      </c>
      <c r="J5542">
        <v>-351.11349999999999</v>
      </c>
      <c r="K5542">
        <v>1.1072679999999999</v>
      </c>
      <c r="L5542">
        <v>141.66669999999999</v>
      </c>
      <c r="M5542">
        <v>-0.99942739999999997</v>
      </c>
      <c r="N5542">
        <v>0</v>
      </c>
      <c r="O5542">
        <v>3.2554840000000002E-2</v>
      </c>
      <c r="P5542">
        <v>-0.99935180000000001</v>
      </c>
      <c r="Q5542">
        <v>3.2933459999999998E-2</v>
      </c>
      <c r="R5542">
        <v>1.4546069999999999E-2</v>
      </c>
      <c r="S5542">
        <v>-2.999603</v>
      </c>
      <c r="T5542">
        <v>-7.3954220000000001E-2</v>
      </c>
      <c r="U5542">
        <v>0.338653599999999</v>
      </c>
      <c r="V5542">
        <v>-1.7860049999999999E-2</v>
      </c>
      <c r="W5542">
        <v>4.2209780000000002E-2</v>
      </c>
      <c r="X5542">
        <v>0.99894910000000003</v>
      </c>
      <c r="Y5542">
        <v>7.9762420000000001E-2</v>
      </c>
      <c r="Z5542">
        <v>1.8046849999999999E-4</v>
      </c>
      <c r="AA5542">
        <v>0.99681390000000003</v>
      </c>
      <c r="AB5542">
        <v>52</v>
      </c>
      <c r="AC5542">
        <v>-44.567500000000003</v>
      </c>
      <c r="AD5542">
        <v>-1.10727160388899</v>
      </c>
      <c r="AE5542">
        <v>5.0590999999999999</v>
      </c>
      <c r="AF5542">
        <v>3.6032727823553401</v>
      </c>
      <c r="AG5542">
        <v>-1.10727160388899</v>
      </c>
      <c r="AH5542">
        <v>44.681350843472998</v>
      </c>
      <c r="AI5542">
        <v>91.414993899685498</v>
      </c>
      <c r="AJ5542">
        <v>85.389429624420799</v>
      </c>
      <c r="AK5542">
        <v>44.840079597904001</v>
      </c>
      <c r="AL5542">
        <v>87.580838973975602</v>
      </c>
      <c r="AM5542">
        <v>91.024272881989603</v>
      </c>
      <c r="AN5542">
        <v>0.99999997565222998</v>
      </c>
    </row>
    <row r="5543" spans="1:40" x14ac:dyDescent="0.25">
      <c r="A5543" t="str">
        <f>"20190312172227456"</f>
        <v>20190312172227456</v>
      </c>
      <c r="B5543" t="str">
        <f>"1552382547445850"</f>
        <v>1552382547445850</v>
      </c>
      <c r="C5543" t="s">
        <v>40</v>
      </c>
      <c r="D5543">
        <v>3.2041230000000001</v>
      </c>
      <c r="E5543">
        <v>0.53682510000000006</v>
      </c>
      <c r="F5543" t="s">
        <v>42</v>
      </c>
      <c r="G5543">
        <v>-395.67020000000002</v>
      </c>
      <c r="H5543" s="1">
        <v>-3.6084099999999999E-6</v>
      </c>
      <c r="I5543">
        <v>146.73060000000001</v>
      </c>
      <c r="J5543">
        <v>-351.5249</v>
      </c>
      <c r="K5543">
        <v>1.1072759999999999</v>
      </c>
      <c r="L5543">
        <v>141.68039999999999</v>
      </c>
      <c r="M5543">
        <v>-0.99940280000000004</v>
      </c>
      <c r="N5543">
        <v>0</v>
      </c>
      <c r="O5543">
        <v>3.3293339999999998E-2</v>
      </c>
      <c r="P5543">
        <v>-0.99933720000000004</v>
      </c>
      <c r="Q5543">
        <v>3.2897460000000003E-2</v>
      </c>
      <c r="R5543">
        <v>1.558556E-2</v>
      </c>
      <c r="S5543">
        <v>-2.9994510000000001</v>
      </c>
      <c r="T5543">
        <v>-7.4538950000000007E-2</v>
      </c>
      <c r="U5543">
        <v>0.34089659999999999</v>
      </c>
      <c r="V5543">
        <v>-1.7559970000000001E-2</v>
      </c>
      <c r="W5543">
        <v>4.2192630000000002E-2</v>
      </c>
      <c r="X5543">
        <v>0.99895520000000004</v>
      </c>
      <c r="Y5543">
        <v>7.9767469999999993E-2</v>
      </c>
      <c r="Z5543">
        <v>1.6369409999999999E-4</v>
      </c>
      <c r="AA5543">
        <v>0.99681350000000002</v>
      </c>
      <c r="AB5543">
        <v>52</v>
      </c>
      <c r="AC5543">
        <v>-44.145299999999999</v>
      </c>
      <c r="AD5543">
        <v>-1.1072796084099901</v>
      </c>
      <c r="AE5543">
        <v>5.05020000000001</v>
      </c>
      <c r="AF5543">
        <v>3.5753723138140301</v>
      </c>
      <c r="AG5543">
        <v>-1.1072796084099901</v>
      </c>
      <c r="AH5543">
        <v>44.261483154071797</v>
      </c>
      <c r="AI5543">
        <v>91.428406007551402</v>
      </c>
      <c r="AJ5543">
        <v>85.381765402087595</v>
      </c>
      <c r="AK5543">
        <v>44.419457969585501</v>
      </c>
      <c r="AL5543">
        <v>87.581822606923197</v>
      </c>
      <c r="AM5543">
        <v>91.007060736796305</v>
      </c>
      <c r="AN5543">
        <v>1.00000003108987</v>
      </c>
    </row>
    <row r="5544" spans="1:40" x14ac:dyDescent="0.25">
      <c r="A5544" t="str">
        <f>"20190312172227472"</f>
        <v>20190312172227472</v>
      </c>
      <c r="B5544" t="str">
        <f>"1552382547466346"</f>
        <v>1552382547466346</v>
      </c>
      <c r="C5544" t="s">
        <v>40</v>
      </c>
      <c r="D5544">
        <v>3.1898949999999999</v>
      </c>
      <c r="E5544">
        <v>0.53671480000000005</v>
      </c>
      <c r="F5544" t="s">
        <v>42</v>
      </c>
      <c r="G5544">
        <v>-395.2679</v>
      </c>
      <c r="H5544" s="1">
        <v>-3.7377019999999999E-6</v>
      </c>
      <c r="I5544">
        <v>146.68770000000001</v>
      </c>
      <c r="J5544">
        <v>-351.88659999999999</v>
      </c>
      <c r="K5544">
        <v>1.1072850000000001</v>
      </c>
      <c r="L5544">
        <v>141.6927</v>
      </c>
      <c r="M5544">
        <v>-0.99938130000000003</v>
      </c>
      <c r="N5544">
        <v>0</v>
      </c>
      <c r="O5544">
        <v>3.3930259999999997E-2</v>
      </c>
      <c r="P5544">
        <v>-0.99932520000000002</v>
      </c>
      <c r="Q5544">
        <v>3.2871230000000001E-2</v>
      </c>
      <c r="R5544">
        <v>1.6390479999999999E-2</v>
      </c>
      <c r="S5544">
        <v>-2.9991460000000001</v>
      </c>
      <c r="T5544">
        <v>-7.5918200000000005E-2</v>
      </c>
      <c r="U5544">
        <v>0.34332279999999998</v>
      </c>
      <c r="V5544">
        <v>-1.739278E-2</v>
      </c>
      <c r="W5544">
        <v>4.2185970000000003E-2</v>
      </c>
      <c r="X5544">
        <v>0.99895829999999997</v>
      </c>
      <c r="Y5544">
        <v>7.9939209999999997E-2</v>
      </c>
      <c r="Z5544">
        <v>1.528542E-4</v>
      </c>
      <c r="AA5544">
        <v>0.99679969999999996</v>
      </c>
      <c r="AB5544">
        <v>52</v>
      </c>
      <c r="AC5544">
        <v>-43.381300000000003</v>
      </c>
      <c r="AD5544">
        <v>-1.107288737702</v>
      </c>
      <c r="AE5544">
        <v>4.9950000000000001</v>
      </c>
      <c r="AF5544">
        <v>3.5178598321923999</v>
      </c>
      <c r="AG5544">
        <v>-1.107288737702</v>
      </c>
      <c r="AH5544">
        <v>43.4978397534273</v>
      </c>
      <c r="AI5544">
        <v>91.453473070337907</v>
      </c>
      <c r="AJ5544">
        <v>85.376303813219707</v>
      </c>
      <c r="AK5544">
        <v>43.653905774425603</v>
      </c>
      <c r="AL5544">
        <v>87.582204280203698</v>
      </c>
      <c r="AM5544">
        <v>90.997471275802397</v>
      </c>
      <c r="AN5544">
        <v>0.99999992499992596</v>
      </c>
    </row>
    <row r="5545" spans="1:40" x14ac:dyDescent="0.25">
      <c r="A5545" t="str">
        <f>"20190312172227486"</f>
        <v>20190312172227486</v>
      </c>
      <c r="B5545" t="str">
        <f>"1552382547476613"</f>
        <v>1552382547476613</v>
      </c>
      <c r="C5545" t="s">
        <v>40</v>
      </c>
      <c r="D5545">
        <v>3.1832120000000002</v>
      </c>
      <c r="E5545">
        <v>0.53668819999999995</v>
      </c>
      <c r="F5545" t="s">
        <v>42</v>
      </c>
      <c r="G5545">
        <v>-394.69720000000001</v>
      </c>
      <c r="H5545" s="1">
        <v>-3.9194010000000004E-6</v>
      </c>
      <c r="I5545">
        <v>146.6172</v>
      </c>
      <c r="J5545">
        <v>-352.2045</v>
      </c>
      <c r="K5545">
        <v>1.107297</v>
      </c>
      <c r="L5545">
        <v>141.70359999999999</v>
      </c>
      <c r="M5545">
        <v>-0.99936230000000004</v>
      </c>
      <c r="N5545">
        <v>0</v>
      </c>
      <c r="O5545">
        <v>3.448002E-2</v>
      </c>
      <c r="P5545">
        <v>-0.99931959999999997</v>
      </c>
      <c r="Q5545">
        <v>3.2710250000000003E-2</v>
      </c>
      <c r="R5545">
        <v>1.7046390000000002E-2</v>
      </c>
      <c r="S5545">
        <v>-2.998901</v>
      </c>
      <c r="T5545">
        <v>-7.7566029999999994E-2</v>
      </c>
      <c r="U5545">
        <v>0.34497070000000002</v>
      </c>
      <c r="V5545">
        <v>-1.7288080000000001E-2</v>
      </c>
      <c r="W5545">
        <v>4.2044459999999999E-2</v>
      </c>
      <c r="X5545">
        <v>0.99896620000000003</v>
      </c>
      <c r="Y5545">
        <v>7.9940189999999994E-2</v>
      </c>
      <c r="Z5545">
        <v>1.420421E-4</v>
      </c>
      <c r="AA5545">
        <v>0.99679960000000001</v>
      </c>
      <c r="AB5545">
        <v>52</v>
      </c>
      <c r="AC5545">
        <v>-42.492699999999999</v>
      </c>
      <c r="AD5545">
        <v>-1.107300919401</v>
      </c>
      <c r="AE5545">
        <v>4.9135999999999997</v>
      </c>
      <c r="AF5545">
        <v>3.4431585878007298</v>
      </c>
      <c r="AG5545">
        <v>-1.107300919401</v>
      </c>
      <c r="AH5545">
        <v>42.608307982892299</v>
      </c>
      <c r="AI5545">
        <v>91.483827772401796</v>
      </c>
      <c r="AJ5545">
        <v>85.379992360335805</v>
      </c>
      <c r="AK5545">
        <v>42.7615407293967</v>
      </c>
      <c r="AL5545">
        <v>87.590319687614496</v>
      </c>
      <c r="AM5545">
        <v>90.991460121924504</v>
      </c>
      <c r="AN5545">
        <v>1.0000000415346</v>
      </c>
    </row>
    <row r="5546" spans="1:40" x14ac:dyDescent="0.25">
      <c r="A5546" t="str">
        <f>"20190312172227501"</f>
        <v>20190312172227501</v>
      </c>
      <c r="B5546" t="str">
        <f>"1552382547496132"</f>
        <v>1552382547496132</v>
      </c>
      <c r="C5546" t="s">
        <v>40</v>
      </c>
      <c r="D5546">
        <v>3.2030289999999999</v>
      </c>
      <c r="E5546">
        <v>0.53654829999999998</v>
      </c>
      <c r="F5546" t="s">
        <v>42</v>
      </c>
      <c r="G5546">
        <v>-394.1223</v>
      </c>
      <c r="H5546" s="1">
        <v>-4.1033390000000002E-6</v>
      </c>
      <c r="I5546">
        <v>146.55109999999999</v>
      </c>
      <c r="J5546">
        <v>-352.57659999999998</v>
      </c>
      <c r="K5546">
        <v>1.1073139999999999</v>
      </c>
      <c r="L5546">
        <v>141.7167</v>
      </c>
      <c r="M5546">
        <v>-0.99934009999999995</v>
      </c>
      <c r="N5546">
        <v>0</v>
      </c>
      <c r="O5546">
        <v>3.5109179999999997E-2</v>
      </c>
      <c r="P5546">
        <v>-0.99932319999999997</v>
      </c>
      <c r="Q5546">
        <v>3.2443310000000003E-2</v>
      </c>
      <c r="R5546">
        <v>1.7338510000000001E-2</v>
      </c>
      <c r="S5546">
        <v>-2.9987180000000002</v>
      </c>
      <c r="T5546">
        <v>-7.9214220000000002E-2</v>
      </c>
      <c r="U5546">
        <v>0.3467865</v>
      </c>
      <c r="V5546">
        <v>-1.762789E-2</v>
      </c>
      <c r="W5546">
        <v>4.1804349999999997E-2</v>
      </c>
      <c r="X5546">
        <v>0.99897029999999998</v>
      </c>
      <c r="Y5546">
        <v>7.9914810000000003E-2</v>
      </c>
      <c r="Z5546">
        <v>1.28193E-4</v>
      </c>
      <c r="AA5546">
        <v>0.99680170000000001</v>
      </c>
      <c r="AB5546">
        <v>52</v>
      </c>
      <c r="AC5546">
        <v>-41.545699999999997</v>
      </c>
      <c r="AD5546">
        <v>-1.1073181033389901</v>
      </c>
      <c r="AE5546">
        <v>4.83439999999998</v>
      </c>
      <c r="AF5546">
        <v>3.3703582877873699</v>
      </c>
      <c r="AG5546">
        <v>-1.1073181033389901</v>
      </c>
      <c r="AH5546">
        <v>41.660623685881802</v>
      </c>
      <c r="AI5546">
        <v>91.517578344840004</v>
      </c>
      <c r="AJ5546">
        <v>85.374825243713303</v>
      </c>
      <c r="AK5546">
        <v>41.811398377316898</v>
      </c>
      <c r="AL5546">
        <v>87.604088991124797</v>
      </c>
      <c r="AM5546">
        <v>91.010939850257898</v>
      </c>
      <c r="AN5546">
        <v>1.00000000323343</v>
      </c>
    </row>
    <row r="5547" spans="1:40" x14ac:dyDescent="0.25">
      <c r="A5547" t="str">
        <f>"20190312172227524"</f>
        <v>20190312172227524</v>
      </c>
      <c r="B5547" t="str">
        <f>"1552382547516629"</f>
        <v>1552382547516629</v>
      </c>
      <c r="C5547" t="s">
        <v>40</v>
      </c>
      <c r="D5547">
        <v>3.1911239999999998</v>
      </c>
      <c r="E5547">
        <v>0.53642440000000002</v>
      </c>
      <c r="F5547" t="s">
        <v>42</v>
      </c>
      <c r="G5547">
        <v>-393.7346</v>
      </c>
      <c r="H5547" s="1">
        <v>-4.2214879999999998E-6</v>
      </c>
      <c r="I5547">
        <v>146.4735</v>
      </c>
      <c r="J5547">
        <v>-353.10840000000002</v>
      </c>
      <c r="K5547">
        <v>1.107351</v>
      </c>
      <c r="L5547">
        <v>141.73570000000001</v>
      </c>
      <c r="M5547">
        <v>-0.99930909999999995</v>
      </c>
      <c r="N5547">
        <v>0</v>
      </c>
      <c r="O5547">
        <v>3.5973869999999998E-2</v>
      </c>
      <c r="P5547">
        <v>-0.999305</v>
      </c>
      <c r="Q5547">
        <v>3.292631E-2</v>
      </c>
      <c r="R5547">
        <v>1.7484340000000001E-2</v>
      </c>
      <c r="S5547">
        <v>-2.9986269999999999</v>
      </c>
      <c r="T5547">
        <v>-8.0675239999999995E-2</v>
      </c>
      <c r="U5547">
        <v>0.34657290000000002</v>
      </c>
      <c r="V5547">
        <v>-1.834676E-2</v>
      </c>
      <c r="W5547">
        <v>4.2328409999999997E-2</v>
      </c>
      <c r="X5547">
        <v>0.99893529999999997</v>
      </c>
      <c r="Y5547">
        <v>7.8985699999999895E-2</v>
      </c>
      <c r="Z5547" s="1">
        <v>9.4957069999999997E-5</v>
      </c>
      <c r="AA5547">
        <v>0.99687579999999998</v>
      </c>
      <c r="AB5547">
        <v>52</v>
      </c>
      <c r="AC5547">
        <v>-40.626199999999898</v>
      </c>
      <c r="AD5547">
        <v>-1.107355221488</v>
      </c>
      <c r="AE5547">
        <v>4.7377999999999902</v>
      </c>
      <c r="AF5547">
        <v>3.2707902970537899</v>
      </c>
      <c r="AG5547">
        <v>-1.107355221488</v>
      </c>
      <c r="AH5547">
        <v>40.740483904125703</v>
      </c>
      <c r="AI5547">
        <v>91.551965472907298</v>
      </c>
      <c r="AJ5547">
        <v>85.409936730955494</v>
      </c>
      <c r="AK5547">
        <v>40.886566663100702</v>
      </c>
      <c r="AL5547">
        <v>87.574035992626804</v>
      </c>
      <c r="AM5547">
        <v>91.052194014073606</v>
      </c>
      <c r="AN5547">
        <v>1.00000001574085</v>
      </c>
    </row>
    <row r="5548" spans="1:40" x14ac:dyDescent="0.25">
      <c r="A5548" t="str">
        <f>"20190312172227539"</f>
        <v>20190312172227539</v>
      </c>
      <c r="B5548" t="str">
        <f>"1552382547536149"</f>
        <v>1552382547536149</v>
      </c>
      <c r="C5548" t="s">
        <v>40</v>
      </c>
      <c r="D5548">
        <v>3.2013199999999999</v>
      </c>
      <c r="E5548">
        <v>0.53637889999999999</v>
      </c>
      <c r="F5548" t="s">
        <v>42</v>
      </c>
      <c r="G5548">
        <v>-394.4862</v>
      </c>
      <c r="H5548" s="1">
        <v>-3.972583E-6</v>
      </c>
      <c r="I5548">
        <v>146.5121</v>
      </c>
      <c r="J5548">
        <v>-353.45139999999998</v>
      </c>
      <c r="K5548">
        <v>1.1073770000000001</v>
      </c>
      <c r="L5548">
        <v>141.7482</v>
      </c>
      <c r="M5548">
        <v>-0.99928910000000004</v>
      </c>
      <c r="N5548">
        <v>0</v>
      </c>
      <c r="O5548">
        <v>3.6514350000000001E-2</v>
      </c>
      <c r="P5548">
        <v>-0.99927909999999998</v>
      </c>
      <c r="Q5548">
        <v>3.3603609999999999E-2</v>
      </c>
      <c r="R5548">
        <v>1.766407E-2</v>
      </c>
      <c r="S5548">
        <v>-2.9987180000000002</v>
      </c>
      <c r="T5548">
        <v>-8.0251929999999999E-2</v>
      </c>
      <c r="U5548">
        <v>0.34616089999999999</v>
      </c>
      <c r="V5548">
        <v>-1.8706779999999999E-2</v>
      </c>
      <c r="W5548">
        <v>4.3033479999999999E-2</v>
      </c>
      <c r="X5548">
        <v>0.99889850000000002</v>
      </c>
      <c r="Y5548">
        <v>7.8308470000000005E-2</v>
      </c>
      <c r="Z5548" s="1">
        <v>7.1032849999999999E-5</v>
      </c>
      <c r="AA5548">
        <v>0.99692919999999996</v>
      </c>
      <c r="AB5548">
        <v>52</v>
      </c>
      <c r="AC5548">
        <v>-41.034799999999997</v>
      </c>
      <c r="AD5548">
        <v>-1.1073809725829999</v>
      </c>
      <c r="AE5548">
        <v>4.7638999999999996</v>
      </c>
      <c r="AF5548">
        <v>3.2599552941260401</v>
      </c>
      <c r="AG5548">
        <v>-1.1073809725829999</v>
      </c>
      <c r="AH5548">
        <v>41.151820148462903</v>
      </c>
      <c r="AI5548">
        <v>91.536625580507106</v>
      </c>
      <c r="AJ5548">
        <v>85.4706151430006</v>
      </c>
      <c r="AK5548">
        <v>41.295591806748298</v>
      </c>
      <c r="AL5548">
        <v>87.5336016186682</v>
      </c>
      <c r="AM5548">
        <v>91.072876040242207</v>
      </c>
      <c r="AN5548">
        <v>1.00000001866056</v>
      </c>
    </row>
    <row r="5549" spans="1:40" x14ac:dyDescent="0.25">
      <c r="A5549" t="str">
        <f>"20190312172227551"</f>
        <v>20190312172227551</v>
      </c>
      <c r="B5549" t="str">
        <f>"1552382547545908"</f>
        <v>1552382547545908</v>
      </c>
      <c r="C5549" t="s">
        <v>40</v>
      </c>
      <c r="D5549">
        <v>3.2062680000000001</v>
      </c>
      <c r="E5549">
        <v>0.53634669999999995</v>
      </c>
      <c r="F5549" t="s">
        <v>42</v>
      </c>
      <c r="G5549">
        <v>-395.37529999999998</v>
      </c>
      <c r="H5549" s="1">
        <v>-3.6840600000000002E-6</v>
      </c>
      <c r="I5549">
        <v>146.59129999999999</v>
      </c>
      <c r="J5549">
        <v>-353.73570000000001</v>
      </c>
      <c r="K5549">
        <v>1.107399</v>
      </c>
      <c r="L5549">
        <v>141.75880000000001</v>
      </c>
      <c r="M5549">
        <v>-0.99927299999999997</v>
      </c>
      <c r="N5549">
        <v>0</v>
      </c>
      <c r="O5549">
        <v>3.6943629999999998E-2</v>
      </c>
      <c r="P5549">
        <v>-0.99925200000000003</v>
      </c>
      <c r="Q5549">
        <v>3.4241340000000002E-2</v>
      </c>
      <c r="R5549">
        <v>1.796828E-2</v>
      </c>
      <c r="S5549">
        <v>-2.9987490000000001</v>
      </c>
      <c r="T5549">
        <v>-7.9209210000000002E-2</v>
      </c>
      <c r="U5549">
        <v>0.34642030000000001</v>
      </c>
      <c r="V5549">
        <v>-1.883056E-2</v>
      </c>
      <c r="W5549">
        <v>4.3693759999999998E-2</v>
      </c>
      <c r="X5549">
        <v>0.99886750000000002</v>
      </c>
      <c r="Y5549">
        <v>7.7964779999999997E-2</v>
      </c>
      <c r="Z5549" s="1">
        <v>5.4303730000000002E-5</v>
      </c>
      <c r="AA5549">
        <v>0.99695610000000001</v>
      </c>
      <c r="AB5549">
        <v>52</v>
      </c>
      <c r="AC5549">
        <v>-41.639599999999902</v>
      </c>
      <c r="AD5549">
        <v>-1.10740268406</v>
      </c>
      <c r="AE5549">
        <v>4.83249999999998</v>
      </c>
      <c r="AF5549">
        <v>3.28851961988495</v>
      </c>
      <c r="AG5549">
        <v>-1.10740268406</v>
      </c>
      <c r="AH5549">
        <v>41.760565931029802</v>
      </c>
      <c r="AI5549">
        <v>91.514322224454205</v>
      </c>
      <c r="AJ5549">
        <v>85.497420420263097</v>
      </c>
      <c r="AK5549">
        <v>41.904481489154797</v>
      </c>
      <c r="AL5549">
        <v>87.495734716930301</v>
      </c>
      <c r="AM5549">
        <v>91.080006935884796</v>
      </c>
      <c r="AN5549">
        <v>1.00000000860455</v>
      </c>
    </row>
    <row r="5550" spans="1:40" x14ac:dyDescent="0.25">
      <c r="A5550" t="str">
        <f>"20190312172227564"</f>
        <v>20190312172227564</v>
      </c>
      <c r="B5550" t="str">
        <f>"1552382547555669"</f>
        <v>1552382547555669</v>
      </c>
      <c r="C5550" t="s">
        <v>40</v>
      </c>
      <c r="D5550">
        <v>3.199039</v>
      </c>
      <c r="E5550">
        <v>0.53633609999999998</v>
      </c>
      <c r="F5550" t="s">
        <v>42</v>
      </c>
      <c r="G5550">
        <v>-396.40370000000001</v>
      </c>
      <c r="H5550" s="1">
        <v>-3.3530470000000002E-6</v>
      </c>
      <c r="I5550">
        <v>146.69810000000001</v>
      </c>
      <c r="J5550">
        <v>-354.03070000000002</v>
      </c>
      <c r="K5550">
        <v>1.1074269999999999</v>
      </c>
      <c r="L5550">
        <v>141.7698</v>
      </c>
      <c r="M5550">
        <v>-0.9992567</v>
      </c>
      <c r="N5550">
        <v>0</v>
      </c>
      <c r="O5550">
        <v>3.7378429999999997E-2</v>
      </c>
      <c r="P5550">
        <v>-0.99922509999999998</v>
      </c>
      <c r="Q5550">
        <v>3.4956979999999999E-2</v>
      </c>
      <c r="R5550">
        <v>1.8099440000000001E-2</v>
      </c>
      <c r="S5550">
        <v>-2.9986570000000001</v>
      </c>
      <c r="T5550">
        <v>-7.7827099999999996E-2</v>
      </c>
      <c r="U5550">
        <v>0.34713749999999999</v>
      </c>
      <c r="V5550">
        <v>-1.913333E-2</v>
      </c>
      <c r="W5550">
        <v>4.4434050000000003E-2</v>
      </c>
      <c r="X5550">
        <v>0.99882910000000003</v>
      </c>
      <c r="Y5550">
        <v>7.7770420000000007E-2</v>
      </c>
      <c r="Z5550" s="1">
        <v>3.9616890000000003E-5</v>
      </c>
      <c r="AA5550">
        <v>0.9969713</v>
      </c>
      <c r="AB5550">
        <v>52</v>
      </c>
      <c r="AC5550">
        <v>-42.372999999999898</v>
      </c>
      <c r="AD5550">
        <v>-1.107430353047</v>
      </c>
      <c r="AE5550">
        <v>4.9283000000000001</v>
      </c>
      <c r="AF5550">
        <v>3.3386990187499501</v>
      </c>
      <c r="AG5550">
        <v>-1.107430353047</v>
      </c>
      <c r="AH5550">
        <v>42.498965070964502</v>
      </c>
      <c r="AI5550">
        <v>91.488082495110206</v>
      </c>
      <c r="AJ5550">
        <v>85.508095677436998</v>
      </c>
      <c r="AK5550">
        <v>42.644288541699403</v>
      </c>
      <c r="AL5550">
        <v>87.453278015291602</v>
      </c>
      <c r="AM5550">
        <v>91.097409955621998</v>
      </c>
      <c r="AN5550">
        <v>1.00000002006155</v>
      </c>
    </row>
    <row r="5551" spans="1:40" x14ac:dyDescent="0.25">
      <c r="A5551" t="str">
        <f>"20190312172227579"</f>
        <v>20190312172227579</v>
      </c>
      <c r="B5551" t="str">
        <f>"1552382547576165"</f>
        <v>1552382547576165</v>
      </c>
      <c r="C5551" t="s">
        <v>40</v>
      </c>
      <c r="D5551">
        <v>3.1887349999999999</v>
      </c>
      <c r="E5551">
        <v>0.53636119999999898</v>
      </c>
      <c r="F5551" t="s">
        <v>42</v>
      </c>
      <c r="G5551">
        <v>-397.57150000000001</v>
      </c>
      <c r="H5551" s="1">
        <v>-2.9393770000000002E-6</v>
      </c>
      <c r="I5551">
        <v>146.8143</v>
      </c>
      <c r="J5551">
        <v>-354.38159999999999</v>
      </c>
      <c r="K5551">
        <v>1.1074619999999999</v>
      </c>
      <c r="L5551">
        <v>141.78309999999999</v>
      </c>
      <c r="M5551">
        <v>-0.99923790000000001</v>
      </c>
      <c r="N5551">
        <v>0</v>
      </c>
      <c r="O5551">
        <v>3.7873759999999999E-2</v>
      </c>
      <c r="P5551">
        <v>-0.99918470000000004</v>
      </c>
      <c r="Q5551">
        <v>3.6086E-2</v>
      </c>
      <c r="R5551">
        <v>1.8114979999999999E-2</v>
      </c>
      <c r="S5551">
        <v>-2.998688</v>
      </c>
      <c r="T5551">
        <v>-7.6269509999999999E-2</v>
      </c>
      <c r="U5551">
        <v>0.3474274</v>
      </c>
      <c r="V5551">
        <v>-1.9611920000000001E-2</v>
      </c>
      <c r="W5551">
        <v>4.5592540000000001E-2</v>
      </c>
      <c r="X5551">
        <v>0.99876759999999998</v>
      </c>
      <c r="Y5551">
        <v>7.7370960000000003E-2</v>
      </c>
      <c r="Z5551" s="1">
        <v>2.1227049999999999E-5</v>
      </c>
      <c r="AA5551">
        <v>0.99700239999999996</v>
      </c>
      <c r="AB5551">
        <v>52</v>
      </c>
      <c r="AC5551">
        <v>-43.189900000000002</v>
      </c>
      <c r="AD5551">
        <v>-1.107464939377</v>
      </c>
      <c r="AE5551">
        <v>5.0312000000000099</v>
      </c>
      <c r="AF5551">
        <v>3.3895542933289602</v>
      </c>
      <c r="AG5551">
        <v>-1.107464939377</v>
      </c>
      <c r="AH5551">
        <v>43.321366376588202</v>
      </c>
      <c r="AI5551">
        <v>91.459927144742295</v>
      </c>
      <c r="AJ5551">
        <v>85.526172874124796</v>
      </c>
      <c r="AK5551">
        <v>43.467877123618102</v>
      </c>
      <c r="AL5551">
        <v>87.386834058326897</v>
      </c>
      <c r="AM5551">
        <v>91.1249222098578</v>
      </c>
      <c r="AN5551">
        <v>1.0000000129597399</v>
      </c>
    </row>
    <row r="5552" spans="1:40" x14ac:dyDescent="0.25">
      <c r="A5552" t="str">
        <f>"20190312172227602"</f>
        <v>20190312172227602</v>
      </c>
      <c r="B5552" t="str">
        <f>"1552382547595693"</f>
        <v>1552382547595693</v>
      </c>
      <c r="C5552" t="s">
        <v>40</v>
      </c>
      <c r="D5552">
        <v>3.1942699999999999</v>
      </c>
      <c r="E5552">
        <v>0.53626070000000003</v>
      </c>
      <c r="F5552" t="s">
        <v>42</v>
      </c>
      <c r="G5552">
        <v>-399.28789999999998</v>
      </c>
      <c r="H5552" s="1">
        <v>-2.2500839999999998E-6</v>
      </c>
      <c r="I5552">
        <v>146.99100000000001</v>
      </c>
      <c r="J5552">
        <v>-354.90899999999999</v>
      </c>
      <c r="K5552">
        <v>1.1075219999999999</v>
      </c>
      <c r="L5552">
        <v>141.80330000000001</v>
      </c>
      <c r="M5552">
        <v>-0.99921110000000002</v>
      </c>
      <c r="N5552">
        <v>0</v>
      </c>
      <c r="O5552">
        <v>3.8563760000000002E-2</v>
      </c>
      <c r="P5552">
        <v>-0.99913629999999998</v>
      </c>
      <c r="Q5552">
        <v>3.7215659999999998E-2</v>
      </c>
      <c r="R5552">
        <v>1.849199E-2</v>
      </c>
      <c r="S5552">
        <v>-2.99884</v>
      </c>
      <c r="T5552">
        <v>-7.3956369999999994E-2</v>
      </c>
      <c r="U5552">
        <v>0.34779359999999998</v>
      </c>
      <c r="V5552">
        <v>-1.9925160000000001E-2</v>
      </c>
      <c r="W5552">
        <v>4.6766210000000003E-2</v>
      </c>
      <c r="X5552">
        <v>0.99870709999999996</v>
      </c>
      <c r="Y5552">
        <v>7.6797969999999993E-2</v>
      </c>
      <c r="Z5552" s="1">
        <v>-3.3885010000000001E-6</v>
      </c>
      <c r="AA5552">
        <v>0.99704660000000001</v>
      </c>
      <c r="AB5552">
        <v>52</v>
      </c>
      <c r="AC5552">
        <v>-44.378899999999902</v>
      </c>
      <c r="AD5552">
        <v>-1.1075242500839999</v>
      </c>
      <c r="AE5552">
        <v>5.1877000000000004</v>
      </c>
      <c r="AF5552">
        <v>3.47021431965825</v>
      </c>
      <c r="AG5552">
        <v>-1.1075242500839999</v>
      </c>
      <c r="AH5552">
        <v>44.518598902308597</v>
      </c>
      <c r="AI5552">
        <v>91.420790118315196</v>
      </c>
      <c r="AJ5552">
        <v>85.542820395025103</v>
      </c>
      <c r="AK5552">
        <v>44.6673778681211</v>
      </c>
      <c r="AL5552">
        <v>87.319515814559907</v>
      </c>
      <c r="AM5552">
        <v>91.142953863967705</v>
      </c>
      <c r="AN5552">
        <v>0.99999998099459897</v>
      </c>
    </row>
    <row r="5553" spans="1:40" x14ac:dyDescent="0.25">
      <c r="A5553" t="str">
        <f>"20190312172227617"</f>
        <v>20190312172227617</v>
      </c>
      <c r="B5553" t="str">
        <f>"1552382547606421"</f>
        <v>1552382547606421</v>
      </c>
      <c r="C5553" t="s">
        <v>40</v>
      </c>
      <c r="D5553">
        <v>3.186385</v>
      </c>
      <c r="E5553">
        <v>0.53619899999999998</v>
      </c>
      <c r="F5553" t="s">
        <v>62</v>
      </c>
      <c r="G5553">
        <v>-401.1737</v>
      </c>
      <c r="H5553" s="1">
        <v>-8.9921639999999999E-6</v>
      </c>
      <c r="I5553">
        <v>147.17250000000001</v>
      </c>
      <c r="J5553">
        <v>-355.2783</v>
      </c>
      <c r="K5553">
        <v>1.1075660000000001</v>
      </c>
      <c r="L5553">
        <v>141.8177</v>
      </c>
      <c r="M5553">
        <v>-0.99919329999999995</v>
      </c>
      <c r="N5553">
        <v>0</v>
      </c>
      <c r="O5553">
        <v>3.9011770000000001E-2</v>
      </c>
      <c r="P5553">
        <v>-0.99910639999999995</v>
      </c>
      <c r="Q5553">
        <v>3.7766029999999999E-2</v>
      </c>
      <c r="R5553">
        <v>1.8982019999999999E-2</v>
      </c>
      <c r="S5553">
        <v>-2.99884</v>
      </c>
      <c r="T5553">
        <v>-7.1789149999999996E-2</v>
      </c>
      <c r="U5553">
        <v>0.34802250000000001</v>
      </c>
      <c r="V5553">
        <v>-1.9885090000000001E-2</v>
      </c>
      <c r="W5553">
        <v>4.7347790000000001E-2</v>
      </c>
      <c r="X5553">
        <v>0.99868049999999997</v>
      </c>
      <c r="Y5553">
        <v>7.6426859999999999E-2</v>
      </c>
      <c r="Z5553" s="1">
        <v>-1.8385590000000002E-5</v>
      </c>
      <c r="AA5553">
        <v>0.99707520000000005</v>
      </c>
      <c r="AB5553">
        <v>52</v>
      </c>
      <c r="AC5553">
        <v>-45.895400000000002</v>
      </c>
      <c r="AD5553">
        <v>-1.1075749921639999</v>
      </c>
      <c r="AE5553">
        <v>5.3548000000000098</v>
      </c>
      <c r="AF5553">
        <v>3.5581368197757</v>
      </c>
      <c r="AG5553">
        <v>-1.1075749921639999</v>
      </c>
      <c r="AH5553">
        <v>46.042914272509499</v>
      </c>
      <c r="AI5553">
        <v>91.373905215736897</v>
      </c>
      <c r="AJ5553">
        <v>85.581039030000497</v>
      </c>
      <c r="AK5553">
        <v>46.193473724078999</v>
      </c>
      <c r="AL5553">
        <v>87.2861567914304</v>
      </c>
      <c r="AM5553">
        <v>91.140686336275493</v>
      </c>
      <c r="AN5553">
        <v>0.99999998555122005</v>
      </c>
    </row>
    <row r="5554" spans="1:40" x14ac:dyDescent="0.25">
      <c r="A5554" t="str">
        <f>"20190312172227630"</f>
        <v>20190312172227630</v>
      </c>
      <c r="B5554" t="str">
        <f>"1552382547625942"</f>
        <v>1552382547625942</v>
      </c>
      <c r="C5554" t="s">
        <v>40</v>
      </c>
      <c r="D5554">
        <v>3.2031499999999999</v>
      </c>
      <c r="E5554">
        <v>0.53621109999999905</v>
      </c>
      <c r="F5554" t="s">
        <v>62</v>
      </c>
      <c r="G5554">
        <v>-402.57740000000001</v>
      </c>
      <c r="H5554" s="1">
        <v>-9.6779030000000008E-6</v>
      </c>
      <c r="I5554">
        <v>147.32640000000001</v>
      </c>
      <c r="J5554">
        <v>-355.56970000000001</v>
      </c>
      <c r="K5554">
        <v>1.10759599999999</v>
      </c>
      <c r="L5554">
        <v>141.82919999999999</v>
      </c>
      <c r="M5554">
        <v>-0.99917990000000001</v>
      </c>
      <c r="N5554">
        <v>0</v>
      </c>
      <c r="O5554">
        <v>3.9343879999999998E-2</v>
      </c>
      <c r="P5554">
        <v>-0.99907999999999997</v>
      </c>
      <c r="Q5554">
        <v>3.8258590000000002E-2</v>
      </c>
      <c r="R5554">
        <v>1.9378639999999999E-2</v>
      </c>
      <c r="S5554">
        <v>-2.998688</v>
      </c>
      <c r="T5554">
        <v>-7.0218439999999993E-2</v>
      </c>
      <c r="U5554">
        <v>0.34924319999999998</v>
      </c>
      <c r="V5554">
        <v>-1.9821740000000001E-2</v>
      </c>
      <c r="W5554">
        <v>4.7865049999999999E-2</v>
      </c>
      <c r="X5554">
        <v>0.99865709999999996</v>
      </c>
      <c r="Y5554">
        <v>7.6502269999999997E-2</v>
      </c>
      <c r="Z5554" s="1">
        <v>-2.4839359999999999E-5</v>
      </c>
      <c r="AA5554">
        <v>0.99706939999999999</v>
      </c>
      <c r="AB5554">
        <v>52</v>
      </c>
      <c r="AC5554">
        <v>-47.0077</v>
      </c>
      <c r="AD5554">
        <v>-1.1076056779029999</v>
      </c>
      <c r="AE5554">
        <v>5.4972000000000198</v>
      </c>
      <c r="AF5554">
        <v>3.6413989339730999</v>
      </c>
      <c r="AG5554">
        <v>-1.1076056779029999</v>
      </c>
      <c r="AH5554">
        <v>47.161761146960401</v>
      </c>
      <c r="AI5554">
        <v>91.341367422943094</v>
      </c>
      <c r="AJ5554">
        <v>85.584904696331193</v>
      </c>
      <c r="AK5554">
        <v>47.315095804795902</v>
      </c>
      <c r="AL5554">
        <v>87.256486329973598</v>
      </c>
      <c r="AM5554">
        <v>91.137079924556005</v>
      </c>
      <c r="AN5554">
        <v>0.99999998388426903</v>
      </c>
    </row>
    <row r="5555" spans="1:40" x14ac:dyDescent="0.25">
      <c r="A5555" t="str">
        <f>"20190312172227643"</f>
        <v>20190312172227643</v>
      </c>
      <c r="B5555" t="str">
        <f>"1552382547635701"</f>
        <v>1552382547635701</v>
      </c>
      <c r="C5555" t="s">
        <v>40</v>
      </c>
      <c r="D5555">
        <v>3.2541099999999998</v>
      </c>
      <c r="E5555">
        <v>0.53623019999999999</v>
      </c>
      <c r="F5555" t="s">
        <v>62</v>
      </c>
      <c r="G5555">
        <v>-402.4966</v>
      </c>
      <c r="H5555" s="1">
        <v>-9.6372410000000003E-6</v>
      </c>
      <c r="I5555">
        <v>147.31460000000001</v>
      </c>
      <c r="J5555">
        <v>-355.86860000000001</v>
      </c>
      <c r="K5555">
        <v>1.1076330000000001</v>
      </c>
      <c r="L5555">
        <v>141.84100000000001</v>
      </c>
      <c r="M5555">
        <v>-0.99916680000000002</v>
      </c>
      <c r="N5555">
        <v>0</v>
      </c>
      <c r="O5555">
        <v>3.9672449999999998E-2</v>
      </c>
      <c r="P5555">
        <v>-0.99905739999999998</v>
      </c>
      <c r="Q5555">
        <v>3.8692339999999999E-2</v>
      </c>
      <c r="R5555">
        <v>1.969367E-2</v>
      </c>
      <c r="S5555">
        <v>-2.998688</v>
      </c>
      <c r="T5555">
        <v>-7.0777300000000001E-2</v>
      </c>
      <c r="U5555">
        <v>0.35052489999999997</v>
      </c>
      <c r="V5555">
        <v>-1.9837489999999999E-2</v>
      </c>
      <c r="W5555">
        <v>4.8324659999999998E-2</v>
      </c>
      <c r="X5555">
        <v>0.99863469999999999</v>
      </c>
      <c r="Y5555">
        <v>7.6594739999999994E-2</v>
      </c>
      <c r="Z5555" s="1">
        <v>-3.1661710000000003E-5</v>
      </c>
      <c r="AA5555">
        <v>0.99706229999999996</v>
      </c>
      <c r="AB5555">
        <v>52</v>
      </c>
      <c r="AC5555">
        <v>-46.627999999999901</v>
      </c>
      <c r="AD5555">
        <v>-1.107642637241</v>
      </c>
      <c r="AE5555">
        <v>5.4736000000000002</v>
      </c>
      <c r="AF5555">
        <v>3.6173450334034398</v>
      </c>
      <c r="AG5555">
        <v>-1.107642637241</v>
      </c>
      <c r="AH5555">
        <v>46.7824090727065</v>
      </c>
      <c r="AI5555">
        <v>91.352273847845098</v>
      </c>
      <c r="AJ5555">
        <v>85.578529841199696</v>
      </c>
      <c r="AK5555">
        <v>46.935123904689704</v>
      </c>
      <c r="AL5555">
        <v>87.2301222384379</v>
      </c>
      <c r="AM5555">
        <v>91.138008709386099</v>
      </c>
      <c r="AN5555">
        <v>1.00000003140885</v>
      </c>
    </row>
    <row r="5556" spans="1:40" x14ac:dyDescent="0.25">
      <c r="A5556" t="str">
        <f>"20190312172227657"</f>
        <v>20190312172227657</v>
      </c>
      <c r="B5556" t="str">
        <f>"1552382547646438"</f>
        <v>1552382547646438</v>
      </c>
      <c r="C5556" t="s">
        <v>40</v>
      </c>
      <c r="D5556">
        <v>3.1774740000000001</v>
      </c>
      <c r="E5556">
        <v>0.53633580000000003</v>
      </c>
      <c r="F5556" t="s">
        <v>62</v>
      </c>
      <c r="G5556">
        <v>-403.1653</v>
      </c>
      <c r="H5556" s="1">
        <v>-9.9639109999999997E-6</v>
      </c>
      <c r="I5556">
        <v>147.38800000000001</v>
      </c>
      <c r="J5556">
        <v>-356.20600000000002</v>
      </c>
      <c r="K5556">
        <v>1.1076790000000001</v>
      </c>
      <c r="L5556">
        <v>141.8545</v>
      </c>
      <c r="M5556">
        <v>-0.9991527</v>
      </c>
      <c r="N5556">
        <v>0</v>
      </c>
      <c r="O5556">
        <v>4.001851E-2</v>
      </c>
      <c r="P5556">
        <v>-0.99903439999999999</v>
      </c>
      <c r="Q5556">
        <v>3.9238099999999998E-2</v>
      </c>
      <c r="R5556">
        <v>1.9774099999999999E-2</v>
      </c>
      <c r="S5556">
        <v>-2.9986570000000001</v>
      </c>
      <c r="T5556">
        <v>-7.0225720000000005E-2</v>
      </c>
      <c r="U5556">
        <v>0.35168460000000001</v>
      </c>
      <c r="V5556">
        <v>-2.0105499999999998E-2</v>
      </c>
      <c r="W5556">
        <v>4.8902380000000002E-2</v>
      </c>
      <c r="X5556">
        <v>0.99860119999999997</v>
      </c>
      <c r="Y5556">
        <v>7.6631169999999998E-2</v>
      </c>
      <c r="Z5556" s="1">
        <v>-3.9050300000000001E-5</v>
      </c>
      <c r="AA5556">
        <v>0.99705949999999999</v>
      </c>
      <c r="AB5556">
        <v>52</v>
      </c>
      <c r="AC5556">
        <v>-46.959299999999999</v>
      </c>
      <c r="AD5556">
        <v>-1.1076889639109999</v>
      </c>
      <c r="AE5556">
        <v>5.5335000000000001</v>
      </c>
      <c r="AF5556">
        <v>3.6477370427500602</v>
      </c>
      <c r="AG5556">
        <v>-1.1076889639109999</v>
      </c>
      <c r="AH5556">
        <v>47.117274561362102</v>
      </c>
      <c r="AI5556">
        <v>91.342712959915801</v>
      </c>
      <c r="AJ5556">
        <v>85.573091155342794</v>
      </c>
      <c r="AK5556">
        <v>47.271244139165603</v>
      </c>
      <c r="AL5556">
        <v>87.196982093266001</v>
      </c>
      <c r="AM5556">
        <v>91.153418079498294</v>
      </c>
      <c r="AN5556">
        <v>1.0000000152706701</v>
      </c>
    </row>
    <row r="5557" spans="1:40" x14ac:dyDescent="0.25">
      <c r="A5557" t="str">
        <f>"20190312172227675"</f>
        <v>20190312172227675</v>
      </c>
      <c r="B5557" t="str">
        <f>"1552382547665958"</f>
        <v>1552382547665958</v>
      </c>
      <c r="C5557" t="s">
        <v>40</v>
      </c>
      <c r="D5557">
        <v>3.2234289999999999</v>
      </c>
      <c r="E5557">
        <v>0.54238649999999999</v>
      </c>
      <c r="F5557" t="s">
        <v>62</v>
      </c>
      <c r="G5557">
        <v>-404.55360000000002</v>
      </c>
      <c r="H5557" s="1">
        <v>-1.06432E-5</v>
      </c>
      <c r="I5557">
        <v>147.5428</v>
      </c>
      <c r="J5557">
        <v>-356.62450000000001</v>
      </c>
      <c r="K5557">
        <v>1.1077330000000001</v>
      </c>
      <c r="L5557">
        <v>141.87139999999999</v>
      </c>
      <c r="M5557">
        <v>-0.99913629999999998</v>
      </c>
      <c r="N5557">
        <v>0</v>
      </c>
      <c r="O5557">
        <v>4.0413669999999999E-2</v>
      </c>
      <c r="P5557">
        <v>-0.99901960000000001</v>
      </c>
      <c r="Q5557">
        <v>3.9413589999999998E-2</v>
      </c>
      <c r="R5557">
        <v>2.0158079999999998E-2</v>
      </c>
      <c r="S5557">
        <v>-2.9986269999999999</v>
      </c>
      <c r="T5557">
        <v>-6.8701390000000001E-2</v>
      </c>
      <c r="U5557">
        <v>0.35279850000000001</v>
      </c>
      <c r="V5557">
        <v>-2.0121940000000001E-2</v>
      </c>
      <c r="W5557">
        <v>4.9120980000000002E-2</v>
      </c>
      <c r="X5557">
        <v>0.99859010000000004</v>
      </c>
      <c r="Y5557">
        <v>7.6603870000000004E-2</v>
      </c>
      <c r="Z5557" s="1">
        <v>-4.7518059999999999E-5</v>
      </c>
      <c r="AA5557">
        <v>0.99706159999999999</v>
      </c>
      <c r="AB5557">
        <v>52</v>
      </c>
      <c r="AC5557">
        <v>-47.929099999999998</v>
      </c>
      <c r="AD5557">
        <v>-1.1077436431999901</v>
      </c>
      <c r="AE5557">
        <v>5.6714000000000002</v>
      </c>
      <c r="AF5557">
        <v>3.7277211981581502</v>
      </c>
      <c r="AG5557">
        <v>-1.1077436431999901</v>
      </c>
      <c r="AH5557">
        <v>48.093817122390398</v>
      </c>
      <c r="AI5557">
        <v>91.315514605704706</v>
      </c>
      <c r="AJ5557">
        <v>85.567901945012395</v>
      </c>
      <c r="AK5557">
        <v>48.250784933637902</v>
      </c>
      <c r="AL5557">
        <v>87.184442053496198</v>
      </c>
      <c r="AM5557">
        <v>91.154373787051696</v>
      </c>
      <c r="AN5557">
        <v>0.999999975481766</v>
      </c>
    </row>
    <row r="5558" spans="1:40" x14ac:dyDescent="0.25">
      <c r="A5558" t="str">
        <f>"20190312172227692"</f>
        <v>20190312172227692</v>
      </c>
      <c r="B5558" t="str">
        <f>"1552382547686453"</f>
        <v>1552382547686453</v>
      </c>
      <c r="C5558" t="s">
        <v>40</v>
      </c>
      <c r="D5558">
        <v>3.2261570000000002</v>
      </c>
      <c r="E5558">
        <v>0.5422766</v>
      </c>
      <c r="F5558" t="s">
        <v>42</v>
      </c>
      <c r="G5558">
        <v>-399.40460000000002</v>
      </c>
      <c r="H5558" s="1">
        <v>-2.3657690000000001E-6</v>
      </c>
      <c r="I5558">
        <v>147.614</v>
      </c>
      <c r="J5558">
        <v>-357.01100000000002</v>
      </c>
      <c r="K5558">
        <v>1.1077870000000001</v>
      </c>
      <c r="L5558">
        <v>141.88720000000001</v>
      </c>
      <c r="M5558">
        <v>-0.99912230000000002</v>
      </c>
      <c r="N5558">
        <v>0</v>
      </c>
      <c r="O5558">
        <v>4.0748279999999998E-2</v>
      </c>
      <c r="P5558">
        <v>-0.99900999999999995</v>
      </c>
      <c r="Q5558">
        <v>3.9476829999999997E-2</v>
      </c>
      <c r="R5558">
        <v>2.0515680000000001E-2</v>
      </c>
      <c r="S5558">
        <v>-2.997833</v>
      </c>
      <c r="T5558">
        <v>-7.762492E-2</v>
      </c>
      <c r="U5558">
        <v>0.40242</v>
      </c>
      <c r="V5558">
        <v>-2.010375E-2</v>
      </c>
      <c r="W5558">
        <v>4.9227659999999999E-2</v>
      </c>
      <c r="X5558">
        <v>0.99858519999999995</v>
      </c>
      <c r="Y5558">
        <v>9.2528139999999995E-2</v>
      </c>
      <c r="Z5558">
        <v>1.4304540000000001E-4</v>
      </c>
      <c r="AA5558">
        <v>0.99571010000000004</v>
      </c>
      <c r="AB5558">
        <v>52</v>
      </c>
      <c r="AC5558">
        <v>-42.393599999999999</v>
      </c>
      <c r="AD5558">
        <v>-1.1077893657689999</v>
      </c>
      <c r="AE5558">
        <v>5.7267999999999901</v>
      </c>
      <c r="AF5558">
        <v>3.99181857229184</v>
      </c>
      <c r="AG5558">
        <v>-1.1077893657689999</v>
      </c>
      <c r="AH5558">
        <v>42.563212000249798</v>
      </c>
      <c r="AI5558">
        <v>91.484385242076996</v>
      </c>
      <c r="AJ5558">
        <v>84.642150073640494</v>
      </c>
      <c r="AK5558">
        <v>42.764340618922397</v>
      </c>
      <c r="AL5558">
        <v>87.178322299263897</v>
      </c>
      <c r="AM5558">
        <v>91.153336186351595</v>
      </c>
      <c r="AN5558">
        <v>0.99999996246608802</v>
      </c>
    </row>
    <row r="5559" spans="1:40" x14ac:dyDescent="0.25">
      <c r="A5559" t="str">
        <f>"20190312172227713"</f>
        <v>20190312172227713</v>
      </c>
      <c r="B5559" t="str">
        <f>"1552382547705973"</f>
        <v>1552382547705973</v>
      </c>
      <c r="C5559" t="s">
        <v>40</v>
      </c>
      <c r="D5559">
        <v>3.2517330000000002</v>
      </c>
      <c r="E5559">
        <v>0.54209410000000002</v>
      </c>
      <c r="F5559" t="s">
        <v>42</v>
      </c>
      <c r="G5559">
        <v>-399.10640000000001</v>
      </c>
      <c r="H5559" s="1">
        <v>-2.4746380000000002E-6</v>
      </c>
      <c r="I5559">
        <v>147.54230000000001</v>
      </c>
      <c r="J5559">
        <v>-357.53210000000001</v>
      </c>
      <c r="K5559">
        <v>1.1078570000000001</v>
      </c>
      <c r="L5559">
        <v>141.90860000000001</v>
      </c>
      <c r="M5559">
        <v>-0.99910480000000002</v>
      </c>
      <c r="N5559">
        <v>0</v>
      </c>
      <c r="O5559">
        <v>4.11575E-2</v>
      </c>
      <c r="P5559">
        <v>-0.99899479999999996</v>
      </c>
      <c r="Q5559">
        <v>3.9810610000000003E-2</v>
      </c>
      <c r="R5559">
        <v>2.060973E-2</v>
      </c>
      <c r="S5559">
        <v>-2.997833</v>
      </c>
      <c r="T5559">
        <v>-7.8891630000000004E-2</v>
      </c>
      <c r="U5559">
        <v>0.4027405</v>
      </c>
      <c r="V5559">
        <v>-2.0424749999999998E-2</v>
      </c>
      <c r="W5559">
        <v>4.962486E-2</v>
      </c>
      <c r="X5559">
        <v>0.99855910000000003</v>
      </c>
      <c r="Y5559">
        <v>9.2224520000000004E-2</v>
      </c>
      <c r="Z5559">
        <v>1.30703E-4</v>
      </c>
      <c r="AA5559">
        <v>0.99573820000000002</v>
      </c>
      <c r="AB5559">
        <v>52</v>
      </c>
      <c r="AC5559">
        <v>-41.574300000000001</v>
      </c>
      <c r="AD5559">
        <v>-1.1078594746379999</v>
      </c>
      <c r="AE5559">
        <v>5.6337000000000002</v>
      </c>
      <c r="AF5559">
        <v>3.9150199212548502</v>
      </c>
      <c r="AG5559">
        <v>-1.1078594746379999</v>
      </c>
      <c r="AH5559">
        <v>41.741843215927098</v>
      </c>
      <c r="AI5559">
        <v>91.513675508572604</v>
      </c>
      <c r="AJ5559">
        <v>84.641831741112995</v>
      </c>
      <c r="AK5559">
        <v>41.939673444870898</v>
      </c>
      <c r="AL5559">
        <v>87.155536776588903</v>
      </c>
      <c r="AM5559">
        <v>91.171777225895397</v>
      </c>
      <c r="AN5559">
        <v>1.00000003666769</v>
      </c>
    </row>
    <row r="5560" spans="1:40" x14ac:dyDescent="0.25">
      <c r="A5560" t="str">
        <f>"20190312172227731"</f>
        <v>20190312172227731</v>
      </c>
      <c r="B5560" t="str">
        <f>"1552382547726470"</f>
        <v>1552382547726470</v>
      </c>
      <c r="C5560" t="s">
        <v>40</v>
      </c>
      <c r="D5560">
        <v>3.236615</v>
      </c>
      <c r="E5560">
        <v>0.54187010000000002</v>
      </c>
      <c r="F5560" t="s">
        <v>62</v>
      </c>
      <c r="G5560">
        <v>-400.0034</v>
      </c>
      <c r="H5560" s="1">
        <v>-8.6484649999999995E-6</v>
      </c>
      <c r="I5560">
        <v>147.59889999999999</v>
      </c>
      <c r="J5560">
        <v>-357.93259999999998</v>
      </c>
      <c r="K5560">
        <v>1.107915</v>
      </c>
      <c r="L5560">
        <v>141.92509999999999</v>
      </c>
      <c r="M5560">
        <v>-0.9990926</v>
      </c>
      <c r="N5560">
        <v>0</v>
      </c>
      <c r="O5560">
        <v>4.1438080000000002E-2</v>
      </c>
      <c r="P5560">
        <v>-0.99898520000000002</v>
      </c>
      <c r="Q5560">
        <v>3.9864629999999998E-2</v>
      </c>
      <c r="R5560">
        <v>2.095872E-2</v>
      </c>
      <c r="S5560">
        <v>-2.9978639999999999</v>
      </c>
      <c r="T5560">
        <v>-7.8199389999999994E-2</v>
      </c>
      <c r="U5560">
        <v>0.40165709999999999</v>
      </c>
      <c r="V5560">
        <v>-2.0362269999999998E-2</v>
      </c>
      <c r="W5560">
        <v>4.9731070000000002E-2</v>
      </c>
      <c r="X5560">
        <v>0.99855510000000003</v>
      </c>
      <c r="Y5560">
        <v>9.1590619999999998E-2</v>
      </c>
      <c r="Z5560">
        <v>1.1405540000000001E-4</v>
      </c>
      <c r="AA5560">
        <v>0.99579669999999998</v>
      </c>
      <c r="AB5560">
        <v>52</v>
      </c>
      <c r="AC5560">
        <v>-42.070799999999998</v>
      </c>
      <c r="AD5560">
        <v>-1.1079236484649999</v>
      </c>
      <c r="AE5560">
        <v>5.6738</v>
      </c>
      <c r="AF5560">
        <v>3.92283657664913</v>
      </c>
      <c r="AG5560">
        <v>-1.1079236484649999</v>
      </c>
      <c r="AH5560">
        <v>42.241011927113298</v>
      </c>
      <c r="AI5560">
        <v>91.496010682865005</v>
      </c>
      <c r="AJ5560">
        <v>84.6942759555576</v>
      </c>
      <c r="AK5560">
        <v>42.437238720779803</v>
      </c>
      <c r="AL5560">
        <v>87.149443891565397</v>
      </c>
      <c r="AM5560">
        <v>91.168198392866699</v>
      </c>
      <c r="AN5560">
        <v>1.0000000445494499</v>
      </c>
    </row>
    <row r="5561" spans="1:40" x14ac:dyDescent="0.25">
      <c r="A5561" t="str">
        <f>"20190312172227745"</f>
        <v>20190312172227745</v>
      </c>
      <c r="B5561" t="str">
        <f>"1552382547736230"</f>
        <v>1552382547736230</v>
      </c>
      <c r="C5561" t="s">
        <v>40</v>
      </c>
      <c r="D5561">
        <v>3.2560639999999998</v>
      </c>
      <c r="E5561">
        <v>0.54178309999999996</v>
      </c>
      <c r="F5561" t="s">
        <v>42</v>
      </c>
      <c r="G5561">
        <v>-399.67149999999998</v>
      </c>
      <c r="H5561" s="1">
        <v>-2.2228129999999999E-6</v>
      </c>
      <c r="I5561">
        <v>147.50700000000001</v>
      </c>
      <c r="J5561">
        <v>-358.25299999999999</v>
      </c>
      <c r="K5561">
        <v>1.107961</v>
      </c>
      <c r="L5561">
        <v>141.9385</v>
      </c>
      <c r="M5561">
        <v>-0.99908370000000002</v>
      </c>
      <c r="N5561">
        <v>0</v>
      </c>
      <c r="O5561">
        <v>4.1644639999999997E-2</v>
      </c>
      <c r="P5561">
        <v>-0.99897579999999997</v>
      </c>
      <c r="Q5561">
        <v>4.0008469999999997E-2</v>
      </c>
      <c r="R5561">
        <v>2.1145690000000002E-2</v>
      </c>
      <c r="S5561">
        <v>-2.9978030000000002</v>
      </c>
      <c r="T5561">
        <v>-7.9573749999999999E-2</v>
      </c>
      <c r="U5561">
        <v>0.40090940000000003</v>
      </c>
      <c r="V5561">
        <v>-2.038541E-2</v>
      </c>
      <c r="W5561">
        <v>4.9920140000000002E-2</v>
      </c>
      <c r="X5561">
        <v>0.99854520000000002</v>
      </c>
      <c r="Y5561">
        <v>9.1143059999999998E-2</v>
      </c>
      <c r="Z5561">
        <v>1.0470209999999999E-4</v>
      </c>
      <c r="AA5561">
        <v>0.9958378</v>
      </c>
      <c r="AB5561">
        <v>52</v>
      </c>
      <c r="AC5561">
        <v>-41.418499999999902</v>
      </c>
      <c r="AD5561">
        <v>-1.1079632228129901</v>
      </c>
      <c r="AE5561">
        <v>5.5685000000000002</v>
      </c>
      <c r="AF5561">
        <v>3.83602990018667</v>
      </c>
      <c r="AG5561">
        <v>-1.1079632228129901</v>
      </c>
      <c r="AH5561">
        <v>41.585245342661999</v>
      </c>
      <c r="AI5561">
        <v>91.519731713850106</v>
      </c>
      <c r="AJ5561">
        <v>84.729667163157103</v>
      </c>
      <c r="AK5561">
        <v>41.776492649666302</v>
      </c>
      <c r="AL5561">
        <v>87.138597525197497</v>
      </c>
      <c r="AM5561">
        <v>91.169537175108104</v>
      </c>
      <c r="AN5561">
        <v>1.00000005088076</v>
      </c>
    </row>
    <row r="5562" spans="1:40" x14ac:dyDescent="0.25">
      <c r="A5562" t="str">
        <f>"20190312172227757"</f>
        <v>20190312172227757</v>
      </c>
      <c r="B5562" t="str">
        <f>"1552382547745990"</f>
        <v>1552382547745990</v>
      </c>
      <c r="C5562" t="s">
        <v>40</v>
      </c>
      <c r="D5562">
        <v>3.2065920000000001</v>
      </c>
      <c r="E5562">
        <v>0.54166009999999998</v>
      </c>
      <c r="F5562" t="s">
        <v>42</v>
      </c>
      <c r="G5562">
        <v>-399.1875</v>
      </c>
      <c r="H5562" s="1">
        <v>-2.4052919999999999E-6</v>
      </c>
      <c r="I5562">
        <v>147.41249999999999</v>
      </c>
      <c r="J5562">
        <v>-358.55619999999999</v>
      </c>
      <c r="K5562">
        <v>1.107999</v>
      </c>
      <c r="L5562">
        <v>141.9512</v>
      </c>
      <c r="M5562">
        <v>-0.99907550000000001</v>
      </c>
      <c r="N5562">
        <v>0</v>
      </c>
      <c r="O5562">
        <v>4.1825090000000002E-2</v>
      </c>
      <c r="P5562">
        <v>-0.99895219999999996</v>
      </c>
      <c r="Q5562">
        <v>4.0436949999999999E-2</v>
      </c>
      <c r="R5562">
        <v>2.1438479999999999E-2</v>
      </c>
      <c r="S5562">
        <v>-2.997833</v>
      </c>
      <c r="T5562">
        <v>-8.1141710000000006E-2</v>
      </c>
      <c r="U5562">
        <v>0.40089419999999998</v>
      </c>
      <c r="V5562">
        <v>-2.0275890000000001E-2</v>
      </c>
      <c r="W5562">
        <v>5.039304E-2</v>
      </c>
      <c r="X5562">
        <v>0.99852370000000001</v>
      </c>
      <c r="Y5562">
        <v>9.0956319999999993E-2</v>
      </c>
      <c r="Z5562" s="1">
        <v>9.9395049999999996E-5</v>
      </c>
      <c r="AA5562">
        <v>0.99585489999999999</v>
      </c>
      <c r="AB5562">
        <v>52</v>
      </c>
      <c r="AC5562">
        <v>-40.631300000000003</v>
      </c>
      <c r="AD5562">
        <v>-1.108001405292</v>
      </c>
      <c r="AE5562">
        <v>5.4612999999999898</v>
      </c>
      <c r="AF5562">
        <v>3.7542865921118</v>
      </c>
      <c r="AG5562">
        <v>-1.108001405292</v>
      </c>
      <c r="AH5562">
        <v>40.794374893126097</v>
      </c>
      <c r="AI5562">
        <v>91.5492639986049</v>
      </c>
      <c r="AJ5562">
        <v>84.741908093400895</v>
      </c>
      <c r="AK5562">
        <v>40.981744202153699</v>
      </c>
      <c r="AL5562">
        <v>87.111468275547097</v>
      </c>
      <c r="AM5562">
        <v>91.163280643179306</v>
      </c>
      <c r="AN5562">
        <v>1.0000000748286999</v>
      </c>
    </row>
    <row r="5563" spans="1:40" x14ac:dyDescent="0.25">
      <c r="A5563" t="str">
        <f>"20190312172227774"</f>
        <v>20190312172227774</v>
      </c>
      <c r="B5563" t="str">
        <f>"1552382547766486"</f>
        <v>1552382547766486</v>
      </c>
      <c r="C5563" t="s">
        <v>40</v>
      </c>
      <c r="D5563">
        <v>3.2571140000000001</v>
      </c>
      <c r="E5563">
        <v>0.5417014</v>
      </c>
      <c r="F5563" t="s">
        <v>42</v>
      </c>
      <c r="G5563">
        <v>-399.51760000000002</v>
      </c>
      <c r="H5563" s="1">
        <v>-2.268162E-6</v>
      </c>
      <c r="I5563">
        <v>147.42939999999999</v>
      </c>
      <c r="J5563">
        <v>-358.92309999999998</v>
      </c>
      <c r="K5563">
        <v>1.108052</v>
      </c>
      <c r="L5563">
        <v>141.9666</v>
      </c>
      <c r="M5563">
        <v>-0.99906689999999998</v>
      </c>
      <c r="N5563">
        <v>0</v>
      </c>
      <c r="O5563">
        <v>4.2018800000000002E-2</v>
      </c>
      <c r="P5563">
        <v>-0.99893430000000005</v>
      </c>
      <c r="Q5563">
        <v>4.0737660000000002E-2</v>
      </c>
      <c r="R5563">
        <v>2.170188E-2</v>
      </c>
      <c r="S5563">
        <v>-2.997833</v>
      </c>
      <c r="T5563">
        <v>-8.1091049999999998E-2</v>
      </c>
      <c r="U5563">
        <v>0.40093990000000002</v>
      </c>
      <c r="V5563">
        <v>-2.0210289999999999E-2</v>
      </c>
      <c r="W5563">
        <v>5.0751640000000001E-2</v>
      </c>
      <c r="X5563">
        <v>0.99850680000000003</v>
      </c>
      <c r="Y5563">
        <v>9.0778280000000003E-2</v>
      </c>
      <c r="Z5563" s="1">
        <v>9.1730499999999999E-5</v>
      </c>
      <c r="AA5563">
        <v>0.99587110000000001</v>
      </c>
      <c r="AB5563">
        <v>52</v>
      </c>
      <c r="AC5563">
        <v>-40.594499999999996</v>
      </c>
      <c r="AD5563">
        <v>-1.108054268162</v>
      </c>
      <c r="AE5563">
        <v>5.4627999999999801</v>
      </c>
      <c r="AF5563">
        <v>3.7494138007593798</v>
      </c>
      <c r="AG5563">
        <v>-1.108054268162</v>
      </c>
      <c r="AH5563">
        <v>40.758368890009798</v>
      </c>
      <c r="AI5563">
        <v>91.550711307195002</v>
      </c>
      <c r="AJ5563">
        <v>84.744081494280394</v>
      </c>
      <c r="AK5563">
        <v>40.945457900536802</v>
      </c>
      <c r="AL5563">
        <v>87.090895488905502</v>
      </c>
      <c r="AM5563">
        <v>91.159537649232504</v>
      </c>
      <c r="AN5563">
        <v>1.0000000072154001</v>
      </c>
    </row>
    <row r="5564" spans="1:40" x14ac:dyDescent="0.25">
      <c r="A5564" t="str">
        <f>"20190312172227786"</f>
        <v>20190312172227786</v>
      </c>
      <c r="B5564" t="str">
        <f>"1552382547776247"</f>
        <v>1552382547776247</v>
      </c>
      <c r="C5564" t="s">
        <v>40</v>
      </c>
      <c r="D5564">
        <v>3.2200259999999998</v>
      </c>
      <c r="E5564">
        <v>0.5416415</v>
      </c>
      <c r="F5564" t="s">
        <v>42</v>
      </c>
      <c r="G5564">
        <v>-399.39800000000002</v>
      </c>
      <c r="H5564" s="1">
        <v>-2.3102380000000001E-6</v>
      </c>
      <c r="I5564">
        <v>147.3946</v>
      </c>
      <c r="J5564">
        <v>-359.24020000000002</v>
      </c>
      <c r="K5564">
        <v>1.1081030000000001</v>
      </c>
      <c r="L5564">
        <v>141.97999999999999</v>
      </c>
      <c r="M5564">
        <v>-0.99905999999999995</v>
      </c>
      <c r="N5564">
        <v>0</v>
      </c>
      <c r="O5564">
        <v>4.2168770000000001E-2</v>
      </c>
      <c r="P5564">
        <v>-0.99892780000000003</v>
      </c>
      <c r="Q5564">
        <v>4.0904259999999998E-2</v>
      </c>
      <c r="R5564">
        <v>2.1686830000000001E-2</v>
      </c>
      <c r="S5564">
        <v>-2.9978030000000002</v>
      </c>
      <c r="T5564">
        <v>-8.2068920000000004E-2</v>
      </c>
      <c r="U5564">
        <v>0.40203860000000002</v>
      </c>
      <c r="V5564">
        <v>-2.0380039999999999E-2</v>
      </c>
      <c r="W5564">
        <v>5.097165E-2</v>
      </c>
      <c r="X5564">
        <v>0.99849209999999999</v>
      </c>
      <c r="Y5564">
        <v>9.0988180000000002E-2</v>
      </c>
      <c r="Z5564" s="1">
        <v>9.1617810000000003E-5</v>
      </c>
      <c r="AA5564">
        <v>0.99585199999999996</v>
      </c>
      <c r="AB5564">
        <v>52</v>
      </c>
      <c r="AC5564">
        <v>-40.157800000000002</v>
      </c>
      <c r="AD5564">
        <v>-1.1081053102380001</v>
      </c>
      <c r="AE5564">
        <v>5.4146000000000001</v>
      </c>
      <c r="AF5564">
        <v>3.7135157113497401</v>
      </c>
      <c r="AG5564">
        <v>-1.1081053102380001</v>
      </c>
      <c r="AH5564">
        <v>40.320262304489702</v>
      </c>
      <c r="AI5564">
        <v>91.567609012658494</v>
      </c>
      <c r="AJ5564">
        <v>84.737876068990502</v>
      </c>
      <c r="AK5564">
        <v>40.506069281280197</v>
      </c>
      <c r="AL5564">
        <v>87.078273382941006</v>
      </c>
      <c r="AM5564">
        <v>91.169291339409696</v>
      </c>
      <c r="AN5564">
        <v>0.999999964448266</v>
      </c>
    </row>
    <row r="5565" spans="1:40" x14ac:dyDescent="0.25">
      <c r="A5565" t="str">
        <f>"20190312172227804"</f>
        <v>20190312172227804</v>
      </c>
      <c r="B5565" t="str">
        <f>"1552382547795766"</f>
        <v>1552382547795766</v>
      </c>
      <c r="C5565" t="s">
        <v>40</v>
      </c>
      <c r="D5565">
        <v>3.2612909999999999</v>
      </c>
      <c r="E5565">
        <v>0.54160710000000001</v>
      </c>
      <c r="F5565" t="s">
        <v>42</v>
      </c>
      <c r="G5565">
        <v>-399.76679999999999</v>
      </c>
      <c r="H5565" s="1">
        <v>-2.1553660000000001E-6</v>
      </c>
      <c r="I5565">
        <v>147.40719999999999</v>
      </c>
      <c r="J5565">
        <v>-359.65069999999997</v>
      </c>
      <c r="K5565">
        <v>1.108171</v>
      </c>
      <c r="L5565">
        <v>141.9974</v>
      </c>
      <c r="M5565">
        <v>-0.99905219999999995</v>
      </c>
      <c r="N5565">
        <v>0</v>
      </c>
      <c r="O5565">
        <v>4.233667E-2</v>
      </c>
      <c r="P5565">
        <v>-0.99888060000000001</v>
      </c>
      <c r="Q5565">
        <v>4.1837449999999998E-2</v>
      </c>
      <c r="R5565">
        <v>2.2074320000000001E-2</v>
      </c>
      <c r="S5565">
        <v>-2.9978940000000001</v>
      </c>
      <c r="T5565">
        <v>-8.1970570000000006E-2</v>
      </c>
      <c r="U5565">
        <v>0.401474</v>
      </c>
      <c r="V5565">
        <v>-2.0163790000000001E-2</v>
      </c>
      <c r="W5565">
        <v>5.1977870000000002E-2</v>
      </c>
      <c r="X5565">
        <v>0.99844469999999996</v>
      </c>
      <c r="Y5565">
        <v>9.0632779999999996E-2</v>
      </c>
      <c r="Z5565" s="1">
        <v>8.2107839999999996E-5</v>
      </c>
      <c r="AA5565">
        <v>0.9958844</v>
      </c>
      <c r="AB5565">
        <v>53</v>
      </c>
      <c r="AC5565">
        <v>-40.116100000000003</v>
      </c>
      <c r="AD5565">
        <v>-1.1081731553659999</v>
      </c>
      <c r="AE5565">
        <v>5.40979999999999</v>
      </c>
      <c r="AF5565">
        <v>3.7037043163204699</v>
      </c>
      <c r="AG5565">
        <v>-1.1081731553659999</v>
      </c>
      <c r="AH5565">
        <v>40.278985246402101</v>
      </c>
      <c r="AI5565">
        <v>91.569332047764206</v>
      </c>
      <c r="AJ5565">
        <v>84.746352999864598</v>
      </c>
      <c r="AK5565">
        <v>40.464084394495899</v>
      </c>
      <c r="AL5565">
        <v>87.020544937685202</v>
      </c>
      <c r="AM5565">
        <v>91.156942435443895</v>
      </c>
      <c r="AN5565">
        <v>1.00000004817749</v>
      </c>
    </row>
    <row r="5566" spans="1:40" x14ac:dyDescent="0.25">
      <c r="A5566" t="str">
        <f>"20190312172227819"</f>
        <v>20190312172227819</v>
      </c>
      <c r="B5566" t="str">
        <f>"1552382547816262"</f>
        <v>1552382547816262</v>
      </c>
      <c r="C5566" t="s">
        <v>40</v>
      </c>
      <c r="D5566">
        <v>3.2313679999999998</v>
      </c>
      <c r="E5566">
        <v>0.54159650000000004</v>
      </c>
      <c r="F5566" t="s">
        <v>62</v>
      </c>
      <c r="G5566">
        <v>-400.54239999999999</v>
      </c>
      <c r="H5566" s="1">
        <v>-8.8405650000000006E-6</v>
      </c>
      <c r="I5566">
        <v>147.48480000000001</v>
      </c>
      <c r="J5566">
        <v>-360.00889999999998</v>
      </c>
      <c r="K5566">
        <v>1.1082289999999999</v>
      </c>
      <c r="L5566">
        <v>142.01259999999999</v>
      </c>
      <c r="M5566">
        <v>-0.9990462</v>
      </c>
      <c r="N5566">
        <v>0</v>
      </c>
      <c r="O5566">
        <v>4.2460350000000001E-2</v>
      </c>
      <c r="P5566">
        <v>-0.99885109999999999</v>
      </c>
      <c r="Q5566">
        <v>4.2398810000000002E-2</v>
      </c>
      <c r="R5566">
        <v>2.2334940000000001E-2</v>
      </c>
      <c r="S5566">
        <v>-2.9978639999999999</v>
      </c>
      <c r="T5566">
        <v>-8.1243159999999995E-2</v>
      </c>
      <c r="U5566">
        <v>0.40229799999999999</v>
      </c>
      <c r="V5566">
        <v>-2.003077E-2</v>
      </c>
      <c r="W5566">
        <v>5.2606439999999997E-2</v>
      </c>
      <c r="X5566">
        <v>0.99841440000000004</v>
      </c>
      <c r="Y5566">
        <v>9.078E-2</v>
      </c>
      <c r="Z5566" s="1">
        <v>8.0035649999999993E-5</v>
      </c>
      <c r="AA5566">
        <v>0.9958709</v>
      </c>
      <c r="AB5566">
        <v>53</v>
      </c>
      <c r="AC5566">
        <v>-40.533499999999997</v>
      </c>
      <c r="AD5566">
        <v>-1.108237840565</v>
      </c>
      <c r="AE5566">
        <v>5.4722000000000097</v>
      </c>
      <c r="AF5566">
        <v>3.74336022094232</v>
      </c>
      <c r="AG5566">
        <v>-1.108237840565</v>
      </c>
      <c r="AH5566">
        <v>40.699424683424503</v>
      </c>
      <c r="AI5566">
        <v>91.553215423927796</v>
      </c>
      <c r="AJ5566">
        <v>84.744962667769897</v>
      </c>
      <c r="AK5566">
        <v>40.886233703004997</v>
      </c>
      <c r="AL5566">
        <v>86.984481018872998</v>
      </c>
      <c r="AM5566">
        <v>91.149347040290195</v>
      </c>
      <c r="AN5566">
        <v>0.99999999170181297</v>
      </c>
    </row>
    <row r="5567" spans="1:40" x14ac:dyDescent="0.25">
      <c r="A5567" t="str">
        <f>"20190312172227834"</f>
        <v>20190312172227834</v>
      </c>
      <c r="B5567" t="str">
        <f>"1552382547826022"</f>
        <v>1552382547826022</v>
      </c>
      <c r="C5567" t="s">
        <v>40</v>
      </c>
      <c r="D5567">
        <v>3.286257</v>
      </c>
      <c r="E5567">
        <v>0.54159650000000004</v>
      </c>
      <c r="F5567" t="s">
        <v>62</v>
      </c>
      <c r="G5567">
        <v>-401.08929999999998</v>
      </c>
      <c r="H5567" s="1">
        <v>-9.1037829999999993E-6</v>
      </c>
      <c r="I5567">
        <v>147.5352</v>
      </c>
      <c r="J5567">
        <v>-360.3673</v>
      </c>
      <c r="K5567">
        <v>1.1082920000000001</v>
      </c>
      <c r="L5567">
        <v>142.02789999999999</v>
      </c>
      <c r="M5567">
        <v>-0.99904139999999997</v>
      </c>
      <c r="N5567">
        <v>0</v>
      </c>
      <c r="O5567">
        <v>4.2555999999999997E-2</v>
      </c>
      <c r="P5567">
        <v>-0.99883690000000003</v>
      </c>
      <c r="Q5567">
        <v>4.2729990000000002E-2</v>
      </c>
      <c r="R5567">
        <v>2.2347539999999999E-2</v>
      </c>
      <c r="S5567">
        <v>-2.9978639999999999</v>
      </c>
      <c r="T5567">
        <v>-8.087432E-2</v>
      </c>
      <c r="U5567">
        <v>0.40301510000000001</v>
      </c>
      <c r="V5567">
        <v>-2.011889E-2</v>
      </c>
      <c r="W5567">
        <v>5.3005469999999999E-2</v>
      </c>
      <c r="X5567">
        <v>0.99839149999999999</v>
      </c>
      <c r="Y5567">
        <v>9.0918780000000005E-2</v>
      </c>
      <c r="Z5567" s="1">
        <v>7.8972200000000003E-5</v>
      </c>
      <c r="AA5567">
        <v>0.99585829999999997</v>
      </c>
      <c r="AB5567">
        <v>53</v>
      </c>
      <c r="AC5567">
        <v>-40.721999999999902</v>
      </c>
      <c r="AD5567">
        <v>-1.108301103783</v>
      </c>
      <c r="AE5567">
        <v>5.5073000000000096</v>
      </c>
      <c r="AF5567">
        <v>3.76651382550234</v>
      </c>
      <c r="AG5567">
        <v>-1.108301103783</v>
      </c>
      <c r="AH5567">
        <v>40.8897423098147</v>
      </c>
      <c r="AI5567">
        <v>91.546058362887294</v>
      </c>
      <c r="AJ5567">
        <v>84.737113643047195</v>
      </c>
      <c r="AK5567">
        <v>41.0778040296386</v>
      </c>
      <c r="AL5567">
        <v>86.961586270017804</v>
      </c>
      <c r="AM5567">
        <v>91.154428390277104</v>
      </c>
      <c r="AN5567">
        <v>0.99999996842850103</v>
      </c>
    </row>
    <row r="5568" spans="1:40" x14ac:dyDescent="0.25">
      <c r="A5568" t="str">
        <f>"20190312172227847"</f>
        <v>20190312172227847</v>
      </c>
      <c r="B5568" t="str">
        <f>"1552382547835781"</f>
        <v>1552382547835781</v>
      </c>
      <c r="C5568" t="s">
        <v>40</v>
      </c>
      <c r="D5568">
        <v>3.2668400000000002</v>
      </c>
      <c r="E5568">
        <v>0.54154679999999999</v>
      </c>
      <c r="F5568" t="s">
        <v>62</v>
      </c>
      <c r="G5568">
        <v>-401.98430000000002</v>
      </c>
      <c r="H5568" s="1">
        <v>-9.5367529999999997E-6</v>
      </c>
      <c r="I5568">
        <v>147.62289999999999</v>
      </c>
      <c r="J5568">
        <v>-360.6628</v>
      </c>
      <c r="K5568">
        <v>1.1083419999999999</v>
      </c>
      <c r="L5568">
        <v>142.04050000000001</v>
      </c>
      <c r="M5568">
        <v>-0.99903790000000003</v>
      </c>
      <c r="N5568">
        <v>0</v>
      </c>
      <c r="O5568">
        <v>4.2622750000000001E-2</v>
      </c>
      <c r="P5568">
        <v>-0.99878370000000005</v>
      </c>
      <c r="Q5568">
        <v>4.379839E-2</v>
      </c>
      <c r="R5568">
        <v>2.264915E-2</v>
      </c>
      <c r="S5568">
        <v>-2.997833</v>
      </c>
      <c r="T5568">
        <v>-7.9835180000000006E-2</v>
      </c>
      <c r="U5568">
        <v>0.40303040000000001</v>
      </c>
      <c r="V5568">
        <v>-1.9885839999999998E-2</v>
      </c>
      <c r="W5568">
        <v>5.4132520000000003E-2</v>
      </c>
      <c r="X5568">
        <v>0.99833570000000005</v>
      </c>
      <c r="Y5568">
        <v>9.0859010000000004E-2</v>
      </c>
      <c r="Z5568" s="1">
        <v>7.539976E-5</v>
      </c>
      <c r="AA5568">
        <v>0.99586370000000002</v>
      </c>
      <c r="AB5568">
        <v>53</v>
      </c>
      <c r="AC5568">
        <v>-41.3215</v>
      </c>
      <c r="AD5568">
        <v>-1.1083515367529999</v>
      </c>
      <c r="AE5568">
        <v>5.5823999999999696</v>
      </c>
      <c r="AF5568">
        <v>3.8133022398890999</v>
      </c>
      <c r="AG5568">
        <v>-1.1083515367529999</v>
      </c>
      <c r="AH5568">
        <v>41.492577567901698</v>
      </c>
      <c r="AI5568">
        <v>91.523705305016904</v>
      </c>
      <c r="AJ5568">
        <v>84.749082618701095</v>
      </c>
      <c r="AK5568">
        <v>41.682174971204503</v>
      </c>
      <c r="AL5568">
        <v>86.896918217192706</v>
      </c>
      <c r="AM5568">
        <v>91.141123222854006</v>
      </c>
      <c r="AN5568">
        <v>0.99999997312427202</v>
      </c>
    </row>
    <row r="5569" spans="1:40" x14ac:dyDescent="0.25">
      <c r="A5569" t="str">
        <f>"20190312172227869"</f>
        <v>20190312172227869</v>
      </c>
      <c r="B5569" t="str">
        <f>"1552382547866038"</f>
        <v>1552382547866038</v>
      </c>
      <c r="C5569" t="s">
        <v>40</v>
      </c>
      <c r="D5569">
        <v>3.2602159999999998</v>
      </c>
      <c r="E5569">
        <v>0.54149219999999998</v>
      </c>
      <c r="F5569" t="s">
        <v>62</v>
      </c>
      <c r="G5569">
        <v>-403.42570000000001</v>
      </c>
      <c r="H5569" s="1">
        <v>-1.024833E-5</v>
      </c>
      <c r="I5569">
        <v>147.79900000000001</v>
      </c>
      <c r="J5569">
        <v>-361.18669999999997</v>
      </c>
      <c r="K5569">
        <v>1.108428</v>
      </c>
      <c r="L5569">
        <v>142.06290000000001</v>
      </c>
      <c r="M5569">
        <v>-0.9990327</v>
      </c>
      <c r="N5569">
        <v>0</v>
      </c>
      <c r="O5569">
        <v>4.271498E-2</v>
      </c>
      <c r="P5569">
        <v>-0.99873279999999998</v>
      </c>
      <c r="Q5569">
        <v>4.5098979999999997E-2</v>
      </c>
      <c r="R5569">
        <v>2.23392E-2</v>
      </c>
      <c r="S5569">
        <v>-2.9978940000000001</v>
      </c>
      <c r="T5569">
        <v>-7.7700969999999994E-2</v>
      </c>
      <c r="U5569">
        <v>0.4037018</v>
      </c>
      <c r="V5569">
        <v>-2.0292709999999999E-2</v>
      </c>
      <c r="W5569">
        <v>5.5544690000000001E-2</v>
      </c>
      <c r="X5569">
        <v>0.99824990000000002</v>
      </c>
      <c r="Y5569">
        <v>9.0984289999999995E-2</v>
      </c>
      <c r="Z5569" s="1">
        <v>7.2623949999999998E-5</v>
      </c>
      <c r="AA5569">
        <v>0.99585239999999997</v>
      </c>
      <c r="AB5569">
        <v>53</v>
      </c>
      <c r="AC5569">
        <v>-42.238999999999997</v>
      </c>
      <c r="AD5569">
        <v>-1.1084382483299999</v>
      </c>
      <c r="AE5569">
        <v>5.7360999999999898</v>
      </c>
      <c r="AF5569">
        <v>3.9238743899437498</v>
      </c>
      <c r="AG5569">
        <v>-1.1084382483299999</v>
      </c>
      <c r="AH5569">
        <v>42.416793765627702</v>
      </c>
      <c r="AI5569">
        <v>91.490554788537693</v>
      </c>
      <c r="AJ5569">
        <v>84.714749030459203</v>
      </c>
      <c r="AK5569">
        <v>42.612320036982403</v>
      </c>
      <c r="AL5569">
        <v>86.815884768570299</v>
      </c>
      <c r="AM5569">
        <v>91.164564626221505</v>
      </c>
      <c r="AN5569">
        <v>0.99999993475817295</v>
      </c>
    </row>
    <row r="5570" spans="1:40" x14ac:dyDescent="0.25">
      <c r="A5570" t="str">
        <f>"20190312172227894"</f>
        <v>20190312172227894</v>
      </c>
      <c r="B5570" t="str">
        <f>"1552382547886533"</f>
        <v>1552382547886533</v>
      </c>
      <c r="C5570" t="s">
        <v>40</v>
      </c>
      <c r="D5570">
        <v>3.2250269999999999</v>
      </c>
      <c r="E5570">
        <v>0.54351899999999997</v>
      </c>
      <c r="F5570" t="s">
        <v>62</v>
      </c>
      <c r="G5570">
        <v>-404.90730000000002</v>
      </c>
      <c r="H5570" s="1">
        <v>-1.0959E-5</v>
      </c>
      <c r="I5570">
        <v>147.92949999999999</v>
      </c>
      <c r="J5570">
        <v>-361.74529999999999</v>
      </c>
      <c r="K5570">
        <v>1.1085130000000001</v>
      </c>
      <c r="L5570">
        <v>142.08680000000001</v>
      </c>
      <c r="M5570">
        <v>-0.99902869999999999</v>
      </c>
      <c r="N5570">
        <v>0</v>
      </c>
      <c r="O5570">
        <v>4.2776639999999998E-2</v>
      </c>
      <c r="P5570">
        <v>-0.99868990000000002</v>
      </c>
      <c r="Q5570">
        <v>4.6339329999999998E-2</v>
      </c>
      <c r="R5570">
        <v>2.170509E-2</v>
      </c>
      <c r="S5570">
        <v>-2.9981990000000001</v>
      </c>
      <c r="T5570">
        <v>-7.6012609999999994E-2</v>
      </c>
      <c r="U5570">
        <v>0.40231319999999998</v>
      </c>
      <c r="V5570">
        <v>-2.0993189999999998E-2</v>
      </c>
      <c r="W5570">
        <v>5.6911049999999998E-2</v>
      </c>
      <c r="X5570">
        <v>0.99815849999999995</v>
      </c>
      <c r="Y5570">
        <v>9.0457190000000007E-2</v>
      </c>
      <c r="Z5570" s="1">
        <v>6.2833309999999994E-5</v>
      </c>
      <c r="AA5570">
        <v>0.99590029999999996</v>
      </c>
      <c r="AB5570">
        <v>53</v>
      </c>
      <c r="AC5570">
        <v>-43.161999999999999</v>
      </c>
      <c r="AD5570">
        <v>-1.10852395899999</v>
      </c>
      <c r="AE5570">
        <v>5.8426999999999696</v>
      </c>
      <c r="AF5570">
        <v>3.9883393712237498</v>
      </c>
      <c r="AG5570">
        <v>-1.10852395899999</v>
      </c>
      <c r="AH5570">
        <v>43.344356857998797</v>
      </c>
      <c r="AI5570">
        <v>91.458849484882293</v>
      </c>
      <c r="AJ5570">
        <v>84.742721858584204</v>
      </c>
      <c r="AK5570">
        <v>43.541577230748999</v>
      </c>
      <c r="AL5570">
        <v>86.737474215835704</v>
      </c>
      <c r="AM5570">
        <v>91.204862634468697</v>
      </c>
      <c r="AN5570">
        <v>0.99999998638036403</v>
      </c>
    </row>
    <row r="5571" spans="1:40" x14ac:dyDescent="0.25">
      <c r="A5571" t="str">
        <f>"20190312172227915"</f>
        <v>20190312172227915</v>
      </c>
      <c r="B5571" t="str">
        <f>"1552382547906053"</f>
        <v>1552382547906053</v>
      </c>
      <c r="C5571" t="s">
        <v>40</v>
      </c>
      <c r="D5571">
        <v>3.274915</v>
      </c>
      <c r="E5571">
        <v>0.54266800000000004</v>
      </c>
      <c r="F5571" t="s">
        <v>42</v>
      </c>
      <c r="G5571">
        <v>-389.8546</v>
      </c>
      <c r="H5571" s="1">
        <v>-1.742314E-6</v>
      </c>
      <c r="I5571">
        <v>145.99639999999999</v>
      </c>
      <c r="J5571">
        <v>-362.25220000000002</v>
      </c>
      <c r="K5571">
        <v>1.10859</v>
      </c>
      <c r="L5571">
        <v>142.10849999999999</v>
      </c>
      <c r="M5571">
        <v>-0.99902709999999995</v>
      </c>
      <c r="N5571">
        <v>0</v>
      </c>
      <c r="O5571">
        <v>4.278585E-2</v>
      </c>
      <c r="P5571">
        <v>-0.99866109999999997</v>
      </c>
      <c r="Q5571">
        <v>4.7484770000000003E-2</v>
      </c>
      <c r="R5571">
        <v>2.0525450000000001E-2</v>
      </c>
      <c r="S5571">
        <v>-3.0003359999999999</v>
      </c>
      <c r="T5571">
        <v>-0.1183212</v>
      </c>
      <c r="U5571">
        <v>0.41731259999999998</v>
      </c>
      <c r="V5571">
        <v>-2.2187169999999999E-2</v>
      </c>
      <c r="W5571">
        <v>5.8171149999999998E-2</v>
      </c>
      <c r="X5571">
        <v>0.99805999999999995</v>
      </c>
      <c r="Y5571">
        <v>9.521607E-2</v>
      </c>
      <c r="Z5571">
        <v>1.907132E-4</v>
      </c>
      <c r="AA5571">
        <v>0.99545660000000002</v>
      </c>
      <c r="AB5571">
        <v>53</v>
      </c>
      <c r="AC5571">
        <v>-27.6023999999999</v>
      </c>
      <c r="AD5571">
        <v>-1.1085917423139999</v>
      </c>
      <c r="AE5571">
        <v>3.8879000000000001</v>
      </c>
      <c r="AF5571">
        <v>2.69901074912246</v>
      </c>
      <c r="AG5571">
        <v>-1.1085917423139999</v>
      </c>
      <c r="AH5571">
        <v>27.699665360714</v>
      </c>
      <c r="AI5571">
        <v>92.281068296757795</v>
      </c>
      <c r="AJ5571">
        <v>84.434759791443696</v>
      </c>
      <c r="AK5571">
        <v>27.852918981150701</v>
      </c>
      <c r="AL5571">
        <v>86.6651558835174</v>
      </c>
      <c r="AM5571">
        <v>91.273492429461697</v>
      </c>
      <c r="AN5571">
        <v>0.99999995840246403</v>
      </c>
    </row>
    <row r="5572" spans="1:40" x14ac:dyDescent="0.25">
      <c r="A5572" t="str">
        <f>"20190312172227937"</f>
        <v>20190312172227937</v>
      </c>
      <c r="B5572" t="str">
        <f>"1552382547925573"</f>
        <v>1552382547925573</v>
      </c>
      <c r="C5572" t="s">
        <v>40</v>
      </c>
      <c r="D5572">
        <v>3.26919</v>
      </c>
      <c r="E5572">
        <v>0.54235559999999905</v>
      </c>
      <c r="F5572" t="s">
        <v>42</v>
      </c>
      <c r="G5572">
        <v>-392.82709999999997</v>
      </c>
      <c r="H5572" s="1">
        <v>-4.4905380000000002E-6</v>
      </c>
      <c r="I5572">
        <v>146.2492</v>
      </c>
      <c r="J5572">
        <v>-362.75729999999999</v>
      </c>
      <c r="K5572">
        <v>1.1086750000000001</v>
      </c>
      <c r="L5572">
        <v>142.1301</v>
      </c>
      <c r="M5572">
        <v>-0.99902809999999997</v>
      </c>
      <c r="N5572">
        <v>0</v>
      </c>
      <c r="O5572">
        <v>4.272989E-2</v>
      </c>
      <c r="P5572">
        <v>-0.99868020000000002</v>
      </c>
      <c r="Q5572">
        <v>4.7777409999999999E-2</v>
      </c>
      <c r="R5572">
        <v>1.8842669999999999E-2</v>
      </c>
      <c r="S5572">
        <v>-3.0008849999999998</v>
      </c>
      <c r="T5572">
        <v>-0.108807</v>
      </c>
      <c r="U5572">
        <v>0.4064178</v>
      </c>
      <c r="V5572">
        <v>-2.38237E-2</v>
      </c>
      <c r="W5572">
        <v>5.8582429999999998E-2</v>
      </c>
      <c r="X5572">
        <v>0.99799819999999995</v>
      </c>
      <c r="Y5572">
        <v>9.1707460000000005E-2</v>
      </c>
      <c r="Z5572">
        <v>1.140847E-4</v>
      </c>
      <c r="AA5572">
        <v>0.99578599999999995</v>
      </c>
      <c r="AB5572">
        <v>53</v>
      </c>
      <c r="AC5572">
        <v>-30.069799999999901</v>
      </c>
      <c r="AD5572">
        <v>-1.108679490538</v>
      </c>
      <c r="AE5572">
        <v>4.1191000000000004</v>
      </c>
      <c r="AF5572">
        <v>2.8266112476936498</v>
      </c>
      <c r="AG5572">
        <v>-1.108679490538</v>
      </c>
      <c r="AH5572">
        <v>30.1780830579285</v>
      </c>
      <c r="AI5572">
        <v>92.094819917843296</v>
      </c>
      <c r="AJ5572">
        <v>84.649038280372906</v>
      </c>
      <c r="AK5572">
        <v>30.330440128846799</v>
      </c>
      <c r="AL5572">
        <v>86.641550951992301</v>
      </c>
      <c r="AM5572">
        <v>91.367475683537606</v>
      </c>
      <c r="AN5572">
        <v>0.99999993849481505</v>
      </c>
    </row>
    <row r="5573" spans="1:40" x14ac:dyDescent="0.25">
      <c r="A5573" t="str">
        <f>"20190312172227951"</f>
        <v>20190312172227951</v>
      </c>
      <c r="B5573" t="str">
        <f>"1552382547946069"</f>
        <v>1552382547946069</v>
      </c>
      <c r="C5573" t="s">
        <v>40</v>
      </c>
      <c r="D5573">
        <v>3.274127</v>
      </c>
      <c r="E5573">
        <v>0.54226980000000002</v>
      </c>
      <c r="F5573" t="s">
        <v>42</v>
      </c>
      <c r="G5573">
        <v>-394.55489999999998</v>
      </c>
      <c r="H5573" s="1">
        <v>-3.921307E-6</v>
      </c>
      <c r="I5573">
        <v>146.35480000000001</v>
      </c>
      <c r="J5573">
        <v>-363.11439999999999</v>
      </c>
      <c r="K5573">
        <v>1.108749</v>
      </c>
      <c r="L5573">
        <v>142.14529999999999</v>
      </c>
      <c r="M5573">
        <v>-0.99903129999999996</v>
      </c>
      <c r="N5573">
        <v>0</v>
      </c>
      <c r="O5573">
        <v>4.2635029999999997E-2</v>
      </c>
      <c r="P5573">
        <v>-0.99869220000000003</v>
      </c>
      <c r="Q5573">
        <v>4.7953200000000001E-2</v>
      </c>
      <c r="R5573">
        <v>1.7737550000000001E-2</v>
      </c>
      <c r="S5573">
        <v>-3.0014340000000002</v>
      </c>
      <c r="T5573">
        <v>-0.1046506</v>
      </c>
      <c r="U5573">
        <v>0.39878849999999999</v>
      </c>
      <c r="V5573">
        <v>-2.484217E-2</v>
      </c>
      <c r="W5573">
        <v>5.8845660000000001E-2</v>
      </c>
      <c r="X5573">
        <v>0.99795789999999995</v>
      </c>
      <c r="Y5573">
        <v>8.9294780000000004E-2</v>
      </c>
      <c r="Z5573" s="1">
        <v>7.1127319999999994E-5</v>
      </c>
      <c r="AA5573">
        <v>0.99600520000000003</v>
      </c>
      <c r="AB5573">
        <v>53</v>
      </c>
      <c r="AC5573">
        <v>-31.440499999999901</v>
      </c>
      <c r="AD5573">
        <v>-1.108752921307</v>
      </c>
      <c r="AE5573">
        <v>4.2095000000000198</v>
      </c>
      <c r="AF5573">
        <v>2.8616295370216802</v>
      </c>
      <c r="AG5573">
        <v>-1.108752921307</v>
      </c>
      <c r="AH5573">
        <v>31.552842014858602</v>
      </c>
      <c r="AI5573">
        <v>92.004300971826098</v>
      </c>
      <c r="AJ5573">
        <v>84.8178371908663</v>
      </c>
      <c r="AK5573">
        <v>31.7017364802354</v>
      </c>
      <c r="AL5573">
        <v>86.626442983906301</v>
      </c>
      <c r="AM5573">
        <v>91.425969577903203</v>
      </c>
      <c r="AN5573">
        <v>0.99999995764177596</v>
      </c>
    </row>
    <row r="5574" spans="1:40" x14ac:dyDescent="0.25">
      <c r="A5574" t="str">
        <f>"20190312172227964"</f>
        <v>20190312172227964</v>
      </c>
      <c r="B5574" t="str">
        <f>"1552382547955830"</f>
        <v>1552382547955830</v>
      </c>
      <c r="C5574" t="s">
        <v>40</v>
      </c>
      <c r="D5574">
        <v>3.2519640000000001</v>
      </c>
      <c r="E5574">
        <v>0.54229320000000003</v>
      </c>
      <c r="F5574" t="s">
        <v>42</v>
      </c>
      <c r="G5574">
        <v>-395.3827</v>
      </c>
      <c r="H5574" s="1">
        <v>-3.6456939999999999E-6</v>
      </c>
      <c r="I5574">
        <v>146.38910000000001</v>
      </c>
      <c r="J5574">
        <v>-363.42</v>
      </c>
      <c r="K5574">
        <v>1.108819</v>
      </c>
      <c r="L5574">
        <v>142.1583</v>
      </c>
      <c r="M5574">
        <v>-0.99903520000000001</v>
      </c>
      <c r="N5574">
        <v>0</v>
      </c>
      <c r="O5574">
        <v>4.2523030000000003E-2</v>
      </c>
      <c r="P5574">
        <v>-0.99869920000000001</v>
      </c>
      <c r="Q5574">
        <v>4.8223299999999997E-2</v>
      </c>
      <c r="R5574">
        <v>1.6573830000000001E-2</v>
      </c>
      <c r="S5574">
        <v>-3.0018919999999998</v>
      </c>
      <c r="T5574">
        <v>-0.1031466</v>
      </c>
      <c r="U5574">
        <v>0.39480589999999999</v>
      </c>
      <c r="V5574">
        <v>-2.5901380000000002E-2</v>
      </c>
      <c r="W5574">
        <v>5.9190769999999997E-2</v>
      </c>
      <c r="X5574">
        <v>0.99791059999999998</v>
      </c>
      <c r="Y5574">
        <v>8.8089249999999994E-2</v>
      </c>
      <c r="Z5574" s="1">
        <v>5.3295869999999997E-5</v>
      </c>
      <c r="AA5574">
        <v>0.99611260000000001</v>
      </c>
      <c r="AB5574">
        <v>53</v>
      </c>
      <c r="AC5574">
        <v>-31.962699999999899</v>
      </c>
      <c r="AD5574">
        <v>-1.108822645694</v>
      </c>
      <c r="AE5574">
        <v>4.2308000000000101</v>
      </c>
      <c r="AF5574">
        <v>2.86435218408579</v>
      </c>
      <c r="AG5574">
        <v>-1.108822645694</v>
      </c>
      <c r="AH5574">
        <v>32.075765413247602</v>
      </c>
      <c r="AI5574">
        <v>91.972020378727805</v>
      </c>
      <c r="AJ5574">
        <v>84.897046931338494</v>
      </c>
      <c r="AK5574">
        <v>32.222487922874201</v>
      </c>
      <c r="AL5574">
        <v>86.606635243786997</v>
      </c>
      <c r="AM5574">
        <v>91.486813176878897</v>
      </c>
      <c r="AN5574">
        <v>0.99999999716572796</v>
      </c>
    </row>
    <row r="5575" spans="1:40" x14ac:dyDescent="0.25">
      <c r="A5575" t="str">
        <f>"20190312172227977"</f>
        <v>20190312172227977</v>
      </c>
      <c r="B5575" t="str">
        <f>"1552382547965589"</f>
        <v>1552382547965589</v>
      </c>
      <c r="C5575" t="s">
        <v>40</v>
      </c>
      <c r="D5575">
        <v>3.2530730000000001</v>
      </c>
      <c r="E5575">
        <v>0.54226549999999996</v>
      </c>
      <c r="F5575" t="s">
        <v>42</v>
      </c>
      <c r="G5575">
        <v>-395.84160000000003</v>
      </c>
      <c r="H5575" s="1">
        <v>-3.4888610000000002E-6</v>
      </c>
      <c r="I5575">
        <v>146.3853</v>
      </c>
      <c r="J5575">
        <v>-363.71839999999997</v>
      </c>
      <c r="K5575">
        <v>1.108889</v>
      </c>
      <c r="L5575">
        <v>142.17089999999999</v>
      </c>
      <c r="M5575">
        <v>-0.99904040000000005</v>
      </c>
      <c r="N5575">
        <v>0</v>
      </c>
      <c r="O5575">
        <v>4.2380019999999997E-2</v>
      </c>
      <c r="P5575">
        <v>-0.99870190000000003</v>
      </c>
      <c r="Q5575">
        <v>4.8566829999999998E-2</v>
      </c>
      <c r="R5575">
        <v>1.5361929999999999E-2</v>
      </c>
      <c r="S5575">
        <v>-3.00238</v>
      </c>
      <c r="T5575">
        <v>-0.10268190000000001</v>
      </c>
      <c r="U5575">
        <v>0.39144899999999999</v>
      </c>
      <c r="V5575">
        <v>-2.6978950000000002E-2</v>
      </c>
      <c r="W5575">
        <v>5.960679E-2</v>
      </c>
      <c r="X5575">
        <v>0.99785729999999995</v>
      </c>
      <c r="Y5575">
        <v>8.7116579999999999E-2</v>
      </c>
      <c r="Z5575" s="1">
        <v>4.1342689999999999E-5</v>
      </c>
      <c r="AA5575">
        <v>0.99619809999999998</v>
      </c>
      <c r="AB5575">
        <v>53</v>
      </c>
      <c r="AC5575">
        <v>-32.123199999999997</v>
      </c>
      <c r="AD5575">
        <v>-1.1088924888609999</v>
      </c>
      <c r="AE5575">
        <v>4.2144000000000101</v>
      </c>
      <c r="AF5575">
        <v>2.8458143348879101</v>
      </c>
      <c r="AG5575">
        <v>-1.1088924888609999</v>
      </c>
      <c r="AH5575">
        <v>32.235190645964103</v>
      </c>
      <c r="AI5575">
        <v>91.962574170053898</v>
      </c>
      <c r="AJ5575">
        <v>84.9548455324407</v>
      </c>
      <c r="AK5575">
        <v>32.379558640632503</v>
      </c>
      <c r="AL5575">
        <v>86.582756943451301</v>
      </c>
      <c r="AM5575">
        <v>91.548721930849197</v>
      </c>
      <c r="AN5575">
        <v>1.0000000121602399</v>
      </c>
    </row>
    <row r="5576" spans="1:40" x14ac:dyDescent="0.25">
      <c r="A5576" t="str">
        <f>"20190312172227991"</f>
        <v>20190312172227991</v>
      </c>
      <c r="B5576" t="str">
        <f>"1552382547986086"</f>
        <v>1552382547986086</v>
      </c>
      <c r="C5576" t="s">
        <v>40</v>
      </c>
      <c r="D5576">
        <v>3.2866719999999998</v>
      </c>
      <c r="E5576">
        <v>0.54241010000000001</v>
      </c>
      <c r="F5576" t="s">
        <v>42</v>
      </c>
      <c r="G5576">
        <v>-396.57979999999998</v>
      </c>
      <c r="H5576" s="1">
        <v>-3.2423919999999999E-6</v>
      </c>
      <c r="I5576">
        <v>146.41220000000001</v>
      </c>
      <c r="J5576">
        <v>-364.05739999999997</v>
      </c>
      <c r="K5576">
        <v>1.108978</v>
      </c>
      <c r="L5576">
        <v>142.18520000000001</v>
      </c>
      <c r="M5576">
        <v>-0.99904850000000001</v>
      </c>
      <c r="N5576">
        <v>0</v>
      </c>
      <c r="O5576">
        <v>4.2166629999999997E-2</v>
      </c>
      <c r="P5576">
        <v>-0.99868860000000004</v>
      </c>
      <c r="Q5576">
        <v>4.921246E-2</v>
      </c>
      <c r="R5576">
        <v>1.412189E-2</v>
      </c>
      <c r="S5576">
        <v>-3.002869</v>
      </c>
      <c r="T5576">
        <v>-0.1013304</v>
      </c>
      <c r="U5576">
        <v>0.38757320000000001</v>
      </c>
      <c r="V5576">
        <v>-2.801499E-2</v>
      </c>
      <c r="W5576">
        <v>6.0331700000000002E-2</v>
      </c>
      <c r="X5576">
        <v>0.99778520000000004</v>
      </c>
      <c r="Y5576">
        <v>8.6045140000000006E-2</v>
      </c>
      <c r="Z5576" s="1">
        <v>2.994167E-5</v>
      </c>
      <c r="AA5576">
        <v>0.99629120000000004</v>
      </c>
      <c r="AB5576">
        <v>53</v>
      </c>
      <c r="AC5576">
        <v>-32.522399999999998</v>
      </c>
      <c r="AD5576">
        <v>-1.108981242392</v>
      </c>
      <c r="AE5576">
        <v>4.2270000000000003</v>
      </c>
      <c r="AF5576">
        <v>2.8485378260840002</v>
      </c>
      <c r="AG5576">
        <v>-1.108981242392</v>
      </c>
      <c r="AH5576">
        <v>32.634405103973002</v>
      </c>
      <c r="AI5576">
        <v>91.938907785786895</v>
      </c>
      <c r="AJ5576">
        <v>85.011504348659599</v>
      </c>
      <c r="AK5576">
        <v>32.777254363854702</v>
      </c>
      <c r="AL5576">
        <v>86.541147832470799</v>
      </c>
      <c r="AM5576">
        <v>91.608281118186497</v>
      </c>
      <c r="AN5576">
        <v>1.0000000295143101</v>
      </c>
    </row>
    <row r="5577" spans="1:40" x14ac:dyDescent="0.25">
      <c r="A5577" t="str">
        <f>"20190312172228004"</f>
        <v>20190312172228004</v>
      </c>
      <c r="B5577" t="str">
        <f>"1552382547995846"</f>
        <v>1552382547995846</v>
      </c>
      <c r="C5577" t="s">
        <v>40</v>
      </c>
      <c r="D5577">
        <v>3.2850239999999999</v>
      </c>
      <c r="E5577">
        <v>0.54255909999999996</v>
      </c>
      <c r="F5577" t="s">
        <v>42</v>
      </c>
      <c r="G5577">
        <v>-397.2389</v>
      </c>
      <c r="H5577" s="1">
        <v>-2.9819359999999999E-6</v>
      </c>
      <c r="I5577">
        <v>146.43790000000001</v>
      </c>
      <c r="J5577">
        <v>-364.351</v>
      </c>
      <c r="K5577">
        <v>1.109065</v>
      </c>
      <c r="L5577">
        <v>142.19739999999999</v>
      </c>
      <c r="M5577">
        <v>-0.99905670000000002</v>
      </c>
      <c r="N5577">
        <v>0</v>
      </c>
      <c r="O5577">
        <v>4.195219E-2</v>
      </c>
      <c r="P5577">
        <v>-0.9986718</v>
      </c>
      <c r="Q5577">
        <v>5.0142399999999997E-2</v>
      </c>
      <c r="R5577">
        <v>1.1857110000000001E-2</v>
      </c>
      <c r="S5577">
        <v>-3.0034179999999999</v>
      </c>
      <c r="T5577">
        <v>-0.1003792</v>
      </c>
      <c r="U5577">
        <v>0.38494869999999998</v>
      </c>
      <c r="V5577">
        <v>-3.0073699999999998E-2</v>
      </c>
      <c r="W5577">
        <v>6.1328830000000001E-2</v>
      </c>
      <c r="X5577">
        <v>0.99766449999999995</v>
      </c>
      <c r="Y5577">
        <v>8.5380079999999997E-2</v>
      </c>
      <c r="Z5577" s="1">
        <v>2.5705900000000001E-5</v>
      </c>
      <c r="AA5577">
        <v>0.99634840000000002</v>
      </c>
      <c r="AB5577">
        <v>53</v>
      </c>
      <c r="AC5577">
        <v>-32.887900000000002</v>
      </c>
      <c r="AD5577">
        <v>-1.1090679819360001</v>
      </c>
      <c r="AE5577">
        <v>4.2405000000000204</v>
      </c>
      <c r="AF5577">
        <v>2.85376781987314</v>
      </c>
      <c r="AG5577">
        <v>-1.1090679819360001</v>
      </c>
      <c r="AH5577">
        <v>32.999937484577998</v>
      </c>
      <c r="AI5577">
        <v>91.917730527072607</v>
      </c>
      <c r="AJ5577">
        <v>85.0574732453005</v>
      </c>
      <c r="AK5577">
        <v>33.141664058166398</v>
      </c>
      <c r="AL5577">
        <v>86.483910579836405</v>
      </c>
      <c r="AM5577">
        <v>91.726606952470704</v>
      </c>
      <c r="AN5577">
        <v>1.00000005369055</v>
      </c>
    </row>
    <row r="5578" spans="1:40" x14ac:dyDescent="0.25">
      <c r="A5578" t="str">
        <f>"20190312172228021"</f>
        <v>20190312172228021</v>
      </c>
      <c r="B5578" t="str">
        <f>"1552382548016342"</f>
        <v>1552382548016342</v>
      </c>
      <c r="C5578" t="s">
        <v>40</v>
      </c>
      <c r="D5578">
        <v>3.4005049999999999</v>
      </c>
      <c r="E5578">
        <v>0.54256490000000002</v>
      </c>
      <c r="F5578" t="s">
        <v>42</v>
      </c>
      <c r="G5578">
        <v>-398.45339999999999</v>
      </c>
      <c r="H5578" s="1">
        <v>-2.4786089999999999E-6</v>
      </c>
      <c r="I5578">
        <v>146.5044</v>
      </c>
      <c r="J5578">
        <v>-364.74329999999998</v>
      </c>
      <c r="K5578">
        <v>1.1091770000000001</v>
      </c>
      <c r="L5578">
        <v>142.21369999999999</v>
      </c>
      <c r="M5578">
        <v>-0.99906989999999996</v>
      </c>
      <c r="N5578">
        <v>0</v>
      </c>
      <c r="O5578">
        <v>4.1610420000000002E-2</v>
      </c>
      <c r="P5578">
        <v>-0.9986737</v>
      </c>
      <c r="Q5578">
        <v>5.0409290000000002E-2</v>
      </c>
      <c r="R5578">
        <v>1.049537E-2</v>
      </c>
      <c r="S5578">
        <v>-3.0044249999999999</v>
      </c>
      <c r="T5578">
        <v>-9.770906E-2</v>
      </c>
      <c r="U5578">
        <v>0.3794556</v>
      </c>
      <c r="V5578">
        <v>-3.1108179999999999E-2</v>
      </c>
      <c r="W5578">
        <v>6.1683399999999999E-2</v>
      </c>
      <c r="X5578">
        <v>0.99761089999999997</v>
      </c>
      <c r="Y5578">
        <v>8.388785E-2</v>
      </c>
      <c r="Z5578" s="1">
        <v>1.188635E-5</v>
      </c>
      <c r="AA5578">
        <v>0.99647520000000001</v>
      </c>
      <c r="AB5578">
        <v>53</v>
      </c>
      <c r="AC5578">
        <v>-33.710099999999997</v>
      </c>
      <c r="AD5578">
        <v>-1.1091794786089999</v>
      </c>
      <c r="AE5578">
        <v>4.29070000000001</v>
      </c>
      <c r="AF5578">
        <v>2.8811327649540099</v>
      </c>
      <c r="AG5578">
        <v>-1.1091794786089999</v>
      </c>
      <c r="AH5578">
        <v>33.823414830864699</v>
      </c>
      <c r="AI5578">
        <v>91.871468873570507</v>
      </c>
      <c r="AJ5578">
        <v>85.131206672488204</v>
      </c>
      <c r="AK5578">
        <v>33.964019137107698</v>
      </c>
      <c r="AL5578">
        <v>86.463556611535694</v>
      </c>
      <c r="AM5578">
        <v>91.786057127625796</v>
      </c>
      <c r="AN5578">
        <v>1.0000000342486399</v>
      </c>
    </row>
    <row r="5579" spans="1:40" x14ac:dyDescent="0.25">
      <c r="A5579" t="str">
        <f>"20190312172228033"</f>
        <v>20190312172228033</v>
      </c>
      <c r="B5579" t="str">
        <f>"1552382548026103"</f>
        <v>1552382548026103</v>
      </c>
      <c r="C5579" t="s">
        <v>40</v>
      </c>
      <c r="D5579">
        <v>3.311633</v>
      </c>
      <c r="E5579">
        <v>0.51995429999999998</v>
      </c>
      <c r="F5579" t="s">
        <v>42</v>
      </c>
      <c r="G5579">
        <v>-399.05590000000001</v>
      </c>
      <c r="H5579" s="1">
        <v>-2.2187780000000001E-6</v>
      </c>
      <c r="I5579">
        <v>146.49930000000001</v>
      </c>
      <c r="J5579">
        <v>-365.048</v>
      </c>
      <c r="K5579">
        <v>1.10927</v>
      </c>
      <c r="L5579">
        <v>142.22620000000001</v>
      </c>
      <c r="M5579">
        <v>-0.99908240000000004</v>
      </c>
      <c r="N5579">
        <v>0</v>
      </c>
      <c r="O5579">
        <v>4.1287409999999997E-2</v>
      </c>
      <c r="P5579">
        <v>-0.99867689999999998</v>
      </c>
      <c r="Q5579">
        <v>5.0652030000000001E-2</v>
      </c>
      <c r="R5579">
        <v>8.8739259999999903E-3</v>
      </c>
      <c r="S5579">
        <v>-3.0049440000000001</v>
      </c>
      <c r="T5579">
        <v>-9.7137089999999995E-2</v>
      </c>
      <c r="U5579">
        <v>0.3753204</v>
      </c>
      <c r="V5579">
        <v>-3.2418089999999997E-2</v>
      </c>
      <c r="W5579">
        <v>6.1989420000000003E-2</v>
      </c>
      <c r="X5579">
        <v>0.99755020000000005</v>
      </c>
      <c r="Y5579">
        <v>8.2839209999999996E-2</v>
      </c>
      <c r="Z5579" s="1">
        <v>5.305046E-6</v>
      </c>
      <c r="AA5579">
        <v>0.99656290000000003</v>
      </c>
      <c r="AB5579">
        <v>53</v>
      </c>
      <c r="AC5579">
        <v>-34.007899999999999</v>
      </c>
      <c r="AD5579">
        <v>-1.109272218778</v>
      </c>
      <c r="AE5579">
        <v>4.2731000000000003</v>
      </c>
      <c r="AF5579">
        <v>2.8622687753732099</v>
      </c>
      <c r="AG5579">
        <v>-1.109272218778</v>
      </c>
      <c r="AH5579">
        <v>34.119597811414998</v>
      </c>
      <c r="AI5579">
        <v>91.855590699562597</v>
      </c>
      <c r="AJ5579">
        <v>85.204725580122997</v>
      </c>
      <c r="AK5579">
        <v>34.257408282159098</v>
      </c>
      <c r="AL5579">
        <v>86.445989256849899</v>
      </c>
      <c r="AM5579">
        <v>91.861326153618407</v>
      </c>
      <c r="AN5579">
        <v>1.00000001113561</v>
      </c>
    </row>
    <row r="5580" spans="1:40" x14ac:dyDescent="0.25">
      <c r="A5580" t="str">
        <f>"20190312172228048"</f>
        <v>20190312172228048</v>
      </c>
      <c r="B5580" t="str">
        <f>"1552382548035862"</f>
        <v>1552382548035862</v>
      </c>
      <c r="C5580" t="s">
        <v>40</v>
      </c>
      <c r="D5580">
        <v>3.2859690000000001</v>
      </c>
      <c r="E5580">
        <v>0.5148992</v>
      </c>
      <c r="F5580" t="s">
        <v>42</v>
      </c>
      <c r="G5580">
        <v>-397.9384</v>
      </c>
      <c r="H5580" s="1">
        <v>-2.1151540000000001E-6</v>
      </c>
      <c r="I5580">
        <v>144.3081</v>
      </c>
      <c r="J5580">
        <v>-365.3852</v>
      </c>
      <c r="K5580">
        <v>1.109369</v>
      </c>
      <c r="L5580">
        <v>142.23990000000001</v>
      </c>
      <c r="M5580">
        <v>-0.99909780000000004</v>
      </c>
      <c r="N5580">
        <v>0</v>
      </c>
      <c r="O5580">
        <v>4.0892690000000002E-2</v>
      </c>
      <c r="P5580">
        <v>-0.99866379999999999</v>
      </c>
      <c r="Q5580">
        <v>5.127897E-2</v>
      </c>
      <c r="R5580">
        <v>6.3863180000000002E-3</v>
      </c>
      <c r="S5580">
        <v>-3.0074160000000001</v>
      </c>
      <c r="T5580">
        <v>-0.1014292</v>
      </c>
      <c r="U5580">
        <v>0.1903687</v>
      </c>
      <c r="V5580">
        <v>-3.4523249999999998E-2</v>
      </c>
      <c r="W5580">
        <v>6.2681879999999995E-2</v>
      </c>
      <c r="X5580">
        <v>0.99743630000000005</v>
      </c>
      <c r="Y5580">
        <v>2.2317279999999998E-2</v>
      </c>
      <c r="Z5580">
        <v>-1.0008930000000001E-3</v>
      </c>
      <c r="AA5580">
        <v>0.99975040000000004</v>
      </c>
      <c r="AB5580">
        <v>53</v>
      </c>
      <c r="AC5580">
        <v>-32.553199999999997</v>
      </c>
      <c r="AD5580">
        <v>-1.109371115154</v>
      </c>
      <c r="AE5580">
        <v>2.0681999999999898</v>
      </c>
      <c r="AF5580">
        <v>0.73434503880145596</v>
      </c>
      <c r="AG5580">
        <v>-1.109371115154</v>
      </c>
      <c r="AH5580">
        <v>32.572870219764802</v>
      </c>
      <c r="AI5580">
        <v>91.950138095626201</v>
      </c>
      <c r="AJ5580">
        <v>88.708503581176601</v>
      </c>
      <c r="AK5580">
        <v>32.600028240183903</v>
      </c>
      <c r="AL5580">
        <v>86.406236953995403</v>
      </c>
      <c r="AM5580">
        <v>91.982329295986901</v>
      </c>
      <c r="AN5580">
        <v>1.00000002271429</v>
      </c>
    </row>
    <row r="5581" spans="1:40" x14ac:dyDescent="0.25">
      <c r="A5581" t="str">
        <f>"20190312172228066"</f>
        <v>20190312172228066</v>
      </c>
      <c r="B5581" t="str">
        <f>"1552382548056358"</f>
        <v>1552382548056358</v>
      </c>
      <c r="C5581" t="s">
        <v>40</v>
      </c>
      <c r="D5581">
        <v>3.2771379999999999</v>
      </c>
      <c r="E5581">
        <v>0.51159069999999995</v>
      </c>
      <c r="F5581" t="s">
        <v>42</v>
      </c>
      <c r="G5581">
        <v>-399.85390000000001</v>
      </c>
      <c r="H5581" s="1">
        <v>-1.178413E-6</v>
      </c>
      <c r="I5581">
        <v>143.8759</v>
      </c>
      <c r="J5581">
        <v>-365.7919</v>
      </c>
      <c r="K5581">
        <v>1.1094839999999999</v>
      </c>
      <c r="L5581">
        <v>142.25620000000001</v>
      </c>
      <c r="M5581">
        <v>-0.99911859999999997</v>
      </c>
      <c r="N5581">
        <v>0</v>
      </c>
      <c r="O5581">
        <v>4.0356320000000001E-2</v>
      </c>
      <c r="P5581">
        <v>-0.99864640000000005</v>
      </c>
      <c r="Q5581">
        <v>5.181728E-2</v>
      </c>
      <c r="R5581">
        <v>4.4860459999999996E-3</v>
      </c>
      <c r="S5581">
        <v>-3.008057</v>
      </c>
      <c r="T5581">
        <v>-9.6813919999999998E-2</v>
      </c>
      <c r="U5581">
        <v>0.1427765</v>
      </c>
      <c r="V5581">
        <v>-3.5902530000000002E-2</v>
      </c>
      <c r="W5581">
        <v>6.32934E-2</v>
      </c>
      <c r="X5581">
        <v>0.99734900000000004</v>
      </c>
      <c r="Y5581">
        <v>7.0762359999999996E-3</v>
      </c>
      <c r="Z5581">
        <v>-1.1835280000000001E-3</v>
      </c>
      <c r="AA5581">
        <v>0.99997429999999998</v>
      </c>
      <c r="AB5581">
        <v>53</v>
      </c>
      <c r="AC5581">
        <v>-34.061999999999998</v>
      </c>
      <c r="AD5581">
        <v>-1.109485178413</v>
      </c>
      <c r="AE5581">
        <v>1.6196999999999899</v>
      </c>
      <c r="AF5581">
        <v>0.24341400477987499</v>
      </c>
      <c r="AG5581">
        <v>-1.109485178413</v>
      </c>
      <c r="AH5581">
        <v>34.063558396966798</v>
      </c>
      <c r="AI5581">
        <v>91.865475444760193</v>
      </c>
      <c r="AJ5581">
        <v>89.590578365142903</v>
      </c>
      <c r="AK5581">
        <v>34.082491376107001</v>
      </c>
      <c r="AL5581">
        <v>86.371129778791499</v>
      </c>
      <c r="AM5581">
        <v>92.061640992607494</v>
      </c>
      <c r="AN5581">
        <v>1.00000003697247</v>
      </c>
    </row>
    <row r="5582" spans="1:40" x14ac:dyDescent="0.25">
      <c r="A5582" t="str">
        <f>"20190312172228078"</f>
        <v>20190312172228078</v>
      </c>
      <c r="B5582" t="str">
        <f>"1552382548075878"</f>
        <v>1552382548075878</v>
      </c>
      <c r="C5582" t="s">
        <v>40</v>
      </c>
      <c r="D5582">
        <v>3.2848269999999902</v>
      </c>
      <c r="E5582">
        <v>0.50983290000000003</v>
      </c>
      <c r="F5582" t="s">
        <v>62</v>
      </c>
      <c r="G5582">
        <v>-401.05680000000001</v>
      </c>
      <c r="H5582" s="1">
        <v>-7.4532979999999998E-6</v>
      </c>
      <c r="I5582">
        <v>143.55459999999999</v>
      </c>
      <c r="J5582">
        <v>-366.10289999999998</v>
      </c>
      <c r="K5582">
        <v>1.1095710000000001</v>
      </c>
      <c r="L5582">
        <v>142.26859999999999</v>
      </c>
      <c r="M5582">
        <v>-0.99913609999999997</v>
      </c>
      <c r="N5582">
        <v>0</v>
      </c>
      <c r="O5582">
        <v>3.9902609999999998E-2</v>
      </c>
      <c r="P5582">
        <v>-0.99863109999999999</v>
      </c>
      <c r="Q5582">
        <v>5.2220059999999999E-2</v>
      </c>
      <c r="R5582">
        <v>3.0073330000000001E-3</v>
      </c>
      <c r="S5582">
        <v>-3.0084840000000002</v>
      </c>
      <c r="T5582">
        <v>-9.4651819999999998E-2</v>
      </c>
      <c r="U5582">
        <v>0.1107635</v>
      </c>
      <c r="V5582">
        <v>-3.6939630000000001E-2</v>
      </c>
      <c r="W5582">
        <v>6.3747380000000006E-2</v>
      </c>
      <c r="X5582">
        <v>0.99728209999999995</v>
      </c>
      <c r="Y5582">
        <v>-3.09421E-3</v>
      </c>
      <c r="Z5582">
        <v>-1.3029160000000001E-3</v>
      </c>
      <c r="AA5582">
        <v>0.9999943</v>
      </c>
      <c r="AB5582">
        <v>53</v>
      </c>
      <c r="AC5582">
        <v>-34.953899999999997</v>
      </c>
      <c r="AD5582">
        <v>-1.10957845329799</v>
      </c>
      <c r="AE5582">
        <v>1.286</v>
      </c>
      <c r="AF5582">
        <v>-0.109759768774725</v>
      </c>
      <c r="AG5582">
        <v>-1.10957845329799</v>
      </c>
      <c r="AH5582">
        <v>34.942213112226803</v>
      </c>
      <c r="AI5582">
        <v>91.818788445779504</v>
      </c>
      <c r="AJ5582">
        <v>90.179975744731905</v>
      </c>
      <c r="AK5582">
        <v>34.959998122584899</v>
      </c>
      <c r="AL5582">
        <v>86.345065600131903</v>
      </c>
      <c r="AM5582">
        <v>92.121283199615604</v>
      </c>
      <c r="AN5582">
        <v>0.99999992585090203</v>
      </c>
    </row>
    <row r="5583" spans="1:40" x14ac:dyDescent="0.25">
      <c r="A5583" t="str">
        <f>"20190312172228094"</f>
        <v>20190312172228094</v>
      </c>
      <c r="B5583" t="str">
        <f>"1552382548085638"</f>
        <v>1552382548085638</v>
      </c>
      <c r="C5583" t="s">
        <v>40</v>
      </c>
      <c r="D5583">
        <v>3.2578369999999999</v>
      </c>
      <c r="E5583">
        <v>0.50942089999999995</v>
      </c>
      <c r="F5583" t="s">
        <v>62</v>
      </c>
      <c r="G5583">
        <v>-401.77760000000001</v>
      </c>
      <c r="H5583" s="1">
        <v>-7.6945079999999907E-6</v>
      </c>
      <c r="I5583">
        <v>143.36369999999999</v>
      </c>
      <c r="J5583">
        <v>-366.46730000000002</v>
      </c>
      <c r="K5583">
        <v>1.1096699999999999</v>
      </c>
      <c r="L5583">
        <v>142.28270000000001</v>
      </c>
      <c r="M5583">
        <v>-0.99915900000000002</v>
      </c>
      <c r="N5583">
        <v>0</v>
      </c>
      <c r="O5583">
        <v>3.9306760000000003E-2</v>
      </c>
      <c r="P5583">
        <v>-0.99859010000000004</v>
      </c>
      <c r="Q5583">
        <v>5.3086319999999999E-2</v>
      </c>
      <c r="R5583" s="1">
        <v>4.8908639999999997E-5</v>
      </c>
      <c r="S5583">
        <v>-3.0086979999999999</v>
      </c>
      <c r="T5583">
        <v>-9.3578460000000002E-2</v>
      </c>
      <c r="U5583">
        <v>9.2361449999999998E-2</v>
      </c>
      <c r="V5583">
        <v>-3.93149E-2</v>
      </c>
      <c r="W5583">
        <v>6.4667199999999994E-2</v>
      </c>
      <c r="X5583">
        <v>0.99713209999999997</v>
      </c>
      <c r="Y5583">
        <v>-8.6078200000000004E-3</v>
      </c>
      <c r="Z5583">
        <v>-1.3554229999999999E-3</v>
      </c>
      <c r="AA5583">
        <v>0.99996200000000002</v>
      </c>
      <c r="AB5583">
        <v>53</v>
      </c>
      <c r="AC5583">
        <v>-35.310299999999899</v>
      </c>
      <c r="AD5583">
        <v>-1.109677694508</v>
      </c>
      <c r="AE5583">
        <v>1.08099999999998</v>
      </c>
      <c r="AF5583">
        <v>-0.30756011701806302</v>
      </c>
      <c r="AG5583">
        <v>-1.109677694508</v>
      </c>
      <c r="AH5583">
        <v>35.290680425801703</v>
      </c>
      <c r="AI5583">
        <v>91.800942740162597</v>
      </c>
      <c r="AJ5583">
        <v>90.499323059776501</v>
      </c>
      <c r="AK5583">
        <v>35.309461943328103</v>
      </c>
      <c r="AL5583">
        <v>86.292254970619595</v>
      </c>
      <c r="AM5583">
        <v>92.257887064084997</v>
      </c>
      <c r="AN5583">
        <v>0.99999996648412903</v>
      </c>
    </row>
    <row r="5584" spans="1:40" x14ac:dyDescent="0.25">
      <c r="A5584" t="str">
        <f>"20190312172228115"</f>
        <v>20190312172228115</v>
      </c>
      <c r="B5584" t="str">
        <f>"1552382548106134"</f>
        <v>1552382548106134</v>
      </c>
      <c r="C5584" t="s">
        <v>40</v>
      </c>
      <c r="D5584">
        <v>3.4215689999999999</v>
      </c>
      <c r="E5584">
        <v>0.50887929999999904</v>
      </c>
      <c r="F5584" t="s">
        <v>62</v>
      </c>
      <c r="G5584">
        <v>-403.17849999999999</v>
      </c>
      <c r="H5584" s="1">
        <v>-8.2740629999999997E-6</v>
      </c>
      <c r="I5584">
        <v>143.26230000000001</v>
      </c>
      <c r="J5584">
        <v>-366.9776</v>
      </c>
      <c r="K5584">
        <v>1.109809</v>
      </c>
      <c r="L5584">
        <v>142.3022</v>
      </c>
      <c r="M5584">
        <v>-0.99919329999999995</v>
      </c>
      <c r="N5584">
        <v>0</v>
      </c>
      <c r="O5584">
        <v>3.8398010000000003E-2</v>
      </c>
      <c r="P5584">
        <v>-0.99853309999999995</v>
      </c>
      <c r="Q5584">
        <v>5.4022359999999998E-2</v>
      </c>
      <c r="R5584">
        <v>-3.6695159999999998E-3</v>
      </c>
      <c r="S5584">
        <v>-3.009064</v>
      </c>
      <c r="T5584">
        <v>-9.0955850000000005E-2</v>
      </c>
      <c r="U5584">
        <v>8.0291749999999995E-2</v>
      </c>
      <c r="V5584">
        <v>-4.2142909999999999E-2</v>
      </c>
      <c r="W5584">
        <v>6.5672610000000006E-2</v>
      </c>
      <c r="X5584">
        <v>0.99695089999999997</v>
      </c>
      <c r="Y5584">
        <v>-1.171001E-2</v>
      </c>
      <c r="Z5584">
        <v>-1.33682299999999E-3</v>
      </c>
      <c r="AA5584">
        <v>0.9999306</v>
      </c>
      <c r="AB5584">
        <v>53</v>
      </c>
      <c r="AC5584">
        <v>-36.200899999999898</v>
      </c>
      <c r="AD5584">
        <v>-1.1098172740629999</v>
      </c>
      <c r="AE5584">
        <v>0.96010000000001094</v>
      </c>
      <c r="AF5584">
        <v>-0.43034265057674098</v>
      </c>
      <c r="AG5584">
        <v>-1.1098172740629999</v>
      </c>
      <c r="AH5584">
        <v>36.177089923692201</v>
      </c>
      <c r="AI5584">
        <v>91.757007419183694</v>
      </c>
      <c r="AJ5584">
        <v>90.681526755738105</v>
      </c>
      <c r="AK5584">
        <v>36.196667312414696</v>
      </c>
      <c r="AL5584">
        <v>86.234526648300104</v>
      </c>
      <c r="AM5584">
        <v>92.420554705896805</v>
      </c>
      <c r="AN5584">
        <v>1.0000000067891399</v>
      </c>
    </row>
    <row r="5585" spans="1:40" x14ac:dyDescent="0.25">
      <c r="A5585" t="str">
        <f>"20190312172228138"</f>
        <v>20190312172228138</v>
      </c>
      <c r="B5585" t="str">
        <f>"1552382548125654"</f>
        <v>1552382548125654</v>
      </c>
      <c r="C5585" t="s">
        <v>40</v>
      </c>
      <c r="D5585">
        <v>3.2730090000000001</v>
      </c>
      <c r="E5585">
        <v>0.50886989999999999</v>
      </c>
      <c r="F5585" t="s">
        <v>62</v>
      </c>
      <c r="G5585">
        <v>-403.8417</v>
      </c>
      <c r="H5585" s="1">
        <v>-8.5009099999999992E-6</v>
      </c>
      <c r="I5585">
        <v>143.0986</v>
      </c>
      <c r="J5585">
        <v>-367.49860000000001</v>
      </c>
      <c r="K5585">
        <v>1.1099460000000001</v>
      </c>
      <c r="L5585">
        <v>142.32159999999999</v>
      </c>
      <c r="M5585">
        <v>-0.99923079999999997</v>
      </c>
      <c r="N5585">
        <v>0</v>
      </c>
      <c r="O5585">
        <v>3.7382140000000001E-2</v>
      </c>
      <c r="P5585">
        <v>-0.99847129999999995</v>
      </c>
      <c r="Q5585">
        <v>5.4721810000000003E-2</v>
      </c>
      <c r="R5585">
        <v>-7.798073E-3</v>
      </c>
      <c r="S5585">
        <v>-3.0095830000000001</v>
      </c>
      <c r="T5585">
        <v>-9.0605379999999999E-2</v>
      </c>
      <c r="U5585">
        <v>6.5017699999999998E-2</v>
      </c>
      <c r="V5585">
        <v>-4.5274120000000001E-2</v>
      </c>
      <c r="W5585">
        <v>6.643578E-2</v>
      </c>
      <c r="X5585">
        <v>0.99676310000000001</v>
      </c>
      <c r="Y5585">
        <v>-1.5768569999999999E-2</v>
      </c>
      <c r="Z5585">
        <v>-1.362076E-3</v>
      </c>
      <c r="AA5585">
        <v>0.99987470000000001</v>
      </c>
      <c r="AB5585">
        <v>53</v>
      </c>
      <c r="AC5585">
        <v>-36.3430999999999</v>
      </c>
      <c r="AD5585">
        <v>-1.10995450090999</v>
      </c>
      <c r="AE5585">
        <v>0.77700000000001501</v>
      </c>
      <c r="AF5585">
        <v>-0.58167907461659496</v>
      </c>
      <c r="AG5585">
        <v>-1.10995450090999</v>
      </c>
      <c r="AH5585">
        <v>36.312886688787103</v>
      </c>
      <c r="AI5585">
        <v>91.750556603368295</v>
      </c>
      <c r="AJ5585">
        <v>90.917715690609398</v>
      </c>
      <c r="AK5585">
        <v>36.334502737929803</v>
      </c>
      <c r="AL5585">
        <v>86.190704755695194</v>
      </c>
      <c r="AM5585">
        <v>92.600652365982697</v>
      </c>
      <c r="AN5585">
        <v>1.0000000681637899</v>
      </c>
    </row>
    <row r="5586" spans="1:40" x14ac:dyDescent="0.25">
      <c r="A5586" t="str">
        <f>"20190312172228160"</f>
        <v>20190312172228160</v>
      </c>
      <c r="B5586" t="str">
        <f>"1552382548155910"</f>
        <v>1552382548155910</v>
      </c>
      <c r="C5586" t="s">
        <v>40</v>
      </c>
      <c r="D5586">
        <v>3.266832</v>
      </c>
      <c r="E5586">
        <v>0.50905579999999995</v>
      </c>
      <c r="F5586" t="s">
        <v>62</v>
      </c>
      <c r="G5586">
        <v>-404.33519999999999</v>
      </c>
      <c r="H5586" s="1">
        <v>-8.6647410000000007E-6</v>
      </c>
      <c r="I5586">
        <v>142.9648</v>
      </c>
      <c r="J5586">
        <v>-368.03199999999998</v>
      </c>
      <c r="K5586">
        <v>1.110079</v>
      </c>
      <c r="L5586">
        <v>142.34100000000001</v>
      </c>
      <c r="M5586">
        <v>-0.99927089999999996</v>
      </c>
      <c r="N5586">
        <v>0</v>
      </c>
      <c r="O5586">
        <v>3.6269849999999999E-2</v>
      </c>
      <c r="P5586">
        <v>-0.99839429999999996</v>
      </c>
      <c r="Q5586">
        <v>5.5337730000000002E-2</v>
      </c>
      <c r="R5586">
        <v>-1.2124960000000001E-2</v>
      </c>
      <c r="S5586">
        <v>-3.0100099999999999</v>
      </c>
      <c r="T5586">
        <v>-9.0697050000000001E-2</v>
      </c>
      <c r="U5586">
        <v>5.2551269999999997E-2</v>
      </c>
      <c r="V5586">
        <v>-4.8506069999999998E-2</v>
      </c>
      <c r="W5586">
        <v>6.7110909999999996E-2</v>
      </c>
      <c r="X5586">
        <v>0.99656579999999995</v>
      </c>
      <c r="Y5586">
        <v>-1.879724E-2</v>
      </c>
      <c r="Z5586">
        <v>-1.375469E-3</v>
      </c>
      <c r="AA5586">
        <v>0.9998224</v>
      </c>
      <c r="AB5586">
        <v>53</v>
      </c>
      <c r="AC5586">
        <v>-36.303199999999997</v>
      </c>
      <c r="AD5586">
        <v>-1.1100876647409901</v>
      </c>
      <c r="AE5586">
        <v>0.62379999999998803</v>
      </c>
      <c r="AF5586">
        <v>-0.69276815645339096</v>
      </c>
      <c r="AG5586">
        <v>-1.1100876647409901</v>
      </c>
      <c r="AH5586">
        <v>36.2680353904545</v>
      </c>
      <c r="AI5586">
        <v>91.752835445445101</v>
      </c>
      <c r="AJ5586">
        <v>91.0942932180659</v>
      </c>
      <c r="AK5586">
        <v>36.291632829417701</v>
      </c>
      <c r="AL5586">
        <v>86.151936076082606</v>
      </c>
      <c r="AM5586">
        <v>92.786571136013194</v>
      </c>
      <c r="AN5586">
        <v>1.0000000533987501</v>
      </c>
    </row>
    <row r="5587" spans="1:40" x14ac:dyDescent="0.25">
      <c r="A5587" t="str">
        <f>"20190312172228176"</f>
        <v>20190312172228176</v>
      </c>
      <c r="B5587" t="str">
        <f>"1552382548165672"</f>
        <v>1552382548165672</v>
      </c>
      <c r="C5587" t="s">
        <v>40</v>
      </c>
      <c r="D5587">
        <v>3.2812619999999999</v>
      </c>
      <c r="E5587">
        <v>0.5091038</v>
      </c>
      <c r="F5587" t="s">
        <v>62</v>
      </c>
      <c r="G5587">
        <v>-405.55160000000001</v>
      </c>
      <c r="H5587" s="1">
        <v>-9.265806E-6</v>
      </c>
      <c r="I5587">
        <v>142.85599999999999</v>
      </c>
      <c r="J5587">
        <v>-368.41789999999997</v>
      </c>
      <c r="K5587">
        <v>1.110163</v>
      </c>
      <c r="L5587">
        <v>142.3546</v>
      </c>
      <c r="M5587">
        <v>-0.99930039999999998</v>
      </c>
      <c r="N5587">
        <v>0</v>
      </c>
      <c r="O5587">
        <v>3.5427970000000003E-2</v>
      </c>
      <c r="P5587">
        <v>-0.99835269999999998</v>
      </c>
      <c r="Q5587">
        <v>5.5506050000000001E-2</v>
      </c>
      <c r="R5587">
        <v>-1.453628E-2</v>
      </c>
      <c r="S5587">
        <v>-3.0102540000000002</v>
      </c>
      <c r="T5587">
        <v>-8.9063879999999998E-2</v>
      </c>
      <c r="U5587">
        <v>4.1320799999999998E-2</v>
      </c>
      <c r="V5587">
        <v>-5.0087710000000001E-2</v>
      </c>
      <c r="W5587">
        <v>6.7318349999999999E-2</v>
      </c>
      <c r="X5587">
        <v>0.99647350000000001</v>
      </c>
      <c r="Y5587">
        <v>-2.1685429999999999E-2</v>
      </c>
      <c r="Z5587">
        <v>-1.3684859999999999E-3</v>
      </c>
      <c r="AA5587">
        <v>0.99976390000000004</v>
      </c>
      <c r="AB5587">
        <v>53</v>
      </c>
      <c r="AC5587">
        <v>-37.133699999999997</v>
      </c>
      <c r="AD5587">
        <v>-1.110172265806</v>
      </c>
      <c r="AE5587">
        <v>0.50139999999998897</v>
      </c>
      <c r="AF5587">
        <v>-0.81385356927938302</v>
      </c>
      <c r="AG5587">
        <v>-1.110172265806</v>
      </c>
      <c r="AH5587">
        <v>37.095000409376901</v>
      </c>
      <c r="AI5587">
        <v>91.713813570955494</v>
      </c>
      <c r="AJ5587">
        <v>91.256851178039994</v>
      </c>
      <c r="AK5587">
        <v>37.120531993273801</v>
      </c>
      <c r="AL5587">
        <v>86.140023446353396</v>
      </c>
      <c r="AM5587">
        <v>92.877548795364902</v>
      </c>
      <c r="AN5587">
        <v>0.99999998757100805</v>
      </c>
    </row>
    <row r="5588" spans="1:40" x14ac:dyDescent="0.25">
      <c r="A5588" t="str">
        <f>"20190312172228193"</f>
        <v>20190312172228193</v>
      </c>
      <c r="B5588" t="str">
        <f>"1552382548186165"</f>
        <v>1552382548186165</v>
      </c>
      <c r="C5588" t="s">
        <v>40</v>
      </c>
      <c r="D5588">
        <v>3.2831130000000002</v>
      </c>
      <c r="E5588">
        <v>0.50932569999999999</v>
      </c>
      <c r="F5588" t="s">
        <v>62</v>
      </c>
      <c r="G5588">
        <v>-406.04230000000001</v>
      </c>
      <c r="H5588" s="1">
        <v>-9.5423470000000003E-6</v>
      </c>
      <c r="I5588">
        <v>142.78559999999999</v>
      </c>
      <c r="J5588">
        <v>-368.81599999999997</v>
      </c>
      <c r="K5588">
        <v>1.1102459999999901</v>
      </c>
      <c r="L5588">
        <v>142.3682</v>
      </c>
      <c r="M5588">
        <v>-0.99933090000000002</v>
      </c>
      <c r="N5588">
        <v>0</v>
      </c>
      <c r="O5588">
        <v>3.4539309999999997E-2</v>
      </c>
      <c r="P5588">
        <v>-0.99824179999999996</v>
      </c>
      <c r="Q5588">
        <v>5.6326349999999997E-2</v>
      </c>
      <c r="R5588">
        <v>-1.8464350000000001E-2</v>
      </c>
      <c r="S5588">
        <v>-3.0103759999999999</v>
      </c>
      <c r="T5588">
        <v>-8.8826299999999997E-2</v>
      </c>
      <c r="U5588">
        <v>3.4484859999999999E-2</v>
      </c>
      <c r="V5588">
        <v>-5.313727E-2</v>
      </c>
      <c r="W5588">
        <v>6.8169939999999998E-2</v>
      </c>
      <c r="X5588">
        <v>0.99625770000000002</v>
      </c>
      <c r="Y5588">
        <v>-2.3066730000000001E-2</v>
      </c>
      <c r="Z5588">
        <v>-1.3589839999999999E-3</v>
      </c>
      <c r="AA5588">
        <v>0.99973299999999998</v>
      </c>
      <c r="AB5588">
        <v>53</v>
      </c>
      <c r="AC5588">
        <v>-37.226300000000002</v>
      </c>
      <c r="AD5588">
        <v>-1.11025554234699</v>
      </c>
      <c r="AE5588">
        <v>0.417399999999986</v>
      </c>
      <c r="AF5588">
        <v>-0.86794095344322497</v>
      </c>
      <c r="AG5588">
        <v>-1.11025554234699</v>
      </c>
      <c r="AH5588">
        <v>37.185430793225102</v>
      </c>
      <c r="AI5588">
        <v>91.709722254063607</v>
      </c>
      <c r="AJ5588">
        <v>91.337091559457093</v>
      </c>
      <c r="AK5588">
        <v>37.212125068930298</v>
      </c>
      <c r="AL5588">
        <v>86.091118857283405</v>
      </c>
      <c r="AM5588">
        <v>93.053084723379499</v>
      </c>
      <c r="AN5588">
        <v>1.00000005749597</v>
      </c>
    </row>
    <row r="5589" spans="1:40" x14ac:dyDescent="0.25">
      <c r="A5589" t="str">
        <f>"20190312172228207"</f>
        <v>20190312172228207</v>
      </c>
      <c r="B5589" t="str">
        <f>"1552382548195926"</f>
        <v>1552382548195926</v>
      </c>
      <c r="C5589" t="s">
        <v>40</v>
      </c>
      <c r="D5589">
        <v>3.2680039999999999</v>
      </c>
      <c r="E5589">
        <v>0.50953749999999998</v>
      </c>
      <c r="F5589" t="s">
        <v>62</v>
      </c>
      <c r="G5589">
        <v>-406.8603</v>
      </c>
      <c r="H5589" s="1">
        <v>-1.000807E-5</v>
      </c>
      <c r="I5589">
        <v>142.6798</v>
      </c>
      <c r="J5589">
        <v>-369.13909999999998</v>
      </c>
      <c r="K5589">
        <v>1.1103080000000001</v>
      </c>
      <c r="L5589">
        <v>142.37909999999999</v>
      </c>
      <c r="M5589">
        <v>-0.9993554</v>
      </c>
      <c r="N5589">
        <v>0</v>
      </c>
      <c r="O5589">
        <v>3.3806559999999999E-2</v>
      </c>
      <c r="P5589">
        <v>-0.99817290000000003</v>
      </c>
      <c r="Q5589">
        <v>5.6767669999999999E-2</v>
      </c>
      <c r="R5589">
        <v>-2.0707199999999999E-2</v>
      </c>
      <c r="S5589">
        <v>-3.0107119999999998</v>
      </c>
      <c r="T5589">
        <v>-8.7862490000000001E-2</v>
      </c>
      <c r="U5589">
        <v>2.4658200000000002E-2</v>
      </c>
      <c r="V5589">
        <v>-5.4656089999999997E-2</v>
      </c>
      <c r="W5589">
        <v>6.8637550000000006E-2</v>
      </c>
      <c r="X5589">
        <v>0.99614329999999995</v>
      </c>
      <c r="Y5589">
        <v>-2.5597410000000001E-2</v>
      </c>
      <c r="Z5589">
        <v>-1.35968E-3</v>
      </c>
      <c r="AA5589">
        <v>0.99967139999999999</v>
      </c>
      <c r="AB5589">
        <v>53</v>
      </c>
      <c r="AC5589">
        <v>-37.721200000000003</v>
      </c>
      <c r="AD5589">
        <v>-1.1103180080699999</v>
      </c>
      <c r="AE5589">
        <v>0.30070000000000602</v>
      </c>
      <c r="AF5589">
        <v>-0.97394517340252096</v>
      </c>
      <c r="AG5589">
        <v>-1.1103180080699999</v>
      </c>
      <c r="AH5589">
        <v>37.677159779090303</v>
      </c>
      <c r="AI5589">
        <v>91.687412335976006</v>
      </c>
      <c r="AJ5589">
        <v>91.480751836552002</v>
      </c>
      <c r="AK5589">
        <v>37.706096911493503</v>
      </c>
      <c r="AL5589">
        <v>86.064263405384906</v>
      </c>
      <c r="AM5589">
        <v>93.140538574336105</v>
      </c>
      <c r="AN5589">
        <v>0.99999993778948804</v>
      </c>
    </row>
    <row r="5590" spans="1:40" x14ac:dyDescent="0.25">
      <c r="A5590" t="str">
        <f>"20190312172228221"</f>
        <v>20190312172228221</v>
      </c>
      <c r="B5590" t="str">
        <f>"1552382548216422"</f>
        <v>1552382548216422</v>
      </c>
      <c r="C5590" t="s">
        <v>40</v>
      </c>
      <c r="D5590">
        <v>3.2840379999999998</v>
      </c>
      <c r="E5590">
        <v>0.50981750000000003</v>
      </c>
      <c r="F5590" t="s">
        <v>62</v>
      </c>
      <c r="G5590">
        <v>-407.55419999999998</v>
      </c>
      <c r="H5590" s="1">
        <v>-1.041866E-5</v>
      </c>
      <c r="I5590">
        <v>142.6277</v>
      </c>
      <c r="J5590">
        <v>-369.44499999999999</v>
      </c>
      <c r="K5590">
        <v>1.1103609999999999</v>
      </c>
      <c r="L5590">
        <v>142.38919999999999</v>
      </c>
      <c r="M5590">
        <v>-0.9993784</v>
      </c>
      <c r="N5590">
        <v>0</v>
      </c>
      <c r="O5590">
        <v>3.3106469999999999E-2</v>
      </c>
      <c r="P5590">
        <v>-0.99809490000000001</v>
      </c>
      <c r="Q5590">
        <v>5.7281770000000003E-2</v>
      </c>
      <c r="R5590">
        <v>-2.2919200000000001E-2</v>
      </c>
      <c r="S5590">
        <v>-3.0108640000000002</v>
      </c>
      <c r="T5590">
        <v>-8.7023500000000004E-2</v>
      </c>
      <c r="U5590">
        <v>1.9485470000000001E-2</v>
      </c>
      <c r="V5590">
        <v>-5.6175839999999998E-2</v>
      </c>
      <c r="W5590">
        <v>6.9174620000000006E-2</v>
      </c>
      <c r="X5590">
        <v>0.99602170000000001</v>
      </c>
      <c r="Y5590">
        <v>-2.6615239999999998E-2</v>
      </c>
      <c r="Z5590">
        <v>-1.34113299999999E-3</v>
      </c>
      <c r="AA5590">
        <v>0.99964489999999995</v>
      </c>
      <c r="AB5590">
        <v>53</v>
      </c>
      <c r="AC5590">
        <v>-38.109199999999902</v>
      </c>
      <c r="AD5590">
        <v>-1.11037141866</v>
      </c>
      <c r="AE5590">
        <v>0.238500000000016</v>
      </c>
      <c r="AF5590">
        <v>-1.02251642376692</v>
      </c>
      <c r="AG5590">
        <v>-1.11037141866</v>
      </c>
      <c r="AH5590">
        <v>38.063890421784301</v>
      </c>
      <c r="AI5590">
        <v>91.670313663687097</v>
      </c>
      <c r="AJ5590">
        <v>91.538775689598296</v>
      </c>
      <c r="AK5590">
        <v>38.093808139458297</v>
      </c>
      <c r="AL5590">
        <v>86.033418650414006</v>
      </c>
      <c r="AM5590">
        <v>93.2280744771153</v>
      </c>
      <c r="AN5590">
        <v>1.00000003996136</v>
      </c>
    </row>
    <row r="5591" spans="1:40" x14ac:dyDescent="0.25">
      <c r="A5591" t="str">
        <f>"20190312172228233"</f>
        <v>20190312172228233</v>
      </c>
      <c r="B5591" t="str">
        <f>"1552382548226182"</f>
        <v>1552382548226182</v>
      </c>
      <c r="C5591" t="s">
        <v>40</v>
      </c>
      <c r="D5591">
        <v>3.2595649999999998</v>
      </c>
      <c r="E5591">
        <v>0.50996969999999997</v>
      </c>
      <c r="F5591" t="s">
        <v>62</v>
      </c>
      <c r="G5591">
        <v>-408.32760000000002</v>
      </c>
      <c r="H5591" s="1">
        <v>-1.088154E-5</v>
      </c>
      <c r="I5591">
        <v>142.58250000000001</v>
      </c>
      <c r="J5591">
        <v>-369.745</v>
      </c>
      <c r="K5591">
        <v>1.110412</v>
      </c>
      <c r="L5591">
        <v>142.39879999999999</v>
      </c>
      <c r="M5591">
        <v>-0.99940090000000004</v>
      </c>
      <c r="N5591">
        <v>0</v>
      </c>
      <c r="O5591">
        <v>3.2410439999999999E-2</v>
      </c>
      <c r="P5591">
        <v>-0.9980156</v>
      </c>
      <c r="Q5591">
        <v>5.781377E-2</v>
      </c>
      <c r="R5591">
        <v>-2.4953380000000001E-2</v>
      </c>
      <c r="S5591">
        <v>-3.0110169999999998</v>
      </c>
      <c r="T5591">
        <v>-8.5985779999999998E-2</v>
      </c>
      <c r="U5591">
        <v>1.496887E-2</v>
      </c>
      <c r="V5591">
        <v>-5.7520960000000003E-2</v>
      </c>
      <c r="W5591">
        <v>6.9728789999999999E-2</v>
      </c>
      <c r="X5591">
        <v>0.99590619999999996</v>
      </c>
      <c r="Y5591">
        <v>-2.7419349999999999E-2</v>
      </c>
      <c r="Z5591">
        <v>-1.316706E-3</v>
      </c>
      <c r="AA5591">
        <v>0.99962320000000005</v>
      </c>
      <c r="AB5591">
        <v>53</v>
      </c>
      <c r="AC5591">
        <v>-38.582599999999999</v>
      </c>
      <c r="AD5591">
        <v>-1.1104228815399999</v>
      </c>
      <c r="AE5591">
        <v>0.18370000000001599</v>
      </c>
      <c r="AF5591">
        <v>-1.06608470733738</v>
      </c>
      <c r="AG5591">
        <v>-1.1104228815399999</v>
      </c>
      <c r="AH5591">
        <v>38.536362237078798</v>
      </c>
      <c r="AI5591">
        <v>91.649886742036202</v>
      </c>
      <c r="AJ5591">
        <v>91.584648252034796</v>
      </c>
      <c r="AK5591">
        <v>38.567094653945901</v>
      </c>
      <c r="AL5591">
        <v>86.001589881601106</v>
      </c>
      <c r="AM5591">
        <v>93.305583218259102</v>
      </c>
      <c r="AN5591">
        <v>0.99999996209631203</v>
      </c>
    </row>
    <row r="5592" spans="1:40" x14ac:dyDescent="0.25">
      <c r="A5592" t="str">
        <f>"20190312172228245"</f>
        <v>20190312172228245</v>
      </c>
      <c r="B5592" t="str">
        <f>"1552382548235942"</f>
        <v>1552382548235942</v>
      </c>
      <c r="C5592" t="s">
        <v>40</v>
      </c>
      <c r="D5592">
        <v>3.263709</v>
      </c>
      <c r="E5592">
        <v>0.51018050000000004</v>
      </c>
      <c r="F5592" t="s">
        <v>62</v>
      </c>
      <c r="G5592">
        <v>-409.18299999999999</v>
      </c>
      <c r="H5592" s="1">
        <v>-1.13252E-5</v>
      </c>
      <c r="I5592">
        <v>142.53190000000001</v>
      </c>
      <c r="J5592">
        <v>-370.03030000000001</v>
      </c>
      <c r="K5592">
        <v>1.110455</v>
      </c>
      <c r="L5592">
        <v>142.40780000000001</v>
      </c>
      <c r="M5592">
        <v>-0.99942180000000003</v>
      </c>
      <c r="N5592">
        <v>0</v>
      </c>
      <c r="O5592">
        <v>3.1746030000000001E-2</v>
      </c>
      <c r="P5592">
        <v>-0.99794519999999998</v>
      </c>
      <c r="Q5592">
        <v>5.8036570000000003E-2</v>
      </c>
      <c r="R5592">
        <v>-2.715182E-2</v>
      </c>
      <c r="S5592">
        <v>-3.0111080000000001</v>
      </c>
      <c r="T5592">
        <v>-8.4781410000000001E-2</v>
      </c>
      <c r="U5592">
        <v>1.0162350000000001E-2</v>
      </c>
      <c r="V5592">
        <v>-5.9060889999999998E-2</v>
      </c>
      <c r="W5592">
        <v>6.9971859999999997E-2</v>
      </c>
      <c r="X5592">
        <v>0.99579910000000005</v>
      </c>
      <c r="Y5592">
        <v>-2.8351149999999999E-2</v>
      </c>
      <c r="Z5592">
        <v>-1.2926599999999999E-3</v>
      </c>
      <c r="AA5592">
        <v>0.99959719999999996</v>
      </c>
      <c r="AB5592">
        <v>53</v>
      </c>
      <c r="AC5592">
        <v>-39.152700000000003</v>
      </c>
      <c r="AD5592">
        <v>-1.1104663252</v>
      </c>
      <c r="AE5592">
        <v>0.124099999999998</v>
      </c>
      <c r="AF5592">
        <v>-1.11809807438805</v>
      </c>
      <c r="AG5592">
        <v>-1.1104663252</v>
      </c>
      <c r="AH5592">
        <v>39.105445612676597</v>
      </c>
      <c r="AI5592">
        <v>91.625910903966897</v>
      </c>
      <c r="AJ5592">
        <v>91.637747669651304</v>
      </c>
      <c r="AK5592">
        <v>39.137183794051502</v>
      </c>
      <c r="AL5592">
        <v>85.987629244182699</v>
      </c>
      <c r="AM5592">
        <v>93.394239069770407</v>
      </c>
      <c r="AN5592">
        <v>1.0000000487401199</v>
      </c>
    </row>
    <row r="5593" spans="1:40" x14ac:dyDescent="0.25">
      <c r="A5593" t="str">
        <f>"20190312172228260"</f>
        <v>20190312172228260</v>
      </c>
      <c r="B5593" t="str">
        <f>"1552382548256438"</f>
        <v>1552382548256438</v>
      </c>
      <c r="C5593" t="s">
        <v>40</v>
      </c>
      <c r="D5593">
        <v>3.2620520000000002</v>
      </c>
      <c r="E5593">
        <v>0.51048590000000005</v>
      </c>
      <c r="F5593" t="s">
        <v>62</v>
      </c>
      <c r="G5593">
        <v>-409.53140000000002</v>
      </c>
      <c r="H5593" s="1">
        <v>-1.1487179999999999E-5</v>
      </c>
      <c r="I5593">
        <v>142.47579999999999</v>
      </c>
      <c r="J5593">
        <v>-370.38850000000002</v>
      </c>
      <c r="K5593">
        <v>1.1105080000000001</v>
      </c>
      <c r="L5593">
        <v>142.41890000000001</v>
      </c>
      <c r="M5593">
        <v>-0.99944750000000004</v>
      </c>
      <c r="N5593">
        <v>0</v>
      </c>
      <c r="O5593">
        <v>3.0907319999999999E-2</v>
      </c>
      <c r="P5593">
        <v>-0.99779209999999996</v>
      </c>
      <c r="Q5593">
        <v>5.8733239999999999E-2</v>
      </c>
      <c r="R5593">
        <v>-3.1003429999999998E-2</v>
      </c>
      <c r="S5593">
        <v>-3.0112299999999999</v>
      </c>
      <c r="T5593">
        <v>-8.4652539999999998E-2</v>
      </c>
      <c r="U5593">
        <v>5.1879880000000001E-3</v>
      </c>
      <c r="V5593">
        <v>-6.2079780000000001E-2</v>
      </c>
      <c r="W5593">
        <v>7.0687730000000004E-2</v>
      </c>
      <c r="X5593">
        <v>0.99556480000000003</v>
      </c>
      <c r="Y5593">
        <v>-2.91638E-2</v>
      </c>
      <c r="Z5593">
        <v>-1.2785069999999999E-3</v>
      </c>
      <c r="AA5593">
        <v>0.99957379999999996</v>
      </c>
      <c r="AB5593">
        <v>53</v>
      </c>
      <c r="AC5593">
        <v>-39.142899999999997</v>
      </c>
      <c r="AD5593">
        <v>-1.1105194871799999</v>
      </c>
      <c r="AE5593">
        <v>5.6899999999984602E-2</v>
      </c>
      <c r="AF5593">
        <v>-1.15209239899872</v>
      </c>
      <c r="AG5593">
        <v>-1.1105194871799999</v>
      </c>
      <c r="AH5593">
        <v>39.094488215477</v>
      </c>
      <c r="AI5593">
        <v>91.626402809759398</v>
      </c>
      <c r="AJ5593">
        <v>91.687985603243405</v>
      </c>
      <c r="AK5593">
        <v>39.127222994448601</v>
      </c>
      <c r="AL5593">
        <v>85.946510748989496</v>
      </c>
      <c r="AM5593">
        <v>93.568135380472796</v>
      </c>
      <c r="AN5593">
        <v>0.999999962628219</v>
      </c>
    </row>
    <row r="5594" spans="1:40" x14ac:dyDescent="0.25">
      <c r="A5594" t="str">
        <f>"20190312172228282"</f>
        <v>20190312172228282</v>
      </c>
      <c r="B5594" t="str">
        <f>"1552382548275957"</f>
        <v>1552382548275957</v>
      </c>
      <c r="C5594" t="s">
        <v>40</v>
      </c>
      <c r="D5594">
        <v>3.3061470000000002</v>
      </c>
      <c r="E5594">
        <v>0.51054100000000002</v>
      </c>
      <c r="F5594" t="s">
        <v>62</v>
      </c>
      <c r="G5594">
        <v>-410.3304</v>
      </c>
      <c r="H5594" s="1">
        <v>-1.1633780000000001E-5</v>
      </c>
      <c r="I5594">
        <v>142.36539999999999</v>
      </c>
      <c r="J5594">
        <v>-370.92039999999997</v>
      </c>
      <c r="K5594">
        <v>1.1105780000000001</v>
      </c>
      <c r="L5594">
        <v>142.43459999999999</v>
      </c>
      <c r="M5594">
        <v>-0.99948490000000001</v>
      </c>
      <c r="N5594">
        <v>0</v>
      </c>
      <c r="O5594">
        <v>2.9653430000000001E-2</v>
      </c>
      <c r="P5594">
        <v>-0.99763650000000004</v>
      </c>
      <c r="Q5594">
        <v>5.9044880000000001E-2</v>
      </c>
      <c r="R5594">
        <v>-3.5149189999999997E-2</v>
      </c>
      <c r="S5594">
        <v>-3.011444</v>
      </c>
      <c r="T5594">
        <v>-8.3728549999999999E-2</v>
      </c>
      <c r="U5594">
        <v>-4.0283200000000002E-3</v>
      </c>
      <c r="V5594">
        <v>-6.4980369999999996E-2</v>
      </c>
      <c r="W5594">
        <v>7.1034449999999999E-2</v>
      </c>
      <c r="X5594">
        <v>0.99535510000000005</v>
      </c>
      <c r="Y5594">
        <v>-3.096929E-2</v>
      </c>
      <c r="Z5594">
        <v>-1.254727E-3</v>
      </c>
      <c r="AA5594">
        <v>0.99951950000000001</v>
      </c>
      <c r="AB5594">
        <v>53</v>
      </c>
      <c r="AC5594">
        <v>-39.409999999999997</v>
      </c>
      <c r="AD5594">
        <v>-1.1105896337799901</v>
      </c>
      <c r="AE5594">
        <v>-6.9199999999995002E-2</v>
      </c>
      <c r="AF5594">
        <v>-1.2369169780365701</v>
      </c>
      <c r="AG5594">
        <v>-1.1105896337799901</v>
      </c>
      <c r="AH5594">
        <v>39.359357740231196</v>
      </c>
      <c r="AI5594">
        <v>91.615469595230294</v>
      </c>
      <c r="AJ5594">
        <v>91.799999026213897</v>
      </c>
      <c r="AK5594">
        <v>39.394446495270202</v>
      </c>
      <c r="AL5594">
        <v>85.926595481863203</v>
      </c>
      <c r="AM5594">
        <v>93.735174727327603</v>
      </c>
      <c r="AN5594">
        <v>1.00000005833407</v>
      </c>
    </row>
    <row r="5595" spans="1:40" x14ac:dyDescent="0.25">
      <c r="A5595" t="str">
        <f>"20190312172228306"</f>
        <v>20190312172228306</v>
      </c>
      <c r="B5595" t="str">
        <f>"1552382548296454"</f>
        <v>1552382548296454</v>
      </c>
      <c r="C5595" t="s">
        <v>40</v>
      </c>
      <c r="D5595">
        <v>3.293561</v>
      </c>
      <c r="E5595">
        <v>0.49092209999999997</v>
      </c>
      <c r="F5595" t="s">
        <v>62</v>
      </c>
      <c r="G5595">
        <v>-410.82560000000001</v>
      </c>
      <c r="H5595" s="1">
        <v>-1.1532510000000001E-5</v>
      </c>
      <c r="I5595">
        <v>142.2193</v>
      </c>
      <c r="J5595">
        <v>-371.46289999999999</v>
      </c>
      <c r="K5595">
        <v>1.110633</v>
      </c>
      <c r="L5595">
        <v>142.45009999999999</v>
      </c>
      <c r="M5595">
        <v>-0.99952149999999995</v>
      </c>
      <c r="N5595">
        <v>0</v>
      </c>
      <c r="O5595">
        <v>2.8368230000000001E-2</v>
      </c>
      <c r="P5595">
        <v>-0.99745300000000003</v>
      </c>
      <c r="Q5595">
        <v>5.9777190000000001E-2</v>
      </c>
      <c r="R5595">
        <v>-3.891522E-2</v>
      </c>
      <c r="S5595">
        <v>-3.0114749999999999</v>
      </c>
      <c r="T5595">
        <v>-8.3811399999999994E-2</v>
      </c>
      <c r="U5595">
        <v>-1.6250609999999999E-2</v>
      </c>
      <c r="V5595">
        <v>-6.7470569999999994E-2</v>
      </c>
      <c r="W5595">
        <v>7.1802589999999999E-2</v>
      </c>
      <c r="X5595">
        <v>0.99513419999999997</v>
      </c>
      <c r="Y5595">
        <v>-3.3739909999999998E-2</v>
      </c>
      <c r="Z5595">
        <v>-1.2587519999999999E-3</v>
      </c>
      <c r="AA5595">
        <v>0.99942989999999998</v>
      </c>
      <c r="AB5595">
        <v>53</v>
      </c>
      <c r="AC5595">
        <v>-39.362699999999997</v>
      </c>
      <c r="AD5595">
        <v>-1.1106445325100001</v>
      </c>
      <c r="AE5595">
        <v>-0.23079999999998699</v>
      </c>
      <c r="AF5595">
        <v>-1.3463702684593899</v>
      </c>
      <c r="AG5595">
        <v>-1.1106445325100001</v>
      </c>
      <c r="AH5595">
        <v>39.309014072845997</v>
      </c>
      <c r="AI5595">
        <v>91.617467570318496</v>
      </c>
      <c r="AJ5595">
        <v>91.961666848494403</v>
      </c>
      <c r="AK5595">
        <v>39.347742394660798</v>
      </c>
      <c r="AL5595">
        <v>85.8824713190089</v>
      </c>
      <c r="AM5595">
        <v>93.878744845077094</v>
      </c>
      <c r="AN5595">
        <v>0.99999998287823599</v>
      </c>
    </row>
    <row r="5596" spans="1:40" x14ac:dyDescent="0.25">
      <c r="A5596" t="str">
        <f>"20190312172228328"</f>
        <v>20190312172228328</v>
      </c>
      <c r="B5596" t="str">
        <f>"1552382548315975"</f>
        <v>1552382548315975</v>
      </c>
      <c r="C5596" t="s">
        <v>40</v>
      </c>
      <c r="D5596">
        <v>3.2686700000000002</v>
      </c>
      <c r="E5596">
        <v>0.48985119999999999</v>
      </c>
      <c r="F5596" t="s">
        <v>42</v>
      </c>
      <c r="G5596">
        <v>-399.22410000000002</v>
      </c>
      <c r="H5596" s="1">
        <v>-6.190849E-7</v>
      </c>
      <c r="I5596">
        <v>140.75839999999999</v>
      </c>
      <c r="J5596">
        <v>-371.97989999999999</v>
      </c>
      <c r="K5596">
        <v>1.110687</v>
      </c>
      <c r="L5596">
        <v>142.4641</v>
      </c>
      <c r="M5596">
        <v>-0.99955499999999997</v>
      </c>
      <c r="N5596">
        <v>0</v>
      </c>
      <c r="O5596">
        <v>2.713573E-2</v>
      </c>
      <c r="P5596">
        <v>-0.99726360000000003</v>
      </c>
      <c r="Q5596">
        <v>6.0551389999999997E-2</v>
      </c>
      <c r="R5596">
        <v>-4.2409919999999997E-2</v>
      </c>
      <c r="S5596">
        <v>-3.0077509999999998</v>
      </c>
      <c r="T5596">
        <v>-0.12033000000000001</v>
      </c>
      <c r="U5596">
        <v>-0.1832733</v>
      </c>
      <c r="V5596">
        <v>-6.9742109999999996E-2</v>
      </c>
      <c r="W5596">
        <v>7.2609190000000004E-2</v>
      </c>
      <c r="X5596">
        <v>0.99491909999999895</v>
      </c>
      <c r="Y5596">
        <v>-8.779439E-2</v>
      </c>
      <c r="Z5596">
        <v>-2.8382310000000001E-3</v>
      </c>
      <c r="AA5596">
        <v>0.99613459999999998</v>
      </c>
      <c r="AB5596">
        <v>53</v>
      </c>
      <c r="AC5596">
        <v>-27.244199999999999</v>
      </c>
      <c r="AD5596">
        <v>-1.11068761908489</v>
      </c>
      <c r="AE5596">
        <v>-1.7057</v>
      </c>
      <c r="AF5596">
        <v>-2.4403796602327401</v>
      </c>
      <c r="AG5596">
        <v>-1.11068761908489</v>
      </c>
      <c r="AH5596">
        <v>27.142941120818701</v>
      </c>
      <c r="AI5596">
        <v>92.333829448749199</v>
      </c>
      <c r="AJ5596">
        <v>95.137561014769503</v>
      </c>
      <c r="AK5596">
        <v>27.275049634446098</v>
      </c>
      <c r="AL5596">
        <v>85.836135814683601</v>
      </c>
      <c r="AM5596">
        <v>94.009776035690507</v>
      </c>
      <c r="AN5596">
        <v>1.0000000359622501</v>
      </c>
    </row>
    <row r="5597" spans="1:40" x14ac:dyDescent="0.25">
      <c r="A5597" t="str">
        <f>"20190312172228350"</f>
        <v>20190312172228350</v>
      </c>
      <c r="B5597" t="str">
        <f>"1552382548346230"</f>
        <v>1552382548346230</v>
      </c>
      <c r="C5597" t="s">
        <v>40</v>
      </c>
      <c r="D5597">
        <v>3.3050449999999998</v>
      </c>
      <c r="E5597">
        <v>0.48992669999999999</v>
      </c>
      <c r="F5597" t="s">
        <v>62</v>
      </c>
      <c r="G5597">
        <v>-401.09550000000002</v>
      </c>
      <c r="H5597" s="1">
        <v>-6.2172829999999999E-6</v>
      </c>
      <c r="I5597">
        <v>140.50550000000001</v>
      </c>
      <c r="J5597">
        <v>-372.49220000000003</v>
      </c>
      <c r="K5597">
        <v>1.1107340000000001</v>
      </c>
      <c r="L5597">
        <v>142.47739999999999</v>
      </c>
      <c r="M5597">
        <v>-0.99958720000000001</v>
      </c>
      <c r="N5597">
        <v>0</v>
      </c>
      <c r="O5597">
        <v>2.590226E-2</v>
      </c>
      <c r="P5597">
        <v>-0.99706760000000005</v>
      </c>
      <c r="Q5597">
        <v>6.1456410000000003E-2</v>
      </c>
      <c r="R5597">
        <v>-4.5596530000000003E-2</v>
      </c>
      <c r="S5597">
        <v>-3.006561</v>
      </c>
      <c r="T5597">
        <v>-0.1146933</v>
      </c>
      <c r="U5597">
        <v>-0.2022552</v>
      </c>
      <c r="V5597">
        <v>-7.1704920000000005E-2</v>
      </c>
      <c r="W5597">
        <v>7.3542730000000001E-2</v>
      </c>
      <c r="X5597">
        <v>0.99471089999999995</v>
      </c>
      <c r="Y5597">
        <v>-9.2856880000000003E-2</v>
      </c>
      <c r="Z5597">
        <v>-2.7553429999999999E-3</v>
      </c>
      <c r="AA5597">
        <v>0.99567570000000005</v>
      </c>
      <c r="AB5597">
        <v>53</v>
      </c>
      <c r="AC5597">
        <v>-28.603299999999901</v>
      </c>
      <c r="AD5597">
        <v>-1.1107402172830001</v>
      </c>
      <c r="AE5597">
        <v>-1.97189999999997</v>
      </c>
      <c r="AF5597">
        <v>-2.70812119236132</v>
      </c>
      <c r="AG5597">
        <v>-1.1107402172830001</v>
      </c>
      <c r="AH5597">
        <v>28.499847303047002</v>
      </c>
      <c r="AI5597">
        <v>92.221891981664797</v>
      </c>
      <c r="AJ5597">
        <v>95.428079066528895</v>
      </c>
      <c r="AK5597">
        <v>28.649763707922599</v>
      </c>
      <c r="AL5597">
        <v>85.782504166519701</v>
      </c>
      <c r="AM5597">
        <v>94.123102589814707</v>
      </c>
      <c r="AN5597">
        <v>0.99999995163343303</v>
      </c>
    </row>
    <row r="5598" spans="1:40" x14ac:dyDescent="0.25">
      <c r="A5598" t="str">
        <f>"20190312172228372"</f>
        <v>20190312172228372</v>
      </c>
      <c r="B5598" t="str">
        <f>"1552382548366725"</f>
        <v>1552382548366725</v>
      </c>
      <c r="C5598" t="s">
        <v>40</v>
      </c>
      <c r="D5598">
        <v>3.3127870000000001</v>
      </c>
      <c r="E5598">
        <v>0.4901952</v>
      </c>
      <c r="F5598" t="s">
        <v>62</v>
      </c>
      <c r="G5598">
        <v>-401.5326</v>
      </c>
      <c r="H5598" s="1">
        <v>-6.3822700000000003E-6</v>
      </c>
      <c r="I5598">
        <v>140.43530000000001</v>
      </c>
      <c r="J5598">
        <v>-373.0265</v>
      </c>
      <c r="K5598">
        <v>1.1107860000000001</v>
      </c>
      <c r="L5598">
        <v>142.4906</v>
      </c>
      <c r="M5598">
        <v>-0.9996197</v>
      </c>
      <c r="N5598">
        <v>0</v>
      </c>
      <c r="O5598">
        <v>2.4595039999999999E-2</v>
      </c>
      <c r="P5598">
        <v>-0.99688489999999996</v>
      </c>
      <c r="Q5598">
        <v>6.2367899999999997E-2</v>
      </c>
      <c r="R5598">
        <v>-4.8281249999999998E-2</v>
      </c>
      <c r="S5598">
        <v>-3.006256</v>
      </c>
      <c r="T5598">
        <v>-0.1149839</v>
      </c>
      <c r="U5598">
        <v>-0.21139530000000001</v>
      </c>
      <c r="V5598">
        <v>-7.3093270000000002E-2</v>
      </c>
      <c r="W5598">
        <v>7.4481899999999907E-2</v>
      </c>
      <c r="X5598">
        <v>0.99453999999999998</v>
      </c>
      <c r="Y5598">
        <v>-9.457364E-2</v>
      </c>
      <c r="Z5598">
        <v>-2.7451659999999998E-3</v>
      </c>
      <c r="AA5598">
        <v>0.99551409999999996</v>
      </c>
      <c r="AB5598">
        <v>53</v>
      </c>
      <c r="AC5598">
        <v>-28.5061</v>
      </c>
      <c r="AD5598">
        <v>-1.1107923822700001</v>
      </c>
      <c r="AE5598">
        <v>-2.0552999999999799</v>
      </c>
      <c r="AF5598">
        <v>-2.7516847798060899</v>
      </c>
      <c r="AG5598">
        <v>-1.1107923822700001</v>
      </c>
      <c r="AH5598">
        <v>28.404015331664599</v>
      </c>
      <c r="AI5598">
        <v>92.229092821282194</v>
      </c>
      <c r="AJ5598">
        <v>95.533353807409597</v>
      </c>
      <c r="AK5598">
        <v>28.558601432937198</v>
      </c>
      <c r="AL5598">
        <v>85.728545882253499</v>
      </c>
      <c r="AM5598">
        <v>94.203370319775701</v>
      </c>
      <c r="AN5598">
        <v>0.99999999557345098</v>
      </c>
    </row>
    <row r="5599" spans="1:40" x14ac:dyDescent="0.25">
      <c r="A5599" t="str">
        <f>"20190312172228386"</f>
        <v>20190312172228386</v>
      </c>
      <c r="B5599" t="str">
        <f>"1552382548376486"</f>
        <v>1552382548376486</v>
      </c>
      <c r="C5599" t="s">
        <v>40</v>
      </c>
      <c r="D5599">
        <v>3.3285840000000002</v>
      </c>
      <c r="E5599">
        <v>0.49035899999999999</v>
      </c>
      <c r="F5599" t="s">
        <v>62</v>
      </c>
      <c r="G5599">
        <v>-401.9486</v>
      </c>
      <c r="H5599" s="1">
        <v>-6.5520250000000002E-6</v>
      </c>
      <c r="I5599">
        <v>140.39949999999999</v>
      </c>
      <c r="J5599">
        <v>-373.35300000000001</v>
      </c>
      <c r="K5599">
        <v>1.110816</v>
      </c>
      <c r="L5599">
        <v>142.4983</v>
      </c>
      <c r="M5599">
        <v>-0.99963900000000006</v>
      </c>
      <c r="N5599">
        <v>0</v>
      </c>
      <c r="O5599">
        <v>2.378096E-2</v>
      </c>
      <c r="P5599">
        <v>-0.99680150000000001</v>
      </c>
      <c r="Q5599">
        <v>6.2602190000000002E-2</v>
      </c>
      <c r="R5599">
        <v>-4.9675730000000001E-2</v>
      </c>
      <c r="S5599">
        <v>-3.0061040000000001</v>
      </c>
      <c r="T5599">
        <v>-0.115453399999999</v>
      </c>
      <c r="U5599">
        <v>-0.21734619999999999</v>
      </c>
      <c r="V5599">
        <v>-7.3680869999999996E-2</v>
      </c>
      <c r="W5599">
        <v>7.4732969999999996E-2</v>
      </c>
      <c r="X5599">
        <v>0.99447779999999997</v>
      </c>
      <c r="Y5599">
        <v>-9.5726210000000006E-2</v>
      </c>
      <c r="Z5599">
        <v>-2.7471930000000002E-3</v>
      </c>
      <c r="AA5599">
        <v>0.99540390000000001</v>
      </c>
      <c r="AB5599">
        <v>53</v>
      </c>
      <c r="AC5599">
        <v>-28.595599999999902</v>
      </c>
      <c r="AD5599">
        <v>-1.1108225520249999</v>
      </c>
      <c r="AE5599">
        <v>-2.09880000000001</v>
      </c>
      <c r="AF5599">
        <v>-2.77412659074652</v>
      </c>
      <c r="AG5599">
        <v>-1.1108225520249999</v>
      </c>
      <c r="AH5599">
        <v>28.494827845666499</v>
      </c>
      <c r="AI5599">
        <v>92.221953904113093</v>
      </c>
      <c r="AJ5599">
        <v>95.560532456849401</v>
      </c>
      <c r="AK5599">
        <v>28.6510893167737</v>
      </c>
      <c r="AL5599">
        <v>85.714120407359204</v>
      </c>
      <c r="AM5599">
        <v>94.237302868281404</v>
      </c>
      <c r="AN5599">
        <v>0.99999999105090798</v>
      </c>
    </row>
    <row r="5600" spans="1:40" x14ac:dyDescent="0.25">
      <c r="A5600" t="str">
        <f>"20190312172228397"</f>
        <v>20190312172228397</v>
      </c>
      <c r="B5600" t="str">
        <f>"1552382548386246"</f>
        <v>1552382548386246</v>
      </c>
      <c r="C5600" t="s">
        <v>40</v>
      </c>
      <c r="D5600">
        <v>3.2960159999999998</v>
      </c>
      <c r="E5600">
        <v>0.49048960000000003</v>
      </c>
      <c r="F5600" t="s">
        <v>62</v>
      </c>
      <c r="G5600">
        <v>-402.18490000000003</v>
      </c>
      <c r="H5600" s="1">
        <v>-6.6511980000000003E-6</v>
      </c>
      <c r="I5600">
        <v>140.38589999999999</v>
      </c>
      <c r="J5600">
        <v>-373.64179999999999</v>
      </c>
      <c r="K5600">
        <v>1.1108480000000001</v>
      </c>
      <c r="L5600">
        <v>142.50489999999999</v>
      </c>
      <c r="M5600">
        <v>-0.99965599999999999</v>
      </c>
      <c r="N5600">
        <v>0</v>
      </c>
      <c r="O5600">
        <v>2.305128E-2</v>
      </c>
      <c r="P5600">
        <v>-0.99671759999999998</v>
      </c>
      <c r="Q5600">
        <v>6.2959769999999998E-2</v>
      </c>
      <c r="R5600">
        <v>-5.0898119999999998E-2</v>
      </c>
      <c r="S5600">
        <v>-3.00589</v>
      </c>
      <c r="T5600">
        <v>-0.1158098</v>
      </c>
      <c r="U5600">
        <v>-0.22023010000000001</v>
      </c>
      <c r="V5600">
        <v>-7.4180510000000005E-2</v>
      </c>
      <c r="W5600">
        <v>7.5104820000000003E-2</v>
      </c>
      <c r="X5600">
        <v>0.99441270000000004</v>
      </c>
      <c r="Y5600">
        <v>-9.5954529999999996E-2</v>
      </c>
      <c r="Z5600">
        <v>-2.7320859999999999E-3</v>
      </c>
      <c r="AA5600">
        <v>0.99538199999999999</v>
      </c>
      <c r="AB5600">
        <v>53</v>
      </c>
      <c r="AC5600">
        <v>-28.543099999999999</v>
      </c>
      <c r="AD5600">
        <v>-1.110854651198</v>
      </c>
      <c r="AE5600">
        <v>-2.1190000000000002</v>
      </c>
      <c r="AF5600">
        <v>-2.7722673489643999</v>
      </c>
      <c r="AG5600">
        <v>-1.110854651198</v>
      </c>
      <c r="AH5600">
        <v>28.443818687981</v>
      </c>
      <c r="AI5600">
        <v>92.225975416555997</v>
      </c>
      <c r="AJ5600">
        <v>95.566731767403397</v>
      </c>
      <c r="AK5600">
        <v>28.600179822248698</v>
      </c>
      <c r="AL5600">
        <v>85.692755180862207</v>
      </c>
      <c r="AM5600">
        <v>94.266209119663202</v>
      </c>
      <c r="AN5600">
        <v>1.0000000499861901</v>
      </c>
    </row>
    <row r="5601" spans="1:40" x14ac:dyDescent="0.25">
      <c r="A5601" t="str">
        <f>"20190312172228416"</f>
        <v>20190312172228416</v>
      </c>
      <c r="B5601" t="str">
        <f>"1552382548405766"</f>
        <v>1552382548405766</v>
      </c>
      <c r="C5601" t="s">
        <v>40</v>
      </c>
      <c r="D5601">
        <v>3.3021189999999998</v>
      </c>
      <c r="E5601">
        <v>0.49085859999999898</v>
      </c>
      <c r="F5601" t="s">
        <v>62</v>
      </c>
      <c r="G5601">
        <v>-402.60300000000001</v>
      </c>
      <c r="H5601" s="1">
        <v>-6.8244030000000001E-6</v>
      </c>
      <c r="I5601">
        <v>140.3562</v>
      </c>
      <c r="J5601">
        <v>-374.06909999999999</v>
      </c>
      <c r="K5601">
        <v>1.110895</v>
      </c>
      <c r="L5601">
        <v>142.51419999999999</v>
      </c>
      <c r="M5601">
        <v>-0.99968060000000003</v>
      </c>
      <c r="N5601">
        <v>0</v>
      </c>
      <c r="O5601">
        <v>2.1942710000000001E-2</v>
      </c>
      <c r="P5601">
        <v>-0.9966081</v>
      </c>
      <c r="Q5601">
        <v>6.2764029999999998E-2</v>
      </c>
      <c r="R5601">
        <v>-5.322735E-2</v>
      </c>
      <c r="S5601">
        <v>-3.005798</v>
      </c>
      <c r="T5601">
        <v>-0.1152926</v>
      </c>
      <c r="U5601">
        <v>-0.22300719999999999</v>
      </c>
      <c r="V5601">
        <v>-7.5409550000000006E-2</v>
      </c>
      <c r="W5601">
        <v>7.4927460000000001E-2</v>
      </c>
      <c r="X5601">
        <v>0.99433360000000004</v>
      </c>
      <c r="Y5601">
        <v>-9.5769320000000005E-2</v>
      </c>
      <c r="Z5601">
        <v>-2.6738819999999998E-3</v>
      </c>
      <c r="AA5601">
        <v>0.99539999999999995</v>
      </c>
      <c r="AB5601">
        <v>53</v>
      </c>
      <c r="AC5601">
        <v>-28.533899999999999</v>
      </c>
      <c r="AD5601">
        <v>-1.110901824403</v>
      </c>
      <c r="AE5601">
        <v>-2.1579999999999799</v>
      </c>
      <c r="AF5601">
        <v>-2.7794516437119401</v>
      </c>
      <c r="AG5601">
        <v>-1.110901824403</v>
      </c>
      <c r="AH5601">
        <v>28.436814602371001</v>
      </c>
      <c r="AI5601">
        <v>92.226558091926805</v>
      </c>
      <c r="AJ5601">
        <v>95.582432870860799</v>
      </c>
      <c r="AK5601">
        <v>28.593913321418899</v>
      </c>
      <c r="AL5601">
        <v>85.702945728872805</v>
      </c>
      <c r="AM5601">
        <v>94.336968875444995</v>
      </c>
      <c r="AN5601">
        <v>1.0000000162911</v>
      </c>
    </row>
    <row r="5602" spans="1:40" x14ac:dyDescent="0.25">
      <c r="A5602" t="str">
        <f>"20190312172228431"</f>
        <v>20190312172228431</v>
      </c>
      <c r="B5602" t="str">
        <f>"1552382548426262"</f>
        <v>1552382548426262</v>
      </c>
      <c r="C5602" t="s">
        <v>40</v>
      </c>
      <c r="D5602">
        <v>3.3367469999999999</v>
      </c>
      <c r="E5602">
        <v>0.49118000000000001</v>
      </c>
      <c r="F5602" t="s">
        <v>62</v>
      </c>
      <c r="G5602">
        <v>-402.4871</v>
      </c>
      <c r="H5602" s="1">
        <v>-6.7772820000000002E-6</v>
      </c>
      <c r="I5602">
        <v>140.36660000000001</v>
      </c>
      <c r="J5602">
        <v>-374.39080000000001</v>
      </c>
      <c r="K5602">
        <v>1.110932</v>
      </c>
      <c r="L5602">
        <v>142.52080000000001</v>
      </c>
      <c r="M5602">
        <v>-0.99969859999999999</v>
      </c>
      <c r="N5602">
        <v>0</v>
      </c>
      <c r="O5602">
        <v>2.1082719999999999E-2</v>
      </c>
      <c r="P5602">
        <v>-0.99655709999999997</v>
      </c>
      <c r="Q5602">
        <v>6.2447790000000003E-2</v>
      </c>
      <c r="R5602">
        <v>-5.4537710000000003E-2</v>
      </c>
      <c r="S5602">
        <v>-3.0054630000000002</v>
      </c>
      <c r="T5602">
        <v>-0.117488</v>
      </c>
      <c r="U5602">
        <v>-0.2271271</v>
      </c>
      <c r="V5602">
        <v>-7.5867379999999998E-2</v>
      </c>
      <c r="W5602">
        <v>7.4626460000000006E-2</v>
      </c>
      <c r="X5602">
        <v>0.99432140000000002</v>
      </c>
      <c r="Y5602">
        <v>-9.6275070000000004E-2</v>
      </c>
      <c r="Z5602">
        <v>-2.7012249999999998E-3</v>
      </c>
      <c r="AA5602">
        <v>0.99535110000000004</v>
      </c>
      <c r="AB5602">
        <v>53</v>
      </c>
      <c r="AC5602">
        <v>-28.0962999999999</v>
      </c>
      <c r="AD5602">
        <v>-1.1109387772820001</v>
      </c>
      <c r="AE5602">
        <v>-2.1541999999999999</v>
      </c>
      <c r="AF5602">
        <v>-2.7418527376913602</v>
      </c>
      <c r="AG5602">
        <v>-1.1109387772820001</v>
      </c>
      <c r="AH5602">
        <v>28.001111905773399</v>
      </c>
      <c r="AI5602">
        <v>92.261204228502294</v>
      </c>
      <c r="AJ5602">
        <v>95.592541018483999</v>
      </c>
      <c r="AK5602">
        <v>28.1569566779099</v>
      </c>
      <c r="AL5602">
        <v>85.720240138809999</v>
      </c>
      <c r="AM5602">
        <v>94.363251638072995</v>
      </c>
      <c r="AN5602">
        <v>1.00000000718907</v>
      </c>
    </row>
    <row r="5603" spans="1:40" x14ac:dyDescent="0.25">
      <c r="A5603" t="str">
        <f>"20190312172228442"</f>
        <v>20190312172228442</v>
      </c>
      <c r="B5603" t="str">
        <f>"1552382548436022"</f>
        <v>1552382548436022</v>
      </c>
      <c r="C5603" t="s">
        <v>40</v>
      </c>
      <c r="D5603">
        <v>3.320478</v>
      </c>
      <c r="E5603">
        <v>0.4912897</v>
      </c>
      <c r="F5603" t="s">
        <v>62</v>
      </c>
      <c r="G5603">
        <v>-402.01150000000001</v>
      </c>
      <c r="H5603" s="1">
        <v>-6.5885889999999998E-6</v>
      </c>
      <c r="I5603">
        <v>140.42060000000001</v>
      </c>
      <c r="J5603">
        <v>-374.69260000000003</v>
      </c>
      <c r="K5603">
        <v>1.1109690000000001</v>
      </c>
      <c r="L5603">
        <v>142.52690000000001</v>
      </c>
      <c r="M5603">
        <v>-0.99971560000000004</v>
      </c>
      <c r="N5603">
        <v>0</v>
      </c>
      <c r="O5603">
        <v>2.026058E-2</v>
      </c>
      <c r="P5603">
        <v>-0.99649909999999997</v>
      </c>
      <c r="Q5603">
        <v>6.2330719999999999E-2</v>
      </c>
      <c r="R5603">
        <v>-5.5723120000000001E-2</v>
      </c>
      <c r="S5603">
        <v>-3.0054630000000002</v>
      </c>
      <c r="T5603">
        <v>-0.12088359999999999</v>
      </c>
      <c r="U5603">
        <v>-0.22853090000000001</v>
      </c>
      <c r="V5603">
        <v>-7.6238269999999997E-2</v>
      </c>
      <c r="W5603">
        <v>7.4522320000000003E-2</v>
      </c>
      <c r="X5603">
        <v>0.99430079999999998</v>
      </c>
      <c r="Y5603">
        <v>-9.5914490000000005E-2</v>
      </c>
      <c r="Z5603">
        <v>-2.7389319999999999E-3</v>
      </c>
      <c r="AA5603">
        <v>0.99538579999999999</v>
      </c>
      <c r="AB5603">
        <v>53</v>
      </c>
      <c r="AC5603">
        <v>-27.3188999999999</v>
      </c>
      <c r="AD5603">
        <v>-1.110975588589</v>
      </c>
      <c r="AE5603">
        <v>-2.1063000000000001</v>
      </c>
      <c r="AF5603">
        <v>-2.6550431727826602</v>
      </c>
      <c r="AG5603">
        <v>-1.110975588589</v>
      </c>
      <c r="AH5603">
        <v>27.225853215573601</v>
      </c>
      <c r="AI5603">
        <v>92.325689483868402</v>
      </c>
      <c r="AJ5603">
        <v>95.569826270199798</v>
      </c>
      <c r="AK5603">
        <v>27.377556580596099</v>
      </c>
      <c r="AL5603">
        <v>85.726223403649797</v>
      </c>
      <c r="AM5603">
        <v>94.384589611628698</v>
      </c>
      <c r="AN5603">
        <v>0.99999996543570702</v>
      </c>
    </row>
    <row r="5604" spans="1:40" x14ac:dyDescent="0.25">
      <c r="A5604" t="str">
        <f>"20190312172228454"</f>
        <v>20190312172228454</v>
      </c>
      <c r="B5604" t="str">
        <f>"1552382548446758"</f>
        <v>1552382548446758</v>
      </c>
      <c r="C5604" t="s">
        <v>40</v>
      </c>
      <c r="D5604">
        <v>3.3471440000000001</v>
      </c>
      <c r="E5604">
        <v>0.49143819999999999</v>
      </c>
      <c r="F5604" t="s">
        <v>62</v>
      </c>
      <c r="G5604">
        <v>-402.05329999999998</v>
      </c>
      <c r="H5604" s="1">
        <v>-6.6076479999999997E-6</v>
      </c>
      <c r="I5604">
        <v>140.42179999999999</v>
      </c>
      <c r="J5604">
        <v>-374.98329999999999</v>
      </c>
      <c r="K5604">
        <v>1.1110070000000001</v>
      </c>
      <c r="L5604">
        <v>142.5324</v>
      </c>
      <c r="M5604">
        <v>-0.99973140000000005</v>
      </c>
      <c r="N5604">
        <v>0</v>
      </c>
      <c r="O5604">
        <v>1.944417E-2</v>
      </c>
      <c r="P5604">
        <v>-0.99644200000000005</v>
      </c>
      <c r="Q5604">
        <v>6.2302719999999999E-2</v>
      </c>
      <c r="R5604">
        <v>-5.6761739999999998E-2</v>
      </c>
      <c r="S5604">
        <v>-3.0052490000000001</v>
      </c>
      <c r="T5604">
        <v>-0.1220275</v>
      </c>
      <c r="U5604">
        <v>-0.23121639999999999</v>
      </c>
      <c r="V5604">
        <v>-7.646973E-2</v>
      </c>
      <c r="W5604">
        <v>7.4507100000000007E-2</v>
      </c>
      <c r="X5604">
        <v>0.99428419999999895</v>
      </c>
      <c r="Y5604">
        <v>-9.5990140000000002E-2</v>
      </c>
      <c r="Z5604">
        <v>-2.733367E-3</v>
      </c>
      <c r="AA5604">
        <v>0.9953786</v>
      </c>
      <c r="AB5604">
        <v>53</v>
      </c>
      <c r="AC5604">
        <v>-27.07</v>
      </c>
      <c r="AD5604">
        <v>-1.1110136076479999</v>
      </c>
      <c r="AE5604">
        <v>-2.1105999999999998</v>
      </c>
      <c r="AF5604">
        <v>-2.6321894182675099</v>
      </c>
      <c r="AG5604">
        <v>-1.1110136076479999</v>
      </c>
      <c r="AH5604">
        <v>26.978669257764299</v>
      </c>
      <c r="AI5604">
        <v>92.347043914847006</v>
      </c>
      <c r="AJ5604">
        <v>95.572458927755207</v>
      </c>
      <c r="AK5604">
        <v>27.129529433623699</v>
      </c>
      <c r="AL5604">
        <v>85.727098020079495</v>
      </c>
      <c r="AM5604">
        <v>94.397922252065996</v>
      </c>
      <c r="AN5604">
        <v>0.99999999896316105</v>
      </c>
    </row>
    <row r="5605" spans="1:40" x14ac:dyDescent="0.25">
      <c r="A5605" t="str">
        <f>"20190312172228467"</f>
        <v>20190312172228467</v>
      </c>
      <c r="B5605" t="str">
        <f>"1552382548456518"</f>
        <v>1552382548456518</v>
      </c>
      <c r="C5605" t="s">
        <v>40</v>
      </c>
      <c r="D5605">
        <v>3.3263590000000001</v>
      </c>
      <c r="E5605">
        <v>0.4915987</v>
      </c>
      <c r="F5605" t="s">
        <v>62</v>
      </c>
      <c r="G5605">
        <v>-402.15870000000001</v>
      </c>
      <c r="H5605" s="1">
        <v>-6.6552670000000002E-6</v>
      </c>
      <c r="I5605">
        <v>140.42400000000001</v>
      </c>
      <c r="J5605">
        <v>-375.25619999999998</v>
      </c>
      <c r="K5605">
        <v>1.1110409999999999</v>
      </c>
      <c r="L5605">
        <v>142.53739999999999</v>
      </c>
      <c r="M5605">
        <v>-0.99974600000000002</v>
      </c>
      <c r="N5605">
        <v>0</v>
      </c>
      <c r="O5605">
        <v>1.8658899999999999E-2</v>
      </c>
      <c r="P5605">
        <v>-0.99637220000000004</v>
      </c>
      <c r="Q5605">
        <v>6.2360199999999998E-2</v>
      </c>
      <c r="R5605">
        <v>-5.7912329999999998E-2</v>
      </c>
      <c r="S5605">
        <v>-3.0051570000000001</v>
      </c>
      <c r="T5605">
        <v>-0.1228602</v>
      </c>
      <c r="U5605">
        <v>-0.23315429999999901</v>
      </c>
      <c r="V5605">
        <v>-7.6843880000000003E-2</v>
      </c>
      <c r="W5605">
        <v>7.457511E-2</v>
      </c>
      <c r="X5605">
        <v>0.99425019999999997</v>
      </c>
      <c r="Y5605">
        <v>-9.5848169999999996E-2</v>
      </c>
      <c r="Z5605">
        <v>-2.7170710000000002E-3</v>
      </c>
      <c r="AA5605">
        <v>0.99539230000000001</v>
      </c>
      <c r="AB5605">
        <v>53</v>
      </c>
      <c r="AC5605">
        <v>-26.9025</v>
      </c>
      <c r="AD5605">
        <v>-1.1110476552669999</v>
      </c>
      <c r="AE5605">
        <v>-2.11339999999998</v>
      </c>
      <c r="AF5605">
        <v>-2.6106177900072001</v>
      </c>
      <c r="AG5605">
        <v>-1.1110476552669999</v>
      </c>
      <c r="AH5605">
        <v>26.812926924114301</v>
      </c>
      <c r="AI5605">
        <v>92.361653800782605</v>
      </c>
      <c r="AJ5605">
        <v>95.561026537922402</v>
      </c>
      <c r="AK5605">
        <v>26.962618611248999</v>
      </c>
      <c r="AL5605">
        <v>85.723190229964999</v>
      </c>
      <c r="AM5605">
        <v>94.419505832735595</v>
      </c>
      <c r="AN5605">
        <v>0.99999994456250096</v>
      </c>
    </row>
    <row r="5606" spans="1:40" x14ac:dyDescent="0.25">
      <c r="A5606" t="str">
        <f>"20190312172228479"</f>
        <v>20190312172228479</v>
      </c>
      <c r="B5606" t="str">
        <f>"1552382548476038"</f>
        <v>1552382548476038</v>
      </c>
      <c r="C5606" t="s">
        <v>40</v>
      </c>
      <c r="D5606">
        <v>3.3336030000000001</v>
      </c>
      <c r="E5606">
        <v>0.49190149999999999</v>
      </c>
      <c r="F5606" t="s">
        <v>62</v>
      </c>
      <c r="G5606">
        <v>-402.33229999999998</v>
      </c>
      <c r="H5606" s="1">
        <v>-6.7294579999999998E-6</v>
      </c>
      <c r="I5606">
        <v>140.41720000000001</v>
      </c>
      <c r="J5606">
        <v>-375.55869999999999</v>
      </c>
      <c r="K5606">
        <v>1.111086</v>
      </c>
      <c r="L5606">
        <v>142.5427</v>
      </c>
      <c r="M5606">
        <v>-0.99976180000000003</v>
      </c>
      <c r="N5606">
        <v>0</v>
      </c>
      <c r="O5606">
        <v>1.7774249999999998E-2</v>
      </c>
      <c r="P5606">
        <v>-0.99629970000000001</v>
      </c>
      <c r="Q5606">
        <v>6.2362470000000003E-2</v>
      </c>
      <c r="R5606">
        <v>-5.9142479999999997E-2</v>
      </c>
      <c r="S5606">
        <v>-3.0049739999999998</v>
      </c>
      <c r="T5606">
        <v>-0.1233069</v>
      </c>
      <c r="U5606">
        <v>-0.23530580000000001</v>
      </c>
      <c r="V5606">
        <v>-7.7198890000000006E-2</v>
      </c>
      <c r="W5606">
        <v>7.4589359999999993E-2</v>
      </c>
      <c r="X5606">
        <v>0.99422169999999999</v>
      </c>
      <c r="Y5606">
        <v>-9.5680600000000005E-2</v>
      </c>
      <c r="Z5606">
        <v>-2.6873600000000002E-3</v>
      </c>
      <c r="AA5606">
        <v>0.99540850000000003</v>
      </c>
      <c r="AB5606">
        <v>53</v>
      </c>
      <c r="AC5606">
        <v>-26.773599999999899</v>
      </c>
      <c r="AD5606">
        <v>-1.111092729458</v>
      </c>
      <c r="AE5606">
        <v>-2.1254999999999802</v>
      </c>
      <c r="AF5606">
        <v>-2.5966390461573199</v>
      </c>
      <c r="AG5606">
        <v>-1.111092729458</v>
      </c>
      <c r="AH5606">
        <v>26.685916561840301</v>
      </c>
      <c r="AI5606">
        <v>92.372991128204404</v>
      </c>
      <c r="AJ5606">
        <v>95.557596950016801</v>
      </c>
      <c r="AK5606">
        <v>26.834962346442499</v>
      </c>
      <c r="AL5606">
        <v>85.722371786598998</v>
      </c>
      <c r="AM5606">
        <v>94.439968760335404</v>
      </c>
      <c r="AN5606">
        <v>1.0000000149966599</v>
      </c>
    </row>
    <row r="5607" spans="1:40" x14ac:dyDescent="0.25">
      <c r="A5607" t="str">
        <f>"20190312172228495"</f>
        <v>20190312172228495</v>
      </c>
      <c r="B5607" t="str">
        <f>"1552382548485798"</f>
        <v>1552382548485798</v>
      </c>
      <c r="C5607" t="s">
        <v>40</v>
      </c>
      <c r="D5607">
        <v>3.3458380000000001</v>
      </c>
      <c r="E5607">
        <v>0.49190149999999999</v>
      </c>
      <c r="F5607" t="s">
        <v>62</v>
      </c>
      <c r="G5607">
        <v>-402.291</v>
      </c>
      <c r="H5607" s="1">
        <v>-6.7193369999999997E-6</v>
      </c>
      <c r="I5607">
        <v>140.43719999999999</v>
      </c>
      <c r="J5607">
        <v>-375.91980000000001</v>
      </c>
      <c r="K5607">
        <v>1.111145</v>
      </c>
      <c r="L5607">
        <v>142.54859999999999</v>
      </c>
      <c r="M5607">
        <v>-0.99978060000000002</v>
      </c>
      <c r="N5607">
        <v>0</v>
      </c>
      <c r="O5607">
        <v>1.6670629999999999E-2</v>
      </c>
      <c r="P5607">
        <v>-0.99614199999999997</v>
      </c>
      <c r="Q5607">
        <v>6.2449110000000002E-2</v>
      </c>
      <c r="R5607">
        <v>-6.1654309999999997E-2</v>
      </c>
      <c r="S5607">
        <v>-3.0049130000000002</v>
      </c>
      <c r="T5607">
        <v>-0.1248951</v>
      </c>
      <c r="U5607">
        <v>-0.2366791</v>
      </c>
      <c r="V5607">
        <v>-7.861957E-2</v>
      </c>
      <c r="W5607">
        <v>7.4681620000000004E-2</v>
      </c>
      <c r="X5607">
        <v>0.99410339999999997</v>
      </c>
      <c r="Y5607">
        <v>-9.5034549999999995E-2</v>
      </c>
      <c r="Z5607">
        <v>-2.6627579999999999E-3</v>
      </c>
      <c r="AA5607">
        <v>0.99547039999999998</v>
      </c>
      <c r="AB5607">
        <v>53</v>
      </c>
      <c r="AC5607">
        <v>-26.371199999999899</v>
      </c>
      <c r="AD5607">
        <v>-1.111151719337</v>
      </c>
      <c r="AE5607">
        <v>-2.1114000000000002</v>
      </c>
      <c r="AF5607">
        <v>-2.5462746543624899</v>
      </c>
      <c r="AG5607">
        <v>-1.111151719337</v>
      </c>
      <c r="AH5607">
        <v>26.285963691172601</v>
      </c>
      <c r="AI5607">
        <v>92.409283589376102</v>
      </c>
      <c r="AJ5607">
        <v>95.532877740581498</v>
      </c>
      <c r="AK5607">
        <v>26.432367656577402</v>
      </c>
      <c r="AL5607">
        <v>85.717070723860999</v>
      </c>
      <c r="AM5607">
        <v>94.521876936413904</v>
      </c>
      <c r="AN5607">
        <v>0.999999975522184</v>
      </c>
    </row>
    <row r="5608" spans="1:40" x14ac:dyDescent="0.25">
      <c r="A5608" t="str">
        <f>"20190312172228518"</f>
        <v>20190312172228518</v>
      </c>
      <c r="B5608" t="str">
        <f>"1552382548506293"</f>
        <v>1552382548506293</v>
      </c>
      <c r="C5608" t="s">
        <v>40</v>
      </c>
      <c r="D5608">
        <v>3.2337310000000001</v>
      </c>
      <c r="E5608">
        <v>0.46586630000000001</v>
      </c>
      <c r="F5608" t="s">
        <v>62</v>
      </c>
      <c r="G5608">
        <v>-402.70209999999997</v>
      </c>
      <c r="H5608" s="1">
        <v>-6.874578E-6</v>
      </c>
      <c r="I5608">
        <v>140.37129999999999</v>
      </c>
      <c r="J5608">
        <v>-376.45060000000001</v>
      </c>
      <c r="K5608">
        <v>1.111235</v>
      </c>
      <c r="L5608">
        <v>142.5565</v>
      </c>
      <c r="M5608">
        <v>-0.99980690000000005</v>
      </c>
      <c r="N5608">
        <v>0</v>
      </c>
      <c r="O5608">
        <v>1.4985979999999999E-2</v>
      </c>
      <c r="P5608">
        <v>-0.99589689999999997</v>
      </c>
      <c r="Q5608">
        <v>6.2653739999999999E-2</v>
      </c>
      <c r="R5608">
        <v>-6.5300929999999993E-2</v>
      </c>
      <c r="S5608">
        <v>-3.0043030000000002</v>
      </c>
      <c r="T5608">
        <v>-0.12464359999999999</v>
      </c>
      <c r="U5608">
        <v>-0.24423220000000001</v>
      </c>
      <c r="V5608">
        <v>-8.0602389999999996E-2</v>
      </c>
      <c r="W5608">
        <v>7.4894169999999996E-2</v>
      </c>
      <c r="X5608">
        <v>0.99392860000000005</v>
      </c>
      <c r="Y5608">
        <v>-9.5860899999999999E-2</v>
      </c>
      <c r="Z5608">
        <v>-2.6050119999999999E-3</v>
      </c>
      <c r="AA5608">
        <v>0.99539129999999998</v>
      </c>
      <c r="AB5608">
        <v>53</v>
      </c>
      <c r="AC5608">
        <v>-26.251499999999901</v>
      </c>
      <c r="AD5608">
        <v>-1.1112418745779999</v>
      </c>
      <c r="AE5608">
        <v>-2.1852</v>
      </c>
      <c r="AF5608">
        <v>-2.57381058910028</v>
      </c>
      <c r="AG5608">
        <v>-1.1112418745779999</v>
      </c>
      <c r="AH5608">
        <v>26.169232128625399</v>
      </c>
      <c r="AI5608">
        <v>92.4198670045092</v>
      </c>
      <c r="AJ5608">
        <v>95.617120350187193</v>
      </c>
      <c r="AK5608">
        <v>26.318967868331399</v>
      </c>
      <c r="AL5608">
        <v>85.704858288847305</v>
      </c>
      <c r="AM5608">
        <v>94.636241405912202</v>
      </c>
      <c r="AN5608">
        <v>0.99999997193583001</v>
      </c>
    </row>
    <row r="5609" spans="1:40" x14ac:dyDescent="0.25">
      <c r="A5609" t="str">
        <f>"20190312172228540"</f>
        <v>20190312172228540</v>
      </c>
      <c r="B5609" t="str">
        <f>"1552382548536550"</f>
        <v>1552382548536550</v>
      </c>
      <c r="C5609" t="s">
        <v>40</v>
      </c>
      <c r="D5609">
        <v>3.2791290000000002</v>
      </c>
      <c r="E5609">
        <v>0.45922770000000002</v>
      </c>
      <c r="F5609" t="s">
        <v>42</v>
      </c>
      <c r="G5609">
        <v>-397.70929999999998</v>
      </c>
      <c r="H5609" s="1">
        <v>-1.0257190000000001E-6</v>
      </c>
      <c r="I5609">
        <v>139.2741</v>
      </c>
      <c r="J5609">
        <v>-376.97039999999998</v>
      </c>
      <c r="K5609">
        <v>1.1113309999999901</v>
      </c>
      <c r="L5609">
        <v>142.5634</v>
      </c>
      <c r="M5609">
        <v>-0.99983080000000002</v>
      </c>
      <c r="N5609">
        <v>0</v>
      </c>
      <c r="O5609">
        <v>1.325077E-2</v>
      </c>
      <c r="P5609">
        <v>-0.99560669999999996</v>
      </c>
      <c r="Q5609">
        <v>6.2789399999999995E-2</v>
      </c>
      <c r="R5609">
        <v>-6.9461319999999993E-2</v>
      </c>
      <c r="S5609">
        <v>-2.991943</v>
      </c>
      <c r="T5609">
        <v>-0.15639539999999999</v>
      </c>
      <c r="U5609">
        <v>-0.46195979999999998</v>
      </c>
      <c r="V5609">
        <v>-8.3048720000000006E-2</v>
      </c>
      <c r="W5609">
        <v>7.5032059999999998E-2</v>
      </c>
      <c r="X5609">
        <v>0.99371679999999996</v>
      </c>
      <c r="Y5609">
        <v>-0.165438</v>
      </c>
      <c r="Z5609">
        <v>-4.9838770000000003E-3</v>
      </c>
      <c r="AA5609">
        <v>0.98620759999999996</v>
      </c>
      <c r="AB5609">
        <v>53</v>
      </c>
      <c r="AC5609">
        <v>-20.738900000000001</v>
      </c>
      <c r="AD5609">
        <v>-1.11133202571899</v>
      </c>
      <c r="AE5609">
        <v>-3.2892999999999901</v>
      </c>
      <c r="AF5609">
        <v>-3.5538851947877101</v>
      </c>
      <c r="AG5609">
        <v>-1.11133202571899</v>
      </c>
      <c r="AH5609">
        <v>20.635687288552798</v>
      </c>
      <c r="AI5609">
        <v>93.038039098927101</v>
      </c>
      <c r="AJ5609">
        <v>99.771642922065794</v>
      </c>
      <c r="AK5609">
        <v>20.968947248730899</v>
      </c>
      <c r="AL5609">
        <v>85.696935555930196</v>
      </c>
      <c r="AM5609">
        <v>94.777325893781295</v>
      </c>
      <c r="AN5609">
        <v>0.99999998926185996</v>
      </c>
    </row>
    <row r="5610" spans="1:40" x14ac:dyDescent="0.25">
      <c r="A5610" t="str">
        <f>"20190312172228554"</f>
        <v>20190312172228554</v>
      </c>
      <c r="B5610" t="str">
        <f>"1552382548546310"</f>
        <v>1552382548546310</v>
      </c>
      <c r="C5610" t="s">
        <v>40</v>
      </c>
      <c r="D5610">
        <v>3.261714</v>
      </c>
      <c r="E5610">
        <v>0.45837919999999999</v>
      </c>
      <c r="F5610" t="s">
        <v>42</v>
      </c>
      <c r="G5610">
        <v>-399.12729999999999</v>
      </c>
      <c r="H5610" s="1">
        <v>-5.4036669999999995E-7</v>
      </c>
      <c r="I5610">
        <v>138.649</v>
      </c>
      <c r="J5610">
        <v>-377.31729999999999</v>
      </c>
      <c r="K5610">
        <v>1.1113980000000001</v>
      </c>
      <c r="L5610">
        <v>142.56739999999999</v>
      </c>
      <c r="M5610">
        <v>-0.99984589999999995</v>
      </c>
      <c r="N5610">
        <v>0</v>
      </c>
      <c r="O5610">
        <v>1.203681E-2</v>
      </c>
      <c r="P5610">
        <v>-0.99540680000000004</v>
      </c>
      <c r="Q5610">
        <v>6.2932550000000004E-2</v>
      </c>
      <c r="R5610">
        <v>-7.2144719999999996E-2</v>
      </c>
      <c r="S5610">
        <v>-2.9858699999999998</v>
      </c>
      <c r="T5610">
        <v>-0.14976329999999999</v>
      </c>
      <c r="U5610">
        <v>-0.52749630000000003</v>
      </c>
      <c r="V5610">
        <v>-8.4534120000000004E-2</v>
      </c>
      <c r="W5610">
        <v>7.5176119999999999E-2</v>
      </c>
      <c r="X5610">
        <v>0.99358060000000004</v>
      </c>
      <c r="Y5610">
        <v>-0.18557080000000001</v>
      </c>
      <c r="Z5610">
        <v>-5.2142029999999997E-3</v>
      </c>
      <c r="AA5610">
        <v>0.98261710000000002</v>
      </c>
      <c r="AB5610">
        <v>53</v>
      </c>
      <c r="AC5610">
        <v>-21.81</v>
      </c>
      <c r="AD5610">
        <v>-1.1113985403666999</v>
      </c>
      <c r="AE5610">
        <v>-3.9183999999999899</v>
      </c>
      <c r="AF5610">
        <v>-4.1701701076384703</v>
      </c>
      <c r="AG5610">
        <v>-1.1113985403666999</v>
      </c>
      <c r="AH5610">
        <v>21.7066468363921</v>
      </c>
      <c r="AI5610">
        <v>92.878485047121401</v>
      </c>
      <c r="AJ5610">
        <v>100.87487397739</v>
      </c>
      <c r="AK5610">
        <v>22.131516945795202</v>
      </c>
      <c r="AL5610">
        <v>85.688657924707201</v>
      </c>
      <c r="AM5610">
        <v>94.863029847792205</v>
      </c>
      <c r="AN5610">
        <v>0.99999993757939198</v>
      </c>
    </row>
    <row r="5611" spans="1:40" x14ac:dyDescent="0.25">
      <c r="A5611" t="str">
        <f>"20190312172228566"</f>
        <v>20190312172228566</v>
      </c>
      <c r="B5611" t="str">
        <f>"1552382548556070"</f>
        <v>1552382548556070</v>
      </c>
      <c r="C5611" t="s">
        <v>40</v>
      </c>
      <c r="D5611">
        <v>3.2721079999999998</v>
      </c>
      <c r="E5611">
        <v>0.45787990000000001</v>
      </c>
      <c r="F5611" t="s">
        <v>42</v>
      </c>
      <c r="G5611">
        <v>-399.31450000000001</v>
      </c>
      <c r="H5611" s="1">
        <v>-4.9776869999999999E-7</v>
      </c>
      <c r="I5611">
        <v>138.56970000000001</v>
      </c>
      <c r="J5611">
        <v>-377.61829999999998</v>
      </c>
      <c r="K5611">
        <v>1.11145</v>
      </c>
      <c r="L5611">
        <v>142.57050000000001</v>
      </c>
      <c r="M5611">
        <v>-0.99985809999999997</v>
      </c>
      <c r="N5611">
        <v>0</v>
      </c>
      <c r="O5611">
        <v>1.095905E-2</v>
      </c>
      <c r="P5611">
        <v>-0.9952221</v>
      </c>
      <c r="Q5611">
        <v>6.2866900000000003E-2</v>
      </c>
      <c r="R5611">
        <v>-7.4706289999999995E-2</v>
      </c>
      <c r="S5611">
        <v>-2.98407</v>
      </c>
      <c r="T5611">
        <v>-0.15076909999999999</v>
      </c>
      <c r="U5611">
        <v>-0.54229740000000004</v>
      </c>
      <c r="V5611">
        <v>-8.6031140000000006E-2</v>
      </c>
      <c r="W5611">
        <v>7.5109079999999995E-2</v>
      </c>
      <c r="X5611">
        <v>0.99345729999999999</v>
      </c>
      <c r="Y5611">
        <v>-0.18932740000000001</v>
      </c>
      <c r="Z5611">
        <v>-5.2900839999999996E-3</v>
      </c>
      <c r="AA5611">
        <v>0.98189979999999999</v>
      </c>
      <c r="AB5611">
        <v>53</v>
      </c>
      <c r="AC5611">
        <v>-21.696200000000001</v>
      </c>
      <c r="AD5611">
        <v>-1.1114504977686901</v>
      </c>
      <c r="AE5611">
        <v>-4.0007999999999901</v>
      </c>
      <c r="AF5611">
        <v>-4.2276192284225802</v>
      </c>
      <c r="AG5611">
        <v>-1.1114504977686901</v>
      </c>
      <c r="AH5611">
        <v>21.596237179630101</v>
      </c>
      <c r="AI5611">
        <v>92.891345570773794</v>
      </c>
      <c r="AJ5611">
        <v>101.075998942865</v>
      </c>
      <c r="AK5611">
        <v>22.0341904064651</v>
      </c>
      <c r="AL5611">
        <v>85.692510491272103</v>
      </c>
      <c r="AM5611">
        <v>94.949336718076395</v>
      </c>
      <c r="AN5611">
        <v>1.00000006893571</v>
      </c>
    </row>
    <row r="5612" spans="1:40" x14ac:dyDescent="0.25">
      <c r="A5612" t="str">
        <f>"20190312172228584"</f>
        <v>20190312172228584</v>
      </c>
      <c r="B5612" t="str">
        <f>"1552382548576566"</f>
        <v>1552382548576566</v>
      </c>
      <c r="C5612" t="s">
        <v>40</v>
      </c>
      <c r="D5612">
        <v>3.2407789999999999</v>
      </c>
      <c r="E5612">
        <v>0.45734340000000001</v>
      </c>
      <c r="F5612" t="s">
        <v>42</v>
      </c>
      <c r="G5612">
        <v>-399.60050000000001</v>
      </c>
      <c r="H5612" s="1">
        <v>-4.2220019999999999E-7</v>
      </c>
      <c r="I5612">
        <v>138.488</v>
      </c>
      <c r="J5612">
        <v>-378.03160000000003</v>
      </c>
      <c r="K5612">
        <v>1.111532</v>
      </c>
      <c r="L5612">
        <v>142.57429999999999</v>
      </c>
      <c r="M5612">
        <v>-0.99987329999999996</v>
      </c>
      <c r="N5612">
        <v>0</v>
      </c>
      <c r="O5612">
        <v>9.4399789999999994E-3</v>
      </c>
      <c r="P5612">
        <v>-0.99471900000000002</v>
      </c>
      <c r="Q5612">
        <v>6.3672569999999998E-2</v>
      </c>
      <c r="R5612">
        <v>-8.0500189999999999E-2</v>
      </c>
      <c r="S5612">
        <v>-2.9823</v>
      </c>
      <c r="T5612">
        <v>-0.15078949999999999</v>
      </c>
      <c r="U5612">
        <v>-0.55386349999999995</v>
      </c>
      <c r="V5612">
        <v>-9.0327690000000002E-2</v>
      </c>
      <c r="W5612">
        <v>7.5895989999999997E-2</v>
      </c>
      <c r="X5612">
        <v>0.99301589999999995</v>
      </c>
      <c r="Y5612">
        <v>-0.19162019999999999</v>
      </c>
      <c r="Z5612">
        <v>-5.2733399999999996E-3</v>
      </c>
      <c r="AA5612">
        <v>0.98145499999999997</v>
      </c>
      <c r="AB5612">
        <v>53</v>
      </c>
      <c r="AC5612">
        <v>-21.5688999999999</v>
      </c>
      <c r="AD5612">
        <v>-1.1115324222002001</v>
      </c>
      <c r="AE5612">
        <v>-4.0862999999999898</v>
      </c>
      <c r="AF5612">
        <v>-4.2787749272365696</v>
      </c>
      <c r="AG5612">
        <v>-1.1115324222002001</v>
      </c>
      <c r="AH5612">
        <v>21.474306543364399</v>
      </c>
      <c r="AI5612">
        <v>92.906021186290999</v>
      </c>
      <c r="AJ5612">
        <v>101.268657101656</v>
      </c>
      <c r="AK5612">
        <v>21.924626809182701</v>
      </c>
      <c r="AL5612">
        <v>85.647294225202401</v>
      </c>
      <c r="AM5612">
        <v>95.197491462279402</v>
      </c>
      <c r="AN5612">
        <v>0.99999993526580999</v>
      </c>
    </row>
    <row r="5613" spans="1:40" x14ac:dyDescent="0.25">
      <c r="A5613" t="str">
        <f>"20190312172228599"</f>
        <v>20190312172228599</v>
      </c>
      <c r="B5613" t="str">
        <f>"1552382548596093"</f>
        <v>1552382548596093</v>
      </c>
      <c r="C5613" t="s">
        <v>40</v>
      </c>
      <c r="D5613">
        <v>3.2475450000000001</v>
      </c>
      <c r="E5613">
        <v>0.45691920000000003</v>
      </c>
      <c r="F5613" t="s">
        <v>62</v>
      </c>
      <c r="G5613">
        <v>-400.17360000000002</v>
      </c>
      <c r="H5613" s="1">
        <v>-4.7707300000000003E-6</v>
      </c>
      <c r="I5613">
        <v>138.29689999999999</v>
      </c>
      <c r="J5613">
        <v>-378.38440000000003</v>
      </c>
      <c r="K5613">
        <v>1.111604</v>
      </c>
      <c r="L5613">
        <v>142.5771</v>
      </c>
      <c r="M5613">
        <v>-0.99988460000000001</v>
      </c>
      <c r="N5613">
        <v>0</v>
      </c>
      <c r="O5613">
        <v>8.1102480000000005E-3</v>
      </c>
      <c r="P5613">
        <v>-0.99437869999999995</v>
      </c>
      <c r="Q5613">
        <v>6.4367380000000002E-2</v>
      </c>
      <c r="R5613">
        <v>-8.4069359999999996E-2</v>
      </c>
      <c r="S5613">
        <v>-2.9789430000000001</v>
      </c>
      <c r="T5613">
        <v>-0.14954410000000001</v>
      </c>
      <c r="U5613">
        <v>-0.57547000000000004</v>
      </c>
      <c r="V5613">
        <v>-9.2588290000000004E-2</v>
      </c>
      <c r="W5613">
        <v>7.6583479999999995E-2</v>
      </c>
      <c r="X5613">
        <v>0.9927549</v>
      </c>
      <c r="Y5613">
        <v>-0.19738040000000001</v>
      </c>
      <c r="Z5613">
        <v>-5.3091719999999896E-3</v>
      </c>
      <c r="AA5613">
        <v>0.98031259999999998</v>
      </c>
      <c r="AB5613">
        <v>53</v>
      </c>
      <c r="AC5613">
        <v>-21.789199999999902</v>
      </c>
      <c r="AD5613">
        <v>-1.11160877073</v>
      </c>
      <c r="AE5613">
        <v>-4.2801999999999998</v>
      </c>
      <c r="AF5613">
        <v>-4.4456488791578703</v>
      </c>
      <c r="AG5613">
        <v>-1.11160877073</v>
      </c>
      <c r="AH5613">
        <v>21.6993885950851</v>
      </c>
      <c r="AI5613">
        <v>92.872992938750201</v>
      </c>
      <c r="AJ5613">
        <v>101.578219073393</v>
      </c>
      <c r="AK5613">
        <v>22.177983078188799</v>
      </c>
      <c r="AL5613">
        <v>85.607789058931601</v>
      </c>
      <c r="AM5613">
        <v>95.328220483847801</v>
      </c>
      <c r="AN5613">
        <v>0.99999995616402104</v>
      </c>
    </row>
    <row r="5614" spans="1:40" x14ac:dyDescent="0.25">
      <c r="A5614" t="str">
        <f>"20190312172228613"</f>
        <v>20190312172228613</v>
      </c>
      <c r="B5614" t="str">
        <f>"1552382548605854"</f>
        <v>1552382548605854</v>
      </c>
      <c r="C5614" t="s">
        <v>40</v>
      </c>
      <c r="D5614">
        <v>3.2737219999999998</v>
      </c>
      <c r="E5614">
        <v>0.45680559999999998</v>
      </c>
      <c r="F5614" t="s">
        <v>62</v>
      </c>
      <c r="G5614">
        <v>-400.58640000000003</v>
      </c>
      <c r="H5614" s="1">
        <v>-4.9440049999999999E-6</v>
      </c>
      <c r="I5614">
        <v>138.1798</v>
      </c>
      <c r="J5614">
        <v>-378.71359999999999</v>
      </c>
      <c r="K5614">
        <v>1.1116649999999999</v>
      </c>
      <c r="L5614">
        <v>142.57919999999999</v>
      </c>
      <c r="M5614">
        <v>-0.9998939</v>
      </c>
      <c r="N5614">
        <v>0</v>
      </c>
      <c r="O5614">
        <v>6.8345680000000001E-3</v>
      </c>
      <c r="P5614">
        <v>-0.99404939999999997</v>
      </c>
      <c r="Q5614">
        <v>6.4980479999999993E-2</v>
      </c>
      <c r="R5614">
        <v>-8.7426329999999997E-2</v>
      </c>
      <c r="S5614">
        <v>-2.9767459999999999</v>
      </c>
      <c r="T5614">
        <v>-0.14903939999999999</v>
      </c>
      <c r="U5614">
        <v>-0.58956909999999996</v>
      </c>
      <c r="V5614">
        <v>-9.4689259999999997E-2</v>
      </c>
      <c r="W5614">
        <v>7.7189179999999996E-2</v>
      </c>
      <c r="X5614">
        <v>0.9925098</v>
      </c>
      <c r="Y5614">
        <v>-0.20073440000000001</v>
      </c>
      <c r="Z5614">
        <v>-5.3125890000000004E-3</v>
      </c>
      <c r="AA5614">
        <v>0.97963129999999998</v>
      </c>
      <c r="AB5614">
        <v>53</v>
      </c>
      <c r="AC5614">
        <v>-21.872800000000002</v>
      </c>
      <c r="AD5614">
        <v>-1.111669944005</v>
      </c>
      <c r="AE5614">
        <v>-4.3993999999999804</v>
      </c>
      <c r="AF5614">
        <v>-4.5375355254758496</v>
      </c>
      <c r="AG5614">
        <v>-1.111669944005</v>
      </c>
      <c r="AH5614">
        <v>21.788125788763701</v>
      </c>
      <c r="AI5614">
        <v>92.859554792313503</v>
      </c>
      <c r="AJ5614">
        <v>101.764111870614</v>
      </c>
      <c r="AK5614">
        <v>22.283344993432902</v>
      </c>
      <c r="AL5614">
        <v>85.572982005532097</v>
      </c>
      <c r="AM5614">
        <v>95.449743789346499</v>
      </c>
      <c r="AN5614">
        <v>0.99999996428222904</v>
      </c>
    </row>
    <row r="5615" spans="1:40" x14ac:dyDescent="0.25">
      <c r="A5615" t="str">
        <f>"20190312172228629"</f>
        <v>20190312172228629</v>
      </c>
      <c r="B5615" t="str">
        <f>"1552382548616591"</f>
        <v>1552382548616591</v>
      </c>
      <c r="C5615" t="s">
        <v>40</v>
      </c>
      <c r="D5615">
        <v>3.263827</v>
      </c>
      <c r="E5615">
        <v>0.45671420000000001</v>
      </c>
      <c r="F5615" t="s">
        <v>62</v>
      </c>
      <c r="G5615">
        <v>-401.10629999999998</v>
      </c>
      <c r="H5615" s="1">
        <v>-5.1290199999999899E-6</v>
      </c>
      <c r="I5615">
        <v>138.0581</v>
      </c>
      <c r="J5615">
        <v>-379.07279999999997</v>
      </c>
      <c r="K5615">
        <v>1.1117349999999999</v>
      </c>
      <c r="L5615">
        <v>142.58099999999999</v>
      </c>
      <c r="M5615">
        <v>-0.99990219999999996</v>
      </c>
      <c r="N5615">
        <v>0</v>
      </c>
      <c r="O5615">
        <v>5.4228480000000001E-3</v>
      </c>
      <c r="P5615">
        <v>-0.99340870000000003</v>
      </c>
      <c r="Q5615">
        <v>6.6083569999999994E-2</v>
      </c>
      <c r="R5615">
        <v>-9.3660359999999998E-2</v>
      </c>
      <c r="S5615">
        <v>-2.9747919999999999</v>
      </c>
      <c r="T5615">
        <v>-0.14768199999999901</v>
      </c>
      <c r="U5615">
        <v>-0.6006165</v>
      </c>
      <c r="V5615">
        <v>-9.9535470000000001E-2</v>
      </c>
      <c r="W5615">
        <v>7.826263E-2</v>
      </c>
      <c r="X5615">
        <v>0.99195149999999999</v>
      </c>
      <c r="Y5615">
        <v>-0.20297490000000001</v>
      </c>
      <c r="Z5615">
        <v>-5.2514090000000003E-3</v>
      </c>
      <c r="AA5615">
        <v>0.97916979999999998</v>
      </c>
      <c r="AB5615">
        <v>53</v>
      </c>
      <c r="AC5615">
        <v>-22.0335</v>
      </c>
      <c r="AD5615">
        <v>-1.11174012902</v>
      </c>
      <c r="AE5615">
        <v>-4.5229000000000203</v>
      </c>
      <c r="AF5615">
        <v>-4.63101439811616</v>
      </c>
      <c r="AG5615">
        <v>-1.11174012902</v>
      </c>
      <c r="AH5615">
        <v>21.9550119305752</v>
      </c>
      <c r="AI5615">
        <v>92.836511892936002</v>
      </c>
      <c r="AJ5615">
        <v>101.91091328319899</v>
      </c>
      <c r="AK5615">
        <v>22.4656361882261</v>
      </c>
      <c r="AL5615">
        <v>85.511291663856994</v>
      </c>
      <c r="AM5615">
        <v>95.730054960745605</v>
      </c>
      <c r="AN5615">
        <v>1.00000006369744</v>
      </c>
    </row>
    <row r="5616" spans="1:40" x14ac:dyDescent="0.25">
      <c r="A5616" t="str">
        <f>"20190312172228651"</f>
        <v>20190312172228651</v>
      </c>
      <c r="B5616" t="str">
        <f>"1552382548645869"</f>
        <v>1552382548645869</v>
      </c>
      <c r="C5616" t="s">
        <v>40</v>
      </c>
      <c r="D5616">
        <v>3.2595390000000002</v>
      </c>
      <c r="E5616">
        <v>0.45661469999999998</v>
      </c>
      <c r="F5616" t="s">
        <v>62</v>
      </c>
      <c r="G5616">
        <v>-401.83600000000001</v>
      </c>
      <c r="H5616" s="1">
        <v>-5.3473499999999997E-6</v>
      </c>
      <c r="I5616">
        <v>137.83260000000001</v>
      </c>
      <c r="J5616">
        <v>-379.61189999999999</v>
      </c>
      <c r="K5616">
        <v>1.111823</v>
      </c>
      <c r="L5616">
        <v>142.58279999999999</v>
      </c>
      <c r="M5616">
        <v>-0.9999112</v>
      </c>
      <c r="N5616">
        <v>0</v>
      </c>
      <c r="O5616">
        <v>3.2615000000000001E-3</v>
      </c>
      <c r="P5616">
        <v>-0.99271480000000001</v>
      </c>
      <c r="Q5616">
        <v>6.6849640000000002E-2</v>
      </c>
      <c r="R5616">
        <v>-0.100243</v>
      </c>
      <c r="S5616">
        <v>-2.97113</v>
      </c>
      <c r="T5616">
        <v>-0.14510819999999999</v>
      </c>
      <c r="U5616">
        <v>-0.61978149999999999</v>
      </c>
      <c r="V5616">
        <v>-0.1039901</v>
      </c>
      <c r="W5616">
        <v>7.9002299999999998E-2</v>
      </c>
      <c r="X5616">
        <v>0.99143559999999997</v>
      </c>
      <c r="Y5616">
        <v>-0.20715720000000001</v>
      </c>
      <c r="Z5616">
        <v>-5.1594900000000001E-3</v>
      </c>
      <c r="AA5616">
        <v>0.97829410000000006</v>
      </c>
      <c r="AB5616">
        <v>53</v>
      </c>
      <c r="AC5616">
        <v>-22.2241</v>
      </c>
      <c r="AD5616">
        <v>-1.1118283473499999</v>
      </c>
      <c r="AE5616">
        <v>-4.7501999999999702</v>
      </c>
      <c r="AF5616">
        <v>-4.8111493911927203</v>
      </c>
      <c r="AG5616">
        <v>-1.1118283473499999</v>
      </c>
      <c r="AH5616">
        <v>22.155459501230801</v>
      </c>
      <c r="AI5616">
        <v>92.807541286351096</v>
      </c>
      <c r="AJ5616">
        <v>102.25179687657899</v>
      </c>
      <c r="AK5616">
        <v>22.699068404871198</v>
      </c>
      <c r="AL5616">
        <v>85.468779444189096</v>
      </c>
      <c r="AM5616">
        <v>95.987768749391293</v>
      </c>
      <c r="AN5616">
        <v>0.999999926625327</v>
      </c>
    </row>
    <row r="5617" spans="1:40" x14ac:dyDescent="0.25">
      <c r="A5617" t="str">
        <f>"20190312172228665"</f>
        <v>20190312172228665</v>
      </c>
      <c r="B5617" t="str">
        <f>"1552382548656606"</f>
        <v>1552382548656606</v>
      </c>
      <c r="C5617" t="s">
        <v>40</v>
      </c>
      <c r="D5617">
        <v>3.282502</v>
      </c>
      <c r="E5617">
        <v>0.45667289999999999</v>
      </c>
      <c r="F5617" t="s">
        <v>62</v>
      </c>
      <c r="G5617">
        <v>-402.11770000000001</v>
      </c>
      <c r="H5617" s="1">
        <v>-5.4230769999999901E-6</v>
      </c>
      <c r="I5617">
        <v>137.72720000000001</v>
      </c>
      <c r="J5617">
        <v>-379.94040000000001</v>
      </c>
      <c r="K5617">
        <v>1.111883</v>
      </c>
      <c r="L5617">
        <v>142.58330000000001</v>
      </c>
      <c r="M5617">
        <v>-0.99991450000000004</v>
      </c>
      <c r="N5617">
        <v>0</v>
      </c>
      <c r="O5617">
        <v>1.924465E-3</v>
      </c>
      <c r="P5617">
        <v>-0.9922957</v>
      </c>
      <c r="Q5617">
        <v>6.7475300000000002E-2</v>
      </c>
      <c r="R5617">
        <v>-0.10390580000000001</v>
      </c>
      <c r="S5617">
        <v>-2.9672550000000002</v>
      </c>
      <c r="T5617">
        <v>-0.146588</v>
      </c>
      <c r="U5617">
        <v>-0.64018249999999999</v>
      </c>
      <c r="V5617">
        <v>-0.106338</v>
      </c>
      <c r="W5617">
        <v>7.9613100000000006E-2</v>
      </c>
      <c r="X5617">
        <v>0.99113770000000001</v>
      </c>
      <c r="Y5617">
        <v>-0.21252760000000001</v>
      </c>
      <c r="Z5617">
        <v>-5.2808150000000003E-3</v>
      </c>
      <c r="AA5617">
        <v>0.97714080000000003</v>
      </c>
      <c r="AB5617">
        <v>53</v>
      </c>
      <c r="AC5617">
        <v>-22.177299999999999</v>
      </c>
      <c r="AD5617">
        <v>-1.1118884230770001</v>
      </c>
      <c r="AE5617">
        <v>-4.8560999999999899</v>
      </c>
      <c r="AF5617">
        <v>-4.8870517134965299</v>
      </c>
      <c r="AG5617">
        <v>-1.1118884230770001</v>
      </c>
      <c r="AH5617">
        <v>22.1148670413208</v>
      </c>
      <c r="AI5617">
        <v>92.810590140928596</v>
      </c>
      <c r="AJ5617">
        <v>102.46123292912699</v>
      </c>
      <c r="AK5617">
        <v>22.675689946968699</v>
      </c>
      <c r="AL5617">
        <v>85.433672834577195</v>
      </c>
      <c r="AM5617">
        <v>96.123771905489903</v>
      </c>
      <c r="AN5617">
        <v>0.99999997814844899</v>
      </c>
    </row>
    <row r="5618" spans="1:40" x14ac:dyDescent="0.25">
      <c r="A5618" t="str">
        <f>"20190312172228677"</f>
        <v>20190312172228677</v>
      </c>
      <c r="B5618" t="str">
        <f>"1552382548666367"</f>
        <v>1552382548666367</v>
      </c>
      <c r="C5618" t="s">
        <v>40</v>
      </c>
      <c r="D5618">
        <v>3.2523529999999998</v>
      </c>
      <c r="E5618">
        <v>0.45676080000000002</v>
      </c>
      <c r="F5618" t="s">
        <v>62</v>
      </c>
      <c r="G5618">
        <v>-402.58870000000002</v>
      </c>
      <c r="H5618" s="1">
        <v>-5.5792629999999997E-6</v>
      </c>
      <c r="I5618">
        <v>137.61429999999999</v>
      </c>
      <c r="J5618">
        <v>-380.22739999999999</v>
      </c>
      <c r="K5618">
        <v>1.1119270000000001</v>
      </c>
      <c r="L5618">
        <v>142.58349999999999</v>
      </c>
      <c r="M5618">
        <v>-0.99991600000000003</v>
      </c>
      <c r="N5618">
        <v>0</v>
      </c>
      <c r="O5618">
        <v>7.4606789999999998E-4</v>
      </c>
      <c r="P5618">
        <v>-0.9919443</v>
      </c>
      <c r="Q5618">
        <v>6.7689269999999996E-2</v>
      </c>
      <c r="R5618">
        <v>-0.1070757</v>
      </c>
      <c r="S5618">
        <v>-2.9650569999999998</v>
      </c>
      <c r="T5618">
        <v>-0.14556529999999901</v>
      </c>
      <c r="U5618">
        <v>-0.650528</v>
      </c>
      <c r="V5618">
        <v>-0.1083475</v>
      </c>
      <c r="W5618">
        <v>7.9813679999999998E-2</v>
      </c>
      <c r="X5618">
        <v>0.99090389999999995</v>
      </c>
      <c r="Y5618">
        <v>-0.2147821</v>
      </c>
      <c r="Z5618">
        <v>-5.243401E-3</v>
      </c>
      <c r="AA5618">
        <v>0.97664790000000001</v>
      </c>
      <c r="AB5618">
        <v>53</v>
      </c>
      <c r="AC5618">
        <v>-22.3613</v>
      </c>
      <c r="AD5618">
        <v>-1.1119325792629999</v>
      </c>
      <c r="AE5618">
        <v>-4.9691999999999998</v>
      </c>
      <c r="AF5618">
        <v>-4.97416249286651</v>
      </c>
      <c r="AG5618">
        <v>-1.1119325792629999</v>
      </c>
      <c r="AH5618">
        <v>22.305028989754199</v>
      </c>
      <c r="AI5618">
        <v>92.7855871367329</v>
      </c>
      <c r="AJ5618">
        <v>102.57161209404001</v>
      </c>
      <c r="AK5618">
        <v>22.879969510470101</v>
      </c>
      <c r="AL5618">
        <v>85.422143729513095</v>
      </c>
      <c r="AM5618">
        <v>96.240050832162595</v>
      </c>
      <c r="AN5618">
        <v>0.99999997165330001</v>
      </c>
    </row>
    <row r="5619" spans="1:40" x14ac:dyDescent="0.25">
      <c r="A5619" t="str">
        <f>"20190312172228689"</f>
        <v>20190312172228689</v>
      </c>
      <c r="B5619" t="str">
        <f>"1552382548685886"</f>
        <v>1552382548685886</v>
      </c>
      <c r="C5619" t="s">
        <v>40</v>
      </c>
      <c r="D5619">
        <v>3.2675480000000001</v>
      </c>
      <c r="E5619">
        <v>0.45699119999999999</v>
      </c>
      <c r="F5619" t="s">
        <v>62</v>
      </c>
      <c r="G5619">
        <v>-402.76229999999998</v>
      </c>
      <c r="H5619" s="1">
        <v>-5.6351590000000002E-6</v>
      </c>
      <c r="I5619">
        <v>137.5692</v>
      </c>
      <c r="J5619">
        <v>-380.50819999999999</v>
      </c>
      <c r="K5619">
        <v>1.111966</v>
      </c>
      <c r="L5619">
        <v>142.58320000000001</v>
      </c>
      <c r="M5619">
        <v>-0.99991600000000003</v>
      </c>
      <c r="N5619">
        <v>0</v>
      </c>
      <c r="O5619">
        <v>-4.1883300000000002E-4</v>
      </c>
      <c r="P5619">
        <v>-0.99155870000000002</v>
      </c>
      <c r="Q5619">
        <v>6.8157460000000003E-2</v>
      </c>
      <c r="R5619">
        <v>-0.11029990000000001</v>
      </c>
      <c r="S5619">
        <v>-2.9631349999999999</v>
      </c>
      <c r="T5619">
        <v>-0.14620859999999999</v>
      </c>
      <c r="U5619">
        <v>-0.65933229999999998</v>
      </c>
      <c r="V5619">
        <v>-0.1104265</v>
      </c>
      <c r="W5619">
        <v>8.0267119999999997E-2</v>
      </c>
      <c r="X5619">
        <v>0.99063780000000001</v>
      </c>
      <c r="Y5619">
        <v>-0.21654039999999999</v>
      </c>
      <c r="Z5619">
        <v>-5.2542880000000002E-3</v>
      </c>
      <c r="AA5619">
        <v>0.97625949999999995</v>
      </c>
      <c r="AB5619">
        <v>53</v>
      </c>
      <c r="AC5619">
        <v>-22.254099999999902</v>
      </c>
      <c r="AD5619">
        <v>-1.1119716351590001</v>
      </c>
      <c r="AE5619">
        <v>-5.0140000000000002</v>
      </c>
      <c r="AF5619">
        <v>-4.9928146597137504</v>
      </c>
      <c r="AG5619">
        <v>-1.1119716351590001</v>
      </c>
      <c r="AH5619">
        <v>22.203440924105099</v>
      </c>
      <c r="AI5619">
        <v>92.797301853896201</v>
      </c>
      <c r="AJ5619">
        <v>102.6731141945</v>
      </c>
      <c r="AK5619">
        <v>22.785027277005401</v>
      </c>
      <c r="AL5619">
        <v>85.396080207401596</v>
      </c>
      <c r="AM5619">
        <v>96.360508963605497</v>
      </c>
      <c r="AN5619">
        <v>1.00000003662209</v>
      </c>
    </row>
    <row r="5620" spans="1:40" x14ac:dyDescent="0.25">
      <c r="A5620" t="str">
        <f>"20190312172228707"</f>
        <v>20190312172228707</v>
      </c>
      <c r="B5620" t="str">
        <f>"1552382548696622"</f>
        <v>1552382548696622</v>
      </c>
      <c r="C5620" t="s">
        <v>40</v>
      </c>
      <c r="D5620">
        <v>3.249447</v>
      </c>
      <c r="E5620">
        <v>0.45711309999999999</v>
      </c>
      <c r="F5620" t="s">
        <v>62</v>
      </c>
      <c r="G5620">
        <v>-403.02690000000001</v>
      </c>
      <c r="H5620" s="1">
        <v>-5.7248739999999997E-6</v>
      </c>
      <c r="I5620">
        <v>137.51</v>
      </c>
      <c r="J5620">
        <v>-380.92360000000002</v>
      </c>
      <c r="K5620">
        <v>1.112026</v>
      </c>
      <c r="L5620">
        <v>142.5822</v>
      </c>
      <c r="M5620">
        <v>-0.99991359999999996</v>
      </c>
      <c r="N5620">
        <v>0</v>
      </c>
      <c r="O5620">
        <v>-2.154081E-3</v>
      </c>
      <c r="P5620">
        <v>-0.99081160000000001</v>
      </c>
      <c r="Q5620">
        <v>6.950191E-2</v>
      </c>
      <c r="R5620">
        <v>-0.1160267</v>
      </c>
      <c r="S5620">
        <v>-2.961395</v>
      </c>
      <c r="T5620">
        <v>-0.1462338</v>
      </c>
      <c r="U5620">
        <v>-0.66715999999999998</v>
      </c>
      <c r="V5620">
        <v>-0.1144531</v>
      </c>
      <c r="W5620">
        <v>8.1579349999999995E-2</v>
      </c>
      <c r="X5620">
        <v>0.99007339999999999</v>
      </c>
      <c r="Y5620">
        <v>-0.2174258</v>
      </c>
      <c r="Z5620">
        <v>-5.1937049999999998E-3</v>
      </c>
      <c r="AA5620">
        <v>0.97606300000000001</v>
      </c>
      <c r="AB5620">
        <v>53</v>
      </c>
      <c r="AC5620">
        <v>-22.103299999999901</v>
      </c>
      <c r="AD5620">
        <v>-1.1120317248739999</v>
      </c>
      <c r="AE5620">
        <v>-5.0721999999999996</v>
      </c>
      <c r="AF5620">
        <v>-5.0125191224418799</v>
      </c>
      <c r="AG5620">
        <v>-1.1120317248739999</v>
      </c>
      <c r="AH5620">
        <v>22.0611286796222</v>
      </c>
      <c r="AI5620">
        <v>92.814053254626501</v>
      </c>
      <c r="AJ5620">
        <v>102.800873415973</v>
      </c>
      <c r="AK5620">
        <v>22.650725399616299</v>
      </c>
      <c r="AL5620">
        <v>85.3206474919063</v>
      </c>
      <c r="AM5620">
        <v>96.594157964669094</v>
      </c>
      <c r="AN5620">
        <v>1.00000001991679</v>
      </c>
    </row>
    <row r="5621" spans="1:40" x14ac:dyDescent="0.25">
      <c r="A5621" t="str">
        <f>"20190312172228729"</f>
        <v>20190312172228729</v>
      </c>
      <c r="B5621" t="str">
        <f>"1552382548716141"</f>
        <v>1552382548716141</v>
      </c>
      <c r="C5621" t="s">
        <v>40</v>
      </c>
      <c r="D5621">
        <v>3.2449520000000001</v>
      </c>
      <c r="E5621">
        <v>0.4574472</v>
      </c>
      <c r="F5621" t="s">
        <v>62</v>
      </c>
      <c r="G5621">
        <v>-403.89859999999999</v>
      </c>
      <c r="H5621" s="1">
        <v>-6.0005289999999997E-6</v>
      </c>
      <c r="I5621">
        <v>137.27250000000001</v>
      </c>
      <c r="J5621">
        <v>-381.45170000000002</v>
      </c>
      <c r="K5621">
        <v>1.112096</v>
      </c>
      <c r="L5621">
        <v>142.58000000000001</v>
      </c>
      <c r="M5621">
        <v>-0.99990590000000001</v>
      </c>
      <c r="N5621">
        <v>0</v>
      </c>
      <c r="O5621">
        <v>-4.3875709999999998E-3</v>
      </c>
      <c r="P5621">
        <v>-0.98998350000000002</v>
      </c>
      <c r="Q5621">
        <v>7.1173559999999997E-2</v>
      </c>
      <c r="R5621">
        <v>-0.1219315</v>
      </c>
      <c r="S5621">
        <v>-2.9578250000000001</v>
      </c>
      <c r="T5621">
        <v>-0.143164299999999</v>
      </c>
      <c r="U5621">
        <v>-0.68357849999999998</v>
      </c>
      <c r="V5621">
        <v>-0.118171499999999</v>
      </c>
      <c r="W5621">
        <v>8.321837E-2</v>
      </c>
      <c r="X5621">
        <v>0.98950000000000005</v>
      </c>
      <c r="Y5621">
        <v>-0.22065560000000001</v>
      </c>
      <c r="Z5621">
        <v>-5.0581719999999997E-3</v>
      </c>
      <c r="AA5621">
        <v>0.97533859999999994</v>
      </c>
      <c r="AB5621">
        <v>53</v>
      </c>
      <c r="AC5621">
        <v>-22.4468999999999</v>
      </c>
      <c r="AD5621">
        <v>-1.1121020005290001</v>
      </c>
      <c r="AE5621">
        <v>-5.3075000000000001</v>
      </c>
      <c r="AF5621">
        <v>-5.1968724960975496</v>
      </c>
      <c r="AG5621">
        <v>-1.1121020005290001</v>
      </c>
      <c r="AH5621">
        <v>22.4178600403228</v>
      </c>
      <c r="AI5621">
        <v>92.766742032188901</v>
      </c>
      <c r="AJ5621">
        <v>103.051677327053</v>
      </c>
      <c r="AK5621">
        <v>23.0391992783555</v>
      </c>
      <c r="AL5621">
        <v>85.226418146628703</v>
      </c>
      <c r="AM5621">
        <v>96.810320212062095</v>
      </c>
      <c r="AN5621">
        <v>1.0000000252588499</v>
      </c>
    </row>
    <row r="5622" spans="1:40" x14ac:dyDescent="0.25">
      <c r="A5622" t="str">
        <f>"20190312172228752"</f>
        <v>20190312172228752</v>
      </c>
      <c r="B5622" t="str">
        <f>"1552382548746398"</f>
        <v>1552382548746398</v>
      </c>
      <c r="C5622" t="s">
        <v>40</v>
      </c>
      <c r="D5622">
        <v>3.266292</v>
      </c>
      <c r="E5622">
        <v>0.45795639999999999</v>
      </c>
      <c r="F5622" t="s">
        <v>62</v>
      </c>
      <c r="G5622">
        <v>-404.90379999999999</v>
      </c>
      <c r="H5622" s="1">
        <v>-6.3335140000000004E-6</v>
      </c>
      <c r="I5622">
        <v>137.0309</v>
      </c>
      <c r="J5622">
        <v>-381.9735</v>
      </c>
      <c r="K5622">
        <v>1.1121650000000001</v>
      </c>
      <c r="L5622">
        <v>142.57660000000001</v>
      </c>
      <c r="M5622">
        <v>-0.99989340000000004</v>
      </c>
      <c r="N5622">
        <v>0</v>
      </c>
      <c r="O5622">
        <v>-6.625199E-3</v>
      </c>
      <c r="P5622">
        <v>-0.98926449999999999</v>
      </c>
      <c r="Q5622">
        <v>7.2058010000000006E-2</v>
      </c>
      <c r="R5622">
        <v>-0.127136</v>
      </c>
      <c r="S5622">
        <v>-2.9543460000000001</v>
      </c>
      <c r="T5622">
        <v>-0.14009549999999901</v>
      </c>
      <c r="U5622">
        <v>-0.69903559999999998</v>
      </c>
      <c r="V5622">
        <v>-0.12118279999999999</v>
      </c>
      <c r="W5622">
        <v>8.407415E-2</v>
      </c>
      <c r="X5622">
        <v>0.98906329999999998</v>
      </c>
      <c r="Y5622">
        <v>-0.2235714</v>
      </c>
      <c r="Z5622">
        <v>-4.9162040000000004E-3</v>
      </c>
      <c r="AA5622">
        <v>0.97467519999999996</v>
      </c>
      <c r="AB5622">
        <v>53</v>
      </c>
      <c r="AC5622">
        <v>-22.9302999999999</v>
      </c>
      <c r="AD5622">
        <v>-1.112171333514</v>
      </c>
      <c r="AE5622">
        <v>-5.5457000000000098</v>
      </c>
      <c r="AF5622">
        <v>-5.3816869522776303</v>
      </c>
      <c r="AG5622">
        <v>-1.112171333514</v>
      </c>
      <c r="AH5622">
        <v>22.9156118117061</v>
      </c>
      <c r="AI5622">
        <v>92.705092824300706</v>
      </c>
      <c r="AJ5622">
        <v>103.216300933919</v>
      </c>
      <c r="AK5622">
        <v>23.565329283339299</v>
      </c>
      <c r="AL5622">
        <v>85.177212870929694</v>
      </c>
      <c r="AM5622">
        <v>96.985224207548598</v>
      </c>
      <c r="AN5622">
        <v>0.99999997256047501</v>
      </c>
    </row>
    <row r="5623" spans="1:40" x14ac:dyDescent="0.25">
      <c r="A5623" t="str">
        <f>"20190312172228765"</f>
        <v>20190312172228765</v>
      </c>
      <c r="B5623" t="str">
        <f>"1552382548756158"</f>
        <v>1552382548756158</v>
      </c>
      <c r="C5623" t="s">
        <v>40</v>
      </c>
      <c r="D5623">
        <v>3.2737250000000002</v>
      </c>
      <c r="E5623">
        <v>0.4581693</v>
      </c>
      <c r="F5623" t="s">
        <v>62</v>
      </c>
      <c r="G5623">
        <v>-405.3048</v>
      </c>
      <c r="H5623" s="1">
        <v>-6.559229E-6</v>
      </c>
      <c r="I5623">
        <v>136.95599999999999</v>
      </c>
      <c r="J5623">
        <v>-382.30799999999999</v>
      </c>
      <c r="K5623">
        <v>1.1122069999999999</v>
      </c>
      <c r="L5623">
        <v>142.57390000000001</v>
      </c>
      <c r="M5623">
        <v>-0.99988259999999995</v>
      </c>
      <c r="N5623">
        <v>0</v>
      </c>
      <c r="O5623">
        <v>-8.0799059999999995E-3</v>
      </c>
      <c r="P5623">
        <v>-0.9888943</v>
      </c>
      <c r="Q5623">
        <v>7.2170570000000003E-2</v>
      </c>
      <c r="R5623">
        <v>-0.12992089999999901</v>
      </c>
      <c r="S5623">
        <v>-2.9514469999999999</v>
      </c>
      <c r="T5623">
        <v>-0.14069119999999999</v>
      </c>
      <c r="U5623">
        <v>-0.71101380000000003</v>
      </c>
      <c r="V5623">
        <v>-0.1225395</v>
      </c>
      <c r="W5623">
        <v>8.4172029999999995E-2</v>
      </c>
      <c r="X5623">
        <v>0.98888779999999998</v>
      </c>
      <c r="Y5623">
        <v>-0.226106</v>
      </c>
      <c r="Z5623">
        <v>-4.930729E-3</v>
      </c>
      <c r="AA5623">
        <v>0.97409020000000002</v>
      </c>
      <c r="AB5623">
        <v>53</v>
      </c>
      <c r="AC5623">
        <v>-22.996799999999901</v>
      </c>
      <c r="AD5623">
        <v>-1.1122135592289999</v>
      </c>
      <c r="AE5623">
        <v>-5.6178999999999899</v>
      </c>
      <c r="AF5623">
        <v>-5.41992527643926</v>
      </c>
      <c r="AG5623">
        <v>-1.1122135592289999</v>
      </c>
      <c r="AH5623">
        <v>22.990697034637201</v>
      </c>
      <c r="AI5623">
        <v>92.695835623794096</v>
      </c>
      <c r="AJ5623">
        <v>103.264956719163</v>
      </c>
      <c r="AK5623">
        <v>23.647087751814102</v>
      </c>
      <c r="AL5623">
        <v>85.171584799746995</v>
      </c>
      <c r="AM5623">
        <v>97.063882459369907</v>
      </c>
      <c r="AN5623">
        <v>0.99999997034170496</v>
      </c>
    </row>
    <row r="5624" spans="1:40" x14ac:dyDescent="0.25">
      <c r="A5624" t="str">
        <f>"20190312172228785"</f>
        <v>20190312172228785</v>
      </c>
      <c r="B5624" t="str">
        <f>"1552382548776657"</f>
        <v>1552382548776657</v>
      </c>
      <c r="C5624" t="s">
        <v>40</v>
      </c>
      <c r="D5624">
        <v>3.298781</v>
      </c>
      <c r="E5624">
        <v>0.45836169999999998</v>
      </c>
      <c r="F5624" t="s">
        <v>62</v>
      </c>
      <c r="G5624">
        <v>-405.4665</v>
      </c>
      <c r="H5624" s="1">
        <v>-6.661459E-6</v>
      </c>
      <c r="I5624">
        <v>136.93879999999999</v>
      </c>
      <c r="J5624">
        <v>-382.75479999999999</v>
      </c>
      <c r="K5624">
        <v>1.1122669999999999</v>
      </c>
      <c r="L5624">
        <v>142.5694</v>
      </c>
      <c r="M5624">
        <v>-0.99986459999999999</v>
      </c>
      <c r="N5624">
        <v>0</v>
      </c>
      <c r="O5624">
        <v>-1.00547E-2</v>
      </c>
      <c r="P5624">
        <v>-0.98834440000000001</v>
      </c>
      <c r="Q5624">
        <v>7.2244909999999996E-2</v>
      </c>
      <c r="R5624">
        <v>-0.13400090000000001</v>
      </c>
      <c r="S5624">
        <v>-2.9497680000000002</v>
      </c>
      <c r="T5624">
        <v>-0.14166589999999901</v>
      </c>
      <c r="U5624">
        <v>-0.71775819999999901</v>
      </c>
      <c r="V5624">
        <v>-0.1246818</v>
      </c>
      <c r="W5624">
        <v>8.4220980000000001E-2</v>
      </c>
      <c r="X5624">
        <v>0.98861580000000004</v>
      </c>
      <c r="Y5624">
        <v>-0.22641069999999999</v>
      </c>
      <c r="Z5624">
        <v>-4.8801069999999998E-3</v>
      </c>
      <c r="AA5624">
        <v>0.97401970000000004</v>
      </c>
      <c r="AB5624">
        <v>53</v>
      </c>
      <c r="AC5624">
        <v>-22.7117</v>
      </c>
      <c r="AD5624">
        <v>-1.1122736614589901</v>
      </c>
      <c r="AE5624">
        <v>-5.63060000000001</v>
      </c>
      <c r="AF5624">
        <v>-5.3897582632640297</v>
      </c>
      <c r="AG5624">
        <v>-1.1122736614589901</v>
      </c>
      <c r="AH5624">
        <v>22.715843253089002</v>
      </c>
      <c r="AI5624">
        <v>92.727622461368796</v>
      </c>
      <c r="AJ5624">
        <v>103.34767209026001</v>
      </c>
      <c r="AK5624">
        <v>23.372979731589801</v>
      </c>
      <c r="AL5624">
        <v>85.1687701383876</v>
      </c>
      <c r="AM5624">
        <v>97.188053313098607</v>
      </c>
      <c r="AN5624">
        <v>0.999999962366519</v>
      </c>
    </row>
    <row r="5625" spans="1:40" x14ac:dyDescent="0.25">
      <c r="A5625" t="str">
        <f>"20190312172228808"</f>
        <v>20190312172228808</v>
      </c>
      <c r="B5625" t="str">
        <f>"1552382548796174"</f>
        <v>1552382548796174</v>
      </c>
      <c r="C5625" t="s">
        <v>40</v>
      </c>
      <c r="D5625">
        <v>3.300818</v>
      </c>
      <c r="E5625">
        <v>0.46452060000000001</v>
      </c>
      <c r="F5625" t="s">
        <v>62</v>
      </c>
      <c r="G5625">
        <v>-405.65</v>
      </c>
      <c r="H5625" s="1">
        <v>-6.7734269999999999E-6</v>
      </c>
      <c r="I5625">
        <v>136.91050000000001</v>
      </c>
      <c r="J5625">
        <v>-383.29469999999998</v>
      </c>
      <c r="K5625">
        <v>1.112344</v>
      </c>
      <c r="L5625">
        <v>142.56270000000001</v>
      </c>
      <c r="M5625">
        <v>-0.99983670000000002</v>
      </c>
      <c r="N5625">
        <v>0</v>
      </c>
      <c r="O5625">
        <v>-1.2503770000000001E-2</v>
      </c>
      <c r="P5625">
        <v>-0.98777139999999997</v>
      </c>
      <c r="Q5625">
        <v>7.2551760000000007E-2</v>
      </c>
      <c r="R5625">
        <v>-0.13800109999999999</v>
      </c>
      <c r="S5625">
        <v>-2.9470830000000001</v>
      </c>
      <c r="T5625">
        <v>-0.1431722</v>
      </c>
      <c r="U5625">
        <v>-0.72840879999999997</v>
      </c>
      <c r="V5625">
        <v>-0.1262828</v>
      </c>
      <c r="W5625">
        <v>8.4501770000000004E-2</v>
      </c>
      <c r="X5625">
        <v>0.98838870000000001</v>
      </c>
      <c r="Y5625">
        <v>-0.2275452</v>
      </c>
      <c r="Z5625">
        <v>-4.8442729999999996E-3</v>
      </c>
      <c r="AA5625">
        <v>0.9737555</v>
      </c>
      <c r="AB5625">
        <v>53</v>
      </c>
      <c r="AC5625">
        <v>-22.3553</v>
      </c>
      <c r="AD5625">
        <v>-1.112350773427</v>
      </c>
      <c r="AE5625">
        <v>-5.6521999999999899</v>
      </c>
      <c r="AF5625">
        <v>-5.3597362040801499</v>
      </c>
      <c r="AG5625">
        <v>-1.112350773427</v>
      </c>
      <c r="AH5625">
        <v>22.372170069073</v>
      </c>
      <c r="AI5625">
        <v>92.768213882525998</v>
      </c>
      <c r="AJ5625">
        <v>103.47252142639</v>
      </c>
      <c r="AK5625">
        <v>23.032109977594299</v>
      </c>
      <c r="AL5625">
        <v>85.152624967335001</v>
      </c>
      <c r="AM5625">
        <v>97.281023616160695</v>
      </c>
      <c r="AN5625">
        <v>1.00000005849832</v>
      </c>
    </row>
    <row r="5626" spans="1:40" x14ac:dyDescent="0.25">
      <c r="A5626" t="str">
        <f>"20190312172228830"</f>
        <v>20190312172228830</v>
      </c>
      <c r="B5626" t="str">
        <f>"1552382548826431"</f>
        <v>1552382548826431</v>
      </c>
      <c r="C5626" t="s">
        <v>40</v>
      </c>
      <c r="D5626">
        <v>3.2904960000000001</v>
      </c>
      <c r="E5626">
        <v>0.46446199999999999</v>
      </c>
      <c r="F5626" t="s">
        <v>62</v>
      </c>
      <c r="G5626">
        <v>-400.6</v>
      </c>
      <c r="H5626" s="1">
        <v>-5.1173299999999997E-6</v>
      </c>
      <c r="I5626">
        <v>138.51390000000001</v>
      </c>
      <c r="J5626">
        <v>-383.81240000000003</v>
      </c>
      <c r="K5626">
        <v>1.1124320000000001</v>
      </c>
      <c r="L5626">
        <v>142.55500000000001</v>
      </c>
      <c r="M5626">
        <v>-0.99980340000000001</v>
      </c>
      <c r="N5626">
        <v>0</v>
      </c>
      <c r="O5626">
        <v>-1.49251E-2</v>
      </c>
      <c r="P5626">
        <v>-0.98707440000000002</v>
      </c>
      <c r="Q5626">
        <v>7.3607359999999997E-2</v>
      </c>
      <c r="R5626">
        <v>-0.14236070000000001</v>
      </c>
      <c r="S5626">
        <v>-2.9544980000000001</v>
      </c>
      <c r="T5626">
        <v>-0.18990899999999999</v>
      </c>
      <c r="U5626">
        <v>-0.69125369999999997</v>
      </c>
      <c r="V5626">
        <v>-0.12828139999999999</v>
      </c>
      <c r="W5626">
        <v>8.552469E-2</v>
      </c>
      <c r="X5626">
        <v>0.98804320000000001</v>
      </c>
      <c r="Y5626">
        <v>-0.212868</v>
      </c>
      <c r="Z5626">
        <v>-5.7982420000000003E-3</v>
      </c>
      <c r="AA5626">
        <v>0.97706380000000004</v>
      </c>
      <c r="AB5626">
        <v>53</v>
      </c>
      <c r="AC5626">
        <v>-16.787599999999902</v>
      </c>
      <c r="AD5626">
        <v>-1.1124371173299901</v>
      </c>
      <c r="AE5626">
        <v>-4.0411000000000001</v>
      </c>
      <c r="AF5626">
        <v>-3.7744058163410101</v>
      </c>
      <c r="AG5626">
        <v>-1.1124371173299901</v>
      </c>
      <c r="AH5626">
        <v>16.7764166457589</v>
      </c>
      <c r="AI5626">
        <v>93.701449840588793</v>
      </c>
      <c r="AJ5626">
        <v>102.679447520297</v>
      </c>
      <c r="AK5626">
        <v>17.2317094647786</v>
      </c>
      <c r="AL5626">
        <v>85.093802625753796</v>
      </c>
      <c r="AM5626">
        <v>97.397547444119198</v>
      </c>
      <c r="AN5626">
        <v>0.99999997762589699</v>
      </c>
    </row>
    <row r="5627" spans="1:40" x14ac:dyDescent="0.25">
      <c r="A5627" t="str">
        <f>"20190312172228853"</f>
        <v>20190312172228853</v>
      </c>
      <c r="B5627" t="str">
        <f>"1552382548845950"</f>
        <v>1552382548845950</v>
      </c>
      <c r="C5627" t="s">
        <v>40</v>
      </c>
      <c r="D5627">
        <v>3.2905000000000002</v>
      </c>
      <c r="E5627">
        <v>0.46420090000000003</v>
      </c>
      <c r="F5627" t="s">
        <v>62</v>
      </c>
      <c r="G5627">
        <v>-402.19200000000001</v>
      </c>
      <c r="H5627" s="1">
        <v>-5.6600970000000004E-6</v>
      </c>
      <c r="I5627">
        <v>138.16419999999999</v>
      </c>
      <c r="J5627">
        <v>-384.3553</v>
      </c>
      <c r="K5627">
        <v>1.112541</v>
      </c>
      <c r="L5627">
        <v>142.54560000000001</v>
      </c>
      <c r="M5627">
        <v>-0.99976030000000005</v>
      </c>
      <c r="N5627">
        <v>0</v>
      </c>
      <c r="O5627">
        <v>-1.7553349999999999E-2</v>
      </c>
      <c r="P5627">
        <v>-0.98633360000000003</v>
      </c>
      <c r="Q5627">
        <v>7.426903E-2</v>
      </c>
      <c r="R5627">
        <v>-0.147071799999999</v>
      </c>
      <c r="S5627">
        <v>-2.9508969999999999</v>
      </c>
      <c r="T5627">
        <v>-0.17860500000000001</v>
      </c>
      <c r="U5627">
        <v>-0.70495609999999997</v>
      </c>
      <c r="V5627">
        <v>-0.13043089999999999</v>
      </c>
      <c r="W5627">
        <v>8.6152740000000005E-2</v>
      </c>
      <c r="X5627">
        <v>0.98770720000000001</v>
      </c>
      <c r="Y5627">
        <v>-0.2149056</v>
      </c>
      <c r="Z5627">
        <v>-5.3615149999999999E-3</v>
      </c>
      <c r="AA5627">
        <v>0.97662009999999999</v>
      </c>
      <c r="AB5627">
        <v>53</v>
      </c>
      <c r="AC5627">
        <v>-17.836699999999901</v>
      </c>
      <c r="AD5627">
        <v>-1.112546660097</v>
      </c>
      <c r="AE5627">
        <v>-4.38140000000001</v>
      </c>
      <c r="AF5627">
        <v>-4.0527341898681701</v>
      </c>
      <c r="AG5627">
        <v>-1.112546660097</v>
      </c>
      <c r="AH5627">
        <v>17.845389220851398</v>
      </c>
      <c r="AI5627">
        <v>93.479047703644596</v>
      </c>
      <c r="AJ5627">
        <v>102.79499660497601</v>
      </c>
      <c r="AK5627">
        <v>18.3335847811687</v>
      </c>
      <c r="AL5627">
        <v>85.057684878684597</v>
      </c>
      <c r="AM5627">
        <v>97.5226234573976</v>
      </c>
      <c r="AN5627">
        <v>1.00000001360807</v>
      </c>
    </row>
    <row r="5628" spans="1:40" x14ac:dyDescent="0.25">
      <c r="A5628" t="str">
        <f>"20190312172228875"</f>
        <v>20190312172228875</v>
      </c>
      <c r="B5628" t="str">
        <f>"1552382548866446"</f>
        <v>1552382548866446</v>
      </c>
      <c r="C5628" t="s">
        <v>40</v>
      </c>
      <c r="D5628">
        <v>3.3193709999999998</v>
      </c>
      <c r="E5628">
        <v>0.46406209999999998</v>
      </c>
      <c r="F5628" t="s">
        <v>62</v>
      </c>
      <c r="G5628">
        <v>-403.7167</v>
      </c>
      <c r="H5628" s="1">
        <v>-6.1688979999999999E-6</v>
      </c>
      <c r="I5628">
        <v>137.80590000000001</v>
      </c>
      <c r="J5628">
        <v>-384.86340000000001</v>
      </c>
      <c r="K5628">
        <v>1.1126590000000001</v>
      </c>
      <c r="L5628">
        <v>142.53550000000001</v>
      </c>
      <c r="M5628">
        <v>-0.99971180000000004</v>
      </c>
      <c r="N5628">
        <v>0</v>
      </c>
      <c r="O5628">
        <v>-2.0111230000000001E-2</v>
      </c>
      <c r="P5628">
        <v>-0.98517299999999997</v>
      </c>
      <c r="Q5628">
        <v>7.5273329999999999E-2</v>
      </c>
      <c r="R5628">
        <v>-0.15416920000000001</v>
      </c>
      <c r="S5628">
        <v>-2.9466860000000001</v>
      </c>
      <c r="T5628">
        <v>-0.1693229</v>
      </c>
      <c r="U5628">
        <v>-0.72135930000000004</v>
      </c>
      <c r="V5628">
        <v>-0.13504939999999999</v>
      </c>
      <c r="W5628">
        <v>8.7101880000000007E-2</v>
      </c>
      <c r="X5628">
        <v>0.98700299999999996</v>
      </c>
      <c r="Y5628">
        <v>-0.21789069999999999</v>
      </c>
      <c r="Z5628">
        <v>-5.0270109999999996E-3</v>
      </c>
      <c r="AA5628">
        <v>0.9759603</v>
      </c>
      <c r="AB5628">
        <v>53</v>
      </c>
      <c r="AC5628">
        <v>-18.853299999999901</v>
      </c>
      <c r="AD5628">
        <v>-1.112665168898</v>
      </c>
      <c r="AE5628">
        <v>-4.7295999999999996</v>
      </c>
      <c r="AF5628">
        <v>-4.3352419536510398</v>
      </c>
      <c r="AG5628">
        <v>-1.112665168898</v>
      </c>
      <c r="AH5628">
        <v>18.882737724524201</v>
      </c>
      <c r="AI5628">
        <v>93.286933364498907</v>
      </c>
      <c r="AJ5628">
        <v>102.93031948561</v>
      </c>
      <c r="AK5628">
        <v>19.405930293287799</v>
      </c>
      <c r="AL5628">
        <v>85.003097889091805</v>
      </c>
      <c r="AM5628">
        <v>97.791270714622996</v>
      </c>
      <c r="AN5628">
        <v>0.999999999974447</v>
      </c>
    </row>
    <row r="5629" spans="1:40" x14ac:dyDescent="0.25">
      <c r="A5629" t="str">
        <f>"20190312172228896"</f>
        <v>20190312172228896</v>
      </c>
      <c r="B5629" t="str">
        <f>"1552382548885966"</f>
        <v>1552382548885966</v>
      </c>
      <c r="C5629" t="s">
        <v>40</v>
      </c>
      <c r="D5629">
        <v>3.3168500000000001</v>
      </c>
      <c r="E5629">
        <v>0.46397929999999998</v>
      </c>
      <c r="F5629" t="s">
        <v>62</v>
      </c>
      <c r="G5629">
        <v>-405.04750000000001</v>
      </c>
      <c r="H5629" s="1">
        <v>-6.6078139999999996E-6</v>
      </c>
      <c r="I5629">
        <v>137.43610000000001</v>
      </c>
      <c r="J5629">
        <v>-385.37790000000001</v>
      </c>
      <c r="K5629">
        <v>1.112789</v>
      </c>
      <c r="L5629">
        <v>142.52379999999999</v>
      </c>
      <c r="M5629">
        <v>-0.99965349999999997</v>
      </c>
      <c r="N5629">
        <v>0</v>
      </c>
      <c r="O5629">
        <v>-2.2809980000000001E-2</v>
      </c>
      <c r="P5629">
        <v>-0.98407800000000001</v>
      </c>
      <c r="Q5629">
        <v>7.5859940000000001E-2</v>
      </c>
      <c r="R5629">
        <v>-0.16073509999999999</v>
      </c>
      <c r="S5629">
        <v>-2.9412229999999999</v>
      </c>
      <c r="T5629">
        <v>-0.16213749999999999</v>
      </c>
      <c r="U5629">
        <v>-0.74307250000000002</v>
      </c>
      <c r="V5629">
        <v>-0.13900019999999999</v>
      </c>
      <c r="W5629">
        <v>8.7641979999999994E-2</v>
      </c>
      <c r="X5629">
        <v>0.98640649999999996</v>
      </c>
      <c r="Y5629">
        <v>-0.22247910000000001</v>
      </c>
      <c r="Z5629">
        <v>-4.7967349999999999E-3</v>
      </c>
      <c r="AA5629">
        <v>0.97492559999999995</v>
      </c>
      <c r="AB5629">
        <v>53</v>
      </c>
      <c r="AC5629">
        <v>-19.669599999999999</v>
      </c>
      <c r="AD5629">
        <v>-1.112795607814</v>
      </c>
      <c r="AE5629">
        <v>-5.0876999999999803</v>
      </c>
      <c r="AF5629">
        <v>-4.6238029521209496</v>
      </c>
      <c r="AG5629">
        <v>-1.112795607814</v>
      </c>
      <c r="AH5629">
        <v>19.7213785983676</v>
      </c>
      <c r="AI5629">
        <v>93.144448061817499</v>
      </c>
      <c r="AJ5629">
        <v>103.195030340835</v>
      </c>
      <c r="AK5629">
        <v>20.286710961241699</v>
      </c>
      <c r="AL5629">
        <v>84.972033529034505</v>
      </c>
      <c r="AM5629">
        <v>98.021063235551495</v>
      </c>
      <c r="AN5629">
        <v>0.99999997775030403</v>
      </c>
    </row>
    <row r="5630" spans="1:40" x14ac:dyDescent="0.25">
      <c r="A5630" t="str">
        <f>"20190312172228920"</f>
        <v>20190312172228920</v>
      </c>
      <c r="B5630" t="str">
        <f>"1552382548916222"</f>
        <v>1552382548916222</v>
      </c>
      <c r="C5630" t="s">
        <v>40</v>
      </c>
      <c r="D5630">
        <v>3.3523499999999999</v>
      </c>
      <c r="E5630">
        <v>0.46425559999999899</v>
      </c>
      <c r="F5630" t="s">
        <v>62</v>
      </c>
      <c r="G5630">
        <v>-405.87779999999998</v>
      </c>
      <c r="H5630" s="1">
        <v>-7.064897E-6</v>
      </c>
      <c r="I5630">
        <v>137.202</v>
      </c>
      <c r="J5630">
        <v>-385.9196</v>
      </c>
      <c r="K5630">
        <v>1.112948</v>
      </c>
      <c r="L5630">
        <v>142.50989999999999</v>
      </c>
      <c r="M5630">
        <v>-0.99958080000000005</v>
      </c>
      <c r="N5630">
        <v>0</v>
      </c>
      <c r="O5630">
        <v>-2.5774209999999999E-2</v>
      </c>
      <c r="P5630">
        <v>-0.98257050000000001</v>
      </c>
      <c r="Q5630">
        <v>7.6712089999999997E-2</v>
      </c>
      <c r="R5630">
        <v>-0.1693239</v>
      </c>
      <c r="S5630">
        <v>-2.93634</v>
      </c>
      <c r="T5630">
        <v>-0.15939329999999999</v>
      </c>
      <c r="U5630">
        <v>-0.7622681</v>
      </c>
      <c r="V5630">
        <v>-0.1447321</v>
      </c>
      <c r="W5630">
        <v>8.8437569999999993E-2</v>
      </c>
      <c r="X5630">
        <v>0.98551080000000002</v>
      </c>
      <c r="Y5630">
        <v>-0.22596079999999999</v>
      </c>
      <c r="Z5630">
        <v>-4.6544990000000003E-3</v>
      </c>
      <c r="AA5630">
        <v>0.97412529999999997</v>
      </c>
      <c r="AB5630">
        <v>53</v>
      </c>
      <c r="AC5630">
        <v>-19.958199999999898</v>
      </c>
      <c r="AD5630">
        <v>-1.1129550648969999</v>
      </c>
      <c r="AE5630">
        <v>-5.3078999999999796</v>
      </c>
      <c r="AF5630">
        <v>-4.7778088727516002</v>
      </c>
      <c r="AG5630">
        <v>-1.1129550648969999</v>
      </c>
      <c r="AH5630">
        <v>20.030214791947301</v>
      </c>
      <c r="AI5630">
        <v>93.093684790102103</v>
      </c>
      <c r="AJ5630">
        <v>103.41607379601101</v>
      </c>
      <c r="AK5630">
        <v>20.6222120833961</v>
      </c>
      <c r="AL5630">
        <v>84.9262723054063</v>
      </c>
      <c r="AM5630">
        <v>98.354734286608604</v>
      </c>
      <c r="AN5630">
        <v>1.0000000607372701</v>
      </c>
    </row>
    <row r="5631" spans="1:40" x14ac:dyDescent="0.25">
      <c r="A5631" t="str">
        <f>"20190312172228942"</f>
        <v>20190312172228942</v>
      </c>
      <c r="B5631" t="str">
        <f>"1552382548936718"</f>
        <v>1552382548936718</v>
      </c>
      <c r="C5631" t="s">
        <v>40</v>
      </c>
      <c r="D5631">
        <v>3.3296109999999999</v>
      </c>
      <c r="E5631">
        <v>0.46440920000000002</v>
      </c>
      <c r="F5631" t="s">
        <v>62</v>
      </c>
      <c r="G5631">
        <v>-406.71910000000003</v>
      </c>
      <c r="H5631" s="1">
        <v>-7.4907829999999997E-6</v>
      </c>
      <c r="I5631">
        <v>136.93889999999999</v>
      </c>
      <c r="J5631">
        <v>-386.44600000000003</v>
      </c>
      <c r="K5631">
        <v>1.113132</v>
      </c>
      <c r="L5631">
        <v>142.4948</v>
      </c>
      <c r="M5631">
        <v>-0.99949739999999998</v>
      </c>
      <c r="N5631">
        <v>0</v>
      </c>
      <c r="O5631">
        <v>-2.8788040000000001E-2</v>
      </c>
      <c r="P5631">
        <v>-0.98084910000000003</v>
      </c>
      <c r="Q5631">
        <v>7.9255950000000006E-2</v>
      </c>
      <c r="R5631">
        <v>-0.177915299999999</v>
      </c>
      <c r="S5631">
        <v>-2.930237</v>
      </c>
      <c r="T5631">
        <v>-0.15679309999999999</v>
      </c>
      <c r="U5631">
        <v>-0.78485109999999902</v>
      </c>
      <c r="V5631">
        <v>-0.1504471</v>
      </c>
      <c r="W5631">
        <v>9.0962689999999999E-2</v>
      </c>
      <c r="X5631">
        <v>0.98442439999999998</v>
      </c>
      <c r="Y5631">
        <v>-0.2305393</v>
      </c>
      <c r="Z5631">
        <v>-4.5457370000000002E-3</v>
      </c>
      <c r="AA5631">
        <v>0.97305240000000004</v>
      </c>
      <c r="AB5631">
        <v>53</v>
      </c>
      <c r="AC5631">
        <v>-20.273099999999999</v>
      </c>
      <c r="AD5631">
        <v>-1.1131394907829999</v>
      </c>
      <c r="AE5631">
        <v>-5.5559000000000003</v>
      </c>
      <c r="AF5631">
        <v>-4.9560249971363497</v>
      </c>
      <c r="AG5631">
        <v>-1.1131394907829999</v>
      </c>
      <c r="AH5631">
        <v>20.367539139884698</v>
      </c>
      <c r="AI5631">
        <v>93.039730226756106</v>
      </c>
      <c r="AJ5631">
        <v>103.67597810754199</v>
      </c>
      <c r="AK5631">
        <v>20.991377132358799</v>
      </c>
      <c r="AL5631">
        <v>84.781007494462898</v>
      </c>
      <c r="AM5631">
        <v>98.689137318065207</v>
      </c>
      <c r="AN5631">
        <v>0.99999997009290198</v>
      </c>
    </row>
    <row r="5632" spans="1:40" x14ac:dyDescent="0.25">
      <c r="A5632" t="str">
        <f>"20190312172228964"</f>
        <v>20190312172228964</v>
      </c>
      <c r="B5632" t="str">
        <f>"1552382548956238"</f>
        <v>1552382548956238</v>
      </c>
      <c r="C5632" t="s">
        <v>40</v>
      </c>
      <c r="D5632">
        <v>3.3846210000000001</v>
      </c>
      <c r="E5632">
        <v>0.46457209999999899</v>
      </c>
      <c r="F5632" t="s">
        <v>62</v>
      </c>
      <c r="G5632">
        <v>-408.22789999999998</v>
      </c>
      <c r="H5632" s="1">
        <v>-8.2219989999999907E-6</v>
      </c>
      <c r="I5632">
        <v>136.46299999999999</v>
      </c>
      <c r="J5632">
        <v>-386.96359999999999</v>
      </c>
      <c r="K5632">
        <v>1.1133390000000001</v>
      </c>
      <c r="L5632">
        <v>142.47819999999999</v>
      </c>
      <c r="M5632">
        <v>-0.99940150000000005</v>
      </c>
      <c r="N5632">
        <v>0</v>
      </c>
      <c r="O5632">
        <v>-3.1877580000000003E-2</v>
      </c>
      <c r="P5632">
        <v>-0.97880659999999997</v>
      </c>
      <c r="Q5632">
        <v>8.2472619999999996E-2</v>
      </c>
      <c r="R5632">
        <v>-0.18744710000000001</v>
      </c>
      <c r="S5632">
        <v>-2.9238279999999999</v>
      </c>
      <c r="T5632">
        <v>-0.1494191</v>
      </c>
      <c r="U5632">
        <v>-0.80966190000000005</v>
      </c>
      <c r="V5632">
        <v>-0.15705520000000001</v>
      </c>
      <c r="W5632">
        <v>9.4201229999999997E-2</v>
      </c>
      <c r="X5632">
        <v>0.98308689999999999</v>
      </c>
      <c r="Y5632">
        <v>-0.23576849999999999</v>
      </c>
      <c r="Z5632">
        <v>-4.3132250000000004E-3</v>
      </c>
      <c r="AA5632">
        <v>0.97179970000000004</v>
      </c>
      <c r="AB5632">
        <v>53</v>
      </c>
      <c r="AC5632">
        <v>-21.264299999999899</v>
      </c>
      <c r="AD5632">
        <v>-1.1133472219989999</v>
      </c>
      <c r="AE5632">
        <v>-6.0151999999999903</v>
      </c>
      <c r="AF5632">
        <v>-5.3207217099321999</v>
      </c>
      <c r="AG5632">
        <v>-1.1133472219989999</v>
      </c>
      <c r="AH5632">
        <v>21.390963717164599</v>
      </c>
      <c r="AI5632">
        <v>92.8914675601347</v>
      </c>
      <c r="AJ5632">
        <v>103.96810928879199</v>
      </c>
      <c r="AK5632">
        <v>22.070862019874301</v>
      </c>
      <c r="AL5632">
        <v>84.594652674550503</v>
      </c>
      <c r="AM5632">
        <v>99.0767116380527</v>
      </c>
      <c r="AN5632">
        <v>1.0000000302660801</v>
      </c>
    </row>
    <row r="5633" spans="1:40" x14ac:dyDescent="0.25">
      <c r="A5633" t="str">
        <f>"20190312172228987"</f>
        <v>20190312172228987</v>
      </c>
      <c r="B5633" t="str">
        <f>"1552382548976734"</f>
        <v>1552382548976734</v>
      </c>
      <c r="C5633" t="s">
        <v>40</v>
      </c>
      <c r="D5633">
        <v>3.401475</v>
      </c>
      <c r="E5633">
        <v>0.46467989999999998</v>
      </c>
      <c r="F5633" t="s">
        <v>62</v>
      </c>
      <c r="G5633">
        <v>-410.08280000000002</v>
      </c>
      <c r="H5633" s="1">
        <v>-9.0133590000000003E-6</v>
      </c>
      <c r="I5633">
        <v>135.8348</v>
      </c>
      <c r="J5633">
        <v>-387.48989999999998</v>
      </c>
      <c r="K5633">
        <v>1.1135550000000001</v>
      </c>
      <c r="L5633">
        <v>142.4597</v>
      </c>
      <c r="M5633">
        <v>-0.99928919999999999</v>
      </c>
      <c r="N5633">
        <v>0</v>
      </c>
      <c r="O5633">
        <v>-3.5150109999999998E-2</v>
      </c>
      <c r="P5633">
        <v>-0.97665480000000005</v>
      </c>
      <c r="Q5633">
        <v>8.5268650000000001E-2</v>
      </c>
      <c r="R5633">
        <v>-0.19716800000000001</v>
      </c>
      <c r="S5633">
        <v>-2.91629</v>
      </c>
      <c r="T5633">
        <v>-0.14043929999999999</v>
      </c>
      <c r="U5633">
        <v>-0.83801270000000005</v>
      </c>
      <c r="V5633">
        <v>-0.16368569999999999</v>
      </c>
      <c r="W5633">
        <v>9.7042489999999995E-2</v>
      </c>
      <c r="X5633">
        <v>0.98172800000000005</v>
      </c>
      <c r="Y5633">
        <v>-0.24200160000000001</v>
      </c>
      <c r="Z5633">
        <v>-4.0522420000000002E-3</v>
      </c>
      <c r="AA5633">
        <v>0.9702674</v>
      </c>
      <c r="AB5633">
        <v>53</v>
      </c>
      <c r="AC5633">
        <v>-22.5929</v>
      </c>
      <c r="AD5633">
        <v>-1.1135640133589999</v>
      </c>
      <c r="AE5633">
        <v>-6.6248999999999896</v>
      </c>
      <c r="AF5633">
        <v>-5.8135838257408299</v>
      </c>
      <c r="AG5633">
        <v>-1.1135640133589999</v>
      </c>
      <c r="AH5633">
        <v>22.76090773452</v>
      </c>
      <c r="AI5633">
        <v>92.713936599645905</v>
      </c>
      <c r="AJ5633">
        <v>104.328127481599</v>
      </c>
      <c r="AK5633">
        <v>23.518008049367101</v>
      </c>
      <c r="AL5633">
        <v>84.431111188423401</v>
      </c>
      <c r="AM5633">
        <v>99.465977218554798</v>
      </c>
      <c r="AN5633">
        <v>1.0000000596169401</v>
      </c>
    </row>
    <row r="5634" spans="1:40" x14ac:dyDescent="0.25">
      <c r="A5634" t="str">
        <f>"20190312172229008"</f>
        <v>20190312172229008</v>
      </c>
      <c r="B5634" t="str">
        <f>"1552382549006628"</f>
        <v>1552382549006628</v>
      </c>
      <c r="C5634" t="s">
        <v>40</v>
      </c>
      <c r="D5634">
        <v>3.430771</v>
      </c>
      <c r="E5634">
        <v>0.46851290000000001</v>
      </c>
      <c r="F5634" t="s">
        <v>62</v>
      </c>
      <c r="G5634">
        <v>-411.79829999999998</v>
      </c>
      <c r="H5634" s="1">
        <v>-8.5944420000000001E-6</v>
      </c>
      <c r="I5634">
        <v>135.22120000000001</v>
      </c>
      <c r="J5634">
        <v>-388.0018</v>
      </c>
      <c r="K5634">
        <v>1.1137680000000001</v>
      </c>
      <c r="L5634">
        <v>142.44</v>
      </c>
      <c r="M5634">
        <v>-0.99916389999999999</v>
      </c>
      <c r="N5634">
        <v>0</v>
      </c>
      <c r="O5634">
        <v>-3.8478459999999999E-2</v>
      </c>
      <c r="P5634">
        <v>-0.97441990000000001</v>
      </c>
      <c r="Q5634">
        <v>8.767556E-2</v>
      </c>
      <c r="R5634">
        <v>-0.2069269</v>
      </c>
      <c r="S5634">
        <v>-2.9084780000000001</v>
      </c>
      <c r="T5634">
        <v>-0.13323699999999999</v>
      </c>
      <c r="U5634">
        <v>-0.86608890000000005</v>
      </c>
      <c r="V5634">
        <v>-0.17031289999999999</v>
      </c>
      <c r="W5634">
        <v>9.9477780000000002E-2</v>
      </c>
      <c r="X5634">
        <v>0.98035589999999995</v>
      </c>
      <c r="Y5634">
        <v>-0.24810160000000001</v>
      </c>
      <c r="Z5634">
        <v>-3.837488E-3</v>
      </c>
      <c r="AA5634">
        <v>0.96872639999999999</v>
      </c>
      <c r="AB5634">
        <v>53</v>
      </c>
      <c r="AC5634">
        <v>-23.796499999999899</v>
      </c>
      <c r="AD5634">
        <v>-1.1137765944419999</v>
      </c>
      <c r="AE5634">
        <v>-7.2187999999999803</v>
      </c>
      <c r="AF5634">
        <v>-6.2851047483417499</v>
      </c>
      <c r="AG5634">
        <v>-1.1137765944419999</v>
      </c>
      <c r="AH5634">
        <v>24.008506677906599</v>
      </c>
      <c r="AI5634">
        <v>92.5696291335627</v>
      </c>
      <c r="AJ5634">
        <v>104.670056051285</v>
      </c>
      <c r="AK5634">
        <v>24.8425327392969</v>
      </c>
      <c r="AL5634">
        <v>84.290900478886797</v>
      </c>
      <c r="AM5634">
        <v>99.855381226584001</v>
      </c>
      <c r="AN5634">
        <v>1.0000000016424699</v>
      </c>
    </row>
    <row r="5635" spans="1:40" x14ac:dyDescent="0.25">
      <c r="A5635" t="str">
        <f>"20190312172229032"</f>
        <v>20190312172229032</v>
      </c>
      <c r="B5635" t="str">
        <f>"1552382549026148"</f>
        <v>1552382549026148</v>
      </c>
      <c r="C5635" t="s">
        <v>40</v>
      </c>
      <c r="D5635">
        <v>3.4641679999999999</v>
      </c>
      <c r="E5635">
        <v>0.46428330000000001</v>
      </c>
      <c r="F5635" t="s">
        <v>62</v>
      </c>
      <c r="G5635">
        <v>-407.90890000000002</v>
      </c>
      <c r="H5635" s="1">
        <v>-8.0477469999999994E-6</v>
      </c>
      <c r="I5635">
        <v>136.51859999999999</v>
      </c>
      <c r="J5635">
        <v>-388.53190000000001</v>
      </c>
      <c r="K5635">
        <v>1.1140099999999999</v>
      </c>
      <c r="L5635">
        <v>142.41759999999999</v>
      </c>
      <c r="M5635">
        <v>-0.99901519999999999</v>
      </c>
      <c r="N5635">
        <v>0</v>
      </c>
      <c r="O5635">
        <v>-4.2104740000000002E-2</v>
      </c>
      <c r="P5635">
        <v>-0.97250020000000004</v>
      </c>
      <c r="Q5635">
        <v>8.808937E-2</v>
      </c>
      <c r="R5635">
        <v>-0.21560080000000001</v>
      </c>
      <c r="S5635">
        <v>-2.9096069999999998</v>
      </c>
      <c r="T5635">
        <v>-0.16278860000000001</v>
      </c>
      <c r="U5635">
        <v>-0.86546329999999905</v>
      </c>
      <c r="V5635">
        <v>-0.17554729999999999</v>
      </c>
      <c r="W5635">
        <v>9.9914760000000005E-2</v>
      </c>
      <c r="X5635">
        <v>0.97938760000000002</v>
      </c>
      <c r="Y5635">
        <v>-0.24420140000000001</v>
      </c>
      <c r="Z5635">
        <v>-4.3814129999999998E-3</v>
      </c>
      <c r="AA5635">
        <v>0.96971459999999998</v>
      </c>
      <c r="AB5635">
        <v>53</v>
      </c>
      <c r="AC5635">
        <v>-19.376999999999999</v>
      </c>
      <c r="AD5635">
        <v>-1.1140180477470001</v>
      </c>
      <c r="AE5635">
        <v>-5.899</v>
      </c>
      <c r="AF5635">
        <v>-5.0625104602854503</v>
      </c>
      <c r="AG5635">
        <v>-1.1140180477470001</v>
      </c>
      <c r="AH5635">
        <v>19.549078300340302</v>
      </c>
      <c r="AI5635">
        <v>93.157575022747807</v>
      </c>
      <c r="AJ5635">
        <v>104.518610403225</v>
      </c>
      <c r="AK5635">
        <v>20.224651066558401</v>
      </c>
      <c r="AL5635">
        <v>84.265737666706002</v>
      </c>
      <c r="AM5635">
        <v>100.16189572027599</v>
      </c>
      <c r="AN5635">
        <v>0.99999994241845203</v>
      </c>
    </row>
    <row r="5636" spans="1:40" x14ac:dyDescent="0.25">
      <c r="A5636" t="str">
        <f>"20190312172229053"</f>
        <v>20190312172229053</v>
      </c>
      <c r="B5636" t="str">
        <f>"1552382549046648"</f>
        <v>1552382549046648</v>
      </c>
      <c r="C5636" t="s">
        <v>40</v>
      </c>
      <c r="D5636">
        <v>3.4531640000000001</v>
      </c>
      <c r="E5636">
        <v>0.43863489999999999</v>
      </c>
      <c r="F5636" t="s">
        <v>62</v>
      </c>
      <c r="G5636">
        <v>-407.3186</v>
      </c>
      <c r="H5636" s="1">
        <v>-7.6366729999999902E-6</v>
      </c>
      <c r="I5636">
        <v>136.41890000000001</v>
      </c>
      <c r="J5636">
        <v>-389.05380000000002</v>
      </c>
      <c r="K5636">
        <v>1.114268</v>
      </c>
      <c r="L5636">
        <v>142.3937</v>
      </c>
      <c r="M5636">
        <v>-0.99884669999999998</v>
      </c>
      <c r="N5636">
        <v>0</v>
      </c>
      <c r="O5636">
        <v>-4.5881760000000001E-2</v>
      </c>
      <c r="P5636">
        <v>-0.97044900000000001</v>
      </c>
      <c r="Q5636">
        <v>8.9103399999999999E-2</v>
      </c>
      <c r="R5636">
        <v>-0.2242527</v>
      </c>
      <c r="S5636">
        <v>-2.895416</v>
      </c>
      <c r="T5636">
        <v>-0.1716926</v>
      </c>
      <c r="U5636">
        <v>-0.92452999999999996</v>
      </c>
      <c r="V5636">
        <v>-0.1806401</v>
      </c>
      <c r="W5636">
        <v>0.1009206</v>
      </c>
      <c r="X5636">
        <v>0.9783579</v>
      </c>
      <c r="Y5636">
        <v>-0.25980560000000003</v>
      </c>
      <c r="Z5636">
        <v>-4.8625639999999998E-3</v>
      </c>
      <c r="AA5636">
        <v>0.96564870000000003</v>
      </c>
      <c r="AB5636">
        <v>52</v>
      </c>
      <c r="AC5636">
        <v>-18.264799999999902</v>
      </c>
      <c r="AD5636">
        <v>-1.114275636673</v>
      </c>
      <c r="AE5636">
        <v>-5.9747999999999797</v>
      </c>
      <c r="AF5636">
        <v>-5.1132106156348902</v>
      </c>
      <c r="AG5636">
        <v>-1.114275636673</v>
      </c>
      <c r="AH5636">
        <v>18.457667189212899</v>
      </c>
      <c r="AI5636">
        <v>93.329609783926699</v>
      </c>
      <c r="AJ5636">
        <v>105.483990823504</v>
      </c>
      <c r="AK5636">
        <v>19.185202919491701</v>
      </c>
      <c r="AL5636">
        <v>84.207814810187102</v>
      </c>
      <c r="AM5636">
        <v>100.461051942599</v>
      </c>
      <c r="AN5636">
        <v>0.99999999686239005</v>
      </c>
    </row>
    <row r="5637" spans="1:40" x14ac:dyDescent="0.25">
      <c r="A5637" t="str">
        <f>"20190312172229075"</f>
        <v>20190312172229075</v>
      </c>
      <c r="B5637" t="str">
        <f>"1552382549066164"</f>
        <v>1552382549066164</v>
      </c>
      <c r="C5637" t="s">
        <v>40</v>
      </c>
      <c r="D5637">
        <v>3.4267050000000001</v>
      </c>
      <c r="E5637">
        <v>0.43636180000000002</v>
      </c>
      <c r="F5637" t="s">
        <v>62</v>
      </c>
      <c r="G5637">
        <v>-406.99959999999999</v>
      </c>
      <c r="H5637" s="1">
        <v>-6.86505599999999E-6</v>
      </c>
      <c r="I5637">
        <v>135.13499999999999</v>
      </c>
      <c r="J5637">
        <v>-389.56639999999999</v>
      </c>
      <c r="K5637">
        <v>1.114547</v>
      </c>
      <c r="L5637">
        <v>142.3681</v>
      </c>
      <c r="M5637">
        <v>-0.99865570000000004</v>
      </c>
      <c r="N5637">
        <v>0</v>
      </c>
      <c r="O5637">
        <v>-4.9825559999999998E-2</v>
      </c>
      <c r="P5637">
        <v>-0.96836409999999995</v>
      </c>
      <c r="Q5637">
        <v>9.2096849999999994E-2</v>
      </c>
      <c r="R5637">
        <v>-0.23192599999999999</v>
      </c>
      <c r="S5637">
        <v>-2.8419189999999999</v>
      </c>
      <c r="T5637">
        <v>-0.1764579</v>
      </c>
      <c r="U5637">
        <v>-1.1494899999999999</v>
      </c>
      <c r="V5637">
        <v>-0.18463360000000001</v>
      </c>
      <c r="W5637">
        <v>0.10388799999999999</v>
      </c>
      <c r="X5637">
        <v>0.97730119999999998</v>
      </c>
      <c r="Y5637">
        <v>-0.327847</v>
      </c>
      <c r="Z5637">
        <v>-6.8181750000000001E-3</v>
      </c>
      <c r="AA5637">
        <v>0.9447063</v>
      </c>
      <c r="AB5637">
        <v>52</v>
      </c>
      <c r="AC5637">
        <v>-17.433199999999999</v>
      </c>
      <c r="AD5637">
        <v>-1.1145538650559901</v>
      </c>
      <c r="AE5637">
        <v>-7.2331000000000003</v>
      </c>
      <c r="AF5637">
        <v>-6.3333214987416397</v>
      </c>
      <c r="AG5637">
        <v>-1.1145538650559901</v>
      </c>
      <c r="AH5637">
        <v>17.7102148844927</v>
      </c>
      <c r="AI5637">
        <v>93.391252483185298</v>
      </c>
      <c r="AJ5637">
        <v>109.677476514821</v>
      </c>
      <c r="AK5637">
        <v>18.841573787224899</v>
      </c>
      <c r="AL5637">
        <v>84.036896482586997</v>
      </c>
      <c r="AM5637">
        <v>100.698336987709</v>
      </c>
      <c r="AN5637">
        <v>0.99999995915719897</v>
      </c>
    </row>
    <row r="5638" spans="1:40" x14ac:dyDescent="0.25">
      <c r="A5638" t="str">
        <f>"20190312172229097"</f>
        <v>20190312172229097</v>
      </c>
      <c r="B5638" t="str">
        <f>"1552382549086664"</f>
        <v>1552382549086664</v>
      </c>
      <c r="C5638" t="s">
        <v>40</v>
      </c>
      <c r="D5638">
        <v>3.4792390000000002</v>
      </c>
      <c r="E5638">
        <v>0.43641849999999999</v>
      </c>
      <c r="F5638" t="s">
        <v>62</v>
      </c>
      <c r="G5638">
        <v>-408.87119999999999</v>
      </c>
      <c r="H5638" s="1">
        <v>-7.6544249999999907E-6</v>
      </c>
      <c r="I5638">
        <v>134.2482</v>
      </c>
      <c r="J5638">
        <v>-390.08150000000001</v>
      </c>
      <c r="K5638">
        <v>1.114857</v>
      </c>
      <c r="L5638">
        <v>142.34020000000001</v>
      </c>
      <c r="M5638">
        <v>-0.99843380000000004</v>
      </c>
      <c r="N5638">
        <v>0</v>
      </c>
      <c r="O5638">
        <v>-5.405273E-2</v>
      </c>
      <c r="P5638">
        <v>-0.96594380000000002</v>
      </c>
      <c r="Q5638">
        <v>9.5787419999999998E-2</v>
      </c>
      <c r="R5638">
        <v>-0.24036930000000001</v>
      </c>
      <c r="S5638">
        <v>-2.8285520000000002</v>
      </c>
      <c r="T5638">
        <v>-0.16330520000000001</v>
      </c>
      <c r="U5638">
        <v>-1.1897279999999999</v>
      </c>
      <c r="V5638">
        <v>-0.18916559999999999</v>
      </c>
      <c r="W5638">
        <v>0.10751579999999999</v>
      </c>
      <c r="X5638">
        <v>0.97604139999999995</v>
      </c>
      <c r="Y5638">
        <v>-0.33691840000000001</v>
      </c>
      <c r="Z5638">
        <v>-6.3405919999999999E-3</v>
      </c>
      <c r="AA5638">
        <v>0.94151249999999997</v>
      </c>
      <c r="AB5638">
        <v>52</v>
      </c>
      <c r="AC5638">
        <v>-18.7896999999999</v>
      </c>
      <c r="AD5638">
        <v>-1.114864654425</v>
      </c>
      <c r="AE5638">
        <v>-8.0920000000000094</v>
      </c>
      <c r="AF5638">
        <v>-7.0435101540542702</v>
      </c>
      <c r="AG5638">
        <v>-1.114864654425</v>
      </c>
      <c r="AH5638">
        <v>19.1428168797292</v>
      </c>
      <c r="AI5638">
        <v>93.128496586533004</v>
      </c>
      <c r="AJ5638">
        <v>110.20085657243899</v>
      </c>
      <c r="AK5638">
        <v>20.427956250657999</v>
      </c>
      <c r="AL5638">
        <v>83.827868237419807</v>
      </c>
      <c r="AM5638">
        <v>100.968454357357</v>
      </c>
      <c r="AN5638">
        <v>1.0000000429934699</v>
      </c>
    </row>
    <row r="5639" spans="1:40" x14ac:dyDescent="0.25">
      <c r="A5639" t="str">
        <f>"20190312172229121"</f>
        <v>20190312172229121</v>
      </c>
      <c r="B5639" t="str">
        <f>"1552382549115940"</f>
        <v>1552382549115940</v>
      </c>
      <c r="C5639" t="s">
        <v>40</v>
      </c>
      <c r="D5639">
        <v>3.4753949999999998</v>
      </c>
      <c r="E5639">
        <v>0.43706319999999999</v>
      </c>
      <c r="F5639" t="s">
        <v>62</v>
      </c>
      <c r="G5639">
        <v>-409.64150000000001</v>
      </c>
      <c r="H5639" s="1">
        <v>-7.9933179999999994E-6</v>
      </c>
      <c r="I5639">
        <v>133.9265</v>
      </c>
      <c r="J5639">
        <v>-390.62240000000003</v>
      </c>
      <c r="K5639">
        <v>1.115186</v>
      </c>
      <c r="L5639">
        <v>142.3083</v>
      </c>
      <c r="M5639">
        <v>-0.99816329999999998</v>
      </c>
      <c r="N5639">
        <v>0</v>
      </c>
      <c r="O5639">
        <v>-5.8805669999999997E-2</v>
      </c>
      <c r="P5639">
        <v>-0.96285759999999998</v>
      </c>
      <c r="Q5639">
        <v>9.8200560000000006E-2</v>
      </c>
      <c r="R5639">
        <v>-0.2515192</v>
      </c>
      <c r="S5639">
        <v>-2.819855</v>
      </c>
      <c r="T5639">
        <v>-0.1607237</v>
      </c>
      <c r="U5639">
        <v>-1.212952</v>
      </c>
      <c r="V5639">
        <v>-0.19593369999999999</v>
      </c>
      <c r="W5639">
        <v>0.10980289999999999</v>
      </c>
      <c r="X5639">
        <v>0.97445029999999999</v>
      </c>
      <c r="Y5639">
        <v>-0.34004899999999999</v>
      </c>
      <c r="Z5639">
        <v>-6.0766419999999897E-3</v>
      </c>
      <c r="AA5639">
        <v>0.94038809999999995</v>
      </c>
      <c r="AB5639">
        <v>52</v>
      </c>
      <c r="AC5639">
        <v>-19.019099999999899</v>
      </c>
      <c r="AD5639">
        <v>-1.115193993318</v>
      </c>
      <c r="AE5639">
        <v>-8.3817999999999895</v>
      </c>
      <c r="AF5639">
        <v>-7.2279333750840999</v>
      </c>
      <c r="AG5639">
        <v>-1.115193993318</v>
      </c>
      <c r="AH5639">
        <v>19.4232103460837</v>
      </c>
      <c r="AI5639">
        <v>93.080141975516</v>
      </c>
      <c r="AJ5639">
        <v>110.41167668240701</v>
      </c>
      <c r="AK5639">
        <v>20.754464065969</v>
      </c>
      <c r="AL5639">
        <v>83.696046502597397</v>
      </c>
      <c r="AM5639">
        <v>101.36892414839799</v>
      </c>
      <c r="AN5639">
        <v>1.00000003940709</v>
      </c>
    </row>
    <row r="5640" spans="1:40" x14ac:dyDescent="0.25">
      <c r="A5640" t="str">
        <f>"20190312172229143"</f>
        <v>20190312172229143</v>
      </c>
      <c r="B5640" t="str">
        <f>"1552382549136436"</f>
        <v>1552382549136436</v>
      </c>
      <c r="C5640" t="s">
        <v>40</v>
      </c>
      <c r="D5640">
        <v>3.524832</v>
      </c>
      <c r="E5640">
        <v>0.43770249999999999</v>
      </c>
      <c r="F5640" t="s">
        <v>41</v>
      </c>
      <c r="G5640">
        <v>-391.76679999999999</v>
      </c>
      <c r="H5640">
        <v>1.048935</v>
      </c>
      <c r="I5640">
        <v>141.8031</v>
      </c>
      <c r="J5640">
        <v>-391.13929999999999</v>
      </c>
      <c r="K5640">
        <v>1.115505</v>
      </c>
      <c r="L5640">
        <v>142.27510000000001</v>
      </c>
      <c r="M5640">
        <v>-0.99786280000000005</v>
      </c>
      <c r="N5640">
        <v>0</v>
      </c>
      <c r="O5640">
        <v>-6.3674930000000005E-2</v>
      </c>
      <c r="P5640">
        <v>-0.95983309999999999</v>
      </c>
      <c r="Q5640">
        <v>9.6388160000000001E-2</v>
      </c>
      <c r="R5640">
        <v>-0.26349479999999997</v>
      </c>
      <c r="S5640">
        <v>-2.8084410000000002</v>
      </c>
      <c r="T5640">
        <v>-0.1625856</v>
      </c>
      <c r="U5640">
        <v>-1.23996</v>
      </c>
      <c r="V5640">
        <v>-0.2033713</v>
      </c>
      <c r="W5640">
        <v>0.1078301</v>
      </c>
      <c r="X5640">
        <v>0.97314579999999995</v>
      </c>
      <c r="Y5640">
        <v>-0.34443000000000001</v>
      </c>
      <c r="Z5640">
        <v>-6.0127509999999898E-3</v>
      </c>
      <c r="AA5640">
        <v>0.93879279999999998</v>
      </c>
      <c r="AB5640">
        <v>52</v>
      </c>
      <c r="AC5640">
        <v>-0.62749999999999695</v>
      </c>
      <c r="AD5640">
        <v>-6.6570000000000004E-2</v>
      </c>
      <c r="AE5640">
        <v>-0.47200000000000802</v>
      </c>
      <c r="AF5640">
        <v>-0.42800522534924601</v>
      </c>
      <c r="AG5640">
        <v>-6.6570000000000004E-2</v>
      </c>
      <c r="AH5640">
        <v>0.65160056718419301</v>
      </c>
      <c r="AI5640">
        <v>94.880661577584405</v>
      </c>
      <c r="AJ5640">
        <v>123.298995956654</v>
      </c>
      <c r="AK5640">
        <v>0.78243423811910295</v>
      </c>
      <c r="AL5640">
        <v>83.809754491728597</v>
      </c>
      <c r="AM5640">
        <v>101.803980019165</v>
      </c>
      <c r="AN5640">
        <v>0.99999998209366903</v>
      </c>
    </row>
    <row r="5641" spans="1:40" x14ac:dyDescent="0.25">
      <c r="A5641" t="str">
        <f>"20190312172229164"</f>
        <v>20190312172229164</v>
      </c>
      <c r="B5641" t="str">
        <f>"1552382549155956"</f>
        <v>1552382549155956</v>
      </c>
      <c r="C5641" t="s">
        <v>40</v>
      </c>
      <c r="D5641">
        <v>3.4733399999999999</v>
      </c>
      <c r="E5641">
        <v>0.43846790000000002</v>
      </c>
      <c r="F5641" t="s">
        <v>41</v>
      </c>
      <c r="G5641">
        <v>-392.23250000000002</v>
      </c>
      <c r="H5641">
        <v>1.0476209999999999</v>
      </c>
      <c r="I5641">
        <v>141.779</v>
      </c>
      <c r="J5641">
        <v>-391.6388</v>
      </c>
      <c r="K5641">
        <v>1.1157999999999999</v>
      </c>
      <c r="L5641">
        <v>142.2406</v>
      </c>
      <c r="M5641">
        <v>-0.99753239999999999</v>
      </c>
      <c r="N5641">
        <v>0</v>
      </c>
      <c r="O5641">
        <v>-6.8637399999999904E-2</v>
      </c>
      <c r="P5641">
        <v>-0.95649430000000002</v>
      </c>
      <c r="Q5641">
        <v>9.4825229999999996E-2</v>
      </c>
      <c r="R5641">
        <v>-0.27591149999999998</v>
      </c>
      <c r="S5641">
        <v>-2.7945859999999998</v>
      </c>
      <c r="T5641">
        <v>-0.173516899999999</v>
      </c>
      <c r="U5641">
        <v>-1.268921</v>
      </c>
      <c r="V5641">
        <v>-0.21119199999999999</v>
      </c>
      <c r="W5641">
        <v>0.1060807</v>
      </c>
      <c r="X5641">
        <v>0.97167119999999996</v>
      </c>
      <c r="Y5641">
        <v>-0.34951579999999999</v>
      </c>
      <c r="Z5641">
        <v>-6.2921629999999999E-3</v>
      </c>
      <c r="AA5641">
        <v>0.93690929999999994</v>
      </c>
      <c r="AB5641">
        <v>52</v>
      </c>
      <c r="AC5641">
        <v>-0.593700000000012</v>
      </c>
      <c r="AD5641">
        <v>-6.8178999999999906E-2</v>
      </c>
      <c r="AE5641">
        <v>-0.46160000000000401</v>
      </c>
      <c r="AF5641">
        <v>-0.41633477271237301</v>
      </c>
      <c r="AG5641">
        <v>-6.8178999999999906E-2</v>
      </c>
      <c r="AH5641">
        <v>0.61889920728140901</v>
      </c>
      <c r="AI5641">
        <v>95.222590087506703</v>
      </c>
      <c r="AJ5641">
        <v>123.928802969983</v>
      </c>
      <c r="AK5641">
        <v>0.74901218133220004</v>
      </c>
      <c r="AL5641">
        <v>83.910566421670893</v>
      </c>
      <c r="AM5641">
        <v>102.262472535029</v>
      </c>
      <c r="AN5641">
        <v>1.0000000483429601</v>
      </c>
    </row>
    <row r="5642" spans="1:40" x14ac:dyDescent="0.25">
      <c r="A5642" t="str">
        <f>"20190312172229186"</f>
        <v>20190312172229186</v>
      </c>
      <c r="B5642" t="str">
        <f>"1552382549176455"</f>
        <v>1552382549176455</v>
      </c>
      <c r="C5642" t="s">
        <v>40</v>
      </c>
      <c r="D5642">
        <v>3.4968439999999998</v>
      </c>
      <c r="E5642">
        <v>0.44574059999999999</v>
      </c>
      <c r="F5642" t="s">
        <v>41</v>
      </c>
      <c r="G5642">
        <v>-392.73009999999999</v>
      </c>
      <c r="H5642">
        <v>1.0441560000000001</v>
      </c>
      <c r="I5642">
        <v>141.73140000000001</v>
      </c>
      <c r="J5642">
        <v>-392.15609999999998</v>
      </c>
      <c r="K5642">
        <v>1.116123</v>
      </c>
      <c r="L5642">
        <v>142.2021</v>
      </c>
      <c r="M5642">
        <v>-0.99714400000000003</v>
      </c>
      <c r="N5642">
        <v>0</v>
      </c>
      <c r="O5642">
        <v>-7.4047470000000004E-2</v>
      </c>
      <c r="P5642">
        <v>-0.95319770000000004</v>
      </c>
      <c r="Q5642">
        <v>9.4178650000000003E-2</v>
      </c>
      <c r="R5642">
        <v>-0.28730640000000002</v>
      </c>
      <c r="S5642">
        <v>-2.7802730000000002</v>
      </c>
      <c r="T5642">
        <v>-0.18252750000000001</v>
      </c>
      <c r="U5642">
        <v>-1.297455</v>
      </c>
      <c r="V5642">
        <v>-0.21758730000000001</v>
      </c>
      <c r="W5642">
        <v>0.10524799999999999</v>
      </c>
      <c r="X5642">
        <v>0.97034969999999998</v>
      </c>
      <c r="Y5642">
        <v>-0.35412339999999998</v>
      </c>
      <c r="Z5642">
        <v>-6.4456319999999998E-3</v>
      </c>
      <c r="AA5642">
        <v>0.93517649999999997</v>
      </c>
      <c r="AB5642">
        <v>52</v>
      </c>
      <c r="AC5642">
        <v>-0.57400000000001195</v>
      </c>
      <c r="AD5642">
        <v>-7.19670000000001E-2</v>
      </c>
      <c r="AE5642">
        <v>-0.47069999999999301</v>
      </c>
      <c r="AF5642">
        <v>-0.42292444352043201</v>
      </c>
      <c r="AG5642">
        <v>-7.19670000000001E-2</v>
      </c>
      <c r="AH5642">
        <v>0.60162707665743698</v>
      </c>
      <c r="AI5642">
        <v>95.589190682580906</v>
      </c>
      <c r="AJ5642">
        <v>125.105982368703</v>
      </c>
      <c r="AK5642">
        <v>0.73891777173339201</v>
      </c>
      <c r="AL5642">
        <v>83.958544657562101</v>
      </c>
      <c r="AM5642">
        <v>102.63870999469999</v>
      </c>
      <c r="AN5642">
        <v>0.99999995745768899</v>
      </c>
    </row>
    <row r="5643" spans="1:40" x14ac:dyDescent="0.25">
      <c r="A5643" t="str">
        <f>"20190312172229209"</f>
        <v>20190312172229209</v>
      </c>
      <c r="B5643" t="str">
        <f>"1552382549196557"</f>
        <v>1552382549196557</v>
      </c>
      <c r="C5643" t="s">
        <v>40</v>
      </c>
      <c r="D5643">
        <v>3.527247</v>
      </c>
      <c r="E5643">
        <v>0.44714589999999999</v>
      </c>
      <c r="F5643" t="s">
        <v>62</v>
      </c>
      <c r="G5643">
        <v>-406.4803</v>
      </c>
      <c r="H5643" s="1">
        <v>-6.7520699999999997E-6</v>
      </c>
      <c r="I5643">
        <v>135.65180000000001</v>
      </c>
      <c r="J5643">
        <v>-392.6705</v>
      </c>
      <c r="K5643">
        <v>1.11646</v>
      </c>
      <c r="L5643">
        <v>142.161</v>
      </c>
      <c r="M5643">
        <v>-0.99670650000000005</v>
      </c>
      <c r="N5643">
        <v>0</v>
      </c>
      <c r="O5643">
        <v>-7.9704940000000002E-2</v>
      </c>
      <c r="P5643">
        <v>-0.94935499999999995</v>
      </c>
      <c r="Q5643">
        <v>9.5690059999999993E-2</v>
      </c>
      <c r="R5643">
        <v>-0.2992804</v>
      </c>
      <c r="S5643">
        <v>-2.7849119999999998</v>
      </c>
      <c r="T5643">
        <v>-0.21699840000000001</v>
      </c>
      <c r="U5643">
        <v>-1.273514</v>
      </c>
      <c r="V5643">
        <v>-0.2244149</v>
      </c>
      <c r="W5643">
        <v>0.1065391</v>
      </c>
      <c r="X5643">
        <v>0.96865239999999997</v>
      </c>
      <c r="Y5643">
        <v>-0.34140310000000001</v>
      </c>
      <c r="Z5643">
        <v>-6.7746380000000004E-3</v>
      </c>
      <c r="AA5643">
        <v>0.93989259999999997</v>
      </c>
      <c r="AB5643">
        <v>52</v>
      </c>
      <c r="AC5643">
        <v>-13.8097999999999</v>
      </c>
      <c r="AD5643">
        <v>-1.11646675207</v>
      </c>
      <c r="AE5643">
        <v>-6.5091999999999901</v>
      </c>
      <c r="AF5643">
        <v>-5.3589946151444003</v>
      </c>
      <c r="AG5643">
        <v>-1.11646675207</v>
      </c>
      <c r="AH5643">
        <v>14.2087402078254</v>
      </c>
      <c r="AI5643">
        <v>94.204858643657005</v>
      </c>
      <c r="AJ5643">
        <v>110.664561379101</v>
      </c>
      <c r="AK5643">
        <v>15.226740281068</v>
      </c>
      <c r="AL5643">
        <v>83.884152357747595</v>
      </c>
      <c r="AM5643">
        <v>103.04401197956</v>
      </c>
      <c r="AN5643">
        <v>1.0000000495982799</v>
      </c>
    </row>
    <row r="5644" spans="1:40" x14ac:dyDescent="0.25">
      <c r="A5644" t="str">
        <f>"20190312172229232"</f>
        <v>20190312172229232</v>
      </c>
      <c r="B5644" t="str">
        <f>"1552382549225837"</f>
        <v>1552382549225837</v>
      </c>
      <c r="C5644" t="s">
        <v>40</v>
      </c>
      <c r="D5644">
        <v>3.5391720000000002</v>
      </c>
      <c r="E5644">
        <v>0.4478646</v>
      </c>
      <c r="F5644" t="s">
        <v>62</v>
      </c>
      <c r="G5644">
        <v>-406.9855</v>
      </c>
      <c r="H5644" s="1">
        <v>-7.0034289999999999E-6</v>
      </c>
      <c r="I5644">
        <v>135.4521</v>
      </c>
      <c r="J5644">
        <v>-393.2</v>
      </c>
      <c r="K5644">
        <v>1.1168149999999999</v>
      </c>
      <c r="L5644">
        <v>142.1156</v>
      </c>
      <c r="M5644">
        <v>-0.99619749999999996</v>
      </c>
      <c r="N5644">
        <v>0</v>
      </c>
      <c r="O5644">
        <v>-8.5819380000000001E-2</v>
      </c>
      <c r="P5644">
        <v>-0.94467630000000002</v>
      </c>
      <c r="Q5644">
        <v>0.1000981</v>
      </c>
      <c r="R5644">
        <v>-0.31235760000000001</v>
      </c>
      <c r="S5644">
        <v>-2.7722470000000001</v>
      </c>
      <c r="T5644">
        <v>-0.2162163</v>
      </c>
      <c r="U5644">
        <v>-1.2992709999999901</v>
      </c>
      <c r="V5644">
        <v>-0.23204839999999999</v>
      </c>
      <c r="W5644">
        <v>0.11067970000000001</v>
      </c>
      <c r="X5644">
        <v>0.96638690000000005</v>
      </c>
      <c r="Y5644">
        <v>-0.34445360000000003</v>
      </c>
      <c r="Z5644">
        <v>-6.4317580000000001E-3</v>
      </c>
      <c r="AA5644">
        <v>0.93878130000000004</v>
      </c>
      <c r="AB5644">
        <v>52</v>
      </c>
      <c r="AC5644">
        <v>-13.785500000000001</v>
      </c>
      <c r="AD5644">
        <v>-1.116822003429</v>
      </c>
      <c r="AE5644">
        <v>-6.6634999999999902</v>
      </c>
      <c r="AF5644">
        <v>-5.4268421911270002</v>
      </c>
      <c r="AG5644">
        <v>-1.116822003429</v>
      </c>
      <c r="AH5644">
        <v>14.2308401360995</v>
      </c>
      <c r="AI5644">
        <v>94.193884802235004</v>
      </c>
      <c r="AJ5644">
        <v>110.874038328471</v>
      </c>
      <c r="AK5644">
        <v>15.271369242276901</v>
      </c>
      <c r="AL5644">
        <v>83.645501540279298</v>
      </c>
      <c r="AM5644">
        <v>103.502210457858</v>
      </c>
      <c r="AN5644">
        <v>1.0000000482131199</v>
      </c>
    </row>
    <row r="5645" spans="1:40" x14ac:dyDescent="0.25">
      <c r="A5645" t="str">
        <f>"20190312172229254"</f>
        <v>20190312172229254</v>
      </c>
      <c r="B5645" t="str">
        <f>"1552382549246336"</f>
        <v>1552382549246336</v>
      </c>
      <c r="C5645" t="s">
        <v>40</v>
      </c>
      <c r="D5645">
        <v>3.5503010000000002</v>
      </c>
      <c r="E5645">
        <v>0.45232869999999997</v>
      </c>
      <c r="F5645" t="s">
        <v>62</v>
      </c>
      <c r="G5645">
        <v>-408.27100000000002</v>
      </c>
      <c r="H5645" s="1">
        <v>-7.532644E-6</v>
      </c>
      <c r="I5645">
        <v>134.8245</v>
      </c>
      <c r="J5645">
        <v>-393.70920000000001</v>
      </c>
      <c r="K5645">
        <v>1.11717</v>
      </c>
      <c r="L5645">
        <v>142.06890000000001</v>
      </c>
      <c r="M5645">
        <v>-0.99564620000000004</v>
      </c>
      <c r="N5645">
        <v>0</v>
      </c>
      <c r="O5645">
        <v>-9.1985540000000005E-2</v>
      </c>
      <c r="P5645">
        <v>-0.93972169999999999</v>
      </c>
      <c r="Q5645">
        <v>0.10463939999999999</v>
      </c>
      <c r="R5645">
        <v>-0.3255363</v>
      </c>
      <c r="S5645">
        <v>-2.7564090000000001</v>
      </c>
      <c r="T5645">
        <v>-0.20426140000000001</v>
      </c>
      <c r="U5645">
        <v>-1.3335109999999999</v>
      </c>
      <c r="V5645">
        <v>-0.23979800000000001</v>
      </c>
      <c r="W5645">
        <v>0.11492819999999999</v>
      </c>
      <c r="X5645">
        <v>0.96399610000000002</v>
      </c>
      <c r="Y5645">
        <v>-0.35027000000000003</v>
      </c>
      <c r="Z5645">
        <v>-5.8709909999999999E-3</v>
      </c>
      <c r="AA5645">
        <v>0.93663039999999997</v>
      </c>
      <c r="AB5645">
        <v>52</v>
      </c>
      <c r="AC5645">
        <v>-14.5617999999999</v>
      </c>
      <c r="AD5645">
        <v>-1.1171775326440001</v>
      </c>
      <c r="AE5645">
        <v>-7.2444000000000104</v>
      </c>
      <c r="AF5645">
        <v>-5.8464672926127497</v>
      </c>
      <c r="AG5645">
        <v>-1.1171775326440001</v>
      </c>
      <c r="AH5645">
        <v>15.0952825440122</v>
      </c>
      <c r="AI5645">
        <v>93.947896194141407</v>
      </c>
      <c r="AJ5645">
        <v>111.171598131723</v>
      </c>
      <c r="AK5645">
        <v>16.226423528510299</v>
      </c>
      <c r="AL5645">
        <v>83.400516421401207</v>
      </c>
      <c r="AM5645">
        <v>103.969039085162</v>
      </c>
      <c r="AN5645">
        <v>1.00000002638722</v>
      </c>
    </row>
    <row r="5646" spans="1:40" x14ac:dyDescent="0.25">
      <c r="A5646" t="str">
        <f>"20190312172229276"</f>
        <v>20190312172229276</v>
      </c>
      <c r="B5646" t="str">
        <f>"1552382549265853"</f>
        <v>1552382549265853</v>
      </c>
      <c r="C5646" t="s">
        <v>40</v>
      </c>
      <c r="D5646">
        <v>3.504311</v>
      </c>
      <c r="E5646">
        <v>0.45298919999999998</v>
      </c>
      <c r="F5646" t="s">
        <v>62</v>
      </c>
      <c r="G5646">
        <v>-409.11380000000003</v>
      </c>
      <c r="H5646" s="1">
        <v>-7.9514309999999996E-6</v>
      </c>
      <c r="I5646">
        <v>134.5822</v>
      </c>
      <c r="J5646">
        <v>-394.22469999999998</v>
      </c>
      <c r="K5646">
        <v>1.1175139999999999</v>
      </c>
      <c r="L5646">
        <v>142.01830000000001</v>
      </c>
      <c r="M5646">
        <v>-0.99501989999999996</v>
      </c>
      <c r="N5646">
        <v>0</v>
      </c>
      <c r="O5646">
        <v>-9.8520220000000006E-2</v>
      </c>
      <c r="P5646">
        <v>-0.93549649999999995</v>
      </c>
      <c r="Q5646">
        <v>0.1081481</v>
      </c>
      <c r="R5646">
        <v>-0.33637879999999998</v>
      </c>
      <c r="S5646">
        <v>-2.751404</v>
      </c>
      <c r="T5646">
        <v>-0.19953789999999999</v>
      </c>
      <c r="U5646">
        <v>-1.337189</v>
      </c>
      <c r="V5646">
        <v>-0.2448217</v>
      </c>
      <c r="W5646">
        <v>0.1181789</v>
      </c>
      <c r="X5646">
        <v>0.9623389</v>
      </c>
      <c r="Y5646">
        <v>-0.34584670000000001</v>
      </c>
      <c r="Z5646">
        <v>-5.1497269999999998E-3</v>
      </c>
      <c r="AA5646">
        <v>0.93827689999999997</v>
      </c>
      <c r="AB5646">
        <v>52</v>
      </c>
      <c r="AC5646">
        <v>-14.889099999999999</v>
      </c>
      <c r="AD5646">
        <v>-1.117521951431</v>
      </c>
      <c r="AE5646">
        <v>-7.4360999999999997</v>
      </c>
      <c r="AF5646">
        <v>-5.9062397750799098</v>
      </c>
      <c r="AG5646">
        <v>-1.117521951431</v>
      </c>
      <c r="AH5646">
        <v>15.4795443957546</v>
      </c>
      <c r="AI5646">
        <v>93.858781857048996</v>
      </c>
      <c r="AJ5646">
        <v>110.88441704574799</v>
      </c>
      <c r="AK5646">
        <v>16.605686324051899</v>
      </c>
      <c r="AL5646">
        <v>83.212986902279496</v>
      </c>
      <c r="AM5646">
        <v>104.273418735154</v>
      </c>
      <c r="AN5646">
        <v>1.0000000378246501</v>
      </c>
    </row>
    <row r="5647" spans="1:40" x14ac:dyDescent="0.25">
      <c r="A5647" t="str">
        <f>"20190312172229299"</f>
        <v>20190312172229299</v>
      </c>
      <c r="B5647" t="str">
        <f>"1552382549285879"</f>
        <v>1552382549285879</v>
      </c>
      <c r="C5647" t="s">
        <v>40</v>
      </c>
      <c r="D5647">
        <v>3.5074429999999999</v>
      </c>
      <c r="E5647">
        <v>0.45407609999999898</v>
      </c>
      <c r="F5647" t="s">
        <v>62</v>
      </c>
      <c r="G5647">
        <v>-410.08980000000003</v>
      </c>
      <c r="H5647" s="1">
        <v>-8.2605669999999999E-6</v>
      </c>
      <c r="I5647">
        <v>134.114</v>
      </c>
      <c r="J5647">
        <v>-394.73430000000002</v>
      </c>
      <c r="K5647">
        <v>1.117864</v>
      </c>
      <c r="L5647">
        <v>141.9648</v>
      </c>
      <c r="M5647">
        <v>-0.99432560000000003</v>
      </c>
      <c r="N5647">
        <v>0</v>
      </c>
      <c r="O5647">
        <v>-0.1052873</v>
      </c>
      <c r="P5647">
        <v>-0.93153269999999999</v>
      </c>
      <c r="Q5647">
        <v>0.1120826</v>
      </c>
      <c r="R5647">
        <v>-0.3459545</v>
      </c>
      <c r="S5647">
        <v>-2.7385860000000002</v>
      </c>
      <c r="T5647">
        <v>-0.19290299999999999</v>
      </c>
      <c r="U5647">
        <v>-1.3644099999999999</v>
      </c>
      <c r="V5647">
        <v>-0.2483775</v>
      </c>
      <c r="W5647">
        <v>0.12186900000000001</v>
      </c>
      <c r="X5647">
        <v>0.96096649999999995</v>
      </c>
      <c r="Y5647">
        <v>-0.34872969999999998</v>
      </c>
      <c r="Z5647">
        <v>-4.6432399999999999E-3</v>
      </c>
      <c r="AA5647">
        <v>0.93721189999999999</v>
      </c>
      <c r="AB5647">
        <v>52</v>
      </c>
      <c r="AC5647">
        <v>-15.355499999999999</v>
      </c>
      <c r="AD5647">
        <v>-1.117872260567</v>
      </c>
      <c r="AE5647">
        <v>-7.8507999999999898</v>
      </c>
      <c r="AF5647">
        <v>-6.1643284218716099</v>
      </c>
      <c r="AG5647">
        <v>-1.117872260567</v>
      </c>
      <c r="AH5647">
        <v>16.0294691902469</v>
      </c>
      <c r="AI5647">
        <v>93.7242057283393</v>
      </c>
      <c r="AJ5647">
        <v>111.03485792247299</v>
      </c>
      <c r="AK5647">
        <v>17.2102430489727</v>
      </c>
      <c r="AL5647">
        <v>83.000019998560902</v>
      </c>
      <c r="AM5647">
        <v>104.491877619451</v>
      </c>
      <c r="AN5647">
        <v>1.00000002489474</v>
      </c>
    </row>
    <row r="5648" spans="1:40" x14ac:dyDescent="0.25">
      <c r="A5648" t="str">
        <f>"20190312172229322"</f>
        <v>20190312172229322</v>
      </c>
      <c r="B5648" t="str">
        <f>"1552382549316135"</f>
        <v>1552382549316135</v>
      </c>
      <c r="C5648" t="s">
        <v>40</v>
      </c>
      <c r="D5648">
        <v>3.4754580000000002</v>
      </c>
      <c r="E5648">
        <v>0.45422200000000001</v>
      </c>
      <c r="F5648" t="s">
        <v>62</v>
      </c>
      <c r="G5648">
        <v>-411.70710000000003</v>
      </c>
      <c r="H5648" s="1">
        <v>-7.7804040000000002E-6</v>
      </c>
      <c r="I5648">
        <v>133.34049999999999</v>
      </c>
      <c r="J5648">
        <v>-395.26319999999998</v>
      </c>
      <c r="K5648">
        <v>1.1182369999999999</v>
      </c>
      <c r="L5648">
        <v>141.90539999999999</v>
      </c>
      <c r="M5648">
        <v>-0.99351339999999999</v>
      </c>
      <c r="N5648">
        <v>0</v>
      </c>
      <c r="O5648">
        <v>-0.1126858</v>
      </c>
      <c r="P5648">
        <v>-0.92743900000000001</v>
      </c>
      <c r="Q5648">
        <v>0.1162511</v>
      </c>
      <c r="R5648">
        <v>-0.35544710000000002</v>
      </c>
      <c r="S5648">
        <v>-2.727417</v>
      </c>
      <c r="T5648">
        <v>-0.17963370000000001</v>
      </c>
      <c r="U5648">
        <v>-1.385864</v>
      </c>
      <c r="V5648">
        <v>-0.25130069999999999</v>
      </c>
      <c r="W5648">
        <v>0.12577969999999999</v>
      </c>
      <c r="X5648">
        <v>0.95970169999999999</v>
      </c>
      <c r="Y5648">
        <v>-0.34923710000000002</v>
      </c>
      <c r="Z5648">
        <v>-3.8984359999999999E-3</v>
      </c>
      <c r="AA5648">
        <v>0.93702629999999998</v>
      </c>
      <c r="AB5648">
        <v>52</v>
      </c>
      <c r="AC5648">
        <v>-16.443899999999999</v>
      </c>
      <c r="AD5648">
        <v>-1.1182447804039899</v>
      </c>
      <c r="AE5648">
        <v>-8.5648999999999909</v>
      </c>
      <c r="AF5648">
        <v>-6.6329961829883297</v>
      </c>
      <c r="AG5648">
        <v>-1.1182447804039899</v>
      </c>
      <c r="AH5648">
        <v>17.241675048273599</v>
      </c>
      <c r="AI5648">
        <v>93.464013579011905</v>
      </c>
      <c r="AJ5648">
        <v>111.04209259395</v>
      </c>
      <c r="AK5648">
        <v>18.5073625409646</v>
      </c>
      <c r="AL5648">
        <v>82.774215047041395</v>
      </c>
      <c r="AM5648">
        <v>104.67361386818</v>
      </c>
      <c r="AN5648">
        <v>0.99999996386773404</v>
      </c>
    </row>
    <row r="5649" spans="1:40" x14ac:dyDescent="0.25">
      <c r="A5649" t="str">
        <f>"20190312172229344"</f>
        <v>20190312172229344</v>
      </c>
      <c r="B5649" t="str">
        <f>"1552382549336632"</f>
        <v>1552382549336632</v>
      </c>
      <c r="C5649" t="s">
        <v>40</v>
      </c>
      <c r="D5649">
        <v>3.5209169999999999</v>
      </c>
      <c r="E5649">
        <v>0.45464470000000001</v>
      </c>
      <c r="F5649" t="s">
        <v>41</v>
      </c>
      <c r="G5649">
        <v>-396.34640000000002</v>
      </c>
      <c r="H5649">
        <v>1.054071</v>
      </c>
      <c r="I5649">
        <v>141.3407</v>
      </c>
      <c r="J5649">
        <v>-395.77140000000003</v>
      </c>
      <c r="K5649">
        <v>1.1186069999999999</v>
      </c>
      <c r="L5649">
        <v>141.84440000000001</v>
      </c>
      <c r="M5649">
        <v>-0.99263579999999996</v>
      </c>
      <c r="N5649">
        <v>0</v>
      </c>
      <c r="O5649">
        <v>-0.1201637</v>
      </c>
      <c r="P5649">
        <v>-0.92399039999999999</v>
      </c>
      <c r="Q5649">
        <v>0.1180509</v>
      </c>
      <c r="R5649">
        <v>-0.36373889999999998</v>
      </c>
      <c r="S5649">
        <v>-2.712799</v>
      </c>
      <c r="T5649">
        <v>-0.16069559999999999</v>
      </c>
      <c r="U5649">
        <v>-1.4142760000000001</v>
      </c>
      <c r="V5649">
        <v>-0.25286110000000001</v>
      </c>
      <c r="W5649">
        <v>0.12734860000000001</v>
      </c>
      <c r="X5649">
        <v>0.95908470000000001</v>
      </c>
      <c r="Y5649">
        <v>-0.3520527</v>
      </c>
      <c r="Z5649">
        <v>-3.1680110000000001E-3</v>
      </c>
      <c r="AA5649">
        <v>0.9359748</v>
      </c>
      <c r="AB5649">
        <v>52</v>
      </c>
      <c r="AC5649">
        <v>-0.57499999999998797</v>
      </c>
      <c r="AD5649">
        <v>-6.4535999999999899E-2</v>
      </c>
      <c r="AE5649">
        <v>-0.50370000000000903</v>
      </c>
      <c r="AF5649">
        <v>-0.42789727926590398</v>
      </c>
      <c r="AG5649">
        <v>-6.4535999999999899E-2</v>
      </c>
      <c r="AH5649">
        <v>0.62689794645834396</v>
      </c>
      <c r="AI5649">
        <v>94.859969145758399</v>
      </c>
      <c r="AJ5649">
        <v>124.315995019317</v>
      </c>
      <c r="AK5649">
        <v>0.76174931058245898</v>
      </c>
      <c r="AL5649">
        <v>82.683594721196997</v>
      </c>
      <c r="AM5649">
        <v>104.769840739831</v>
      </c>
      <c r="AN5649">
        <v>0.99999993179462698</v>
      </c>
    </row>
    <row r="5650" spans="1:40" x14ac:dyDescent="0.25">
      <c r="A5650" t="str">
        <f>"20190312172229365"</f>
        <v>20190312172229365</v>
      </c>
      <c r="B5650" t="str">
        <f>"1552382549356152"</f>
        <v>1552382549356152</v>
      </c>
      <c r="C5650" t="s">
        <v>40</v>
      </c>
      <c r="D5650">
        <v>3.5372309999999998</v>
      </c>
      <c r="E5650">
        <v>0.45538400000000001</v>
      </c>
      <c r="F5650" t="s">
        <v>41</v>
      </c>
      <c r="G5650">
        <v>-396.83530000000002</v>
      </c>
      <c r="H5650">
        <v>1.0573349999999999</v>
      </c>
      <c r="I5650">
        <v>141.27869999999999</v>
      </c>
      <c r="J5650">
        <v>-396.26499999999999</v>
      </c>
      <c r="K5650">
        <v>1.118968</v>
      </c>
      <c r="L5650">
        <v>141.78139999999999</v>
      </c>
      <c r="M5650">
        <v>-0.9916876</v>
      </c>
      <c r="N5650">
        <v>0</v>
      </c>
      <c r="O5650">
        <v>-0.1277469</v>
      </c>
      <c r="P5650">
        <v>-0.92060719999999996</v>
      </c>
      <c r="Q5650">
        <v>0.11779299999999999</v>
      </c>
      <c r="R5650">
        <v>-0.37230010000000002</v>
      </c>
      <c r="S5650">
        <v>-2.7011720000000001</v>
      </c>
      <c r="T5650">
        <v>-0.15554949999999901</v>
      </c>
      <c r="U5650">
        <v>-1.4366000000000001</v>
      </c>
      <c r="V5650">
        <v>-0.2545482</v>
      </c>
      <c r="W5650">
        <v>0.12686239999999999</v>
      </c>
      <c r="X5650">
        <v>0.95870290000000002</v>
      </c>
      <c r="Y5650">
        <v>-0.35262830000000001</v>
      </c>
      <c r="Z5650">
        <v>-2.6884539999999998E-3</v>
      </c>
      <c r="AA5650">
        <v>0.93575960000000002</v>
      </c>
      <c r="AB5650">
        <v>52</v>
      </c>
      <c r="AC5650">
        <v>-0.570300000000031</v>
      </c>
      <c r="AD5650">
        <v>-6.1632999999999799E-2</v>
      </c>
      <c r="AE5650">
        <v>-0.50270000000000403</v>
      </c>
      <c r="AF5650">
        <v>-0.42293783069602398</v>
      </c>
      <c r="AG5650">
        <v>-6.1632999999999799E-2</v>
      </c>
      <c r="AH5650">
        <v>0.62573953642506597</v>
      </c>
      <c r="AI5650">
        <v>94.665249578388796</v>
      </c>
      <c r="AJ5650">
        <v>124.054790722771</v>
      </c>
      <c r="AK5650">
        <v>0.75777635405726096</v>
      </c>
      <c r="AL5650">
        <v>82.711680608132696</v>
      </c>
      <c r="AM5650">
        <v>104.869694165168</v>
      </c>
      <c r="AN5650">
        <v>1.0000000525627</v>
      </c>
    </row>
    <row r="5651" spans="1:40" x14ac:dyDescent="0.25">
      <c r="A5651" t="str">
        <f>"20190312172229388"</f>
        <v>20190312172229388</v>
      </c>
      <c r="B5651" t="str">
        <f>"1552382549376648"</f>
        <v>1552382549376648</v>
      </c>
      <c r="C5651" t="s">
        <v>40</v>
      </c>
      <c r="D5651">
        <v>3.5026440000000001</v>
      </c>
      <c r="E5651">
        <v>0.4561249</v>
      </c>
      <c r="F5651" t="s">
        <v>62</v>
      </c>
      <c r="G5651">
        <v>-415.0179</v>
      </c>
      <c r="H5651" s="1">
        <v>-6.8331309999999996E-6</v>
      </c>
      <c r="I5651">
        <v>131.6311</v>
      </c>
      <c r="J5651">
        <v>-396.7697</v>
      </c>
      <c r="K5651">
        <v>1.119364</v>
      </c>
      <c r="L5651">
        <v>141.71299999999999</v>
      </c>
      <c r="M5651">
        <v>-0.99060959999999998</v>
      </c>
      <c r="N5651">
        <v>0</v>
      </c>
      <c r="O5651">
        <v>-0.1358471</v>
      </c>
      <c r="P5651">
        <v>-0.91824260000000002</v>
      </c>
      <c r="Q5651">
        <v>0.1154052</v>
      </c>
      <c r="R5651">
        <v>-0.3788301</v>
      </c>
      <c r="S5651">
        <v>-2.690369</v>
      </c>
      <c r="T5651">
        <v>-0.1605327</v>
      </c>
      <c r="U5651">
        <v>-1.456207</v>
      </c>
      <c r="V5651">
        <v>-0.25355029999999901</v>
      </c>
      <c r="W5651">
        <v>0.1243107</v>
      </c>
      <c r="X5651">
        <v>0.95930139999999997</v>
      </c>
      <c r="Y5651">
        <v>-0.351821299999999</v>
      </c>
      <c r="Z5651">
        <v>-2.3164140000000001E-3</v>
      </c>
      <c r="AA5651">
        <v>0.93606429999999996</v>
      </c>
      <c r="AB5651">
        <v>52</v>
      </c>
      <c r="AC5651">
        <v>-18.248200000000001</v>
      </c>
      <c r="AD5651">
        <v>-1.1193708331309999</v>
      </c>
      <c r="AE5651">
        <v>-10.0818999999999</v>
      </c>
      <c r="AF5651">
        <v>-7.4875709347861399</v>
      </c>
      <c r="AG5651">
        <v>-1.1193708331309999</v>
      </c>
      <c r="AH5651">
        <v>19.392849330196299</v>
      </c>
      <c r="AI5651">
        <v>93.082208360703802</v>
      </c>
      <c r="AJ5651">
        <v>111.111553653637</v>
      </c>
      <c r="AK5651">
        <v>20.818244755723601</v>
      </c>
      <c r="AL5651">
        <v>82.859048960854494</v>
      </c>
      <c r="AM5651">
        <v>104.80513266296801</v>
      </c>
      <c r="AN5651">
        <v>1.0000000404032601</v>
      </c>
    </row>
    <row r="5652" spans="1:40" x14ac:dyDescent="0.25">
      <c r="A5652" t="str">
        <f>"20190312172229410"</f>
        <v>20190312172229410</v>
      </c>
      <c r="B5652" t="str">
        <f>"1552382549405927"</f>
        <v>1552382549405927</v>
      </c>
      <c r="C5652" t="s">
        <v>40</v>
      </c>
      <c r="D5652">
        <v>3.5360239999999998</v>
      </c>
      <c r="E5652">
        <v>0.46156910000000001</v>
      </c>
      <c r="F5652" t="s">
        <v>62</v>
      </c>
      <c r="G5652">
        <v>-414.33699999999999</v>
      </c>
      <c r="H5652" s="1">
        <v>-7.055689E-6</v>
      </c>
      <c r="I5652">
        <v>132.0804</v>
      </c>
      <c r="J5652">
        <v>-397.27839999999998</v>
      </c>
      <c r="K5652">
        <v>1.1197870000000001</v>
      </c>
      <c r="L5652">
        <v>141.63980000000001</v>
      </c>
      <c r="M5652">
        <v>-0.98939900000000003</v>
      </c>
      <c r="N5652">
        <v>0</v>
      </c>
      <c r="O5652">
        <v>-0.14439440000000001</v>
      </c>
      <c r="P5652">
        <v>-0.91489180000000003</v>
      </c>
      <c r="Q5652">
        <v>0.1154821</v>
      </c>
      <c r="R5652">
        <v>-0.38682889999999998</v>
      </c>
      <c r="S5652">
        <v>-2.681915</v>
      </c>
      <c r="T5652">
        <v>-0.17088879999999901</v>
      </c>
      <c r="U5652">
        <v>-1.4705509999999999</v>
      </c>
      <c r="V5652">
        <v>-0.25377139999999998</v>
      </c>
      <c r="W5652">
        <v>0.1241773</v>
      </c>
      <c r="X5652">
        <v>0.95926020000000001</v>
      </c>
      <c r="Y5652">
        <v>-0.34880889999999998</v>
      </c>
      <c r="Z5652">
        <v>-1.884791E-3</v>
      </c>
      <c r="AA5652">
        <v>0.93719200000000003</v>
      </c>
      <c r="AB5652">
        <v>52</v>
      </c>
      <c r="AC5652">
        <v>-17.058599999999998</v>
      </c>
      <c r="AD5652">
        <v>-1.119794055689</v>
      </c>
      <c r="AE5652">
        <v>-9.5594000000000001</v>
      </c>
      <c r="AF5652">
        <v>-6.9728673479235903</v>
      </c>
      <c r="AG5652">
        <v>-1.119794055689</v>
      </c>
      <c r="AH5652">
        <v>18.200590327915702</v>
      </c>
      <c r="AI5652">
        <v>93.288206291009303</v>
      </c>
      <c r="AJ5652">
        <v>110.962443512504</v>
      </c>
      <c r="AK5652">
        <v>19.5227125693002</v>
      </c>
      <c r="AL5652">
        <v>82.866751815470494</v>
      </c>
      <c r="AM5652">
        <v>104.81808363115501</v>
      </c>
      <c r="AN5652">
        <v>1.0000000282986401</v>
      </c>
    </row>
    <row r="5653" spans="1:40" x14ac:dyDescent="0.25">
      <c r="A5653" t="str">
        <f>"20190312172229426"</f>
        <v>20190312172229426</v>
      </c>
      <c r="B5653" t="str">
        <f>"1552382549416664"</f>
        <v>1552382549416664</v>
      </c>
      <c r="C5653" t="s">
        <v>40</v>
      </c>
      <c r="D5653">
        <v>3.5054910000000001</v>
      </c>
      <c r="E5653">
        <v>0.46147700000000003</v>
      </c>
      <c r="F5653" t="s">
        <v>62</v>
      </c>
      <c r="G5653">
        <v>-412.45609999999999</v>
      </c>
      <c r="H5653" s="1">
        <v>-7.7521649999999993E-6</v>
      </c>
      <c r="I5653">
        <v>133.4264</v>
      </c>
      <c r="J5653">
        <v>-397.63709999999998</v>
      </c>
      <c r="K5653">
        <v>1.1200909999999999</v>
      </c>
      <c r="L5653">
        <v>141.5855</v>
      </c>
      <c r="M5653">
        <v>-0.98846400000000001</v>
      </c>
      <c r="N5653">
        <v>0</v>
      </c>
      <c r="O5653">
        <v>-0.15065780000000001</v>
      </c>
      <c r="P5653">
        <v>-0.91222890000000001</v>
      </c>
      <c r="Q5653">
        <v>0.1161924</v>
      </c>
      <c r="R5653">
        <v>-0.39285890000000001</v>
      </c>
      <c r="S5653">
        <v>-2.688904</v>
      </c>
      <c r="T5653">
        <v>-0.19838459999999999</v>
      </c>
      <c r="U5653">
        <v>-1.455093</v>
      </c>
      <c r="V5653">
        <v>-0.25415169999999998</v>
      </c>
      <c r="W5653">
        <v>0.12472610000000001</v>
      </c>
      <c r="X5653">
        <v>0.9590883</v>
      </c>
      <c r="Y5653">
        <v>-0.33759220000000001</v>
      </c>
      <c r="Z5653">
        <v>-1.3767779999999999E-3</v>
      </c>
      <c r="AA5653">
        <v>0.94129149999999995</v>
      </c>
      <c r="AB5653">
        <v>52</v>
      </c>
      <c r="AC5653">
        <v>-14.819000000000001</v>
      </c>
      <c r="AD5653">
        <v>-1.1200987521650001</v>
      </c>
      <c r="AE5653">
        <v>-8.1590999999999898</v>
      </c>
      <c r="AF5653">
        <v>-5.8076207083567599</v>
      </c>
      <c r="AG5653">
        <v>-1.1200987521650001</v>
      </c>
      <c r="AH5653">
        <v>15.809882302088401</v>
      </c>
      <c r="AI5653">
        <v>93.8047394868791</v>
      </c>
      <c r="AJ5653">
        <v>110.17036233082401</v>
      </c>
      <c r="AK5653">
        <v>16.880031336245299</v>
      </c>
      <c r="AL5653">
        <v>82.835061511297397</v>
      </c>
      <c r="AM5653">
        <v>104.84185309193499</v>
      </c>
      <c r="AN5653">
        <v>1.0000000269154901</v>
      </c>
    </row>
    <row r="5654" spans="1:40" x14ac:dyDescent="0.25">
      <c r="A5654" t="str">
        <f>"20190312172229444"</f>
        <v>20190312172229444</v>
      </c>
      <c r="B5654" t="str">
        <f>"1552382549436183"</f>
        <v>1552382549436183</v>
      </c>
      <c r="C5654" t="s">
        <v>40</v>
      </c>
      <c r="D5654">
        <v>3.4916450000000001</v>
      </c>
      <c r="E5654">
        <v>0.46202539999999997</v>
      </c>
      <c r="F5654" t="s">
        <v>62</v>
      </c>
      <c r="G5654">
        <v>-413.33519999999999</v>
      </c>
      <c r="H5654" s="1">
        <v>-7.4675759999999996E-6</v>
      </c>
      <c r="I5654">
        <v>132.94899999999899</v>
      </c>
      <c r="J5654">
        <v>-398.04689999999999</v>
      </c>
      <c r="K5654">
        <v>1.120455</v>
      </c>
      <c r="L5654">
        <v>141.52070000000001</v>
      </c>
      <c r="M5654">
        <v>-0.98730490000000004</v>
      </c>
      <c r="N5654">
        <v>0</v>
      </c>
      <c r="O5654">
        <v>-0.1580715</v>
      </c>
      <c r="P5654">
        <v>-0.90826830000000003</v>
      </c>
      <c r="Q5654">
        <v>0.118549</v>
      </c>
      <c r="R5654">
        <v>-0.40124209999999999</v>
      </c>
      <c r="S5654">
        <v>-2.678375</v>
      </c>
      <c r="T5654">
        <v>-0.1911089</v>
      </c>
      <c r="U5654">
        <v>-1.473557</v>
      </c>
      <c r="V5654">
        <v>-0.25600709999999999</v>
      </c>
      <c r="W5654">
        <v>0.12684819999999999</v>
      </c>
      <c r="X5654">
        <v>0.9583161</v>
      </c>
      <c r="Y5654">
        <v>-0.33711419999999997</v>
      </c>
      <c r="Z5654">
        <v>-8.3473320000000001E-4</v>
      </c>
      <c r="AA5654">
        <v>0.94146339999999995</v>
      </c>
      <c r="AB5654">
        <v>52</v>
      </c>
      <c r="AC5654">
        <v>-15.2882999999999</v>
      </c>
      <c r="AD5654">
        <v>-1.120462467576</v>
      </c>
      <c r="AE5654">
        <v>-8.5717000000000194</v>
      </c>
      <c r="AF5654">
        <v>-6.02235882411712</v>
      </c>
      <c r="AG5654">
        <v>-1.120462467576</v>
      </c>
      <c r="AH5654">
        <v>16.384193228206001</v>
      </c>
      <c r="AI5654">
        <v>93.672660523202296</v>
      </c>
      <c r="AJ5654">
        <v>110.18197792719199</v>
      </c>
      <c r="AK5654">
        <v>17.491884680813001</v>
      </c>
      <c r="AL5654">
        <v>82.712499894835801</v>
      </c>
      <c r="AM5654">
        <v>104.956875278346</v>
      </c>
      <c r="AN5654">
        <v>0.99999992430642703</v>
      </c>
    </row>
    <row r="5655" spans="1:40" x14ac:dyDescent="0.25">
      <c r="A5655" t="str">
        <f>"20190312172229459"</f>
        <v>20190312172229459</v>
      </c>
      <c r="B5655" t="str">
        <f>"1552382549445944"</f>
        <v>1552382549445944</v>
      </c>
      <c r="C5655" t="s">
        <v>40</v>
      </c>
      <c r="D5655">
        <v>3.53233</v>
      </c>
      <c r="E5655">
        <v>0.46210079999999998</v>
      </c>
      <c r="F5655" t="s">
        <v>62</v>
      </c>
      <c r="G5655">
        <v>-414.73950000000002</v>
      </c>
      <c r="H5655" s="1">
        <v>-7.0646820000000002E-6</v>
      </c>
      <c r="I5655">
        <v>132.15989999999999</v>
      </c>
      <c r="J5655">
        <v>-398.38069999999999</v>
      </c>
      <c r="K5655">
        <v>1.120749</v>
      </c>
      <c r="L5655">
        <v>141.4658</v>
      </c>
      <c r="M5655">
        <v>-0.98628720000000003</v>
      </c>
      <c r="N5655">
        <v>0</v>
      </c>
      <c r="O5655">
        <v>-0.16429839999999901</v>
      </c>
      <c r="P5655">
        <v>-0.90511379999999997</v>
      </c>
      <c r="Q5655">
        <v>0.1193862</v>
      </c>
      <c r="R5655">
        <v>-0.40806419999999999</v>
      </c>
      <c r="S5655">
        <v>-2.665924</v>
      </c>
      <c r="T5655">
        <v>-0.17894489999999999</v>
      </c>
      <c r="U5655">
        <v>-1.49498</v>
      </c>
      <c r="V5655">
        <v>-0.25730540000000002</v>
      </c>
      <c r="W5655">
        <v>0.12749759999999999</v>
      </c>
      <c r="X5655">
        <v>0.95788220000000002</v>
      </c>
      <c r="Y5655">
        <v>-0.33885279999999901</v>
      </c>
      <c r="Z5655">
        <v>-4.6208689999999999E-4</v>
      </c>
      <c r="AA5655">
        <v>0.94083930000000005</v>
      </c>
      <c r="AB5655">
        <v>52</v>
      </c>
      <c r="AC5655">
        <v>-16.358799999999999</v>
      </c>
      <c r="AD5655">
        <v>-1.1207560646820001</v>
      </c>
      <c r="AE5655">
        <v>-9.3058999999999994</v>
      </c>
      <c r="AF5655">
        <v>-6.4684178686844804</v>
      </c>
      <c r="AG5655">
        <v>-1.1207560646820001</v>
      </c>
      <c r="AH5655">
        <v>17.603147284803299</v>
      </c>
      <c r="AI5655">
        <v>93.419986598832807</v>
      </c>
      <c r="AJ5655">
        <v>110.176261599691</v>
      </c>
      <c r="AK5655">
        <v>18.787424469865801</v>
      </c>
      <c r="AL5655">
        <v>82.674988048264893</v>
      </c>
      <c r="AM5655">
        <v>105.035802671033</v>
      </c>
      <c r="AN5655">
        <v>1.00000000797588</v>
      </c>
    </row>
    <row r="5656" spans="1:40" x14ac:dyDescent="0.25">
      <c r="A5656" t="str">
        <f>"20190312172229477"</f>
        <v>20190312172229477</v>
      </c>
      <c r="B5656" t="str">
        <f>"1552382549466440"</f>
        <v>1552382549466440</v>
      </c>
      <c r="C5656" t="s">
        <v>40</v>
      </c>
      <c r="D5656">
        <v>3.5193469999999998</v>
      </c>
      <c r="E5656">
        <v>0.46235890000000002</v>
      </c>
      <c r="F5656" t="s">
        <v>62</v>
      </c>
      <c r="G5656">
        <v>-415.34930000000003</v>
      </c>
      <c r="H5656" s="1">
        <v>-6.8747929999999998E-6</v>
      </c>
      <c r="I5656">
        <v>131.78059999999999</v>
      </c>
      <c r="J5656">
        <v>-398.78829999999999</v>
      </c>
      <c r="K5656">
        <v>1.121103</v>
      </c>
      <c r="L5656">
        <v>141.39529999999999</v>
      </c>
      <c r="M5656">
        <v>-0.98493810000000004</v>
      </c>
      <c r="N5656">
        <v>0</v>
      </c>
      <c r="O5656">
        <v>-0.1721963</v>
      </c>
      <c r="P5656">
        <v>-0.90084450000000005</v>
      </c>
      <c r="Q5656">
        <v>0.1203012</v>
      </c>
      <c r="R5656">
        <v>-0.41714109999999999</v>
      </c>
      <c r="S5656">
        <v>-2.6545719999999999</v>
      </c>
      <c r="T5656">
        <v>-0.1753314</v>
      </c>
      <c r="U5656">
        <v>-1.5151520000000001</v>
      </c>
      <c r="V5656">
        <v>-0.25942270000000001</v>
      </c>
      <c r="W5656">
        <v>0.1281649</v>
      </c>
      <c r="X5656">
        <v>0.95722180000000001</v>
      </c>
      <c r="Y5656">
        <v>-0.33846379999999998</v>
      </c>
      <c r="Z5656" s="1">
        <v>2.550427E-5</v>
      </c>
      <c r="AA5656">
        <v>0.94097940000000002</v>
      </c>
      <c r="AB5656">
        <v>52</v>
      </c>
      <c r="AC5656">
        <v>-16.561</v>
      </c>
      <c r="AD5656">
        <v>-1.1211098747929999</v>
      </c>
      <c r="AE5656">
        <v>-9.6146999999999991</v>
      </c>
      <c r="AF5656">
        <v>-6.5963447120266903</v>
      </c>
      <c r="AG5656">
        <v>-1.1211098747929999</v>
      </c>
      <c r="AH5656">
        <v>17.9080011133589</v>
      </c>
      <c r="AI5656">
        <v>93.361995056987396</v>
      </c>
      <c r="AJ5656">
        <v>110.22108471234</v>
      </c>
      <c r="AK5656">
        <v>19.117142955664299</v>
      </c>
      <c r="AL5656">
        <v>82.636438077398594</v>
      </c>
      <c r="AM5656">
        <v>105.16383382811</v>
      </c>
      <c r="AN5656">
        <v>0.99999997663126905</v>
      </c>
    </row>
    <row r="5657" spans="1:40" x14ac:dyDescent="0.25">
      <c r="A5657" t="str">
        <f>"20190312172229500"</f>
        <v>20190312172229500</v>
      </c>
      <c r="B5657" t="str">
        <f>"1552382549496226"</f>
        <v>1552382549496226</v>
      </c>
      <c r="C5657" t="s">
        <v>40</v>
      </c>
      <c r="D5657">
        <v>3.505916</v>
      </c>
      <c r="E5657">
        <v>0.46328780000000003</v>
      </c>
      <c r="F5657" t="s">
        <v>62</v>
      </c>
      <c r="G5657">
        <v>-415.91860000000003</v>
      </c>
      <c r="H5657" s="1">
        <v>-6.6854819999999997E-6</v>
      </c>
      <c r="I5657">
        <v>131.39689999999999</v>
      </c>
      <c r="J5657">
        <v>-399.29250000000002</v>
      </c>
      <c r="K5657">
        <v>1.1215349999999999</v>
      </c>
      <c r="L5657">
        <v>141.3039</v>
      </c>
      <c r="M5657">
        <v>-0.98311199999999999</v>
      </c>
      <c r="N5657">
        <v>0</v>
      </c>
      <c r="O5657">
        <v>-0.18232809999999999</v>
      </c>
      <c r="P5657">
        <v>-0.89572350000000001</v>
      </c>
      <c r="Q5657">
        <v>0.12081359999999999</v>
      </c>
      <c r="R5657">
        <v>-0.4278824</v>
      </c>
      <c r="S5657">
        <v>-2.6398009999999998</v>
      </c>
      <c r="T5657">
        <v>-0.1727639</v>
      </c>
      <c r="U5657">
        <v>-1.540756</v>
      </c>
      <c r="V5657">
        <v>-0.26118780000000003</v>
      </c>
      <c r="W5657">
        <v>0.12839049999999999</v>
      </c>
      <c r="X5657">
        <v>0.95671150000000005</v>
      </c>
      <c r="Y5657">
        <v>-0.33789979999999997</v>
      </c>
      <c r="Z5657">
        <v>6.3256360000000004E-4</v>
      </c>
      <c r="AA5657">
        <v>0.94118190000000002</v>
      </c>
      <c r="AB5657">
        <v>51</v>
      </c>
      <c r="AC5657">
        <v>-16.626100000000001</v>
      </c>
      <c r="AD5657">
        <v>-1.121541685482</v>
      </c>
      <c r="AE5657">
        <v>-9.907</v>
      </c>
      <c r="AF5657">
        <v>-6.6866605153540499</v>
      </c>
      <c r="AG5657">
        <v>-1.121541685482</v>
      </c>
      <c r="AH5657">
        <v>18.093129229040301</v>
      </c>
      <c r="AI5657">
        <v>93.327633065964505</v>
      </c>
      <c r="AJ5657">
        <v>110.28275211130401</v>
      </c>
      <c r="AK5657">
        <v>19.321765185888701</v>
      </c>
      <c r="AL5657">
        <v>82.623404945233602</v>
      </c>
      <c r="AM5657">
        <v>105.269971919954</v>
      </c>
      <c r="AN5657">
        <v>1.00000004079566</v>
      </c>
    </row>
    <row r="5658" spans="1:40" x14ac:dyDescent="0.25">
      <c r="A5658" t="str">
        <f>"20190312172229523"</f>
        <v>20190312172229523</v>
      </c>
      <c r="B5658" t="str">
        <f>"1552382549516722"</f>
        <v>1552382549516722</v>
      </c>
      <c r="C5658" t="s">
        <v>40</v>
      </c>
      <c r="D5658">
        <v>3.5342839999999902</v>
      </c>
      <c r="E5658">
        <v>0.46790399999999999</v>
      </c>
      <c r="F5658" t="s">
        <v>62</v>
      </c>
      <c r="G5658">
        <v>-416.41520000000003</v>
      </c>
      <c r="H5658" s="1">
        <v>-6.532618E-6</v>
      </c>
      <c r="I5658">
        <v>131.0924</v>
      </c>
      <c r="J5658">
        <v>-399.80259999999998</v>
      </c>
      <c r="K5658">
        <v>1.12199</v>
      </c>
      <c r="L5658">
        <v>141.2056</v>
      </c>
      <c r="M5658">
        <v>-0.98106009999999999</v>
      </c>
      <c r="N5658">
        <v>0</v>
      </c>
      <c r="O5658">
        <v>-0.1930587</v>
      </c>
      <c r="P5658">
        <v>-0.88983109999999999</v>
      </c>
      <c r="Q5658">
        <v>0.1221714</v>
      </c>
      <c r="R5658">
        <v>-0.43963069999999999</v>
      </c>
      <c r="S5658">
        <v>-2.624695</v>
      </c>
      <c r="T5658">
        <v>-0.17191909999999999</v>
      </c>
      <c r="U5658">
        <v>-1.5653079999999999</v>
      </c>
      <c r="V5658">
        <v>-0.26355089999999998</v>
      </c>
      <c r="W5658">
        <v>0.12943499999999999</v>
      </c>
      <c r="X5658">
        <v>0.9559223</v>
      </c>
      <c r="Y5658">
        <v>-0.33651239999999999</v>
      </c>
      <c r="Z5658">
        <v>1.2948E-3</v>
      </c>
      <c r="AA5658">
        <v>0.94167820000000002</v>
      </c>
      <c r="AB5658">
        <v>51</v>
      </c>
      <c r="AC5658">
        <v>-16.6126</v>
      </c>
      <c r="AD5658">
        <v>-1.1219965326179999</v>
      </c>
      <c r="AE5658">
        <v>-10.113200000000001</v>
      </c>
      <c r="AF5658">
        <v>-6.6930124552360102</v>
      </c>
      <c r="AG5658">
        <v>-1.1219965326179999</v>
      </c>
      <c r="AH5658">
        <v>18.192131220320601</v>
      </c>
      <c r="AI5658">
        <v>93.312686349331102</v>
      </c>
      <c r="AJ5658">
        <v>110.19892215507799</v>
      </c>
      <c r="AK5658">
        <v>19.416717804060401</v>
      </c>
      <c r="AL5658">
        <v>82.563055417032302</v>
      </c>
      <c r="AM5658">
        <v>105.41370567318</v>
      </c>
      <c r="AN5658">
        <v>0.99999996987654904</v>
      </c>
    </row>
    <row r="5659" spans="1:40" x14ac:dyDescent="0.25">
      <c r="A5659" t="str">
        <f>"20190312172229545"</f>
        <v>20190312172229545</v>
      </c>
      <c r="B5659" t="str">
        <f>"1552382549536242"</f>
        <v>1552382549536242</v>
      </c>
      <c r="C5659" t="s">
        <v>40</v>
      </c>
      <c r="D5659">
        <v>3.5691639999999998</v>
      </c>
      <c r="E5659">
        <v>0.46883209999999997</v>
      </c>
      <c r="F5659" t="s">
        <v>62</v>
      </c>
      <c r="G5659">
        <v>-415.97199999999998</v>
      </c>
      <c r="H5659" s="1">
        <v>-6.7431029999999997E-6</v>
      </c>
      <c r="I5659">
        <v>131.54599999999999</v>
      </c>
      <c r="J5659">
        <v>-400.30070000000001</v>
      </c>
      <c r="K5659">
        <v>1.1224240000000001</v>
      </c>
      <c r="L5659">
        <v>141.10419999999999</v>
      </c>
      <c r="M5659">
        <v>-0.97885390000000005</v>
      </c>
      <c r="N5659">
        <v>0</v>
      </c>
      <c r="O5659">
        <v>-0.2039446</v>
      </c>
      <c r="P5659">
        <v>-0.88307569999999902</v>
      </c>
      <c r="Q5659">
        <v>0.1243358</v>
      </c>
      <c r="R5659">
        <v>-0.45245750000000001</v>
      </c>
      <c r="S5659">
        <v>-2.6224059999999998</v>
      </c>
      <c r="T5659">
        <v>-0.18196989999999999</v>
      </c>
      <c r="U5659">
        <v>-1.566635</v>
      </c>
      <c r="V5659">
        <v>-0.26703919999999998</v>
      </c>
      <c r="W5659">
        <v>0.13125139999999999</v>
      </c>
      <c r="X5659">
        <v>0.95470580000000005</v>
      </c>
      <c r="Y5659">
        <v>-0.32675569999999998</v>
      </c>
      <c r="Z5659">
        <v>2.3517450000000001E-3</v>
      </c>
      <c r="AA5659">
        <v>0.94510590000000005</v>
      </c>
      <c r="AB5659">
        <v>51</v>
      </c>
      <c r="AC5659">
        <v>-15.671299999999899</v>
      </c>
      <c r="AD5659">
        <v>-1.1224307431029901</v>
      </c>
      <c r="AE5659">
        <v>-9.5581999999999994</v>
      </c>
      <c r="AF5659">
        <v>-6.1378302123543298</v>
      </c>
      <c r="AG5659">
        <v>-1.1224307431029901</v>
      </c>
      <c r="AH5659">
        <v>17.227020383124302</v>
      </c>
      <c r="AI5659">
        <v>93.512178371987702</v>
      </c>
      <c r="AJ5659">
        <v>109.610519592809</v>
      </c>
      <c r="AK5659">
        <v>18.322200789461199</v>
      </c>
      <c r="AL5659">
        <v>82.458088197726994</v>
      </c>
      <c r="AM5659">
        <v>105.626750702376</v>
      </c>
      <c r="AN5659">
        <v>1.0000000144461101</v>
      </c>
    </row>
    <row r="5660" spans="1:40" x14ac:dyDescent="0.25">
      <c r="A5660" t="str">
        <f>"20190312172229566"</f>
        <v>20190312172229566</v>
      </c>
      <c r="B5660" t="str">
        <f>"1552382549556738"</f>
        <v>1552382549556738</v>
      </c>
      <c r="C5660" t="s">
        <v>40</v>
      </c>
      <c r="D5660">
        <v>3.553973</v>
      </c>
      <c r="E5660">
        <v>0.46921249999999998</v>
      </c>
      <c r="F5660" t="s">
        <v>62</v>
      </c>
      <c r="G5660">
        <v>-416.49209999999999</v>
      </c>
      <c r="H5660" s="1">
        <v>-6.5576539999999999E-6</v>
      </c>
      <c r="I5660">
        <v>131.16480000000001</v>
      </c>
      <c r="J5660">
        <v>-400.78199999999998</v>
      </c>
      <c r="K5660">
        <v>1.1228340000000001</v>
      </c>
      <c r="L5660">
        <v>141.001</v>
      </c>
      <c r="M5660">
        <v>-0.97652600000000001</v>
      </c>
      <c r="N5660">
        <v>0</v>
      </c>
      <c r="O5660">
        <v>-0.21480949999999999</v>
      </c>
      <c r="P5660">
        <v>-0.875969199999999</v>
      </c>
      <c r="Q5660">
        <v>0.1265471</v>
      </c>
      <c r="R5660">
        <v>-0.46547189999999999</v>
      </c>
      <c r="S5660">
        <v>-2.6036679999999999</v>
      </c>
      <c r="T5660">
        <v>-0.18049309999999999</v>
      </c>
      <c r="U5660">
        <v>-1.598312</v>
      </c>
      <c r="V5660">
        <v>-0.2708332</v>
      </c>
      <c r="W5660">
        <v>0.1331146</v>
      </c>
      <c r="X5660">
        <v>0.95337810000000001</v>
      </c>
      <c r="Y5660">
        <v>-0.32765840000000002</v>
      </c>
      <c r="Z5660">
        <v>2.9685739999999999E-3</v>
      </c>
      <c r="AA5660">
        <v>0.94479159999999995</v>
      </c>
      <c r="AB5660">
        <v>51</v>
      </c>
      <c r="AC5660">
        <v>-15.710100000000001</v>
      </c>
      <c r="AD5660">
        <v>-1.1228405576539999</v>
      </c>
      <c r="AE5660">
        <v>-9.8361999999999892</v>
      </c>
      <c r="AF5660">
        <v>-6.2086331804076096</v>
      </c>
      <c r="AG5660">
        <v>-1.1228405576539999</v>
      </c>
      <c r="AH5660">
        <v>17.392619617751901</v>
      </c>
      <c r="AI5660">
        <v>93.479342460987795</v>
      </c>
      <c r="AJ5660">
        <v>109.64501001892199</v>
      </c>
      <c r="AK5660">
        <v>18.501651657475801</v>
      </c>
      <c r="AL5660">
        <v>82.350389250269004</v>
      </c>
      <c r="AM5660">
        <v>105.85865161839899</v>
      </c>
      <c r="AN5660">
        <v>0.99999996025750404</v>
      </c>
    </row>
    <row r="5661" spans="1:40" x14ac:dyDescent="0.25">
      <c r="A5661" t="str">
        <f>"20190312172229589"</f>
        <v>20190312172229589</v>
      </c>
      <c r="B5661" t="str">
        <f>"1552382549586019"</f>
        <v>1552382549586019</v>
      </c>
      <c r="C5661" t="s">
        <v>40</v>
      </c>
      <c r="D5661">
        <v>3.585772</v>
      </c>
      <c r="E5661">
        <v>0.47042820000000002</v>
      </c>
      <c r="F5661" t="s">
        <v>62</v>
      </c>
      <c r="G5661">
        <v>-417.37580000000003</v>
      </c>
      <c r="H5661" s="1">
        <v>-6.23260999999999E-6</v>
      </c>
      <c r="I5661">
        <v>130.49270000000001</v>
      </c>
      <c r="J5661">
        <v>-401.27539999999999</v>
      </c>
      <c r="K5661">
        <v>1.1232470000000001</v>
      </c>
      <c r="L5661">
        <v>140.8896</v>
      </c>
      <c r="M5661">
        <v>-0.9739274</v>
      </c>
      <c r="N5661">
        <v>0</v>
      </c>
      <c r="O5661">
        <v>-0.2262951</v>
      </c>
      <c r="P5661">
        <v>-0.86894009999999999</v>
      </c>
      <c r="Q5661">
        <v>0.12777740000000001</v>
      </c>
      <c r="R5661">
        <v>-0.47813840000000002</v>
      </c>
      <c r="S5661">
        <v>-2.5813899999999999</v>
      </c>
      <c r="T5661">
        <v>-0.1746722</v>
      </c>
      <c r="U5661">
        <v>-1.6347050000000001</v>
      </c>
      <c r="V5661">
        <v>-0.27366689999999999</v>
      </c>
      <c r="W5661">
        <v>0.13402900000000001</v>
      </c>
      <c r="X5661">
        <v>0.95244039999999996</v>
      </c>
      <c r="Y5661">
        <v>-0.32975159999999998</v>
      </c>
      <c r="Z5661">
        <v>3.4903880000000001E-3</v>
      </c>
      <c r="AA5661">
        <v>0.94406129999999999</v>
      </c>
      <c r="AB5661">
        <v>51</v>
      </c>
      <c r="AC5661">
        <v>-16.1004</v>
      </c>
      <c r="AD5661">
        <v>-1.12325323261</v>
      </c>
      <c r="AE5661">
        <v>-10.396899999999899</v>
      </c>
      <c r="AF5661">
        <v>-6.4610210029851496</v>
      </c>
      <c r="AG5661">
        <v>-1.12325323261</v>
      </c>
      <c r="AH5661">
        <v>17.9739579337602</v>
      </c>
      <c r="AI5661">
        <v>93.365644449212795</v>
      </c>
      <c r="AJ5661">
        <v>109.77176984062601</v>
      </c>
      <c r="AK5661">
        <v>19.132946820345399</v>
      </c>
      <c r="AL5661">
        <v>82.297524812214306</v>
      </c>
      <c r="AM5661">
        <v>106.03106849167099</v>
      </c>
      <c r="AN5661">
        <v>1.0000000302743799</v>
      </c>
    </row>
    <row r="5662" spans="1:40" x14ac:dyDescent="0.25">
      <c r="A5662" t="str">
        <f>"20190312172229612"</f>
        <v>20190312172229612</v>
      </c>
      <c r="B5662" t="str">
        <f>"1552382549606514"</f>
        <v>1552382549606514</v>
      </c>
      <c r="C5662" t="s">
        <v>40</v>
      </c>
      <c r="D5662">
        <v>3.545499</v>
      </c>
      <c r="E5662">
        <v>0.4709352</v>
      </c>
      <c r="F5662" t="s">
        <v>62</v>
      </c>
      <c r="G5662">
        <v>-417.99889999999999</v>
      </c>
      <c r="H5662" s="1">
        <v>-6.007972E-6</v>
      </c>
      <c r="I5662">
        <v>130.0299</v>
      </c>
      <c r="J5662">
        <v>-401.78089999999997</v>
      </c>
      <c r="K5662">
        <v>1.123648</v>
      </c>
      <c r="L5662">
        <v>140.76949999999999</v>
      </c>
      <c r="M5662">
        <v>-0.97103249999999997</v>
      </c>
      <c r="N5662">
        <v>0</v>
      </c>
      <c r="O5662">
        <v>-0.23840700000000001</v>
      </c>
      <c r="P5662">
        <v>-0.86227739999999997</v>
      </c>
      <c r="Q5662">
        <v>0.12883499999999901</v>
      </c>
      <c r="R5662">
        <v>-0.4897745</v>
      </c>
      <c r="S5662">
        <v>-2.5622560000000001</v>
      </c>
      <c r="T5662">
        <v>-0.17209720000000001</v>
      </c>
      <c r="U5662">
        <v>-1.6638489999999999</v>
      </c>
      <c r="V5662">
        <v>-0.27481919999999999</v>
      </c>
      <c r="W5662">
        <v>0.13483039999999999</v>
      </c>
      <c r="X5662">
        <v>0.95199540000000005</v>
      </c>
      <c r="Y5662">
        <v>-0.32879019999999998</v>
      </c>
      <c r="Z5662">
        <v>4.1775069999999996E-3</v>
      </c>
      <c r="AA5662">
        <v>0.94439379999999995</v>
      </c>
      <c r="AB5662">
        <v>51</v>
      </c>
      <c r="AC5662">
        <v>-16.218</v>
      </c>
      <c r="AD5662">
        <v>-1.1236540079720001</v>
      </c>
      <c r="AE5662">
        <v>-10.7395999999999</v>
      </c>
      <c r="AF5662">
        <v>-6.5410350516801898</v>
      </c>
      <c r="AG5662">
        <v>-1.1236540079720001</v>
      </c>
      <c r="AH5662">
        <v>18.250062461409598</v>
      </c>
      <c r="AI5662">
        <v>93.3171293173652</v>
      </c>
      <c r="AJ5662">
        <v>109.71827116892401</v>
      </c>
      <c r="AK5662">
        <v>19.4193851015498</v>
      </c>
      <c r="AL5662">
        <v>82.251187416895903</v>
      </c>
      <c r="AM5662">
        <v>106.102213738814</v>
      </c>
      <c r="AN5662">
        <v>1.00000003553697</v>
      </c>
    </row>
    <row r="5663" spans="1:40" x14ac:dyDescent="0.25">
      <c r="A5663" t="str">
        <f>"20190312172229633"</f>
        <v>20190312172229633</v>
      </c>
      <c r="B5663" t="str">
        <f>"1552382549626034"</f>
        <v>1552382549626034</v>
      </c>
      <c r="C5663" t="s">
        <v>40</v>
      </c>
      <c r="D5663">
        <v>3.5409030000000001</v>
      </c>
      <c r="E5663">
        <v>0.47663220000000001</v>
      </c>
      <c r="F5663" t="s">
        <v>62</v>
      </c>
      <c r="G5663">
        <v>-418.53179999999998</v>
      </c>
      <c r="H5663" s="1">
        <v>-5.8023369999999999E-6</v>
      </c>
      <c r="I5663">
        <v>129.60409999999999</v>
      </c>
      <c r="J5663">
        <v>-402.25920000000002</v>
      </c>
      <c r="K5663">
        <v>1.124017</v>
      </c>
      <c r="L5663">
        <v>140.65010000000001</v>
      </c>
      <c r="M5663">
        <v>-0.96806429999999999</v>
      </c>
      <c r="N5663">
        <v>0</v>
      </c>
      <c r="O5663">
        <v>-0.25018299999999999</v>
      </c>
      <c r="P5663">
        <v>-0.856599</v>
      </c>
      <c r="Q5663">
        <v>0.12810089999999999</v>
      </c>
      <c r="R5663">
        <v>-0.4998282</v>
      </c>
      <c r="S5663">
        <v>-2.5421450000000001</v>
      </c>
      <c r="T5663">
        <v>-0.1705275</v>
      </c>
      <c r="U5663">
        <v>-1.6944889999999999</v>
      </c>
      <c r="V5663">
        <v>-0.2744663</v>
      </c>
      <c r="W5663">
        <v>0.1339166</v>
      </c>
      <c r="X5663">
        <v>0.95222609999999996</v>
      </c>
      <c r="Y5663">
        <v>-0.32866909999999999</v>
      </c>
      <c r="Z5663">
        <v>4.8278030000000003E-3</v>
      </c>
      <c r="AA5663">
        <v>0.94443279999999996</v>
      </c>
      <c r="AB5663">
        <v>51</v>
      </c>
      <c r="AC5663">
        <v>-16.272599999999901</v>
      </c>
      <c r="AD5663">
        <v>-1.124022802337</v>
      </c>
      <c r="AE5663">
        <v>-11.045999999999999</v>
      </c>
      <c r="AF5663">
        <v>-6.6014094218735604</v>
      </c>
      <c r="AG5663">
        <v>-1.124022802337</v>
      </c>
      <c r="AH5663">
        <v>18.458561488734901</v>
      </c>
      <c r="AI5663">
        <v>93.281624946227396</v>
      </c>
      <c r="AJ5663">
        <v>109.678777949966</v>
      </c>
      <c r="AK5663">
        <v>19.6356951964727</v>
      </c>
      <c r="AL5663">
        <v>82.304023019069007</v>
      </c>
      <c r="AM5663">
        <v>106.078911339172</v>
      </c>
      <c r="AN5663">
        <v>0.99999997555622899</v>
      </c>
    </row>
    <row r="5664" spans="1:40" x14ac:dyDescent="0.25">
      <c r="A5664" t="str">
        <f>"20190312172229656"</f>
        <v>20190312172229656</v>
      </c>
      <c r="B5664" t="str">
        <f>"1552382549646534"</f>
        <v>1552382549646534</v>
      </c>
      <c r="C5664" t="s">
        <v>40</v>
      </c>
      <c r="D5664">
        <v>3.6354660000000001</v>
      </c>
      <c r="E5664">
        <v>0.47711510000000001</v>
      </c>
      <c r="F5664" t="s">
        <v>62</v>
      </c>
      <c r="G5664">
        <v>-418.28859999999997</v>
      </c>
      <c r="H5664" s="1">
        <v>-5.9938260000000004E-6</v>
      </c>
      <c r="I5664">
        <v>130.03649999999999</v>
      </c>
      <c r="J5664">
        <v>-402.7407</v>
      </c>
      <c r="K5664">
        <v>1.1243829999999999</v>
      </c>
      <c r="L5664">
        <v>140.5239</v>
      </c>
      <c r="M5664">
        <v>-0.96484230000000004</v>
      </c>
      <c r="N5664">
        <v>0</v>
      </c>
      <c r="O5664">
        <v>-0.26233109999999998</v>
      </c>
      <c r="P5664">
        <v>-0.85053599999999996</v>
      </c>
      <c r="Q5664">
        <v>0.12816910000000001</v>
      </c>
      <c r="R5664">
        <v>-0.51005999999999996</v>
      </c>
      <c r="S5664">
        <v>-2.545471</v>
      </c>
      <c r="T5664">
        <v>-0.17849519999999999</v>
      </c>
      <c r="U5664">
        <v>-1.68544</v>
      </c>
      <c r="V5664">
        <v>-0.2740397</v>
      </c>
      <c r="W5664">
        <v>0.1338135</v>
      </c>
      <c r="X5664">
        <v>0.95236350000000003</v>
      </c>
      <c r="Y5664">
        <v>-0.313889799999999</v>
      </c>
      <c r="Z5664">
        <v>6.2500400000000001E-3</v>
      </c>
      <c r="AA5664">
        <v>0.94943889999999997</v>
      </c>
      <c r="AB5664">
        <v>51</v>
      </c>
      <c r="AC5664">
        <v>-15.547899999999901</v>
      </c>
      <c r="AD5664">
        <v>-1.1243889938260001</v>
      </c>
      <c r="AE5664">
        <v>-10.487399999999999</v>
      </c>
      <c r="AF5664">
        <v>-6.0191444791836197</v>
      </c>
      <c r="AG5664">
        <v>-1.1243889938260001</v>
      </c>
      <c r="AH5664">
        <v>17.6911763178774</v>
      </c>
      <c r="AI5664">
        <v>93.443292850206205</v>
      </c>
      <c r="AJ5664">
        <v>108.79006422464199</v>
      </c>
      <c r="AK5664">
        <v>18.720899294129801</v>
      </c>
      <c r="AL5664">
        <v>82.309984231654994</v>
      </c>
      <c r="AM5664">
        <v>106.053011831614</v>
      </c>
      <c r="AN5664">
        <v>1.0000000230452899</v>
      </c>
    </row>
    <row r="5665" spans="1:40" x14ac:dyDescent="0.25">
      <c r="A5665" t="str">
        <f>"20190312172229678"</f>
        <v>20190312172229678</v>
      </c>
      <c r="B5665" t="str">
        <f>"1552382549675811"</f>
        <v>1552382549675811</v>
      </c>
      <c r="C5665" t="s">
        <v>40</v>
      </c>
      <c r="D5665">
        <v>3.5126659999999998</v>
      </c>
      <c r="E5665">
        <v>0.47824879999999997</v>
      </c>
      <c r="F5665" t="s">
        <v>62</v>
      </c>
      <c r="G5665">
        <v>-417.90179999999998</v>
      </c>
      <c r="H5665" s="1">
        <v>-6.1015690000000004E-6</v>
      </c>
      <c r="I5665">
        <v>130.24590000000001</v>
      </c>
      <c r="J5665">
        <v>-403.22669999999999</v>
      </c>
      <c r="K5665">
        <v>1.124733</v>
      </c>
      <c r="L5665">
        <v>140.3905</v>
      </c>
      <c r="M5665">
        <v>-0.96134149999999996</v>
      </c>
      <c r="N5665">
        <v>0</v>
      </c>
      <c r="O5665">
        <v>-0.2748796</v>
      </c>
      <c r="P5665">
        <v>-0.84370369999999995</v>
      </c>
      <c r="Q5665">
        <v>0.12757080000000001</v>
      </c>
      <c r="R5665">
        <v>-0.52143059999999997</v>
      </c>
      <c r="S5665">
        <v>-2.5277400000000001</v>
      </c>
      <c r="T5665">
        <v>-0.18746409999999999</v>
      </c>
      <c r="U5665">
        <v>-1.713608</v>
      </c>
      <c r="V5665">
        <v>-0.2744895</v>
      </c>
      <c r="W5665">
        <v>0.13301389999999999</v>
      </c>
      <c r="X5665">
        <v>0.95234600000000003</v>
      </c>
      <c r="Y5665">
        <v>-0.31187949999999998</v>
      </c>
      <c r="Z5665">
        <v>7.4296309999999999E-3</v>
      </c>
      <c r="AA5665">
        <v>0.95009259999999995</v>
      </c>
      <c r="AB5665">
        <v>51</v>
      </c>
      <c r="AC5665">
        <v>-14.675099999999899</v>
      </c>
      <c r="AD5665">
        <v>-1.124739101569</v>
      </c>
      <c r="AE5665">
        <v>-10.144599999999899</v>
      </c>
      <c r="AF5665">
        <v>-5.6966510173051903</v>
      </c>
      <c r="AG5665">
        <v>-1.124739101569</v>
      </c>
      <c r="AH5665">
        <v>16.8316536683169</v>
      </c>
      <c r="AI5665">
        <v>93.621757506644599</v>
      </c>
      <c r="AJ5665">
        <v>108.698321945015</v>
      </c>
      <c r="AK5665">
        <v>17.8050957894006</v>
      </c>
      <c r="AL5665">
        <v>82.356211343056003</v>
      </c>
      <c r="AM5665">
        <v>106.07828033840499</v>
      </c>
      <c r="AN5665">
        <v>1.00000004345972</v>
      </c>
    </row>
    <row r="5666" spans="1:40" x14ac:dyDescent="0.25">
      <c r="A5666" t="str">
        <f>"20190312172229702"</f>
        <v>20190312172229702</v>
      </c>
      <c r="B5666" t="str">
        <f>"1552382549696306"</f>
        <v>1552382549696306</v>
      </c>
      <c r="C5666" t="s">
        <v>40</v>
      </c>
      <c r="D5666">
        <v>3.579164</v>
      </c>
      <c r="E5666">
        <v>0.4792399</v>
      </c>
      <c r="F5666" t="s">
        <v>62</v>
      </c>
      <c r="G5666">
        <v>-417.88099999999997</v>
      </c>
      <c r="H5666" s="1">
        <v>-6.0942129999999998E-6</v>
      </c>
      <c r="I5666">
        <v>130.22489999999999</v>
      </c>
      <c r="J5666">
        <v>-403.71949999999998</v>
      </c>
      <c r="K5666">
        <v>1.1250690000000001</v>
      </c>
      <c r="L5666">
        <v>140.2484</v>
      </c>
      <c r="M5666">
        <v>-0.95752190000000004</v>
      </c>
      <c r="N5666">
        <v>0</v>
      </c>
      <c r="O5666">
        <v>-0.28789910000000002</v>
      </c>
      <c r="P5666">
        <v>-0.83658500000000002</v>
      </c>
      <c r="Q5666">
        <v>0.12603119999999901</v>
      </c>
      <c r="R5666">
        <v>-0.53314280000000003</v>
      </c>
      <c r="S5666">
        <v>-2.5091549999999998</v>
      </c>
      <c r="T5666">
        <v>-0.19258149999999999</v>
      </c>
      <c r="U5666">
        <v>-1.7405849999999901</v>
      </c>
      <c r="V5666">
        <v>-0.27483869999999999</v>
      </c>
      <c r="W5666">
        <v>0.1312845</v>
      </c>
      <c r="X5666">
        <v>0.95248520000000003</v>
      </c>
      <c r="Y5666">
        <v>-0.30920160000000002</v>
      </c>
      <c r="Z5666">
        <v>8.578057E-3</v>
      </c>
      <c r="AA5666">
        <v>0.95095779999999996</v>
      </c>
      <c r="AB5666">
        <v>51</v>
      </c>
      <c r="AC5666">
        <v>-14.161499999999901</v>
      </c>
      <c r="AD5666">
        <v>-1.1250750942129999</v>
      </c>
      <c r="AE5666">
        <v>-10.0235</v>
      </c>
      <c r="AF5666">
        <v>-5.4982514870182202</v>
      </c>
      <c r="AG5666">
        <v>-1.1250750942129999</v>
      </c>
      <c r="AH5666">
        <v>16.3790157278919</v>
      </c>
      <c r="AI5666">
        <v>93.725779088128206</v>
      </c>
      <c r="AJ5666">
        <v>108.556323303857</v>
      </c>
      <c r="AK5666">
        <v>17.3138302982513</v>
      </c>
      <c r="AL5666">
        <v>82.456174995477497</v>
      </c>
      <c r="AM5666">
        <v>106.09544513625001</v>
      </c>
      <c r="AN5666">
        <v>0.99999999358849001</v>
      </c>
    </row>
    <row r="5667" spans="1:40" x14ac:dyDescent="0.25">
      <c r="A5667" t="str">
        <f>"20190312172229724"</f>
        <v>20190312172229724</v>
      </c>
      <c r="B5667" t="str">
        <f>"1552382549715826"</f>
        <v>1552382549715826</v>
      </c>
      <c r="C5667" t="s">
        <v>40</v>
      </c>
      <c r="D5667">
        <v>3.586875</v>
      </c>
      <c r="E5667">
        <v>0.48024529999999899</v>
      </c>
      <c r="F5667" t="s">
        <v>62</v>
      </c>
      <c r="G5667">
        <v>-417.68880000000001</v>
      </c>
      <c r="H5667" s="1">
        <v>-6.1433019999999998E-6</v>
      </c>
      <c r="I5667">
        <v>130.31799999999899</v>
      </c>
      <c r="J5667">
        <v>-404.2056</v>
      </c>
      <c r="K5667">
        <v>1.125378</v>
      </c>
      <c r="L5667">
        <v>140.10120000000001</v>
      </c>
      <c r="M5667">
        <v>-0.9534783</v>
      </c>
      <c r="N5667">
        <v>0</v>
      </c>
      <c r="O5667">
        <v>-0.30101699999999998</v>
      </c>
      <c r="P5667">
        <v>-0.82917180000000001</v>
      </c>
      <c r="Q5667">
        <v>0.1255897</v>
      </c>
      <c r="R5667">
        <v>-0.54470280000000004</v>
      </c>
      <c r="S5667">
        <v>-2.4887389999999998</v>
      </c>
      <c r="T5667">
        <v>-0.20044090000000001</v>
      </c>
      <c r="U5667">
        <v>-1.7691650000000001</v>
      </c>
      <c r="V5667">
        <v>-0.27505649999999998</v>
      </c>
      <c r="W5667">
        <v>0.13067000000000001</v>
      </c>
      <c r="X5667">
        <v>0.95250679999999999</v>
      </c>
      <c r="Y5667">
        <v>-0.30710769999999998</v>
      </c>
      <c r="Z5667">
        <v>9.9008629999999993E-3</v>
      </c>
      <c r="AA5667">
        <v>0.95162329999999995</v>
      </c>
      <c r="AB5667">
        <v>51</v>
      </c>
      <c r="AC5667">
        <v>-13.4832</v>
      </c>
      <c r="AD5667">
        <v>-1.125384143302</v>
      </c>
      <c r="AE5667">
        <v>-9.7832000000000203</v>
      </c>
      <c r="AF5667">
        <v>-5.2461600368560601</v>
      </c>
      <c r="AG5667">
        <v>-1.125384143302</v>
      </c>
      <c r="AH5667">
        <v>15.7311711421557</v>
      </c>
      <c r="AI5667">
        <v>93.882380045483004</v>
      </c>
      <c r="AJ5667">
        <v>108.44293462855801</v>
      </c>
      <c r="AK5667">
        <v>16.621023738208599</v>
      </c>
      <c r="AL5667">
        <v>82.491688982758703</v>
      </c>
      <c r="AM5667">
        <v>106.107192611663</v>
      </c>
      <c r="AN5667">
        <v>0.99999996556924398</v>
      </c>
    </row>
    <row r="5668" spans="1:40" x14ac:dyDescent="0.25">
      <c r="A5668" t="str">
        <f>"20190312172229746"</f>
        <v>20190312172229746</v>
      </c>
      <c r="B5668" t="str">
        <f>"1552382549736322"</f>
        <v>1552382549736322</v>
      </c>
      <c r="C5668" t="s">
        <v>40</v>
      </c>
      <c r="D5668">
        <v>3.6017250000000001</v>
      </c>
      <c r="E5668">
        <v>0.48062149999999998</v>
      </c>
      <c r="F5668" t="s">
        <v>62</v>
      </c>
      <c r="G5668">
        <v>-417.76060000000001</v>
      </c>
      <c r="H5668" s="1">
        <v>-6.1029389999999996E-6</v>
      </c>
      <c r="I5668">
        <v>130.22919999999999</v>
      </c>
      <c r="J5668">
        <v>-404.67770000000002</v>
      </c>
      <c r="K5668">
        <v>1.1256619999999999</v>
      </c>
      <c r="L5668">
        <v>139.95179999999999</v>
      </c>
      <c r="M5668">
        <v>-0.9492872</v>
      </c>
      <c r="N5668">
        <v>0</v>
      </c>
      <c r="O5668">
        <v>-0.31398090000000001</v>
      </c>
      <c r="P5668">
        <v>-0.82095580000000001</v>
      </c>
      <c r="Q5668">
        <v>0.12720000000000001</v>
      </c>
      <c r="R5668">
        <v>-0.55664309999999995</v>
      </c>
      <c r="S5668">
        <v>-2.4682309999999998</v>
      </c>
      <c r="T5668">
        <v>-0.2049202</v>
      </c>
      <c r="U5668">
        <v>-1.7975920000000001</v>
      </c>
      <c r="V5668">
        <v>-0.27610230000000002</v>
      </c>
      <c r="W5668">
        <v>0.1320848</v>
      </c>
      <c r="X5668">
        <v>0.95200899999999999</v>
      </c>
      <c r="Y5668">
        <v>-0.30509239999999999</v>
      </c>
      <c r="Z5668">
        <v>1.110393E-2</v>
      </c>
      <c r="AA5668">
        <v>0.95225800000000005</v>
      </c>
      <c r="AB5668">
        <v>51</v>
      </c>
      <c r="AC5668">
        <v>-13.082899999999899</v>
      </c>
      <c r="AD5668">
        <v>-1.1256681029389899</v>
      </c>
      <c r="AE5668">
        <v>-9.7225999999999999</v>
      </c>
      <c r="AF5668">
        <v>-5.0981361777328003</v>
      </c>
      <c r="AG5668">
        <v>-1.1256681029389899</v>
      </c>
      <c r="AH5668">
        <v>15.4007788183859</v>
      </c>
      <c r="AI5668">
        <v>93.969311041765295</v>
      </c>
      <c r="AJ5668">
        <v>108.316147584649</v>
      </c>
      <c r="AK5668">
        <v>16.261676093734199</v>
      </c>
      <c r="AL5668">
        <v>82.409918452163495</v>
      </c>
      <c r="AM5668">
        <v>106.173252104841</v>
      </c>
      <c r="AN5668">
        <v>1.00000000526866</v>
      </c>
    </row>
    <row r="5669" spans="1:40" x14ac:dyDescent="0.25">
      <c r="A5669" t="str">
        <f>"20190312172229768"</f>
        <v>20190312172229768</v>
      </c>
      <c r="B5669" t="str">
        <f>"1552382549755844"</f>
        <v>1552382549755844</v>
      </c>
      <c r="C5669" t="s">
        <v>40</v>
      </c>
      <c r="D5669">
        <v>3.5861179999999999</v>
      </c>
      <c r="E5669">
        <v>0.47840899999999997</v>
      </c>
      <c r="F5669" t="s">
        <v>62</v>
      </c>
      <c r="G5669">
        <v>-418.35950000000003</v>
      </c>
      <c r="H5669" s="1">
        <v>-5.8508589999999997E-6</v>
      </c>
      <c r="I5669">
        <v>129.69560000000001</v>
      </c>
      <c r="J5669">
        <v>-405.14940000000001</v>
      </c>
      <c r="K5669">
        <v>1.125928</v>
      </c>
      <c r="L5669">
        <v>139.79580000000001</v>
      </c>
      <c r="M5669">
        <v>-0.94483340000000005</v>
      </c>
      <c r="N5669">
        <v>0</v>
      </c>
      <c r="O5669">
        <v>-0.32713629999999999</v>
      </c>
      <c r="P5669">
        <v>-0.81178799999999995</v>
      </c>
      <c r="Q5669">
        <v>0.12967039999999999</v>
      </c>
      <c r="R5669">
        <v>-0.56937309999999997</v>
      </c>
      <c r="S5669">
        <v>-2.443451</v>
      </c>
      <c r="T5669">
        <v>-0.20103480000000001</v>
      </c>
      <c r="U5669">
        <v>-1.8316650000000001</v>
      </c>
      <c r="V5669">
        <v>-0.27804450000000003</v>
      </c>
      <c r="W5669">
        <v>0.13432720000000001</v>
      </c>
      <c r="X5669">
        <v>0.95112960000000002</v>
      </c>
      <c r="Y5669">
        <v>-0.30502750000000001</v>
      </c>
      <c r="Z5669">
        <v>1.180573E-2</v>
      </c>
      <c r="AA5669">
        <v>0.95227039999999996</v>
      </c>
      <c r="AB5669">
        <v>51</v>
      </c>
      <c r="AC5669">
        <v>-13.210100000000001</v>
      </c>
      <c r="AD5669">
        <v>-1.125933850859</v>
      </c>
      <c r="AE5669">
        <v>-10.100199999999999</v>
      </c>
      <c r="AF5669">
        <v>-5.1983802197714404</v>
      </c>
      <c r="AG5669">
        <v>-1.125933850859</v>
      </c>
      <c r="AH5669">
        <v>15.7155814724841</v>
      </c>
      <c r="AI5669">
        <v>93.891254868266302</v>
      </c>
      <c r="AJ5669">
        <v>108.303117288547</v>
      </c>
      <c r="AK5669">
        <v>16.591274362269601</v>
      </c>
      <c r="AL5669">
        <v>82.280283285051595</v>
      </c>
      <c r="AM5669">
        <v>106.295268485496</v>
      </c>
      <c r="AN5669">
        <v>1.0000000283181201</v>
      </c>
    </row>
    <row r="5670" spans="1:40" x14ac:dyDescent="0.25">
      <c r="A5670" t="str">
        <f>"20190312172229790"</f>
        <v>20190312172229790</v>
      </c>
      <c r="B5670" t="str">
        <f>"1552382549786098"</f>
        <v>1552382549786098</v>
      </c>
      <c r="C5670" t="s">
        <v>40</v>
      </c>
      <c r="D5670">
        <v>3.553375</v>
      </c>
      <c r="E5670">
        <v>0.44008700000000001</v>
      </c>
      <c r="F5670" t="s">
        <v>62</v>
      </c>
      <c r="G5670">
        <v>-419.26949999999999</v>
      </c>
      <c r="H5670" s="1">
        <v>-5.309296E-6</v>
      </c>
      <c r="I5670">
        <v>128.72049999999999</v>
      </c>
      <c r="J5670">
        <v>-405.61419999999998</v>
      </c>
      <c r="K5670">
        <v>1.126177</v>
      </c>
      <c r="L5670">
        <v>139.63560000000001</v>
      </c>
      <c r="M5670">
        <v>-0.94017569999999995</v>
      </c>
      <c r="N5670">
        <v>0</v>
      </c>
      <c r="O5670">
        <v>-0.34028839999999999</v>
      </c>
      <c r="P5670">
        <v>-0.80175439999999998</v>
      </c>
      <c r="Q5670">
        <v>0.13113339999999901</v>
      </c>
      <c r="R5670">
        <v>-0.58308990000000005</v>
      </c>
      <c r="S5670">
        <v>-2.403778</v>
      </c>
      <c r="T5670">
        <v>-0.19167590000000001</v>
      </c>
      <c r="U5670">
        <v>-1.885437</v>
      </c>
      <c r="V5670">
        <v>-0.2811748</v>
      </c>
      <c r="W5670">
        <v>0.13551640000000001</v>
      </c>
      <c r="X5670">
        <v>0.95004</v>
      </c>
      <c r="Y5670">
        <v>-0.31256610000000001</v>
      </c>
      <c r="Z5670">
        <v>1.1883299999999999E-2</v>
      </c>
      <c r="AA5670">
        <v>0.94982169999999999</v>
      </c>
      <c r="AB5670">
        <v>51</v>
      </c>
      <c r="AC5670">
        <v>-13.6553</v>
      </c>
      <c r="AD5670">
        <v>-1.1261823092959999</v>
      </c>
      <c r="AE5670">
        <v>-10.915100000000001</v>
      </c>
      <c r="AF5670">
        <v>-5.5929285331896201</v>
      </c>
      <c r="AG5670">
        <v>-1.1261823092959999</v>
      </c>
      <c r="AH5670">
        <v>16.486506810632999</v>
      </c>
      <c r="AI5670">
        <v>93.701211351489803</v>
      </c>
      <c r="AJ5670">
        <v>108.73913481327</v>
      </c>
      <c r="AK5670">
        <v>17.445745698828301</v>
      </c>
      <c r="AL5670">
        <v>82.211518011199402</v>
      </c>
      <c r="AM5670">
        <v>106.486699799059</v>
      </c>
      <c r="AN5670">
        <v>0.99999998221199904</v>
      </c>
    </row>
    <row r="5671" spans="1:40" x14ac:dyDescent="0.25">
      <c r="A5671" t="str">
        <f>"20190312172229813"</f>
        <v>20190312172229813</v>
      </c>
      <c r="B5671" t="str">
        <f>"1552382549806594"</f>
        <v>1552382549806594</v>
      </c>
      <c r="C5671" t="s">
        <v>40</v>
      </c>
      <c r="D5671">
        <v>3.5545270000000002</v>
      </c>
      <c r="E5671">
        <v>0.44034259999999997</v>
      </c>
      <c r="F5671" t="s">
        <v>41</v>
      </c>
      <c r="G5671">
        <v>-406.3537</v>
      </c>
      <c r="H5671">
        <v>1.0612760000000001</v>
      </c>
      <c r="I5671">
        <v>138.9023</v>
      </c>
      <c r="J5671">
        <v>-406.09429999999998</v>
      </c>
      <c r="K5671">
        <v>1.126412</v>
      </c>
      <c r="L5671">
        <v>139.46299999999999</v>
      </c>
      <c r="M5671">
        <v>-0.93507720000000005</v>
      </c>
      <c r="N5671">
        <v>0</v>
      </c>
      <c r="O5671">
        <v>-0.35405569999999997</v>
      </c>
      <c r="P5671">
        <v>-0.79077149999999996</v>
      </c>
      <c r="Q5671">
        <v>0.1311165</v>
      </c>
      <c r="R5671">
        <v>-0.59790359999999998</v>
      </c>
      <c r="S5671">
        <v>-2.1921080000000002</v>
      </c>
      <c r="T5671">
        <v>-0.19236300000000001</v>
      </c>
      <c r="U5671">
        <v>-2.174118</v>
      </c>
      <c r="V5671">
        <v>-0.28499140000000001</v>
      </c>
      <c r="W5671">
        <v>0.1351956</v>
      </c>
      <c r="X5671">
        <v>0.94894780000000001</v>
      </c>
      <c r="Y5671">
        <v>-0.40702290000000002</v>
      </c>
      <c r="Z5671">
        <v>9.6576579999999995E-3</v>
      </c>
      <c r="AA5671">
        <v>0.91336689999999998</v>
      </c>
      <c r="AB5671">
        <v>51</v>
      </c>
      <c r="AC5671">
        <v>-0.259400000000027</v>
      </c>
      <c r="AD5671">
        <v>-6.5135999999999999E-2</v>
      </c>
      <c r="AE5671">
        <v>-0.56069999999999698</v>
      </c>
      <c r="AF5671">
        <v>-0.42776024501273302</v>
      </c>
      <c r="AG5671">
        <v>-6.5135999999999999E-2</v>
      </c>
      <c r="AH5671">
        <v>0.436288945312853</v>
      </c>
      <c r="AI5671">
        <v>96.085019139612299</v>
      </c>
      <c r="AJ5671">
        <v>134.434473559525</v>
      </c>
      <c r="AK5671">
        <v>0.61446689862966197</v>
      </c>
      <c r="AL5671">
        <v>82.230068876188795</v>
      </c>
      <c r="AM5671">
        <v>106.716251651303</v>
      </c>
      <c r="AN5671">
        <v>0.99999993772907803</v>
      </c>
    </row>
    <row r="5672" spans="1:40" x14ac:dyDescent="0.25">
      <c r="A5672" t="str">
        <f>"20190312172229835"</f>
        <v>20190312172229835</v>
      </c>
      <c r="B5672" t="str">
        <f>"1552382549826115"</f>
        <v>1552382549826115</v>
      </c>
      <c r="C5672" t="s">
        <v>40</v>
      </c>
      <c r="D5672">
        <v>3.5610279999999999</v>
      </c>
      <c r="E5672">
        <v>0.44113989999999997</v>
      </c>
      <c r="F5672" t="s">
        <v>41</v>
      </c>
      <c r="G5672">
        <v>-406.80770000000001</v>
      </c>
      <c r="H5672">
        <v>1.0616139999999901</v>
      </c>
      <c r="I5672">
        <v>138.7304</v>
      </c>
      <c r="J5672">
        <v>-406.56400000000002</v>
      </c>
      <c r="K5672">
        <v>1.1266400000000001</v>
      </c>
      <c r="L5672">
        <v>139.2869</v>
      </c>
      <c r="M5672">
        <v>-0.92979959999999995</v>
      </c>
      <c r="N5672">
        <v>0</v>
      </c>
      <c r="O5672">
        <v>-0.36769010000000002</v>
      </c>
      <c r="P5672">
        <v>-0.77937419999999902</v>
      </c>
      <c r="Q5672">
        <v>0.1321647</v>
      </c>
      <c r="R5672">
        <v>-0.61246109999999998</v>
      </c>
      <c r="S5672">
        <v>-2.1536870000000001</v>
      </c>
      <c r="T5672">
        <v>-0.19561439999999999</v>
      </c>
      <c r="U5672">
        <v>-2.212021</v>
      </c>
      <c r="V5672">
        <v>-0.2889041</v>
      </c>
      <c r="W5672">
        <v>0.1359397</v>
      </c>
      <c r="X5672">
        <v>0.94765759999999999</v>
      </c>
      <c r="Y5672">
        <v>-0.40964640000000002</v>
      </c>
      <c r="Z5672">
        <v>1.0666500000000001E-2</v>
      </c>
      <c r="AA5672">
        <v>0.91218200000000005</v>
      </c>
      <c r="AB5672">
        <v>50</v>
      </c>
      <c r="AC5672">
        <v>-0.24369999999998901</v>
      </c>
      <c r="AD5672">
        <v>-6.5026E-2</v>
      </c>
      <c r="AE5672">
        <v>-0.556499999999999</v>
      </c>
      <c r="AF5672">
        <v>-0.42304005019123703</v>
      </c>
      <c r="AG5672">
        <v>-6.5026E-2</v>
      </c>
      <c r="AH5672">
        <v>0.42638648328575601</v>
      </c>
      <c r="AI5672">
        <v>96.178845250125406</v>
      </c>
      <c r="AJ5672">
        <v>134.774276534547</v>
      </c>
      <c r="AK5672">
        <v>0.60414956581181001</v>
      </c>
      <c r="AL5672">
        <v>82.187038737764894</v>
      </c>
      <c r="AM5672">
        <v>106.954433483263</v>
      </c>
      <c r="AN5672">
        <v>1.00000005393532</v>
      </c>
    </row>
    <row r="5673" spans="1:40" x14ac:dyDescent="0.25">
      <c r="A5673" t="str">
        <f>"20190312172229858"</f>
        <v>20190312172229858</v>
      </c>
      <c r="B5673" t="str">
        <f>"1552382549846611"</f>
        <v>1552382549846611</v>
      </c>
      <c r="C5673" t="s">
        <v>40</v>
      </c>
      <c r="D5673">
        <v>3.6292520000000001</v>
      </c>
      <c r="E5673">
        <v>0.44212020000000002</v>
      </c>
      <c r="F5673" t="s">
        <v>62</v>
      </c>
      <c r="G5673">
        <v>-418.61160000000001</v>
      </c>
      <c r="H5673" s="1">
        <v>-4.2205160000000001E-6</v>
      </c>
      <c r="I5673">
        <v>126.5087</v>
      </c>
      <c r="J5673">
        <v>-407.01799999999997</v>
      </c>
      <c r="K5673">
        <v>1.126868</v>
      </c>
      <c r="L5673">
        <v>139.10980000000001</v>
      </c>
      <c r="M5673">
        <v>-0.92442020000000003</v>
      </c>
      <c r="N5673">
        <v>0</v>
      </c>
      <c r="O5673">
        <v>-0.38101030000000002</v>
      </c>
      <c r="P5673">
        <v>-0.76846440000000005</v>
      </c>
      <c r="Q5673">
        <v>0.13461219999999999</v>
      </c>
      <c r="R5673">
        <v>-0.62557379999999996</v>
      </c>
      <c r="S5673">
        <v>-2.117737</v>
      </c>
      <c r="T5673">
        <v>-0.1980422</v>
      </c>
      <c r="U5673">
        <v>-2.2461549999999999</v>
      </c>
      <c r="V5673">
        <v>-0.2916842</v>
      </c>
      <c r="W5673">
        <v>0.13814409999999999</v>
      </c>
      <c r="X5673">
        <v>0.94648639999999995</v>
      </c>
      <c r="Y5673">
        <v>-0.41120420000000002</v>
      </c>
      <c r="Z5673">
        <v>1.167382E-2</v>
      </c>
      <c r="AA5673">
        <v>0.91146850000000001</v>
      </c>
      <c r="AB5673">
        <v>50</v>
      </c>
      <c r="AC5673">
        <v>-11.593599999999901</v>
      </c>
      <c r="AD5673">
        <v>-1.126872220516</v>
      </c>
      <c r="AE5673">
        <v>-12.601100000000001</v>
      </c>
      <c r="AF5673">
        <v>-7.2012488728474002</v>
      </c>
      <c r="AG5673">
        <v>-1.126872220516</v>
      </c>
      <c r="AH5673">
        <v>15.453738028515399</v>
      </c>
      <c r="AI5673">
        <v>93.7814772490472</v>
      </c>
      <c r="AJ5673">
        <v>114.98493111735699</v>
      </c>
      <c r="AK5673">
        <v>17.086422837564399</v>
      </c>
      <c r="AL5673">
        <v>82.059532365640607</v>
      </c>
      <c r="AM5673">
        <v>107.12803154881701</v>
      </c>
      <c r="AN5673">
        <v>0.99999998513970401</v>
      </c>
    </row>
    <row r="5674" spans="1:40" x14ac:dyDescent="0.25">
      <c r="A5674" t="str">
        <f>"20190312172229879"</f>
        <v>20190312172229879</v>
      </c>
      <c r="B5674" t="str">
        <f>"1552382549875891"</f>
        <v>1552382549875891</v>
      </c>
      <c r="C5674" t="s">
        <v>40</v>
      </c>
      <c r="D5674">
        <v>3.573556</v>
      </c>
      <c r="E5674">
        <v>0.44315139999999997</v>
      </c>
      <c r="F5674" t="s">
        <v>62</v>
      </c>
      <c r="G5674">
        <v>-418.90069999999997</v>
      </c>
      <c r="H5674" s="1">
        <v>-4.0108949999999997E-6</v>
      </c>
      <c r="I5674">
        <v>126.13030000000001</v>
      </c>
      <c r="J5674">
        <v>-407.47199999999998</v>
      </c>
      <c r="K5674">
        <v>1.127087</v>
      </c>
      <c r="L5674">
        <v>138.9256</v>
      </c>
      <c r="M5674">
        <v>-0.9187611</v>
      </c>
      <c r="N5674">
        <v>0</v>
      </c>
      <c r="O5674">
        <v>-0.3944589</v>
      </c>
      <c r="P5674">
        <v>-0.75571759999999999</v>
      </c>
      <c r="Q5674">
        <v>0.13858480000000001</v>
      </c>
      <c r="R5674">
        <v>-0.64006669999999999</v>
      </c>
      <c r="S5674">
        <v>-2.0847470000000001</v>
      </c>
      <c r="T5674">
        <v>-0.19770289999999999</v>
      </c>
      <c r="U5674">
        <v>-2.2771759999999999</v>
      </c>
      <c r="V5674">
        <v>-0.29639179999999998</v>
      </c>
      <c r="W5674">
        <v>0.14178479999999999</v>
      </c>
      <c r="X5674">
        <v>0.94448339999999997</v>
      </c>
      <c r="Y5674">
        <v>-0.41129480000000002</v>
      </c>
      <c r="Z5674">
        <v>1.2587839999999999E-2</v>
      </c>
      <c r="AA5674">
        <v>0.91141550000000005</v>
      </c>
      <c r="AB5674">
        <v>50</v>
      </c>
      <c r="AC5674">
        <v>-11.4286999999999</v>
      </c>
      <c r="AD5674">
        <v>-1.1270910108949901</v>
      </c>
      <c r="AE5674">
        <v>-12.7952999999999</v>
      </c>
      <c r="AF5674">
        <v>-7.2175366325799004</v>
      </c>
      <c r="AG5674">
        <v>-1.1270910108949901</v>
      </c>
      <c r="AH5674">
        <v>15.4828206858125</v>
      </c>
      <c r="AI5674">
        <v>93.774870794723299</v>
      </c>
      <c r="AJ5674">
        <v>114.993247882256</v>
      </c>
      <c r="AK5674">
        <v>17.119605882685899</v>
      </c>
      <c r="AL5674">
        <v>81.848861563399495</v>
      </c>
      <c r="AM5674">
        <v>107.422570184601</v>
      </c>
      <c r="AN5674">
        <v>0.99999996074691899</v>
      </c>
    </row>
    <row r="5675" spans="1:40" x14ac:dyDescent="0.25">
      <c r="A5675" t="str">
        <f>"20190312172229913"</f>
        <v>20190312172229913</v>
      </c>
      <c r="B5675" t="str">
        <f>"1552382549906147"</f>
        <v>1552382549906147</v>
      </c>
      <c r="C5675" t="s">
        <v>40</v>
      </c>
      <c r="D5675">
        <v>3.536076</v>
      </c>
      <c r="E5675">
        <v>0.4534763</v>
      </c>
      <c r="F5675" t="s">
        <v>62</v>
      </c>
      <c r="G5675">
        <v>-419.54</v>
      </c>
      <c r="H5675" s="1">
        <v>-3.5546659999999999E-6</v>
      </c>
      <c r="I5675">
        <v>125.3077</v>
      </c>
      <c r="J5675">
        <v>-408.16210000000001</v>
      </c>
      <c r="K5675">
        <v>1.127364</v>
      </c>
      <c r="L5675">
        <v>138.63069999999999</v>
      </c>
      <c r="M5675">
        <v>-0.90960469999999904</v>
      </c>
      <c r="N5675">
        <v>0</v>
      </c>
      <c r="O5675">
        <v>-0.41513440000000001</v>
      </c>
      <c r="P5675">
        <v>-0.73871940000000003</v>
      </c>
      <c r="Q5675">
        <v>0.1415814</v>
      </c>
      <c r="R5675">
        <v>-0.65897550000000005</v>
      </c>
      <c r="S5675">
        <v>-2.0476990000000002</v>
      </c>
      <c r="T5675">
        <v>-0.191246</v>
      </c>
      <c r="U5675">
        <v>-2.3106990000000001</v>
      </c>
      <c r="V5675">
        <v>-0.2993944</v>
      </c>
      <c r="W5675">
        <v>0.14449600000000001</v>
      </c>
      <c r="X5675">
        <v>0.94312450000000003</v>
      </c>
      <c r="Y5675">
        <v>-0.40546789999999999</v>
      </c>
      <c r="Z5675">
        <v>1.376614E-2</v>
      </c>
      <c r="AA5675">
        <v>0.91400559999999997</v>
      </c>
      <c r="AB5675">
        <v>50</v>
      </c>
      <c r="AC5675">
        <v>-11.3779</v>
      </c>
      <c r="AD5675">
        <v>-1.127367554666</v>
      </c>
      <c r="AE5675">
        <v>-13.322999999999899</v>
      </c>
      <c r="AF5675">
        <v>-7.36585317522729</v>
      </c>
      <c r="AG5675">
        <v>-1.127367554666</v>
      </c>
      <c r="AH5675">
        <v>15.816982317276</v>
      </c>
      <c r="AI5675">
        <v>93.696912903726897</v>
      </c>
      <c r="AJ5675">
        <v>114.971051701001</v>
      </c>
      <c r="AK5675">
        <v>17.484383896132599</v>
      </c>
      <c r="AL5675">
        <v>81.691904917562198</v>
      </c>
      <c r="AM5675">
        <v>107.612014737989</v>
      </c>
      <c r="AN5675">
        <v>0.999999961633804</v>
      </c>
    </row>
    <row r="5676" spans="1:40" x14ac:dyDescent="0.25">
      <c r="A5676" t="str">
        <f>"20190312172229936"</f>
        <v>20190312172229936</v>
      </c>
      <c r="B5676" t="str">
        <f>"1552382549926643"</f>
        <v>1552382549926643</v>
      </c>
      <c r="C5676" t="s">
        <v>40</v>
      </c>
      <c r="D5676">
        <v>3.5610170000000001</v>
      </c>
      <c r="E5676">
        <v>0.45470179999999999</v>
      </c>
      <c r="F5676" t="s">
        <v>62</v>
      </c>
      <c r="G5676">
        <v>-418.51859999999999</v>
      </c>
      <c r="H5676" s="1">
        <v>-4.4718040000000002E-6</v>
      </c>
      <c r="I5676">
        <v>126.9913</v>
      </c>
      <c r="J5676">
        <v>-408.61380000000003</v>
      </c>
      <c r="K5676">
        <v>1.127529</v>
      </c>
      <c r="L5676">
        <v>138.4288</v>
      </c>
      <c r="M5676">
        <v>-0.90325829999999996</v>
      </c>
      <c r="N5676">
        <v>0</v>
      </c>
      <c r="O5676">
        <v>-0.42876589999999998</v>
      </c>
      <c r="P5676">
        <v>-0.72907109999999997</v>
      </c>
      <c r="Q5676">
        <v>0.1424309</v>
      </c>
      <c r="R5676">
        <v>-0.66945469999999996</v>
      </c>
      <c r="S5676">
        <v>-2.0493160000000001</v>
      </c>
      <c r="T5676">
        <v>-0.22308140000000001</v>
      </c>
      <c r="U5676">
        <v>-2.3031769999999998</v>
      </c>
      <c r="V5676">
        <v>-0.29884549999999999</v>
      </c>
      <c r="W5676">
        <v>0.145294799999999</v>
      </c>
      <c r="X5676">
        <v>0.94317589999999996</v>
      </c>
      <c r="Y5676">
        <v>-0.38988070000000002</v>
      </c>
      <c r="Z5676">
        <v>1.7735000000000001E-2</v>
      </c>
      <c r="AA5676">
        <v>0.92069460000000003</v>
      </c>
      <c r="AB5676">
        <v>50</v>
      </c>
      <c r="AC5676">
        <v>-9.9047999999999607</v>
      </c>
      <c r="AD5676">
        <v>-1.127533471804</v>
      </c>
      <c r="AE5676">
        <v>-11.4375</v>
      </c>
      <c r="AF5676">
        <v>-6.0514341354763701</v>
      </c>
      <c r="AG5676">
        <v>-1.127533471804</v>
      </c>
      <c r="AH5676">
        <v>13.776065340573499</v>
      </c>
      <c r="AI5676">
        <v>94.285515606944699</v>
      </c>
      <c r="AJ5676">
        <v>113.714519640313</v>
      </c>
      <c r="AK5676">
        <v>15.088776063478401</v>
      </c>
      <c r="AL5676">
        <v>81.645649186313804</v>
      </c>
      <c r="AM5676">
        <v>107.580817089343</v>
      </c>
      <c r="AN5676">
        <v>0.99999999505904902</v>
      </c>
    </row>
    <row r="5677" spans="1:40" x14ac:dyDescent="0.25">
      <c r="A5677" t="str">
        <f>"20190312172229957"</f>
        <v>20190312172229957</v>
      </c>
      <c r="B5677" t="str">
        <f>"1552382549946163"</f>
        <v>1552382549946163</v>
      </c>
      <c r="C5677" t="s">
        <v>40</v>
      </c>
      <c r="D5677">
        <v>3.4544480000000002</v>
      </c>
      <c r="E5677">
        <v>0.45532210000000001</v>
      </c>
      <c r="F5677" t="s">
        <v>62</v>
      </c>
      <c r="G5677">
        <v>-418.7276</v>
      </c>
      <c r="H5677" s="1">
        <v>-4.3639279999999998E-6</v>
      </c>
      <c r="I5677">
        <v>126.8034</v>
      </c>
      <c r="J5677">
        <v>-409.04919999999998</v>
      </c>
      <c r="K5677">
        <v>1.1276679999999999</v>
      </c>
      <c r="L5677">
        <v>138.2268</v>
      </c>
      <c r="M5677">
        <v>-0.89686690000000002</v>
      </c>
      <c r="N5677">
        <v>0</v>
      </c>
      <c r="O5677">
        <v>-0.44197690000000001</v>
      </c>
      <c r="P5677">
        <v>-0.71979740000000003</v>
      </c>
      <c r="Q5677">
        <v>0.14333679999999999</v>
      </c>
      <c r="R5677">
        <v>-0.67922469999999902</v>
      </c>
      <c r="S5677">
        <v>-2.0233460000000001</v>
      </c>
      <c r="T5677">
        <v>-0.22557160000000001</v>
      </c>
      <c r="U5677">
        <v>-2.325745</v>
      </c>
      <c r="V5677">
        <v>-0.29789339999999997</v>
      </c>
      <c r="W5677">
        <v>0.1461826</v>
      </c>
      <c r="X5677">
        <v>0.94333990000000001</v>
      </c>
      <c r="Y5677">
        <v>-0.38667269999999998</v>
      </c>
      <c r="Z5677">
        <v>1.911204E-2</v>
      </c>
      <c r="AA5677">
        <v>0.92201889999999997</v>
      </c>
      <c r="AB5677">
        <v>50</v>
      </c>
      <c r="AC5677">
        <v>-9.6783999999999999</v>
      </c>
      <c r="AD5677">
        <v>-1.127672363928</v>
      </c>
      <c r="AE5677">
        <v>-11.423400000000001</v>
      </c>
      <c r="AF5677">
        <v>-5.9348271604532803</v>
      </c>
      <c r="AG5677">
        <v>-1.127672363928</v>
      </c>
      <c r="AH5677">
        <v>13.653626242984</v>
      </c>
      <c r="AI5677">
        <v>94.331610356246003</v>
      </c>
      <c r="AJ5677">
        <v>113.493158410742</v>
      </c>
      <c r="AK5677">
        <v>14.930349224580199</v>
      </c>
      <c r="AL5677">
        <v>81.594233057050005</v>
      </c>
      <c r="AM5677">
        <v>107.525380011858</v>
      </c>
      <c r="AN5677">
        <v>0.999999998619165</v>
      </c>
    </row>
    <row r="5678" spans="1:40" x14ac:dyDescent="0.25">
      <c r="A5678" t="str">
        <f>"20190312172229981"</f>
        <v>20190312172229981</v>
      </c>
      <c r="B5678" t="str">
        <f>"1552382549976422"</f>
        <v>1552382549976422</v>
      </c>
      <c r="C5678" t="s">
        <v>40</v>
      </c>
      <c r="D5678">
        <v>3.5238399999999999</v>
      </c>
      <c r="E5678">
        <v>0.46299780000000001</v>
      </c>
      <c r="F5678" t="s">
        <v>62</v>
      </c>
      <c r="G5678">
        <v>-419.14260000000002</v>
      </c>
      <c r="H5678" s="1">
        <v>-4.0979899999999997E-6</v>
      </c>
      <c r="I5678">
        <v>126.3287</v>
      </c>
      <c r="J5678">
        <v>-409.49169999999998</v>
      </c>
      <c r="K5678">
        <v>1.127796</v>
      </c>
      <c r="L5678">
        <v>138.01410000000001</v>
      </c>
      <c r="M5678">
        <v>-0.89009499999999997</v>
      </c>
      <c r="N5678">
        <v>0</v>
      </c>
      <c r="O5678">
        <v>-0.45545960000000002</v>
      </c>
      <c r="P5678">
        <v>-0.71001959999999997</v>
      </c>
      <c r="Q5678">
        <v>0.1428217</v>
      </c>
      <c r="R5678">
        <v>-0.68954659999999901</v>
      </c>
      <c r="S5678">
        <v>-1.994049</v>
      </c>
      <c r="T5678">
        <v>-0.22278300000000001</v>
      </c>
      <c r="U5678">
        <v>-2.3505859999999998</v>
      </c>
      <c r="V5678">
        <v>-0.29725970000000002</v>
      </c>
      <c r="W5678">
        <v>0.14564250000000001</v>
      </c>
      <c r="X5678">
        <v>0.94362330000000005</v>
      </c>
      <c r="Y5678">
        <v>-0.38427470000000002</v>
      </c>
      <c r="Z5678">
        <v>2.0035839999999999E-2</v>
      </c>
      <c r="AA5678">
        <v>0.92300130000000002</v>
      </c>
      <c r="AB5678">
        <v>50</v>
      </c>
      <c r="AC5678">
        <v>-9.6509000000000302</v>
      </c>
      <c r="AD5678">
        <v>-1.12780009799</v>
      </c>
      <c r="AE5678">
        <v>-11.6854</v>
      </c>
      <c r="AF5678">
        <v>-5.9733063203857197</v>
      </c>
      <c r="AG5678">
        <v>-1.12780009799</v>
      </c>
      <c r="AH5678">
        <v>13.837816484075001</v>
      </c>
      <c r="AI5678">
        <v>94.279321565500396</v>
      </c>
      <c r="AJ5678">
        <v>113.348185515759</v>
      </c>
      <c r="AK5678">
        <v>15.1141485537599</v>
      </c>
      <c r="AL5678">
        <v>81.625513293824895</v>
      </c>
      <c r="AM5678">
        <v>107.48544151354101</v>
      </c>
      <c r="AN5678">
        <v>0.99999999967661402</v>
      </c>
    </row>
    <row r="5679" spans="1:40" x14ac:dyDescent="0.25">
      <c r="A5679" t="str">
        <f>"20190312172230002"</f>
        <v>20190312172230002</v>
      </c>
      <c r="B5679" t="str">
        <f>"1552382549995939"</f>
        <v>1552382549995939</v>
      </c>
      <c r="C5679" t="s">
        <v>40</v>
      </c>
      <c r="D5679">
        <v>3.4880300000000002</v>
      </c>
      <c r="E5679">
        <v>0.4628372</v>
      </c>
      <c r="F5679" t="s">
        <v>41</v>
      </c>
      <c r="G5679">
        <v>-410.30259999999998</v>
      </c>
      <c r="H5679">
        <v>1.0236970000000001</v>
      </c>
      <c r="I5679">
        <v>137.06950000000001</v>
      </c>
      <c r="J5679">
        <v>-409.94189999999998</v>
      </c>
      <c r="K5679">
        <v>1.1279090000000001</v>
      </c>
      <c r="L5679">
        <v>137.78899999999999</v>
      </c>
      <c r="M5679">
        <v>-0.88290789999999997</v>
      </c>
      <c r="N5679">
        <v>0</v>
      </c>
      <c r="O5679">
        <v>-0.4692383</v>
      </c>
      <c r="P5679">
        <v>-0.70027299999999904</v>
      </c>
      <c r="Q5679">
        <v>0.14120629999999901</v>
      </c>
      <c r="R5679">
        <v>-0.69977019999999901</v>
      </c>
      <c r="S5679">
        <v>-2.0065919999999999</v>
      </c>
      <c r="T5679">
        <v>-0.25758310000000001</v>
      </c>
      <c r="U5679">
        <v>-2.3378749999999999</v>
      </c>
      <c r="V5679">
        <v>-0.29609780000000002</v>
      </c>
      <c r="W5679">
        <v>0.14403640000000001</v>
      </c>
      <c r="X5679">
        <v>0.94423489999999999</v>
      </c>
      <c r="Y5679">
        <v>-0.36463610000000002</v>
      </c>
      <c r="Z5679">
        <v>2.524318E-2</v>
      </c>
      <c r="AA5679">
        <v>0.93080790000000002</v>
      </c>
      <c r="AB5679">
        <v>50</v>
      </c>
      <c r="AC5679">
        <v>-0.36070000000000801</v>
      </c>
      <c r="AD5679">
        <v>-0.104212</v>
      </c>
      <c r="AE5679">
        <v>-0.71949999999998204</v>
      </c>
      <c r="AF5679">
        <v>-0.45838057267821197</v>
      </c>
      <c r="AG5679">
        <v>-0.104212</v>
      </c>
      <c r="AH5679">
        <v>0.64535723604235595</v>
      </c>
      <c r="AI5679">
        <v>97.499895506764204</v>
      </c>
      <c r="AJ5679">
        <v>125.385194320149</v>
      </c>
      <c r="AK5679">
        <v>0.79841020313184496</v>
      </c>
      <c r="AL5679">
        <v>81.718516506280395</v>
      </c>
      <c r="AM5679">
        <v>107.410636687354</v>
      </c>
      <c r="AN5679">
        <v>0.99999996903390398</v>
      </c>
    </row>
    <row r="5680" spans="1:40" x14ac:dyDescent="0.25">
      <c r="A5680" t="str">
        <f>"20190312172230025"</f>
        <v>20190312172230025</v>
      </c>
      <c r="B5680" t="str">
        <f>"1552382550016435"</f>
        <v>1552382550016435</v>
      </c>
      <c r="C5680" t="s">
        <v>40</v>
      </c>
      <c r="D5680">
        <v>3.6160199999999998</v>
      </c>
      <c r="E5680">
        <v>0.46473819999999999</v>
      </c>
      <c r="F5680" t="s">
        <v>41</v>
      </c>
      <c r="G5680">
        <v>-410.6977</v>
      </c>
      <c r="H5680">
        <v>1.046381</v>
      </c>
      <c r="I5680">
        <v>136.8811</v>
      </c>
      <c r="J5680">
        <v>-410.36320000000001</v>
      </c>
      <c r="K5680">
        <v>1.1279980000000001</v>
      </c>
      <c r="L5680">
        <v>137.57089999999999</v>
      </c>
      <c r="M5680">
        <v>-0.87591949999999996</v>
      </c>
      <c r="N5680">
        <v>0</v>
      </c>
      <c r="O5680">
        <v>-0.48215659999999999</v>
      </c>
      <c r="P5680">
        <v>-0.69141049999999904</v>
      </c>
      <c r="Q5680">
        <v>0.13962829999999901</v>
      </c>
      <c r="R5680">
        <v>-0.70884150000000001</v>
      </c>
      <c r="S5680">
        <v>-1.9666440000000001</v>
      </c>
      <c r="T5680">
        <v>-0.2121518</v>
      </c>
      <c r="U5680">
        <v>-2.3618769999999998</v>
      </c>
      <c r="V5680">
        <v>-0.29435119999999998</v>
      </c>
      <c r="W5680">
        <v>0.14251029999999901</v>
      </c>
      <c r="X5680">
        <v>0.94501230000000003</v>
      </c>
      <c r="Y5680">
        <v>-0.36482609999999999</v>
      </c>
      <c r="Z5680">
        <v>2.1830220000000001E-2</v>
      </c>
      <c r="AA5680">
        <v>0.93081970000000003</v>
      </c>
      <c r="AB5680">
        <v>50</v>
      </c>
      <c r="AC5680">
        <v>-0.33449999999999103</v>
      </c>
      <c r="AD5680">
        <v>-8.1616999999999995E-2</v>
      </c>
      <c r="AE5680">
        <v>-0.68979999999999098</v>
      </c>
      <c r="AF5680">
        <v>-0.43802739896828302</v>
      </c>
      <c r="AG5680">
        <v>-8.1616999999999995E-2</v>
      </c>
      <c r="AH5680">
        <v>0.61866529564942996</v>
      </c>
      <c r="AI5680">
        <v>96.1453274794397</v>
      </c>
      <c r="AJ5680">
        <v>125.29925683176999</v>
      </c>
      <c r="AK5680">
        <v>0.76241464110870505</v>
      </c>
      <c r="AL5680">
        <v>81.806867616766993</v>
      </c>
      <c r="AM5680">
        <v>107.300698884243</v>
      </c>
      <c r="AN5680">
        <v>1.0000000308493999</v>
      </c>
    </row>
    <row r="5681" spans="1:40" x14ac:dyDescent="0.25">
      <c r="A5681" t="str">
        <f>"20190312172230047"</f>
        <v>20190312172230047</v>
      </c>
      <c r="B5681" t="str">
        <f>"1552382550035955"</f>
        <v>1552382550035955</v>
      </c>
      <c r="C5681" t="s">
        <v>40</v>
      </c>
      <c r="D5681">
        <v>3.467133</v>
      </c>
      <c r="E5681">
        <v>0.46535720000000003</v>
      </c>
      <c r="F5681" t="s">
        <v>41</v>
      </c>
      <c r="G5681">
        <v>-411.089</v>
      </c>
      <c r="H5681">
        <v>1.046726</v>
      </c>
      <c r="I5681">
        <v>136.68549999999999</v>
      </c>
      <c r="J5681">
        <v>-410.79509999999999</v>
      </c>
      <c r="K5681">
        <v>1.128082</v>
      </c>
      <c r="L5681">
        <v>137.33959999999999</v>
      </c>
      <c r="M5681">
        <v>-0.86848519999999896</v>
      </c>
      <c r="N5681">
        <v>0</v>
      </c>
      <c r="O5681">
        <v>-0.49542079999999999</v>
      </c>
      <c r="P5681">
        <v>-0.68160559999999903</v>
      </c>
      <c r="Q5681">
        <v>0.1377014</v>
      </c>
      <c r="R5681">
        <v>-0.71864629999999996</v>
      </c>
      <c r="S5681">
        <v>-1.947052</v>
      </c>
      <c r="T5681">
        <v>-0.21801699999999999</v>
      </c>
      <c r="U5681">
        <v>-2.3759920000000001</v>
      </c>
      <c r="V5681">
        <v>-0.2932341</v>
      </c>
      <c r="W5681">
        <v>0.14060889999999901</v>
      </c>
      <c r="X5681">
        <v>0.94564420000000005</v>
      </c>
      <c r="Y5681">
        <v>-0.35800310000000002</v>
      </c>
      <c r="Z5681">
        <v>2.3715690000000001E-2</v>
      </c>
      <c r="AA5681">
        <v>0.9334192</v>
      </c>
      <c r="AB5681">
        <v>50</v>
      </c>
      <c r="AC5681">
        <v>-0.29390000000000699</v>
      </c>
      <c r="AD5681">
        <v>-8.1355999999999901E-2</v>
      </c>
      <c r="AE5681">
        <v>-0.65409999999999902</v>
      </c>
      <c r="AF5681">
        <v>-0.417164125701527</v>
      </c>
      <c r="AG5681">
        <v>-8.1355999999999901E-2</v>
      </c>
      <c r="AH5681">
        <v>0.57202428115686699</v>
      </c>
      <c r="AI5681">
        <v>96.555255235287305</v>
      </c>
      <c r="AJ5681">
        <v>126.102409295472</v>
      </c>
      <c r="AK5681">
        <v>0.71264050175481197</v>
      </c>
      <c r="AL5681">
        <v>81.916918028713397</v>
      </c>
      <c r="AM5681">
        <v>107.22810134404401</v>
      </c>
      <c r="AN5681">
        <v>1.0000000265778199</v>
      </c>
    </row>
    <row r="5682" spans="1:40" x14ac:dyDescent="0.25">
      <c r="A5682" t="str">
        <f>"20190312172230070"</f>
        <v>20190312172230070</v>
      </c>
      <c r="B5682" t="str">
        <f>"1552382550066210"</f>
        <v>1552382550066210</v>
      </c>
      <c r="C5682" t="s">
        <v>40</v>
      </c>
      <c r="D5682">
        <v>3.4632610000000001</v>
      </c>
      <c r="E5682">
        <v>0.46595690000000001</v>
      </c>
      <c r="F5682" t="s">
        <v>62</v>
      </c>
      <c r="G5682">
        <v>-420.38130000000001</v>
      </c>
      <c r="H5682" s="1">
        <v>-3.6354910000000001E-6</v>
      </c>
      <c r="I5682">
        <v>125.3296</v>
      </c>
      <c r="J5682">
        <v>-411.22120000000001</v>
      </c>
      <c r="K5682">
        <v>1.1281639999999999</v>
      </c>
      <c r="L5682">
        <v>137.1035</v>
      </c>
      <c r="M5682">
        <v>-0.86088349999999902</v>
      </c>
      <c r="N5682">
        <v>0</v>
      </c>
      <c r="O5682">
        <v>-0.50851420000000003</v>
      </c>
      <c r="P5682">
        <v>-0.67053850000000004</v>
      </c>
      <c r="Q5682">
        <v>0.13737869999999999</v>
      </c>
      <c r="R5682">
        <v>-0.72904419999999903</v>
      </c>
      <c r="S5682">
        <v>-1.9160159999999999</v>
      </c>
      <c r="T5682">
        <v>-0.22547500000000001</v>
      </c>
      <c r="U5682">
        <v>-2.4004819999999998</v>
      </c>
      <c r="V5682">
        <v>-0.29344369999999997</v>
      </c>
      <c r="W5682">
        <v>0.14024819999999999</v>
      </c>
      <c r="X5682">
        <v>0.94563280000000005</v>
      </c>
      <c r="Y5682">
        <v>-0.35592170000000001</v>
      </c>
      <c r="Z5682">
        <v>2.566309E-2</v>
      </c>
      <c r="AA5682">
        <v>0.93416330000000003</v>
      </c>
      <c r="AB5682">
        <v>50</v>
      </c>
      <c r="AC5682">
        <v>-9.1600999999999999</v>
      </c>
      <c r="AD5682">
        <v>-1.128167635491</v>
      </c>
      <c r="AE5682">
        <v>-11.7738999999999</v>
      </c>
      <c r="AF5682">
        <v>-5.44756068778055</v>
      </c>
      <c r="AG5682">
        <v>-1.128167635491</v>
      </c>
      <c r="AH5682">
        <v>13.796100336695901</v>
      </c>
      <c r="AI5682">
        <v>94.349520205517706</v>
      </c>
      <c r="AJ5682">
        <v>111.54719760307</v>
      </c>
      <c r="AK5682">
        <v>14.8755189543424</v>
      </c>
      <c r="AL5682">
        <v>81.9377918682966</v>
      </c>
      <c r="AM5682">
        <v>107.23988161047799</v>
      </c>
      <c r="AN5682">
        <v>1.00000007755438</v>
      </c>
    </row>
    <row r="5683" spans="1:40" x14ac:dyDescent="0.25">
      <c r="A5683" t="str">
        <f>"20190312172230092"</f>
        <v>20190312172230092</v>
      </c>
      <c r="B5683" t="str">
        <f>"1552382550085733"</f>
        <v>1552382550085733</v>
      </c>
      <c r="C5683" t="s">
        <v>40</v>
      </c>
      <c r="D5683">
        <v>3.5038369999999999</v>
      </c>
      <c r="E5683">
        <v>0.46643570000000001</v>
      </c>
      <c r="F5683" t="s">
        <v>62</v>
      </c>
      <c r="G5683">
        <v>-420.80799999999999</v>
      </c>
      <c r="H5683" s="1">
        <v>-3.4268599999999999E-6</v>
      </c>
      <c r="I5683">
        <v>124.73439999999999</v>
      </c>
      <c r="J5683">
        <v>-411.65499999999997</v>
      </c>
      <c r="K5683">
        <v>1.1282460000000001</v>
      </c>
      <c r="L5683">
        <v>136.85480000000001</v>
      </c>
      <c r="M5683">
        <v>-0.85286689999999998</v>
      </c>
      <c r="N5683">
        <v>0</v>
      </c>
      <c r="O5683">
        <v>-0.52184659999999905</v>
      </c>
      <c r="P5683">
        <v>-0.65818509999999997</v>
      </c>
      <c r="Q5683">
        <v>0.13776440000000001</v>
      </c>
      <c r="R5683">
        <v>-0.74014419999999903</v>
      </c>
      <c r="S5683">
        <v>-1.88089</v>
      </c>
      <c r="T5683">
        <v>-0.2213408</v>
      </c>
      <c r="U5683">
        <v>-2.4267430000000001</v>
      </c>
      <c r="V5683">
        <v>-0.29461929999999997</v>
      </c>
      <c r="W5683">
        <v>0.14054990000000001</v>
      </c>
      <c r="X5683">
        <v>0.94522229999999996</v>
      </c>
      <c r="Y5683">
        <v>-0.35473640000000001</v>
      </c>
      <c r="Z5683">
        <v>2.6308450000000001E-2</v>
      </c>
      <c r="AA5683">
        <v>0.93459610000000004</v>
      </c>
      <c r="AB5683">
        <v>49</v>
      </c>
      <c r="AC5683">
        <v>-9.1530000000000697</v>
      </c>
      <c r="AD5683">
        <v>-1.1282494268599901</v>
      </c>
      <c r="AE5683">
        <v>-12.1204</v>
      </c>
      <c r="AF5683">
        <v>-5.5309233859487197</v>
      </c>
      <c r="AG5683">
        <v>-1.1282494268599901</v>
      </c>
      <c r="AH5683">
        <v>14.055796571563601</v>
      </c>
      <c r="AI5683">
        <v>94.271747419900194</v>
      </c>
      <c r="AJ5683">
        <v>111.479522765684</v>
      </c>
      <c r="AK5683">
        <v>15.1469296404131</v>
      </c>
      <c r="AL5683">
        <v>81.920332181172796</v>
      </c>
      <c r="AM5683">
        <v>107.31189788515999</v>
      </c>
      <c r="AN5683">
        <v>1.00000000136989</v>
      </c>
    </row>
    <row r="5684" spans="1:40" x14ac:dyDescent="0.25">
      <c r="A5684" t="str">
        <f>"20190312172230115"</f>
        <v>20190312172230115</v>
      </c>
      <c r="B5684" t="str">
        <f>"1552382550106228"</f>
        <v>1552382550106228</v>
      </c>
      <c r="C5684" t="s">
        <v>40</v>
      </c>
      <c r="D5684">
        <v>3.4748510000000001</v>
      </c>
      <c r="E5684">
        <v>0.46666229999999997</v>
      </c>
      <c r="F5684" t="s">
        <v>62</v>
      </c>
      <c r="G5684">
        <v>-421.07530000000003</v>
      </c>
      <c r="H5684" s="1">
        <v>-3.2604179999999998E-6</v>
      </c>
      <c r="I5684">
        <v>124.3137</v>
      </c>
      <c r="J5684">
        <v>-412.06400000000002</v>
      </c>
      <c r="K5684">
        <v>1.1283080000000001</v>
      </c>
      <c r="L5684">
        <v>136.6123</v>
      </c>
      <c r="M5684">
        <v>-0.84504919999999994</v>
      </c>
      <c r="N5684">
        <v>0</v>
      </c>
      <c r="O5684">
        <v>-0.53441240000000001</v>
      </c>
      <c r="P5684">
        <v>-0.64628619999999903</v>
      </c>
      <c r="Q5684">
        <v>0.1382417</v>
      </c>
      <c r="R5684">
        <v>-0.75046859999999904</v>
      </c>
      <c r="S5684">
        <v>-1.843872</v>
      </c>
      <c r="T5684">
        <v>-0.22083469999999999</v>
      </c>
      <c r="U5684">
        <v>-2.4546969999999999</v>
      </c>
      <c r="V5684">
        <v>-0.29569179999999901</v>
      </c>
      <c r="W5684">
        <v>0.140954</v>
      </c>
      <c r="X5684">
        <v>0.94482710000000003</v>
      </c>
      <c r="Y5684">
        <v>-0.3550392</v>
      </c>
      <c r="Z5684">
        <v>2.7245209999999999E-2</v>
      </c>
      <c r="AA5684">
        <v>0.93445429999999996</v>
      </c>
      <c r="AB5684">
        <v>49</v>
      </c>
      <c r="AC5684">
        <v>-9.0113000000000003</v>
      </c>
      <c r="AD5684">
        <v>-1.1283112604179999</v>
      </c>
      <c r="AE5684">
        <v>-12.2986</v>
      </c>
      <c r="AF5684">
        <v>-5.5476130273272499</v>
      </c>
      <c r="AG5684">
        <v>-1.1283112604179999</v>
      </c>
      <c r="AH5684">
        <v>14.1123233954802</v>
      </c>
      <c r="AI5684">
        <v>94.255500513113404</v>
      </c>
      <c r="AJ5684">
        <v>111.45999602758501</v>
      </c>
      <c r="AK5684">
        <v>15.205484807133701</v>
      </c>
      <c r="AL5684">
        <v>81.896945806916094</v>
      </c>
      <c r="AM5684">
        <v>107.37796149834701</v>
      </c>
      <c r="AN5684">
        <v>0.99999995979882395</v>
      </c>
    </row>
    <row r="5685" spans="1:40" x14ac:dyDescent="0.25">
      <c r="A5685" t="str">
        <f>"20190312172230137"</f>
        <v>20190312172230137</v>
      </c>
      <c r="B5685" t="str">
        <f>"1552382550125746"</f>
        <v>1552382550125746</v>
      </c>
      <c r="C5685" t="s">
        <v>40</v>
      </c>
      <c r="D5685">
        <v>3.5212150000000002</v>
      </c>
      <c r="E5685">
        <v>0.4719565</v>
      </c>
      <c r="F5685" t="s">
        <v>62</v>
      </c>
      <c r="G5685">
        <v>-421.44349999999997</v>
      </c>
      <c r="H5685" s="1">
        <v>-3.0010909999999999E-6</v>
      </c>
      <c r="I5685">
        <v>123.7159</v>
      </c>
      <c r="J5685">
        <v>-412.48250000000002</v>
      </c>
      <c r="K5685">
        <v>1.1283589999999999</v>
      </c>
      <c r="L5685">
        <v>136.3561</v>
      </c>
      <c r="M5685">
        <v>-0.8367888</v>
      </c>
      <c r="N5685">
        <v>0</v>
      </c>
      <c r="O5685">
        <v>-0.54725519999999905</v>
      </c>
      <c r="P5685">
        <v>-0.63470260000000001</v>
      </c>
      <c r="Q5685">
        <v>0.13854959999999999</v>
      </c>
      <c r="R5685">
        <v>-0.76023469999999904</v>
      </c>
      <c r="S5685">
        <v>-1.805542</v>
      </c>
      <c r="T5685">
        <v>-0.21719869999999999</v>
      </c>
      <c r="U5685">
        <v>-2.4825590000000002</v>
      </c>
      <c r="V5685">
        <v>-0.29574010000000001</v>
      </c>
      <c r="W5685">
        <v>0.1412476</v>
      </c>
      <c r="X5685">
        <v>0.94476819999999895</v>
      </c>
      <c r="Y5685">
        <v>-0.35519869999999998</v>
      </c>
      <c r="Z5685">
        <v>2.7810040000000001E-2</v>
      </c>
      <c r="AA5685">
        <v>0.93437709999999996</v>
      </c>
      <c r="AB5685">
        <v>49</v>
      </c>
      <c r="AC5685">
        <v>-8.9609999999999506</v>
      </c>
      <c r="AD5685">
        <v>-1.128362001091</v>
      </c>
      <c r="AE5685">
        <v>-12.640199999999901</v>
      </c>
      <c r="AF5685">
        <v>-5.6441315907310496</v>
      </c>
      <c r="AG5685">
        <v>-1.128362001091</v>
      </c>
      <c r="AH5685">
        <v>14.341954834101299</v>
      </c>
      <c r="AI5685">
        <v>94.1871776490446</v>
      </c>
      <c r="AJ5685">
        <v>111.481617677727</v>
      </c>
      <c r="AK5685">
        <v>15.4538374096014</v>
      </c>
      <c r="AL5685">
        <v>81.879954268225504</v>
      </c>
      <c r="AM5685">
        <v>107.381647462855</v>
      </c>
      <c r="AN5685">
        <v>1.0000000214925</v>
      </c>
    </row>
    <row r="5686" spans="1:40" x14ac:dyDescent="0.25">
      <c r="A5686" t="str">
        <f>"20190312172230159"</f>
        <v>20190312172230159</v>
      </c>
      <c r="B5686" t="str">
        <f>"1552382550156004"</f>
        <v>1552382550156004</v>
      </c>
      <c r="C5686" t="s">
        <v>40</v>
      </c>
      <c r="D5686">
        <v>3.4607320000000001</v>
      </c>
      <c r="E5686">
        <v>0.47203509999999999</v>
      </c>
      <c r="F5686" t="s">
        <v>62</v>
      </c>
      <c r="G5686">
        <v>-421.18299999999999</v>
      </c>
      <c r="H5686" s="1">
        <v>-3.3062970000000001E-6</v>
      </c>
      <c r="I5686">
        <v>124.3539</v>
      </c>
      <c r="J5686">
        <v>-412.88889999999998</v>
      </c>
      <c r="K5686">
        <v>1.1284160000000001</v>
      </c>
      <c r="L5686">
        <v>136.09909999999999</v>
      </c>
      <c r="M5686">
        <v>-0.82851039999999998</v>
      </c>
      <c r="N5686">
        <v>0</v>
      </c>
      <c r="O5686">
        <v>-0.55970779999999998</v>
      </c>
      <c r="P5686">
        <v>-0.62278829999999996</v>
      </c>
      <c r="Q5686">
        <v>0.14097100000000001</v>
      </c>
      <c r="R5686">
        <v>-0.76958559999999998</v>
      </c>
      <c r="S5686">
        <v>-1.8012999999999999</v>
      </c>
      <c r="T5686">
        <v>-0.23360990000000001</v>
      </c>
      <c r="U5686">
        <v>-2.4848629999999998</v>
      </c>
      <c r="V5686">
        <v>-0.29609059999999998</v>
      </c>
      <c r="W5686">
        <v>0.14364199999999999</v>
      </c>
      <c r="X5686">
        <v>0.94429730000000001</v>
      </c>
      <c r="Y5686">
        <v>-0.34273940000000003</v>
      </c>
      <c r="Z5686">
        <v>3.1402689999999997E-2</v>
      </c>
      <c r="AA5686">
        <v>0.93890549999999995</v>
      </c>
      <c r="AB5686">
        <v>49</v>
      </c>
      <c r="AC5686">
        <v>-8.2941000000000695</v>
      </c>
      <c r="AD5686">
        <v>-1.128419306297</v>
      </c>
      <c r="AE5686">
        <v>-11.745199999999899</v>
      </c>
      <c r="AF5686">
        <v>-5.0583509430212201</v>
      </c>
      <c r="AG5686">
        <v>-1.128419306297</v>
      </c>
      <c r="AH5686">
        <v>13.365312530907101</v>
      </c>
      <c r="AI5686">
        <v>94.514871639873803</v>
      </c>
      <c r="AJ5686">
        <v>110.730079973599</v>
      </c>
      <c r="AK5686">
        <v>14.334985993798901</v>
      </c>
      <c r="AL5686">
        <v>81.741351921390205</v>
      </c>
      <c r="AM5686">
        <v>107.409157941987</v>
      </c>
      <c r="AN5686">
        <v>1.0000000291798199</v>
      </c>
    </row>
    <row r="5687" spans="1:40" x14ac:dyDescent="0.25">
      <c r="A5687" t="str">
        <f>"20190312172230181"</f>
        <v>20190312172230181</v>
      </c>
      <c r="B5687" t="str">
        <f>"1552382550176502"</f>
        <v>1552382550176502</v>
      </c>
      <c r="C5687" t="s">
        <v>40</v>
      </c>
      <c r="D5687">
        <v>3.525112</v>
      </c>
      <c r="E5687">
        <v>0.4724757</v>
      </c>
      <c r="F5687" t="s">
        <v>62</v>
      </c>
      <c r="G5687">
        <v>-421.95870000000002</v>
      </c>
      <c r="H5687" s="1">
        <v>-2.7983520000000001E-6</v>
      </c>
      <c r="I5687">
        <v>123.1812</v>
      </c>
      <c r="J5687">
        <v>-413.29539999999997</v>
      </c>
      <c r="K5687">
        <v>1.128468</v>
      </c>
      <c r="L5687">
        <v>135.8331</v>
      </c>
      <c r="M5687">
        <v>-0.81997260000000005</v>
      </c>
      <c r="N5687">
        <v>0</v>
      </c>
      <c r="O5687">
        <v>-0.57214149999999997</v>
      </c>
      <c r="P5687">
        <v>-0.60957640000000002</v>
      </c>
      <c r="Q5687">
        <v>0.14388609999999999</v>
      </c>
      <c r="R5687">
        <v>-0.77955969999999997</v>
      </c>
      <c r="S5687">
        <v>-1.763306</v>
      </c>
      <c r="T5687">
        <v>-0.21938060000000001</v>
      </c>
      <c r="U5687">
        <v>-2.5114139999999998</v>
      </c>
      <c r="V5687">
        <v>-0.2976647</v>
      </c>
      <c r="W5687">
        <v>0.14647180000000001</v>
      </c>
      <c r="X5687">
        <v>0.94336719999999996</v>
      </c>
      <c r="Y5687">
        <v>-0.34272459999999999</v>
      </c>
      <c r="Z5687">
        <v>3.0496059999999998E-2</v>
      </c>
      <c r="AA5687">
        <v>0.93894080000000002</v>
      </c>
      <c r="AB5687">
        <v>49</v>
      </c>
      <c r="AC5687">
        <v>-8.6633000000000493</v>
      </c>
      <c r="AD5687">
        <v>-1.1284707983519999</v>
      </c>
      <c r="AE5687">
        <v>-12.6518999999999</v>
      </c>
      <c r="AF5687">
        <v>-5.38919977075121</v>
      </c>
      <c r="AG5687">
        <v>-1.1284707983519999</v>
      </c>
      <c r="AH5687">
        <v>14.2672182461736</v>
      </c>
      <c r="AI5687">
        <v>94.231752040912696</v>
      </c>
      <c r="AJ5687">
        <v>110.693207725543</v>
      </c>
      <c r="AK5687">
        <v>15.2928230551376</v>
      </c>
      <c r="AL5687">
        <v>81.577482561751395</v>
      </c>
      <c r="AM5687">
        <v>107.512272299315</v>
      </c>
      <c r="AN5687">
        <v>0.99999996792858403</v>
      </c>
    </row>
    <row r="5688" spans="1:40" x14ac:dyDescent="0.25">
      <c r="A5688" t="str">
        <f>"20190312172230203"</f>
        <v>20190312172230203</v>
      </c>
      <c r="B5688" t="str">
        <f>"1552382550196019"</f>
        <v>1552382550196019</v>
      </c>
      <c r="C5688" t="s">
        <v>40</v>
      </c>
      <c r="D5688">
        <v>3.5076499999999999</v>
      </c>
      <c r="E5688">
        <v>0.47303050000000002</v>
      </c>
      <c r="F5688" t="s">
        <v>41</v>
      </c>
      <c r="G5688">
        <v>-413.97309999999999</v>
      </c>
      <c r="H5688">
        <v>1.0456529999999999</v>
      </c>
      <c r="I5688">
        <v>134.83760000000001</v>
      </c>
      <c r="J5688">
        <v>-413.69200000000001</v>
      </c>
      <c r="K5688">
        <v>1.128517</v>
      </c>
      <c r="L5688">
        <v>135.5651</v>
      </c>
      <c r="M5688">
        <v>-0.81138969999999999</v>
      </c>
      <c r="N5688">
        <v>0</v>
      </c>
      <c r="O5688">
        <v>-0.58424929999999997</v>
      </c>
      <c r="P5688">
        <v>-0.5960358</v>
      </c>
      <c r="Q5688">
        <v>0.1480484</v>
      </c>
      <c r="R5688">
        <v>-0.78919139999999999</v>
      </c>
      <c r="S5688">
        <v>-1.726318</v>
      </c>
      <c r="T5688">
        <v>-0.21097189999999999</v>
      </c>
      <c r="U5688">
        <v>-2.5372919999999999</v>
      </c>
      <c r="V5688">
        <v>-0.29952570000000001</v>
      </c>
      <c r="W5688">
        <v>0.150536999999999</v>
      </c>
      <c r="X5688">
        <v>0.94213749999999996</v>
      </c>
      <c r="Y5688">
        <v>-0.34258430000000001</v>
      </c>
      <c r="Z5688">
        <v>3.0267490000000001E-2</v>
      </c>
      <c r="AA5688">
        <v>0.93899940000000004</v>
      </c>
      <c r="AB5688">
        <v>49</v>
      </c>
      <c r="AC5688">
        <v>-0.28110000000003699</v>
      </c>
      <c r="AD5688">
        <v>-8.2863999999999799E-2</v>
      </c>
      <c r="AE5688">
        <v>-0.72749999999999204</v>
      </c>
      <c r="AF5688">
        <v>-0.42136085091359499</v>
      </c>
      <c r="AG5688">
        <v>-8.2863999999999799E-2</v>
      </c>
      <c r="AH5688">
        <v>0.64592932342991005</v>
      </c>
      <c r="AI5688">
        <v>96.132692061119698</v>
      </c>
      <c r="AJ5688">
        <v>123.11772640245</v>
      </c>
      <c r="AK5688">
        <v>0.77565204830854995</v>
      </c>
      <c r="AL5688">
        <v>81.341952678932998</v>
      </c>
      <c r="AM5688">
        <v>107.636575541168</v>
      </c>
      <c r="AN5688">
        <v>1.0000000511178599</v>
      </c>
    </row>
    <row r="5689" spans="1:40" x14ac:dyDescent="0.25">
      <c r="A5689" t="str">
        <f>"20190312172230226"</f>
        <v>20190312172230226</v>
      </c>
      <c r="B5689" t="str">
        <f>"1552382550216515"</f>
        <v>1552382550216515</v>
      </c>
      <c r="C5689" t="s">
        <v>40</v>
      </c>
      <c r="D5689">
        <v>3.573048</v>
      </c>
      <c r="E5689">
        <v>0.47312660000000001</v>
      </c>
      <c r="F5689" t="s">
        <v>41</v>
      </c>
      <c r="G5689">
        <v>-414.37729999999999</v>
      </c>
      <c r="H5689">
        <v>1.0467</v>
      </c>
      <c r="I5689">
        <v>134.52549999999999</v>
      </c>
      <c r="J5689">
        <v>-414.08370000000002</v>
      </c>
      <c r="K5689">
        <v>1.128541</v>
      </c>
      <c r="L5689">
        <v>135.292</v>
      </c>
      <c r="M5689">
        <v>-0.80266590000000004</v>
      </c>
      <c r="N5689">
        <v>0</v>
      </c>
      <c r="O5689">
        <v>-0.5961765</v>
      </c>
      <c r="P5689">
        <v>-0.58370069999999996</v>
      </c>
      <c r="Q5689">
        <v>0.1454945</v>
      </c>
      <c r="R5689">
        <v>-0.79882730000000002</v>
      </c>
      <c r="S5689">
        <v>-1.6894229999999999</v>
      </c>
      <c r="T5689">
        <v>-0.20167979999999999</v>
      </c>
      <c r="U5689">
        <v>-2.5632320000000002</v>
      </c>
      <c r="V5689">
        <v>-0.30051109999999998</v>
      </c>
      <c r="W5689">
        <v>0.1479452</v>
      </c>
      <c r="X5689">
        <v>0.94223420000000002</v>
      </c>
      <c r="Y5689">
        <v>-0.34248079999999997</v>
      </c>
      <c r="Z5689">
        <v>2.9814899999999998E-2</v>
      </c>
      <c r="AA5689">
        <v>0.93905159999999999</v>
      </c>
      <c r="AB5689">
        <v>49</v>
      </c>
      <c r="AC5689">
        <v>-0.293599999999969</v>
      </c>
      <c r="AD5689">
        <v>-8.1840999999999997E-2</v>
      </c>
      <c r="AE5689">
        <v>-0.76650000000000695</v>
      </c>
      <c r="AF5689">
        <v>-0.43593830063396699</v>
      </c>
      <c r="AG5689">
        <v>-8.1840999999999997E-2</v>
      </c>
      <c r="AH5689">
        <v>0.68591709472435902</v>
      </c>
      <c r="AI5689">
        <v>95.750260915851896</v>
      </c>
      <c r="AJ5689">
        <v>122.438218678898</v>
      </c>
      <c r="AK5689">
        <v>0.81683683320216205</v>
      </c>
      <c r="AL5689">
        <v>81.492133344734498</v>
      </c>
      <c r="AM5689">
        <v>107.68928243872401</v>
      </c>
      <c r="AN5689">
        <v>0.99999999553794405</v>
      </c>
    </row>
    <row r="5690" spans="1:40" x14ac:dyDescent="0.25">
      <c r="A5690" t="str">
        <f>"20190312172230248"</f>
        <v>20190312172230248</v>
      </c>
      <c r="B5690" t="str">
        <f>"1552382550245795"</f>
        <v>1552382550245795</v>
      </c>
      <c r="C5690" t="s">
        <v>40</v>
      </c>
      <c r="D5690">
        <v>3.5786410000000002</v>
      </c>
      <c r="E5690">
        <v>0.47433839999999999</v>
      </c>
      <c r="F5690" t="s">
        <v>62</v>
      </c>
      <c r="G5690">
        <v>-422.9495</v>
      </c>
      <c r="H5690" s="1">
        <v>-1.9082190000000001E-6</v>
      </c>
      <c r="I5690">
        <v>121.3661</v>
      </c>
      <c r="J5690">
        <v>-414.47640000000001</v>
      </c>
      <c r="K5690">
        <v>1.1285559999999999</v>
      </c>
      <c r="L5690">
        <v>135.0095</v>
      </c>
      <c r="M5690">
        <v>-0.79366709999999996</v>
      </c>
      <c r="N5690">
        <v>0</v>
      </c>
      <c r="O5690">
        <v>-0.60810390000000003</v>
      </c>
      <c r="P5690">
        <v>-0.57131369999999904</v>
      </c>
      <c r="Q5690">
        <v>0.13752429999999999</v>
      </c>
      <c r="R5690">
        <v>-0.80912769999999901</v>
      </c>
      <c r="S5690">
        <v>-1.648407</v>
      </c>
      <c r="T5690">
        <v>-0.20982919999999999</v>
      </c>
      <c r="U5690">
        <v>-2.5892330000000001</v>
      </c>
      <c r="V5690">
        <v>-0.30170340000000001</v>
      </c>
      <c r="W5690">
        <v>0.13993749999999999</v>
      </c>
      <c r="X5690">
        <v>0.94307609999999997</v>
      </c>
      <c r="Y5690">
        <v>-0.3433388</v>
      </c>
      <c r="Z5690">
        <v>3.1917189999999998E-2</v>
      </c>
      <c r="AA5690">
        <v>0.93866910000000003</v>
      </c>
      <c r="AB5690">
        <v>49</v>
      </c>
      <c r="AC5690">
        <v>-8.4730999999999792</v>
      </c>
      <c r="AD5690">
        <v>-1.12855790821899</v>
      </c>
      <c r="AE5690">
        <v>-13.6434</v>
      </c>
      <c r="AF5690">
        <v>-5.6487577075694002</v>
      </c>
      <c r="AG5690">
        <v>-1.12855790821899</v>
      </c>
      <c r="AH5690">
        <v>14.949875627165</v>
      </c>
      <c r="AI5690">
        <v>94.039331803802895</v>
      </c>
      <c r="AJ5690">
        <v>110.698894799516</v>
      </c>
      <c r="AK5690">
        <v>16.021263616167499</v>
      </c>
      <c r="AL5690">
        <v>81.955770243186095</v>
      </c>
      <c r="AM5690">
        <v>107.74021018469</v>
      </c>
      <c r="AN5690">
        <v>0.99999998793450995</v>
      </c>
    </row>
    <row r="5691" spans="1:40" x14ac:dyDescent="0.25">
      <c r="A5691" t="str">
        <f>"20190312172230271"</f>
        <v>20190312172230271</v>
      </c>
      <c r="B5691" t="str">
        <f>"1552382550266291"</f>
        <v>1552382550266291</v>
      </c>
      <c r="C5691" t="s">
        <v>40</v>
      </c>
      <c r="D5691">
        <v>3.6265610000000001</v>
      </c>
      <c r="E5691">
        <v>0.474742</v>
      </c>
      <c r="F5691" t="s">
        <v>62</v>
      </c>
      <c r="G5691">
        <v>-421.95710000000003</v>
      </c>
      <c r="H5691" s="1">
        <v>-2.6179200000000001E-6</v>
      </c>
      <c r="I5691">
        <v>122.898</v>
      </c>
      <c r="J5691">
        <v>-414.85789999999997</v>
      </c>
      <c r="K5691">
        <v>1.128549</v>
      </c>
      <c r="L5691">
        <v>134.72659999999999</v>
      </c>
      <c r="M5691">
        <v>-0.78467589999999998</v>
      </c>
      <c r="N5691">
        <v>0</v>
      </c>
      <c r="O5691">
        <v>-0.61966189999999999</v>
      </c>
      <c r="P5691">
        <v>-0.55939490000000003</v>
      </c>
      <c r="Q5691">
        <v>0.129274</v>
      </c>
      <c r="R5691">
        <v>-0.81875869999999995</v>
      </c>
      <c r="S5691">
        <v>-1.612366</v>
      </c>
      <c r="T5691">
        <v>-0.2432474</v>
      </c>
      <c r="U5691">
        <v>-2.6104889999999998</v>
      </c>
      <c r="V5691">
        <v>-0.30238690000000001</v>
      </c>
      <c r="W5691">
        <v>0.1316773</v>
      </c>
      <c r="X5691">
        <v>0.94404619999999995</v>
      </c>
      <c r="Y5691">
        <v>-0.34252199999999999</v>
      </c>
      <c r="Z5691">
        <v>3.8060650000000001E-2</v>
      </c>
      <c r="AA5691">
        <v>0.93873850000000003</v>
      </c>
      <c r="AB5691">
        <v>49</v>
      </c>
      <c r="AC5691">
        <v>-7.0992000000000504</v>
      </c>
      <c r="AD5691">
        <v>-1.1285516179199999</v>
      </c>
      <c r="AE5691">
        <v>-11.8285999999999</v>
      </c>
      <c r="AF5691">
        <v>-4.8507904928868504</v>
      </c>
      <c r="AG5691">
        <v>-1.1285516179199999</v>
      </c>
      <c r="AH5691">
        <v>12.8164869088047</v>
      </c>
      <c r="AI5691">
        <v>94.707886623571</v>
      </c>
      <c r="AJ5691">
        <v>110.73067750308201</v>
      </c>
      <c r="AK5691">
        <v>13.7501321391379</v>
      </c>
      <c r="AL5691">
        <v>82.433472081466107</v>
      </c>
      <c r="AM5691">
        <v>107.76075238269701</v>
      </c>
      <c r="AN5691">
        <v>0.99999998818066904</v>
      </c>
    </row>
    <row r="5692" spans="1:40" x14ac:dyDescent="0.25">
      <c r="A5692" t="str">
        <f>"20190312172230292"</f>
        <v>20190312172230292</v>
      </c>
      <c r="B5692" t="str">
        <f>"1552382550285811"</f>
        <v>1552382550285811</v>
      </c>
      <c r="C5692" t="s">
        <v>40</v>
      </c>
      <c r="D5692">
        <v>3.5375269999999999</v>
      </c>
      <c r="E5692">
        <v>0.48272209999999899</v>
      </c>
      <c r="F5692" t="s">
        <v>62</v>
      </c>
      <c r="G5692">
        <v>-421.4203</v>
      </c>
      <c r="H5692" s="1">
        <v>-3.0148980000000001E-6</v>
      </c>
      <c r="I5692">
        <v>123.7473</v>
      </c>
      <c r="J5692">
        <v>-415.2398</v>
      </c>
      <c r="K5692">
        <v>1.1285339999999999</v>
      </c>
      <c r="L5692">
        <v>134.43459999999999</v>
      </c>
      <c r="M5692">
        <v>-0.77542290000000003</v>
      </c>
      <c r="N5692">
        <v>0</v>
      </c>
      <c r="O5692">
        <v>-0.63120159999999903</v>
      </c>
      <c r="P5692">
        <v>-0.54797759999999995</v>
      </c>
      <c r="Q5692">
        <v>0.12369230000000001</v>
      </c>
      <c r="R5692">
        <v>-0.82729759999999997</v>
      </c>
      <c r="S5692">
        <v>-1.573151</v>
      </c>
      <c r="T5692">
        <v>-0.27053769999999999</v>
      </c>
      <c r="U5692">
        <v>-2.6319729999999999</v>
      </c>
      <c r="V5692">
        <v>-0.30192740000000001</v>
      </c>
      <c r="W5692">
        <v>0.12614349999999999</v>
      </c>
      <c r="X5692">
        <v>0.94494849999999997</v>
      </c>
      <c r="Y5692">
        <v>-0.34243750000000001</v>
      </c>
      <c r="Z5692">
        <v>4.349712E-2</v>
      </c>
      <c r="AA5692">
        <v>0.93853319999999996</v>
      </c>
      <c r="AB5692">
        <v>49</v>
      </c>
      <c r="AC5692">
        <v>-6.1804999999999897</v>
      </c>
      <c r="AD5692">
        <v>-1.1285370148979901</v>
      </c>
      <c r="AE5692">
        <v>-10.687299999999899</v>
      </c>
      <c r="AF5692">
        <v>-4.3503506857990404</v>
      </c>
      <c r="AG5692">
        <v>-1.1285370148979901</v>
      </c>
      <c r="AH5692">
        <v>11.444465620042999</v>
      </c>
      <c r="AI5692">
        <v>95.266356157963202</v>
      </c>
      <c r="AJ5692">
        <v>110.813150479843</v>
      </c>
      <c r="AK5692">
        <v>12.295321883211299</v>
      </c>
      <c r="AL5692">
        <v>82.753203768852501</v>
      </c>
      <c r="AM5692">
        <v>107.719580783336</v>
      </c>
      <c r="AN5692">
        <v>1.0000000025576199</v>
      </c>
    </row>
    <row r="5693" spans="1:40" x14ac:dyDescent="0.25">
      <c r="A5693" t="str">
        <f>"20190312172230315"</f>
        <v>20190312172230315</v>
      </c>
      <c r="B5693" t="str">
        <f>"1552382550306307"</f>
        <v>1552382550306307</v>
      </c>
      <c r="C5693" t="s">
        <v>40</v>
      </c>
      <c r="D5693">
        <v>3.5591930000000001</v>
      </c>
      <c r="E5693">
        <v>0.48444749999999998</v>
      </c>
      <c r="F5693" t="s">
        <v>62</v>
      </c>
      <c r="G5693">
        <v>-420.73939999999999</v>
      </c>
      <c r="H5693" s="1">
        <v>-3.7367869999999998E-6</v>
      </c>
      <c r="I5693">
        <v>125.37260000000001</v>
      </c>
      <c r="J5693">
        <v>-415.6112</v>
      </c>
      <c r="K5693">
        <v>1.128544</v>
      </c>
      <c r="L5693">
        <v>134.14189999999999</v>
      </c>
      <c r="M5693">
        <v>-0.76617100000000005</v>
      </c>
      <c r="N5693">
        <v>0</v>
      </c>
      <c r="O5693">
        <v>-0.64239959999999996</v>
      </c>
      <c r="P5693">
        <v>-0.53709319999999905</v>
      </c>
      <c r="Q5693">
        <v>0.1244622</v>
      </c>
      <c r="R5693">
        <v>-0.83429039999999999</v>
      </c>
      <c r="S5693">
        <v>-1.590881</v>
      </c>
      <c r="T5693">
        <v>-0.32645170000000001</v>
      </c>
      <c r="U5693">
        <v>-2.6213679999999999</v>
      </c>
      <c r="V5693">
        <v>-0.30052839999999997</v>
      </c>
      <c r="W5693">
        <v>0.1270057</v>
      </c>
      <c r="X5693">
        <v>0.94527890000000003</v>
      </c>
      <c r="Y5693">
        <v>-0.32278010000000001</v>
      </c>
      <c r="Z5693">
        <v>5.4649580000000003E-2</v>
      </c>
      <c r="AA5693">
        <v>0.94489489999999998</v>
      </c>
      <c r="AB5693">
        <v>48</v>
      </c>
      <c r="AC5693">
        <v>-5.1281999999999899</v>
      </c>
      <c r="AD5693">
        <v>-1.128547736787</v>
      </c>
      <c r="AE5693">
        <v>-8.7692999999999799</v>
      </c>
      <c r="AF5693">
        <v>-3.38319826792819</v>
      </c>
      <c r="AG5693">
        <v>-1.128547736787</v>
      </c>
      <c r="AH5693">
        <v>9.4473370748914505</v>
      </c>
      <c r="AI5693">
        <v>96.416684454347404</v>
      </c>
      <c r="AJ5693">
        <v>109.703020328413</v>
      </c>
      <c r="AK5693">
        <v>10.0981101361065</v>
      </c>
      <c r="AL5693">
        <v>82.703402657487104</v>
      </c>
      <c r="AM5693">
        <v>107.636794723661</v>
      </c>
      <c r="AN5693">
        <v>0.99999998291212899</v>
      </c>
    </row>
    <row r="5694" spans="1:40" x14ac:dyDescent="0.25">
      <c r="A5694" t="str">
        <f>"20190312172230338"</f>
        <v>20190312172230338</v>
      </c>
      <c r="B5694" t="str">
        <f>"1552382550325828"</f>
        <v>1552382550325828</v>
      </c>
      <c r="C5694" t="s">
        <v>40</v>
      </c>
      <c r="D5694">
        <v>3.50556</v>
      </c>
      <c r="E5694">
        <v>0.48637829999999899</v>
      </c>
      <c r="F5694" t="s">
        <v>62</v>
      </c>
      <c r="G5694">
        <v>-421.05270000000002</v>
      </c>
      <c r="H5694" s="1">
        <v>-3.6068380000000001E-6</v>
      </c>
      <c r="I5694">
        <v>124.9812</v>
      </c>
      <c r="J5694">
        <v>-415.9923</v>
      </c>
      <c r="K5694">
        <v>1.128565</v>
      </c>
      <c r="L5694">
        <v>133.8323</v>
      </c>
      <c r="M5694">
        <v>-0.75641099999999994</v>
      </c>
      <c r="N5694">
        <v>0</v>
      </c>
      <c r="O5694">
        <v>-0.65386279999999997</v>
      </c>
      <c r="P5694">
        <v>-0.52639590000000003</v>
      </c>
      <c r="Q5694">
        <v>0.1296117</v>
      </c>
      <c r="R5694">
        <v>-0.84030269999999996</v>
      </c>
      <c r="S5694">
        <v>-1.5659179999999999</v>
      </c>
      <c r="T5694">
        <v>-0.32477030000000001</v>
      </c>
      <c r="U5694">
        <v>-2.6362299999999999</v>
      </c>
      <c r="V5694">
        <v>-0.2980178</v>
      </c>
      <c r="W5694">
        <v>0.13230359999999999</v>
      </c>
      <c r="X5694">
        <v>0.9453471</v>
      </c>
      <c r="Y5694">
        <v>-0.31751929999999901</v>
      </c>
      <c r="Z5694">
        <v>5.5977529999999998E-2</v>
      </c>
      <c r="AA5694">
        <v>0.9465981</v>
      </c>
      <c r="AB5694">
        <v>48</v>
      </c>
      <c r="AC5694">
        <v>-5.0604000000000102</v>
      </c>
      <c r="AD5694">
        <v>-1.1285686068379901</v>
      </c>
      <c r="AE5694">
        <v>-8.8511000000000006</v>
      </c>
      <c r="AF5694">
        <v>-3.3457850154537701</v>
      </c>
      <c r="AG5694">
        <v>-1.1285686068379901</v>
      </c>
      <c r="AH5694">
        <v>9.5002143238609396</v>
      </c>
      <c r="AI5694">
        <v>96.393231330949405</v>
      </c>
      <c r="AJ5694">
        <v>109.401241762238</v>
      </c>
      <c r="AK5694">
        <v>10.1351870564517</v>
      </c>
      <c r="AL5694">
        <v>82.397271066705997</v>
      </c>
      <c r="AM5694">
        <v>107.497298936692</v>
      </c>
      <c r="AN5694">
        <v>0.99999999558410502</v>
      </c>
    </row>
    <row r="5695" spans="1:40" x14ac:dyDescent="0.25">
      <c r="A5695" t="str">
        <f>"20190312172230360"</f>
        <v>20190312172230360</v>
      </c>
      <c r="B5695" t="str">
        <f>"1552382550356083"</f>
        <v>1552382550356083</v>
      </c>
      <c r="C5695" t="s">
        <v>40</v>
      </c>
      <c r="D5695">
        <v>3.5415869999999998</v>
      </c>
      <c r="E5695">
        <v>0.48843359999999902</v>
      </c>
      <c r="F5695" t="s">
        <v>62</v>
      </c>
      <c r="G5695">
        <v>-421.4384</v>
      </c>
      <c r="H5695" s="1">
        <v>-3.4460289999999999E-6</v>
      </c>
      <c r="I5695">
        <v>124.5059</v>
      </c>
      <c r="J5695">
        <v>-416.35059999999999</v>
      </c>
      <c r="K5695">
        <v>1.1285879999999999</v>
      </c>
      <c r="L5695">
        <v>133.53210000000001</v>
      </c>
      <c r="M5695">
        <v>-0.74697400000000003</v>
      </c>
      <c r="N5695">
        <v>0</v>
      </c>
      <c r="O5695">
        <v>-0.66462259999999995</v>
      </c>
      <c r="P5695">
        <v>-0.51620999999999995</v>
      </c>
      <c r="Q5695">
        <v>0.14139930000000001</v>
      </c>
      <c r="R5695">
        <v>-0.84470919999999905</v>
      </c>
      <c r="S5695">
        <v>-1.5475460000000001</v>
      </c>
      <c r="T5695">
        <v>-0.32068999999999998</v>
      </c>
      <c r="U5695">
        <v>-2.6501619999999999</v>
      </c>
      <c r="V5695">
        <v>-0.29504259999999999</v>
      </c>
      <c r="W5695">
        <v>0.14425579999999999</v>
      </c>
      <c r="X5695">
        <v>0.94453169999999997</v>
      </c>
      <c r="Y5695">
        <v>-0.31102929999999901</v>
      </c>
      <c r="Z5695">
        <v>5.6782449999999998E-2</v>
      </c>
      <c r="AA5695">
        <v>0.94870259999999995</v>
      </c>
      <c r="AB5695">
        <v>48</v>
      </c>
      <c r="AC5695">
        <v>-5.0878000000000103</v>
      </c>
      <c r="AD5695">
        <v>-1.1285914460290001</v>
      </c>
      <c r="AE5695">
        <v>-9.02620000000001</v>
      </c>
      <c r="AF5695">
        <v>-3.3219726589185199</v>
      </c>
      <c r="AG5695">
        <v>-1.1285914460290001</v>
      </c>
      <c r="AH5695">
        <v>9.6860561628382698</v>
      </c>
      <c r="AI5695">
        <v>96.289485199616706</v>
      </c>
      <c r="AJ5695">
        <v>108.930144364279</v>
      </c>
      <c r="AK5695">
        <v>10.301888418552601</v>
      </c>
      <c r="AL5695">
        <v>81.705813418357906</v>
      </c>
      <c r="AM5695">
        <v>107.34719620989399</v>
      </c>
      <c r="AN5695">
        <v>1.00000000197664</v>
      </c>
    </row>
    <row r="5696" spans="1:40" x14ac:dyDescent="0.25">
      <c r="A5696" t="str">
        <f>"20190312172230382"</f>
        <v>20190312172230382</v>
      </c>
      <c r="B5696" t="str">
        <f>"1552382550376582"</f>
        <v>1552382550376582</v>
      </c>
      <c r="C5696" t="s">
        <v>40</v>
      </c>
      <c r="D5696">
        <v>3.5326629999999999</v>
      </c>
      <c r="E5696">
        <v>0.48938920000000002</v>
      </c>
      <c r="F5696" t="s">
        <v>62</v>
      </c>
      <c r="G5696">
        <v>-422.2285</v>
      </c>
      <c r="H5696" s="1">
        <v>-2.9803460000000001E-6</v>
      </c>
      <c r="I5696">
        <v>123.3546</v>
      </c>
      <c r="J5696">
        <v>-416.70929999999998</v>
      </c>
      <c r="K5696">
        <v>1.128595</v>
      </c>
      <c r="L5696">
        <v>133.2218</v>
      </c>
      <c r="M5696">
        <v>-0.73725799999999997</v>
      </c>
      <c r="N5696">
        <v>0</v>
      </c>
      <c r="O5696">
        <v>-0.67538390000000004</v>
      </c>
      <c r="P5696">
        <v>-0.50575669999999995</v>
      </c>
      <c r="Q5696">
        <v>0.14657579999999901</v>
      </c>
      <c r="R5696">
        <v>-0.85013289999999997</v>
      </c>
      <c r="S5696">
        <v>-1.53714</v>
      </c>
      <c r="T5696">
        <v>-0.29514210000000002</v>
      </c>
      <c r="U5696">
        <v>-2.6615449999999998</v>
      </c>
      <c r="V5696">
        <v>-0.29258379999999901</v>
      </c>
      <c r="W5696">
        <v>0.149580399999999</v>
      </c>
      <c r="X5696">
        <v>0.94446830000000004</v>
      </c>
      <c r="Y5696">
        <v>-0.30166270000000001</v>
      </c>
      <c r="Z5696">
        <v>5.3745069999999999E-2</v>
      </c>
      <c r="AA5696">
        <v>0.95189860000000004</v>
      </c>
      <c r="AB5696">
        <v>48</v>
      </c>
      <c r="AC5696">
        <v>-5.5192000000000103</v>
      </c>
      <c r="AD5696">
        <v>-1.128597980346</v>
      </c>
      <c r="AE5696">
        <v>-9.8671999999999898</v>
      </c>
      <c r="AF5696">
        <v>-3.5126355960354698</v>
      </c>
      <c r="AG5696">
        <v>-1.128597980346</v>
      </c>
      <c r="AH5696">
        <v>10.6289560483823</v>
      </c>
      <c r="AI5696">
        <v>95.757027257748007</v>
      </c>
      <c r="AJ5696">
        <v>108.287581592123</v>
      </c>
      <c r="AK5696">
        <v>11.2510910097741</v>
      </c>
      <c r="AL5696">
        <v>81.397388849513604</v>
      </c>
      <c r="AM5696">
        <v>107.21229035913299</v>
      </c>
      <c r="AN5696">
        <v>0.99999997289574405</v>
      </c>
    </row>
    <row r="5697" spans="1:40" x14ac:dyDescent="0.25">
      <c r="A5697" t="str">
        <f>"20190312172230404"</f>
        <v>20190312172230404</v>
      </c>
      <c r="B5697" t="str">
        <f>"1552382550396099"</f>
        <v>1552382550396099</v>
      </c>
      <c r="C5697" t="s">
        <v>40</v>
      </c>
      <c r="D5697">
        <v>3.7669730000000001</v>
      </c>
      <c r="E5697">
        <v>0.48850470000000001</v>
      </c>
      <c r="F5697" t="s">
        <v>62</v>
      </c>
      <c r="G5697">
        <v>-422.86399999999998</v>
      </c>
      <c r="H5697" s="1">
        <v>-2.5082220000000002E-6</v>
      </c>
      <c r="I5697">
        <v>122.3458</v>
      </c>
      <c r="J5697">
        <v>-417.06200000000001</v>
      </c>
      <c r="K5697">
        <v>1.1286080000000001</v>
      </c>
      <c r="L5697">
        <v>132.90729999999999</v>
      </c>
      <c r="M5697">
        <v>-0.72742899999999999</v>
      </c>
      <c r="N5697">
        <v>0</v>
      </c>
      <c r="O5697">
        <v>-0.68595830000000002</v>
      </c>
      <c r="P5697">
        <v>-0.49391239999999997</v>
      </c>
      <c r="Q5697">
        <v>0.1463749</v>
      </c>
      <c r="R5697">
        <v>-0.85710229999999998</v>
      </c>
      <c r="S5697">
        <v>-1.5142819999999999</v>
      </c>
      <c r="T5697">
        <v>-0.27767389999999997</v>
      </c>
      <c r="U5697">
        <v>-2.6758730000000002</v>
      </c>
      <c r="V5697">
        <v>-0.29206320000000002</v>
      </c>
      <c r="W5697">
        <v>0.14943519999999999</v>
      </c>
      <c r="X5697">
        <v>0.94465239999999995</v>
      </c>
      <c r="Y5697">
        <v>-0.29616419999999999</v>
      </c>
      <c r="Z5697">
        <v>5.1846629999999998E-2</v>
      </c>
      <c r="AA5697">
        <v>0.95372889999999999</v>
      </c>
      <c r="AB5697">
        <v>48</v>
      </c>
      <c r="AC5697">
        <v>-5.8020000000000698</v>
      </c>
      <c r="AD5697">
        <v>-1.1286105082219999</v>
      </c>
      <c r="AE5697">
        <v>-10.561499999999899</v>
      </c>
      <c r="AF5697">
        <v>-3.6711787751960299</v>
      </c>
      <c r="AG5697">
        <v>-1.1286105082219999</v>
      </c>
      <c r="AH5697">
        <v>11.3673454078217</v>
      </c>
      <c r="AI5697">
        <v>95.397298607846807</v>
      </c>
      <c r="AJ5697">
        <v>107.898294096726</v>
      </c>
      <c r="AK5697">
        <v>11.998660629397101</v>
      </c>
      <c r="AL5697">
        <v>81.405802776991194</v>
      </c>
      <c r="AM5697">
        <v>107.18031769217301</v>
      </c>
      <c r="AN5697">
        <v>0.99999997430951904</v>
      </c>
    </row>
    <row r="5698" spans="1:40" x14ac:dyDescent="0.25">
      <c r="A5698" t="str">
        <f>"20190312172230427"</f>
        <v>20190312172230427</v>
      </c>
      <c r="B5698" t="str">
        <f>"1552382550416595"</f>
        <v>1552382550416595</v>
      </c>
      <c r="C5698" t="s">
        <v>40</v>
      </c>
      <c r="D5698">
        <v>4.1640779999999999</v>
      </c>
      <c r="E5698">
        <v>0.46286119999999997</v>
      </c>
      <c r="F5698" t="s">
        <v>62</v>
      </c>
      <c r="G5698">
        <v>-423.10980000000001</v>
      </c>
      <c r="H5698" s="1">
        <v>-2.229836E-6</v>
      </c>
      <c r="I5698">
        <v>121.80500000000001</v>
      </c>
      <c r="J5698">
        <v>-417.4051</v>
      </c>
      <c r="K5698">
        <v>1.12863</v>
      </c>
      <c r="L5698">
        <v>132.5924</v>
      </c>
      <c r="M5698">
        <v>-0.71759830000000002</v>
      </c>
      <c r="N5698">
        <v>0</v>
      </c>
      <c r="O5698">
        <v>-0.69623550000000001</v>
      </c>
      <c r="P5698">
        <v>-0.48144439999999999</v>
      </c>
      <c r="Q5698">
        <v>0.14907590000000001</v>
      </c>
      <c r="R5698">
        <v>-0.86370590000000003</v>
      </c>
      <c r="S5698">
        <v>-1.4705509999999999</v>
      </c>
      <c r="T5698">
        <v>-0.27443040000000002</v>
      </c>
      <c r="U5698">
        <v>-2.6996310000000001</v>
      </c>
      <c r="V5698">
        <v>-0.292103</v>
      </c>
      <c r="W5698">
        <v>0.15215979999999901</v>
      </c>
      <c r="X5698">
        <v>0.94420510000000002</v>
      </c>
      <c r="Y5698">
        <v>-0.29801509999999998</v>
      </c>
      <c r="Z5698">
        <v>5.2234719999999998E-2</v>
      </c>
      <c r="AA5698">
        <v>0.9531309</v>
      </c>
      <c r="AB5698">
        <v>48</v>
      </c>
      <c r="AC5698">
        <v>-5.7046999999999999</v>
      </c>
      <c r="AD5698">
        <v>-1.1286322298360001</v>
      </c>
      <c r="AE5698">
        <v>-10.7873999999999</v>
      </c>
      <c r="AF5698">
        <v>-3.7378135790963198</v>
      </c>
      <c r="AG5698">
        <v>-1.1286322298360001</v>
      </c>
      <c r="AH5698">
        <v>11.5076083203222</v>
      </c>
      <c r="AI5698">
        <v>95.329115584572506</v>
      </c>
      <c r="AJ5698">
        <v>107.99443790824</v>
      </c>
      <c r="AK5698">
        <v>12.151959114326001</v>
      </c>
      <c r="AL5698">
        <v>81.247889236921296</v>
      </c>
      <c r="AM5698">
        <v>107.19018128037</v>
      </c>
      <c r="AN5698">
        <v>1.0000000191055201</v>
      </c>
    </row>
    <row r="5699" spans="1:40" x14ac:dyDescent="0.25">
      <c r="A5699" t="str">
        <f>"20190312172230449"</f>
        <v>20190312172230449</v>
      </c>
      <c r="B5699" t="str">
        <f>"1552382550445875"</f>
        <v>1552382550445875</v>
      </c>
      <c r="C5699" t="s">
        <v>40</v>
      </c>
      <c r="D5699">
        <v>3.5704449999999999</v>
      </c>
      <c r="E5699">
        <v>0.4620012</v>
      </c>
      <c r="F5699" t="s">
        <v>41</v>
      </c>
      <c r="G5699">
        <v>-417.88499999999999</v>
      </c>
      <c r="H5699">
        <v>1.0755969999999999</v>
      </c>
      <c r="I5699">
        <v>131.50989999999999</v>
      </c>
      <c r="J5699">
        <v>-417.74869999999999</v>
      </c>
      <c r="K5699">
        <v>1.1286510000000001</v>
      </c>
      <c r="L5699">
        <v>132.26759999999999</v>
      </c>
      <c r="M5699">
        <v>-0.7074686</v>
      </c>
      <c r="N5699">
        <v>0</v>
      </c>
      <c r="O5699">
        <v>-0.70652559999999998</v>
      </c>
      <c r="P5699">
        <v>-0.46834340000000002</v>
      </c>
      <c r="Q5699">
        <v>0.15453</v>
      </c>
      <c r="R5699">
        <v>-0.86992809999999898</v>
      </c>
      <c r="S5699">
        <v>-1.2424930000000001</v>
      </c>
      <c r="T5699">
        <v>-0.1373326</v>
      </c>
      <c r="U5699">
        <v>-2.8045040000000001</v>
      </c>
      <c r="V5699">
        <v>-0.29230859999999997</v>
      </c>
      <c r="W5699">
        <v>0.15762479999999901</v>
      </c>
      <c r="X5699">
        <v>0.94324450000000004</v>
      </c>
      <c r="Y5699">
        <v>-0.36085709999999999</v>
      </c>
      <c r="Z5699">
        <v>2.5702010000000001E-2</v>
      </c>
      <c r="AA5699">
        <v>0.93226690000000001</v>
      </c>
      <c r="AB5699">
        <v>48</v>
      </c>
      <c r="AC5699">
        <v>-0.136300000000005</v>
      </c>
      <c r="AD5699">
        <v>-5.3054000000000101E-2</v>
      </c>
      <c r="AE5699">
        <v>-0.75769999999999904</v>
      </c>
      <c r="AF5699">
        <v>-0.437738779262202</v>
      </c>
      <c r="AG5699">
        <v>-5.3054000000000101E-2</v>
      </c>
      <c r="AH5699">
        <v>0.628873705193016</v>
      </c>
      <c r="AI5699">
        <v>93.960892776861897</v>
      </c>
      <c r="AJ5699">
        <v>124.840536307897</v>
      </c>
      <c r="AK5699">
        <v>0.76805735649699702</v>
      </c>
      <c r="AL5699">
        <v>80.930942461103697</v>
      </c>
      <c r="AM5699">
        <v>107.218049714839</v>
      </c>
      <c r="AN5699">
        <v>1.0000000409946199</v>
      </c>
    </row>
    <row r="5700" spans="1:40" x14ac:dyDescent="0.25">
      <c r="A5700" t="str">
        <f>"20190312172230472"</f>
        <v>20190312172230472</v>
      </c>
      <c r="B5700" t="str">
        <f>"1552382550466371"</f>
        <v>1552382550466371</v>
      </c>
      <c r="C5700" t="s">
        <v>40</v>
      </c>
      <c r="D5700">
        <v>3.6794060000000002</v>
      </c>
      <c r="E5700">
        <v>0.46237919999999999</v>
      </c>
      <c r="F5700" t="s">
        <v>42</v>
      </c>
      <c r="G5700">
        <v>-428.48039999999997</v>
      </c>
      <c r="H5700" s="1">
        <v>-5.2133209999999996E-6</v>
      </c>
      <c r="I5700">
        <v>106.9447</v>
      </c>
      <c r="J5700">
        <v>-418.08699999999999</v>
      </c>
      <c r="K5700">
        <v>1.1286620000000001</v>
      </c>
      <c r="L5700">
        <v>131.93790000000001</v>
      </c>
      <c r="M5700">
        <v>-0.69719339999999996</v>
      </c>
      <c r="N5700">
        <v>0</v>
      </c>
      <c r="O5700">
        <v>-0.71666649999999998</v>
      </c>
      <c r="P5700">
        <v>-0.45579710000000001</v>
      </c>
      <c r="Q5700">
        <v>0.15938579999999999</v>
      </c>
      <c r="R5700">
        <v>-0.8756969</v>
      </c>
      <c r="S5700">
        <v>-1.1976929999999999</v>
      </c>
      <c r="T5700">
        <v>-0.1259614</v>
      </c>
      <c r="U5700">
        <v>-2.826111</v>
      </c>
      <c r="V5700">
        <v>-0.29185529999999998</v>
      </c>
      <c r="W5700">
        <v>0.16252710000000001</v>
      </c>
      <c r="X5700">
        <v>0.94255259999999996</v>
      </c>
      <c r="Y5700">
        <v>-0.36246929999999999</v>
      </c>
      <c r="Z5700">
        <v>2.4030260000000001E-2</v>
      </c>
      <c r="AA5700">
        <v>0.93168589999999996</v>
      </c>
      <c r="AB5700">
        <v>48</v>
      </c>
      <c r="AC5700">
        <v>-10.3933999999999</v>
      </c>
      <c r="AD5700">
        <v>-1.1286672133210001</v>
      </c>
      <c r="AE5700">
        <v>-24.993200000000002</v>
      </c>
      <c r="AF5700">
        <v>-9.9607232918098099</v>
      </c>
      <c r="AG5700">
        <v>-1.1286672133210001</v>
      </c>
      <c r="AH5700">
        <v>25.1182334406233</v>
      </c>
      <c r="AI5700">
        <v>92.391842589562501</v>
      </c>
      <c r="AJ5700">
        <v>111.630974576569</v>
      </c>
      <c r="AK5700">
        <v>27.044695401355</v>
      </c>
      <c r="AL5700">
        <v>80.646391204242207</v>
      </c>
      <c r="AM5700">
        <v>107.204799978171</v>
      </c>
      <c r="AN5700">
        <v>0.99999998906962895</v>
      </c>
    </row>
    <row r="5701" spans="1:40" x14ac:dyDescent="0.25">
      <c r="A5701" t="str">
        <f>"20190312172230493"</f>
        <v>20190312172230493</v>
      </c>
      <c r="B5701" t="str">
        <f>"1552382550485891"</f>
        <v>1552382550485891</v>
      </c>
      <c r="C5701" t="s">
        <v>40</v>
      </c>
      <c r="D5701">
        <v>3.700593</v>
      </c>
      <c r="E5701">
        <v>0.46233170000000001</v>
      </c>
      <c r="F5701" t="s">
        <v>42</v>
      </c>
      <c r="G5701">
        <v>-429.8098</v>
      </c>
      <c r="H5701" s="1">
        <v>-4.0162550000000002E-6</v>
      </c>
      <c r="I5701">
        <v>103.21339999999999</v>
      </c>
      <c r="J5701">
        <v>-418.41879999999998</v>
      </c>
      <c r="K5701">
        <v>1.128655</v>
      </c>
      <c r="L5701">
        <v>131.60499999999999</v>
      </c>
      <c r="M5701">
        <v>-0.68681510000000001</v>
      </c>
      <c r="N5701">
        <v>0</v>
      </c>
      <c r="O5701">
        <v>-0.72661790000000004</v>
      </c>
      <c r="P5701">
        <v>-0.44425209999999998</v>
      </c>
      <c r="Q5701">
        <v>0.1609188</v>
      </c>
      <c r="R5701">
        <v>-0.88133139999999999</v>
      </c>
      <c r="S5701">
        <v>-1.160004</v>
      </c>
      <c r="T5701">
        <v>-0.1116853</v>
      </c>
      <c r="U5701">
        <v>-2.8423919999999998</v>
      </c>
      <c r="V5701">
        <v>-0.29055609999999998</v>
      </c>
      <c r="W5701">
        <v>0.16415759999999999</v>
      </c>
      <c r="X5701">
        <v>0.94267140000000005</v>
      </c>
      <c r="Y5701">
        <v>-0.3615023</v>
      </c>
      <c r="Z5701">
        <v>2.175187E-2</v>
      </c>
      <c r="AA5701">
        <v>0.93211750000000004</v>
      </c>
      <c r="AB5701">
        <v>48</v>
      </c>
      <c r="AC5701">
        <v>-11.391</v>
      </c>
      <c r="AD5701">
        <v>-1.1286590162550001</v>
      </c>
      <c r="AE5701">
        <v>-28.3916</v>
      </c>
      <c r="AF5701">
        <v>-11.2093648694213</v>
      </c>
      <c r="AG5701">
        <v>-1.1286590162550001</v>
      </c>
      <c r="AH5701">
        <v>28.419103100288499</v>
      </c>
      <c r="AI5701">
        <v>92.115818339768296</v>
      </c>
      <c r="AJ5701">
        <v>111.525795113992</v>
      </c>
      <c r="AK5701">
        <v>30.570723788873899</v>
      </c>
      <c r="AL5701">
        <v>80.551698436017503</v>
      </c>
      <c r="AM5701">
        <v>107.130673195573</v>
      </c>
      <c r="AN5701">
        <v>0.99999996663146395</v>
      </c>
    </row>
    <row r="5702" spans="1:40" x14ac:dyDescent="0.25">
      <c r="A5702" t="str">
        <f>"20190312172230516"</f>
        <v>20190312172230516</v>
      </c>
      <c r="B5702" t="str">
        <f>"1552382550506388"</f>
        <v>1552382550506388</v>
      </c>
      <c r="C5702" t="s">
        <v>40</v>
      </c>
      <c r="D5702">
        <v>3.5520990000000001</v>
      </c>
      <c r="E5702">
        <v>0.46292369999999999</v>
      </c>
      <c r="F5702" t="s">
        <v>42</v>
      </c>
      <c r="G5702">
        <v>-429.05770000000001</v>
      </c>
      <c r="H5702" s="1">
        <v>-4.3646230000000001E-6</v>
      </c>
      <c r="I5702">
        <v>104.4679</v>
      </c>
      <c r="J5702">
        <v>-418.74090000000001</v>
      </c>
      <c r="K5702">
        <v>1.128617</v>
      </c>
      <c r="L5702">
        <v>131.27209999999999</v>
      </c>
      <c r="M5702">
        <v>-0.67643089999999995</v>
      </c>
      <c r="N5702">
        <v>0</v>
      </c>
      <c r="O5702">
        <v>-0.73629440000000002</v>
      </c>
      <c r="P5702">
        <v>-0.43516199999999999</v>
      </c>
      <c r="Q5702">
        <v>0.1637149</v>
      </c>
      <c r="R5702">
        <v>-0.88534279999999999</v>
      </c>
      <c r="S5702">
        <v>-1.121399</v>
      </c>
      <c r="T5702">
        <v>-0.1189668</v>
      </c>
      <c r="U5702">
        <v>-2.8603969999999999</v>
      </c>
      <c r="V5702">
        <v>-0.28663840000000002</v>
      </c>
      <c r="W5702">
        <v>0.1671841</v>
      </c>
      <c r="X5702">
        <v>0.94333869999999997</v>
      </c>
      <c r="Y5702">
        <v>-0.36119109999999999</v>
      </c>
      <c r="Z5702">
        <v>2.3604590000000002E-2</v>
      </c>
      <c r="AA5702">
        <v>0.93219300000000005</v>
      </c>
      <c r="AB5702">
        <v>48</v>
      </c>
      <c r="AC5702">
        <v>-10.316800000000001</v>
      </c>
      <c r="AD5702">
        <v>-1.1286213646229999</v>
      </c>
      <c r="AE5702">
        <v>-26.804199999999899</v>
      </c>
      <c r="AF5702">
        <v>-10.520384583973</v>
      </c>
      <c r="AG5702">
        <v>-1.1286213646229999</v>
      </c>
      <c r="AH5702">
        <v>26.677356023570599</v>
      </c>
      <c r="AI5702">
        <v>92.253802609804296</v>
      </c>
      <c r="AJ5702">
        <v>111.522111534541</v>
      </c>
      <c r="AK5702">
        <v>28.699017446381699</v>
      </c>
      <c r="AL5702">
        <v>80.375863142736193</v>
      </c>
      <c r="AM5702">
        <v>106.901678639278</v>
      </c>
      <c r="AN5702">
        <v>0.99999999928252903</v>
      </c>
    </row>
    <row r="5703" spans="1:40" x14ac:dyDescent="0.25">
      <c r="A5703" t="str">
        <f>"20190312172230539"</f>
        <v>20190312172230539</v>
      </c>
      <c r="B5703" t="str">
        <f>"1552382550536644"</f>
        <v>1552382550536644</v>
      </c>
      <c r="C5703" t="s">
        <v>40</v>
      </c>
      <c r="D5703">
        <v>3.5388869999999999</v>
      </c>
      <c r="E5703">
        <v>0.4641382</v>
      </c>
      <c r="F5703" t="s">
        <v>42</v>
      </c>
      <c r="G5703">
        <v>-429.57100000000003</v>
      </c>
      <c r="H5703" s="1">
        <v>-3.8783380000000004E-6</v>
      </c>
      <c r="I5703">
        <v>102.9645</v>
      </c>
      <c r="J5703">
        <v>-419.06689999999998</v>
      </c>
      <c r="K5703">
        <v>1.1285889999999901</v>
      </c>
      <c r="L5703">
        <v>130.92500000000001</v>
      </c>
      <c r="M5703">
        <v>-0.66558949999999995</v>
      </c>
      <c r="N5703">
        <v>0</v>
      </c>
      <c r="O5703">
        <v>-0.74610880000000002</v>
      </c>
      <c r="P5703">
        <v>-0.42561080000000001</v>
      </c>
      <c r="Q5703">
        <v>0.1620693</v>
      </c>
      <c r="R5703">
        <v>-0.89027469999999997</v>
      </c>
      <c r="S5703">
        <v>-1.0980219999999901</v>
      </c>
      <c r="T5703">
        <v>-0.1144265</v>
      </c>
      <c r="U5703">
        <v>-2.8699949999999999</v>
      </c>
      <c r="V5703">
        <v>-0.28309600000000001</v>
      </c>
      <c r="W5703">
        <v>0.1657594</v>
      </c>
      <c r="X5703">
        <v>0.94465889999999997</v>
      </c>
      <c r="Y5703">
        <v>-0.35520610000000002</v>
      </c>
      <c r="Z5703">
        <v>2.322376E-2</v>
      </c>
      <c r="AA5703">
        <v>0.93449950000000004</v>
      </c>
      <c r="AB5703">
        <v>47</v>
      </c>
      <c r="AC5703">
        <v>-10.5040999999999</v>
      </c>
      <c r="AD5703">
        <v>-1.1285928783379999</v>
      </c>
      <c r="AE5703">
        <v>-27.9605</v>
      </c>
      <c r="AF5703">
        <v>-10.759334726917199</v>
      </c>
      <c r="AG5703">
        <v>-1.1285928783379999</v>
      </c>
      <c r="AH5703">
        <v>27.817627411068901</v>
      </c>
      <c r="AI5703">
        <v>92.167002370427397</v>
      </c>
      <c r="AJ5703">
        <v>111.145532296263</v>
      </c>
      <c r="AK5703">
        <v>29.847234384980101</v>
      </c>
      <c r="AL5703">
        <v>80.458647423706694</v>
      </c>
      <c r="AM5703">
        <v>106.68245652634</v>
      </c>
      <c r="AN5703">
        <v>0.99999998062678397</v>
      </c>
    </row>
    <row r="5704" spans="1:40" x14ac:dyDescent="0.25">
      <c r="A5704" t="str">
        <f>"20190312172230562"</f>
        <v>20190312172230562</v>
      </c>
      <c r="B5704" t="str">
        <f>"1552382550556163"</f>
        <v>1552382550556163</v>
      </c>
      <c r="C5704" t="s">
        <v>40</v>
      </c>
      <c r="D5704">
        <v>3.76505</v>
      </c>
      <c r="E5704">
        <v>0.46507530000000002</v>
      </c>
      <c r="F5704" t="s">
        <v>42</v>
      </c>
      <c r="G5704">
        <v>-428.92700000000002</v>
      </c>
      <c r="H5704" s="1">
        <v>-4.4154729999999998E-6</v>
      </c>
      <c r="I5704">
        <v>104.66070000000001</v>
      </c>
      <c r="J5704">
        <v>-419.38780000000003</v>
      </c>
      <c r="K5704">
        <v>1.128566</v>
      </c>
      <c r="L5704">
        <v>130.57210000000001</v>
      </c>
      <c r="M5704">
        <v>-0.65455369999999902</v>
      </c>
      <c r="N5704">
        <v>0</v>
      </c>
      <c r="O5704">
        <v>-0.75580849999999999</v>
      </c>
      <c r="P5704">
        <v>-0.41504180000000002</v>
      </c>
      <c r="Q5704">
        <v>0.15927749999999999</v>
      </c>
      <c r="R5704">
        <v>-0.89575179999999999</v>
      </c>
      <c r="S5704">
        <v>-1.079712</v>
      </c>
      <c r="T5704">
        <v>-0.12358520000000001</v>
      </c>
      <c r="U5704">
        <v>-2.8760379999999999</v>
      </c>
      <c r="V5704">
        <v>-0.28057959999999998</v>
      </c>
      <c r="W5704">
        <v>0.16313730000000001</v>
      </c>
      <c r="X5704">
        <v>0.94586539999999997</v>
      </c>
      <c r="Y5704">
        <v>-0.34733979999999998</v>
      </c>
      <c r="Z5704">
        <v>2.5672650000000002E-2</v>
      </c>
      <c r="AA5704">
        <v>0.93738790000000005</v>
      </c>
      <c r="AB5704">
        <v>47</v>
      </c>
      <c r="AC5704">
        <v>-9.53919999999993</v>
      </c>
      <c r="AD5704">
        <v>-1.1285704154730001</v>
      </c>
      <c r="AE5704">
        <v>-25.9114</v>
      </c>
      <c r="AF5704">
        <v>-9.7358555973073102</v>
      </c>
      <c r="AG5704">
        <v>-1.1285704154730001</v>
      </c>
      <c r="AH5704">
        <v>25.7889342407335</v>
      </c>
      <c r="AI5704">
        <v>92.344461809315803</v>
      </c>
      <c r="AJ5704">
        <v>110.68255799102501</v>
      </c>
      <c r="AK5704">
        <v>27.5885788808916</v>
      </c>
      <c r="AL5704">
        <v>80.610956716849699</v>
      </c>
      <c r="AM5704">
        <v>106.52235666335901</v>
      </c>
      <c r="AN5704">
        <v>1.0000000227523</v>
      </c>
    </row>
    <row r="5705" spans="1:40" x14ac:dyDescent="0.25">
      <c r="A5705" t="str">
        <f>"20190312172230584"</f>
        <v>20190312172230584</v>
      </c>
      <c r="B5705" t="str">
        <f>"1552382550576659"</f>
        <v>1552382550576659</v>
      </c>
      <c r="C5705" t="s">
        <v>40</v>
      </c>
      <c r="D5705">
        <v>4.584994</v>
      </c>
      <c r="E5705">
        <v>0.46603129999999998</v>
      </c>
      <c r="F5705" t="s">
        <v>41</v>
      </c>
      <c r="G5705">
        <v>-419.80430000000001</v>
      </c>
      <c r="H5705">
        <v>1.0743969999999901</v>
      </c>
      <c r="I5705">
        <v>129.43090000000001</v>
      </c>
      <c r="J5705">
        <v>-419.68979999999999</v>
      </c>
      <c r="K5705">
        <v>1.128544</v>
      </c>
      <c r="L5705">
        <v>130.2296</v>
      </c>
      <c r="M5705">
        <v>-0.64382050000000002</v>
      </c>
      <c r="N5705">
        <v>0</v>
      </c>
      <c r="O5705">
        <v>-0.76497190000000004</v>
      </c>
      <c r="P5705">
        <v>-0.40249259999999998</v>
      </c>
      <c r="Q5705">
        <v>0.1599506</v>
      </c>
      <c r="R5705">
        <v>-0.90134130000000001</v>
      </c>
      <c r="S5705">
        <v>-1.053345</v>
      </c>
      <c r="T5705">
        <v>-0.13699140000000001</v>
      </c>
      <c r="U5705">
        <v>-2.8854060000000001</v>
      </c>
      <c r="V5705">
        <v>-0.2803813</v>
      </c>
      <c r="W5705">
        <v>0.16385189999999999</v>
      </c>
      <c r="X5705">
        <v>0.94580070000000005</v>
      </c>
      <c r="Y5705">
        <v>-0.34267259999999899</v>
      </c>
      <c r="Z5705">
        <v>2.902422E-2</v>
      </c>
      <c r="AA5705">
        <v>0.93900640000000002</v>
      </c>
      <c r="AB5705">
        <v>47</v>
      </c>
      <c r="AC5705">
        <v>-0.11450000000002</v>
      </c>
      <c r="AD5705">
        <v>-5.4147000000000098E-2</v>
      </c>
      <c r="AE5705">
        <v>-0.79869999999999597</v>
      </c>
      <c r="AF5705">
        <v>-0.42478396892061598</v>
      </c>
      <c r="AG5705">
        <v>-5.4147000000000098E-2</v>
      </c>
      <c r="AH5705">
        <v>0.68173755880178799</v>
      </c>
      <c r="AI5705">
        <v>93.856477355875498</v>
      </c>
      <c r="AJ5705">
        <v>121.926627724043</v>
      </c>
      <c r="AK5705">
        <v>0.805071063286945</v>
      </c>
      <c r="AL5705">
        <v>80.569454888035494</v>
      </c>
      <c r="AM5705">
        <v>106.512383505076</v>
      </c>
      <c r="AN5705">
        <v>1.0000000413218899</v>
      </c>
    </row>
    <row r="5706" spans="1:40" x14ac:dyDescent="0.25">
      <c r="A5706" t="str">
        <f>"20190312172230605"</f>
        <v>20190312172230605</v>
      </c>
      <c r="B5706" t="str">
        <f>"1552382550596179"</f>
        <v>1552382550596179</v>
      </c>
      <c r="C5706" t="s">
        <v>40</v>
      </c>
      <c r="D5706">
        <v>3.460121</v>
      </c>
      <c r="E5706">
        <v>0.46690179999999998</v>
      </c>
      <c r="F5706" t="s">
        <v>42</v>
      </c>
      <c r="G5706">
        <v>-428.09890000000001</v>
      </c>
      <c r="H5706" s="1">
        <v>-4.9145010000000004E-6</v>
      </c>
      <c r="I5706">
        <v>106.3428</v>
      </c>
      <c r="J5706">
        <v>-419.98469999999998</v>
      </c>
      <c r="K5706">
        <v>1.1285069999999999</v>
      </c>
      <c r="L5706">
        <v>129.88509999999999</v>
      </c>
      <c r="M5706">
        <v>-0.63299479999999997</v>
      </c>
      <c r="N5706">
        <v>0</v>
      </c>
      <c r="O5706">
        <v>-0.773953</v>
      </c>
      <c r="P5706">
        <v>-0.38799519999999998</v>
      </c>
      <c r="Q5706">
        <v>0.1576292</v>
      </c>
      <c r="R5706">
        <v>-0.9080819</v>
      </c>
      <c r="S5706">
        <v>-1.0199279999999999</v>
      </c>
      <c r="T5706">
        <v>-0.13688149999999999</v>
      </c>
      <c r="U5706">
        <v>-2.8972319999999998</v>
      </c>
      <c r="V5706">
        <v>-0.28237620000000002</v>
      </c>
      <c r="W5706">
        <v>0.1614651</v>
      </c>
      <c r="X5706">
        <v>0.94561759999999995</v>
      </c>
      <c r="Y5706">
        <v>-0.34029559999999998</v>
      </c>
      <c r="Z5706">
        <v>2.9524080000000001E-2</v>
      </c>
      <c r="AA5706">
        <v>0.93985490000000005</v>
      </c>
      <c r="AB5706">
        <v>47</v>
      </c>
      <c r="AC5706">
        <v>-8.1142000000000394</v>
      </c>
      <c r="AD5706">
        <v>-1.1285119145010001</v>
      </c>
      <c r="AE5706">
        <v>-23.542300000000001</v>
      </c>
      <c r="AF5706">
        <v>-8.6058245960341502</v>
      </c>
      <c r="AG5706">
        <v>-1.1285119145010001</v>
      </c>
      <c r="AH5706">
        <v>23.3126716859135</v>
      </c>
      <c r="AI5706">
        <v>92.600145475996996</v>
      </c>
      <c r="AJ5706">
        <v>110.26152067936501</v>
      </c>
      <c r="AK5706">
        <v>24.875980729492301</v>
      </c>
      <c r="AL5706">
        <v>80.708053634545294</v>
      </c>
      <c r="AM5706">
        <v>106.62644747450901</v>
      </c>
      <c r="AN5706">
        <v>0.99999997113710404</v>
      </c>
    </row>
    <row r="5707" spans="1:40" x14ac:dyDescent="0.25">
      <c r="A5707" t="str">
        <f>"20190312172230628"</f>
        <v>20190312172230628</v>
      </c>
      <c r="B5707" t="str">
        <f>"1552382550616675"</f>
        <v>1552382550616675</v>
      </c>
      <c r="C5707" t="s">
        <v>40</v>
      </c>
      <c r="D5707">
        <v>4.0463139999999997</v>
      </c>
      <c r="E5707">
        <v>0.46768700000000002</v>
      </c>
      <c r="F5707" t="s">
        <v>42</v>
      </c>
      <c r="G5707">
        <v>-427.54509999999999</v>
      </c>
      <c r="H5707" s="1">
        <v>-5.21514199999999E-6</v>
      </c>
      <c r="I5707">
        <v>107.3814</v>
      </c>
      <c r="J5707">
        <v>-420.28019999999998</v>
      </c>
      <c r="K5707">
        <v>1.1284689999999999</v>
      </c>
      <c r="L5707">
        <v>129.52959999999999</v>
      </c>
      <c r="M5707">
        <v>-0.62178180000000005</v>
      </c>
      <c r="N5707">
        <v>0</v>
      </c>
      <c r="O5707">
        <v>-0.78298970000000001</v>
      </c>
      <c r="P5707">
        <v>-0.37218079999999998</v>
      </c>
      <c r="Q5707">
        <v>0.15740279999999901</v>
      </c>
      <c r="R5707">
        <v>-0.91471659999999999</v>
      </c>
      <c r="S5707">
        <v>-0.97802730000000004</v>
      </c>
      <c r="T5707">
        <v>-0.14598710000000001</v>
      </c>
      <c r="U5707">
        <v>-2.911133</v>
      </c>
      <c r="V5707">
        <v>-0.28517120000000001</v>
      </c>
      <c r="W5707">
        <v>0.16112860000000001</v>
      </c>
      <c r="X5707">
        <v>0.94483600000000001</v>
      </c>
      <c r="Y5707">
        <v>-0.34028599999999998</v>
      </c>
      <c r="Z5707">
        <v>3.2012020000000002E-2</v>
      </c>
      <c r="AA5707">
        <v>0.93977690000000003</v>
      </c>
      <c r="AB5707">
        <v>47</v>
      </c>
      <c r="AC5707">
        <v>-7.2649000000000097</v>
      </c>
      <c r="AD5707">
        <v>-1.128474215142</v>
      </c>
      <c r="AE5707">
        <v>-22.1481999999999</v>
      </c>
      <c r="AF5707">
        <v>-8.06537336126841</v>
      </c>
      <c r="AG5707">
        <v>-1.128474215142</v>
      </c>
      <c r="AH5707">
        <v>21.8113114247666</v>
      </c>
      <c r="AI5707">
        <v>92.778190267677303</v>
      </c>
      <c r="AJ5707">
        <v>110.29335477270401</v>
      </c>
      <c r="AK5707">
        <v>23.2821177640492</v>
      </c>
      <c r="AL5707">
        <v>80.727590233985296</v>
      </c>
      <c r="AM5707">
        <v>106.794908807631</v>
      </c>
      <c r="AN5707">
        <v>1.0000000529716899</v>
      </c>
    </row>
    <row r="5708" spans="1:40" x14ac:dyDescent="0.25">
      <c r="A5708" t="str">
        <f>"20190312172230650"</f>
        <v>20190312172230650</v>
      </c>
      <c r="B5708" t="str">
        <f>"1552382550645955"</f>
        <v>1552382550645955</v>
      </c>
      <c r="C5708" t="s">
        <v>40</v>
      </c>
      <c r="D5708">
        <v>4.2318530000000001</v>
      </c>
      <c r="E5708">
        <v>0.47933550000000003</v>
      </c>
      <c r="F5708" t="s">
        <v>42</v>
      </c>
      <c r="G5708">
        <v>-427.32100000000003</v>
      </c>
      <c r="H5708" s="1">
        <v>-5.2115909999999998E-6</v>
      </c>
      <c r="I5708">
        <v>107.4757</v>
      </c>
      <c r="J5708">
        <v>-420.57549999999998</v>
      </c>
      <c r="K5708">
        <v>1.128404</v>
      </c>
      <c r="L5708">
        <v>129.16319999999999</v>
      </c>
      <c r="M5708">
        <v>-0.61018229999999996</v>
      </c>
      <c r="N5708">
        <v>0</v>
      </c>
      <c r="O5708">
        <v>-0.79206200000000004</v>
      </c>
      <c r="P5708">
        <v>-0.35954049999999999</v>
      </c>
      <c r="Q5708">
        <v>0.1520359</v>
      </c>
      <c r="R5708">
        <v>-0.9206607</v>
      </c>
      <c r="S5708">
        <v>-0.93396000000000001</v>
      </c>
      <c r="T5708">
        <v>-0.1496931</v>
      </c>
      <c r="U5708">
        <v>-2.9254609999999999</v>
      </c>
      <c r="V5708">
        <v>-0.284564599999999</v>
      </c>
      <c r="W5708">
        <v>0.15583759999999999</v>
      </c>
      <c r="X5708">
        <v>0.94590569999999896</v>
      </c>
      <c r="Y5708">
        <v>-0.34062979999999998</v>
      </c>
      <c r="Z5708">
        <v>3.3359229999999997E-2</v>
      </c>
      <c r="AA5708">
        <v>0.93960549999999998</v>
      </c>
      <c r="AB5708">
        <v>47</v>
      </c>
      <c r="AC5708">
        <v>-6.7454999999999901</v>
      </c>
      <c r="AD5708">
        <v>-1.128409211591</v>
      </c>
      <c r="AE5708">
        <v>-21.687499999999901</v>
      </c>
      <c r="AF5708">
        <v>-7.8722871120167799</v>
      </c>
      <c r="AG5708">
        <v>-1.128409211591</v>
      </c>
      <c r="AH5708">
        <v>21.244747714982701</v>
      </c>
      <c r="AI5708">
        <v>92.851279186388794</v>
      </c>
      <c r="AJ5708">
        <v>110.332295538401</v>
      </c>
      <c r="AK5708">
        <v>22.684477450364401</v>
      </c>
      <c r="AL5708">
        <v>81.034622303741997</v>
      </c>
      <c r="AM5708">
        <v>106.74329576064</v>
      </c>
      <c r="AN5708">
        <v>0.99999998121970401</v>
      </c>
    </row>
    <row r="5709" spans="1:40" x14ac:dyDescent="0.25">
      <c r="A5709" t="str">
        <f>"20190312172230673"</f>
        <v>20190312172230673</v>
      </c>
      <c r="B5709" t="str">
        <f>"1552382550666451"</f>
        <v>1552382550666451</v>
      </c>
      <c r="C5709" t="s">
        <v>40</v>
      </c>
      <c r="D5709">
        <v>3.5833659999999998</v>
      </c>
      <c r="E5709">
        <v>0.48047469999999998</v>
      </c>
      <c r="F5709" t="s">
        <v>42</v>
      </c>
      <c r="G5709">
        <v>-425.41309999999999</v>
      </c>
      <c r="H5709" s="1">
        <v>-3.6373910000000001E-6</v>
      </c>
      <c r="I5709">
        <v>114.8539</v>
      </c>
      <c r="J5709">
        <v>-420.8605</v>
      </c>
      <c r="K5709">
        <v>1.1283620000000001</v>
      </c>
      <c r="L5709">
        <v>128.79849999999999</v>
      </c>
      <c r="M5709">
        <v>-0.59858100000000003</v>
      </c>
      <c r="N5709">
        <v>0</v>
      </c>
      <c r="O5709">
        <v>-0.80086519999999894</v>
      </c>
      <c r="P5709">
        <v>-0.35089949999999998</v>
      </c>
      <c r="Q5709">
        <v>0.14309079999999999</v>
      </c>
      <c r="R5709">
        <v>-0.92541609999999996</v>
      </c>
      <c r="S5709">
        <v>-0.98446659999999997</v>
      </c>
      <c r="T5709">
        <v>-0.22963500000000001</v>
      </c>
      <c r="U5709">
        <v>-2.9120029999999999</v>
      </c>
      <c r="V5709">
        <v>-0.28006710000000001</v>
      </c>
      <c r="W5709">
        <v>0.14717269999999999</v>
      </c>
      <c r="X5709">
        <v>0.94863200000000003</v>
      </c>
      <c r="Y5709">
        <v>-0.31111549999999999</v>
      </c>
      <c r="Z5709">
        <v>5.2579309999999997E-2</v>
      </c>
      <c r="AA5709">
        <v>0.9489166</v>
      </c>
      <c r="AB5709">
        <v>47</v>
      </c>
      <c r="AC5709">
        <v>-4.5525999999999804</v>
      </c>
      <c r="AD5709">
        <v>-1.128365637391</v>
      </c>
      <c r="AE5709">
        <v>-13.9445999999999</v>
      </c>
      <c r="AF5709">
        <v>-4.6740396612596999</v>
      </c>
      <c r="AG5709">
        <v>-1.128365637391</v>
      </c>
      <c r="AH5709">
        <v>13.813304995171499</v>
      </c>
      <c r="AI5709">
        <v>94.424570950827402</v>
      </c>
      <c r="AJ5709">
        <v>108.69439476654399</v>
      </c>
      <c r="AK5709">
        <v>14.6262521055909</v>
      </c>
      <c r="AL5709">
        <v>81.536884486635103</v>
      </c>
      <c r="AM5709">
        <v>106.448318972043</v>
      </c>
      <c r="AN5709">
        <v>1.0000000277758401</v>
      </c>
    </row>
    <row r="5710" spans="1:40" x14ac:dyDescent="0.25">
      <c r="A5710" t="str">
        <f>"20190312172230694"</f>
        <v>20190312172230694</v>
      </c>
      <c r="B5710" t="str">
        <f>"1552382550685972"</f>
        <v>1552382550685972</v>
      </c>
      <c r="C5710" t="s">
        <v>40</v>
      </c>
      <c r="D5710">
        <v>3.612406</v>
      </c>
      <c r="E5710">
        <v>0.48097570000000001</v>
      </c>
      <c r="F5710" t="s">
        <v>42</v>
      </c>
      <c r="G5710">
        <v>-425.19029999999998</v>
      </c>
      <c r="H5710" s="1">
        <v>-3.8655590000000002E-6</v>
      </c>
      <c r="I5710">
        <v>115.6405</v>
      </c>
      <c r="J5710">
        <v>-421.13580000000002</v>
      </c>
      <c r="K5710">
        <v>1.1283479999999999</v>
      </c>
      <c r="L5710">
        <v>128.43520000000001</v>
      </c>
      <c r="M5710">
        <v>-0.58697259999999996</v>
      </c>
      <c r="N5710">
        <v>0</v>
      </c>
      <c r="O5710">
        <v>-0.80941149999999995</v>
      </c>
      <c r="P5710">
        <v>-0.34147179999999999</v>
      </c>
      <c r="Q5710">
        <v>0.13667299999999999</v>
      </c>
      <c r="R5710">
        <v>-0.92990209999999995</v>
      </c>
      <c r="S5710">
        <v>-0.95971680000000004</v>
      </c>
      <c r="T5710">
        <v>-0.250108</v>
      </c>
      <c r="U5710">
        <v>-2.916534</v>
      </c>
      <c r="V5710">
        <v>-0.27628849999999999</v>
      </c>
      <c r="W5710">
        <v>0.1409908</v>
      </c>
      <c r="X5710">
        <v>0.95067670000000004</v>
      </c>
      <c r="Y5710">
        <v>-0.30521120000000002</v>
      </c>
      <c r="Z5710">
        <v>5.8302560000000003E-2</v>
      </c>
      <c r="AA5710">
        <v>0.95049819999999996</v>
      </c>
      <c r="AB5710">
        <v>47</v>
      </c>
      <c r="AC5710">
        <v>-4.05449999999996</v>
      </c>
      <c r="AD5710">
        <v>-1.1283518655589999</v>
      </c>
      <c r="AE5710">
        <v>-12.794700000000001</v>
      </c>
      <c r="AF5710">
        <v>-4.1993686554288203</v>
      </c>
      <c r="AG5710">
        <v>-1.1283518655589999</v>
      </c>
      <c r="AH5710">
        <v>12.648676139751901</v>
      </c>
      <c r="AI5710">
        <v>94.839297028376606</v>
      </c>
      <c r="AJ5710">
        <v>108.36619977037</v>
      </c>
      <c r="AK5710">
        <v>13.3752339465535</v>
      </c>
      <c r="AL5710">
        <v>81.894816091122706</v>
      </c>
      <c r="AM5710">
        <v>106.205078894262</v>
      </c>
      <c r="AN5710">
        <v>0.99999996441988903</v>
      </c>
    </row>
    <row r="5711" spans="1:40" x14ac:dyDescent="0.25">
      <c r="A5711" t="str">
        <f>"20190312172230718"</f>
        <v>20190312172230718</v>
      </c>
      <c r="B5711" t="str">
        <f>"1552382550706467"</f>
        <v>1552382550706467</v>
      </c>
      <c r="C5711" t="s">
        <v>40</v>
      </c>
      <c r="D5711">
        <v>3.627831</v>
      </c>
      <c r="E5711">
        <v>0.48153200000000002</v>
      </c>
      <c r="F5711" t="s">
        <v>42</v>
      </c>
      <c r="G5711">
        <v>-425.02289999999999</v>
      </c>
      <c r="H5711" s="1">
        <v>-4.0420490000000003E-6</v>
      </c>
      <c r="I5711">
        <v>116.24639999999999</v>
      </c>
      <c r="J5711">
        <v>-421.41300000000001</v>
      </c>
      <c r="K5711">
        <v>1.1283669999999999</v>
      </c>
      <c r="L5711">
        <v>128.05789999999999</v>
      </c>
      <c r="M5711">
        <v>-0.57485350000000002</v>
      </c>
      <c r="N5711">
        <v>0</v>
      </c>
      <c r="O5711">
        <v>-0.81806299999999998</v>
      </c>
      <c r="P5711">
        <v>-0.33197919999999997</v>
      </c>
      <c r="Q5711">
        <v>0.1387352</v>
      </c>
      <c r="R5711">
        <v>-0.93302879999999999</v>
      </c>
      <c r="S5711">
        <v>-0.93234249999999996</v>
      </c>
      <c r="T5711">
        <v>-0.27064240000000001</v>
      </c>
      <c r="U5711">
        <v>-2.9235690000000001</v>
      </c>
      <c r="V5711">
        <v>-0.2717195</v>
      </c>
      <c r="W5711">
        <v>0.14331679999999999</v>
      </c>
      <c r="X5711">
        <v>0.95164530000000003</v>
      </c>
      <c r="Y5711">
        <v>-0.29987819999999998</v>
      </c>
      <c r="Z5711">
        <v>6.4164899999999997E-2</v>
      </c>
      <c r="AA5711">
        <v>0.95181720000000003</v>
      </c>
      <c r="AB5711">
        <v>47</v>
      </c>
      <c r="AC5711">
        <v>-3.6098999999999801</v>
      </c>
      <c r="AD5711">
        <v>-1.1283710420490001</v>
      </c>
      <c r="AE5711">
        <v>-11.811499999999899</v>
      </c>
      <c r="AF5711">
        <v>-3.8055995940520702</v>
      </c>
      <c r="AG5711">
        <v>-1.1283710420490001</v>
      </c>
      <c r="AH5711">
        <v>11.6423970814885</v>
      </c>
      <c r="AI5711">
        <v>95.263375408873301</v>
      </c>
      <c r="AJ5711">
        <v>108.10123457273301</v>
      </c>
      <c r="AK5711">
        <v>12.3004560599125</v>
      </c>
      <c r="AL5711">
        <v>81.760178938371993</v>
      </c>
      <c r="AM5711">
        <v>105.935422955166</v>
      </c>
      <c r="AN5711">
        <v>0.99999998442728899</v>
      </c>
    </row>
    <row r="5712" spans="1:40" x14ac:dyDescent="0.25">
      <c r="A5712" t="str">
        <f>"20190312172230741"</f>
        <v>20190312172230741</v>
      </c>
      <c r="B5712" t="str">
        <f>"1552382550736723"</f>
        <v>1552382550736723</v>
      </c>
      <c r="C5712" t="s">
        <v>40</v>
      </c>
      <c r="D5712">
        <v>3.6260409999999998</v>
      </c>
      <c r="E5712">
        <v>0.48240759999999999</v>
      </c>
      <c r="F5712" t="s">
        <v>42</v>
      </c>
      <c r="G5712">
        <v>-425.33319999999998</v>
      </c>
      <c r="H5712" s="1">
        <v>-3.8175320000000003E-6</v>
      </c>
      <c r="I5712">
        <v>115.42489999999999</v>
      </c>
      <c r="J5712">
        <v>-421.67790000000002</v>
      </c>
      <c r="K5712">
        <v>1.1283920000000001</v>
      </c>
      <c r="L5712">
        <v>127.6855</v>
      </c>
      <c r="M5712">
        <v>-0.56283090000000002</v>
      </c>
      <c r="N5712">
        <v>0</v>
      </c>
      <c r="O5712">
        <v>-0.82638009999999995</v>
      </c>
      <c r="P5712">
        <v>-0.32180409999999998</v>
      </c>
      <c r="Q5712">
        <v>0.146869</v>
      </c>
      <c r="R5712">
        <v>-0.9353458</v>
      </c>
      <c r="S5712">
        <v>-0.9094238</v>
      </c>
      <c r="T5712">
        <v>-0.261766</v>
      </c>
      <c r="U5712">
        <v>-2.930679</v>
      </c>
      <c r="V5712">
        <v>-0.2678239</v>
      </c>
      <c r="W5712">
        <v>0.15166729999999901</v>
      </c>
      <c r="X5712">
        <v>0.95145539999999995</v>
      </c>
      <c r="Y5712">
        <v>-0.29333880000000001</v>
      </c>
      <c r="Z5712">
        <v>6.3106220000000005E-2</v>
      </c>
      <c r="AA5712">
        <v>0.95392350000000004</v>
      </c>
      <c r="AB5712">
        <v>47</v>
      </c>
      <c r="AC5712">
        <v>-3.6552999999999498</v>
      </c>
      <c r="AD5712">
        <v>-1.1283958175319999</v>
      </c>
      <c r="AE5712">
        <v>-12.2606</v>
      </c>
      <c r="AF5712">
        <v>-3.8506393519805799</v>
      </c>
      <c r="AG5712">
        <v>-1.1283958175319999</v>
      </c>
      <c r="AH5712">
        <v>12.0970641743244</v>
      </c>
      <c r="AI5712">
        <v>95.0793374429133</v>
      </c>
      <c r="AJ5712">
        <v>107.65689136121701</v>
      </c>
      <c r="AK5712">
        <v>12.7451819201519</v>
      </c>
      <c r="AL5712">
        <v>81.2764385458389</v>
      </c>
      <c r="AM5712">
        <v>105.721308576181</v>
      </c>
      <c r="AN5712">
        <v>0.99999999474482903</v>
      </c>
    </row>
    <row r="5713" spans="1:40" x14ac:dyDescent="0.25">
      <c r="A5713" t="str">
        <f>"20190312172230763"</f>
        <v>20190312172230763</v>
      </c>
      <c r="B5713" t="str">
        <f>"1552382550756243"</f>
        <v>1552382550756243</v>
      </c>
      <c r="C5713" t="s">
        <v>40</v>
      </c>
      <c r="D5713">
        <v>3.839194</v>
      </c>
      <c r="E5713">
        <v>0.4832051</v>
      </c>
      <c r="F5713" t="s">
        <v>42</v>
      </c>
      <c r="G5713">
        <v>-426.03460000000001</v>
      </c>
      <c r="H5713" s="1">
        <v>-3.160668E-6</v>
      </c>
      <c r="I5713">
        <v>113.2139</v>
      </c>
      <c r="J5713">
        <v>-421.94009999999997</v>
      </c>
      <c r="K5713">
        <v>1.128379</v>
      </c>
      <c r="L5713">
        <v>127.304</v>
      </c>
      <c r="M5713">
        <v>-0.55044409999999999</v>
      </c>
      <c r="N5713">
        <v>0</v>
      </c>
      <c r="O5713">
        <v>-0.83468149999999997</v>
      </c>
      <c r="P5713">
        <v>-0.31125849999999999</v>
      </c>
      <c r="Q5713">
        <v>0.1535483</v>
      </c>
      <c r="R5713">
        <v>-0.93783859999999997</v>
      </c>
      <c r="S5713">
        <v>-0.88476559999999904</v>
      </c>
      <c r="T5713">
        <v>-0.22915840000000001</v>
      </c>
      <c r="U5713">
        <v>-2.9389500000000002</v>
      </c>
      <c r="V5713">
        <v>-0.2640439</v>
      </c>
      <c r="W5713">
        <v>0.15855759999999999</v>
      </c>
      <c r="X5713">
        <v>0.95138860000000003</v>
      </c>
      <c r="Y5713">
        <v>-0.2870183</v>
      </c>
      <c r="Z5713">
        <v>5.6167389999999998E-2</v>
      </c>
      <c r="AA5713">
        <v>0.95627700000000004</v>
      </c>
      <c r="AB5713">
        <v>46</v>
      </c>
      <c r="AC5713">
        <v>-4.0945000000000302</v>
      </c>
      <c r="AD5713">
        <v>-1.128382160668</v>
      </c>
      <c r="AE5713">
        <v>-14.0901</v>
      </c>
      <c r="AF5713">
        <v>-4.31339001762331</v>
      </c>
      <c r="AG5713">
        <v>-1.128382160668</v>
      </c>
      <c r="AH5713">
        <v>13.9343616680484</v>
      </c>
      <c r="AI5713">
        <v>94.423416096804004</v>
      </c>
      <c r="AJ5713">
        <v>107.199941999001</v>
      </c>
      <c r="AK5713">
        <v>14.6302773330044</v>
      </c>
      <c r="AL5713">
        <v>80.876815742602702</v>
      </c>
      <c r="AM5713">
        <v>105.511211287091</v>
      </c>
      <c r="AN5713">
        <v>0.99999998092746401</v>
      </c>
    </row>
    <row r="5714" spans="1:40" x14ac:dyDescent="0.25">
      <c r="A5714" t="str">
        <f>"20190312172230784"</f>
        <v>20190312172230784</v>
      </c>
      <c r="B5714" t="str">
        <f>"1552382550776743"</f>
        <v>1552382550776743</v>
      </c>
      <c r="C5714" t="s">
        <v>40</v>
      </c>
      <c r="D5714">
        <v>3.740863</v>
      </c>
      <c r="E5714">
        <v>0.48378680000000002</v>
      </c>
      <c r="F5714" t="s">
        <v>42</v>
      </c>
      <c r="G5714">
        <v>-426.70499999999998</v>
      </c>
      <c r="H5714" s="1">
        <v>-2.393999E-6</v>
      </c>
      <c r="I5714">
        <v>111.011</v>
      </c>
      <c r="J5714">
        <v>-422.18959999999998</v>
      </c>
      <c r="K5714">
        <v>1.12835</v>
      </c>
      <c r="L5714">
        <v>126.929</v>
      </c>
      <c r="M5714">
        <v>-0.53820179999999995</v>
      </c>
      <c r="N5714">
        <v>0</v>
      </c>
      <c r="O5714">
        <v>-0.84262700000000001</v>
      </c>
      <c r="P5714">
        <v>-0.30076799999999998</v>
      </c>
      <c r="Q5714">
        <v>0.15387609999999999</v>
      </c>
      <c r="R5714">
        <v>-0.94120170000000003</v>
      </c>
      <c r="S5714">
        <v>-0.86163330000000005</v>
      </c>
      <c r="T5714">
        <v>-0.20404610000000001</v>
      </c>
      <c r="U5714">
        <v>-2.9462739999999998</v>
      </c>
      <c r="V5714">
        <v>-0.26075029999999999</v>
      </c>
      <c r="W5714">
        <v>0.15907779999999999</v>
      </c>
      <c r="X5714">
        <v>0.9522098</v>
      </c>
      <c r="Y5714">
        <v>-0.28049400000000002</v>
      </c>
      <c r="Z5714">
        <v>5.079993E-2</v>
      </c>
      <c r="AA5714">
        <v>0.95851059999999999</v>
      </c>
      <c r="AB5714">
        <v>46</v>
      </c>
      <c r="AC5714">
        <v>-4.5153999999999996</v>
      </c>
      <c r="AD5714">
        <v>-1.1283523939989999</v>
      </c>
      <c r="AE5714">
        <v>-15.9179999999999</v>
      </c>
      <c r="AF5714">
        <v>-4.7410088805828696</v>
      </c>
      <c r="AG5714">
        <v>-1.1283523939989999</v>
      </c>
      <c r="AH5714">
        <v>15.772307726525201</v>
      </c>
      <c r="AI5714">
        <v>93.919314401133903</v>
      </c>
      <c r="AJ5714">
        <v>106.730288826085</v>
      </c>
      <c r="AK5714">
        <v>16.5080597088518</v>
      </c>
      <c r="AL5714">
        <v>80.8466273546791</v>
      </c>
      <c r="AM5714">
        <v>105.314284225355</v>
      </c>
      <c r="AN5714">
        <v>0.999999984309484</v>
      </c>
    </row>
    <row r="5715" spans="1:40" x14ac:dyDescent="0.25">
      <c r="A5715" t="str">
        <f>"20190312172230806"</f>
        <v>20190312172230806</v>
      </c>
      <c r="B5715" t="str">
        <f>"1552382550796259"</f>
        <v>1552382550796259</v>
      </c>
      <c r="C5715" t="s">
        <v>40</v>
      </c>
      <c r="D5715">
        <v>3.6814719999999999</v>
      </c>
      <c r="E5715">
        <v>0.48454550000000002</v>
      </c>
      <c r="F5715" t="s">
        <v>42</v>
      </c>
      <c r="G5715">
        <v>-426.8723</v>
      </c>
      <c r="H5715" s="1">
        <v>-2.165E-6</v>
      </c>
      <c r="I5715">
        <v>110.3734</v>
      </c>
      <c r="J5715">
        <v>-422.43209999999999</v>
      </c>
      <c r="K5715">
        <v>1.1283449999999999</v>
      </c>
      <c r="L5715">
        <v>126.5527</v>
      </c>
      <c r="M5715">
        <v>-0.52584649999999999</v>
      </c>
      <c r="N5715">
        <v>0</v>
      </c>
      <c r="O5715">
        <v>-0.85039209999999998</v>
      </c>
      <c r="P5715">
        <v>-0.2865106</v>
      </c>
      <c r="Q5715">
        <v>0.15450649999999999</v>
      </c>
      <c r="R5715">
        <v>-0.94553690000000001</v>
      </c>
      <c r="S5715">
        <v>-0.83535769999999998</v>
      </c>
      <c r="T5715">
        <v>-0.20128969999999999</v>
      </c>
      <c r="U5715">
        <v>-2.9533999999999998</v>
      </c>
      <c r="V5715">
        <v>-0.26121100000000003</v>
      </c>
      <c r="W5715">
        <v>0.15970860000000001</v>
      </c>
      <c r="X5715">
        <v>0.95197790000000004</v>
      </c>
      <c r="Y5715">
        <v>-0.27497840000000001</v>
      </c>
      <c r="Z5715">
        <v>5.0847330000000003E-2</v>
      </c>
      <c r="AA5715">
        <v>0.96010490000000004</v>
      </c>
      <c r="AB5715">
        <v>46</v>
      </c>
      <c r="AC5715">
        <v>-4.4401999999999999</v>
      </c>
      <c r="AD5715">
        <v>-1.1283471650000001</v>
      </c>
      <c r="AE5715">
        <v>-16.179299999999898</v>
      </c>
      <c r="AF5715">
        <v>-4.7113619093808303</v>
      </c>
      <c r="AG5715">
        <v>-1.1283471650000001</v>
      </c>
      <c r="AH5715">
        <v>16.0237021622548</v>
      </c>
      <c r="AI5715">
        <v>93.864898923636204</v>
      </c>
      <c r="AJ5715">
        <v>106.384631130847</v>
      </c>
      <c r="AK5715">
        <v>16.740045679465101</v>
      </c>
      <c r="AL5715">
        <v>80.810017013347306</v>
      </c>
      <c r="AM5715">
        <v>105.34362901887199</v>
      </c>
      <c r="AN5715">
        <v>0.99999997276168395</v>
      </c>
    </row>
    <row r="5716" spans="1:40" x14ac:dyDescent="0.25">
      <c r="A5716" t="str">
        <f>"20190312172230830"</f>
        <v>20190312172230830</v>
      </c>
      <c r="B5716" t="str">
        <f>"1552382550826516"</f>
        <v>1552382550826516</v>
      </c>
      <c r="C5716" t="s">
        <v>40</v>
      </c>
      <c r="D5716">
        <v>3.6702979999999998</v>
      </c>
      <c r="E5716">
        <v>0.48513030000000001</v>
      </c>
      <c r="F5716" t="s">
        <v>42</v>
      </c>
      <c r="G5716">
        <v>-427.05180000000001</v>
      </c>
      <c r="H5716" s="1">
        <v>-5.8996969999999997E-6</v>
      </c>
      <c r="I5716">
        <v>109.39190000000001</v>
      </c>
      <c r="J5716">
        <v>-422.67660000000001</v>
      </c>
      <c r="K5716">
        <v>1.1283430000000001</v>
      </c>
      <c r="L5716">
        <v>126.1604</v>
      </c>
      <c r="M5716">
        <v>-0.51288729999999905</v>
      </c>
      <c r="N5716">
        <v>0</v>
      </c>
      <c r="O5716">
        <v>-0.85827009999999904</v>
      </c>
      <c r="P5716">
        <v>-0.269462799999999</v>
      </c>
      <c r="Q5716">
        <v>0.1562161</v>
      </c>
      <c r="R5716">
        <v>-0.95025610000000005</v>
      </c>
      <c r="S5716">
        <v>-0.79763790000000001</v>
      </c>
      <c r="T5716">
        <v>-0.19481860000000001</v>
      </c>
      <c r="U5716">
        <v>-2.962952</v>
      </c>
      <c r="V5716">
        <v>-0.263822</v>
      </c>
      <c r="W5716">
        <v>0.16130549999999999</v>
      </c>
      <c r="X5716">
        <v>0.95098819999999995</v>
      </c>
      <c r="Y5716">
        <v>-0.27254699999999998</v>
      </c>
      <c r="Z5716">
        <v>4.9887609999999999E-2</v>
      </c>
      <c r="AA5716">
        <v>0.96084820000000004</v>
      </c>
      <c r="AB5716">
        <v>46</v>
      </c>
      <c r="AC5716">
        <v>-4.3752000000000004</v>
      </c>
      <c r="AD5716">
        <v>-1.1283488996969999</v>
      </c>
      <c r="AE5716">
        <v>-16.7684999999999</v>
      </c>
      <c r="AF5716">
        <v>-4.8255634098564597</v>
      </c>
      <c r="AG5716">
        <v>-1.1283488996969999</v>
      </c>
      <c r="AH5716">
        <v>16.568302980598901</v>
      </c>
      <c r="AI5716">
        <v>93.741017736151605</v>
      </c>
      <c r="AJ5716">
        <v>106.238344645845</v>
      </c>
      <c r="AK5716">
        <v>17.293579650231901</v>
      </c>
      <c r="AL5716">
        <v>80.717320094387404</v>
      </c>
      <c r="AM5716">
        <v>105.505014369994</v>
      </c>
      <c r="AN5716">
        <v>1.0000000342767399</v>
      </c>
    </row>
    <row r="5717" spans="1:40" x14ac:dyDescent="0.25">
      <c r="A5717" t="str">
        <f>"20190312172230852"</f>
        <v>20190312172230852</v>
      </c>
      <c r="B5717" t="str">
        <f>"1552382550846035"</f>
        <v>1552382550846035</v>
      </c>
      <c r="C5717" t="s">
        <v>40</v>
      </c>
      <c r="D5717">
        <v>3.745079</v>
      </c>
      <c r="E5717">
        <v>0.4855759</v>
      </c>
      <c r="F5717" t="s">
        <v>42</v>
      </c>
      <c r="G5717">
        <v>-427.0403</v>
      </c>
      <c r="H5717" s="1">
        <v>-5.6587809999999996E-6</v>
      </c>
      <c r="I5717">
        <v>108.76990000000001</v>
      </c>
      <c r="J5717">
        <v>-422.9126</v>
      </c>
      <c r="K5717">
        <v>1.1283379999999901</v>
      </c>
      <c r="L5717">
        <v>125.76860000000001</v>
      </c>
      <c r="M5717">
        <v>-0.49986979999999998</v>
      </c>
      <c r="N5717">
        <v>0</v>
      </c>
      <c r="O5717">
        <v>-0.86591609999999997</v>
      </c>
      <c r="P5717">
        <v>-0.25400820000000002</v>
      </c>
      <c r="Q5717">
        <v>0.15626670000000001</v>
      </c>
      <c r="R5717">
        <v>-0.95449539999999999</v>
      </c>
      <c r="S5717">
        <v>-0.74697880000000005</v>
      </c>
      <c r="T5717">
        <v>-0.19315489999999999</v>
      </c>
      <c r="U5717">
        <v>-2.9769739999999998</v>
      </c>
      <c r="V5717">
        <v>-0.26488889999999998</v>
      </c>
      <c r="W5717">
        <v>0.16132299999999999</v>
      </c>
      <c r="X5717">
        <v>0.95068859999999999</v>
      </c>
      <c r="Y5717">
        <v>-0.2744723</v>
      </c>
      <c r="Z5717">
        <v>5.0011229999999997E-2</v>
      </c>
      <c r="AA5717">
        <v>0.96029359999999997</v>
      </c>
      <c r="AB5717">
        <v>46</v>
      </c>
      <c r="AC5717">
        <v>-4.1276999999999999</v>
      </c>
      <c r="AD5717">
        <v>-1.1283436587809901</v>
      </c>
      <c r="AE5717">
        <v>-16.998699999999999</v>
      </c>
      <c r="AF5717">
        <v>-4.9032802211236</v>
      </c>
      <c r="AG5717">
        <v>-1.1283436587809901</v>
      </c>
      <c r="AH5717">
        <v>16.7158917610641</v>
      </c>
      <c r="AI5717">
        <v>93.705994434042793</v>
      </c>
      <c r="AJ5717">
        <v>106.348019965414</v>
      </c>
      <c r="AK5717">
        <v>17.456699393264</v>
      </c>
      <c r="AL5717">
        <v>80.716304043162197</v>
      </c>
      <c r="AM5717">
        <v>105.569350093034</v>
      </c>
      <c r="AN5717">
        <v>1.00000002692108</v>
      </c>
    </row>
    <row r="5718" spans="1:40" x14ac:dyDescent="0.25">
      <c r="A5718" t="str">
        <f>"20190312172230874"</f>
        <v>20190312172230874</v>
      </c>
      <c r="B5718" t="str">
        <f>"1552382550866532"</f>
        <v>1552382550866532</v>
      </c>
      <c r="C5718" t="s">
        <v>40</v>
      </c>
      <c r="D5718">
        <v>3.7326190000000001</v>
      </c>
      <c r="E5718">
        <v>0.48590680000000003</v>
      </c>
      <c r="F5718" t="s">
        <v>42</v>
      </c>
      <c r="G5718">
        <v>-426.95249999999999</v>
      </c>
      <c r="H5718" s="1">
        <v>-5.549808E-6</v>
      </c>
      <c r="I5718">
        <v>108.52670000000001</v>
      </c>
      <c r="J5718">
        <v>-423.14019999999999</v>
      </c>
      <c r="K5718">
        <v>1.128341</v>
      </c>
      <c r="L5718">
        <v>125.3777</v>
      </c>
      <c r="M5718">
        <v>-0.48680309999999999</v>
      </c>
      <c r="N5718">
        <v>0</v>
      </c>
      <c r="O5718">
        <v>-0.8733284</v>
      </c>
      <c r="P5718">
        <v>-0.24094499999999999</v>
      </c>
      <c r="Q5718">
        <v>0.157934299999999</v>
      </c>
      <c r="R5718">
        <v>-0.95760250000000002</v>
      </c>
      <c r="S5718">
        <v>-0.70025630000000005</v>
      </c>
      <c r="T5718">
        <v>-0.19558410000000001</v>
      </c>
      <c r="U5718">
        <v>-2.9886780000000002</v>
      </c>
      <c r="V5718">
        <v>-0.2635284</v>
      </c>
      <c r="W5718">
        <v>0.16307469999999999</v>
      </c>
      <c r="X5718">
        <v>0.95076780000000005</v>
      </c>
      <c r="Y5718">
        <v>-0.27510449999999997</v>
      </c>
      <c r="Z5718">
        <v>5.1208799999999999E-2</v>
      </c>
      <c r="AA5718">
        <v>0.96004959999999995</v>
      </c>
      <c r="AB5718">
        <v>46</v>
      </c>
      <c r="AC5718">
        <v>-3.8122999999999898</v>
      </c>
      <c r="AD5718">
        <v>-1.1283465498080001</v>
      </c>
      <c r="AE5718">
        <v>-16.850999999999999</v>
      </c>
      <c r="AF5718">
        <v>-4.8538065446290997</v>
      </c>
      <c r="AG5718">
        <v>-1.1283465498080001</v>
      </c>
      <c r="AH5718">
        <v>16.5045527600242</v>
      </c>
      <c r="AI5718">
        <v>93.752556621680597</v>
      </c>
      <c r="AJ5718">
        <v>106.38802686169799</v>
      </c>
      <c r="AK5718">
        <v>17.240442735543901</v>
      </c>
      <c r="AL5718">
        <v>80.614591828870005</v>
      </c>
      <c r="AM5718">
        <v>105.492006149245</v>
      </c>
      <c r="AN5718">
        <v>0.99999999245174498</v>
      </c>
    </row>
    <row r="5719" spans="1:40" x14ac:dyDescent="0.25">
      <c r="A5719" t="str">
        <f>"20190312172230896"</f>
        <v>20190312172230896</v>
      </c>
      <c r="B5719" t="str">
        <f>"1552382550886052"</f>
        <v>1552382550886052</v>
      </c>
      <c r="C5719" t="s">
        <v>40</v>
      </c>
      <c r="D5719">
        <v>3.7446739999999998</v>
      </c>
      <c r="E5719">
        <v>0.49499729999999997</v>
      </c>
      <c r="F5719" t="s">
        <v>42</v>
      </c>
      <c r="G5719">
        <v>-427.072</v>
      </c>
      <c r="H5719" s="1">
        <v>-5.2380859999999999E-6</v>
      </c>
      <c r="I5719">
        <v>107.6597</v>
      </c>
      <c r="J5719">
        <v>-423.35610000000003</v>
      </c>
      <c r="K5719">
        <v>1.1283339999999999</v>
      </c>
      <c r="L5719">
        <v>124.9935</v>
      </c>
      <c r="M5719">
        <v>-0.47389009999999998</v>
      </c>
      <c r="N5719">
        <v>0</v>
      </c>
      <c r="O5719">
        <v>-0.88040219999999902</v>
      </c>
      <c r="P5719">
        <v>-0.2309175</v>
      </c>
      <c r="Q5719">
        <v>0.15405360000000001</v>
      </c>
      <c r="R5719">
        <v>-0.96070029999999995</v>
      </c>
      <c r="S5719">
        <v>-0.66506960000000004</v>
      </c>
      <c r="T5719">
        <v>-0.19085849999999999</v>
      </c>
      <c r="U5719">
        <v>-2.9969790000000001</v>
      </c>
      <c r="V5719">
        <v>-0.25957839999999999</v>
      </c>
      <c r="W5719">
        <v>0.15941669999999999</v>
      </c>
      <c r="X5719">
        <v>0.95247329999999997</v>
      </c>
      <c r="Y5719">
        <v>-0.27224179999999998</v>
      </c>
      <c r="Z5719">
        <v>5.0567139999999997E-2</v>
      </c>
      <c r="AA5719">
        <v>0.96089919999999995</v>
      </c>
      <c r="AB5719">
        <v>46</v>
      </c>
      <c r="AC5719">
        <v>-3.71589999999992</v>
      </c>
      <c r="AD5719">
        <v>-1.128339238086</v>
      </c>
      <c r="AE5719">
        <v>-17.333799999999901</v>
      </c>
      <c r="AF5719">
        <v>-4.9236745163610003</v>
      </c>
      <c r="AG5719">
        <v>-1.128339238086</v>
      </c>
      <c r="AH5719">
        <v>16.955679155978299</v>
      </c>
      <c r="AI5719">
        <v>93.656600627231199</v>
      </c>
      <c r="AJ5719">
        <v>106.192503388543</v>
      </c>
      <c r="AK5719">
        <v>17.692110553004898</v>
      </c>
      <c r="AL5719">
        <v>80.826959043861194</v>
      </c>
      <c r="AM5719">
        <v>105.244645472983</v>
      </c>
      <c r="AN5719">
        <v>1.0000000085991601</v>
      </c>
    </row>
    <row r="5720" spans="1:40" x14ac:dyDescent="0.25">
      <c r="A5720" t="str">
        <f>"20190312172230918"</f>
        <v>20190312172230918</v>
      </c>
      <c r="B5720" t="str">
        <f>"1552382550906139"</f>
        <v>1552382550906139</v>
      </c>
      <c r="C5720" t="s">
        <v>40</v>
      </c>
      <c r="D5720">
        <v>3.7610359999999998</v>
      </c>
      <c r="E5720">
        <v>0.49541639999999998</v>
      </c>
      <c r="F5720" t="s">
        <v>42</v>
      </c>
      <c r="G5720">
        <v>-426.7045</v>
      </c>
      <c r="H5720" s="1">
        <v>-2.3274150000000001E-6</v>
      </c>
      <c r="I5720">
        <v>110.85599999999999</v>
      </c>
      <c r="J5720">
        <v>-423.57080000000002</v>
      </c>
      <c r="K5720">
        <v>1.1282989999999999</v>
      </c>
      <c r="L5720">
        <v>124.598</v>
      </c>
      <c r="M5720">
        <v>-0.46052179999999998</v>
      </c>
      <c r="N5720">
        <v>0</v>
      </c>
      <c r="O5720">
        <v>-0.88746749999999996</v>
      </c>
      <c r="P5720">
        <v>-0.22201199999999999</v>
      </c>
      <c r="Q5720">
        <v>0.1420418</v>
      </c>
      <c r="R5720">
        <v>-0.96464229999999995</v>
      </c>
      <c r="S5720">
        <v>-0.70834350000000001</v>
      </c>
      <c r="T5720">
        <v>-0.23869770000000001</v>
      </c>
      <c r="U5720">
        <v>-2.9907530000000002</v>
      </c>
      <c r="V5720">
        <v>-0.25427670000000002</v>
      </c>
      <c r="W5720">
        <v>0.14770610000000001</v>
      </c>
      <c r="X5720">
        <v>0.95578569999999996</v>
      </c>
      <c r="Y5720">
        <v>-0.2441449</v>
      </c>
      <c r="Z5720">
        <v>6.4323690000000003E-2</v>
      </c>
      <c r="AA5720">
        <v>0.96760310000000005</v>
      </c>
      <c r="AB5720">
        <v>46</v>
      </c>
      <c r="AC5720">
        <v>-3.13369999999997</v>
      </c>
      <c r="AD5720">
        <v>-1.128301327415</v>
      </c>
      <c r="AE5720">
        <v>-13.7419999999999</v>
      </c>
      <c r="AF5720">
        <v>-3.5254119255399901</v>
      </c>
      <c r="AG5720">
        <v>-1.128301327415</v>
      </c>
      <c r="AH5720">
        <v>13.5540491829119</v>
      </c>
      <c r="AI5720">
        <v>94.606030519706195</v>
      </c>
      <c r="AJ5720">
        <v>104.57959763122599</v>
      </c>
      <c r="AK5720">
        <v>14.0504036377245</v>
      </c>
      <c r="AL5720">
        <v>81.505985141417995</v>
      </c>
      <c r="AM5720">
        <v>104.897860815415</v>
      </c>
      <c r="AN5720">
        <v>1.0000000182322899</v>
      </c>
    </row>
    <row r="5721" spans="1:40" x14ac:dyDescent="0.25">
      <c r="A5721" t="str">
        <f>"20190312172230953"</f>
        <v>20190312172230953</v>
      </c>
      <c r="B5721" t="str">
        <f>"1552382550946155"</f>
        <v>1552382550946155</v>
      </c>
      <c r="C5721" t="s">
        <v>40</v>
      </c>
      <c r="D5721">
        <v>3.7412559999999999</v>
      </c>
      <c r="E5721">
        <v>0.4972029</v>
      </c>
      <c r="F5721" t="s">
        <v>42</v>
      </c>
      <c r="G5721">
        <v>-426.35039999999998</v>
      </c>
      <c r="H5721" s="1">
        <v>-2.8861479999999998E-6</v>
      </c>
      <c r="I5721">
        <v>112.3781</v>
      </c>
      <c r="J5721">
        <v>-423.88490000000002</v>
      </c>
      <c r="K5721">
        <v>1.128236</v>
      </c>
      <c r="L5721">
        <v>123.98950000000001</v>
      </c>
      <c r="M5721">
        <v>-0.43982009999999999</v>
      </c>
      <c r="N5721">
        <v>0</v>
      </c>
      <c r="O5721">
        <v>-0.89790700000000001</v>
      </c>
      <c r="P5721">
        <v>-0.20489250000000001</v>
      </c>
      <c r="Q5721">
        <v>0.1267884</v>
      </c>
      <c r="R5721">
        <v>-0.97053809999999996</v>
      </c>
      <c r="S5721">
        <v>-0.68103029999999998</v>
      </c>
      <c r="T5721">
        <v>-0.27643899999999999</v>
      </c>
      <c r="U5721">
        <v>-2.9939269999999998</v>
      </c>
      <c r="V5721">
        <v>-0.24926019999999999</v>
      </c>
      <c r="W5721">
        <v>0.1327431</v>
      </c>
      <c r="X5721">
        <v>0.95929589999999998</v>
      </c>
      <c r="Y5721">
        <v>-0.2304293</v>
      </c>
      <c r="Z5721">
        <v>7.5945680000000002E-2</v>
      </c>
      <c r="AA5721">
        <v>0.97012089999999995</v>
      </c>
      <c r="AB5721">
        <v>46</v>
      </c>
      <c r="AC5721">
        <v>-2.4654999999999601</v>
      </c>
      <c r="AD5721">
        <v>-1.1282388861479999</v>
      </c>
      <c r="AE5721">
        <v>-11.6114</v>
      </c>
      <c r="AF5721">
        <v>-2.8676954804502799</v>
      </c>
      <c r="AG5721">
        <v>-1.1282388861479999</v>
      </c>
      <c r="AH5721">
        <v>11.4091132342918</v>
      </c>
      <c r="AI5721">
        <v>95.478260190723006</v>
      </c>
      <c r="AJ5721">
        <v>104.109089888981</v>
      </c>
      <c r="AK5721">
        <v>11.817972124933499</v>
      </c>
      <c r="AL5721">
        <v>82.371865531395002</v>
      </c>
      <c r="AM5721">
        <v>104.565447361509</v>
      </c>
      <c r="AN5721">
        <v>1.00000000082923</v>
      </c>
    </row>
    <row r="5722" spans="1:40" x14ac:dyDescent="0.25">
      <c r="A5722" t="str">
        <f>"20190312172230974"</f>
        <v>20190312172230974</v>
      </c>
      <c r="B5722" t="str">
        <f>"1552382550966651"</f>
        <v>1552382550966651</v>
      </c>
      <c r="C5722" t="s">
        <v>40</v>
      </c>
      <c r="D5722">
        <v>3.7597100000000001</v>
      </c>
      <c r="E5722">
        <v>0.49768380000000001</v>
      </c>
      <c r="F5722" t="s">
        <v>42</v>
      </c>
      <c r="G5722">
        <v>-426.08890000000002</v>
      </c>
      <c r="H5722" s="1">
        <v>-3.3224810000000001E-6</v>
      </c>
      <c r="I5722">
        <v>113.5762</v>
      </c>
      <c r="J5722">
        <v>-424.07929999999999</v>
      </c>
      <c r="K5722">
        <v>1.1282350000000001</v>
      </c>
      <c r="L5722">
        <v>123.5956</v>
      </c>
      <c r="M5722">
        <v>-0.42632409999999998</v>
      </c>
      <c r="N5722">
        <v>0</v>
      </c>
      <c r="O5722">
        <v>-0.90439290000000006</v>
      </c>
      <c r="P5722">
        <v>-0.19308020000000001</v>
      </c>
      <c r="Q5722">
        <v>0.12864809999999999</v>
      </c>
      <c r="R5722">
        <v>-0.97271260000000004</v>
      </c>
      <c r="S5722">
        <v>-0.63485719999999901</v>
      </c>
      <c r="T5722">
        <v>-0.32498199999999999</v>
      </c>
      <c r="U5722">
        <v>-2.9994960000000002</v>
      </c>
      <c r="V5722">
        <v>-0.24653069999999999</v>
      </c>
      <c r="W5722">
        <v>0.1347458</v>
      </c>
      <c r="X5722">
        <v>0.95972190000000002</v>
      </c>
      <c r="Y5722">
        <v>-0.23074810000000001</v>
      </c>
      <c r="Z5722">
        <v>9.0123960000000003E-2</v>
      </c>
      <c r="AA5722">
        <v>0.96883070000000004</v>
      </c>
      <c r="AB5722">
        <v>46</v>
      </c>
      <c r="AC5722">
        <v>-2.00960000000003</v>
      </c>
      <c r="AD5722">
        <v>-1.128238322481</v>
      </c>
      <c r="AE5722">
        <v>-10.019399999999999</v>
      </c>
      <c r="AF5722">
        <v>-2.4248796721113401</v>
      </c>
      <c r="AG5722">
        <v>-1.128238322481</v>
      </c>
      <c r="AH5722">
        <v>9.8003463048670199</v>
      </c>
      <c r="AI5722">
        <v>96.376480335620798</v>
      </c>
      <c r="AJ5722">
        <v>103.897461244819</v>
      </c>
      <c r="AK5722">
        <v>10.1587278156201</v>
      </c>
      <c r="AL5722">
        <v>82.256078777798805</v>
      </c>
      <c r="AM5722">
        <v>104.406496641134</v>
      </c>
      <c r="AN5722">
        <v>0.99999997099986904</v>
      </c>
    </row>
    <row r="5723" spans="1:40" x14ac:dyDescent="0.25">
      <c r="A5723" t="str">
        <f>"20190312172230996"</f>
        <v>20190312172230996</v>
      </c>
      <c r="B5723" t="str">
        <f>"1552382550986170"</f>
        <v>1552382550986170</v>
      </c>
      <c r="C5723" t="s">
        <v>40</v>
      </c>
      <c r="D5723">
        <v>3.784513</v>
      </c>
      <c r="E5723">
        <v>0.49834250000000002</v>
      </c>
      <c r="F5723" t="s">
        <v>42</v>
      </c>
      <c r="G5723">
        <v>-426.22199999999998</v>
      </c>
      <c r="H5723" s="1">
        <v>-3.0527590000000002E-6</v>
      </c>
      <c r="I5723">
        <v>112.84610000000001</v>
      </c>
      <c r="J5723">
        <v>-424.27010000000001</v>
      </c>
      <c r="K5723">
        <v>1.128228</v>
      </c>
      <c r="L5723">
        <v>123.1935</v>
      </c>
      <c r="M5723">
        <v>-0.41247980000000001</v>
      </c>
      <c r="N5723">
        <v>0</v>
      </c>
      <c r="O5723">
        <v>-0.91079030000000005</v>
      </c>
      <c r="P5723">
        <v>-0.18371299999999999</v>
      </c>
      <c r="Q5723">
        <v>0.1355596</v>
      </c>
      <c r="R5723">
        <v>-0.9735878</v>
      </c>
      <c r="S5723">
        <v>-0.59936519999999904</v>
      </c>
      <c r="T5723">
        <v>-0.3155984</v>
      </c>
      <c r="U5723">
        <v>-3.0069119999999998</v>
      </c>
      <c r="V5723">
        <v>-0.24104239999999999</v>
      </c>
      <c r="W5723">
        <v>0.14193020000000001</v>
      </c>
      <c r="X5723">
        <v>0.96008039999999994</v>
      </c>
      <c r="Y5723">
        <v>-0.22732430000000001</v>
      </c>
      <c r="Z5723">
        <v>8.8438180000000005E-2</v>
      </c>
      <c r="AA5723">
        <v>0.96979499999999996</v>
      </c>
      <c r="AB5723">
        <v>45</v>
      </c>
      <c r="AC5723">
        <v>-1.95189999999996</v>
      </c>
      <c r="AD5723">
        <v>-1.128231052759</v>
      </c>
      <c r="AE5723">
        <v>-10.347399999999899</v>
      </c>
      <c r="AF5723">
        <v>-2.4624528617216601</v>
      </c>
      <c r="AG5723">
        <v>-1.128231052759</v>
      </c>
      <c r="AH5723">
        <v>10.114953960414301</v>
      </c>
      <c r="AI5723">
        <v>96.185324326437694</v>
      </c>
      <c r="AJ5723">
        <v>103.682316375344</v>
      </c>
      <c r="AK5723">
        <v>10.471335780401301</v>
      </c>
      <c r="AL5723">
        <v>81.840445948149195</v>
      </c>
      <c r="AM5723">
        <v>104.09364923305399</v>
      </c>
      <c r="AN5723">
        <v>0.99999999736697898</v>
      </c>
    </row>
    <row r="5724" spans="1:40" x14ac:dyDescent="0.25">
      <c r="A5724" t="str">
        <f>"20190312172231020"</f>
        <v>20190312172231020</v>
      </c>
      <c r="B5724" t="str">
        <f>"1552382551016427"</f>
        <v>1552382551016427</v>
      </c>
      <c r="C5724" t="s">
        <v>40</v>
      </c>
      <c r="D5724">
        <v>3.7775210000000001</v>
      </c>
      <c r="E5724">
        <v>0.49918669999999998</v>
      </c>
      <c r="F5724" t="s">
        <v>42</v>
      </c>
      <c r="G5724">
        <v>-426.49849999999998</v>
      </c>
      <c r="H5724" s="1">
        <v>-2.5791750000000002E-6</v>
      </c>
      <c r="I5724">
        <v>111.5707</v>
      </c>
      <c r="J5724">
        <v>-424.45839999999998</v>
      </c>
      <c r="K5724">
        <v>1.128217</v>
      </c>
      <c r="L5724">
        <v>122.7808</v>
      </c>
      <c r="M5724">
        <v>-0.39819650000000001</v>
      </c>
      <c r="N5724">
        <v>0</v>
      </c>
      <c r="O5724">
        <v>-0.91712470000000001</v>
      </c>
      <c r="P5724">
        <v>-0.1763904</v>
      </c>
      <c r="Q5724">
        <v>0.13864079999999901</v>
      </c>
      <c r="R5724">
        <v>-0.97450760000000003</v>
      </c>
      <c r="S5724">
        <v>-0.57766719999999905</v>
      </c>
      <c r="T5724">
        <v>-0.29248180000000001</v>
      </c>
      <c r="U5724">
        <v>-3.0130919999999999</v>
      </c>
      <c r="V5724">
        <v>-0.2332042</v>
      </c>
      <c r="W5724">
        <v>0.145403799999999</v>
      </c>
      <c r="X5724">
        <v>0.96149549999999995</v>
      </c>
      <c r="Y5724">
        <v>-0.2191071</v>
      </c>
      <c r="Z5724">
        <v>8.2883890000000002E-2</v>
      </c>
      <c r="AA5724">
        <v>0.97217399999999998</v>
      </c>
      <c r="AB5724">
        <v>45</v>
      </c>
      <c r="AC5724">
        <v>-2.04009999999999</v>
      </c>
      <c r="AD5724">
        <v>-1.128219579175</v>
      </c>
      <c r="AE5724">
        <v>-11.210099999999899</v>
      </c>
      <c r="AF5724">
        <v>-2.5680359467651201</v>
      </c>
      <c r="AG5724">
        <v>-1.128219579175</v>
      </c>
      <c r="AH5724">
        <v>10.9874809778458</v>
      </c>
      <c r="AI5724">
        <v>95.709888997245102</v>
      </c>
      <c r="AJ5724">
        <v>103.155238112684</v>
      </c>
      <c r="AK5724">
        <v>11.3398600644468</v>
      </c>
      <c r="AL5724">
        <v>81.639337208714693</v>
      </c>
      <c r="AM5724">
        <v>103.633432387629</v>
      </c>
      <c r="AN5724">
        <v>1.00000003023616</v>
      </c>
    </row>
    <row r="5725" spans="1:40" x14ac:dyDescent="0.25">
      <c r="A5725" t="str">
        <f>"20190312172231042"</f>
        <v>20190312172231042</v>
      </c>
      <c r="B5725" t="str">
        <f>"1552382551036922"</f>
        <v>1552382551036922</v>
      </c>
      <c r="C5725" t="s">
        <v>40</v>
      </c>
      <c r="D5725">
        <v>4.0130410000000003</v>
      </c>
      <c r="E5725">
        <v>0.50532739999999998</v>
      </c>
      <c r="F5725" t="s">
        <v>42</v>
      </c>
      <c r="G5725">
        <v>-426.73180000000002</v>
      </c>
      <c r="H5725" s="1">
        <v>-2.2353489999999999E-6</v>
      </c>
      <c r="I5725">
        <v>110.6245</v>
      </c>
      <c r="J5725">
        <v>-424.63639999999998</v>
      </c>
      <c r="K5725">
        <v>1.128266</v>
      </c>
      <c r="L5725">
        <v>122.37269999999999</v>
      </c>
      <c r="M5725">
        <v>-0.38400859999999998</v>
      </c>
      <c r="N5725">
        <v>0</v>
      </c>
      <c r="O5725">
        <v>-0.92315499999999995</v>
      </c>
      <c r="P5725">
        <v>-0.1662652</v>
      </c>
      <c r="Q5725">
        <v>0.14436860000000001</v>
      </c>
      <c r="R5725">
        <v>-0.97545550000000003</v>
      </c>
      <c r="S5725">
        <v>-0.56405640000000001</v>
      </c>
      <c r="T5725">
        <v>-0.27993220000000002</v>
      </c>
      <c r="U5725">
        <v>-3.0161899999999999</v>
      </c>
      <c r="V5725">
        <v>-0.22829289999999999</v>
      </c>
      <c r="W5725">
        <v>0.15137129999999999</v>
      </c>
      <c r="X5725">
        <v>0.96175310000000003</v>
      </c>
      <c r="Y5725">
        <v>-0.20842469999999999</v>
      </c>
      <c r="Z5725">
        <v>8.0225389999999994E-2</v>
      </c>
      <c r="AA5725">
        <v>0.97474249999999996</v>
      </c>
      <c r="AB5725">
        <v>45</v>
      </c>
      <c r="AC5725">
        <v>-2.0954000000000401</v>
      </c>
      <c r="AD5725">
        <v>-1.1282682353489999</v>
      </c>
      <c r="AE5725">
        <v>-11.748199999999899</v>
      </c>
      <c r="AF5725">
        <v>-2.5546108860094998</v>
      </c>
      <c r="AG5725">
        <v>-1.1282682353489999</v>
      </c>
      <c r="AH5725">
        <v>11.5487065942461</v>
      </c>
      <c r="AI5725">
        <v>95.448991272664003</v>
      </c>
      <c r="AJ5725">
        <v>102.47315775524</v>
      </c>
      <c r="AK5725">
        <v>11.8815676570813</v>
      </c>
      <c r="AL5725">
        <v>81.293595994298698</v>
      </c>
      <c r="AM5725">
        <v>103.353255847466</v>
      </c>
      <c r="AN5725">
        <v>0.99999997200685398</v>
      </c>
    </row>
    <row r="5726" spans="1:40" x14ac:dyDescent="0.25">
      <c r="A5726" t="str">
        <f>"20190312172231064"</f>
        <v>20190312172231064</v>
      </c>
      <c r="B5726" t="str">
        <f>"1552382551056442"</f>
        <v>1552382551056442</v>
      </c>
      <c r="C5726" t="s">
        <v>40</v>
      </c>
      <c r="D5726">
        <v>4.0263090000000004</v>
      </c>
      <c r="E5726">
        <v>0.48450549999999998</v>
      </c>
      <c r="F5726" t="s">
        <v>42</v>
      </c>
      <c r="G5726">
        <v>-427.35079999999999</v>
      </c>
      <c r="H5726" s="1">
        <v>-5.5320830000000001E-6</v>
      </c>
      <c r="I5726">
        <v>108.29649999999999</v>
      </c>
      <c r="J5726">
        <v>-424.8048</v>
      </c>
      <c r="K5726">
        <v>1.1283110000000001</v>
      </c>
      <c r="L5726">
        <v>121.9695</v>
      </c>
      <c r="M5726">
        <v>-0.36992659999999999</v>
      </c>
      <c r="N5726">
        <v>0</v>
      </c>
      <c r="O5726">
        <v>-0.92888769999999998</v>
      </c>
      <c r="P5726">
        <v>-0.152111</v>
      </c>
      <c r="Q5726">
        <v>0.15060570000000001</v>
      </c>
      <c r="R5726">
        <v>-0.97682150000000001</v>
      </c>
      <c r="S5726">
        <v>-0.58087159999999904</v>
      </c>
      <c r="T5726">
        <v>-0.24144260000000001</v>
      </c>
      <c r="U5726">
        <v>-3.0122070000000001</v>
      </c>
      <c r="V5726">
        <v>-0.22754250000000001</v>
      </c>
      <c r="W5726">
        <v>0.15763659999999999</v>
      </c>
      <c r="X5726">
        <v>0.96092409999999995</v>
      </c>
      <c r="Y5726">
        <v>-0.1878706</v>
      </c>
      <c r="Z5726">
        <v>7.0154350000000004E-2</v>
      </c>
      <c r="AA5726">
        <v>0.97968509999999998</v>
      </c>
      <c r="AB5726">
        <v>45</v>
      </c>
      <c r="AC5726">
        <v>-2.54599999999999</v>
      </c>
      <c r="AD5726">
        <v>-1.128316532083</v>
      </c>
      <c r="AE5726">
        <v>-13.673</v>
      </c>
      <c r="AF5726">
        <v>-2.6758803751109199</v>
      </c>
      <c r="AG5726">
        <v>-1.128316532083</v>
      </c>
      <c r="AH5726">
        <v>13.555494498212299</v>
      </c>
      <c r="AI5726">
        <v>94.668470803054404</v>
      </c>
      <c r="AJ5726">
        <v>101.16672647087699</v>
      </c>
      <c r="AK5726">
        <v>13.863075599214699</v>
      </c>
      <c r="AL5726">
        <v>80.930257495703401</v>
      </c>
      <c r="AM5726">
        <v>103.322002628449</v>
      </c>
      <c r="AN5726">
        <v>1.0000000064632999</v>
      </c>
    </row>
    <row r="5727" spans="1:40" x14ac:dyDescent="0.25">
      <c r="A5727" t="str">
        <f>"20190312172231086"</f>
        <v>20190312172231086</v>
      </c>
      <c r="B5727" t="str">
        <f>"1552382551075963"</f>
        <v>1552382551075963</v>
      </c>
      <c r="C5727" t="s">
        <v>40</v>
      </c>
      <c r="D5727">
        <v>3.967479</v>
      </c>
      <c r="E5727">
        <v>0.47675400000000001</v>
      </c>
      <c r="F5727" t="s">
        <v>42</v>
      </c>
      <c r="G5727">
        <v>-428.16489999999999</v>
      </c>
      <c r="H5727" s="1">
        <v>-3.9507769999999999E-6</v>
      </c>
      <c r="I5727">
        <v>94.340400000000002</v>
      </c>
      <c r="J5727">
        <v>-424.96789999999999</v>
      </c>
      <c r="K5727">
        <v>1.1283339999999999</v>
      </c>
      <c r="L5727">
        <v>121.56180000000001</v>
      </c>
      <c r="M5727">
        <v>-0.35562569999999999</v>
      </c>
      <c r="N5727">
        <v>0</v>
      </c>
      <c r="O5727">
        <v>-0.93445590000000001</v>
      </c>
      <c r="P5727">
        <v>-0.13608819999999999</v>
      </c>
      <c r="Q5727">
        <v>0.15082309999999999</v>
      </c>
      <c r="R5727">
        <v>-0.97914840000000003</v>
      </c>
      <c r="S5727">
        <v>-0.36883539999999998</v>
      </c>
      <c r="T5727">
        <v>-0.12385549999999999</v>
      </c>
      <c r="U5727">
        <v>-3.0328520000000001</v>
      </c>
      <c r="V5727">
        <v>-0.22853599999999999</v>
      </c>
      <c r="W5727">
        <v>0.15780469999999999</v>
      </c>
      <c r="X5727">
        <v>0.96066070000000003</v>
      </c>
      <c r="Y5727">
        <v>-0.24033199999999999</v>
      </c>
      <c r="Z5727">
        <v>3.6101500000000002E-2</v>
      </c>
      <c r="AA5727">
        <v>0.97001919999999997</v>
      </c>
      <c r="AB5727">
        <v>45</v>
      </c>
      <c r="AC5727">
        <v>-3.1970000000000001</v>
      </c>
      <c r="AD5727">
        <v>-1.1283379507769999</v>
      </c>
      <c r="AE5727">
        <v>-27.221399999999999</v>
      </c>
      <c r="AF5727">
        <v>-6.6829276058021501</v>
      </c>
      <c r="AG5727">
        <v>-1.1283379507769999</v>
      </c>
      <c r="AH5727">
        <v>26.533451922983499</v>
      </c>
      <c r="AI5727">
        <v>92.361381179058696</v>
      </c>
      <c r="AJ5727">
        <v>104.136932107709</v>
      </c>
      <c r="AK5727">
        <v>27.385374543081099</v>
      </c>
      <c r="AL5727">
        <v>80.920503971814696</v>
      </c>
      <c r="AM5727">
        <v>103.381618666203</v>
      </c>
      <c r="AN5727">
        <v>1.0000000035812899</v>
      </c>
    </row>
    <row r="5728" spans="1:40" x14ac:dyDescent="0.25">
      <c r="A5728" t="str">
        <f>"20190312172231109"</f>
        <v>20190312172231109</v>
      </c>
      <c r="B5728" t="str">
        <f>"1552382551106219"</f>
        <v>1552382551106219</v>
      </c>
      <c r="C5728" t="s">
        <v>40</v>
      </c>
      <c r="D5728">
        <v>3.8927649999999998</v>
      </c>
      <c r="E5728">
        <v>0.4729604</v>
      </c>
      <c r="F5728" t="s">
        <v>42</v>
      </c>
      <c r="G5728">
        <v>-428.50970000000001</v>
      </c>
      <c r="H5728" s="1">
        <v>-5.6527680000000003E-6</v>
      </c>
      <c r="I5728">
        <v>79.162030000000001</v>
      </c>
      <c r="J5728">
        <v>-425.12529999999998</v>
      </c>
      <c r="K5728">
        <v>1.1283589999999999</v>
      </c>
      <c r="L5728">
        <v>121.15009999999999</v>
      </c>
      <c r="M5728">
        <v>-0.34112109999999901</v>
      </c>
      <c r="N5728">
        <v>0</v>
      </c>
      <c r="O5728">
        <v>-0.93984800000000002</v>
      </c>
      <c r="P5728">
        <v>-0.1198964</v>
      </c>
      <c r="Q5728">
        <v>0.14903250000000001</v>
      </c>
      <c r="R5728">
        <v>-0.98153690000000005</v>
      </c>
      <c r="S5728">
        <v>-0.25402829999999998</v>
      </c>
      <c r="T5728">
        <v>-8.0928089999999994E-2</v>
      </c>
      <c r="U5728">
        <v>-3.0410460000000001</v>
      </c>
      <c r="V5728">
        <v>-0.22955100000000001</v>
      </c>
      <c r="W5728">
        <v>0.15596570000000001</v>
      </c>
      <c r="X5728">
        <v>0.96071899999999999</v>
      </c>
      <c r="Y5728">
        <v>-0.261766</v>
      </c>
      <c r="Z5728">
        <v>2.3715139999999999E-2</v>
      </c>
      <c r="AA5728">
        <v>0.96484000000000003</v>
      </c>
      <c r="AB5728">
        <v>45</v>
      </c>
      <c r="AC5728">
        <v>-3.3844000000000198</v>
      </c>
      <c r="AD5728">
        <v>-1.128364652768</v>
      </c>
      <c r="AE5728">
        <v>-41.988069999999901</v>
      </c>
      <c r="AF5728">
        <v>-11.135999802499599</v>
      </c>
      <c r="AG5728">
        <v>-1.128364652768</v>
      </c>
      <c r="AH5728">
        <v>40.5943101744909</v>
      </c>
      <c r="AI5728">
        <v>91.535491687945196</v>
      </c>
      <c r="AJ5728">
        <v>105.34024446111999</v>
      </c>
      <c r="AK5728">
        <v>42.1091642868113</v>
      </c>
      <c r="AL5728">
        <v>81.027191839638604</v>
      </c>
      <c r="AM5728">
        <v>103.438113267861</v>
      </c>
      <c r="AN5728">
        <v>0.99999997906924398</v>
      </c>
    </row>
    <row r="5729" spans="1:40" x14ac:dyDescent="0.25">
      <c r="A5729" t="str">
        <f>"20190312172231131"</f>
        <v>20190312172231131</v>
      </c>
      <c r="B5729" t="str">
        <f>"1552382551126718"</f>
        <v>1552382551126718</v>
      </c>
      <c r="C5729" t="s">
        <v>40</v>
      </c>
      <c r="D5729">
        <v>3.8776109999999999</v>
      </c>
      <c r="E5729">
        <v>0.47197549999999999</v>
      </c>
      <c r="F5729" t="s">
        <v>42</v>
      </c>
      <c r="G5729">
        <v>-428.72129999999999</v>
      </c>
      <c r="H5729" s="1">
        <v>-5.0415160000000004E-6</v>
      </c>
      <c r="I5729">
        <v>57.255560000000003</v>
      </c>
      <c r="J5729">
        <v>-425.27940000000001</v>
      </c>
      <c r="K5729">
        <v>1.1283650000000001</v>
      </c>
      <c r="L5729">
        <v>120.7273</v>
      </c>
      <c r="M5729">
        <v>-0.32616119999999998</v>
      </c>
      <c r="N5729">
        <v>0</v>
      </c>
      <c r="O5729">
        <v>-0.94514399999999998</v>
      </c>
      <c r="P5729">
        <v>-0.10697139999999999</v>
      </c>
      <c r="Q5729">
        <v>0.1444366</v>
      </c>
      <c r="R5729">
        <v>-0.98371540000000002</v>
      </c>
      <c r="S5729">
        <v>-0.17129520000000001</v>
      </c>
      <c r="T5729">
        <v>-5.3750279999999998E-2</v>
      </c>
      <c r="U5729">
        <v>-3.0436550000000002</v>
      </c>
      <c r="V5729">
        <v>-0.2269534</v>
      </c>
      <c r="W5729">
        <v>0.15150620000000001</v>
      </c>
      <c r="X5729">
        <v>0.96204889999999998</v>
      </c>
      <c r="Y5729">
        <v>-0.2725882</v>
      </c>
      <c r="Z5729">
        <v>1.5865899999999999E-2</v>
      </c>
      <c r="AA5729">
        <v>0.96199999999999997</v>
      </c>
      <c r="AB5729">
        <v>45</v>
      </c>
      <c r="AC5729">
        <v>-3.4418999999999702</v>
      </c>
      <c r="AD5729">
        <v>-1.1283700415160001</v>
      </c>
      <c r="AE5729">
        <v>-63.471739999999997</v>
      </c>
      <c r="AF5729">
        <v>-17.446237462888799</v>
      </c>
      <c r="AG5729">
        <v>-1.1283700415160001</v>
      </c>
      <c r="AH5729">
        <v>61.103126088973703</v>
      </c>
      <c r="AI5729">
        <v>91.017296054591597</v>
      </c>
      <c r="AJ5729">
        <v>105.935166960263</v>
      </c>
      <c r="AK5729">
        <v>63.554987517952597</v>
      </c>
      <c r="AL5729">
        <v>81.285777120722599</v>
      </c>
      <c r="AM5729">
        <v>103.273751018684</v>
      </c>
      <c r="AN5729">
        <v>1.0000000302006</v>
      </c>
    </row>
    <row r="5730" spans="1:40" x14ac:dyDescent="0.25">
      <c r="A5730" t="str">
        <f>"20190312172231155"</f>
        <v>20190312172231155</v>
      </c>
      <c r="B5730" t="str">
        <f>"1552382551146235"</f>
        <v>1552382551146235</v>
      </c>
      <c r="C5730" t="s">
        <v>40</v>
      </c>
      <c r="D5730">
        <v>3.7219869999999999</v>
      </c>
      <c r="E5730">
        <v>0.47212120000000002</v>
      </c>
      <c r="F5730" t="s">
        <v>42</v>
      </c>
      <c r="G5730">
        <v>-427.16730000000001</v>
      </c>
      <c r="H5730" s="1">
        <v>-3.5665289999999998E-6</v>
      </c>
      <c r="I5730">
        <v>73.731229999999996</v>
      </c>
      <c r="J5730">
        <v>-425.42619999999999</v>
      </c>
      <c r="K5730">
        <v>1.1283529999999999</v>
      </c>
      <c r="L5730">
        <v>120.3039</v>
      </c>
      <c r="M5730">
        <v>-0.31111820000000001</v>
      </c>
      <c r="N5730">
        <v>0</v>
      </c>
      <c r="O5730">
        <v>-0.95020190000000004</v>
      </c>
      <c r="P5730">
        <v>-9.7800330000000005E-2</v>
      </c>
      <c r="Q5730">
        <v>0.13509570000000001</v>
      </c>
      <c r="R5730">
        <v>-0.98599429999999999</v>
      </c>
      <c r="S5730">
        <v>-0.122406</v>
      </c>
      <c r="T5730">
        <v>-7.3160530000000001E-2</v>
      </c>
      <c r="U5730">
        <v>-3.047104</v>
      </c>
      <c r="V5730">
        <v>-0.2206188</v>
      </c>
      <c r="W5730">
        <v>0.142492799999999</v>
      </c>
      <c r="X5730">
        <v>0.96489539999999996</v>
      </c>
      <c r="Y5730">
        <v>-0.27277950000000001</v>
      </c>
      <c r="Z5730">
        <v>2.175558E-2</v>
      </c>
      <c r="AA5730">
        <v>0.96183059999999998</v>
      </c>
      <c r="AB5730">
        <v>45</v>
      </c>
      <c r="AC5730">
        <v>-1.7411000000000101</v>
      </c>
      <c r="AD5730">
        <v>-1.1283565665289901</v>
      </c>
      <c r="AE5730">
        <v>-46.572669999999903</v>
      </c>
      <c r="AF5730">
        <v>-12.829754088260101</v>
      </c>
      <c r="AG5730">
        <v>-1.1283565665289901</v>
      </c>
      <c r="AH5730">
        <v>44.7760906093757</v>
      </c>
      <c r="AI5730">
        <v>91.3877273349419</v>
      </c>
      <c r="AJ5730">
        <v>105.988668202119</v>
      </c>
      <c r="AK5730">
        <v>46.591566498299699</v>
      </c>
      <c r="AL5730">
        <v>81.8078803185319</v>
      </c>
      <c r="AM5730">
        <v>102.87902396918</v>
      </c>
      <c r="AN5730">
        <v>0.99999999295321995</v>
      </c>
    </row>
    <row r="5731" spans="1:40" x14ac:dyDescent="0.25">
      <c r="A5731" t="str">
        <f>"20190312172231176"</f>
        <v>20190312172231176</v>
      </c>
      <c r="B5731" t="str">
        <f>"1552382551166730"</f>
        <v>1552382551166730</v>
      </c>
      <c r="C5731" t="s">
        <v>40</v>
      </c>
      <c r="D5731">
        <v>3.725975</v>
      </c>
      <c r="E5731">
        <v>0.472717</v>
      </c>
      <c r="F5731" t="s">
        <v>42</v>
      </c>
      <c r="G5731">
        <v>-426.58780000000002</v>
      </c>
      <c r="H5731" s="1">
        <v>-2.6696700000000001E-6</v>
      </c>
      <c r="I5731">
        <v>81.726240000000004</v>
      </c>
      <c r="J5731">
        <v>-425.56279999999998</v>
      </c>
      <c r="K5731">
        <v>1.128355</v>
      </c>
      <c r="L5731">
        <v>119.8891</v>
      </c>
      <c r="M5731">
        <v>-0.2963228</v>
      </c>
      <c r="N5731">
        <v>0</v>
      </c>
      <c r="O5731">
        <v>-0.95491899999999996</v>
      </c>
      <c r="P5731">
        <v>-8.8998160000000007E-2</v>
      </c>
      <c r="Q5731">
        <v>0.13425000000000001</v>
      </c>
      <c r="R5731">
        <v>-0.98694300000000001</v>
      </c>
      <c r="S5731">
        <v>-9.1705320000000007E-2</v>
      </c>
      <c r="T5731">
        <v>-8.9084389999999999E-2</v>
      </c>
      <c r="U5731">
        <v>-3.045731</v>
      </c>
      <c r="V5731">
        <v>-0.21422540000000001</v>
      </c>
      <c r="W5731">
        <v>0.1419637</v>
      </c>
      <c r="X5731">
        <v>0.96641279999999996</v>
      </c>
      <c r="Y5731">
        <v>-0.26750159999999901</v>
      </c>
      <c r="Z5731">
        <v>2.6730690000000001E-2</v>
      </c>
      <c r="AA5731">
        <v>0.9631866</v>
      </c>
      <c r="AB5731">
        <v>45</v>
      </c>
      <c r="AC5731">
        <v>-1.0250000000000301</v>
      </c>
      <c r="AD5731">
        <v>-1.12835766967</v>
      </c>
      <c r="AE5731">
        <v>-38.162860000000002</v>
      </c>
      <c r="AF5731">
        <v>-10.3223822960272</v>
      </c>
      <c r="AG5731">
        <v>-1.12835766967</v>
      </c>
      <c r="AH5731">
        <v>36.720020191193697</v>
      </c>
      <c r="AI5731">
        <v>91.694433386092001</v>
      </c>
      <c r="AJ5731">
        <v>105.70122933401601</v>
      </c>
      <c r="AK5731">
        <v>38.159987554213302</v>
      </c>
      <c r="AL5731">
        <v>81.838506574118199</v>
      </c>
      <c r="AM5731">
        <v>102.49869124742899</v>
      </c>
      <c r="AN5731">
        <v>0.99999995706334399</v>
      </c>
    </row>
    <row r="5732" spans="1:40" x14ac:dyDescent="0.25">
      <c r="A5732" t="str">
        <f>"20190312172231197"</f>
        <v>20190312172231197</v>
      </c>
      <c r="B5732" t="str">
        <f>"1552382551186255"</f>
        <v>1552382551186255</v>
      </c>
      <c r="C5732" t="s">
        <v>40</v>
      </c>
      <c r="D5732">
        <v>4.1601499999999998</v>
      </c>
      <c r="E5732">
        <v>0.47333419999999998</v>
      </c>
      <c r="F5732" t="s">
        <v>42</v>
      </c>
      <c r="G5732">
        <v>-426.50069999999999</v>
      </c>
      <c r="H5732" s="1">
        <v>-4.8189079999999999E-6</v>
      </c>
      <c r="I5732">
        <v>77.758899999999997</v>
      </c>
      <c r="J5732">
        <v>-425.68970000000002</v>
      </c>
      <c r="K5732">
        <v>1.128371</v>
      </c>
      <c r="L5732">
        <v>119.48269999999999</v>
      </c>
      <c r="M5732">
        <v>-0.28177200000000002</v>
      </c>
      <c r="N5732">
        <v>0</v>
      </c>
      <c r="O5732">
        <v>-0.95931370000000005</v>
      </c>
      <c r="P5732">
        <v>-8.058237E-2</v>
      </c>
      <c r="Q5732">
        <v>0.14288229999999999</v>
      </c>
      <c r="R5732">
        <v>-0.98645400000000005</v>
      </c>
      <c r="S5732">
        <v>-6.7779539999999999E-2</v>
      </c>
      <c r="T5732">
        <v>-8.1544160000000004E-2</v>
      </c>
      <c r="U5732">
        <v>-3.0446620000000002</v>
      </c>
      <c r="V5732">
        <v>-0.20781179999999999</v>
      </c>
      <c r="W5732">
        <v>0.15089900000000001</v>
      </c>
      <c r="X5732">
        <v>0.96645939999999997</v>
      </c>
      <c r="Y5732">
        <v>-0.26039869999999998</v>
      </c>
      <c r="Z5732">
        <v>2.468238E-2</v>
      </c>
      <c r="AA5732">
        <v>0.96518559999999998</v>
      </c>
      <c r="AB5732">
        <v>45</v>
      </c>
      <c r="AC5732">
        <v>-0.81099999999997796</v>
      </c>
      <c r="AD5732">
        <v>-1.128375818908</v>
      </c>
      <c r="AE5732">
        <v>-41.723799999999997</v>
      </c>
      <c r="AF5732">
        <v>-10.9723399938866</v>
      </c>
      <c r="AG5732">
        <v>-1.128375818908</v>
      </c>
      <c r="AH5732">
        <v>40.231794496078898</v>
      </c>
      <c r="AI5732">
        <v>91.549965246613795</v>
      </c>
      <c r="AJ5732">
        <v>105.255161656147</v>
      </c>
      <c r="AK5732">
        <v>41.716456768340997</v>
      </c>
      <c r="AL5732">
        <v>81.320971599534204</v>
      </c>
      <c r="AM5732">
        <v>102.135185099617</v>
      </c>
      <c r="AN5732">
        <v>1.0000000121343</v>
      </c>
    </row>
    <row r="5733" spans="1:40" x14ac:dyDescent="0.25">
      <c r="A5733" t="str">
        <f>"20190312172231221"</f>
        <v>20190312172231221</v>
      </c>
      <c r="B5733" t="str">
        <f>"1552382551216507"</f>
        <v>1552382551216507</v>
      </c>
      <c r="C5733" t="s">
        <v>40</v>
      </c>
      <c r="D5733">
        <v>3.7007859999999999</v>
      </c>
      <c r="E5733">
        <v>0.47445359999999998</v>
      </c>
      <c r="F5733" t="s">
        <v>42</v>
      </c>
      <c r="G5733">
        <v>-426.8064</v>
      </c>
      <c r="H5733" s="1">
        <v>-5.1662069999999997E-6</v>
      </c>
      <c r="I5733">
        <v>48.620089999999998</v>
      </c>
      <c r="J5733">
        <v>-425.81279999999998</v>
      </c>
      <c r="K5733">
        <v>1.1283570000000001</v>
      </c>
      <c r="L5733">
        <v>119.06570000000001</v>
      </c>
      <c r="M5733">
        <v>-0.26678359999999901</v>
      </c>
      <c r="N5733">
        <v>0</v>
      </c>
      <c r="O5733">
        <v>-0.96358929999999998</v>
      </c>
      <c r="P5733">
        <v>-7.2291850000000005E-2</v>
      </c>
      <c r="Q5733">
        <v>0.1471566</v>
      </c>
      <c r="R5733">
        <v>-0.98646780000000001</v>
      </c>
      <c r="S5733">
        <v>-4.7973630000000003E-2</v>
      </c>
      <c r="T5733">
        <v>-4.8475860000000003E-2</v>
      </c>
      <c r="U5733">
        <v>-3.0443120000000001</v>
      </c>
      <c r="V5733">
        <v>-0.20087830000000001</v>
      </c>
      <c r="W5733">
        <v>0.15550700000000001</v>
      </c>
      <c r="X5733">
        <v>0.96719469999999996</v>
      </c>
      <c r="Y5733">
        <v>-0.25160949999999999</v>
      </c>
      <c r="Z5733">
        <v>1.479918E-2</v>
      </c>
      <c r="AA5733">
        <v>0.96771569999999996</v>
      </c>
      <c r="AB5733">
        <v>45</v>
      </c>
      <c r="AC5733">
        <v>-0.99360000000001403</v>
      </c>
      <c r="AD5733">
        <v>-1.128362166207</v>
      </c>
      <c r="AE5733">
        <v>-70.445610000000002</v>
      </c>
      <c r="AF5733">
        <v>-17.834610243447699</v>
      </c>
      <c r="AG5733">
        <v>-1.128362166207</v>
      </c>
      <c r="AH5733">
        <v>68.139213847594604</v>
      </c>
      <c r="AI5733">
        <v>90.917800431827004</v>
      </c>
      <c r="AJ5733">
        <v>104.667442446824</v>
      </c>
      <c r="AK5733">
        <v>70.443587270113099</v>
      </c>
      <c r="AL5733">
        <v>81.053798713518702</v>
      </c>
      <c r="AM5733">
        <v>101.73305012641499</v>
      </c>
      <c r="AN5733">
        <v>1.0000000530839801</v>
      </c>
    </row>
    <row r="5734" spans="1:40" x14ac:dyDescent="0.25">
      <c r="A5734" t="str">
        <f>"20190312172231242"</f>
        <v>20190312172231242</v>
      </c>
      <c r="B5734" t="str">
        <f>"1552382551236027"</f>
        <v>1552382551236027</v>
      </c>
      <c r="C5734" t="s">
        <v>40</v>
      </c>
      <c r="D5734">
        <v>3.8326069999999999</v>
      </c>
      <c r="E5734">
        <v>0.47517579999999998</v>
      </c>
      <c r="F5734" t="s">
        <v>65</v>
      </c>
      <c r="G5734">
        <v>-427.10309999999998</v>
      </c>
      <c r="H5734">
        <v>0.13251689999999999</v>
      </c>
      <c r="I5734">
        <v>1.0482389999999999</v>
      </c>
      <c r="J5734">
        <v>-425.93110000000001</v>
      </c>
      <c r="K5734">
        <v>1.1283299999999901</v>
      </c>
      <c r="L5734">
        <v>118.63849999999999</v>
      </c>
      <c r="M5734">
        <v>-0.25137599999999999</v>
      </c>
      <c r="N5734">
        <v>0</v>
      </c>
      <c r="O5734">
        <v>-0.96772320000000001</v>
      </c>
      <c r="P5734">
        <v>-6.4744239999999995E-2</v>
      </c>
      <c r="Q5734">
        <v>0.14156729999999901</v>
      </c>
      <c r="R5734">
        <v>-0.98780939999999995</v>
      </c>
      <c r="S5734">
        <v>-3.3264160000000001E-2</v>
      </c>
      <c r="T5734">
        <v>-2.5673870000000001E-2</v>
      </c>
      <c r="U5734">
        <v>-3.0425420000000001</v>
      </c>
      <c r="V5734">
        <v>-0.1927758</v>
      </c>
      <c r="W5734">
        <v>0.1503244</v>
      </c>
      <c r="X5734">
        <v>0.96965970000000001</v>
      </c>
      <c r="Y5734">
        <v>-0.24082039999999999</v>
      </c>
      <c r="Z5734">
        <v>7.9072320000000001E-3</v>
      </c>
      <c r="AA5734">
        <v>0.97053750000000005</v>
      </c>
      <c r="AB5734">
        <v>44</v>
      </c>
      <c r="AC5734">
        <v>-1.17199999999996</v>
      </c>
      <c r="AD5734">
        <v>-0.99581310000000001</v>
      </c>
      <c r="AE5734">
        <v>-117.590261</v>
      </c>
      <c r="AF5734">
        <v>-28.427735703229501</v>
      </c>
      <c r="AG5734">
        <v>-0.99581310000000001</v>
      </c>
      <c r="AH5734">
        <v>114.09962241253101</v>
      </c>
      <c r="AI5734">
        <v>90.485208391147495</v>
      </c>
      <c r="AJ5734">
        <v>103.990310111385</v>
      </c>
      <c r="AK5734">
        <v>117.59188592596399</v>
      </c>
      <c r="AL5734">
        <v>81.354272950620796</v>
      </c>
      <c r="AM5734">
        <v>101.244230294733</v>
      </c>
      <c r="AN5734">
        <v>0.99999993405254195</v>
      </c>
    </row>
    <row r="5735" spans="1:40" x14ac:dyDescent="0.25">
      <c r="A5735" t="str">
        <f>"20190312172231265"</f>
        <v>20190312172231265</v>
      </c>
      <c r="B5735" t="str">
        <f>"1552382551256523"</f>
        <v>1552382551256523</v>
      </c>
      <c r="C5735" t="s">
        <v>40</v>
      </c>
      <c r="D5735">
        <v>3.7330030000000001</v>
      </c>
      <c r="E5735">
        <v>0.47576190000000002</v>
      </c>
      <c r="F5735" t="s">
        <v>64</v>
      </c>
      <c r="G5735">
        <v>-426.4452</v>
      </c>
      <c r="H5735" s="1">
        <v>-7.9488629999999999E-6</v>
      </c>
      <c r="I5735">
        <v>25.148779999999999</v>
      </c>
      <c r="J5735">
        <v>-426.03919999999999</v>
      </c>
      <c r="K5735">
        <v>1.1283299999999901</v>
      </c>
      <c r="L5735">
        <v>118.2227</v>
      </c>
      <c r="M5735">
        <v>-0.23632159999999999</v>
      </c>
      <c r="N5735">
        <v>0</v>
      </c>
      <c r="O5735">
        <v>-0.97150919999999996</v>
      </c>
      <c r="P5735">
        <v>-5.5257840000000003E-2</v>
      </c>
      <c r="Q5735">
        <v>0.1373606</v>
      </c>
      <c r="R5735">
        <v>-0.98897889999999999</v>
      </c>
      <c r="S5735">
        <v>-1.672363E-2</v>
      </c>
      <c r="T5735">
        <v>-3.6704540000000001E-2</v>
      </c>
      <c r="U5735">
        <v>-3.0411990000000002</v>
      </c>
      <c r="V5735">
        <v>-0.1869673</v>
      </c>
      <c r="W5735">
        <v>0.1464076</v>
      </c>
      <c r="X5735">
        <v>0.97139489999999995</v>
      </c>
      <c r="Y5735">
        <v>-0.2310131</v>
      </c>
      <c r="Z5735">
        <v>1.139213E-2</v>
      </c>
      <c r="AA5735">
        <v>0.97288390000000002</v>
      </c>
      <c r="AB5735">
        <v>44</v>
      </c>
      <c r="AC5735">
        <v>-0.40600000000000502</v>
      </c>
      <c r="AD5735">
        <v>-1.1283379488630001</v>
      </c>
      <c r="AE5735">
        <v>-93.073920000000001</v>
      </c>
      <c r="AF5735">
        <v>-21.6012486580724</v>
      </c>
      <c r="AG5735">
        <v>-1.1283379488630001</v>
      </c>
      <c r="AH5735">
        <v>90.519388777979799</v>
      </c>
      <c r="AI5735">
        <v>90.694659902447398</v>
      </c>
      <c r="AJ5735">
        <v>103.42185356168601</v>
      </c>
      <c r="AK5735">
        <v>93.067968898293699</v>
      </c>
      <c r="AL5735">
        <v>81.581201344958799</v>
      </c>
      <c r="AM5735">
        <v>100.89466096008999</v>
      </c>
      <c r="AN5735">
        <v>1.00000000417652</v>
      </c>
    </row>
    <row r="5736" spans="1:40" x14ac:dyDescent="0.25">
      <c r="A5736" t="str">
        <f>"20190312172231287"</f>
        <v>20190312172231287</v>
      </c>
      <c r="B5736" t="str">
        <f>"1552382551276043"</f>
        <v>1552382551276043</v>
      </c>
      <c r="C5736" t="s">
        <v>40</v>
      </c>
      <c r="D5736">
        <v>3.7002670000000002</v>
      </c>
      <c r="E5736">
        <v>0.47645850000000001</v>
      </c>
      <c r="F5736" t="s">
        <v>64</v>
      </c>
      <c r="G5736">
        <v>-425.8501</v>
      </c>
      <c r="H5736" s="1">
        <v>-2.6813699999999999E-6</v>
      </c>
      <c r="I5736">
        <v>36.696739999999998</v>
      </c>
      <c r="J5736">
        <v>-426.14049999999997</v>
      </c>
      <c r="K5736">
        <v>1.128341</v>
      </c>
      <c r="L5736">
        <v>117.80670000000001</v>
      </c>
      <c r="M5736">
        <v>-0.22120890000000001</v>
      </c>
      <c r="N5736">
        <v>0</v>
      </c>
      <c r="O5736">
        <v>-0.97506139999999997</v>
      </c>
      <c r="P5736">
        <v>-4.3022049999999999E-2</v>
      </c>
      <c r="Q5736">
        <v>0.13352939999999999</v>
      </c>
      <c r="R5736">
        <v>-0.99011079999999996</v>
      </c>
      <c r="S5736">
        <v>7.0495610000000002E-3</v>
      </c>
      <c r="T5736">
        <v>-4.2069549999999997E-2</v>
      </c>
      <c r="U5736">
        <v>-3.0396730000000001</v>
      </c>
      <c r="V5736">
        <v>-0.18383469999999999</v>
      </c>
      <c r="W5736">
        <v>0.14273350000000001</v>
      </c>
      <c r="X5736">
        <v>0.97253889999999998</v>
      </c>
      <c r="Y5736">
        <v>-0.22350519999999999</v>
      </c>
      <c r="Z5736">
        <v>1.3149320000000001E-2</v>
      </c>
      <c r="AA5736">
        <v>0.97461399999999998</v>
      </c>
      <c r="AB5736">
        <v>44</v>
      </c>
      <c r="AC5736">
        <v>0.29039999999997601</v>
      </c>
      <c r="AD5736">
        <v>-1.1283436813700001</v>
      </c>
      <c r="AE5736">
        <v>-81.109960000000001</v>
      </c>
      <c r="AF5736">
        <v>-18.224809956349201</v>
      </c>
      <c r="AG5736">
        <v>-1.1283436813700001</v>
      </c>
      <c r="AH5736">
        <v>79.020381329438493</v>
      </c>
      <c r="AI5736">
        <v>90.797155554246004</v>
      </c>
      <c r="AJ5736">
        <v>102.987276243013</v>
      </c>
      <c r="AK5736">
        <v>81.102635733114198</v>
      </c>
      <c r="AL5736">
        <v>81.793946699847496</v>
      </c>
      <c r="AM5736">
        <v>100.70407087938599</v>
      </c>
      <c r="AN5736">
        <v>0.99999998047977401</v>
      </c>
    </row>
    <row r="5737" spans="1:40" x14ac:dyDescent="0.25">
      <c r="A5737" t="str">
        <f>"20190312172231310"</f>
        <v>20190312172231310</v>
      </c>
      <c r="B5737" t="str">
        <f>"1552382551306299"</f>
        <v>1552382551306299</v>
      </c>
      <c r="C5737" t="s">
        <v>40</v>
      </c>
      <c r="D5737">
        <v>4.1070000000000002</v>
      </c>
      <c r="E5737">
        <v>0.47748580000000002</v>
      </c>
      <c r="F5737" t="s">
        <v>42</v>
      </c>
      <c r="G5737">
        <v>-425.19409999999999</v>
      </c>
      <c r="H5737" s="1">
        <v>-3.8745529999999999E-6</v>
      </c>
      <c r="I5737">
        <v>45.664929999999998</v>
      </c>
      <c r="J5737">
        <v>-426.23790000000002</v>
      </c>
      <c r="K5737">
        <v>1.1283399999999999</v>
      </c>
      <c r="L5737">
        <v>117.3771</v>
      </c>
      <c r="M5737">
        <v>-0.2055438</v>
      </c>
      <c r="N5737">
        <v>0</v>
      </c>
      <c r="O5737">
        <v>-0.9784834</v>
      </c>
      <c r="P5737">
        <v>-2.870077E-2</v>
      </c>
      <c r="Q5737">
        <v>0.1307798</v>
      </c>
      <c r="R5737">
        <v>-0.99099610000000005</v>
      </c>
      <c r="S5737">
        <v>3.9855960000000003E-2</v>
      </c>
      <c r="T5737">
        <v>-4.7517900000000002E-2</v>
      </c>
      <c r="U5737">
        <v>-3.0381010000000002</v>
      </c>
      <c r="V5737">
        <v>-0.18224860000000001</v>
      </c>
      <c r="W5737">
        <v>0.14006360000000001</v>
      </c>
      <c r="X5737">
        <v>0.97322540000000002</v>
      </c>
      <c r="Y5737">
        <v>-0.2183947</v>
      </c>
      <c r="Z5737">
        <v>1.4948090000000001E-2</v>
      </c>
      <c r="AA5737">
        <v>0.975746</v>
      </c>
      <c r="AB5737">
        <v>44</v>
      </c>
      <c r="AC5737">
        <v>1.04380000000003</v>
      </c>
      <c r="AD5737">
        <v>-1.1283438745529999</v>
      </c>
      <c r="AE5737">
        <v>-71.71217</v>
      </c>
      <c r="AF5737">
        <v>-15.7599700860334</v>
      </c>
      <c r="AG5737">
        <v>-1.1283438745529999</v>
      </c>
      <c r="AH5737">
        <v>69.948572628127394</v>
      </c>
      <c r="AI5737">
        <v>90.901564660737293</v>
      </c>
      <c r="AJ5737">
        <v>102.697176874522</v>
      </c>
      <c r="AK5737">
        <v>71.710896171532596</v>
      </c>
      <c r="AL5737">
        <v>81.948473655491398</v>
      </c>
      <c r="AM5737">
        <v>100.606507892119</v>
      </c>
      <c r="AN5737">
        <v>1.0000000217260301</v>
      </c>
    </row>
    <row r="5738" spans="1:40" x14ac:dyDescent="0.25">
      <c r="A5738" t="str">
        <f>"20190312172231332"</f>
        <v>20190312172231332</v>
      </c>
      <c r="B5738" t="str">
        <f>"1552382551326798"</f>
        <v>1552382551326798</v>
      </c>
      <c r="C5738" t="s">
        <v>40</v>
      </c>
      <c r="D5738">
        <v>3.7156410000000002</v>
      </c>
      <c r="E5738">
        <v>0.48477150000000002</v>
      </c>
      <c r="F5738" t="s">
        <v>42</v>
      </c>
      <c r="G5738">
        <v>-424.4085</v>
      </c>
      <c r="H5738" s="1">
        <v>-3.7285989999999999E-6</v>
      </c>
      <c r="I5738">
        <v>45.645519999999998</v>
      </c>
      <c r="J5738">
        <v>-426.32760000000002</v>
      </c>
      <c r="K5738">
        <v>1.1283299999999901</v>
      </c>
      <c r="L5738">
        <v>116.9496</v>
      </c>
      <c r="M5738">
        <v>-0.18989929999999999</v>
      </c>
      <c r="N5738">
        <v>0</v>
      </c>
      <c r="O5738">
        <v>-0.98163959999999995</v>
      </c>
      <c r="P5738">
        <v>-1.343253E-2</v>
      </c>
      <c r="Q5738">
        <v>0.12517799999999901</v>
      </c>
      <c r="R5738">
        <v>-0.99204329999999996</v>
      </c>
      <c r="S5738">
        <v>7.7423099999999995E-2</v>
      </c>
      <c r="T5738">
        <v>-4.7753329999999997E-2</v>
      </c>
      <c r="U5738">
        <v>-3.0357970000000001</v>
      </c>
      <c r="V5738">
        <v>-0.1815861</v>
      </c>
      <c r="W5738">
        <v>0.13450010000000001</v>
      </c>
      <c r="X5738">
        <v>0.97413360000000004</v>
      </c>
      <c r="Y5738">
        <v>-0.2148959</v>
      </c>
      <c r="Z5738">
        <v>1.5112179999999999E-2</v>
      </c>
      <c r="AA5738">
        <v>0.9765201</v>
      </c>
      <c r="AB5738">
        <v>44</v>
      </c>
      <c r="AC5738">
        <v>1.91910000000001</v>
      </c>
      <c r="AD5738">
        <v>-1.1283337285989901</v>
      </c>
      <c r="AE5738">
        <v>-71.304079999999999</v>
      </c>
      <c r="AF5738">
        <v>-15.4230837478831</v>
      </c>
      <c r="AG5738">
        <v>-1.1283337285989901</v>
      </c>
      <c r="AH5738">
        <v>69.624262570974395</v>
      </c>
      <c r="AI5738">
        <v>90.906485792808695</v>
      </c>
      <c r="AJ5738">
        <v>102.490395997766</v>
      </c>
      <c r="AK5738">
        <v>71.320982802042906</v>
      </c>
      <c r="AL5738">
        <v>82.270286134122301</v>
      </c>
      <c r="AM5738">
        <v>100.559190119243</v>
      </c>
      <c r="AN5738">
        <v>1.00000002963108</v>
      </c>
    </row>
    <row r="5739" spans="1:40" x14ac:dyDescent="0.25">
      <c r="A5739" t="str">
        <f>"20190312172231356"</f>
        <v>20190312172231356</v>
      </c>
      <c r="B5739" t="str">
        <f>"1552382551346315"</f>
        <v>1552382551346315</v>
      </c>
      <c r="C5739" t="s">
        <v>40</v>
      </c>
      <c r="D5739">
        <v>3.6828850000000002</v>
      </c>
      <c r="E5739">
        <v>0.48613119999999999</v>
      </c>
      <c r="F5739" t="s">
        <v>42</v>
      </c>
      <c r="G5739">
        <v>-425.9914</v>
      </c>
      <c r="H5739" s="1">
        <v>-2.0475880000000002E-6</v>
      </c>
      <c r="I5739">
        <v>100.5508</v>
      </c>
      <c r="J5739">
        <v>-426.41219999999998</v>
      </c>
      <c r="K5739">
        <v>1.1283369999999999</v>
      </c>
      <c r="L5739">
        <v>116.5121</v>
      </c>
      <c r="M5739">
        <v>-0.17382879999999901</v>
      </c>
      <c r="N5739">
        <v>0</v>
      </c>
      <c r="O5739">
        <v>-0.98461240000000005</v>
      </c>
      <c r="P5739">
        <v>2.1168649999999999E-3</v>
      </c>
      <c r="Q5739">
        <v>0.1220016</v>
      </c>
      <c r="R5739">
        <v>-0.99252779999999996</v>
      </c>
      <c r="S5739">
        <v>6.2561039999999998E-2</v>
      </c>
      <c r="T5739">
        <v>-0.20995429999999901</v>
      </c>
      <c r="U5739">
        <v>-3.0514070000000002</v>
      </c>
      <c r="V5739">
        <v>-0.18085370000000001</v>
      </c>
      <c r="W5739">
        <v>0.13136199999999901</v>
      </c>
      <c r="X5739">
        <v>0.97469790000000001</v>
      </c>
      <c r="Y5739">
        <v>-0.1939563</v>
      </c>
      <c r="Z5739">
        <v>6.6416810000000007E-2</v>
      </c>
      <c r="AA5739">
        <v>0.9787593</v>
      </c>
      <c r="AB5739">
        <v>44</v>
      </c>
      <c r="AC5739">
        <v>0.42079999999998502</v>
      </c>
      <c r="AD5739">
        <v>-1.128339047588</v>
      </c>
      <c r="AE5739">
        <v>-15.9613</v>
      </c>
      <c r="AF5739">
        <v>-3.17352370485749</v>
      </c>
      <c r="AG5739">
        <v>-1.128339047588</v>
      </c>
      <c r="AH5739">
        <v>15.567323706431701</v>
      </c>
      <c r="AI5739">
        <v>94.062355769946507</v>
      </c>
      <c r="AJ5739">
        <v>101.522320039219</v>
      </c>
      <c r="AK5739">
        <v>15.927522377709399</v>
      </c>
      <c r="AL5739">
        <v>82.451695951327196</v>
      </c>
      <c r="AM5739">
        <v>100.511600016562</v>
      </c>
      <c r="AN5739">
        <v>1.0000000160560401</v>
      </c>
    </row>
    <row r="5740" spans="1:40" x14ac:dyDescent="0.25">
      <c r="A5740" t="str">
        <f>"20190312172231377"</f>
        <v>20190312172231377</v>
      </c>
      <c r="B5740" t="str">
        <f>"1552382551366812"</f>
        <v>1552382551366812</v>
      </c>
      <c r="C5740" t="s">
        <v>40</v>
      </c>
      <c r="D5740">
        <v>3.5891389999999999</v>
      </c>
      <c r="E5740">
        <v>0.48831449999999998</v>
      </c>
      <c r="F5740" t="s">
        <v>42</v>
      </c>
      <c r="G5740">
        <v>-425.85180000000003</v>
      </c>
      <c r="H5740" s="1">
        <v>-1.594977E-6</v>
      </c>
      <c r="I5740">
        <v>99.671899999999994</v>
      </c>
      <c r="J5740">
        <v>-426.48500000000001</v>
      </c>
      <c r="K5740">
        <v>1.1283459999999901</v>
      </c>
      <c r="L5740">
        <v>116.1006</v>
      </c>
      <c r="M5740">
        <v>-0.15865969999999999</v>
      </c>
      <c r="N5740">
        <v>0</v>
      </c>
      <c r="O5740">
        <v>-0.9871702</v>
      </c>
      <c r="P5740">
        <v>1.4946879999999999E-2</v>
      </c>
      <c r="Q5740">
        <v>0.12155580000000001</v>
      </c>
      <c r="R5740">
        <v>-0.99247220000000003</v>
      </c>
      <c r="S5740">
        <v>0.1014099</v>
      </c>
      <c r="T5740">
        <v>-0.2041878</v>
      </c>
      <c r="U5740">
        <v>-3.0474549999999998</v>
      </c>
      <c r="V5740">
        <v>-0.17844179999999901</v>
      </c>
      <c r="W5740">
        <v>0.1310344</v>
      </c>
      <c r="X5740">
        <v>0.97518640000000001</v>
      </c>
      <c r="Y5740">
        <v>-0.19136020000000001</v>
      </c>
      <c r="Z5740">
        <v>6.4946210000000004E-2</v>
      </c>
      <c r="AA5740">
        <v>0.97936880000000004</v>
      </c>
      <c r="AB5740">
        <v>44</v>
      </c>
      <c r="AC5740">
        <v>0.633199999999987</v>
      </c>
      <c r="AD5740">
        <v>-1.1283475949770001</v>
      </c>
      <c r="AE5740">
        <v>-16.428699999999999</v>
      </c>
      <c r="AF5740">
        <v>-3.2170167284264499</v>
      </c>
      <c r="AG5740">
        <v>-1.1283475949770001</v>
      </c>
      <c r="AH5740">
        <v>16.044484124709399</v>
      </c>
      <c r="AI5740">
        <v>93.944517681122093</v>
      </c>
      <c r="AJ5740">
        <v>101.33781114732901</v>
      </c>
      <c r="AK5740">
        <v>16.402677700732799</v>
      </c>
      <c r="AL5740">
        <v>82.470629605147494</v>
      </c>
      <c r="AM5740">
        <v>100.36939503934499</v>
      </c>
      <c r="AN5740">
        <v>1.00000000235778</v>
      </c>
    </row>
    <row r="5741" spans="1:40" x14ac:dyDescent="0.25">
      <c r="A5741" t="str">
        <f>"20190312172231399"</f>
        <v>20190312172231399</v>
      </c>
      <c r="B5741" t="str">
        <f>"1552382551396092"</f>
        <v>1552382551396092</v>
      </c>
      <c r="C5741" t="s">
        <v>40</v>
      </c>
      <c r="D5741">
        <v>3.7904680000000002</v>
      </c>
      <c r="E5741">
        <v>0.48959160000000002</v>
      </c>
      <c r="F5741" t="s">
        <v>42</v>
      </c>
      <c r="G5741">
        <v>-425.72469999999998</v>
      </c>
      <c r="H5741" s="1">
        <v>-4.5824149999999997E-6</v>
      </c>
      <c r="I5741">
        <v>97.468400000000003</v>
      </c>
      <c r="J5741">
        <v>-426.55160000000001</v>
      </c>
      <c r="K5741">
        <v>1.128341</v>
      </c>
      <c r="L5741">
        <v>115.6854</v>
      </c>
      <c r="M5741">
        <v>-0.14330190000000001</v>
      </c>
      <c r="N5741">
        <v>0</v>
      </c>
      <c r="O5741">
        <v>-0.98951639999999996</v>
      </c>
      <c r="P5741">
        <v>2.7027530000000001E-2</v>
      </c>
      <c r="Q5741">
        <v>0.120632</v>
      </c>
      <c r="R5741">
        <v>-0.99232940000000003</v>
      </c>
      <c r="S5741">
        <v>0.12417599999999999</v>
      </c>
      <c r="T5741">
        <v>-0.18430940000000001</v>
      </c>
      <c r="U5741">
        <v>-3.0434570000000001</v>
      </c>
      <c r="V5741">
        <v>-0.17512949999999999</v>
      </c>
      <c r="W5741">
        <v>0.13027279999999999</v>
      </c>
      <c r="X5741">
        <v>0.97588869999999905</v>
      </c>
      <c r="Y5741">
        <v>-0.18347810000000001</v>
      </c>
      <c r="Z5741">
        <v>5.8974289999999999E-2</v>
      </c>
      <c r="AA5741">
        <v>0.98125320000000005</v>
      </c>
      <c r="AB5741">
        <v>44</v>
      </c>
      <c r="AC5741">
        <v>0.82690000000002295</v>
      </c>
      <c r="AD5741">
        <v>-1.1283455824149999</v>
      </c>
      <c r="AE5741">
        <v>-18.216999999999999</v>
      </c>
      <c r="AF5741">
        <v>-3.4162344522049799</v>
      </c>
      <c r="AG5741">
        <v>-1.1283455824149999</v>
      </c>
      <c r="AH5741">
        <v>17.8420967425387</v>
      </c>
      <c r="AI5741">
        <v>93.5542088643178</v>
      </c>
      <c r="AJ5741">
        <v>100.839260712316</v>
      </c>
      <c r="AK5741">
        <v>18.2012152823898</v>
      </c>
      <c r="AL5741">
        <v>82.514643709021101</v>
      </c>
      <c r="AM5741">
        <v>100.173803880728</v>
      </c>
      <c r="AN5741">
        <v>1.0000000494888801</v>
      </c>
    </row>
    <row r="5742" spans="1:40" x14ac:dyDescent="0.25">
      <c r="A5742" t="str">
        <f>"20190312172231423"</f>
        <v>20190312172231423</v>
      </c>
      <c r="B5742" t="str">
        <f>"1552382551416587"</f>
        <v>1552382551416587</v>
      </c>
      <c r="C5742" t="s">
        <v>40</v>
      </c>
      <c r="D5742">
        <v>3.9511470000000002</v>
      </c>
      <c r="E5742">
        <v>0.47608859999999997</v>
      </c>
      <c r="F5742" t="s">
        <v>42</v>
      </c>
      <c r="G5742">
        <v>-425.65859999999998</v>
      </c>
      <c r="H5742" s="1">
        <v>-4.6529860000000002E-6</v>
      </c>
      <c r="I5742">
        <v>97.710279999999997</v>
      </c>
      <c r="J5742">
        <v>-426.61419999999998</v>
      </c>
      <c r="K5742">
        <v>1.1283339999999999</v>
      </c>
      <c r="L5742">
        <v>115.249</v>
      </c>
      <c r="M5742">
        <v>-0.1270964</v>
      </c>
      <c r="N5742">
        <v>0</v>
      </c>
      <c r="O5742">
        <v>-0.99172819999999995</v>
      </c>
      <c r="P5742">
        <v>3.861672E-2</v>
      </c>
      <c r="Q5742">
        <v>0.11913600000000001</v>
      </c>
      <c r="R5742">
        <v>-0.99212690000000003</v>
      </c>
      <c r="S5742">
        <v>0.1511536</v>
      </c>
      <c r="T5742">
        <v>-0.19097159999999999</v>
      </c>
      <c r="U5742">
        <v>-3.0422820000000002</v>
      </c>
      <c r="V5742">
        <v>-0.17051150000000001</v>
      </c>
      <c r="W5742">
        <v>0.1290048</v>
      </c>
      <c r="X5742">
        <v>0.97687440000000003</v>
      </c>
      <c r="Y5742">
        <v>-0.1760845</v>
      </c>
      <c r="Z5742">
        <v>6.1359179999999999E-2</v>
      </c>
      <c r="AA5742">
        <v>0.98246089999999997</v>
      </c>
      <c r="AB5742">
        <v>44</v>
      </c>
      <c r="AC5742">
        <v>0.955600000000004</v>
      </c>
      <c r="AD5742">
        <v>-1.128338652986</v>
      </c>
      <c r="AE5742">
        <v>-17.538719999999898</v>
      </c>
      <c r="AF5742">
        <v>-3.1642569991189098</v>
      </c>
      <c r="AG5742">
        <v>-1.128338652986</v>
      </c>
      <c r="AH5742">
        <v>17.2039741680879</v>
      </c>
      <c r="AI5742">
        <v>93.690691676654396</v>
      </c>
      <c r="AJ5742">
        <v>100.421703712499</v>
      </c>
      <c r="AK5742">
        <v>17.5289017810167</v>
      </c>
      <c r="AL5742">
        <v>82.58791270207</v>
      </c>
      <c r="AM5742">
        <v>99.901116986389297</v>
      </c>
      <c r="AN5742">
        <v>1.0000000017153201</v>
      </c>
    </row>
    <row r="5743" spans="1:40" x14ac:dyDescent="0.25">
      <c r="A5743" t="str">
        <f>"20190312172231443"</f>
        <v>20190312172231443</v>
      </c>
      <c r="B5743" t="str">
        <f>"1552382551436110"</f>
        <v>1552382551436110</v>
      </c>
      <c r="C5743" t="s">
        <v>40</v>
      </c>
      <c r="D5743">
        <v>3.7008239999999999</v>
      </c>
      <c r="E5743">
        <v>0.477489</v>
      </c>
      <c r="F5743" t="s">
        <v>42</v>
      </c>
      <c r="G5743">
        <v>-425.53440000000001</v>
      </c>
      <c r="H5743" s="1">
        <v>-3.5482600000000001E-6</v>
      </c>
      <c r="I5743">
        <v>103.98269999999999</v>
      </c>
      <c r="J5743">
        <v>-426.66719999999998</v>
      </c>
      <c r="K5743">
        <v>1.128342</v>
      </c>
      <c r="L5743">
        <v>114.83</v>
      </c>
      <c r="M5743">
        <v>-0.1114787</v>
      </c>
      <c r="N5743">
        <v>0</v>
      </c>
      <c r="O5743">
        <v>-0.99360490000000001</v>
      </c>
      <c r="P5743">
        <v>4.9790210000000001E-2</v>
      </c>
      <c r="Q5743">
        <v>0.1193342</v>
      </c>
      <c r="R5743">
        <v>-0.99160499999999996</v>
      </c>
      <c r="S5743">
        <v>0.2922363</v>
      </c>
      <c r="T5743">
        <v>-0.30537189999999997</v>
      </c>
      <c r="U5743">
        <v>-3.0491030000000001</v>
      </c>
      <c r="V5743">
        <v>-0.16614599999999999</v>
      </c>
      <c r="W5743">
        <v>0.12941610000000001</v>
      </c>
      <c r="X5743">
        <v>0.977572</v>
      </c>
      <c r="Y5743">
        <v>-0.20533670000000001</v>
      </c>
      <c r="Z5743">
        <v>9.7436670000000003E-2</v>
      </c>
      <c r="AA5743">
        <v>0.97382899999999994</v>
      </c>
      <c r="AB5743">
        <v>43</v>
      </c>
      <c r="AC5743">
        <v>1.1327999999999701</v>
      </c>
      <c r="AD5743">
        <v>-1.12834554826</v>
      </c>
      <c r="AE5743">
        <v>-10.847300000000001</v>
      </c>
      <c r="AF5743">
        <v>-2.3104442068692199</v>
      </c>
      <c r="AG5743">
        <v>-1.12834554826</v>
      </c>
      <c r="AH5743">
        <v>10.540539831257901</v>
      </c>
      <c r="AI5743">
        <v>95.969475000987998</v>
      </c>
      <c r="AJ5743">
        <v>102.36347216700101</v>
      </c>
      <c r="AK5743">
        <v>10.849621930909301</v>
      </c>
      <c r="AL5743">
        <v>82.564147850355297</v>
      </c>
      <c r="AM5743">
        <v>99.6456961031015</v>
      </c>
      <c r="AN5743">
        <v>1.0000000177196</v>
      </c>
    </row>
    <row r="5744" spans="1:40" x14ac:dyDescent="0.25">
      <c r="A5744" t="str">
        <f>"20190312172231466"</f>
        <v>20190312172231466</v>
      </c>
      <c r="B5744" t="str">
        <f>"1552382551456603"</f>
        <v>1552382551456603</v>
      </c>
      <c r="C5744" t="s">
        <v>40</v>
      </c>
      <c r="D5744">
        <v>3.8757109999999999</v>
      </c>
      <c r="E5744">
        <v>0.4777634</v>
      </c>
      <c r="F5744" t="s">
        <v>42</v>
      </c>
      <c r="G5744">
        <v>-425.0043</v>
      </c>
      <c r="H5744" s="1">
        <v>-4.9669060000000004E-6</v>
      </c>
      <c r="I5744">
        <v>98.973789999999994</v>
      </c>
      <c r="J5744">
        <v>-426.71300000000002</v>
      </c>
      <c r="K5744">
        <v>1.1283369999999999</v>
      </c>
      <c r="L5744">
        <v>114.4161</v>
      </c>
      <c r="M5744">
        <v>-9.5991720000000003E-2</v>
      </c>
      <c r="N5744">
        <v>0</v>
      </c>
      <c r="O5744">
        <v>-0.99522040000000001</v>
      </c>
      <c r="P5744">
        <v>5.8791830000000003E-2</v>
      </c>
      <c r="Q5744">
        <v>0.1174621</v>
      </c>
      <c r="R5744">
        <v>-0.99133550000000004</v>
      </c>
      <c r="S5744">
        <v>0.31832890000000003</v>
      </c>
      <c r="T5744">
        <v>-0.216002</v>
      </c>
      <c r="U5744">
        <v>-3.0354000000000001</v>
      </c>
      <c r="V5744">
        <v>-0.15972249999999999</v>
      </c>
      <c r="W5744">
        <v>0.1278599</v>
      </c>
      <c r="X5744">
        <v>0.97884649999999995</v>
      </c>
      <c r="Y5744">
        <v>-0.19904549999999999</v>
      </c>
      <c r="Z5744">
        <v>6.9588769999999994E-2</v>
      </c>
      <c r="AA5744">
        <v>0.97751639999999995</v>
      </c>
      <c r="AB5744">
        <v>43</v>
      </c>
      <c r="AC5744">
        <v>1.7087000000000201</v>
      </c>
      <c r="AD5744">
        <v>-1.128341966906</v>
      </c>
      <c r="AE5744">
        <v>-15.4423099999999</v>
      </c>
      <c r="AF5744">
        <v>-3.1666771943349801</v>
      </c>
      <c r="AG5744">
        <v>-1.128341966906</v>
      </c>
      <c r="AH5744">
        <v>15.1271425848843</v>
      </c>
      <c r="AI5744">
        <v>94.175643103226406</v>
      </c>
      <c r="AJ5744">
        <v>101.823415402278</v>
      </c>
      <c r="AK5744">
        <v>15.496175103257601</v>
      </c>
      <c r="AL5744">
        <v>82.654058068683696</v>
      </c>
      <c r="AM5744">
        <v>99.267517546708405</v>
      </c>
      <c r="AN5744">
        <v>0.99999995079825299</v>
      </c>
    </row>
    <row r="5745" spans="1:40" x14ac:dyDescent="0.25">
      <c r="A5745" t="str">
        <f>"20190312172231479"</f>
        <v>20190312172231479</v>
      </c>
      <c r="B5745" t="str">
        <f>"1552382551476123"</f>
        <v>1552382551476123</v>
      </c>
      <c r="C5745" t="s">
        <v>40</v>
      </c>
      <c r="D5745">
        <v>3.683656</v>
      </c>
      <c r="E5745">
        <v>0.47885250000000001</v>
      </c>
      <c r="F5745" t="s">
        <v>42</v>
      </c>
      <c r="G5745">
        <v>-424.94749999999999</v>
      </c>
      <c r="H5745" s="1">
        <v>-4.9454649999999996E-6</v>
      </c>
      <c r="I5745">
        <v>98.940389999999994</v>
      </c>
      <c r="J5745">
        <v>-426.73779999999999</v>
      </c>
      <c r="K5745">
        <v>1.128328</v>
      </c>
      <c r="L5745">
        <v>114.1683</v>
      </c>
      <c r="M5745">
        <v>-8.6694279999999999E-2</v>
      </c>
      <c r="N5745">
        <v>0</v>
      </c>
      <c r="O5745">
        <v>-0.9960734</v>
      </c>
      <c r="P5745">
        <v>6.4680399999999999E-2</v>
      </c>
      <c r="Q5745">
        <v>0.11528919999999999</v>
      </c>
      <c r="R5745">
        <v>-0.99122379999999999</v>
      </c>
      <c r="S5745">
        <v>0.34588619999999998</v>
      </c>
      <c r="T5745">
        <v>-0.22105649999999999</v>
      </c>
      <c r="U5745">
        <v>-3.0318909999999999</v>
      </c>
      <c r="V5745">
        <v>-0.15631500000000001</v>
      </c>
      <c r="W5745">
        <v>0.1258563</v>
      </c>
      <c r="X5745">
        <v>0.97965599999999997</v>
      </c>
      <c r="Y5745">
        <v>-0.1987778</v>
      </c>
      <c r="Z5745">
        <v>7.1350109999999994E-2</v>
      </c>
      <c r="AA5745">
        <v>0.97744390000000003</v>
      </c>
      <c r="AB5745">
        <v>43</v>
      </c>
      <c r="AC5745">
        <v>1.7903</v>
      </c>
      <c r="AD5745">
        <v>-1.128332945465</v>
      </c>
      <c r="AE5745">
        <v>-15.2279099999999</v>
      </c>
      <c r="AF5745">
        <v>-3.08722387878717</v>
      </c>
      <c r="AG5745">
        <v>-1.128332945465</v>
      </c>
      <c r="AH5745">
        <v>14.934447785407301</v>
      </c>
      <c r="AI5745">
        <v>94.231493545921495</v>
      </c>
      <c r="AJ5745">
        <v>101.67957580802199</v>
      </c>
      <c r="AK5745">
        <v>15.291887299108399</v>
      </c>
      <c r="AL5745">
        <v>82.769791535867398</v>
      </c>
      <c r="AM5745">
        <v>99.065756451285907</v>
      </c>
      <c r="AN5745">
        <v>1.00000003290534</v>
      </c>
    </row>
    <row r="5746" spans="1:40" x14ac:dyDescent="0.25">
      <c r="A5746" t="str">
        <f>"20190312172231500"</f>
        <v>20190312172231500</v>
      </c>
      <c r="B5746" t="str">
        <f>"1552382551496618"</f>
        <v>1552382551496618</v>
      </c>
      <c r="C5746" t="s">
        <v>40</v>
      </c>
      <c r="D5746">
        <v>3.7232440000000002</v>
      </c>
      <c r="E5746">
        <v>0.47952470000000003</v>
      </c>
      <c r="F5746" t="s">
        <v>42</v>
      </c>
      <c r="G5746">
        <v>-424.822</v>
      </c>
      <c r="H5746" s="1">
        <v>-4.5637050000000004E-6</v>
      </c>
      <c r="I5746">
        <v>97.883970000000005</v>
      </c>
      <c r="J5746">
        <v>-426.77120000000002</v>
      </c>
      <c r="K5746">
        <v>1.128325</v>
      </c>
      <c r="L5746">
        <v>113.77970000000001</v>
      </c>
      <c r="M5746">
        <v>-7.2073180000000001E-2</v>
      </c>
      <c r="N5746">
        <v>0</v>
      </c>
      <c r="O5746">
        <v>-0.99723790000000001</v>
      </c>
      <c r="P5746">
        <v>7.3238650000000002E-2</v>
      </c>
      <c r="Q5746">
        <v>0.1122071</v>
      </c>
      <c r="R5746">
        <v>-0.99098240000000004</v>
      </c>
      <c r="S5746">
        <v>0.3562012</v>
      </c>
      <c r="T5746">
        <v>-0.209789</v>
      </c>
      <c r="U5746">
        <v>-3.0277099999999999</v>
      </c>
      <c r="V5746">
        <v>-0.15027950000000001</v>
      </c>
      <c r="W5746">
        <v>0.123072</v>
      </c>
      <c r="X5746">
        <v>0.98095330000000003</v>
      </c>
      <c r="Y5746">
        <v>-0.18785560000000001</v>
      </c>
      <c r="Z5746">
        <v>6.8004990000000001E-2</v>
      </c>
      <c r="AA5746">
        <v>0.97983960000000003</v>
      </c>
      <c r="AB5746">
        <v>43</v>
      </c>
      <c r="AC5746">
        <v>1.94920000000007</v>
      </c>
      <c r="AD5746">
        <v>-1.1283295637049999</v>
      </c>
      <c r="AE5746">
        <v>-15.89573</v>
      </c>
      <c r="AF5746">
        <v>-3.07470673647506</v>
      </c>
      <c r="AG5746">
        <v>-1.1283295637049999</v>
      </c>
      <c r="AH5746">
        <v>15.6362518125115</v>
      </c>
      <c r="AI5746">
        <v>94.050079596986706</v>
      </c>
      <c r="AJ5746">
        <v>101.12468345927</v>
      </c>
      <c r="AK5746">
        <v>15.9755851180457</v>
      </c>
      <c r="AL5746">
        <v>82.930570268584106</v>
      </c>
      <c r="AM5746">
        <v>98.709847591847094</v>
      </c>
      <c r="AN5746">
        <v>1.00000001104257</v>
      </c>
    </row>
    <row r="5747" spans="1:40" x14ac:dyDescent="0.25">
      <c r="A5747" t="str">
        <f>"20190312172231513"</f>
        <v>20190312172231513</v>
      </c>
      <c r="B5747" t="str">
        <f>"1552382551506379"</f>
        <v>1552382551506379</v>
      </c>
      <c r="C5747" t="s">
        <v>40</v>
      </c>
      <c r="D5747">
        <v>3.754712</v>
      </c>
      <c r="E5747">
        <v>0.47972520000000002</v>
      </c>
      <c r="F5747" t="s">
        <v>42</v>
      </c>
      <c r="G5747">
        <v>-424.79379999999998</v>
      </c>
      <c r="H5747" s="1">
        <v>-4.5577109999999997E-6</v>
      </c>
      <c r="I5747">
        <v>97.88109</v>
      </c>
      <c r="J5747">
        <v>-426.78949999999998</v>
      </c>
      <c r="K5747">
        <v>1.128325</v>
      </c>
      <c r="L5747">
        <v>113.52200000000001</v>
      </c>
      <c r="M5747">
        <v>-6.2344999999999998E-2</v>
      </c>
      <c r="N5747">
        <v>0</v>
      </c>
      <c r="O5747">
        <v>-0.99789349999999999</v>
      </c>
      <c r="P5747">
        <v>7.9233310000000001E-2</v>
      </c>
      <c r="Q5747">
        <v>0.1121692</v>
      </c>
      <c r="R5747">
        <v>-0.9905254</v>
      </c>
      <c r="S5747">
        <v>0.37609860000000001</v>
      </c>
      <c r="T5747">
        <v>-0.2145997</v>
      </c>
      <c r="U5747">
        <v>-3.0238040000000002</v>
      </c>
      <c r="V5747">
        <v>-0.14664189999999999</v>
      </c>
      <c r="W5747">
        <v>0.123212</v>
      </c>
      <c r="X5747">
        <v>0.98148610000000003</v>
      </c>
      <c r="Y5747">
        <v>-0.18476409999999999</v>
      </c>
      <c r="Z5747">
        <v>6.9708350000000002E-2</v>
      </c>
      <c r="AA5747">
        <v>0.98030759999999995</v>
      </c>
      <c r="AB5747">
        <v>43</v>
      </c>
      <c r="AC5747">
        <v>1.9957</v>
      </c>
      <c r="AD5747">
        <v>-1.128329557711</v>
      </c>
      <c r="AE5747">
        <v>-15.64091</v>
      </c>
      <c r="AF5747">
        <v>-2.9519894094302899</v>
      </c>
      <c r="AG5747">
        <v>-1.128329557711</v>
      </c>
      <c r="AH5747">
        <v>15.407135129999601</v>
      </c>
      <c r="AI5747">
        <v>94.113966899772606</v>
      </c>
      <c r="AJ5747">
        <v>100.846356789952</v>
      </c>
      <c r="AK5747">
        <v>15.727910922251001</v>
      </c>
      <c r="AL5747">
        <v>82.922487291734598</v>
      </c>
      <c r="AM5747">
        <v>98.497591431595396</v>
      </c>
      <c r="AN5747">
        <v>1.0000000041363999</v>
      </c>
    </row>
    <row r="5748" spans="1:40" x14ac:dyDescent="0.25">
      <c r="A5748" t="str">
        <f>"20190312172231525"</f>
        <v>20190312172231525</v>
      </c>
      <c r="B5748" t="str">
        <f>"1552382551516139"</f>
        <v>1552382551516139</v>
      </c>
      <c r="C5748" t="s">
        <v>40</v>
      </c>
      <c r="D5748">
        <v>3.7937669999999999</v>
      </c>
      <c r="E5748">
        <v>0.48014040000000002</v>
      </c>
      <c r="F5748" t="s">
        <v>42</v>
      </c>
      <c r="G5748">
        <v>-424.71559999999999</v>
      </c>
      <c r="H5748" s="1">
        <v>-4.4356780000000004E-6</v>
      </c>
      <c r="I5748">
        <v>97.563199999999995</v>
      </c>
      <c r="J5748">
        <v>-426.80470000000003</v>
      </c>
      <c r="K5748">
        <v>1.1283339999999999</v>
      </c>
      <c r="L5748">
        <v>113.2842</v>
      </c>
      <c r="M5748">
        <v>-5.3354070000000003E-2</v>
      </c>
      <c r="N5748">
        <v>0</v>
      </c>
      <c r="O5748">
        <v>-0.99841460000000004</v>
      </c>
      <c r="P5748">
        <v>8.4644159999999996E-2</v>
      </c>
      <c r="Q5748">
        <v>0.1129724</v>
      </c>
      <c r="R5748">
        <v>-0.98998640000000004</v>
      </c>
      <c r="S5748">
        <v>0.39263920000000002</v>
      </c>
      <c r="T5748">
        <v>-0.2136256</v>
      </c>
      <c r="U5748">
        <v>-3.0214690000000002</v>
      </c>
      <c r="V5748">
        <v>-0.1431907</v>
      </c>
      <c r="W5748">
        <v>0.1241835</v>
      </c>
      <c r="X5748">
        <v>0.9818732</v>
      </c>
      <c r="Y5748">
        <v>-0.18128720000000001</v>
      </c>
      <c r="Z5748">
        <v>6.9500359999999997E-2</v>
      </c>
      <c r="AA5748">
        <v>0.98097129999999999</v>
      </c>
      <c r="AB5748">
        <v>43</v>
      </c>
      <c r="AC5748">
        <v>2.0891000000000299</v>
      </c>
      <c r="AD5748">
        <v>-1.128338435678</v>
      </c>
      <c r="AE5748">
        <v>-15.721</v>
      </c>
      <c r="AF5748">
        <v>-2.9103059325360499</v>
      </c>
      <c r="AG5748">
        <v>-1.128338435678</v>
      </c>
      <c r="AH5748">
        <v>15.508617218501101</v>
      </c>
      <c r="AI5748">
        <v>94.090110196046496</v>
      </c>
      <c r="AJ5748">
        <v>100.628364058024</v>
      </c>
      <c r="AK5748">
        <v>15.8196155540004</v>
      </c>
      <c r="AL5748">
        <v>82.866393963015099</v>
      </c>
      <c r="AM5748">
        <v>98.297194013590001</v>
      </c>
      <c r="AN5748">
        <v>1.00000004955848</v>
      </c>
    </row>
    <row r="5749" spans="1:40" x14ac:dyDescent="0.25">
      <c r="A5749" t="str">
        <f>"20190312172231538"</f>
        <v>20190312172231538</v>
      </c>
      <c r="B5749" t="str">
        <f>"1552382551525899"</f>
        <v>1552382551525899</v>
      </c>
      <c r="C5749" t="s">
        <v>40</v>
      </c>
      <c r="D5749">
        <v>3.7523559999999998</v>
      </c>
      <c r="E5749">
        <v>0.4804735</v>
      </c>
      <c r="F5749" t="s">
        <v>42</v>
      </c>
      <c r="G5749">
        <v>-424.51479999999998</v>
      </c>
      <c r="H5749" s="1">
        <v>-3.9540120000000001E-6</v>
      </c>
      <c r="I5749">
        <v>96.252470000000002</v>
      </c>
      <c r="J5749">
        <v>-426.8184</v>
      </c>
      <c r="K5749">
        <v>1.128341</v>
      </c>
      <c r="L5749">
        <v>113.0411</v>
      </c>
      <c r="M5749">
        <v>-4.4144259999999998E-2</v>
      </c>
      <c r="N5749">
        <v>0</v>
      </c>
      <c r="O5749">
        <v>-0.99886410000000003</v>
      </c>
      <c r="P5749">
        <v>8.9571730000000002E-2</v>
      </c>
      <c r="Q5749">
        <v>0.1139535</v>
      </c>
      <c r="R5749">
        <v>-0.98944010000000004</v>
      </c>
      <c r="S5749">
        <v>0.40582279999999998</v>
      </c>
      <c r="T5749">
        <v>-0.19997129999999999</v>
      </c>
      <c r="U5749">
        <v>-3.018478</v>
      </c>
      <c r="V5749">
        <v>-0.13905789999999901</v>
      </c>
      <c r="W5749">
        <v>0.1253658</v>
      </c>
      <c r="X5749">
        <v>0.98231679999999999</v>
      </c>
      <c r="Y5749">
        <v>-0.17659049999999901</v>
      </c>
      <c r="Z5749">
        <v>6.5195740000000002E-2</v>
      </c>
      <c r="AA5749">
        <v>0.98212279999999996</v>
      </c>
      <c r="AB5749">
        <v>43</v>
      </c>
      <c r="AC5749">
        <v>2.3036000000000101</v>
      </c>
      <c r="AD5749">
        <v>-1.1283449540119901</v>
      </c>
      <c r="AE5749">
        <v>-16.788629999999898</v>
      </c>
      <c r="AF5749">
        <v>-3.0291645836869199</v>
      </c>
      <c r="AG5749">
        <v>-1.1283449540119901</v>
      </c>
      <c r="AH5749">
        <v>16.596967851738899</v>
      </c>
      <c r="AI5749">
        <v>93.826255433888704</v>
      </c>
      <c r="AJ5749">
        <v>100.34338529268599</v>
      </c>
      <c r="AK5749">
        <v>16.908824390890199</v>
      </c>
      <c r="AL5749">
        <v>82.798119170213994</v>
      </c>
      <c r="AM5749">
        <v>98.057319601077893</v>
      </c>
      <c r="AN5749">
        <v>0.99999998946214497</v>
      </c>
    </row>
    <row r="5750" spans="1:40" x14ac:dyDescent="0.25">
      <c r="A5750" t="str">
        <f>"20190312172231553"</f>
        <v>20190312172231553</v>
      </c>
      <c r="B5750" t="str">
        <f>"1552382551546395"</f>
        <v>1552382551546395</v>
      </c>
      <c r="C5750" t="s">
        <v>40</v>
      </c>
      <c r="D5750">
        <v>3.71862</v>
      </c>
      <c r="E5750">
        <v>0.4816667</v>
      </c>
      <c r="F5750" t="s">
        <v>42</v>
      </c>
      <c r="G5750">
        <v>-424.41829999999999</v>
      </c>
      <c r="H5750" s="1">
        <v>-3.7566109999999998E-6</v>
      </c>
      <c r="I5750">
        <v>95.722719999999995</v>
      </c>
      <c r="J5750">
        <v>-426.82920000000001</v>
      </c>
      <c r="K5750">
        <v>1.128347</v>
      </c>
      <c r="L5750">
        <v>112.789</v>
      </c>
      <c r="M5750">
        <v>-3.4569549999999998E-2</v>
      </c>
      <c r="N5750">
        <v>0</v>
      </c>
      <c r="O5750">
        <v>-0.99924109999999999</v>
      </c>
      <c r="P5750">
        <v>9.4630759999999994E-2</v>
      </c>
      <c r="Q5750">
        <v>0.11488760000000001</v>
      </c>
      <c r="R5750">
        <v>-0.9888612</v>
      </c>
      <c r="S5750">
        <v>0.41809079999999899</v>
      </c>
      <c r="T5750">
        <v>-0.1965539</v>
      </c>
      <c r="U5750">
        <v>-3.0167999999999999</v>
      </c>
      <c r="V5750">
        <v>-0.13469979999999901</v>
      </c>
      <c r="W5750">
        <v>0.12651189999999901</v>
      </c>
      <c r="X5750">
        <v>0.98277700000000001</v>
      </c>
      <c r="Y5750">
        <v>-0.17115759999999999</v>
      </c>
      <c r="Z5750">
        <v>6.417175E-2</v>
      </c>
      <c r="AA5750">
        <v>0.98315160000000001</v>
      </c>
      <c r="AB5750">
        <v>43</v>
      </c>
      <c r="AC5750">
        <v>2.4109000000000198</v>
      </c>
      <c r="AD5750">
        <v>-1.128350756611</v>
      </c>
      <c r="AE5750">
        <v>-17.066279999999999</v>
      </c>
      <c r="AF5750">
        <v>-2.9867267796284098</v>
      </c>
      <c r="AG5750">
        <v>-1.128350756611</v>
      </c>
      <c r="AH5750">
        <v>16.900288184026799</v>
      </c>
      <c r="AI5750">
        <v>93.761575834271198</v>
      </c>
      <c r="AJ5750">
        <v>100.02219243479099</v>
      </c>
      <c r="AK5750">
        <v>17.1992282672581</v>
      </c>
      <c r="AL5750">
        <v>82.731925255176705</v>
      </c>
      <c r="AM5750">
        <v>97.804354680689499</v>
      </c>
      <c r="AN5750">
        <v>0.99999996434532401</v>
      </c>
    </row>
    <row r="5751" spans="1:40" x14ac:dyDescent="0.25">
      <c r="A5751" t="str">
        <f>"20190312172231567"</f>
        <v>20190312172231567</v>
      </c>
      <c r="B5751" t="str">
        <f>"1552382551556155"</f>
        <v>1552382551556155</v>
      </c>
      <c r="C5751" t="s">
        <v>40</v>
      </c>
      <c r="D5751">
        <v>3.850282</v>
      </c>
      <c r="E5751">
        <v>0.48246790000000001</v>
      </c>
      <c r="F5751" t="s">
        <v>42</v>
      </c>
      <c r="G5751">
        <v>-424.27140000000003</v>
      </c>
      <c r="H5751" s="1">
        <v>-3.272845E-6</v>
      </c>
      <c r="I5751">
        <v>94.568950000000001</v>
      </c>
      <c r="J5751">
        <v>-426.83920000000001</v>
      </c>
      <c r="K5751">
        <v>1.128358</v>
      </c>
      <c r="L5751">
        <v>112.49769999999999</v>
      </c>
      <c r="M5751">
        <v>-2.34866E-2</v>
      </c>
      <c r="N5751">
        <v>0</v>
      </c>
      <c r="O5751">
        <v>-0.99956319999999999</v>
      </c>
      <c r="P5751">
        <v>9.5506380000000002E-2</v>
      </c>
      <c r="Q5751">
        <v>0.11698450000000001</v>
      </c>
      <c r="R5751">
        <v>-0.9885311</v>
      </c>
      <c r="S5751">
        <v>0.42324830000000002</v>
      </c>
      <c r="T5751">
        <v>-0.1867152</v>
      </c>
      <c r="U5751">
        <v>-3.0149840000000001</v>
      </c>
      <c r="V5751">
        <v>-0.1247437</v>
      </c>
      <c r="W5751">
        <v>0.1290866</v>
      </c>
      <c r="X5751">
        <v>0.98375590000000002</v>
      </c>
      <c r="Y5751">
        <v>-0.1619825</v>
      </c>
      <c r="Z5751">
        <v>6.1078540000000001E-2</v>
      </c>
      <c r="AA5751">
        <v>0.98490149999999999</v>
      </c>
      <c r="AB5751">
        <v>43</v>
      </c>
      <c r="AC5751">
        <v>2.5677999999999699</v>
      </c>
      <c r="AD5751">
        <v>-1.1283612728450001</v>
      </c>
      <c r="AE5751">
        <v>-17.928749999999901</v>
      </c>
      <c r="AF5751">
        <v>-2.9766911451702902</v>
      </c>
      <c r="AG5751">
        <v>-1.1283612728450001</v>
      </c>
      <c r="AH5751">
        <v>17.794418607594</v>
      </c>
      <c r="AI5751">
        <v>93.578727814160601</v>
      </c>
      <c r="AJ5751">
        <v>99.496638243489002</v>
      </c>
      <c r="AK5751">
        <v>18.0769251510891</v>
      </c>
      <c r="AL5751">
        <v>82.583186420057501</v>
      </c>
      <c r="AM5751">
        <v>97.226737364676097</v>
      </c>
      <c r="AN5751">
        <v>1.00000000588703</v>
      </c>
    </row>
    <row r="5752" spans="1:40" x14ac:dyDescent="0.25">
      <c r="A5752" t="str">
        <f>"20190312172231583"</f>
        <v>20190312172231583</v>
      </c>
      <c r="B5752" t="str">
        <f>"1552382551576651"</f>
        <v>1552382551576651</v>
      </c>
      <c r="C5752" t="s">
        <v>40</v>
      </c>
      <c r="D5752">
        <v>3.709209</v>
      </c>
      <c r="E5752">
        <v>0.48353800000000002</v>
      </c>
      <c r="F5752" t="s">
        <v>42</v>
      </c>
      <c r="G5752">
        <v>-424.1397</v>
      </c>
      <c r="H5752" s="1">
        <v>-2.6130860000000001E-6</v>
      </c>
      <c r="I5752">
        <v>93.112719999999996</v>
      </c>
      <c r="J5752">
        <v>-426.84620000000001</v>
      </c>
      <c r="K5752">
        <v>1.1283589999999999</v>
      </c>
      <c r="L5752">
        <v>112.2047</v>
      </c>
      <c r="M5752">
        <v>-1.231339E-2</v>
      </c>
      <c r="N5752">
        <v>0</v>
      </c>
      <c r="O5752">
        <v>-0.99976319999999996</v>
      </c>
      <c r="P5752">
        <v>0.1021847</v>
      </c>
      <c r="Q5752">
        <v>0.11770949999999999</v>
      </c>
      <c r="R5752">
        <v>-0.98777680000000001</v>
      </c>
      <c r="S5752">
        <v>0.41986079999999998</v>
      </c>
      <c r="T5752">
        <v>-0.17549679999999901</v>
      </c>
      <c r="U5752">
        <v>-3.014999</v>
      </c>
      <c r="V5752">
        <v>-0.1204229</v>
      </c>
      <c r="W5752">
        <v>0.13001799999999999</v>
      </c>
      <c r="X5752">
        <v>0.98417160000000004</v>
      </c>
      <c r="Y5752">
        <v>-0.149885299999999</v>
      </c>
      <c r="Z5752">
        <v>5.7498180000000003E-2</v>
      </c>
      <c r="AA5752">
        <v>0.98703010000000002</v>
      </c>
      <c r="AB5752">
        <v>43</v>
      </c>
      <c r="AC5752">
        <v>2.7065000000000001</v>
      </c>
      <c r="AD5752">
        <v>-1.1283616130859999</v>
      </c>
      <c r="AE5752">
        <v>-19.09198</v>
      </c>
      <c r="AF5752">
        <v>-2.9313820825304502</v>
      </c>
      <c r="AG5752">
        <v>-1.1283616130859999</v>
      </c>
      <c r="AH5752">
        <v>18.992168418700999</v>
      </c>
      <c r="AI5752">
        <v>93.360358372284793</v>
      </c>
      <c r="AJ5752">
        <v>98.774186726175898</v>
      </c>
      <c r="AK5752">
        <v>19.250160053567601</v>
      </c>
      <c r="AL5752">
        <v>82.529367882513498</v>
      </c>
      <c r="AM5752">
        <v>96.976015180689203</v>
      </c>
      <c r="AN5752">
        <v>1.0000000467074801</v>
      </c>
    </row>
    <row r="5753" spans="1:40" x14ac:dyDescent="0.25">
      <c r="A5753" t="str">
        <f>"20190312172231601"</f>
        <v>20190312172231601</v>
      </c>
      <c r="B5753" t="str">
        <f>"1552382551596171"</f>
        <v>1552382551596171</v>
      </c>
      <c r="C5753" t="s">
        <v>40</v>
      </c>
      <c r="D5753">
        <v>3.6796669999999998</v>
      </c>
      <c r="E5753">
        <v>0.48448170000000002</v>
      </c>
      <c r="F5753" t="s">
        <v>42</v>
      </c>
      <c r="G5753">
        <v>-423.76429999999999</v>
      </c>
      <c r="H5753" s="1">
        <v>-1.503718E-6</v>
      </c>
      <c r="I5753">
        <v>90.75958</v>
      </c>
      <c r="J5753">
        <v>-426.85</v>
      </c>
      <c r="K5753">
        <v>1.1283609999999999</v>
      </c>
      <c r="L5753">
        <v>111.8763</v>
      </c>
      <c r="M5753">
        <v>2.383001E-4</v>
      </c>
      <c r="N5753">
        <v>0</v>
      </c>
      <c r="O5753">
        <v>-0.99983889999999997</v>
      </c>
      <c r="P5753">
        <v>0.1056199</v>
      </c>
      <c r="Q5753">
        <v>0.11835279999999999</v>
      </c>
      <c r="R5753">
        <v>-0.98733839999999995</v>
      </c>
      <c r="S5753">
        <v>0.43273929999999999</v>
      </c>
      <c r="T5753">
        <v>-0.15843879999999999</v>
      </c>
      <c r="U5753">
        <v>-3.011215</v>
      </c>
      <c r="V5753">
        <v>-0.1115051</v>
      </c>
      <c r="W5753">
        <v>0.1310846</v>
      </c>
      <c r="X5753">
        <v>0.98508039999999997</v>
      </c>
      <c r="Y5753">
        <v>-0.14181930000000001</v>
      </c>
      <c r="Z5753">
        <v>5.201157E-2</v>
      </c>
      <c r="AA5753">
        <v>0.98852519999999999</v>
      </c>
      <c r="AB5753">
        <v>43</v>
      </c>
      <c r="AC5753">
        <v>3.0857000000000299</v>
      </c>
      <c r="AD5753">
        <v>-1.1283625037179901</v>
      </c>
      <c r="AE5753">
        <v>-21.116720000000001</v>
      </c>
      <c r="AF5753">
        <v>-3.0720788090296698</v>
      </c>
      <c r="AG5753">
        <v>-1.1283625037179901</v>
      </c>
      <c r="AH5753">
        <v>21.0585843358283</v>
      </c>
      <c r="AI5753">
        <v>93.035029109841403</v>
      </c>
      <c r="AJ5753">
        <v>98.299903008917497</v>
      </c>
      <c r="AK5753">
        <v>21.3113782843316</v>
      </c>
      <c r="AL5753">
        <v>82.467728140552296</v>
      </c>
      <c r="AM5753">
        <v>96.458044789410394</v>
      </c>
      <c r="AN5753">
        <v>0.99999997707366395</v>
      </c>
    </row>
    <row r="5754" spans="1:40" x14ac:dyDescent="0.25">
      <c r="A5754" t="str">
        <f>"20190312172231614"</f>
        <v>20190312172231614</v>
      </c>
      <c r="B5754" t="str">
        <f>"1552382551605931"</f>
        <v>1552382551605931</v>
      </c>
      <c r="C5754" t="s">
        <v>40</v>
      </c>
      <c r="D5754">
        <v>3.708332</v>
      </c>
      <c r="E5754">
        <v>0.48489460000000001</v>
      </c>
      <c r="F5754" t="s">
        <v>42</v>
      </c>
      <c r="G5754">
        <v>-423.45310000000001</v>
      </c>
      <c r="H5754" s="1">
        <v>-4.5146099999999998E-6</v>
      </c>
      <c r="I5754">
        <v>88.453230000000005</v>
      </c>
      <c r="J5754">
        <v>-426.8494</v>
      </c>
      <c r="K5754">
        <v>1.1283559999999999</v>
      </c>
      <c r="L5754">
        <v>111.61239999999999</v>
      </c>
      <c r="M5754">
        <v>1.0354550000000001E-2</v>
      </c>
      <c r="N5754">
        <v>0</v>
      </c>
      <c r="O5754">
        <v>-0.99978549999999999</v>
      </c>
      <c r="P5754">
        <v>0.111063</v>
      </c>
      <c r="Q5754">
        <v>0.1183604</v>
      </c>
      <c r="R5754">
        <v>-0.98674010000000001</v>
      </c>
      <c r="S5754">
        <v>0.43640139999999999</v>
      </c>
      <c r="T5754">
        <v>-0.14496120000000001</v>
      </c>
      <c r="U5754">
        <v>-3.0091709999999998</v>
      </c>
      <c r="V5754">
        <v>-0.1069642</v>
      </c>
      <c r="W5754">
        <v>0.13130249999999999</v>
      </c>
      <c r="X5754">
        <v>0.98555479999999995</v>
      </c>
      <c r="Y5754">
        <v>-0.13310269999999999</v>
      </c>
      <c r="Z5754">
        <v>4.7650779999999997E-2</v>
      </c>
      <c r="AA5754">
        <v>0.98995610000000001</v>
      </c>
      <c r="AB5754">
        <v>43</v>
      </c>
      <c r="AC5754">
        <v>3.3962999999999899</v>
      </c>
      <c r="AD5754">
        <v>-1.12836051461</v>
      </c>
      <c r="AE5754">
        <v>-23.1591699999999</v>
      </c>
      <c r="AF5754">
        <v>-3.1489587782271702</v>
      </c>
      <c r="AG5754">
        <v>-1.12836051461</v>
      </c>
      <c r="AH5754">
        <v>23.139328452652101</v>
      </c>
      <c r="AI5754">
        <v>92.766288189959596</v>
      </c>
      <c r="AJ5754">
        <v>97.749597374396501</v>
      </c>
      <c r="AK5754">
        <v>23.379855860924799</v>
      </c>
      <c r="AL5754">
        <v>82.455134526288603</v>
      </c>
      <c r="AM5754">
        <v>96.194178720338101</v>
      </c>
      <c r="AN5754">
        <v>0.99999997519546402</v>
      </c>
    </row>
    <row r="5755" spans="1:40" x14ac:dyDescent="0.25">
      <c r="A5755" t="str">
        <f>"20190312172231627"</f>
        <v>20190312172231627</v>
      </c>
      <c r="B5755" t="str">
        <f>"1552382551616667"</f>
        <v>1552382551616667</v>
      </c>
      <c r="C5755" t="s">
        <v>40</v>
      </c>
      <c r="D5755">
        <v>3.944156</v>
      </c>
      <c r="E5755">
        <v>0.48534490000000002</v>
      </c>
      <c r="F5755" t="s">
        <v>42</v>
      </c>
      <c r="G5755">
        <v>-423.20179999999999</v>
      </c>
      <c r="H5755" s="1">
        <v>-4.0677150000000002E-6</v>
      </c>
      <c r="I5755">
        <v>87.271019999999993</v>
      </c>
      <c r="J5755">
        <v>-426.84679999999997</v>
      </c>
      <c r="K5755">
        <v>1.1283540000000001</v>
      </c>
      <c r="L5755">
        <v>111.3759</v>
      </c>
      <c r="M5755">
        <v>1.9429740000000001E-2</v>
      </c>
      <c r="N5755">
        <v>0</v>
      </c>
      <c r="O5755">
        <v>-0.99965040000000005</v>
      </c>
      <c r="P5755">
        <v>0.1155248</v>
      </c>
      <c r="Q5755">
        <v>0.1185715</v>
      </c>
      <c r="R5755">
        <v>-0.98620240000000003</v>
      </c>
      <c r="S5755">
        <v>0.45050050000000003</v>
      </c>
      <c r="T5755">
        <v>-0.13935980000000001</v>
      </c>
      <c r="U5755">
        <v>-3.0063170000000001</v>
      </c>
      <c r="V5755">
        <v>-0.10247879999999999</v>
      </c>
      <c r="W5755">
        <v>0.13171939999999999</v>
      </c>
      <c r="X5755">
        <v>0.98597570000000001</v>
      </c>
      <c r="Y5755">
        <v>-0.12879460000000001</v>
      </c>
      <c r="Z5755">
        <v>4.5844620000000003E-2</v>
      </c>
      <c r="AA5755">
        <v>0.99061100000000002</v>
      </c>
      <c r="AB5755">
        <v>43</v>
      </c>
      <c r="AC5755">
        <v>3.64499999999998</v>
      </c>
      <c r="AD5755">
        <v>-1.128358067715</v>
      </c>
      <c r="AE5755">
        <v>-24.104880000000001</v>
      </c>
      <c r="AF5755">
        <v>-3.1690959015689799</v>
      </c>
      <c r="AG5755">
        <v>-1.128358067715</v>
      </c>
      <c r="AH5755">
        <v>24.1194915205309</v>
      </c>
      <c r="AI5755">
        <v>92.655666193826804</v>
      </c>
      <c r="AJ5755">
        <v>97.485299590115403</v>
      </c>
      <c r="AK5755">
        <v>24.352951196339198</v>
      </c>
      <c r="AL5755">
        <v>82.431038770112593</v>
      </c>
      <c r="AM5755">
        <v>95.933813082983605</v>
      </c>
      <c r="AN5755">
        <v>0.99999999288814401</v>
      </c>
    </row>
    <row r="5756" spans="1:40" x14ac:dyDescent="0.25">
      <c r="A5756" t="str">
        <f>"20190312172231645"</f>
        <v>20190312172231645</v>
      </c>
      <c r="B5756" t="str">
        <f>"1552382551636187"</f>
        <v>1552382551636187</v>
      </c>
      <c r="C5756" t="s">
        <v>40</v>
      </c>
      <c r="D5756">
        <v>3.7119369999999998</v>
      </c>
      <c r="E5756">
        <v>0.48615700000000001</v>
      </c>
      <c r="F5756" t="s">
        <v>42</v>
      </c>
      <c r="G5756">
        <v>-422.97329999999999</v>
      </c>
      <c r="H5756" s="1">
        <v>-3.6032559999999999E-6</v>
      </c>
      <c r="I5756">
        <v>86.144239999999996</v>
      </c>
      <c r="J5756">
        <v>-426.83940000000001</v>
      </c>
      <c r="K5756">
        <v>1.1283430000000001</v>
      </c>
      <c r="L5756">
        <v>111.03440000000001</v>
      </c>
      <c r="M5756">
        <v>3.2549870000000002E-2</v>
      </c>
      <c r="N5756">
        <v>0</v>
      </c>
      <c r="O5756">
        <v>-0.99930960000000002</v>
      </c>
      <c r="P5756">
        <v>0.1180596</v>
      </c>
      <c r="Q5756">
        <v>0.1182449</v>
      </c>
      <c r="R5756">
        <v>-0.98594119999999996</v>
      </c>
      <c r="S5756">
        <v>0.46118160000000002</v>
      </c>
      <c r="T5756">
        <v>-0.13434399999999999</v>
      </c>
      <c r="U5756">
        <v>-3.0041199999999999</v>
      </c>
      <c r="V5756">
        <v>-9.2035900000000004E-2</v>
      </c>
      <c r="W5756">
        <v>0.1318744</v>
      </c>
      <c r="X5756">
        <v>0.98698459999999999</v>
      </c>
      <c r="Y5756">
        <v>-0.1193318</v>
      </c>
      <c r="Z5756">
        <v>4.4221709999999997E-2</v>
      </c>
      <c r="AA5756">
        <v>0.99186920000000001</v>
      </c>
      <c r="AB5756">
        <v>43</v>
      </c>
      <c r="AC5756">
        <v>3.8661000000000101</v>
      </c>
      <c r="AD5756">
        <v>-1.1283466032559999</v>
      </c>
      <c r="AE5756">
        <v>-24.890160000000002</v>
      </c>
      <c r="AF5756">
        <v>-3.0476336798753199</v>
      </c>
      <c r="AG5756">
        <v>-1.1283466032559999</v>
      </c>
      <c r="AH5756">
        <v>24.952756058101698</v>
      </c>
      <c r="AI5756">
        <v>92.570040187122999</v>
      </c>
      <c r="AJ5756">
        <v>96.963397979263704</v>
      </c>
      <c r="AK5756">
        <v>25.163490854786399</v>
      </c>
      <c r="AL5756">
        <v>82.422080074119805</v>
      </c>
      <c r="AM5756">
        <v>95.3274016069862</v>
      </c>
      <c r="AN5756">
        <v>1.0000000324506599</v>
      </c>
    </row>
    <row r="5757" spans="1:40" x14ac:dyDescent="0.25">
      <c r="A5757" t="str">
        <f>"20190312172231658"</f>
        <v>20190312172231658</v>
      </c>
      <c r="B5757" t="str">
        <f>"1552382551645947"</f>
        <v>1552382551645947</v>
      </c>
      <c r="C5757" t="s">
        <v>40</v>
      </c>
      <c r="D5757">
        <v>3.7534529999999999</v>
      </c>
      <c r="E5757">
        <v>0.4866029</v>
      </c>
      <c r="F5757" t="s">
        <v>42</v>
      </c>
      <c r="G5757">
        <v>-422.70490000000001</v>
      </c>
      <c r="H5757" s="1">
        <v>-2.7162170000000002E-6</v>
      </c>
      <c r="I5757">
        <v>84.242999999999995</v>
      </c>
      <c r="J5757">
        <v>-426.83179999999999</v>
      </c>
      <c r="K5757">
        <v>1.128336</v>
      </c>
      <c r="L5757">
        <v>110.7942</v>
      </c>
      <c r="M5757">
        <v>4.1789060000000003E-2</v>
      </c>
      <c r="N5757">
        <v>0</v>
      </c>
      <c r="O5757">
        <v>-0.99896609999999997</v>
      </c>
      <c r="P5757">
        <v>0.1211304</v>
      </c>
      <c r="Q5757">
        <v>0.11918810000000001</v>
      </c>
      <c r="R5757">
        <v>-0.98545519999999998</v>
      </c>
      <c r="S5757">
        <v>0.46334839999999999</v>
      </c>
      <c r="T5757">
        <v>-0.1264518</v>
      </c>
      <c r="U5757">
        <v>-3.002472</v>
      </c>
      <c r="V5757">
        <v>-8.6021490000000006E-2</v>
      </c>
      <c r="W5757">
        <v>0.13308719999999999</v>
      </c>
      <c r="X5757">
        <v>0.98736420000000003</v>
      </c>
      <c r="Y5757">
        <v>-0.1109445</v>
      </c>
      <c r="Z5757">
        <v>4.164764E-2</v>
      </c>
      <c r="AA5757">
        <v>0.99295359999999999</v>
      </c>
      <c r="AB5757">
        <v>43</v>
      </c>
      <c r="AC5757">
        <v>4.1268999999999698</v>
      </c>
      <c r="AD5757">
        <v>-1.128338716217</v>
      </c>
      <c r="AE5757">
        <v>-26.551200000000001</v>
      </c>
      <c r="AF5757">
        <v>-3.0082616523367598</v>
      </c>
      <c r="AG5757">
        <v>-1.128338716217</v>
      </c>
      <c r="AH5757">
        <v>26.653485881872999</v>
      </c>
      <c r="AI5757">
        <v>92.408814942644597</v>
      </c>
      <c r="AJ5757">
        <v>96.439471374345999</v>
      </c>
      <c r="AK5757">
        <v>26.846435444629101</v>
      </c>
      <c r="AL5757">
        <v>82.351973411712194</v>
      </c>
      <c r="AM5757">
        <v>94.979170582516502</v>
      </c>
      <c r="AN5757">
        <v>0.99999998149364899</v>
      </c>
    </row>
    <row r="5758" spans="1:40" x14ac:dyDescent="0.25">
      <c r="A5758" t="str">
        <f>"20190312172231671"</f>
        <v>20190312172231671</v>
      </c>
      <c r="B5758" t="str">
        <f>"1552382551666444"</f>
        <v>1552382551666444</v>
      </c>
      <c r="C5758" t="s">
        <v>40</v>
      </c>
      <c r="D5758">
        <v>3.7323059999999999</v>
      </c>
      <c r="E5758">
        <v>0.48744500000000002</v>
      </c>
      <c r="F5758" t="s">
        <v>42</v>
      </c>
      <c r="G5758">
        <v>-422.39940000000001</v>
      </c>
      <c r="H5758" s="1">
        <v>-1.8826659999999999E-6</v>
      </c>
      <c r="I5758">
        <v>82.489490000000004</v>
      </c>
      <c r="J5758">
        <v>-426.82080000000002</v>
      </c>
      <c r="K5758">
        <v>1.1283319999999999</v>
      </c>
      <c r="L5758">
        <v>110.5502</v>
      </c>
      <c r="M5758">
        <v>5.1175600000000002E-2</v>
      </c>
      <c r="N5758">
        <v>0</v>
      </c>
      <c r="O5758">
        <v>-0.99852960000000002</v>
      </c>
      <c r="P5758">
        <v>0.12417259999999999</v>
      </c>
      <c r="Q5758">
        <v>0.1205934</v>
      </c>
      <c r="R5758">
        <v>-0.98490529999999998</v>
      </c>
      <c r="S5758">
        <v>0.46994019999999997</v>
      </c>
      <c r="T5758">
        <v>-0.1196308</v>
      </c>
      <c r="U5758">
        <v>-3.0009769999999998</v>
      </c>
      <c r="V5758">
        <v>-7.9851870000000005E-2</v>
      </c>
      <c r="W5758">
        <v>0.13476279999999999</v>
      </c>
      <c r="X5758">
        <v>0.98765519999999996</v>
      </c>
      <c r="Y5758">
        <v>-0.1038198</v>
      </c>
      <c r="Z5758">
        <v>3.9406829999999997E-2</v>
      </c>
      <c r="AA5758">
        <v>0.99381509999999995</v>
      </c>
      <c r="AB5758">
        <v>43</v>
      </c>
      <c r="AC5758">
        <v>4.4214000000000002</v>
      </c>
      <c r="AD5758">
        <v>-1.1283338826660001</v>
      </c>
      <c r="AE5758">
        <v>-28.060709999999901</v>
      </c>
      <c r="AF5758">
        <v>-2.9746582331920401</v>
      </c>
      <c r="AG5758">
        <v>-1.1283338826660001</v>
      </c>
      <c r="AH5758">
        <v>28.205732939158899</v>
      </c>
      <c r="AI5758">
        <v>92.278201013287699</v>
      </c>
      <c r="AJ5758">
        <v>96.020324363908998</v>
      </c>
      <c r="AK5758">
        <v>28.384592644429901</v>
      </c>
      <c r="AL5758">
        <v>82.255096506393897</v>
      </c>
      <c r="AM5758">
        <v>94.622306634523696</v>
      </c>
      <c r="AN5758">
        <v>1.0000000637466799</v>
      </c>
    </row>
    <row r="5759" spans="1:40" x14ac:dyDescent="0.25">
      <c r="A5759" t="str">
        <f>"20190312172231684"</f>
        <v>20190312172231684</v>
      </c>
      <c r="B5759" t="str">
        <f>"1552382551676204"</f>
        <v>1552382551676204</v>
      </c>
      <c r="C5759" t="s">
        <v>40</v>
      </c>
      <c r="D5759">
        <v>3.7520259999999999</v>
      </c>
      <c r="E5759">
        <v>0.48783530000000003</v>
      </c>
      <c r="F5759" t="s">
        <v>42</v>
      </c>
      <c r="G5759">
        <v>-421.96080000000001</v>
      </c>
      <c r="H5759" s="1">
        <v>-5.757818E-7</v>
      </c>
      <c r="I5759">
        <v>79.715119999999999</v>
      </c>
      <c r="J5759">
        <v>-426.80739999999997</v>
      </c>
      <c r="K5759">
        <v>1.1283240000000001</v>
      </c>
      <c r="L5759">
        <v>110.29300000000001</v>
      </c>
      <c r="M5759">
        <v>6.1060940000000001E-2</v>
      </c>
      <c r="N5759">
        <v>0</v>
      </c>
      <c r="O5759">
        <v>-0.99797429999999998</v>
      </c>
      <c r="P5759">
        <v>0.1274575</v>
      </c>
      <c r="Q5759">
        <v>0.1226638</v>
      </c>
      <c r="R5759">
        <v>-0.98423000000000005</v>
      </c>
      <c r="S5759">
        <v>0.47280879999999997</v>
      </c>
      <c r="T5759">
        <v>-0.1097703</v>
      </c>
      <c r="U5759">
        <v>-2.9998019999999999</v>
      </c>
      <c r="V5759">
        <v>-7.3462910000000006E-2</v>
      </c>
      <c r="W5759">
        <v>0.13710739999999999</v>
      </c>
      <c r="X5759">
        <v>0.98782829999999999</v>
      </c>
      <c r="Y5759">
        <v>-9.4972909999999994E-2</v>
      </c>
      <c r="Z5759">
        <v>3.6160360000000003E-2</v>
      </c>
      <c r="AA5759">
        <v>0.99482289999999995</v>
      </c>
      <c r="AB5759">
        <v>42</v>
      </c>
      <c r="AC5759">
        <v>4.8465999999999596</v>
      </c>
      <c r="AD5759">
        <v>-1.1283245757817999</v>
      </c>
      <c r="AE5759">
        <v>-30.57788</v>
      </c>
      <c r="AF5759">
        <v>-2.9662018730208102</v>
      </c>
      <c r="AG5759">
        <v>-1.1283245757817999</v>
      </c>
      <c r="AH5759">
        <v>30.775911922508602</v>
      </c>
      <c r="AI5759">
        <v>92.089995003815602</v>
      </c>
      <c r="AJ5759">
        <v>95.505199173672693</v>
      </c>
      <c r="AK5759">
        <v>30.939105102795601</v>
      </c>
      <c r="AL5759">
        <v>82.119501625183204</v>
      </c>
      <c r="AM5759">
        <v>94.253148729775603</v>
      </c>
      <c r="AN5759">
        <v>0.999999994280659</v>
      </c>
    </row>
    <row r="5760" spans="1:40" x14ac:dyDescent="0.25">
      <c r="A5760" t="str">
        <f>"20190312172231696"</f>
        <v>20190312172231696</v>
      </c>
      <c r="B5760" t="str">
        <f>"1552382551685964"</f>
        <v>1552382551685964</v>
      </c>
      <c r="C5760" t="s">
        <v>40</v>
      </c>
      <c r="D5760">
        <v>4.0533780000000004</v>
      </c>
      <c r="E5760">
        <v>0.48823430000000001</v>
      </c>
      <c r="F5760" t="s">
        <v>42</v>
      </c>
      <c r="G5760">
        <v>-421.43150000000003</v>
      </c>
      <c r="H5760" s="1">
        <v>-3.4466070000000002E-6</v>
      </c>
      <c r="I5760">
        <v>76.735399999999998</v>
      </c>
      <c r="J5760">
        <v>-426.79360000000003</v>
      </c>
      <c r="K5760">
        <v>1.128315</v>
      </c>
      <c r="L5760">
        <v>110.0686</v>
      </c>
      <c r="M5760">
        <v>6.9678889999999993E-2</v>
      </c>
      <c r="N5760">
        <v>0</v>
      </c>
      <c r="O5760">
        <v>-0.99741009999999997</v>
      </c>
      <c r="P5760">
        <v>0.12990450000000001</v>
      </c>
      <c r="Q5760">
        <v>0.124321</v>
      </c>
      <c r="R5760">
        <v>-0.98370150000000001</v>
      </c>
      <c r="S5760">
        <v>0.48034670000000002</v>
      </c>
      <c r="T5760">
        <v>-0.1008179</v>
      </c>
      <c r="U5760">
        <v>-2.9984280000000001</v>
      </c>
      <c r="V5760">
        <v>-6.7462250000000001E-2</v>
      </c>
      <c r="W5760">
        <v>0.13901959999999999</v>
      </c>
      <c r="X5760">
        <v>0.98798909999999995</v>
      </c>
      <c r="Y5760">
        <v>-8.8898050000000006E-2</v>
      </c>
      <c r="Z5760">
        <v>3.3204369999999997E-2</v>
      </c>
      <c r="AA5760">
        <v>0.99548709999999996</v>
      </c>
      <c r="AB5760">
        <v>42</v>
      </c>
      <c r="AC5760">
        <v>5.3620999999999901</v>
      </c>
      <c r="AD5760">
        <v>-1.128318446607</v>
      </c>
      <c r="AE5760">
        <v>-33.333199999999998</v>
      </c>
      <c r="AF5760">
        <v>-3.0226973727281798</v>
      </c>
      <c r="AG5760">
        <v>-1.128318446607</v>
      </c>
      <c r="AH5760">
        <v>33.588326746761197</v>
      </c>
      <c r="AI5760">
        <v>91.916251308548297</v>
      </c>
      <c r="AJ5760">
        <v>95.142338085514794</v>
      </c>
      <c r="AK5760">
        <v>33.742932527734503</v>
      </c>
      <c r="AL5760">
        <v>82.008881559282699</v>
      </c>
      <c r="AM5760">
        <v>93.906228973663104</v>
      </c>
      <c r="AN5760">
        <v>1.00000003303901</v>
      </c>
    </row>
    <row r="5761" spans="1:40" x14ac:dyDescent="0.25">
      <c r="A5761" t="str">
        <f>"20190312172231713"</f>
        <v>20190312172231713</v>
      </c>
      <c r="B5761" t="str">
        <f>"1552382551706459"</f>
        <v>1552382551706459</v>
      </c>
      <c r="C5761" t="s">
        <v>40</v>
      </c>
      <c r="D5761">
        <v>3.7376390000000002</v>
      </c>
      <c r="E5761">
        <v>0.4889964</v>
      </c>
      <c r="F5761" t="s">
        <v>42</v>
      </c>
      <c r="G5761">
        <v>-420.94540000000001</v>
      </c>
      <c r="H5761" s="1">
        <v>-2.0889239999999998E-6</v>
      </c>
      <c r="I5761">
        <v>73.87209</v>
      </c>
      <c r="J5761">
        <v>-426.77260000000001</v>
      </c>
      <c r="K5761">
        <v>1.12827099999999</v>
      </c>
      <c r="L5761">
        <v>109.78279999999999</v>
      </c>
      <c r="M5761">
        <v>8.0614749999999999E-2</v>
      </c>
      <c r="N5761">
        <v>0</v>
      </c>
      <c r="O5761">
        <v>-0.99658670000000005</v>
      </c>
      <c r="P5761">
        <v>0.1269943</v>
      </c>
      <c r="Q5761">
        <v>0.12295639999999899</v>
      </c>
      <c r="R5761">
        <v>-0.98425309999999999</v>
      </c>
      <c r="S5761">
        <v>0.48431400000000002</v>
      </c>
      <c r="T5761">
        <v>-9.3440410000000002E-2</v>
      </c>
      <c r="U5761">
        <v>-2.9975740000000002</v>
      </c>
      <c r="V5761">
        <v>-5.3592309999999997E-2</v>
      </c>
      <c r="W5761">
        <v>0.13826449999999901</v>
      </c>
      <c r="X5761">
        <v>0.9889443</v>
      </c>
      <c r="Y5761">
        <v>-7.931001E-2</v>
      </c>
      <c r="Z5761">
        <v>3.0756820000000001E-2</v>
      </c>
      <c r="AA5761">
        <v>0.99637540000000002</v>
      </c>
      <c r="AB5761">
        <v>42</v>
      </c>
      <c r="AC5761">
        <v>5.8272000000000004</v>
      </c>
      <c r="AD5761">
        <v>-1.12827308892399</v>
      </c>
      <c r="AE5761">
        <v>-35.910709999999902</v>
      </c>
      <c r="AF5761">
        <v>-2.9100387542791801</v>
      </c>
      <c r="AG5761">
        <v>-1.12827308892399</v>
      </c>
      <c r="AH5761">
        <v>36.228782689250103</v>
      </c>
      <c r="AI5761">
        <v>91.778063035268701</v>
      </c>
      <c r="AJ5761">
        <v>94.592363442342105</v>
      </c>
      <c r="AK5761">
        <v>36.362975962639602</v>
      </c>
      <c r="AL5761">
        <v>82.052567376775698</v>
      </c>
      <c r="AM5761">
        <v>93.101906373876105</v>
      </c>
      <c r="AN5761">
        <v>1.00000001807693</v>
      </c>
    </row>
    <row r="5762" spans="1:40" x14ac:dyDescent="0.25">
      <c r="A5762" t="str">
        <f>"20190312172231725"</f>
        <v>20190312172231725</v>
      </c>
      <c r="B5762" t="str">
        <f>"1552382551716220"</f>
        <v>1552382551716220</v>
      </c>
      <c r="C5762" t="s">
        <v>40</v>
      </c>
      <c r="D5762">
        <v>4.023282</v>
      </c>
      <c r="E5762">
        <v>0.48949609999999899</v>
      </c>
      <c r="F5762" t="s">
        <v>42</v>
      </c>
      <c r="G5762">
        <v>-421.37270000000001</v>
      </c>
      <c r="H5762" s="1">
        <v>-2.7785280000000001E-6</v>
      </c>
      <c r="I5762">
        <v>75.21454</v>
      </c>
      <c r="J5762">
        <v>-426.75259999999997</v>
      </c>
      <c r="K5762">
        <v>1.128217</v>
      </c>
      <c r="L5762">
        <v>109.5406</v>
      </c>
      <c r="M5762">
        <v>8.9848520000000001E-2</v>
      </c>
      <c r="N5762">
        <v>0</v>
      </c>
      <c r="O5762">
        <v>-0.9957975</v>
      </c>
      <c r="P5762">
        <v>0.12833919999999999</v>
      </c>
      <c r="Q5762">
        <v>0.1195041</v>
      </c>
      <c r="R5762">
        <v>-0.98450400000000005</v>
      </c>
      <c r="S5762">
        <v>0.4685974</v>
      </c>
      <c r="T5762">
        <v>-9.7909449999999995E-2</v>
      </c>
      <c r="U5762">
        <v>-2.999771</v>
      </c>
      <c r="V5762">
        <v>-4.5557479999999997E-2</v>
      </c>
      <c r="W5762">
        <v>0.13514889999999999</v>
      </c>
      <c r="X5762">
        <v>0.98977740000000003</v>
      </c>
      <c r="Y5762">
        <v>-6.484869E-2</v>
      </c>
      <c r="Z5762">
        <v>3.2194840000000002E-2</v>
      </c>
      <c r="AA5762">
        <v>0.99737560000000003</v>
      </c>
      <c r="AB5762">
        <v>42</v>
      </c>
      <c r="AC5762">
        <v>5.3798999999999602</v>
      </c>
      <c r="AD5762">
        <v>-1.1282197785279999</v>
      </c>
      <c r="AE5762">
        <v>-34.326059999999998</v>
      </c>
      <c r="AF5762">
        <v>-2.27110828310582</v>
      </c>
      <c r="AG5762">
        <v>-1.1282197785279999</v>
      </c>
      <c r="AH5762">
        <v>34.634116810405096</v>
      </c>
      <c r="AI5762">
        <v>91.861776758534404</v>
      </c>
      <c r="AJ5762">
        <v>93.751759801627003</v>
      </c>
      <c r="AK5762">
        <v>34.726831988233997</v>
      </c>
      <c r="AL5762">
        <v>82.232769902614294</v>
      </c>
      <c r="AM5762">
        <v>92.635350462745905</v>
      </c>
      <c r="AN5762">
        <v>1.0000000053529601</v>
      </c>
    </row>
    <row r="5763" spans="1:40" x14ac:dyDescent="0.25">
      <c r="A5763" t="str">
        <f>"20190312172231737"</f>
        <v>20190312172231737</v>
      </c>
      <c r="B5763" t="str">
        <f>"1552382551725980"</f>
        <v>1552382551725980</v>
      </c>
      <c r="C5763" t="s">
        <v>40</v>
      </c>
      <c r="D5763">
        <v>3.7397170000000002</v>
      </c>
      <c r="E5763">
        <v>0.48980639999999998</v>
      </c>
      <c r="F5763" t="s">
        <v>42</v>
      </c>
      <c r="G5763">
        <v>-421.88679999999999</v>
      </c>
      <c r="H5763" s="1">
        <v>-4.2124870000000002E-6</v>
      </c>
      <c r="I5763">
        <v>78.381879999999995</v>
      </c>
      <c r="J5763">
        <v>-426.73180000000002</v>
      </c>
      <c r="K5763">
        <v>1.1281570000000001</v>
      </c>
      <c r="L5763">
        <v>109.3116</v>
      </c>
      <c r="M5763">
        <v>9.8540970000000006E-2</v>
      </c>
      <c r="N5763">
        <v>0</v>
      </c>
      <c r="O5763">
        <v>-0.99497559999999996</v>
      </c>
      <c r="P5763">
        <v>0.128858</v>
      </c>
      <c r="Q5763">
        <v>0.1155018</v>
      </c>
      <c r="R5763">
        <v>-0.98491359999999994</v>
      </c>
      <c r="S5763">
        <v>0.46838380000000002</v>
      </c>
      <c r="T5763">
        <v>-0.1086028</v>
      </c>
      <c r="U5763">
        <v>-2.9993439999999998</v>
      </c>
      <c r="V5763">
        <v>-3.7180530000000003E-2</v>
      </c>
      <c r="W5763">
        <v>0.13149340000000001</v>
      </c>
      <c r="X5763">
        <v>0.99061949999999999</v>
      </c>
      <c r="Y5763">
        <v>-5.6066030000000003E-2</v>
      </c>
      <c r="Z5763">
        <v>3.5677319999999998E-2</v>
      </c>
      <c r="AA5763">
        <v>0.99778940000000005</v>
      </c>
      <c r="AB5763">
        <v>42</v>
      </c>
      <c r="AC5763">
        <v>4.8450000000000202</v>
      </c>
      <c r="AD5763">
        <v>-1.128161212487</v>
      </c>
      <c r="AE5763">
        <v>-30.9297199999999</v>
      </c>
      <c r="AF5763">
        <v>-1.77079040851133</v>
      </c>
      <c r="AG5763">
        <v>-1.128161212487</v>
      </c>
      <c r="AH5763">
        <v>31.216107377694598</v>
      </c>
      <c r="AI5763">
        <v>92.066469687801899</v>
      </c>
      <c r="AJ5763">
        <v>93.246727596169706</v>
      </c>
      <c r="AK5763">
        <v>31.286639420174101</v>
      </c>
      <c r="AL5763">
        <v>82.444100906470098</v>
      </c>
      <c r="AM5763">
        <v>92.149450908510602</v>
      </c>
      <c r="AN5763">
        <v>0.99999994991744401</v>
      </c>
    </row>
    <row r="5764" spans="1:40" x14ac:dyDescent="0.25">
      <c r="A5764" t="str">
        <f>"20190312172231751"</f>
        <v>20190312172231751</v>
      </c>
      <c r="B5764" t="str">
        <f>"1552382551746475"</f>
        <v>1552382551746475</v>
      </c>
      <c r="C5764" t="s">
        <v>40</v>
      </c>
      <c r="D5764">
        <v>4.073588</v>
      </c>
      <c r="E5764">
        <v>0.49042920000000001</v>
      </c>
      <c r="F5764" t="s">
        <v>42</v>
      </c>
      <c r="G5764">
        <v>-422.26330000000002</v>
      </c>
      <c r="H5764" s="1">
        <v>-1.0776099999999999E-6</v>
      </c>
      <c r="I5764">
        <v>80.697299999999998</v>
      </c>
      <c r="J5764">
        <v>-426.70800000000003</v>
      </c>
      <c r="K5764">
        <v>1.128077</v>
      </c>
      <c r="L5764">
        <v>109.0818</v>
      </c>
      <c r="M5764">
        <v>0.107181399999999</v>
      </c>
      <c r="N5764">
        <v>0</v>
      </c>
      <c r="O5764">
        <v>-0.99408319999999994</v>
      </c>
      <c r="P5764">
        <v>0.12933710000000001</v>
      </c>
      <c r="Q5764">
        <v>0.1123589</v>
      </c>
      <c r="R5764">
        <v>-0.9852147</v>
      </c>
      <c r="S5764">
        <v>0.4682617</v>
      </c>
      <c r="T5764">
        <v>-0.1182221</v>
      </c>
      <c r="U5764">
        <v>-2.9985499999999998</v>
      </c>
      <c r="V5764">
        <v>-2.8843359999999998E-2</v>
      </c>
      <c r="W5764">
        <v>0.1286813</v>
      </c>
      <c r="X5764">
        <v>0.99126639999999999</v>
      </c>
      <c r="Y5764">
        <v>-4.7372409999999997E-2</v>
      </c>
      <c r="Z5764">
        <v>3.8799569999999999E-2</v>
      </c>
      <c r="AA5764">
        <v>0.99812350000000005</v>
      </c>
      <c r="AB5764">
        <v>42</v>
      </c>
      <c r="AC5764">
        <v>4.4447000000000099</v>
      </c>
      <c r="AD5764">
        <v>-1.1280780776099999</v>
      </c>
      <c r="AE5764">
        <v>-28.384499999999999</v>
      </c>
      <c r="AF5764">
        <v>-1.37420641436992</v>
      </c>
      <c r="AG5764">
        <v>-1.1280780776099999</v>
      </c>
      <c r="AH5764">
        <v>28.653228585163401</v>
      </c>
      <c r="AI5764">
        <v>92.2519855972389</v>
      </c>
      <c r="AJ5764">
        <v>92.745796767635795</v>
      </c>
      <c r="AK5764">
        <v>28.708335231637999</v>
      </c>
      <c r="AL5764">
        <v>82.606603262448502</v>
      </c>
      <c r="AM5764">
        <v>91.666692860945702</v>
      </c>
      <c r="AN5764">
        <v>0.99999994607736797</v>
      </c>
    </row>
    <row r="5765" spans="1:40" x14ac:dyDescent="0.25">
      <c r="A5765" t="str">
        <f>"20190312172231768"</f>
        <v>20190312172231768</v>
      </c>
      <c r="B5765" t="str">
        <f>"1552382551765995"</f>
        <v>1552382551765995</v>
      </c>
      <c r="C5765" t="s">
        <v>40</v>
      </c>
      <c r="D5765">
        <v>4.0597059999999896</v>
      </c>
      <c r="E5765">
        <v>0.4909982</v>
      </c>
      <c r="F5765" t="s">
        <v>42</v>
      </c>
      <c r="G5765">
        <v>-422.4434</v>
      </c>
      <c r="H5765" s="1">
        <v>-1.531089E-6</v>
      </c>
      <c r="I5765">
        <v>81.642669999999995</v>
      </c>
      <c r="J5765">
        <v>-426.67079999999999</v>
      </c>
      <c r="K5765">
        <v>1.1279380000000001</v>
      </c>
      <c r="L5765">
        <v>108.74939999999999</v>
      </c>
      <c r="M5765">
        <v>0.1195576</v>
      </c>
      <c r="N5765">
        <v>0</v>
      </c>
      <c r="O5765">
        <v>-0.99267260000000002</v>
      </c>
      <c r="P5765">
        <v>0.1234666</v>
      </c>
      <c r="Q5765">
        <v>0.1092727</v>
      </c>
      <c r="R5765">
        <v>-0.98631409999999997</v>
      </c>
      <c r="S5765">
        <v>0.46594239999999998</v>
      </c>
      <c r="T5765">
        <v>-0.1232507</v>
      </c>
      <c r="U5765">
        <v>-2.997925</v>
      </c>
      <c r="V5765">
        <v>-1.0346859999999999E-2</v>
      </c>
      <c r="W5765">
        <v>0.1263464</v>
      </c>
      <c r="X5765">
        <v>0.99193220000000004</v>
      </c>
      <c r="Y5765">
        <v>-3.4192380000000001E-2</v>
      </c>
      <c r="Z5765">
        <v>4.0382849999999998E-2</v>
      </c>
      <c r="AA5765">
        <v>0.99859909999999996</v>
      </c>
      <c r="AB5765">
        <v>42</v>
      </c>
      <c r="AC5765">
        <v>4.2273999999999798</v>
      </c>
      <c r="AD5765">
        <v>-1.1279395310889999</v>
      </c>
      <c r="AE5765">
        <v>-27.106729999999999</v>
      </c>
      <c r="AF5765">
        <v>-0.954142477991199</v>
      </c>
      <c r="AG5765">
        <v>-1.1279395310889999</v>
      </c>
      <c r="AH5765">
        <v>27.371468287235999</v>
      </c>
      <c r="AI5765">
        <v>92.358312187078198</v>
      </c>
      <c r="AJ5765">
        <v>91.996466143899397</v>
      </c>
      <c r="AK5765">
        <v>27.411309922243198</v>
      </c>
      <c r="AL5765">
        <v>82.741484526320804</v>
      </c>
      <c r="AM5765">
        <v>90.597631480655096</v>
      </c>
      <c r="AN5765">
        <v>0.999999979850829</v>
      </c>
    </row>
    <row r="5766" spans="1:40" x14ac:dyDescent="0.25">
      <c r="A5766" t="str">
        <f>"20190312172231782"</f>
        <v>20190312172231782</v>
      </c>
      <c r="B5766" t="str">
        <f>"1552382551776732"</f>
        <v>1552382551776732</v>
      </c>
      <c r="C5766" t="s">
        <v>40</v>
      </c>
      <c r="D5766">
        <v>3.732707</v>
      </c>
      <c r="E5766">
        <v>0.4912357</v>
      </c>
      <c r="F5766" t="s">
        <v>42</v>
      </c>
      <c r="G5766">
        <v>-422.77010000000001</v>
      </c>
      <c r="H5766" s="1">
        <v>-1.9470900000000001E-6</v>
      </c>
      <c r="I5766">
        <v>82.409719999999993</v>
      </c>
      <c r="J5766">
        <v>-426.63940000000002</v>
      </c>
      <c r="K5766">
        <v>1.127818</v>
      </c>
      <c r="L5766">
        <v>108.49299999999999</v>
      </c>
      <c r="M5766">
        <v>0.12898299999999999</v>
      </c>
      <c r="N5766">
        <v>0</v>
      </c>
      <c r="O5766">
        <v>-0.99149350000000003</v>
      </c>
      <c r="P5766">
        <v>0.1235921</v>
      </c>
      <c r="Q5766">
        <v>0.10831739999999999</v>
      </c>
      <c r="R5766">
        <v>-0.9864039</v>
      </c>
      <c r="S5766">
        <v>0.44430540000000002</v>
      </c>
      <c r="T5766">
        <v>-0.12847819999999999</v>
      </c>
      <c r="U5766">
        <v>-3.000229</v>
      </c>
      <c r="V5766">
        <v>-9.459329E-4</v>
      </c>
      <c r="W5766">
        <v>0.12573000000000001</v>
      </c>
      <c r="X5766">
        <v>0.9920641</v>
      </c>
      <c r="Y5766">
        <v>-1.7527480000000002E-2</v>
      </c>
      <c r="Z5766">
        <v>4.2017400000000003E-2</v>
      </c>
      <c r="AA5766">
        <v>0.99896309999999999</v>
      </c>
      <c r="AB5766">
        <v>42</v>
      </c>
      <c r="AC5766">
        <v>3.8693</v>
      </c>
      <c r="AD5766">
        <v>-1.1278199470900001</v>
      </c>
      <c r="AE5766">
        <v>-26.083279999999998</v>
      </c>
      <c r="AF5766">
        <v>-0.47129570018624301</v>
      </c>
      <c r="AG5766">
        <v>-1.1278199470900001</v>
      </c>
      <c r="AH5766">
        <v>26.316342194797201</v>
      </c>
      <c r="AI5766">
        <v>92.453588107166496</v>
      </c>
      <c r="AJ5766">
        <v>91.025992441707999</v>
      </c>
      <c r="AK5766">
        <v>26.3447141564248</v>
      </c>
      <c r="AL5766">
        <v>82.777086082340404</v>
      </c>
      <c r="AM5766">
        <v>90.054631496541006</v>
      </c>
      <c r="AN5766">
        <v>1.0000000530989199</v>
      </c>
    </row>
    <row r="5767" spans="1:40" x14ac:dyDescent="0.25">
      <c r="A5767" t="str">
        <f>"20190312172231804"</f>
        <v>20190312172231804</v>
      </c>
      <c r="B5767" t="str">
        <f>"1552382551796252"</f>
        <v>1552382551796252</v>
      </c>
      <c r="C5767" t="s">
        <v>40</v>
      </c>
      <c r="D5767">
        <v>3.7346979999999999</v>
      </c>
      <c r="E5767">
        <v>0.49173220000000001</v>
      </c>
      <c r="F5767" t="s">
        <v>42</v>
      </c>
      <c r="G5767">
        <v>-422.91050000000001</v>
      </c>
      <c r="H5767" s="1">
        <v>-2.3245559999999998E-6</v>
      </c>
      <c r="I5767">
        <v>83.202510000000004</v>
      </c>
      <c r="J5767">
        <v>-426.58769999999998</v>
      </c>
      <c r="K5767">
        <v>1.1276219999999999</v>
      </c>
      <c r="L5767">
        <v>108.1134</v>
      </c>
      <c r="M5767">
        <v>0.14263700000000001</v>
      </c>
      <c r="N5767">
        <v>0</v>
      </c>
      <c r="O5767">
        <v>-0.98962399999999995</v>
      </c>
      <c r="P5767">
        <v>0.1190016</v>
      </c>
      <c r="Q5767">
        <v>0.1132794</v>
      </c>
      <c r="R5767">
        <v>-0.98641100000000004</v>
      </c>
      <c r="S5767">
        <v>0.44241330000000001</v>
      </c>
      <c r="T5767">
        <v>-0.13381189999999901</v>
      </c>
      <c r="U5767">
        <v>-3.000626</v>
      </c>
      <c r="V5767">
        <v>1.7135640000000001E-2</v>
      </c>
      <c r="W5767">
        <v>0.1313346</v>
      </c>
      <c r="X5767">
        <v>0.99119000000000002</v>
      </c>
      <c r="Y5767">
        <v>-3.0986490000000002E-3</v>
      </c>
      <c r="Z5767">
        <v>4.3634230000000003E-2</v>
      </c>
      <c r="AA5767">
        <v>0.99904269999999995</v>
      </c>
      <c r="AB5767">
        <v>42</v>
      </c>
      <c r="AC5767">
        <v>3.6771999999999601</v>
      </c>
      <c r="AD5767">
        <v>-1.12762432455599</v>
      </c>
      <c r="AE5767">
        <v>-24.910889999999899</v>
      </c>
      <c r="AF5767">
        <v>-8.5671790151127206E-2</v>
      </c>
      <c r="AG5767">
        <v>-1.12762432455599</v>
      </c>
      <c r="AH5767">
        <v>25.1302896271084</v>
      </c>
      <c r="AI5767">
        <v>92.569187710044403</v>
      </c>
      <c r="AJ5767">
        <v>90.195326558345499</v>
      </c>
      <c r="AK5767">
        <v>25.155721675501798</v>
      </c>
      <c r="AL5767">
        <v>82.453279542728495</v>
      </c>
      <c r="AM5767">
        <v>89.009572274133404</v>
      </c>
      <c r="AN5767">
        <v>1.0000000117076799</v>
      </c>
    </row>
    <row r="5768" spans="1:40" x14ac:dyDescent="0.25">
      <c r="A5768" t="str">
        <f>"20190312172231825"</f>
        <v>20190312172231825</v>
      </c>
      <c r="B5768" t="str">
        <f>"1552382551816751"</f>
        <v>1552382551816751</v>
      </c>
      <c r="C5768" t="s">
        <v>40</v>
      </c>
      <c r="D5768">
        <v>3.7364799999999998</v>
      </c>
      <c r="E5768">
        <v>0.49210379999999998</v>
      </c>
      <c r="F5768" t="s">
        <v>42</v>
      </c>
      <c r="G5768">
        <v>-422.6628</v>
      </c>
      <c r="H5768" s="1">
        <v>-1.0787599999999999E-6</v>
      </c>
      <c r="I5768">
        <v>80.452159999999907</v>
      </c>
      <c r="J5768">
        <v>-426.5283</v>
      </c>
      <c r="K5768">
        <v>1.127367</v>
      </c>
      <c r="L5768">
        <v>107.7188</v>
      </c>
      <c r="M5768">
        <v>0.1564006</v>
      </c>
      <c r="N5768">
        <v>0</v>
      </c>
      <c r="O5768">
        <v>-0.98754509999999995</v>
      </c>
      <c r="P5768">
        <v>0.114061</v>
      </c>
      <c r="Q5768">
        <v>0.1246554</v>
      </c>
      <c r="R5768">
        <v>-0.98562209999999995</v>
      </c>
      <c r="S5768">
        <v>0.42623899999999998</v>
      </c>
      <c r="T5768">
        <v>-0.1224582</v>
      </c>
      <c r="U5768">
        <v>-3.0039669999999998</v>
      </c>
      <c r="V5768">
        <v>3.5307110000000003E-2</v>
      </c>
      <c r="W5768">
        <v>0.1432918</v>
      </c>
      <c r="X5768">
        <v>0.98905050000000005</v>
      </c>
      <c r="Y5768">
        <v>1.6229339999999998E-2</v>
      </c>
      <c r="Z5768">
        <v>3.9781129999999998E-2</v>
      </c>
      <c r="AA5768">
        <v>0.99907659999999998</v>
      </c>
      <c r="AB5768">
        <v>42</v>
      </c>
      <c r="AC5768">
        <v>3.8654999999999902</v>
      </c>
      <c r="AD5768">
        <v>-1.12736807876</v>
      </c>
      <c r="AE5768">
        <v>-27.266639999999999</v>
      </c>
      <c r="AF5768">
        <v>0.44648069417269398</v>
      </c>
      <c r="AG5768">
        <v>-1.12736807876</v>
      </c>
      <c r="AH5768">
        <v>27.489577297447699</v>
      </c>
      <c r="AI5768">
        <v>92.348117326921297</v>
      </c>
      <c r="AJ5768">
        <v>89.0694942284821</v>
      </c>
      <c r="AK5768">
        <v>27.5163072338501</v>
      </c>
      <c r="AL5768">
        <v>81.761626497994698</v>
      </c>
      <c r="AM5768">
        <v>87.955524279006497</v>
      </c>
      <c r="AN5768">
        <v>1.00000001175702</v>
      </c>
    </row>
    <row r="5769" spans="1:40" x14ac:dyDescent="0.25">
      <c r="A5769" t="str">
        <f>"20190312172231838"</f>
        <v>20190312172231838</v>
      </c>
      <c r="B5769" t="str">
        <f>"1552382551826508"</f>
        <v>1552382551826508</v>
      </c>
      <c r="C5769" t="s">
        <v>40</v>
      </c>
      <c r="D5769">
        <v>3.7548910000000002</v>
      </c>
      <c r="E5769">
        <v>0.49226550000000002</v>
      </c>
      <c r="F5769" t="s">
        <v>42</v>
      </c>
      <c r="G5769">
        <v>-421.40050000000002</v>
      </c>
      <c r="H5769" s="1">
        <v>-6.8918930000000005E-7</v>
      </c>
      <c r="I5769">
        <v>70.327029999999993</v>
      </c>
      <c r="J5769">
        <v>-426.48750000000001</v>
      </c>
      <c r="K5769">
        <v>1.127151</v>
      </c>
      <c r="L5769">
        <v>107.4652</v>
      </c>
      <c r="M5769">
        <v>0.165013299999999</v>
      </c>
      <c r="N5769">
        <v>0</v>
      </c>
      <c r="O5769">
        <v>-0.98614469999999999</v>
      </c>
      <c r="P5769">
        <v>0.11428239999999899</v>
      </c>
      <c r="Q5769">
        <v>0.12898509999999999</v>
      </c>
      <c r="R5769">
        <v>-0.98503929999999995</v>
      </c>
      <c r="S5769">
        <v>0.41244510000000001</v>
      </c>
      <c r="T5769">
        <v>-9.0676430000000002E-2</v>
      </c>
      <c r="U5769">
        <v>-3.0074920000000001</v>
      </c>
      <c r="V5769">
        <v>4.3531529999999999E-2</v>
      </c>
      <c r="W5769">
        <v>0.14782590000000001</v>
      </c>
      <c r="X5769">
        <v>0.98805489999999996</v>
      </c>
      <c r="Y5769">
        <v>2.9561799999999999E-2</v>
      </c>
      <c r="Z5769">
        <v>2.9375169999999999E-2</v>
      </c>
      <c r="AA5769">
        <v>0.9991312</v>
      </c>
      <c r="AB5769">
        <v>42</v>
      </c>
      <c r="AC5769">
        <v>5.0869999999999802</v>
      </c>
      <c r="AD5769">
        <v>-1.1271516891893001</v>
      </c>
      <c r="AE5769">
        <v>-37.138169999999903</v>
      </c>
      <c r="AF5769">
        <v>1.1109302474695999</v>
      </c>
      <c r="AG5769">
        <v>-1.1271516891893001</v>
      </c>
      <c r="AH5769">
        <v>37.434603966052002</v>
      </c>
      <c r="AI5769">
        <v>91.723889883493598</v>
      </c>
      <c r="AJ5769">
        <v>88.300157296031998</v>
      </c>
      <c r="AK5769">
        <v>37.468042530139499</v>
      </c>
      <c r="AL5769">
        <v>81.4990446619083</v>
      </c>
      <c r="AM5769">
        <v>87.477305140831007</v>
      </c>
      <c r="AN5769">
        <v>0.99999998811447999</v>
      </c>
    </row>
    <row r="5770" spans="1:40" x14ac:dyDescent="0.25">
      <c r="A5770" t="str">
        <f>"20190312172231851"</f>
        <v>20190312172231851</v>
      </c>
      <c r="B5770" t="str">
        <f>"1552382551846028"</f>
        <v>1552382551846028</v>
      </c>
      <c r="C5770" t="s">
        <v>40</v>
      </c>
      <c r="D5770">
        <v>4.0583839999999904</v>
      </c>
      <c r="E5770">
        <v>0.49267319999999998</v>
      </c>
      <c r="F5770" t="s">
        <v>42</v>
      </c>
      <c r="G5770">
        <v>-420.5926</v>
      </c>
      <c r="H5770" s="1">
        <v>-2.3053409999999998E-6</v>
      </c>
      <c r="I5770">
        <v>64.595349999999996</v>
      </c>
      <c r="J5770">
        <v>-426.44589999999999</v>
      </c>
      <c r="K5770">
        <v>1.1268940000000001</v>
      </c>
      <c r="L5770">
        <v>107.2243</v>
      </c>
      <c r="M5770">
        <v>0.17288390000000001</v>
      </c>
      <c r="N5770">
        <v>0</v>
      </c>
      <c r="O5770">
        <v>-0.98479749999999999</v>
      </c>
      <c r="P5770">
        <v>0.1146281</v>
      </c>
      <c r="Q5770">
        <v>0.13086719999999999</v>
      </c>
      <c r="R5770">
        <v>-0.98475089999999998</v>
      </c>
      <c r="S5770">
        <v>0.41360469999999999</v>
      </c>
      <c r="T5770">
        <v>-7.9085589999999997E-2</v>
      </c>
      <c r="U5770">
        <v>-3.0079189999999998</v>
      </c>
      <c r="V5770">
        <v>5.1060359999999999E-2</v>
      </c>
      <c r="W5770">
        <v>0.149870899999999</v>
      </c>
      <c r="X5770">
        <v>0.98738619999999999</v>
      </c>
      <c r="Y5770">
        <v>3.7170189999999999E-2</v>
      </c>
      <c r="Z5770">
        <v>2.556274E-2</v>
      </c>
      <c r="AA5770">
        <v>0.99898200000000004</v>
      </c>
      <c r="AB5770">
        <v>42</v>
      </c>
      <c r="AC5770">
        <v>5.8532999999999902</v>
      </c>
      <c r="AD5770">
        <v>-1.1268963053409999</v>
      </c>
      <c r="AE5770">
        <v>-42.628950000000003</v>
      </c>
      <c r="AF5770">
        <v>1.60467218470337</v>
      </c>
      <c r="AG5770">
        <v>-1.1268963053409999</v>
      </c>
      <c r="AH5770">
        <v>42.9694815677178</v>
      </c>
      <c r="AI5770">
        <v>91.501220379106201</v>
      </c>
      <c r="AJ5770">
        <v>87.861313762484301</v>
      </c>
      <c r="AK5770">
        <v>43.014197822367898</v>
      </c>
      <c r="AL5770">
        <v>81.380554702942604</v>
      </c>
      <c r="AM5770">
        <v>87.039720144880704</v>
      </c>
      <c r="AN5770">
        <v>0.99999997749028902</v>
      </c>
    </row>
    <row r="5771" spans="1:40" x14ac:dyDescent="0.25">
      <c r="A5771" t="str">
        <f>"20190312172231869"</f>
        <v>20190312172231869</v>
      </c>
      <c r="B5771" t="str">
        <f>"1552382551866524"</f>
        <v>1552382551866524</v>
      </c>
      <c r="C5771" t="s">
        <v>40</v>
      </c>
      <c r="D5771">
        <v>3.7572459999999999</v>
      </c>
      <c r="E5771">
        <v>0.4928921</v>
      </c>
      <c r="F5771" t="s">
        <v>42</v>
      </c>
      <c r="G5771">
        <v>-420.22989999999999</v>
      </c>
      <c r="H5771" s="1">
        <v>-1.075029E-6</v>
      </c>
      <c r="I5771">
        <v>61.952460000000002</v>
      </c>
      <c r="J5771">
        <v>-426.38830000000002</v>
      </c>
      <c r="K5771">
        <v>1.1265069999999999</v>
      </c>
      <c r="L5771">
        <v>106.9057</v>
      </c>
      <c r="M5771">
        <v>0.18293290000000001</v>
      </c>
      <c r="N5771">
        <v>0</v>
      </c>
      <c r="O5771">
        <v>-0.98298300000000005</v>
      </c>
      <c r="P5771">
        <v>0.11326170000000001</v>
      </c>
      <c r="Q5771">
        <v>0.134178399999999</v>
      </c>
      <c r="R5771">
        <v>-0.98446330000000004</v>
      </c>
      <c r="S5771">
        <v>0.41305540000000002</v>
      </c>
      <c r="T5771">
        <v>-7.4882630000000006E-2</v>
      </c>
      <c r="U5771">
        <v>-3.0083310000000001</v>
      </c>
      <c r="V5771">
        <v>6.2461349999999999E-2</v>
      </c>
      <c r="W5771">
        <v>0.15342610000000001</v>
      </c>
      <c r="X5771">
        <v>0.98618410000000001</v>
      </c>
      <c r="Y5771">
        <v>4.7566629999999999E-2</v>
      </c>
      <c r="Z5771">
        <v>2.412953E-2</v>
      </c>
      <c r="AA5771">
        <v>0.99857660000000004</v>
      </c>
      <c r="AB5771">
        <v>42</v>
      </c>
      <c r="AC5771">
        <v>6.1584000000000199</v>
      </c>
      <c r="AD5771">
        <v>-1.126508075029</v>
      </c>
      <c r="AE5771">
        <v>-44.953240000000001</v>
      </c>
      <c r="AF5771">
        <v>2.1687909935410201</v>
      </c>
      <c r="AG5771">
        <v>-1.126508075029</v>
      </c>
      <c r="AH5771">
        <v>45.293270213029203</v>
      </c>
      <c r="AI5771">
        <v>91.423103985395898</v>
      </c>
      <c r="AJ5771">
        <v>87.258583222688301</v>
      </c>
      <c r="AK5771">
        <v>45.359155651392498</v>
      </c>
      <c r="AL5771">
        <v>81.1744736871144</v>
      </c>
      <c r="AM5771">
        <v>86.375932435799697</v>
      </c>
      <c r="AN5771">
        <v>1.0000000337489201</v>
      </c>
    </row>
    <row r="5772" spans="1:40" x14ac:dyDescent="0.25">
      <c r="A5772" t="str">
        <f>"20190312172231891"</f>
        <v>20190312172231891</v>
      </c>
      <c r="B5772" t="str">
        <f>"1552382551886043"</f>
        <v>1552382551886043</v>
      </c>
      <c r="C5772" t="s">
        <v>40</v>
      </c>
      <c r="D5772">
        <v>3.7627700000000002</v>
      </c>
      <c r="E5772">
        <v>0.49307909999999999</v>
      </c>
      <c r="F5772" t="s">
        <v>42</v>
      </c>
      <c r="G5772">
        <v>-418.92259999999999</v>
      </c>
      <c r="H5772" s="1">
        <v>-1.0392959999999901E-6</v>
      </c>
      <c r="I5772">
        <v>51.609920000000002</v>
      </c>
      <c r="J5772">
        <v>-426.31130000000002</v>
      </c>
      <c r="K5772">
        <v>1.1258919999999999</v>
      </c>
      <c r="L5772">
        <v>106.50490000000001</v>
      </c>
      <c r="M5772">
        <v>0.19476260000000001</v>
      </c>
      <c r="N5772">
        <v>0</v>
      </c>
      <c r="O5772">
        <v>-0.98071120000000001</v>
      </c>
      <c r="P5772">
        <v>0.1160404</v>
      </c>
      <c r="Q5772">
        <v>0.13008169999999999</v>
      </c>
      <c r="R5772">
        <v>-0.98468960000000005</v>
      </c>
      <c r="S5772">
        <v>0.40625</v>
      </c>
      <c r="T5772">
        <v>-6.1299680000000002E-2</v>
      </c>
      <c r="U5772">
        <v>-3.0089570000000001</v>
      </c>
      <c r="V5772">
        <v>7.2083850000000005E-2</v>
      </c>
      <c r="W5772">
        <v>0.1493989</v>
      </c>
      <c r="X5772">
        <v>0.98614599999999997</v>
      </c>
      <c r="Y5772">
        <v>6.1827489999999999E-2</v>
      </c>
      <c r="Z5772">
        <v>1.9676869999999999E-2</v>
      </c>
      <c r="AA5772">
        <v>0.99789289999999997</v>
      </c>
      <c r="AB5772">
        <v>42</v>
      </c>
      <c r="AC5772">
        <v>7.3887000000000196</v>
      </c>
      <c r="AD5772">
        <v>-1.125893039296</v>
      </c>
      <c r="AE5772">
        <v>-54.894979999999997</v>
      </c>
      <c r="AF5772">
        <v>3.4443555793777398</v>
      </c>
      <c r="AG5772">
        <v>-1.125893039296</v>
      </c>
      <c r="AH5772">
        <v>55.259880850873898</v>
      </c>
      <c r="AI5772">
        <v>91.164951858364802</v>
      </c>
      <c r="AJ5772">
        <v>86.433360667671394</v>
      </c>
      <c r="AK5772">
        <v>55.378566721665003</v>
      </c>
      <c r="AL5772">
        <v>81.4079066484246</v>
      </c>
      <c r="AM5772">
        <v>85.819312740459793</v>
      </c>
      <c r="AN5772">
        <v>1.00000002303401</v>
      </c>
    </row>
    <row r="5773" spans="1:40" x14ac:dyDescent="0.25">
      <c r="A5773" t="str">
        <f>"20190312172231904"</f>
        <v>20190312172231904</v>
      </c>
      <c r="B5773" t="str">
        <f>"1552382551896780"</f>
        <v>1552382551896780</v>
      </c>
      <c r="C5773" t="s">
        <v>40</v>
      </c>
      <c r="D5773">
        <v>3.760704</v>
      </c>
      <c r="E5773">
        <v>0.49312020000000001</v>
      </c>
      <c r="F5773" t="s">
        <v>42</v>
      </c>
      <c r="G5773">
        <v>-419.80169999999998</v>
      </c>
      <c r="H5773" s="1">
        <v>-4.0913509999999996E-6</v>
      </c>
      <c r="I5773">
        <v>59.087809999999998</v>
      </c>
      <c r="J5773">
        <v>-426.26240000000001</v>
      </c>
      <c r="K5773">
        <v>1.125453</v>
      </c>
      <c r="L5773">
        <v>106.2625</v>
      </c>
      <c r="M5773">
        <v>0.2014359</v>
      </c>
      <c r="N5773">
        <v>0</v>
      </c>
      <c r="O5773">
        <v>-0.97936460000000003</v>
      </c>
      <c r="P5773">
        <v>0.11836969999999999</v>
      </c>
      <c r="Q5773">
        <v>0.1311425</v>
      </c>
      <c r="R5773">
        <v>-0.98427200000000004</v>
      </c>
      <c r="S5773">
        <v>0.41287230000000003</v>
      </c>
      <c r="T5773">
        <v>-7.1410299999999996E-2</v>
      </c>
      <c r="U5773">
        <v>-3.0074459999999998</v>
      </c>
      <c r="V5773">
        <v>7.6571539999999993E-2</v>
      </c>
      <c r="W5773">
        <v>0.15041350000000001</v>
      </c>
      <c r="X5773">
        <v>0.98565340000000001</v>
      </c>
      <c r="Y5773">
        <v>6.6408179999999997E-2</v>
      </c>
      <c r="Z5773">
        <v>2.287778E-2</v>
      </c>
      <c r="AA5773">
        <v>0.99753020000000003</v>
      </c>
      <c r="AB5773">
        <v>42</v>
      </c>
      <c r="AC5773">
        <v>6.4607000000000303</v>
      </c>
      <c r="AD5773">
        <v>-1.125457091351</v>
      </c>
      <c r="AE5773">
        <v>-47.174689999999998</v>
      </c>
      <c r="AF5773">
        <v>3.17394848035803</v>
      </c>
      <c r="AG5773">
        <v>-1.125457091351</v>
      </c>
      <c r="AH5773">
        <v>47.482490311846497</v>
      </c>
      <c r="AI5773">
        <v>91.354780822536497</v>
      </c>
      <c r="AJ5773">
        <v>86.175775075824902</v>
      </c>
      <c r="AK5773">
        <v>47.601759303990399</v>
      </c>
      <c r="AL5773">
        <v>81.349109962254403</v>
      </c>
      <c r="AM5773">
        <v>85.557838004224706</v>
      </c>
      <c r="AN5773">
        <v>1.0000000233258901</v>
      </c>
    </row>
    <row r="5774" spans="1:40" x14ac:dyDescent="0.25">
      <c r="A5774" t="str">
        <f>"20190312172231925"</f>
        <v>20190312172231925</v>
      </c>
      <c r="B5774" t="str">
        <f>"1552382551916299"</f>
        <v>1552382551916299</v>
      </c>
      <c r="C5774" t="s">
        <v>40</v>
      </c>
      <c r="D5774">
        <v>3.779903</v>
      </c>
      <c r="E5774">
        <v>0.49297190000000002</v>
      </c>
      <c r="F5774" t="s">
        <v>42</v>
      </c>
      <c r="G5774">
        <v>-419.18329999999997</v>
      </c>
      <c r="H5774" s="1">
        <v>-2.7141130000000001E-6</v>
      </c>
      <c r="I5774">
        <v>55.621729999999999</v>
      </c>
      <c r="J5774">
        <v>-426.18689999999998</v>
      </c>
      <c r="K5774">
        <v>1.1247069999999999</v>
      </c>
      <c r="L5774">
        <v>105.9032</v>
      </c>
      <c r="M5774">
        <v>0.21050949999999999</v>
      </c>
      <c r="N5774">
        <v>0</v>
      </c>
      <c r="O5774">
        <v>-0.97745760000000004</v>
      </c>
      <c r="P5774">
        <v>0.1205001</v>
      </c>
      <c r="Q5774">
        <v>0.13216789999999901</v>
      </c>
      <c r="R5774">
        <v>-0.98387599999999997</v>
      </c>
      <c r="S5774">
        <v>0.42025760000000001</v>
      </c>
      <c r="T5774">
        <v>-6.6813230000000001E-2</v>
      </c>
      <c r="U5774">
        <v>-3.0063170000000001</v>
      </c>
      <c r="V5774">
        <v>8.3813090000000007E-2</v>
      </c>
      <c r="W5774">
        <v>0.15134589999999901</v>
      </c>
      <c r="X5774">
        <v>0.98492120000000005</v>
      </c>
      <c r="Y5774">
        <v>7.319966E-2</v>
      </c>
      <c r="Z5774">
        <v>2.134202E-2</v>
      </c>
      <c r="AA5774">
        <v>0.99708889999999994</v>
      </c>
      <c r="AB5774">
        <v>42</v>
      </c>
      <c r="AC5774">
        <v>7.0035999999999996</v>
      </c>
      <c r="AD5774">
        <v>-1.12470971411299</v>
      </c>
      <c r="AE5774">
        <v>-50.281469999999899</v>
      </c>
      <c r="AF5774">
        <v>3.7376611893297502</v>
      </c>
      <c r="AG5774">
        <v>-1.12470971411299</v>
      </c>
      <c r="AH5774">
        <v>50.604134659776101</v>
      </c>
      <c r="AI5774">
        <v>91.269768529848506</v>
      </c>
      <c r="AJ5774">
        <v>85.775759178474402</v>
      </c>
      <c r="AK5774">
        <v>50.754443428846699</v>
      </c>
      <c r="AL5774">
        <v>81.295068452237402</v>
      </c>
      <c r="AM5774">
        <v>85.136062580695693</v>
      </c>
      <c r="AN5774">
        <v>0.99999999285579899</v>
      </c>
    </row>
    <row r="5775" spans="1:40" x14ac:dyDescent="0.25">
      <c r="A5775" t="str">
        <f>"20190312172231935"</f>
        <v>20190312172231935</v>
      </c>
      <c r="B5775" t="str">
        <f>"1552382551926059"</f>
        <v>1552382551926059</v>
      </c>
      <c r="C5775" t="s">
        <v>40</v>
      </c>
      <c r="D5775">
        <v>3.73766</v>
      </c>
      <c r="E5775">
        <v>0.46586889999999997</v>
      </c>
      <c r="F5775" t="s">
        <v>42</v>
      </c>
      <c r="G5775">
        <v>-418.45440000000002</v>
      </c>
      <c r="H5775" s="1">
        <v>-1.059372E-6</v>
      </c>
      <c r="I5775">
        <v>51.46313</v>
      </c>
      <c r="J5775">
        <v>-426.13979999999998</v>
      </c>
      <c r="K5775">
        <v>1.124207</v>
      </c>
      <c r="L5775">
        <v>105.68689999999999</v>
      </c>
      <c r="M5775">
        <v>0.21550569999999999</v>
      </c>
      <c r="N5775">
        <v>0</v>
      </c>
      <c r="O5775">
        <v>-0.97636999999999996</v>
      </c>
      <c r="P5775">
        <v>0.1241502</v>
      </c>
      <c r="Q5775">
        <v>0.13347979999999901</v>
      </c>
      <c r="R5775">
        <v>-0.98324460000000002</v>
      </c>
      <c r="S5775">
        <v>0.42684939999999999</v>
      </c>
      <c r="T5775">
        <v>-6.2086820000000001E-2</v>
      </c>
      <c r="U5775">
        <v>-3.0052340000000002</v>
      </c>
      <c r="V5775">
        <v>8.5309389999999999E-2</v>
      </c>
      <c r="W5775">
        <v>0.1524789</v>
      </c>
      <c r="X5775">
        <v>0.98461790000000005</v>
      </c>
      <c r="Y5775">
        <v>7.6101299999999997E-2</v>
      </c>
      <c r="Z5775">
        <v>1.9801470000000002E-2</v>
      </c>
      <c r="AA5775">
        <v>0.99690350000000005</v>
      </c>
      <c r="AB5775">
        <v>42</v>
      </c>
      <c r="AC5775">
        <v>7.6853999999999596</v>
      </c>
      <c r="AD5775">
        <v>-1.1242080593720001</v>
      </c>
      <c r="AE5775">
        <v>-54.223770000000002</v>
      </c>
      <c r="AF5775">
        <v>4.1805173829241404</v>
      </c>
      <c r="AG5775">
        <v>-1.1242080593720001</v>
      </c>
      <c r="AH5775">
        <v>54.582779242618102</v>
      </c>
      <c r="AI5775">
        <v>91.176474602444898</v>
      </c>
      <c r="AJ5775">
        <v>85.620243477713302</v>
      </c>
      <c r="AK5775">
        <v>54.7541812028823</v>
      </c>
      <c r="AL5775">
        <v>81.229389755591299</v>
      </c>
      <c r="AM5775">
        <v>85.048138012627504</v>
      </c>
      <c r="AN5775">
        <v>0.99999995798389496</v>
      </c>
    </row>
    <row r="5776" spans="1:40" x14ac:dyDescent="0.25">
      <c r="A5776" t="str">
        <f>"20190312172231948"</f>
        <v>20190312172231948</v>
      </c>
      <c r="B5776" t="str">
        <f>"1552382551935820"</f>
        <v>1552382551935820</v>
      </c>
      <c r="C5776" t="s">
        <v>40</v>
      </c>
      <c r="D5776">
        <v>3.753485</v>
      </c>
      <c r="E5776">
        <v>0.4631132</v>
      </c>
      <c r="F5776" t="s">
        <v>65</v>
      </c>
      <c r="G5776">
        <v>-403.12569999999999</v>
      </c>
      <c r="H5776">
        <v>0.1995113</v>
      </c>
      <c r="I5776">
        <v>0.64899830000000003</v>
      </c>
      <c r="J5776">
        <v>-426.09410000000003</v>
      </c>
      <c r="K5776">
        <v>1.12371</v>
      </c>
      <c r="L5776">
        <v>105.4823</v>
      </c>
      <c r="M5776">
        <v>0.21982689999999999</v>
      </c>
      <c r="N5776">
        <v>0</v>
      </c>
      <c r="O5776">
        <v>-0.9754081</v>
      </c>
      <c r="P5776">
        <v>0.1270164</v>
      </c>
      <c r="Q5776">
        <v>0.1361715</v>
      </c>
      <c r="R5776">
        <v>-0.98250950000000004</v>
      </c>
      <c r="S5776">
        <v>0.65127559999999995</v>
      </c>
      <c r="T5776">
        <v>-2.61687E-2</v>
      </c>
      <c r="U5776">
        <v>-2.9724729999999999</v>
      </c>
      <c r="V5776">
        <v>8.6825929999999996E-2</v>
      </c>
      <c r="W5776">
        <v>0.15499489999999999</v>
      </c>
      <c r="X5776">
        <v>0.98409239999999998</v>
      </c>
      <c r="Y5776">
        <v>5.9795559999999996E-3</v>
      </c>
      <c r="Z5776">
        <v>8.3833150000000006E-3</v>
      </c>
      <c r="AA5776">
        <v>0.99994700000000003</v>
      </c>
      <c r="AB5776">
        <v>42</v>
      </c>
      <c r="AC5776">
        <v>22.968399999999999</v>
      </c>
      <c r="AD5776">
        <v>-0.92419869999999904</v>
      </c>
      <c r="AE5776">
        <v>-104.83330170000001</v>
      </c>
      <c r="AF5776">
        <v>0.64165061769403597</v>
      </c>
      <c r="AG5776">
        <v>-0.92419869999999904</v>
      </c>
      <c r="AH5776">
        <v>107.31005885705601</v>
      </c>
      <c r="AI5776">
        <v>90.493433978233597</v>
      </c>
      <c r="AJ5776">
        <v>89.657409244079204</v>
      </c>
      <c r="AK5776">
        <v>107.315956831485</v>
      </c>
      <c r="AL5776">
        <v>81.083499587970095</v>
      </c>
      <c r="AM5776">
        <v>84.957881256897906</v>
      </c>
      <c r="AN5776">
        <v>1.00000000644206</v>
      </c>
    </row>
    <row r="5777" spans="1:40" x14ac:dyDescent="0.25">
      <c r="A5777" t="str">
        <f>"20190312172231961"</f>
        <v>20190312172231961</v>
      </c>
      <c r="B5777" t="str">
        <f>"1552382551956316"</f>
        <v>1552382551956316</v>
      </c>
      <c r="C5777" t="s">
        <v>40</v>
      </c>
      <c r="D5777">
        <v>3.7930820000000001</v>
      </c>
      <c r="E5777">
        <v>0.4629181</v>
      </c>
      <c r="F5777" t="s">
        <v>42</v>
      </c>
      <c r="G5777">
        <v>-410.98149999999998</v>
      </c>
      <c r="H5777" s="1">
        <v>-2.4002820000000001E-6</v>
      </c>
      <c r="I5777">
        <v>39.650100000000002</v>
      </c>
      <c r="J5777">
        <v>-426.0421</v>
      </c>
      <c r="K5777">
        <v>1.1231530000000001</v>
      </c>
      <c r="L5777">
        <v>105.25190000000001</v>
      </c>
      <c r="M5777">
        <v>0.2244555</v>
      </c>
      <c r="N5777">
        <v>0</v>
      </c>
      <c r="O5777">
        <v>-0.97435519999999998</v>
      </c>
      <c r="P5777">
        <v>0.1317017</v>
      </c>
      <c r="Q5777">
        <v>0.14104630000000001</v>
      </c>
      <c r="R5777">
        <v>-0.98120379999999996</v>
      </c>
      <c r="S5777">
        <v>0.68231200000000003</v>
      </c>
      <c r="T5777">
        <v>-5.0734040000000001E-2</v>
      </c>
      <c r="U5777">
        <v>-2.972229</v>
      </c>
      <c r="V5777">
        <v>8.6722869999999994E-2</v>
      </c>
      <c r="W5777">
        <v>0.15960829999999901</v>
      </c>
      <c r="X5777">
        <v>0.98336380000000001</v>
      </c>
      <c r="Y5777">
        <v>7.906136E-4</v>
      </c>
      <c r="Z5777">
        <v>1.6208360000000002E-2</v>
      </c>
      <c r="AA5777">
        <v>0.99986830000000004</v>
      </c>
      <c r="AB5777">
        <v>42</v>
      </c>
      <c r="AC5777">
        <v>15.060600000000001</v>
      </c>
      <c r="AD5777">
        <v>-1.1231554002819999</v>
      </c>
      <c r="AE5777">
        <v>-65.601799999999997</v>
      </c>
      <c r="AF5777">
        <v>5.03032201707167E-2</v>
      </c>
      <c r="AG5777">
        <v>-1.1231554002819999</v>
      </c>
      <c r="AH5777">
        <v>67.289623289555195</v>
      </c>
      <c r="AI5777">
        <v>90.956255479751903</v>
      </c>
      <c r="AJ5777">
        <v>89.957167813788999</v>
      </c>
      <c r="AK5777">
        <v>67.299014932741699</v>
      </c>
      <c r="AL5777">
        <v>80.815838841365306</v>
      </c>
      <c r="AM5777">
        <v>84.960123101674597</v>
      </c>
      <c r="AN5777">
        <v>1.0000000143801799</v>
      </c>
    </row>
    <row r="5778" spans="1:40" x14ac:dyDescent="0.25">
      <c r="A5778" t="str">
        <f>"20190312172231973"</f>
        <v>20190312172231973</v>
      </c>
      <c r="B5778" t="str">
        <f>"1552382551966076"</f>
        <v>1552382551966076</v>
      </c>
      <c r="C5778" t="s">
        <v>40</v>
      </c>
      <c r="D5778">
        <v>3.772932</v>
      </c>
      <c r="E5778">
        <v>0.46330539999999998</v>
      </c>
      <c r="F5778" t="s">
        <v>65</v>
      </c>
      <c r="G5778">
        <v>-401.47770000000003</v>
      </c>
      <c r="H5778">
        <v>1.1822999999999999</v>
      </c>
      <c r="I5778">
        <v>0.66576000000000002</v>
      </c>
      <c r="J5778">
        <v>-425.98570000000001</v>
      </c>
      <c r="K5778">
        <v>1.122512</v>
      </c>
      <c r="L5778">
        <v>105.01009999999999</v>
      </c>
      <c r="M5778">
        <v>0.22859299999999999</v>
      </c>
      <c r="N5778">
        <v>0</v>
      </c>
      <c r="O5778">
        <v>-0.9733948</v>
      </c>
      <c r="P5778">
        <v>0.13593559999999999</v>
      </c>
      <c r="Q5778">
        <v>0.14729700000000001</v>
      </c>
      <c r="R5778">
        <v>-0.97970670000000004</v>
      </c>
      <c r="S5778">
        <v>0.696106</v>
      </c>
      <c r="T5778">
        <v>1.6753670000000001E-3</v>
      </c>
      <c r="U5778">
        <v>-2.9637760000000002</v>
      </c>
      <c r="V5778">
        <v>8.652543E-2</v>
      </c>
      <c r="W5778">
        <v>0.16557459999999999</v>
      </c>
      <c r="X5778">
        <v>0.9823942</v>
      </c>
      <c r="Y5778">
        <v>0</v>
      </c>
      <c r="Z5778">
        <v>0</v>
      </c>
      <c r="AA5778">
        <v>1</v>
      </c>
      <c r="AB5778">
        <v>42</v>
      </c>
      <c r="AC5778">
        <v>24.5079999999999</v>
      </c>
      <c r="AD5778">
        <v>5.9787999999999702E-2</v>
      </c>
      <c r="AE5778">
        <v>-104.34434</v>
      </c>
      <c r="AF5778">
        <v>-3.5744865808311401E-3</v>
      </c>
      <c r="AG5778">
        <v>5.9787999999999702E-2</v>
      </c>
      <c r="AH5778">
        <v>107.183842961764</v>
      </c>
      <c r="AI5778">
        <v>89.968039961866694</v>
      </c>
      <c r="AJ5778">
        <v>90.001910763686695</v>
      </c>
      <c r="AK5778">
        <v>107.18385969647601</v>
      </c>
      <c r="AL5778">
        <v>80.469384050796293</v>
      </c>
      <c r="AM5778">
        <v>84.966600889959096</v>
      </c>
      <c r="AN5778">
        <v>0.99999998119774203</v>
      </c>
    </row>
    <row r="5779" spans="1:40" x14ac:dyDescent="0.25">
      <c r="A5779" t="str">
        <f>"20190312172231988"</f>
        <v>20190312172231988</v>
      </c>
      <c r="B5779" t="str">
        <f>"1552382551975836"</f>
        <v>1552382551975836</v>
      </c>
      <c r="C5779" t="s">
        <v>40</v>
      </c>
      <c r="D5779">
        <v>3.7258270000000002</v>
      </c>
      <c r="E5779">
        <v>0.46367530000000001</v>
      </c>
      <c r="F5779" t="s">
        <v>65</v>
      </c>
      <c r="G5779">
        <v>-401.10860000000002</v>
      </c>
      <c r="H5779">
        <v>2.4646330000000001</v>
      </c>
      <c r="I5779">
        <v>0.66952129999999999</v>
      </c>
      <c r="J5779">
        <v>-425.9255</v>
      </c>
      <c r="K5779">
        <v>1.121826</v>
      </c>
      <c r="L5779">
        <v>104.7561</v>
      </c>
      <c r="M5779">
        <v>0.2324919</v>
      </c>
      <c r="N5779">
        <v>0</v>
      </c>
      <c r="O5779">
        <v>-0.97247269999999997</v>
      </c>
      <c r="P5779">
        <v>0.14065159999999999</v>
      </c>
      <c r="Q5779">
        <v>0.15290279999999901</v>
      </c>
      <c r="R5779">
        <v>-0.97818119999999997</v>
      </c>
      <c r="S5779">
        <v>0.70538330000000005</v>
      </c>
      <c r="T5779">
        <v>3.8054940000000002E-2</v>
      </c>
      <c r="U5779">
        <v>-2.9585569999999999</v>
      </c>
      <c r="V5779">
        <v>8.5671189999999994E-2</v>
      </c>
      <c r="W5779">
        <v>0.17086960000000001</v>
      </c>
      <c r="X5779">
        <v>0.98156200000000005</v>
      </c>
      <c r="Y5779">
        <v>6.3407109999999997E-4</v>
      </c>
      <c r="Z5779">
        <v>-1.216718E-2</v>
      </c>
      <c r="AA5779">
        <v>0.99992579999999998</v>
      </c>
      <c r="AB5779">
        <v>42</v>
      </c>
      <c r="AC5779">
        <v>24.816899999999901</v>
      </c>
      <c r="AD5779">
        <v>1.3428069999999901</v>
      </c>
      <c r="AE5779">
        <v>-104.0865787</v>
      </c>
      <c r="AF5779">
        <v>6.5526386631134401E-2</v>
      </c>
      <c r="AG5779">
        <v>1.3428069999999901</v>
      </c>
      <c r="AH5779">
        <v>106.987310872777</v>
      </c>
      <c r="AI5779">
        <v>89.280913604037295</v>
      </c>
      <c r="AJ5779">
        <v>89.964908128817896</v>
      </c>
      <c r="AK5779">
        <v>106.99575744923099</v>
      </c>
      <c r="AL5779">
        <v>80.161616390696395</v>
      </c>
      <c r="AM5779">
        <v>85.011838369055098</v>
      </c>
      <c r="AN5779">
        <v>0.99999996642208699</v>
      </c>
    </row>
    <row r="5780" spans="1:40" x14ac:dyDescent="0.25">
      <c r="A5780" t="str">
        <f>"20190312172232005"</f>
        <v>20190312172232005</v>
      </c>
      <c r="B5780" t="str">
        <f>"1552382551996331"</f>
        <v>1552382551996331</v>
      </c>
      <c r="C5780" t="s">
        <v>40</v>
      </c>
      <c r="D5780">
        <v>3.7628629999999998</v>
      </c>
      <c r="E5780">
        <v>0.46370919999999999</v>
      </c>
      <c r="F5780" t="s">
        <v>48</v>
      </c>
      <c r="G5780">
        <v>-408.45030000000003</v>
      </c>
      <c r="H5780">
        <v>2.738826</v>
      </c>
      <c r="I5780">
        <v>32.707169999999998</v>
      </c>
      <c r="J5780">
        <v>-425.85509999999999</v>
      </c>
      <c r="K5780">
        <v>1.121014</v>
      </c>
      <c r="L5780">
        <v>104.4632</v>
      </c>
      <c r="M5780">
        <v>0.2363555</v>
      </c>
      <c r="N5780">
        <v>0</v>
      </c>
      <c r="O5780">
        <v>-0.97154269999999998</v>
      </c>
      <c r="P5780">
        <v>0.14761879999999999</v>
      </c>
      <c r="Q5780">
        <v>0.16103319999999999</v>
      </c>
      <c r="R5780">
        <v>-0.97584720000000003</v>
      </c>
      <c r="S5780">
        <v>0.71636959999999905</v>
      </c>
      <c r="T5780">
        <v>6.6286090000000006E-2</v>
      </c>
      <c r="U5780">
        <v>-2.953522</v>
      </c>
      <c r="V5780">
        <v>8.241598E-2</v>
      </c>
      <c r="W5780">
        <v>0.17858640000000001</v>
      </c>
      <c r="X5780">
        <v>0.98046650000000002</v>
      </c>
      <c r="Y5780">
        <v>7.4468449999999997E-4</v>
      </c>
      <c r="Z5780">
        <v>-2.1185740000000002E-2</v>
      </c>
      <c r="AA5780">
        <v>0.99977530000000003</v>
      </c>
      <c r="AB5780">
        <v>42</v>
      </c>
      <c r="AC5780">
        <v>17.404799999999899</v>
      </c>
      <c r="AD5780">
        <v>1.617812</v>
      </c>
      <c r="AE5780">
        <v>-71.756029999999996</v>
      </c>
      <c r="AF5780">
        <v>5.0407837898799102E-2</v>
      </c>
      <c r="AG5780">
        <v>1.617812</v>
      </c>
      <c r="AH5780">
        <v>73.8012296594829</v>
      </c>
      <c r="AI5780">
        <v>88.744208801529496</v>
      </c>
      <c r="AJ5780">
        <v>89.960865748034493</v>
      </c>
      <c r="AK5780">
        <v>73.818976935942501</v>
      </c>
      <c r="AL5780">
        <v>79.712567853914905</v>
      </c>
      <c r="AM5780">
        <v>85.195131034071807</v>
      </c>
      <c r="AN5780">
        <v>1.00000002682328</v>
      </c>
    </row>
    <row r="5781" spans="1:40" x14ac:dyDescent="0.25">
      <c r="A5781" t="str">
        <f>"20190312172232018"</f>
        <v>20190312172232018</v>
      </c>
      <c r="B5781" t="str">
        <f>"1552382552015852"</f>
        <v>1552382552015852</v>
      </c>
      <c r="C5781" t="s">
        <v>40</v>
      </c>
      <c r="D5781">
        <v>3.9579330000000001</v>
      </c>
      <c r="E5781">
        <v>0.46369110000000002</v>
      </c>
      <c r="F5781" t="s">
        <v>65</v>
      </c>
      <c r="G5781">
        <v>-400.19479999999999</v>
      </c>
      <c r="H5781">
        <v>3.8591959999999998</v>
      </c>
      <c r="I5781">
        <v>1.9758450000000001</v>
      </c>
      <c r="J5781">
        <v>-425.79050000000001</v>
      </c>
      <c r="K5781">
        <v>1.1202209999999999</v>
      </c>
      <c r="L5781">
        <v>104.1985</v>
      </c>
      <c r="M5781">
        <v>0.23922170000000001</v>
      </c>
      <c r="N5781">
        <v>0</v>
      </c>
      <c r="O5781">
        <v>-0.97084250000000005</v>
      </c>
      <c r="P5781">
        <v>0.15292649999999999</v>
      </c>
      <c r="Q5781">
        <v>0.16182669999999999</v>
      </c>
      <c r="R5781">
        <v>-0.97489789999999998</v>
      </c>
      <c r="S5781">
        <v>0.73849489999999995</v>
      </c>
      <c r="T5781">
        <v>7.8803300000000007E-2</v>
      </c>
      <c r="U5781">
        <v>-2.949554</v>
      </c>
      <c r="V5781">
        <v>8.0284659999999994E-2</v>
      </c>
      <c r="W5781">
        <v>0.17905460000000001</v>
      </c>
      <c r="X5781">
        <v>0.98055789999999998</v>
      </c>
      <c r="Y5781">
        <v>-3.6588900000000001E-3</v>
      </c>
      <c r="Z5781">
        <v>-2.5167479999999999E-2</v>
      </c>
      <c r="AA5781">
        <v>0.99967649999999997</v>
      </c>
      <c r="AB5781">
        <v>42</v>
      </c>
      <c r="AC5781">
        <v>25.595700000000001</v>
      </c>
      <c r="AD5781">
        <v>2.7389749999999999</v>
      </c>
      <c r="AE5781">
        <v>-102.222655</v>
      </c>
      <c r="AF5781">
        <v>-0.39529605688376801</v>
      </c>
      <c r="AG5781">
        <v>2.7389749999999999</v>
      </c>
      <c r="AH5781">
        <v>105.306533593183</v>
      </c>
      <c r="AI5781">
        <v>88.510109260096101</v>
      </c>
      <c r="AJ5781">
        <v>90.2150739233943</v>
      </c>
      <c r="AK5781">
        <v>105.34288898846199</v>
      </c>
      <c r="AL5781">
        <v>79.685302072221106</v>
      </c>
      <c r="AM5781">
        <v>85.319262346068598</v>
      </c>
      <c r="AN5781">
        <v>0.99999998583244198</v>
      </c>
    </row>
    <row r="5782" spans="1:40" x14ac:dyDescent="0.25">
      <c r="A5782" t="str">
        <f>"20190312172232036"</f>
        <v>20190312172232036</v>
      </c>
      <c r="B5782" t="str">
        <f>"1552382552026588"</f>
        <v>1552382552026588</v>
      </c>
      <c r="C5782" t="s">
        <v>40</v>
      </c>
      <c r="D5782">
        <v>3.6972160000000001</v>
      </c>
      <c r="E5782">
        <v>0.46135690000000001</v>
      </c>
      <c r="F5782" t="s">
        <v>65</v>
      </c>
      <c r="G5782">
        <v>-399.62459999999999</v>
      </c>
      <c r="H5782">
        <v>3.4495040000000001</v>
      </c>
      <c r="I5782">
        <v>1.981644</v>
      </c>
      <c r="J5782">
        <v>-425.71460000000002</v>
      </c>
      <c r="K5782">
        <v>1.119294</v>
      </c>
      <c r="L5782">
        <v>103.8922</v>
      </c>
      <c r="M5782">
        <v>0.2416961</v>
      </c>
      <c r="N5782">
        <v>0</v>
      </c>
      <c r="O5782">
        <v>-0.97023099999999995</v>
      </c>
      <c r="P5782">
        <v>0.1612577</v>
      </c>
      <c r="Q5782">
        <v>0.1629118</v>
      </c>
      <c r="R5782">
        <v>-0.97337370000000001</v>
      </c>
      <c r="S5782">
        <v>0.75457759999999996</v>
      </c>
      <c r="T5782">
        <v>6.7171690000000006E-2</v>
      </c>
      <c r="U5782">
        <v>-2.9477540000000002</v>
      </c>
      <c r="V5782">
        <v>7.4745710000000007E-2</v>
      </c>
      <c r="W5782">
        <v>0.1797184</v>
      </c>
      <c r="X5782">
        <v>0.98087429999999998</v>
      </c>
      <c r="Y5782">
        <v>-6.401225E-3</v>
      </c>
      <c r="Z5782">
        <v>-2.1432969999999999E-2</v>
      </c>
      <c r="AA5782">
        <v>0.99974980000000002</v>
      </c>
      <c r="AB5782">
        <v>42</v>
      </c>
      <c r="AC5782">
        <v>26.09</v>
      </c>
      <c r="AD5782">
        <v>2.3302099999999899</v>
      </c>
      <c r="AE5782">
        <v>-101.910556</v>
      </c>
      <c r="AF5782">
        <v>-0.68168845265296996</v>
      </c>
      <c r="AG5782">
        <v>2.3302099999999899</v>
      </c>
      <c r="AH5782">
        <v>105.143392827428</v>
      </c>
      <c r="AI5782">
        <v>88.730433382152597</v>
      </c>
      <c r="AJ5782">
        <v>90.3714672218712</v>
      </c>
      <c r="AK5782">
        <v>105.17142022932499</v>
      </c>
      <c r="AL5782">
        <v>79.646642251676894</v>
      </c>
      <c r="AM5782">
        <v>85.642303112169898</v>
      </c>
      <c r="AN5782">
        <v>1.0000000084312199</v>
      </c>
    </row>
    <row r="5783" spans="1:40" x14ac:dyDescent="0.25">
      <c r="A5783" t="str">
        <f>"20190312172232058"</f>
        <v>20190312172232058</v>
      </c>
      <c r="B5783" t="str">
        <f>"1552382552046111"</f>
        <v>1552382552046111</v>
      </c>
      <c r="C5783" t="s">
        <v>40</v>
      </c>
      <c r="D5783">
        <v>3.730702</v>
      </c>
      <c r="E5783">
        <v>0.46417910000000001</v>
      </c>
      <c r="F5783" t="s">
        <v>42</v>
      </c>
      <c r="G5783">
        <v>-418.83640000000003</v>
      </c>
      <c r="H5783" s="1">
        <v>-3.9474989999999997E-6</v>
      </c>
      <c r="I5783">
        <v>78.353369999999998</v>
      </c>
      <c r="J5783">
        <v>-425.61380000000003</v>
      </c>
      <c r="K5783">
        <v>1.1180319999999999</v>
      </c>
      <c r="L5783">
        <v>103.4894</v>
      </c>
      <c r="M5783">
        <v>0.2439347</v>
      </c>
      <c r="N5783">
        <v>0</v>
      </c>
      <c r="O5783">
        <v>-0.96967230000000004</v>
      </c>
      <c r="P5783">
        <v>0.16954029999999901</v>
      </c>
      <c r="Q5783">
        <v>0.16370009999999999</v>
      </c>
      <c r="R5783">
        <v>-0.97183220000000003</v>
      </c>
      <c r="S5783">
        <v>0.8002319</v>
      </c>
      <c r="T5783">
        <v>-0.13022329999999999</v>
      </c>
      <c r="U5783">
        <v>-2.9712830000000001</v>
      </c>
      <c r="V5783">
        <v>6.9172490000000003E-2</v>
      </c>
      <c r="W5783">
        <v>0.18003820000000001</v>
      </c>
      <c r="X5783">
        <v>0.9812244</v>
      </c>
      <c r="Y5783">
        <v>-1.6402449999999999E-2</v>
      </c>
      <c r="Z5783">
        <v>4.1089689999999998E-2</v>
      </c>
      <c r="AA5783">
        <v>0.99902080000000004</v>
      </c>
      <c r="AB5783">
        <v>42</v>
      </c>
      <c r="AC5783">
        <v>6.7774000000000001</v>
      </c>
      <c r="AD5783">
        <v>-1.11803594749899</v>
      </c>
      <c r="AE5783">
        <v>-25.136030000000002</v>
      </c>
      <c r="AF5783">
        <v>-0.43954740857672697</v>
      </c>
      <c r="AG5783">
        <v>-1.11803594749899</v>
      </c>
      <c r="AH5783">
        <v>25.982048486430699</v>
      </c>
      <c r="AI5783">
        <v>92.463627861560099</v>
      </c>
      <c r="AJ5783">
        <v>90.969200303303793</v>
      </c>
      <c r="AK5783">
        <v>26.009806801580101</v>
      </c>
      <c r="AL5783">
        <v>79.628014673401196</v>
      </c>
      <c r="AM5783">
        <v>85.967542402419895</v>
      </c>
      <c r="AN5783">
        <v>0.99999995499369898</v>
      </c>
    </row>
    <row r="5784" spans="1:40" x14ac:dyDescent="0.25">
      <c r="A5784" t="str">
        <f>"20190312172232070"</f>
        <v>20190312172232070</v>
      </c>
      <c r="B5784" t="str">
        <f>"1552382552066605"</f>
        <v>1552382552066605</v>
      </c>
      <c r="C5784" t="s">
        <v>40</v>
      </c>
      <c r="D5784">
        <v>3.7141540000000002</v>
      </c>
      <c r="E5784">
        <v>0.46682770000000001</v>
      </c>
      <c r="F5784" t="s">
        <v>42</v>
      </c>
      <c r="G5784">
        <v>-418.52640000000002</v>
      </c>
      <c r="H5784" s="1">
        <v>-3.500377E-6</v>
      </c>
      <c r="I5784">
        <v>77.182909999999893</v>
      </c>
      <c r="J5784">
        <v>-425.56139999999999</v>
      </c>
      <c r="K5784">
        <v>1.1173740000000001</v>
      </c>
      <c r="L5784">
        <v>103.28149999999999</v>
      </c>
      <c r="M5784">
        <v>0.24452260000000001</v>
      </c>
      <c r="N5784">
        <v>0</v>
      </c>
      <c r="O5784">
        <v>-0.96952510000000003</v>
      </c>
      <c r="P5784">
        <v>0.172517</v>
      </c>
      <c r="Q5784">
        <v>0.16392889999999999</v>
      </c>
      <c r="R5784">
        <v>-0.97127030000000003</v>
      </c>
      <c r="S5784">
        <v>0.79980469999999904</v>
      </c>
      <c r="T5784">
        <v>-0.12616920000000001</v>
      </c>
      <c r="U5784">
        <v>-2.968658</v>
      </c>
      <c r="V5784">
        <v>6.7045170000000001E-2</v>
      </c>
      <c r="W5784">
        <v>0.18005889999999999</v>
      </c>
      <c r="X5784">
        <v>0.98136829999999997</v>
      </c>
      <c r="Y5784">
        <v>-1.5897689999999999E-2</v>
      </c>
      <c r="Z5784">
        <v>3.9838409999999998E-2</v>
      </c>
      <c r="AA5784">
        <v>0.99907959999999996</v>
      </c>
      <c r="AB5784">
        <v>42</v>
      </c>
      <c r="AC5784">
        <v>7.0349999999999602</v>
      </c>
      <c r="AD5784">
        <v>-1.1173775003769999</v>
      </c>
      <c r="AE5784">
        <v>-26.098589999999898</v>
      </c>
      <c r="AF5784">
        <v>-0.43821558618916001</v>
      </c>
      <c r="AG5784">
        <v>-1.1173775003769999</v>
      </c>
      <c r="AH5784">
        <v>26.980454281576399</v>
      </c>
      <c r="AI5784">
        <v>92.371198858945206</v>
      </c>
      <c r="AJ5784">
        <v>90.930514210744903</v>
      </c>
      <c r="AK5784">
        <v>27.007137549517601</v>
      </c>
      <c r="AL5784">
        <v>79.626809431705695</v>
      </c>
      <c r="AM5784">
        <v>86.091736857247597</v>
      </c>
      <c r="AN5784">
        <v>1.0000000012672099</v>
      </c>
    </row>
    <row r="5785" spans="1:40" x14ac:dyDescent="0.25">
      <c r="A5785" t="str">
        <f>"20190312172232081"</f>
        <v>20190312172232081</v>
      </c>
      <c r="B5785" t="str">
        <f>"1552382552076363"</f>
        <v>1552382552076363</v>
      </c>
      <c r="C5785" t="s">
        <v>40</v>
      </c>
      <c r="D5785">
        <v>3.6470639999999999</v>
      </c>
      <c r="E5785">
        <v>0.46830379999999999</v>
      </c>
      <c r="F5785" t="s">
        <v>42</v>
      </c>
      <c r="G5785">
        <v>-418.02449999999999</v>
      </c>
      <c r="H5785" s="1">
        <v>-2.5870579999999999E-6</v>
      </c>
      <c r="I5785">
        <v>74.846409999999906</v>
      </c>
      <c r="J5785">
        <v>-425.51</v>
      </c>
      <c r="K5785">
        <v>1.116716</v>
      </c>
      <c r="L5785">
        <v>103.0778</v>
      </c>
      <c r="M5785">
        <v>0.24497369999999999</v>
      </c>
      <c r="N5785">
        <v>0</v>
      </c>
      <c r="O5785">
        <v>-0.9694121</v>
      </c>
      <c r="P5785">
        <v>0.17488310000000001</v>
      </c>
      <c r="Q5785">
        <v>0.16431089999999901</v>
      </c>
      <c r="R5785">
        <v>-0.97078260000000005</v>
      </c>
      <c r="S5785">
        <v>0.78686519999999904</v>
      </c>
      <c r="T5785">
        <v>-0.1166557</v>
      </c>
      <c r="U5785">
        <v>-2.968658</v>
      </c>
      <c r="V5785">
        <v>6.5381560000000005E-2</v>
      </c>
      <c r="W5785">
        <v>0.1802531</v>
      </c>
      <c r="X5785">
        <v>0.98144489999999995</v>
      </c>
      <c r="Y5785">
        <v>-1.139832E-2</v>
      </c>
      <c r="Z5785">
        <v>3.6853740000000003E-2</v>
      </c>
      <c r="AA5785">
        <v>0.99925569999999997</v>
      </c>
      <c r="AB5785">
        <v>42</v>
      </c>
      <c r="AC5785">
        <v>7.4855</v>
      </c>
      <c r="AD5785">
        <v>-1.1167185870579901</v>
      </c>
      <c r="AE5785">
        <v>-28.231390000000001</v>
      </c>
      <c r="AF5785">
        <v>-0.34012782396494901</v>
      </c>
      <c r="AG5785">
        <v>-1.1167185870579901</v>
      </c>
      <c r="AH5785">
        <v>29.162300019219199</v>
      </c>
      <c r="AI5785">
        <v>92.192819836369495</v>
      </c>
      <c r="AJ5785">
        <v>90.668225935856597</v>
      </c>
      <c r="AK5785">
        <v>29.1856555477219</v>
      </c>
      <c r="AL5785">
        <v>79.615497598827901</v>
      </c>
      <c r="AM5785">
        <v>86.188720780165497</v>
      </c>
      <c r="AN5785">
        <v>1.00000001009182</v>
      </c>
    </row>
    <row r="5786" spans="1:40" x14ac:dyDescent="0.25">
      <c r="A5786" t="str">
        <f>"20190312172232092"</f>
        <v>20190312172232092</v>
      </c>
      <c r="B5786" t="str">
        <f>"1552382552086124"</f>
        <v>1552382552086124</v>
      </c>
      <c r="C5786" t="s">
        <v>40</v>
      </c>
      <c r="D5786">
        <v>3.6522320000000001</v>
      </c>
      <c r="E5786">
        <v>0.46976010000000001</v>
      </c>
      <c r="F5786" t="s">
        <v>42</v>
      </c>
      <c r="G5786">
        <v>-417.9325</v>
      </c>
      <c r="H5786" s="1">
        <v>-2.375132E-6</v>
      </c>
      <c r="I5786">
        <v>74.31438</v>
      </c>
      <c r="J5786">
        <v>-425.45650000000001</v>
      </c>
      <c r="K5786">
        <v>1.11602</v>
      </c>
      <c r="L5786">
        <v>102.8663</v>
      </c>
      <c r="M5786">
        <v>0.2450098</v>
      </c>
      <c r="N5786">
        <v>0</v>
      </c>
      <c r="O5786">
        <v>-0.96940360000000003</v>
      </c>
      <c r="P5786">
        <v>0.1767871</v>
      </c>
      <c r="Q5786">
        <v>0.16194420000000001</v>
      </c>
      <c r="R5786">
        <v>-0.97083540000000002</v>
      </c>
      <c r="S5786">
        <v>0.78213500000000002</v>
      </c>
      <c r="T5786">
        <v>-0.11526550000000001</v>
      </c>
      <c r="U5786">
        <v>-2.9689030000000001</v>
      </c>
      <c r="V5786">
        <v>6.3929819999999998E-2</v>
      </c>
      <c r="W5786">
        <v>0.1777136</v>
      </c>
      <c r="X5786">
        <v>0.98200350000000003</v>
      </c>
      <c r="Y5786">
        <v>-9.8568920000000008E-3</v>
      </c>
      <c r="Z5786">
        <v>3.6419239999999999E-2</v>
      </c>
      <c r="AA5786">
        <v>0.99928799999999995</v>
      </c>
      <c r="AB5786">
        <v>42</v>
      </c>
      <c r="AC5786">
        <v>7.524</v>
      </c>
      <c r="AD5786">
        <v>-1.116022375132</v>
      </c>
      <c r="AE5786">
        <v>-28.551919999999999</v>
      </c>
      <c r="AF5786">
        <v>-0.29790073056772798</v>
      </c>
      <c r="AG5786">
        <v>-1.116022375132</v>
      </c>
      <c r="AH5786">
        <v>29.4830168551775</v>
      </c>
      <c r="AI5786">
        <v>92.167674996852398</v>
      </c>
      <c r="AJ5786">
        <v>90.578905267184197</v>
      </c>
      <c r="AK5786">
        <v>29.505635625584301</v>
      </c>
      <c r="AL5786">
        <v>79.763388395789605</v>
      </c>
      <c r="AM5786">
        <v>86.275219708146096</v>
      </c>
      <c r="AN5786">
        <v>1.0000000097612201</v>
      </c>
    </row>
    <row r="5787" spans="1:40" x14ac:dyDescent="0.25">
      <c r="A5787" t="str">
        <f>"20190312172232105"</f>
        <v>20190312172232105</v>
      </c>
      <c r="B5787" t="str">
        <f>"1552382552095883"</f>
        <v>1552382552095883</v>
      </c>
      <c r="C5787" t="s">
        <v>40</v>
      </c>
      <c r="D5787">
        <v>3.609229</v>
      </c>
      <c r="E5787">
        <v>0.47124179999999999</v>
      </c>
      <c r="F5787" t="s">
        <v>42</v>
      </c>
      <c r="G5787">
        <v>-418.3657</v>
      </c>
      <c r="H5787" s="1">
        <v>-2.8962159999999999E-6</v>
      </c>
      <c r="I5787">
        <v>75.708150000000003</v>
      </c>
      <c r="J5787">
        <v>-425.39929999999998</v>
      </c>
      <c r="K5787">
        <v>1.115278</v>
      </c>
      <c r="L5787">
        <v>102.6399</v>
      </c>
      <c r="M5787">
        <v>0.24485860000000001</v>
      </c>
      <c r="N5787">
        <v>0</v>
      </c>
      <c r="O5787">
        <v>-0.96944249999999998</v>
      </c>
      <c r="P5787">
        <v>0.17854619999999999</v>
      </c>
      <c r="Q5787">
        <v>0.15857979999999899</v>
      </c>
      <c r="R5787">
        <v>-0.97106879999999995</v>
      </c>
      <c r="S5787">
        <v>0.77526859999999997</v>
      </c>
      <c r="T5787">
        <v>-0.12201869999999999</v>
      </c>
      <c r="U5787">
        <v>-2.9692989999999999</v>
      </c>
      <c r="V5787">
        <v>6.2494969999999997E-2</v>
      </c>
      <c r="W5787">
        <v>0.17417769999999999</v>
      </c>
      <c r="X5787">
        <v>0.98272910000000002</v>
      </c>
      <c r="Y5787">
        <v>-7.7970619999999996E-3</v>
      </c>
      <c r="Z5787">
        <v>3.855832E-2</v>
      </c>
      <c r="AA5787">
        <v>0.9992259</v>
      </c>
      <c r="AB5787">
        <v>42</v>
      </c>
      <c r="AC5787">
        <v>7.0335999999999697</v>
      </c>
      <c r="AD5787">
        <v>-1.1152808962159999</v>
      </c>
      <c r="AE5787">
        <v>-26.931749999999901</v>
      </c>
      <c r="AF5787">
        <v>-0.22386605558754999</v>
      </c>
      <c r="AG5787">
        <v>-1.1152808962159999</v>
      </c>
      <c r="AH5787">
        <v>27.789545622567601</v>
      </c>
      <c r="AI5787">
        <v>92.298149981810397</v>
      </c>
      <c r="AJ5787">
        <v>90.461551364840403</v>
      </c>
      <c r="AK5787">
        <v>27.812817430046</v>
      </c>
      <c r="AL5787">
        <v>79.969190989658998</v>
      </c>
      <c r="AM5787">
        <v>86.361273118580996</v>
      </c>
      <c r="AN5787">
        <v>0.99999998821970004</v>
      </c>
    </row>
    <row r="5788" spans="1:40" x14ac:dyDescent="0.25">
      <c r="A5788" t="str">
        <f>"20190312172232118"</f>
        <v>20190312172232118</v>
      </c>
      <c r="B5788" t="str">
        <f>"1552382552116381"</f>
        <v>1552382552116381</v>
      </c>
      <c r="C5788" t="s">
        <v>40</v>
      </c>
      <c r="D5788">
        <v>3.682245</v>
      </c>
      <c r="E5788">
        <v>0.47361639999999999</v>
      </c>
      <c r="F5788" t="s">
        <v>42</v>
      </c>
      <c r="G5788">
        <v>-418.97019999999998</v>
      </c>
      <c r="H5788" s="1">
        <v>-3.6742260000000002E-6</v>
      </c>
      <c r="I5788">
        <v>77.771649999999994</v>
      </c>
      <c r="J5788">
        <v>-425.33850000000001</v>
      </c>
      <c r="K5788">
        <v>1.1144879999999999</v>
      </c>
      <c r="L5788">
        <v>102.3991</v>
      </c>
      <c r="M5788">
        <v>0.24444089999999999</v>
      </c>
      <c r="N5788">
        <v>0</v>
      </c>
      <c r="O5788">
        <v>-0.96954850000000004</v>
      </c>
      <c r="P5788">
        <v>0.17901989999999901</v>
      </c>
      <c r="Q5788">
        <v>0.1526546</v>
      </c>
      <c r="R5788">
        <v>-0.97193059999999998</v>
      </c>
      <c r="S5788">
        <v>0.76782229999999996</v>
      </c>
      <c r="T5788">
        <v>-0.13319610000000001</v>
      </c>
      <c r="U5788">
        <v>-2.9699710000000001</v>
      </c>
      <c r="V5788">
        <v>6.2219900000000002E-2</v>
      </c>
      <c r="W5788">
        <v>0.16809839999999901</v>
      </c>
      <c r="X5788">
        <v>0.98380460000000003</v>
      </c>
      <c r="Y5788">
        <v>-5.7890889999999999E-3</v>
      </c>
      <c r="Z5788">
        <v>4.209483E-2</v>
      </c>
      <c r="AA5788">
        <v>0.99909689999999995</v>
      </c>
      <c r="AB5788">
        <v>42</v>
      </c>
      <c r="AC5788">
        <v>6.3683000000000298</v>
      </c>
      <c r="AD5788">
        <v>-1.11449167422599</v>
      </c>
      <c r="AE5788">
        <v>-24.62745</v>
      </c>
      <c r="AF5788">
        <v>-0.15414110981529999</v>
      </c>
      <c r="AG5788">
        <v>-1.11449167422599</v>
      </c>
      <c r="AH5788">
        <v>25.3882990789436</v>
      </c>
      <c r="AI5788">
        <v>92.513501385883202</v>
      </c>
      <c r="AJ5788">
        <v>90.347858141337397</v>
      </c>
      <c r="AK5788">
        <v>25.413216665655298</v>
      </c>
      <c r="AL5788">
        <v>80.322725026656599</v>
      </c>
      <c r="AM5788">
        <v>86.381196017444793</v>
      </c>
      <c r="AN5788">
        <v>0.99999993950986299</v>
      </c>
    </row>
    <row r="5789" spans="1:40" x14ac:dyDescent="0.25">
      <c r="A5789" t="str">
        <f>"20190312172232131"</f>
        <v>20190312172232131</v>
      </c>
      <c r="B5789" t="str">
        <f>"1552382552126140"</f>
        <v>1552382552126140</v>
      </c>
      <c r="C5789" t="s">
        <v>40</v>
      </c>
      <c r="D5789">
        <v>3.6455090000000001</v>
      </c>
      <c r="E5789">
        <v>0.47361639999999999</v>
      </c>
      <c r="F5789" t="s">
        <v>42</v>
      </c>
      <c r="G5789">
        <v>-419.93759999999997</v>
      </c>
      <c r="H5789" s="1">
        <v>-5.6775930000000005E-7</v>
      </c>
      <c r="I5789">
        <v>80.930409999999995</v>
      </c>
      <c r="J5789">
        <v>-425.28519999999997</v>
      </c>
      <c r="K5789">
        <v>1.113796</v>
      </c>
      <c r="L5789">
        <v>102.1871</v>
      </c>
      <c r="M5789">
        <v>0.24375740000000001</v>
      </c>
      <c r="N5789">
        <v>0</v>
      </c>
      <c r="O5789">
        <v>-0.96972100000000006</v>
      </c>
      <c r="P5789">
        <v>0.1783681</v>
      </c>
      <c r="Q5789">
        <v>0.1454154</v>
      </c>
      <c r="R5789">
        <v>-0.97315960000000001</v>
      </c>
      <c r="S5789">
        <v>0.74795529999999999</v>
      </c>
      <c r="T5789">
        <v>-0.15434110000000001</v>
      </c>
      <c r="U5789">
        <v>-2.9731139999999998</v>
      </c>
      <c r="V5789">
        <v>6.279904E-2</v>
      </c>
      <c r="W5789">
        <v>0.16074359999999999</v>
      </c>
      <c r="X5789">
        <v>0.98499630000000005</v>
      </c>
      <c r="Y5789">
        <v>1.0701329999999999E-4</v>
      </c>
      <c r="Z5789">
        <v>4.8764139999999997E-2</v>
      </c>
      <c r="AA5789">
        <v>0.99881030000000004</v>
      </c>
      <c r="AB5789">
        <v>42</v>
      </c>
      <c r="AC5789">
        <v>5.3475999999999999</v>
      </c>
      <c r="AD5789">
        <v>-1.1137965677593</v>
      </c>
      <c r="AE5789">
        <v>-21.256689999999999</v>
      </c>
      <c r="AF5789">
        <v>-4.1941728758718702E-3</v>
      </c>
      <c r="AG5789">
        <v>-1.1137965677593</v>
      </c>
      <c r="AH5789">
        <v>21.8625746171804</v>
      </c>
      <c r="AI5789">
        <v>92.916432236496107</v>
      </c>
      <c r="AJ5789">
        <v>90.010991770438494</v>
      </c>
      <c r="AK5789">
        <v>21.890928013157001</v>
      </c>
      <c r="AL5789">
        <v>80.749939651130305</v>
      </c>
      <c r="AM5789">
        <v>86.3520100340033</v>
      </c>
      <c r="AN5789">
        <v>0.99999996768978505</v>
      </c>
    </row>
    <row r="5790" spans="1:40" x14ac:dyDescent="0.25">
      <c r="A5790" t="str">
        <f>"20190312172232143"</f>
        <v>20190312172232143</v>
      </c>
      <c r="B5790" t="str">
        <f>"1552382552135900"</f>
        <v>1552382552135900</v>
      </c>
      <c r="C5790" t="s">
        <v>40</v>
      </c>
      <c r="D5790">
        <v>3.735976</v>
      </c>
      <c r="E5790">
        <v>0.47555180000000002</v>
      </c>
      <c r="F5790" t="s">
        <v>42</v>
      </c>
      <c r="G5790">
        <v>-420.61559999999997</v>
      </c>
      <c r="H5790" s="1">
        <v>-1.8463189999999999E-6</v>
      </c>
      <c r="I5790">
        <v>83.511110000000002</v>
      </c>
      <c r="J5790">
        <v>-425.2242</v>
      </c>
      <c r="K5790">
        <v>1.1130230000000001</v>
      </c>
      <c r="L5790">
        <v>101.94329999999999</v>
      </c>
      <c r="M5790">
        <v>0.24282500000000001</v>
      </c>
      <c r="N5790">
        <v>0</v>
      </c>
      <c r="O5790">
        <v>-0.96995540000000002</v>
      </c>
      <c r="P5790">
        <v>0.1775746</v>
      </c>
      <c r="Q5790">
        <v>0.13867939999999901</v>
      </c>
      <c r="R5790">
        <v>-0.97428720000000002</v>
      </c>
      <c r="S5790">
        <v>0.74334719999999999</v>
      </c>
      <c r="T5790">
        <v>-0.17730309999999999</v>
      </c>
      <c r="U5790">
        <v>-2.9729920000000001</v>
      </c>
      <c r="V5790">
        <v>6.3242129999999994E-2</v>
      </c>
      <c r="W5790">
        <v>0.15386939999999999</v>
      </c>
      <c r="X5790">
        <v>0.98606519999999998</v>
      </c>
      <c r="Y5790">
        <v>6.8759099999999998E-4</v>
      </c>
      <c r="Z5790">
        <v>5.6029040000000002E-2</v>
      </c>
      <c r="AA5790">
        <v>0.99842889999999995</v>
      </c>
      <c r="AB5790">
        <v>42</v>
      </c>
      <c r="AC5790">
        <v>4.6086000000000196</v>
      </c>
      <c r="AD5790">
        <v>-1.11302484631899</v>
      </c>
      <c r="AE5790">
        <v>-18.432189999999899</v>
      </c>
      <c r="AF5790">
        <v>5.6413502834651297E-3</v>
      </c>
      <c r="AG5790">
        <v>-1.11302484631899</v>
      </c>
      <c r="AH5790">
        <v>18.934620084934799</v>
      </c>
      <c r="AI5790">
        <v>93.364119434895798</v>
      </c>
      <c r="AJ5790">
        <v>89.982929388021304</v>
      </c>
      <c r="AK5790">
        <v>18.9673059208253</v>
      </c>
      <c r="AL5790">
        <v>81.148768667977293</v>
      </c>
      <c r="AM5790">
        <v>86.330312597665795</v>
      </c>
      <c r="AN5790">
        <v>0.99999996895716703</v>
      </c>
    </row>
    <row r="5791" spans="1:40" x14ac:dyDescent="0.25">
      <c r="A5791" t="str">
        <f>"20190312172232155"</f>
        <v>20190312172232155</v>
      </c>
      <c r="B5791" t="str">
        <f>"1552382552146635"</f>
        <v>1552382552146635</v>
      </c>
      <c r="C5791" t="s">
        <v>40</v>
      </c>
      <c r="D5791">
        <v>3.6164450000000001</v>
      </c>
      <c r="E5791">
        <v>0.47555180000000002</v>
      </c>
      <c r="F5791" t="s">
        <v>42</v>
      </c>
      <c r="G5791">
        <v>-421.15120000000002</v>
      </c>
      <c r="H5791" s="1">
        <v>-2.7104529999999999E-6</v>
      </c>
      <c r="I5791">
        <v>85.193240000000003</v>
      </c>
      <c r="J5791">
        <v>-425.1705</v>
      </c>
      <c r="K5791">
        <v>1.1123670000000001</v>
      </c>
      <c r="L5791">
        <v>101.7278</v>
      </c>
      <c r="M5791">
        <v>0.2417888</v>
      </c>
      <c r="N5791">
        <v>0</v>
      </c>
      <c r="O5791">
        <v>-0.97021469999999999</v>
      </c>
      <c r="P5791">
        <v>0.17702870000000001</v>
      </c>
      <c r="Q5791">
        <v>0.1339494</v>
      </c>
      <c r="R5791">
        <v>-0.97504789999999997</v>
      </c>
      <c r="S5791">
        <v>0.72351069999999995</v>
      </c>
      <c r="T5791">
        <v>-0.19771520000000001</v>
      </c>
      <c r="U5791">
        <v>-2.9754330000000002</v>
      </c>
      <c r="V5791">
        <v>6.3173690000000005E-2</v>
      </c>
      <c r="W5791">
        <v>0.14901610000000001</v>
      </c>
      <c r="X5791">
        <v>0.98681470000000004</v>
      </c>
      <c r="Y5791">
        <v>6.1801260000000002E-3</v>
      </c>
      <c r="Z5791">
        <v>6.247693E-2</v>
      </c>
      <c r="AA5791">
        <v>0.99802729999999995</v>
      </c>
      <c r="AB5791">
        <v>41</v>
      </c>
      <c r="AC5791">
        <v>4.0192999999999799</v>
      </c>
      <c r="AD5791">
        <v>-1.1123697104529999</v>
      </c>
      <c r="AE5791">
        <v>-16.534559999999999</v>
      </c>
      <c r="AF5791">
        <v>9.7880082846371494E-2</v>
      </c>
      <c r="AG5791">
        <v>-1.1123697104529999</v>
      </c>
      <c r="AH5791">
        <v>16.943373549590401</v>
      </c>
      <c r="AI5791">
        <v>93.756140862071405</v>
      </c>
      <c r="AJ5791">
        <v>89.669012003737606</v>
      </c>
      <c r="AK5791">
        <v>16.980131157453201</v>
      </c>
      <c r="AL5791">
        <v>81.430087421310304</v>
      </c>
      <c r="AM5791">
        <v>86.337049652151293</v>
      </c>
      <c r="AN5791">
        <v>0.99999998265175705</v>
      </c>
    </row>
    <row r="5792" spans="1:40" x14ac:dyDescent="0.25">
      <c r="A5792" t="str">
        <f>"20190312172232172"</f>
        <v>20190312172232172</v>
      </c>
      <c r="B5792" t="str">
        <f>"1552382552166155"</f>
        <v>1552382552166155</v>
      </c>
      <c r="C5792" t="s">
        <v>40</v>
      </c>
      <c r="D5792">
        <v>3.70451</v>
      </c>
      <c r="E5792">
        <v>0.48844159999999998</v>
      </c>
      <c r="F5792" t="s">
        <v>42</v>
      </c>
      <c r="G5792">
        <v>-421.3963</v>
      </c>
      <c r="H5792" s="1">
        <v>-3.189919E-6</v>
      </c>
      <c r="I5792">
        <v>86.158839999999998</v>
      </c>
      <c r="J5792">
        <v>-425.10399999999998</v>
      </c>
      <c r="K5792">
        <v>1.1115999999999999</v>
      </c>
      <c r="L5792">
        <v>101.45829999999999</v>
      </c>
      <c r="M5792">
        <v>0.2402598</v>
      </c>
      <c r="N5792">
        <v>0</v>
      </c>
      <c r="O5792">
        <v>-0.97059510000000004</v>
      </c>
      <c r="P5792">
        <v>0.1765158</v>
      </c>
      <c r="Q5792">
        <v>0.13292209999999999</v>
      </c>
      <c r="R5792">
        <v>-0.97528179999999998</v>
      </c>
      <c r="S5792">
        <v>0.72119140000000004</v>
      </c>
      <c r="T5792">
        <v>-0.2125601</v>
      </c>
      <c r="U5792">
        <v>-2.9750369999999999</v>
      </c>
      <c r="V5792">
        <v>6.245796E-2</v>
      </c>
      <c r="W5792">
        <v>0.14783199999999999</v>
      </c>
      <c r="X5792">
        <v>0.98703839999999998</v>
      </c>
      <c r="Y5792">
        <v>5.382871E-3</v>
      </c>
      <c r="Z5792">
        <v>6.7200380000000004E-2</v>
      </c>
      <c r="AA5792">
        <v>0.99772499999999997</v>
      </c>
      <c r="AB5792">
        <v>41</v>
      </c>
      <c r="AC5792">
        <v>3.70770000000004</v>
      </c>
      <c r="AD5792">
        <v>-1.111603189919</v>
      </c>
      <c r="AE5792">
        <v>-15.2994599999999</v>
      </c>
      <c r="AF5792">
        <v>7.6795341767386505E-2</v>
      </c>
      <c r="AG5792">
        <v>-1.111603189919</v>
      </c>
      <c r="AH5792">
        <v>15.6640242622416</v>
      </c>
      <c r="AI5792">
        <v>94.059162205569393</v>
      </c>
      <c r="AJ5792">
        <v>89.719100682996995</v>
      </c>
      <c r="AK5792">
        <v>15.7036051677457</v>
      </c>
      <c r="AL5792">
        <v>81.498691805251894</v>
      </c>
      <c r="AM5792">
        <v>86.379256783111501</v>
      </c>
      <c r="AN5792">
        <v>1.00000005003295</v>
      </c>
    </row>
    <row r="5793" spans="1:40" x14ac:dyDescent="0.25">
      <c r="A5793" t="str">
        <f>"20190312172232194"</f>
        <v>20190312172232194</v>
      </c>
      <c r="B5793" t="str">
        <f>"1552382552186652"</f>
        <v>1552382552186652</v>
      </c>
      <c r="C5793" t="s">
        <v>40</v>
      </c>
      <c r="D5793">
        <v>4.0118390000000002</v>
      </c>
      <c r="E5793">
        <v>0.49189100000000002</v>
      </c>
      <c r="F5793" t="s">
        <v>42</v>
      </c>
      <c r="G5793">
        <v>-421.63010000000003</v>
      </c>
      <c r="H5793" s="1">
        <v>-2.6055459999999999E-6</v>
      </c>
      <c r="I5793">
        <v>84.651669999999996</v>
      </c>
      <c r="J5793">
        <v>-425.00459999999998</v>
      </c>
      <c r="K5793">
        <v>1.1105210000000001</v>
      </c>
      <c r="L5793">
        <v>101.0517</v>
      </c>
      <c r="M5793">
        <v>0.23758679999999999</v>
      </c>
      <c r="N5793">
        <v>0</v>
      </c>
      <c r="O5793">
        <v>-0.97125360000000005</v>
      </c>
      <c r="P5793">
        <v>0.17512759999999999</v>
      </c>
      <c r="Q5793">
        <v>0.134487</v>
      </c>
      <c r="R5793">
        <v>-0.97531749999999995</v>
      </c>
      <c r="S5793">
        <v>0.61825559999999902</v>
      </c>
      <c r="T5793">
        <v>-0.19783439999999999</v>
      </c>
      <c r="U5793">
        <v>-2.9911189999999999</v>
      </c>
      <c r="V5793">
        <v>6.1487479999999997E-2</v>
      </c>
      <c r="W5793">
        <v>0.149175</v>
      </c>
      <c r="X5793">
        <v>0.98689720000000003</v>
      </c>
      <c r="Y5793">
        <v>3.648042E-2</v>
      </c>
      <c r="Z5793">
        <v>6.2507999999999994E-2</v>
      </c>
      <c r="AA5793">
        <v>0.99737750000000003</v>
      </c>
      <c r="AB5793">
        <v>41</v>
      </c>
      <c r="AC5793">
        <v>3.3744999999999501</v>
      </c>
      <c r="AD5793">
        <v>-1.1105236055459999</v>
      </c>
      <c r="AE5793">
        <v>-16.400029999999902</v>
      </c>
      <c r="AF5793">
        <v>0.61629205316045299</v>
      </c>
      <c r="AG5793">
        <v>-1.1105236055459999</v>
      </c>
      <c r="AH5793">
        <v>16.658873718509501</v>
      </c>
      <c r="AI5793">
        <v>93.811242594407204</v>
      </c>
      <c r="AJ5793">
        <v>87.881319087966901</v>
      </c>
      <c r="AK5793">
        <v>16.7072185639175</v>
      </c>
      <c r="AL5793">
        <v>81.420880249286398</v>
      </c>
      <c r="AM5793">
        <v>86.434861472973196</v>
      </c>
      <c r="AN5793">
        <v>0.99999998709479498</v>
      </c>
    </row>
    <row r="5794" spans="1:40" x14ac:dyDescent="0.25">
      <c r="A5794" t="str">
        <f>"20190312172232214"</f>
        <v>20190312172232214</v>
      </c>
      <c r="B5794" t="str">
        <f>"1552382552206172"</f>
        <v>1552382552206172</v>
      </c>
      <c r="C5794" t="s">
        <v>40</v>
      </c>
      <c r="D5794">
        <v>3.9935109999999998</v>
      </c>
      <c r="E5794">
        <v>0.49357380000000001</v>
      </c>
      <c r="F5794" t="s">
        <v>42</v>
      </c>
      <c r="G5794">
        <v>-421.1653</v>
      </c>
      <c r="H5794" s="1">
        <v>-1.1196020000000001E-6</v>
      </c>
      <c r="I5794">
        <v>81.476190000000003</v>
      </c>
      <c r="J5794">
        <v>-424.91180000000003</v>
      </c>
      <c r="K5794">
        <v>1.109588</v>
      </c>
      <c r="L5794">
        <v>100.66549999999999</v>
      </c>
      <c r="M5794">
        <v>0.2346673</v>
      </c>
      <c r="N5794">
        <v>0</v>
      </c>
      <c r="O5794">
        <v>-0.97196389999999999</v>
      </c>
      <c r="P5794">
        <v>0.172426</v>
      </c>
      <c r="Q5794">
        <v>0.13069909999999901</v>
      </c>
      <c r="R5794">
        <v>-0.97631319999999999</v>
      </c>
      <c r="S5794">
        <v>0.58718870000000001</v>
      </c>
      <c r="T5794">
        <v>-0.16984399999999999</v>
      </c>
      <c r="U5794">
        <v>-2.9938959999999999</v>
      </c>
      <c r="V5794">
        <v>6.1710769999999998E-2</v>
      </c>
      <c r="W5794">
        <v>0.14520939999999999</v>
      </c>
      <c r="X5794">
        <v>0.98747459999999998</v>
      </c>
      <c r="Y5794">
        <v>4.3504830000000001E-2</v>
      </c>
      <c r="Z5794">
        <v>5.3749140000000001E-2</v>
      </c>
      <c r="AA5794">
        <v>0.99760629999999995</v>
      </c>
      <c r="AB5794">
        <v>41</v>
      </c>
      <c r="AC5794">
        <v>3.7465000000000201</v>
      </c>
      <c r="AD5794">
        <v>-1.109589119602</v>
      </c>
      <c r="AE5794">
        <v>-19.1893099999999</v>
      </c>
      <c r="AF5794">
        <v>0.858967973363849</v>
      </c>
      <c r="AG5794">
        <v>-1.109589119602</v>
      </c>
      <c r="AH5794">
        <v>19.469913295478602</v>
      </c>
      <c r="AI5794">
        <v>93.258591813913</v>
      </c>
      <c r="AJ5794">
        <v>87.473879533563505</v>
      </c>
      <c r="AK5794">
        <v>19.520413359533599</v>
      </c>
      <c r="AL5794">
        <v>81.650595049942496</v>
      </c>
      <c r="AM5794">
        <v>86.424035090980396</v>
      </c>
      <c r="AN5794">
        <v>1.0000000373137501</v>
      </c>
    </row>
    <row r="5795" spans="1:40" x14ac:dyDescent="0.25">
      <c r="A5795" t="str">
        <f>"20190312172232227"</f>
        <v>20190312172232227</v>
      </c>
      <c r="B5795" t="str">
        <f>"1552382552215932"</f>
        <v>1552382552215932</v>
      </c>
      <c r="C5795" t="s">
        <v>40</v>
      </c>
      <c r="D5795">
        <v>3.981436</v>
      </c>
      <c r="E5795">
        <v>0.4948072</v>
      </c>
      <c r="F5795" t="s">
        <v>42</v>
      </c>
      <c r="G5795">
        <v>-421.1225</v>
      </c>
      <c r="H5795" s="1">
        <v>-7.3607060000000001E-7</v>
      </c>
      <c r="I5795">
        <v>80.608719999999906</v>
      </c>
      <c r="J5795">
        <v>-424.86020000000002</v>
      </c>
      <c r="K5795">
        <v>1.1091219999999999</v>
      </c>
      <c r="L5795">
        <v>100.4478</v>
      </c>
      <c r="M5795">
        <v>0.23286950000000001</v>
      </c>
      <c r="N5795">
        <v>0</v>
      </c>
      <c r="O5795">
        <v>-0.97239660000000006</v>
      </c>
      <c r="P5795">
        <v>0.171264</v>
      </c>
      <c r="Q5795">
        <v>0.12862689999999999</v>
      </c>
      <c r="R5795">
        <v>-0.97679280000000002</v>
      </c>
      <c r="S5795">
        <v>0.5658569</v>
      </c>
      <c r="T5795">
        <v>-0.16569220000000001</v>
      </c>
      <c r="U5795">
        <v>-2.9950260000000002</v>
      </c>
      <c r="V5795">
        <v>6.1285029999999997E-2</v>
      </c>
      <c r="W5795">
        <v>0.143047799999999</v>
      </c>
      <c r="X5795">
        <v>0.98781649999999999</v>
      </c>
      <c r="Y5795">
        <v>4.8566089999999999E-2</v>
      </c>
      <c r="Z5795">
        <v>5.2482729999999998E-2</v>
      </c>
      <c r="AA5795">
        <v>0.9974402</v>
      </c>
      <c r="AB5795">
        <v>41</v>
      </c>
      <c r="AC5795">
        <v>3.73770000000001</v>
      </c>
      <c r="AD5795">
        <v>-1.1091227360706</v>
      </c>
      <c r="AE5795">
        <v>-19.839079999999999</v>
      </c>
      <c r="AF5795">
        <v>0.98253101416284305</v>
      </c>
      <c r="AG5795">
        <v>-1.1091227360706</v>
      </c>
      <c r="AH5795">
        <v>20.103355870560399</v>
      </c>
      <c r="AI5795">
        <v>93.154108234758596</v>
      </c>
      <c r="AJ5795">
        <v>87.201953662624106</v>
      </c>
      <c r="AK5795">
        <v>20.157887729022001</v>
      </c>
      <c r="AL5795">
        <v>81.775751949402206</v>
      </c>
      <c r="AM5795">
        <v>86.449868205841696</v>
      </c>
      <c r="AN5795">
        <v>0.99999998282959501</v>
      </c>
    </row>
    <row r="5796" spans="1:40" x14ac:dyDescent="0.25">
      <c r="A5796" t="str">
        <f>"20190312172232240"</f>
        <v>20190312172232240</v>
      </c>
      <c r="B5796" t="str">
        <f>"1552382552236428"</f>
        <v>1552382552236428</v>
      </c>
      <c r="C5796" t="s">
        <v>40</v>
      </c>
      <c r="D5796">
        <v>3.7230940000000001</v>
      </c>
      <c r="E5796">
        <v>0.49570219999999998</v>
      </c>
      <c r="F5796" t="s">
        <v>42</v>
      </c>
      <c r="G5796">
        <v>-421.13010000000003</v>
      </c>
      <c r="H5796" s="1">
        <v>-5.6950710000000004E-7</v>
      </c>
      <c r="I5796">
        <v>80.215699999999998</v>
      </c>
      <c r="J5796">
        <v>-424.8057</v>
      </c>
      <c r="K5796">
        <v>1.1086510000000001</v>
      </c>
      <c r="L5796">
        <v>100.2161</v>
      </c>
      <c r="M5796">
        <v>0.23088330000000001</v>
      </c>
      <c r="N5796">
        <v>0</v>
      </c>
      <c r="O5796">
        <v>-0.97287029999999997</v>
      </c>
      <c r="P5796">
        <v>0.17071710000000001</v>
      </c>
      <c r="Q5796">
        <v>0.1275657</v>
      </c>
      <c r="R5796">
        <v>-0.97702730000000004</v>
      </c>
      <c r="S5796">
        <v>0.55236819999999998</v>
      </c>
      <c r="T5796">
        <v>-0.1642438</v>
      </c>
      <c r="U5796">
        <v>-2.9960629999999999</v>
      </c>
      <c r="V5796">
        <v>6.0012549999999998E-2</v>
      </c>
      <c r="W5796">
        <v>0.1418981</v>
      </c>
      <c r="X5796">
        <v>0.98806039999999995</v>
      </c>
      <c r="Y5796">
        <v>5.0924459999999998E-2</v>
      </c>
      <c r="Z5796">
        <v>5.2063409999999997E-2</v>
      </c>
      <c r="AA5796">
        <v>0.99734460000000003</v>
      </c>
      <c r="AB5796">
        <v>41</v>
      </c>
      <c r="AC5796">
        <v>3.67559999999997</v>
      </c>
      <c r="AD5796">
        <v>-1.1086515695071</v>
      </c>
      <c r="AE5796">
        <v>-20.000399999999999</v>
      </c>
      <c r="AF5796">
        <v>1.0389010783669199</v>
      </c>
      <c r="AG5796">
        <v>-1.1086515695071</v>
      </c>
      <c r="AH5796">
        <v>20.248442406575801</v>
      </c>
      <c r="AI5796">
        <v>93.1298456575459</v>
      </c>
      <c r="AJ5796">
        <v>87.062860649524694</v>
      </c>
      <c r="AK5796">
        <v>20.305364898115499</v>
      </c>
      <c r="AL5796">
        <v>81.842303685769195</v>
      </c>
      <c r="AM5796">
        <v>86.524254066389702</v>
      </c>
      <c r="AN5796">
        <v>0.99999996549463499</v>
      </c>
    </row>
    <row r="5797" spans="1:40" x14ac:dyDescent="0.25">
      <c r="A5797" t="str">
        <f>"20190312172232253"</f>
        <v>20190312172232253</v>
      </c>
      <c r="B5797" t="str">
        <f>"1552382552246188"</f>
        <v>1552382552246188</v>
      </c>
      <c r="C5797" t="s">
        <v>40</v>
      </c>
      <c r="D5797">
        <v>3.6806890000000001</v>
      </c>
      <c r="E5797">
        <v>0.49607889999999999</v>
      </c>
      <c r="F5797" t="s">
        <v>41</v>
      </c>
      <c r="G5797">
        <v>-424.608</v>
      </c>
      <c r="H5797">
        <v>1.048438</v>
      </c>
      <c r="I5797">
        <v>99.12509</v>
      </c>
      <c r="J5797">
        <v>-424.75119999999998</v>
      </c>
      <c r="K5797">
        <v>1.108239</v>
      </c>
      <c r="L5797">
        <v>99.980099999999993</v>
      </c>
      <c r="M5797">
        <v>0.2286966</v>
      </c>
      <c r="N5797">
        <v>0</v>
      </c>
      <c r="O5797">
        <v>-0.97338690000000005</v>
      </c>
      <c r="P5797">
        <v>0.17098039999999901</v>
      </c>
      <c r="Q5797">
        <v>0.12790940000000001</v>
      </c>
      <c r="R5797">
        <v>-0.97693669999999999</v>
      </c>
      <c r="S5797">
        <v>0.54296880000000003</v>
      </c>
      <c r="T5797">
        <v>-0.165463</v>
      </c>
      <c r="U5797">
        <v>-2.9972530000000002</v>
      </c>
      <c r="V5797">
        <v>5.7658939999999999E-2</v>
      </c>
      <c r="W5797">
        <v>0.1421695</v>
      </c>
      <c r="X5797">
        <v>0.98816159999999997</v>
      </c>
      <c r="Y5797">
        <v>5.1781399999999998E-2</v>
      </c>
      <c r="Z5797">
        <v>5.2483340000000003E-2</v>
      </c>
      <c r="AA5797">
        <v>0.99727840000000001</v>
      </c>
      <c r="AB5797">
        <v>41</v>
      </c>
      <c r="AC5797">
        <v>0.14319999999997801</v>
      </c>
      <c r="AD5797">
        <v>-5.9800999999999903E-2</v>
      </c>
      <c r="AE5797">
        <v>-0.85500999999999205</v>
      </c>
      <c r="AF5797">
        <v>5.5888993964298202E-2</v>
      </c>
      <c r="AG5797">
        <v>-5.9800999999999903E-2</v>
      </c>
      <c r="AH5797">
        <v>0.861001259904282</v>
      </c>
      <c r="AI5797">
        <v>93.964790870105304</v>
      </c>
      <c r="AJ5797">
        <v>86.286048064276699</v>
      </c>
      <c r="AK5797">
        <v>0.86488317639095202</v>
      </c>
      <c r="AL5797">
        <v>81.826594909272302</v>
      </c>
      <c r="AM5797">
        <v>86.660594486692005</v>
      </c>
      <c r="AN5797">
        <v>1.0000000339033599</v>
      </c>
    </row>
    <row r="5798" spans="1:40" x14ac:dyDescent="0.25">
      <c r="A5798" t="str">
        <f>"20190312172232266"</f>
        <v>20190312172232266</v>
      </c>
      <c r="B5798" t="str">
        <f>"1552382552255949"</f>
        <v>1552382552255949</v>
      </c>
      <c r="C5798" t="s">
        <v>40</v>
      </c>
      <c r="D5798">
        <v>3.6949290000000001</v>
      </c>
      <c r="E5798">
        <v>0.49651269999999997</v>
      </c>
      <c r="F5798" t="s">
        <v>42</v>
      </c>
      <c r="G5798">
        <v>-421.11720000000003</v>
      </c>
      <c r="H5798" s="1">
        <v>-3.9668830000000001E-7</v>
      </c>
      <c r="I5798">
        <v>79.820880000000002</v>
      </c>
      <c r="J5798">
        <v>-424.6968</v>
      </c>
      <c r="K5798">
        <v>1.107856</v>
      </c>
      <c r="L5798">
        <v>99.742609999999999</v>
      </c>
      <c r="M5798">
        <v>0.2264256</v>
      </c>
      <c r="N5798">
        <v>0</v>
      </c>
      <c r="O5798">
        <v>-0.97391810000000001</v>
      </c>
      <c r="P5798">
        <v>0.171297</v>
      </c>
      <c r="Q5798">
        <v>0.12956400000000001</v>
      </c>
      <c r="R5798">
        <v>-0.97666319999999995</v>
      </c>
      <c r="S5798">
        <v>0.54040529999999998</v>
      </c>
      <c r="T5798">
        <v>-0.1648039</v>
      </c>
      <c r="U5798">
        <v>-2.997833</v>
      </c>
      <c r="V5798">
        <v>5.5126719999999997E-2</v>
      </c>
      <c r="W5798">
        <v>0.14375940000000001</v>
      </c>
      <c r="X5798">
        <v>0.98807599999999995</v>
      </c>
      <c r="Y5798">
        <v>5.0309710000000001E-2</v>
      </c>
      <c r="Z5798">
        <v>5.2313770000000002E-2</v>
      </c>
      <c r="AA5798">
        <v>0.99736259999999999</v>
      </c>
      <c r="AB5798">
        <v>41</v>
      </c>
      <c r="AC5798">
        <v>3.5795999999999699</v>
      </c>
      <c r="AD5798">
        <v>-1.1078563966882999</v>
      </c>
      <c r="AE5798">
        <v>-19.92173</v>
      </c>
      <c r="AF5798">
        <v>1.0216020702973001</v>
      </c>
      <c r="AG5798">
        <v>-1.1078563966882999</v>
      </c>
      <c r="AH5798">
        <v>20.1544408684987</v>
      </c>
      <c r="AI5798">
        <v>93.142262174252593</v>
      </c>
      <c r="AJ5798">
        <v>87.098235886021698</v>
      </c>
      <c r="AK5798">
        <v>20.210702692077099</v>
      </c>
      <c r="AL5798">
        <v>81.734554201404805</v>
      </c>
      <c r="AM5798">
        <v>86.806665408407696</v>
      </c>
      <c r="AN5798">
        <v>0.99999995106115702</v>
      </c>
    </row>
    <row r="5799" spans="1:40" x14ac:dyDescent="0.25">
      <c r="A5799" t="str">
        <f>"20190312172232279"</f>
        <v>20190312172232279</v>
      </c>
      <c r="B5799" t="str">
        <f>"1552382552276444"</f>
        <v>1552382552276444</v>
      </c>
      <c r="C5799" t="s">
        <v>40</v>
      </c>
      <c r="D5799">
        <v>3.639043</v>
      </c>
      <c r="E5799">
        <v>0.49740590000000001</v>
      </c>
      <c r="F5799" t="s">
        <v>42</v>
      </c>
      <c r="G5799">
        <v>-420.9905</v>
      </c>
      <c r="H5799" s="1">
        <v>-4.2860460000000001E-6</v>
      </c>
      <c r="I5799">
        <v>79.065219999999997</v>
      </c>
      <c r="J5799">
        <v>-424.64400000000001</v>
      </c>
      <c r="K5799">
        <v>1.107507</v>
      </c>
      <c r="L5799">
        <v>99.509739999999994</v>
      </c>
      <c r="M5799">
        <v>0.22412299999999999</v>
      </c>
      <c r="N5799">
        <v>0</v>
      </c>
      <c r="O5799">
        <v>-0.97445090000000001</v>
      </c>
      <c r="P5799">
        <v>0.17105429999999999</v>
      </c>
      <c r="Q5799">
        <v>0.1309266</v>
      </c>
      <c r="R5799">
        <v>-0.97652380000000005</v>
      </c>
      <c r="S5799">
        <v>0.53750609999999999</v>
      </c>
      <c r="T5799">
        <v>-0.160667899999999</v>
      </c>
      <c r="U5799">
        <v>-2.9987490000000001</v>
      </c>
      <c r="V5799">
        <v>5.3127679999999997E-2</v>
      </c>
      <c r="W5799">
        <v>0.145065</v>
      </c>
      <c r="X5799">
        <v>0.9879947</v>
      </c>
      <c r="Y5799">
        <v>4.8924189999999999E-2</v>
      </c>
      <c r="Z5799">
        <v>5.1037260000000001E-2</v>
      </c>
      <c r="AA5799">
        <v>0.99749770000000004</v>
      </c>
      <c r="AB5799">
        <v>41</v>
      </c>
      <c r="AC5799">
        <v>3.6535000000000002</v>
      </c>
      <c r="AD5799">
        <v>-1.1075112860459999</v>
      </c>
      <c r="AE5799">
        <v>-20.444520000000001</v>
      </c>
      <c r="AF5799">
        <v>1.01914214524169</v>
      </c>
      <c r="AG5799">
        <v>-1.1075112860459999</v>
      </c>
      <c r="AH5799">
        <v>20.6844161575087</v>
      </c>
      <c r="AI5799">
        <v>93.061170396566894</v>
      </c>
      <c r="AJ5799">
        <v>87.179259978863996</v>
      </c>
      <c r="AK5799">
        <v>20.739100842079299</v>
      </c>
      <c r="AL5799">
        <v>81.658956501693297</v>
      </c>
      <c r="AM5799">
        <v>86.921984545458898</v>
      </c>
      <c r="AN5799">
        <v>0.99999996591763496</v>
      </c>
    </row>
    <row r="5800" spans="1:40" x14ac:dyDescent="0.25">
      <c r="A5800" t="str">
        <f>"20190312172232294"</f>
        <v>20190312172232294</v>
      </c>
      <c r="B5800" t="str">
        <f>"1552382552286204"</f>
        <v>1552382552286204</v>
      </c>
      <c r="C5800" t="s">
        <v>40</v>
      </c>
      <c r="D5800">
        <v>3.6708630000000002</v>
      </c>
      <c r="E5800">
        <v>0.49787320000000002</v>
      </c>
      <c r="F5800" t="s">
        <v>42</v>
      </c>
      <c r="G5800">
        <v>-420.88720000000001</v>
      </c>
      <c r="H5800" s="1">
        <v>-3.9372430000000003E-6</v>
      </c>
      <c r="I5800">
        <v>78.216660000000005</v>
      </c>
      <c r="J5800">
        <v>-424.58589999999998</v>
      </c>
      <c r="K5800">
        <v>1.10717</v>
      </c>
      <c r="L5800">
        <v>99.248900000000006</v>
      </c>
      <c r="M5800">
        <v>0.2213976</v>
      </c>
      <c r="N5800">
        <v>0</v>
      </c>
      <c r="O5800">
        <v>-0.9750742</v>
      </c>
      <c r="P5800">
        <v>0.1718336</v>
      </c>
      <c r="Q5800">
        <v>0.13588610000000001</v>
      </c>
      <c r="R5800">
        <v>-0.9757093</v>
      </c>
      <c r="S5800">
        <v>0.52935790000000005</v>
      </c>
      <c r="T5800">
        <v>-0.15605559999999999</v>
      </c>
      <c r="U5800">
        <v>-3.0003359999999999</v>
      </c>
      <c r="V5800">
        <v>4.9582630000000003E-2</v>
      </c>
      <c r="W5800">
        <v>0.14997839999999901</v>
      </c>
      <c r="X5800">
        <v>0.98744520000000002</v>
      </c>
      <c r="Y5800">
        <v>4.8835990000000003E-2</v>
      </c>
      <c r="Z5800">
        <v>4.9609479999999997E-2</v>
      </c>
      <c r="AA5800">
        <v>0.99757399999999996</v>
      </c>
      <c r="AB5800">
        <v>41</v>
      </c>
      <c r="AC5800">
        <v>3.6986999999999699</v>
      </c>
      <c r="AD5800">
        <v>-1.1071739372430001</v>
      </c>
      <c r="AE5800">
        <v>-21.032239999999899</v>
      </c>
      <c r="AF5800">
        <v>1.04727746333014</v>
      </c>
      <c r="AG5800">
        <v>-1.1071739372430001</v>
      </c>
      <c r="AH5800">
        <v>21.271974348193801</v>
      </c>
      <c r="AI5800">
        <v>92.975871807262493</v>
      </c>
      <c r="AJ5800">
        <v>87.181447895274999</v>
      </c>
      <c r="AK5800">
        <v>21.326497998563301</v>
      </c>
      <c r="AL5800">
        <v>81.374325106386706</v>
      </c>
      <c r="AM5800">
        <v>87.125418779651895</v>
      </c>
      <c r="AN5800">
        <v>0.99999999033365805</v>
      </c>
    </row>
    <row r="5801" spans="1:40" x14ac:dyDescent="0.25">
      <c r="A5801" t="str">
        <f>"20190312172232306"</f>
        <v>20190312172232306</v>
      </c>
      <c r="B5801" t="str">
        <f>"1552382552295964"</f>
        <v>1552382552295964</v>
      </c>
      <c r="C5801" t="s">
        <v>40</v>
      </c>
      <c r="D5801">
        <v>3.8965369999999999</v>
      </c>
      <c r="E5801">
        <v>0.4986061</v>
      </c>
      <c r="F5801" t="s">
        <v>42</v>
      </c>
      <c r="G5801">
        <v>-420.44479999999999</v>
      </c>
      <c r="H5801" s="1">
        <v>-2.752419E-6</v>
      </c>
      <c r="I5801">
        <v>75.729200000000006</v>
      </c>
      <c r="J5801">
        <v>-424.53440000000001</v>
      </c>
      <c r="K5801">
        <v>1.1068739999999999</v>
      </c>
      <c r="L5801">
        <v>99.014399999999995</v>
      </c>
      <c r="M5801">
        <v>0.2188677</v>
      </c>
      <c r="N5801">
        <v>0</v>
      </c>
      <c r="O5801">
        <v>-0.97564550000000005</v>
      </c>
      <c r="P5801">
        <v>0.17102310000000001</v>
      </c>
      <c r="Q5801">
        <v>0.13798740000000001</v>
      </c>
      <c r="R5801">
        <v>-0.97555700000000001</v>
      </c>
      <c r="S5801">
        <v>0.52844239999999998</v>
      </c>
      <c r="T5801">
        <v>-0.1412832</v>
      </c>
      <c r="U5801">
        <v>-3.0012819999999998</v>
      </c>
      <c r="V5801">
        <v>4.7901869999999999E-2</v>
      </c>
      <c r="W5801">
        <v>0.15203820000000001</v>
      </c>
      <c r="X5801">
        <v>0.98721309999999995</v>
      </c>
      <c r="Y5801">
        <v>4.6554819999999997E-2</v>
      </c>
      <c r="Z5801">
        <v>4.4953239999999998E-2</v>
      </c>
      <c r="AA5801">
        <v>0.99790369999999995</v>
      </c>
      <c r="AB5801">
        <v>41</v>
      </c>
      <c r="AC5801">
        <v>4.0896000000000097</v>
      </c>
      <c r="AD5801">
        <v>-1.106876752419</v>
      </c>
      <c r="AE5801">
        <v>-23.2851999999999</v>
      </c>
      <c r="AF5801">
        <v>1.1040759045967501</v>
      </c>
      <c r="AG5801">
        <v>-1.106876752419</v>
      </c>
      <c r="AH5801">
        <v>23.5640417725612</v>
      </c>
      <c r="AI5801">
        <v>92.686442270140105</v>
      </c>
      <c r="AJ5801">
        <v>87.317410151157404</v>
      </c>
      <c r="AK5801">
        <v>23.615846891593101</v>
      </c>
      <c r="AL5801">
        <v>81.254937846109996</v>
      </c>
      <c r="AM5801">
        <v>87.222054627520393</v>
      </c>
      <c r="AN5801">
        <v>0.99999995411017195</v>
      </c>
    </row>
    <row r="5802" spans="1:40" x14ac:dyDescent="0.25">
      <c r="A5802" t="str">
        <f>"20190312172232320"</f>
        <v>20190312172232320</v>
      </c>
      <c r="B5802" t="str">
        <f>"1552382552316460"</f>
        <v>1552382552316460</v>
      </c>
      <c r="C5802" t="s">
        <v>40</v>
      </c>
      <c r="D5802">
        <v>3.6645949999999998</v>
      </c>
      <c r="E5802">
        <v>0.50578339999999999</v>
      </c>
      <c r="F5802" t="s">
        <v>42</v>
      </c>
      <c r="G5802">
        <v>-420.1121</v>
      </c>
      <c r="H5802" s="1">
        <v>-1.7115959999999999E-6</v>
      </c>
      <c r="I5802">
        <v>73.509339999999995</v>
      </c>
      <c r="J5802">
        <v>-424.48140000000001</v>
      </c>
      <c r="K5802">
        <v>1.106584</v>
      </c>
      <c r="L5802">
        <v>98.770970000000005</v>
      </c>
      <c r="M5802">
        <v>0.21616840000000001</v>
      </c>
      <c r="N5802">
        <v>0</v>
      </c>
      <c r="O5802">
        <v>-0.97624739999999999</v>
      </c>
      <c r="P5802">
        <v>0.17054949999999999</v>
      </c>
      <c r="Q5802">
        <v>0.138961</v>
      </c>
      <c r="R5802">
        <v>-0.97550199999999998</v>
      </c>
      <c r="S5802">
        <v>0.52056880000000005</v>
      </c>
      <c r="T5802">
        <v>-0.13029679999999999</v>
      </c>
      <c r="U5802">
        <v>-3.0023499999999999</v>
      </c>
      <c r="V5802">
        <v>4.5735730000000002E-2</v>
      </c>
      <c r="W5802">
        <v>0.1529807</v>
      </c>
      <c r="X5802">
        <v>0.98717029999999995</v>
      </c>
      <c r="Y5802">
        <v>4.6365660000000003E-2</v>
      </c>
      <c r="Z5802">
        <v>4.1497510000000001E-2</v>
      </c>
      <c r="AA5802">
        <v>0.99806220000000001</v>
      </c>
      <c r="AB5802">
        <v>41</v>
      </c>
      <c r="AC5802">
        <v>4.3693000000000097</v>
      </c>
      <c r="AD5802">
        <v>-1.1065857115960001</v>
      </c>
      <c r="AE5802">
        <v>-25.261629999999901</v>
      </c>
      <c r="AF5802">
        <v>1.1931522213057599</v>
      </c>
      <c r="AG5802">
        <v>-1.1065857115960001</v>
      </c>
      <c r="AH5802">
        <v>25.561198800367201</v>
      </c>
      <c r="AI5802">
        <v>92.4761864904482</v>
      </c>
      <c r="AJ5802">
        <v>87.327472740598296</v>
      </c>
      <c r="AK5802">
        <v>25.6129464972738</v>
      </c>
      <c r="AL5802">
        <v>81.200298026819695</v>
      </c>
      <c r="AM5802">
        <v>87.347375840573704</v>
      </c>
      <c r="AN5802">
        <v>1.0000000263866</v>
      </c>
    </row>
    <row r="5803" spans="1:40" x14ac:dyDescent="0.25">
      <c r="A5803" t="str">
        <f>"20190312172232333"</f>
        <v>20190312172232333</v>
      </c>
      <c r="B5803" t="str">
        <f>"1552382552326220"</f>
        <v>1552382552326220</v>
      </c>
      <c r="C5803" t="s">
        <v>40</v>
      </c>
      <c r="D5803">
        <v>3.7028979999999998</v>
      </c>
      <c r="E5803">
        <v>0.50603379999999998</v>
      </c>
      <c r="F5803" t="s">
        <v>65</v>
      </c>
      <c r="G5803">
        <v>-409.29649999999998</v>
      </c>
      <c r="H5803">
        <v>1.3791370000000001</v>
      </c>
      <c r="I5803">
        <v>0.5862484</v>
      </c>
      <c r="J5803">
        <v>-424.43189999999998</v>
      </c>
      <c r="K5803">
        <v>1.106328</v>
      </c>
      <c r="L5803">
        <v>98.538449999999997</v>
      </c>
      <c r="M5803">
        <v>0.2134596</v>
      </c>
      <c r="N5803">
        <v>0</v>
      </c>
      <c r="O5803">
        <v>-0.97684320000000002</v>
      </c>
      <c r="P5803">
        <v>0.16985059999999999</v>
      </c>
      <c r="Q5803">
        <v>0.13977519999999999</v>
      </c>
      <c r="R5803">
        <v>-0.97550709999999996</v>
      </c>
      <c r="S5803">
        <v>0.46292109999999898</v>
      </c>
      <c r="T5803">
        <v>8.3081719999999904E-3</v>
      </c>
      <c r="U5803">
        <v>-2.9932249999999998</v>
      </c>
      <c r="V5803">
        <v>4.3780859999999998E-2</v>
      </c>
      <c r="W5803">
        <v>0.15377560000000001</v>
      </c>
      <c r="X5803">
        <v>0.9871354</v>
      </c>
      <c r="Y5803">
        <v>6.1658770000000002E-2</v>
      </c>
      <c r="Z5803">
        <v>-2.661732E-3</v>
      </c>
      <c r="AA5803">
        <v>0.99809369999999997</v>
      </c>
      <c r="AB5803">
        <v>41</v>
      </c>
      <c r="AC5803">
        <v>15.135400000000001</v>
      </c>
      <c r="AD5803">
        <v>0.27280900000000002</v>
      </c>
      <c r="AE5803">
        <v>-97.952201599999995</v>
      </c>
      <c r="AF5803">
        <v>6.12452915117714</v>
      </c>
      <c r="AG5803">
        <v>0.27280900000000002</v>
      </c>
      <c r="AH5803">
        <v>98.9244935610689</v>
      </c>
      <c r="AI5803">
        <v>89.842294927837898</v>
      </c>
      <c r="AJ5803">
        <v>86.457274199147193</v>
      </c>
      <c r="AK5803">
        <v>99.114276006981299</v>
      </c>
      <c r="AL5803">
        <v>81.154208007963007</v>
      </c>
      <c r="AM5803">
        <v>87.460514852846998</v>
      </c>
      <c r="AN5803">
        <v>0.99999999839542897</v>
      </c>
    </row>
    <row r="5804" spans="1:40" x14ac:dyDescent="0.25">
      <c r="A5804" t="str">
        <f>"20190312172232344"</f>
        <v>20190312172232344</v>
      </c>
      <c r="B5804" t="str">
        <f>"1552382552335980"</f>
        <v>1552382552335980</v>
      </c>
      <c r="C5804" t="s">
        <v>40</v>
      </c>
      <c r="D5804">
        <v>3.687344</v>
      </c>
      <c r="E5804">
        <v>0.50622639999999997</v>
      </c>
      <c r="F5804" t="s">
        <v>65</v>
      </c>
      <c r="G5804">
        <v>-409.45920000000001</v>
      </c>
      <c r="H5804">
        <v>1.538923</v>
      </c>
      <c r="I5804">
        <v>0.58459090000000002</v>
      </c>
      <c r="J5804">
        <v>-424.38510000000002</v>
      </c>
      <c r="K5804">
        <v>1.106093</v>
      </c>
      <c r="L5804">
        <v>98.315889999999996</v>
      </c>
      <c r="M5804">
        <v>0.2108168</v>
      </c>
      <c r="N5804">
        <v>0</v>
      </c>
      <c r="O5804">
        <v>-0.97741710000000004</v>
      </c>
      <c r="P5804">
        <v>0.16885259999999999</v>
      </c>
      <c r="Q5804">
        <v>0.14125109999999999</v>
      </c>
      <c r="R5804">
        <v>-0.97546790000000005</v>
      </c>
      <c r="S5804">
        <v>0.45761109999999999</v>
      </c>
      <c r="T5804">
        <v>1.3220549999999999E-2</v>
      </c>
      <c r="U5804">
        <v>-2.9937740000000002</v>
      </c>
      <c r="V5804">
        <v>4.2177829999999999E-2</v>
      </c>
      <c r="W5804">
        <v>0.15523229999999999</v>
      </c>
      <c r="X5804">
        <v>0.9869772</v>
      </c>
      <c r="Y5804">
        <v>6.0717199999999999E-2</v>
      </c>
      <c r="Z5804">
        <v>-4.2391759999999999E-3</v>
      </c>
      <c r="AA5804">
        <v>0.99814599999999998</v>
      </c>
      <c r="AB5804">
        <v>41</v>
      </c>
      <c r="AC5804">
        <v>14.9259</v>
      </c>
      <c r="AD5804">
        <v>0.43282999999999999</v>
      </c>
      <c r="AE5804">
        <v>-97.731299099999902</v>
      </c>
      <c r="AF5804">
        <v>6.0150924669096097</v>
      </c>
      <c r="AG5804">
        <v>0.43282999999999999</v>
      </c>
      <c r="AH5804">
        <v>98.679447223585697</v>
      </c>
      <c r="AI5804">
        <v>89.749155165068998</v>
      </c>
      <c r="AJ5804">
        <v>86.511801384167498</v>
      </c>
      <c r="AK5804">
        <v>98.863552351444497</v>
      </c>
      <c r="AL5804">
        <v>81.069730998224998</v>
      </c>
      <c r="AM5804">
        <v>87.552990924361097</v>
      </c>
      <c r="AN5804">
        <v>1.0000000148133099</v>
      </c>
    </row>
    <row r="5805" spans="1:40" x14ac:dyDescent="0.25">
      <c r="A5805" t="str">
        <f>"20190312172232357"</f>
        <v>20190312172232357</v>
      </c>
      <c r="B5805" t="str">
        <f>"1552382552346717"</f>
        <v>1552382552346717</v>
      </c>
      <c r="C5805" t="s">
        <v>40</v>
      </c>
      <c r="D5805">
        <v>3.9701270000000002</v>
      </c>
      <c r="E5805">
        <v>0.50657249999999998</v>
      </c>
      <c r="F5805" t="s">
        <v>65</v>
      </c>
      <c r="G5805">
        <v>-409.63990000000001</v>
      </c>
      <c r="H5805">
        <v>1.7296819999999999</v>
      </c>
      <c r="I5805">
        <v>0.58275410000000005</v>
      </c>
      <c r="J5805">
        <v>-424.33879999999999</v>
      </c>
      <c r="K5805">
        <v>1.105869</v>
      </c>
      <c r="L5805">
        <v>98.093050000000005</v>
      </c>
      <c r="M5805">
        <v>0.20810400000000001</v>
      </c>
      <c r="N5805">
        <v>0</v>
      </c>
      <c r="O5805">
        <v>-0.97799840000000005</v>
      </c>
      <c r="P5805">
        <v>0.16776729999999901</v>
      </c>
      <c r="Q5805">
        <v>0.14242260000000001</v>
      </c>
      <c r="R5805">
        <v>-0.97548449999999998</v>
      </c>
      <c r="S5805">
        <v>0.45178220000000002</v>
      </c>
      <c r="T5805">
        <v>1.910543E-2</v>
      </c>
      <c r="U5805">
        <v>-2.9944760000000001</v>
      </c>
      <c r="V5805">
        <v>4.059724E-2</v>
      </c>
      <c r="W5805">
        <v>0.15638920000000001</v>
      </c>
      <c r="X5805">
        <v>0.98686079999999998</v>
      </c>
      <c r="Y5805">
        <v>5.988313E-2</v>
      </c>
      <c r="Z5805">
        <v>-6.131208E-3</v>
      </c>
      <c r="AA5805">
        <v>0.99818660000000003</v>
      </c>
      <c r="AB5805">
        <v>41</v>
      </c>
      <c r="AC5805">
        <v>14.698899999999901</v>
      </c>
      <c r="AD5805">
        <v>0.62381299999999995</v>
      </c>
      <c r="AE5805">
        <v>-97.510295900000003</v>
      </c>
      <c r="AF5805">
        <v>5.9171719947400403</v>
      </c>
      <c r="AG5805">
        <v>0.62381299999999995</v>
      </c>
      <c r="AH5805">
        <v>98.4303017606738</v>
      </c>
      <c r="AI5805">
        <v>89.637540806916206</v>
      </c>
      <c r="AJ5805">
        <v>86.559784348925106</v>
      </c>
      <c r="AK5805">
        <v>98.609970955130194</v>
      </c>
      <c r="AL5805">
        <v>81.002625616483797</v>
      </c>
      <c r="AM5805">
        <v>87.644308390987803</v>
      </c>
      <c r="AN5805">
        <v>0.99999997817444797</v>
      </c>
    </row>
    <row r="5806" spans="1:40" x14ac:dyDescent="0.25">
      <c r="A5806" t="str">
        <f>"20190312172232373"</f>
        <v>20190312172232373</v>
      </c>
      <c r="B5806" t="str">
        <f>"1552382552366236"</f>
        <v>1552382552366236</v>
      </c>
      <c r="C5806" t="s">
        <v>40</v>
      </c>
      <c r="D5806">
        <v>3.6711200000000002</v>
      </c>
      <c r="E5806">
        <v>0.50720889999999996</v>
      </c>
      <c r="F5806" t="s">
        <v>65</v>
      </c>
      <c r="G5806">
        <v>-409.8372</v>
      </c>
      <c r="H5806">
        <v>1.802495</v>
      </c>
      <c r="I5806">
        <v>0.58074950000000003</v>
      </c>
      <c r="J5806">
        <v>-424.28559999999999</v>
      </c>
      <c r="K5806">
        <v>1.105621</v>
      </c>
      <c r="L5806">
        <v>97.831329999999994</v>
      </c>
      <c r="M5806">
        <v>0.2047958</v>
      </c>
      <c r="N5806">
        <v>0</v>
      </c>
      <c r="O5806">
        <v>-0.97869649999999997</v>
      </c>
      <c r="P5806">
        <v>0.1665372</v>
      </c>
      <c r="Q5806">
        <v>0.1415257</v>
      </c>
      <c r="R5806">
        <v>-0.97582579999999997</v>
      </c>
      <c r="S5806">
        <v>0.44549559999999999</v>
      </c>
      <c r="T5806">
        <v>2.1399970000000001E-2</v>
      </c>
      <c r="U5806">
        <v>-2.9956360000000002</v>
      </c>
      <c r="V5806">
        <v>3.8613620000000001E-2</v>
      </c>
      <c r="W5806">
        <v>0.1554886</v>
      </c>
      <c r="X5806">
        <v>0.98708269999999998</v>
      </c>
      <c r="Y5806">
        <v>5.8614350000000003E-2</v>
      </c>
      <c r="Z5806">
        <v>-6.8735910000000001E-3</v>
      </c>
      <c r="AA5806">
        <v>0.99825699999999995</v>
      </c>
      <c r="AB5806">
        <v>41</v>
      </c>
      <c r="AC5806">
        <v>14.4483999999999</v>
      </c>
      <c r="AD5806">
        <v>0.69687399999999999</v>
      </c>
      <c r="AE5806">
        <v>-97.250580499999998</v>
      </c>
      <c r="AF5806">
        <v>5.7762336155047604</v>
      </c>
      <c r="AG5806">
        <v>0.69687399999999999</v>
      </c>
      <c r="AH5806">
        <v>98.143240224739202</v>
      </c>
      <c r="AI5806">
        <v>89.593876289078395</v>
      </c>
      <c r="AJ5806">
        <v>86.631734739144704</v>
      </c>
      <c r="AK5806">
        <v>98.315543582709395</v>
      </c>
      <c r="AL5806">
        <v>81.054865336854505</v>
      </c>
      <c r="AM5806">
        <v>87.759792613470296</v>
      </c>
      <c r="AN5806">
        <v>0.99999998650937705</v>
      </c>
    </row>
    <row r="5807" spans="1:40" x14ac:dyDescent="0.25">
      <c r="A5807" t="str">
        <f>"20190312172232497"</f>
        <v>20190312172232497</v>
      </c>
      <c r="B5807" t="str">
        <f>"1552382552486284"</f>
        <v>1552382552486284</v>
      </c>
      <c r="C5807" t="s">
        <v>40</v>
      </c>
      <c r="D5807">
        <v>4.0468129999999896</v>
      </c>
      <c r="E5807">
        <v>0.50720889999999996</v>
      </c>
      <c r="F5807" t="s">
        <v>65</v>
      </c>
      <c r="G5807">
        <v>-410.14100000000002</v>
      </c>
      <c r="H5807">
        <v>1.6199110000000001</v>
      </c>
      <c r="I5807">
        <v>0.57765580000000005</v>
      </c>
      <c r="J5807">
        <v>-423.86810000000003</v>
      </c>
      <c r="K5807">
        <v>1.103874</v>
      </c>
      <c r="L5807">
        <v>95.561400000000006</v>
      </c>
      <c r="M5807">
        <v>0.17196600000000001</v>
      </c>
      <c r="N5807">
        <v>0</v>
      </c>
      <c r="O5807">
        <v>-0.98499510000000001</v>
      </c>
      <c r="P5807">
        <v>0.14186029999999999</v>
      </c>
      <c r="Q5807">
        <v>0.14507999999999999</v>
      </c>
      <c r="R5807">
        <v>-0.97919789999999995</v>
      </c>
      <c r="S5807">
        <v>0.43597409999999998</v>
      </c>
      <c r="T5807">
        <v>1.5850779999999998E-2</v>
      </c>
      <c r="U5807">
        <v>-2.99762</v>
      </c>
      <c r="V5807">
        <v>3.1143110000000002E-2</v>
      </c>
      <c r="W5807">
        <v>0.15902040000000001</v>
      </c>
      <c r="X5807">
        <v>0.98678399999999999</v>
      </c>
      <c r="Y5807">
        <v>2.84143E-2</v>
      </c>
      <c r="Z5807">
        <v>-5.1419090000000001E-3</v>
      </c>
      <c r="AA5807">
        <v>0.999583</v>
      </c>
      <c r="AB5807">
        <v>41</v>
      </c>
      <c r="AC5807">
        <v>13.7271</v>
      </c>
      <c r="AD5807">
        <v>0.51603699999999997</v>
      </c>
      <c r="AE5807">
        <v>-94.983744200000004</v>
      </c>
      <c r="AF5807">
        <v>2.8130656837748398</v>
      </c>
      <c r="AG5807">
        <v>0.51603699999999997</v>
      </c>
      <c r="AH5807">
        <v>95.926529348485602</v>
      </c>
      <c r="AI5807">
        <v>89.691912628313403</v>
      </c>
      <c r="AJ5807">
        <v>88.3202705883416</v>
      </c>
      <c r="AK5807">
        <v>95.9691547611652</v>
      </c>
      <c r="AL5807">
        <v>80.849958882031501</v>
      </c>
      <c r="AM5807">
        <v>88.192333196090303</v>
      </c>
      <c r="AN5807">
        <v>1.0000000217863101</v>
      </c>
    </row>
    <row r="5808" spans="1:40" x14ac:dyDescent="0.25">
      <c r="A5808" t="str">
        <f>"20190312172232522"</f>
        <v>20190312172232522</v>
      </c>
      <c r="B5808" t="str">
        <f>"1552382552516541"</f>
        <v>1552382552516541</v>
      </c>
      <c r="C5808" t="s">
        <v>40</v>
      </c>
      <c r="D5808">
        <v>3.9076900000000001</v>
      </c>
      <c r="E5808">
        <v>0.55332119999999996</v>
      </c>
      <c r="F5808" t="s">
        <v>65</v>
      </c>
      <c r="G5808">
        <v>-412.55009999999999</v>
      </c>
      <c r="H5808">
        <v>1.9601850000000001</v>
      </c>
      <c r="I5808">
        <v>0.55315590000000003</v>
      </c>
      <c r="J5808">
        <v>-423.7944</v>
      </c>
      <c r="K5808">
        <v>1.103631</v>
      </c>
      <c r="L5808">
        <v>95.103790000000004</v>
      </c>
      <c r="M5808">
        <v>0.16454540000000001</v>
      </c>
      <c r="N5808">
        <v>0</v>
      </c>
      <c r="O5808">
        <v>-0.98626150000000001</v>
      </c>
      <c r="P5808">
        <v>0.13419829999999999</v>
      </c>
      <c r="Q5808">
        <v>0.15065390000000001</v>
      </c>
      <c r="R5808">
        <v>-0.97943599999999997</v>
      </c>
      <c r="S5808">
        <v>0.35830689999999998</v>
      </c>
      <c r="T5808">
        <v>2.7108549999999999E-2</v>
      </c>
      <c r="U5808">
        <v>-3.0078130000000001</v>
      </c>
      <c r="V5808">
        <v>3.1487269999999998E-2</v>
      </c>
      <c r="W5808">
        <v>0.1645701</v>
      </c>
      <c r="X5808">
        <v>0.98586269999999998</v>
      </c>
      <c r="Y5808">
        <v>4.6735829999999999E-2</v>
      </c>
      <c r="Z5808">
        <v>-8.7926440000000005E-3</v>
      </c>
      <c r="AA5808">
        <v>0.9988686</v>
      </c>
      <c r="AB5808">
        <v>41</v>
      </c>
      <c r="AC5808">
        <v>11.244300000000001</v>
      </c>
      <c r="AD5808">
        <v>0.85655399999999904</v>
      </c>
      <c r="AE5808">
        <v>-94.550634099999996</v>
      </c>
      <c r="AF5808">
        <v>4.4681662071567096</v>
      </c>
      <c r="AG5808">
        <v>0.85655399999999904</v>
      </c>
      <c r="AH5808">
        <v>95.104284816921194</v>
      </c>
      <c r="AI5808">
        <v>89.484549694153102</v>
      </c>
      <c r="AJ5808">
        <v>87.310121671378198</v>
      </c>
      <c r="AK5808">
        <v>95.213041042431598</v>
      </c>
      <c r="AL5808">
        <v>80.527738518300296</v>
      </c>
      <c r="AM5808">
        <v>88.1706635086815</v>
      </c>
      <c r="AN5808">
        <v>1.0000000146186701</v>
      </c>
    </row>
    <row r="5809" spans="1:40" x14ac:dyDescent="0.25">
      <c r="A5809" t="str">
        <f>"20190312172232561"</f>
        <v>20190312172232561</v>
      </c>
      <c r="B5809" t="str">
        <f>"1552382552556559"</f>
        <v>1552382552556559</v>
      </c>
      <c r="C5809" t="s">
        <v>40</v>
      </c>
      <c r="D5809">
        <v>3.6047600000000002</v>
      </c>
      <c r="E5809">
        <v>0.5495968</v>
      </c>
      <c r="F5809" t="s">
        <v>63</v>
      </c>
      <c r="G5809">
        <v>0</v>
      </c>
      <c r="H5809">
        <v>0</v>
      </c>
      <c r="I5809">
        <v>0</v>
      </c>
      <c r="J5809">
        <v>-423.6884</v>
      </c>
      <c r="K5809">
        <v>1.103329</v>
      </c>
      <c r="L5809">
        <v>94.401889999999995</v>
      </c>
      <c r="M5809">
        <v>0.152804</v>
      </c>
      <c r="N5809">
        <v>0</v>
      </c>
      <c r="O5809">
        <v>-0.98814849999999999</v>
      </c>
      <c r="P5809">
        <v>0.1251226</v>
      </c>
      <c r="Q5809">
        <v>0.16070599999999999</v>
      </c>
      <c r="R5809">
        <v>-0.97903949999999995</v>
      </c>
      <c r="S5809">
        <v>3.1738280000000001E-3</v>
      </c>
      <c r="T5809">
        <v>1.3487020000000001</v>
      </c>
      <c r="U5809">
        <v>-2.8551030000000002</v>
      </c>
      <c r="V5809">
        <v>2.8951790000000002E-2</v>
      </c>
      <c r="W5809">
        <v>0.174638299999999</v>
      </c>
      <c r="X5809">
        <v>0.9842069</v>
      </c>
      <c r="Y5809">
        <v>0.15173490000000001</v>
      </c>
      <c r="Z5809">
        <v>-0.41737930000000001</v>
      </c>
      <c r="AA5809">
        <v>0.89597490000000002</v>
      </c>
      <c r="AB5809">
        <v>41</v>
      </c>
      <c r="AC5809">
        <v>3.1738280000000001E-3</v>
      </c>
      <c r="AD5809">
        <v>1.3487020000000001</v>
      </c>
      <c r="AE5809">
        <v>-2.8551030000000002</v>
      </c>
      <c r="AF5809">
        <v>0.35415347312874201</v>
      </c>
      <c r="AG5809">
        <v>1.3487020000000001</v>
      </c>
      <c r="AH5809">
        <v>2.3072089390845001</v>
      </c>
      <c r="AI5809">
        <v>59.980992570983602</v>
      </c>
      <c r="AJ5809">
        <v>81.273288516650894</v>
      </c>
      <c r="AK5809">
        <v>2.6958551251735599</v>
      </c>
      <c r="AL5809">
        <v>79.942389720324698</v>
      </c>
      <c r="AM5809">
        <v>88.315052297958204</v>
      </c>
      <c r="AN5809">
        <v>0.99999998198935103</v>
      </c>
    </row>
    <row r="5810" spans="1:40" x14ac:dyDescent="0.25">
      <c r="A5810" t="str">
        <f>"20190312172232573"</f>
        <v>20190312172232573</v>
      </c>
      <c r="B5810" t="str">
        <f>"1552382552566316"</f>
        <v>1552382552566316</v>
      </c>
      <c r="C5810" t="s">
        <v>40</v>
      </c>
      <c r="D5810">
        <v>3.6235590000000002</v>
      </c>
      <c r="E5810">
        <v>0.54640979999999995</v>
      </c>
      <c r="F5810" t="s">
        <v>63</v>
      </c>
      <c r="G5810">
        <v>0</v>
      </c>
      <c r="H5810">
        <v>0</v>
      </c>
      <c r="I5810">
        <v>0</v>
      </c>
      <c r="J5810">
        <v>-423.65730000000002</v>
      </c>
      <c r="K5810">
        <v>1.103245</v>
      </c>
      <c r="L5810">
        <v>94.182040000000001</v>
      </c>
      <c r="M5810">
        <v>0.14905360000000001</v>
      </c>
      <c r="N5810">
        <v>0</v>
      </c>
      <c r="O5810">
        <v>-0.98872130000000003</v>
      </c>
      <c r="P5810">
        <v>0.1220479</v>
      </c>
      <c r="Q5810">
        <v>0.16078390000000001</v>
      </c>
      <c r="R5810">
        <v>-0.97941489999999998</v>
      </c>
      <c r="S5810">
        <v>-8.4228519999999998E-3</v>
      </c>
      <c r="T5810">
        <v>1.006818</v>
      </c>
      <c r="U5810">
        <v>-2.900055</v>
      </c>
      <c r="V5810">
        <v>2.834304E-2</v>
      </c>
      <c r="W5810">
        <v>0.17472650000000001</v>
      </c>
      <c r="X5810">
        <v>0.984209</v>
      </c>
      <c r="Y5810">
        <v>0.15173619999999999</v>
      </c>
      <c r="Z5810">
        <v>-0.32067449999999997</v>
      </c>
      <c r="AA5810">
        <v>0.93495669999999997</v>
      </c>
      <c r="AB5810">
        <v>41</v>
      </c>
      <c r="AC5810">
        <v>-8.4228519999999998E-3</v>
      </c>
      <c r="AD5810">
        <v>1.006818</v>
      </c>
      <c r="AE5810">
        <v>-2.900055</v>
      </c>
      <c r="AF5810">
        <v>0.39324202748828602</v>
      </c>
      <c r="AG5810">
        <v>1.006818</v>
      </c>
      <c r="AH5810">
        <v>2.5580778064937202</v>
      </c>
      <c r="AI5810">
        <v>68.743261101411093</v>
      </c>
      <c r="AJ5810">
        <v>81.260585778987704</v>
      </c>
      <c r="AK5810">
        <v>2.7770638886030001</v>
      </c>
      <c r="AL5810">
        <v>79.937257673890798</v>
      </c>
      <c r="AM5810">
        <v>88.350464304975105</v>
      </c>
      <c r="AN5810">
        <v>1.00000001669984</v>
      </c>
    </row>
    <row r="5811" spans="1:40" x14ac:dyDescent="0.25">
      <c r="A5811" t="str">
        <f>"20190312172232585"</f>
        <v>20190312172232585</v>
      </c>
      <c r="B5811" t="str">
        <f>"1552382552576076"</f>
        <v>1552382552576076</v>
      </c>
      <c r="C5811" t="s">
        <v>40</v>
      </c>
      <c r="D5811">
        <v>3.6499079999999999</v>
      </c>
      <c r="E5811">
        <v>0.54403789999999996</v>
      </c>
      <c r="F5811" t="s">
        <v>65</v>
      </c>
      <c r="G5811">
        <v>-423.55689999999998</v>
      </c>
      <c r="H5811">
        <v>25.616019999999999</v>
      </c>
      <c r="I5811">
        <v>0.44129750000000001</v>
      </c>
      <c r="J5811">
        <v>-423.62729999999999</v>
      </c>
      <c r="K5811">
        <v>1.103165</v>
      </c>
      <c r="L5811">
        <v>93.966520000000003</v>
      </c>
      <c r="M5811">
        <v>0.145361299999999</v>
      </c>
      <c r="N5811">
        <v>0</v>
      </c>
      <c r="O5811">
        <v>-0.98927069999999995</v>
      </c>
      <c r="P5811">
        <v>0.118715</v>
      </c>
      <c r="Q5811">
        <v>0.1614379</v>
      </c>
      <c r="R5811">
        <v>-0.97971649999999999</v>
      </c>
      <c r="S5811">
        <v>3.1433110000000002E-3</v>
      </c>
      <c r="T5811">
        <v>0.76790999999999998</v>
      </c>
      <c r="U5811">
        <v>-2.9366150000000002</v>
      </c>
      <c r="V5811">
        <v>2.8046250000000002E-2</v>
      </c>
      <c r="W5811">
        <v>0.17538429999999999</v>
      </c>
      <c r="X5811">
        <v>0.98410050000000004</v>
      </c>
      <c r="Y5811">
        <v>0.14432619999999999</v>
      </c>
      <c r="Z5811">
        <v>-0.24767700000000001</v>
      </c>
      <c r="AA5811">
        <v>0.95803240000000001</v>
      </c>
      <c r="AB5811">
        <v>41</v>
      </c>
      <c r="AC5811">
        <v>7.0400000000006402E-2</v>
      </c>
      <c r="AD5811">
        <v>24.512854999999998</v>
      </c>
      <c r="AE5811">
        <v>-93.525222499999899</v>
      </c>
      <c r="AF5811">
        <v>12.657248310235</v>
      </c>
      <c r="AG5811">
        <v>24.512854999999998</v>
      </c>
      <c r="AH5811">
        <v>86.593285476285899</v>
      </c>
      <c r="AI5811">
        <v>74.352234780944002</v>
      </c>
      <c r="AJ5811">
        <v>81.684027802604902</v>
      </c>
      <c r="AK5811">
        <v>90.881698292975997</v>
      </c>
      <c r="AL5811">
        <v>79.898977436740594</v>
      </c>
      <c r="AM5811">
        <v>88.367547917772697</v>
      </c>
      <c r="AN5811">
        <v>1.0000000194629</v>
      </c>
    </row>
    <row r="5812" spans="1:40" x14ac:dyDescent="0.25">
      <c r="A5812" t="str">
        <f>"20190312172232598"</f>
        <v>20190312172232598</v>
      </c>
      <c r="B5812" t="str">
        <f>"1552382552596572"</f>
        <v>1552382552596572</v>
      </c>
      <c r="C5812" t="s">
        <v>40</v>
      </c>
      <c r="D5812">
        <v>3.610347</v>
      </c>
      <c r="E5812">
        <v>0.54127599999999998</v>
      </c>
      <c r="F5812" t="s">
        <v>65</v>
      </c>
      <c r="G5812">
        <v>-423.34</v>
      </c>
      <c r="H5812">
        <v>20.45205</v>
      </c>
      <c r="I5812">
        <v>0.44348720000000003</v>
      </c>
      <c r="J5812">
        <v>-423.59300000000002</v>
      </c>
      <c r="K5812">
        <v>1.103073</v>
      </c>
      <c r="L5812">
        <v>93.713099999999997</v>
      </c>
      <c r="M5812">
        <v>0.14099519999999999</v>
      </c>
      <c r="N5812">
        <v>0</v>
      </c>
      <c r="O5812">
        <v>-0.98990219999999995</v>
      </c>
      <c r="P5812">
        <v>0.11486689999999899</v>
      </c>
      <c r="Q5812">
        <v>0.16162270000000001</v>
      </c>
      <c r="R5812">
        <v>-0.98014500000000004</v>
      </c>
      <c r="S5812">
        <v>9.0942379999999993E-3</v>
      </c>
      <c r="T5812">
        <v>0.61241409999999996</v>
      </c>
      <c r="U5812">
        <v>-2.9601139999999999</v>
      </c>
      <c r="V5812">
        <v>2.7602850000000002E-2</v>
      </c>
      <c r="W5812">
        <v>0.1755767</v>
      </c>
      <c r="X5812">
        <v>0.98407869999999997</v>
      </c>
      <c r="Y5812">
        <v>0.13801569999999999</v>
      </c>
      <c r="Z5812">
        <v>-0.1986136</v>
      </c>
      <c r="AA5812">
        <v>0.97031149999999999</v>
      </c>
      <c r="AB5812">
        <v>41</v>
      </c>
      <c r="AC5812">
        <v>0.25300000000004202</v>
      </c>
      <c r="AD5812">
        <v>19.348976999999898</v>
      </c>
      <c r="AE5812">
        <v>-93.269612800000004</v>
      </c>
      <c r="AF5812">
        <v>12.369182086690399</v>
      </c>
      <c r="AG5812">
        <v>19.348976999999898</v>
      </c>
      <c r="AH5812">
        <v>88.561991694936907</v>
      </c>
      <c r="AI5812">
        <v>77.790609046006907</v>
      </c>
      <c r="AJ5812">
        <v>82.049106744146101</v>
      </c>
      <c r="AK5812">
        <v>91.491015675935699</v>
      </c>
      <c r="AL5812">
        <v>79.887779689690205</v>
      </c>
      <c r="AM5812">
        <v>88.393307123818602</v>
      </c>
      <c r="AN5812">
        <v>0.99999999135235096</v>
      </c>
    </row>
    <row r="5813" spans="1:40" x14ac:dyDescent="0.25">
      <c r="A5813" t="str">
        <f>"20190312172232617"</f>
        <v>20190312172232617</v>
      </c>
      <c r="B5813" t="str">
        <f>"1552382552605865"</f>
        <v>1552382552605865</v>
      </c>
      <c r="C5813" t="s">
        <v>40</v>
      </c>
      <c r="D5813">
        <v>3.6372460000000002</v>
      </c>
      <c r="E5813">
        <v>0.54052690000000003</v>
      </c>
      <c r="F5813" t="s">
        <v>65</v>
      </c>
      <c r="G5813">
        <v>-423.08</v>
      </c>
      <c r="H5813">
        <v>14.089119999999999</v>
      </c>
      <c r="I5813">
        <v>0.4461117</v>
      </c>
      <c r="J5813">
        <v>-423.55020000000002</v>
      </c>
      <c r="K5813">
        <v>1.1029690000000001</v>
      </c>
      <c r="L5813">
        <v>93.381559999999993</v>
      </c>
      <c r="M5813">
        <v>0.135244899999999</v>
      </c>
      <c r="N5813">
        <v>0</v>
      </c>
      <c r="O5813">
        <v>-0.99070409999999998</v>
      </c>
      <c r="P5813">
        <v>0.1109233</v>
      </c>
      <c r="Q5813">
        <v>0.16320799999999999</v>
      </c>
      <c r="R5813">
        <v>-0.9803364</v>
      </c>
      <c r="S5813">
        <v>1.644897E-2</v>
      </c>
      <c r="T5813">
        <v>0.41634080000000001</v>
      </c>
      <c r="U5813">
        <v>-2.9902039999999999</v>
      </c>
      <c r="V5813">
        <v>2.5875820000000001E-2</v>
      </c>
      <c r="W5813">
        <v>0.17718989999999901</v>
      </c>
      <c r="X5813">
        <v>0.9838365</v>
      </c>
      <c r="Y5813">
        <v>0.12985260000000001</v>
      </c>
      <c r="Z5813">
        <v>-0.1354254</v>
      </c>
      <c r="AA5813">
        <v>0.98224149999999999</v>
      </c>
      <c r="AB5813">
        <v>41</v>
      </c>
      <c r="AC5813">
        <v>0.47020000000003298</v>
      </c>
      <c r="AD5813">
        <v>12.986151</v>
      </c>
      <c r="AE5813">
        <v>-92.935448300000004</v>
      </c>
      <c r="AF5813">
        <v>11.872700515473401</v>
      </c>
      <c r="AG5813">
        <v>12.986151</v>
      </c>
      <c r="AH5813">
        <v>90.380331741191895</v>
      </c>
      <c r="AI5813">
        <v>81.892228727190201</v>
      </c>
      <c r="AJ5813">
        <v>82.516262008358396</v>
      </c>
      <c r="AK5813">
        <v>92.077171443158605</v>
      </c>
      <c r="AL5813">
        <v>79.793878380917107</v>
      </c>
      <c r="AM5813">
        <v>88.493414741731897</v>
      </c>
      <c r="AN5813">
        <v>1.0000000387274599</v>
      </c>
    </row>
    <row r="5814" spans="1:40" x14ac:dyDescent="0.25">
      <c r="A5814" t="str">
        <f>"20190312172232631"</f>
        <v>20190312172232631</v>
      </c>
      <c r="B5814" t="str">
        <f>"1552382552626361"</f>
        <v>1552382552626361</v>
      </c>
      <c r="C5814" t="s">
        <v>40</v>
      </c>
      <c r="D5814">
        <v>3.6273469999999999</v>
      </c>
      <c r="E5814">
        <v>0.53940149999999998</v>
      </c>
      <c r="F5814" t="s">
        <v>65</v>
      </c>
      <c r="G5814">
        <v>-423.25900000000001</v>
      </c>
      <c r="H5814">
        <v>12.116400000000001</v>
      </c>
      <c r="I5814">
        <v>0.44428060000000003</v>
      </c>
      <c r="J5814">
        <v>-423.51929999999999</v>
      </c>
      <c r="K5814">
        <v>1.102902</v>
      </c>
      <c r="L5814">
        <v>93.130769999999998</v>
      </c>
      <c r="M5814">
        <v>0.1308773</v>
      </c>
      <c r="N5814">
        <v>0</v>
      </c>
      <c r="O5814">
        <v>-0.99129060000000002</v>
      </c>
      <c r="P5814">
        <v>0.10734630000000001</v>
      </c>
      <c r="Q5814">
        <v>0.16478809999999999</v>
      </c>
      <c r="R5814">
        <v>-0.98047039999999996</v>
      </c>
      <c r="S5814">
        <v>9.399414E-3</v>
      </c>
      <c r="T5814">
        <v>0.35550369999999998</v>
      </c>
      <c r="U5814">
        <v>-2.9999389999999999</v>
      </c>
      <c r="V5814">
        <v>2.514713E-2</v>
      </c>
      <c r="W5814">
        <v>0.1787801</v>
      </c>
      <c r="X5814">
        <v>0.98356770000000004</v>
      </c>
      <c r="Y5814">
        <v>0.1278019</v>
      </c>
      <c r="Z5814">
        <v>-0.11568249999999999</v>
      </c>
      <c r="AA5814">
        <v>0.98503010000000002</v>
      </c>
      <c r="AB5814">
        <v>41</v>
      </c>
      <c r="AC5814">
        <v>0.260299999999972</v>
      </c>
      <c r="AD5814">
        <v>11.013498</v>
      </c>
      <c r="AE5814">
        <v>-92.686489399999999</v>
      </c>
      <c r="AF5814">
        <v>11.708479613541201</v>
      </c>
      <c r="AG5814">
        <v>11.013498</v>
      </c>
      <c r="AH5814">
        <v>90.643329378116704</v>
      </c>
      <c r="AI5814">
        <v>83.128843696753293</v>
      </c>
      <c r="AJ5814">
        <v>82.639807780080801</v>
      </c>
      <c r="AK5814">
        <v>92.057584118889693</v>
      </c>
      <c r="AL5814">
        <v>79.701288493130093</v>
      </c>
      <c r="AM5814">
        <v>88.535423041404499</v>
      </c>
      <c r="AN5814">
        <v>1.00000006139326</v>
      </c>
    </row>
    <row r="5815" spans="1:40" x14ac:dyDescent="0.25">
      <c r="A5815" t="str">
        <f>"20190312172232643"</f>
        <v>20190312172232643</v>
      </c>
      <c r="B5815" t="str">
        <f>"1552382552636123"</f>
        <v>1552382552636123</v>
      </c>
      <c r="C5815" t="s">
        <v>40</v>
      </c>
      <c r="D5815">
        <v>3.6509819999999999</v>
      </c>
      <c r="E5815">
        <v>0.53885249999999996</v>
      </c>
      <c r="F5815" t="s">
        <v>65</v>
      </c>
      <c r="G5815">
        <v>-423.36160000000001</v>
      </c>
      <c r="H5815">
        <v>9.2599649999999993</v>
      </c>
      <c r="I5815">
        <v>0.4432297</v>
      </c>
      <c r="J5815">
        <v>-423.49099999999999</v>
      </c>
      <c r="K5815">
        <v>1.10284</v>
      </c>
      <c r="L5815">
        <v>92.895629999999997</v>
      </c>
      <c r="M5815">
        <v>0.12677239999999901</v>
      </c>
      <c r="N5815">
        <v>0</v>
      </c>
      <c r="O5815">
        <v>-0.99182389999999998</v>
      </c>
      <c r="P5815">
        <v>0.1043746</v>
      </c>
      <c r="Q5815">
        <v>0.16621540000000001</v>
      </c>
      <c r="R5815">
        <v>-0.98055009999999998</v>
      </c>
      <c r="S5815">
        <v>5.1269530000000001E-3</v>
      </c>
      <c r="T5815">
        <v>0.26530359999999997</v>
      </c>
      <c r="U5815">
        <v>-3.014618</v>
      </c>
      <c r="V5815">
        <v>2.4071370000000002E-2</v>
      </c>
      <c r="W5815">
        <v>0.180224</v>
      </c>
      <c r="X5815">
        <v>0.98333099999999996</v>
      </c>
      <c r="Y5815">
        <v>0.1251033</v>
      </c>
      <c r="Z5815">
        <v>-8.626267E-2</v>
      </c>
      <c r="AA5815">
        <v>0.98838649999999995</v>
      </c>
      <c r="AB5815">
        <v>41</v>
      </c>
      <c r="AC5815">
        <v>0.12939999999997501</v>
      </c>
      <c r="AD5815">
        <v>8.15712499999999</v>
      </c>
      <c r="AE5815">
        <v>-92.452400299999994</v>
      </c>
      <c r="AF5815">
        <v>11.5037595366171</v>
      </c>
      <c r="AG5815">
        <v>8.15712499999999</v>
      </c>
      <c r="AH5815">
        <v>91.014214086443602</v>
      </c>
      <c r="AI5815">
        <v>84.918777564925904</v>
      </c>
      <c r="AJ5815">
        <v>82.796288132693604</v>
      </c>
      <c r="AK5815">
        <v>92.100284133736196</v>
      </c>
      <c r="AL5815">
        <v>79.617192437415895</v>
      </c>
      <c r="AM5815">
        <v>88.597712755871498</v>
      </c>
      <c r="AN5815">
        <v>0.99999998829533798</v>
      </c>
    </row>
    <row r="5816" spans="1:40" x14ac:dyDescent="0.25">
      <c r="A5816" t="str">
        <f>"20190312172232655"</f>
        <v>20190312172232655</v>
      </c>
      <c r="B5816" t="str">
        <f>"1552382552646857"</f>
        <v>1552382552646857</v>
      </c>
      <c r="C5816" t="s">
        <v>40</v>
      </c>
      <c r="D5816">
        <v>3.656304</v>
      </c>
      <c r="E5816">
        <v>0.53839630000000005</v>
      </c>
      <c r="F5816" t="s">
        <v>65</v>
      </c>
      <c r="G5816">
        <v>-423.49740000000003</v>
      </c>
      <c r="H5816">
        <v>8.1955519999999993</v>
      </c>
      <c r="I5816">
        <v>1.7388729999999999</v>
      </c>
      <c r="J5816">
        <v>-423.46570000000003</v>
      </c>
      <c r="K5816">
        <v>1.102789</v>
      </c>
      <c r="L5816">
        <v>92.676540000000003</v>
      </c>
      <c r="M5816">
        <v>0.1229397</v>
      </c>
      <c r="N5816">
        <v>0</v>
      </c>
      <c r="O5816">
        <v>-0.99230620000000003</v>
      </c>
      <c r="P5816">
        <v>0.1016379</v>
      </c>
      <c r="Q5816">
        <v>0.16719229999999999</v>
      </c>
      <c r="R5816">
        <v>-0.98067179999999998</v>
      </c>
      <c r="S5816">
        <v>-2.13623E-4</v>
      </c>
      <c r="T5816">
        <v>0.23495659999999999</v>
      </c>
      <c r="U5816">
        <v>-3.019714</v>
      </c>
      <c r="V5816">
        <v>2.3030100000000001E-2</v>
      </c>
      <c r="W5816">
        <v>0.1812192</v>
      </c>
      <c r="X5816">
        <v>0.98317299999999996</v>
      </c>
      <c r="Y5816">
        <v>0.12302150000000001</v>
      </c>
      <c r="Z5816">
        <v>-7.6396489999999997E-2</v>
      </c>
      <c r="AA5816">
        <v>0.98945910000000004</v>
      </c>
      <c r="AB5816">
        <v>41</v>
      </c>
      <c r="AC5816">
        <v>-3.17000000000007E-2</v>
      </c>
      <c r="AD5816">
        <v>7.0927629999999997</v>
      </c>
      <c r="AE5816">
        <v>-90.937667000000005</v>
      </c>
      <c r="AF5816">
        <v>11.1447094949836</v>
      </c>
      <c r="AG5816">
        <v>7.0927629999999997</v>
      </c>
      <c r="AH5816">
        <v>89.698115260587301</v>
      </c>
      <c r="AI5816">
        <v>85.5131745260896</v>
      </c>
      <c r="AJ5816">
        <v>82.917475247426097</v>
      </c>
      <c r="AK5816">
        <v>90.665670008020996</v>
      </c>
      <c r="AL5816">
        <v>79.559216832770801</v>
      </c>
      <c r="AM5816">
        <v>88.658134151996805</v>
      </c>
      <c r="AN5816">
        <v>0.99999996594182405</v>
      </c>
    </row>
    <row r="5817" spans="1:40" x14ac:dyDescent="0.25">
      <c r="A5817" t="str">
        <f>"20190312172232667"</f>
        <v>20190312172232667</v>
      </c>
      <c r="B5817" t="str">
        <f>"1552382552656617"</f>
        <v>1552382552656617</v>
      </c>
      <c r="C5817" t="s">
        <v>40</v>
      </c>
      <c r="D5817">
        <v>3.6805249999999998</v>
      </c>
      <c r="E5817">
        <v>0.53794560000000002</v>
      </c>
      <c r="F5817" t="s">
        <v>65</v>
      </c>
      <c r="G5817">
        <v>-423.63130000000001</v>
      </c>
      <c r="H5817">
        <v>7.4374929999999901</v>
      </c>
      <c r="I5817">
        <v>0.44048310000000002</v>
      </c>
      <c r="J5817">
        <v>-423.44299999999998</v>
      </c>
      <c r="K5817">
        <v>1.1027439999999999</v>
      </c>
      <c r="L5817">
        <v>92.473050000000001</v>
      </c>
      <c r="M5817">
        <v>0.1193746</v>
      </c>
      <c r="N5817">
        <v>0</v>
      </c>
      <c r="O5817">
        <v>-0.99274119999999999</v>
      </c>
      <c r="P5817">
        <v>9.9195000000000005E-2</v>
      </c>
      <c r="Q5817">
        <v>0.167789299999999</v>
      </c>
      <c r="R5817">
        <v>-0.98081989999999997</v>
      </c>
      <c r="S5817">
        <v>-5.432129E-3</v>
      </c>
      <c r="T5817">
        <v>0.2077029</v>
      </c>
      <c r="U5817">
        <v>-3.0242610000000001</v>
      </c>
      <c r="V5817">
        <v>2.1959269999999999E-2</v>
      </c>
      <c r="W5817">
        <v>0.18183489999999999</v>
      </c>
      <c r="X5817">
        <v>0.98308379999999995</v>
      </c>
      <c r="Y5817">
        <v>0.12116540000000001</v>
      </c>
      <c r="Z5817">
        <v>-6.7530480000000004E-2</v>
      </c>
      <c r="AA5817">
        <v>0.99033249999999995</v>
      </c>
      <c r="AB5817">
        <v>41</v>
      </c>
      <c r="AC5817">
        <v>-0.18829999999996899</v>
      </c>
      <c r="AD5817">
        <v>6.3347489999999897</v>
      </c>
      <c r="AE5817">
        <v>-92.032566900000006</v>
      </c>
      <c r="AF5817">
        <v>11.1217907154359</v>
      </c>
      <c r="AG5817">
        <v>6.3347489999999897</v>
      </c>
      <c r="AH5817">
        <v>90.921082776714996</v>
      </c>
      <c r="AI5817">
        <v>86.043862457527496</v>
      </c>
      <c r="AJ5817">
        <v>83.026022441204503</v>
      </c>
      <c r="AK5817">
        <v>91.817572211974806</v>
      </c>
      <c r="AL5817">
        <v>79.523343645204704</v>
      </c>
      <c r="AM5817">
        <v>88.720389553056194</v>
      </c>
      <c r="AN5817">
        <v>0.99999994910969003</v>
      </c>
    </row>
    <row r="5818" spans="1:40" x14ac:dyDescent="0.25">
      <c r="A5818" t="str">
        <f>"20190312172232684"</f>
        <v>20190312172232684</v>
      </c>
      <c r="B5818" t="str">
        <f>"1552382552676137"</f>
        <v>1552382552676137</v>
      </c>
      <c r="C5818" t="s">
        <v>40</v>
      </c>
      <c r="D5818">
        <v>3.6422150000000002</v>
      </c>
      <c r="E5818">
        <v>0.53764019999999901</v>
      </c>
      <c r="F5818" t="s">
        <v>65</v>
      </c>
      <c r="G5818">
        <v>-423.73140000000001</v>
      </c>
      <c r="H5818">
        <v>6.6725949999999896</v>
      </c>
      <c r="I5818">
        <v>0.43946079999999998</v>
      </c>
      <c r="J5818">
        <v>-423.40940000000001</v>
      </c>
      <c r="K5818">
        <v>1.102673</v>
      </c>
      <c r="L5818">
        <v>92.161190000000005</v>
      </c>
      <c r="M5818">
        <v>0.1139047</v>
      </c>
      <c r="N5818">
        <v>0</v>
      </c>
      <c r="O5818">
        <v>-0.99338380000000004</v>
      </c>
      <c r="P5818">
        <v>9.7005140000000004E-2</v>
      </c>
      <c r="Q5818">
        <v>0.1640093</v>
      </c>
      <c r="R5818">
        <v>-0.98167749999999998</v>
      </c>
      <c r="S5818">
        <v>-9.4909669999999995E-3</v>
      </c>
      <c r="T5818">
        <v>0.1832703</v>
      </c>
      <c r="U5818">
        <v>-3.0282900000000001</v>
      </c>
      <c r="V5818">
        <v>1.8755859999999999E-2</v>
      </c>
      <c r="W5818">
        <v>0.1781256</v>
      </c>
      <c r="X5818">
        <v>0.98382899999999995</v>
      </c>
      <c r="Y5818">
        <v>0.11702369999999999</v>
      </c>
      <c r="Z5818">
        <v>-5.9611669999999999E-2</v>
      </c>
      <c r="AA5818">
        <v>0.99133839999999995</v>
      </c>
      <c r="AB5818">
        <v>41</v>
      </c>
      <c r="AC5818">
        <v>-0.32200000000000201</v>
      </c>
      <c r="AD5818">
        <v>5.5699219999999903</v>
      </c>
      <c r="AE5818">
        <v>-91.721729199999999</v>
      </c>
      <c r="AF5818">
        <v>10.728995126537299</v>
      </c>
      <c r="AG5818">
        <v>5.5699219999999903</v>
      </c>
      <c r="AH5818">
        <v>90.753299826113505</v>
      </c>
      <c r="AI5818">
        <v>86.512144449221793</v>
      </c>
      <c r="AJ5818">
        <v>83.257699206798307</v>
      </c>
      <c r="AK5818">
        <v>91.554884068736598</v>
      </c>
      <c r="AL5818">
        <v>79.7393997629067</v>
      </c>
      <c r="AM5818">
        <v>88.907837176092499</v>
      </c>
      <c r="AN5818">
        <v>1.00000000645034</v>
      </c>
    </row>
    <row r="5819" spans="1:40" x14ac:dyDescent="0.25">
      <c r="A5819" t="str">
        <f>"20190312172232695"</f>
        <v>20190312172232695</v>
      </c>
      <c r="B5819" t="str">
        <f>"1552382552685898"</f>
        <v>1552382552685898</v>
      </c>
      <c r="C5819" t="s">
        <v>40</v>
      </c>
      <c r="D5819">
        <v>3.6393089999999999</v>
      </c>
      <c r="E5819">
        <v>0.53290249999999995</v>
      </c>
      <c r="F5819" t="s">
        <v>65</v>
      </c>
      <c r="G5819">
        <v>-423.81450000000001</v>
      </c>
      <c r="H5819">
        <v>5.5768779999999998</v>
      </c>
      <c r="I5819">
        <v>0.438612</v>
      </c>
      <c r="J5819">
        <v>-423.3877</v>
      </c>
      <c r="K5819">
        <v>1.10263</v>
      </c>
      <c r="L5819">
        <v>91.949799999999996</v>
      </c>
      <c r="M5819">
        <v>0.110191899999999</v>
      </c>
      <c r="N5819">
        <v>0</v>
      </c>
      <c r="O5819">
        <v>-0.99380239999999997</v>
      </c>
      <c r="P5819">
        <v>9.5072160000000003E-2</v>
      </c>
      <c r="Q5819">
        <v>0.1606776</v>
      </c>
      <c r="R5819">
        <v>-0.98241750000000005</v>
      </c>
      <c r="S5819">
        <v>-1.339722E-2</v>
      </c>
      <c r="T5819">
        <v>0.14792820000000001</v>
      </c>
      <c r="U5819">
        <v>-3.0325929999999999</v>
      </c>
      <c r="V5819">
        <v>1.7024000000000001E-2</v>
      </c>
      <c r="W5819">
        <v>0.1748355</v>
      </c>
      <c r="X5819">
        <v>0.98445050000000001</v>
      </c>
      <c r="Y5819">
        <v>0.11458790000000001</v>
      </c>
      <c r="Z5819">
        <v>-4.8115829999999998E-2</v>
      </c>
      <c r="AA5819">
        <v>0.9922472</v>
      </c>
      <c r="AB5819">
        <v>41</v>
      </c>
      <c r="AC5819">
        <v>-0.426800000000014</v>
      </c>
      <c r="AD5819">
        <v>4.4742479999999896</v>
      </c>
      <c r="AE5819">
        <v>-91.511188000000004</v>
      </c>
      <c r="AF5819">
        <v>10.484012225971901</v>
      </c>
      <c r="AG5819">
        <v>4.4742479999999896</v>
      </c>
      <c r="AH5819">
        <v>90.689969080806904</v>
      </c>
      <c r="AI5819">
        <v>87.194221747691998</v>
      </c>
      <c r="AJ5819">
        <v>83.405720170347706</v>
      </c>
      <c r="AK5819">
        <v>91.403522357716298</v>
      </c>
      <c r="AL5819">
        <v>79.930914913157494</v>
      </c>
      <c r="AM5819">
        <v>89.009288797877105</v>
      </c>
      <c r="AN5819">
        <v>1.0000000277932399</v>
      </c>
    </row>
    <row r="5820" spans="1:40" x14ac:dyDescent="0.25">
      <c r="A5820" t="str">
        <f>"20190312172232708"</f>
        <v>20190312172232708</v>
      </c>
      <c r="B5820" t="str">
        <f>"1552382552696633"</f>
        <v>1552382552696633</v>
      </c>
      <c r="C5820" t="s">
        <v>40</v>
      </c>
      <c r="D5820">
        <v>3.6433179999999998</v>
      </c>
      <c r="E5820">
        <v>0.53281149999999999</v>
      </c>
      <c r="F5820" t="s">
        <v>42</v>
      </c>
      <c r="G5820">
        <v>-423.31639999999999</v>
      </c>
      <c r="H5820" s="1">
        <v>-3.2214639999999998E-6</v>
      </c>
      <c r="I5820">
        <v>75.041469999999904</v>
      </c>
      <c r="J5820">
        <v>-423.36630000000002</v>
      </c>
      <c r="K5820">
        <v>1.1025940000000001</v>
      </c>
      <c r="L5820">
        <v>91.731809999999996</v>
      </c>
      <c r="M5820">
        <v>0.1063616</v>
      </c>
      <c r="N5820">
        <v>0</v>
      </c>
      <c r="O5820">
        <v>-0.99421970000000004</v>
      </c>
      <c r="P5820">
        <v>9.2964459999999999E-2</v>
      </c>
      <c r="Q5820">
        <v>0.15828589999999901</v>
      </c>
      <c r="R5820">
        <v>-0.98300730000000003</v>
      </c>
      <c r="S5820">
        <v>1.300049E-2</v>
      </c>
      <c r="T5820">
        <v>-0.20120370000000001</v>
      </c>
      <c r="U5820">
        <v>-3.0853579999999998</v>
      </c>
      <c r="V5820">
        <v>1.534661E-2</v>
      </c>
      <c r="W5820">
        <v>0.17248189999999999</v>
      </c>
      <c r="X5820">
        <v>0.98489309999999997</v>
      </c>
      <c r="Y5820">
        <v>0.10219060000000001</v>
      </c>
      <c r="Z5820">
        <v>6.4350229999999994E-2</v>
      </c>
      <c r="AA5820">
        <v>0.99268129999999999</v>
      </c>
      <c r="AB5820">
        <v>41</v>
      </c>
      <c r="AC5820">
        <v>4.9900000000036401E-2</v>
      </c>
      <c r="AD5820">
        <v>-1.1025972214640001</v>
      </c>
      <c r="AE5820">
        <v>-16.690339999999999</v>
      </c>
      <c r="AF5820">
        <v>1.71828586140733</v>
      </c>
      <c r="AG5820">
        <v>-1.1025972214640001</v>
      </c>
      <c r="AH5820">
        <v>16.528817755679398</v>
      </c>
      <c r="AI5820">
        <v>93.796011453980697</v>
      </c>
      <c r="AJ5820">
        <v>84.065022796936802</v>
      </c>
      <c r="AK5820">
        <v>16.654430141399502</v>
      </c>
      <c r="AL5820">
        <v>80.067846282579197</v>
      </c>
      <c r="AM5820">
        <v>89.107289076180194</v>
      </c>
      <c r="AN5820">
        <v>0.99999997134685503</v>
      </c>
    </row>
    <row r="5821" spans="1:40" x14ac:dyDescent="0.25">
      <c r="A5821" t="str">
        <f>"20190312172232722"</f>
        <v>20190312172232722</v>
      </c>
      <c r="B5821" t="str">
        <f>"1552382552716154"</f>
        <v>1552382552716154</v>
      </c>
      <c r="C5821" t="s">
        <v>40</v>
      </c>
      <c r="D5821">
        <v>3.6201449999999999</v>
      </c>
      <c r="E5821">
        <v>0.53300150000000002</v>
      </c>
      <c r="F5821" t="s">
        <v>41</v>
      </c>
      <c r="G5821">
        <v>-423.3646</v>
      </c>
      <c r="H5821">
        <v>1.038573</v>
      </c>
      <c r="I5821">
        <v>90.778890000000004</v>
      </c>
      <c r="J5821">
        <v>-423.34350000000001</v>
      </c>
      <c r="K5821">
        <v>1.1025640000000001</v>
      </c>
      <c r="L5821">
        <v>91.493840000000006</v>
      </c>
      <c r="M5821">
        <v>0.102178</v>
      </c>
      <c r="N5821">
        <v>0</v>
      </c>
      <c r="O5821">
        <v>-0.99465820000000005</v>
      </c>
      <c r="P5821">
        <v>9.0217169999999999E-2</v>
      </c>
      <c r="Q5821">
        <v>0.155914</v>
      </c>
      <c r="R5821">
        <v>-0.98364249999999998</v>
      </c>
      <c r="S5821">
        <v>6.6528319999999896E-3</v>
      </c>
      <c r="T5821">
        <v>-0.20679069999999999</v>
      </c>
      <c r="U5821">
        <v>-3.0845340000000001</v>
      </c>
      <c r="V5821">
        <v>1.3957860000000001E-2</v>
      </c>
      <c r="W5821">
        <v>0.17014319999999999</v>
      </c>
      <c r="X5821">
        <v>0.98532050000000004</v>
      </c>
      <c r="Y5821">
        <v>0.10004730000000001</v>
      </c>
      <c r="Z5821">
        <v>6.6198300000000002E-2</v>
      </c>
      <c r="AA5821">
        <v>0.9927781</v>
      </c>
      <c r="AB5821">
        <v>41</v>
      </c>
      <c r="AC5821">
        <v>-2.1099999999989901E-2</v>
      </c>
      <c r="AD5821">
        <v>-6.3990999999999895E-2</v>
      </c>
      <c r="AE5821">
        <v>-0.71495000000000097</v>
      </c>
      <c r="AF5821">
        <v>9.3302749498475807E-2</v>
      </c>
      <c r="AG5821">
        <v>-6.3990999999999895E-2</v>
      </c>
      <c r="AH5821">
        <v>0.703420855616959</v>
      </c>
      <c r="AI5821">
        <v>95.153068057050504</v>
      </c>
      <c r="AJ5821">
        <v>82.444310735062501</v>
      </c>
      <c r="AK5821">
        <v>0.71246133316964699</v>
      </c>
      <c r="AL5821">
        <v>80.203854980735599</v>
      </c>
      <c r="AM5821">
        <v>89.188413331755797</v>
      </c>
      <c r="AN5821">
        <v>1.0000000090411301</v>
      </c>
    </row>
    <row r="5822" spans="1:40" x14ac:dyDescent="0.25">
      <c r="A5822" t="str">
        <f>"20190312172232733"</f>
        <v>20190312172232733</v>
      </c>
      <c r="B5822" t="str">
        <f>"1552382552725914"</f>
        <v>1552382552725914</v>
      </c>
      <c r="C5822" t="s">
        <v>40</v>
      </c>
      <c r="D5822">
        <v>3.7517719999999999</v>
      </c>
      <c r="E5822">
        <v>0.53300150000000002</v>
      </c>
      <c r="F5822" t="s">
        <v>41</v>
      </c>
      <c r="G5822">
        <v>-423.34539999999998</v>
      </c>
      <c r="H5822">
        <v>1.029393</v>
      </c>
      <c r="I5822">
        <v>90.420590000000004</v>
      </c>
      <c r="J5822">
        <v>-423.3229</v>
      </c>
      <c r="K5822">
        <v>1.1025370000000001</v>
      </c>
      <c r="L5822">
        <v>91.264070000000004</v>
      </c>
      <c r="M5822">
        <v>9.8136249999999994E-2</v>
      </c>
      <c r="N5822">
        <v>0</v>
      </c>
      <c r="O5822">
        <v>-0.99506499999999998</v>
      </c>
      <c r="P5822">
        <v>8.7762320000000005E-2</v>
      </c>
      <c r="Q5822">
        <v>0.15425549999999999</v>
      </c>
      <c r="R5822">
        <v>-0.98412560000000004</v>
      </c>
      <c r="S5822">
        <v>-4.699707E-3</v>
      </c>
      <c r="T5822">
        <v>-0.20998990000000001</v>
      </c>
      <c r="U5822">
        <v>-3.083618</v>
      </c>
      <c r="V5822">
        <v>1.241372E-2</v>
      </c>
      <c r="W5822">
        <v>0.16851910000000001</v>
      </c>
      <c r="X5822">
        <v>0.98562019999999995</v>
      </c>
      <c r="Y5822">
        <v>9.9659380000000006E-2</v>
      </c>
      <c r="Z5822">
        <v>6.7280359999999997E-2</v>
      </c>
      <c r="AA5822">
        <v>0.99274439999999997</v>
      </c>
      <c r="AB5822">
        <v>40</v>
      </c>
      <c r="AC5822">
        <v>-2.2499999999979502E-2</v>
      </c>
      <c r="AD5822">
        <v>-7.3144000000000098E-2</v>
      </c>
      <c r="AE5822">
        <v>-0.84347999999998502</v>
      </c>
      <c r="AF5822">
        <v>0.104391779702269</v>
      </c>
      <c r="AG5822">
        <v>-7.3144000000000098E-2</v>
      </c>
      <c r="AH5822">
        <v>0.83095513627565099</v>
      </c>
      <c r="AI5822">
        <v>94.991404620306795</v>
      </c>
      <c r="AJ5822">
        <v>82.839521021824794</v>
      </c>
      <c r="AK5822">
        <v>0.84067480449237497</v>
      </c>
      <c r="AL5822">
        <v>80.2982722762805</v>
      </c>
      <c r="AM5822">
        <v>89.278407484990495</v>
      </c>
      <c r="AN5822">
        <v>0.99999998307854299</v>
      </c>
    </row>
    <row r="5823" spans="1:40" x14ac:dyDescent="0.25">
      <c r="A5823" t="str">
        <f>"20190312172232745"</f>
        <v>20190312172232745</v>
      </c>
      <c r="B5823" t="str">
        <f>"1552382552736650"</f>
        <v>1552382552736650</v>
      </c>
      <c r="C5823" t="s">
        <v>40</v>
      </c>
      <c r="D5823">
        <v>3.637381</v>
      </c>
      <c r="E5823">
        <v>0.53287910000000005</v>
      </c>
      <c r="F5823" t="s">
        <v>41</v>
      </c>
      <c r="G5823">
        <v>-423.32659999999998</v>
      </c>
      <c r="H5823">
        <v>1.0431600000000001</v>
      </c>
      <c r="I5823">
        <v>90.413240000000002</v>
      </c>
      <c r="J5823">
        <v>-423.30459999999999</v>
      </c>
      <c r="K5823">
        <v>1.1025180000000001</v>
      </c>
      <c r="L5823">
        <v>91.052520000000001</v>
      </c>
      <c r="M5823">
        <v>9.4413940000000002E-2</v>
      </c>
      <c r="N5823">
        <v>0</v>
      </c>
      <c r="O5823">
        <v>-0.99542509999999995</v>
      </c>
      <c r="P5823">
        <v>8.5447430000000005E-2</v>
      </c>
      <c r="Q5823">
        <v>0.15296779999999999</v>
      </c>
      <c r="R5823">
        <v>-0.98453020000000002</v>
      </c>
      <c r="S5823">
        <v>-1.275635E-2</v>
      </c>
      <c r="T5823">
        <v>-0.21490049999999999</v>
      </c>
      <c r="U5823">
        <v>-3.083221</v>
      </c>
      <c r="V5823">
        <v>1.1044740000000001E-2</v>
      </c>
      <c r="W5823">
        <v>0.16726160000000001</v>
      </c>
      <c r="X5823">
        <v>0.98585069999999997</v>
      </c>
      <c r="Y5823">
        <v>9.8531670000000002E-2</v>
      </c>
      <c r="Z5823">
        <v>6.8896170000000007E-2</v>
      </c>
      <c r="AA5823">
        <v>0.99274609999999996</v>
      </c>
      <c r="AB5823">
        <v>40</v>
      </c>
      <c r="AC5823">
        <v>-2.1999999999991301E-2</v>
      </c>
      <c r="AD5823">
        <v>-5.9358000000000001E-2</v>
      </c>
      <c r="AE5823">
        <v>-0.63927999999999896</v>
      </c>
      <c r="AF5823">
        <v>8.1562783593138705E-2</v>
      </c>
      <c r="AG5823">
        <v>-5.9358000000000001E-2</v>
      </c>
      <c r="AH5823">
        <v>0.62893057928734397</v>
      </c>
      <c r="AI5823">
        <v>95.347049001777194</v>
      </c>
      <c r="AJ5823">
        <v>82.610843851627095</v>
      </c>
      <c r="AK5823">
        <v>0.63696902074918504</v>
      </c>
      <c r="AL5823">
        <v>80.371359463351794</v>
      </c>
      <c r="AM5823">
        <v>89.358127438335501</v>
      </c>
      <c r="AN5823">
        <v>1.00000001590335</v>
      </c>
    </row>
    <row r="5824" spans="1:40" x14ac:dyDescent="0.25">
      <c r="A5824" t="str">
        <f>"20190312172232763"</f>
        <v>20190312172232763</v>
      </c>
      <c r="B5824" t="str">
        <f>"1552382552756170"</f>
        <v>1552382552756170</v>
      </c>
      <c r="C5824" t="s">
        <v>40</v>
      </c>
      <c r="D5824">
        <v>3.64005</v>
      </c>
      <c r="E5824">
        <v>0.53271999999999997</v>
      </c>
      <c r="F5824" t="s">
        <v>41</v>
      </c>
      <c r="G5824">
        <v>-423.31130000000002</v>
      </c>
      <c r="H5824">
        <v>1.032106</v>
      </c>
      <c r="I5824">
        <v>90.057339999999996</v>
      </c>
      <c r="J5824">
        <v>-423.27890000000002</v>
      </c>
      <c r="K5824">
        <v>1.102503</v>
      </c>
      <c r="L5824">
        <v>90.740110000000001</v>
      </c>
      <c r="M5824">
        <v>8.8913660000000005E-2</v>
      </c>
      <c r="N5824">
        <v>0</v>
      </c>
      <c r="O5824">
        <v>-0.99593140000000002</v>
      </c>
      <c r="P5824">
        <v>8.2166840000000005E-2</v>
      </c>
      <c r="Q5824">
        <v>0.15113379999999901</v>
      </c>
      <c r="R5824">
        <v>-0.98509259999999998</v>
      </c>
      <c r="S5824">
        <v>-1.9897459999999999E-2</v>
      </c>
      <c r="T5824">
        <v>-0.21776480000000001</v>
      </c>
      <c r="U5824">
        <v>-3.082703</v>
      </c>
      <c r="V5824">
        <v>8.8783619999999903E-3</v>
      </c>
      <c r="W5824">
        <v>0.16547500000000001</v>
      </c>
      <c r="X5824">
        <v>0.986174</v>
      </c>
      <c r="Y5824">
        <v>9.5333860000000006E-2</v>
      </c>
      <c r="Z5824">
        <v>6.9885630000000004E-2</v>
      </c>
      <c r="AA5824">
        <v>0.99298909999999996</v>
      </c>
      <c r="AB5824">
        <v>40</v>
      </c>
      <c r="AC5824">
        <v>-3.2399999999995502E-2</v>
      </c>
      <c r="AD5824">
        <v>-7.0397000000000001E-2</v>
      </c>
      <c r="AE5824">
        <v>-0.68277000000000498</v>
      </c>
      <c r="AF5824">
        <v>9.2009828073258595E-2</v>
      </c>
      <c r="AG5824">
        <v>-7.0397000000000001E-2</v>
      </c>
      <c r="AH5824">
        <v>0.67007674274397599</v>
      </c>
      <c r="AI5824">
        <v>95.942034895671796</v>
      </c>
      <c r="AJ5824">
        <v>82.181474480386498</v>
      </c>
      <c r="AK5824">
        <v>0.68001793155581303</v>
      </c>
      <c r="AL5824">
        <v>80.475170516116904</v>
      </c>
      <c r="AM5824">
        <v>89.484189474777594</v>
      </c>
      <c r="AN5824">
        <v>0.99999997960640097</v>
      </c>
    </row>
    <row r="5825" spans="1:40" x14ac:dyDescent="0.25">
      <c r="A5825" t="str">
        <f>"20190312172232775"</f>
        <v>20190312172232775</v>
      </c>
      <c r="B5825" t="str">
        <f>"1552382552765929"</f>
        <v>1552382552765929</v>
      </c>
      <c r="C5825" t="s">
        <v>40</v>
      </c>
      <c r="D5825">
        <v>3.6353659999999999</v>
      </c>
      <c r="E5825">
        <v>0.53279919999999903</v>
      </c>
      <c r="F5825" t="s">
        <v>41</v>
      </c>
      <c r="G5825">
        <v>-423.28960000000001</v>
      </c>
      <c r="H5825">
        <v>1.0285599999999999</v>
      </c>
      <c r="I5825">
        <v>89.696419999999904</v>
      </c>
      <c r="J5825">
        <v>-423.26089999999999</v>
      </c>
      <c r="K5825">
        <v>1.1024929999999999</v>
      </c>
      <c r="L5825">
        <v>90.505129999999994</v>
      </c>
      <c r="M5825">
        <v>8.4776240000000003E-2</v>
      </c>
      <c r="N5825">
        <v>0</v>
      </c>
      <c r="O5825">
        <v>-0.99629210000000001</v>
      </c>
      <c r="P5825">
        <v>7.8961820000000002E-2</v>
      </c>
      <c r="Q5825">
        <v>0.1514316</v>
      </c>
      <c r="R5825">
        <v>-0.98530910000000005</v>
      </c>
      <c r="S5825">
        <v>-3.0456540000000001E-2</v>
      </c>
      <c r="T5825">
        <v>-0.21791089999999999</v>
      </c>
      <c r="U5825">
        <v>-3.0813600000000001</v>
      </c>
      <c r="V5825">
        <v>7.9953980000000008E-3</v>
      </c>
      <c r="W5825">
        <v>0.16578999999999999</v>
      </c>
      <c r="X5825">
        <v>0.98612869999999997</v>
      </c>
      <c r="Y5825">
        <v>9.4604469999999996E-2</v>
      </c>
      <c r="Z5825">
        <v>7.0002220000000004E-2</v>
      </c>
      <c r="AA5825">
        <v>0.99305069999999995</v>
      </c>
      <c r="AB5825">
        <v>40</v>
      </c>
      <c r="AC5825">
        <v>-2.87000000000148E-2</v>
      </c>
      <c r="AD5825">
        <v>-7.3932999999999804E-2</v>
      </c>
      <c r="AE5825">
        <v>-0.80871000000001902</v>
      </c>
      <c r="AF5825">
        <v>9.6359088693803094E-2</v>
      </c>
      <c r="AG5825">
        <v>-7.3932999999999804E-2</v>
      </c>
      <c r="AH5825">
        <v>0.79671430022182999</v>
      </c>
      <c r="AI5825">
        <v>95.263574919261899</v>
      </c>
      <c r="AJ5825">
        <v>83.103822815077507</v>
      </c>
      <c r="AK5825">
        <v>0.80591863028525401</v>
      </c>
      <c r="AL5825">
        <v>80.456870066080498</v>
      </c>
      <c r="AM5825">
        <v>89.5354637552323</v>
      </c>
      <c r="AN5825">
        <v>1.0000000317264299</v>
      </c>
    </row>
    <row r="5826" spans="1:40" x14ac:dyDescent="0.25">
      <c r="A5826" t="str">
        <f>"20190312172232788"</f>
        <v>20190312172232788</v>
      </c>
      <c r="B5826" t="str">
        <f>"1552382552776665"</f>
        <v>1552382552776665</v>
      </c>
      <c r="C5826" t="s">
        <v>40</v>
      </c>
      <c r="D5826">
        <v>3.6404839999999998</v>
      </c>
      <c r="E5826">
        <v>0.53280559999999999</v>
      </c>
      <c r="F5826" t="s">
        <v>41</v>
      </c>
      <c r="G5826">
        <v>-423.2722</v>
      </c>
      <c r="H5826">
        <v>1.045466</v>
      </c>
      <c r="I5826">
        <v>89.686409999999995</v>
      </c>
      <c r="J5826">
        <v>-423.24439999999998</v>
      </c>
      <c r="K5826">
        <v>1.102487</v>
      </c>
      <c r="L5826">
        <v>90.277860000000004</v>
      </c>
      <c r="M5826">
        <v>8.0773529999999996E-2</v>
      </c>
      <c r="N5826">
        <v>0</v>
      </c>
      <c r="O5826">
        <v>-0.99662479999999998</v>
      </c>
      <c r="P5826">
        <v>7.6603069999999995E-2</v>
      </c>
      <c r="Q5826">
        <v>0.15176970000000001</v>
      </c>
      <c r="R5826">
        <v>-0.98544339999999997</v>
      </c>
      <c r="S5826">
        <v>-4.1137699999999902E-2</v>
      </c>
      <c r="T5826">
        <v>-0.21412100000000001</v>
      </c>
      <c r="U5826">
        <v>-3.0809329999999999</v>
      </c>
      <c r="V5826">
        <v>6.3972179999999997E-3</v>
      </c>
      <c r="W5826">
        <v>0.1661591</v>
      </c>
      <c r="X5826">
        <v>0.98607820000000002</v>
      </c>
      <c r="Y5826">
        <v>9.4050330000000001E-2</v>
      </c>
      <c r="Z5826">
        <v>6.8835090000000002E-2</v>
      </c>
      <c r="AA5826">
        <v>0.99318490000000004</v>
      </c>
      <c r="AB5826">
        <v>40</v>
      </c>
      <c r="AC5826">
        <v>-2.78000000000133E-2</v>
      </c>
      <c r="AD5826">
        <v>-5.7020999999999898E-2</v>
      </c>
      <c r="AE5826">
        <v>-0.59145000000000802</v>
      </c>
      <c r="AF5826">
        <v>7.4794122148689204E-2</v>
      </c>
      <c r="AG5826">
        <v>-5.7020999999999898E-2</v>
      </c>
      <c r="AH5826">
        <v>0.58187485690535801</v>
      </c>
      <c r="AI5826">
        <v>95.551461685243794</v>
      </c>
      <c r="AJ5826">
        <v>82.675371758709602</v>
      </c>
      <c r="AK5826">
        <v>0.589426759018984</v>
      </c>
      <c r="AL5826">
        <v>80.435424381649995</v>
      </c>
      <c r="AM5826">
        <v>89.6282967720839</v>
      </c>
      <c r="AN5826">
        <v>0.999999993713094</v>
      </c>
    </row>
    <row r="5827" spans="1:40" x14ac:dyDescent="0.25">
      <c r="A5827" t="str">
        <f>"20190312172232806"</f>
        <v>20190312172232806</v>
      </c>
      <c r="B5827" t="str">
        <f>"1552382552796186"</f>
        <v>1552382552796186</v>
      </c>
      <c r="C5827" t="s">
        <v>40</v>
      </c>
      <c r="D5827">
        <v>3.6175790000000001</v>
      </c>
      <c r="E5827">
        <v>0.53266819999999904</v>
      </c>
      <c r="F5827" t="s">
        <v>41</v>
      </c>
      <c r="G5827">
        <v>-423.25959999999998</v>
      </c>
      <c r="H5827">
        <v>1.0372870000000001</v>
      </c>
      <c r="I5827">
        <v>89.330340000000007</v>
      </c>
      <c r="J5827">
        <v>-423.22160000000002</v>
      </c>
      <c r="K5827">
        <v>1.102484</v>
      </c>
      <c r="L5827">
        <v>89.941379999999995</v>
      </c>
      <c r="M5827">
        <v>7.4853149999999993E-2</v>
      </c>
      <c r="N5827">
        <v>0</v>
      </c>
      <c r="O5827">
        <v>-0.99708669999999999</v>
      </c>
      <c r="P5827">
        <v>7.4382900000000002E-2</v>
      </c>
      <c r="Q5827">
        <v>0.15362210000000001</v>
      </c>
      <c r="R5827">
        <v>-0.98532640000000005</v>
      </c>
      <c r="S5827">
        <v>-4.8156740000000003E-2</v>
      </c>
      <c r="T5827">
        <v>-0.21157190000000001</v>
      </c>
      <c r="U5827">
        <v>-3.0806580000000001</v>
      </c>
      <c r="V5827">
        <v>2.7708839999999999E-3</v>
      </c>
      <c r="W5827">
        <v>0.16807730000000001</v>
      </c>
      <c r="X5827">
        <v>0.98576989999999998</v>
      </c>
      <c r="Y5827">
        <v>9.0401540000000002E-2</v>
      </c>
      <c r="Z5827">
        <v>6.8083439999999995E-2</v>
      </c>
      <c r="AA5827">
        <v>0.99357549999999994</v>
      </c>
      <c r="AB5827">
        <v>40</v>
      </c>
      <c r="AC5827">
        <v>-3.7999999999954001E-2</v>
      </c>
      <c r="AD5827">
        <v>-6.5196999999999894E-2</v>
      </c>
      <c r="AE5827">
        <v>-0.61104000000000203</v>
      </c>
      <c r="AF5827">
        <v>8.2698699268665396E-2</v>
      </c>
      <c r="AG5827">
        <v>-6.5196999999999894E-2</v>
      </c>
      <c r="AH5827">
        <v>0.59967988867008504</v>
      </c>
      <c r="AI5827">
        <v>96.147083217216107</v>
      </c>
      <c r="AJ5827">
        <v>82.148165125999398</v>
      </c>
      <c r="AK5827">
        <v>0.60885605240080698</v>
      </c>
      <c r="AL5827">
        <v>80.323951774769597</v>
      </c>
      <c r="AM5827">
        <v>89.8389486830566</v>
      </c>
      <c r="AN5827">
        <v>0.99999997615972003</v>
      </c>
    </row>
    <row r="5828" spans="1:40" x14ac:dyDescent="0.25">
      <c r="A5828" t="str">
        <f>"20190312172232830"</f>
        <v>20190312172232830</v>
      </c>
      <c r="B5828" t="str">
        <f>"1552382552826442"</f>
        <v>1552382552826442</v>
      </c>
      <c r="C5828" t="s">
        <v>40</v>
      </c>
      <c r="D5828">
        <v>3.6213690000000001</v>
      </c>
      <c r="E5828">
        <v>0.52885340000000003</v>
      </c>
      <c r="F5828" t="s">
        <v>41</v>
      </c>
      <c r="G5828">
        <v>-423.23809999999997</v>
      </c>
      <c r="H5828">
        <v>1.0384690000000001</v>
      </c>
      <c r="I5828">
        <v>88.967299999999994</v>
      </c>
      <c r="J5828">
        <v>-423.19650000000001</v>
      </c>
      <c r="K5828">
        <v>1.1024910000000001</v>
      </c>
      <c r="L5828">
        <v>89.53049</v>
      </c>
      <c r="M5828">
        <v>6.7650139999999997E-2</v>
      </c>
      <c r="N5828">
        <v>0</v>
      </c>
      <c r="O5828">
        <v>-0.99760119999999997</v>
      </c>
      <c r="P5828">
        <v>7.1438550000000003E-2</v>
      </c>
      <c r="Q5828">
        <v>0.15423580000000001</v>
      </c>
      <c r="R5828">
        <v>-0.98544799999999999</v>
      </c>
      <c r="S5828">
        <v>-5.178833E-2</v>
      </c>
      <c r="T5828">
        <v>-0.20226440000000001</v>
      </c>
      <c r="U5828">
        <v>-3.0801090000000002</v>
      </c>
      <c r="V5828">
        <v>-1.4102889999999999E-3</v>
      </c>
      <c r="W5828">
        <v>0.16877010000000001</v>
      </c>
      <c r="X5828">
        <v>0.98565440000000004</v>
      </c>
      <c r="Y5828">
        <v>8.4384689999999998E-2</v>
      </c>
      <c r="Z5828">
        <v>6.518024E-2</v>
      </c>
      <c r="AA5828">
        <v>0.99429909999999999</v>
      </c>
      <c r="AB5828">
        <v>40</v>
      </c>
      <c r="AC5828">
        <v>-4.1599999999959801E-2</v>
      </c>
      <c r="AD5828">
        <v>-6.4021999999999801E-2</v>
      </c>
      <c r="AE5828">
        <v>-0.56319000000000496</v>
      </c>
      <c r="AF5828">
        <v>7.8598480664276202E-2</v>
      </c>
      <c r="AG5828">
        <v>-6.4021999999999801E-2</v>
      </c>
      <c r="AH5828">
        <v>0.55199053970021295</v>
      </c>
      <c r="AI5828">
        <v>96.550337460301407</v>
      </c>
      <c r="AJ5828">
        <v>81.896073645074196</v>
      </c>
      <c r="AK5828">
        <v>0.56122196461406004</v>
      </c>
      <c r="AL5828">
        <v>80.283681890045699</v>
      </c>
      <c r="AM5828">
        <v>90.0819795989878</v>
      </c>
      <c r="AN5828">
        <v>0.99999996590421603</v>
      </c>
    </row>
    <row r="5829" spans="1:40" x14ac:dyDescent="0.25">
      <c r="A5829" t="str">
        <f>"20190312172232852"</f>
        <v>20190312172232852</v>
      </c>
      <c r="B5829" t="str">
        <f>"1552382552846937"</f>
        <v>1552382552846937</v>
      </c>
      <c r="C5829" t="s">
        <v>40</v>
      </c>
      <c r="D5829">
        <v>3.75841</v>
      </c>
      <c r="E5829">
        <v>0.52856510000000001</v>
      </c>
      <c r="F5829" t="s">
        <v>42</v>
      </c>
      <c r="G5829">
        <v>-423.39150000000001</v>
      </c>
      <c r="H5829" s="1">
        <v>-4.6298790000000004E-6</v>
      </c>
      <c r="I5829">
        <v>68.824069999999907</v>
      </c>
      <c r="J5829">
        <v>-423.17430000000002</v>
      </c>
      <c r="K5829">
        <v>1.1025039999999999</v>
      </c>
      <c r="L5829">
        <v>89.117859999999993</v>
      </c>
      <c r="M5829">
        <v>6.046907E-2</v>
      </c>
      <c r="N5829">
        <v>0</v>
      </c>
      <c r="O5829">
        <v>-0.99806229999999996</v>
      </c>
      <c r="P5829">
        <v>6.8577250000000006E-2</v>
      </c>
      <c r="Q5829">
        <v>0.15085979999999999</v>
      </c>
      <c r="R5829">
        <v>-0.98617350000000004</v>
      </c>
      <c r="S5829">
        <v>-2.893066E-2</v>
      </c>
      <c r="T5829">
        <v>-0.16356560000000001</v>
      </c>
      <c r="U5829">
        <v>-3.0719910000000001</v>
      </c>
      <c r="V5829">
        <v>-5.6960919999999998E-3</v>
      </c>
      <c r="W5829">
        <v>0.16548060000000001</v>
      </c>
      <c r="X5829">
        <v>0.98619659999999998</v>
      </c>
      <c r="Y5829">
        <v>6.9859470000000007E-2</v>
      </c>
      <c r="Z5829">
        <v>5.2956820000000002E-2</v>
      </c>
      <c r="AA5829">
        <v>0.99615019999999999</v>
      </c>
      <c r="AB5829">
        <v>40</v>
      </c>
      <c r="AC5829">
        <v>-0.21719999999999101</v>
      </c>
      <c r="AD5829">
        <v>-1.1025086298789999</v>
      </c>
      <c r="AE5829">
        <v>-20.293789999999898</v>
      </c>
      <c r="AF5829">
        <v>1.43983195832399</v>
      </c>
      <c r="AG5829">
        <v>-1.1025086298789999</v>
      </c>
      <c r="AH5829">
        <v>20.183945132156701</v>
      </c>
      <c r="AI5829">
        <v>93.118653847299598</v>
      </c>
      <c r="AJ5829">
        <v>85.919688389727696</v>
      </c>
      <c r="AK5829">
        <v>20.265248146644598</v>
      </c>
      <c r="AL5829">
        <v>80.474845410347498</v>
      </c>
      <c r="AM5829">
        <v>90.330926310471099</v>
      </c>
      <c r="AN5829">
        <v>1.00000000414599</v>
      </c>
    </row>
    <row r="5830" spans="1:40" x14ac:dyDescent="0.25">
      <c r="A5830" t="str">
        <f>"20190312172232875"</f>
        <v>20190312172232875</v>
      </c>
      <c r="B5830" t="str">
        <f>"1552382552866457"</f>
        <v>1552382552866457</v>
      </c>
      <c r="C5830" t="s">
        <v>40</v>
      </c>
      <c r="D5830">
        <v>3.5874950000000001</v>
      </c>
      <c r="E5830">
        <v>0.52818909999999997</v>
      </c>
      <c r="F5830" t="s">
        <v>42</v>
      </c>
      <c r="G5830">
        <v>-423.40940000000001</v>
      </c>
      <c r="H5830" s="1">
        <v>-4.8240020000000004E-6</v>
      </c>
      <c r="I5830">
        <v>69.385199999999998</v>
      </c>
      <c r="J5830">
        <v>-423.15499999999997</v>
      </c>
      <c r="K5830">
        <v>1.1025400000000001</v>
      </c>
      <c r="L5830">
        <v>88.708860000000001</v>
      </c>
      <c r="M5830">
        <v>5.3443949999999997E-2</v>
      </c>
      <c r="N5830">
        <v>0</v>
      </c>
      <c r="O5830">
        <v>-0.9984632</v>
      </c>
      <c r="P5830">
        <v>6.6323350000000003E-2</v>
      </c>
      <c r="Q5830">
        <v>0.14478199999999999</v>
      </c>
      <c r="R5830">
        <v>-0.98723819999999995</v>
      </c>
      <c r="S5830">
        <v>-3.6590579999999998E-2</v>
      </c>
      <c r="T5830">
        <v>-0.17157610000000001</v>
      </c>
      <c r="U5830">
        <v>-3.070862</v>
      </c>
      <c r="V5830">
        <v>-1.0482379999999999E-2</v>
      </c>
      <c r="W5830">
        <v>0.1594991</v>
      </c>
      <c r="X5830">
        <v>0.98714239999999998</v>
      </c>
      <c r="Y5830">
        <v>6.5324900000000005E-2</v>
      </c>
      <c r="Z5830">
        <v>5.5604189999999998E-2</v>
      </c>
      <c r="AA5830">
        <v>0.99631360000000002</v>
      </c>
      <c r="AB5830">
        <v>40</v>
      </c>
      <c r="AC5830">
        <v>-0.25440000000003199</v>
      </c>
      <c r="AD5830">
        <v>-1.1025448240019999</v>
      </c>
      <c r="AE5830">
        <v>-19.32366</v>
      </c>
      <c r="AF5830">
        <v>1.2827050083002101</v>
      </c>
      <c r="AG5830">
        <v>-1.1025448240019999</v>
      </c>
      <c r="AH5830">
        <v>19.219881154030499</v>
      </c>
      <c r="AI5830">
        <v>93.275891900462696</v>
      </c>
      <c r="AJ5830">
        <v>86.181830706869107</v>
      </c>
      <c r="AK5830">
        <v>19.294164112557699</v>
      </c>
      <c r="AL5830">
        <v>80.822176420232793</v>
      </c>
      <c r="AM5830">
        <v>90.608396073460895</v>
      </c>
      <c r="AN5830">
        <v>0.999999980534517</v>
      </c>
    </row>
    <row r="5831" spans="1:40" x14ac:dyDescent="0.25">
      <c r="A5831" t="str">
        <f>"20190312172232895"</f>
        <v>20190312172232895</v>
      </c>
      <c r="B5831" t="str">
        <f>"1552382552886954"</f>
        <v>1552382552886954</v>
      </c>
      <c r="C5831" t="s">
        <v>40</v>
      </c>
      <c r="D5831">
        <v>3.600876</v>
      </c>
      <c r="E5831">
        <v>0.52787109999999904</v>
      </c>
      <c r="F5831" t="s">
        <v>42</v>
      </c>
      <c r="G5831">
        <v>-423.39429999999999</v>
      </c>
      <c r="H5831" s="1">
        <v>-1.498725E-6</v>
      </c>
      <c r="I5831">
        <v>70.977459999999994</v>
      </c>
      <c r="J5831">
        <v>-423.1397</v>
      </c>
      <c r="K5831">
        <v>1.1026049999999901</v>
      </c>
      <c r="L5831">
        <v>88.329800000000006</v>
      </c>
      <c r="M5831">
        <v>4.7062399999999997E-2</v>
      </c>
      <c r="N5831">
        <v>0</v>
      </c>
      <c r="O5831">
        <v>-0.99878460000000002</v>
      </c>
      <c r="P5831">
        <v>6.5147239999999995E-2</v>
      </c>
      <c r="Q5831">
        <v>0.1403914</v>
      </c>
      <c r="R5831">
        <v>-0.98795069999999996</v>
      </c>
      <c r="S5831">
        <v>-4.1412350000000001E-2</v>
      </c>
      <c r="T5831">
        <v>-0.19086510000000001</v>
      </c>
      <c r="U5831">
        <v>-3.06955</v>
      </c>
      <c r="V5831">
        <v>-1.5712750000000001E-2</v>
      </c>
      <c r="W5831">
        <v>0.1552036</v>
      </c>
      <c r="X5831">
        <v>0.98775760000000001</v>
      </c>
      <c r="Y5831">
        <v>6.0512349999999999E-2</v>
      </c>
      <c r="Z5831">
        <v>6.1897500000000001E-2</v>
      </c>
      <c r="AA5831">
        <v>0.99624650000000003</v>
      </c>
      <c r="AB5831">
        <v>40</v>
      </c>
      <c r="AC5831">
        <v>-0.25459999999998201</v>
      </c>
      <c r="AD5831">
        <v>-1.1026064987249999</v>
      </c>
      <c r="AE5831">
        <v>-17.352340000000002</v>
      </c>
      <c r="AF5831">
        <v>1.0667420088102999</v>
      </c>
      <c r="AG5831">
        <v>-1.1026064987249999</v>
      </c>
      <c r="AH5831">
        <v>17.251485385657499</v>
      </c>
      <c r="AI5831">
        <v>93.650059359160494</v>
      </c>
      <c r="AJ5831">
        <v>86.461632506340095</v>
      </c>
      <c r="AK5831">
        <v>17.3195677664296</v>
      </c>
      <c r="AL5831">
        <v>81.071395987369002</v>
      </c>
      <c r="AM5831">
        <v>90.911355512131706</v>
      </c>
      <c r="AN5831">
        <v>1.0000000621616301</v>
      </c>
    </row>
    <row r="5832" spans="1:40" x14ac:dyDescent="0.25">
      <c r="A5832" t="str">
        <f>"20190312172232910"</f>
        <v>20190312172232910</v>
      </c>
      <c r="B5832" t="str">
        <f>"1552382552906474"</f>
        <v>1552382552906474</v>
      </c>
      <c r="C5832" t="s">
        <v>40</v>
      </c>
      <c r="D5832">
        <v>3.7761610000000001</v>
      </c>
      <c r="E5832">
        <v>0.52971919999999995</v>
      </c>
      <c r="F5832" t="s">
        <v>42</v>
      </c>
      <c r="G5832">
        <v>-423.37040000000002</v>
      </c>
      <c r="H5832" s="1">
        <v>-1.869352E-6</v>
      </c>
      <c r="I5832">
        <v>71.856210000000004</v>
      </c>
      <c r="J5832">
        <v>-423.1309</v>
      </c>
      <c r="K5832">
        <v>1.1026849999999999</v>
      </c>
      <c r="L5832">
        <v>88.076969999999903</v>
      </c>
      <c r="M5832">
        <v>4.2905649999999997E-2</v>
      </c>
      <c r="N5832">
        <v>0</v>
      </c>
      <c r="O5832">
        <v>-0.99897179999999997</v>
      </c>
      <c r="P5832">
        <v>6.3770259999999995E-2</v>
      </c>
      <c r="Q5832">
        <v>0.13892009999999999</v>
      </c>
      <c r="R5832">
        <v>-0.98824809999999996</v>
      </c>
      <c r="S5832">
        <v>-4.296875E-2</v>
      </c>
      <c r="T5832">
        <v>-0.20538709999999999</v>
      </c>
      <c r="U5832">
        <v>-3.0686040000000001</v>
      </c>
      <c r="V5832">
        <v>-1.8502359999999999E-2</v>
      </c>
      <c r="W5832">
        <v>0.15377469999999999</v>
      </c>
      <c r="X5832">
        <v>0.9879327</v>
      </c>
      <c r="Y5832">
        <v>5.6863259999999999E-2</v>
      </c>
      <c r="Z5832">
        <v>6.6632839999999999E-2</v>
      </c>
      <c r="AA5832">
        <v>0.99615589999999998</v>
      </c>
      <c r="AB5832">
        <v>40</v>
      </c>
      <c r="AC5832">
        <v>-0.23950000000002</v>
      </c>
      <c r="AD5832">
        <v>-1.102686869352</v>
      </c>
      <c r="AE5832">
        <v>-16.220759999999899</v>
      </c>
      <c r="AF5832">
        <v>0.93101475174994497</v>
      </c>
      <c r="AG5832">
        <v>-1.102686869352</v>
      </c>
      <c r="AH5832">
        <v>16.1210589131211</v>
      </c>
      <c r="AI5832">
        <v>93.906470525668297</v>
      </c>
      <c r="AJ5832">
        <v>86.694756180250906</v>
      </c>
      <c r="AK5832">
        <v>16.1855258573868</v>
      </c>
      <c r="AL5832">
        <v>81.154260277915498</v>
      </c>
      <c r="AM5832">
        <v>91.072930595765897</v>
      </c>
      <c r="AN5832">
        <v>1.00000000770747</v>
      </c>
    </row>
    <row r="5833" spans="1:40" x14ac:dyDescent="0.25">
      <c r="A5833" t="str">
        <f>"20190312172232929"</f>
        <v>20190312172232929</v>
      </c>
      <c r="B5833" t="str">
        <f>"1552382552926970"</f>
        <v>1552382552926970</v>
      </c>
      <c r="C5833" t="s">
        <v>40</v>
      </c>
      <c r="D5833">
        <v>3.57036</v>
      </c>
      <c r="E5833">
        <v>0.52726629999999997</v>
      </c>
      <c r="F5833" t="s">
        <v>42</v>
      </c>
      <c r="G5833">
        <v>-423.56540000000001</v>
      </c>
      <c r="H5833" s="1">
        <v>-3.7550239999999999E-6</v>
      </c>
      <c r="I5833">
        <v>66.162619999999905</v>
      </c>
      <c r="J5833">
        <v>-423.11989999999997</v>
      </c>
      <c r="K5833">
        <v>1.1028230000000001</v>
      </c>
      <c r="L5833">
        <v>87.717830000000006</v>
      </c>
      <c r="M5833">
        <v>3.7144110000000001E-2</v>
      </c>
      <c r="N5833">
        <v>0</v>
      </c>
      <c r="O5833">
        <v>-0.99920279999999995</v>
      </c>
      <c r="P5833">
        <v>6.4093709999999998E-2</v>
      </c>
      <c r="Q5833">
        <v>0.13557549999999999</v>
      </c>
      <c r="R5833">
        <v>-0.98869169999999995</v>
      </c>
      <c r="S5833">
        <v>-6.0699459999999997E-2</v>
      </c>
      <c r="T5833">
        <v>-0.15403629999999999</v>
      </c>
      <c r="U5833">
        <v>-3.0612490000000001</v>
      </c>
      <c r="V5833">
        <v>-2.4633329999999998E-2</v>
      </c>
      <c r="W5833">
        <v>0.1505243</v>
      </c>
      <c r="X5833">
        <v>0.98829940000000005</v>
      </c>
      <c r="Y5833">
        <v>5.6926530000000003E-2</v>
      </c>
      <c r="Z5833">
        <v>5.0156850000000003E-2</v>
      </c>
      <c r="AA5833">
        <v>0.9971177</v>
      </c>
      <c r="AB5833">
        <v>40</v>
      </c>
      <c r="AC5833">
        <v>-0.44550000000003798</v>
      </c>
      <c r="AD5833">
        <v>-1.1028267550239901</v>
      </c>
      <c r="AE5833">
        <v>-21.555209999999999</v>
      </c>
      <c r="AF5833">
        <v>1.2426758194734899</v>
      </c>
      <c r="AG5833">
        <v>-1.1028267550239901</v>
      </c>
      <c r="AH5833">
        <v>21.467612004099902</v>
      </c>
      <c r="AI5833">
        <v>92.935887815229094</v>
      </c>
      <c r="AJ5833">
        <v>86.687069173868693</v>
      </c>
      <c r="AK5833">
        <v>21.5318098450287</v>
      </c>
      <c r="AL5833">
        <v>81.342688581113805</v>
      </c>
      <c r="AM5833">
        <v>91.427799791128095</v>
      </c>
      <c r="AN5833">
        <v>1.00000003493886</v>
      </c>
    </row>
    <row r="5834" spans="1:40" x14ac:dyDescent="0.25">
      <c r="A5834" t="str">
        <f>"20190312172232943"</f>
        <v>20190312172232943</v>
      </c>
      <c r="B5834" t="str">
        <f>"1552382552936730"</f>
        <v>1552382552936730</v>
      </c>
      <c r="C5834" t="s">
        <v>40</v>
      </c>
      <c r="D5834">
        <v>3.5685859999999998</v>
      </c>
      <c r="E5834">
        <v>0.52737869999999998</v>
      </c>
      <c r="F5834" t="s">
        <v>41</v>
      </c>
      <c r="G5834">
        <v>-423.13319999999999</v>
      </c>
      <c r="H5834">
        <v>1.0349280000000001</v>
      </c>
      <c r="I5834">
        <v>86.80198</v>
      </c>
      <c r="J5834">
        <v>-423.11349999999999</v>
      </c>
      <c r="K5834">
        <v>1.10294</v>
      </c>
      <c r="L5834">
        <v>87.473479999999995</v>
      </c>
      <c r="M5834">
        <v>3.3322959999999999E-2</v>
      </c>
      <c r="N5834">
        <v>0</v>
      </c>
      <c r="O5834">
        <v>-0.99933760000000005</v>
      </c>
      <c r="P5834">
        <v>6.3564079999999995E-2</v>
      </c>
      <c r="Q5834">
        <v>0.13363349999999999</v>
      </c>
      <c r="R5834">
        <v>-0.98899040000000005</v>
      </c>
      <c r="S5834">
        <v>-4.400635E-2</v>
      </c>
      <c r="T5834">
        <v>-0.2273955</v>
      </c>
      <c r="U5834">
        <v>-3.0683590000000001</v>
      </c>
      <c r="V5834">
        <v>-2.795802E-2</v>
      </c>
      <c r="W5834">
        <v>0.1486266</v>
      </c>
      <c r="X5834">
        <v>0.98849810000000005</v>
      </c>
      <c r="Y5834">
        <v>4.7616459999999999E-2</v>
      </c>
      <c r="Z5834">
        <v>7.3799899999999904E-2</v>
      </c>
      <c r="AA5834">
        <v>0.99613569999999996</v>
      </c>
      <c r="AB5834">
        <v>40</v>
      </c>
      <c r="AC5834">
        <v>-1.97000000000002E-2</v>
      </c>
      <c r="AD5834">
        <v>-6.8011999999999906E-2</v>
      </c>
      <c r="AE5834">
        <v>-0.67150000000000798</v>
      </c>
      <c r="AF5834">
        <v>4.16410163269781E-2</v>
      </c>
      <c r="AG5834">
        <v>-6.8011999999999906E-2</v>
      </c>
      <c r="AH5834">
        <v>0.66366815086021902</v>
      </c>
      <c r="AI5834">
        <v>95.839780083783396</v>
      </c>
      <c r="AJ5834">
        <v>86.409755382224901</v>
      </c>
      <c r="AK5834">
        <v>0.66844223449073403</v>
      </c>
      <c r="AL5834">
        <v>81.452655639195001</v>
      </c>
      <c r="AM5834">
        <v>91.620083655928497</v>
      </c>
      <c r="AN5834">
        <v>1.0000000054067399</v>
      </c>
    </row>
    <row r="5835" spans="1:40" x14ac:dyDescent="0.25">
      <c r="A5835" t="str">
        <f>"20190312172232956"</f>
        <v>20190312172232956</v>
      </c>
      <c r="B5835" t="str">
        <f>"1552382552946490"</f>
        <v>1552382552946490</v>
      </c>
      <c r="C5835" t="s">
        <v>40</v>
      </c>
      <c r="D5835">
        <v>3.5555249999999998</v>
      </c>
      <c r="E5835">
        <v>0.52731980000000001</v>
      </c>
      <c r="F5835" t="s">
        <v>41</v>
      </c>
      <c r="G5835">
        <v>-423.12979999999999</v>
      </c>
      <c r="H5835">
        <v>1.028187</v>
      </c>
      <c r="I5835">
        <v>86.444760000000002</v>
      </c>
      <c r="J5835">
        <v>-423.10809999999998</v>
      </c>
      <c r="K5835">
        <v>1.1030690000000001</v>
      </c>
      <c r="L5835">
        <v>87.234650000000002</v>
      </c>
      <c r="M5835">
        <v>2.9690540000000001E-2</v>
      </c>
      <c r="N5835">
        <v>0</v>
      </c>
      <c r="O5835">
        <v>-0.99945240000000002</v>
      </c>
      <c r="P5835">
        <v>6.3486000000000001E-2</v>
      </c>
      <c r="Q5835">
        <v>0.13332469999999999</v>
      </c>
      <c r="R5835">
        <v>-0.98903719999999995</v>
      </c>
      <c r="S5835">
        <v>-4.821777E-2</v>
      </c>
      <c r="T5835">
        <v>-0.2227557</v>
      </c>
      <c r="U5835">
        <v>-3.066589</v>
      </c>
      <c r="V5835">
        <v>-3.152961E-2</v>
      </c>
      <c r="W5835">
        <v>0.14835870000000001</v>
      </c>
      <c r="X5835">
        <v>0.9884309</v>
      </c>
      <c r="Y5835">
        <v>4.5363489999999999E-2</v>
      </c>
      <c r="Z5835">
        <v>7.2359030000000005E-2</v>
      </c>
      <c r="AA5835">
        <v>0.99634650000000002</v>
      </c>
      <c r="AB5835">
        <v>40</v>
      </c>
      <c r="AC5835">
        <v>-2.1700000000009802E-2</v>
      </c>
      <c r="AD5835">
        <v>-7.4881999999999893E-2</v>
      </c>
      <c r="AE5835">
        <v>-0.78988999999999898</v>
      </c>
      <c r="AF5835">
        <v>4.4743382428487397E-2</v>
      </c>
      <c r="AG5835">
        <v>-7.4881999999999893E-2</v>
      </c>
      <c r="AH5835">
        <v>0.78187581008529305</v>
      </c>
      <c r="AI5835">
        <v>95.461778226349395</v>
      </c>
      <c r="AJ5835">
        <v>86.724781594405698</v>
      </c>
      <c r="AK5835">
        <v>0.78672680556319896</v>
      </c>
      <c r="AL5835">
        <v>81.468177488394602</v>
      </c>
      <c r="AM5835">
        <v>91.827038423206702</v>
      </c>
      <c r="AN5835">
        <v>1.00000003212362</v>
      </c>
    </row>
    <row r="5836" spans="1:40" x14ac:dyDescent="0.25">
      <c r="A5836" t="str">
        <f>"20190312172232969"</f>
        <v>20190312172232969</v>
      </c>
      <c r="B5836" t="str">
        <f>"1552382552966010"</f>
        <v>1552382552966010</v>
      </c>
      <c r="C5836" t="s">
        <v>40</v>
      </c>
      <c r="D5836">
        <v>3.5667939999999998</v>
      </c>
      <c r="E5836">
        <v>0.52764880000000003</v>
      </c>
      <c r="F5836" t="s">
        <v>42</v>
      </c>
      <c r="G5836">
        <v>-423.3553</v>
      </c>
      <c r="H5836" s="1">
        <v>-1.753812E-6</v>
      </c>
      <c r="I5836">
        <v>71.596239999999995</v>
      </c>
      <c r="J5836">
        <v>-423.10379999999998</v>
      </c>
      <c r="K5836">
        <v>1.1032029999999999</v>
      </c>
      <c r="L5836">
        <v>87.007419999999996</v>
      </c>
      <c r="M5836">
        <v>2.6334679999999999E-2</v>
      </c>
      <c r="N5836">
        <v>0</v>
      </c>
      <c r="O5836">
        <v>-0.9995465</v>
      </c>
      <c r="P5836">
        <v>6.3291550000000002E-2</v>
      </c>
      <c r="Q5836">
        <v>0.13343179999999999</v>
      </c>
      <c r="R5836">
        <v>-0.9890352</v>
      </c>
      <c r="S5836">
        <v>-4.8461909999999997E-2</v>
      </c>
      <c r="T5836">
        <v>-0.21622959999999999</v>
      </c>
      <c r="U5836">
        <v>-3.0655209999999999</v>
      </c>
      <c r="V5836">
        <v>-3.4704939999999997E-2</v>
      </c>
      <c r="W5836">
        <v>0.1484974</v>
      </c>
      <c r="X5836">
        <v>0.98830370000000001</v>
      </c>
      <c r="Y5836">
        <v>4.2096300000000003E-2</v>
      </c>
      <c r="Z5836">
        <v>7.0289009999999999E-2</v>
      </c>
      <c r="AA5836">
        <v>0.99663800000000002</v>
      </c>
      <c r="AB5836">
        <v>40</v>
      </c>
      <c r="AC5836">
        <v>-0.25150000000002098</v>
      </c>
      <c r="AD5836">
        <v>-1.103204753812</v>
      </c>
      <c r="AE5836">
        <v>-15.4111799999999</v>
      </c>
      <c r="AF5836">
        <v>0.653954325259269</v>
      </c>
      <c r="AG5836">
        <v>-1.103204753812</v>
      </c>
      <c r="AH5836">
        <v>15.3207219672141</v>
      </c>
      <c r="AI5836">
        <v>94.114875315300395</v>
      </c>
      <c r="AJ5836">
        <v>87.555853286884698</v>
      </c>
      <c r="AK5836">
        <v>15.3743044910993</v>
      </c>
      <c r="AL5836">
        <v>81.460141766102893</v>
      </c>
      <c r="AM5836">
        <v>92.0111529179743</v>
      </c>
      <c r="AN5836">
        <v>1.0000000570504199</v>
      </c>
    </row>
    <row r="5837" spans="1:40" x14ac:dyDescent="0.25">
      <c r="A5837" t="str">
        <f>"20190312172232984"</f>
        <v>20190312172232984</v>
      </c>
      <c r="B5837" t="str">
        <f>"1552382552976746"</f>
        <v>1552382552976746</v>
      </c>
      <c r="C5837" t="s">
        <v>40</v>
      </c>
      <c r="D5837">
        <v>3.5567440000000001</v>
      </c>
      <c r="E5837">
        <v>0.52777689999999999</v>
      </c>
      <c r="F5837" t="s">
        <v>41</v>
      </c>
      <c r="G5837">
        <v>-423.11989999999997</v>
      </c>
      <c r="H5837">
        <v>1.0400990000000001</v>
      </c>
      <c r="I5837">
        <v>86.076639999999998</v>
      </c>
      <c r="J5837">
        <v>-423.09949999999998</v>
      </c>
      <c r="K5837">
        <v>1.1033660000000001</v>
      </c>
      <c r="L5837">
        <v>86.74109</v>
      </c>
      <c r="M5837">
        <v>2.2494819999999999E-2</v>
      </c>
      <c r="N5837">
        <v>0</v>
      </c>
      <c r="O5837">
        <v>-0.99964039999999998</v>
      </c>
      <c r="P5837">
        <v>6.264865E-2</v>
      </c>
      <c r="Q5837">
        <v>0.13435030000000001</v>
      </c>
      <c r="R5837">
        <v>-0.98895140000000004</v>
      </c>
      <c r="S5837">
        <v>-5.2368159999999997E-2</v>
      </c>
      <c r="T5837">
        <v>-0.20768120000000001</v>
      </c>
      <c r="U5837">
        <v>-3.0646360000000001</v>
      </c>
      <c r="V5837">
        <v>-3.7909529999999997E-2</v>
      </c>
      <c r="W5837">
        <v>0.1494395</v>
      </c>
      <c r="X5837">
        <v>0.98804389999999997</v>
      </c>
      <c r="Y5837">
        <v>3.9535939999999999E-2</v>
      </c>
      <c r="Z5837">
        <v>6.7554939999999994E-2</v>
      </c>
      <c r="AA5837">
        <v>0.99693189999999998</v>
      </c>
      <c r="AB5837">
        <v>40</v>
      </c>
      <c r="AC5837">
        <v>-2.0399999999994999E-2</v>
      </c>
      <c r="AD5837">
        <v>-6.3267000000000101E-2</v>
      </c>
      <c r="AE5837">
        <v>-0.66445000000000198</v>
      </c>
      <c r="AF5837">
        <v>3.5025856783164701E-2</v>
      </c>
      <c r="AG5837">
        <v>-6.3267000000000101E-2</v>
      </c>
      <c r="AH5837">
        <v>0.65786411456510296</v>
      </c>
      <c r="AI5837">
        <v>95.485537683384905</v>
      </c>
      <c r="AJ5837">
        <v>86.952348223432594</v>
      </c>
      <c r="AK5837">
        <v>0.66182680299676699</v>
      </c>
      <c r="AL5837">
        <v>81.405554024353194</v>
      </c>
      <c r="AM5837">
        <v>92.1972618500686</v>
      </c>
      <c r="AN5837">
        <v>1.0000000224761401</v>
      </c>
    </row>
    <row r="5838" spans="1:40" x14ac:dyDescent="0.25">
      <c r="A5838" t="str">
        <f>"20190312172233000"</f>
        <v>20190312172233000</v>
      </c>
      <c r="B5838" t="str">
        <f>"1552382552996266"</f>
        <v>1552382552996266</v>
      </c>
      <c r="C5838" t="s">
        <v>40</v>
      </c>
      <c r="D5838">
        <v>3.5884710000000002</v>
      </c>
      <c r="E5838">
        <v>0.52764990000000001</v>
      </c>
      <c r="F5838" t="s">
        <v>41</v>
      </c>
      <c r="G5838">
        <v>-423.11799999999999</v>
      </c>
      <c r="H5838">
        <v>1.0358940000000001</v>
      </c>
      <c r="I5838">
        <v>85.720550000000003</v>
      </c>
      <c r="J5838">
        <v>-423.096</v>
      </c>
      <c r="K5838">
        <v>1.1035549999999901</v>
      </c>
      <c r="L5838">
        <v>86.464969999999994</v>
      </c>
      <c r="M5838">
        <v>1.8655850000000002E-2</v>
      </c>
      <c r="N5838">
        <v>0</v>
      </c>
      <c r="O5838">
        <v>-0.99971969999999999</v>
      </c>
      <c r="P5838">
        <v>6.5244129999999997E-2</v>
      </c>
      <c r="Q5838">
        <v>0.1363267</v>
      </c>
      <c r="R5838">
        <v>-0.98851339999999999</v>
      </c>
      <c r="S5838">
        <v>-5.4534909999999999E-2</v>
      </c>
      <c r="T5838">
        <v>-0.2024397</v>
      </c>
      <c r="U5838">
        <v>-3.0644840000000002</v>
      </c>
      <c r="V5838">
        <v>-4.4346459999999997E-2</v>
      </c>
      <c r="W5838">
        <v>0.1514826</v>
      </c>
      <c r="X5838">
        <v>0.98746469999999997</v>
      </c>
      <c r="Y5838">
        <v>3.6406099999999997E-2</v>
      </c>
      <c r="Z5838">
        <v>6.5872040000000007E-2</v>
      </c>
      <c r="AA5838">
        <v>0.99716369999999999</v>
      </c>
      <c r="AB5838">
        <v>40</v>
      </c>
      <c r="AC5838">
        <v>-2.20000000000482E-2</v>
      </c>
      <c r="AD5838">
        <v>-6.7660999999999694E-2</v>
      </c>
      <c r="AE5838">
        <v>-0.74441999999998998</v>
      </c>
      <c r="AF5838">
        <v>3.5591662287340599E-2</v>
      </c>
      <c r="AG5838">
        <v>-6.7660999999999694E-2</v>
      </c>
      <c r="AH5838">
        <v>0.73779026375090495</v>
      </c>
      <c r="AI5838">
        <v>95.233751242113598</v>
      </c>
      <c r="AJ5838">
        <v>87.238141467348498</v>
      </c>
      <c r="AK5838">
        <v>0.74174068961531703</v>
      </c>
      <c r="AL5838">
        <v>81.287145353273701</v>
      </c>
      <c r="AM5838">
        <v>92.571392043413994</v>
      </c>
      <c r="AN5838">
        <v>1.0000000601816801</v>
      </c>
    </row>
    <row r="5839" spans="1:40" x14ac:dyDescent="0.25">
      <c r="A5839" t="str">
        <f>"20190312172233019"</f>
        <v>20190312172233019</v>
      </c>
      <c r="B5839" t="str">
        <f>"1552382553016762"</f>
        <v>1552382553016762</v>
      </c>
      <c r="C5839" t="s">
        <v>40</v>
      </c>
      <c r="D5839">
        <v>3.569194</v>
      </c>
      <c r="E5839">
        <v>0.52767519999999901</v>
      </c>
      <c r="F5839" t="s">
        <v>42</v>
      </c>
      <c r="G5839">
        <v>-423.33800000000002</v>
      </c>
      <c r="H5839" s="1">
        <v>-4.7081730000000004E-6</v>
      </c>
      <c r="I5839">
        <v>69.082030000000003</v>
      </c>
      <c r="J5839">
        <v>-423.09300000000002</v>
      </c>
      <c r="K5839">
        <v>1.103823</v>
      </c>
      <c r="L5839">
        <v>86.103179999999995</v>
      </c>
      <c r="M5839">
        <v>1.3876499999999899E-2</v>
      </c>
      <c r="N5839">
        <v>0</v>
      </c>
      <c r="O5839">
        <v>-0.99979759999999995</v>
      </c>
      <c r="P5839">
        <v>6.6868070000000002E-2</v>
      </c>
      <c r="Q5839">
        <v>0.13856479999999999</v>
      </c>
      <c r="R5839">
        <v>-0.98809340000000001</v>
      </c>
      <c r="S5839">
        <v>-4.2663569999999998E-2</v>
      </c>
      <c r="T5839">
        <v>-0.19455149999999999</v>
      </c>
      <c r="U5839">
        <v>-3.064514</v>
      </c>
      <c r="V5839">
        <v>-5.0760720000000002E-2</v>
      </c>
      <c r="W5839">
        <v>0.15376579999999901</v>
      </c>
      <c r="X5839">
        <v>0.98680259999999997</v>
      </c>
      <c r="Y5839">
        <v>2.7767790000000001E-2</v>
      </c>
      <c r="Z5839">
        <v>6.3333299999999995E-2</v>
      </c>
      <c r="AA5839">
        <v>0.99760599999999999</v>
      </c>
      <c r="AB5839">
        <v>40</v>
      </c>
      <c r="AC5839">
        <v>-0.24500000000000399</v>
      </c>
      <c r="AD5839">
        <v>-1.1038277081729999</v>
      </c>
      <c r="AE5839">
        <v>-17.021149999999999</v>
      </c>
      <c r="AF5839">
        <v>0.47918064800336302</v>
      </c>
      <c r="AG5839">
        <v>-1.1038277081729999</v>
      </c>
      <c r="AH5839">
        <v>16.944862665637999</v>
      </c>
      <c r="AI5839">
        <v>93.725628886300299</v>
      </c>
      <c r="AJ5839">
        <v>88.380174906747101</v>
      </c>
      <c r="AK5839">
        <v>16.987537209968998</v>
      </c>
      <c r="AL5839">
        <v>81.15477602672</v>
      </c>
      <c r="AM5839">
        <v>92.944675935023895</v>
      </c>
      <c r="AN5839">
        <v>0.99999997165565802</v>
      </c>
    </row>
    <row r="5840" spans="1:40" x14ac:dyDescent="0.25">
      <c r="A5840" t="str">
        <f>"20190312172233043"</f>
        <v>20190312172233043</v>
      </c>
      <c r="B5840" t="str">
        <f>"1552382553036283"</f>
        <v>1552382553036283</v>
      </c>
      <c r="C5840" t="s">
        <v>40</v>
      </c>
      <c r="D5840">
        <v>3.5573139999999999</v>
      </c>
      <c r="E5840">
        <v>0.52751769999999998</v>
      </c>
      <c r="F5840" t="s">
        <v>42</v>
      </c>
      <c r="G5840">
        <v>-423.31610000000001</v>
      </c>
      <c r="H5840" s="1">
        <v>-4.2937850000000001E-6</v>
      </c>
      <c r="I5840">
        <v>67.87576</v>
      </c>
      <c r="J5840">
        <v>-423.09160000000003</v>
      </c>
      <c r="K5840">
        <v>1.1041459999999901</v>
      </c>
      <c r="L5840">
        <v>85.698669999999893</v>
      </c>
      <c r="M5840">
        <v>8.8987860000000005E-3</v>
      </c>
      <c r="N5840">
        <v>0</v>
      </c>
      <c r="O5840">
        <v>-0.99985469999999999</v>
      </c>
      <c r="P5840">
        <v>6.7123879999999997E-2</v>
      </c>
      <c r="Q5840">
        <v>0.14063149999999999</v>
      </c>
      <c r="R5840">
        <v>-0.98778410000000005</v>
      </c>
      <c r="S5840">
        <v>-3.7506100000000001E-2</v>
      </c>
      <c r="T5840">
        <v>-0.1855956</v>
      </c>
      <c r="U5840">
        <v>-3.0647280000000001</v>
      </c>
      <c r="V5840">
        <v>-5.6027149999999998E-2</v>
      </c>
      <c r="W5840">
        <v>0.15584089999999901</v>
      </c>
      <c r="X5840">
        <v>0.98619190000000001</v>
      </c>
      <c r="Y5840">
        <v>2.1113280000000002E-2</v>
      </c>
      <c r="Z5840">
        <v>6.0435280000000001E-2</v>
      </c>
      <c r="AA5840">
        <v>0.99794879999999997</v>
      </c>
      <c r="AB5840">
        <v>40</v>
      </c>
      <c r="AC5840">
        <v>-0.224499999999977</v>
      </c>
      <c r="AD5840">
        <v>-1.1041502937849901</v>
      </c>
      <c r="AE5840">
        <v>-17.822909999999901</v>
      </c>
      <c r="AF5840">
        <v>0.38164563322876299</v>
      </c>
      <c r="AG5840">
        <v>-1.1041502937849901</v>
      </c>
      <c r="AH5840">
        <v>17.752085380998601</v>
      </c>
      <c r="AI5840">
        <v>93.558297526383797</v>
      </c>
      <c r="AJ5840">
        <v>88.768408575441995</v>
      </c>
      <c r="AK5840">
        <v>17.790484440702901</v>
      </c>
      <c r="AL5840">
        <v>81.0344305674016</v>
      </c>
      <c r="AM5840">
        <v>93.251570297148504</v>
      </c>
      <c r="AN5840">
        <v>0.99999994563776895</v>
      </c>
    </row>
    <row r="5841" spans="1:40" x14ac:dyDescent="0.25">
      <c r="A5841" t="str">
        <f>"20190312172233055"</f>
        <v>20190312172233055</v>
      </c>
      <c r="B5841" t="str">
        <f>"1552382553046041"</f>
        <v>1552382553046041</v>
      </c>
      <c r="C5841" t="s">
        <v>40</v>
      </c>
      <c r="D5841">
        <v>3.5684610000000001</v>
      </c>
      <c r="E5841">
        <v>0.52754650000000003</v>
      </c>
      <c r="F5841" t="s">
        <v>42</v>
      </c>
      <c r="G5841">
        <v>-423.3177</v>
      </c>
      <c r="H5841" s="1">
        <v>-3.841817E-6</v>
      </c>
      <c r="I5841">
        <v>66.546769999999995</v>
      </c>
      <c r="J5841">
        <v>-423.09160000000003</v>
      </c>
      <c r="K5841">
        <v>1.1043590000000001</v>
      </c>
      <c r="L5841">
        <v>85.450649999999996</v>
      </c>
      <c r="M5841">
        <v>6.0528750000000001E-3</v>
      </c>
      <c r="N5841">
        <v>0</v>
      </c>
      <c r="O5841">
        <v>-0.99987599999999999</v>
      </c>
      <c r="P5841">
        <v>6.5546129999999994E-2</v>
      </c>
      <c r="Q5841">
        <v>0.1414444</v>
      </c>
      <c r="R5841">
        <v>-0.98777380000000004</v>
      </c>
      <c r="S5841">
        <v>-3.619385E-2</v>
      </c>
      <c r="T5841">
        <v>-0.1766867</v>
      </c>
      <c r="U5841">
        <v>-3.0646969999999998</v>
      </c>
      <c r="V5841">
        <v>-5.733096E-2</v>
      </c>
      <c r="W5841">
        <v>0.15662609999999999</v>
      </c>
      <c r="X5841">
        <v>0.9859926</v>
      </c>
      <c r="Y5841">
        <v>1.784241E-2</v>
      </c>
      <c r="Z5841">
        <v>5.7548530000000001E-2</v>
      </c>
      <c r="AA5841">
        <v>0.9981833</v>
      </c>
      <c r="AB5841">
        <v>40</v>
      </c>
      <c r="AC5841">
        <v>-0.22609999999997399</v>
      </c>
      <c r="AD5841">
        <v>-1.104362841817</v>
      </c>
      <c r="AE5841">
        <v>-18.903879999999901</v>
      </c>
      <c r="AF5841">
        <v>0.33937269892941802</v>
      </c>
      <c r="AG5841">
        <v>-1.104362841817</v>
      </c>
      <c r="AH5841">
        <v>18.837882597361599</v>
      </c>
      <c r="AI5841">
        <v>93.354557448742099</v>
      </c>
      <c r="AJ5841">
        <v>88.967903106058998</v>
      </c>
      <c r="AK5841">
        <v>18.873277719228899</v>
      </c>
      <c r="AL5841">
        <v>80.988883004834193</v>
      </c>
      <c r="AM5841">
        <v>93.327740654521506</v>
      </c>
      <c r="AN5841">
        <v>0.99999999071524504</v>
      </c>
    </row>
    <row r="5842" spans="1:40" x14ac:dyDescent="0.25">
      <c r="A5842" t="str">
        <f>"20190312172233075"</f>
        <v>20190312172233075</v>
      </c>
      <c r="B5842" t="str">
        <f>"1552382553066538"</f>
        <v>1552382553066538</v>
      </c>
      <c r="C5842" t="s">
        <v>40</v>
      </c>
      <c r="D5842">
        <v>3.5539689999999999</v>
      </c>
      <c r="E5842">
        <v>0.52760099999999999</v>
      </c>
      <c r="F5842" t="s">
        <v>42</v>
      </c>
      <c r="G5842">
        <v>-423.35359999999997</v>
      </c>
      <c r="H5842" s="1">
        <v>-3.6357900000000001E-6</v>
      </c>
      <c r="I5842">
        <v>65.984210000000004</v>
      </c>
      <c r="J5842">
        <v>-423.0924</v>
      </c>
      <c r="K5842">
        <v>1.104651</v>
      </c>
      <c r="L5842">
        <v>85.107419999999905</v>
      </c>
      <c r="M5842">
        <v>2.3150290000000001E-3</v>
      </c>
      <c r="N5842">
        <v>0</v>
      </c>
      <c r="O5842">
        <v>-0.99989229999999996</v>
      </c>
      <c r="P5842">
        <v>6.1856979999999999E-2</v>
      </c>
      <c r="Q5842">
        <v>0.1413219</v>
      </c>
      <c r="R5842">
        <v>-0.98802970000000001</v>
      </c>
      <c r="S5842">
        <v>-4.1259770000000001E-2</v>
      </c>
      <c r="T5842">
        <v>-0.17386869999999999</v>
      </c>
      <c r="U5842">
        <v>-3.0647579999999999</v>
      </c>
      <c r="V5842">
        <v>-5.7448770000000003E-2</v>
      </c>
      <c r="W5842">
        <v>0.1564429</v>
      </c>
      <c r="X5842">
        <v>0.98601479999999997</v>
      </c>
      <c r="Y5842">
        <v>1.5754850000000001E-2</v>
      </c>
      <c r="Z5842">
        <v>5.6634230000000001E-2</v>
      </c>
      <c r="AA5842">
        <v>0.99827069999999996</v>
      </c>
      <c r="AB5842">
        <v>40</v>
      </c>
      <c r="AC5842">
        <v>-0.26119999999997301</v>
      </c>
      <c r="AD5842">
        <v>-1.10465463579</v>
      </c>
      <c r="AE5842">
        <v>-19.123209999999901</v>
      </c>
      <c r="AF5842">
        <v>0.304459003167245</v>
      </c>
      <c r="AG5842">
        <v>-1.10465463579</v>
      </c>
      <c r="AH5842">
        <v>19.058969701857201</v>
      </c>
      <c r="AI5842">
        <v>93.316720245467195</v>
      </c>
      <c r="AJ5842">
        <v>89.084801929502405</v>
      </c>
      <c r="AK5842">
        <v>19.0933832320334</v>
      </c>
      <c r="AL5842">
        <v>80.999510360914897</v>
      </c>
      <c r="AM5842">
        <v>93.334488541270204</v>
      </c>
      <c r="AN5842">
        <v>0.99999996397697999</v>
      </c>
    </row>
    <row r="5843" spans="1:40" x14ac:dyDescent="0.25">
      <c r="A5843" t="str">
        <f>"20190312172233097"</f>
        <v>20190312172233097</v>
      </c>
      <c r="B5843" t="str">
        <f>"1552382553086058"</f>
        <v>1552382553086058</v>
      </c>
      <c r="C5843" t="s">
        <v>40</v>
      </c>
      <c r="D5843">
        <v>3.5287850000000001</v>
      </c>
      <c r="E5843">
        <v>0.52752100000000002</v>
      </c>
      <c r="F5843" t="s">
        <v>42</v>
      </c>
      <c r="G5843">
        <v>-423.4239</v>
      </c>
      <c r="H5843" s="1">
        <v>-3.561719E-6</v>
      </c>
      <c r="I5843">
        <v>65.767979999999994</v>
      </c>
      <c r="J5843">
        <v>-423.09480000000002</v>
      </c>
      <c r="K5843">
        <v>1.1050180000000001</v>
      </c>
      <c r="L5843">
        <v>84.707700000000003</v>
      </c>
      <c r="M5843">
        <v>-1.6892439999999999E-3</v>
      </c>
      <c r="N5843">
        <v>0</v>
      </c>
      <c r="O5843">
        <v>-0.99989349999999999</v>
      </c>
      <c r="P5843">
        <v>5.9178300000000003E-2</v>
      </c>
      <c r="Q5843">
        <v>0.1396937</v>
      </c>
      <c r="R5843">
        <v>-0.988425</v>
      </c>
      <c r="S5843">
        <v>-5.2520749999999998E-2</v>
      </c>
      <c r="T5843">
        <v>-0.1750516</v>
      </c>
      <c r="U5843">
        <v>-3.064667</v>
      </c>
      <c r="V5843">
        <v>-5.8887689999999999E-2</v>
      </c>
      <c r="W5843">
        <v>0.1547608</v>
      </c>
      <c r="X5843">
        <v>0.98619540000000006</v>
      </c>
      <c r="Y5843">
        <v>1.541792E-2</v>
      </c>
      <c r="Z5843">
        <v>5.7018659999999999E-2</v>
      </c>
      <c r="AA5843">
        <v>0.99825410000000003</v>
      </c>
      <c r="AB5843">
        <v>40</v>
      </c>
      <c r="AC5843">
        <v>-0.32909999999998202</v>
      </c>
      <c r="AD5843">
        <v>-1.105021561719</v>
      </c>
      <c r="AE5843">
        <v>-18.939719999999902</v>
      </c>
      <c r="AF5843">
        <v>0.29609474640734001</v>
      </c>
      <c r="AG5843">
        <v>-1.105021561719</v>
      </c>
      <c r="AH5843">
        <v>18.876013687539199</v>
      </c>
      <c r="AI5843">
        <v>93.349919851621806</v>
      </c>
      <c r="AJ5843">
        <v>89.101315122762699</v>
      </c>
      <c r="AK5843">
        <v>18.910648785350599</v>
      </c>
      <c r="AL5843">
        <v>81.097076439022302</v>
      </c>
      <c r="AM5843">
        <v>93.417187523492501</v>
      </c>
      <c r="AN5843">
        <v>1.0000000161156599</v>
      </c>
    </row>
    <row r="5844" spans="1:40" x14ac:dyDescent="0.25">
      <c r="A5844" t="str">
        <f>"20190312172233120"</f>
        <v>20190312172233120</v>
      </c>
      <c r="B5844" t="str">
        <f>"1552382553116314"</f>
        <v>1552382553116314</v>
      </c>
      <c r="C5844" t="s">
        <v>40</v>
      </c>
      <c r="D5844">
        <v>3.5392610000000002</v>
      </c>
      <c r="E5844">
        <v>0.52745439999999999</v>
      </c>
      <c r="F5844" t="s">
        <v>42</v>
      </c>
      <c r="G5844">
        <v>-423.47410000000002</v>
      </c>
      <c r="H5844" s="1">
        <v>-3.5890799999999999E-6</v>
      </c>
      <c r="I5844">
        <v>65.800609999999907</v>
      </c>
      <c r="J5844">
        <v>-423.0985</v>
      </c>
      <c r="K5844">
        <v>1.1054219999999999</v>
      </c>
      <c r="L5844">
        <v>84.311920000000001</v>
      </c>
      <c r="M5844">
        <v>-5.2237789999999996E-3</v>
      </c>
      <c r="N5844">
        <v>0</v>
      </c>
      <c r="O5844">
        <v>-0.99988169999999998</v>
      </c>
      <c r="P5844">
        <v>5.714901E-2</v>
      </c>
      <c r="Q5844">
        <v>0.138461</v>
      </c>
      <c r="R5844">
        <v>-0.98871779999999998</v>
      </c>
      <c r="S5844">
        <v>-6.14624E-2</v>
      </c>
      <c r="T5844">
        <v>-0.17908350000000001</v>
      </c>
      <c r="U5844">
        <v>-3.0641479999999999</v>
      </c>
      <c r="V5844">
        <v>-6.0517649999999999E-2</v>
      </c>
      <c r="W5844">
        <v>0.15346799999999999</v>
      </c>
      <c r="X5844">
        <v>0.98629869999999997</v>
      </c>
      <c r="Y5844">
        <v>1.479683E-2</v>
      </c>
      <c r="Z5844">
        <v>5.833501E-2</v>
      </c>
      <c r="AA5844">
        <v>0.99818739999999995</v>
      </c>
      <c r="AB5844">
        <v>40</v>
      </c>
      <c r="AC5844">
        <v>-0.37560000000001897</v>
      </c>
      <c r="AD5844">
        <v>-1.10542558908</v>
      </c>
      <c r="AE5844">
        <v>-18.511310000000002</v>
      </c>
      <c r="AF5844">
        <v>0.27789518660753298</v>
      </c>
      <c r="AG5844">
        <v>-1.10542558908</v>
      </c>
      <c r="AH5844">
        <v>18.447263253846401</v>
      </c>
      <c r="AI5844">
        <v>93.428877949400999</v>
      </c>
      <c r="AJ5844">
        <v>89.136944225423406</v>
      </c>
      <c r="AK5844">
        <v>18.482443372683299</v>
      </c>
      <c r="AL5844">
        <v>81.1720436480975</v>
      </c>
      <c r="AM5844">
        <v>93.511171938035403</v>
      </c>
      <c r="AN5844">
        <v>0.99999996930360502</v>
      </c>
    </row>
    <row r="5845" spans="1:40" x14ac:dyDescent="0.25">
      <c r="A5845" t="str">
        <f>"20190312172233142"</f>
        <v>20190312172233142</v>
      </c>
      <c r="B5845" t="str">
        <f>"1552382553136812"</f>
        <v>1552382553136812</v>
      </c>
      <c r="C5845" t="s">
        <v>40</v>
      </c>
      <c r="D5845">
        <v>3.555663</v>
      </c>
      <c r="E5845">
        <v>0.52726430000000002</v>
      </c>
      <c r="F5845" t="s">
        <v>42</v>
      </c>
      <c r="G5845">
        <v>-423.50700000000001</v>
      </c>
      <c r="H5845" s="1">
        <v>-3.6464540000000002E-6</v>
      </c>
      <c r="I5845">
        <v>65.91395</v>
      </c>
      <c r="J5845">
        <v>-423.10340000000002</v>
      </c>
      <c r="K5845">
        <v>1.1058809999999999</v>
      </c>
      <c r="L5845">
        <v>83.91095</v>
      </c>
      <c r="M5845">
        <v>-8.3101759999999903E-3</v>
      </c>
      <c r="N5845">
        <v>0</v>
      </c>
      <c r="O5845">
        <v>-0.99986109999999995</v>
      </c>
      <c r="P5845">
        <v>5.5960280000000001E-2</v>
      </c>
      <c r="Q5845">
        <v>0.14074229999999999</v>
      </c>
      <c r="R5845">
        <v>-0.98846350000000005</v>
      </c>
      <c r="S5845">
        <v>-6.8023680000000003E-2</v>
      </c>
      <c r="T5845">
        <v>-0.1840956</v>
      </c>
      <c r="U5845">
        <v>-3.063965</v>
      </c>
      <c r="V5845">
        <v>-6.2518920000000006E-2</v>
      </c>
      <c r="W5845">
        <v>0.15567420000000001</v>
      </c>
      <c r="X5845">
        <v>0.98582800000000004</v>
      </c>
      <c r="Y5845">
        <v>1.3846020000000001E-2</v>
      </c>
      <c r="Z5845">
        <v>5.9962630000000003E-2</v>
      </c>
      <c r="AA5845">
        <v>0.99810460000000001</v>
      </c>
      <c r="AB5845">
        <v>40</v>
      </c>
      <c r="AC5845">
        <v>-0.40359999999992602</v>
      </c>
      <c r="AD5845">
        <v>-1.105884646454</v>
      </c>
      <c r="AE5845">
        <v>-17.997</v>
      </c>
      <c r="AF5845">
        <v>0.25305717684814499</v>
      </c>
      <c r="AG5845">
        <v>-1.105884646454</v>
      </c>
      <c r="AH5845">
        <v>17.932057314674399</v>
      </c>
      <c r="AI5845">
        <v>93.528657724929602</v>
      </c>
      <c r="AJ5845">
        <v>89.191495678521704</v>
      </c>
      <c r="AK5845">
        <v>17.967907455315601</v>
      </c>
      <c r="AL5845">
        <v>81.044099902470506</v>
      </c>
      <c r="AM5845">
        <v>93.628705702439404</v>
      </c>
      <c r="AN5845">
        <v>0.99999995874380199</v>
      </c>
    </row>
    <row r="5846" spans="1:40" x14ac:dyDescent="0.25">
      <c r="A5846" t="str">
        <f>"20190312172233164"</f>
        <v>20190312172233164</v>
      </c>
      <c r="B5846" t="str">
        <f>"1552382553156333"</f>
        <v>1552382553156333</v>
      </c>
      <c r="C5846" t="s">
        <v>40</v>
      </c>
      <c r="D5846">
        <v>3.5281910000000001</v>
      </c>
      <c r="E5846">
        <v>0.52703929999999999</v>
      </c>
      <c r="F5846" t="s">
        <v>42</v>
      </c>
      <c r="G5846">
        <v>-423.51459999999997</v>
      </c>
      <c r="H5846" s="1">
        <v>-3.2433189999999998E-6</v>
      </c>
      <c r="I5846">
        <v>64.96951</v>
      </c>
      <c r="J5846">
        <v>-423.10910000000001</v>
      </c>
      <c r="K5846">
        <v>1.106363</v>
      </c>
      <c r="L5846">
        <v>83.507599999999996</v>
      </c>
      <c r="M5846">
        <v>-1.0926770000000001E-2</v>
      </c>
      <c r="N5846">
        <v>0</v>
      </c>
      <c r="O5846">
        <v>-0.99983619999999995</v>
      </c>
      <c r="P5846">
        <v>5.5116690000000003E-2</v>
      </c>
      <c r="Q5846">
        <v>0.14148659999999999</v>
      </c>
      <c r="R5846">
        <v>-0.98840459999999997</v>
      </c>
      <c r="S5846">
        <v>-6.6528320000000002E-2</v>
      </c>
      <c r="T5846">
        <v>-0.1789055</v>
      </c>
      <c r="U5846">
        <v>-3.06427</v>
      </c>
      <c r="V5846">
        <v>-6.4432729999999994E-2</v>
      </c>
      <c r="W5846">
        <v>0.15633729999999901</v>
      </c>
      <c r="X5846">
        <v>0.98559989999999997</v>
      </c>
      <c r="Y5846">
        <v>1.0742359999999999E-2</v>
      </c>
      <c r="Z5846">
        <v>5.8271389999999999E-2</v>
      </c>
      <c r="AA5846">
        <v>0.99824299999999999</v>
      </c>
      <c r="AB5846">
        <v>40</v>
      </c>
      <c r="AC5846">
        <v>-0.40549999999996</v>
      </c>
      <c r="AD5846">
        <v>-1.106366243319</v>
      </c>
      <c r="AE5846">
        <v>-18.53809</v>
      </c>
      <c r="AF5846">
        <v>0.20217349915084201</v>
      </c>
      <c r="AG5846">
        <v>-1.106366243319</v>
      </c>
      <c r="AH5846">
        <v>18.4756395230057</v>
      </c>
      <c r="AI5846">
        <v>93.426713710330702</v>
      </c>
      <c r="AJ5846">
        <v>89.3730541291946</v>
      </c>
      <c r="AK5846">
        <v>18.509839982349</v>
      </c>
      <c r="AL5846">
        <v>81.005636910399403</v>
      </c>
      <c r="AM5846">
        <v>93.740338992130901</v>
      </c>
      <c r="AN5846">
        <v>1.00000004547327</v>
      </c>
    </row>
    <row r="5847" spans="1:40" x14ac:dyDescent="0.25">
      <c r="A5847" t="str">
        <f>"20190312172233186"</f>
        <v>20190312172233186</v>
      </c>
      <c r="B5847" t="str">
        <f>"1552382553176832"</f>
        <v>1552382553176832</v>
      </c>
      <c r="C5847" t="s">
        <v>40</v>
      </c>
      <c r="D5847">
        <v>3.511126</v>
      </c>
      <c r="E5847">
        <v>0.52688659999999998</v>
      </c>
      <c r="F5847" t="s">
        <v>42</v>
      </c>
      <c r="G5847">
        <v>-423.51249999999999</v>
      </c>
      <c r="H5847" s="1">
        <v>-2.965246E-6</v>
      </c>
      <c r="I5847">
        <v>64.322620000000001</v>
      </c>
      <c r="J5847">
        <v>-423.11529999999999</v>
      </c>
      <c r="K5847">
        <v>1.106795</v>
      </c>
      <c r="L5847">
        <v>83.121340000000004</v>
      </c>
      <c r="M5847">
        <v>-1.304873E-2</v>
      </c>
      <c r="N5847">
        <v>0</v>
      </c>
      <c r="O5847">
        <v>-0.99981109999999895</v>
      </c>
      <c r="P5847">
        <v>5.4946330000000002E-2</v>
      </c>
      <c r="Q5847">
        <v>0.1383731</v>
      </c>
      <c r="R5847">
        <v>-0.98885480000000003</v>
      </c>
      <c r="S5847">
        <v>-6.4422610000000005E-2</v>
      </c>
      <c r="T5847">
        <v>-0.17670079999999999</v>
      </c>
      <c r="U5847">
        <v>-3.0640869999999998</v>
      </c>
      <c r="V5847">
        <v>-6.6557969999999994E-2</v>
      </c>
      <c r="W5847">
        <v>0.15315609999999999</v>
      </c>
      <c r="X5847">
        <v>0.985958</v>
      </c>
      <c r="Y5847">
        <v>7.9365709999999999E-3</v>
      </c>
      <c r="Z5847">
        <v>5.7558100000000001E-2</v>
      </c>
      <c r="AA5847">
        <v>0.99831060000000005</v>
      </c>
      <c r="AB5847">
        <v>40</v>
      </c>
      <c r="AC5847">
        <v>-0.397199999999998</v>
      </c>
      <c r="AD5847">
        <v>-1.106797965246</v>
      </c>
      <c r="AE5847">
        <v>-18.798719999999999</v>
      </c>
      <c r="AF5847">
        <v>0.15131700827656</v>
      </c>
      <c r="AG5847">
        <v>-1.106797965246</v>
      </c>
      <c r="AH5847">
        <v>18.737380179573201</v>
      </c>
      <c r="AI5847">
        <v>93.380365371680597</v>
      </c>
      <c r="AJ5847">
        <v>89.537307916311406</v>
      </c>
      <c r="AK5847">
        <v>18.770650350127099</v>
      </c>
      <c r="AL5847">
        <v>81.190127969828694</v>
      </c>
      <c r="AM5847">
        <v>93.861943218426006</v>
      </c>
      <c r="AN5847">
        <v>0.99999996605086405</v>
      </c>
    </row>
    <row r="5848" spans="1:40" x14ac:dyDescent="0.25">
      <c r="A5848" t="str">
        <f>"20190312172233209"</f>
        <v>20190312172233209</v>
      </c>
      <c r="B5848" t="str">
        <f>"1552382553206106"</f>
        <v>1552382553206106</v>
      </c>
      <c r="C5848" t="s">
        <v>40</v>
      </c>
      <c r="D5848">
        <v>3.5326089999999901</v>
      </c>
      <c r="E5848">
        <v>0.52655699999999905</v>
      </c>
      <c r="F5848" t="s">
        <v>42</v>
      </c>
      <c r="G5848">
        <v>-423.50040000000001</v>
      </c>
      <c r="H5848" s="1">
        <v>-3.2292829999999999E-6</v>
      </c>
      <c r="I5848">
        <v>64.945619999999906</v>
      </c>
      <c r="J5848">
        <v>-423.1223</v>
      </c>
      <c r="K5848">
        <v>1.10724</v>
      </c>
      <c r="L5848">
        <v>82.714869999999905</v>
      </c>
      <c r="M5848">
        <v>-1.4853369999999999E-2</v>
      </c>
      <c r="N5848">
        <v>0</v>
      </c>
      <c r="O5848">
        <v>-0.99978619999999996</v>
      </c>
      <c r="P5848">
        <v>5.4711990000000002E-2</v>
      </c>
      <c r="Q5848">
        <v>0.13314129999999999</v>
      </c>
      <c r="R5848">
        <v>-0.98958570000000001</v>
      </c>
      <c r="S5848">
        <v>-6.4910889999999999E-2</v>
      </c>
      <c r="T5848">
        <v>-0.186552</v>
      </c>
      <c r="U5848">
        <v>-3.0635379999999999</v>
      </c>
      <c r="V5848">
        <v>-6.8324960000000004E-2</v>
      </c>
      <c r="W5848">
        <v>0.1478527</v>
      </c>
      <c r="X5848">
        <v>0.98664649999999998</v>
      </c>
      <c r="Y5848">
        <v>6.2903969999999997E-3</v>
      </c>
      <c r="Z5848">
        <v>6.0764289999999999E-2</v>
      </c>
      <c r="AA5848">
        <v>0.99813229999999997</v>
      </c>
      <c r="AB5848">
        <v>40</v>
      </c>
      <c r="AC5848">
        <v>-0.37810000000001698</v>
      </c>
      <c r="AD5848">
        <v>-1.1072432292829999</v>
      </c>
      <c r="AE5848">
        <v>-17.76925</v>
      </c>
      <c r="AF5848">
        <v>0.11365661409774901</v>
      </c>
      <c r="AG5848">
        <v>-1.1072432292829999</v>
      </c>
      <c r="AH5848">
        <v>17.7041947889002</v>
      </c>
      <c r="AI5848">
        <v>93.578617512816706</v>
      </c>
      <c r="AJ5848">
        <v>89.632180117733199</v>
      </c>
      <c r="AK5848">
        <v>17.7391493177672</v>
      </c>
      <c r="AL5848">
        <v>81.497492334573295</v>
      </c>
      <c r="AM5848">
        <v>93.961390491703099</v>
      </c>
      <c r="AN5848">
        <v>1.0000000185092699</v>
      </c>
    </row>
    <row r="5849" spans="1:40" x14ac:dyDescent="0.25">
      <c r="A5849" t="str">
        <f>"20190312172233233"</f>
        <v>20190312172233233</v>
      </c>
      <c r="B5849" t="str">
        <f>"1552382553226603"</f>
        <v>1552382553226603</v>
      </c>
      <c r="C5849" t="s">
        <v>40</v>
      </c>
      <c r="D5849">
        <v>3.518151</v>
      </c>
      <c r="E5849">
        <v>0.52631879999999998</v>
      </c>
      <c r="F5849" t="s">
        <v>42</v>
      </c>
      <c r="G5849">
        <v>-423.47750000000002</v>
      </c>
      <c r="H5849" s="1">
        <v>-3.633252E-6</v>
      </c>
      <c r="I5849">
        <v>65.901480000000006</v>
      </c>
      <c r="J5849">
        <v>-423.12959999999998</v>
      </c>
      <c r="K5849">
        <v>1.1076889999999999</v>
      </c>
      <c r="L5849">
        <v>82.313630000000003</v>
      </c>
      <c r="M5849">
        <v>-1.618528E-2</v>
      </c>
      <c r="N5849">
        <v>0</v>
      </c>
      <c r="O5849">
        <v>-0.99976569999999998</v>
      </c>
      <c r="P5849">
        <v>5.4832069999999997E-2</v>
      </c>
      <c r="Q5849">
        <v>0.13156129999999999</v>
      </c>
      <c r="R5849">
        <v>-0.98979039999999996</v>
      </c>
      <c r="S5849">
        <v>-6.4697270000000001E-2</v>
      </c>
      <c r="T5849">
        <v>-0.2016665</v>
      </c>
      <c r="U5849">
        <v>-3.0622859999999998</v>
      </c>
      <c r="V5849">
        <v>-6.9937239999999998E-2</v>
      </c>
      <c r="W5849">
        <v>0.14619019999999999</v>
      </c>
      <c r="X5849">
        <v>0.98678120000000002</v>
      </c>
      <c r="Y5849">
        <v>4.8906610000000001E-3</v>
      </c>
      <c r="Z5849">
        <v>6.5691970000000002E-2</v>
      </c>
      <c r="AA5849">
        <v>0.99782789999999999</v>
      </c>
      <c r="AB5849">
        <v>40</v>
      </c>
      <c r="AC5849">
        <v>-0.34790000000003801</v>
      </c>
      <c r="AD5849">
        <v>-1.1076926332519901</v>
      </c>
      <c r="AE5849">
        <v>-16.412149999999901</v>
      </c>
      <c r="AF5849">
        <v>8.1819198447274505E-2</v>
      </c>
      <c r="AG5849">
        <v>-1.1076926332519901</v>
      </c>
      <c r="AH5849">
        <v>16.341227018580302</v>
      </c>
      <c r="AI5849">
        <v>93.877822807918193</v>
      </c>
      <c r="AJ5849">
        <v>89.713127075742193</v>
      </c>
      <c r="AK5849">
        <v>16.378930912113098</v>
      </c>
      <c r="AL5849">
        <v>81.593792590549398</v>
      </c>
      <c r="AM5849">
        <v>94.0540085379441</v>
      </c>
      <c r="AN5849">
        <v>0.99999996439414796</v>
      </c>
    </row>
    <row r="5850" spans="1:40" x14ac:dyDescent="0.25">
      <c r="A5850" t="str">
        <f>"20190312172233253"</f>
        <v>20190312172233253</v>
      </c>
      <c r="B5850" t="str">
        <f>"1552382553246125"</f>
        <v>1552382553246125</v>
      </c>
      <c r="C5850" t="s">
        <v>40</v>
      </c>
      <c r="D5850">
        <v>3.5259619999999998</v>
      </c>
      <c r="E5850">
        <v>0.52608290000000002</v>
      </c>
      <c r="F5850" t="s">
        <v>42</v>
      </c>
      <c r="G5850">
        <v>-423.46910000000003</v>
      </c>
      <c r="H5850" s="1">
        <v>-3.624853E-6</v>
      </c>
      <c r="I5850">
        <v>65.887069999999994</v>
      </c>
      <c r="J5850">
        <v>-423.13709999999998</v>
      </c>
      <c r="K5850">
        <v>1.1081669999999999</v>
      </c>
      <c r="L5850">
        <v>81.911769999999905</v>
      </c>
      <c r="M5850">
        <v>-1.7082110000000001E-2</v>
      </c>
      <c r="N5850">
        <v>0</v>
      </c>
      <c r="O5850">
        <v>-0.99975139999999996</v>
      </c>
      <c r="P5850">
        <v>5.5736229999999998E-2</v>
      </c>
      <c r="Q5850">
        <v>0.13342509999999999</v>
      </c>
      <c r="R5850">
        <v>-0.98949089999999995</v>
      </c>
      <c r="S5850">
        <v>-6.3293459999999996E-2</v>
      </c>
      <c r="T5850">
        <v>-0.20647260000000001</v>
      </c>
      <c r="U5850">
        <v>-3.06189</v>
      </c>
      <c r="V5850">
        <v>-7.187723E-2</v>
      </c>
      <c r="W5850">
        <v>0.14796219999999999</v>
      </c>
      <c r="X5850">
        <v>0.98637770000000002</v>
      </c>
      <c r="Y5850">
        <v>3.5369220000000001E-3</v>
      </c>
      <c r="Z5850">
        <v>6.7258200000000004E-2</v>
      </c>
      <c r="AA5850">
        <v>0.99772939999999999</v>
      </c>
      <c r="AB5850">
        <v>40</v>
      </c>
      <c r="AC5850">
        <v>-0.33200000000004998</v>
      </c>
      <c r="AD5850">
        <v>-1.1081706248530001</v>
      </c>
      <c r="AE5850">
        <v>-16.0246999999999</v>
      </c>
      <c r="AF5850">
        <v>5.7910924672304603E-2</v>
      </c>
      <c r="AG5850">
        <v>-1.1081706248530001</v>
      </c>
      <c r="AH5850">
        <v>15.951780322927901</v>
      </c>
      <c r="AI5850">
        <v>93.973928626445797</v>
      </c>
      <c r="AJ5850">
        <v>89.791995819432699</v>
      </c>
      <c r="AK5850">
        <v>15.9903311810586</v>
      </c>
      <c r="AL5850">
        <v>81.491149012213597</v>
      </c>
      <c r="AM5850">
        <v>94.167770324686103</v>
      </c>
      <c r="AN5850">
        <v>1.00000005793929</v>
      </c>
    </row>
    <row r="5851" spans="1:40" x14ac:dyDescent="0.25">
      <c r="A5851" t="str">
        <f>"20190312172233275"</f>
        <v>20190312172233275</v>
      </c>
      <c r="B5851" t="str">
        <f>"1552382553266618"</f>
        <v>1552382553266618</v>
      </c>
      <c r="C5851" t="s">
        <v>40</v>
      </c>
      <c r="D5851">
        <v>3.486119</v>
      </c>
      <c r="E5851">
        <v>0.52594940000000001</v>
      </c>
      <c r="F5851" t="s">
        <v>42</v>
      </c>
      <c r="G5851">
        <v>-423.45929999999998</v>
      </c>
      <c r="H5851" s="1">
        <v>-3.24295E-6</v>
      </c>
      <c r="I5851">
        <v>65.002939999999995</v>
      </c>
      <c r="J5851">
        <v>-423.14420000000001</v>
      </c>
      <c r="K5851">
        <v>1.1086180000000001</v>
      </c>
      <c r="L5851">
        <v>81.531009999999995</v>
      </c>
      <c r="M5851">
        <v>-1.7548290000000001E-2</v>
      </c>
      <c r="N5851">
        <v>0</v>
      </c>
      <c r="O5851">
        <v>-0.9997433</v>
      </c>
      <c r="P5851">
        <v>5.6769760000000002E-2</v>
      </c>
      <c r="Q5851">
        <v>0.13439799999999999</v>
      </c>
      <c r="R5851">
        <v>-0.98930010000000002</v>
      </c>
      <c r="S5851">
        <v>-5.8349610000000003E-2</v>
      </c>
      <c r="T5851">
        <v>-0.20069210000000001</v>
      </c>
      <c r="U5851">
        <v>-3.0622250000000002</v>
      </c>
      <c r="V5851">
        <v>-7.3521470000000005E-2</v>
      </c>
      <c r="W5851">
        <v>0.14884629999999999</v>
      </c>
      <c r="X5851">
        <v>0.98612339999999998</v>
      </c>
      <c r="Y5851">
        <v>1.460575E-3</v>
      </c>
      <c r="Z5851">
        <v>6.5376649999999994E-2</v>
      </c>
      <c r="AA5851">
        <v>0.99785959999999996</v>
      </c>
      <c r="AB5851">
        <v>40</v>
      </c>
      <c r="AC5851">
        <v>-0.31509999999997201</v>
      </c>
      <c r="AD5851">
        <v>-1.10862124295</v>
      </c>
      <c r="AE5851">
        <v>-16.52807</v>
      </c>
      <c r="AF5851">
        <v>2.4870460915808301E-2</v>
      </c>
      <c r="AG5851">
        <v>-1.10862124295</v>
      </c>
      <c r="AH5851">
        <v>16.457040103416698</v>
      </c>
      <c r="AI5851">
        <v>93.853877930227696</v>
      </c>
      <c r="AJ5851">
        <v>89.913412657970795</v>
      </c>
      <c r="AK5851">
        <v>16.494357476592199</v>
      </c>
      <c r="AL5851">
        <v>81.439926064818096</v>
      </c>
      <c r="AM5851">
        <v>94.263858570456904</v>
      </c>
      <c r="AN5851">
        <v>0.99999999380110505</v>
      </c>
    </row>
    <row r="5852" spans="1:40" x14ac:dyDescent="0.25">
      <c r="A5852" t="str">
        <f>"20190312172233297"</f>
        <v>20190312172233297</v>
      </c>
      <c r="B5852" t="str">
        <f>"1552382553286141"</f>
        <v>1552382553286141</v>
      </c>
      <c r="C5852" t="s">
        <v>40</v>
      </c>
      <c r="D5852">
        <v>3.4654500000000001</v>
      </c>
      <c r="E5852">
        <v>0.52517320000000001</v>
      </c>
      <c r="F5852" t="s">
        <v>42</v>
      </c>
      <c r="G5852">
        <v>-423.45089999999999</v>
      </c>
      <c r="H5852" s="1">
        <v>-2.9440710000000002E-6</v>
      </c>
      <c r="I5852">
        <v>64.311480000000003</v>
      </c>
      <c r="J5852">
        <v>-423.1515</v>
      </c>
      <c r="K5852">
        <v>1.109076</v>
      </c>
      <c r="L5852">
        <v>81.137450000000001</v>
      </c>
      <c r="M5852">
        <v>-1.766144E-2</v>
      </c>
      <c r="N5852">
        <v>0</v>
      </c>
      <c r="O5852">
        <v>-0.99974169999999996</v>
      </c>
      <c r="P5852">
        <v>5.8145540000000003E-2</v>
      </c>
      <c r="Q5852">
        <v>0.1330055</v>
      </c>
      <c r="R5852">
        <v>-0.98940870000000003</v>
      </c>
      <c r="S5852">
        <v>-5.4534909999999999E-2</v>
      </c>
      <c r="T5852">
        <v>-0.1971588</v>
      </c>
      <c r="U5852">
        <v>-3.0623469999999999</v>
      </c>
      <c r="V5852">
        <v>-7.5176939999999998E-2</v>
      </c>
      <c r="W5852">
        <v>0.147366</v>
      </c>
      <c r="X5852">
        <v>0.98622089999999996</v>
      </c>
      <c r="Y5852">
        <v>1.05392E-4</v>
      </c>
      <c r="Z5852">
        <v>6.4228499999999994E-2</v>
      </c>
      <c r="AA5852">
        <v>0.99793520000000002</v>
      </c>
      <c r="AB5852">
        <v>40</v>
      </c>
      <c r="AC5852">
        <v>-0.29939999999999101</v>
      </c>
      <c r="AD5852">
        <v>-1.1090789440710001</v>
      </c>
      <c r="AE5852">
        <v>-16.825969999999899</v>
      </c>
      <c r="AF5852">
        <v>2.1427189246254201E-3</v>
      </c>
      <c r="AG5852">
        <v>-1.1090789440710001</v>
      </c>
      <c r="AH5852">
        <v>16.755856452706301</v>
      </c>
      <c r="AI5852">
        <v>93.7869137805517</v>
      </c>
      <c r="AJ5852">
        <v>89.992673084139795</v>
      </c>
      <c r="AK5852">
        <v>16.792521733174201</v>
      </c>
      <c r="AL5852">
        <v>81.525686772758704</v>
      </c>
      <c r="AM5852">
        <v>94.359071724018193</v>
      </c>
      <c r="AN5852">
        <v>0.99999998693028602</v>
      </c>
    </row>
    <row r="5853" spans="1:40" x14ac:dyDescent="0.25">
      <c r="A5853" t="str">
        <f>"20190312172233321"</f>
        <v>20190312172233321</v>
      </c>
      <c r="B5853" t="str">
        <f>"1552382553316393"</f>
        <v>1552382553316393</v>
      </c>
      <c r="C5853" t="s">
        <v>40</v>
      </c>
      <c r="D5853">
        <v>3.5173009999999998</v>
      </c>
      <c r="E5853">
        <v>0.49404930000000002</v>
      </c>
      <c r="F5853" t="s">
        <v>42</v>
      </c>
      <c r="G5853">
        <v>-423.40570000000002</v>
      </c>
      <c r="H5853" s="1">
        <v>-2.8382159999999998E-6</v>
      </c>
      <c r="I5853">
        <v>64.092759999999998</v>
      </c>
      <c r="J5853">
        <v>-423.15879999999999</v>
      </c>
      <c r="K5853">
        <v>1.1095299999999999</v>
      </c>
      <c r="L5853">
        <v>80.733429999999998</v>
      </c>
      <c r="M5853">
        <v>-1.740032E-2</v>
      </c>
      <c r="N5853">
        <v>0</v>
      </c>
      <c r="O5853">
        <v>-0.99974640000000004</v>
      </c>
      <c r="P5853">
        <v>5.9741309999999999E-2</v>
      </c>
      <c r="Q5853">
        <v>0.13214189999999901</v>
      </c>
      <c r="R5853">
        <v>-0.98942920000000001</v>
      </c>
      <c r="S5853">
        <v>-4.5654300000000002E-2</v>
      </c>
      <c r="T5853">
        <v>-0.1992138</v>
      </c>
      <c r="U5853">
        <v>-3.0615839999999999</v>
      </c>
      <c r="V5853">
        <v>-7.6675300000000002E-2</v>
      </c>
      <c r="W5853">
        <v>0.1464114</v>
      </c>
      <c r="X5853">
        <v>0.98624769999999995</v>
      </c>
      <c r="Y5853">
        <v>-2.523544E-3</v>
      </c>
      <c r="Z5853">
        <v>6.4913120000000005E-2</v>
      </c>
      <c r="AA5853">
        <v>0.99788770000000004</v>
      </c>
      <c r="AB5853">
        <v>40</v>
      </c>
      <c r="AC5853">
        <v>-0.246900000000039</v>
      </c>
      <c r="AD5853">
        <v>-1.1095328382159999</v>
      </c>
      <c r="AE5853">
        <v>-16.64067</v>
      </c>
      <c r="AF5853">
        <v>-4.2530924813438897E-2</v>
      </c>
      <c r="AG5853">
        <v>-1.1095328382159999</v>
      </c>
      <c r="AH5853">
        <v>16.568803244098198</v>
      </c>
      <c r="AI5853">
        <v>93.8310896030967</v>
      </c>
      <c r="AJ5853">
        <v>90.147073817131101</v>
      </c>
      <c r="AK5853">
        <v>16.605966185088</v>
      </c>
      <c r="AL5853">
        <v>81.580980897684597</v>
      </c>
      <c r="AM5853">
        <v>94.445487652448307</v>
      </c>
      <c r="AN5853">
        <v>0.999999962717669</v>
      </c>
    </row>
    <row r="5854" spans="1:40" x14ac:dyDescent="0.25">
      <c r="A5854" t="str">
        <f>"20190312172233342"</f>
        <v>20190312172233342</v>
      </c>
      <c r="B5854" t="str">
        <f>"1552382553336890"</f>
        <v>1552382553336890</v>
      </c>
      <c r="C5854" t="s">
        <v>40</v>
      </c>
      <c r="D5854">
        <v>3.4963129999999998</v>
      </c>
      <c r="E5854">
        <v>0.49346640000000003</v>
      </c>
      <c r="F5854" t="s">
        <v>42</v>
      </c>
      <c r="G5854">
        <v>-421.48860000000002</v>
      </c>
      <c r="H5854" s="1">
        <v>-3.3598929999999998E-6</v>
      </c>
      <c r="I5854">
        <v>56.497799999999998</v>
      </c>
      <c r="J5854">
        <v>-423.16520000000003</v>
      </c>
      <c r="K5854">
        <v>1.1099429999999999</v>
      </c>
      <c r="L5854">
        <v>80.343019999999996</v>
      </c>
      <c r="M5854">
        <v>-1.680686E-2</v>
      </c>
      <c r="N5854">
        <v>0</v>
      </c>
      <c r="O5854">
        <v>-0.9997566</v>
      </c>
      <c r="P5854">
        <v>6.2323360000000001E-2</v>
      </c>
      <c r="Q5854">
        <v>0.13304240000000001</v>
      </c>
      <c r="R5854">
        <v>-0.98914919999999995</v>
      </c>
      <c r="S5854">
        <v>0.2093506</v>
      </c>
      <c r="T5854">
        <v>-0.1390827</v>
      </c>
      <c r="U5854">
        <v>-3.0379939999999999</v>
      </c>
      <c r="V5854">
        <v>-7.8806680000000004E-2</v>
      </c>
      <c r="W5854">
        <v>0.1472241</v>
      </c>
      <c r="X5854">
        <v>0.98595869999999997</v>
      </c>
      <c r="Y5854">
        <v>-8.5435349999999993E-2</v>
      </c>
      <c r="Z5854">
        <v>4.5585929999999997E-2</v>
      </c>
      <c r="AA5854">
        <v>0.99530030000000003</v>
      </c>
      <c r="AB5854">
        <v>40</v>
      </c>
      <c r="AC5854">
        <v>1.6766000000000001</v>
      </c>
      <c r="AD5854">
        <v>-1.1099463598929999</v>
      </c>
      <c r="AE5854">
        <v>-23.845220000000001</v>
      </c>
      <c r="AF5854">
        <v>-2.0726985031461602</v>
      </c>
      <c r="AG5854">
        <v>-1.1099463598929999</v>
      </c>
      <c r="AH5854">
        <v>23.762436939094599</v>
      </c>
      <c r="AI5854">
        <v>92.664247664307396</v>
      </c>
      <c r="AJ5854">
        <v>94.985055321886094</v>
      </c>
      <c r="AK5854">
        <v>23.878472926282999</v>
      </c>
      <c r="AL5854">
        <v>81.533906756120402</v>
      </c>
      <c r="AM5854">
        <v>94.5698783596374</v>
      </c>
      <c r="AN5854">
        <v>0.99999999326956102</v>
      </c>
    </row>
    <row r="5855" spans="1:40" x14ac:dyDescent="0.25">
      <c r="A5855" t="str">
        <f>"20190312172233365"</f>
        <v>20190312172233365</v>
      </c>
      <c r="B5855" t="str">
        <f>"1552382553356410"</f>
        <v>1552382553356410</v>
      </c>
      <c r="C5855" t="s">
        <v>40</v>
      </c>
      <c r="D5855">
        <v>3.490869</v>
      </c>
      <c r="E5855">
        <v>0.49359940000000002</v>
      </c>
      <c r="F5855" t="s">
        <v>42</v>
      </c>
      <c r="G5855">
        <v>-421.35180000000003</v>
      </c>
      <c r="H5855" s="1">
        <v>-2.997604E-6</v>
      </c>
      <c r="I5855">
        <v>55.738169999999997</v>
      </c>
      <c r="J5855">
        <v>-423.1712</v>
      </c>
      <c r="K5855">
        <v>1.110301</v>
      </c>
      <c r="L5855">
        <v>79.955290000000005</v>
      </c>
      <c r="M5855">
        <v>-1.597341E-2</v>
      </c>
      <c r="N5855">
        <v>0</v>
      </c>
      <c r="O5855">
        <v>-0.99977039999999995</v>
      </c>
      <c r="P5855">
        <v>6.5094009999999994E-2</v>
      </c>
      <c r="Q5855">
        <v>0.1329862</v>
      </c>
      <c r="R5855">
        <v>-0.98897840000000004</v>
      </c>
      <c r="S5855">
        <v>0.2238464</v>
      </c>
      <c r="T5855">
        <v>-0.1370121</v>
      </c>
      <c r="U5855">
        <v>-3.0372309999999998</v>
      </c>
      <c r="V5855">
        <v>-8.0876310000000007E-2</v>
      </c>
      <c r="W5855">
        <v>0.1470892</v>
      </c>
      <c r="X5855">
        <v>0.9858112</v>
      </c>
      <c r="Y5855">
        <v>-8.9349719999999994E-2</v>
      </c>
      <c r="Z5855">
        <v>4.4905489999999999E-2</v>
      </c>
      <c r="AA5855">
        <v>0.99498750000000002</v>
      </c>
      <c r="AB5855">
        <v>40</v>
      </c>
      <c r="AC5855">
        <v>1.8193999999999699</v>
      </c>
      <c r="AD5855">
        <v>-1.1103039976039999</v>
      </c>
      <c r="AE5855">
        <v>-24.217120000000001</v>
      </c>
      <c r="AF5855">
        <v>-2.2014357663386899</v>
      </c>
      <c r="AG5855">
        <v>-1.1103039976039999</v>
      </c>
      <c r="AH5855">
        <v>24.134517955708699</v>
      </c>
      <c r="AI5855">
        <v>92.623149764362296</v>
      </c>
      <c r="AJ5855">
        <v>95.211825507334297</v>
      </c>
      <c r="AK5855">
        <v>24.260132962431101</v>
      </c>
      <c r="AL5855">
        <v>81.5417207982983</v>
      </c>
      <c r="AM5855">
        <v>94.690063098560401</v>
      </c>
      <c r="AN5855">
        <v>0.99999996616064701</v>
      </c>
    </row>
    <row r="5856" spans="1:40" x14ac:dyDescent="0.25">
      <c r="A5856" t="str">
        <f>"20190312172233387"</f>
        <v>20190312172233387</v>
      </c>
      <c r="B5856" t="str">
        <f>"1552382553376906"</f>
        <v>1552382553376906</v>
      </c>
      <c r="C5856" t="s">
        <v>40</v>
      </c>
      <c r="D5856">
        <v>3.4880420000000001</v>
      </c>
      <c r="E5856">
        <v>0.4934733</v>
      </c>
      <c r="F5856" t="s">
        <v>42</v>
      </c>
      <c r="G5856">
        <v>-421.23700000000002</v>
      </c>
      <c r="H5856" s="1">
        <v>-2.5227220000000002E-6</v>
      </c>
      <c r="I5856">
        <v>54.702419999999996</v>
      </c>
      <c r="J5856">
        <v>-423.17680000000001</v>
      </c>
      <c r="K5856">
        <v>1.1106049999999901</v>
      </c>
      <c r="L5856">
        <v>79.559019999999904</v>
      </c>
      <c r="M5856">
        <v>-1.490987E-2</v>
      </c>
      <c r="N5856">
        <v>0</v>
      </c>
      <c r="O5856">
        <v>-0.99978690000000003</v>
      </c>
      <c r="P5856">
        <v>6.666561E-2</v>
      </c>
      <c r="Q5856">
        <v>0.13126949999999901</v>
      </c>
      <c r="R5856">
        <v>-0.9891027</v>
      </c>
      <c r="S5856">
        <v>0.2325439</v>
      </c>
      <c r="T5856">
        <v>-0.1334882</v>
      </c>
      <c r="U5856">
        <v>-3.0360719999999999</v>
      </c>
      <c r="V5856">
        <v>-8.1508639999999993E-2</v>
      </c>
      <c r="W5856">
        <v>0.14530419999999999</v>
      </c>
      <c r="X5856">
        <v>0.98602380000000001</v>
      </c>
      <c r="Y5856">
        <v>-9.115616E-2</v>
      </c>
      <c r="Z5856">
        <v>4.3762250000000003E-2</v>
      </c>
      <c r="AA5856">
        <v>0.99487460000000005</v>
      </c>
      <c r="AB5856">
        <v>39</v>
      </c>
      <c r="AC5856">
        <v>1.9398000000000399</v>
      </c>
      <c r="AD5856">
        <v>-1.11060752272199</v>
      </c>
      <c r="AE5856">
        <v>-24.8566</v>
      </c>
      <c r="AF5856">
        <v>-2.3056557414275902</v>
      </c>
      <c r="AG5856">
        <v>-1.11060752272199</v>
      </c>
      <c r="AH5856">
        <v>24.775749517918399</v>
      </c>
      <c r="AI5856">
        <v>92.555617318207595</v>
      </c>
      <c r="AJ5856">
        <v>95.316689039869402</v>
      </c>
      <c r="AK5856">
        <v>24.9075743829491</v>
      </c>
      <c r="AL5856">
        <v>81.645104462993601</v>
      </c>
      <c r="AM5856">
        <v>94.725552281655695</v>
      </c>
      <c r="AN5856">
        <v>0.99999995154936305</v>
      </c>
    </row>
    <row r="5857" spans="1:40" x14ac:dyDescent="0.25">
      <c r="A5857" t="str">
        <f>"20190312172233411"</f>
        <v>20190312172233411</v>
      </c>
      <c r="B5857" t="str">
        <f>"1552382553406187"</f>
        <v>1552382553406187</v>
      </c>
      <c r="C5857" t="s">
        <v>40</v>
      </c>
      <c r="D5857">
        <v>3.4811700000000001</v>
      </c>
      <c r="E5857">
        <v>0.49313380000000001</v>
      </c>
      <c r="F5857" t="s">
        <v>42</v>
      </c>
      <c r="G5857">
        <v>-421.24700000000001</v>
      </c>
      <c r="H5857" s="1">
        <v>-2.6097269999999999E-6</v>
      </c>
      <c r="I5857">
        <v>54.898989999999998</v>
      </c>
      <c r="J5857">
        <v>-423.18189999999998</v>
      </c>
      <c r="K5857">
        <v>1.1108690000000001</v>
      </c>
      <c r="L5857">
        <v>79.155000000000001</v>
      </c>
      <c r="M5857">
        <v>-1.3646210000000001E-2</v>
      </c>
      <c r="N5857">
        <v>0</v>
      </c>
      <c r="O5857">
        <v>-0.9998051</v>
      </c>
      <c r="P5857">
        <v>6.8128640000000004E-2</v>
      </c>
      <c r="Q5857">
        <v>0.1285724</v>
      </c>
      <c r="R5857">
        <v>-0.9893573</v>
      </c>
      <c r="S5857">
        <v>0.23751829999999999</v>
      </c>
      <c r="T5857">
        <v>-0.13669489999999901</v>
      </c>
      <c r="U5857">
        <v>-3.0351870000000001</v>
      </c>
      <c r="V5857">
        <v>-8.1820130000000005E-2</v>
      </c>
      <c r="W5857">
        <v>0.14254749999999999</v>
      </c>
      <c r="X5857">
        <v>0.98640039999999996</v>
      </c>
      <c r="Y5857">
        <v>-9.1536709999999993E-2</v>
      </c>
      <c r="Z5857">
        <v>4.4822019999999997E-2</v>
      </c>
      <c r="AA5857">
        <v>0.99479249999999997</v>
      </c>
      <c r="AB5857">
        <v>39</v>
      </c>
      <c r="AC5857">
        <v>1.93490000000002</v>
      </c>
      <c r="AD5857">
        <v>-1.1108716097269999</v>
      </c>
      <c r="AE5857">
        <v>-24.25601</v>
      </c>
      <c r="AF5857">
        <v>-2.26104368390701</v>
      </c>
      <c r="AG5857">
        <v>-1.1108716097269999</v>
      </c>
      <c r="AH5857">
        <v>24.176955217262599</v>
      </c>
      <c r="AI5857">
        <v>92.619336283132</v>
      </c>
      <c r="AJ5857">
        <v>95.342796392833904</v>
      </c>
      <c r="AK5857">
        <v>24.3078488939551</v>
      </c>
      <c r="AL5857">
        <v>81.804714273896593</v>
      </c>
      <c r="AM5857">
        <v>94.741726219749296</v>
      </c>
      <c r="AN5857">
        <v>1.00000003627481</v>
      </c>
    </row>
    <row r="5858" spans="1:40" x14ac:dyDescent="0.25">
      <c r="A5858" t="str">
        <f>"20190312172233433"</f>
        <v>20190312172233433</v>
      </c>
      <c r="B5858" t="str">
        <f>"1552382553426682"</f>
        <v>1552382553426682</v>
      </c>
      <c r="C5858" t="s">
        <v>40</v>
      </c>
      <c r="D5858">
        <v>3.4719509999999998</v>
      </c>
      <c r="E5858">
        <v>0.49302049999999997</v>
      </c>
      <c r="F5858" t="s">
        <v>42</v>
      </c>
      <c r="G5858">
        <v>-421.3177</v>
      </c>
      <c r="H5858" s="1">
        <v>-3.1011470000000001E-6</v>
      </c>
      <c r="I5858">
        <v>56.00065</v>
      </c>
      <c r="J5858">
        <v>-423.18619999999999</v>
      </c>
      <c r="K5858">
        <v>1.1110880000000001</v>
      </c>
      <c r="L5858">
        <v>78.763729999999995</v>
      </c>
      <c r="M5858">
        <v>-1.2287009999999999E-2</v>
      </c>
      <c r="N5858">
        <v>0</v>
      </c>
      <c r="O5858">
        <v>-0.99982300000000002</v>
      </c>
      <c r="P5858">
        <v>7.0979239999999999E-2</v>
      </c>
      <c r="Q5858">
        <v>0.1252093</v>
      </c>
      <c r="R5858">
        <v>-0.98958829999999998</v>
      </c>
      <c r="S5858">
        <v>0.24429319999999999</v>
      </c>
      <c r="T5858">
        <v>-0.14557899999999999</v>
      </c>
      <c r="U5858">
        <v>-3.0343629999999999</v>
      </c>
      <c r="V5858">
        <v>-8.3403720000000001E-2</v>
      </c>
      <c r="W5858">
        <v>0.13913110000000001</v>
      </c>
      <c r="X5858">
        <v>0.98675550000000001</v>
      </c>
      <c r="Y5858">
        <v>-9.2400300000000005E-2</v>
      </c>
      <c r="Z5858">
        <v>4.7736689999999998E-2</v>
      </c>
      <c r="AA5858">
        <v>0.99457700000000004</v>
      </c>
      <c r="AB5858">
        <v>39</v>
      </c>
      <c r="AC5858">
        <v>1.8684999999999801</v>
      </c>
      <c r="AD5858">
        <v>-1.1110911011469999</v>
      </c>
      <c r="AE5858">
        <v>-22.763079999999999</v>
      </c>
      <c r="AF5858">
        <v>-2.14300591469532</v>
      </c>
      <c r="AG5858">
        <v>-1.1110911011469999</v>
      </c>
      <c r="AH5858">
        <v>22.684715544386801</v>
      </c>
      <c r="AI5858">
        <v>92.791680931297705</v>
      </c>
      <c r="AJ5858">
        <v>95.396667873002002</v>
      </c>
      <c r="AK5858">
        <v>22.812788455496001</v>
      </c>
      <c r="AL5858">
        <v>82.002430362953405</v>
      </c>
      <c r="AM5858">
        <v>94.831338443896698</v>
      </c>
      <c r="AN5858">
        <v>1.00000003013864</v>
      </c>
    </row>
    <row r="5859" spans="1:40" x14ac:dyDescent="0.25">
      <c r="A5859" t="str">
        <f>"20190312172233454"</f>
        <v>20190312172233454</v>
      </c>
      <c r="B5859" t="str">
        <f>"1552382553446205"</f>
        <v>1552382553446205</v>
      </c>
      <c r="C5859" t="s">
        <v>40</v>
      </c>
      <c r="D5859">
        <v>3.4685830000000002</v>
      </c>
      <c r="E5859">
        <v>0.49347849999999999</v>
      </c>
      <c r="F5859" t="s">
        <v>42</v>
      </c>
      <c r="G5859">
        <v>-421.36610000000002</v>
      </c>
      <c r="H5859" s="1">
        <v>-3.5390249999999898E-6</v>
      </c>
      <c r="I5859">
        <v>56.991329999999998</v>
      </c>
      <c r="J5859">
        <v>-423.18979999999999</v>
      </c>
      <c r="K5859">
        <v>1.1112759999999999</v>
      </c>
      <c r="L5859">
        <v>78.378569999999996</v>
      </c>
      <c r="M5859">
        <v>-1.0847890000000001E-2</v>
      </c>
      <c r="N5859">
        <v>0</v>
      </c>
      <c r="O5859">
        <v>-0.99983979999999995</v>
      </c>
      <c r="P5859">
        <v>7.5560050000000004E-2</v>
      </c>
      <c r="Q5859">
        <v>0.1238717</v>
      </c>
      <c r="R5859">
        <v>-0.98941730000000006</v>
      </c>
      <c r="S5859">
        <v>0.25353999999999999</v>
      </c>
      <c r="T5859">
        <v>-0.15477839999999901</v>
      </c>
      <c r="U5859">
        <v>-3.032959</v>
      </c>
      <c r="V5859">
        <v>-8.6623149999999996E-2</v>
      </c>
      <c r="W5859">
        <v>0.137737</v>
      </c>
      <c r="X5859">
        <v>0.98667369999999999</v>
      </c>
      <c r="Y5859">
        <v>-9.4003329999999996E-2</v>
      </c>
      <c r="Z5859">
        <v>5.0760159999999999E-2</v>
      </c>
      <c r="AA5859">
        <v>0.99427699999999997</v>
      </c>
      <c r="AB5859">
        <v>39</v>
      </c>
      <c r="AC5859">
        <v>1.8236999999999699</v>
      </c>
      <c r="AD5859">
        <v>-1.1112795390250001</v>
      </c>
      <c r="AE5859">
        <v>-21.387239999999899</v>
      </c>
      <c r="AF5859">
        <v>-2.0501275652211302</v>
      </c>
      <c r="AG5859">
        <v>-1.1112795390250001</v>
      </c>
      <c r="AH5859">
        <v>21.309080315490299</v>
      </c>
      <c r="AI5859">
        <v>92.971603663867697</v>
      </c>
      <c r="AJ5859">
        <v>95.495461687541507</v>
      </c>
      <c r="AK5859">
        <v>21.436297934567701</v>
      </c>
      <c r="AL5859">
        <v>82.083082890245095</v>
      </c>
      <c r="AM5859">
        <v>95.017310382652695</v>
      </c>
      <c r="AN5859">
        <v>1.0000000207783</v>
      </c>
    </row>
    <row r="5860" spans="1:40" x14ac:dyDescent="0.25">
      <c r="A5860" t="str">
        <f>"20190312172233476"</f>
        <v>20190312172233476</v>
      </c>
      <c r="B5860" t="str">
        <f>"1552382553466698"</f>
        <v>1552382553466698</v>
      </c>
      <c r="C5860" t="s">
        <v>40</v>
      </c>
      <c r="D5860">
        <v>3.6074350000000002</v>
      </c>
      <c r="E5860">
        <v>0.49395509999999898</v>
      </c>
      <c r="F5860" t="s">
        <v>64</v>
      </c>
      <c r="G5860">
        <v>-419.70639999999997</v>
      </c>
      <c r="H5860" s="1">
        <v>-6.7343099999999999E-7</v>
      </c>
      <c r="I5860">
        <v>38.659610000000001</v>
      </c>
      <c r="J5860">
        <v>-423.19279999999998</v>
      </c>
      <c r="K5860">
        <v>1.11145</v>
      </c>
      <c r="L5860">
        <v>77.991209999999995</v>
      </c>
      <c r="M5860">
        <v>-9.3246749999999993E-3</v>
      </c>
      <c r="N5860">
        <v>0</v>
      </c>
      <c r="O5860">
        <v>-0.99985539999999995</v>
      </c>
      <c r="P5860">
        <v>8.0356430000000006E-2</v>
      </c>
      <c r="Q5860">
        <v>0.12378110000000001</v>
      </c>
      <c r="R5860">
        <v>-0.98905089999999996</v>
      </c>
      <c r="S5860">
        <v>0.26507570000000003</v>
      </c>
      <c r="T5860">
        <v>-8.4563020000000003E-2</v>
      </c>
      <c r="U5860">
        <v>-3.0224299999999999</v>
      </c>
      <c r="V5860">
        <v>-8.9965409999999996E-2</v>
      </c>
      <c r="W5860">
        <v>0.13759009999999999</v>
      </c>
      <c r="X5860">
        <v>0.98639509999999997</v>
      </c>
      <c r="Y5860">
        <v>-9.6619730000000001E-2</v>
      </c>
      <c r="Z5860">
        <v>2.7846880000000001E-2</v>
      </c>
      <c r="AA5860">
        <v>0.99493180000000003</v>
      </c>
      <c r="AB5860">
        <v>39</v>
      </c>
      <c r="AC5860">
        <v>3.4864000000000002</v>
      </c>
      <c r="AD5860">
        <v>-1.1114506734309999</v>
      </c>
      <c r="AE5860">
        <v>-39.331600000000002</v>
      </c>
      <c r="AF5860">
        <v>-3.8499894665305399</v>
      </c>
      <c r="AG5860">
        <v>-1.1114506734309999</v>
      </c>
      <c r="AH5860">
        <v>39.266265580334299</v>
      </c>
      <c r="AI5860">
        <v>91.613618326313599</v>
      </c>
      <c r="AJ5860">
        <v>95.599853253615194</v>
      </c>
      <c r="AK5860">
        <v>39.470208437721901</v>
      </c>
      <c r="AL5860">
        <v>82.091580794015897</v>
      </c>
      <c r="AM5860">
        <v>95.211315545642805</v>
      </c>
      <c r="AN5860">
        <v>1.00000005195924</v>
      </c>
    </row>
    <row r="5861" spans="1:40" x14ac:dyDescent="0.25">
      <c r="A5861" t="str">
        <f>"20190312172233498"</f>
        <v>20190312172233498</v>
      </c>
      <c r="B5861" t="str">
        <f>"1552382553496955"</f>
        <v>1552382553496955</v>
      </c>
      <c r="C5861" t="s">
        <v>40</v>
      </c>
      <c r="D5861">
        <v>3.464181</v>
      </c>
      <c r="E5861">
        <v>0.49431570000000002</v>
      </c>
      <c r="F5861" t="s">
        <v>64</v>
      </c>
      <c r="G5861">
        <v>-419.60730000000001</v>
      </c>
      <c r="H5861" s="1">
        <v>-6.5768180000000001E-7</v>
      </c>
      <c r="I5861">
        <v>38.725850000000001</v>
      </c>
      <c r="J5861">
        <v>-423.1952</v>
      </c>
      <c r="K5861">
        <v>1.1115980000000001</v>
      </c>
      <c r="L5861">
        <v>77.604460000000003</v>
      </c>
      <c r="M5861">
        <v>-7.7492699999999999E-3</v>
      </c>
      <c r="N5861">
        <v>0</v>
      </c>
      <c r="O5861">
        <v>-0.9998688</v>
      </c>
      <c r="P5861">
        <v>8.4288080000000001E-2</v>
      </c>
      <c r="Q5861">
        <v>0.12524689999999999</v>
      </c>
      <c r="R5861">
        <v>-0.9885389</v>
      </c>
      <c r="S5861">
        <v>0.27590940000000003</v>
      </c>
      <c r="T5861">
        <v>-8.552659E-2</v>
      </c>
      <c r="U5861">
        <v>-3.0214840000000001</v>
      </c>
      <c r="V5861">
        <v>-9.2385439999999999E-2</v>
      </c>
      <c r="W5861">
        <v>0.139006399999999</v>
      </c>
      <c r="X5861">
        <v>0.98597270000000004</v>
      </c>
      <c r="Y5861">
        <v>-9.8616620000000002E-2</v>
      </c>
      <c r="Z5861">
        <v>2.8166030000000002E-2</v>
      </c>
      <c r="AA5861">
        <v>0.99472680000000002</v>
      </c>
      <c r="AB5861">
        <v>39</v>
      </c>
      <c r="AC5861">
        <v>3.5878999999999901</v>
      </c>
      <c r="AD5861">
        <v>-1.11159865768179</v>
      </c>
      <c r="AE5861">
        <v>-38.878609999999902</v>
      </c>
      <c r="AF5861">
        <v>-3.8859537326765698</v>
      </c>
      <c r="AG5861">
        <v>-1.11159865768179</v>
      </c>
      <c r="AH5861">
        <v>38.818171052839404</v>
      </c>
      <c r="AI5861">
        <v>91.632122732963197</v>
      </c>
      <c r="AJ5861">
        <v>95.716638300407496</v>
      </c>
      <c r="AK5861">
        <v>39.028024442389601</v>
      </c>
      <c r="AL5861">
        <v>82.009645069057498</v>
      </c>
      <c r="AM5861">
        <v>95.352973564458196</v>
      </c>
      <c r="AN5861">
        <v>1.00000000695512</v>
      </c>
    </row>
    <row r="5862" spans="1:40" x14ac:dyDescent="0.25">
      <c r="A5862" t="str">
        <f>"20190312172233522"</f>
        <v>20190312172233522</v>
      </c>
      <c r="B5862" t="str">
        <f>"1552382553516474"</f>
        <v>1552382553516474</v>
      </c>
      <c r="C5862" t="s">
        <v>40</v>
      </c>
      <c r="D5862">
        <v>3.4564319999999999</v>
      </c>
      <c r="E5862">
        <v>0.49393300000000001</v>
      </c>
      <c r="F5862" t="s">
        <v>64</v>
      </c>
      <c r="G5862">
        <v>-419.2869</v>
      </c>
      <c r="H5862" s="1">
        <v>-2.29262E-6</v>
      </c>
      <c r="I5862">
        <v>36.287790000000001</v>
      </c>
      <c r="J5862">
        <v>-423.1968</v>
      </c>
      <c r="K5862">
        <v>1.1117189999999999</v>
      </c>
      <c r="L5862">
        <v>77.206729999999993</v>
      </c>
      <c r="M5862">
        <v>-6.089718E-3</v>
      </c>
      <c r="N5862">
        <v>0</v>
      </c>
      <c r="O5862">
        <v>-0.99988060000000001</v>
      </c>
      <c r="P5862">
        <v>8.9178720000000003E-2</v>
      </c>
      <c r="Q5862">
        <v>0.12805549999999999</v>
      </c>
      <c r="R5862">
        <v>-0.98774989999999996</v>
      </c>
      <c r="S5862">
        <v>0.28573609999999999</v>
      </c>
      <c r="T5862">
        <v>-8.1270690000000007E-2</v>
      </c>
      <c r="U5862">
        <v>-3.020721</v>
      </c>
      <c r="V5862">
        <v>-9.5677659999999998E-2</v>
      </c>
      <c r="W5862">
        <v>0.14176359999999999</v>
      </c>
      <c r="X5862">
        <v>0.98526590000000003</v>
      </c>
      <c r="Y5862">
        <v>-0.10019939999999999</v>
      </c>
      <c r="Z5862">
        <v>2.6766539999999998E-2</v>
      </c>
      <c r="AA5862">
        <v>0.99460729999999997</v>
      </c>
      <c r="AB5862">
        <v>39</v>
      </c>
      <c r="AC5862">
        <v>3.9098999999999902</v>
      </c>
      <c r="AD5862">
        <v>-1.11172129262</v>
      </c>
      <c r="AE5862">
        <v>-40.918939999999999</v>
      </c>
      <c r="AF5862">
        <v>-4.15599744278415</v>
      </c>
      <c r="AG5862">
        <v>-1.11172129262</v>
      </c>
      <c r="AH5862">
        <v>40.864477422353197</v>
      </c>
      <c r="AI5862">
        <v>91.550358425708197</v>
      </c>
      <c r="AJ5862">
        <v>95.807126400293797</v>
      </c>
      <c r="AK5862">
        <v>41.090312166968303</v>
      </c>
      <c r="AL5862">
        <v>81.850089059789894</v>
      </c>
      <c r="AM5862">
        <v>95.546514232158501</v>
      </c>
      <c r="AN5862">
        <v>1.0000000133054201</v>
      </c>
    </row>
    <row r="5863" spans="1:40" x14ac:dyDescent="0.25">
      <c r="A5863" t="str">
        <f>"20190312172233543"</f>
        <v>20190312172233543</v>
      </c>
      <c r="B5863" t="str">
        <f>"1552382553536970"</f>
        <v>1552382553536970</v>
      </c>
      <c r="C5863" t="s">
        <v>40</v>
      </c>
      <c r="D5863">
        <v>3.4670290000000001</v>
      </c>
      <c r="E5863">
        <v>0.4938515</v>
      </c>
      <c r="F5863" t="s">
        <v>42</v>
      </c>
      <c r="G5863">
        <v>-420.89019999999999</v>
      </c>
      <c r="H5863" s="1">
        <v>-2.16856E-6</v>
      </c>
      <c r="I5863">
        <v>54.091949999999997</v>
      </c>
      <c r="J5863">
        <v>-423.19779999999997</v>
      </c>
      <c r="K5863">
        <v>1.1118079999999999</v>
      </c>
      <c r="L5863">
        <v>76.810640000000006</v>
      </c>
      <c r="M5863">
        <v>-4.4110879999999996E-3</v>
      </c>
      <c r="N5863">
        <v>0</v>
      </c>
      <c r="O5863">
        <v>-0.99988929999999998</v>
      </c>
      <c r="P5863">
        <v>9.3446009999999996E-2</v>
      </c>
      <c r="Q5863">
        <v>0.1298619</v>
      </c>
      <c r="R5863">
        <v>-0.98711899999999997</v>
      </c>
      <c r="S5863">
        <v>0.30224610000000002</v>
      </c>
      <c r="T5863">
        <v>-0.14567260000000001</v>
      </c>
      <c r="U5863">
        <v>-3.0288089999999999</v>
      </c>
      <c r="V5863">
        <v>-9.8319130000000005E-2</v>
      </c>
      <c r="W5863">
        <v>0.14352909999999999</v>
      </c>
      <c r="X5863">
        <v>0.98475009999999996</v>
      </c>
      <c r="Y5863">
        <v>-0.103572499999999</v>
      </c>
      <c r="Z5863">
        <v>4.779183E-2</v>
      </c>
      <c r="AA5863">
        <v>0.9934731</v>
      </c>
      <c r="AB5863">
        <v>39</v>
      </c>
      <c r="AC5863">
        <v>2.3075999999999701</v>
      </c>
      <c r="AD5863">
        <v>-1.1118101685599999</v>
      </c>
      <c r="AE5863">
        <v>-22.718689999999999</v>
      </c>
      <c r="AF5863">
        <v>-2.4021076476457801</v>
      </c>
      <c r="AG5863">
        <v>-1.1118101685599999</v>
      </c>
      <c r="AH5863">
        <v>22.654586536569401</v>
      </c>
      <c r="AI5863">
        <v>92.793990894974101</v>
      </c>
      <c r="AJ5863">
        <v>96.052562431147294</v>
      </c>
      <c r="AK5863">
        <v>22.808694266544599</v>
      </c>
      <c r="AL5863">
        <v>81.747888158607097</v>
      </c>
      <c r="AM5863">
        <v>95.701613218377204</v>
      </c>
      <c r="AN5863">
        <v>1.00000000666038</v>
      </c>
    </row>
    <row r="5864" spans="1:40" x14ac:dyDescent="0.25">
      <c r="A5864" t="str">
        <f>"20190312172233566"</f>
        <v>20190312172233566</v>
      </c>
      <c r="B5864" t="str">
        <f>"1552382553556490"</f>
        <v>1552382553556490</v>
      </c>
      <c r="C5864" t="s">
        <v>40</v>
      </c>
      <c r="D5864">
        <v>3.45635</v>
      </c>
      <c r="E5864">
        <v>0.49476510000000001</v>
      </c>
      <c r="F5864" t="s">
        <v>42</v>
      </c>
      <c r="G5864">
        <v>-420.46679999999998</v>
      </c>
      <c r="H5864" s="1">
        <v>-5.6426590000000001E-7</v>
      </c>
      <c r="I5864">
        <v>50.614930000000001</v>
      </c>
      <c r="J5864">
        <v>-423.19799999999998</v>
      </c>
      <c r="K5864">
        <v>1.1118749999999999</v>
      </c>
      <c r="L5864">
        <v>76.42792</v>
      </c>
      <c r="M5864">
        <v>-2.7773899999999998E-3</v>
      </c>
      <c r="N5864">
        <v>0</v>
      </c>
      <c r="O5864">
        <v>-0.99989510000000004</v>
      </c>
      <c r="P5864">
        <v>9.5918340000000005E-2</v>
      </c>
      <c r="Q5864">
        <v>0.1301312</v>
      </c>
      <c r="R5864">
        <v>-0.98684640000000001</v>
      </c>
      <c r="S5864">
        <v>0.31549070000000001</v>
      </c>
      <c r="T5864">
        <v>-0.12843850000000001</v>
      </c>
      <c r="U5864">
        <v>-3.0261840000000002</v>
      </c>
      <c r="V5864">
        <v>-9.9200200000000002E-2</v>
      </c>
      <c r="W5864">
        <v>0.14377409999999999</v>
      </c>
      <c r="X5864">
        <v>0.984626</v>
      </c>
      <c r="Y5864">
        <v>-0.1063617</v>
      </c>
      <c r="Z5864">
        <v>4.216963E-2</v>
      </c>
      <c r="AA5864">
        <v>0.99343289999999995</v>
      </c>
      <c r="AB5864">
        <v>39</v>
      </c>
      <c r="AC5864">
        <v>2.73120000000005</v>
      </c>
      <c r="AD5864">
        <v>-1.1118755642659</v>
      </c>
      <c r="AE5864">
        <v>-25.812989999999999</v>
      </c>
      <c r="AF5864">
        <v>-2.7977559839239099</v>
      </c>
      <c r="AG5864">
        <v>-1.1118755642659</v>
      </c>
      <c r="AH5864">
        <v>25.758041881738901</v>
      </c>
      <c r="AI5864">
        <v>92.457269351785996</v>
      </c>
      <c r="AJ5864">
        <v>96.198982502796895</v>
      </c>
      <c r="AK5864">
        <v>25.933384418494398</v>
      </c>
      <c r="AL5864">
        <v>81.733703649954904</v>
      </c>
      <c r="AM5864">
        <v>95.7530862533239</v>
      </c>
      <c r="AN5864">
        <v>1.0000000156934199</v>
      </c>
    </row>
    <row r="5865" spans="1:40" x14ac:dyDescent="0.25">
      <c r="A5865" t="str">
        <f>"20190312172233587"</f>
        <v>20190312172233587</v>
      </c>
      <c r="B5865" t="str">
        <f>"1552382553576986"</f>
        <v>1552382553576986</v>
      </c>
      <c r="C5865" t="s">
        <v>40</v>
      </c>
      <c r="D5865">
        <v>3.456172</v>
      </c>
      <c r="E5865">
        <v>0.49540040000000002</v>
      </c>
      <c r="F5865" t="s">
        <v>42</v>
      </c>
      <c r="G5865">
        <v>-420.48349999999999</v>
      </c>
      <c r="H5865" s="1">
        <v>-5.0975169999999999E-7</v>
      </c>
      <c r="I5865">
        <v>50.477460000000001</v>
      </c>
      <c r="J5865">
        <v>-423.1977</v>
      </c>
      <c r="K5865">
        <v>1.1119270000000001</v>
      </c>
      <c r="L5865">
        <v>76.042389999999997</v>
      </c>
      <c r="M5865">
        <v>-1.1261629999999999E-3</v>
      </c>
      <c r="N5865">
        <v>0</v>
      </c>
      <c r="O5865">
        <v>-0.99989830000000002</v>
      </c>
      <c r="P5865">
        <v>9.7111429999999999E-2</v>
      </c>
      <c r="Q5865">
        <v>0.13114410000000001</v>
      </c>
      <c r="R5865">
        <v>-0.98659569999999996</v>
      </c>
      <c r="S5865">
        <v>0.31655879999999997</v>
      </c>
      <c r="T5865">
        <v>-0.12966539999999999</v>
      </c>
      <c r="U5865">
        <v>-3.0263059999999999</v>
      </c>
      <c r="V5865">
        <v>-9.8784230000000001E-2</v>
      </c>
      <c r="W5865">
        <v>0.1447716</v>
      </c>
      <c r="X5865">
        <v>0.9845216</v>
      </c>
      <c r="Y5865">
        <v>-0.1050606</v>
      </c>
      <c r="Z5865">
        <v>4.2572390000000002E-2</v>
      </c>
      <c r="AA5865">
        <v>0.99355420000000005</v>
      </c>
      <c r="AB5865">
        <v>39</v>
      </c>
      <c r="AC5865">
        <v>2.7141999999999999</v>
      </c>
      <c r="AD5865">
        <v>-1.1119275097517001</v>
      </c>
      <c r="AE5865">
        <v>-25.56493</v>
      </c>
      <c r="AF5865">
        <v>-2.7378698318389301</v>
      </c>
      <c r="AG5865">
        <v>-1.1119275097517001</v>
      </c>
      <c r="AH5865">
        <v>25.514128479332001</v>
      </c>
      <c r="AI5865">
        <v>92.481193330274607</v>
      </c>
      <c r="AJ5865">
        <v>96.124857411476199</v>
      </c>
      <c r="AK5865">
        <v>25.6846854382703</v>
      </c>
      <c r="AL5865">
        <v>81.675946391306596</v>
      </c>
      <c r="AM5865">
        <v>95.729726492644005</v>
      </c>
      <c r="AN5865">
        <v>0.99999996056490503</v>
      </c>
    </row>
    <row r="5866" spans="1:40" x14ac:dyDescent="0.25">
      <c r="A5866" t="str">
        <f>"20190312172233612"</f>
        <v>20190312172233612</v>
      </c>
      <c r="B5866" t="str">
        <f>"1552382553606266"</f>
        <v>1552382553606266</v>
      </c>
      <c r="C5866" t="s">
        <v>40</v>
      </c>
      <c r="D5866">
        <v>3.4742700000000002</v>
      </c>
      <c r="E5866">
        <v>0.4964596</v>
      </c>
      <c r="F5866" t="s">
        <v>42</v>
      </c>
      <c r="G5866">
        <v>-420.43920000000003</v>
      </c>
      <c r="H5866" s="1">
        <v>-4.3756390000000001E-6</v>
      </c>
      <c r="I5866">
        <v>49.615850000000002</v>
      </c>
      <c r="J5866">
        <v>-423.19659999999999</v>
      </c>
      <c r="K5866">
        <v>1.1119619999999999</v>
      </c>
      <c r="L5866">
        <v>75.638120000000001</v>
      </c>
      <c r="M5866">
        <v>6.0649179999999997E-4</v>
      </c>
      <c r="N5866">
        <v>0</v>
      </c>
      <c r="O5866">
        <v>-0.99989890000000003</v>
      </c>
      <c r="P5866">
        <v>9.8884719999999995E-2</v>
      </c>
      <c r="Q5866">
        <v>0.13216220000000001</v>
      </c>
      <c r="R5866">
        <v>-0.98628349999999998</v>
      </c>
      <c r="S5866">
        <v>0.31591799999999998</v>
      </c>
      <c r="T5866">
        <v>-0.1273474</v>
      </c>
      <c r="U5866">
        <v>-3.0265810000000002</v>
      </c>
      <c r="V5866">
        <v>-9.8865759999999997E-2</v>
      </c>
      <c r="W5866">
        <v>0.1457736</v>
      </c>
      <c r="X5866">
        <v>0.98436559999999995</v>
      </c>
      <c r="Y5866">
        <v>-0.10312300000000001</v>
      </c>
      <c r="Z5866">
        <v>4.1813679999999999E-2</v>
      </c>
      <c r="AA5866">
        <v>0.99378929999999999</v>
      </c>
      <c r="AB5866">
        <v>39</v>
      </c>
      <c r="AC5866">
        <v>2.7573999999999601</v>
      </c>
      <c r="AD5866">
        <v>-1.1119663756389999</v>
      </c>
      <c r="AE5866">
        <v>-26.022269999999999</v>
      </c>
      <c r="AF5866">
        <v>-2.7366740148403901</v>
      </c>
      <c r="AG5866">
        <v>-1.1119663756389999</v>
      </c>
      <c r="AH5866">
        <v>25.977031192343699</v>
      </c>
      <c r="AI5866">
        <v>92.437619318982996</v>
      </c>
      <c r="AJ5866">
        <v>96.013913499819395</v>
      </c>
      <c r="AK5866">
        <v>26.144444982673701</v>
      </c>
      <c r="AL5866">
        <v>81.617920854923298</v>
      </c>
      <c r="AM5866">
        <v>95.735326648406698</v>
      </c>
      <c r="AN5866">
        <v>1.0000000077103399</v>
      </c>
    </row>
    <row r="5867" spans="1:40" x14ac:dyDescent="0.25">
      <c r="A5867" t="str">
        <f>"20190312172233633"</f>
        <v>20190312172233633</v>
      </c>
      <c r="B5867" t="str">
        <f>"1552382553626762"</f>
        <v>1552382553626762</v>
      </c>
      <c r="C5867" t="s">
        <v>40</v>
      </c>
      <c r="D5867">
        <v>3.4579490000000002</v>
      </c>
      <c r="E5867">
        <v>0.4970079</v>
      </c>
      <c r="F5867" t="s">
        <v>42</v>
      </c>
      <c r="G5867">
        <v>-420.37970000000001</v>
      </c>
      <c r="H5867" s="1">
        <v>-3.8607659999999999E-6</v>
      </c>
      <c r="I5867">
        <v>48.353169999999999</v>
      </c>
      <c r="J5867">
        <v>-423.19490000000002</v>
      </c>
      <c r="K5867">
        <v>1.11199</v>
      </c>
      <c r="L5867">
        <v>75.247219999999999</v>
      </c>
      <c r="M5867">
        <v>2.2812890000000001E-3</v>
      </c>
      <c r="N5867">
        <v>0</v>
      </c>
      <c r="O5867">
        <v>-0.99989680000000003</v>
      </c>
      <c r="P5867">
        <v>0.1013802</v>
      </c>
      <c r="Q5867">
        <v>0.13309550000000001</v>
      </c>
      <c r="R5867">
        <v>-0.98590480000000003</v>
      </c>
      <c r="S5867">
        <v>0.3125</v>
      </c>
      <c r="T5867">
        <v>-0.12335839999999899</v>
      </c>
      <c r="U5867">
        <v>-3.0269170000000001</v>
      </c>
      <c r="V5867">
        <v>-9.9723229999999996E-2</v>
      </c>
      <c r="W5867">
        <v>0.14669019999999999</v>
      </c>
      <c r="X5867">
        <v>0.98414290000000004</v>
      </c>
      <c r="Y5867">
        <v>-0.1003405</v>
      </c>
      <c r="Z5867">
        <v>4.0509620000000003E-2</v>
      </c>
      <c r="AA5867">
        <v>0.99412809999999996</v>
      </c>
      <c r="AB5867">
        <v>39</v>
      </c>
      <c r="AC5867">
        <v>2.8151999999999999</v>
      </c>
      <c r="AD5867">
        <v>-1.111993860766</v>
      </c>
      <c r="AE5867">
        <v>-26.89405</v>
      </c>
      <c r="AF5867">
        <v>-2.7491843588271601</v>
      </c>
      <c r="AG5867">
        <v>-1.111993860766</v>
      </c>
      <c r="AH5867">
        <v>26.854989483235901</v>
      </c>
      <c r="AI5867">
        <v>92.358797930118399</v>
      </c>
      <c r="AJ5867">
        <v>95.845090406970698</v>
      </c>
      <c r="AK5867">
        <v>27.018234678267</v>
      </c>
      <c r="AL5867">
        <v>81.564832734633697</v>
      </c>
      <c r="AM5867">
        <v>95.786033783172201</v>
      </c>
      <c r="AN5867">
        <v>0.99999999249904103</v>
      </c>
    </row>
    <row r="5868" spans="1:40" x14ac:dyDescent="0.25">
      <c r="A5868" t="str">
        <f>"20190312172233647"</f>
        <v>20190312172233647</v>
      </c>
      <c r="B5868" t="str">
        <f>"1552382553636522"</f>
        <v>1552382553636522</v>
      </c>
      <c r="C5868" t="s">
        <v>40</v>
      </c>
      <c r="D5868">
        <v>3.4618129999999998</v>
      </c>
      <c r="E5868">
        <v>0.49726999999999999</v>
      </c>
      <c r="F5868" t="s">
        <v>42</v>
      </c>
      <c r="G5868">
        <v>-420.28730000000002</v>
      </c>
      <c r="H5868" s="1">
        <v>-3.4439889999999999E-6</v>
      </c>
      <c r="I5868">
        <v>47.438940000000002</v>
      </c>
      <c r="J5868">
        <v>-423.19349999999997</v>
      </c>
      <c r="K5868">
        <v>1.1120049999999999</v>
      </c>
      <c r="L5868">
        <v>75.007900000000006</v>
      </c>
      <c r="M5868">
        <v>3.3064800000000001E-3</v>
      </c>
      <c r="N5868">
        <v>0</v>
      </c>
      <c r="O5868">
        <v>-0.9998937</v>
      </c>
      <c r="P5868">
        <v>0.1032018</v>
      </c>
      <c r="Q5868">
        <v>0.13355300000000001</v>
      </c>
      <c r="R5868">
        <v>-0.98565389999999997</v>
      </c>
      <c r="S5868">
        <v>0.31646729999999901</v>
      </c>
      <c r="T5868">
        <v>-0.12103129999999999</v>
      </c>
      <c r="U5868">
        <v>-3.0267029999999999</v>
      </c>
      <c r="V5868">
        <v>-0.1005419</v>
      </c>
      <c r="W5868">
        <v>0.14713679999999901</v>
      </c>
      <c r="X5868">
        <v>0.98399289999999995</v>
      </c>
      <c r="Y5868">
        <v>-0.1006199</v>
      </c>
      <c r="Z5868">
        <v>3.9746049999999998E-2</v>
      </c>
      <c r="AA5868">
        <v>0.99413070000000003</v>
      </c>
      <c r="AB5868">
        <v>39</v>
      </c>
      <c r="AC5868">
        <v>2.9061999999999499</v>
      </c>
      <c r="AD5868">
        <v>-1.1120084439889999</v>
      </c>
      <c r="AE5868">
        <v>-27.568960000000001</v>
      </c>
      <c r="AF5868">
        <v>-2.8104964070400902</v>
      </c>
      <c r="AG5868">
        <v>-1.1120084439889999</v>
      </c>
      <c r="AH5868">
        <v>27.5341151063529</v>
      </c>
      <c r="AI5868">
        <v>92.300781247339401</v>
      </c>
      <c r="AJ5868">
        <v>95.828180758342199</v>
      </c>
      <c r="AK5868">
        <v>27.699511683843401</v>
      </c>
      <c r="AL5868">
        <v>81.538963546747198</v>
      </c>
      <c r="AM5868">
        <v>95.834090626967495</v>
      </c>
      <c r="AN5868">
        <v>0.99999996941012903</v>
      </c>
    </row>
    <row r="5869" spans="1:40" x14ac:dyDescent="0.25">
      <c r="A5869" t="str">
        <f>"20190312172233666"</f>
        <v>20190312172233666</v>
      </c>
      <c r="B5869" t="str">
        <f>"1552382553656042"</f>
        <v>1552382553656042</v>
      </c>
      <c r="C5869" t="s">
        <v>40</v>
      </c>
      <c r="D5869">
        <v>3.450577</v>
      </c>
      <c r="E5869">
        <v>0.49638769999999999</v>
      </c>
      <c r="F5869" t="s">
        <v>42</v>
      </c>
      <c r="G5869">
        <v>-420.20409999999998</v>
      </c>
      <c r="H5869" s="1">
        <v>-3.1154740000000002E-6</v>
      </c>
      <c r="I5869">
        <v>46.724739999999997</v>
      </c>
      <c r="J5869">
        <v>-423.19110000000001</v>
      </c>
      <c r="K5869">
        <v>1.112026</v>
      </c>
      <c r="L5869">
        <v>74.672519999999906</v>
      </c>
      <c r="M5869">
        <v>4.7454380000000003E-3</v>
      </c>
      <c r="N5869">
        <v>0</v>
      </c>
      <c r="O5869">
        <v>-0.99988790000000005</v>
      </c>
      <c r="P5869">
        <v>0.1066367</v>
      </c>
      <c r="Q5869">
        <v>0.13409409999999999</v>
      </c>
      <c r="R5869">
        <v>-0.98521440000000005</v>
      </c>
      <c r="S5869">
        <v>0.31985469999999999</v>
      </c>
      <c r="T5869">
        <v>-0.1189839</v>
      </c>
      <c r="U5869">
        <v>-3.0262760000000002</v>
      </c>
      <c r="V5869">
        <v>-0.1025681</v>
      </c>
      <c r="W5869">
        <v>0.14765889999999901</v>
      </c>
      <c r="X5869">
        <v>0.98370559999999996</v>
      </c>
      <c r="Y5869">
        <v>-0.10030600000000001</v>
      </c>
      <c r="Z5869">
        <v>3.9078210000000002E-2</v>
      </c>
      <c r="AA5869">
        <v>0.99418890000000004</v>
      </c>
      <c r="AB5869">
        <v>39</v>
      </c>
      <c r="AC5869">
        <v>2.9870000000000201</v>
      </c>
      <c r="AD5869">
        <v>-1.1120291154740001</v>
      </c>
      <c r="AE5869">
        <v>-27.947779999999899</v>
      </c>
      <c r="AF5869">
        <v>-2.84986755539965</v>
      </c>
      <c r="AG5869">
        <v>-1.1120291154740001</v>
      </c>
      <c r="AH5869">
        <v>27.9179406176459</v>
      </c>
      <c r="AI5869">
        <v>92.269223163896399</v>
      </c>
      <c r="AJ5869">
        <v>95.828572428803497</v>
      </c>
      <c r="AK5869">
        <v>28.085045169402601</v>
      </c>
      <c r="AL5869">
        <v>81.5087196425157</v>
      </c>
      <c r="AM5869">
        <v>95.952553893992501</v>
      </c>
      <c r="AN5869">
        <v>1.00000003667908</v>
      </c>
    </row>
    <row r="5870" spans="1:40" x14ac:dyDescent="0.25">
      <c r="A5870" t="str">
        <f>"20190312172233682"</f>
        <v>20190312172233682</v>
      </c>
      <c r="B5870" t="str">
        <f>"1552382553676539"</f>
        <v>1552382553676539</v>
      </c>
      <c r="C5870" t="s">
        <v>40</v>
      </c>
      <c r="D5870">
        <v>3.503514</v>
      </c>
      <c r="E5870">
        <v>0.49455890000000002</v>
      </c>
      <c r="F5870" t="s">
        <v>42</v>
      </c>
      <c r="G5870">
        <v>-419.96019999999999</v>
      </c>
      <c r="H5870" s="1">
        <v>-2.6072810000000001E-6</v>
      </c>
      <c r="I5870">
        <v>45.691429999999997</v>
      </c>
      <c r="J5870">
        <v>-423.18880000000001</v>
      </c>
      <c r="K5870">
        <v>1.1120460000000001</v>
      </c>
      <c r="L5870">
        <v>74.400239999999997</v>
      </c>
      <c r="M5870">
        <v>5.9184019999999997E-3</v>
      </c>
      <c r="N5870">
        <v>0</v>
      </c>
      <c r="O5870">
        <v>-0.99988180000000004</v>
      </c>
      <c r="P5870">
        <v>0.1088093</v>
      </c>
      <c r="Q5870">
        <v>0.1348501</v>
      </c>
      <c r="R5870">
        <v>-0.98487380000000002</v>
      </c>
      <c r="S5870">
        <v>0.33715820000000002</v>
      </c>
      <c r="T5870">
        <v>-0.1160458</v>
      </c>
      <c r="U5870">
        <v>-3.0243229999999999</v>
      </c>
      <c r="V5870">
        <v>-0.10359350000000001</v>
      </c>
      <c r="W5870">
        <v>0.14840210000000001</v>
      </c>
      <c r="X5870">
        <v>0.98348619999999998</v>
      </c>
      <c r="Y5870">
        <v>-0.1048308</v>
      </c>
      <c r="Z5870">
        <v>3.8118109999999997E-2</v>
      </c>
      <c r="AA5870">
        <v>0.99375930000000001</v>
      </c>
      <c r="AB5870">
        <v>39</v>
      </c>
      <c r="AC5870">
        <v>3.2286000000000201</v>
      </c>
      <c r="AD5870">
        <v>-1.1120486072810001</v>
      </c>
      <c r="AE5870">
        <v>-28.7088099999999</v>
      </c>
      <c r="AF5870">
        <v>-3.05409082323628</v>
      </c>
      <c r="AG5870">
        <v>-1.1120486072810001</v>
      </c>
      <c r="AH5870">
        <v>28.6849148647016</v>
      </c>
      <c r="AI5870">
        <v>92.207649515812193</v>
      </c>
      <c r="AJ5870">
        <v>96.077402194683202</v>
      </c>
      <c r="AK5870">
        <v>28.8684683289001</v>
      </c>
      <c r="AL5870">
        <v>81.465662320356898</v>
      </c>
      <c r="AM5870">
        <v>96.012960742121194</v>
      </c>
      <c r="AN5870">
        <v>0.999999951058548</v>
      </c>
    </row>
    <row r="5871" spans="1:40" x14ac:dyDescent="0.25">
      <c r="A5871" t="str">
        <f>"20190312172233699"</f>
        <v>20190312172233699</v>
      </c>
      <c r="B5871" t="str">
        <f>"1552382553697035"</f>
        <v>1552382553697035</v>
      </c>
      <c r="C5871" t="s">
        <v>40</v>
      </c>
      <c r="D5871">
        <v>3.4351989999999999</v>
      </c>
      <c r="E5871">
        <v>0.49339759999999999</v>
      </c>
      <c r="F5871" t="s">
        <v>42</v>
      </c>
      <c r="G5871">
        <v>-419.78030000000001</v>
      </c>
      <c r="H5871" s="1">
        <v>-2.6374610000000001E-6</v>
      </c>
      <c r="I5871">
        <v>45.689929999999997</v>
      </c>
      <c r="J5871">
        <v>-423.1859</v>
      </c>
      <c r="K5871">
        <v>1.112074</v>
      </c>
      <c r="L5871">
        <v>74.090090000000004</v>
      </c>
      <c r="M5871">
        <v>7.2636100000000002E-3</v>
      </c>
      <c r="N5871">
        <v>0</v>
      </c>
      <c r="O5871">
        <v>-0.99987309999999996</v>
      </c>
      <c r="P5871">
        <v>0.11291909999999999</v>
      </c>
      <c r="Q5871">
        <v>0.13673660000000001</v>
      </c>
      <c r="R5871">
        <v>-0.98415090000000005</v>
      </c>
      <c r="S5871">
        <v>0.35882570000000003</v>
      </c>
      <c r="T5871">
        <v>-0.1170702</v>
      </c>
      <c r="U5871">
        <v>-3.0224609999999998</v>
      </c>
      <c r="V5871">
        <v>-0.1063958</v>
      </c>
      <c r="W5871">
        <v>0.1502626</v>
      </c>
      <c r="X5871">
        <v>0.98290440000000001</v>
      </c>
      <c r="Y5871">
        <v>-0.1105879</v>
      </c>
      <c r="Z5871">
        <v>3.844935E-2</v>
      </c>
      <c r="AA5871">
        <v>0.99312230000000001</v>
      </c>
      <c r="AB5871">
        <v>39</v>
      </c>
      <c r="AC5871">
        <v>3.40559999999999</v>
      </c>
      <c r="AD5871">
        <v>-1.1120766374609901</v>
      </c>
      <c r="AE5871">
        <v>-28.40016</v>
      </c>
      <c r="AF5871">
        <v>-3.1943732085226402</v>
      </c>
      <c r="AG5871">
        <v>-1.1120766374609901</v>
      </c>
      <c r="AH5871">
        <v>28.381249922149198</v>
      </c>
      <c r="AI5871">
        <v>92.229836125488504</v>
      </c>
      <c r="AJ5871">
        <v>96.421742348088799</v>
      </c>
      <c r="AK5871">
        <v>28.582093726429601</v>
      </c>
      <c r="AL5871">
        <v>81.357854975840098</v>
      </c>
      <c r="AM5871">
        <v>96.1780033645841</v>
      </c>
      <c r="AN5871">
        <v>0.99999998737787898</v>
      </c>
    </row>
    <row r="5872" spans="1:40" x14ac:dyDescent="0.25">
      <c r="A5872" t="str">
        <f>"20190312172233714"</f>
        <v>20190312172233714</v>
      </c>
      <c r="B5872" t="str">
        <f>"1552382553706794"</f>
        <v>1552382553706794</v>
      </c>
      <c r="C5872" t="s">
        <v>40</v>
      </c>
      <c r="D5872">
        <v>3.4553039999999999</v>
      </c>
      <c r="E5872">
        <v>0.49286999999999997</v>
      </c>
      <c r="F5872" t="s">
        <v>42</v>
      </c>
      <c r="G5872">
        <v>-419.4221</v>
      </c>
      <c r="H5872" s="1">
        <v>-2.0761490000000002E-6</v>
      </c>
      <c r="I5872">
        <v>44.233359999999998</v>
      </c>
      <c r="J5872">
        <v>-423.18310000000002</v>
      </c>
      <c r="K5872">
        <v>1.112093</v>
      </c>
      <c r="L5872">
        <v>73.843719999999905</v>
      </c>
      <c r="M5872">
        <v>8.3458279999999996E-3</v>
      </c>
      <c r="N5872">
        <v>0</v>
      </c>
      <c r="O5872">
        <v>-0.99986439999999999</v>
      </c>
      <c r="P5872">
        <v>0.1153346</v>
      </c>
      <c r="Q5872">
        <v>0.13731769999999999</v>
      </c>
      <c r="R5872">
        <v>-0.98378969999999999</v>
      </c>
      <c r="S5872">
        <v>0.3807373</v>
      </c>
      <c r="T5872">
        <v>-0.112496</v>
      </c>
      <c r="U5872">
        <v>-3.0202640000000001</v>
      </c>
      <c r="V5872">
        <v>-0.1077558</v>
      </c>
      <c r="W5872">
        <v>0.15082970000000001</v>
      </c>
      <c r="X5872">
        <v>0.98266940000000003</v>
      </c>
      <c r="Y5872">
        <v>-0.1167002</v>
      </c>
      <c r="Z5872">
        <v>3.6946180000000002E-2</v>
      </c>
      <c r="AA5872">
        <v>0.99247969999999996</v>
      </c>
      <c r="AB5872">
        <v>39</v>
      </c>
      <c r="AC5872">
        <v>3.7610000000000201</v>
      </c>
      <c r="AD5872">
        <v>-1.1120950761489901</v>
      </c>
      <c r="AE5872">
        <v>-29.610359999999901</v>
      </c>
      <c r="AF5872">
        <v>-3.5088501963127201</v>
      </c>
      <c r="AG5872">
        <v>-1.1120950761489901</v>
      </c>
      <c r="AH5872">
        <v>29.599630753005499</v>
      </c>
      <c r="AI5872">
        <v>92.136715085855002</v>
      </c>
      <c r="AJ5872">
        <v>96.760504785325693</v>
      </c>
      <c r="AK5872">
        <v>29.827620184534101</v>
      </c>
      <c r="AL5872">
        <v>81.324988327259902</v>
      </c>
      <c r="AM5872">
        <v>96.257835419740502</v>
      </c>
      <c r="AN5872">
        <v>1.0000000302660399</v>
      </c>
    </row>
    <row r="5873" spans="1:40" x14ac:dyDescent="0.25">
      <c r="A5873" t="str">
        <f>"20190312172233727"</f>
        <v>20190312172233727</v>
      </c>
      <c r="B5873" t="str">
        <f>"1552382553716556"</f>
        <v>1552382553716556</v>
      </c>
      <c r="C5873" t="s">
        <v>40</v>
      </c>
      <c r="D5873">
        <v>3.6147119999999999</v>
      </c>
      <c r="E5873">
        <v>0.49234359999999999</v>
      </c>
      <c r="F5873" t="s">
        <v>42</v>
      </c>
      <c r="G5873">
        <v>-419.24220000000003</v>
      </c>
      <c r="H5873" s="1">
        <v>-1.8069359999999999E-6</v>
      </c>
      <c r="I5873">
        <v>43.53143</v>
      </c>
      <c r="J5873">
        <v>-423.18029999999999</v>
      </c>
      <c r="K5873">
        <v>1.1121129999999999</v>
      </c>
      <c r="L5873">
        <v>73.614559999999997</v>
      </c>
      <c r="M5873">
        <v>9.3644620000000005E-3</v>
      </c>
      <c r="N5873">
        <v>0</v>
      </c>
      <c r="O5873">
        <v>-0.99985550000000001</v>
      </c>
      <c r="P5873">
        <v>0.1175002</v>
      </c>
      <c r="Q5873">
        <v>0.13756979999999999</v>
      </c>
      <c r="R5873">
        <v>-0.98349799999999998</v>
      </c>
      <c r="S5873">
        <v>0.39248660000000002</v>
      </c>
      <c r="T5873">
        <v>-0.1107557</v>
      </c>
      <c r="U5873">
        <v>-3.0188600000000001</v>
      </c>
      <c r="V5873">
        <v>-0.10892780000000001</v>
      </c>
      <c r="W5873">
        <v>0.1510687</v>
      </c>
      <c r="X5873">
        <v>0.98250340000000003</v>
      </c>
      <c r="Y5873">
        <v>-0.1195483</v>
      </c>
      <c r="Z5873">
        <v>3.6376510000000001E-2</v>
      </c>
      <c r="AA5873">
        <v>0.99216179999999998</v>
      </c>
      <c r="AB5873">
        <v>39</v>
      </c>
      <c r="AC5873">
        <v>3.93809999999996</v>
      </c>
      <c r="AD5873">
        <v>-1.1121148069359901</v>
      </c>
      <c r="AE5873">
        <v>-30.083130000000001</v>
      </c>
      <c r="AF5873">
        <v>-3.6512807002856298</v>
      </c>
      <c r="AG5873">
        <v>-1.1121148069359901</v>
      </c>
      <c r="AH5873">
        <v>30.0782790263371</v>
      </c>
      <c r="AI5873">
        <v>92.102072957658905</v>
      </c>
      <c r="AJ5873">
        <v>96.921418229093405</v>
      </c>
      <c r="AK5873">
        <v>30.319490749059</v>
      </c>
      <c r="AL5873">
        <v>81.3111354192866</v>
      </c>
      <c r="AM5873">
        <v>96.326409715702596</v>
      </c>
      <c r="AN5873">
        <v>0.99999997437204402</v>
      </c>
    </row>
    <row r="5874" spans="1:40" x14ac:dyDescent="0.25">
      <c r="A5874" t="str">
        <f>"20190312172233741"</f>
        <v>20190312172233741</v>
      </c>
      <c r="B5874" t="str">
        <f>"1552382553737051"</f>
        <v>1552382553737051</v>
      </c>
      <c r="C5874" t="s">
        <v>40</v>
      </c>
      <c r="D5874">
        <v>3.451498</v>
      </c>
      <c r="E5874">
        <v>0.4916489</v>
      </c>
      <c r="F5874" t="s">
        <v>42</v>
      </c>
      <c r="G5874">
        <v>-419.07229999999998</v>
      </c>
      <c r="H5874" s="1">
        <v>-1.5758640000000001E-6</v>
      </c>
      <c r="I5874">
        <v>42.922539999999998</v>
      </c>
      <c r="J5874">
        <v>-423.17720000000003</v>
      </c>
      <c r="K5874">
        <v>1.1121319999999999</v>
      </c>
      <c r="L5874">
        <v>73.370850000000004</v>
      </c>
      <c r="M5874">
        <v>1.0461120000000001E-2</v>
      </c>
      <c r="N5874">
        <v>0</v>
      </c>
      <c r="O5874">
        <v>-0.99984470000000003</v>
      </c>
      <c r="P5874">
        <v>0.1194259</v>
      </c>
      <c r="Q5874">
        <v>0.13738020000000001</v>
      </c>
      <c r="R5874">
        <v>-0.98329270000000002</v>
      </c>
      <c r="S5874">
        <v>0.4038696</v>
      </c>
      <c r="T5874">
        <v>-0.10933420000000001</v>
      </c>
      <c r="U5874">
        <v>-3.017395</v>
      </c>
      <c r="V5874">
        <v>-0.10978250000000001</v>
      </c>
      <c r="W5874">
        <v>0.15086840000000001</v>
      </c>
      <c r="X5874">
        <v>0.98243910000000001</v>
      </c>
      <c r="Y5874">
        <v>-0.1222015</v>
      </c>
      <c r="Z5874">
        <v>3.5912310000000003E-2</v>
      </c>
      <c r="AA5874">
        <v>0.99185540000000005</v>
      </c>
      <c r="AB5874">
        <v>39</v>
      </c>
      <c r="AC5874">
        <v>4.1049000000000397</v>
      </c>
      <c r="AD5874">
        <v>-1.1121335758640001</v>
      </c>
      <c r="AE5874">
        <v>-30.448309999999999</v>
      </c>
      <c r="AF5874">
        <v>-3.7811654793779201</v>
      </c>
      <c r="AG5874">
        <v>-1.1121335758640001</v>
      </c>
      <c r="AH5874">
        <v>30.449692028936798</v>
      </c>
      <c r="AI5874">
        <v>92.075791564608593</v>
      </c>
      <c r="AJ5874">
        <v>97.078608758959703</v>
      </c>
      <c r="AK5874">
        <v>30.703709843113501</v>
      </c>
      <c r="AL5874">
        <v>81.322745296380504</v>
      </c>
      <c r="AM5874">
        <v>96.376056430299101</v>
      </c>
      <c r="AN5874">
        <v>1.0000000283168</v>
      </c>
    </row>
    <row r="5875" spans="1:40" x14ac:dyDescent="0.25">
      <c r="A5875" t="str">
        <f>"20190312172233755"</f>
        <v>20190312172233755</v>
      </c>
      <c r="B5875" t="str">
        <f>"1552382553746811"</f>
        <v>1552382553746811</v>
      </c>
      <c r="C5875" t="s">
        <v>40</v>
      </c>
      <c r="D5875">
        <v>3.4629340000000002</v>
      </c>
      <c r="E5875">
        <v>0.49134709999999998</v>
      </c>
      <c r="F5875" t="s">
        <v>42</v>
      </c>
      <c r="G5875">
        <v>-419.04820000000001</v>
      </c>
      <c r="H5875" s="1">
        <v>-1.7861890000000001E-6</v>
      </c>
      <c r="I5875">
        <v>43.402889999999999</v>
      </c>
      <c r="J5875">
        <v>-423.17360000000002</v>
      </c>
      <c r="K5875">
        <v>1.112155</v>
      </c>
      <c r="L5875">
        <v>73.123230000000007</v>
      </c>
      <c r="M5875">
        <v>1.1599730000000001E-2</v>
      </c>
      <c r="N5875">
        <v>0</v>
      </c>
      <c r="O5875">
        <v>-0.99983230000000001</v>
      </c>
      <c r="P5875">
        <v>0.1225535</v>
      </c>
      <c r="Q5875">
        <v>0.13650290000000001</v>
      </c>
      <c r="R5875">
        <v>-0.98302999999999996</v>
      </c>
      <c r="S5875">
        <v>0.41555789999999998</v>
      </c>
      <c r="T5875">
        <v>-0.1119314</v>
      </c>
      <c r="U5875">
        <v>-3.0161440000000002</v>
      </c>
      <c r="V5875">
        <v>-0.11179699999999999</v>
      </c>
      <c r="W5875">
        <v>0.1499732</v>
      </c>
      <c r="X5875">
        <v>0.98234900000000003</v>
      </c>
      <c r="Y5875">
        <v>-0.1248948</v>
      </c>
      <c r="Z5875">
        <v>3.6762929999999999E-2</v>
      </c>
      <c r="AA5875">
        <v>0.9914887</v>
      </c>
      <c r="AB5875">
        <v>39</v>
      </c>
      <c r="AC5875">
        <v>4.1254000000000097</v>
      </c>
      <c r="AD5875">
        <v>-1.112156786189</v>
      </c>
      <c r="AE5875">
        <v>-29.72034</v>
      </c>
      <c r="AF5875">
        <v>-3.7751533916531201</v>
      </c>
      <c r="AG5875">
        <v>-1.112156786189</v>
      </c>
      <c r="AH5875">
        <v>29.725360466590899</v>
      </c>
      <c r="AI5875">
        <v>92.125630262384007</v>
      </c>
      <c r="AJ5875">
        <v>97.237878911528895</v>
      </c>
      <c r="AK5875">
        <v>29.984758306785402</v>
      </c>
      <c r="AL5875">
        <v>81.374626918010904</v>
      </c>
      <c r="AM5875">
        <v>96.492656939929603</v>
      </c>
      <c r="AN5875">
        <v>1.0000000438641099</v>
      </c>
    </row>
    <row r="5876" spans="1:40" x14ac:dyDescent="0.25">
      <c r="A5876" t="str">
        <f>"20190312172233770"</f>
        <v>20190312172233770</v>
      </c>
      <c r="B5876" t="str">
        <f>"1552382553766331"</f>
        <v>1552382553766331</v>
      </c>
      <c r="C5876" t="s">
        <v>40</v>
      </c>
      <c r="D5876">
        <v>3.4813100000000001</v>
      </c>
      <c r="E5876">
        <v>0.49091299999999999</v>
      </c>
      <c r="F5876" t="s">
        <v>42</v>
      </c>
      <c r="G5876">
        <v>-419.03699999999998</v>
      </c>
      <c r="H5876" s="1">
        <v>-2.0586570000000002E-6</v>
      </c>
      <c r="I5876">
        <v>44.033369999999998</v>
      </c>
      <c r="J5876">
        <v>-423.16969999999998</v>
      </c>
      <c r="K5876">
        <v>1.1121799999999999</v>
      </c>
      <c r="L5876">
        <v>72.873990000000006</v>
      </c>
      <c r="M5876">
        <v>1.2766029999999999E-2</v>
      </c>
      <c r="N5876">
        <v>0</v>
      </c>
      <c r="O5876">
        <v>-0.99981799999999998</v>
      </c>
      <c r="P5876">
        <v>0.12443079999999999</v>
      </c>
      <c r="Q5876">
        <v>0.1360701</v>
      </c>
      <c r="R5876">
        <v>-0.98285420000000001</v>
      </c>
      <c r="S5876">
        <v>0.42864989999999997</v>
      </c>
      <c r="T5876">
        <v>-0.11524479999999999</v>
      </c>
      <c r="U5876">
        <v>-3.0143740000000001</v>
      </c>
      <c r="V5876">
        <v>-0.11253539999999999</v>
      </c>
      <c r="W5876">
        <v>0.14952860000000001</v>
      </c>
      <c r="X5876">
        <v>0.98233239999999999</v>
      </c>
      <c r="Y5876">
        <v>-0.12803320000000001</v>
      </c>
      <c r="Z5876">
        <v>3.7851860000000001E-2</v>
      </c>
      <c r="AA5876">
        <v>0.99104729999999996</v>
      </c>
      <c r="AB5876">
        <v>39</v>
      </c>
      <c r="AC5876">
        <v>4.1326999999999998</v>
      </c>
      <c r="AD5876">
        <v>-1.1121820586569999</v>
      </c>
      <c r="AE5876">
        <v>-28.840620000000001</v>
      </c>
      <c r="AF5876">
        <v>-3.7586688504922798</v>
      </c>
      <c r="AG5876">
        <v>-1.1121820586569999</v>
      </c>
      <c r="AH5876">
        <v>28.848994415676302</v>
      </c>
      <c r="AI5876">
        <v>92.1892799188293</v>
      </c>
      <c r="AJ5876">
        <v>97.423121032549105</v>
      </c>
      <c r="AK5876">
        <v>29.114069094769</v>
      </c>
      <c r="AL5876">
        <v>81.400390602068498</v>
      </c>
      <c r="AM5876">
        <v>96.535279541271393</v>
      </c>
      <c r="AN5876">
        <v>0.99999998128043899</v>
      </c>
    </row>
    <row r="5877" spans="1:40" x14ac:dyDescent="0.25">
      <c r="A5877" t="str">
        <f>"20190312172233784"</f>
        <v>20190312172233784</v>
      </c>
      <c r="B5877" t="str">
        <f>"1552382553776091"</f>
        <v>1552382553776091</v>
      </c>
      <c r="C5877" t="s">
        <v>40</v>
      </c>
      <c r="D5877">
        <v>4.6510610000000003</v>
      </c>
      <c r="E5877">
        <v>0.49085869999999998</v>
      </c>
      <c r="F5877" t="s">
        <v>42</v>
      </c>
      <c r="G5877">
        <v>-419.0582</v>
      </c>
      <c r="H5877" s="1">
        <v>-2.3147719999999999E-6</v>
      </c>
      <c r="I5877">
        <v>44.639139999999998</v>
      </c>
      <c r="J5877">
        <v>-423.16559999999998</v>
      </c>
      <c r="K5877">
        <v>1.1122069999999999</v>
      </c>
      <c r="L5877">
        <v>72.628540000000001</v>
      </c>
      <c r="M5877">
        <v>1.393323E-2</v>
      </c>
      <c r="N5877">
        <v>0</v>
      </c>
      <c r="O5877">
        <v>-0.99980250000000004</v>
      </c>
      <c r="P5877">
        <v>0.12645509999999999</v>
      </c>
      <c r="Q5877">
        <v>0.13581070000000001</v>
      </c>
      <c r="R5877">
        <v>-0.9826317</v>
      </c>
      <c r="S5877">
        <v>0.4387817</v>
      </c>
      <c r="T5877">
        <v>-0.1186917</v>
      </c>
      <c r="U5877">
        <v>-3.0132140000000001</v>
      </c>
      <c r="V5877">
        <v>-0.1134221</v>
      </c>
      <c r="W5877">
        <v>0.1492561</v>
      </c>
      <c r="X5877">
        <v>0.98227189999999998</v>
      </c>
      <c r="Y5877">
        <v>-0.13018669999999999</v>
      </c>
      <c r="Z5877">
        <v>3.8981429999999997E-2</v>
      </c>
      <c r="AA5877">
        <v>0.99072289999999996</v>
      </c>
      <c r="AB5877">
        <v>39</v>
      </c>
      <c r="AC5877">
        <v>4.1073999999999797</v>
      </c>
      <c r="AD5877">
        <v>-1.112209314772</v>
      </c>
      <c r="AE5877">
        <v>-27.9894</v>
      </c>
      <c r="AF5877">
        <v>-3.7112427273397399</v>
      </c>
      <c r="AG5877">
        <v>-1.112209314772</v>
      </c>
      <c r="AH5877">
        <v>28.000636240166699</v>
      </c>
      <c r="AI5877">
        <v>92.254942122253198</v>
      </c>
      <c r="AJ5877">
        <v>97.550055270450699</v>
      </c>
      <c r="AK5877">
        <v>28.267401047765802</v>
      </c>
      <c r="AL5877">
        <v>81.416181243292002</v>
      </c>
      <c r="AM5877">
        <v>96.586724370528401</v>
      </c>
      <c r="AN5877">
        <v>1.0000000208426101</v>
      </c>
    </row>
    <row r="5878" spans="1:40" x14ac:dyDescent="0.25">
      <c r="A5878" t="str">
        <f>"20190312172233796"</f>
        <v>20190312172233796</v>
      </c>
      <c r="B5878" t="str">
        <f>"1552382553786827"</f>
        <v>1552382553786827</v>
      </c>
      <c r="C5878" t="s">
        <v>40</v>
      </c>
      <c r="D5878">
        <v>3.4477359999999999</v>
      </c>
      <c r="E5878">
        <v>0.49072310000000002</v>
      </c>
      <c r="F5878" t="s">
        <v>42</v>
      </c>
      <c r="G5878">
        <v>-418.92</v>
      </c>
      <c r="H5878" s="1">
        <v>-2.039342E-6</v>
      </c>
      <c r="I5878">
        <v>43.939979999999998</v>
      </c>
      <c r="J5878">
        <v>-423.16160000000002</v>
      </c>
      <c r="K5878">
        <v>1.1122350000000001</v>
      </c>
      <c r="L5878">
        <v>72.405240000000006</v>
      </c>
      <c r="M5878">
        <v>1.5016679999999999E-2</v>
      </c>
      <c r="N5878">
        <v>0</v>
      </c>
      <c r="O5878">
        <v>-0.99978670000000003</v>
      </c>
      <c r="P5878">
        <v>0.12829569999999901</v>
      </c>
      <c r="Q5878">
        <v>0.135653</v>
      </c>
      <c r="R5878">
        <v>-0.98241480000000003</v>
      </c>
      <c r="S5878">
        <v>0.44570920000000003</v>
      </c>
      <c r="T5878">
        <v>-0.1167618</v>
      </c>
      <c r="U5878">
        <v>-3.0117799999999999</v>
      </c>
      <c r="V5878">
        <v>-0.11420859999999999</v>
      </c>
      <c r="W5878">
        <v>0.14908540000000001</v>
      </c>
      <c r="X5878">
        <v>0.98220660000000004</v>
      </c>
      <c r="Y5878">
        <v>-0.13141369999999999</v>
      </c>
      <c r="Z5878">
        <v>3.8356210000000002E-2</v>
      </c>
      <c r="AA5878">
        <v>0.9905853</v>
      </c>
      <c r="AB5878">
        <v>39</v>
      </c>
      <c r="AC5878">
        <v>4.2416</v>
      </c>
      <c r="AD5878">
        <v>-1.112237039342</v>
      </c>
      <c r="AE5878">
        <v>-28.465260000000001</v>
      </c>
      <c r="AF5878">
        <v>-3.80793751932256</v>
      </c>
      <c r="AG5878">
        <v>-1.112237039342</v>
      </c>
      <c r="AH5878">
        <v>28.483209067257899</v>
      </c>
      <c r="AI5878">
        <v>92.216498850725003</v>
      </c>
      <c r="AJ5878">
        <v>97.614755159711905</v>
      </c>
      <c r="AK5878">
        <v>28.758140728354999</v>
      </c>
      <c r="AL5878">
        <v>81.426071539913494</v>
      </c>
      <c r="AM5878">
        <v>96.632430021869794</v>
      </c>
      <c r="AN5878">
        <v>0.99999993294533696</v>
      </c>
    </row>
    <row r="5879" spans="1:40" x14ac:dyDescent="0.25">
      <c r="A5879" t="str">
        <f>"20190312172233811"</f>
        <v>20190312172233811</v>
      </c>
      <c r="B5879" t="str">
        <f>"1552382553806347"</f>
        <v>1552382553806347</v>
      </c>
      <c r="C5879" t="s">
        <v>40</v>
      </c>
      <c r="D5879">
        <v>3.4549910000000001</v>
      </c>
      <c r="E5879">
        <v>0.49054969999999998</v>
      </c>
      <c r="F5879" t="s">
        <v>42</v>
      </c>
      <c r="G5879">
        <v>-418.88670000000002</v>
      </c>
      <c r="H5879" s="1">
        <v>-2.061376E-6</v>
      </c>
      <c r="I5879">
        <v>43.977580000000003</v>
      </c>
      <c r="J5879">
        <v>-423.15699999999998</v>
      </c>
      <c r="K5879">
        <v>1.112266</v>
      </c>
      <c r="L5879">
        <v>72.166629999999998</v>
      </c>
      <c r="M5879">
        <v>1.6199990000000001E-2</v>
      </c>
      <c r="N5879">
        <v>0</v>
      </c>
      <c r="O5879">
        <v>-0.9997682</v>
      </c>
      <c r="P5879">
        <v>0.1302769</v>
      </c>
      <c r="Q5879">
        <v>0.135523</v>
      </c>
      <c r="R5879">
        <v>-0.98217209999999999</v>
      </c>
      <c r="S5879">
        <v>0.45275880000000002</v>
      </c>
      <c r="T5879">
        <v>-0.117799399999999</v>
      </c>
      <c r="U5879">
        <v>-3.010834</v>
      </c>
      <c r="V5879">
        <v>-0.11503869999999999</v>
      </c>
      <c r="W5879">
        <v>0.14894160000000001</v>
      </c>
      <c r="X5879">
        <v>0.98213159999999999</v>
      </c>
      <c r="Y5879">
        <v>-0.13255229999999901</v>
      </c>
      <c r="Z5879">
        <v>3.8697889999999999E-2</v>
      </c>
      <c r="AA5879">
        <v>0.99042030000000003</v>
      </c>
      <c r="AB5879">
        <v>39</v>
      </c>
      <c r="AC5879">
        <v>4.2702999999999598</v>
      </c>
      <c r="AD5879">
        <v>-1.1122680613760001</v>
      </c>
      <c r="AE5879">
        <v>-28.189050000000002</v>
      </c>
      <c r="AF5879">
        <v>-3.80723677294255</v>
      </c>
      <c r="AG5879">
        <v>-1.1122680613760001</v>
      </c>
      <c r="AH5879">
        <v>28.211598800362299</v>
      </c>
      <c r="AI5879">
        <v>92.237506895487499</v>
      </c>
      <c r="AJ5879">
        <v>97.685796828391304</v>
      </c>
      <c r="AK5879">
        <v>28.489059285244998</v>
      </c>
      <c r="AL5879">
        <v>81.434404203662694</v>
      </c>
      <c r="AM5879">
        <v>96.680707765752402</v>
      </c>
      <c r="AN5879">
        <v>0.99999999121340399</v>
      </c>
    </row>
    <row r="5880" spans="1:40" x14ac:dyDescent="0.25">
      <c r="A5880" t="str">
        <f>"20190312172233825"</f>
        <v>20190312172233825</v>
      </c>
      <c r="B5880" t="str">
        <f>"1552382553816106"</f>
        <v>1552382553816106</v>
      </c>
      <c r="C5880" t="s">
        <v>40</v>
      </c>
      <c r="D5880">
        <v>3.4634469999999999</v>
      </c>
      <c r="E5880">
        <v>0.4904597</v>
      </c>
      <c r="F5880" t="s">
        <v>42</v>
      </c>
      <c r="G5880">
        <v>-418.87689999999998</v>
      </c>
      <c r="H5880" s="1">
        <v>-2.1462950000000002E-6</v>
      </c>
      <c r="I5880">
        <v>44.17145</v>
      </c>
      <c r="J5880">
        <v>-423.15210000000002</v>
      </c>
      <c r="K5880">
        <v>1.112304</v>
      </c>
      <c r="L5880">
        <v>71.927279999999996</v>
      </c>
      <c r="M5880">
        <v>1.7405230000000001E-2</v>
      </c>
      <c r="N5880">
        <v>0</v>
      </c>
      <c r="O5880">
        <v>-0.99974799999999997</v>
      </c>
      <c r="P5880">
        <v>0.13236339999999999</v>
      </c>
      <c r="Q5880">
        <v>0.1359465</v>
      </c>
      <c r="R5880">
        <v>-0.98183469999999995</v>
      </c>
      <c r="S5880">
        <v>0.46017459999999999</v>
      </c>
      <c r="T5880">
        <v>-0.119585</v>
      </c>
      <c r="U5880">
        <v>-3.0098880000000001</v>
      </c>
      <c r="V5880">
        <v>-0.1159568</v>
      </c>
      <c r="W5880">
        <v>0.14934939999999999</v>
      </c>
      <c r="X5880">
        <v>0.98196170000000005</v>
      </c>
      <c r="Y5880">
        <v>-0.13378489999999901</v>
      </c>
      <c r="Z5880">
        <v>3.9284100000000002E-2</v>
      </c>
      <c r="AA5880">
        <v>0.99023150000000004</v>
      </c>
      <c r="AB5880">
        <v>39</v>
      </c>
      <c r="AC5880">
        <v>4.2752000000000399</v>
      </c>
      <c r="AD5880">
        <v>-1.1123061462949999</v>
      </c>
      <c r="AE5880">
        <v>-27.75583</v>
      </c>
      <c r="AF5880">
        <v>-3.7854685916598201</v>
      </c>
      <c r="AG5880">
        <v>-1.1123061462949999</v>
      </c>
      <c r="AH5880">
        <v>27.782458894455299</v>
      </c>
      <c r="AI5880">
        <v>92.271716999892107</v>
      </c>
      <c r="AJ5880">
        <v>97.758993714680699</v>
      </c>
      <c r="AK5880">
        <v>28.061219140365701</v>
      </c>
      <c r="AL5880">
        <v>81.4107747835711</v>
      </c>
      <c r="AM5880">
        <v>96.734691786871807</v>
      </c>
      <c r="AN5880">
        <v>1.0000000015067401</v>
      </c>
    </row>
    <row r="5881" spans="1:40" x14ac:dyDescent="0.25">
      <c r="A5881" t="str">
        <f>"20190312172233846"</f>
        <v>20190312172233846</v>
      </c>
      <c r="B5881" t="str">
        <f>"1552382553836603"</f>
        <v>1552382553836603</v>
      </c>
      <c r="C5881" t="s">
        <v>40</v>
      </c>
      <c r="D5881">
        <v>3.4287000000000001</v>
      </c>
      <c r="E5881">
        <v>0.4904039</v>
      </c>
      <c r="F5881" t="s">
        <v>42</v>
      </c>
      <c r="G5881">
        <v>-418.75479999999999</v>
      </c>
      <c r="H5881" s="1">
        <v>-1.955547E-6</v>
      </c>
      <c r="I5881">
        <v>43.676340000000003</v>
      </c>
      <c r="J5881">
        <v>-423.14400000000001</v>
      </c>
      <c r="K5881">
        <v>1.1123529999999999</v>
      </c>
      <c r="L5881">
        <v>71.560850000000002</v>
      </c>
      <c r="M5881">
        <v>1.929635E-2</v>
      </c>
      <c r="N5881">
        <v>0</v>
      </c>
      <c r="O5881">
        <v>-0.99971339999999997</v>
      </c>
      <c r="P5881">
        <v>0.13460129999999901</v>
      </c>
      <c r="Q5881">
        <v>0.13627259999999999</v>
      </c>
      <c r="R5881">
        <v>-0.98148519999999995</v>
      </c>
      <c r="S5881">
        <v>0.46832279999999998</v>
      </c>
      <c r="T5881">
        <v>-0.1184632</v>
      </c>
      <c r="U5881">
        <v>-3.0087890000000002</v>
      </c>
      <c r="V5881">
        <v>-0.1163568</v>
      </c>
      <c r="W5881">
        <v>0.14965870000000001</v>
      </c>
      <c r="X5881">
        <v>0.9818673</v>
      </c>
      <c r="Y5881">
        <v>-0.13458589999999901</v>
      </c>
      <c r="Z5881">
        <v>3.8918010000000003E-2</v>
      </c>
      <c r="AA5881">
        <v>0.99013739999999995</v>
      </c>
      <c r="AB5881">
        <v>39</v>
      </c>
      <c r="AC5881">
        <v>4.3892000000000104</v>
      </c>
      <c r="AD5881">
        <v>-1.112354955547</v>
      </c>
      <c r="AE5881">
        <v>-27.884509999999999</v>
      </c>
      <c r="AF5881">
        <v>-3.8442896836184901</v>
      </c>
      <c r="AG5881">
        <v>-1.112354955547</v>
      </c>
      <c r="AH5881">
        <v>27.920664329652599</v>
      </c>
      <c r="AI5881">
        <v>92.260148117238103</v>
      </c>
      <c r="AJ5881">
        <v>97.839545777182295</v>
      </c>
      <c r="AK5881">
        <v>28.2060169702821</v>
      </c>
      <c r="AL5881">
        <v>81.392851864679301</v>
      </c>
      <c r="AM5881">
        <v>96.758352726819794</v>
      </c>
      <c r="AN5881">
        <v>1.0000000131006099</v>
      </c>
    </row>
    <row r="5882" spans="1:40" x14ac:dyDescent="0.25">
      <c r="A5882" t="str">
        <f>"20190312172233868"</f>
        <v>20190312172233868</v>
      </c>
      <c r="B5882" t="str">
        <f>"1552382553856123"</f>
        <v>1552382553856123</v>
      </c>
      <c r="C5882" t="s">
        <v>40</v>
      </c>
      <c r="D5882">
        <v>3.416067</v>
      </c>
      <c r="E5882">
        <v>0.49037190000000003</v>
      </c>
      <c r="F5882" t="s">
        <v>42</v>
      </c>
      <c r="G5882">
        <v>-418.65679999999998</v>
      </c>
      <c r="H5882" s="1">
        <v>-1.8084450000000001E-6</v>
      </c>
      <c r="I5882">
        <v>43.292920000000002</v>
      </c>
      <c r="J5882">
        <v>-423.13479999999998</v>
      </c>
      <c r="K5882">
        <v>1.1124039999999999</v>
      </c>
      <c r="L5882">
        <v>71.179410000000004</v>
      </c>
      <c r="M5882">
        <v>2.1312330000000001E-2</v>
      </c>
      <c r="N5882">
        <v>0</v>
      </c>
      <c r="O5882">
        <v>-0.99967240000000002</v>
      </c>
      <c r="P5882">
        <v>0.13711950000000001</v>
      </c>
      <c r="Q5882">
        <v>0.13674069999999999</v>
      </c>
      <c r="R5882">
        <v>-0.98107149999999999</v>
      </c>
      <c r="S5882">
        <v>0.47741699999999998</v>
      </c>
      <c r="T5882">
        <v>-0.1183491</v>
      </c>
      <c r="U5882">
        <v>-3.007568</v>
      </c>
      <c r="V5882">
        <v>-0.1169176</v>
      </c>
      <c r="W5882">
        <v>0.15010899999999999</v>
      </c>
      <c r="X5882">
        <v>0.98173200000000005</v>
      </c>
      <c r="Y5882">
        <v>-0.13557060000000001</v>
      </c>
      <c r="Z5882">
        <v>3.8882079999999999E-2</v>
      </c>
      <c r="AA5882">
        <v>0.99000440000000001</v>
      </c>
      <c r="AB5882">
        <v>39</v>
      </c>
      <c r="AC5882">
        <v>4.4779999999999998</v>
      </c>
      <c r="AD5882">
        <v>-1.1124058084449999</v>
      </c>
      <c r="AE5882">
        <v>-27.886489999999998</v>
      </c>
      <c r="AF5882">
        <v>-3.8765833578189199</v>
      </c>
      <c r="AG5882">
        <v>-1.1124058084449999</v>
      </c>
      <c r="AH5882">
        <v>27.932271005206498</v>
      </c>
      <c r="AI5882">
        <v>92.258976703553003</v>
      </c>
      <c r="AJ5882">
        <v>97.901329166578904</v>
      </c>
      <c r="AK5882">
        <v>28.221926027843601</v>
      </c>
      <c r="AL5882">
        <v>81.366757363694205</v>
      </c>
      <c r="AM5882">
        <v>96.791549349625001</v>
      </c>
      <c r="AN5882">
        <v>1.0000000784473699</v>
      </c>
    </row>
    <row r="5883" spans="1:40" x14ac:dyDescent="0.25">
      <c r="A5883" t="str">
        <f>"20190312172233891"</f>
        <v>20190312172233891</v>
      </c>
      <c r="B5883" t="str">
        <f>"1552382553886379"</f>
        <v>1552382553886379</v>
      </c>
      <c r="C5883" t="s">
        <v>40</v>
      </c>
      <c r="D5883">
        <v>3.4455239999999998</v>
      </c>
      <c r="E5883">
        <v>0.49041459999999998</v>
      </c>
      <c r="F5883" t="s">
        <v>42</v>
      </c>
      <c r="G5883">
        <v>-418.54649999999998</v>
      </c>
      <c r="H5883" s="1">
        <v>-1.6386700000000001E-6</v>
      </c>
      <c r="I5883">
        <v>42.85154</v>
      </c>
      <c r="J5883">
        <v>-423.12459999999999</v>
      </c>
      <c r="K5883">
        <v>1.112444</v>
      </c>
      <c r="L5883">
        <v>70.789459999999906</v>
      </c>
      <c r="M5883">
        <v>2.3413799999999999E-2</v>
      </c>
      <c r="N5883">
        <v>0</v>
      </c>
      <c r="O5883">
        <v>-0.99962530000000005</v>
      </c>
      <c r="P5883">
        <v>0.1401473</v>
      </c>
      <c r="Q5883">
        <v>0.1376067</v>
      </c>
      <c r="R5883">
        <v>-0.980522</v>
      </c>
      <c r="S5883">
        <v>0.4869385</v>
      </c>
      <c r="T5883">
        <v>-0.1180537</v>
      </c>
      <c r="U5883">
        <v>-3.0062869999999999</v>
      </c>
      <c r="V5883">
        <v>-0.1179077</v>
      </c>
      <c r="W5883">
        <v>0.15095420000000001</v>
      </c>
      <c r="X5883">
        <v>0.98148389999999996</v>
      </c>
      <c r="Y5883">
        <v>-0.1366106</v>
      </c>
      <c r="Z5883">
        <v>3.8786309999999997E-2</v>
      </c>
      <c r="AA5883">
        <v>0.9898652</v>
      </c>
      <c r="AB5883">
        <v>39</v>
      </c>
      <c r="AC5883">
        <v>4.5781000000000001</v>
      </c>
      <c r="AD5883">
        <v>-1.1124456386699999</v>
      </c>
      <c r="AE5883">
        <v>-27.937919999999899</v>
      </c>
      <c r="AF5883">
        <v>-3.9165986400330999</v>
      </c>
      <c r="AG5883">
        <v>-1.1124456386699999</v>
      </c>
      <c r="AH5883">
        <v>27.994236526521</v>
      </c>
      <c r="AI5883">
        <v>92.253716837480795</v>
      </c>
      <c r="AJ5883">
        <v>97.964402298419898</v>
      </c>
      <c r="AK5883">
        <v>28.288770897812199</v>
      </c>
      <c r="AL5883">
        <v>81.317772301941801</v>
      </c>
      <c r="AM5883">
        <v>96.850233357972996</v>
      </c>
      <c r="AN5883">
        <v>1.00000002108806</v>
      </c>
    </row>
    <row r="5884" spans="1:40" x14ac:dyDescent="0.25">
      <c r="A5884" t="str">
        <f>"20190312172233913"</f>
        <v>20190312172233913</v>
      </c>
      <c r="B5884" t="str">
        <f>"1552382553905904"</f>
        <v>1552382553905904</v>
      </c>
      <c r="C5884" t="s">
        <v>40</v>
      </c>
      <c r="D5884">
        <v>3.4609480000000001</v>
      </c>
      <c r="E5884">
        <v>0.49040400000000001</v>
      </c>
      <c r="F5884" t="s">
        <v>42</v>
      </c>
      <c r="G5884">
        <v>-418.41430000000003</v>
      </c>
      <c r="H5884" s="1">
        <v>-1.4015160000000001E-6</v>
      </c>
      <c r="I5884">
        <v>42.24409</v>
      </c>
      <c r="J5884">
        <v>-423.1139</v>
      </c>
      <c r="K5884">
        <v>1.1124830000000001</v>
      </c>
      <c r="L5884">
        <v>70.41122</v>
      </c>
      <c r="M5884">
        <v>2.5481380000000001E-2</v>
      </c>
      <c r="N5884">
        <v>0</v>
      </c>
      <c r="O5884">
        <v>-0.99957510000000005</v>
      </c>
      <c r="P5884">
        <v>0.1430852</v>
      </c>
      <c r="Q5884">
        <v>0.13872870000000001</v>
      </c>
      <c r="R5884">
        <v>-0.97993989999999997</v>
      </c>
      <c r="S5884">
        <v>0.49588009999999899</v>
      </c>
      <c r="T5884">
        <v>-0.11711439999999999</v>
      </c>
      <c r="U5884">
        <v>-3.0051570000000001</v>
      </c>
      <c r="V5884">
        <v>-0.118842</v>
      </c>
      <c r="W5884">
        <v>0.15205659999999999</v>
      </c>
      <c r="X5884">
        <v>0.98120099999999999</v>
      </c>
      <c r="Y5884">
        <v>-0.1374908</v>
      </c>
      <c r="Z5884">
        <v>3.8477959999999999E-2</v>
      </c>
      <c r="AA5884">
        <v>0.98975539999999995</v>
      </c>
      <c r="AB5884">
        <v>39</v>
      </c>
      <c r="AC5884">
        <v>4.69959999999997</v>
      </c>
      <c r="AD5884">
        <v>-1.11248440151599</v>
      </c>
      <c r="AE5884">
        <v>-28.16713</v>
      </c>
      <c r="AF5884">
        <v>-3.97423289412251</v>
      </c>
      <c r="AG5884">
        <v>-1.11248440151599</v>
      </c>
      <c r="AH5884">
        <v>28.2348951820981</v>
      </c>
      <c r="AI5884">
        <v>92.234344002238998</v>
      </c>
      <c r="AJ5884">
        <v>98.012092876181399</v>
      </c>
      <c r="AK5884">
        <v>28.534916411028998</v>
      </c>
      <c r="AL5884">
        <v>81.253871751872595</v>
      </c>
      <c r="AM5884">
        <v>96.905964034050598</v>
      </c>
      <c r="AN5884">
        <v>1.0000000164842699</v>
      </c>
    </row>
    <row r="5885" spans="1:40" x14ac:dyDescent="0.25">
      <c r="A5885" t="str">
        <f>"20190312172233929"</f>
        <v>20190312172233929</v>
      </c>
      <c r="B5885" t="str">
        <f>"1552382553926685"</f>
        <v>1552382553926685</v>
      </c>
      <c r="C5885" t="s">
        <v>40</v>
      </c>
      <c r="D5885">
        <v>3.4447480000000001</v>
      </c>
      <c r="E5885">
        <v>0.49046390000000001</v>
      </c>
      <c r="F5885" t="s">
        <v>42</v>
      </c>
      <c r="G5885">
        <v>-418.19650000000001</v>
      </c>
      <c r="H5885" s="1">
        <v>-1.004061E-6</v>
      </c>
      <c r="I5885">
        <v>41.188409999999998</v>
      </c>
      <c r="J5885">
        <v>-423.10509999999999</v>
      </c>
      <c r="K5885">
        <v>1.112509</v>
      </c>
      <c r="L5885">
        <v>70.119419999999906</v>
      </c>
      <c r="M5885">
        <v>2.709108E-2</v>
      </c>
      <c r="N5885">
        <v>0</v>
      </c>
      <c r="O5885">
        <v>-0.99953230000000004</v>
      </c>
      <c r="P5885">
        <v>0.1455253</v>
      </c>
      <c r="Q5885">
        <v>0.13885449999999999</v>
      </c>
      <c r="R5885">
        <v>-0.9795623</v>
      </c>
      <c r="S5885">
        <v>0.50546259999999998</v>
      </c>
      <c r="T5885">
        <v>-0.1143523</v>
      </c>
      <c r="U5885">
        <v>-3.0038149999999999</v>
      </c>
      <c r="V5885">
        <v>-0.1197167</v>
      </c>
      <c r="W5885">
        <v>0.1521692</v>
      </c>
      <c r="X5885">
        <v>0.98107719999999998</v>
      </c>
      <c r="Y5885">
        <v>-0.13904439999999901</v>
      </c>
      <c r="Z5885">
        <v>3.7572080000000001E-2</v>
      </c>
      <c r="AA5885">
        <v>0.98957309999999998</v>
      </c>
      <c r="AB5885">
        <v>39</v>
      </c>
      <c r="AC5885">
        <v>4.9085999999999697</v>
      </c>
      <c r="AD5885">
        <v>-1.1125100040610001</v>
      </c>
      <c r="AE5885">
        <v>-28.931009999999901</v>
      </c>
      <c r="AF5885">
        <v>-4.1170293281237997</v>
      </c>
      <c r="AG5885">
        <v>-1.1125100040610001</v>
      </c>
      <c r="AH5885">
        <v>29.011682693495601</v>
      </c>
      <c r="AI5885">
        <v>92.174280528095693</v>
      </c>
      <c r="AJ5885">
        <v>98.076877437454002</v>
      </c>
      <c r="AK5885">
        <v>29.323460602491</v>
      </c>
      <c r="AL5885">
        <v>81.247344257391305</v>
      </c>
      <c r="AM5885">
        <v>96.9571662208715</v>
      </c>
      <c r="AN5885">
        <v>1.0000000130236799</v>
      </c>
    </row>
    <row r="5886" spans="1:40" x14ac:dyDescent="0.25">
      <c r="A5886" t="str">
        <f>"20190312172233943"</f>
        <v>20190312172233943</v>
      </c>
      <c r="B5886" t="str">
        <f>"1552382553936445"</f>
        <v>1552382553936445</v>
      </c>
      <c r="C5886" t="s">
        <v>40</v>
      </c>
      <c r="D5886">
        <v>3.4571670000000001</v>
      </c>
      <c r="E5886">
        <v>0.49049880000000001</v>
      </c>
      <c r="F5886" t="s">
        <v>42</v>
      </c>
      <c r="G5886">
        <v>-418.15859999999998</v>
      </c>
      <c r="H5886" s="1">
        <v>-1.0048939999999999E-6</v>
      </c>
      <c r="I5886">
        <v>41.161279999999998</v>
      </c>
      <c r="J5886">
        <v>-423.09769999999997</v>
      </c>
      <c r="K5886">
        <v>1.112527</v>
      </c>
      <c r="L5886">
        <v>69.887150000000005</v>
      </c>
      <c r="M5886">
        <v>2.837806E-2</v>
      </c>
      <c r="N5886">
        <v>0</v>
      </c>
      <c r="O5886">
        <v>-0.99949670000000002</v>
      </c>
      <c r="P5886">
        <v>0.147202799999999</v>
      </c>
      <c r="Q5886">
        <v>0.13960989999999901</v>
      </c>
      <c r="R5886">
        <v>-0.97920399999999996</v>
      </c>
      <c r="S5886">
        <v>0.5129089</v>
      </c>
      <c r="T5886">
        <v>-0.115359199999999</v>
      </c>
      <c r="U5886">
        <v>-3.0027469999999998</v>
      </c>
      <c r="V5886">
        <v>-0.12014660000000001</v>
      </c>
      <c r="W5886">
        <v>0.1529152</v>
      </c>
      <c r="X5886">
        <v>0.98090860000000002</v>
      </c>
      <c r="Y5886">
        <v>-0.1402101</v>
      </c>
      <c r="Z5886">
        <v>3.7902739999999997E-2</v>
      </c>
      <c r="AA5886">
        <v>0.98939600000000005</v>
      </c>
      <c r="AB5886">
        <v>39</v>
      </c>
      <c r="AC5886">
        <v>4.9390999999999901</v>
      </c>
      <c r="AD5886">
        <v>-1.1125280048940001</v>
      </c>
      <c r="AE5886">
        <v>-28.72587</v>
      </c>
      <c r="AF5886">
        <v>-4.1158477418891604</v>
      </c>
      <c r="AG5886">
        <v>-1.1125280048940001</v>
      </c>
      <c r="AH5886">
        <v>28.812498597436601</v>
      </c>
      <c r="AI5886">
        <v>92.189045490284002</v>
      </c>
      <c r="AJ5886">
        <v>98.129666823033205</v>
      </c>
      <c r="AK5886">
        <v>29.126242404803499</v>
      </c>
      <c r="AL5886">
        <v>81.204095105565301</v>
      </c>
      <c r="AM5886">
        <v>96.983091311007797</v>
      </c>
      <c r="AN5886">
        <v>0.99999997271827901</v>
      </c>
    </row>
    <row r="5887" spans="1:40" x14ac:dyDescent="0.25">
      <c r="A5887" t="str">
        <f>"20190312172233955"</f>
        <v>20190312172233955</v>
      </c>
      <c r="B5887" t="str">
        <f>"1552382553946204"</f>
        <v>1552382553946204</v>
      </c>
      <c r="C5887" t="s">
        <v>40</v>
      </c>
      <c r="D5887">
        <v>3.4498760000000002</v>
      </c>
      <c r="E5887">
        <v>0.49052370000000001</v>
      </c>
      <c r="F5887" t="s">
        <v>42</v>
      </c>
      <c r="G5887">
        <v>-418.0342</v>
      </c>
      <c r="H5887" s="1">
        <v>-8.1874040000000001E-7</v>
      </c>
      <c r="I5887">
        <v>40.516970000000001</v>
      </c>
      <c r="J5887">
        <v>-423.0899</v>
      </c>
      <c r="K5887">
        <v>1.1125339999999999</v>
      </c>
      <c r="L5887">
        <v>69.651309999999995</v>
      </c>
      <c r="M5887">
        <v>2.9689710000000001E-2</v>
      </c>
      <c r="N5887">
        <v>0</v>
      </c>
      <c r="O5887">
        <v>-0.99945890000000004</v>
      </c>
      <c r="P5887">
        <v>0.15006839999999999</v>
      </c>
      <c r="Q5887">
        <v>0.14056930000000001</v>
      </c>
      <c r="R5887">
        <v>-0.97863180000000005</v>
      </c>
      <c r="S5887">
        <v>0.51757810000000004</v>
      </c>
      <c r="T5887">
        <v>-0.1137194</v>
      </c>
      <c r="U5887">
        <v>-3.0021360000000001</v>
      </c>
      <c r="V5887">
        <v>-0.1217473</v>
      </c>
      <c r="W5887">
        <v>0.1538572</v>
      </c>
      <c r="X5887">
        <v>0.98056390000000004</v>
      </c>
      <c r="Y5887">
        <v>-0.14044229999999899</v>
      </c>
      <c r="Z5887">
        <v>3.7364580000000001E-2</v>
      </c>
      <c r="AA5887">
        <v>0.98938360000000003</v>
      </c>
      <c r="AB5887">
        <v>39</v>
      </c>
      <c r="AC5887">
        <v>5.0556999999999999</v>
      </c>
      <c r="AD5887">
        <v>-1.1125348187403901</v>
      </c>
      <c r="AE5887">
        <v>-29.134339999999899</v>
      </c>
      <c r="AF5887">
        <v>-4.18247341922876</v>
      </c>
      <c r="AG5887">
        <v>-1.1125348187403901</v>
      </c>
      <c r="AH5887">
        <v>29.230233744846601</v>
      </c>
      <c r="AI5887">
        <v>92.157732552637299</v>
      </c>
      <c r="AJ5887">
        <v>98.143021761368303</v>
      </c>
      <c r="AK5887">
        <v>29.548898158879599</v>
      </c>
      <c r="AL5887">
        <v>81.149476399914306</v>
      </c>
      <c r="AM5887">
        <v>97.077651419678006</v>
      </c>
      <c r="AN5887">
        <v>1.0000000025161699</v>
      </c>
    </row>
    <row r="5888" spans="1:40" x14ac:dyDescent="0.25">
      <c r="A5888" t="str">
        <f>"20190312172233971"</f>
        <v>20190312172233971</v>
      </c>
      <c r="B5888" t="str">
        <f>"1552382553966701"</f>
        <v>1552382553966701</v>
      </c>
      <c r="C5888" t="s">
        <v>40</v>
      </c>
      <c r="D5888">
        <v>3.4565839999999901</v>
      </c>
      <c r="E5888">
        <v>0.49060819999999999</v>
      </c>
      <c r="F5888" t="s">
        <v>42</v>
      </c>
      <c r="G5888">
        <v>-417.83190000000002</v>
      </c>
      <c r="H5888" s="1">
        <v>-5.9658369999999999E-7</v>
      </c>
      <c r="I5888">
        <v>39.706000000000003</v>
      </c>
      <c r="J5888">
        <v>-423.0813</v>
      </c>
      <c r="K5888">
        <v>1.1125400000000001</v>
      </c>
      <c r="L5888">
        <v>69.402739999999994</v>
      </c>
      <c r="M5888">
        <v>3.1075459999999999E-2</v>
      </c>
      <c r="N5888">
        <v>0</v>
      </c>
      <c r="O5888">
        <v>-0.99941650000000004</v>
      </c>
      <c r="P5888">
        <v>0.152399799999999</v>
      </c>
      <c r="Q5888">
        <v>0.1403808</v>
      </c>
      <c r="R5888">
        <v>-0.97829840000000001</v>
      </c>
      <c r="S5888">
        <v>0.52688599999999997</v>
      </c>
      <c r="T5888">
        <v>-0.11148379999999999</v>
      </c>
      <c r="U5888">
        <v>-3.0007320000000002</v>
      </c>
      <c r="V5888">
        <v>-0.1227283</v>
      </c>
      <c r="W5888">
        <v>0.15365789999999999</v>
      </c>
      <c r="X5888">
        <v>0.98047289999999998</v>
      </c>
      <c r="Y5888">
        <v>-0.14213029999999999</v>
      </c>
      <c r="Z5888">
        <v>3.6631480000000001E-2</v>
      </c>
      <c r="AA5888">
        <v>0.98916990000000005</v>
      </c>
      <c r="AB5888">
        <v>39</v>
      </c>
      <c r="AC5888">
        <v>5.2493999999999801</v>
      </c>
      <c r="AD5888">
        <v>-1.1125405965837001</v>
      </c>
      <c r="AE5888">
        <v>-29.696739999999998</v>
      </c>
      <c r="AF5888">
        <v>-4.3180548572256301</v>
      </c>
      <c r="AG5888">
        <v>-1.1125405965837001</v>
      </c>
      <c r="AH5888">
        <v>29.804974762090101</v>
      </c>
      <c r="AI5888">
        <v>92.115639638963202</v>
      </c>
      <c r="AJ5888">
        <v>98.243483959989206</v>
      </c>
      <c r="AK5888">
        <v>30.1366863622709</v>
      </c>
      <c r="AL5888">
        <v>81.161033265383907</v>
      </c>
      <c r="AM5888">
        <v>97.134750827641298</v>
      </c>
      <c r="AN5888">
        <v>1.0000000467438499</v>
      </c>
    </row>
    <row r="5889" spans="1:40" x14ac:dyDescent="0.25">
      <c r="A5889" t="str">
        <f>"20190312172233985"</f>
        <v>20190312172233985</v>
      </c>
      <c r="B5889" t="str">
        <f>"1552382553976461"</f>
        <v>1552382553976461</v>
      </c>
      <c r="C5889" t="s">
        <v>40</v>
      </c>
      <c r="D5889">
        <v>3.4682400000000002</v>
      </c>
      <c r="E5889">
        <v>0.49062280000000003</v>
      </c>
      <c r="F5889" t="s">
        <v>42</v>
      </c>
      <c r="G5889">
        <v>-417.84100000000001</v>
      </c>
      <c r="H5889" s="1">
        <v>-6.7632030000000004E-7</v>
      </c>
      <c r="I5889">
        <v>39.947389999999999</v>
      </c>
      <c r="J5889">
        <v>-423.07299999999998</v>
      </c>
      <c r="K5889">
        <v>1.112544</v>
      </c>
      <c r="L5889">
        <v>69.169370000000001</v>
      </c>
      <c r="M5889">
        <v>3.2378079999999997E-2</v>
      </c>
      <c r="N5889">
        <v>0</v>
      </c>
      <c r="O5889">
        <v>-0.99937509999999996</v>
      </c>
      <c r="P5889">
        <v>0.15451770000000001</v>
      </c>
      <c r="Q5889">
        <v>0.13970189999999999</v>
      </c>
      <c r="R5889">
        <v>-0.97806320000000002</v>
      </c>
      <c r="S5889">
        <v>0.53366089999999999</v>
      </c>
      <c r="T5889">
        <v>-0.1132985</v>
      </c>
      <c r="U5889">
        <v>-2.9996640000000001</v>
      </c>
      <c r="V5889">
        <v>-0.123571</v>
      </c>
      <c r="W5889">
        <v>0.15297089999999999</v>
      </c>
      <c r="X5889">
        <v>0.98047439999999997</v>
      </c>
      <c r="Y5889">
        <v>-0.14306259999999901</v>
      </c>
      <c r="Z5889">
        <v>3.722789E-2</v>
      </c>
      <c r="AA5889">
        <v>0.98901329999999998</v>
      </c>
      <c r="AB5889">
        <v>39</v>
      </c>
      <c r="AC5889">
        <v>5.2320000000000197</v>
      </c>
      <c r="AD5889">
        <v>-1.1125446763203</v>
      </c>
      <c r="AE5889">
        <v>-29.221979999999899</v>
      </c>
      <c r="AF5889">
        <v>-4.2770026121164699</v>
      </c>
      <c r="AG5889">
        <v>-1.1125446763203</v>
      </c>
      <c r="AH5889">
        <v>29.334874840064099</v>
      </c>
      <c r="AI5889">
        <v>92.149237825731802</v>
      </c>
      <c r="AJ5889">
        <v>98.295232531363595</v>
      </c>
      <c r="AK5889">
        <v>29.6658960573094</v>
      </c>
      <c r="AL5889">
        <v>81.2008657011596</v>
      </c>
      <c r="AM5889">
        <v>97.183219894454098</v>
      </c>
      <c r="AN5889">
        <v>0.99999996867158403</v>
      </c>
    </row>
    <row r="5890" spans="1:40" x14ac:dyDescent="0.25">
      <c r="A5890" t="str">
        <f>"20190312172234001"</f>
        <v>20190312172234001</v>
      </c>
      <c r="B5890" t="str">
        <f>"1552382553995980"</f>
        <v>1552382553995980</v>
      </c>
      <c r="C5890" t="s">
        <v>40</v>
      </c>
      <c r="D5890">
        <v>3.4857670000000001</v>
      </c>
      <c r="E5890">
        <v>0.49071599999999999</v>
      </c>
      <c r="F5890" t="s">
        <v>42</v>
      </c>
      <c r="G5890">
        <v>-417.8716</v>
      </c>
      <c r="H5890" s="1">
        <v>-7.8855779999999998E-7</v>
      </c>
      <c r="I5890">
        <v>40.301160000000003</v>
      </c>
      <c r="J5890">
        <v>-423.06220000000002</v>
      </c>
      <c r="K5890">
        <v>1.1125430000000001</v>
      </c>
      <c r="L5890">
        <v>68.878140000000002</v>
      </c>
      <c r="M5890">
        <v>3.4005000000000001E-2</v>
      </c>
      <c r="N5890">
        <v>0</v>
      </c>
      <c r="O5890">
        <v>-0.99932140000000003</v>
      </c>
      <c r="P5890">
        <v>0.15815989999999999</v>
      </c>
      <c r="Q5890">
        <v>0.13749339999999999</v>
      </c>
      <c r="R5890">
        <v>-0.97779419999999995</v>
      </c>
      <c r="S5890">
        <v>0.54025269999999903</v>
      </c>
      <c r="T5890">
        <v>-0.115556199999999</v>
      </c>
      <c r="U5890">
        <v>-2.9984440000000001</v>
      </c>
      <c r="V5890">
        <v>-0.12561230000000001</v>
      </c>
      <c r="W5890">
        <v>0.15074860000000001</v>
      </c>
      <c r="X5890">
        <v>0.98055919999999996</v>
      </c>
      <c r="Y5890">
        <v>-0.14362249999999999</v>
      </c>
      <c r="Z5890">
        <v>3.7971919999999999E-2</v>
      </c>
      <c r="AA5890">
        <v>0.9889038</v>
      </c>
      <c r="AB5890">
        <v>39</v>
      </c>
      <c r="AC5890">
        <v>5.1906000000000097</v>
      </c>
      <c r="AD5890">
        <v>-1.1125437885578</v>
      </c>
      <c r="AE5890">
        <v>-28.576979999999999</v>
      </c>
      <c r="AF5890">
        <v>-4.2095633994849804</v>
      </c>
      <c r="AG5890">
        <v>-1.1125437885578</v>
      </c>
      <c r="AH5890">
        <v>28.694870979931199</v>
      </c>
      <c r="AI5890">
        <v>92.196842351824202</v>
      </c>
      <c r="AJ5890">
        <v>98.345811698794293</v>
      </c>
      <c r="AK5890">
        <v>29.0233319632781</v>
      </c>
      <c r="AL5890">
        <v>81.329688211514096</v>
      </c>
      <c r="AM5890">
        <v>97.299986746861606</v>
      </c>
      <c r="AN5890">
        <v>0.99999996750894404</v>
      </c>
    </row>
    <row r="5891" spans="1:40" x14ac:dyDescent="0.25">
      <c r="A5891" t="str">
        <f>"20190312172234025"</f>
        <v>20190312172234025</v>
      </c>
      <c r="B5891" t="str">
        <f>"1552382554016476"</f>
        <v>1552382554016476</v>
      </c>
      <c r="C5891" t="s">
        <v>40</v>
      </c>
      <c r="D5891">
        <v>3.432518</v>
      </c>
      <c r="E5891">
        <v>0.49087219999999998</v>
      </c>
      <c r="F5891" t="s">
        <v>42</v>
      </c>
      <c r="G5891">
        <v>-418.09089999999998</v>
      </c>
      <c r="H5891" s="1">
        <v>-1.283904E-6</v>
      </c>
      <c r="I5891">
        <v>41.836190000000002</v>
      </c>
      <c r="J5891">
        <v>-423.04669999999999</v>
      </c>
      <c r="K5891">
        <v>1.1125350000000001</v>
      </c>
      <c r="L5891">
        <v>68.484039999999993</v>
      </c>
      <c r="M5891">
        <v>3.620694E-2</v>
      </c>
      <c r="N5891">
        <v>0</v>
      </c>
      <c r="O5891">
        <v>-0.99924389999999996</v>
      </c>
      <c r="P5891">
        <v>0.16324340000000001</v>
      </c>
      <c r="Q5891">
        <v>0.1347467</v>
      </c>
      <c r="R5891">
        <v>-0.97734109999999996</v>
      </c>
      <c r="S5891">
        <v>0.55084230000000001</v>
      </c>
      <c r="T5891">
        <v>-0.12327490000000001</v>
      </c>
      <c r="U5891">
        <v>-2.9963679999999999</v>
      </c>
      <c r="V5891">
        <v>-0.12853220000000001</v>
      </c>
      <c r="W5891">
        <v>0.14798239999999999</v>
      </c>
      <c r="X5891">
        <v>0.98060219999999998</v>
      </c>
      <c r="Y5891">
        <v>-0.1449261</v>
      </c>
      <c r="Z5891">
        <v>4.0510490000000003E-2</v>
      </c>
      <c r="AA5891">
        <v>0.98861279999999996</v>
      </c>
      <c r="AB5891">
        <v>39</v>
      </c>
      <c r="AC5891">
        <v>4.9558000000000098</v>
      </c>
      <c r="AD5891">
        <v>-1.1125362839040001</v>
      </c>
      <c r="AE5891">
        <v>-26.647849999999998</v>
      </c>
      <c r="AF5891">
        <v>-3.9809090972625598</v>
      </c>
      <c r="AG5891">
        <v>-1.1125362839040001</v>
      </c>
      <c r="AH5891">
        <v>26.7647341457278</v>
      </c>
      <c r="AI5891">
        <v>92.354386847247198</v>
      </c>
      <c r="AJ5891">
        <v>98.459986272448802</v>
      </c>
      <c r="AK5891">
        <v>27.082030354372598</v>
      </c>
      <c r="AL5891">
        <v>81.489978222854205</v>
      </c>
      <c r="AM5891">
        <v>97.467459719287305</v>
      </c>
      <c r="AN5891">
        <v>0.99999999589571997</v>
      </c>
    </row>
    <row r="5892" spans="1:40" x14ac:dyDescent="0.25">
      <c r="A5892" t="str">
        <f>"20190312172234046"</f>
        <v>20190312172234046</v>
      </c>
      <c r="B5892" t="str">
        <f>"1552382554035996"</f>
        <v>1552382554035996</v>
      </c>
      <c r="C5892" t="s">
        <v>40</v>
      </c>
      <c r="D5892">
        <v>3.4412410000000002</v>
      </c>
      <c r="E5892">
        <v>0.49104170000000003</v>
      </c>
      <c r="F5892" t="s">
        <v>42</v>
      </c>
      <c r="G5892">
        <v>-418.31979999999999</v>
      </c>
      <c r="H5892" s="1">
        <v>-1.923564E-6</v>
      </c>
      <c r="I5892">
        <v>43.42192</v>
      </c>
      <c r="J5892">
        <v>-423.03109999999998</v>
      </c>
      <c r="K5892">
        <v>1.112527</v>
      </c>
      <c r="L5892">
        <v>68.107910000000004</v>
      </c>
      <c r="M5892">
        <v>3.8309129999999997E-2</v>
      </c>
      <c r="N5892">
        <v>0</v>
      </c>
      <c r="O5892">
        <v>-0.99916550000000004</v>
      </c>
      <c r="P5892">
        <v>0.1686463</v>
      </c>
      <c r="Q5892">
        <v>0.13155339999999999</v>
      </c>
      <c r="R5892">
        <v>-0.97685829999999996</v>
      </c>
      <c r="S5892">
        <v>0.56460569999999999</v>
      </c>
      <c r="T5892">
        <v>-0.1328877</v>
      </c>
      <c r="U5892">
        <v>-2.9935610000000001</v>
      </c>
      <c r="V5892">
        <v>-0.1318676</v>
      </c>
      <c r="W5892">
        <v>0.14476729999999999</v>
      </c>
      <c r="X5892">
        <v>0.98063929999999999</v>
      </c>
      <c r="Y5892">
        <v>-0.14737709999999901</v>
      </c>
      <c r="Z5892">
        <v>4.3672460000000003E-2</v>
      </c>
      <c r="AA5892">
        <v>0.98811570000000004</v>
      </c>
      <c r="AB5892">
        <v>38</v>
      </c>
      <c r="AC5892">
        <v>4.7112999999999898</v>
      </c>
      <c r="AD5892">
        <v>-1.1125289235639999</v>
      </c>
      <c r="AE5892">
        <v>-24.68599</v>
      </c>
      <c r="AF5892">
        <v>-3.7546892120420998</v>
      </c>
      <c r="AG5892">
        <v>-1.1125289235639999</v>
      </c>
      <c r="AH5892">
        <v>24.7997696623937</v>
      </c>
      <c r="AI5892">
        <v>92.539688611792002</v>
      </c>
      <c r="AJ5892">
        <v>98.609207668142801</v>
      </c>
      <c r="AK5892">
        <v>25.107050543474301</v>
      </c>
      <c r="AL5892">
        <v>81.676196017681505</v>
      </c>
      <c r="AM5892">
        <v>97.658681744062406</v>
      </c>
      <c r="AN5892">
        <v>1.00000003589176</v>
      </c>
    </row>
    <row r="5893" spans="1:40" x14ac:dyDescent="0.25">
      <c r="A5893" t="str">
        <f>"20190312172234226"</f>
        <v>20190312172234226</v>
      </c>
      <c r="B5893" t="str">
        <f>"1552382554216556"</f>
        <v>1552382554216556</v>
      </c>
      <c r="C5893" t="s">
        <v>40</v>
      </c>
      <c r="D5893">
        <v>3.4114460000000002</v>
      </c>
      <c r="E5893">
        <v>0.49118640000000002</v>
      </c>
      <c r="F5893" t="s">
        <v>42</v>
      </c>
      <c r="G5893">
        <v>-418.5745</v>
      </c>
      <c r="H5893" s="1">
        <v>-2.5905329999999999E-6</v>
      </c>
      <c r="I5893">
        <v>45.08193</v>
      </c>
      <c r="J5893">
        <v>-422.87549999999999</v>
      </c>
      <c r="K5893">
        <v>1.1124940000000001</v>
      </c>
      <c r="L5893">
        <v>65.054869999999994</v>
      </c>
      <c r="M5893">
        <v>5.5306550000000003E-2</v>
      </c>
      <c r="N5893">
        <v>0</v>
      </c>
      <c r="O5893">
        <v>-0.99836939999999996</v>
      </c>
      <c r="P5893">
        <v>0.19774510000000001</v>
      </c>
      <c r="Q5893">
        <v>0.122132199999999</v>
      </c>
      <c r="R5893">
        <v>-0.97261560000000002</v>
      </c>
      <c r="S5893">
        <v>0.57882690000000003</v>
      </c>
      <c r="T5893">
        <v>-0.1444947</v>
      </c>
      <c r="U5893">
        <v>-2.9906009999999998</v>
      </c>
      <c r="V5893">
        <v>-0.1443615</v>
      </c>
      <c r="W5893">
        <v>0.13526170000000001</v>
      </c>
      <c r="X5893">
        <v>0.98023669999999996</v>
      </c>
      <c r="Y5893">
        <v>-0.13521259999999999</v>
      </c>
      <c r="Z5893">
        <v>4.7488309999999999E-2</v>
      </c>
      <c r="AA5893">
        <v>0.9896779</v>
      </c>
      <c r="AB5893">
        <v>38</v>
      </c>
      <c r="AC5893">
        <v>4.3009999999999797</v>
      </c>
      <c r="AD5893">
        <v>-1.112496590533</v>
      </c>
      <c r="AE5893">
        <v>-19.972939999999902</v>
      </c>
      <c r="AF5893">
        <v>-3.1802414589885002</v>
      </c>
      <c r="AG5893">
        <v>-1.112496590533</v>
      </c>
      <c r="AH5893">
        <v>20.1206030170034</v>
      </c>
      <c r="AI5893">
        <v>93.1260135260749</v>
      </c>
      <c r="AJ5893">
        <v>98.981806444830099</v>
      </c>
      <c r="AK5893">
        <v>20.4007414122444</v>
      </c>
      <c r="AL5893">
        <v>82.226246837885995</v>
      </c>
      <c r="AM5893">
        <v>98.377845932477697</v>
      </c>
      <c r="AN5893">
        <v>0.99999997909801397</v>
      </c>
    </row>
    <row r="5894" spans="1:40" x14ac:dyDescent="0.25">
      <c r="A5894" t="str">
        <f>"20190312172234248"</f>
        <v>20190312172234248</v>
      </c>
      <c r="B5894" t="str">
        <f>"1552382554236077"</f>
        <v>1552382554236077</v>
      </c>
      <c r="C5894" t="s">
        <v>40</v>
      </c>
      <c r="D5894">
        <v>3.412048</v>
      </c>
      <c r="E5894">
        <v>0.49147239999999998</v>
      </c>
      <c r="F5894" t="s">
        <v>42</v>
      </c>
      <c r="G5894">
        <v>-418.61059999999998</v>
      </c>
      <c r="H5894" s="1">
        <v>-2.9876640000000001E-6</v>
      </c>
      <c r="I5894">
        <v>46.022590000000001</v>
      </c>
      <c r="J5894">
        <v>-422.85239999999999</v>
      </c>
      <c r="K5894">
        <v>1.1124959999999999</v>
      </c>
      <c r="L5894">
        <v>64.674619999999905</v>
      </c>
      <c r="M5894">
        <v>5.7410460000000003E-2</v>
      </c>
      <c r="N5894">
        <v>0</v>
      </c>
      <c r="O5894">
        <v>-0.99825019999999998</v>
      </c>
      <c r="P5894">
        <v>0.2001327</v>
      </c>
      <c r="Q5894">
        <v>0.1231686</v>
      </c>
      <c r="R5894">
        <v>-0.97199610000000003</v>
      </c>
      <c r="S5894">
        <v>0.66574100000000003</v>
      </c>
      <c r="T5894">
        <v>-0.17365939999999999</v>
      </c>
      <c r="U5894">
        <v>-2.970917</v>
      </c>
      <c r="V5894">
        <v>-0.1447148</v>
      </c>
      <c r="W5894">
        <v>0.13629260000000001</v>
      </c>
      <c r="X5894">
        <v>0.98004179999999996</v>
      </c>
      <c r="Y5894">
        <v>-0.161918799999999</v>
      </c>
      <c r="Z5894">
        <v>5.7118960000000003E-2</v>
      </c>
      <c r="AA5894">
        <v>0.98514959999999996</v>
      </c>
      <c r="AB5894">
        <v>38</v>
      </c>
      <c r="AC5894">
        <v>4.2418000000000102</v>
      </c>
      <c r="AD5894">
        <v>-1.1124989876639999</v>
      </c>
      <c r="AE5894">
        <v>-18.6520299999999</v>
      </c>
      <c r="AF5894">
        <v>-3.15320743246633</v>
      </c>
      <c r="AG5894">
        <v>-1.1124989876639999</v>
      </c>
      <c r="AH5894">
        <v>18.801211881684001</v>
      </c>
      <c r="AI5894">
        <v>93.339801259279895</v>
      </c>
      <c r="AJ5894">
        <v>99.520641853174197</v>
      </c>
      <c r="AK5894">
        <v>19.096228405883899</v>
      </c>
      <c r="AL5894">
        <v>82.166628583243806</v>
      </c>
      <c r="AM5894">
        <v>98.399703509296799</v>
      </c>
      <c r="AN5894">
        <v>0.99999998795051903</v>
      </c>
    </row>
    <row r="5895" spans="1:40" x14ac:dyDescent="0.25">
      <c r="A5895" t="str">
        <f>"20190312172234270"</f>
        <v>20190312172234270</v>
      </c>
      <c r="B5895" t="str">
        <f>"1552382554266332"</f>
        <v>1552382554266332</v>
      </c>
      <c r="C5895" t="s">
        <v>40</v>
      </c>
      <c r="D5895">
        <v>3.4368590000000001</v>
      </c>
      <c r="E5895">
        <v>0.49187809999999998</v>
      </c>
      <c r="F5895" t="s">
        <v>42</v>
      </c>
      <c r="G5895">
        <v>-418.47699999999998</v>
      </c>
      <c r="H5895" s="1">
        <v>-2.6990360000000001E-6</v>
      </c>
      <c r="I5895">
        <v>45.294539999999998</v>
      </c>
      <c r="J5895">
        <v>-422.82909999999998</v>
      </c>
      <c r="K5895">
        <v>1.1124969999999901</v>
      </c>
      <c r="L5895">
        <v>64.303469999999905</v>
      </c>
      <c r="M5895">
        <v>5.9462559999999998E-2</v>
      </c>
      <c r="N5895">
        <v>0</v>
      </c>
      <c r="O5895">
        <v>-0.99813030000000003</v>
      </c>
      <c r="P5895">
        <v>0.20242979999999999</v>
      </c>
      <c r="Q5895">
        <v>0.1240918</v>
      </c>
      <c r="R5895">
        <v>-0.97140309999999996</v>
      </c>
      <c r="S5895">
        <v>0.67053219999999902</v>
      </c>
      <c r="T5895">
        <v>-0.1704888</v>
      </c>
      <c r="U5895">
        <v>-2.9699710000000001</v>
      </c>
      <c r="V5895">
        <v>-0.1450275</v>
      </c>
      <c r="W5895">
        <v>0.13721129999999901</v>
      </c>
      <c r="X5895">
        <v>0.97986740000000006</v>
      </c>
      <c r="Y5895">
        <v>-0.16148289999999901</v>
      </c>
      <c r="Z5895">
        <v>5.6078929999999999E-2</v>
      </c>
      <c r="AA5895">
        <v>0.98528090000000002</v>
      </c>
      <c r="AB5895">
        <v>38</v>
      </c>
      <c r="AC5895">
        <v>4.3521000000000001</v>
      </c>
      <c r="AD5895">
        <v>-1.1124996990360001</v>
      </c>
      <c r="AE5895">
        <v>-19.0089299999999</v>
      </c>
      <c r="AF5895">
        <v>-3.2035386241349202</v>
      </c>
      <c r="AG5895">
        <v>-1.1124996990360001</v>
      </c>
      <c r="AH5895">
        <v>19.171704546827399</v>
      </c>
      <c r="AI5895">
        <v>93.275731416456694</v>
      </c>
      <c r="AJ5895">
        <v>99.486322959653407</v>
      </c>
      <c r="AK5895">
        <v>19.469323833341601</v>
      </c>
      <c r="AL5895">
        <v>82.113491991650903</v>
      </c>
      <c r="AM5895">
        <v>98.4190705559582</v>
      </c>
      <c r="AN5895">
        <v>1.00000001909334</v>
      </c>
    </row>
    <row r="5896" spans="1:40" x14ac:dyDescent="0.25">
      <c r="A5896" t="str">
        <f>"20190312172234284"</f>
        <v>20190312172234284</v>
      </c>
      <c r="B5896" t="str">
        <f>"1552382554276093"</f>
        <v>1552382554276093</v>
      </c>
      <c r="C5896" t="s">
        <v>40</v>
      </c>
      <c r="D5896">
        <v>3.448474</v>
      </c>
      <c r="E5896">
        <v>0.4920235</v>
      </c>
      <c r="F5896" t="s">
        <v>42</v>
      </c>
      <c r="G5896">
        <v>-418.32889999999998</v>
      </c>
      <c r="H5896" s="1">
        <v>-2.3882639999999999E-6</v>
      </c>
      <c r="I5896">
        <v>44.508890000000001</v>
      </c>
      <c r="J5896">
        <v>-422.81349999999998</v>
      </c>
      <c r="K5896">
        <v>1.1124959999999999</v>
      </c>
      <c r="L5896">
        <v>64.059719999999999</v>
      </c>
      <c r="M5896">
        <v>6.0810179999999998E-2</v>
      </c>
      <c r="N5896">
        <v>0</v>
      </c>
      <c r="O5896">
        <v>-0.99804919999999997</v>
      </c>
      <c r="P5896">
        <v>0.2037532</v>
      </c>
      <c r="Q5896">
        <v>0.1238504</v>
      </c>
      <c r="R5896">
        <v>-0.9711573</v>
      </c>
      <c r="S5896">
        <v>0.67498780000000003</v>
      </c>
      <c r="T5896">
        <v>-0.16686239999999999</v>
      </c>
      <c r="U5896">
        <v>-2.9689640000000002</v>
      </c>
      <c r="V5896">
        <v>-0.14503569999999999</v>
      </c>
      <c r="W5896">
        <v>0.13696989999999901</v>
      </c>
      <c r="X5896">
        <v>0.97989990000000005</v>
      </c>
      <c r="Y5896">
        <v>-0.16164329999999999</v>
      </c>
      <c r="Z5896">
        <v>5.4891450000000001E-2</v>
      </c>
      <c r="AA5896">
        <v>0.98532149999999996</v>
      </c>
      <c r="AB5896">
        <v>38</v>
      </c>
      <c r="AC5896">
        <v>4.4846000000000004</v>
      </c>
      <c r="AD5896">
        <v>-1.1124983882639901</v>
      </c>
      <c r="AE5896">
        <v>-19.550830000000001</v>
      </c>
      <c r="AF5896">
        <v>-3.2772095808296702</v>
      </c>
      <c r="AG5896">
        <v>-1.1124983882639901</v>
      </c>
      <c r="AH5896">
        <v>19.7266965708233</v>
      </c>
      <c r="AI5896">
        <v>93.184258255881005</v>
      </c>
      <c r="AJ5896">
        <v>99.432440018221499</v>
      </c>
      <c r="AK5896">
        <v>20.0279882389097</v>
      </c>
      <c r="AL5896">
        <v>82.127454563353695</v>
      </c>
      <c r="AM5896">
        <v>98.419264510123398</v>
      </c>
      <c r="AN5896">
        <v>0.999999960900254</v>
      </c>
    </row>
    <row r="5897" spans="1:40" x14ac:dyDescent="0.25">
      <c r="A5897" t="str">
        <f>"20190312172234296"</f>
        <v>20190312172234296</v>
      </c>
      <c r="B5897" t="str">
        <f>"1552382554286829"</f>
        <v>1552382554286829</v>
      </c>
      <c r="C5897" t="s">
        <v>40</v>
      </c>
      <c r="D5897">
        <v>3.4559709999999999</v>
      </c>
      <c r="E5897">
        <v>0.49217050000000001</v>
      </c>
      <c r="F5897" t="s">
        <v>42</v>
      </c>
      <c r="G5897">
        <v>-418.3202</v>
      </c>
      <c r="H5897" s="1">
        <v>-2.3298589999999998E-6</v>
      </c>
      <c r="I5897">
        <v>44.369160000000001</v>
      </c>
      <c r="J5897">
        <v>-422.7987</v>
      </c>
      <c r="K5897">
        <v>1.1124940000000001</v>
      </c>
      <c r="L5897">
        <v>63.83466</v>
      </c>
      <c r="M5897">
        <v>6.2054289999999998E-2</v>
      </c>
      <c r="N5897">
        <v>0</v>
      </c>
      <c r="O5897">
        <v>-0.99797259999999999</v>
      </c>
      <c r="P5897">
        <v>0.20500650000000001</v>
      </c>
      <c r="Q5897">
        <v>0.1235928</v>
      </c>
      <c r="R5897">
        <v>-0.97092619999999996</v>
      </c>
      <c r="S5897">
        <v>0.67736819999999998</v>
      </c>
      <c r="T5897">
        <v>-0.16771079999999999</v>
      </c>
      <c r="U5897">
        <v>-2.9683839999999999</v>
      </c>
      <c r="V5897">
        <v>-0.1450745</v>
      </c>
      <c r="W5897">
        <v>0.136712</v>
      </c>
      <c r="X5897">
        <v>0.97993019999999997</v>
      </c>
      <c r="Y5897">
        <v>-0.1612025</v>
      </c>
      <c r="Z5897">
        <v>5.5170990000000003E-2</v>
      </c>
      <c r="AA5897">
        <v>0.98537810000000003</v>
      </c>
      <c r="AB5897">
        <v>38</v>
      </c>
      <c r="AC5897">
        <v>4.4784999999999897</v>
      </c>
      <c r="AD5897">
        <v>-1.112496329859</v>
      </c>
      <c r="AE5897">
        <v>-19.465499999999999</v>
      </c>
      <c r="AF5897">
        <v>-3.2517411938662102</v>
      </c>
      <c r="AG5897">
        <v>-1.112496329859</v>
      </c>
      <c r="AH5897">
        <v>19.644974070975302</v>
      </c>
      <c r="AI5897">
        <v>93.197783084834299</v>
      </c>
      <c r="AJ5897">
        <v>99.398685154087303</v>
      </c>
      <c r="AK5897">
        <v>19.943331595426301</v>
      </c>
      <c r="AL5897">
        <v>82.142371692016297</v>
      </c>
      <c r="AM5897">
        <v>98.421227876369102</v>
      </c>
      <c r="AN5897">
        <v>0.99999998918314403</v>
      </c>
    </row>
    <row r="5898" spans="1:40" x14ac:dyDescent="0.25">
      <c r="A5898" t="str">
        <f>"20190312172234310"</f>
        <v>20190312172234310</v>
      </c>
      <c r="B5898" t="str">
        <f>"1552382554306349"</f>
        <v>1552382554306349</v>
      </c>
      <c r="C5898" t="s">
        <v>40</v>
      </c>
      <c r="D5898">
        <v>3.4690150000000002</v>
      </c>
      <c r="E5898">
        <v>0.49251600000000001</v>
      </c>
      <c r="F5898" t="s">
        <v>42</v>
      </c>
      <c r="G5898">
        <v>-418.3107</v>
      </c>
      <c r="H5898" s="1">
        <v>-2.2818400000000002E-6</v>
      </c>
      <c r="I5898">
        <v>44.253309999999999</v>
      </c>
      <c r="J5898">
        <v>-422.78460000000001</v>
      </c>
      <c r="K5898">
        <v>1.112493</v>
      </c>
      <c r="L5898">
        <v>63.624760000000002</v>
      </c>
      <c r="M5898">
        <v>6.3214969999999995E-2</v>
      </c>
      <c r="N5898">
        <v>0</v>
      </c>
      <c r="O5898">
        <v>-0.99789989999999995</v>
      </c>
      <c r="P5898">
        <v>0.2062138</v>
      </c>
      <c r="Q5898">
        <v>0.12340329999999999</v>
      </c>
      <c r="R5898">
        <v>-0.97069470000000002</v>
      </c>
      <c r="S5898">
        <v>0.6801758</v>
      </c>
      <c r="T5898">
        <v>-0.16860439999999999</v>
      </c>
      <c r="U5898">
        <v>-2.967651</v>
      </c>
      <c r="V5898">
        <v>-0.14515039999999901</v>
      </c>
      <c r="W5898">
        <v>0.1365217</v>
      </c>
      <c r="X5898">
        <v>0.97994550000000002</v>
      </c>
      <c r="Y5898">
        <v>-0.16098959999999901</v>
      </c>
      <c r="Z5898">
        <v>5.5466469999999997E-2</v>
      </c>
      <c r="AA5898">
        <v>0.9853963</v>
      </c>
      <c r="AB5898">
        <v>38</v>
      </c>
      <c r="AC5898">
        <v>4.4739000000000102</v>
      </c>
      <c r="AD5898">
        <v>-1.11249528184</v>
      </c>
      <c r="AE5898">
        <v>-19.371449999999999</v>
      </c>
      <c r="AF5898">
        <v>-3.2301481432237198</v>
      </c>
      <c r="AG5898">
        <v>-1.11249528184</v>
      </c>
      <c r="AH5898">
        <v>19.554316280422</v>
      </c>
      <c r="AI5898">
        <v>93.2127484757562</v>
      </c>
      <c r="AJ5898">
        <v>99.379898698220401</v>
      </c>
      <c r="AK5898">
        <v>19.850511025514301</v>
      </c>
      <c r="AL5898">
        <v>82.1533783473988</v>
      </c>
      <c r="AM5898">
        <v>98.425440802339594</v>
      </c>
      <c r="AN5898">
        <v>0.99999999808064899</v>
      </c>
    </row>
    <row r="5899" spans="1:40" x14ac:dyDescent="0.25">
      <c r="A5899" t="str">
        <f>"20190312172234322"</f>
        <v>20190312172234322</v>
      </c>
      <c r="B5899" t="str">
        <f>"1552382554316108"</f>
        <v>1552382554316108</v>
      </c>
      <c r="C5899" t="s">
        <v>40</v>
      </c>
      <c r="D5899">
        <v>3.4453450000000001</v>
      </c>
      <c r="E5899">
        <v>0.49268620000000002</v>
      </c>
      <c r="F5899" t="s">
        <v>42</v>
      </c>
      <c r="G5899">
        <v>-418.29899999999998</v>
      </c>
      <c r="H5899" s="1">
        <v>-2.210145E-6</v>
      </c>
      <c r="I5899">
        <v>44.08135</v>
      </c>
      <c r="J5899">
        <v>-422.76929999999999</v>
      </c>
      <c r="K5899">
        <v>1.11249</v>
      </c>
      <c r="L5899">
        <v>63.398530000000001</v>
      </c>
      <c r="M5899">
        <v>6.4465789999999995E-2</v>
      </c>
      <c r="N5899">
        <v>0</v>
      </c>
      <c r="O5899">
        <v>-0.99781980000000003</v>
      </c>
      <c r="P5899">
        <v>0.20750389999999999</v>
      </c>
      <c r="Q5899">
        <v>0.12311419999999999</v>
      </c>
      <c r="R5899">
        <v>-0.97045610000000004</v>
      </c>
      <c r="S5899">
        <v>0.68106080000000002</v>
      </c>
      <c r="T5899">
        <v>-0.16891429999999999</v>
      </c>
      <c r="U5899">
        <v>-2.967346</v>
      </c>
      <c r="V5899">
        <v>-0.14522070000000001</v>
      </c>
      <c r="W5899">
        <v>0.13623209999999999</v>
      </c>
      <c r="X5899">
        <v>0.97997540000000005</v>
      </c>
      <c r="Y5899">
        <v>-0.16005239999999901</v>
      </c>
      <c r="Z5899">
        <v>5.5569380000000002E-2</v>
      </c>
      <c r="AA5899">
        <v>0.98554310000000001</v>
      </c>
      <c r="AB5899">
        <v>38</v>
      </c>
      <c r="AC5899">
        <v>4.4702999999999502</v>
      </c>
      <c r="AD5899">
        <v>-1.1124922101450001</v>
      </c>
      <c r="AE5899">
        <v>-19.31718</v>
      </c>
      <c r="AF5899">
        <v>-3.2054866217728</v>
      </c>
      <c r="AG5899">
        <v>-1.1124922101450001</v>
      </c>
      <c r="AH5899">
        <v>19.5038007251786</v>
      </c>
      <c r="AI5899">
        <v>93.221474632143398</v>
      </c>
      <c r="AJ5899">
        <v>99.333231863728898</v>
      </c>
      <c r="AK5899">
        <v>19.7967428161169</v>
      </c>
      <c r="AL5899">
        <v>82.170127793332099</v>
      </c>
      <c r="AM5899">
        <v>98.429209344628305</v>
      </c>
      <c r="AN5899">
        <v>1.0000000106920299</v>
      </c>
    </row>
    <row r="5900" spans="1:40" x14ac:dyDescent="0.25">
      <c r="A5900" t="str">
        <f>"20190312172234336"</f>
        <v>20190312172234336</v>
      </c>
      <c r="B5900" t="str">
        <f>"1552382554326845"</f>
        <v>1552382554326845</v>
      </c>
      <c r="C5900" t="s">
        <v>40</v>
      </c>
      <c r="D5900">
        <v>3.4442840000000001</v>
      </c>
      <c r="E5900">
        <v>0.49282310000000001</v>
      </c>
      <c r="F5900" t="s">
        <v>42</v>
      </c>
      <c r="G5900">
        <v>-418.28730000000002</v>
      </c>
      <c r="H5900" s="1">
        <v>-2.154405E-6</v>
      </c>
      <c r="I5900">
        <v>43.946579999999997</v>
      </c>
      <c r="J5900">
        <v>-422.7534</v>
      </c>
      <c r="K5900">
        <v>1.112479</v>
      </c>
      <c r="L5900">
        <v>63.169490000000003</v>
      </c>
      <c r="M5900">
        <v>6.5732200000000005E-2</v>
      </c>
      <c r="N5900">
        <v>0</v>
      </c>
      <c r="O5900">
        <v>-0.99773719999999999</v>
      </c>
      <c r="P5900">
        <v>0.20946809999999999</v>
      </c>
      <c r="Q5900">
        <v>0.1221518</v>
      </c>
      <c r="R5900">
        <v>-0.97015600000000002</v>
      </c>
      <c r="S5900">
        <v>0.68356319999999904</v>
      </c>
      <c r="T5900">
        <v>-0.16967119999999999</v>
      </c>
      <c r="U5900">
        <v>-2.9667050000000001</v>
      </c>
      <c r="V5900">
        <v>-0.14594770000000001</v>
      </c>
      <c r="W5900">
        <v>0.135266</v>
      </c>
      <c r="X5900">
        <v>0.98000120000000002</v>
      </c>
      <c r="Y5900">
        <v>-0.15963239999999901</v>
      </c>
      <c r="Z5900">
        <v>5.5819100000000003E-2</v>
      </c>
      <c r="AA5900">
        <v>0.9855971</v>
      </c>
      <c r="AB5900">
        <v>38</v>
      </c>
      <c r="AC5900">
        <v>4.4660999999999804</v>
      </c>
      <c r="AD5900">
        <v>-1.112481154405</v>
      </c>
      <c r="AE5900">
        <v>-19.222909999999999</v>
      </c>
      <c r="AF5900">
        <v>-3.1826353289778</v>
      </c>
      <c r="AG5900">
        <v>-1.112481154405</v>
      </c>
      <c r="AH5900">
        <v>19.413234413186899</v>
      </c>
      <c r="AI5900">
        <v>93.236651277875595</v>
      </c>
      <c r="AJ5900">
        <v>99.310336472506805</v>
      </c>
      <c r="AK5900">
        <v>19.703818217226502</v>
      </c>
      <c r="AL5900">
        <v>82.225998242164195</v>
      </c>
      <c r="AM5900">
        <v>98.470576928648796</v>
      </c>
      <c r="AN5900">
        <v>0.99999998694636405</v>
      </c>
    </row>
    <row r="5901" spans="1:40" x14ac:dyDescent="0.25">
      <c r="A5901" t="str">
        <f>"20190312172234352"</f>
        <v>20190312172234352</v>
      </c>
      <c r="B5901" t="str">
        <f>"1552382554346365"</f>
        <v>1552382554346365</v>
      </c>
      <c r="C5901" t="s">
        <v>40</v>
      </c>
      <c r="D5901">
        <v>3.439724</v>
      </c>
      <c r="E5901">
        <v>0.49312450000000002</v>
      </c>
      <c r="F5901" t="s">
        <v>42</v>
      </c>
      <c r="G5901">
        <v>-418.31310000000002</v>
      </c>
      <c r="H5901" s="1">
        <v>-2.1866220000000001E-6</v>
      </c>
      <c r="I5901">
        <v>44.032350000000001</v>
      </c>
      <c r="J5901">
        <v>-422.73570000000001</v>
      </c>
      <c r="K5901">
        <v>1.1124750000000001</v>
      </c>
      <c r="L5901">
        <v>62.920439999999999</v>
      </c>
      <c r="M5901">
        <v>6.7110050000000004E-2</v>
      </c>
      <c r="N5901">
        <v>0</v>
      </c>
      <c r="O5901">
        <v>-0.99764540000000002</v>
      </c>
      <c r="P5901">
        <v>0.21133089999999999</v>
      </c>
      <c r="Q5901">
        <v>0.1222149</v>
      </c>
      <c r="R5901">
        <v>-0.96974360000000004</v>
      </c>
      <c r="S5901">
        <v>0.68804929999999997</v>
      </c>
      <c r="T5901">
        <v>-0.17238619999999999</v>
      </c>
      <c r="U5901">
        <v>-2.9654240000000001</v>
      </c>
      <c r="V5901">
        <v>-0.1464773</v>
      </c>
      <c r="W5901">
        <v>0.13532459999999999</v>
      </c>
      <c r="X5901">
        <v>0.97991410000000001</v>
      </c>
      <c r="Y5901">
        <v>-0.1597662</v>
      </c>
      <c r="Z5901">
        <v>5.6715229999999998E-2</v>
      </c>
      <c r="AA5901">
        <v>0.98552430000000002</v>
      </c>
      <c r="AB5901">
        <v>38</v>
      </c>
      <c r="AC5901">
        <v>4.4225999999999797</v>
      </c>
      <c r="AD5901">
        <v>-1.112477186622</v>
      </c>
      <c r="AE5901">
        <v>-18.888089999999998</v>
      </c>
      <c r="AF5901">
        <v>-3.1346113969686602</v>
      </c>
      <c r="AG5901">
        <v>-1.112477186622</v>
      </c>
      <c r="AH5901">
        <v>19.079583121071501</v>
      </c>
      <c r="AI5901">
        <v>93.292932780362506</v>
      </c>
      <c r="AJ5901">
        <v>99.329856774217404</v>
      </c>
      <c r="AK5901">
        <v>19.367340709933298</v>
      </c>
      <c r="AL5901">
        <v>82.222609615159797</v>
      </c>
      <c r="AM5901">
        <v>98.501610342578701</v>
      </c>
      <c r="AN5901">
        <v>0.99999999507963</v>
      </c>
    </row>
    <row r="5902" spans="1:40" x14ac:dyDescent="0.25">
      <c r="A5902" t="str">
        <f>"20190312172234364"</f>
        <v>20190312172234364</v>
      </c>
      <c r="B5902" t="str">
        <f>"1552382554356125"</f>
        <v>1552382554356125</v>
      </c>
      <c r="C5902" t="s">
        <v>40</v>
      </c>
      <c r="D5902">
        <v>3.4354379999999902</v>
      </c>
      <c r="E5902">
        <v>0.49328470000000002</v>
      </c>
      <c r="F5902" t="s">
        <v>42</v>
      </c>
      <c r="G5902">
        <v>-418.26299999999998</v>
      </c>
      <c r="H5902" s="1">
        <v>-2.071953E-6</v>
      </c>
      <c r="I5902">
        <v>43.744320000000002</v>
      </c>
      <c r="J5902">
        <v>-422.71960000000001</v>
      </c>
      <c r="K5902">
        <v>1.1124750000000001</v>
      </c>
      <c r="L5902">
        <v>62.695830000000001</v>
      </c>
      <c r="M5902">
        <v>6.835281E-2</v>
      </c>
      <c r="N5902">
        <v>0</v>
      </c>
      <c r="O5902">
        <v>-0.99756100000000003</v>
      </c>
      <c r="P5902">
        <v>0.21315509999999999</v>
      </c>
      <c r="Q5902">
        <v>0.12167989999999999</v>
      </c>
      <c r="R5902">
        <v>-0.96941149999999998</v>
      </c>
      <c r="S5902">
        <v>0.69146730000000001</v>
      </c>
      <c r="T5902">
        <v>-0.17198559999999999</v>
      </c>
      <c r="U5902">
        <v>-2.964569</v>
      </c>
      <c r="V5902">
        <v>-0.14709369999999999</v>
      </c>
      <c r="W5902">
        <v>0.13478499999999999</v>
      </c>
      <c r="X5902">
        <v>0.97989610000000005</v>
      </c>
      <c r="Y5902">
        <v>-0.15967870000000001</v>
      </c>
      <c r="Z5902">
        <v>5.658564E-2</v>
      </c>
      <c r="AA5902">
        <v>0.98554589999999997</v>
      </c>
      <c r="AB5902">
        <v>38</v>
      </c>
      <c r="AC5902">
        <v>4.4565999999999804</v>
      </c>
      <c r="AD5902">
        <v>-1.1124770719529999</v>
      </c>
      <c r="AE5902">
        <v>-18.951509999999999</v>
      </c>
      <c r="AF5902">
        <v>-3.1404021295878799</v>
      </c>
      <c r="AG5902">
        <v>-1.1124770719529999</v>
      </c>
      <c r="AH5902">
        <v>19.1493015435397</v>
      </c>
      <c r="AI5902">
        <v>93.281124595530699</v>
      </c>
      <c r="AJ5902">
        <v>99.313356130196397</v>
      </c>
      <c r="AK5902">
        <v>19.436961706412699</v>
      </c>
      <c r="AL5902">
        <v>82.253812018245</v>
      </c>
      <c r="AM5902">
        <v>98.537014929552299</v>
      </c>
      <c r="AN5902">
        <v>0.99999995979994905</v>
      </c>
    </row>
    <row r="5903" spans="1:40" x14ac:dyDescent="0.25">
      <c r="A5903" t="str">
        <f>"20190312172234376"</f>
        <v>20190312172234376</v>
      </c>
      <c r="B5903" t="str">
        <f>"1552382554366861"</f>
        <v>1552382554366861</v>
      </c>
      <c r="C5903" t="s">
        <v>40</v>
      </c>
      <c r="D5903">
        <v>3.427648</v>
      </c>
      <c r="E5903">
        <v>0.49342760000000002</v>
      </c>
      <c r="F5903" t="s">
        <v>42</v>
      </c>
      <c r="G5903">
        <v>-418.2636</v>
      </c>
      <c r="H5903" s="1">
        <v>-2.0599570000000001E-6</v>
      </c>
      <c r="I5903">
        <v>43.716610000000003</v>
      </c>
      <c r="J5903">
        <v>-422.70429999999999</v>
      </c>
      <c r="K5903">
        <v>1.1124719999999999</v>
      </c>
      <c r="L5903">
        <v>62.487949999999998</v>
      </c>
      <c r="M5903">
        <v>6.9503399999999896E-2</v>
      </c>
      <c r="N5903">
        <v>0</v>
      </c>
      <c r="O5903">
        <v>-0.99748159999999997</v>
      </c>
      <c r="P5903">
        <v>0.21521960000000001</v>
      </c>
      <c r="Q5903">
        <v>0.12183579999999999</v>
      </c>
      <c r="R5903">
        <v>-0.96893580000000001</v>
      </c>
      <c r="S5903">
        <v>0.69577029999999995</v>
      </c>
      <c r="T5903">
        <v>-0.17370550000000001</v>
      </c>
      <c r="U5903">
        <v>-2.96347</v>
      </c>
      <c r="V5903">
        <v>-0.14805360000000001</v>
      </c>
      <c r="W5903">
        <v>0.13493339999999901</v>
      </c>
      <c r="X5903">
        <v>0.97973109999999997</v>
      </c>
      <c r="Y5903">
        <v>-0.15997020000000001</v>
      </c>
      <c r="Z5903">
        <v>5.7152700000000001E-2</v>
      </c>
      <c r="AA5903">
        <v>0.98546590000000001</v>
      </c>
      <c r="AB5903">
        <v>38</v>
      </c>
      <c r="AC5903">
        <v>4.4406999999999899</v>
      </c>
      <c r="AD5903">
        <v>-1.112474059957</v>
      </c>
      <c r="AE5903">
        <v>-18.771339999999999</v>
      </c>
      <c r="AF5903">
        <v>-3.1147964708152598</v>
      </c>
      <c r="AG5903">
        <v>-1.112474059957</v>
      </c>
      <c r="AH5903">
        <v>18.971509230519001</v>
      </c>
      <c r="AI5903">
        <v>93.311697879251497</v>
      </c>
      <c r="AJ5903">
        <v>99.323800796563503</v>
      </c>
      <c r="AK5903">
        <v>19.257666475259899</v>
      </c>
      <c r="AL5903">
        <v>82.245230932548495</v>
      </c>
      <c r="AM5903">
        <v>98.593322137739094</v>
      </c>
      <c r="AN5903">
        <v>0.99999995960786403</v>
      </c>
    </row>
    <row r="5904" spans="1:40" x14ac:dyDescent="0.25">
      <c r="A5904" t="str">
        <f>"20190312172234390"</f>
        <v>20190312172234390</v>
      </c>
      <c r="B5904" t="str">
        <f>"1552382554386380"</f>
        <v>1552382554386380</v>
      </c>
      <c r="C5904" t="s">
        <v>40</v>
      </c>
      <c r="D5904">
        <v>3.4566479999999999</v>
      </c>
      <c r="E5904">
        <v>0.50380379999999902</v>
      </c>
      <c r="F5904" t="s">
        <v>42</v>
      </c>
      <c r="G5904">
        <v>-418.19799999999998</v>
      </c>
      <c r="H5904" s="1">
        <v>-1.958111E-6</v>
      </c>
      <c r="I5904">
        <v>43.452089999999998</v>
      </c>
      <c r="J5904">
        <v>-422.68880000000001</v>
      </c>
      <c r="K5904">
        <v>1.112471</v>
      </c>
      <c r="L5904">
        <v>62.278469999999999</v>
      </c>
      <c r="M5904">
        <v>7.0662959999999997E-2</v>
      </c>
      <c r="N5904">
        <v>0</v>
      </c>
      <c r="O5904">
        <v>-0.99740030000000002</v>
      </c>
      <c r="P5904">
        <v>0.21716350000000001</v>
      </c>
      <c r="Q5904">
        <v>0.1217522</v>
      </c>
      <c r="R5904">
        <v>-0.96851299999999996</v>
      </c>
      <c r="S5904">
        <v>0.70123290000000005</v>
      </c>
      <c r="T5904">
        <v>-0.17311319999999999</v>
      </c>
      <c r="U5904">
        <v>-2.962189</v>
      </c>
      <c r="V5904">
        <v>-0.1488805</v>
      </c>
      <c r="W5904">
        <v>0.13484360000000001</v>
      </c>
      <c r="X5904">
        <v>0.97961819999999999</v>
      </c>
      <c r="Y5904">
        <v>-0.1606417</v>
      </c>
      <c r="Z5904">
        <v>5.6960400000000001E-2</v>
      </c>
      <c r="AA5904">
        <v>0.98536780000000002</v>
      </c>
      <c r="AB5904">
        <v>38</v>
      </c>
      <c r="AC5904">
        <v>4.4907999999999699</v>
      </c>
      <c r="AD5904">
        <v>-1.112472958111</v>
      </c>
      <c r="AE5904">
        <v>-18.82638</v>
      </c>
      <c r="AF5904">
        <v>-3.13874177623009</v>
      </c>
      <c r="AG5904">
        <v>-1.112472958111</v>
      </c>
      <c r="AH5904">
        <v>19.033790712079501</v>
      </c>
      <c r="AI5904">
        <v>93.300501920468804</v>
      </c>
      <c r="AJ5904">
        <v>99.364011504381395</v>
      </c>
      <c r="AK5904">
        <v>19.322900529983201</v>
      </c>
      <c r="AL5904">
        <v>82.250423933437304</v>
      </c>
      <c r="AM5904">
        <v>98.641575404617797</v>
      </c>
      <c r="AN5904">
        <v>1.00000000875622</v>
      </c>
    </row>
    <row r="5905" spans="1:40" x14ac:dyDescent="0.25">
      <c r="A5905" t="str">
        <f>"20190312172234402"</f>
        <v>20190312172234402</v>
      </c>
      <c r="B5905" t="str">
        <f>"1552382554396140"</f>
        <v>1552382554396140</v>
      </c>
      <c r="C5905" t="s">
        <v>40</v>
      </c>
      <c r="D5905">
        <v>3.4689169999999998</v>
      </c>
      <c r="E5905">
        <v>0.5036389</v>
      </c>
      <c r="F5905" t="s">
        <v>42</v>
      </c>
      <c r="G5905">
        <v>-417.97059999999999</v>
      </c>
      <c r="H5905" s="1">
        <v>-6.0579869999999898E-7</v>
      </c>
      <c r="I5905">
        <v>39.841459999999998</v>
      </c>
      <c r="J5905">
        <v>-422.67169999999999</v>
      </c>
      <c r="K5905">
        <v>1.1124609999999999</v>
      </c>
      <c r="L5905">
        <v>62.052399999999999</v>
      </c>
      <c r="M5905">
        <v>7.1914809999999996E-2</v>
      </c>
      <c r="N5905">
        <v>0</v>
      </c>
      <c r="O5905">
        <v>-0.99731049999999999</v>
      </c>
      <c r="P5905">
        <v>0.2191707</v>
      </c>
      <c r="Q5905">
        <v>0.1217439</v>
      </c>
      <c r="R5905">
        <v>-0.96806119999999996</v>
      </c>
      <c r="S5905">
        <v>0.62576290000000001</v>
      </c>
      <c r="T5905">
        <v>-0.1475446</v>
      </c>
      <c r="U5905">
        <v>-2.9757690000000001</v>
      </c>
      <c r="V5905">
        <v>-0.14968229999999999</v>
      </c>
      <c r="W5905">
        <v>0.134829</v>
      </c>
      <c r="X5905">
        <v>0.97949799999999998</v>
      </c>
      <c r="Y5905">
        <v>-0.13462669999999999</v>
      </c>
      <c r="Z5905">
        <v>4.8574270000000003E-2</v>
      </c>
      <c r="AA5905">
        <v>0.9897051</v>
      </c>
      <c r="AB5905">
        <v>38</v>
      </c>
      <c r="AC5905">
        <v>4.7010999999999896</v>
      </c>
      <c r="AD5905">
        <v>-1.1124616057987</v>
      </c>
      <c r="AE5905">
        <v>-22.210940000000001</v>
      </c>
      <c r="AF5905">
        <v>-3.0840650305013901</v>
      </c>
      <c r="AG5905">
        <v>-1.1124616057987</v>
      </c>
      <c r="AH5905">
        <v>22.437657723923198</v>
      </c>
      <c r="AI5905">
        <v>92.812011173808003</v>
      </c>
      <c r="AJ5905">
        <v>97.826287356099499</v>
      </c>
      <c r="AK5905">
        <v>22.675923621159701</v>
      </c>
      <c r="AL5905">
        <v>82.251268023656493</v>
      </c>
      <c r="AM5905">
        <v>98.688456500958793</v>
      </c>
      <c r="AN5905">
        <v>0.99999999108914495</v>
      </c>
    </row>
    <row r="5906" spans="1:40" x14ac:dyDescent="0.25">
      <c r="A5906" t="str">
        <f>"20190312172234414"</f>
        <v>20190312172234414</v>
      </c>
      <c r="B5906" t="str">
        <f>"1552382554406877"</f>
        <v>1552382554406877</v>
      </c>
      <c r="C5906" t="s">
        <v>40</v>
      </c>
      <c r="D5906">
        <v>3.4510019999999901</v>
      </c>
      <c r="E5906">
        <v>0.50285309999999905</v>
      </c>
      <c r="F5906" t="s">
        <v>42</v>
      </c>
      <c r="G5906">
        <v>-418.08</v>
      </c>
      <c r="H5906" s="1">
        <v>-7.9580439999999899E-7</v>
      </c>
      <c r="I5906">
        <v>40.485340000000001</v>
      </c>
      <c r="J5906">
        <v>-422.65570000000002</v>
      </c>
      <c r="K5906">
        <v>1.1124579999999999</v>
      </c>
      <c r="L5906">
        <v>61.844760000000001</v>
      </c>
      <c r="M5906">
        <v>7.3064599999999993E-2</v>
      </c>
      <c r="N5906">
        <v>0</v>
      </c>
      <c r="O5906">
        <v>-0.99722699999999997</v>
      </c>
      <c r="P5906">
        <v>0.2227595</v>
      </c>
      <c r="Q5906">
        <v>0.12136130000000001</v>
      </c>
      <c r="R5906">
        <v>-0.96728959999999997</v>
      </c>
      <c r="S5906">
        <v>0.63336179999999997</v>
      </c>
      <c r="T5906">
        <v>-0.15344749999999999</v>
      </c>
      <c r="U5906">
        <v>-2.9748540000000001</v>
      </c>
      <c r="V5906">
        <v>-0.1521834</v>
      </c>
      <c r="W5906">
        <v>0.13442779999999999</v>
      </c>
      <c r="X5906">
        <v>0.97916769999999997</v>
      </c>
      <c r="Y5906">
        <v>-0.13594519999999999</v>
      </c>
      <c r="Z5906">
        <v>5.0503760000000002E-2</v>
      </c>
      <c r="AA5906">
        <v>0.98942819999999998</v>
      </c>
      <c r="AB5906">
        <v>38</v>
      </c>
      <c r="AC5906">
        <v>4.5757000000000403</v>
      </c>
      <c r="AD5906">
        <v>-1.1124587958044001</v>
      </c>
      <c r="AE5906">
        <v>-21.35942</v>
      </c>
      <c r="AF5906">
        <v>-2.9949265752243299</v>
      </c>
      <c r="AG5906">
        <v>-1.1124587958044001</v>
      </c>
      <c r="AH5906">
        <v>21.580702836629399</v>
      </c>
      <c r="AI5906">
        <v>92.922951762981299</v>
      </c>
      <c r="AJ5906">
        <v>97.900928854293397</v>
      </c>
      <c r="AK5906">
        <v>21.815908981434902</v>
      </c>
      <c r="AL5906">
        <v>82.274466374230499</v>
      </c>
      <c r="AM5906">
        <v>98.834297190605795</v>
      </c>
      <c r="AN5906">
        <v>1.00000000268584</v>
      </c>
    </row>
    <row r="5907" spans="1:40" x14ac:dyDescent="0.25">
      <c r="A5907" t="str">
        <f>"20190312172234438"</f>
        <v>20190312172234438</v>
      </c>
      <c r="B5907" t="str">
        <f>"1552382554426397"</f>
        <v>1552382554426397</v>
      </c>
      <c r="C5907" t="s">
        <v>40</v>
      </c>
      <c r="D5907">
        <v>3.427762</v>
      </c>
      <c r="E5907">
        <v>0.47748800000000002</v>
      </c>
      <c r="F5907" t="s">
        <v>42</v>
      </c>
      <c r="G5907">
        <v>-418.00470000000001</v>
      </c>
      <c r="H5907" s="1">
        <v>-8.6248180000000005E-7</v>
      </c>
      <c r="I5907">
        <v>40.622430000000001</v>
      </c>
      <c r="J5907">
        <v>-422.62599999999998</v>
      </c>
      <c r="K5907">
        <v>1.1124529999999999</v>
      </c>
      <c r="L5907">
        <v>61.46631</v>
      </c>
      <c r="M5907">
        <v>7.5160589999999999E-2</v>
      </c>
      <c r="N5907">
        <v>0</v>
      </c>
      <c r="O5907">
        <v>-0.99707129999999999</v>
      </c>
      <c r="P5907">
        <v>0.2278413</v>
      </c>
      <c r="Q5907">
        <v>0.12056310000000001</v>
      </c>
      <c r="R5907">
        <v>-0.96620539999999999</v>
      </c>
      <c r="S5907">
        <v>0.65112300000000001</v>
      </c>
      <c r="T5907">
        <v>-0.15573970000000001</v>
      </c>
      <c r="U5907">
        <v>-2.9710390000000002</v>
      </c>
      <c r="V5907">
        <v>-0.15526470000000001</v>
      </c>
      <c r="W5907">
        <v>0.13360749999999999</v>
      </c>
      <c r="X5907">
        <v>0.97879609999999995</v>
      </c>
      <c r="Y5907">
        <v>-0.1397631</v>
      </c>
      <c r="Z5907">
        <v>5.126269E-2</v>
      </c>
      <c r="AA5907">
        <v>0.98885719999999999</v>
      </c>
      <c r="AB5907">
        <v>38</v>
      </c>
      <c r="AC5907">
        <v>4.6212999999999598</v>
      </c>
      <c r="AD5907">
        <v>-1.1124538624817999</v>
      </c>
      <c r="AE5907">
        <v>-20.843879999999999</v>
      </c>
      <c r="AF5907">
        <v>-3.03319592035986</v>
      </c>
      <c r="AG5907">
        <v>-1.1124538624817999</v>
      </c>
      <c r="AH5907">
        <v>21.075065976301001</v>
      </c>
      <c r="AI5907">
        <v>92.990810984704197</v>
      </c>
      <c r="AJ5907">
        <v>98.189965640422201</v>
      </c>
      <c r="AK5907">
        <v>21.3212625562577</v>
      </c>
      <c r="AL5907">
        <v>82.321893529728399</v>
      </c>
      <c r="AM5907">
        <v>99.013626188672902</v>
      </c>
      <c r="AN5907">
        <v>0.99999994824877303</v>
      </c>
    </row>
    <row r="5908" spans="1:40" x14ac:dyDescent="0.25">
      <c r="A5908" t="str">
        <f>"20190312172234459"</f>
        <v>20190312172234459</v>
      </c>
      <c r="B5908" t="str">
        <f>"1552382554456653"</f>
        <v>1552382554456653</v>
      </c>
      <c r="C5908" t="s">
        <v>40</v>
      </c>
      <c r="D5908">
        <v>3.290375</v>
      </c>
      <c r="E5908">
        <v>0.4674063</v>
      </c>
      <c r="F5908" t="s">
        <v>64</v>
      </c>
      <c r="G5908">
        <v>-415.8014</v>
      </c>
      <c r="H5908" s="1">
        <v>-1.882616E-6</v>
      </c>
      <c r="I5908">
        <v>38.39188</v>
      </c>
      <c r="J5908">
        <v>-422.59649999999999</v>
      </c>
      <c r="K5908">
        <v>1.1124400000000001</v>
      </c>
      <c r="L5908">
        <v>61.100369999999998</v>
      </c>
      <c r="M5908">
        <v>7.7187549999999994E-2</v>
      </c>
      <c r="N5908">
        <v>0</v>
      </c>
      <c r="O5908">
        <v>-0.99691649999999998</v>
      </c>
      <c r="P5908">
        <v>0.23360110000000001</v>
      </c>
      <c r="Q5908">
        <v>0.1192637</v>
      </c>
      <c r="R5908">
        <v>-0.96499080000000004</v>
      </c>
      <c r="S5908">
        <v>0.86331179999999996</v>
      </c>
      <c r="T5908">
        <v>-0.1407255</v>
      </c>
      <c r="U5908">
        <v>-2.9189150000000001</v>
      </c>
      <c r="V5908">
        <v>-0.1590992</v>
      </c>
      <c r="W5908">
        <v>0.13228090000000001</v>
      </c>
      <c r="X5908">
        <v>0.97836049999999997</v>
      </c>
      <c r="Y5908">
        <v>-0.20844219999999999</v>
      </c>
      <c r="Z5908">
        <v>4.6420759999999998E-2</v>
      </c>
      <c r="AA5908">
        <v>0.97693240000000003</v>
      </c>
      <c r="AB5908">
        <v>38</v>
      </c>
      <c r="AC5908">
        <v>6.7950999999999899</v>
      </c>
      <c r="AD5908">
        <v>-1.1124418826160001</v>
      </c>
      <c r="AE5908">
        <v>-22.708490000000001</v>
      </c>
      <c r="AF5908">
        <v>-5.0107989682820904</v>
      </c>
      <c r="AG5908">
        <v>-1.1124418826160001</v>
      </c>
      <c r="AH5908">
        <v>23.114365560770501</v>
      </c>
      <c r="AI5908">
        <v>92.692934320413798</v>
      </c>
      <c r="AJ5908">
        <v>102.231483041891</v>
      </c>
      <c r="AK5908">
        <v>23.6774054431576</v>
      </c>
      <c r="AL5908">
        <v>82.398583476483097</v>
      </c>
      <c r="AM5908">
        <v>99.236482910958699</v>
      </c>
      <c r="AN5908">
        <v>1.00000002995284</v>
      </c>
    </row>
    <row r="5909" spans="1:40" x14ac:dyDescent="0.25">
      <c r="A5909" t="str">
        <f>"20190312172234474"</f>
        <v>20190312172234474</v>
      </c>
      <c r="B5909" t="str">
        <f>"1552382554466413"</f>
        <v>1552382554466413</v>
      </c>
      <c r="C5909" t="s">
        <v>40</v>
      </c>
      <c r="D5909">
        <v>3.3891960000000001</v>
      </c>
      <c r="E5909">
        <v>0.46610869999999999</v>
      </c>
      <c r="F5909" t="s">
        <v>64</v>
      </c>
      <c r="G5909">
        <v>-413.21120000000002</v>
      </c>
      <c r="H5909" s="1">
        <v>-5.5742470000000002E-6</v>
      </c>
      <c r="I5909">
        <v>32.796939999999999</v>
      </c>
      <c r="J5909">
        <v>-422.57580000000002</v>
      </c>
      <c r="K5909">
        <v>1.1124400000000001</v>
      </c>
      <c r="L5909">
        <v>60.849879999999999</v>
      </c>
      <c r="M5909">
        <v>7.857604E-2</v>
      </c>
      <c r="N5909">
        <v>0</v>
      </c>
      <c r="O5909">
        <v>-0.99680789999999997</v>
      </c>
      <c r="P5909">
        <v>0.23720150000000001</v>
      </c>
      <c r="Q5909">
        <v>0.1191348</v>
      </c>
      <c r="R5909">
        <v>-0.96412770000000003</v>
      </c>
      <c r="S5909">
        <v>0.95858759999999998</v>
      </c>
      <c r="T5909">
        <v>-0.1136223</v>
      </c>
      <c r="U5909">
        <v>-2.8908390000000002</v>
      </c>
      <c r="V5909">
        <v>-0.1613897</v>
      </c>
      <c r="W5909">
        <v>0.13213440000000001</v>
      </c>
      <c r="X5909">
        <v>0.97800509999999996</v>
      </c>
      <c r="Y5909">
        <v>-0.23895749999999999</v>
      </c>
      <c r="Z5909">
        <v>3.7520890000000001E-2</v>
      </c>
      <c r="AA5909">
        <v>0.97030479999999997</v>
      </c>
      <c r="AB5909">
        <v>38</v>
      </c>
      <c r="AC5909">
        <v>9.3645999999999905</v>
      </c>
      <c r="AD5909">
        <v>-1.1124455742470001</v>
      </c>
      <c r="AE5909">
        <v>-28.05294</v>
      </c>
      <c r="AF5909">
        <v>-7.12105544741486</v>
      </c>
      <c r="AG5909">
        <v>-1.1124455742470001</v>
      </c>
      <c r="AH5909">
        <v>28.661540743149398</v>
      </c>
      <c r="AI5909">
        <v>92.157196676419105</v>
      </c>
      <c r="AJ5909">
        <v>103.95280869284301</v>
      </c>
      <c r="AK5909">
        <v>29.553864106272702</v>
      </c>
      <c r="AL5909">
        <v>82.407051834548398</v>
      </c>
      <c r="AM5909">
        <v>99.370460624517605</v>
      </c>
      <c r="AN5909">
        <v>1.00000005527772</v>
      </c>
    </row>
    <row r="5910" spans="1:40" x14ac:dyDescent="0.25">
      <c r="A5910" t="str">
        <f>"20190312172234487"</f>
        <v>20190312172234487</v>
      </c>
      <c r="B5910" t="str">
        <f>"1552382554476173"</f>
        <v>1552382554476173</v>
      </c>
      <c r="C5910" t="s">
        <v>40</v>
      </c>
      <c r="D5910">
        <v>3.4221059999999999</v>
      </c>
      <c r="E5910">
        <v>0.46529619999999999</v>
      </c>
      <c r="F5910" t="s">
        <v>64</v>
      </c>
      <c r="G5910">
        <v>-412.9348</v>
      </c>
      <c r="H5910" s="1">
        <v>-5.7423879999999999E-6</v>
      </c>
      <c r="I5910">
        <v>32.466749999999998</v>
      </c>
      <c r="J5910">
        <v>-422.55759999999998</v>
      </c>
      <c r="K5910">
        <v>1.112436</v>
      </c>
      <c r="L5910">
        <v>60.6327199999999</v>
      </c>
      <c r="M5910">
        <v>7.9779539999999996E-2</v>
      </c>
      <c r="N5910">
        <v>0</v>
      </c>
      <c r="O5910">
        <v>-0.99671240000000005</v>
      </c>
      <c r="P5910">
        <v>0.24025170000000001</v>
      </c>
      <c r="Q5910">
        <v>0.11930159999999999</v>
      </c>
      <c r="R5910">
        <v>-0.96335170000000003</v>
      </c>
      <c r="S5910">
        <v>0.97979740000000004</v>
      </c>
      <c r="T5910">
        <v>-0.11305560000000001</v>
      </c>
      <c r="U5910">
        <v>-2.8845209999999999</v>
      </c>
      <c r="V5910">
        <v>-0.16330890000000001</v>
      </c>
      <c r="W5910">
        <v>0.13228609999999999</v>
      </c>
      <c r="X5910">
        <v>0.97766589999999998</v>
      </c>
      <c r="Y5910">
        <v>-0.2448285</v>
      </c>
      <c r="Z5910">
        <v>3.733566E-2</v>
      </c>
      <c r="AA5910">
        <v>0.96884729999999997</v>
      </c>
      <c r="AB5910">
        <v>38</v>
      </c>
      <c r="AC5910">
        <v>9.6227999999999803</v>
      </c>
      <c r="AD5910">
        <v>-1.112441742388</v>
      </c>
      <c r="AE5910">
        <v>-28.165969999999898</v>
      </c>
      <c r="AF5910">
        <v>-7.3345835105775103</v>
      </c>
      <c r="AG5910">
        <v>-1.112441742388</v>
      </c>
      <c r="AH5910">
        <v>28.8037177069852</v>
      </c>
      <c r="AI5910">
        <v>92.143414643910802</v>
      </c>
      <c r="AJ5910">
        <v>104.2861920746</v>
      </c>
      <c r="AK5910">
        <v>29.7437017811761</v>
      </c>
      <c r="AL5910">
        <v>82.398282748537497</v>
      </c>
      <c r="AM5910">
        <v>99.483109765917703</v>
      </c>
      <c r="AN5910">
        <v>1.0000000105476099</v>
      </c>
    </row>
    <row r="5911" spans="1:40" x14ac:dyDescent="0.25">
      <c r="A5911" t="str">
        <f>"20190312172234504"</f>
        <v>20190312172234504</v>
      </c>
      <c r="B5911" t="str">
        <f>"1552382554496672"</f>
        <v>1552382554496672</v>
      </c>
      <c r="C5911" t="s">
        <v>40</v>
      </c>
      <c r="D5911">
        <v>3.3939509999999999</v>
      </c>
      <c r="E5911">
        <v>0.46410479999999998</v>
      </c>
      <c r="F5911" t="s">
        <v>64</v>
      </c>
      <c r="G5911">
        <v>-413.0018</v>
      </c>
      <c r="H5911" s="1">
        <v>-5.5392640000000003E-6</v>
      </c>
      <c r="I5911">
        <v>32.975810000000003</v>
      </c>
      <c r="J5911">
        <v>-422.53269999999998</v>
      </c>
      <c r="K5911">
        <v>1.1124419999999999</v>
      </c>
      <c r="L5911">
        <v>60.338900000000002</v>
      </c>
      <c r="M5911">
        <v>8.1407939999999998E-2</v>
      </c>
      <c r="N5911">
        <v>0</v>
      </c>
      <c r="O5911">
        <v>-0.99658060000000004</v>
      </c>
      <c r="P5911">
        <v>0.24584300000000001</v>
      </c>
      <c r="Q5911">
        <v>0.11898450000000001</v>
      </c>
      <c r="R5911">
        <v>-0.96197929999999998</v>
      </c>
      <c r="S5911">
        <v>0.99517820000000001</v>
      </c>
      <c r="T5911">
        <v>-0.11585330000000001</v>
      </c>
      <c r="U5911">
        <v>-2.88028</v>
      </c>
      <c r="V5911">
        <v>-0.16739019999999999</v>
      </c>
      <c r="W5911">
        <v>0.13193779999999999</v>
      </c>
      <c r="X5911">
        <v>0.97702250000000002</v>
      </c>
      <c r="Y5911">
        <v>-0.2482955</v>
      </c>
      <c r="Z5911">
        <v>3.8254389999999999E-2</v>
      </c>
      <c r="AA5911">
        <v>0.96792869999999998</v>
      </c>
      <c r="AB5911">
        <v>38</v>
      </c>
      <c r="AC5911">
        <v>9.5308999999999706</v>
      </c>
      <c r="AD5911">
        <v>-1.1124475392640001</v>
      </c>
      <c r="AE5911">
        <v>-27.36309</v>
      </c>
      <c r="AF5911">
        <v>-7.2607615152828897</v>
      </c>
      <c r="AG5911">
        <v>-1.1124475392640001</v>
      </c>
      <c r="AH5911">
        <v>28.006936176606501</v>
      </c>
      <c r="AI5911">
        <v>92.201900928812705</v>
      </c>
      <c r="AJ5911">
        <v>104.53388764651601</v>
      </c>
      <c r="AK5911">
        <v>28.954182276657999</v>
      </c>
      <c r="AL5911">
        <v>82.418415359460496</v>
      </c>
      <c r="AM5911">
        <v>99.721917358449801</v>
      </c>
      <c r="AN5911">
        <v>1.00000001381556</v>
      </c>
    </row>
    <row r="5912" spans="1:40" x14ac:dyDescent="0.25">
      <c r="A5912" t="str">
        <f>"20190312172234518"</f>
        <v>20190312172234518</v>
      </c>
      <c r="B5912" t="str">
        <f>"1552382554516753"</f>
        <v>1552382554516753</v>
      </c>
      <c r="C5912" t="s">
        <v>40</v>
      </c>
      <c r="D5912">
        <v>3.366924</v>
      </c>
      <c r="E5912">
        <v>0.46354990000000001</v>
      </c>
      <c r="F5912" t="s">
        <v>64</v>
      </c>
      <c r="G5912">
        <v>-413.14449999999999</v>
      </c>
      <c r="H5912" s="1">
        <v>-5.0342820000000002E-6</v>
      </c>
      <c r="I5912">
        <v>33.935250000000003</v>
      </c>
      <c r="J5912">
        <v>-422.51170000000002</v>
      </c>
      <c r="K5912">
        <v>1.1124419999999999</v>
      </c>
      <c r="L5912">
        <v>60.09686</v>
      </c>
      <c r="M5912">
        <v>8.274956E-2</v>
      </c>
      <c r="N5912">
        <v>0</v>
      </c>
      <c r="O5912">
        <v>-0.99647050000000004</v>
      </c>
      <c r="P5912">
        <v>0.2490357</v>
      </c>
      <c r="Q5912">
        <v>0.11875719999999999</v>
      </c>
      <c r="R5912">
        <v>-0.96118599999999998</v>
      </c>
      <c r="S5912">
        <v>1.0213620000000001</v>
      </c>
      <c r="T5912">
        <v>-0.1210263</v>
      </c>
      <c r="U5912">
        <v>-2.872528</v>
      </c>
      <c r="V5912">
        <v>-0.1693181</v>
      </c>
      <c r="W5912">
        <v>0.1316957</v>
      </c>
      <c r="X5912">
        <v>0.97672289999999995</v>
      </c>
      <c r="Y5912">
        <v>-0.25562309999999999</v>
      </c>
      <c r="Z5912">
        <v>3.9957270000000003E-2</v>
      </c>
      <c r="AA5912">
        <v>0.96595039999999999</v>
      </c>
      <c r="AB5912">
        <v>38</v>
      </c>
      <c r="AC5912">
        <v>9.36720000000002</v>
      </c>
      <c r="AD5912">
        <v>-1.1124470342820001</v>
      </c>
      <c r="AE5912">
        <v>-26.16161</v>
      </c>
      <c r="AF5912">
        <v>-7.1585176689086998</v>
      </c>
      <c r="AG5912">
        <v>-1.1124470342820001</v>
      </c>
      <c r="AH5912">
        <v>26.804118321730598</v>
      </c>
      <c r="AI5912">
        <v>92.296186668462497</v>
      </c>
      <c r="AJ5912">
        <v>104.952873934735</v>
      </c>
      <c r="AK5912">
        <v>27.7658544371589</v>
      </c>
      <c r="AL5912">
        <v>82.432408666587804</v>
      </c>
      <c r="AM5912">
        <v>99.834672439296199</v>
      </c>
      <c r="AN5912">
        <v>0.99999999988525501</v>
      </c>
    </row>
    <row r="5913" spans="1:40" x14ac:dyDescent="0.25">
      <c r="A5913" t="str">
        <f>"20190312172234532"</f>
        <v>20190312172234532</v>
      </c>
      <c r="B5913" t="str">
        <f>"1552382554526513"</f>
        <v>1552382554526513</v>
      </c>
      <c r="C5913" t="s">
        <v>40</v>
      </c>
      <c r="D5913">
        <v>3.4118189999999999</v>
      </c>
      <c r="E5913">
        <v>0.463424</v>
      </c>
      <c r="F5913" t="s">
        <v>64</v>
      </c>
      <c r="G5913">
        <v>-413.01060000000001</v>
      </c>
      <c r="H5913" s="1">
        <v>-5.1480380000000003E-6</v>
      </c>
      <c r="I5913">
        <v>33.770290000000003</v>
      </c>
      <c r="J5913">
        <v>-422.49329999999998</v>
      </c>
      <c r="K5913">
        <v>1.1124430000000001</v>
      </c>
      <c r="L5913">
        <v>59.88785</v>
      </c>
      <c r="M5913">
        <v>8.3908070000000001E-2</v>
      </c>
      <c r="N5913">
        <v>0</v>
      </c>
      <c r="O5913">
        <v>-0.99637350000000002</v>
      </c>
      <c r="P5913">
        <v>0.25210149999999998</v>
      </c>
      <c r="Q5913">
        <v>0.1185272</v>
      </c>
      <c r="R5913">
        <v>-0.96041480000000001</v>
      </c>
      <c r="S5913">
        <v>1.035034</v>
      </c>
      <c r="T5913">
        <v>-0.12118719999999999</v>
      </c>
      <c r="U5913">
        <v>-2.86795</v>
      </c>
      <c r="V5913">
        <v>-0.17129800000000001</v>
      </c>
      <c r="W5913">
        <v>0.13145090000000001</v>
      </c>
      <c r="X5913">
        <v>0.97641060000000002</v>
      </c>
      <c r="Y5913">
        <v>-0.25906370000000001</v>
      </c>
      <c r="Z5913">
        <v>4.0014519999999998E-2</v>
      </c>
      <c r="AA5913">
        <v>0.96503099999999997</v>
      </c>
      <c r="AB5913">
        <v>38</v>
      </c>
      <c r="AC5913">
        <v>9.4826999999999604</v>
      </c>
      <c r="AD5913">
        <v>-1.112448148038</v>
      </c>
      <c r="AE5913">
        <v>-26.117560000000001</v>
      </c>
      <c r="AF5913">
        <v>-7.2459453769184998</v>
      </c>
      <c r="AG5913">
        <v>-1.112448148038</v>
      </c>
      <c r="AH5913">
        <v>26.778268649415899</v>
      </c>
      <c r="AI5913">
        <v>92.296376338182597</v>
      </c>
      <c r="AJ5913">
        <v>105.14110528677099</v>
      </c>
      <c r="AK5913">
        <v>27.7635901343405</v>
      </c>
      <c r="AL5913">
        <v>82.446557693629302</v>
      </c>
      <c r="AM5913">
        <v>99.950506839821998</v>
      </c>
      <c r="AN5913">
        <v>1.00000000185358</v>
      </c>
    </row>
    <row r="5914" spans="1:40" x14ac:dyDescent="0.25">
      <c r="A5914" t="str">
        <f>"20190312172234545"</f>
        <v>20190312172234545</v>
      </c>
      <c r="B5914" t="str">
        <f>"1552382554536273"</f>
        <v>1552382554536273</v>
      </c>
      <c r="C5914" t="s">
        <v>40</v>
      </c>
      <c r="D5914">
        <v>3.3125420000000001</v>
      </c>
      <c r="E5914">
        <v>0.46350599999999997</v>
      </c>
      <c r="F5914" t="s">
        <v>64</v>
      </c>
      <c r="G5914">
        <v>-413.1241</v>
      </c>
      <c r="H5914" s="1">
        <v>-4.9079050000000004E-6</v>
      </c>
      <c r="I5914">
        <v>34.192140000000002</v>
      </c>
      <c r="J5914">
        <v>-422.4735</v>
      </c>
      <c r="K5914">
        <v>1.1124419999999999</v>
      </c>
      <c r="L5914">
        <v>59.665280000000003</v>
      </c>
      <c r="M5914">
        <v>8.5141990000000001E-2</v>
      </c>
      <c r="N5914">
        <v>0</v>
      </c>
      <c r="O5914">
        <v>-0.99626870000000001</v>
      </c>
      <c r="P5914">
        <v>0.2551677</v>
      </c>
      <c r="Q5914">
        <v>0.1185027</v>
      </c>
      <c r="R5914">
        <v>-0.9596074</v>
      </c>
      <c r="S5914">
        <v>1.044556</v>
      </c>
      <c r="T5914">
        <v>-0.1240252</v>
      </c>
      <c r="U5914">
        <v>-2.8647770000000001</v>
      </c>
      <c r="V5914">
        <v>-0.17320940000000001</v>
      </c>
      <c r="W5914">
        <v>0.13141120000000001</v>
      </c>
      <c r="X5914">
        <v>0.97607869999999997</v>
      </c>
      <c r="Y5914">
        <v>-0.26102950000000003</v>
      </c>
      <c r="Z5914">
        <v>4.0952500000000003E-2</v>
      </c>
      <c r="AA5914">
        <v>0.96446180000000004</v>
      </c>
      <c r="AB5914">
        <v>38</v>
      </c>
      <c r="AC5914">
        <v>9.3493999999999993</v>
      </c>
      <c r="AD5914">
        <v>-1.1124469079049999</v>
      </c>
      <c r="AE5914">
        <v>-25.473140000000001</v>
      </c>
      <c r="AF5914">
        <v>-7.1344024154140504</v>
      </c>
      <c r="AG5914">
        <v>-1.1124469079049999</v>
      </c>
      <c r="AH5914">
        <v>26.132806849756399</v>
      </c>
      <c r="AI5914">
        <v>92.3515933462063</v>
      </c>
      <c r="AJ5914">
        <v>105.269960206015</v>
      </c>
      <c r="AK5914">
        <v>27.112005270629599</v>
      </c>
      <c r="AL5914">
        <v>82.448852334042598</v>
      </c>
      <c r="AM5914">
        <v>100.062633029111</v>
      </c>
      <c r="AN5914">
        <v>1.00000001416374</v>
      </c>
    </row>
    <row r="5915" spans="1:40" x14ac:dyDescent="0.25">
      <c r="A5915" t="str">
        <f>"20190312172234557"</f>
        <v>20190312172234557</v>
      </c>
      <c r="B5915" t="str">
        <f>"1552382554546034"</f>
        <v>1552382554546034</v>
      </c>
      <c r="C5915" t="s">
        <v>40</v>
      </c>
      <c r="D5915">
        <v>3.4012519999999902</v>
      </c>
      <c r="E5915">
        <v>0.4634547</v>
      </c>
      <c r="F5915" t="s">
        <v>64</v>
      </c>
      <c r="G5915">
        <v>-412.97089999999997</v>
      </c>
      <c r="H5915" s="1">
        <v>-5.1200589999999998E-6</v>
      </c>
      <c r="I5915">
        <v>33.842460000000003</v>
      </c>
      <c r="J5915">
        <v>-422.45409999999998</v>
      </c>
      <c r="K5915">
        <v>1.11243799999999</v>
      </c>
      <c r="L5915">
        <v>59.450620000000001</v>
      </c>
      <c r="M5915">
        <v>8.6332019999999995E-2</v>
      </c>
      <c r="N5915">
        <v>0</v>
      </c>
      <c r="O5915">
        <v>-0.99616649999999995</v>
      </c>
      <c r="P5915">
        <v>0.25801960000000002</v>
      </c>
      <c r="Q5915">
        <v>0.1184484</v>
      </c>
      <c r="R5915">
        <v>-0.95885140000000002</v>
      </c>
      <c r="S5915">
        <v>1.0530090000000001</v>
      </c>
      <c r="T5915">
        <v>-0.12327249999999999</v>
      </c>
      <c r="U5915">
        <v>-2.8614809999999999</v>
      </c>
      <c r="V5915">
        <v>-0.17494680000000001</v>
      </c>
      <c r="W5915">
        <v>0.1313436</v>
      </c>
      <c r="X5915">
        <v>0.97577789999999998</v>
      </c>
      <c r="Y5915">
        <v>-0.2627487</v>
      </c>
      <c r="Z5915">
        <v>4.0712289999999998E-2</v>
      </c>
      <c r="AA5915">
        <v>0.964005</v>
      </c>
      <c r="AB5915">
        <v>38</v>
      </c>
      <c r="AC5915">
        <v>9.4832000000000001</v>
      </c>
      <c r="AD5915">
        <v>-1.1124431200589999</v>
      </c>
      <c r="AE5915">
        <v>-25.608160000000002</v>
      </c>
      <c r="AF5915">
        <v>-7.2247726193511799</v>
      </c>
      <c r="AG5915">
        <v>-1.1124431200589999</v>
      </c>
      <c r="AH5915">
        <v>26.287690838079399</v>
      </c>
      <c r="AI5915">
        <v>92.336657365616801</v>
      </c>
      <c r="AJ5915">
        <v>105.36745183825199</v>
      </c>
      <c r="AK5915">
        <v>27.2851160652678</v>
      </c>
      <c r="AL5915">
        <v>82.452759415773102</v>
      </c>
      <c r="AM5915">
        <v>100.16454163829501</v>
      </c>
      <c r="AN5915">
        <v>1.0000000171098</v>
      </c>
    </row>
    <row r="5916" spans="1:40" x14ac:dyDescent="0.25">
      <c r="A5916" t="str">
        <f>"20190312172234572"</f>
        <v>20190312172234572</v>
      </c>
      <c r="B5916" t="str">
        <f>"1552382554566530"</f>
        <v>1552382554566530</v>
      </c>
      <c r="C5916" t="s">
        <v>40</v>
      </c>
      <c r="D5916">
        <v>4.3934629999999997</v>
      </c>
      <c r="E5916">
        <v>0.46384740000000002</v>
      </c>
      <c r="F5916" t="s">
        <v>64</v>
      </c>
      <c r="G5916">
        <v>-412.95929999999998</v>
      </c>
      <c r="H5916" s="1">
        <v>-5.0999990000000001E-6</v>
      </c>
      <c r="I5916">
        <v>33.886890000000001</v>
      </c>
      <c r="J5916">
        <v>-422.43299999999999</v>
      </c>
      <c r="K5916">
        <v>1.11243799999999</v>
      </c>
      <c r="L5916">
        <v>59.220550000000003</v>
      </c>
      <c r="M5916">
        <v>8.7607710000000005E-2</v>
      </c>
      <c r="N5916">
        <v>0</v>
      </c>
      <c r="O5916">
        <v>-0.99605509999999997</v>
      </c>
      <c r="P5916">
        <v>0.26297379999999998</v>
      </c>
      <c r="Q5916">
        <v>0.118446</v>
      </c>
      <c r="R5916">
        <v>-0.95750500000000005</v>
      </c>
      <c r="S5916">
        <v>1.0616760000000001</v>
      </c>
      <c r="T5916">
        <v>-0.1243887</v>
      </c>
      <c r="U5916">
        <v>-2.8584290000000001</v>
      </c>
      <c r="V5916">
        <v>-0.17874719999999999</v>
      </c>
      <c r="W5916">
        <v>0.13131139999999999</v>
      </c>
      <c r="X5916">
        <v>0.97509319999999999</v>
      </c>
      <c r="Y5916">
        <v>-0.26441209999999998</v>
      </c>
      <c r="Z5916">
        <v>4.1083939999999999E-2</v>
      </c>
      <c r="AA5916">
        <v>0.96353429999999995</v>
      </c>
      <c r="AB5916">
        <v>38</v>
      </c>
      <c r="AC5916">
        <v>9.4737000000000595</v>
      </c>
      <c r="AD5916">
        <v>-1.11244309999899</v>
      </c>
      <c r="AE5916">
        <v>-25.333659999999998</v>
      </c>
      <c r="AF5916">
        <v>-7.2054327307987798</v>
      </c>
      <c r="AG5916">
        <v>-1.11244309999899</v>
      </c>
      <c r="AH5916">
        <v>26.022264829699601</v>
      </c>
      <c r="AI5916">
        <v>92.359219441693796</v>
      </c>
      <c r="AJ5916">
        <v>105.477139361959</v>
      </c>
      <c r="AK5916">
        <v>27.024323439372601</v>
      </c>
      <c r="AL5916">
        <v>82.454620305504207</v>
      </c>
      <c r="AM5916">
        <v>100.38772728336301</v>
      </c>
      <c r="AN5916">
        <v>0.99999999698201902</v>
      </c>
    </row>
    <row r="5917" spans="1:40" x14ac:dyDescent="0.25">
      <c r="A5917" t="str">
        <f>"20190312172234586"</f>
        <v>20190312172234586</v>
      </c>
      <c r="B5917" t="str">
        <f>"1552382554576290"</f>
        <v>1552382554576290</v>
      </c>
      <c r="C5917" t="s">
        <v>40</v>
      </c>
      <c r="D5917">
        <v>3.4133849999999999</v>
      </c>
      <c r="E5917">
        <v>0.46414939999999999</v>
      </c>
      <c r="F5917" t="s">
        <v>64</v>
      </c>
      <c r="G5917">
        <v>-413.02690000000001</v>
      </c>
      <c r="H5917" s="1">
        <v>-4.9265799999999998E-6</v>
      </c>
      <c r="I5917">
        <v>34.197830000000003</v>
      </c>
      <c r="J5917">
        <v>-422.41070000000002</v>
      </c>
      <c r="K5917">
        <v>1.1124400000000001</v>
      </c>
      <c r="L5917">
        <v>58.980379999999997</v>
      </c>
      <c r="M5917">
        <v>8.893972E-2</v>
      </c>
      <c r="N5917">
        <v>0</v>
      </c>
      <c r="O5917">
        <v>-0.99593710000000002</v>
      </c>
      <c r="P5917">
        <v>0.26606800000000003</v>
      </c>
      <c r="Q5917">
        <v>0.1185121</v>
      </c>
      <c r="R5917">
        <v>-0.95664159999999998</v>
      </c>
      <c r="S5917">
        <v>1.0729059999999999</v>
      </c>
      <c r="T5917">
        <v>-0.12688949999999999</v>
      </c>
      <c r="U5917">
        <v>-2.854187</v>
      </c>
      <c r="V5917">
        <v>-0.18059890000000001</v>
      </c>
      <c r="W5917">
        <v>0.13136249999999999</v>
      </c>
      <c r="X5917">
        <v>0.97474499999999997</v>
      </c>
      <c r="Y5917">
        <v>-0.2669028</v>
      </c>
      <c r="Z5917">
        <v>4.191653E-2</v>
      </c>
      <c r="AA5917">
        <v>0.96281150000000004</v>
      </c>
      <c r="AB5917">
        <v>38</v>
      </c>
      <c r="AC5917">
        <v>9.3838000000000008</v>
      </c>
      <c r="AD5917">
        <v>-1.1124449265799901</v>
      </c>
      <c r="AE5917">
        <v>-24.782550000000001</v>
      </c>
      <c r="AF5917">
        <v>-7.1296677149900303</v>
      </c>
      <c r="AG5917">
        <v>-1.1124449265799901</v>
      </c>
      <c r="AH5917">
        <v>25.4741002810092</v>
      </c>
      <c r="AI5917">
        <v>92.4080758908147</v>
      </c>
      <c r="AJ5917">
        <v>105.63582165845401</v>
      </c>
      <c r="AK5917">
        <v>26.476394780403201</v>
      </c>
      <c r="AL5917">
        <v>82.451666491188206</v>
      </c>
      <c r="AM5917">
        <v>100.496623950565</v>
      </c>
      <c r="AN5917">
        <v>0.999999942056228</v>
      </c>
    </row>
    <row r="5918" spans="1:40" x14ac:dyDescent="0.25">
      <c r="A5918" t="str">
        <f>"20190312172234598"</f>
        <v>20190312172234598</v>
      </c>
      <c r="B5918" t="str">
        <f>"1552382554586050"</f>
        <v>1552382554586050</v>
      </c>
      <c r="C5918" t="s">
        <v>40</v>
      </c>
      <c r="D5918">
        <v>3.3944459999999999</v>
      </c>
      <c r="E5918">
        <v>0.46443479999999998</v>
      </c>
      <c r="F5918" t="s">
        <v>64</v>
      </c>
      <c r="G5918">
        <v>-412.85629999999998</v>
      </c>
      <c r="H5918" s="1">
        <v>-5.1939730000000001E-6</v>
      </c>
      <c r="I5918">
        <v>33.74727</v>
      </c>
      <c r="J5918">
        <v>-422.39030000000002</v>
      </c>
      <c r="K5918">
        <v>1.1124419999999999</v>
      </c>
      <c r="L5918">
        <v>58.762329999999999</v>
      </c>
      <c r="M5918">
        <v>9.0149720000000003E-2</v>
      </c>
      <c r="N5918">
        <v>0</v>
      </c>
      <c r="O5918">
        <v>-0.99582820000000005</v>
      </c>
      <c r="P5918">
        <v>0.26898100000000003</v>
      </c>
      <c r="Q5918">
        <v>0.1191977</v>
      </c>
      <c r="R5918">
        <v>-0.95574130000000002</v>
      </c>
      <c r="S5918">
        <v>1.07962</v>
      </c>
      <c r="T5918">
        <v>-0.1257026</v>
      </c>
      <c r="U5918">
        <v>-2.8512569999999999</v>
      </c>
      <c r="V5918">
        <v>-0.1823977</v>
      </c>
      <c r="W5918">
        <v>0.13203280000000001</v>
      </c>
      <c r="X5918">
        <v>0.97431950000000001</v>
      </c>
      <c r="Y5918">
        <v>-0.2680477</v>
      </c>
      <c r="Z5918">
        <v>4.1534700000000001E-2</v>
      </c>
      <c r="AA5918">
        <v>0.96250990000000003</v>
      </c>
      <c r="AB5918">
        <v>38</v>
      </c>
      <c r="AC5918">
        <v>9.5340000000000398</v>
      </c>
      <c r="AD5918">
        <v>-1.1124471939729901</v>
      </c>
      <c r="AE5918">
        <v>-25.015059999999998</v>
      </c>
      <c r="AF5918">
        <v>-7.2273661288914601</v>
      </c>
      <c r="AG5918">
        <v>-1.1124471939729901</v>
      </c>
      <c r="AH5918">
        <v>25.728328365430599</v>
      </c>
      <c r="AI5918">
        <v>92.383674862942897</v>
      </c>
      <c r="AJ5918">
        <v>105.69062783904999</v>
      </c>
      <c r="AK5918">
        <v>26.747322116425899</v>
      </c>
      <c r="AL5918">
        <v>82.412924381305103</v>
      </c>
      <c r="AM5918">
        <v>100.60333857373401</v>
      </c>
      <c r="AN5918">
        <v>1.0000000346606801</v>
      </c>
    </row>
    <row r="5919" spans="1:40" x14ac:dyDescent="0.25">
      <c r="A5919" t="str">
        <f>"20190312172234612"</f>
        <v>20190312172234612</v>
      </c>
      <c r="B5919" t="str">
        <f>"1552382554606546"</f>
        <v>1552382554606546</v>
      </c>
      <c r="C5919" t="s">
        <v>40</v>
      </c>
      <c r="D5919">
        <v>3.3369499999999999</v>
      </c>
      <c r="E5919">
        <v>0.46498879999999998</v>
      </c>
      <c r="F5919" t="s">
        <v>64</v>
      </c>
      <c r="G5919">
        <v>-412.59949999999998</v>
      </c>
      <c r="H5919" s="1">
        <v>-5.5636980000000001E-6</v>
      </c>
      <c r="I5919">
        <v>33.077259999999903</v>
      </c>
      <c r="J5919">
        <v>-422.3698</v>
      </c>
      <c r="K5919">
        <v>1.112439</v>
      </c>
      <c r="L5919">
        <v>58.548430000000003</v>
      </c>
      <c r="M5919">
        <v>9.1336340000000002E-2</v>
      </c>
      <c r="N5919">
        <v>0</v>
      </c>
      <c r="O5919">
        <v>-0.99572000000000005</v>
      </c>
      <c r="P5919">
        <v>0.27185290000000001</v>
      </c>
      <c r="Q5919">
        <v>0.1195601</v>
      </c>
      <c r="R5919">
        <v>-0.95488300000000004</v>
      </c>
      <c r="S5919">
        <v>1.0858760000000001</v>
      </c>
      <c r="T5919">
        <v>-0.1233798</v>
      </c>
      <c r="U5919">
        <v>-2.8486940000000001</v>
      </c>
      <c r="V5919">
        <v>-0.18417330000000001</v>
      </c>
      <c r="W5919">
        <v>0.13238059999999999</v>
      </c>
      <c r="X5919">
        <v>0.97393819999999998</v>
      </c>
      <c r="Y5919">
        <v>-0.26904450000000002</v>
      </c>
      <c r="Z5919">
        <v>4.0774930000000001E-2</v>
      </c>
      <c r="AA5919">
        <v>0.96226420000000001</v>
      </c>
      <c r="AB5919">
        <v>38</v>
      </c>
      <c r="AC5919">
        <v>9.7703000000000095</v>
      </c>
      <c r="AD5919">
        <v>-1.112444563698</v>
      </c>
      <c r="AE5919">
        <v>-25.471170000000001</v>
      </c>
      <c r="AF5919">
        <v>-7.3904885761469501</v>
      </c>
      <c r="AG5919">
        <v>-1.112444563698</v>
      </c>
      <c r="AH5919">
        <v>26.2135658726536</v>
      </c>
      <c r="AI5919">
        <v>92.338971496912393</v>
      </c>
      <c r="AJ5919">
        <v>105.74493490963</v>
      </c>
      <c r="AK5919">
        <v>27.258171069633601</v>
      </c>
      <c r="AL5919">
        <v>82.392820348154302</v>
      </c>
      <c r="AM5919">
        <v>100.70827946676501</v>
      </c>
      <c r="AN5919">
        <v>1.00000002255424</v>
      </c>
    </row>
    <row r="5920" spans="1:40" x14ac:dyDescent="0.25">
      <c r="A5920" t="str">
        <f>"20190312172234627"</f>
        <v>20190312172234627</v>
      </c>
      <c r="B5920" t="str">
        <f>"1552382554616307"</f>
        <v>1552382554616307</v>
      </c>
      <c r="C5920" t="s">
        <v>40</v>
      </c>
      <c r="D5920">
        <v>3.4614880000000001</v>
      </c>
      <c r="E5920">
        <v>0.465142</v>
      </c>
      <c r="F5920" t="s">
        <v>64</v>
      </c>
      <c r="G5920">
        <v>-412.33339999999998</v>
      </c>
      <c r="H5920" s="1">
        <v>-5.8852120000000003E-6</v>
      </c>
      <c r="I5920">
        <v>32.33755</v>
      </c>
      <c r="J5920">
        <v>-422.34629999999999</v>
      </c>
      <c r="K5920">
        <v>1.11243799999999</v>
      </c>
      <c r="L5920">
        <v>58.304870000000001</v>
      </c>
      <c r="M5920">
        <v>9.2687699999999998E-2</v>
      </c>
      <c r="N5920">
        <v>0</v>
      </c>
      <c r="O5920">
        <v>-0.99559540000000002</v>
      </c>
      <c r="P5920">
        <v>0.27468009999999998</v>
      </c>
      <c r="Q5920">
        <v>0.1199017</v>
      </c>
      <c r="R5920">
        <v>-0.95403099999999996</v>
      </c>
      <c r="S5920">
        <v>1.089966</v>
      </c>
      <c r="T5920">
        <v>-0.1208138</v>
      </c>
      <c r="U5920">
        <v>-2.8465579999999999</v>
      </c>
      <c r="V5920">
        <v>-0.18574379999999999</v>
      </c>
      <c r="W5920">
        <v>0.13270870000000001</v>
      </c>
      <c r="X5920">
        <v>0.97359519999999999</v>
      </c>
      <c r="Y5920">
        <v>-0.26919599999999999</v>
      </c>
      <c r="Z5920">
        <v>3.993795E-2</v>
      </c>
      <c r="AA5920">
        <v>0.96225700000000003</v>
      </c>
      <c r="AB5920">
        <v>38</v>
      </c>
      <c r="AC5920">
        <v>10.0129</v>
      </c>
      <c r="AD5920">
        <v>-1.11244388521199</v>
      </c>
      <c r="AE5920">
        <v>-25.967319999999901</v>
      </c>
      <c r="AF5920">
        <v>-7.55063393112518</v>
      </c>
      <c r="AG5920">
        <v>-1.11244388521199</v>
      </c>
      <c r="AH5920">
        <v>26.740954693458701</v>
      </c>
      <c r="AI5920">
        <v>92.292633867568995</v>
      </c>
      <c r="AJ5920">
        <v>105.767672144126</v>
      </c>
      <c r="AK5920">
        <v>27.808780305457802</v>
      </c>
      <c r="AL5920">
        <v>82.3738539848122</v>
      </c>
      <c r="AM5920">
        <v>100.801168754597</v>
      </c>
      <c r="AN5920">
        <v>0.99999998587858496</v>
      </c>
    </row>
    <row r="5921" spans="1:40" x14ac:dyDescent="0.25">
      <c r="A5921" t="str">
        <f>"20190312172234640"</f>
        <v>20190312172234640</v>
      </c>
      <c r="B5921" t="str">
        <f>"1552382554636801"</f>
        <v>1552382554636801</v>
      </c>
      <c r="C5921" t="s">
        <v>40</v>
      </c>
      <c r="D5921">
        <v>3.4514360000000002</v>
      </c>
      <c r="E5921">
        <v>0.46562750000000003</v>
      </c>
      <c r="F5921" t="s">
        <v>64</v>
      </c>
      <c r="G5921">
        <v>-412.33150000000001</v>
      </c>
      <c r="H5921" s="1">
        <v>-5.8792319999999996E-6</v>
      </c>
      <c r="I5921">
        <v>32.354149999999997</v>
      </c>
      <c r="J5921">
        <v>-422.32310000000001</v>
      </c>
      <c r="K5921">
        <v>1.112436</v>
      </c>
      <c r="L5921">
        <v>58.068269999999998</v>
      </c>
      <c r="M5921">
        <v>9.4000979999999998E-2</v>
      </c>
      <c r="N5921">
        <v>0</v>
      </c>
      <c r="O5921">
        <v>-0.99547209999999997</v>
      </c>
      <c r="P5921">
        <v>0.27902440000000001</v>
      </c>
      <c r="Q5921">
        <v>0.12040579999999999</v>
      </c>
      <c r="R5921">
        <v>-0.95270549999999998</v>
      </c>
      <c r="S5921">
        <v>1.097504</v>
      </c>
      <c r="T5921">
        <v>-0.1219112</v>
      </c>
      <c r="U5921">
        <v>-2.8439030000000001</v>
      </c>
      <c r="V5921">
        <v>-0.1889084</v>
      </c>
      <c r="W5921">
        <v>0.1331869</v>
      </c>
      <c r="X5921">
        <v>0.97292080000000003</v>
      </c>
      <c r="Y5921">
        <v>-0.27044190000000001</v>
      </c>
      <c r="Z5921">
        <v>4.030189E-2</v>
      </c>
      <c r="AA5921">
        <v>0.96189239999999998</v>
      </c>
      <c r="AB5921">
        <v>38</v>
      </c>
      <c r="AC5921">
        <v>9.9916</v>
      </c>
      <c r="AD5921">
        <v>-1.1124418792320001</v>
      </c>
      <c r="AE5921">
        <v>-25.714120000000001</v>
      </c>
      <c r="AF5921">
        <v>-7.5177317987499004</v>
      </c>
      <c r="AG5921">
        <v>-1.1124418792320001</v>
      </c>
      <c r="AH5921">
        <v>26.496466114705498</v>
      </c>
      <c r="AI5921">
        <v>92.312935667167494</v>
      </c>
      <c r="AJ5921">
        <v>105.840008960985</v>
      </c>
      <c r="AK5921">
        <v>27.564769814027901</v>
      </c>
      <c r="AL5921">
        <v>82.346209919754898</v>
      </c>
      <c r="AM5921">
        <v>100.98818232340901</v>
      </c>
      <c r="AN5921">
        <v>1.0000000084973999</v>
      </c>
    </row>
    <row r="5922" spans="1:40" x14ac:dyDescent="0.25">
      <c r="A5922" t="str">
        <f>"20190312172234662"</f>
        <v>20190312172234662</v>
      </c>
      <c r="B5922" t="str">
        <f>"1552382554656321"</f>
        <v>1552382554656321</v>
      </c>
      <c r="C5922" t="s">
        <v>40</v>
      </c>
      <c r="D5922">
        <v>3.3536920000000001</v>
      </c>
      <c r="E5922">
        <v>0.46613209999999999</v>
      </c>
      <c r="F5922" t="s">
        <v>64</v>
      </c>
      <c r="G5922">
        <v>-412.02319999999997</v>
      </c>
      <c r="H5922" s="1">
        <v>-6.1949559999999996E-6</v>
      </c>
      <c r="I5922">
        <v>31.647130000000001</v>
      </c>
      <c r="J5922">
        <v>-422.28859999999997</v>
      </c>
      <c r="K5922">
        <v>1.1124320000000001</v>
      </c>
      <c r="L5922">
        <v>57.722439999999999</v>
      </c>
      <c r="M5922">
        <v>9.5920710000000006E-2</v>
      </c>
      <c r="N5922">
        <v>0</v>
      </c>
      <c r="O5922">
        <v>-0.99528919999999999</v>
      </c>
      <c r="P5922">
        <v>0.28422629999999999</v>
      </c>
      <c r="Q5922">
        <v>0.1214937</v>
      </c>
      <c r="R5922">
        <v>-0.95102850000000005</v>
      </c>
      <c r="S5922">
        <v>1.107056</v>
      </c>
      <c r="T5922">
        <v>-0.1195682</v>
      </c>
      <c r="U5922">
        <v>-2.8398129999999999</v>
      </c>
      <c r="V5922">
        <v>-0.19237190000000001</v>
      </c>
      <c r="W5922">
        <v>0.13424449999999999</v>
      </c>
      <c r="X5922">
        <v>0.97209639999999997</v>
      </c>
      <c r="Y5922">
        <v>-0.27187309999999998</v>
      </c>
      <c r="Z5922">
        <v>3.9539240000000003E-2</v>
      </c>
      <c r="AA5922">
        <v>0.9615205</v>
      </c>
      <c r="AB5922">
        <v>38</v>
      </c>
      <c r="AC5922">
        <v>10.2654</v>
      </c>
      <c r="AD5922">
        <v>-1.1124381949559901</v>
      </c>
      <c r="AE5922">
        <v>-26.075310000000002</v>
      </c>
      <c r="AF5922">
        <v>-7.7045047285237196</v>
      </c>
      <c r="AG5922">
        <v>-1.1124381949559901</v>
      </c>
      <c r="AH5922">
        <v>26.8974280619593</v>
      </c>
      <c r="AI5922">
        <v>92.276857324194793</v>
      </c>
      <c r="AJ5922">
        <v>105.98384145062801</v>
      </c>
      <c r="AK5922">
        <v>28.001224048203898</v>
      </c>
      <c r="AL5922">
        <v>82.285064520328902</v>
      </c>
      <c r="AM5922">
        <v>101.193853447309</v>
      </c>
      <c r="AN5922">
        <v>0.99999997229140902</v>
      </c>
    </row>
    <row r="5923" spans="1:40" x14ac:dyDescent="0.25">
      <c r="A5923" t="str">
        <f>"20190312172234675"</f>
        <v>20190312172234675</v>
      </c>
      <c r="B5923" t="str">
        <f>"1552382554666081"</f>
        <v>1552382554666081</v>
      </c>
      <c r="C5923" t="s">
        <v>40</v>
      </c>
      <c r="D5923">
        <v>3.387321</v>
      </c>
      <c r="E5923">
        <v>0.46633140000000001</v>
      </c>
      <c r="F5923" t="s">
        <v>64</v>
      </c>
      <c r="G5923">
        <v>-411.50380000000001</v>
      </c>
      <c r="H5923" s="1">
        <v>-6.7615609999999998E-6</v>
      </c>
      <c r="I5923">
        <v>30.364329999999999</v>
      </c>
      <c r="J5923">
        <v>-422.26260000000002</v>
      </c>
      <c r="K5923">
        <v>1.112436</v>
      </c>
      <c r="L5923">
        <v>57.466430000000003</v>
      </c>
      <c r="M5923">
        <v>9.7342150000000002E-2</v>
      </c>
      <c r="N5923">
        <v>0</v>
      </c>
      <c r="O5923">
        <v>-0.99515109999999996</v>
      </c>
      <c r="P5923">
        <v>0.28671960000000002</v>
      </c>
      <c r="Q5923">
        <v>0.1219184</v>
      </c>
      <c r="R5923">
        <v>-0.9502254</v>
      </c>
      <c r="S5923">
        <v>1.117645</v>
      </c>
      <c r="T5923">
        <v>-0.1152842</v>
      </c>
      <c r="U5923">
        <v>-2.835175</v>
      </c>
      <c r="V5923">
        <v>-0.19354180000000001</v>
      </c>
      <c r="W5923">
        <v>0.1346589</v>
      </c>
      <c r="X5923">
        <v>0.97180679999999997</v>
      </c>
      <c r="Y5923">
        <v>-0.27416249999999998</v>
      </c>
      <c r="Z5923">
        <v>3.8136980000000001E-2</v>
      </c>
      <c r="AA5923">
        <v>0.96092690000000003</v>
      </c>
      <c r="AB5923">
        <v>38</v>
      </c>
      <c r="AC5923">
        <v>10.758800000000001</v>
      </c>
      <c r="AD5923">
        <v>-1.112442761561</v>
      </c>
      <c r="AE5923">
        <v>-27.1021</v>
      </c>
      <c r="AF5923">
        <v>-8.0575297840542408</v>
      </c>
      <c r="AG5923">
        <v>-1.112442761561</v>
      </c>
      <c r="AH5923">
        <v>27.9800312871584</v>
      </c>
      <c r="AI5923">
        <v>92.187967681604306</v>
      </c>
      <c r="AJ5923">
        <v>106.06504054062199</v>
      </c>
      <c r="AK5923">
        <v>29.1383504328751</v>
      </c>
      <c r="AL5923">
        <v>82.261103429594996</v>
      </c>
      <c r="AM5923">
        <v>101.263463781</v>
      </c>
      <c r="AN5923">
        <v>0.99999995211134296</v>
      </c>
    </row>
    <row r="5924" spans="1:40" x14ac:dyDescent="0.25">
      <c r="A5924" t="str">
        <f>"20190312172234689"</f>
        <v>20190312172234689</v>
      </c>
      <c r="B5924" t="str">
        <f>"1552382554686578"</f>
        <v>1552382554686578</v>
      </c>
      <c r="C5924" t="s">
        <v>40</v>
      </c>
      <c r="D5924">
        <v>3.3567670000000001</v>
      </c>
      <c r="E5924">
        <v>0.46670279999999997</v>
      </c>
      <c r="F5924" t="s">
        <v>64</v>
      </c>
      <c r="G5924">
        <v>-411.24849999999998</v>
      </c>
      <c r="H5924" s="1">
        <v>-7.05112499999999E-6</v>
      </c>
      <c r="I5924">
        <v>29.70458</v>
      </c>
      <c r="J5924">
        <v>-422.24119999999999</v>
      </c>
      <c r="K5924">
        <v>1.11243799999999</v>
      </c>
      <c r="L5924">
        <v>57.258540000000004</v>
      </c>
      <c r="M5924">
        <v>9.8496669999999995E-2</v>
      </c>
      <c r="N5924">
        <v>0</v>
      </c>
      <c r="O5924">
        <v>-0.99503739999999996</v>
      </c>
      <c r="P5924">
        <v>0.28928860000000001</v>
      </c>
      <c r="Q5924">
        <v>0.1228906</v>
      </c>
      <c r="R5924">
        <v>-0.94932090000000002</v>
      </c>
      <c r="S5924">
        <v>1.12381</v>
      </c>
      <c r="T5924">
        <v>-0.1135066</v>
      </c>
      <c r="U5924">
        <v>-2.8326419999999999</v>
      </c>
      <c r="V5924">
        <v>-0.1950617</v>
      </c>
      <c r="W5924">
        <v>0.1356166</v>
      </c>
      <c r="X5924">
        <v>0.9713697</v>
      </c>
      <c r="Y5924">
        <v>-0.27515610000000001</v>
      </c>
      <c r="Z5924">
        <v>3.7554539999999997E-2</v>
      </c>
      <c r="AA5924">
        <v>0.96066580000000001</v>
      </c>
      <c r="AB5924">
        <v>38</v>
      </c>
      <c r="AC5924">
        <v>10.992699999999999</v>
      </c>
      <c r="AD5924">
        <v>-1.1124450511249999</v>
      </c>
      <c r="AE5924">
        <v>-27.55396</v>
      </c>
      <c r="AF5924">
        <v>-8.2134429793328607</v>
      </c>
      <c r="AG5924">
        <v>-1.1124450511249999</v>
      </c>
      <c r="AH5924">
        <v>28.462776784340502</v>
      </c>
      <c r="AI5924">
        <v>92.150558575857602</v>
      </c>
      <c r="AJ5924">
        <v>106.09644073719799</v>
      </c>
      <c r="AK5924">
        <v>29.645030643291999</v>
      </c>
      <c r="AL5924">
        <v>82.205723710335107</v>
      </c>
      <c r="AM5924">
        <v>101.35460400650599</v>
      </c>
      <c r="AN5924">
        <v>1.0000000115402701</v>
      </c>
    </row>
    <row r="5925" spans="1:40" x14ac:dyDescent="0.25">
      <c r="A5925" t="str">
        <f>"20190312172234704"</f>
        <v>20190312172234704</v>
      </c>
      <c r="B5925" t="str">
        <f>"1552382554696338"</f>
        <v>1552382554696338</v>
      </c>
      <c r="C5925" t="s">
        <v>40</v>
      </c>
      <c r="D5925">
        <v>3.4189590000000001</v>
      </c>
      <c r="E5925">
        <v>0.46682079999999998</v>
      </c>
      <c r="F5925" t="s">
        <v>64</v>
      </c>
      <c r="G5925">
        <v>-410.88240000000002</v>
      </c>
      <c r="H5925" s="1">
        <v>-1.037762E-5</v>
      </c>
      <c r="I5925">
        <v>28.773040000000002</v>
      </c>
      <c r="J5925">
        <v>-422.2158</v>
      </c>
      <c r="K5925">
        <v>1.112449</v>
      </c>
      <c r="L5925">
        <v>57.013179999999998</v>
      </c>
      <c r="M5925">
        <v>9.9859390000000006E-2</v>
      </c>
      <c r="N5925">
        <v>0</v>
      </c>
      <c r="O5925">
        <v>-0.99490160000000005</v>
      </c>
      <c r="P5925">
        <v>0.2919004</v>
      </c>
      <c r="Q5925">
        <v>0.12352059999999999</v>
      </c>
      <c r="R5925">
        <v>-0.94843949999999999</v>
      </c>
      <c r="S5925">
        <v>1.1286929999999999</v>
      </c>
      <c r="T5925">
        <v>-0.11054020000000001</v>
      </c>
      <c r="U5925">
        <v>-2.830505</v>
      </c>
      <c r="V5925">
        <v>-0.19641800000000001</v>
      </c>
      <c r="W5925">
        <v>0.13623399999999999</v>
      </c>
      <c r="X5925">
        <v>0.97100989999999998</v>
      </c>
      <c r="Y5925">
        <v>-0.275532</v>
      </c>
      <c r="Z5925">
        <v>3.6579269999999997E-2</v>
      </c>
      <c r="AA5925">
        <v>0.96059570000000005</v>
      </c>
      <c r="AB5925">
        <v>38</v>
      </c>
      <c r="AC5925">
        <v>11.3333999999999</v>
      </c>
      <c r="AD5925">
        <v>-1.11245937762</v>
      </c>
      <c r="AE5925">
        <v>-28.24014</v>
      </c>
      <c r="AF5925">
        <v>-8.4451285043273803</v>
      </c>
      <c r="AG5925">
        <v>-1.11245937762</v>
      </c>
      <c r="AH5925">
        <v>29.1917983158088</v>
      </c>
      <c r="AI5925">
        <v>92.096519259941005</v>
      </c>
      <c r="AJ5925">
        <v>106.135049982973</v>
      </c>
      <c r="AK5925">
        <v>30.409190226513999</v>
      </c>
      <c r="AL5925">
        <v>82.170017662584797</v>
      </c>
      <c r="AM5925">
        <v>101.435607230607</v>
      </c>
      <c r="AN5925">
        <v>0.999999979689004</v>
      </c>
    </row>
    <row r="5926" spans="1:40" x14ac:dyDescent="0.25">
      <c r="A5926" t="str">
        <f>"20190312172234716"</f>
        <v>20190312172234716</v>
      </c>
      <c r="B5926" t="str">
        <f>"1552382554706097"</f>
        <v>1552382554706097</v>
      </c>
      <c r="C5926" t="s">
        <v>40</v>
      </c>
      <c r="D5926">
        <v>3.3922219999999998</v>
      </c>
      <c r="E5926">
        <v>0.46700069999999999</v>
      </c>
      <c r="F5926" t="s">
        <v>64</v>
      </c>
      <c r="G5926">
        <v>-410.6798</v>
      </c>
      <c r="H5926" s="1">
        <v>-1.0400150000000001E-5</v>
      </c>
      <c r="I5926">
        <v>28.271629999999998</v>
      </c>
      <c r="J5926">
        <v>-422.19389999999999</v>
      </c>
      <c r="K5926">
        <v>1.1124529999999999</v>
      </c>
      <c r="L5926">
        <v>56.80518</v>
      </c>
      <c r="M5926">
        <v>0.10101540000000001</v>
      </c>
      <c r="N5926">
        <v>0</v>
      </c>
      <c r="O5926">
        <v>-0.99478500000000003</v>
      </c>
      <c r="P5926">
        <v>0.29571950000000002</v>
      </c>
      <c r="Q5926">
        <v>0.1245325</v>
      </c>
      <c r="R5926">
        <v>-0.94712280000000004</v>
      </c>
      <c r="S5926">
        <v>1.1350709999999999</v>
      </c>
      <c r="T5926">
        <v>-0.1094595</v>
      </c>
      <c r="U5926">
        <v>-2.8280029999999998</v>
      </c>
      <c r="V5926">
        <v>-0.1992244</v>
      </c>
      <c r="W5926">
        <v>0.1372217</v>
      </c>
      <c r="X5926">
        <v>0.97029880000000002</v>
      </c>
      <c r="Y5926">
        <v>-0.27657939999999998</v>
      </c>
      <c r="Z5926">
        <v>3.6225239999999999E-2</v>
      </c>
      <c r="AA5926">
        <v>0.9603081</v>
      </c>
      <c r="AB5926">
        <v>37</v>
      </c>
      <c r="AC5926">
        <v>11.5140999999999</v>
      </c>
      <c r="AD5926">
        <v>-1.11246340015</v>
      </c>
      <c r="AE5926">
        <v>-28.533550000000002</v>
      </c>
      <c r="AF5926">
        <v>-8.5613862640978606</v>
      </c>
      <c r="AG5926">
        <v>-1.11246340015</v>
      </c>
      <c r="AH5926">
        <v>29.5122065396707</v>
      </c>
      <c r="AI5926">
        <v>92.073343120808005</v>
      </c>
      <c r="AJ5926">
        <v>106.177256212407</v>
      </c>
      <c r="AK5926">
        <v>30.749069000864701</v>
      </c>
      <c r="AL5926">
        <v>82.1128899475666</v>
      </c>
      <c r="AM5926">
        <v>101.602870500732</v>
      </c>
      <c r="AN5926">
        <v>0.99999995889384397</v>
      </c>
    </row>
    <row r="5927" spans="1:40" x14ac:dyDescent="0.25">
      <c r="A5927" t="str">
        <f>"20190312172234730"</f>
        <v>20190312172234730</v>
      </c>
      <c r="B5927" t="str">
        <f>"1552382554726593"</f>
        <v>1552382554726593</v>
      </c>
      <c r="C5927" t="s">
        <v>40</v>
      </c>
      <c r="D5927">
        <v>3.4117440000000001</v>
      </c>
      <c r="E5927">
        <v>0.46722469999999999</v>
      </c>
      <c r="F5927" t="s">
        <v>64</v>
      </c>
      <c r="G5927">
        <v>-410.32900000000001</v>
      </c>
      <c r="H5927" s="1">
        <v>-1.0454E-5</v>
      </c>
      <c r="I5927">
        <v>27.533770000000001</v>
      </c>
      <c r="J5927">
        <v>-422.16969999999998</v>
      </c>
      <c r="K5927">
        <v>1.1124559999999999</v>
      </c>
      <c r="L5927">
        <v>56.578189999999999</v>
      </c>
      <c r="M5927">
        <v>0.1022791</v>
      </c>
      <c r="N5927">
        <v>0</v>
      </c>
      <c r="O5927">
        <v>-0.99465579999999998</v>
      </c>
      <c r="P5927">
        <v>0.29871700000000001</v>
      </c>
      <c r="Q5927">
        <v>0.12513179999999999</v>
      </c>
      <c r="R5927">
        <v>-0.94610300000000003</v>
      </c>
      <c r="S5927">
        <v>1.1447449999999999</v>
      </c>
      <c r="T5927">
        <v>-0.1073325</v>
      </c>
      <c r="U5927">
        <v>-2.8241580000000002</v>
      </c>
      <c r="V5927">
        <v>-0.20107820000000001</v>
      </c>
      <c r="W5927">
        <v>0.13780410000000001</v>
      </c>
      <c r="X5927">
        <v>0.96983379999999997</v>
      </c>
      <c r="Y5927">
        <v>-0.27864800000000001</v>
      </c>
      <c r="Z5927">
        <v>3.5527259999999998E-2</v>
      </c>
      <c r="AA5927">
        <v>0.95973600000000003</v>
      </c>
      <c r="AB5927">
        <v>37</v>
      </c>
      <c r="AC5927">
        <v>11.840699999999901</v>
      </c>
      <c r="AD5927">
        <v>-1.112466454</v>
      </c>
      <c r="AE5927">
        <v>-29.044419999999999</v>
      </c>
      <c r="AF5927">
        <v>-8.7965934424635392</v>
      </c>
      <c r="AG5927">
        <v>-1.112466454</v>
      </c>
      <c r="AH5927">
        <v>30.065427869386301</v>
      </c>
      <c r="AI5927">
        <v>92.033873656242307</v>
      </c>
      <c r="AJ5927">
        <v>106.30850907008499</v>
      </c>
      <c r="AK5927">
        <v>31.34561517617</v>
      </c>
      <c r="AL5927">
        <v>82.079201212274</v>
      </c>
      <c r="AM5927">
        <v>101.713327347214</v>
      </c>
      <c r="AN5927">
        <v>1.00000000605724</v>
      </c>
    </row>
    <row r="5928" spans="1:40" x14ac:dyDescent="0.25">
      <c r="A5928" t="str">
        <f>"20190312172234750"</f>
        <v>20190312172234750</v>
      </c>
      <c r="B5928" t="str">
        <f>"1552382554746113"</f>
        <v>1552382554746113</v>
      </c>
      <c r="C5928" t="s">
        <v>40</v>
      </c>
      <c r="D5928">
        <v>3.4660899999999999</v>
      </c>
      <c r="E5928">
        <v>0.46749049999999998</v>
      </c>
      <c r="F5928" t="s">
        <v>64</v>
      </c>
      <c r="G5928">
        <v>-410.20749999999998</v>
      </c>
      <c r="H5928" s="1">
        <v>-1.047313E-5</v>
      </c>
      <c r="I5928">
        <v>27.28304</v>
      </c>
      <c r="J5928">
        <v>-422.13389999999998</v>
      </c>
      <c r="K5928">
        <v>1.112463</v>
      </c>
      <c r="L5928">
        <v>56.246769999999998</v>
      </c>
      <c r="M5928">
        <v>0.10413310000000001</v>
      </c>
      <c r="N5928">
        <v>0</v>
      </c>
      <c r="O5928">
        <v>-0.9944634</v>
      </c>
      <c r="P5928">
        <v>0.30392459999999999</v>
      </c>
      <c r="Q5928">
        <v>0.1262818</v>
      </c>
      <c r="R5928">
        <v>-0.94428970000000001</v>
      </c>
      <c r="S5928">
        <v>1.152039</v>
      </c>
      <c r="T5928">
        <v>-0.107138</v>
      </c>
      <c r="U5928">
        <v>-2.8213200000000001</v>
      </c>
      <c r="V5928">
        <v>-0.20464060000000001</v>
      </c>
      <c r="W5928">
        <v>0.1389205</v>
      </c>
      <c r="X5928">
        <v>0.96892889999999998</v>
      </c>
      <c r="Y5928">
        <v>-0.27932319999999999</v>
      </c>
      <c r="Z5928">
        <v>3.5465400000000001E-2</v>
      </c>
      <c r="AA5928">
        <v>0.95954200000000001</v>
      </c>
      <c r="AB5928">
        <v>37</v>
      </c>
      <c r="AC5928">
        <v>11.926399999999999</v>
      </c>
      <c r="AD5928">
        <v>-1.1124734731299999</v>
      </c>
      <c r="AE5928">
        <v>-28.963729999999899</v>
      </c>
      <c r="AF5928">
        <v>-8.8340215893061593</v>
      </c>
      <c r="AG5928">
        <v>-1.1124734731299999</v>
      </c>
      <c r="AH5928">
        <v>30.010435118380599</v>
      </c>
      <c r="AI5928">
        <v>92.036629575730998</v>
      </c>
      <c r="AJ5928">
        <v>106.40258312028</v>
      </c>
      <c r="AK5928">
        <v>31.303414361108899</v>
      </c>
      <c r="AL5928">
        <v>82.014614514240506</v>
      </c>
      <c r="AM5928">
        <v>101.925773538936</v>
      </c>
      <c r="AN5928">
        <v>0.99999994687190796</v>
      </c>
    </row>
    <row r="5929" spans="1:40" x14ac:dyDescent="0.25">
      <c r="A5929" t="str">
        <f>"20190312172234765"</f>
        <v>20190312172234765</v>
      </c>
      <c r="B5929" t="str">
        <f>"1552382554756850"</f>
        <v>1552382554756850</v>
      </c>
      <c r="C5929" t="s">
        <v>40</v>
      </c>
      <c r="D5929">
        <v>3.4462130000000002</v>
      </c>
      <c r="E5929">
        <v>0.4676305</v>
      </c>
      <c r="F5929" t="s">
        <v>64</v>
      </c>
      <c r="G5929">
        <v>-409.79180000000002</v>
      </c>
      <c r="H5929" s="1">
        <v>-2.4861589999999999E-6</v>
      </c>
      <c r="I5929">
        <v>26.42821</v>
      </c>
      <c r="J5929">
        <v>-422.10669999999999</v>
      </c>
      <c r="K5929">
        <v>1.112474</v>
      </c>
      <c r="L5929">
        <v>55.998930000000001</v>
      </c>
      <c r="M5929">
        <v>0.1055311</v>
      </c>
      <c r="N5929">
        <v>0</v>
      </c>
      <c r="O5929">
        <v>-0.99431630000000004</v>
      </c>
      <c r="P5929">
        <v>0.30685119999999999</v>
      </c>
      <c r="Q5929">
        <v>0.12726119999999999</v>
      </c>
      <c r="R5929">
        <v>-0.94321109999999997</v>
      </c>
      <c r="S5929">
        <v>1.165527</v>
      </c>
      <c r="T5929">
        <v>-0.1050558</v>
      </c>
      <c r="U5929">
        <v>-2.8159179999999999</v>
      </c>
      <c r="V5929">
        <v>-0.20630680000000001</v>
      </c>
      <c r="W5929">
        <v>0.13988039999999999</v>
      </c>
      <c r="X5929">
        <v>0.9684374</v>
      </c>
      <c r="Y5929">
        <v>-0.28255560000000002</v>
      </c>
      <c r="Z5929">
        <v>3.4783479999999999E-2</v>
      </c>
      <c r="AA5929">
        <v>0.95862009999999998</v>
      </c>
      <c r="AB5929">
        <v>37</v>
      </c>
      <c r="AC5929">
        <v>12.3148999999999</v>
      </c>
      <c r="AD5929">
        <v>-1.112476486159</v>
      </c>
      <c r="AE5929">
        <v>-29.570720000000001</v>
      </c>
      <c r="AF5929">
        <v>-9.1141869107805498</v>
      </c>
      <c r="AG5929">
        <v>-1.112476486159</v>
      </c>
      <c r="AH5929">
        <v>30.668307801521198</v>
      </c>
      <c r="AI5929">
        <v>91.991455159079294</v>
      </c>
      <c r="AJ5929">
        <v>106.55120392535299</v>
      </c>
      <c r="AK5929">
        <v>32.013295837600701</v>
      </c>
      <c r="AL5929">
        <v>81.959074507588198</v>
      </c>
      <c r="AM5929">
        <v>102.025983797354</v>
      </c>
      <c r="AN5929">
        <v>1.0000000098745701</v>
      </c>
    </row>
    <row r="5930" spans="1:40" x14ac:dyDescent="0.25">
      <c r="A5930" t="str">
        <f>"20190312172234784"</f>
        <v>20190312172234784</v>
      </c>
      <c r="B5930" t="str">
        <f>"1552382554776373"</f>
        <v>1552382554776373</v>
      </c>
      <c r="C5930" t="s">
        <v>40</v>
      </c>
      <c r="D5930">
        <v>3.4333360000000002</v>
      </c>
      <c r="E5930">
        <v>0.4679989</v>
      </c>
      <c r="F5930" t="s">
        <v>64</v>
      </c>
      <c r="G5930">
        <v>-409.44909999999999</v>
      </c>
      <c r="H5930" s="1">
        <v>-2.516132E-6</v>
      </c>
      <c r="I5930">
        <v>25.65089</v>
      </c>
      <c r="J5930">
        <v>-422.0718</v>
      </c>
      <c r="K5930">
        <v>1.112501</v>
      </c>
      <c r="L5930">
        <v>55.686129999999999</v>
      </c>
      <c r="M5930">
        <v>0.1073195</v>
      </c>
      <c r="N5930">
        <v>0</v>
      </c>
      <c r="O5930">
        <v>-0.99412469999999997</v>
      </c>
      <c r="P5930">
        <v>0.31158010000000003</v>
      </c>
      <c r="Q5930">
        <v>0.12912870000000001</v>
      </c>
      <c r="R5930">
        <v>-0.9414053</v>
      </c>
      <c r="S5930">
        <v>1.173187</v>
      </c>
      <c r="T5930">
        <v>-0.103112</v>
      </c>
      <c r="U5930">
        <v>-2.8128660000000001</v>
      </c>
      <c r="V5930">
        <v>-0.2094712</v>
      </c>
      <c r="W5930">
        <v>0.14170929999999901</v>
      </c>
      <c r="X5930">
        <v>0.96749169999999995</v>
      </c>
      <c r="Y5930">
        <v>-0.28343200000000002</v>
      </c>
      <c r="Z5930">
        <v>3.414321E-2</v>
      </c>
      <c r="AA5930">
        <v>0.95838429999999997</v>
      </c>
      <c r="AB5930">
        <v>37</v>
      </c>
      <c r="AC5930">
        <v>12.6227</v>
      </c>
      <c r="AD5930">
        <v>-1.112503516132</v>
      </c>
      <c r="AE5930">
        <v>-30.035240000000002</v>
      </c>
      <c r="AF5930">
        <v>-9.3152353655909792</v>
      </c>
      <c r="AG5930">
        <v>-1.112503516132</v>
      </c>
      <c r="AH5930">
        <v>31.180179309401399</v>
      </c>
      <c r="AI5930">
        <v>91.957995166451497</v>
      </c>
      <c r="AJ5930">
        <v>106.633779997022</v>
      </c>
      <c r="AK5930">
        <v>32.560940646059201</v>
      </c>
      <c r="AL5930">
        <v>81.853231426115002</v>
      </c>
      <c r="AM5930">
        <v>102.216524343633</v>
      </c>
      <c r="AN5930">
        <v>0.999999949452408</v>
      </c>
    </row>
    <row r="5931" spans="1:40" x14ac:dyDescent="0.25">
      <c r="A5931" t="str">
        <f>"20190312172234798"</f>
        <v>20190312172234798</v>
      </c>
      <c r="B5931" t="str">
        <f>"1552382554786130"</f>
        <v>1552382554786130</v>
      </c>
      <c r="C5931" t="s">
        <v>40</v>
      </c>
      <c r="D5931">
        <v>3.42971</v>
      </c>
      <c r="E5931">
        <v>0.46814640000000002</v>
      </c>
      <c r="F5931" t="s">
        <v>64</v>
      </c>
      <c r="G5931">
        <v>-408.67320000000001</v>
      </c>
      <c r="H5931" s="1">
        <v>-2.596629E-6</v>
      </c>
      <c r="I5931">
        <v>23.94736</v>
      </c>
      <c r="J5931">
        <v>-422.0444</v>
      </c>
      <c r="K5931">
        <v>1.1125259999999999</v>
      </c>
      <c r="L5931">
        <v>55.443629999999999</v>
      </c>
      <c r="M5931">
        <v>0.1087306</v>
      </c>
      <c r="N5931">
        <v>0</v>
      </c>
      <c r="O5931">
        <v>-0.9939713</v>
      </c>
      <c r="P5931">
        <v>0.31430360000000002</v>
      </c>
      <c r="Q5931">
        <v>0.130167899999999</v>
      </c>
      <c r="R5931">
        <v>-0.94035650000000004</v>
      </c>
      <c r="S5931">
        <v>1.1853640000000001</v>
      </c>
      <c r="T5931">
        <v>-9.8421930000000005E-2</v>
      </c>
      <c r="U5931">
        <v>-2.8078919999999998</v>
      </c>
      <c r="V5931">
        <v>-0.21092859999999999</v>
      </c>
      <c r="W5931">
        <v>0.14272360000000001</v>
      </c>
      <c r="X5931">
        <v>0.96702589999999999</v>
      </c>
      <c r="Y5931">
        <v>-0.28622560000000002</v>
      </c>
      <c r="Z5931">
        <v>3.2597380000000002E-2</v>
      </c>
      <c r="AA5931">
        <v>0.9576076</v>
      </c>
      <c r="AB5931">
        <v>37</v>
      </c>
      <c r="AC5931">
        <v>13.3711999999999</v>
      </c>
      <c r="AD5931">
        <v>-1.1125285966289999</v>
      </c>
      <c r="AE5931">
        <v>-31.496269999999999</v>
      </c>
      <c r="AF5931">
        <v>-9.8565412195071698</v>
      </c>
      <c r="AG5931">
        <v>-1.1125285966289999</v>
      </c>
      <c r="AH5931">
        <v>32.728902955025198</v>
      </c>
      <c r="AI5931">
        <v>91.864220569634398</v>
      </c>
      <c r="AJ5931">
        <v>106.76004728348001</v>
      </c>
      <c r="AK5931">
        <v>34.198979711822098</v>
      </c>
      <c r="AL5931">
        <v>81.794519921938104</v>
      </c>
      <c r="AM5931">
        <v>102.304686306066</v>
      </c>
      <c r="AN5931">
        <v>0.99999999578286403</v>
      </c>
    </row>
    <row r="5932" spans="1:40" x14ac:dyDescent="0.25">
      <c r="A5932" t="str">
        <f>"20190312172234811"</f>
        <v>20190312172234811</v>
      </c>
      <c r="B5932" t="str">
        <f>"1552382554806904"</f>
        <v>1552382554806904</v>
      </c>
      <c r="C5932" t="s">
        <v>40</v>
      </c>
      <c r="D5932">
        <v>3.3787720000000001</v>
      </c>
      <c r="E5932">
        <v>0.46847349999999999</v>
      </c>
      <c r="F5932" t="s">
        <v>64</v>
      </c>
      <c r="G5932">
        <v>-408.19839999999999</v>
      </c>
      <c r="H5932" s="1">
        <v>-2.639886E-6</v>
      </c>
      <c r="I5932">
        <v>22.87809</v>
      </c>
      <c r="J5932">
        <v>-422.02010000000001</v>
      </c>
      <c r="K5932">
        <v>1.1125579999999999</v>
      </c>
      <c r="L5932">
        <v>55.231960000000001</v>
      </c>
      <c r="M5932">
        <v>0.1099984</v>
      </c>
      <c r="N5932">
        <v>0</v>
      </c>
      <c r="O5932">
        <v>-0.99383189999999999</v>
      </c>
      <c r="P5932">
        <v>0.31704520000000003</v>
      </c>
      <c r="Q5932">
        <v>0.13130539999999999</v>
      </c>
      <c r="R5932">
        <v>-0.93927709999999998</v>
      </c>
      <c r="S5932">
        <v>1.192596</v>
      </c>
      <c r="T5932">
        <v>-9.5825199999999999E-2</v>
      </c>
      <c r="U5932">
        <v>-2.8049620000000002</v>
      </c>
      <c r="V5932">
        <v>-0.2125515</v>
      </c>
      <c r="W5932">
        <v>0.14383070000000001</v>
      </c>
      <c r="X5932">
        <v>0.96650639999999999</v>
      </c>
      <c r="Y5932">
        <v>-0.28746539999999998</v>
      </c>
      <c r="Z5932">
        <v>3.1740619999999997E-2</v>
      </c>
      <c r="AA5932">
        <v>0.95726500000000003</v>
      </c>
      <c r="AB5932">
        <v>37</v>
      </c>
      <c r="AC5932">
        <v>13.8217</v>
      </c>
      <c r="AD5932">
        <v>-1.112560639886</v>
      </c>
      <c r="AE5932">
        <v>-32.353870000000001</v>
      </c>
      <c r="AF5932">
        <v>-10.168414505154299</v>
      </c>
      <c r="AG5932">
        <v>-1.112560639886</v>
      </c>
      <c r="AH5932">
        <v>33.644372000808403</v>
      </c>
      <c r="AI5932">
        <v>91.813042600836596</v>
      </c>
      <c r="AJ5932">
        <v>106.816510499876</v>
      </c>
      <c r="AK5932">
        <v>35.1650140346174</v>
      </c>
      <c r="AL5932">
        <v>81.730426650240403</v>
      </c>
      <c r="AM5932">
        <v>102.40290008572499</v>
      </c>
      <c r="AN5932">
        <v>1.0000000158278499</v>
      </c>
    </row>
    <row r="5933" spans="1:40" x14ac:dyDescent="0.25">
      <c r="A5933" t="str">
        <f>"20190312172234825"</f>
        <v>20190312172234825</v>
      </c>
      <c r="B5933" t="str">
        <f>"1552382554816664"</f>
        <v>1552382554816664</v>
      </c>
      <c r="C5933" t="s">
        <v>40</v>
      </c>
      <c r="D5933">
        <v>3.4237009999999999</v>
      </c>
      <c r="E5933">
        <v>0.46861910000000001</v>
      </c>
      <c r="F5933" t="s">
        <v>64</v>
      </c>
      <c r="G5933">
        <v>-407.89260000000002</v>
      </c>
      <c r="H5933" s="1">
        <v>-2.6697430000000002E-6</v>
      </c>
      <c r="I5933">
        <v>22.198329999999999</v>
      </c>
      <c r="J5933">
        <v>-421.99270000000001</v>
      </c>
      <c r="K5933">
        <v>1.1126020000000001</v>
      </c>
      <c r="L5933">
        <v>54.99588</v>
      </c>
      <c r="M5933">
        <v>0.1114497</v>
      </c>
      <c r="N5933">
        <v>0</v>
      </c>
      <c r="O5933">
        <v>-0.99367019999999995</v>
      </c>
      <c r="P5933">
        <v>0.32011499999999998</v>
      </c>
      <c r="Q5933">
        <v>0.132517</v>
      </c>
      <c r="R5933">
        <v>-0.93806500000000004</v>
      </c>
      <c r="S5933">
        <v>1.1985779999999999</v>
      </c>
      <c r="T5933">
        <v>-9.4389920000000002E-2</v>
      </c>
      <c r="U5933">
        <v>-2.8025820000000001</v>
      </c>
      <c r="V5933">
        <v>-0.2143428</v>
      </c>
      <c r="W5933">
        <v>0.14500370000000001</v>
      </c>
      <c r="X5933">
        <v>0.96593530000000005</v>
      </c>
      <c r="Y5933">
        <v>-0.28809380000000001</v>
      </c>
      <c r="Z5933">
        <v>3.1266809999999999E-2</v>
      </c>
      <c r="AA5933">
        <v>0.95709160000000004</v>
      </c>
      <c r="AB5933">
        <v>37</v>
      </c>
      <c r="AC5933">
        <v>14.1000999999999</v>
      </c>
      <c r="AD5933">
        <v>-1.1126046697429901</v>
      </c>
      <c r="AE5933">
        <v>-32.797550000000001</v>
      </c>
      <c r="AF5933">
        <v>-10.3465506106039</v>
      </c>
      <c r="AG5933">
        <v>-1.1126046697429901</v>
      </c>
      <c r="AH5933">
        <v>34.131639581466601</v>
      </c>
      <c r="AI5933">
        <v>91.786799127462203</v>
      </c>
      <c r="AJ5933">
        <v>106.863978951706</v>
      </c>
      <c r="AK5933">
        <v>35.682738392786803</v>
      </c>
      <c r="AL5933">
        <v>81.662506185817506</v>
      </c>
      <c r="AM5933">
        <v>102.511312658498</v>
      </c>
      <c r="AN5933">
        <v>0.99999995635580896</v>
      </c>
    </row>
    <row r="5934" spans="1:40" x14ac:dyDescent="0.25">
      <c r="A5934" t="str">
        <f>"20190312172234841"</f>
        <v>20190312172234841</v>
      </c>
      <c r="B5934" t="str">
        <f>"1552382554836184"</f>
        <v>1552382554836184</v>
      </c>
      <c r="C5934" t="s">
        <v>40</v>
      </c>
      <c r="D5934">
        <v>3.3561899999999998</v>
      </c>
      <c r="E5934">
        <v>0.46899249999999998</v>
      </c>
      <c r="F5934" t="s">
        <v>64</v>
      </c>
      <c r="G5934">
        <v>-407.38729999999998</v>
      </c>
      <c r="H5934" s="1">
        <v>-2.7269609999999999E-6</v>
      </c>
      <c r="I5934">
        <v>21.110610000000001</v>
      </c>
      <c r="J5934">
        <v>-421.9631</v>
      </c>
      <c r="K5934">
        <v>1.112662</v>
      </c>
      <c r="L5934">
        <v>54.744660000000003</v>
      </c>
      <c r="M5934">
        <v>0.1130517</v>
      </c>
      <c r="N5934">
        <v>0</v>
      </c>
      <c r="O5934">
        <v>-0.99348939999999997</v>
      </c>
      <c r="P5934">
        <v>0.32466020000000001</v>
      </c>
      <c r="Q5934">
        <v>0.13377240000000001</v>
      </c>
      <c r="R5934">
        <v>-0.93632349999999998</v>
      </c>
      <c r="S5934">
        <v>1.2065729999999999</v>
      </c>
      <c r="T5934">
        <v>-9.1914060000000006E-2</v>
      </c>
      <c r="U5934">
        <v>-2.7993160000000001</v>
      </c>
      <c r="V5934">
        <v>-0.21752299999999999</v>
      </c>
      <c r="W5934">
        <v>0.1461982</v>
      </c>
      <c r="X5934">
        <v>0.96504400000000001</v>
      </c>
      <c r="Y5934">
        <v>-0.2892711</v>
      </c>
      <c r="Z5934">
        <v>3.044968E-2</v>
      </c>
      <c r="AA5934">
        <v>0.95676280000000002</v>
      </c>
      <c r="AB5934">
        <v>37</v>
      </c>
      <c r="AC5934">
        <v>14.575799999999999</v>
      </c>
      <c r="AD5934">
        <v>-1.1126647269609999</v>
      </c>
      <c r="AE5934">
        <v>-33.634049999999903</v>
      </c>
      <c r="AF5934">
        <v>-10.669743682447599</v>
      </c>
      <c r="AG5934">
        <v>-1.1126647269609999</v>
      </c>
      <c r="AH5934">
        <v>35.034086358388699</v>
      </c>
      <c r="AI5934">
        <v>91.740209954207401</v>
      </c>
      <c r="AJ5934">
        <v>106.938282810461</v>
      </c>
      <c r="AK5934">
        <v>36.639714245757901</v>
      </c>
      <c r="AL5934">
        <v>81.593329933475204</v>
      </c>
      <c r="AM5934">
        <v>102.702313258247</v>
      </c>
      <c r="AN5934">
        <v>1.00000004557411</v>
      </c>
    </row>
    <row r="5935" spans="1:40" x14ac:dyDescent="0.25">
      <c r="A5935" t="str">
        <f>"20190312172234863"</f>
        <v>20190312172234863</v>
      </c>
      <c r="B5935" t="str">
        <f>"1552382554856681"</f>
        <v>1552382554856681</v>
      </c>
      <c r="C5935" t="s">
        <v>40</v>
      </c>
      <c r="D5935">
        <v>3.3554249999999999</v>
      </c>
      <c r="E5935">
        <v>0.46917779999999998</v>
      </c>
      <c r="F5935" t="s">
        <v>64</v>
      </c>
      <c r="G5935">
        <v>-406.7636</v>
      </c>
      <c r="H5935" s="1">
        <v>-2.8116420000000002E-6</v>
      </c>
      <c r="I5935">
        <v>19.831130000000002</v>
      </c>
      <c r="J5935">
        <v>-421.91969999999998</v>
      </c>
      <c r="K5935">
        <v>1.1127769999999999</v>
      </c>
      <c r="L5935">
        <v>54.38409</v>
      </c>
      <c r="M5935">
        <v>0.1155115</v>
      </c>
      <c r="N5935">
        <v>0</v>
      </c>
      <c r="O5935">
        <v>-0.99320629999999999</v>
      </c>
      <c r="P5935">
        <v>0.32930429999999999</v>
      </c>
      <c r="Q5935">
        <v>0.13512950000000001</v>
      </c>
      <c r="R5935">
        <v>-0.93450460000000002</v>
      </c>
      <c r="S5935">
        <v>1.216736</v>
      </c>
      <c r="T5935">
        <v>-8.9069839999999997E-2</v>
      </c>
      <c r="U5935">
        <v>-2.794861</v>
      </c>
      <c r="V5935">
        <v>-0.22</v>
      </c>
      <c r="W5935">
        <v>0.1474702</v>
      </c>
      <c r="X5935">
        <v>0.96428860000000005</v>
      </c>
      <c r="Y5935">
        <v>-0.2903945</v>
      </c>
      <c r="Z5935">
        <v>2.95131E-2</v>
      </c>
      <c r="AA5935">
        <v>0.95645179999999996</v>
      </c>
      <c r="AB5935">
        <v>37</v>
      </c>
      <c r="AC5935">
        <v>15.156099999999901</v>
      </c>
      <c r="AD5935">
        <v>-1.112779811642</v>
      </c>
      <c r="AE5935">
        <v>-34.552959999999999</v>
      </c>
      <c r="AF5935">
        <v>-11.0533525734214</v>
      </c>
      <c r="AG5935">
        <v>-1.112779811642</v>
      </c>
      <c r="AH5935">
        <v>36.041149794537802</v>
      </c>
      <c r="AI5935">
        <v>91.690780317158001</v>
      </c>
      <c r="AJ5935">
        <v>107.05009651288</v>
      </c>
      <c r="AK5935">
        <v>37.714444985096499</v>
      </c>
      <c r="AL5935">
        <v>81.519650560651996</v>
      </c>
      <c r="AM5935">
        <v>102.85191421875901</v>
      </c>
      <c r="AN5935">
        <v>0.99999998198899898</v>
      </c>
    </row>
    <row r="5936" spans="1:40" x14ac:dyDescent="0.25">
      <c r="A5936" t="str">
        <f>"20190312172234884"</f>
        <v>20190312172234884</v>
      </c>
      <c r="B5936" t="str">
        <f>"1552382554876200"</f>
        <v>1552382554876200</v>
      </c>
      <c r="C5936" t="s">
        <v>40</v>
      </c>
      <c r="D5936">
        <v>3.3643109999999998</v>
      </c>
      <c r="E5936">
        <v>0.47869650000000002</v>
      </c>
      <c r="F5936" t="s">
        <v>64</v>
      </c>
      <c r="G5936">
        <v>-405.86970000000002</v>
      </c>
      <c r="H5936" s="1">
        <v>-5.3012930000000004E-6</v>
      </c>
      <c r="I5936">
        <v>17.987850000000002</v>
      </c>
      <c r="J5936">
        <v>-421.87459999999999</v>
      </c>
      <c r="K5936">
        <v>1.1129260000000001</v>
      </c>
      <c r="L5936">
        <v>54.017879999999998</v>
      </c>
      <c r="M5936">
        <v>0.11819739999999999</v>
      </c>
      <c r="N5936">
        <v>0</v>
      </c>
      <c r="O5936">
        <v>-0.99289000000000005</v>
      </c>
      <c r="P5936">
        <v>0.33347389999999999</v>
      </c>
      <c r="Q5936">
        <v>0.13656299999999999</v>
      </c>
      <c r="R5936">
        <v>-0.93281610000000004</v>
      </c>
      <c r="S5936">
        <v>1.2299800000000001</v>
      </c>
      <c r="T5936">
        <v>-8.5276840000000007E-2</v>
      </c>
      <c r="U5936">
        <v>-2.7891849999999998</v>
      </c>
      <c r="V5936">
        <v>-0.2217875</v>
      </c>
      <c r="W5936">
        <v>0.14880860000000001</v>
      </c>
      <c r="X5936">
        <v>0.96367340000000001</v>
      </c>
      <c r="Y5936">
        <v>-0.29234169999999998</v>
      </c>
      <c r="Z5936">
        <v>2.8261959999999999E-2</v>
      </c>
      <c r="AA5936">
        <v>0.95589630000000003</v>
      </c>
      <c r="AB5936">
        <v>37</v>
      </c>
      <c r="AC5936">
        <v>16.0048999999999</v>
      </c>
      <c r="AD5936">
        <v>-1.112931301293</v>
      </c>
      <c r="AE5936">
        <v>-36.030029999999996</v>
      </c>
      <c r="AF5936">
        <v>-11.624342583769</v>
      </c>
      <c r="AG5936">
        <v>-1.112931301293</v>
      </c>
      <c r="AH5936">
        <v>37.639344722091003</v>
      </c>
      <c r="AI5936">
        <v>91.6182709134699</v>
      </c>
      <c r="AJ5936">
        <v>107.162512619604</v>
      </c>
      <c r="AK5936">
        <v>39.409189635091799</v>
      </c>
      <c r="AL5936">
        <v>81.442110998244701</v>
      </c>
      <c r="AM5936">
        <v>102.96081766608199</v>
      </c>
      <c r="AN5936">
        <v>1.0000000582288799</v>
      </c>
    </row>
    <row r="5937" spans="1:40" x14ac:dyDescent="0.25">
      <c r="A5937" t="str">
        <f>"20190312172234906"</f>
        <v>20190312172234906</v>
      </c>
      <c r="B5937" t="str">
        <f>"1552382554896696"</f>
        <v>1552382554896696</v>
      </c>
      <c r="C5937" t="s">
        <v>40</v>
      </c>
      <c r="D5937">
        <v>3.3442370000000001</v>
      </c>
      <c r="E5937">
        <v>0.47827500000000001</v>
      </c>
      <c r="F5937" t="s">
        <v>64</v>
      </c>
      <c r="G5937">
        <v>-408.93700000000001</v>
      </c>
      <c r="H5937" s="1">
        <v>-2.22677E-6</v>
      </c>
      <c r="I5937">
        <v>22.98621</v>
      </c>
      <c r="J5937">
        <v>-421.82979999999998</v>
      </c>
      <c r="K5937">
        <v>1.1130910000000001</v>
      </c>
      <c r="L5937">
        <v>53.664119999999997</v>
      </c>
      <c r="M5937">
        <v>0.1209969</v>
      </c>
      <c r="N5937">
        <v>0</v>
      </c>
      <c r="O5937">
        <v>-0.99255280000000001</v>
      </c>
      <c r="P5937">
        <v>0.33797890000000003</v>
      </c>
      <c r="Q5937">
        <v>0.13796929999999999</v>
      </c>
      <c r="R5937">
        <v>-0.93098579999999997</v>
      </c>
      <c r="S5937">
        <v>1.172272</v>
      </c>
      <c r="T5937">
        <v>-0.100842</v>
      </c>
      <c r="U5937">
        <v>-2.8117679999999998</v>
      </c>
      <c r="V5937">
        <v>-0.2238251</v>
      </c>
      <c r="W5937">
        <v>0.15010889999999999</v>
      </c>
      <c r="X5937">
        <v>0.96300039999999998</v>
      </c>
      <c r="Y5937">
        <v>-0.27007829999999999</v>
      </c>
      <c r="Z5937">
        <v>3.339247E-2</v>
      </c>
      <c r="AA5937">
        <v>0.96225919999999998</v>
      </c>
      <c r="AB5937">
        <v>37</v>
      </c>
      <c r="AC5937">
        <v>12.892799999999999</v>
      </c>
      <c r="AD5937">
        <v>-1.11309322677</v>
      </c>
      <c r="AE5937">
        <v>-30.677910000000001</v>
      </c>
      <c r="AF5937">
        <v>-9.0756010917031098</v>
      </c>
      <c r="AG5937">
        <v>-1.11309322677</v>
      </c>
      <c r="AH5937">
        <v>31.976837212103302</v>
      </c>
      <c r="AI5937">
        <v>91.917933066453003</v>
      </c>
      <c r="AJ5937">
        <v>105.844894952831</v>
      </c>
      <c r="AK5937">
        <v>33.258436971640201</v>
      </c>
      <c r="AL5937">
        <v>81.366763031729604</v>
      </c>
      <c r="AM5937">
        <v>103.08464078935999</v>
      </c>
      <c r="AN5937">
        <v>1.00000006382468</v>
      </c>
    </row>
    <row r="5938" spans="1:40" x14ac:dyDescent="0.25">
      <c r="A5938" t="str">
        <f>"20190312172234922"</f>
        <v>20190312172234922</v>
      </c>
      <c r="B5938" t="str">
        <f>"1552382554916216"</f>
        <v>1552382554916216</v>
      </c>
      <c r="C5938" t="s">
        <v>40</v>
      </c>
      <c r="D5938">
        <v>3.3329800000000001</v>
      </c>
      <c r="E5938">
        <v>0.47868739999999999</v>
      </c>
      <c r="F5938" t="s">
        <v>64</v>
      </c>
      <c r="G5938">
        <v>-409.0231</v>
      </c>
      <c r="H5938" s="1">
        <v>-2.2815589999999998E-6</v>
      </c>
      <c r="I5938">
        <v>23.461819999999999</v>
      </c>
      <c r="J5938">
        <v>-421.79770000000002</v>
      </c>
      <c r="K5938">
        <v>1.1132200000000001</v>
      </c>
      <c r="L5938">
        <v>53.415010000000002</v>
      </c>
      <c r="M5938">
        <v>0.1230918</v>
      </c>
      <c r="N5938">
        <v>0</v>
      </c>
      <c r="O5938">
        <v>-0.99229509999999999</v>
      </c>
      <c r="P5938">
        <v>0.3411458</v>
      </c>
      <c r="Q5938">
        <v>0.13843720000000001</v>
      </c>
      <c r="R5938">
        <v>-0.9297607</v>
      </c>
      <c r="S5938">
        <v>1.1897580000000001</v>
      </c>
      <c r="T5938">
        <v>-0.1034071</v>
      </c>
      <c r="U5938">
        <v>-2.8058169999999998</v>
      </c>
      <c r="V5938">
        <v>-0.22513069999999999</v>
      </c>
      <c r="W5938">
        <v>0.1504974</v>
      </c>
      <c r="X5938">
        <v>0.96263529999999997</v>
      </c>
      <c r="Y5938">
        <v>-0.27385169999999998</v>
      </c>
      <c r="Z5938">
        <v>3.423582E-2</v>
      </c>
      <c r="AA5938">
        <v>0.96116239999999997</v>
      </c>
      <c r="AB5938">
        <v>37</v>
      </c>
      <c r="AC5938">
        <v>12.7746</v>
      </c>
      <c r="AD5938">
        <v>-1.113222281559</v>
      </c>
      <c r="AE5938">
        <v>-29.953189999999999</v>
      </c>
      <c r="AF5938">
        <v>-8.9795803871429705</v>
      </c>
      <c r="AG5938">
        <v>-1.113222281559</v>
      </c>
      <c r="AH5938">
        <v>31.2614289965864</v>
      </c>
      <c r="AI5938">
        <v>91.960246584496304</v>
      </c>
      <c r="AJ5938">
        <v>106.026263229264</v>
      </c>
      <c r="AK5938">
        <v>32.544570525449203</v>
      </c>
      <c r="AL5938">
        <v>81.344247381048902</v>
      </c>
      <c r="AM5938">
        <v>103.16313377729099</v>
      </c>
      <c r="AN5938">
        <v>1.00000001014766</v>
      </c>
    </row>
    <row r="5939" spans="1:40" x14ac:dyDescent="0.25">
      <c r="A5939" t="str">
        <f>"20190312172234940"</f>
        <v>20190312172234940</v>
      </c>
      <c r="B5939" t="str">
        <f>"1552382554936712"</f>
        <v>1552382554936712</v>
      </c>
      <c r="C5939" t="s">
        <v>40</v>
      </c>
      <c r="D5939">
        <v>3.2987229999999998</v>
      </c>
      <c r="E5939">
        <v>0.479072</v>
      </c>
      <c r="F5939" t="s">
        <v>64</v>
      </c>
      <c r="G5939">
        <v>-409.40879999999999</v>
      </c>
      <c r="H5939" s="1">
        <v>-2.2564889999999998E-6</v>
      </c>
      <c r="I5939">
        <v>24.37593</v>
      </c>
      <c r="J5939">
        <v>-421.75830000000002</v>
      </c>
      <c r="K5939">
        <v>1.113394</v>
      </c>
      <c r="L5939">
        <v>53.116300000000003</v>
      </c>
      <c r="M5939">
        <v>0.1257829</v>
      </c>
      <c r="N5939">
        <v>0</v>
      </c>
      <c r="O5939">
        <v>-0.99195739999999999</v>
      </c>
      <c r="P5939">
        <v>0.34588819999999998</v>
      </c>
      <c r="Q5939">
        <v>0.1393742</v>
      </c>
      <c r="R5939">
        <v>-0.92786670000000004</v>
      </c>
      <c r="S5939">
        <v>1.196167</v>
      </c>
      <c r="T5939">
        <v>-0.1074835</v>
      </c>
      <c r="U5939">
        <v>-2.8037719999999999</v>
      </c>
      <c r="V5939">
        <v>-0.22752420000000001</v>
      </c>
      <c r="W5939">
        <v>0.15132039999999999</v>
      </c>
      <c r="X5939">
        <v>0.96194329999999995</v>
      </c>
      <c r="Y5939">
        <v>-0.27333669999999999</v>
      </c>
      <c r="Z5939">
        <v>3.557664E-2</v>
      </c>
      <c r="AA5939">
        <v>0.96126029999999996</v>
      </c>
      <c r="AB5939">
        <v>37</v>
      </c>
      <c r="AC5939">
        <v>12.349500000000001</v>
      </c>
      <c r="AD5939">
        <v>-1.1133962564890001</v>
      </c>
      <c r="AE5939">
        <v>-28.740369999999999</v>
      </c>
      <c r="AF5939">
        <v>-8.6250641315004994</v>
      </c>
      <c r="AG5939">
        <v>-1.1133962564890001</v>
      </c>
      <c r="AH5939">
        <v>30.027532161867299</v>
      </c>
      <c r="AI5939">
        <v>92.041050905937098</v>
      </c>
      <c r="AJ5939">
        <v>106.026104847369</v>
      </c>
      <c r="AK5939">
        <v>31.261542991804401</v>
      </c>
      <c r="AL5939">
        <v>81.296546744707001</v>
      </c>
      <c r="AM5939">
        <v>103.30735791905801</v>
      </c>
      <c r="AN5939">
        <v>1.00000001872834</v>
      </c>
    </row>
    <row r="5940" spans="1:40" x14ac:dyDescent="0.25">
      <c r="A5940" t="str">
        <f>"20190312172234953"</f>
        <v>20190312172234953</v>
      </c>
      <c r="B5940" t="str">
        <f>"1552382554946472"</f>
        <v>1552382554946472</v>
      </c>
      <c r="C5940" t="s">
        <v>40</v>
      </c>
      <c r="D5940">
        <v>3.3308629999999999</v>
      </c>
      <c r="E5940">
        <v>0.4792034</v>
      </c>
      <c r="F5940" t="s">
        <v>64</v>
      </c>
      <c r="G5940">
        <v>-408.62130000000002</v>
      </c>
      <c r="H5940" s="1">
        <v>-2.3405869999999999E-6</v>
      </c>
      <c r="I5940">
        <v>22.657779999999999</v>
      </c>
      <c r="J5940">
        <v>-421.72719999999998</v>
      </c>
      <c r="K5940">
        <v>1.1135389999999901</v>
      </c>
      <c r="L5940">
        <v>52.887599999999999</v>
      </c>
      <c r="M5940">
        <v>0.12800590000000001</v>
      </c>
      <c r="N5940">
        <v>0</v>
      </c>
      <c r="O5940">
        <v>-0.99167309999999997</v>
      </c>
      <c r="P5940">
        <v>0.34912209999999899</v>
      </c>
      <c r="Q5940">
        <v>0.1402089</v>
      </c>
      <c r="R5940">
        <v>-0.92652860000000004</v>
      </c>
      <c r="S5940">
        <v>1.2070620000000001</v>
      </c>
      <c r="T5940">
        <v>-0.102302</v>
      </c>
      <c r="U5940">
        <v>-2.7986149999999999</v>
      </c>
      <c r="V5940">
        <v>-0.22879969999999999</v>
      </c>
      <c r="W5940">
        <v>0.15206700000000001</v>
      </c>
      <c r="X5940">
        <v>0.96152289999999996</v>
      </c>
      <c r="Y5940">
        <v>-0.27500289999999999</v>
      </c>
      <c r="Z5940">
        <v>3.3873100000000003E-2</v>
      </c>
      <c r="AA5940">
        <v>0.96084650000000005</v>
      </c>
      <c r="AB5940">
        <v>37</v>
      </c>
      <c r="AC5940">
        <v>13.105899999999901</v>
      </c>
      <c r="AD5940">
        <v>-1.1135413405869901</v>
      </c>
      <c r="AE5940">
        <v>-30.22982</v>
      </c>
      <c r="AF5940">
        <v>-9.1176670844088807</v>
      </c>
      <c r="AG5940">
        <v>-1.1135413405869901</v>
      </c>
      <c r="AH5940">
        <v>31.622761940748799</v>
      </c>
      <c r="AI5940">
        <v>91.937862032628701</v>
      </c>
      <c r="AJ5940">
        <v>106.083651251547</v>
      </c>
      <c r="AK5940">
        <v>32.929787429325799</v>
      </c>
      <c r="AL5940">
        <v>81.2532685538999</v>
      </c>
      <c r="AM5940">
        <v>103.384922758908</v>
      </c>
      <c r="AN5940">
        <v>0.99999998121674905</v>
      </c>
    </row>
    <row r="5941" spans="1:40" x14ac:dyDescent="0.25">
      <c r="A5941" t="str">
        <f>"20190312172234966"</f>
        <v>20190312172234966</v>
      </c>
      <c r="B5941" t="str">
        <f>"1552382554956232"</f>
        <v>1552382554956232</v>
      </c>
      <c r="C5941" t="s">
        <v>40</v>
      </c>
      <c r="D5941">
        <v>3.3030699999999902</v>
      </c>
      <c r="E5941">
        <v>0.4796049</v>
      </c>
      <c r="F5941" t="s">
        <v>64</v>
      </c>
      <c r="G5941">
        <v>-408.3023</v>
      </c>
      <c r="H5941" s="1">
        <v>-2.390324E-6</v>
      </c>
      <c r="I5941">
        <v>22.0322</v>
      </c>
      <c r="J5941">
        <v>-421.69940000000003</v>
      </c>
      <c r="K5941">
        <v>1.1136760000000001</v>
      </c>
      <c r="L5941">
        <v>52.685270000000003</v>
      </c>
      <c r="M5941">
        <v>0.13004470000000001</v>
      </c>
      <c r="N5941">
        <v>0</v>
      </c>
      <c r="O5941">
        <v>-0.9914077</v>
      </c>
      <c r="P5941">
        <v>0.35200679999999901</v>
      </c>
      <c r="Q5941">
        <v>0.14113519999999999</v>
      </c>
      <c r="R5941">
        <v>-0.92529600000000001</v>
      </c>
      <c r="S5941">
        <v>1.216064</v>
      </c>
      <c r="T5941">
        <v>-0.1008672</v>
      </c>
      <c r="U5941">
        <v>-2.7949519999999999</v>
      </c>
      <c r="V5941">
        <v>-0.2298934</v>
      </c>
      <c r="W5941">
        <v>0.15291289999999999</v>
      </c>
      <c r="X5941">
        <v>0.96112779999999998</v>
      </c>
      <c r="Y5941">
        <v>-0.27609539999999999</v>
      </c>
      <c r="Z5941">
        <v>3.3399329999999998E-2</v>
      </c>
      <c r="AA5941">
        <v>0.96054980000000001</v>
      </c>
      <c r="AB5941">
        <v>37</v>
      </c>
      <c r="AC5941">
        <v>13.3971</v>
      </c>
      <c r="AD5941">
        <v>-1.113678390324</v>
      </c>
      <c r="AE5941">
        <v>-30.65307</v>
      </c>
      <c r="AF5941">
        <v>-9.2863525857858207</v>
      </c>
      <c r="AG5941">
        <v>-1.113678390324</v>
      </c>
      <c r="AH5941">
        <v>32.099535869793002</v>
      </c>
      <c r="AI5941">
        <v>91.908840652272602</v>
      </c>
      <c r="AJ5941">
        <v>106.135085327729</v>
      </c>
      <c r="AK5941">
        <v>33.434365957211298</v>
      </c>
      <c r="AL5941">
        <v>81.204228599708102</v>
      </c>
      <c r="AM5941">
        <v>103.451913247985</v>
      </c>
      <c r="AN5941">
        <v>0.99999998914140398</v>
      </c>
    </row>
    <row r="5942" spans="1:40" x14ac:dyDescent="0.25">
      <c r="A5942" t="str">
        <f>"20190312172234980"</f>
        <v>20190312172234980</v>
      </c>
      <c r="B5942" t="str">
        <f>"1552382554976730"</f>
        <v>1552382554976730</v>
      </c>
      <c r="C5942" t="s">
        <v>40</v>
      </c>
      <c r="D5942">
        <v>3.3948930000000002</v>
      </c>
      <c r="E5942">
        <v>0.48048940000000001</v>
      </c>
      <c r="F5942" t="s">
        <v>64</v>
      </c>
      <c r="G5942">
        <v>-408.61680000000001</v>
      </c>
      <c r="H5942" s="1">
        <v>-2.3719850000000001E-6</v>
      </c>
      <c r="I5942">
        <v>22.787019999999998</v>
      </c>
      <c r="J5942">
        <v>-421.66800000000001</v>
      </c>
      <c r="K5942">
        <v>1.113826</v>
      </c>
      <c r="L5942">
        <v>52.460050000000003</v>
      </c>
      <c r="M5942">
        <v>0.13239010000000001</v>
      </c>
      <c r="N5942">
        <v>0</v>
      </c>
      <c r="O5942">
        <v>-0.99109700000000001</v>
      </c>
      <c r="P5942">
        <v>0.35563709999999998</v>
      </c>
      <c r="Q5942">
        <v>0.141627799999999</v>
      </c>
      <c r="R5942">
        <v>-0.92383099999999996</v>
      </c>
      <c r="S5942">
        <v>1.2221979999999999</v>
      </c>
      <c r="T5942">
        <v>-0.10404190000000001</v>
      </c>
      <c r="U5942">
        <v>-2.7931520000000001</v>
      </c>
      <c r="V5942">
        <v>-0.23146430000000001</v>
      </c>
      <c r="W5942">
        <v>0.153311</v>
      </c>
      <c r="X5942">
        <v>0.96068719999999996</v>
      </c>
      <c r="Y5942">
        <v>-0.27580549999999998</v>
      </c>
      <c r="Z5942">
        <v>3.4440310000000002E-2</v>
      </c>
      <c r="AA5942">
        <v>0.96059629999999996</v>
      </c>
      <c r="AB5942">
        <v>37</v>
      </c>
      <c r="AC5942">
        <v>13.0511999999999</v>
      </c>
      <c r="AD5942">
        <v>-1.113828371985</v>
      </c>
      <c r="AE5942">
        <v>-29.673029999999901</v>
      </c>
      <c r="AF5942">
        <v>-8.9968669320298602</v>
      </c>
      <c r="AG5942">
        <v>-1.113828371985</v>
      </c>
      <c r="AH5942">
        <v>31.103087886686801</v>
      </c>
      <c r="AI5942">
        <v>91.9702322536792</v>
      </c>
      <c r="AJ5942">
        <v>106.13302067354699</v>
      </c>
      <c r="AK5942">
        <v>32.397319400250602</v>
      </c>
      <c r="AL5942">
        <v>81.181146558984096</v>
      </c>
      <c r="AM5942">
        <v>103.54644007813199</v>
      </c>
      <c r="AN5942">
        <v>0.99999994056966302</v>
      </c>
    </row>
    <row r="5943" spans="1:40" x14ac:dyDescent="0.25">
      <c r="A5943" t="str">
        <f>"20190312172234995"</f>
        <v>20190312172234995</v>
      </c>
      <c r="B5943" t="str">
        <f>"1552382554986488"</f>
        <v>1552382554986488</v>
      </c>
      <c r="C5943" t="s">
        <v>40</v>
      </c>
      <c r="D5943">
        <v>3.0757979999999998</v>
      </c>
      <c r="E5943">
        <v>0.48062109999999902</v>
      </c>
      <c r="F5943" t="s">
        <v>64</v>
      </c>
      <c r="G5943">
        <v>-409.6558</v>
      </c>
      <c r="H5943" s="1">
        <v>-2.2768930000000002E-6</v>
      </c>
      <c r="I5943">
        <v>25.125039999999998</v>
      </c>
      <c r="J5943">
        <v>-421.63220000000001</v>
      </c>
      <c r="K5943">
        <v>1.1140000000000001</v>
      </c>
      <c r="L5943">
        <v>52.210970000000003</v>
      </c>
      <c r="M5943">
        <v>0.13516439999999999</v>
      </c>
      <c r="N5943">
        <v>0</v>
      </c>
      <c r="O5943">
        <v>-0.99072249999999995</v>
      </c>
      <c r="P5943">
        <v>0.35924709999999899</v>
      </c>
      <c r="Q5943">
        <v>0.14186460000000001</v>
      </c>
      <c r="R5943">
        <v>-0.92239729999999998</v>
      </c>
      <c r="S5943">
        <v>1.227112</v>
      </c>
      <c r="T5943">
        <v>-0.1137836</v>
      </c>
      <c r="U5943">
        <v>-2.7924190000000002</v>
      </c>
      <c r="V5943">
        <v>-0.23260349999999999</v>
      </c>
      <c r="W5943">
        <v>0.1534459</v>
      </c>
      <c r="X5943">
        <v>0.96039050000000004</v>
      </c>
      <c r="Y5943">
        <v>-0.27457769999999998</v>
      </c>
      <c r="Z5943">
        <v>3.7642080000000001E-2</v>
      </c>
      <c r="AA5943">
        <v>0.96082780000000001</v>
      </c>
      <c r="AB5943">
        <v>37</v>
      </c>
      <c r="AC5943">
        <v>11.9764</v>
      </c>
      <c r="AD5943">
        <v>-1.114002276893</v>
      </c>
      <c r="AE5943">
        <v>-27.085930000000001</v>
      </c>
      <c r="AF5943">
        <v>-8.1934609234245208</v>
      </c>
      <c r="AG5943">
        <v>-1.114002276893</v>
      </c>
      <c r="AH5943">
        <v>28.416055579707301</v>
      </c>
      <c r="AI5943">
        <v>92.157234932405601</v>
      </c>
      <c r="AJ5943">
        <v>106.084341746136</v>
      </c>
      <c r="AK5943">
        <v>29.594695769438498</v>
      </c>
      <c r="AL5943">
        <v>81.1733250909178</v>
      </c>
      <c r="AM5943">
        <v>103.61468574221399</v>
      </c>
      <c r="AN5943">
        <v>0.999999972464654</v>
      </c>
    </row>
    <row r="5944" spans="1:40" x14ac:dyDescent="0.25">
      <c r="A5944" t="str">
        <f>"20190312172235006"</f>
        <v>20190312172235006</v>
      </c>
      <c r="B5944" t="str">
        <f>"1552382554996248"</f>
        <v>1552382554996248</v>
      </c>
      <c r="C5944" t="s">
        <v>40</v>
      </c>
      <c r="D5944">
        <v>3.3096510000000001</v>
      </c>
      <c r="E5944">
        <v>0.48079680000000002</v>
      </c>
      <c r="F5944" t="s">
        <v>64</v>
      </c>
      <c r="G5944">
        <v>-409.4402</v>
      </c>
      <c r="H5944" s="1">
        <v>-2.3187119999999998E-6</v>
      </c>
      <c r="I5944">
        <v>24.739129999999999</v>
      </c>
      <c r="J5944">
        <v>-421.6053</v>
      </c>
      <c r="K5944">
        <v>1.114133</v>
      </c>
      <c r="L5944">
        <v>52.026670000000003</v>
      </c>
      <c r="M5944">
        <v>0.13729069999999999</v>
      </c>
      <c r="N5944">
        <v>0</v>
      </c>
      <c r="O5944">
        <v>-0.99042980000000003</v>
      </c>
      <c r="P5944">
        <v>0.36401889999999998</v>
      </c>
      <c r="Q5944">
        <v>0.14256759999999999</v>
      </c>
      <c r="R5944">
        <v>-0.92041530000000005</v>
      </c>
      <c r="S5944">
        <v>1.237274</v>
      </c>
      <c r="T5944">
        <v>-0.1130514</v>
      </c>
      <c r="U5944">
        <v>-2.787903</v>
      </c>
      <c r="V5944">
        <v>-0.23558889999999999</v>
      </c>
      <c r="W5944">
        <v>0.15404570000000001</v>
      </c>
      <c r="X5944">
        <v>0.95956649999999999</v>
      </c>
      <c r="Y5944">
        <v>-0.2760203</v>
      </c>
      <c r="Z5944">
        <v>3.7404600000000003E-2</v>
      </c>
      <c r="AA5944">
        <v>0.96042369999999999</v>
      </c>
      <c r="AB5944">
        <v>37</v>
      </c>
      <c r="AC5944">
        <v>12.165099999999899</v>
      </c>
      <c r="AD5944">
        <v>-1.114135318712</v>
      </c>
      <c r="AE5944">
        <v>-27.28754</v>
      </c>
      <c r="AF5944">
        <v>-8.2916519400648401</v>
      </c>
      <c r="AG5944">
        <v>-1.114135318712</v>
      </c>
      <c r="AH5944">
        <v>28.659563489556099</v>
      </c>
      <c r="AI5944">
        <v>92.138622014397001</v>
      </c>
      <c r="AJ5944">
        <v>106.1359684988</v>
      </c>
      <c r="AK5944">
        <v>29.855709149432101</v>
      </c>
      <c r="AL5944">
        <v>81.138546150172203</v>
      </c>
      <c r="AM5944">
        <v>103.79418622998</v>
      </c>
      <c r="AN5944">
        <v>1.00000003770697</v>
      </c>
    </row>
    <row r="5945" spans="1:40" x14ac:dyDescent="0.25">
      <c r="A5945" t="str">
        <f>"20190312172235022"</f>
        <v>20190312172235022</v>
      </c>
      <c r="B5945" t="str">
        <f>"1552382555016744"</f>
        <v>1552382555016744</v>
      </c>
      <c r="C5945" t="s">
        <v>40</v>
      </c>
      <c r="D5945">
        <v>3.3203900000000002</v>
      </c>
      <c r="E5945">
        <v>0.48085020000000001</v>
      </c>
      <c r="F5945" t="s">
        <v>64</v>
      </c>
      <c r="G5945">
        <v>-409.02600000000001</v>
      </c>
      <c r="H5945" s="1">
        <v>-2.4086979999999999E-6</v>
      </c>
      <c r="I5945">
        <v>24.041429999999998</v>
      </c>
      <c r="J5945">
        <v>-421.56869999999998</v>
      </c>
      <c r="K5945">
        <v>1.1143000000000001</v>
      </c>
      <c r="L5945">
        <v>51.7804</v>
      </c>
      <c r="M5945">
        <v>0.1402195</v>
      </c>
      <c r="N5945">
        <v>0</v>
      </c>
      <c r="O5945">
        <v>-0.99001950000000005</v>
      </c>
      <c r="P5945">
        <v>0.36811300000000002</v>
      </c>
      <c r="Q5945">
        <v>0.14217869999999999</v>
      </c>
      <c r="R5945">
        <v>-0.91884619999999995</v>
      </c>
      <c r="S5945">
        <v>1.2504879999999901</v>
      </c>
      <c r="T5945">
        <v>-0.11075500000000001</v>
      </c>
      <c r="U5945">
        <v>-2.7819820000000002</v>
      </c>
      <c r="V5945">
        <v>-0.23707629999999999</v>
      </c>
      <c r="W5945">
        <v>0.15355089999999999</v>
      </c>
      <c r="X5945">
        <v>0.9592794</v>
      </c>
      <c r="Y5945">
        <v>-0.2777481</v>
      </c>
      <c r="Z5945">
        <v>3.6650729999999999E-2</v>
      </c>
      <c r="AA5945">
        <v>0.95995459999999999</v>
      </c>
      <c r="AB5945">
        <v>37</v>
      </c>
      <c r="AC5945">
        <v>12.5426999999999</v>
      </c>
      <c r="AD5945">
        <v>-1.114302408698</v>
      </c>
      <c r="AE5945">
        <v>-27.738969999999998</v>
      </c>
      <c r="AF5945">
        <v>-8.51741401673317</v>
      </c>
      <c r="AG5945">
        <v>-1.114302408698</v>
      </c>
      <c r="AH5945">
        <v>29.1846720129654</v>
      </c>
      <c r="AI5945">
        <v>92.099069798931296</v>
      </c>
      <c r="AJ5945">
        <v>106.26964519879699</v>
      </c>
      <c r="AK5945">
        <v>30.422575365916</v>
      </c>
      <c r="AL5945">
        <v>81.167237207976001</v>
      </c>
      <c r="AM5945">
        <v>103.881912614192</v>
      </c>
      <c r="AN5945">
        <v>1.00000000908842</v>
      </c>
    </row>
    <row r="5946" spans="1:40" x14ac:dyDescent="0.25">
      <c r="A5946" t="str">
        <f>"20190312172235036"</f>
        <v>20190312172235036</v>
      </c>
      <c r="B5946" t="str">
        <f>"1552382555026504"</f>
        <v>1552382555026504</v>
      </c>
      <c r="C5946" t="s">
        <v>40</v>
      </c>
      <c r="D5946">
        <v>3.5429919999999999</v>
      </c>
      <c r="E5946">
        <v>0.48100480000000001</v>
      </c>
      <c r="F5946" t="s">
        <v>64</v>
      </c>
      <c r="G5946">
        <v>-409.29250000000002</v>
      </c>
      <c r="H5946" s="1">
        <v>-2.4130570000000001E-6</v>
      </c>
      <c r="I5946">
        <v>24.770409999999998</v>
      </c>
      <c r="J5946">
        <v>-421.53359999999998</v>
      </c>
      <c r="K5946">
        <v>1.1144529999999999</v>
      </c>
      <c r="L5946">
        <v>51.55048</v>
      </c>
      <c r="M5946">
        <v>0.1430912</v>
      </c>
      <c r="N5946">
        <v>0</v>
      </c>
      <c r="O5946">
        <v>-0.9896083</v>
      </c>
      <c r="P5946">
        <v>0.37205110000000002</v>
      </c>
      <c r="Q5946">
        <v>0.14195350000000001</v>
      </c>
      <c r="R5946">
        <v>-0.91729349999999998</v>
      </c>
      <c r="S5946">
        <v>1.2621770000000001</v>
      </c>
      <c r="T5946">
        <v>-0.1145673</v>
      </c>
      <c r="U5946">
        <v>-2.7770389999999998</v>
      </c>
      <c r="V5946">
        <v>-0.23846139999999999</v>
      </c>
      <c r="W5946">
        <v>0.15322620000000001</v>
      </c>
      <c r="X5946">
        <v>0.95898799999999995</v>
      </c>
      <c r="Y5946">
        <v>-0.27893420000000002</v>
      </c>
      <c r="Z5946">
        <v>3.7909989999999998E-2</v>
      </c>
      <c r="AA5946">
        <v>0.95956160000000001</v>
      </c>
      <c r="AB5946">
        <v>37</v>
      </c>
      <c r="AC5946">
        <v>12.2410999999999</v>
      </c>
      <c r="AD5946">
        <v>-1.1144554130569999</v>
      </c>
      <c r="AE5946">
        <v>-26.780069999999998</v>
      </c>
      <c r="AF5946">
        <v>-8.2708833222888902</v>
      </c>
      <c r="AG5946">
        <v>-1.1144554130569999</v>
      </c>
      <c r="AH5946">
        <v>28.215784113761298</v>
      </c>
      <c r="AI5946">
        <v>92.170628237735102</v>
      </c>
      <c r="AJ5946">
        <v>106.337426108816</v>
      </c>
      <c r="AK5946">
        <v>29.4241396637692</v>
      </c>
      <c r="AL5946">
        <v>81.186064270999694</v>
      </c>
      <c r="AM5946">
        <v>103.963929337965</v>
      </c>
      <c r="AN5946">
        <v>1.0000000459001901</v>
      </c>
    </row>
    <row r="5947" spans="1:40" x14ac:dyDescent="0.25">
      <c r="A5947" t="str">
        <f>"20190312172235052"</f>
        <v>20190312172235052</v>
      </c>
      <c r="B5947" t="str">
        <f>"1552382555046024"</f>
        <v>1552382555046024</v>
      </c>
      <c r="C5947" t="s">
        <v>40</v>
      </c>
      <c r="D5947">
        <v>3.3431950000000001</v>
      </c>
      <c r="E5947">
        <v>0.48094690000000001</v>
      </c>
      <c r="F5947" t="s">
        <v>64</v>
      </c>
      <c r="G5947">
        <v>-409.2312</v>
      </c>
      <c r="H5947" s="1">
        <v>-2.4472320000000001E-6</v>
      </c>
      <c r="I5947">
        <v>24.760870000000001</v>
      </c>
      <c r="J5947">
        <v>-421.49189999999999</v>
      </c>
      <c r="K5947">
        <v>1.114635</v>
      </c>
      <c r="L5947">
        <v>51.283110000000001</v>
      </c>
      <c r="M5947">
        <v>0.146556399999999</v>
      </c>
      <c r="N5947">
        <v>0</v>
      </c>
      <c r="O5947">
        <v>-0.98910089999999995</v>
      </c>
      <c r="P5947">
        <v>0.37735940000000001</v>
      </c>
      <c r="Q5947">
        <v>0.14222770000000001</v>
      </c>
      <c r="R5947">
        <v>-0.91508</v>
      </c>
      <c r="S5947">
        <v>1.27298</v>
      </c>
      <c r="T5947">
        <v>-0.1153174</v>
      </c>
      <c r="U5947">
        <v>-2.7720340000000001</v>
      </c>
      <c r="V5947">
        <v>-0.24073729999999999</v>
      </c>
      <c r="W5947">
        <v>0.1533756</v>
      </c>
      <c r="X5947">
        <v>0.9583952</v>
      </c>
      <c r="Y5947">
        <v>-0.27931230000000001</v>
      </c>
      <c r="Z5947">
        <v>3.8159239999999997E-2</v>
      </c>
      <c r="AA5947">
        <v>0.95944180000000001</v>
      </c>
      <c r="AB5947">
        <v>37</v>
      </c>
      <c r="AC5947">
        <v>12.2606999999999</v>
      </c>
      <c r="AD5947">
        <v>-1.114637447232</v>
      </c>
      <c r="AE5947">
        <v>-26.52224</v>
      </c>
      <c r="AF5947">
        <v>-8.2289170755820695</v>
      </c>
      <c r="AG5947">
        <v>-1.114637447232</v>
      </c>
      <c r="AH5947">
        <v>27.9921325220112</v>
      </c>
      <c r="AI5947">
        <v>92.1878134454345</v>
      </c>
      <c r="AJ5947">
        <v>106.381885653713</v>
      </c>
      <c r="AK5947">
        <v>29.1978933487574</v>
      </c>
      <c r="AL5947">
        <v>81.177400954379905</v>
      </c>
      <c r="AM5947">
        <v>104.10028482769199</v>
      </c>
      <c r="AN5947">
        <v>0.999999940834843</v>
      </c>
    </row>
    <row r="5948" spans="1:40" x14ac:dyDescent="0.25">
      <c r="A5948" t="str">
        <f>"20190312172235074"</f>
        <v>20190312172235074</v>
      </c>
      <c r="B5948" t="str">
        <f>"1552382555066520"</f>
        <v>1552382555066520</v>
      </c>
      <c r="C5948" t="s">
        <v>40</v>
      </c>
      <c r="D5948">
        <v>3.294362</v>
      </c>
      <c r="E5948">
        <v>0.48110239999999999</v>
      </c>
      <c r="F5948" t="s">
        <v>64</v>
      </c>
      <c r="G5948">
        <v>-409.42360000000002</v>
      </c>
      <c r="H5948" s="1">
        <v>-2.4832790000000001E-6</v>
      </c>
      <c r="I5948">
        <v>25.435179999999999</v>
      </c>
      <c r="J5948">
        <v>-421.43380000000002</v>
      </c>
      <c r="K5948">
        <v>1.1148720000000001</v>
      </c>
      <c r="L5948">
        <v>50.921329999999998</v>
      </c>
      <c r="M5948">
        <v>0.1514499</v>
      </c>
      <c r="N5948">
        <v>0</v>
      </c>
      <c r="O5948">
        <v>-0.98836329999999994</v>
      </c>
      <c r="P5948">
        <v>0.38341219999999998</v>
      </c>
      <c r="Q5948">
        <v>0.14229559999999999</v>
      </c>
      <c r="R5948">
        <v>-0.91255010000000003</v>
      </c>
      <c r="S5948">
        <v>1.290802</v>
      </c>
      <c r="T5948">
        <v>-0.1192196</v>
      </c>
      <c r="U5948">
        <v>-2.7646480000000002</v>
      </c>
      <c r="V5948">
        <v>-0.24243509999999999</v>
      </c>
      <c r="W5948">
        <v>0.15329409999999999</v>
      </c>
      <c r="X5948">
        <v>0.95798019999999995</v>
      </c>
      <c r="Y5948">
        <v>-0.28060099999999999</v>
      </c>
      <c r="Z5948">
        <v>3.9440969999999999E-2</v>
      </c>
      <c r="AA5948">
        <v>0.95901380000000003</v>
      </c>
      <c r="AB5948">
        <v>37</v>
      </c>
      <c r="AC5948">
        <v>12.0101999999999</v>
      </c>
      <c r="AD5948">
        <v>-1.1148744832790001</v>
      </c>
      <c r="AE5948">
        <v>-25.486149999999999</v>
      </c>
      <c r="AF5948">
        <v>-7.9988459771656002</v>
      </c>
      <c r="AG5948">
        <v>-1.1148744832790001</v>
      </c>
      <c r="AH5948">
        <v>26.969003416097198</v>
      </c>
      <c r="AI5948">
        <v>92.269595221798596</v>
      </c>
      <c r="AJ5948">
        <v>106.520043347834</v>
      </c>
      <c r="AK5948">
        <v>28.152293464962099</v>
      </c>
      <c r="AL5948">
        <v>81.182126623964507</v>
      </c>
      <c r="AM5948">
        <v>104.201621253163</v>
      </c>
      <c r="AN5948">
        <v>0.99999996119942902</v>
      </c>
    </row>
    <row r="5949" spans="1:40" x14ac:dyDescent="0.25">
      <c r="A5949" t="str">
        <f>"20190312172235087"</f>
        <v>20190312172235087</v>
      </c>
      <c r="B5949" t="str">
        <f>"1552382555076281"</f>
        <v>1552382555076281</v>
      </c>
      <c r="C5949" t="s">
        <v>40</v>
      </c>
      <c r="D5949">
        <v>3.3220109999999998</v>
      </c>
      <c r="E5949">
        <v>0.48117140000000003</v>
      </c>
      <c r="F5949" t="s">
        <v>64</v>
      </c>
      <c r="G5949">
        <v>-409.45209999999997</v>
      </c>
      <c r="H5949" s="1">
        <v>-2.525285E-6</v>
      </c>
      <c r="I5949">
        <v>25.699960000000001</v>
      </c>
      <c r="J5949">
        <v>-421.40100000000001</v>
      </c>
      <c r="K5949">
        <v>1.1149990000000001</v>
      </c>
      <c r="L5949">
        <v>50.722560000000001</v>
      </c>
      <c r="M5949">
        <v>0.15424589999999999</v>
      </c>
      <c r="N5949">
        <v>0</v>
      </c>
      <c r="O5949">
        <v>-0.98793070000000005</v>
      </c>
      <c r="P5949">
        <v>0.38668150000000001</v>
      </c>
      <c r="Q5949">
        <v>0.142123</v>
      </c>
      <c r="R5949">
        <v>-0.91119620000000001</v>
      </c>
      <c r="S5949">
        <v>1.309418</v>
      </c>
      <c r="T5949">
        <v>-0.121839</v>
      </c>
      <c r="U5949">
        <v>-2.7563170000000001</v>
      </c>
      <c r="V5949">
        <v>-0.243202</v>
      </c>
      <c r="W5949">
        <v>0.1530435</v>
      </c>
      <c r="X5949">
        <v>0.95782590000000001</v>
      </c>
      <c r="Y5949">
        <v>-0.284277</v>
      </c>
      <c r="Z5949">
        <v>4.031179E-2</v>
      </c>
      <c r="AA5949">
        <v>0.95789429999999998</v>
      </c>
      <c r="AB5949">
        <v>37</v>
      </c>
      <c r="AC5949">
        <v>11.9489</v>
      </c>
      <c r="AD5949">
        <v>-1.1150015252850001</v>
      </c>
      <c r="AE5949">
        <v>-25.022599999999901</v>
      </c>
      <c r="AF5949">
        <v>-7.9330240832563499</v>
      </c>
      <c r="AG5949">
        <v>-1.1150015252850001</v>
      </c>
      <c r="AH5949">
        <v>26.523450219256901</v>
      </c>
      <c r="AI5949">
        <v>92.306366065719402</v>
      </c>
      <c r="AJ5949">
        <v>106.651646730949</v>
      </c>
      <c r="AK5949">
        <v>27.706849532928</v>
      </c>
      <c r="AL5949">
        <v>81.1966566550349</v>
      </c>
      <c r="AM5949">
        <v>104.24692110929</v>
      </c>
      <c r="AN5949">
        <v>0.99999999020353003</v>
      </c>
    </row>
    <row r="5950" spans="1:40" x14ac:dyDescent="0.25">
      <c r="A5950" t="str">
        <f>"20190312172235100"</f>
        <v>20190312172235100</v>
      </c>
      <c r="B5950" t="str">
        <f>"1552382555096776"</f>
        <v>1552382555096776</v>
      </c>
      <c r="C5950" t="s">
        <v>40</v>
      </c>
      <c r="D5950">
        <v>3.2941050000000001</v>
      </c>
      <c r="E5950">
        <v>0.48134510000000003</v>
      </c>
      <c r="F5950" t="s">
        <v>64</v>
      </c>
      <c r="G5950">
        <v>-409.55549999999999</v>
      </c>
      <c r="H5950" s="1">
        <v>-2.533394E-6</v>
      </c>
      <c r="I5950">
        <v>26.01173</v>
      </c>
      <c r="J5950">
        <v>-421.36579999999998</v>
      </c>
      <c r="K5950">
        <v>1.1151279999999999</v>
      </c>
      <c r="L5950">
        <v>50.512659999999997</v>
      </c>
      <c r="M5950">
        <v>0.15724859999999999</v>
      </c>
      <c r="N5950">
        <v>0</v>
      </c>
      <c r="O5950">
        <v>-0.98745720000000003</v>
      </c>
      <c r="P5950">
        <v>0.39031860000000002</v>
      </c>
      <c r="Q5950">
        <v>0.142181</v>
      </c>
      <c r="R5950">
        <v>-0.90963550000000004</v>
      </c>
      <c r="S5950">
        <v>1.319183</v>
      </c>
      <c r="T5950">
        <v>-0.12417350000000001</v>
      </c>
      <c r="U5950">
        <v>-2.7519529999999999</v>
      </c>
      <c r="V5950">
        <v>-0.24416930000000001</v>
      </c>
      <c r="W5950">
        <v>0.15301609999999999</v>
      </c>
      <c r="X5950">
        <v>0.95758410000000005</v>
      </c>
      <c r="Y5950">
        <v>-0.2847055</v>
      </c>
      <c r="Z5950">
        <v>4.1079310000000001E-2</v>
      </c>
      <c r="AA5950">
        <v>0.95773450000000004</v>
      </c>
      <c r="AB5950">
        <v>37</v>
      </c>
      <c r="AC5950">
        <v>11.8102999999999</v>
      </c>
      <c r="AD5950">
        <v>-1.115130533394</v>
      </c>
      <c r="AE5950">
        <v>-24.50093</v>
      </c>
      <c r="AF5950">
        <v>-7.7971080124125303</v>
      </c>
      <c r="AG5950">
        <v>-1.115130533394</v>
      </c>
      <c r="AH5950">
        <v>26.0096729727493</v>
      </c>
      <c r="AI5950">
        <v>92.351704971865104</v>
      </c>
      <c r="AJ5950">
        <v>106.687534222643</v>
      </c>
      <c r="AK5950">
        <v>27.176119988200998</v>
      </c>
      <c r="AL5950">
        <v>81.198244836478693</v>
      </c>
      <c r="AM5950">
        <v>104.30472905152</v>
      </c>
      <c r="AN5950">
        <v>0.999999941247253</v>
      </c>
    </row>
    <row r="5951" spans="1:40" x14ac:dyDescent="0.25">
      <c r="A5951" t="str">
        <f>"20190312172235118"</f>
        <v>20190312172235118</v>
      </c>
      <c r="B5951" t="str">
        <f>"1552382555106536"</f>
        <v>1552382555106536</v>
      </c>
      <c r="C5951" t="s">
        <v>40</v>
      </c>
      <c r="D5951">
        <v>3.2850069999999998</v>
      </c>
      <c r="E5951">
        <v>0.4814329</v>
      </c>
      <c r="F5951" t="s">
        <v>64</v>
      </c>
      <c r="G5951">
        <v>-409.66430000000003</v>
      </c>
      <c r="H5951" s="1">
        <v>-2.5378850000000001E-6</v>
      </c>
      <c r="I5951">
        <v>26.321459999999998</v>
      </c>
      <c r="J5951">
        <v>-421.31380000000001</v>
      </c>
      <c r="K5951">
        <v>1.1153109999999999</v>
      </c>
      <c r="L5951">
        <v>50.211300000000001</v>
      </c>
      <c r="M5951">
        <v>0.16172210000000001</v>
      </c>
      <c r="N5951">
        <v>0</v>
      </c>
      <c r="O5951">
        <v>-0.986734</v>
      </c>
      <c r="P5951">
        <v>0.39598250000000002</v>
      </c>
      <c r="Q5951">
        <v>0.14161279999999901</v>
      </c>
      <c r="R5951">
        <v>-0.90727259999999998</v>
      </c>
      <c r="S5951">
        <v>1.32901</v>
      </c>
      <c r="T5951">
        <v>-0.1266515</v>
      </c>
      <c r="U5951">
        <v>-2.747528</v>
      </c>
      <c r="V5951">
        <v>-0.2458497</v>
      </c>
      <c r="W5951">
        <v>0.15232670000000001</v>
      </c>
      <c r="X5951">
        <v>0.95726409999999995</v>
      </c>
      <c r="Y5951">
        <v>-0.28372730000000002</v>
      </c>
      <c r="Z5951">
        <v>4.1887479999999998E-2</v>
      </c>
      <c r="AA5951">
        <v>0.95798970000000006</v>
      </c>
      <c r="AB5951">
        <v>37</v>
      </c>
      <c r="AC5951">
        <v>11.6494999999999</v>
      </c>
      <c r="AD5951">
        <v>-1.1153135378849901</v>
      </c>
      <c r="AE5951">
        <v>-23.88984</v>
      </c>
      <c r="AF5951">
        <v>-7.6187979036930296</v>
      </c>
      <c r="AG5951">
        <v>-1.1153135378849901</v>
      </c>
      <c r="AH5951">
        <v>25.4147187883129</v>
      </c>
      <c r="AI5951">
        <v>92.407087348678303</v>
      </c>
      <c r="AJ5951">
        <v>106.687624442882</v>
      </c>
      <c r="AK5951">
        <v>26.555563200093001</v>
      </c>
      <c r="AL5951">
        <v>81.238213862375801</v>
      </c>
      <c r="AM5951">
        <v>104.403708985215</v>
      </c>
      <c r="AN5951">
        <v>1.00000002783589</v>
      </c>
    </row>
    <row r="5952" spans="1:40" x14ac:dyDescent="0.25">
      <c r="A5952" t="str">
        <f>"20190312172235132"</f>
        <v>20190312172235132</v>
      </c>
      <c r="B5952" t="str">
        <f>"1552382555127033"</f>
        <v>1552382555127033</v>
      </c>
      <c r="C5952" t="s">
        <v>40</v>
      </c>
      <c r="D5952">
        <v>3.298079</v>
      </c>
      <c r="E5952">
        <v>0.4817265</v>
      </c>
      <c r="F5952" t="s">
        <v>64</v>
      </c>
      <c r="G5952">
        <v>-409.73779999999999</v>
      </c>
      <c r="H5952" s="1">
        <v>-2.561233E-6</v>
      </c>
      <c r="I5952">
        <v>26.622199999999999</v>
      </c>
      <c r="J5952">
        <v>-421.27429999999998</v>
      </c>
      <c r="K5952">
        <v>1.1154409999999999</v>
      </c>
      <c r="L5952">
        <v>49.98874</v>
      </c>
      <c r="M5952">
        <v>0.16512099999999999</v>
      </c>
      <c r="N5952">
        <v>0</v>
      </c>
      <c r="O5952">
        <v>-0.98617080000000001</v>
      </c>
      <c r="P5952">
        <v>0.400148</v>
      </c>
      <c r="Q5952">
        <v>0.1414878</v>
      </c>
      <c r="R5952">
        <v>-0.90546269999999995</v>
      </c>
      <c r="S5952">
        <v>1.3446039999999999</v>
      </c>
      <c r="T5952">
        <v>-0.1295491</v>
      </c>
      <c r="U5952">
        <v>-2.7399900000000001</v>
      </c>
      <c r="V5952">
        <v>-0.2469951</v>
      </c>
      <c r="W5952">
        <v>0.15211649999999999</v>
      </c>
      <c r="X5952">
        <v>0.95700260000000004</v>
      </c>
      <c r="Y5952">
        <v>-0.28584140000000002</v>
      </c>
      <c r="Z5952">
        <v>4.2848310000000001E-2</v>
      </c>
      <c r="AA5952">
        <v>0.95731849999999996</v>
      </c>
      <c r="AB5952">
        <v>37</v>
      </c>
      <c r="AC5952">
        <v>11.536499999999901</v>
      </c>
      <c r="AD5952">
        <v>-1.11544356123299</v>
      </c>
      <c r="AE5952">
        <v>-23.366540000000001</v>
      </c>
      <c r="AF5952">
        <v>-7.5056614715033296</v>
      </c>
      <c r="AG5952">
        <v>-1.11544356123299</v>
      </c>
      <c r="AH5952">
        <v>24.905209560674599</v>
      </c>
      <c r="AI5952">
        <v>92.4554823759497</v>
      </c>
      <c r="AJ5952">
        <v>106.77118559895101</v>
      </c>
      <c r="AK5952">
        <v>26.035526338528701</v>
      </c>
      <c r="AL5952">
        <v>81.250399131079604</v>
      </c>
      <c r="AM5952">
        <v>104.471792084971</v>
      </c>
      <c r="AN5952">
        <v>0.99999999270150997</v>
      </c>
    </row>
    <row r="5953" spans="1:40" x14ac:dyDescent="0.25">
      <c r="A5953" t="str">
        <f>"20190312172235153"</f>
        <v>20190312172235153</v>
      </c>
      <c r="B5953" t="str">
        <f>"1552382555146552"</f>
        <v>1552382555146552</v>
      </c>
      <c r="C5953" t="s">
        <v>40</v>
      </c>
      <c r="D5953">
        <v>3.276659</v>
      </c>
      <c r="E5953">
        <v>0.48201759999999999</v>
      </c>
      <c r="F5953" t="s">
        <v>64</v>
      </c>
      <c r="G5953">
        <v>-409.72890000000001</v>
      </c>
      <c r="H5953" s="1">
        <v>-2.5816329999999998E-6</v>
      </c>
      <c r="I5953">
        <v>26.690059999999999</v>
      </c>
      <c r="J5953">
        <v>-421.21449999999999</v>
      </c>
      <c r="K5953">
        <v>1.115621</v>
      </c>
      <c r="L5953">
        <v>49.659239999999997</v>
      </c>
      <c r="M5953">
        <v>0.17026649999999999</v>
      </c>
      <c r="N5953">
        <v>0</v>
      </c>
      <c r="O5953">
        <v>-0.98529540000000004</v>
      </c>
      <c r="P5953">
        <v>0.40627940000000001</v>
      </c>
      <c r="Q5953">
        <v>0.141543</v>
      </c>
      <c r="R5953">
        <v>-0.90271950000000001</v>
      </c>
      <c r="S5953">
        <v>1.355194</v>
      </c>
      <c r="T5953">
        <v>-0.1309295</v>
      </c>
      <c r="U5953">
        <v>-2.734772</v>
      </c>
      <c r="V5953">
        <v>-0.2485627</v>
      </c>
      <c r="W5953">
        <v>0.15204860000000001</v>
      </c>
      <c r="X5953">
        <v>0.95660750000000005</v>
      </c>
      <c r="Y5953">
        <v>-0.2845336</v>
      </c>
      <c r="Z5953">
        <v>4.329363E-2</v>
      </c>
      <c r="AA5953">
        <v>0.95768799999999998</v>
      </c>
      <c r="AB5953">
        <v>37</v>
      </c>
      <c r="AC5953">
        <v>11.4855999999999</v>
      </c>
      <c r="AD5953">
        <v>-1.115623581633</v>
      </c>
      <c r="AE5953">
        <v>-22.969180000000001</v>
      </c>
      <c r="AF5953">
        <v>-7.3926247505460196</v>
      </c>
      <c r="AG5953">
        <v>-1.115623581633</v>
      </c>
      <c r="AH5953">
        <v>24.543209517618799</v>
      </c>
      <c r="AI5953">
        <v>92.492166211543207</v>
      </c>
      <c r="AJ5953">
        <v>106.762750863378</v>
      </c>
      <c r="AK5953">
        <v>25.656668725772199</v>
      </c>
      <c r="AL5953">
        <v>81.254335813184099</v>
      </c>
      <c r="AM5953">
        <v>104.565505979395</v>
      </c>
      <c r="AN5953">
        <v>1.00000005082474</v>
      </c>
    </row>
    <row r="5954" spans="1:40" x14ac:dyDescent="0.25">
      <c r="A5954" t="str">
        <f>"20190312172235166"</f>
        <v>20190312172235166</v>
      </c>
      <c r="B5954" t="str">
        <f>"1552382555156312"</f>
        <v>1552382555156312</v>
      </c>
      <c r="C5954" t="s">
        <v>40</v>
      </c>
      <c r="D5954">
        <v>3.2940610000000001</v>
      </c>
      <c r="E5954">
        <v>0.48218909999999998</v>
      </c>
      <c r="F5954" t="s">
        <v>64</v>
      </c>
      <c r="G5954">
        <v>-409.54509999999999</v>
      </c>
      <c r="H5954" s="1">
        <v>-2.6366939999999999E-6</v>
      </c>
      <c r="I5954">
        <v>26.448550000000001</v>
      </c>
      <c r="J5954">
        <v>-421.17619999999999</v>
      </c>
      <c r="K5954">
        <v>1.115726</v>
      </c>
      <c r="L5954">
        <v>49.453830000000004</v>
      </c>
      <c r="M5954">
        <v>0.1735525</v>
      </c>
      <c r="N5954">
        <v>0</v>
      </c>
      <c r="O5954">
        <v>-0.98472190000000004</v>
      </c>
      <c r="P5954">
        <v>0.41022629999999999</v>
      </c>
      <c r="Q5954">
        <v>0.14207609999999901</v>
      </c>
      <c r="R5954">
        <v>-0.90084889999999995</v>
      </c>
      <c r="S5954">
        <v>1.370941</v>
      </c>
      <c r="T5954">
        <v>-0.1310656</v>
      </c>
      <c r="U5954">
        <v>-2.7268370000000002</v>
      </c>
      <c r="V5954">
        <v>-0.2496217</v>
      </c>
      <c r="W5954">
        <v>0.152503799999999</v>
      </c>
      <c r="X5954">
        <v>0.95625910000000003</v>
      </c>
      <c r="Y5954">
        <v>-0.28686669999999997</v>
      </c>
      <c r="Z5954">
        <v>4.3344670000000002E-2</v>
      </c>
      <c r="AA5954">
        <v>0.95698939999999999</v>
      </c>
      <c r="AB5954">
        <v>37</v>
      </c>
      <c r="AC5954">
        <v>11.6311</v>
      </c>
      <c r="AD5954">
        <v>-1.115728636694</v>
      </c>
      <c r="AE5954">
        <v>-23.005279999999999</v>
      </c>
      <c r="AF5954">
        <v>-7.44757834876948</v>
      </c>
      <c r="AG5954">
        <v>-1.115728636694</v>
      </c>
      <c r="AH5954">
        <v>24.6287687373786</v>
      </c>
      <c r="AI5954">
        <v>92.482940076798798</v>
      </c>
      <c r="AJ5954">
        <v>106.82497275532999</v>
      </c>
      <c r="AK5954">
        <v>25.7543690113169</v>
      </c>
      <c r="AL5954">
        <v>81.227945998028204</v>
      </c>
      <c r="AM5954">
        <v>104.630006752138</v>
      </c>
      <c r="AN5954">
        <v>0.99999993422906697</v>
      </c>
    </row>
    <row r="5955" spans="1:40" x14ac:dyDescent="0.25">
      <c r="A5955" t="str">
        <f>"20190312172235178"</f>
        <v>20190312172235178</v>
      </c>
      <c r="B5955" t="str">
        <f>"1552382555167048"</f>
        <v>1552382555167048</v>
      </c>
      <c r="C5955" t="s">
        <v>40</v>
      </c>
      <c r="D5955">
        <v>3.2637900000000002</v>
      </c>
      <c r="E5955">
        <v>0.48234939999999998</v>
      </c>
      <c r="F5955" t="s">
        <v>64</v>
      </c>
      <c r="G5955">
        <v>-409.29790000000003</v>
      </c>
      <c r="H5955" s="1">
        <v>-2.6971599999999999E-6</v>
      </c>
      <c r="I5955">
        <v>26.062349999999999</v>
      </c>
      <c r="J5955">
        <v>-421.13679999999999</v>
      </c>
      <c r="K5955">
        <v>1.115831</v>
      </c>
      <c r="L5955">
        <v>49.24579</v>
      </c>
      <c r="M5955">
        <v>0.17693059999999999</v>
      </c>
      <c r="N5955">
        <v>0</v>
      </c>
      <c r="O5955">
        <v>-0.98412049999999995</v>
      </c>
      <c r="P5955">
        <v>0.41435830000000001</v>
      </c>
      <c r="Q5955">
        <v>0.1418575</v>
      </c>
      <c r="R5955">
        <v>-0.89899050000000003</v>
      </c>
      <c r="S5955">
        <v>1.3819269999999999</v>
      </c>
      <c r="T5955">
        <v>-0.12980439999999999</v>
      </c>
      <c r="U5955">
        <v>-2.7213750000000001</v>
      </c>
      <c r="V5955">
        <v>-0.25076490000000001</v>
      </c>
      <c r="W5955">
        <v>0.15220790000000001</v>
      </c>
      <c r="X5955">
        <v>0.95600719999999995</v>
      </c>
      <c r="Y5955">
        <v>-0.287435</v>
      </c>
      <c r="Z5955">
        <v>4.2924999999999998E-2</v>
      </c>
      <c r="AA5955">
        <v>0.95683779999999996</v>
      </c>
      <c r="AB5955">
        <v>37</v>
      </c>
      <c r="AC5955">
        <v>11.838899999999899</v>
      </c>
      <c r="AD5955">
        <v>-1.11583369716</v>
      </c>
      <c r="AE5955">
        <v>-23.183440000000001</v>
      </c>
      <c r="AF5955">
        <v>-7.5359617038496198</v>
      </c>
      <c r="AG5955">
        <v>-1.11583369716</v>
      </c>
      <c r="AH5955">
        <v>24.866793146083602</v>
      </c>
      <c r="AI5955">
        <v>92.458984642632402</v>
      </c>
      <c r="AJ5955">
        <v>106.859601309346</v>
      </c>
      <c r="AK5955">
        <v>26.007560535577301</v>
      </c>
      <c r="AL5955">
        <v>81.245100867085796</v>
      </c>
      <c r="AM5955">
        <v>104.69781907698101</v>
      </c>
      <c r="AN5955">
        <v>1.0000000231731201</v>
      </c>
    </row>
    <row r="5956" spans="1:40" x14ac:dyDescent="0.25">
      <c r="A5956" t="str">
        <f>"20190312172235192"</f>
        <v>20190312172235192</v>
      </c>
      <c r="B5956" t="str">
        <f>"1552382555186569"</f>
        <v>1552382555186569</v>
      </c>
      <c r="C5956" t="s">
        <v>40</v>
      </c>
      <c r="D5956">
        <v>3.2727750000000002</v>
      </c>
      <c r="E5956">
        <v>0.48252420000000001</v>
      </c>
      <c r="F5956" t="s">
        <v>64</v>
      </c>
      <c r="G5956">
        <v>-409.24029999999999</v>
      </c>
      <c r="H5956" s="1">
        <v>-2.7296059999999998E-6</v>
      </c>
      <c r="I5956">
        <v>26.055099999999999</v>
      </c>
      <c r="J5956">
        <v>-421.09780000000001</v>
      </c>
      <c r="K5956">
        <v>1.115934</v>
      </c>
      <c r="L5956">
        <v>49.045229999999997</v>
      </c>
      <c r="M5956">
        <v>0.18027029999999999</v>
      </c>
      <c r="N5956">
        <v>0</v>
      </c>
      <c r="O5956">
        <v>-0.983514</v>
      </c>
      <c r="P5956">
        <v>0.41865980000000003</v>
      </c>
      <c r="Q5956">
        <v>0.1413307</v>
      </c>
      <c r="R5956">
        <v>-0.8970783</v>
      </c>
      <c r="S5956">
        <v>1.3930659999999999</v>
      </c>
      <c r="T5956">
        <v>-0.130663</v>
      </c>
      <c r="U5956">
        <v>-2.7156069999999999</v>
      </c>
      <c r="V5956">
        <v>-0.2521177</v>
      </c>
      <c r="W5956">
        <v>0.15160319999999999</v>
      </c>
      <c r="X5956">
        <v>0.95574740000000002</v>
      </c>
      <c r="Y5956">
        <v>-0.28811049999999999</v>
      </c>
      <c r="Z5956">
        <v>4.3207330000000002E-2</v>
      </c>
      <c r="AA5956">
        <v>0.95662190000000002</v>
      </c>
      <c r="AB5956">
        <v>37</v>
      </c>
      <c r="AC5956">
        <v>11.8575</v>
      </c>
      <c r="AD5956">
        <v>-1.1159367296060001</v>
      </c>
      <c r="AE5956">
        <v>-22.990130000000001</v>
      </c>
      <c r="AF5956">
        <v>-7.5043761188502804</v>
      </c>
      <c r="AG5956">
        <v>-1.1159367296060001</v>
      </c>
      <c r="AH5956">
        <v>24.705202462860001</v>
      </c>
      <c r="AI5956">
        <v>92.474793289530297</v>
      </c>
      <c r="AJ5956">
        <v>106.896521533136</v>
      </c>
      <c r="AK5956">
        <v>25.843916197986601</v>
      </c>
      <c r="AL5956">
        <v>81.280154030373794</v>
      </c>
      <c r="AM5956">
        <v>104.777490150354</v>
      </c>
      <c r="AN5956">
        <v>0.99999997875514401</v>
      </c>
    </row>
    <row r="5957" spans="1:40" x14ac:dyDescent="0.25">
      <c r="A5957" t="str">
        <f>"20190312172235205"</f>
        <v>20190312172235205</v>
      </c>
      <c r="B5957" t="str">
        <f>"1552382555196329"</f>
        <v>1552382555196329</v>
      </c>
      <c r="C5957" t="s">
        <v>40</v>
      </c>
      <c r="D5957">
        <v>3.3110900000000001</v>
      </c>
      <c r="E5957">
        <v>0.4827129</v>
      </c>
      <c r="F5957" t="s">
        <v>64</v>
      </c>
      <c r="G5957">
        <v>-409.28300000000002</v>
      </c>
      <c r="H5957" s="1">
        <v>-2.7496409999999898E-6</v>
      </c>
      <c r="I5957">
        <v>26.25874</v>
      </c>
      <c r="J5957">
        <v>-421.05549999999999</v>
      </c>
      <c r="K5957">
        <v>1.1160460000000001</v>
      </c>
      <c r="L5957">
        <v>48.830959999999997</v>
      </c>
      <c r="M5957">
        <v>0.18388389999999999</v>
      </c>
      <c r="N5957">
        <v>0</v>
      </c>
      <c r="O5957">
        <v>-0.98284479999999996</v>
      </c>
      <c r="P5957">
        <v>0.42307270000000002</v>
      </c>
      <c r="Q5957">
        <v>0.1411229</v>
      </c>
      <c r="R5957">
        <v>-0.89503899999999903</v>
      </c>
      <c r="S5957">
        <v>1.40484599999999</v>
      </c>
      <c r="T5957">
        <v>-0.13269110000000001</v>
      </c>
      <c r="U5957">
        <v>-2.7094420000000001</v>
      </c>
      <c r="V5957">
        <v>-0.25334649999999997</v>
      </c>
      <c r="W5957">
        <v>0.1513148</v>
      </c>
      <c r="X5957">
        <v>0.95546819999999999</v>
      </c>
      <c r="Y5957">
        <v>-0.28874480000000002</v>
      </c>
      <c r="Z5957">
        <v>4.3874690000000001E-2</v>
      </c>
      <c r="AA5957">
        <v>0.95640029999999998</v>
      </c>
      <c r="AB5957">
        <v>37</v>
      </c>
      <c r="AC5957">
        <v>11.7724999999999</v>
      </c>
      <c r="AD5957">
        <v>-1.1160487496410001</v>
      </c>
      <c r="AE5957">
        <v>-22.572219999999898</v>
      </c>
      <c r="AF5957">
        <v>-7.4063908919513697</v>
      </c>
      <c r="AG5957">
        <v>-1.1160487496410001</v>
      </c>
      <c r="AH5957">
        <v>24.305519526086201</v>
      </c>
      <c r="AI5957">
        <v>92.515015339008997</v>
      </c>
      <c r="AJ5957">
        <v>106.94705529381299</v>
      </c>
      <c r="AK5957">
        <v>25.433412478252102</v>
      </c>
      <c r="AL5957">
        <v>81.296871608470298</v>
      </c>
      <c r="AM5957">
        <v>104.850487280227</v>
      </c>
      <c r="AN5957">
        <v>1.00000004948626</v>
      </c>
    </row>
    <row r="5958" spans="1:40" x14ac:dyDescent="0.25">
      <c r="A5958" t="str">
        <f>"20190312172235216"</f>
        <v>20190312172235216</v>
      </c>
      <c r="B5958" t="str">
        <f>"1552382555207065"</f>
        <v>1552382555207065</v>
      </c>
      <c r="C5958" t="s">
        <v>40</v>
      </c>
      <c r="D5958">
        <v>3.2705790000000001</v>
      </c>
      <c r="E5958">
        <v>0.48288150000000002</v>
      </c>
      <c r="F5958" t="s">
        <v>64</v>
      </c>
      <c r="G5958">
        <v>-409.21519999999998</v>
      </c>
      <c r="H5958" s="1">
        <v>-2.7876039999999999E-6</v>
      </c>
      <c r="I5958">
        <v>26.24897</v>
      </c>
      <c r="J5958">
        <v>-421.01600000000002</v>
      </c>
      <c r="K5958">
        <v>1.1161449999999999</v>
      </c>
      <c r="L5958">
        <v>48.634860000000003</v>
      </c>
      <c r="M5958">
        <v>0.187253</v>
      </c>
      <c r="N5958">
        <v>0</v>
      </c>
      <c r="O5958">
        <v>-0.98220819999999998</v>
      </c>
      <c r="P5958">
        <v>0.42719479999999999</v>
      </c>
      <c r="Q5958">
        <v>0.14098620000000001</v>
      </c>
      <c r="R5958">
        <v>-0.89309989999999995</v>
      </c>
      <c r="S5958">
        <v>1.4172359999999999</v>
      </c>
      <c r="T5958">
        <v>-0.1335865</v>
      </c>
      <c r="U5958">
        <v>-2.7029719999999999</v>
      </c>
      <c r="V5958">
        <v>-0.25451010000000002</v>
      </c>
      <c r="W5958">
        <v>0.15110170000000001</v>
      </c>
      <c r="X5958">
        <v>0.95519259999999995</v>
      </c>
      <c r="Y5958">
        <v>-0.28983589999999998</v>
      </c>
      <c r="Z5958">
        <v>4.4169020000000003E-2</v>
      </c>
      <c r="AA5958">
        <v>0.95605660000000003</v>
      </c>
      <c r="AB5958">
        <v>37</v>
      </c>
      <c r="AC5958">
        <v>11.800799999999899</v>
      </c>
      <c r="AD5958">
        <v>-1.116147787604</v>
      </c>
      <c r="AE5958">
        <v>-22.38589</v>
      </c>
      <c r="AF5958">
        <v>-7.38540263659596</v>
      </c>
      <c r="AG5958">
        <v>-1.116147787604</v>
      </c>
      <c r="AH5958">
        <v>24.152814733881801</v>
      </c>
      <c r="AI5958">
        <v>92.530373671555296</v>
      </c>
      <c r="AJ5958">
        <v>107.00248642406299</v>
      </c>
      <c r="AK5958">
        <v>25.281384803005398</v>
      </c>
      <c r="AL5958">
        <v>81.3092230045131</v>
      </c>
      <c r="AM5958">
        <v>104.919772409052</v>
      </c>
      <c r="AN5958">
        <v>1.00000000891983</v>
      </c>
    </row>
    <row r="5959" spans="1:40" x14ac:dyDescent="0.25">
      <c r="A5959" t="str">
        <f>"20190312172235230"</f>
        <v>20190312172235230</v>
      </c>
      <c r="B5959" t="str">
        <f>"1552382555226584"</f>
        <v>1552382555226584</v>
      </c>
      <c r="C5959" t="s">
        <v>40</v>
      </c>
      <c r="D5959">
        <v>3.271585</v>
      </c>
      <c r="E5959">
        <v>0.48318030000000001</v>
      </c>
      <c r="F5959" t="s">
        <v>64</v>
      </c>
      <c r="G5959">
        <v>-409.15440000000001</v>
      </c>
      <c r="H5959" s="1">
        <v>-2.821691E-6</v>
      </c>
      <c r="I5959">
        <v>26.24033</v>
      </c>
      <c r="J5959">
        <v>-420.97320000000002</v>
      </c>
      <c r="K5959">
        <v>1.1162559999999999</v>
      </c>
      <c r="L5959">
        <v>48.426969999999997</v>
      </c>
      <c r="M5959">
        <v>0.19090080000000001</v>
      </c>
      <c r="N5959">
        <v>0</v>
      </c>
      <c r="O5959">
        <v>-0.98150559999999998</v>
      </c>
      <c r="P5959">
        <v>0.4329963</v>
      </c>
      <c r="Q5959">
        <v>0.13979220000000001</v>
      </c>
      <c r="R5959">
        <v>-0.89049009999999995</v>
      </c>
      <c r="S5959">
        <v>1.428528</v>
      </c>
      <c r="T5959">
        <v>-0.13442019999999999</v>
      </c>
      <c r="U5959">
        <v>-2.6970209999999999</v>
      </c>
      <c r="V5959">
        <v>-0.25716860000000002</v>
      </c>
      <c r="W5959">
        <v>0.14980299999999999</v>
      </c>
      <c r="X5959">
        <v>0.95468500000000001</v>
      </c>
      <c r="Y5959">
        <v>-0.29027309999999901</v>
      </c>
      <c r="Z5959">
        <v>4.4439029999999997E-2</v>
      </c>
      <c r="AA5959">
        <v>0.95591150000000003</v>
      </c>
      <c r="AB5959">
        <v>37</v>
      </c>
      <c r="AC5959">
        <v>11.8188</v>
      </c>
      <c r="AD5959">
        <v>-1.1162588216910001</v>
      </c>
      <c r="AE5959">
        <v>-22.186640000000001</v>
      </c>
      <c r="AF5959">
        <v>-7.3510263992620404</v>
      </c>
      <c r="AG5959">
        <v>-1.1162588216910001</v>
      </c>
      <c r="AH5959">
        <v>23.987678560132299</v>
      </c>
      <c r="AI5959">
        <v>92.547544994229796</v>
      </c>
      <c r="AJ5959">
        <v>107.03768834855801</v>
      </c>
      <c r="AK5959">
        <v>25.113588863081301</v>
      </c>
      <c r="AL5959">
        <v>81.3844900365917</v>
      </c>
      <c r="AM5959">
        <v>105.07621153522599</v>
      </c>
      <c r="AN5959">
        <v>1.0000000384299701</v>
      </c>
    </row>
    <row r="5960" spans="1:40" x14ac:dyDescent="0.25">
      <c r="A5960" t="str">
        <f>"20190312172235253"</f>
        <v>20190312172235253</v>
      </c>
      <c r="B5960" t="str">
        <f>"1552382555247080"</f>
        <v>1552382555247080</v>
      </c>
      <c r="C5960" t="s">
        <v>40</v>
      </c>
      <c r="D5960">
        <v>3.2665869999999999</v>
      </c>
      <c r="E5960">
        <v>0.48348750000000001</v>
      </c>
      <c r="F5960" t="s">
        <v>64</v>
      </c>
      <c r="G5960">
        <v>-409.44819999999999</v>
      </c>
      <c r="H5960" s="1">
        <v>-2.806892E-6</v>
      </c>
      <c r="I5960">
        <v>26.956040000000002</v>
      </c>
      <c r="J5960">
        <v>-420.89420000000001</v>
      </c>
      <c r="K5960">
        <v>1.1164510000000001</v>
      </c>
      <c r="L5960">
        <v>48.053339999999999</v>
      </c>
      <c r="M5960">
        <v>0.19760249999999999</v>
      </c>
      <c r="N5960">
        <v>0</v>
      </c>
      <c r="O5960">
        <v>-0.98017829999999995</v>
      </c>
      <c r="P5960">
        <v>0.44086999999999998</v>
      </c>
      <c r="Q5960">
        <v>0.13986479999999901</v>
      </c>
      <c r="R5960">
        <v>-0.88660689999999998</v>
      </c>
      <c r="S5960">
        <v>1.44339</v>
      </c>
      <c r="T5960">
        <v>-0.13980049999999999</v>
      </c>
      <c r="U5960">
        <v>-2.6890260000000001</v>
      </c>
      <c r="V5960">
        <v>-0.2591849</v>
      </c>
      <c r="W5960">
        <v>0.1497299</v>
      </c>
      <c r="X5960">
        <v>0.95415099999999997</v>
      </c>
      <c r="Y5960">
        <v>-0.28898269999999998</v>
      </c>
      <c r="Z5960">
        <v>4.61938E-2</v>
      </c>
      <c r="AA5960">
        <v>0.95621920000000005</v>
      </c>
      <c r="AB5960">
        <v>37</v>
      </c>
      <c r="AC5960">
        <v>11.446</v>
      </c>
      <c r="AD5960">
        <v>-1.116453806892</v>
      </c>
      <c r="AE5960">
        <v>-21.097300000000001</v>
      </c>
      <c r="AF5960">
        <v>-7.0357373887774903</v>
      </c>
      <c r="AG5960">
        <v>-1.116453806892</v>
      </c>
      <c r="AH5960">
        <v>22.893678424649099</v>
      </c>
      <c r="AI5960">
        <v>92.668923796236996</v>
      </c>
      <c r="AJ5960">
        <v>107.08335938991399</v>
      </c>
      <c r="AK5960">
        <v>23.976417195194301</v>
      </c>
      <c r="AL5960">
        <v>81.388725741602101</v>
      </c>
      <c r="AM5960">
        <v>105.19708149083</v>
      </c>
      <c r="AN5960">
        <v>0.999999993071509</v>
      </c>
    </row>
    <row r="5961" spans="1:40" x14ac:dyDescent="0.25">
      <c r="A5961" t="str">
        <f>"20190312172235276"</f>
        <v>20190312172235276</v>
      </c>
      <c r="B5961" t="str">
        <f>"1552382555266600"</f>
        <v>1552382555266600</v>
      </c>
      <c r="C5961" t="s">
        <v>40</v>
      </c>
      <c r="D5961">
        <v>3.2722289999999998</v>
      </c>
      <c r="E5961">
        <v>0.4835274</v>
      </c>
      <c r="F5961" t="s">
        <v>64</v>
      </c>
      <c r="G5961">
        <v>-409.30810000000002</v>
      </c>
      <c r="H5961" s="1">
        <v>-2.8724030000000001E-6</v>
      </c>
      <c r="I5961">
        <v>26.877590000000001</v>
      </c>
      <c r="J5961">
        <v>-420.81670000000003</v>
      </c>
      <c r="K5961">
        <v>1.1166400000000001</v>
      </c>
      <c r="L5961">
        <v>47.69867</v>
      </c>
      <c r="M5961">
        <v>0.20415620000000001</v>
      </c>
      <c r="N5961">
        <v>0</v>
      </c>
      <c r="O5961">
        <v>-0.97883370000000003</v>
      </c>
      <c r="P5961">
        <v>0.44970860000000001</v>
      </c>
      <c r="Q5961">
        <v>0.1393276</v>
      </c>
      <c r="R5961">
        <v>-0.88224150000000001</v>
      </c>
      <c r="S5961">
        <v>1.464966</v>
      </c>
      <c r="T5961">
        <v>-0.14116589999999901</v>
      </c>
      <c r="U5961">
        <v>-2.6774900000000001</v>
      </c>
      <c r="V5961">
        <v>-0.26238489999999998</v>
      </c>
      <c r="W5961">
        <v>0.1490311</v>
      </c>
      <c r="X5961">
        <v>0.9533855</v>
      </c>
      <c r="Y5961">
        <v>-0.29023310000000002</v>
      </c>
      <c r="Z5961">
        <v>4.6630909999999998E-2</v>
      </c>
      <c r="AA5961">
        <v>0.95581919999999998</v>
      </c>
      <c r="AB5961">
        <v>37</v>
      </c>
      <c r="AC5961">
        <v>11.508599999999999</v>
      </c>
      <c r="AD5961">
        <v>-1.11664287240299</v>
      </c>
      <c r="AE5961">
        <v>-20.821079999999998</v>
      </c>
      <c r="AF5961">
        <v>-6.9995505613949298</v>
      </c>
      <c r="AG5961">
        <v>-1.11664287240299</v>
      </c>
      <c r="AH5961">
        <v>22.682283233404601</v>
      </c>
      <c r="AI5961">
        <v>92.6932568043609</v>
      </c>
      <c r="AJ5961">
        <v>107.149759890626</v>
      </c>
      <c r="AK5961">
        <v>23.7639763517472</v>
      </c>
      <c r="AL5961">
        <v>81.429218498882193</v>
      </c>
      <c r="AM5961">
        <v>105.387642201633</v>
      </c>
      <c r="AN5961">
        <v>1.00000000806273</v>
      </c>
    </row>
    <row r="5962" spans="1:40" x14ac:dyDescent="0.25">
      <c r="A5962" t="str">
        <f>"20190312172235297"</f>
        <v>20190312172235297</v>
      </c>
      <c r="B5962" t="str">
        <f>"1552382555287096"</f>
        <v>1552382555287096</v>
      </c>
      <c r="C5962" t="s">
        <v>40</v>
      </c>
      <c r="D5962">
        <v>3.2327159999999999</v>
      </c>
      <c r="E5962">
        <v>0.4602638</v>
      </c>
      <c r="F5962" t="s">
        <v>64</v>
      </c>
      <c r="G5962">
        <v>-409.22300000000001</v>
      </c>
      <c r="H5962" s="1">
        <v>-2.9462470000000001E-6</v>
      </c>
      <c r="I5962">
        <v>26.983239999999999</v>
      </c>
      <c r="J5962">
        <v>-420.73930000000001</v>
      </c>
      <c r="K5962">
        <v>1.116819</v>
      </c>
      <c r="L5962">
        <v>47.356380000000001</v>
      </c>
      <c r="M5962">
        <v>0.2106691</v>
      </c>
      <c r="N5962">
        <v>0</v>
      </c>
      <c r="O5962">
        <v>-0.97745249999999995</v>
      </c>
      <c r="P5962">
        <v>0.45763609999999999</v>
      </c>
      <c r="Q5962">
        <v>0.13860149999999999</v>
      </c>
      <c r="R5962">
        <v>-0.878270199999999</v>
      </c>
      <c r="S5962">
        <v>1.49057</v>
      </c>
      <c r="T5962">
        <v>-0.143564</v>
      </c>
      <c r="U5962">
        <v>-2.6633300000000002</v>
      </c>
      <c r="V5962">
        <v>-0.264658</v>
      </c>
      <c r="W5962">
        <v>0.14816309999999999</v>
      </c>
      <c r="X5962">
        <v>0.95289239999999997</v>
      </c>
      <c r="Y5962">
        <v>-0.29300530000000002</v>
      </c>
      <c r="Z5962">
        <v>4.7416550000000002E-2</v>
      </c>
      <c r="AA5962">
        <v>0.95493430000000001</v>
      </c>
      <c r="AB5962">
        <v>37</v>
      </c>
      <c r="AC5962">
        <v>11.516299999999999</v>
      </c>
      <c r="AD5962">
        <v>-1.1168219462469999</v>
      </c>
      <c r="AE5962">
        <v>-20.373139999999999</v>
      </c>
      <c r="AF5962">
        <v>-6.94953299452109</v>
      </c>
      <c r="AG5962">
        <v>-1.1168219462469999</v>
      </c>
      <c r="AH5962">
        <v>22.291431169999299</v>
      </c>
      <c r="AI5962">
        <v>92.738395875016593</v>
      </c>
      <c r="AJ5962">
        <v>107.315287660141</v>
      </c>
      <c r="AK5962">
        <v>23.376295765334</v>
      </c>
      <c r="AL5962">
        <v>81.479509882114897</v>
      </c>
      <c r="AM5962">
        <v>105.522194454681</v>
      </c>
      <c r="AN5962">
        <v>1.00000004357168</v>
      </c>
    </row>
    <row r="5963" spans="1:40" x14ac:dyDescent="0.25">
      <c r="A5963" t="str">
        <f>"20190312172235311"</f>
        <v>20190312172235311</v>
      </c>
      <c r="B5963" t="str">
        <f>"1552382555306616"</f>
        <v>1552382555306616</v>
      </c>
      <c r="C5963" t="s">
        <v>40</v>
      </c>
      <c r="D5963">
        <v>3.2873760000000001</v>
      </c>
      <c r="E5963">
        <v>0.45758680000000002</v>
      </c>
      <c r="F5963" t="s">
        <v>64</v>
      </c>
      <c r="G5963">
        <v>-405.76889999999997</v>
      </c>
      <c r="H5963" s="1">
        <v>-4.2933549999999997E-6</v>
      </c>
      <c r="I5963">
        <v>24.49653</v>
      </c>
      <c r="J5963">
        <v>-420.68979999999999</v>
      </c>
      <c r="K5963">
        <v>1.116932</v>
      </c>
      <c r="L5963">
        <v>47.14432</v>
      </c>
      <c r="M5963">
        <v>0.2148215</v>
      </c>
      <c r="N5963">
        <v>0</v>
      </c>
      <c r="O5963">
        <v>-0.97654830000000004</v>
      </c>
      <c r="P5963">
        <v>0.46256120000000001</v>
      </c>
      <c r="Q5963">
        <v>0.138367299999999</v>
      </c>
      <c r="R5963">
        <v>-0.87572369999999899</v>
      </c>
      <c r="S5963">
        <v>1.67746</v>
      </c>
      <c r="T5963">
        <v>-0.12514230000000001</v>
      </c>
      <c r="U5963">
        <v>-2.561493</v>
      </c>
      <c r="V5963">
        <v>-0.2659917</v>
      </c>
      <c r="W5963">
        <v>0.14783949999999901</v>
      </c>
      <c r="X5963">
        <v>0.95257119999999995</v>
      </c>
      <c r="Y5963">
        <v>-0.35484949999999998</v>
      </c>
      <c r="Z5963">
        <v>4.1493990000000001E-2</v>
      </c>
      <c r="AA5963">
        <v>0.9340022</v>
      </c>
      <c r="AB5963">
        <v>37</v>
      </c>
      <c r="AC5963">
        <v>14.9209</v>
      </c>
      <c r="AD5963">
        <v>-1.116936293355</v>
      </c>
      <c r="AE5963">
        <v>-22.647790000000001</v>
      </c>
      <c r="AF5963">
        <v>-9.6903076406556501</v>
      </c>
      <c r="AG5963">
        <v>-1.116936293355</v>
      </c>
      <c r="AH5963">
        <v>25.281709328587102</v>
      </c>
      <c r="AI5963">
        <v>92.3622891302239</v>
      </c>
      <c r="AJ5963">
        <v>110.971489260186</v>
      </c>
      <c r="AK5963">
        <v>27.0982367586736</v>
      </c>
      <c r="AL5963">
        <v>81.498256855476598</v>
      </c>
      <c r="AM5963">
        <v>105.60162050135401</v>
      </c>
      <c r="AN5963">
        <v>0.99999999664928996</v>
      </c>
    </row>
    <row r="5964" spans="1:40" x14ac:dyDescent="0.25">
      <c r="A5964" t="str">
        <f>"20190312172235324"</f>
        <v>20190312172235324</v>
      </c>
      <c r="B5964" t="str">
        <f>"1552382555316377"</f>
        <v>1552382555316377</v>
      </c>
      <c r="C5964" t="s">
        <v>40</v>
      </c>
      <c r="D5964">
        <v>3.2949039999999998</v>
      </c>
      <c r="E5964">
        <v>0.4574841</v>
      </c>
      <c r="F5964" t="s">
        <v>64</v>
      </c>
      <c r="G5964">
        <v>-404.37540000000001</v>
      </c>
      <c r="H5964" s="1">
        <v>-4.6891340000000002E-6</v>
      </c>
      <c r="I5964">
        <v>22.90287</v>
      </c>
      <c r="J5964">
        <v>-420.6413</v>
      </c>
      <c r="K5964">
        <v>1.117043</v>
      </c>
      <c r="L5964">
        <v>46.939239999999998</v>
      </c>
      <c r="M5964">
        <v>0.21889459999999999</v>
      </c>
      <c r="N5964">
        <v>0</v>
      </c>
      <c r="O5964">
        <v>-0.97564320000000004</v>
      </c>
      <c r="P5964">
        <v>0.46724480000000002</v>
      </c>
      <c r="Q5964">
        <v>0.1382652</v>
      </c>
      <c r="R5964">
        <v>-0.87324969999999902</v>
      </c>
      <c r="S5964">
        <v>1.710083</v>
      </c>
      <c r="T5964">
        <v>-0.11707720000000001</v>
      </c>
      <c r="U5964">
        <v>-2.540985</v>
      </c>
      <c r="V5964">
        <v>-0.26715640000000002</v>
      </c>
      <c r="W5964">
        <v>0.14765139999999999</v>
      </c>
      <c r="X5964">
        <v>0.95227439999999997</v>
      </c>
      <c r="Y5964">
        <v>-0.3627455</v>
      </c>
      <c r="Z5964">
        <v>3.8842109999999999E-2</v>
      </c>
      <c r="AA5964">
        <v>0.93107839999999997</v>
      </c>
      <c r="AB5964">
        <v>37</v>
      </c>
      <c r="AC5964">
        <v>16.265899999999899</v>
      </c>
      <c r="AD5964">
        <v>-1.117047689134</v>
      </c>
      <c r="AE5964">
        <v>-24.036370000000002</v>
      </c>
      <c r="AF5964">
        <v>-10.593680164017</v>
      </c>
      <c r="AG5964">
        <v>-1.117047689134</v>
      </c>
      <c r="AH5964">
        <v>26.9742556799963</v>
      </c>
      <c r="AI5964">
        <v>92.207404986087099</v>
      </c>
      <c r="AJ5964">
        <v>111.441573853172</v>
      </c>
      <c r="AK5964">
        <v>29.001453833335699</v>
      </c>
      <c r="AL5964">
        <v>81.509153856017505</v>
      </c>
      <c r="AM5964">
        <v>105.67123066820901</v>
      </c>
      <c r="AN5964">
        <v>1.00000000543914</v>
      </c>
    </row>
    <row r="5965" spans="1:40" x14ac:dyDescent="0.25">
      <c r="A5965" t="str">
        <f>"20190312172235336"</f>
        <v>20190312172235336</v>
      </c>
      <c r="B5965" t="str">
        <f>"1552382555327113"</f>
        <v>1552382555327113</v>
      </c>
      <c r="C5965" t="s">
        <v>40</v>
      </c>
      <c r="D5965">
        <v>3.3087569999999999</v>
      </c>
      <c r="E5965">
        <v>0.45750730000000001</v>
      </c>
      <c r="F5965" t="s">
        <v>64</v>
      </c>
      <c r="G5965">
        <v>-404.19920000000002</v>
      </c>
      <c r="H5965" s="1">
        <v>-4.7527259999999997E-6</v>
      </c>
      <c r="I5965">
        <v>22.799160000000001</v>
      </c>
      <c r="J5965">
        <v>-420.59230000000002</v>
      </c>
      <c r="K5965">
        <v>1.1171580000000001</v>
      </c>
      <c r="L5965">
        <v>46.735869999999998</v>
      </c>
      <c r="M5965">
        <v>0.2230162</v>
      </c>
      <c r="N5965">
        <v>0</v>
      </c>
      <c r="O5965">
        <v>-0.97470900000000005</v>
      </c>
      <c r="P5965">
        <v>0.4719004</v>
      </c>
      <c r="Q5965">
        <v>0.1377524</v>
      </c>
      <c r="R5965">
        <v>-0.87082369999999898</v>
      </c>
      <c r="S5965">
        <v>1.724213</v>
      </c>
      <c r="T5965">
        <v>-0.11713990000000001</v>
      </c>
      <c r="U5965">
        <v>-2.5314640000000002</v>
      </c>
      <c r="V5965">
        <v>-0.26823340000000001</v>
      </c>
      <c r="W5965">
        <v>0.14705379999999901</v>
      </c>
      <c r="X5965">
        <v>0.95206400000000002</v>
      </c>
      <c r="Y5965">
        <v>-0.36398589999999997</v>
      </c>
      <c r="Z5965">
        <v>3.8862229999999998E-2</v>
      </c>
      <c r="AA5965">
        <v>0.93059340000000002</v>
      </c>
      <c r="AB5965">
        <v>37</v>
      </c>
      <c r="AC5965">
        <v>16.3931</v>
      </c>
      <c r="AD5965">
        <v>-1.117162752726</v>
      </c>
      <c r="AE5965">
        <v>-23.936710000000001</v>
      </c>
      <c r="AF5965">
        <v>-10.625569516637899</v>
      </c>
      <c r="AG5965">
        <v>-1.117162752726</v>
      </c>
      <c r="AH5965">
        <v>26.950074605503801</v>
      </c>
      <c r="AI5965">
        <v>92.208456232869494</v>
      </c>
      <c r="AJ5965">
        <v>111.517763118384</v>
      </c>
      <c r="AK5965">
        <v>28.990641617791201</v>
      </c>
      <c r="AL5965">
        <v>81.543770961428294</v>
      </c>
      <c r="AM5965">
        <v>105.734589491739</v>
      </c>
      <c r="AN5965">
        <v>0.99999991853299597</v>
      </c>
    </row>
    <row r="5966" spans="1:40" x14ac:dyDescent="0.25">
      <c r="A5966" t="str">
        <f>"20190312172235348"</f>
        <v>20190312172235348</v>
      </c>
      <c r="B5966" t="str">
        <f>"1552382555336873"</f>
        <v>1552382555336873</v>
      </c>
      <c r="C5966" t="s">
        <v>40</v>
      </c>
      <c r="D5966">
        <v>3.3073030000000001</v>
      </c>
      <c r="E5966">
        <v>0.45755689999999999</v>
      </c>
      <c r="F5966" t="s">
        <v>64</v>
      </c>
      <c r="G5966">
        <v>-404.25839999999999</v>
      </c>
      <c r="H5966" s="1">
        <v>-4.7647229999999999E-6</v>
      </c>
      <c r="I5966">
        <v>23.02131</v>
      </c>
      <c r="J5966">
        <v>-420.5471</v>
      </c>
      <c r="K5966">
        <v>1.1172599999999999</v>
      </c>
      <c r="L5966">
        <v>46.553190000000001</v>
      </c>
      <c r="M5966">
        <v>0.22679489999999999</v>
      </c>
      <c r="N5966">
        <v>0</v>
      </c>
      <c r="O5966">
        <v>-0.97383679999999995</v>
      </c>
      <c r="P5966">
        <v>0.47625240000000002</v>
      </c>
      <c r="Q5966">
        <v>0.1376049</v>
      </c>
      <c r="R5966">
        <v>-0.86847529999999995</v>
      </c>
      <c r="S5966">
        <v>1.7373350000000001</v>
      </c>
      <c r="T5966">
        <v>-0.1188256</v>
      </c>
      <c r="U5966">
        <v>-2.5223689999999999</v>
      </c>
      <c r="V5966">
        <v>-0.2693374</v>
      </c>
      <c r="W5966">
        <v>0.1468265</v>
      </c>
      <c r="X5966">
        <v>0.95178750000000001</v>
      </c>
      <c r="Y5966">
        <v>-0.36521179999999998</v>
      </c>
      <c r="Z5966">
        <v>3.9421619999999997E-2</v>
      </c>
      <c r="AA5966">
        <v>0.93008939999999996</v>
      </c>
      <c r="AB5966">
        <v>37</v>
      </c>
      <c r="AC5966">
        <v>16.288699999999999</v>
      </c>
      <c r="AD5966">
        <v>-1.1172647647229901</v>
      </c>
      <c r="AE5966">
        <v>-23.531879999999902</v>
      </c>
      <c r="AF5966">
        <v>-10.5106907106289</v>
      </c>
      <c r="AG5966">
        <v>-1.1172647647229901</v>
      </c>
      <c r="AH5966">
        <v>26.5726483312888</v>
      </c>
      <c r="AI5966">
        <v>92.239020891623994</v>
      </c>
      <c r="AJ5966">
        <v>111.581049944054</v>
      </c>
      <c r="AK5966">
        <v>28.597701640295099</v>
      </c>
      <c r="AL5966">
        <v>81.556938331369096</v>
      </c>
      <c r="AM5966">
        <v>105.800484065853</v>
      </c>
      <c r="AN5966">
        <v>1.00000005064862</v>
      </c>
    </row>
    <row r="5967" spans="1:40" x14ac:dyDescent="0.25">
      <c r="A5967" t="str">
        <f>"20190312172235362"</f>
        <v>20190312172235362</v>
      </c>
      <c r="B5967" t="str">
        <f>"1552382555356392"</f>
        <v>1552382555356392</v>
      </c>
      <c r="C5967" t="s">
        <v>40</v>
      </c>
      <c r="D5967">
        <v>3.2559900000000002</v>
      </c>
      <c r="E5967">
        <v>0.45826159999999999</v>
      </c>
      <c r="F5967" t="s">
        <v>64</v>
      </c>
      <c r="G5967">
        <v>-404.29539999999997</v>
      </c>
      <c r="H5967" s="1">
        <v>-4.7780769999999996E-6</v>
      </c>
      <c r="I5967">
        <v>23.193239999999999</v>
      </c>
      <c r="J5967">
        <v>-420.49599999999998</v>
      </c>
      <c r="K5967">
        <v>1.1173770000000001</v>
      </c>
      <c r="L5967">
        <v>46.348880000000001</v>
      </c>
      <c r="M5967">
        <v>0.23106489999999999</v>
      </c>
      <c r="N5967">
        <v>0</v>
      </c>
      <c r="O5967">
        <v>-0.97283220000000004</v>
      </c>
      <c r="P5967">
        <v>0.4809891</v>
      </c>
      <c r="Q5967">
        <v>0.13733489999999901</v>
      </c>
      <c r="R5967">
        <v>-0.8659036</v>
      </c>
      <c r="S5967">
        <v>1.7491460000000001</v>
      </c>
      <c r="T5967">
        <v>-0.1202492</v>
      </c>
      <c r="U5967">
        <v>-2.5141909999999998</v>
      </c>
      <c r="V5967">
        <v>-0.270391099999999</v>
      </c>
      <c r="W5967">
        <v>0.1464704</v>
      </c>
      <c r="X5967">
        <v>0.95154360000000004</v>
      </c>
      <c r="Y5967">
        <v>-0.36548000000000003</v>
      </c>
      <c r="Z5967">
        <v>3.9886959999999999E-2</v>
      </c>
      <c r="AA5967">
        <v>0.92996420000000002</v>
      </c>
      <c r="AB5967">
        <v>36</v>
      </c>
      <c r="AC5967">
        <v>16.200600000000001</v>
      </c>
      <c r="AD5967">
        <v>-1.1173817780769999</v>
      </c>
      <c r="AE5967">
        <v>-23.155639999999998</v>
      </c>
      <c r="AF5967">
        <v>-10.3948342687827</v>
      </c>
      <c r="AG5967">
        <v>-1.1173817780769999</v>
      </c>
      <c r="AH5967">
        <v>26.231646614017698</v>
      </c>
      <c r="AI5967">
        <v>92.267772006523899</v>
      </c>
      <c r="AJ5967">
        <v>111.616974410023</v>
      </c>
      <c r="AK5967">
        <v>28.2382790834736</v>
      </c>
      <c r="AL5967">
        <v>81.577564549142593</v>
      </c>
      <c r="AM5967">
        <v>105.863055407236</v>
      </c>
      <c r="AN5967">
        <v>1.00000007386816</v>
      </c>
    </row>
    <row r="5968" spans="1:40" x14ac:dyDescent="0.25">
      <c r="A5968" t="str">
        <f>"20190312172235374"</f>
        <v>20190312172235374</v>
      </c>
      <c r="B5968" t="str">
        <f>"1552382555366152"</f>
        <v>1552382555366152</v>
      </c>
      <c r="C5968" t="s">
        <v>40</v>
      </c>
      <c r="D5968">
        <v>3.3060770000000002</v>
      </c>
      <c r="E5968">
        <v>0.4584877</v>
      </c>
      <c r="F5968" t="s">
        <v>64</v>
      </c>
      <c r="G5968">
        <v>-404.63749999999999</v>
      </c>
      <c r="H5968" s="1">
        <v>-4.7142730000000002E-6</v>
      </c>
      <c r="I5968">
        <v>23.729970000000002</v>
      </c>
      <c r="J5968">
        <v>-420.43880000000001</v>
      </c>
      <c r="K5968">
        <v>1.1175040000000001</v>
      </c>
      <c r="L5968">
        <v>46.125610000000002</v>
      </c>
      <c r="M5968">
        <v>0.23584640000000001</v>
      </c>
      <c r="N5968">
        <v>0</v>
      </c>
      <c r="O5968">
        <v>-0.97168390000000004</v>
      </c>
      <c r="P5968">
        <v>0.48673660000000002</v>
      </c>
      <c r="Q5968">
        <v>0.13715479999999899</v>
      </c>
      <c r="R5968">
        <v>-0.8627146</v>
      </c>
      <c r="S5968">
        <v>1.758148</v>
      </c>
      <c r="T5968">
        <v>-0.12387769999999999</v>
      </c>
      <c r="U5968">
        <v>-2.5076290000000001</v>
      </c>
      <c r="V5968">
        <v>-0.27207880000000001</v>
      </c>
      <c r="W5968">
        <v>0.14618310000000001</v>
      </c>
      <c r="X5968">
        <v>0.95110649999999997</v>
      </c>
      <c r="Y5968">
        <v>-0.36425639999999998</v>
      </c>
      <c r="Z5968">
        <v>4.1075460000000001E-2</v>
      </c>
      <c r="AA5968">
        <v>0.93039240000000001</v>
      </c>
      <c r="AB5968">
        <v>36</v>
      </c>
      <c r="AC5968">
        <v>15.801299999999999</v>
      </c>
      <c r="AD5968">
        <v>-1.117508714273</v>
      </c>
      <c r="AE5968">
        <v>-22.39564</v>
      </c>
      <c r="AF5968">
        <v>-10.056262786923</v>
      </c>
      <c r="AG5968">
        <v>-1.117508714273</v>
      </c>
      <c r="AH5968">
        <v>25.448495321919399</v>
      </c>
      <c r="AI5968">
        <v>92.338635840195906</v>
      </c>
      <c r="AJ5968">
        <v>111.562018415872</v>
      </c>
      <c r="AK5968">
        <v>27.386185589013301</v>
      </c>
      <c r="AL5968">
        <v>81.594203883183496</v>
      </c>
      <c r="AM5968">
        <v>105.964000970082</v>
      </c>
      <c r="AN5968">
        <v>0.99999997323864898</v>
      </c>
    </row>
    <row r="5969" spans="1:40" x14ac:dyDescent="0.25">
      <c r="A5969" t="str">
        <f>"20190312172235387"</f>
        <v>20190312172235387</v>
      </c>
      <c r="B5969" t="str">
        <f>"1552382555376889"</f>
        <v>1552382555376889</v>
      </c>
      <c r="C5969" t="s">
        <v>40</v>
      </c>
      <c r="D5969">
        <v>3.3085960000000001</v>
      </c>
      <c r="E5969">
        <v>0.45864729999999998</v>
      </c>
      <c r="F5969" t="s">
        <v>64</v>
      </c>
      <c r="G5969">
        <v>-404.75369999999998</v>
      </c>
      <c r="H5969" s="1">
        <v>-4.7129079999999996E-6</v>
      </c>
      <c r="I5969">
        <v>24.026430000000001</v>
      </c>
      <c r="J5969">
        <v>-420.39170000000001</v>
      </c>
      <c r="K5969">
        <v>1.117604</v>
      </c>
      <c r="L5969">
        <v>45.945740000000001</v>
      </c>
      <c r="M5969">
        <v>0.2397611</v>
      </c>
      <c r="N5969">
        <v>0</v>
      </c>
      <c r="O5969">
        <v>-0.97072539999999996</v>
      </c>
      <c r="P5969">
        <v>0.4909289</v>
      </c>
      <c r="Q5969">
        <v>0.1372321</v>
      </c>
      <c r="R5969">
        <v>-0.86032350000000002</v>
      </c>
      <c r="S5969">
        <v>1.7725519999999999</v>
      </c>
      <c r="T5969">
        <v>-0.1262885</v>
      </c>
      <c r="U5969">
        <v>-2.4974059999999998</v>
      </c>
      <c r="V5969">
        <v>-0.27291579999999999</v>
      </c>
      <c r="W5969">
        <v>0.14618499999999901</v>
      </c>
      <c r="X5969">
        <v>0.9508664</v>
      </c>
      <c r="Y5969">
        <v>-0.36584909999999998</v>
      </c>
      <c r="Z5969">
        <v>4.1874000000000001E-2</v>
      </c>
      <c r="AA5969">
        <v>0.92973170000000005</v>
      </c>
      <c r="AB5969">
        <v>36</v>
      </c>
      <c r="AC5969">
        <v>15.638</v>
      </c>
      <c r="AD5969">
        <v>-1.1176087129079999</v>
      </c>
      <c r="AE5969">
        <v>-21.919309999999999</v>
      </c>
      <c r="AF5969">
        <v>-9.9087613738767093</v>
      </c>
      <c r="AG5969">
        <v>-1.1176087129079999</v>
      </c>
      <c r="AH5969">
        <v>24.9865560912463</v>
      </c>
      <c r="AI5969">
        <v>92.380893348276103</v>
      </c>
      <c r="AJ5969">
        <v>111.631480236473</v>
      </c>
      <c r="AK5969">
        <v>26.902798859981001</v>
      </c>
      <c r="AL5969">
        <v>81.594094060387604</v>
      </c>
      <c r="AM5969">
        <v>106.014433422045</v>
      </c>
      <c r="AN5969">
        <v>0.99999999938179995</v>
      </c>
    </row>
    <row r="5970" spans="1:40" x14ac:dyDescent="0.25">
      <c r="A5970" t="str">
        <f>"20190312172235410"</f>
        <v>20190312172235410</v>
      </c>
      <c r="B5970" t="str">
        <f>"1552382555407145"</f>
        <v>1552382555407145</v>
      </c>
      <c r="C5970" t="s">
        <v>40</v>
      </c>
      <c r="D5970">
        <v>3.3546260000000001</v>
      </c>
      <c r="E5970">
        <v>0.45910800000000002</v>
      </c>
      <c r="F5970" t="s">
        <v>64</v>
      </c>
      <c r="G5970">
        <v>-404.83089999999999</v>
      </c>
      <c r="H5970" s="1">
        <v>-4.710581E-6</v>
      </c>
      <c r="I5970">
        <v>24.215499999999999</v>
      </c>
      <c r="J5970">
        <v>-420.29840000000002</v>
      </c>
      <c r="K5970">
        <v>1.117794</v>
      </c>
      <c r="L5970">
        <v>45.5976</v>
      </c>
      <c r="M5970">
        <v>0.24749199999999999</v>
      </c>
      <c r="N5970">
        <v>0</v>
      </c>
      <c r="O5970">
        <v>-0.9687827</v>
      </c>
      <c r="P5970">
        <v>0.49943500000000002</v>
      </c>
      <c r="Q5970">
        <v>0.13669779999999901</v>
      </c>
      <c r="R5970">
        <v>-0.85549909999999996</v>
      </c>
      <c r="S5970">
        <v>1.7830509999999999</v>
      </c>
      <c r="T5970">
        <v>-0.1280628</v>
      </c>
      <c r="U5970">
        <v>-2.4899900000000001</v>
      </c>
      <c r="V5970">
        <v>-0.27480680000000002</v>
      </c>
      <c r="W5970">
        <v>0.14550189999999999</v>
      </c>
      <c r="X5970">
        <v>0.95042649999999995</v>
      </c>
      <c r="Y5970">
        <v>-0.36231600000000003</v>
      </c>
      <c r="Z5970">
        <v>4.242042E-2</v>
      </c>
      <c r="AA5970">
        <v>0.93108950000000001</v>
      </c>
      <c r="AB5970">
        <v>36</v>
      </c>
      <c r="AC5970">
        <v>15.467499999999999</v>
      </c>
      <c r="AD5970">
        <v>-1.1177987105810001</v>
      </c>
      <c r="AE5970">
        <v>-21.382100000000001</v>
      </c>
      <c r="AF5970">
        <v>-9.6763945549082599</v>
      </c>
      <c r="AG5970">
        <v>-1.1177987105810001</v>
      </c>
      <c r="AH5970">
        <v>24.5012837649085</v>
      </c>
      <c r="AI5970">
        <v>92.429758432895696</v>
      </c>
      <c r="AJ5970">
        <v>111.550757914625</v>
      </c>
      <c r="AK5970">
        <v>26.366550621349798</v>
      </c>
      <c r="AL5970">
        <v>81.633656292758999</v>
      </c>
      <c r="AM5970">
        <v>106.12672350187</v>
      </c>
      <c r="AN5970">
        <v>1.00000005606604</v>
      </c>
    </row>
    <row r="5971" spans="1:40" x14ac:dyDescent="0.25">
      <c r="A5971" t="str">
        <f>"20190312172235423"</f>
        <v>20190312172235423</v>
      </c>
      <c r="B5971" t="str">
        <f>"1552382555416905"</f>
        <v>1552382555416905</v>
      </c>
      <c r="C5971" t="s">
        <v>40</v>
      </c>
      <c r="D5971">
        <v>3.2414010000000002</v>
      </c>
      <c r="E5971">
        <v>0.4592155</v>
      </c>
      <c r="F5971" t="s">
        <v>64</v>
      </c>
      <c r="G5971">
        <v>-404.75400000000002</v>
      </c>
      <c r="H5971" s="1">
        <v>-4.7568579999999901E-6</v>
      </c>
      <c r="I5971">
        <v>24.274049999999999</v>
      </c>
      <c r="J5971">
        <v>-420.24180000000001</v>
      </c>
      <c r="K5971">
        <v>1.1179030000000001</v>
      </c>
      <c r="L5971">
        <v>45.391449999999999</v>
      </c>
      <c r="M5971">
        <v>0.2521621</v>
      </c>
      <c r="N5971">
        <v>0</v>
      </c>
      <c r="O5971">
        <v>-0.96757749999999998</v>
      </c>
      <c r="P5971">
        <v>0.50455559999999999</v>
      </c>
      <c r="Q5971">
        <v>0.13642969999999999</v>
      </c>
      <c r="R5971">
        <v>-0.85253219999999996</v>
      </c>
      <c r="S5971">
        <v>1.8038019999999999</v>
      </c>
      <c r="T5971">
        <v>-0.12971160000000001</v>
      </c>
      <c r="U5971">
        <v>-2.4744259999999998</v>
      </c>
      <c r="V5971">
        <v>-0.27594839999999998</v>
      </c>
      <c r="W5971">
        <v>0.1451443</v>
      </c>
      <c r="X5971">
        <v>0.9501503</v>
      </c>
      <c r="Y5971">
        <v>-0.36568980000000001</v>
      </c>
      <c r="Z5971">
        <v>4.2978290000000002E-2</v>
      </c>
      <c r="AA5971">
        <v>0.92974389999999996</v>
      </c>
      <c r="AB5971">
        <v>36</v>
      </c>
      <c r="AC5971">
        <v>15.487799999999901</v>
      </c>
      <c r="AD5971">
        <v>-1.117907756858</v>
      </c>
      <c r="AE5971">
        <v>-21.1174</v>
      </c>
      <c r="AF5971">
        <v>-9.6440702652711607</v>
      </c>
      <c r="AG5971">
        <v>-1.117907756858</v>
      </c>
      <c r="AH5971">
        <v>24.296415786772201</v>
      </c>
      <c r="AI5971">
        <v>92.448785499846394</v>
      </c>
      <c r="AJ5971">
        <v>111.64980429321901</v>
      </c>
      <c r="AK5971">
        <v>26.164357991704001</v>
      </c>
      <c r="AL5971">
        <v>81.654364546153303</v>
      </c>
      <c r="AM5971">
        <v>106.194673702736</v>
      </c>
      <c r="AN5971">
        <v>0.99999998993757</v>
      </c>
    </row>
    <row r="5972" spans="1:40" x14ac:dyDescent="0.25">
      <c r="A5972" t="str">
        <f>"20190312172235434"</f>
        <v>20190312172235434</v>
      </c>
      <c r="B5972" t="str">
        <f>"1552382555426664"</f>
        <v>1552382555426664</v>
      </c>
      <c r="C5972" t="s">
        <v>40</v>
      </c>
      <c r="D5972">
        <v>3.3360970000000001</v>
      </c>
      <c r="E5972">
        <v>0.45927220000000002</v>
      </c>
      <c r="F5972" t="s">
        <v>64</v>
      </c>
      <c r="G5972">
        <v>-404.77339999999998</v>
      </c>
      <c r="H5972" s="1">
        <v>-4.7749569999999999E-6</v>
      </c>
      <c r="I5972">
        <v>24.426649999999999</v>
      </c>
      <c r="J5972">
        <v>-420.18920000000003</v>
      </c>
      <c r="K5972">
        <v>1.1180030000000001</v>
      </c>
      <c r="L5972">
        <v>45.204219999999999</v>
      </c>
      <c r="M5972">
        <v>0.25648169999999998</v>
      </c>
      <c r="N5972">
        <v>0</v>
      </c>
      <c r="O5972">
        <v>-0.9664412</v>
      </c>
      <c r="P5972">
        <v>0.50900829999999997</v>
      </c>
      <c r="Q5972">
        <v>0.1362807</v>
      </c>
      <c r="R5972">
        <v>-0.84990529999999997</v>
      </c>
      <c r="S5972">
        <v>1.817993</v>
      </c>
      <c r="T5972">
        <v>-0.13138749999999999</v>
      </c>
      <c r="U5972">
        <v>-2.4639890000000002</v>
      </c>
      <c r="V5972">
        <v>-0.27670359999999899</v>
      </c>
      <c r="W5972">
        <v>0.1449221</v>
      </c>
      <c r="X5972">
        <v>0.94996460000000005</v>
      </c>
      <c r="Y5972">
        <v>-0.36686649999999998</v>
      </c>
      <c r="Z5972">
        <v>4.3526589999999997E-2</v>
      </c>
      <c r="AA5972">
        <v>0.92925480000000005</v>
      </c>
      <c r="AB5972">
        <v>36</v>
      </c>
      <c r="AC5972">
        <v>15.415800000000001</v>
      </c>
      <c r="AD5972">
        <v>-1.1180077749570001</v>
      </c>
      <c r="AE5972">
        <v>-20.777570000000001</v>
      </c>
      <c r="AF5972">
        <v>-9.5525574632084798</v>
      </c>
      <c r="AG5972">
        <v>-1.1180077749570001</v>
      </c>
      <c r="AH5972">
        <v>23.991874725705799</v>
      </c>
      <c r="AI5972">
        <v>92.479011503643306</v>
      </c>
      <c r="AJ5972">
        <v>111.710371240238</v>
      </c>
      <c r="AK5972">
        <v>25.847849974934601</v>
      </c>
      <c r="AL5972">
        <v>81.667231962122798</v>
      </c>
      <c r="AM5972">
        <v>106.23966899729299</v>
      </c>
      <c r="AN5972">
        <v>1.00000001928726</v>
      </c>
    </row>
    <row r="5973" spans="1:40" x14ac:dyDescent="0.25">
      <c r="A5973" t="str">
        <f>"20190312172235455"</f>
        <v>20190312172235455</v>
      </c>
      <c r="B5973" t="str">
        <f>"1552382555446184"</f>
        <v>1552382555446184</v>
      </c>
      <c r="C5973" t="s">
        <v>40</v>
      </c>
      <c r="D5973">
        <v>3.4181780000000002</v>
      </c>
      <c r="E5973">
        <v>0.45923779999999997</v>
      </c>
      <c r="F5973" t="s">
        <v>64</v>
      </c>
      <c r="G5973">
        <v>-404.99369999999999</v>
      </c>
      <c r="H5973" s="1">
        <v>-4.7423530000000003E-6</v>
      </c>
      <c r="I5973">
        <v>24.827490000000001</v>
      </c>
      <c r="J5973">
        <v>-420.09980000000002</v>
      </c>
      <c r="K5973">
        <v>1.1181749999999999</v>
      </c>
      <c r="L5973">
        <v>44.892699999999998</v>
      </c>
      <c r="M5973">
        <v>0.26379419999999998</v>
      </c>
      <c r="N5973">
        <v>0</v>
      </c>
      <c r="O5973">
        <v>-0.96447050000000001</v>
      </c>
      <c r="P5973">
        <v>0.51600109999999999</v>
      </c>
      <c r="Q5973">
        <v>0.13591439999999999</v>
      </c>
      <c r="R5973">
        <v>-0.84573679999999996</v>
      </c>
      <c r="S5973">
        <v>1.8307500000000001</v>
      </c>
      <c r="T5973">
        <v>-0.13469739999999999</v>
      </c>
      <c r="U5973">
        <v>-2.454987</v>
      </c>
      <c r="V5973">
        <v>-0.27738249999999998</v>
      </c>
      <c r="W5973">
        <v>0.14444789999999999</v>
      </c>
      <c r="X5973">
        <v>0.94983879999999998</v>
      </c>
      <c r="Y5973">
        <v>-0.36452839999999997</v>
      </c>
      <c r="Z5973">
        <v>4.4575320000000002E-2</v>
      </c>
      <c r="AA5973">
        <v>0.93012479999999997</v>
      </c>
      <c r="AB5973">
        <v>36</v>
      </c>
      <c r="AC5973">
        <v>15.1061</v>
      </c>
      <c r="AD5973">
        <v>-1.118179742353</v>
      </c>
      <c r="AE5973">
        <v>-20.06521</v>
      </c>
      <c r="AF5973">
        <v>-9.2589204416986508</v>
      </c>
      <c r="AG5973">
        <v>-1.118179742353</v>
      </c>
      <c r="AH5973">
        <v>23.293476880234</v>
      </c>
      <c r="AI5973">
        <v>92.554219213533599</v>
      </c>
      <c r="AJ5973">
        <v>111.677318247207</v>
      </c>
      <c r="AK5973">
        <v>25.091113942029502</v>
      </c>
      <c r="AL5973">
        <v>81.6946903559883</v>
      </c>
      <c r="AM5973">
        <v>106.279447974454</v>
      </c>
      <c r="AN5973">
        <v>0.99999999655304905</v>
      </c>
    </row>
    <row r="5974" spans="1:40" x14ac:dyDescent="0.25">
      <c r="A5974" t="str">
        <f>"20190312172235478"</f>
        <v>20190312172235478</v>
      </c>
      <c r="B5974" t="str">
        <f>"1552382555466680"</f>
        <v>1552382555466680</v>
      </c>
      <c r="C5974" t="s">
        <v>40</v>
      </c>
      <c r="D5974">
        <v>3.2140580000000001</v>
      </c>
      <c r="E5974">
        <v>0.45967799999999998</v>
      </c>
      <c r="F5974" t="s">
        <v>64</v>
      </c>
      <c r="G5974">
        <v>-404.96679999999998</v>
      </c>
      <c r="H5974" s="1">
        <v>-4.7795569999999998E-6</v>
      </c>
      <c r="I5974">
        <v>24.96041</v>
      </c>
      <c r="J5974">
        <v>-419.99869999999999</v>
      </c>
      <c r="K5974">
        <v>1.118352</v>
      </c>
      <c r="L5974">
        <v>44.551360000000003</v>
      </c>
      <c r="M5974">
        <v>0.27199200000000001</v>
      </c>
      <c r="N5974">
        <v>0</v>
      </c>
      <c r="O5974">
        <v>-0.9621904</v>
      </c>
      <c r="P5974">
        <v>0.52431139999999998</v>
      </c>
      <c r="Q5974">
        <v>0.1352566</v>
      </c>
      <c r="R5974">
        <v>-0.84071589999999996</v>
      </c>
      <c r="S5974">
        <v>1.8519589999999999</v>
      </c>
      <c r="T5974">
        <v>-0.13684209999999999</v>
      </c>
      <c r="U5974">
        <v>-2.4393009999999999</v>
      </c>
      <c r="V5974">
        <v>-0.27868720000000002</v>
      </c>
      <c r="W5974">
        <v>0.14366039999999999</v>
      </c>
      <c r="X5974">
        <v>0.94957630000000004</v>
      </c>
      <c r="Y5974">
        <v>-0.36459780000000003</v>
      </c>
      <c r="Z5974">
        <v>4.5248440000000001E-2</v>
      </c>
      <c r="AA5974">
        <v>0.93006500000000003</v>
      </c>
      <c r="AB5974">
        <v>36</v>
      </c>
      <c r="AC5974">
        <v>15.0319</v>
      </c>
      <c r="AD5974">
        <v>-1.118356779557</v>
      </c>
      <c r="AE5974">
        <v>-19.590949999999999</v>
      </c>
      <c r="AF5974">
        <v>-9.1172265743377707</v>
      </c>
      <c r="AG5974">
        <v>-1.118356779557</v>
      </c>
      <c r="AH5974">
        <v>22.8942296360391</v>
      </c>
      <c r="AI5974">
        <v>92.598449960288605</v>
      </c>
      <c r="AJ5974">
        <v>111.714054923106</v>
      </c>
      <c r="AK5974">
        <v>24.668204087891802</v>
      </c>
      <c r="AL5974">
        <v>81.740286452018296</v>
      </c>
      <c r="AM5974">
        <v>106.35621702476899</v>
      </c>
      <c r="AN5974">
        <v>1.0000000077468401</v>
      </c>
    </row>
    <row r="5975" spans="1:40" x14ac:dyDescent="0.25">
      <c r="A5975" t="str">
        <f>"20190312172235498"</f>
        <v>20190312172235498</v>
      </c>
      <c r="B5975" t="str">
        <f>"1552382555486201"</f>
        <v>1552382555486201</v>
      </c>
      <c r="C5975" t="s">
        <v>40</v>
      </c>
      <c r="D5975">
        <v>3.3173849999999998</v>
      </c>
      <c r="E5975">
        <v>0.4600997</v>
      </c>
      <c r="F5975" t="s">
        <v>64</v>
      </c>
      <c r="G5975">
        <v>-405.10629999999998</v>
      </c>
      <c r="H5975" s="1">
        <v>-4.7675499999999998E-6</v>
      </c>
      <c r="I5975">
        <v>25.28734</v>
      </c>
      <c r="J5975">
        <v>-419.8999</v>
      </c>
      <c r="K5975">
        <v>1.118511</v>
      </c>
      <c r="L5975">
        <v>44.228090000000002</v>
      </c>
      <c r="M5975">
        <v>0.2799334</v>
      </c>
      <c r="N5975">
        <v>0</v>
      </c>
      <c r="O5975">
        <v>-0.95990969999999998</v>
      </c>
      <c r="P5975">
        <v>0.53217890000000001</v>
      </c>
      <c r="Q5975">
        <v>0.13489960000000001</v>
      </c>
      <c r="R5975">
        <v>-0.83581569999999905</v>
      </c>
      <c r="S5975">
        <v>1.8730469999999999</v>
      </c>
      <c r="T5975">
        <v>-0.14065839999999999</v>
      </c>
      <c r="U5975">
        <v>-2.422882</v>
      </c>
      <c r="V5975">
        <v>-0.2797905</v>
      </c>
      <c r="W5975">
        <v>0.1431847</v>
      </c>
      <c r="X5975">
        <v>0.94932369999999999</v>
      </c>
      <c r="Y5975">
        <v>-0.3649848</v>
      </c>
      <c r="Z5975">
        <v>4.6478140000000001E-2</v>
      </c>
      <c r="AA5975">
        <v>0.92985260000000003</v>
      </c>
      <c r="AB5975">
        <v>36</v>
      </c>
      <c r="AC5975">
        <v>14.7936</v>
      </c>
      <c r="AD5975">
        <v>-1.1185157675499999</v>
      </c>
      <c r="AE5975">
        <v>-18.940750000000001</v>
      </c>
      <c r="AF5975">
        <v>-8.8800749102345193</v>
      </c>
      <c r="AG5975">
        <v>-1.1185157675499999</v>
      </c>
      <c r="AH5975">
        <v>22.276732976153799</v>
      </c>
      <c r="AI5975">
        <v>92.670393146597505</v>
      </c>
      <c r="AJ5975">
        <v>111.733489183111</v>
      </c>
      <c r="AK5975">
        <v>24.007491331342599</v>
      </c>
      <c r="AL5975">
        <v>81.767827003040097</v>
      </c>
      <c r="AM5975">
        <v>106.421622781754</v>
      </c>
      <c r="AN5975">
        <v>1.00000003479301</v>
      </c>
    </row>
    <row r="5976" spans="1:40" x14ac:dyDescent="0.25">
      <c r="A5976" t="str">
        <f>"20190312172235511"</f>
        <v>20190312172235511</v>
      </c>
      <c r="B5976" t="str">
        <f>"1552382555506697"</f>
        <v>1552382555506697</v>
      </c>
      <c r="C5976" t="s">
        <v>40</v>
      </c>
      <c r="D5976">
        <v>3.344198</v>
      </c>
      <c r="E5976">
        <v>0.460505</v>
      </c>
      <c r="F5976" t="s">
        <v>64</v>
      </c>
      <c r="G5976">
        <v>-405.11900000000003</v>
      </c>
      <c r="H5976" s="1">
        <v>-4.7844219999999996E-6</v>
      </c>
      <c r="I5976">
        <v>25.417999999999999</v>
      </c>
      <c r="J5976">
        <v>-419.83949999999999</v>
      </c>
      <c r="K5976">
        <v>1.118606</v>
      </c>
      <c r="L5976">
        <v>44.036009999999997</v>
      </c>
      <c r="M5976">
        <v>0.28474559999999999</v>
      </c>
      <c r="N5976">
        <v>0</v>
      </c>
      <c r="O5976">
        <v>-0.95849320000000005</v>
      </c>
      <c r="P5976">
        <v>0.53677819999999898</v>
      </c>
      <c r="Q5976">
        <v>0.1347718</v>
      </c>
      <c r="R5976">
        <v>-0.83289020000000002</v>
      </c>
      <c r="S5976">
        <v>1.8919980000000001</v>
      </c>
      <c r="T5976">
        <v>-0.1431732</v>
      </c>
      <c r="U5976">
        <v>-2.4077449999999998</v>
      </c>
      <c r="V5976">
        <v>-0.28028809999999998</v>
      </c>
      <c r="W5976">
        <v>0.1429926</v>
      </c>
      <c r="X5976">
        <v>0.94920579999999999</v>
      </c>
      <c r="Y5976">
        <v>-0.36765249999999999</v>
      </c>
      <c r="Z5976">
        <v>4.7308089999999997E-2</v>
      </c>
      <c r="AA5976">
        <v>0.92875920000000001</v>
      </c>
      <c r="AB5976">
        <v>36</v>
      </c>
      <c r="AC5976">
        <v>14.7204999999999</v>
      </c>
      <c r="AD5976">
        <v>-1.1186107844219999</v>
      </c>
      <c r="AE5976">
        <v>-18.618009999999899</v>
      </c>
      <c r="AF5976">
        <v>-8.7895071129714797</v>
      </c>
      <c r="AG5976">
        <v>-1.1186107844219999</v>
      </c>
      <c r="AH5976">
        <v>21.9903095671072</v>
      </c>
      <c r="AI5976">
        <v>92.704354782509597</v>
      </c>
      <c r="AJ5976">
        <v>111.786545999339</v>
      </c>
      <c r="AK5976">
        <v>23.708235704775799</v>
      </c>
      <c r="AL5976">
        <v>81.778947477070005</v>
      </c>
      <c r="AM5976">
        <v>106.451183634972</v>
      </c>
      <c r="AN5976">
        <v>0.99999997670500396</v>
      </c>
    </row>
    <row r="5977" spans="1:40" x14ac:dyDescent="0.25">
      <c r="A5977" t="str">
        <f>"20190312172235524"</f>
        <v>20190312172235524</v>
      </c>
      <c r="B5977" t="str">
        <f>"1552382555516456"</f>
        <v>1552382555516456</v>
      </c>
      <c r="C5977" t="s">
        <v>40</v>
      </c>
      <c r="D5977">
        <v>3.2864140000000002</v>
      </c>
      <c r="E5977">
        <v>0.4605822</v>
      </c>
      <c r="F5977" t="s">
        <v>64</v>
      </c>
      <c r="G5977">
        <v>-405.12369999999999</v>
      </c>
      <c r="H5977" s="1">
        <v>-4.7923459999999998E-6</v>
      </c>
      <c r="I5977">
        <v>25.475860000000001</v>
      </c>
      <c r="J5977">
        <v>-419.77980000000002</v>
      </c>
      <c r="K5977">
        <v>1.1186969999999901</v>
      </c>
      <c r="L5977">
        <v>43.848300000000002</v>
      </c>
      <c r="M5977">
        <v>0.28947840000000002</v>
      </c>
      <c r="N5977">
        <v>0</v>
      </c>
      <c r="O5977">
        <v>-0.95707410000000004</v>
      </c>
      <c r="P5977">
        <v>0.54111049999999905</v>
      </c>
      <c r="Q5977">
        <v>0.13486500000000001</v>
      </c>
      <c r="R5977">
        <v>-0.83006689999999905</v>
      </c>
      <c r="S5977">
        <v>1.902344</v>
      </c>
      <c r="T5977">
        <v>-0.14460599999999901</v>
      </c>
      <c r="U5977">
        <v>-2.3993229999999999</v>
      </c>
      <c r="V5977">
        <v>-0.28058270000000002</v>
      </c>
      <c r="W5977">
        <v>0.14302699999999999</v>
      </c>
      <c r="X5977">
        <v>0.9491136</v>
      </c>
      <c r="Y5977">
        <v>-0.36708990000000002</v>
      </c>
      <c r="Z5977">
        <v>4.7755110000000003E-2</v>
      </c>
      <c r="AA5977">
        <v>0.92895879999999997</v>
      </c>
      <c r="AB5977">
        <v>36</v>
      </c>
      <c r="AC5977">
        <v>14.6561</v>
      </c>
      <c r="AD5977">
        <v>-1.1187017923460001</v>
      </c>
      <c r="AE5977">
        <v>-18.372440000000001</v>
      </c>
      <c r="AF5977">
        <v>-8.6897808677315105</v>
      </c>
      <c r="AG5977">
        <v>-1.1187017923460001</v>
      </c>
      <c r="AH5977">
        <v>21.779371455621501</v>
      </c>
      <c r="AI5977">
        <v>92.731394156442207</v>
      </c>
      <c r="AJ5977">
        <v>111.75157211292201</v>
      </c>
      <c r="AK5977">
        <v>23.475621530245601</v>
      </c>
      <c r="AL5977">
        <v>81.776956225464701</v>
      </c>
      <c r="AM5977">
        <v>106.46905170392699</v>
      </c>
      <c r="AN5977">
        <v>0.99999999998662503</v>
      </c>
    </row>
    <row r="5978" spans="1:40" x14ac:dyDescent="0.25">
      <c r="A5978" t="str">
        <f>"20190312172235535"</f>
        <v>20190312172235535</v>
      </c>
      <c r="B5978" t="str">
        <f>"1552382555527033"</f>
        <v>1552382555527033</v>
      </c>
      <c r="C5978" t="s">
        <v>40</v>
      </c>
      <c r="D5978">
        <v>3.3575729999999999</v>
      </c>
      <c r="E5978">
        <v>0.4605822</v>
      </c>
      <c r="F5978" t="s">
        <v>64</v>
      </c>
      <c r="G5978">
        <v>-405.15600000000001</v>
      </c>
      <c r="H5978" s="1">
        <v>-4.7971500000000003E-6</v>
      </c>
      <c r="I5978">
        <v>25.59395</v>
      </c>
      <c r="J5978">
        <v>-419.7183</v>
      </c>
      <c r="K5978">
        <v>1.1187860000000001</v>
      </c>
      <c r="L5978">
        <v>43.659059999999997</v>
      </c>
      <c r="M5978">
        <v>0.2943113</v>
      </c>
      <c r="N5978">
        <v>0</v>
      </c>
      <c r="O5978">
        <v>-0.95559879999999997</v>
      </c>
      <c r="P5978">
        <v>0.54541379999999995</v>
      </c>
      <c r="Q5978">
        <v>0.13467409999999999</v>
      </c>
      <c r="R5978">
        <v>-0.82727659999999903</v>
      </c>
      <c r="S5978">
        <v>1.9145509999999999</v>
      </c>
      <c r="T5978">
        <v>-0.1464606</v>
      </c>
      <c r="U5978">
        <v>-2.3898619999999999</v>
      </c>
      <c r="V5978">
        <v>-0.28073429999999999</v>
      </c>
      <c r="W5978">
        <v>0.14278350000000001</v>
      </c>
      <c r="X5978">
        <v>0.94910539999999999</v>
      </c>
      <c r="Y5978">
        <v>-0.3670564</v>
      </c>
      <c r="Z5978">
        <v>4.8336270000000001E-2</v>
      </c>
      <c r="AA5978">
        <v>0.92894200000000005</v>
      </c>
      <c r="AB5978">
        <v>36</v>
      </c>
      <c r="AC5978">
        <v>14.562299999999899</v>
      </c>
      <c r="AD5978">
        <v>-1.11879079715</v>
      </c>
      <c r="AE5978">
        <v>-18.065110000000001</v>
      </c>
      <c r="AF5978">
        <v>-8.57991454900856</v>
      </c>
      <c r="AG5978">
        <v>-1.11879079715</v>
      </c>
      <c r="AH5978">
        <v>21.501143319925401</v>
      </c>
      <c r="AI5978">
        <v>92.766853423765099</v>
      </c>
      <c r="AJ5978">
        <v>111.754202607295</v>
      </c>
      <c r="AK5978">
        <v>23.176837372257001</v>
      </c>
      <c r="AL5978">
        <v>81.791052158987895</v>
      </c>
      <c r="AM5978">
        <v>106.477602185267</v>
      </c>
      <c r="AN5978">
        <v>0.99999996768894905</v>
      </c>
    </row>
    <row r="5979" spans="1:40" x14ac:dyDescent="0.25">
      <c r="A5979" t="str">
        <f>"20190312172235548"</f>
        <v>20190312172235548</v>
      </c>
      <c r="B5979" t="str">
        <f>"1552382555536792"</f>
        <v>1552382555536792</v>
      </c>
      <c r="C5979" t="s">
        <v>40</v>
      </c>
      <c r="D5979">
        <v>3.19448</v>
      </c>
      <c r="E5979">
        <v>0.46079799999999899</v>
      </c>
      <c r="F5979" t="s">
        <v>64</v>
      </c>
      <c r="G5979">
        <v>-405.04849999999999</v>
      </c>
      <c r="H5979" s="1">
        <v>-4.8417760000000001E-6</v>
      </c>
      <c r="I5979">
        <v>25.54073</v>
      </c>
      <c r="J5979">
        <v>-419.65800000000002</v>
      </c>
      <c r="K5979">
        <v>1.118865</v>
      </c>
      <c r="L5979">
        <v>43.476840000000003</v>
      </c>
      <c r="M5979">
        <v>0.29901349999999999</v>
      </c>
      <c r="N5979">
        <v>0</v>
      </c>
      <c r="O5979">
        <v>-0.95413769999999998</v>
      </c>
      <c r="P5979">
        <v>0.54956590000000005</v>
      </c>
      <c r="Q5979">
        <v>0.13512379999999999</v>
      </c>
      <c r="R5979">
        <v>-0.82445069999999998</v>
      </c>
      <c r="S5979">
        <v>1.9269099999999999</v>
      </c>
      <c r="T5979">
        <v>-0.14695569999999999</v>
      </c>
      <c r="U5979">
        <v>-2.379883</v>
      </c>
      <c r="V5979">
        <v>-0.28089259999999999</v>
      </c>
      <c r="W5979">
        <v>0.1431837</v>
      </c>
      <c r="X5979">
        <v>0.94899829999999996</v>
      </c>
      <c r="Y5979">
        <v>-0.36729099999999998</v>
      </c>
      <c r="Z5979">
        <v>4.8474459999999997E-2</v>
      </c>
      <c r="AA5979">
        <v>0.9288421</v>
      </c>
      <c r="AB5979">
        <v>36</v>
      </c>
      <c r="AC5979">
        <v>14.609500000000001</v>
      </c>
      <c r="AD5979">
        <v>-1.1188698417759999</v>
      </c>
      <c r="AE5979">
        <v>-17.936109999999999</v>
      </c>
      <c r="AF5979">
        <v>-8.5572275603841899</v>
      </c>
      <c r="AG5979">
        <v>-1.1188698417759999</v>
      </c>
      <c r="AH5979">
        <v>21.4340945104227</v>
      </c>
      <c r="AI5979">
        <v>92.775509694277602</v>
      </c>
      <c r="AJ5979">
        <v>111.76358359745799</v>
      </c>
      <c r="AK5979">
        <v>23.106242029476899</v>
      </c>
      <c r="AL5979">
        <v>81.767884598985304</v>
      </c>
      <c r="AM5979">
        <v>106.488148808171</v>
      </c>
      <c r="AN5979">
        <v>0.99999999904166903</v>
      </c>
    </row>
    <row r="5980" spans="1:40" x14ac:dyDescent="0.25">
      <c r="A5980" t="str">
        <f>"20190312172235563"</f>
        <v>20190312172235563</v>
      </c>
      <c r="B5980" t="str">
        <f>"1552382555556313"</f>
        <v>1552382555556313</v>
      </c>
      <c r="C5980" t="s">
        <v>40</v>
      </c>
      <c r="D5980">
        <v>3.5275620000000001</v>
      </c>
      <c r="E5980">
        <v>0.4612464</v>
      </c>
      <c r="F5980" t="s">
        <v>64</v>
      </c>
      <c r="G5980">
        <v>-404.85309999999998</v>
      </c>
      <c r="H5980" s="1">
        <v>-4.9054410000000002E-6</v>
      </c>
      <c r="I5980">
        <v>25.36797</v>
      </c>
      <c r="J5980">
        <v>-419.58640000000003</v>
      </c>
      <c r="K5980">
        <v>1.11896</v>
      </c>
      <c r="L5980">
        <v>43.263370000000002</v>
      </c>
      <c r="M5980">
        <v>0.30455949999999998</v>
      </c>
      <c r="N5980">
        <v>0</v>
      </c>
      <c r="O5980">
        <v>-0.9523817</v>
      </c>
      <c r="P5980">
        <v>0.55439340000000004</v>
      </c>
      <c r="Q5980">
        <v>0.13551859999999999</v>
      </c>
      <c r="R5980">
        <v>-0.82114699999999996</v>
      </c>
      <c r="S5980">
        <v>1.9382630000000001</v>
      </c>
      <c r="T5980">
        <v>-0.1464828</v>
      </c>
      <c r="U5980">
        <v>-2.370819</v>
      </c>
      <c r="V5980">
        <v>-0.2810008</v>
      </c>
      <c r="W5980">
        <v>0.14352400000000001</v>
      </c>
      <c r="X5980">
        <v>0.94891490000000001</v>
      </c>
      <c r="Y5980">
        <v>-0.36629230000000002</v>
      </c>
      <c r="Z5980">
        <v>4.8275239999999997E-2</v>
      </c>
      <c r="AA5980">
        <v>0.92924669999999998</v>
      </c>
      <c r="AB5980">
        <v>36</v>
      </c>
      <c r="AC5980">
        <v>14.7333</v>
      </c>
      <c r="AD5980">
        <v>-1.118964905441</v>
      </c>
      <c r="AE5980">
        <v>-17.895399999999999</v>
      </c>
      <c r="AF5980">
        <v>-8.5624708738401996</v>
      </c>
      <c r="AG5980">
        <v>-1.118964905441</v>
      </c>
      <c r="AH5980">
        <v>21.4826470334954</v>
      </c>
      <c r="AI5980">
        <v>92.770107964935406</v>
      </c>
      <c r="AJ5980">
        <v>111.731047168423</v>
      </c>
      <c r="AK5980">
        <v>23.153231167392601</v>
      </c>
      <c r="AL5980">
        <v>81.748183682949204</v>
      </c>
      <c r="AM5980">
        <v>106.49552586868001</v>
      </c>
      <c r="AN5980">
        <v>1.0000000378093199</v>
      </c>
    </row>
    <row r="5981" spans="1:40" x14ac:dyDescent="0.25">
      <c r="A5981" t="str">
        <f>"20190312172235574"</f>
        <v>20190312172235574</v>
      </c>
      <c r="B5981" t="str">
        <f>"1552382555567049"</f>
        <v>1552382555567049</v>
      </c>
      <c r="C5981" t="s">
        <v>40</v>
      </c>
      <c r="D5981">
        <v>3.2725420000000001</v>
      </c>
      <c r="E5981">
        <v>0.46148929999999999</v>
      </c>
      <c r="F5981" t="s">
        <v>64</v>
      </c>
      <c r="G5981">
        <v>-404.64139999999998</v>
      </c>
      <c r="H5981" s="1">
        <v>-4.9663810000000001E-6</v>
      </c>
      <c r="I5981">
        <v>25.156510000000001</v>
      </c>
      <c r="J5981">
        <v>-419.51670000000001</v>
      </c>
      <c r="K5981">
        <v>1.1190389999999999</v>
      </c>
      <c r="L5981">
        <v>43.060879999999997</v>
      </c>
      <c r="M5981">
        <v>0.30988769999999999</v>
      </c>
      <c r="N5981">
        <v>0</v>
      </c>
      <c r="O5981">
        <v>-0.95066130000000004</v>
      </c>
      <c r="P5981">
        <v>0.55912519999999999</v>
      </c>
      <c r="Q5981">
        <v>0.1359746</v>
      </c>
      <c r="R5981">
        <v>-0.8178569</v>
      </c>
      <c r="S5981">
        <v>1.9491579999999999</v>
      </c>
      <c r="T5981">
        <v>-0.14593819999999999</v>
      </c>
      <c r="U5981">
        <v>-2.361542</v>
      </c>
      <c r="V5981">
        <v>-0.2812289</v>
      </c>
      <c r="W5981">
        <v>0.1439279</v>
      </c>
      <c r="X5981">
        <v>0.94878609999999997</v>
      </c>
      <c r="Y5981">
        <v>-0.3654309</v>
      </c>
      <c r="Z5981">
        <v>4.8059379999999999E-2</v>
      </c>
      <c r="AA5981">
        <v>0.92959700000000001</v>
      </c>
      <c r="AB5981">
        <v>36</v>
      </c>
      <c r="AC5981">
        <v>14.875299999999999</v>
      </c>
      <c r="AD5981">
        <v>-1.1190439663809999</v>
      </c>
      <c r="AE5981">
        <v>-17.904369999999901</v>
      </c>
      <c r="AF5981">
        <v>-8.5741262058115204</v>
      </c>
      <c r="AG5981">
        <v>-1.1190439663809999</v>
      </c>
      <c r="AH5981">
        <v>21.583083928913901</v>
      </c>
      <c r="AI5981">
        <v>92.758675470686001</v>
      </c>
      <c r="AJ5981">
        <v>111.666014601635</v>
      </c>
      <c r="AK5981">
        <v>23.250750772274401</v>
      </c>
      <c r="AL5981">
        <v>81.724798806048199</v>
      </c>
      <c r="AM5981">
        <v>106.510306421175</v>
      </c>
      <c r="AN5981">
        <v>0.99999999907341397</v>
      </c>
    </row>
    <row r="5982" spans="1:40" x14ac:dyDescent="0.25">
      <c r="A5982" t="str">
        <f>"20190312172235587"</f>
        <v>20190312172235587</v>
      </c>
      <c r="B5982" t="str">
        <f>"1552382555576809"</f>
        <v>1552382555576809</v>
      </c>
      <c r="C5982" t="s">
        <v>40</v>
      </c>
      <c r="D5982">
        <v>3.1861280000000001</v>
      </c>
      <c r="E5982">
        <v>0.4616942</v>
      </c>
      <c r="F5982" t="s">
        <v>64</v>
      </c>
      <c r="G5982">
        <v>-404.38549999999998</v>
      </c>
      <c r="H5982" s="1">
        <v>-5.0435019999999997E-6</v>
      </c>
      <c r="I5982">
        <v>24.920010000000001</v>
      </c>
      <c r="J5982">
        <v>-419.4504</v>
      </c>
      <c r="K5982">
        <v>1.119108</v>
      </c>
      <c r="L5982">
        <v>42.871429999999997</v>
      </c>
      <c r="M5982">
        <v>0.31491239999999998</v>
      </c>
      <c r="N5982">
        <v>0</v>
      </c>
      <c r="O5982">
        <v>-0.94900839999999997</v>
      </c>
      <c r="P5982">
        <v>0.56375920000000002</v>
      </c>
      <c r="Q5982">
        <v>0.13594139999999999</v>
      </c>
      <c r="R5982">
        <v>-0.81467519999999904</v>
      </c>
      <c r="S5982">
        <v>1.9613039999999999</v>
      </c>
      <c r="T5982">
        <v>-0.14504990000000001</v>
      </c>
      <c r="U5982">
        <v>-2.35141</v>
      </c>
      <c r="V5982">
        <v>-0.2816205</v>
      </c>
      <c r="W5982">
        <v>0.1438449</v>
      </c>
      <c r="X5982">
        <v>0.94868249999999998</v>
      </c>
      <c r="Y5982">
        <v>-0.36531930000000001</v>
      </c>
      <c r="Z5982">
        <v>4.7734070000000003E-2</v>
      </c>
      <c r="AA5982">
        <v>0.92965759999999997</v>
      </c>
      <c r="AB5982">
        <v>36</v>
      </c>
      <c r="AC5982">
        <v>15.0649</v>
      </c>
      <c r="AD5982">
        <v>-1.119113043502</v>
      </c>
      <c r="AE5982">
        <v>-17.951419999999899</v>
      </c>
      <c r="AF5982">
        <v>-8.6248453868486799</v>
      </c>
      <c r="AG5982">
        <v>-1.119113043502</v>
      </c>
      <c r="AH5982">
        <v>21.732934642158501</v>
      </c>
      <c r="AI5982">
        <v>92.740232493443997</v>
      </c>
      <c r="AJ5982">
        <v>111.64594972698001</v>
      </c>
      <c r="AK5982">
        <v>23.408562965537101</v>
      </c>
      <c r="AL5982">
        <v>81.729604148704695</v>
      </c>
      <c r="AM5982">
        <v>106.533749031928</v>
      </c>
      <c r="AN5982">
        <v>0.99999997354125403</v>
      </c>
    </row>
    <row r="5983" spans="1:40" x14ac:dyDescent="0.25">
      <c r="A5983" t="str">
        <f>"20190312172235601"</f>
        <v>20190312172235601</v>
      </c>
      <c r="B5983" t="str">
        <f>"1552382555596329"</f>
        <v>1552382555596329</v>
      </c>
      <c r="C5983" t="s">
        <v>40</v>
      </c>
      <c r="D5983">
        <v>3.099612</v>
      </c>
      <c r="E5983">
        <v>0.46210590000000001</v>
      </c>
      <c r="F5983" t="s">
        <v>64</v>
      </c>
      <c r="G5983">
        <v>-404.31479999999999</v>
      </c>
      <c r="H5983" s="1">
        <v>-5.0744120000000004E-6</v>
      </c>
      <c r="I5983">
        <v>24.908580000000001</v>
      </c>
      <c r="J5983">
        <v>-419.37970000000001</v>
      </c>
      <c r="K5983">
        <v>1.119181</v>
      </c>
      <c r="L5983">
        <v>42.671779999999998</v>
      </c>
      <c r="M5983">
        <v>0.32023459999999998</v>
      </c>
      <c r="N5983">
        <v>0</v>
      </c>
      <c r="O5983">
        <v>-0.94722569999999995</v>
      </c>
      <c r="P5983">
        <v>0.56838599999999995</v>
      </c>
      <c r="Q5983">
        <v>0.1362524</v>
      </c>
      <c r="R5983">
        <v>-0.81140179999999995</v>
      </c>
      <c r="S5983">
        <v>1.972961</v>
      </c>
      <c r="T5983">
        <v>-0.1458786</v>
      </c>
      <c r="U5983">
        <v>-2.3414920000000001</v>
      </c>
      <c r="V5983">
        <v>-0.28174379999999999</v>
      </c>
      <c r="W5983">
        <v>0.1441115</v>
      </c>
      <c r="X5983">
        <v>0.94860549999999999</v>
      </c>
      <c r="Y5983">
        <v>-0.3647338</v>
      </c>
      <c r="Z5983">
        <v>4.7966200000000001E-2</v>
      </c>
      <c r="AA5983">
        <v>0.92987560000000002</v>
      </c>
      <c r="AB5983">
        <v>36</v>
      </c>
      <c r="AC5983">
        <v>15.0649</v>
      </c>
      <c r="AD5983">
        <v>-1.1191860744119999</v>
      </c>
      <c r="AE5983">
        <v>-17.763199999999902</v>
      </c>
      <c r="AF5983">
        <v>-8.5626136061961091</v>
      </c>
      <c r="AG5983">
        <v>-1.1191860744119999</v>
      </c>
      <c r="AH5983">
        <v>21.602491277879398</v>
      </c>
      <c r="AI5983">
        <v>92.757390158813095</v>
      </c>
      <c r="AJ5983">
        <v>111.62196733802</v>
      </c>
      <c r="AK5983">
        <v>23.264534352723</v>
      </c>
      <c r="AL5983">
        <v>81.714168852284999</v>
      </c>
      <c r="AM5983">
        <v>106.541861684854</v>
      </c>
      <c r="AN5983">
        <v>1.0000000439504599</v>
      </c>
    </row>
    <row r="5984" spans="1:40" x14ac:dyDescent="0.25">
      <c r="A5984" t="str">
        <f>"20190312172235612"</f>
        <v>20190312172235612</v>
      </c>
      <c r="B5984" t="str">
        <f>"1552382555607065"</f>
        <v>1552382555607065</v>
      </c>
      <c r="C5984" t="s">
        <v>40</v>
      </c>
      <c r="D5984">
        <v>3.3970030000000002</v>
      </c>
      <c r="E5984">
        <v>0.46231870000000003</v>
      </c>
      <c r="F5984" t="s">
        <v>64</v>
      </c>
      <c r="G5984">
        <v>-404.17939999999999</v>
      </c>
      <c r="H5984" s="1">
        <v>-5.1177680000000003E-6</v>
      </c>
      <c r="I5984">
        <v>24.798010000000001</v>
      </c>
      <c r="J5984">
        <v>-419.3141</v>
      </c>
      <c r="K5984">
        <v>1.1192439999999999</v>
      </c>
      <c r="L5984">
        <v>42.491120000000002</v>
      </c>
      <c r="M5984">
        <v>0.32510719999999999</v>
      </c>
      <c r="N5984">
        <v>0</v>
      </c>
      <c r="O5984">
        <v>-0.94556419999999997</v>
      </c>
      <c r="P5984">
        <v>0.57233599999999996</v>
      </c>
      <c r="Q5984">
        <v>0.1363965</v>
      </c>
      <c r="R5984">
        <v>-0.80859599999999998</v>
      </c>
      <c r="S5984">
        <v>1.9835210000000001</v>
      </c>
      <c r="T5984">
        <v>-0.1460456</v>
      </c>
      <c r="U5984">
        <v>-2.3323969999999998</v>
      </c>
      <c r="V5984">
        <v>-0.28151959999999998</v>
      </c>
      <c r="W5984">
        <v>0.1442271</v>
      </c>
      <c r="X5984">
        <v>0.94865440000000001</v>
      </c>
      <c r="Y5984">
        <v>-0.36417179999999999</v>
      </c>
      <c r="Z5984">
        <v>4.7982799999999999E-2</v>
      </c>
      <c r="AA5984">
        <v>0.93009489999999995</v>
      </c>
      <c r="AB5984">
        <v>36</v>
      </c>
      <c r="AC5984">
        <v>15.1347</v>
      </c>
      <c r="AD5984">
        <v>-1.119249117768</v>
      </c>
      <c r="AE5984">
        <v>-17.693110000000001</v>
      </c>
      <c r="AF5984">
        <v>-8.5398532478546105</v>
      </c>
      <c r="AG5984">
        <v>-1.119249117768</v>
      </c>
      <c r="AH5984">
        <v>21.602764006205</v>
      </c>
      <c r="AI5984">
        <v>92.758508083601996</v>
      </c>
      <c r="AJ5984">
        <v>111.56953094417401</v>
      </c>
      <c r="AK5984">
        <v>23.256423301752701</v>
      </c>
      <c r="AL5984">
        <v>81.707474801994195</v>
      </c>
      <c r="AM5984">
        <v>106.52861138578901</v>
      </c>
      <c r="AN5984">
        <v>0.99999995609896397</v>
      </c>
    </row>
    <row r="5985" spans="1:40" x14ac:dyDescent="0.25">
      <c r="A5985" t="str">
        <f>"20190312172235625"</f>
        <v>20190312172235625</v>
      </c>
      <c r="B5985" t="str">
        <f>"1552382555616825"</f>
        <v>1552382555616825</v>
      </c>
      <c r="C5985" t="s">
        <v>40</v>
      </c>
      <c r="D5985">
        <v>3.207484</v>
      </c>
      <c r="E5985">
        <v>0.46231870000000003</v>
      </c>
      <c r="F5985" t="s">
        <v>64</v>
      </c>
      <c r="G5985">
        <v>-404.04919999999998</v>
      </c>
      <c r="H5985" s="1">
        <v>-5.1608349999999997E-6</v>
      </c>
      <c r="I5985">
        <v>24.69905</v>
      </c>
      <c r="J5985">
        <v>-419.24869999999999</v>
      </c>
      <c r="K5985">
        <v>1.119305</v>
      </c>
      <c r="L5985">
        <v>42.313049999999997</v>
      </c>
      <c r="M5985">
        <v>0.32993060000000002</v>
      </c>
      <c r="N5985">
        <v>0</v>
      </c>
      <c r="O5985">
        <v>-0.94389179999999995</v>
      </c>
      <c r="P5985">
        <v>0.57628459999999904</v>
      </c>
      <c r="Q5985">
        <v>0.137116299999999</v>
      </c>
      <c r="R5985">
        <v>-0.80566439999999995</v>
      </c>
      <c r="S5985">
        <v>1.993622</v>
      </c>
      <c r="T5985">
        <v>-0.14617550000000001</v>
      </c>
      <c r="U5985">
        <v>-2.3236690000000002</v>
      </c>
      <c r="V5985">
        <v>-0.28139419999999998</v>
      </c>
      <c r="W5985">
        <v>0.14491599999999999</v>
      </c>
      <c r="X5985">
        <v>0.9485867</v>
      </c>
      <c r="Y5985">
        <v>-0.36347230000000003</v>
      </c>
      <c r="Z5985">
        <v>4.7984199999999998E-2</v>
      </c>
      <c r="AA5985">
        <v>0.93036839999999998</v>
      </c>
      <c r="AB5985">
        <v>36</v>
      </c>
      <c r="AC5985">
        <v>15.1995</v>
      </c>
      <c r="AD5985">
        <v>-1.119310160835</v>
      </c>
      <c r="AE5985">
        <v>-17.613999999999901</v>
      </c>
      <c r="AF5985">
        <v>-8.5164870670597708</v>
      </c>
      <c r="AG5985">
        <v>-1.119310160835</v>
      </c>
      <c r="AH5985">
        <v>21.592827668327701</v>
      </c>
      <c r="AI5985">
        <v>92.760773320127697</v>
      </c>
      <c r="AJ5985">
        <v>111.524909563994</v>
      </c>
      <c r="AK5985">
        <v>23.238623322254799</v>
      </c>
      <c r="AL5985">
        <v>81.667585328245593</v>
      </c>
      <c r="AM5985">
        <v>106.52276520945</v>
      </c>
      <c r="AN5985">
        <v>1.0000000351332601</v>
      </c>
    </row>
    <row r="5986" spans="1:40" x14ac:dyDescent="0.25">
      <c r="A5986" t="str">
        <f>"20190312172235636"</f>
        <v>20190312172235636</v>
      </c>
      <c r="B5986" t="str">
        <f>"1552382555626584"</f>
        <v>1552382555626584</v>
      </c>
      <c r="C5986" t="s">
        <v>40</v>
      </c>
      <c r="D5986">
        <v>3.2130580000000002</v>
      </c>
      <c r="E5986">
        <v>0.46947610000000001</v>
      </c>
      <c r="F5986" t="s">
        <v>64</v>
      </c>
      <c r="G5986">
        <v>-403.65410000000003</v>
      </c>
      <c r="H5986" s="1">
        <v>-5.2770989999999996E-6</v>
      </c>
      <c r="I5986">
        <v>24.318269999999998</v>
      </c>
      <c r="J5986">
        <v>-419.1816</v>
      </c>
      <c r="K5986">
        <v>1.1193649999999999</v>
      </c>
      <c r="L5986">
        <v>42.133240000000001</v>
      </c>
      <c r="M5986">
        <v>0.33483109999999999</v>
      </c>
      <c r="N5986">
        <v>0</v>
      </c>
      <c r="O5986">
        <v>-0.94216440000000001</v>
      </c>
      <c r="P5986">
        <v>0.58025260000000001</v>
      </c>
      <c r="Q5986">
        <v>0.13719419999999999</v>
      </c>
      <c r="R5986">
        <v>-0.80279820000000002</v>
      </c>
      <c r="S5986">
        <v>2.0052189999999999</v>
      </c>
      <c r="T5986">
        <v>-0.14392550000000001</v>
      </c>
      <c r="U5986">
        <v>-2.3138429999999999</v>
      </c>
      <c r="V5986">
        <v>-0.28117219999999998</v>
      </c>
      <c r="W5986">
        <v>0.1449674</v>
      </c>
      <c r="X5986">
        <v>0.94864459999999995</v>
      </c>
      <c r="Y5986">
        <v>-0.36327540000000003</v>
      </c>
      <c r="Z5986">
        <v>4.7205660000000003E-2</v>
      </c>
      <c r="AA5986">
        <v>0.93048520000000001</v>
      </c>
      <c r="AB5986">
        <v>36</v>
      </c>
      <c r="AC5986">
        <v>15.5274999999999</v>
      </c>
      <c r="AD5986">
        <v>-1.1193702770989999</v>
      </c>
      <c r="AE5986">
        <v>-17.814969999999999</v>
      </c>
      <c r="AF5986">
        <v>-8.6459825971820106</v>
      </c>
      <c r="AG5986">
        <v>-1.1193702770989999</v>
      </c>
      <c r="AH5986">
        <v>21.936859986300298</v>
      </c>
      <c r="AI5986">
        <v>92.717949217366694</v>
      </c>
      <c r="AJ5986">
        <v>111.51090553250199</v>
      </c>
      <c r="AK5986">
        <v>23.605758427692301</v>
      </c>
      <c r="AL5986">
        <v>81.6646083069285</v>
      </c>
      <c r="AM5986">
        <v>106.509487053005</v>
      </c>
      <c r="AN5986">
        <v>0.99999996511237899</v>
      </c>
    </row>
    <row r="5987" spans="1:40" x14ac:dyDescent="0.25">
      <c r="A5987" t="str">
        <f>"20190312172235650"</f>
        <v>20190312172235650</v>
      </c>
      <c r="B5987" t="str">
        <f>"1552382555647080"</f>
        <v>1552382555647080</v>
      </c>
      <c r="C5987" t="s">
        <v>40</v>
      </c>
      <c r="D5987">
        <v>3.1378029999999999</v>
      </c>
      <c r="E5987">
        <v>0.46972330000000001</v>
      </c>
      <c r="F5987" t="s">
        <v>64</v>
      </c>
      <c r="G5987">
        <v>-405.65870000000001</v>
      </c>
      <c r="H5987" s="1">
        <v>-4.6310040000000003E-6</v>
      </c>
      <c r="I5987">
        <v>26.081689999999998</v>
      </c>
      <c r="J5987">
        <v>-419.11399999999998</v>
      </c>
      <c r="K5987">
        <v>1.119424</v>
      </c>
      <c r="L5987">
        <v>41.9559</v>
      </c>
      <c r="M5987">
        <v>0.3397057</v>
      </c>
      <c r="N5987">
        <v>0</v>
      </c>
      <c r="O5987">
        <v>-0.94041750000000002</v>
      </c>
      <c r="P5987">
        <v>0.58414529999999998</v>
      </c>
      <c r="Q5987">
        <v>0.1377747</v>
      </c>
      <c r="R5987">
        <v>-0.79987010000000003</v>
      </c>
      <c r="S5987">
        <v>1.971344</v>
      </c>
      <c r="T5987">
        <v>-0.16317980000000001</v>
      </c>
      <c r="U5987">
        <v>-2.339966</v>
      </c>
      <c r="V5987">
        <v>-0.28093459999999998</v>
      </c>
      <c r="W5987">
        <v>0.1455226</v>
      </c>
      <c r="X5987">
        <v>0.94862999999999997</v>
      </c>
      <c r="Y5987">
        <v>-0.34518840000000001</v>
      </c>
      <c r="Z5987">
        <v>5.3317870000000003E-2</v>
      </c>
      <c r="AA5987">
        <v>0.93701769999999995</v>
      </c>
      <c r="AB5987">
        <v>36</v>
      </c>
      <c r="AC5987">
        <v>13.455299999999999</v>
      </c>
      <c r="AD5987">
        <v>-1.119428631004</v>
      </c>
      <c r="AE5987">
        <v>-15.87421</v>
      </c>
      <c r="AF5987">
        <v>-7.2408668686881201</v>
      </c>
      <c r="AG5987">
        <v>-1.119428631004</v>
      </c>
      <c r="AH5987">
        <v>19.445052952283699</v>
      </c>
      <c r="AI5987">
        <v>93.088099970398503</v>
      </c>
      <c r="AJ5987">
        <v>110.424112307504</v>
      </c>
      <c r="AK5987">
        <v>20.779638057172502</v>
      </c>
      <c r="AL5987">
        <v>81.632456842406</v>
      </c>
      <c r="AM5987">
        <v>106.496534660065</v>
      </c>
      <c r="AN5987">
        <v>0.99999997674395902</v>
      </c>
    </row>
    <row r="5988" spans="1:40" x14ac:dyDescent="0.25">
      <c r="A5988" t="str">
        <f>"20190312172235664"</f>
        <v>20190312172235664</v>
      </c>
      <c r="B5988" t="str">
        <f>"1552382555656841"</f>
        <v>1552382555656841</v>
      </c>
      <c r="C5988" t="s">
        <v>40</v>
      </c>
      <c r="D5988">
        <v>3.2528359999999998</v>
      </c>
      <c r="E5988">
        <v>0.46972330000000001</v>
      </c>
      <c r="F5988" t="s">
        <v>64</v>
      </c>
      <c r="G5988">
        <v>-405.65289999999999</v>
      </c>
      <c r="H5988" s="1">
        <v>-4.6404620000000001E-6</v>
      </c>
      <c r="I5988">
        <v>26.11852</v>
      </c>
      <c r="J5988">
        <v>-419.0274</v>
      </c>
      <c r="K5988">
        <v>1.119499</v>
      </c>
      <c r="L5988">
        <v>41.731450000000002</v>
      </c>
      <c r="M5988">
        <v>0.34590969999999999</v>
      </c>
      <c r="N5988">
        <v>0</v>
      </c>
      <c r="O5988">
        <v>-0.93815329999999997</v>
      </c>
      <c r="P5988">
        <v>0.58883229999999998</v>
      </c>
      <c r="Q5988">
        <v>0.13868259999999999</v>
      </c>
      <c r="R5988">
        <v>-0.7962688</v>
      </c>
      <c r="S5988">
        <v>1.9818420000000001</v>
      </c>
      <c r="T5988">
        <v>-0.1648105</v>
      </c>
      <c r="U5988">
        <v>-2.331696</v>
      </c>
      <c r="V5988">
        <v>-0.280339</v>
      </c>
      <c r="W5988">
        <v>0.1464067</v>
      </c>
      <c r="X5988">
        <v>0.94867020000000002</v>
      </c>
      <c r="Y5988">
        <v>-0.3430627</v>
      </c>
      <c r="Z5988">
        <v>5.375721E-2</v>
      </c>
      <c r="AA5988">
        <v>0.93777299999999997</v>
      </c>
      <c r="AB5988">
        <v>36</v>
      </c>
      <c r="AC5988">
        <v>13.374499999999999</v>
      </c>
      <c r="AD5988">
        <v>-1.119503640462</v>
      </c>
      <c r="AE5988">
        <v>-15.61293</v>
      </c>
      <c r="AF5988">
        <v>-7.1263031286053904</v>
      </c>
      <c r="AG5988">
        <v>-1.119503640462</v>
      </c>
      <c r="AH5988">
        <v>19.2187711844667</v>
      </c>
      <c r="AI5988">
        <v>93.126202320857999</v>
      </c>
      <c r="AJ5988">
        <v>110.344735259248</v>
      </c>
      <c r="AK5988">
        <v>20.5279967488955</v>
      </c>
      <c r="AL5988">
        <v>81.581253543848902</v>
      </c>
      <c r="AM5988">
        <v>106.462796414523</v>
      </c>
      <c r="AN5988">
        <v>1.0000000125469599</v>
      </c>
    </row>
    <row r="5989" spans="1:40" x14ac:dyDescent="0.25">
      <c r="A5989" t="str">
        <f>"20190312172235677"</f>
        <v>20190312172235677</v>
      </c>
      <c r="B5989" t="str">
        <f>"1552382555666601"</f>
        <v>1552382555666601</v>
      </c>
      <c r="C5989" t="s">
        <v>40</v>
      </c>
      <c r="D5989">
        <v>3.3346610000000001</v>
      </c>
      <c r="E5989">
        <v>0.46763100000000002</v>
      </c>
      <c r="F5989" t="s">
        <v>64</v>
      </c>
      <c r="G5989">
        <v>-405.23079999999999</v>
      </c>
      <c r="H5989" s="1">
        <v>-4.7775079999999998E-6</v>
      </c>
      <c r="I5989">
        <v>25.695160000000001</v>
      </c>
      <c r="J5989">
        <v>-418.9495</v>
      </c>
      <c r="K5989">
        <v>1.119564</v>
      </c>
      <c r="L5989">
        <v>41.533479999999997</v>
      </c>
      <c r="M5989">
        <v>0.35142479999999998</v>
      </c>
      <c r="N5989">
        <v>0</v>
      </c>
      <c r="O5989">
        <v>-0.93610099999999996</v>
      </c>
      <c r="P5989">
        <v>0.59289349999999996</v>
      </c>
      <c r="Q5989">
        <v>0.13981769999999999</v>
      </c>
      <c r="R5989">
        <v>-0.79305009999999998</v>
      </c>
      <c r="S5989">
        <v>1.9958499999999999</v>
      </c>
      <c r="T5989">
        <v>-0.1619506</v>
      </c>
      <c r="U5989">
        <v>-2.319855</v>
      </c>
      <c r="V5989">
        <v>-0.27972079999999999</v>
      </c>
      <c r="W5989">
        <v>0.14752170000000001</v>
      </c>
      <c r="X5989">
        <v>0.94867990000000002</v>
      </c>
      <c r="Y5989">
        <v>-0.34319159999999999</v>
      </c>
      <c r="Z5989">
        <v>5.2769549999999998E-2</v>
      </c>
      <c r="AA5989">
        <v>0.93778189999999995</v>
      </c>
      <c r="AB5989">
        <v>36</v>
      </c>
      <c r="AC5989">
        <v>13.7187</v>
      </c>
      <c r="AD5989">
        <v>-1.1195687775079901</v>
      </c>
      <c r="AE5989">
        <v>-15.8383199999999</v>
      </c>
      <c r="AF5989">
        <v>-7.25617931236114</v>
      </c>
      <c r="AG5989">
        <v>-1.1195687775079901</v>
      </c>
      <c r="AH5989">
        <v>19.593539694703999</v>
      </c>
      <c r="AI5989">
        <v>93.067162894829707</v>
      </c>
      <c r="AJ5989">
        <v>110.321369584105</v>
      </c>
      <c r="AK5989">
        <v>20.923966407654401</v>
      </c>
      <c r="AL5989">
        <v>81.516667055223195</v>
      </c>
      <c r="AM5989">
        <v>106.428293244382</v>
      </c>
      <c r="AN5989">
        <v>0.999999965293769</v>
      </c>
    </row>
    <row r="5990" spans="1:40" x14ac:dyDescent="0.25">
      <c r="A5990" t="str">
        <f>"20190312172235699"</f>
        <v>20190312172235699</v>
      </c>
      <c r="B5990" t="str">
        <f>"1552382555696857"</f>
        <v>1552382555696857</v>
      </c>
      <c r="C5990" t="s">
        <v>40</v>
      </c>
      <c r="D5990">
        <v>3.2967759999999999</v>
      </c>
      <c r="E5990">
        <v>0.46792529999999999</v>
      </c>
      <c r="F5990" t="s">
        <v>64</v>
      </c>
      <c r="G5990">
        <v>-407.99669999999998</v>
      </c>
      <c r="H5990" s="1">
        <v>-3.9845529999999997E-6</v>
      </c>
      <c r="I5990">
        <v>29.0595</v>
      </c>
      <c r="J5990">
        <v>-418.8193</v>
      </c>
      <c r="K5990">
        <v>1.119664</v>
      </c>
      <c r="L5990">
        <v>41.210419999999999</v>
      </c>
      <c r="M5990">
        <v>0.36051280000000002</v>
      </c>
      <c r="N5990">
        <v>0</v>
      </c>
      <c r="O5990">
        <v>-0.93263839999999998</v>
      </c>
      <c r="P5990">
        <v>0.59999199999999997</v>
      </c>
      <c r="Q5990">
        <v>0.14038619999999999</v>
      </c>
      <c r="R5990">
        <v>-0.78759209999999902</v>
      </c>
      <c r="S5990">
        <v>2.0245669999999998</v>
      </c>
      <c r="T5990">
        <v>-0.20694679999999999</v>
      </c>
      <c r="U5990">
        <v>-2.3057560000000001</v>
      </c>
      <c r="V5990">
        <v>-0.27910030000000002</v>
      </c>
      <c r="W5990">
        <v>0.14805219999999999</v>
      </c>
      <c r="X5990">
        <v>0.94878010000000002</v>
      </c>
      <c r="Y5990">
        <v>-0.34292240000000002</v>
      </c>
      <c r="Z5990">
        <v>6.7070420000000006E-2</v>
      </c>
      <c r="AA5990">
        <v>0.93696630000000003</v>
      </c>
      <c r="AB5990">
        <v>36</v>
      </c>
      <c r="AC5990">
        <v>10.8226</v>
      </c>
      <c r="AD5990">
        <v>-1.119667984553</v>
      </c>
      <c r="AE5990">
        <v>-12.150919999999999</v>
      </c>
      <c r="AF5990">
        <v>-5.6867021084248703</v>
      </c>
      <c r="AG5990">
        <v>-1.119667984553</v>
      </c>
      <c r="AH5990">
        <v>15.163948355163701</v>
      </c>
      <c r="AI5990">
        <v>93.954900431608493</v>
      </c>
      <c r="AJ5990">
        <v>110.55677887232</v>
      </c>
      <c r="AK5990">
        <v>16.2338401798117</v>
      </c>
      <c r="AL5990">
        <v>81.485934939157303</v>
      </c>
      <c r="AM5990">
        <v>106.392170907905</v>
      </c>
      <c r="AN5990">
        <v>1.0000000547704599</v>
      </c>
    </row>
    <row r="5991" spans="1:40" x14ac:dyDescent="0.25">
      <c r="A5991" t="str">
        <f>"20190312172235733"</f>
        <v>20190312172235733</v>
      </c>
      <c r="B5991" t="str">
        <f>"1552382555726140"</f>
        <v>1552382555726140</v>
      </c>
      <c r="C5991" t="s">
        <v>40</v>
      </c>
      <c r="D5991">
        <v>3.4944570000000001</v>
      </c>
      <c r="E5991">
        <v>0.46792529999999999</v>
      </c>
      <c r="F5991" t="s">
        <v>64</v>
      </c>
      <c r="G5991">
        <v>-407.73160000000001</v>
      </c>
      <c r="H5991" s="1">
        <v>-4.0707300000000002E-6</v>
      </c>
      <c r="I5991">
        <v>28.7942</v>
      </c>
      <c r="J5991">
        <v>-418.60680000000002</v>
      </c>
      <c r="K5991">
        <v>1.1198250000000001</v>
      </c>
      <c r="L5991">
        <v>40.703130000000002</v>
      </c>
      <c r="M5991">
        <v>0.37503989999999998</v>
      </c>
      <c r="N5991">
        <v>0</v>
      </c>
      <c r="O5991">
        <v>-0.92689160000000004</v>
      </c>
      <c r="P5991">
        <v>0.61149969999999998</v>
      </c>
      <c r="Q5991">
        <v>0.14087539999999901</v>
      </c>
      <c r="R5991">
        <v>-0.77860269999999898</v>
      </c>
      <c r="S5991">
        <v>2.0439150000000001</v>
      </c>
      <c r="T5991">
        <v>-0.2064009</v>
      </c>
      <c r="U5991">
        <v>-2.288818</v>
      </c>
      <c r="V5991">
        <v>-0.27832279999999998</v>
      </c>
      <c r="W5991">
        <v>0.1484742</v>
      </c>
      <c r="X5991">
        <v>0.94894250000000002</v>
      </c>
      <c r="Y5991">
        <v>-0.33611069999999998</v>
      </c>
      <c r="Z5991">
        <v>6.6584619999999997E-2</v>
      </c>
      <c r="AA5991">
        <v>0.93946589999999996</v>
      </c>
      <c r="AB5991">
        <v>36</v>
      </c>
      <c r="AC5991">
        <v>10.8752</v>
      </c>
      <c r="AD5991">
        <v>-1.11982907073</v>
      </c>
      <c r="AE5991">
        <v>-11.90893</v>
      </c>
      <c r="AF5991">
        <v>-5.5874773004328304</v>
      </c>
      <c r="AG5991">
        <v>-1.11982907073</v>
      </c>
      <c r="AH5991">
        <v>15.0460185581932</v>
      </c>
      <c r="AI5991">
        <v>93.991131442457402</v>
      </c>
      <c r="AJ5991">
        <v>110.372941928439</v>
      </c>
      <c r="AK5991">
        <v>16.089020920615301</v>
      </c>
      <c r="AL5991">
        <v>81.461485598748695</v>
      </c>
      <c r="AM5991">
        <v>106.34629983366101</v>
      </c>
      <c r="AN5991">
        <v>1.00000001868586</v>
      </c>
    </row>
    <row r="5992" spans="1:40" x14ac:dyDescent="0.25">
      <c r="A5992" t="str">
        <f>"20190312172235756"</f>
        <v>20190312172235756</v>
      </c>
      <c r="B5992" t="str">
        <f>"1552382555746633"</f>
        <v>1552382555746633</v>
      </c>
      <c r="C5992" t="s">
        <v>40</v>
      </c>
      <c r="D5992">
        <v>3.0852940000000002</v>
      </c>
      <c r="E5992">
        <v>0.4695029</v>
      </c>
      <c r="F5992" t="s">
        <v>64</v>
      </c>
      <c r="G5992">
        <v>-407.23610000000002</v>
      </c>
      <c r="H5992" s="1">
        <v>-4.2403870000000004E-6</v>
      </c>
      <c r="I5992">
        <v>28.346530000000001</v>
      </c>
      <c r="J5992">
        <v>-418.4708</v>
      </c>
      <c r="K5992">
        <v>1.1199330000000001</v>
      </c>
      <c r="L5992">
        <v>40.389589999999998</v>
      </c>
      <c r="M5992">
        <v>0.38416230000000001</v>
      </c>
      <c r="N5992">
        <v>0</v>
      </c>
      <c r="O5992">
        <v>-0.92314790000000002</v>
      </c>
      <c r="P5992">
        <v>0.6184482</v>
      </c>
      <c r="Q5992">
        <v>0.14116419999999999</v>
      </c>
      <c r="R5992">
        <v>-0.77304269999999997</v>
      </c>
      <c r="S5992">
        <v>2.0779420000000002</v>
      </c>
      <c r="T5992">
        <v>-0.2046443</v>
      </c>
      <c r="U5992">
        <v>-2.2581180000000001</v>
      </c>
      <c r="V5992">
        <v>-0.2775282</v>
      </c>
      <c r="W5992">
        <v>0.1487299</v>
      </c>
      <c r="X5992">
        <v>0.94913510000000001</v>
      </c>
      <c r="Y5992">
        <v>-0.34088079999999998</v>
      </c>
      <c r="Z5992">
        <v>6.5941360000000004E-2</v>
      </c>
      <c r="AA5992">
        <v>0.93779100000000004</v>
      </c>
      <c r="AB5992">
        <v>36</v>
      </c>
      <c r="AC5992">
        <v>11.234699999999901</v>
      </c>
      <c r="AD5992">
        <v>-1.119937240387</v>
      </c>
      <c r="AE5992">
        <v>-12.043060000000001</v>
      </c>
      <c r="AF5992">
        <v>-5.7189801224328098</v>
      </c>
      <c r="AG5992">
        <v>-1.119937240387</v>
      </c>
      <c r="AH5992">
        <v>15.364108107952401</v>
      </c>
      <c r="AI5992">
        <v>93.908028439333705</v>
      </c>
      <c r="AJ5992">
        <v>110.41677023328199</v>
      </c>
      <c r="AK5992">
        <v>16.432188260120299</v>
      </c>
      <c r="AL5992">
        <v>81.446670085353901</v>
      </c>
      <c r="AM5992">
        <v>106.29898084311399</v>
      </c>
      <c r="AN5992">
        <v>0.99999996150062898</v>
      </c>
    </row>
    <row r="5993" spans="1:40" x14ac:dyDescent="0.25">
      <c r="A5993" t="str">
        <f>"20190312172235768"</f>
        <v>20190312172235768</v>
      </c>
      <c r="B5993" t="str">
        <f>"1552382555756393"</f>
        <v>1552382555756393</v>
      </c>
      <c r="C5993" t="s">
        <v>40</v>
      </c>
      <c r="D5993">
        <v>3.3068330000000001</v>
      </c>
      <c r="E5993">
        <v>0.46994900000000001</v>
      </c>
      <c r="F5993" t="s">
        <v>64</v>
      </c>
      <c r="G5993">
        <v>-412.97340000000003</v>
      </c>
      <c r="H5993" s="1">
        <v>-4.8124900000000002E-6</v>
      </c>
      <c r="I5993">
        <v>34.444989999999997</v>
      </c>
      <c r="J5993">
        <v>-418.39620000000002</v>
      </c>
      <c r="K5993">
        <v>1.11999</v>
      </c>
      <c r="L5993">
        <v>40.221589999999999</v>
      </c>
      <c r="M5993">
        <v>0.38910919999999999</v>
      </c>
      <c r="N5993">
        <v>0</v>
      </c>
      <c r="O5993">
        <v>-0.9210737</v>
      </c>
      <c r="P5993">
        <v>0.622274199999999</v>
      </c>
      <c r="Q5993">
        <v>0.14110839999999999</v>
      </c>
      <c r="R5993">
        <v>-0.76997629999999995</v>
      </c>
      <c r="S5993">
        <v>2.1043400000000001</v>
      </c>
      <c r="T5993">
        <v>-0.428703</v>
      </c>
      <c r="U5993">
        <v>-2.2755429999999999</v>
      </c>
      <c r="V5993">
        <v>-0.27715889999999999</v>
      </c>
      <c r="W5993">
        <v>0.14865439999999999</v>
      </c>
      <c r="X5993">
        <v>0.94925490000000001</v>
      </c>
      <c r="Y5993">
        <v>-0.3330323</v>
      </c>
      <c r="Z5993">
        <v>0.1355017</v>
      </c>
      <c r="AA5993">
        <v>0.93312850000000003</v>
      </c>
      <c r="AB5993">
        <v>36</v>
      </c>
      <c r="AC5993">
        <v>5.4227999999999899</v>
      </c>
      <c r="AD5993">
        <v>-1.1199948124899901</v>
      </c>
      <c r="AE5993">
        <v>-5.7765999999999904</v>
      </c>
      <c r="AF5993">
        <v>-2.6935462478366099</v>
      </c>
      <c r="AG5993">
        <v>-1.1199948124899901</v>
      </c>
      <c r="AH5993">
        <v>7.2859550047037702</v>
      </c>
      <c r="AI5993">
        <v>98.204499916592894</v>
      </c>
      <c r="AJ5993">
        <v>110.288859888473</v>
      </c>
      <c r="AK5993">
        <v>7.8482303801434803</v>
      </c>
      <c r="AL5993">
        <v>81.451045099491395</v>
      </c>
      <c r="AM5993">
        <v>106.276495682617</v>
      </c>
      <c r="AN5993">
        <v>1.00000002583128</v>
      </c>
    </row>
    <row r="5994" spans="1:40" x14ac:dyDescent="0.25">
      <c r="A5994" t="str">
        <f>"20190312172235792"</f>
        <v>20190312172235792</v>
      </c>
      <c r="B5994" t="str">
        <f>"1552382555786649"</f>
        <v>1552382555786649</v>
      </c>
      <c r="C5994" t="s">
        <v>40</v>
      </c>
      <c r="D5994">
        <v>3.394342</v>
      </c>
      <c r="E5994">
        <v>0.47019090000000002</v>
      </c>
      <c r="F5994" t="s">
        <v>64</v>
      </c>
      <c r="G5994">
        <v>-412.86059999999998</v>
      </c>
      <c r="H5994" s="1">
        <v>-4.9188810000000001E-6</v>
      </c>
      <c r="I5994">
        <v>34.285269999999997</v>
      </c>
      <c r="J5994">
        <v>-418.24079999999998</v>
      </c>
      <c r="K5994">
        <v>1.120104</v>
      </c>
      <c r="L5994">
        <v>39.878810000000001</v>
      </c>
      <c r="M5994">
        <v>0.39931129999999998</v>
      </c>
      <c r="N5994">
        <v>0</v>
      </c>
      <c r="O5994">
        <v>-0.91669630000000002</v>
      </c>
      <c r="P5994">
        <v>0.63012500000000005</v>
      </c>
      <c r="Q5994">
        <v>0.14056359999999901</v>
      </c>
      <c r="R5994">
        <v>-0.76366529999999999</v>
      </c>
      <c r="S5994">
        <v>2.1134949999999999</v>
      </c>
      <c r="T5994">
        <v>-0.42761840000000001</v>
      </c>
      <c r="U5994">
        <v>-2.2665099999999998</v>
      </c>
      <c r="V5994">
        <v>-0.27632960000000001</v>
      </c>
      <c r="W5994">
        <v>0.14807149999999999</v>
      </c>
      <c r="X5994">
        <v>0.94958770000000003</v>
      </c>
      <c r="Y5994">
        <v>-0.32650639999999997</v>
      </c>
      <c r="Z5994">
        <v>0.13463229999999901</v>
      </c>
      <c r="AA5994">
        <v>0.93555739999999998</v>
      </c>
      <c r="AB5994">
        <v>36</v>
      </c>
      <c r="AC5994">
        <v>5.3802000000000003</v>
      </c>
      <c r="AD5994">
        <v>-1.1201089188810001</v>
      </c>
      <c r="AE5994">
        <v>-5.5935399999999902</v>
      </c>
      <c r="AF5994">
        <v>-2.6436742088587</v>
      </c>
      <c r="AG5994">
        <v>-1.1201089188810001</v>
      </c>
      <c r="AH5994">
        <v>7.1282689970661597</v>
      </c>
      <c r="AI5994">
        <v>98.381103751622703</v>
      </c>
      <c r="AJ5994">
        <v>110.348398708999</v>
      </c>
      <c r="AK5994">
        <v>7.6847821183997196</v>
      </c>
      <c r="AL5994">
        <v>81.484816409547605</v>
      </c>
      <c r="AM5994">
        <v>106.22497247411199</v>
      </c>
      <c r="AN5994">
        <v>1.0000000084698499</v>
      </c>
    </row>
    <row r="5995" spans="1:40" x14ac:dyDescent="0.25">
      <c r="A5995" t="str">
        <f>"20190312172235804"</f>
        <v>20190312172235804</v>
      </c>
      <c r="B5995" t="str">
        <f>"1552382555796409"</f>
        <v>1552382555796409</v>
      </c>
      <c r="C5995" t="s">
        <v>40</v>
      </c>
      <c r="D5995">
        <v>3.5029319999999999</v>
      </c>
      <c r="E5995">
        <v>0.48757899999999998</v>
      </c>
      <c r="F5995" t="s">
        <v>64</v>
      </c>
      <c r="G5995">
        <v>-412.45429999999999</v>
      </c>
      <c r="H5995" s="1">
        <v>-5.257737E-6</v>
      </c>
      <c r="I5995">
        <v>33.797069999999998</v>
      </c>
      <c r="J5995">
        <v>-418.15980000000002</v>
      </c>
      <c r="K5995">
        <v>1.120166</v>
      </c>
      <c r="L5995">
        <v>39.703830000000004</v>
      </c>
      <c r="M5995">
        <v>0.40457700000000002</v>
      </c>
      <c r="N5995">
        <v>0</v>
      </c>
      <c r="O5995">
        <v>-0.91438439999999999</v>
      </c>
      <c r="P5995">
        <v>0.63445909999999905</v>
      </c>
      <c r="Q5995">
        <v>0.14009360000000001</v>
      </c>
      <c r="R5995">
        <v>-0.76015489999999997</v>
      </c>
      <c r="S5995">
        <v>2.1343990000000002</v>
      </c>
      <c r="T5995">
        <v>-0.41316380000000003</v>
      </c>
      <c r="U5995">
        <v>-2.2433169999999998</v>
      </c>
      <c r="V5995">
        <v>-0.2762481</v>
      </c>
      <c r="W5995">
        <v>0.1475717</v>
      </c>
      <c r="X5995">
        <v>0.94968920000000001</v>
      </c>
      <c r="Y5995">
        <v>-0.33090609999999998</v>
      </c>
      <c r="Z5995">
        <v>0.13020119999999999</v>
      </c>
      <c r="AA5995">
        <v>0.93463830000000003</v>
      </c>
      <c r="AB5995">
        <v>36</v>
      </c>
      <c r="AC5995">
        <v>5.7055000000000202</v>
      </c>
      <c r="AD5995">
        <v>-1.120171257737</v>
      </c>
      <c r="AE5995">
        <v>-5.9067599999999896</v>
      </c>
      <c r="AF5995">
        <v>-2.77594301264807</v>
      </c>
      <c r="AG5995">
        <v>-1.120171257737</v>
      </c>
      <c r="AH5995">
        <v>7.5693761807225899</v>
      </c>
      <c r="AI5995">
        <v>97.909964821894704</v>
      </c>
      <c r="AJ5995">
        <v>110.13967342802199</v>
      </c>
      <c r="AK5995">
        <v>8.1397849493349792</v>
      </c>
      <c r="AL5995">
        <v>81.513770843875903</v>
      </c>
      <c r="AM5995">
        <v>106.218796315898</v>
      </c>
      <c r="AN5995">
        <v>0.99999999799557004</v>
      </c>
    </row>
    <row r="5996" spans="1:40" x14ac:dyDescent="0.25">
      <c r="A5996" t="str">
        <f>"20190312172235826"</f>
        <v>20190312172235826</v>
      </c>
      <c r="B5996" t="str">
        <f>"1552382555816906"</f>
        <v>1552382555816906</v>
      </c>
      <c r="C5996" t="s">
        <v>40</v>
      </c>
      <c r="D5996">
        <v>3.363534</v>
      </c>
      <c r="E5996">
        <v>0.48761470000000001</v>
      </c>
      <c r="F5996" t="s">
        <v>65</v>
      </c>
      <c r="G5996">
        <v>-371.58819999999997</v>
      </c>
      <c r="H5996">
        <v>29.790120000000002</v>
      </c>
      <c r="I5996">
        <v>-11.70969</v>
      </c>
      <c r="J5996">
        <v>-418.005</v>
      </c>
      <c r="K5996">
        <v>1.120296</v>
      </c>
      <c r="L5996">
        <v>39.377870000000001</v>
      </c>
      <c r="M5996">
        <v>0.4145337</v>
      </c>
      <c r="N5996">
        <v>0</v>
      </c>
      <c r="O5996">
        <v>-0.90991339999999998</v>
      </c>
      <c r="P5996">
        <v>0.6423044</v>
      </c>
      <c r="Q5996">
        <v>0.1399039</v>
      </c>
      <c r="R5996">
        <v>-0.75357259999999904</v>
      </c>
      <c r="S5996">
        <v>1.923187</v>
      </c>
      <c r="T5996">
        <v>1.183934</v>
      </c>
      <c r="U5996">
        <v>-2.123138</v>
      </c>
      <c r="V5996">
        <v>-0.27575300000000003</v>
      </c>
      <c r="W5996">
        <v>0.14733299999999999</v>
      </c>
      <c r="X5996">
        <v>0.94987010000000005</v>
      </c>
      <c r="Y5996">
        <v>-0.25137870000000001</v>
      </c>
      <c r="Z5996">
        <v>-0.37121359999999998</v>
      </c>
      <c r="AA5996">
        <v>0.89387320000000003</v>
      </c>
      <c r="AB5996">
        <v>36</v>
      </c>
      <c r="AC5996">
        <v>46.416800000000002</v>
      </c>
      <c r="AD5996">
        <v>28.669823999999998</v>
      </c>
      <c r="AE5996">
        <v>-51.087559999999897</v>
      </c>
      <c r="AF5996">
        <v>-17.9613860501453</v>
      </c>
      <c r="AG5996">
        <v>28.669823999999998</v>
      </c>
      <c r="AH5996">
        <v>56.062037285102399</v>
      </c>
      <c r="AI5996">
        <v>64.033443163124801</v>
      </c>
      <c r="AJ5996">
        <v>107.76463312724999</v>
      </c>
      <c r="AK5996">
        <v>65.479173953170303</v>
      </c>
      <c r="AL5996">
        <v>81.527598241626706</v>
      </c>
      <c r="AM5996">
        <v>106.188330698594</v>
      </c>
      <c r="AN5996">
        <v>0.99999996838600402</v>
      </c>
    </row>
    <row r="5997" spans="1:40" x14ac:dyDescent="0.25">
      <c r="A5997" t="str">
        <f>"20190312172235840"</f>
        <v>20190312172235840</v>
      </c>
      <c r="B5997" t="str">
        <f>"1552382555836425"</f>
        <v>1552382555836425</v>
      </c>
      <c r="C5997" t="s">
        <v>40</v>
      </c>
      <c r="D5997">
        <v>2.9721860000000002</v>
      </c>
      <c r="E5997">
        <v>0.48761470000000001</v>
      </c>
      <c r="F5997" t="s">
        <v>66</v>
      </c>
      <c r="G5997">
        <v>-297.03629999999998</v>
      </c>
      <c r="H5997">
        <v>74.114900000000006</v>
      </c>
      <c r="I5997">
        <v>-91.564989999999995</v>
      </c>
      <c r="J5997">
        <v>-417.91300000000001</v>
      </c>
      <c r="K5997">
        <v>1.120371</v>
      </c>
      <c r="L5997">
        <v>39.187620000000003</v>
      </c>
      <c r="M5997">
        <v>0.42039959999999998</v>
      </c>
      <c r="N5997">
        <v>0</v>
      </c>
      <c r="O5997">
        <v>-0.90721799999999997</v>
      </c>
      <c r="P5997">
        <v>0.64695749999999996</v>
      </c>
      <c r="Q5997">
        <v>0.1400402</v>
      </c>
      <c r="R5997">
        <v>-0.74955640000000001</v>
      </c>
      <c r="S5997">
        <v>1.9450069999999999</v>
      </c>
      <c r="T5997">
        <v>1.173651</v>
      </c>
      <c r="U5997">
        <v>-2.1053769999999998</v>
      </c>
      <c r="V5997">
        <v>-0.27554210000000001</v>
      </c>
      <c r="W5997">
        <v>0.1474377</v>
      </c>
      <c r="X5997">
        <v>0.94991510000000001</v>
      </c>
      <c r="Y5997">
        <v>-0.25484899999999999</v>
      </c>
      <c r="Z5997">
        <v>-0.367865</v>
      </c>
      <c r="AA5997">
        <v>0.89427469999999998</v>
      </c>
      <c r="AB5997">
        <v>36</v>
      </c>
      <c r="AC5997">
        <v>120.8767</v>
      </c>
      <c r="AD5997">
        <v>72.994529</v>
      </c>
      <c r="AE5997">
        <v>-130.75261</v>
      </c>
      <c r="AF5997">
        <v>-46.829778315527498</v>
      </c>
      <c r="AG5997">
        <v>72.994529</v>
      </c>
      <c r="AH5997">
        <v>145.07710128737199</v>
      </c>
      <c r="AI5997">
        <v>64.414158920822899</v>
      </c>
      <c r="AJ5997">
        <v>107.889682418147</v>
      </c>
      <c r="AK5997">
        <v>169.02246808918599</v>
      </c>
      <c r="AL5997">
        <v>81.521533498862695</v>
      </c>
      <c r="AM5997">
        <v>106.17587114326901</v>
      </c>
      <c r="AN5997">
        <v>1.00000001073085</v>
      </c>
    </row>
    <row r="5998" spans="1:40" x14ac:dyDescent="0.25">
      <c r="A5998" t="str">
        <f>"20190312172235853"</f>
        <v>20190312172235853</v>
      </c>
      <c r="B5998" t="str">
        <f>"1552382555846185"</f>
        <v>1552382555846185</v>
      </c>
      <c r="C5998" t="s">
        <v>40</v>
      </c>
      <c r="D5998">
        <v>3.3198050000000001</v>
      </c>
      <c r="E5998">
        <v>0.48761470000000001</v>
      </c>
      <c r="F5998" t="s">
        <v>66</v>
      </c>
      <c r="G5998">
        <v>-295.62599999999998</v>
      </c>
      <c r="H5998">
        <v>74.454939999999993</v>
      </c>
      <c r="I5998">
        <v>-91.564989999999995</v>
      </c>
      <c r="J5998">
        <v>-417.81630000000001</v>
      </c>
      <c r="K5998">
        <v>1.120452</v>
      </c>
      <c r="L5998">
        <v>38.992519999999999</v>
      </c>
      <c r="M5998">
        <v>0.42651559999999999</v>
      </c>
      <c r="N5998">
        <v>0</v>
      </c>
      <c r="O5998">
        <v>-0.90435860000000001</v>
      </c>
      <c r="P5998">
        <v>0.65168609999999905</v>
      </c>
      <c r="Q5998">
        <v>0.14038</v>
      </c>
      <c r="R5998">
        <v>-0.74538539999999998</v>
      </c>
      <c r="S5998">
        <v>1.9577329999999999</v>
      </c>
      <c r="T5998">
        <v>1.1740379999999999</v>
      </c>
      <c r="U5998">
        <v>-2.0932620000000002</v>
      </c>
      <c r="V5998">
        <v>-0.2752018</v>
      </c>
      <c r="W5998">
        <v>0.14774709999999999</v>
      </c>
      <c r="X5998">
        <v>0.94996570000000002</v>
      </c>
      <c r="Y5998">
        <v>-0.25393549999999998</v>
      </c>
      <c r="Z5998">
        <v>-0.36720789999999998</v>
      </c>
      <c r="AA5998">
        <v>0.8948045</v>
      </c>
      <c r="AB5998">
        <v>36</v>
      </c>
      <c r="AC5998">
        <v>122.19029999999999</v>
      </c>
      <c r="AD5998">
        <v>73.334487999999993</v>
      </c>
      <c r="AE5998">
        <v>-130.55751000000001</v>
      </c>
      <c r="AF5998">
        <v>-46.931697307978503</v>
      </c>
      <c r="AG5998">
        <v>73.334487999999993</v>
      </c>
      <c r="AH5998">
        <v>145.70046900758601</v>
      </c>
      <c r="AI5998">
        <v>64.401704131659002</v>
      </c>
      <c r="AJ5998">
        <v>107.85431130076999</v>
      </c>
      <c r="AK5998">
        <v>169.73260739015501</v>
      </c>
      <c r="AL5998">
        <v>81.503610087151799</v>
      </c>
      <c r="AM5998">
        <v>106.156120859507</v>
      </c>
      <c r="AN5998">
        <v>1.00000003372906</v>
      </c>
    </row>
    <row r="5999" spans="1:40" x14ac:dyDescent="0.25">
      <c r="A5999" t="str">
        <f>"20190312172235868"</f>
        <v>20190312172235868</v>
      </c>
      <c r="B5999" t="str">
        <f>"1552382555856921"</f>
        <v>1552382555856921</v>
      </c>
      <c r="C5999" t="s">
        <v>40</v>
      </c>
      <c r="D5999">
        <v>3.2005949999999999</v>
      </c>
      <c r="E5999">
        <v>0.48761470000000001</v>
      </c>
      <c r="F5999" t="s">
        <v>66</v>
      </c>
      <c r="G5999">
        <v>-294.17720000000003</v>
      </c>
      <c r="H5999">
        <v>74.854389999999995</v>
      </c>
      <c r="I5999">
        <v>-91.564989999999995</v>
      </c>
      <c r="J5999">
        <v>-417.71260000000001</v>
      </c>
      <c r="K5999">
        <v>1.1205400000000001</v>
      </c>
      <c r="L5999">
        <v>38.78622</v>
      </c>
      <c r="M5999">
        <v>0.43303209999999998</v>
      </c>
      <c r="N5999">
        <v>0</v>
      </c>
      <c r="O5999">
        <v>-0.90125599999999995</v>
      </c>
      <c r="P5999">
        <v>0.65685249999999995</v>
      </c>
      <c r="Q5999">
        <v>0.14124970000000001</v>
      </c>
      <c r="R5999">
        <v>-0.74067079999999996</v>
      </c>
      <c r="S5999">
        <v>1.970459</v>
      </c>
      <c r="T5999">
        <v>1.175111</v>
      </c>
      <c r="U5999">
        <v>-2.0807190000000002</v>
      </c>
      <c r="V5999">
        <v>-0.27507429999999999</v>
      </c>
      <c r="W5999">
        <v>0.14857709999999999</v>
      </c>
      <c r="X5999">
        <v>0.94987310000000003</v>
      </c>
      <c r="Y5999">
        <v>-0.25262519999999999</v>
      </c>
      <c r="Z5999">
        <v>-0.3666546</v>
      </c>
      <c r="AA5999">
        <v>0.89540209999999998</v>
      </c>
      <c r="AB5999">
        <v>36</v>
      </c>
      <c r="AC5999">
        <v>123.535399999999</v>
      </c>
      <c r="AD5999">
        <v>73.733850000000004</v>
      </c>
      <c r="AE5999">
        <v>-130.35121000000001</v>
      </c>
      <c r="AF5999">
        <v>-46.977919130407201</v>
      </c>
      <c r="AG5999">
        <v>73.733850000000004</v>
      </c>
      <c r="AH5999">
        <v>146.32755641326401</v>
      </c>
      <c r="AI5999">
        <v>64.369395530400396</v>
      </c>
      <c r="AJ5999">
        <v>107.799034641407</v>
      </c>
      <c r="AK5999">
        <v>170.456326628033</v>
      </c>
      <c r="AL5999">
        <v>81.455523280804996</v>
      </c>
      <c r="AM5999">
        <v>106.15051827753101</v>
      </c>
      <c r="AN5999">
        <v>0.99999996563425397</v>
      </c>
    </row>
    <row r="6000" spans="1:40" x14ac:dyDescent="0.25">
      <c r="A6000" t="str">
        <f>"20190312172235884"</f>
        <v>20190312172235884</v>
      </c>
      <c r="B6000" t="str">
        <f>"1552382555876441"</f>
        <v>1552382555876441</v>
      </c>
      <c r="C6000" t="s">
        <v>40</v>
      </c>
      <c r="D6000">
        <v>3.307979</v>
      </c>
      <c r="E6000">
        <v>0.48761470000000001</v>
      </c>
      <c r="F6000" t="s">
        <v>66</v>
      </c>
      <c r="G6000">
        <v>-292.53280000000001</v>
      </c>
      <c r="H6000">
        <v>75.416079999999994</v>
      </c>
      <c r="I6000">
        <v>-91.564989999999995</v>
      </c>
      <c r="J6000">
        <v>-417.60750000000002</v>
      </c>
      <c r="K6000">
        <v>1.120628</v>
      </c>
      <c r="L6000">
        <v>38.580719999999999</v>
      </c>
      <c r="M6000">
        <v>0.43958399999999997</v>
      </c>
      <c r="N6000">
        <v>0</v>
      </c>
      <c r="O6000">
        <v>-0.89807839999999906</v>
      </c>
      <c r="P6000">
        <v>0.66221540000000001</v>
      </c>
      <c r="Q6000">
        <v>0.14146</v>
      </c>
      <c r="R6000">
        <v>-0.73583999999999905</v>
      </c>
      <c r="S6000">
        <v>1.9841610000000001</v>
      </c>
      <c r="T6000">
        <v>1.1776219999999999</v>
      </c>
      <c r="U6000">
        <v>-2.0661320000000001</v>
      </c>
      <c r="V6000">
        <v>-0.27511170000000001</v>
      </c>
      <c r="W6000">
        <v>0.1487435</v>
      </c>
      <c r="X6000">
        <v>0.94983629999999997</v>
      </c>
      <c r="Y6000">
        <v>-0.251772</v>
      </c>
      <c r="Z6000">
        <v>-0.3665812</v>
      </c>
      <c r="AA6000">
        <v>0.89567240000000004</v>
      </c>
      <c r="AB6000">
        <v>36</v>
      </c>
      <c r="AC6000">
        <v>125.07470000000001</v>
      </c>
      <c r="AD6000">
        <v>74.295451999999997</v>
      </c>
      <c r="AE6000">
        <v>-130.14571000000001</v>
      </c>
      <c r="AF6000">
        <v>-47.137245430925297</v>
      </c>
      <c r="AG6000">
        <v>74.295451999999997</v>
      </c>
      <c r="AH6000">
        <v>146.98021541552501</v>
      </c>
      <c r="AI6000">
        <v>64.296994573576299</v>
      </c>
      <c r="AJ6000">
        <v>107.781289815873</v>
      </c>
      <c r="AK6000">
        <v>171.30358378707001</v>
      </c>
      <c r="AL6000">
        <v>81.445882744456995</v>
      </c>
      <c r="AM6000">
        <v>106.15319282173</v>
      </c>
      <c r="AN6000">
        <v>1.0000000365334101</v>
      </c>
    </row>
    <row r="6001" spans="1:40" x14ac:dyDescent="0.25">
      <c r="A6001" t="str">
        <f>"20190312172235901"</f>
        <v>20190312172235901</v>
      </c>
      <c r="B6001" t="str">
        <f>"1552382555896937"</f>
        <v>1552382555896937</v>
      </c>
      <c r="C6001" t="s">
        <v>40</v>
      </c>
      <c r="D6001">
        <v>3.2092809999999998</v>
      </c>
      <c r="E6001">
        <v>0.47333619999999998</v>
      </c>
      <c r="F6001" t="s">
        <v>66</v>
      </c>
      <c r="G6001">
        <v>-290.8263</v>
      </c>
      <c r="H6001">
        <v>75.864289999999997</v>
      </c>
      <c r="I6001">
        <v>-91.564989999999995</v>
      </c>
      <c r="J6001">
        <v>-417.47329999999999</v>
      </c>
      <c r="K6001">
        <v>1.1207400000000001</v>
      </c>
      <c r="L6001">
        <v>38.32385</v>
      </c>
      <c r="M6001">
        <v>0.44788929999999999</v>
      </c>
      <c r="N6001">
        <v>0</v>
      </c>
      <c r="O6001">
        <v>-0.8939648</v>
      </c>
      <c r="P6001">
        <v>0.6691201</v>
      </c>
      <c r="Q6001">
        <v>0.1417891</v>
      </c>
      <c r="R6001">
        <v>-0.7295026</v>
      </c>
      <c r="S6001">
        <v>1.998688</v>
      </c>
      <c r="T6001">
        <v>1.178323</v>
      </c>
      <c r="U6001">
        <v>-2.0517270000000001</v>
      </c>
      <c r="V6001">
        <v>-0.27533790000000002</v>
      </c>
      <c r="W6001">
        <v>0.14901039999999999</v>
      </c>
      <c r="X6001">
        <v>0.94972889999999999</v>
      </c>
      <c r="Y6001">
        <v>-0.24940979999999999</v>
      </c>
      <c r="Z6001">
        <v>-0.3655255</v>
      </c>
      <c r="AA6001">
        <v>0.89676409999999995</v>
      </c>
      <c r="AB6001">
        <v>36</v>
      </c>
      <c r="AC6001">
        <v>126.64700000000001</v>
      </c>
      <c r="AD6001">
        <v>74.743549999999999</v>
      </c>
      <c r="AE6001">
        <v>-129.88883999999999</v>
      </c>
      <c r="AF6001">
        <v>-47.059808929459201</v>
      </c>
      <c r="AG6001">
        <v>74.743549999999999</v>
      </c>
      <c r="AH6001">
        <v>147.77427433544801</v>
      </c>
      <c r="AI6001">
        <v>64.268392864895304</v>
      </c>
      <c r="AJ6001">
        <v>107.664460373136</v>
      </c>
      <c r="AK6001">
        <v>172.15824127368401</v>
      </c>
      <c r="AL6001">
        <v>81.430418025709699</v>
      </c>
      <c r="AM6001">
        <v>106.167513312289</v>
      </c>
      <c r="AN6001">
        <v>1.0000000209898801</v>
      </c>
    </row>
    <row r="6002" spans="1:40" x14ac:dyDescent="0.25">
      <c r="A6002" t="str">
        <f>"20190312172235925"</f>
        <v>20190312172235925</v>
      </c>
      <c r="B6002" t="str">
        <f>"1552382555916458"</f>
        <v>1552382555916458</v>
      </c>
      <c r="C6002" t="s">
        <v>40</v>
      </c>
      <c r="D6002">
        <v>3.251979</v>
      </c>
      <c r="E6002">
        <v>0.47184749999999998</v>
      </c>
      <c r="F6002" t="s">
        <v>64</v>
      </c>
      <c r="G6002">
        <v>-405.42939999999999</v>
      </c>
      <c r="H6002" s="1">
        <v>-4.8760840000000002E-6</v>
      </c>
      <c r="I6002">
        <v>26.810189999999999</v>
      </c>
      <c r="J6002">
        <v>-417.30509999999998</v>
      </c>
      <c r="K6002">
        <v>1.1208819999999999</v>
      </c>
      <c r="L6002">
        <v>38.010860000000001</v>
      </c>
      <c r="M6002">
        <v>0.45818389999999998</v>
      </c>
      <c r="N6002">
        <v>0</v>
      </c>
      <c r="O6002">
        <v>-0.88873210000000002</v>
      </c>
      <c r="P6002">
        <v>0.67768070000000002</v>
      </c>
      <c r="Q6002">
        <v>0.14184229999999901</v>
      </c>
      <c r="R6002">
        <v>-0.72154659999999904</v>
      </c>
      <c r="S6002">
        <v>2.2167970000000001</v>
      </c>
      <c r="T6002">
        <v>-0.206284</v>
      </c>
      <c r="U6002">
        <v>-2.119202</v>
      </c>
      <c r="V6002">
        <v>-0.27563359999999998</v>
      </c>
      <c r="W6002">
        <v>0.1489868</v>
      </c>
      <c r="X6002">
        <v>0.94964680000000001</v>
      </c>
      <c r="Y6002">
        <v>-0.32415569999999999</v>
      </c>
      <c r="Z6002">
        <v>6.479617E-2</v>
      </c>
      <c r="AA6002">
        <v>0.94378200000000001</v>
      </c>
      <c r="AB6002">
        <v>36</v>
      </c>
      <c r="AC6002">
        <v>11.875699999999901</v>
      </c>
      <c r="AD6002">
        <v>-1.1208868760839901</v>
      </c>
      <c r="AE6002">
        <v>-11.200670000000001</v>
      </c>
      <c r="AF6002">
        <v>-5.3975059866384401</v>
      </c>
      <c r="AG6002">
        <v>-1.1208868760839901</v>
      </c>
      <c r="AH6002">
        <v>15.3251124765247</v>
      </c>
      <c r="AI6002">
        <v>93.946402429745802</v>
      </c>
      <c r="AJ6002">
        <v>109.4022682862</v>
      </c>
      <c r="AK6002">
        <v>16.286452366396698</v>
      </c>
      <c r="AL6002">
        <v>81.431785257914001</v>
      </c>
      <c r="AM6002">
        <v>106.185293887152</v>
      </c>
      <c r="AN6002">
        <v>0.99999999638671999</v>
      </c>
    </row>
    <row r="6003" spans="1:40" x14ac:dyDescent="0.25">
      <c r="A6003" t="str">
        <f>"20190312172235937"</f>
        <v>20190312172235937</v>
      </c>
      <c r="B6003" t="str">
        <f>"1552382555926217"</f>
        <v>1552382555926217</v>
      </c>
      <c r="C6003" t="s">
        <v>40</v>
      </c>
      <c r="D6003">
        <v>3.3112460000000001</v>
      </c>
      <c r="E6003">
        <v>0.47231230000000002</v>
      </c>
      <c r="F6003" t="s">
        <v>64</v>
      </c>
      <c r="G6003">
        <v>-404.50709999999998</v>
      </c>
      <c r="H6003" s="1">
        <v>-5.2070509999999998E-6</v>
      </c>
      <c r="I6003">
        <v>26.156929999999999</v>
      </c>
      <c r="J6003">
        <v>-417.20179999999999</v>
      </c>
      <c r="K6003">
        <v>1.120968</v>
      </c>
      <c r="L6003">
        <v>37.822389999999999</v>
      </c>
      <c r="M6003">
        <v>0.46445720000000001</v>
      </c>
      <c r="N6003">
        <v>0</v>
      </c>
      <c r="O6003">
        <v>-0.88546959999999997</v>
      </c>
      <c r="P6003">
        <v>0.68288019999999905</v>
      </c>
      <c r="Q6003">
        <v>0.14198549999999999</v>
      </c>
      <c r="R6003">
        <v>-0.71659949999999994</v>
      </c>
      <c r="S6003">
        <v>2.2496339999999999</v>
      </c>
      <c r="T6003">
        <v>-0.19702919999999999</v>
      </c>
      <c r="U6003">
        <v>-2.0836790000000001</v>
      </c>
      <c r="V6003">
        <v>-0.27583429999999998</v>
      </c>
      <c r="W6003">
        <v>0.14908250000000001</v>
      </c>
      <c r="X6003">
        <v>0.94957349999999996</v>
      </c>
      <c r="Y6003">
        <v>-0.33249050000000002</v>
      </c>
      <c r="Z6003">
        <v>6.1901770000000002E-2</v>
      </c>
      <c r="AA6003">
        <v>0.94107289999999999</v>
      </c>
      <c r="AB6003">
        <v>35</v>
      </c>
      <c r="AC6003">
        <v>12.694699999999999</v>
      </c>
      <c r="AD6003">
        <v>-1.1209732070509999</v>
      </c>
      <c r="AE6003">
        <v>-11.665459999999999</v>
      </c>
      <c r="AF6003">
        <v>-5.79879912516079</v>
      </c>
      <c r="AG6003">
        <v>-1.1209732070509999</v>
      </c>
      <c r="AH6003">
        <v>16.159052547984199</v>
      </c>
      <c r="AI6003">
        <v>93.735781843353706</v>
      </c>
      <c r="AJ6003">
        <v>109.74091121882</v>
      </c>
      <c r="AK6003">
        <v>17.204581700041601</v>
      </c>
      <c r="AL6003">
        <v>81.426240088998696</v>
      </c>
      <c r="AM6003">
        <v>106.197646085036</v>
      </c>
      <c r="AN6003">
        <v>0.99999999238249404</v>
      </c>
    </row>
    <row r="6004" spans="1:40" x14ac:dyDescent="0.25">
      <c r="A6004" t="str">
        <f>"20190312172235950"</f>
        <v>20190312172235950</v>
      </c>
      <c r="B6004" t="str">
        <f>"1552382555946712"</f>
        <v>1552382555946712</v>
      </c>
      <c r="C6004" t="s">
        <v>40</v>
      </c>
      <c r="D6004">
        <v>3.1792400000000001</v>
      </c>
      <c r="E6004">
        <v>0.47344520000000001</v>
      </c>
      <c r="F6004" t="s">
        <v>64</v>
      </c>
      <c r="G6004">
        <v>-404.31490000000002</v>
      </c>
      <c r="H6004" s="1">
        <v>-5.2739410000000001E-6</v>
      </c>
      <c r="I6004">
        <v>26.029820000000001</v>
      </c>
      <c r="J6004">
        <v>-417.11149999999998</v>
      </c>
      <c r="K6004">
        <v>1.121046</v>
      </c>
      <c r="L6004">
        <v>37.661070000000002</v>
      </c>
      <c r="M6004">
        <v>0.46989989999999998</v>
      </c>
      <c r="N6004">
        <v>0</v>
      </c>
      <c r="O6004">
        <v>-0.88259290000000001</v>
      </c>
      <c r="P6004">
        <v>0.68743290000000001</v>
      </c>
      <c r="Q6004">
        <v>0.14216999999999999</v>
      </c>
      <c r="R6004">
        <v>-0.71219639999999995</v>
      </c>
      <c r="S6004">
        <v>2.2619630000000002</v>
      </c>
      <c r="T6004">
        <v>-0.1967584</v>
      </c>
      <c r="U6004">
        <v>-2.0698850000000002</v>
      </c>
      <c r="V6004">
        <v>-0.27608919999999998</v>
      </c>
      <c r="W6004">
        <v>0.14922449999999901</v>
      </c>
      <c r="X6004">
        <v>0.94947709999999996</v>
      </c>
      <c r="Y6004">
        <v>-0.33237090000000002</v>
      </c>
      <c r="Z6004">
        <v>6.1696269999999998E-2</v>
      </c>
      <c r="AA6004">
        <v>0.94112870000000004</v>
      </c>
      <c r="AB6004">
        <v>35</v>
      </c>
      <c r="AC6004">
        <v>12.7965999999999</v>
      </c>
      <c r="AD6004">
        <v>-1.1210512739409999</v>
      </c>
      <c r="AE6004">
        <v>-11.63125</v>
      </c>
      <c r="AF6004">
        <v>-5.8049215430822398</v>
      </c>
      <c r="AG6004">
        <v>-1.1210512739409999</v>
      </c>
      <c r="AH6004">
        <v>16.212466773268702</v>
      </c>
      <c r="AI6004">
        <v>93.724716280251201</v>
      </c>
      <c r="AJ6004">
        <v>109.700056466554</v>
      </c>
      <c r="AK6004">
        <v>17.2568232579025</v>
      </c>
      <c r="AL6004">
        <v>81.418011947874305</v>
      </c>
      <c r="AM6004">
        <v>106.213388043208</v>
      </c>
      <c r="AN6004">
        <v>0.99999998059064898</v>
      </c>
    </row>
    <row r="6005" spans="1:40" x14ac:dyDescent="0.25">
      <c r="A6005" t="str">
        <f>"20190312172235968"</f>
        <v>20190312172235968</v>
      </c>
      <c r="B6005" t="str">
        <f>"1552382555956473"</f>
        <v>1552382555956473</v>
      </c>
      <c r="C6005" t="s">
        <v>40</v>
      </c>
      <c r="D6005">
        <v>3.3156509999999999</v>
      </c>
      <c r="E6005">
        <v>0.47344370000000002</v>
      </c>
      <c r="F6005" t="s">
        <v>64</v>
      </c>
      <c r="G6005">
        <v>-404.19749999999999</v>
      </c>
      <c r="H6005" s="1">
        <v>-5.3095609999999999E-6</v>
      </c>
      <c r="I6005">
        <v>25.922750000000001</v>
      </c>
      <c r="J6005">
        <v>-416.97359999999998</v>
      </c>
      <c r="K6005">
        <v>1.121165</v>
      </c>
      <c r="L6005">
        <v>37.418579999999999</v>
      </c>
      <c r="M6005">
        <v>0.47815530000000001</v>
      </c>
      <c r="N6005">
        <v>0</v>
      </c>
      <c r="O6005">
        <v>-0.87814760000000003</v>
      </c>
      <c r="P6005">
        <v>0.69459019999999905</v>
      </c>
      <c r="Q6005">
        <v>0.14301539999999999</v>
      </c>
      <c r="R6005">
        <v>-0.70504719999999999</v>
      </c>
      <c r="S6005">
        <v>2.2685240000000002</v>
      </c>
      <c r="T6005">
        <v>-0.1969293</v>
      </c>
      <c r="U6005">
        <v>-2.0620120000000002</v>
      </c>
      <c r="V6005">
        <v>-0.27692230000000001</v>
      </c>
      <c r="W6005">
        <v>0.14998729999999999</v>
      </c>
      <c r="X6005">
        <v>0.94911420000000002</v>
      </c>
      <c r="Y6005">
        <v>-0.32667220000000002</v>
      </c>
      <c r="Z6005">
        <v>6.1469589999999998E-2</v>
      </c>
      <c r="AA6005">
        <v>0.94313670000000005</v>
      </c>
      <c r="AB6005">
        <v>35</v>
      </c>
      <c r="AC6005">
        <v>12.7760999999999</v>
      </c>
      <c r="AD6005">
        <v>-1.1211703095609999</v>
      </c>
      <c r="AE6005">
        <v>-11.4958299999999</v>
      </c>
      <c r="AF6005">
        <v>-5.69889932726407</v>
      </c>
      <c r="AG6005">
        <v>-1.1211703095609999</v>
      </c>
      <c r="AH6005">
        <v>16.137140292108999</v>
      </c>
      <c r="AI6005">
        <v>93.748225248286204</v>
      </c>
      <c r="AJ6005">
        <v>109.450888917551</v>
      </c>
      <c r="AK6005">
        <v>17.150561892035501</v>
      </c>
      <c r="AL6005">
        <v>81.373809054687996</v>
      </c>
      <c r="AM6005">
        <v>106.26561921716301</v>
      </c>
      <c r="AN6005">
        <v>0.99999995752010895</v>
      </c>
    </row>
    <row r="6006" spans="1:40" x14ac:dyDescent="0.25">
      <c r="A6006" t="str">
        <f>"20190312172235979"</f>
        <v>20190312172235979</v>
      </c>
      <c r="B6006" t="str">
        <f>"1552382555976969"</f>
        <v>1552382555976969</v>
      </c>
      <c r="C6006" t="s">
        <v>40</v>
      </c>
      <c r="D6006">
        <v>3.2745850000000001</v>
      </c>
      <c r="E6006">
        <v>0.47361399999999998</v>
      </c>
      <c r="F6006" t="s">
        <v>64</v>
      </c>
      <c r="G6006">
        <v>-403.85300000000001</v>
      </c>
      <c r="H6006" s="1">
        <v>-5.4365490000000003E-6</v>
      </c>
      <c r="I6006">
        <v>25.73452</v>
      </c>
      <c r="J6006">
        <v>-416.8809</v>
      </c>
      <c r="K6006">
        <v>1.121246</v>
      </c>
      <c r="L6006">
        <v>37.257719999999999</v>
      </c>
      <c r="M6006">
        <v>0.48367710000000003</v>
      </c>
      <c r="N6006">
        <v>0</v>
      </c>
      <c r="O6006">
        <v>-0.87511799999999995</v>
      </c>
      <c r="P6006">
        <v>0.69911869999999998</v>
      </c>
      <c r="Q6006">
        <v>0.1434945</v>
      </c>
      <c r="R6006">
        <v>-0.7004589</v>
      </c>
      <c r="S6006">
        <v>2.2897029999999998</v>
      </c>
      <c r="T6006">
        <v>-0.195657</v>
      </c>
      <c r="U6006">
        <v>-2.0390009999999998</v>
      </c>
      <c r="V6006">
        <v>-0.277149599999999</v>
      </c>
      <c r="W6006">
        <v>0.15041959999999999</v>
      </c>
      <c r="X6006">
        <v>0.94897940000000003</v>
      </c>
      <c r="Y6006">
        <v>-0.33036009999999999</v>
      </c>
      <c r="Z6006">
        <v>6.0995210000000001E-2</v>
      </c>
      <c r="AA6006">
        <v>0.94188210000000006</v>
      </c>
      <c r="AB6006">
        <v>35</v>
      </c>
      <c r="AC6006">
        <v>13.027899999999899</v>
      </c>
      <c r="AD6006">
        <v>-1.1212514365490001</v>
      </c>
      <c r="AE6006">
        <v>-11.523199999999999</v>
      </c>
      <c r="AF6006">
        <v>-5.8039765949675504</v>
      </c>
      <c r="AG6006">
        <v>-1.1212514365490001</v>
      </c>
      <c r="AH6006">
        <v>16.319477652165698</v>
      </c>
      <c r="AI6006">
        <v>93.703830944534204</v>
      </c>
      <c r="AJ6006">
        <v>109.57778742075099</v>
      </c>
      <c r="AK6006">
        <v>17.3570936489503</v>
      </c>
      <c r="AL6006">
        <v>81.348755615582803</v>
      </c>
      <c r="AM6006">
        <v>106.280453322573</v>
      </c>
      <c r="AN6006">
        <v>0.999999929234337</v>
      </c>
    </row>
    <row r="6007" spans="1:40" x14ac:dyDescent="0.25">
      <c r="A6007" t="str">
        <f>"20190312172235993"</f>
        <v>20190312172235993</v>
      </c>
      <c r="B6007" t="str">
        <f>"1552382555986730"</f>
        <v>1552382555986730</v>
      </c>
      <c r="C6007" t="s">
        <v>40</v>
      </c>
      <c r="D6007">
        <v>3.2035209999999998</v>
      </c>
      <c r="E6007">
        <v>0.47397610000000001</v>
      </c>
      <c r="F6007" t="s">
        <v>64</v>
      </c>
      <c r="G6007">
        <v>-403.90129999999999</v>
      </c>
      <c r="H6007" s="1">
        <v>-5.4327369999999899E-6</v>
      </c>
      <c r="I6007">
        <v>25.839459999999999</v>
      </c>
      <c r="J6007">
        <v>-416.77539999999999</v>
      </c>
      <c r="K6007">
        <v>1.12134</v>
      </c>
      <c r="L6007">
        <v>37.079160000000002</v>
      </c>
      <c r="M6007">
        <v>0.48991810000000002</v>
      </c>
      <c r="N6007">
        <v>0</v>
      </c>
      <c r="O6007">
        <v>-0.8716391</v>
      </c>
      <c r="P6007">
        <v>0.70434859999999999</v>
      </c>
      <c r="Q6007">
        <v>0.1438566</v>
      </c>
      <c r="R6007">
        <v>-0.69512479999999999</v>
      </c>
      <c r="S6007">
        <v>2.302521</v>
      </c>
      <c r="T6007">
        <v>-0.19890430000000001</v>
      </c>
      <c r="U6007">
        <v>-2.0255429999999999</v>
      </c>
      <c r="V6007">
        <v>-0.27756239999999999</v>
      </c>
      <c r="W6007">
        <v>0.1507251</v>
      </c>
      <c r="X6007">
        <v>0.9488103</v>
      </c>
      <c r="Y6007">
        <v>-0.3292757</v>
      </c>
      <c r="Z6007">
        <v>6.1815509999999997E-2</v>
      </c>
      <c r="AA6007">
        <v>0.94220820000000005</v>
      </c>
      <c r="AB6007">
        <v>35</v>
      </c>
      <c r="AC6007">
        <v>12.8741</v>
      </c>
      <c r="AD6007">
        <v>-1.121345432737</v>
      </c>
      <c r="AE6007">
        <v>-11.2396999999999</v>
      </c>
      <c r="AF6007">
        <v>-5.6911797390652099</v>
      </c>
      <c r="AG6007">
        <v>-1.121345432737</v>
      </c>
      <c r="AH6007">
        <v>16.036991495777698</v>
      </c>
      <c r="AI6007">
        <v>93.770113028421406</v>
      </c>
      <c r="AJ6007">
        <v>109.538667887286</v>
      </c>
      <c r="AK6007">
        <v>17.053798363927999</v>
      </c>
      <c r="AL6007">
        <v>81.331050190042902</v>
      </c>
      <c r="AM6007">
        <v>106.306166494496</v>
      </c>
      <c r="AN6007">
        <v>0.99999996352492904</v>
      </c>
    </row>
    <row r="6008" spans="1:40" x14ac:dyDescent="0.25">
      <c r="A6008" t="str">
        <f>"20190312172236005"</f>
        <v>20190312172236005</v>
      </c>
      <c r="B6008" t="str">
        <f>"1552382555996489"</f>
        <v>1552382555996489</v>
      </c>
      <c r="C6008" t="s">
        <v>40</v>
      </c>
      <c r="D6008">
        <v>3.1956159999999998</v>
      </c>
      <c r="E6008">
        <v>0.47427009999999997</v>
      </c>
      <c r="F6008" t="s">
        <v>64</v>
      </c>
      <c r="G6008">
        <v>-403.62299999999999</v>
      </c>
      <c r="H6008" s="1">
        <v>-5.5312359999999998E-6</v>
      </c>
      <c r="I6008">
        <v>25.664570000000001</v>
      </c>
      <c r="J6008">
        <v>-416.67680000000001</v>
      </c>
      <c r="K6008">
        <v>1.121426</v>
      </c>
      <c r="L6008">
        <v>36.914369999999998</v>
      </c>
      <c r="M6008">
        <v>0.49571520000000002</v>
      </c>
      <c r="N6008">
        <v>0</v>
      </c>
      <c r="O6008">
        <v>-0.86835519999999999</v>
      </c>
      <c r="P6008">
        <v>0.70928459999999904</v>
      </c>
      <c r="Q6008">
        <v>0.14404589999999901</v>
      </c>
      <c r="R6008">
        <v>-0.69004849999999995</v>
      </c>
      <c r="S6008">
        <v>2.3159480000000001</v>
      </c>
      <c r="T6008">
        <v>-0.19745309999999999</v>
      </c>
      <c r="U6008">
        <v>-2.0099490000000002</v>
      </c>
      <c r="V6008">
        <v>-0.27805980000000002</v>
      </c>
      <c r="W6008">
        <v>0.15085709999999999</v>
      </c>
      <c r="X6008">
        <v>0.94864369999999998</v>
      </c>
      <c r="Y6008">
        <v>-0.32933600000000002</v>
      </c>
      <c r="Z6008">
        <v>6.1222529999999997E-2</v>
      </c>
      <c r="AA6008">
        <v>0.94222589999999995</v>
      </c>
      <c r="AB6008">
        <v>35</v>
      </c>
      <c r="AC6008">
        <v>13.053799999999899</v>
      </c>
      <c r="AD6008">
        <v>-1.1214315312359999</v>
      </c>
      <c r="AE6008">
        <v>-11.249799999999899</v>
      </c>
      <c r="AF6008">
        <v>-5.7350007616270098</v>
      </c>
      <c r="AG6008">
        <v>-1.1214315312359999</v>
      </c>
      <c r="AH6008">
        <v>16.173129918503999</v>
      </c>
      <c r="AI6008">
        <v>93.739080699118603</v>
      </c>
      <c r="AJ6008">
        <v>109.524534456193</v>
      </c>
      <c r="AK6008">
        <v>17.196452360179499</v>
      </c>
      <c r="AL6008">
        <v>81.323399928216702</v>
      </c>
      <c r="AM6008">
        <v>106.336546818806</v>
      </c>
      <c r="AN6008">
        <v>0.99999999327306999</v>
      </c>
    </row>
    <row r="6009" spans="1:40" x14ac:dyDescent="0.25">
      <c r="A6009" t="str">
        <f>"20190312172236016"</f>
        <v>20190312172236016</v>
      </c>
      <c r="B6009" t="str">
        <f>"1552382556006249"</f>
        <v>1552382556006249</v>
      </c>
      <c r="C6009" t="s">
        <v>40</v>
      </c>
      <c r="D6009">
        <v>3.1766570000000001</v>
      </c>
      <c r="E6009">
        <v>0.47466059999999999</v>
      </c>
      <c r="F6009" t="s">
        <v>64</v>
      </c>
      <c r="G6009">
        <v>-403.47500000000002</v>
      </c>
      <c r="H6009" s="1">
        <v>-5.5895630000000003E-6</v>
      </c>
      <c r="I6009">
        <v>25.60493</v>
      </c>
      <c r="J6009">
        <v>-416.5865</v>
      </c>
      <c r="K6009">
        <v>1.1215079999999999</v>
      </c>
      <c r="L6009">
        <v>36.76538</v>
      </c>
      <c r="M6009">
        <v>0.50100710000000004</v>
      </c>
      <c r="N6009">
        <v>0</v>
      </c>
      <c r="O6009">
        <v>-0.86531239999999998</v>
      </c>
      <c r="P6009">
        <v>0.71390010000000004</v>
      </c>
      <c r="Q6009">
        <v>0.14380850000000001</v>
      </c>
      <c r="R6009">
        <v>-0.68532190000000004</v>
      </c>
      <c r="S6009">
        <v>2.3288570000000002</v>
      </c>
      <c r="T6009">
        <v>-0.19782449999999999</v>
      </c>
      <c r="U6009">
        <v>-1.995026</v>
      </c>
      <c r="V6009">
        <v>-0.27863599999999999</v>
      </c>
      <c r="W6009">
        <v>0.15056339999999999</v>
      </c>
      <c r="X6009">
        <v>0.94852130000000001</v>
      </c>
      <c r="Y6009">
        <v>-0.32963360000000003</v>
      </c>
      <c r="Z6009">
        <v>6.1204080000000001E-2</v>
      </c>
      <c r="AA6009">
        <v>0.94212300000000004</v>
      </c>
      <c r="AB6009">
        <v>35</v>
      </c>
      <c r="AC6009">
        <v>13.1114999999999</v>
      </c>
      <c r="AD6009">
        <v>-1.121513589563</v>
      </c>
      <c r="AE6009">
        <v>-11.160450000000001</v>
      </c>
      <c r="AF6009">
        <v>-5.7304182303782101</v>
      </c>
      <c r="AG6009">
        <v>-1.121513589563</v>
      </c>
      <c r="AH6009">
        <v>16.159508555836499</v>
      </c>
      <c r="AI6009">
        <v>93.742478575161201</v>
      </c>
      <c r="AJ6009">
        <v>109.525314330122</v>
      </c>
      <c r="AK6009">
        <v>17.182118687542001</v>
      </c>
      <c r="AL6009">
        <v>81.340422248581305</v>
      </c>
      <c r="AM6009">
        <v>106.370588422606</v>
      </c>
      <c r="AN6009">
        <v>1.00000000723462</v>
      </c>
    </row>
    <row r="6010" spans="1:40" x14ac:dyDescent="0.25">
      <c r="A6010" t="str">
        <f>"20190312172236027"</f>
        <v>20190312172236027</v>
      </c>
      <c r="B6010" t="str">
        <f>"1552382556016985"</f>
        <v>1552382556016985</v>
      </c>
      <c r="C6010" t="s">
        <v>40</v>
      </c>
      <c r="D6010">
        <v>3.454396</v>
      </c>
      <c r="E6010">
        <v>0.47497309999999998</v>
      </c>
      <c r="F6010" t="s">
        <v>64</v>
      </c>
      <c r="G6010">
        <v>-403.43180000000001</v>
      </c>
      <c r="H6010" s="1">
        <v>-5.6134630000000002E-6</v>
      </c>
      <c r="I6010">
        <v>25.626190000000001</v>
      </c>
      <c r="J6010">
        <v>-416.49450000000002</v>
      </c>
      <c r="K6010">
        <v>1.1215869999999999</v>
      </c>
      <c r="L6010">
        <v>36.616300000000003</v>
      </c>
      <c r="M6010">
        <v>0.50636919999999996</v>
      </c>
      <c r="N6010">
        <v>0</v>
      </c>
      <c r="O6010">
        <v>-0.86218499999999998</v>
      </c>
      <c r="P6010">
        <v>0.71842459999999997</v>
      </c>
      <c r="Q6010">
        <v>0.14396589999999901</v>
      </c>
      <c r="R6010">
        <v>-0.68054399999999904</v>
      </c>
      <c r="S6010">
        <v>2.3401489999999998</v>
      </c>
      <c r="T6010">
        <v>-0.19951079999999999</v>
      </c>
      <c r="U6010">
        <v>-1.981598</v>
      </c>
      <c r="V6010">
        <v>-0.27908379999999999</v>
      </c>
      <c r="W6010">
        <v>0.1506671</v>
      </c>
      <c r="X6010">
        <v>0.94837320000000003</v>
      </c>
      <c r="Y6010">
        <v>-0.32914090000000001</v>
      </c>
      <c r="Z6010">
        <v>6.1573719999999998E-2</v>
      </c>
      <c r="AA6010">
        <v>0.94227119999999998</v>
      </c>
      <c r="AB6010">
        <v>35</v>
      </c>
      <c r="AC6010">
        <v>13.0627</v>
      </c>
      <c r="AD6010">
        <v>-1.1215926134630001</v>
      </c>
      <c r="AE6010">
        <v>-10.99011</v>
      </c>
      <c r="AF6010">
        <v>-5.67356698020631</v>
      </c>
      <c r="AG6010">
        <v>-1.1215926134630001</v>
      </c>
      <c r="AH6010">
        <v>16.022719637107201</v>
      </c>
      <c r="AI6010">
        <v>93.775219101038203</v>
      </c>
      <c r="AJ6010">
        <v>109.498806457035</v>
      </c>
      <c r="AK6010">
        <v>17.034520152877899</v>
      </c>
      <c r="AL6010">
        <v>81.334412353188696</v>
      </c>
      <c r="AM6010">
        <v>106.397908809911</v>
      </c>
      <c r="AN6010">
        <v>1.0000000344615401</v>
      </c>
    </row>
    <row r="6011" spans="1:40" x14ac:dyDescent="0.25">
      <c r="A6011" t="str">
        <f>"20190312172236040"</f>
        <v>20190312172236040</v>
      </c>
      <c r="B6011" t="str">
        <f>"1552382556036505"</f>
        <v>1552382556036505</v>
      </c>
      <c r="C6011" t="s">
        <v>40</v>
      </c>
      <c r="D6011">
        <v>3.1927140000000001</v>
      </c>
      <c r="E6011">
        <v>0.47549029999999998</v>
      </c>
      <c r="F6011" t="s">
        <v>64</v>
      </c>
      <c r="G6011">
        <v>-403.25979999999998</v>
      </c>
      <c r="H6011" s="1">
        <v>-5.6787649999999998E-6</v>
      </c>
      <c r="I6011">
        <v>25.542960000000001</v>
      </c>
      <c r="J6011">
        <v>-416.39069999999998</v>
      </c>
      <c r="K6011">
        <v>1.121678</v>
      </c>
      <c r="L6011">
        <v>36.449550000000002</v>
      </c>
      <c r="M6011">
        <v>0.51238850000000002</v>
      </c>
      <c r="N6011">
        <v>0</v>
      </c>
      <c r="O6011">
        <v>-0.85862129999999903</v>
      </c>
      <c r="P6011">
        <v>0.72369150000000004</v>
      </c>
      <c r="Q6011">
        <v>0.1440652</v>
      </c>
      <c r="R6011">
        <v>-0.67491919999999905</v>
      </c>
      <c r="S6011">
        <v>2.3517760000000001</v>
      </c>
      <c r="T6011">
        <v>-0.1993048</v>
      </c>
      <c r="U6011">
        <v>-1.9677119999999999</v>
      </c>
      <c r="V6011">
        <v>-0.2798697</v>
      </c>
      <c r="W6011">
        <v>0.15069730000000001</v>
      </c>
      <c r="X6011">
        <v>0.94813670000000005</v>
      </c>
      <c r="Y6011">
        <v>-0.32811069999999998</v>
      </c>
      <c r="Z6011">
        <v>6.1327960000000001E-2</v>
      </c>
      <c r="AA6011">
        <v>0.9426464</v>
      </c>
      <c r="AB6011">
        <v>35</v>
      </c>
      <c r="AC6011">
        <v>13.130899999999899</v>
      </c>
      <c r="AD6011">
        <v>-1.121683678765</v>
      </c>
      <c r="AE6011">
        <v>-10.90659</v>
      </c>
      <c r="AF6011">
        <v>-5.6622559881963799</v>
      </c>
      <c r="AG6011">
        <v>-1.121683678765</v>
      </c>
      <c r="AH6011">
        <v>16.025384679626999</v>
      </c>
      <c r="AI6011">
        <v>93.775803673663106</v>
      </c>
      <c r="AJ6011">
        <v>109.459864321659</v>
      </c>
      <c r="AK6011">
        <v>17.033269541726199</v>
      </c>
      <c r="AL6011">
        <v>81.332661416653494</v>
      </c>
      <c r="AM6011">
        <v>106.44547457633099</v>
      </c>
      <c r="AN6011">
        <v>0.99999996354613396</v>
      </c>
    </row>
    <row r="6012" spans="1:40" x14ac:dyDescent="0.25">
      <c r="A6012" t="str">
        <f>"20190312172236053"</f>
        <v>20190312172236053</v>
      </c>
      <c r="B6012" t="str">
        <f>"1552382556046266"</f>
        <v>1552382556046266</v>
      </c>
      <c r="C6012" t="s">
        <v>40</v>
      </c>
      <c r="D6012">
        <v>3.2172209999999999</v>
      </c>
      <c r="E6012">
        <v>0.47574539999999998</v>
      </c>
      <c r="F6012" t="s">
        <v>64</v>
      </c>
      <c r="G6012">
        <v>-403.19470000000001</v>
      </c>
      <c r="H6012" s="1">
        <v>-5.7107549999999998E-6</v>
      </c>
      <c r="I6012">
        <v>25.552350000000001</v>
      </c>
      <c r="J6012">
        <v>-416.28660000000002</v>
      </c>
      <c r="K6012">
        <v>1.1217699999999999</v>
      </c>
      <c r="L6012">
        <v>36.286380000000001</v>
      </c>
      <c r="M6012">
        <v>0.51838649999999997</v>
      </c>
      <c r="N6012">
        <v>0</v>
      </c>
      <c r="O6012">
        <v>-0.85501280000000002</v>
      </c>
      <c r="P6012">
        <v>0.72875009999999996</v>
      </c>
      <c r="Q6012">
        <v>0.14424579999999901</v>
      </c>
      <c r="R6012">
        <v>-0.66941530000000005</v>
      </c>
      <c r="S6012">
        <v>2.364471</v>
      </c>
      <c r="T6012">
        <v>-0.20098479999999999</v>
      </c>
      <c r="U6012">
        <v>-1.9525760000000001</v>
      </c>
      <c r="V6012">
        <v>-0.2804278</v>
      </c>
      <c r="W6012">
        <v>0.15081649999999999</v>
      </c>
      <c r="X6012">
        <v>0.94795289999999999</v>
      </c>
      <c r="Y6012">
        <v>-0.32755010000000001</v>
      </c>
      <c r="Z6012">
        <v>6.1661609999999999E-2</v>
      </c>
      <c r="AA6012">
        <v>0.94281959999999998</v>
      </c>
      <c r="AB6012">
        <v>35</v>
      </c>
      <c r="AC6012">
        <v>13.091900000000001</v>
      </c>
      <c r="AD6012">
        <v>-1.1217757107549999</v>
      </c>
      <c r="AE6012">
        <v>-10.734030000000001</v>
      </c>
      <c r="AF6012">
        <v>-5.6053989712595298</v>
      </c>
      <c r="AG6012">
        <v>-1.1217757107549999</v>
      </c>
      <c r="AH6012">
        <v>15.8964293046176</v>
      </c>
      <c r="AI6012">
        <v>93.807501942260998</v>
      </c>
      <c r="AJ6012">
        <v>109.423669728335</v>
      </c>
      <c r="AK6012">
        <v>16.893056058894199</v>
      </c>
      <c r="AL6012">
        <v>81.325753417143503</v>
      </c>
      <c r="AM6012">
        <v>106.479513862541</v>
      </c>
      <c r="AN6012">
        <v>1.0000000341517401</v>
      </c>
    </row>
    <row r="6013" spans="1:40" x14ac:dyDescent="0.25">
      <c r="A6013" t="str">
        <f>"20190312172236065"</f>
        <v>20190312172236065</v>
      </c>
      <c r="B6013" t="str">
        <f>"1552382556057001"</f>
        <v>1552382556057001</v>
      </c>
      <c r="C6013" t="s">
        <v>40</v>
      </c>
      <c r="D6013">
        <v>3.2191589999999999</v>
      </c>
      <c r="E6013">
        <v>0.4760277</v>
      </c>
      <c r="F6013" t="s">
        <v>64</v>
      </c>
      <c r="G6013">
        <v>-403.07260000000002</v>
      </c>
      <c r="H6013" s="1">
        <v>-5.7630709999999998E-6</v>
      </c>
      <c r="I6013">
        <v>25.526800000000001</v>
      </c>
      <c r="J6013">
        <v>-416.18430000000001</v>
      </c>
      <c r="K6013">
        <v>1.121853</v>
      </c>
      <c r="L6013">
        <v>36.127870000000001</v>
      </c>
      <c r="M6013">
        <v>0.52424219999999999</v>
      </c>
      <c r="N6013">
        <v>0</v>
      </c>
      <c r="O6013">
        <v>-0.85143500000000005</v>
      </c>
      <c r="P6013">
        <v>0.73370170000000001</v>
      </c>
      <c r="Q6013">
        <v>0.14423440000000001</v>
      </c>
      <c r="R6013">
        <v>-0.66398690000000005</v>
      </c>
      <c r="S6013">
        <v>2.3779599999999999</v>
      </c>
      <c r="T6013">
        <v>-0.20187350000000001</v>
      </c>
      <c r="U6013">
        <v>-1.9362790000000001</v>
      </c>
      <c r="V6013">
        <v>-0.28099550000000001</v>
      </c>
      <c r="W6013">
        <v>0.15074489999999999</v>
      </c>
      <c r="X6013">
        <v>0.94779619999999998</v>
      </c>
      <c r="Y6013">
        <v>-0.32756180000000001</v>
      </c>
      <c r="Z6013">
        <v>6.1761709999999997E-2</v>
      </c>
      <c r="AA6013">
        <v>0.94280900000000001</v>
      </c>
      <c r="AB6013">
        <v>35</v>
      </c>
      <c r="AC6013">
        <v>13.1116999999999</v>
      </c>
      <c r="AD6013">
        <v>-1.121858763071</v>
      </c>
      <c r="AE6013">
        <v>-10.60107</v>
      </c>
      <c r="AF6013">
        <v>-5.5821610976985196</v>
      </c>
      <c r="AG6013">
        <v>-1.121858763071</v>
      </c>
      <c r="AH6013">
        <v>15.831560943608901</v>
      </c>
      <c r="AI6013">
        <v>93.823366352539793</v>
      </c>
      <c r="AJ6013">
        <v>109.422498084396</v>
      </c>
      <c r="AK6013">
        <v>16.824310134925</v>
      </c>
      <c r="AL6013">
        <v>81.329903519753998</v>
      </c>
      <c r="AM6013">
        <v>106.513641382336</v>
      </c>
      <c r="AN6013">
        <v>1.0000000663153401</v>
      </c>
    </row>
    <row r="6014" spans="1:40" x14ac:dyDescent="0.25">
      <c r="A6014" t="str">
        <f>"20190312172236081"</f>
        <v>20190312172236081</v>
      </c>
      <c r="B6014" t="str">
        <f>"1552382556076521"</f>
        <v>1552382556076521</v>
      </c>
      <c r="C6014" t="s">
        <v>40</v>
      </c>
      <c r="D6014">
        <v>3.328751</v>
      </c>
      <c r="E6014">
        <v>0.47671150000000001</v>
      </c>
      <c r="F6014" t="s">
        <v>64</v>
      </c>
      <c r="G6014">
        <v>-402.9735</v>
      </c>
      <c r="H6014" s="1">
        <v>-5.8074069999999996E-6</v>
      </c>
      <c r="I6014">
        <v>25.516500000000001</v>
      </c>
      <c r="J6014">
        <v>-416.05540000000002</v>
      </c>
      <c r="K6014">
        <v>1.1219600000000001</v>
      </c>
      <c r="L6014">
        <v>35.930880000000002</v>
      </c>
      <c r="M6014">
        <v>0.53158249999999996</v>
      </c>
      <c r="N6014">
        <v>0</v>
      </c>
      <c r="O6014">
        <v>-0.84687080000000003</v>
      </c>
      <c r="P6014">
        <v>0.74003490000000005</v>
      </c>
      <c r="Q6014">
        <v>0.14473920000000001</v>
      </c>
      <c r="R6014">
        <v>-0.65680989999999995</v>
      </c>
      <c r="S6014">
        <v>2.3908079999999998</v>
      </c>
      <c r="T6014">
        <v>-0.20302709999999999</v>
      </c>
      <c r="U6014">
        <v>-1.92038</v>
      </c>
      <c r="V6014">
        <v>-0.28200700000000001</v>
      </c>
      <c r="W6014">
        <v>0.15116489999999999</v>
      </c>
      <c r="X6014">
        <v>0.94742879999999996</v>
      </c>
      <c r="Y6014">
        <v>-0.32566919999999999</v>
      </c>
      <c r="Z6014">
        <v>6.1858030000000001E-2</v>
      </c>
      <c r="AA6014">
        <v>0.94345809999999997</v>
      </c>
      <c r="AB6014">
        <v>35</v>
      </c>
      <c r="AC6014">
        <v>13.081899999999999</v>
      </c>
      <c r="AD6014">
        <v>-1.121965807407</v>
      </c>
      <c r="AE6014">
        <v>-10.41438</v>
      </c>
      <c r="AF6014">
        <v>-5.5183691203850804</v>
      </c>
      <c r="AG6014">
        <v>-1.121965807407</v>
      </c>
      <c r="AH6014">
        <v>15.704849791853</v>
      </c>
      <c r="AI6014">
        <v>93.855953456282705</v>
      </c>
      <c r="AJ6014">
        <v>109.360451996592</v>
      </c>
      <c r="AK6014">
        <v>16.683929753103001</v>
      </c>
      <c r="AL6014">
        <v>81.305560220579395</v>
      </c>
      <c r="AM6014">
        <v>106.575904517155</v>
      </c>
      <c r="AN6014">
        <v>1.00000005305522</v>
      </c>
    </row>
    <row r="6015" spans="1:40" x14ac:dyDescent="0.25">
      <c r="A6015" t="str">
        <f>"20190312172236103"</f>
        <v>20190312172236103</v>
      </c>
      <c r="B6015" t="str">
        <f>"1552382556097016"</f>
        <v>1552382556097016</v>
      </c>
      <c r="C6015" t="s">
        <v>40</v>
      </c>
      <c r="D6015">
        <v>3.3191470000000001</v>
      </c>
      <c r="E6015">
        <v>0.47734900000000002</v>
      </c>
      <c r="F6015" t="s">
        <v>64</v>
      </c>
      <c r="G6015">
        <v>-402.81990000000002</v>
      </c>
      <c r="H6015" s="1">
        <v>-5.8622259999999998E-6</v>
      </c>
      <c r="I6015">
        <v>25.470400000000001</v>
      </c>
      <c r="J6015">
        <v>-415.85809999999998</v>
      </c>
      <c r="K6015">
        <v>1.122123</v>
      </c>
      <c r="L6015">
        <v>35.638120000000001</v>
      </c>
      <c r="M6015">
        <v>0.54269339999999999</v>
      </c>
      <c r="N6015">
        <v>0</v>
      </c>
      <c r="O6015">
        <v>-0.83979340000000002</v>
      </c>
      <c r="P6015">
        <v>0.74946990000000002</v>
      </c>
      <c r="Q6015">
        <v>0.14545369999999999</v>
      </c>
      <c r="R6015">
        <v>-0.6458623</v>
      </c>
      <c r="S6015">
        <v>2.4060670000000002</v>
      </c>
      <c r="T6015">
        <v>-0.20396249999999999</v>
      </c>
      <c r="U6015">
        <v>-1.9016109999999999</v>
      </c>
      <c r="V6015">
        <v>-0.28341729999999998</v>
      </c>
      <c r="W6015">
        <v>0.15175640000000001</v>
      </c>
      <c r="X6015">
        <v>0.94691320000000001</v>
      </c>
      <c r="Y6015">
        <v>-0.32065179999999999</v>
      </c>
      <c r="Z6015">
        <v>6.1693480000000002E-2</v>
      </c>
      <c r="AA6015">
        <v>0.94518590000000002</v>
      </c>
      <c r="AB6015">
        <v>35</v>
      </c>
      <c r="AC6015">
        <v>13.0381999999999</v>
      </c>
      <c r="AD6015">
        <v>-1.1221288622259999</v>
      </c>
      <c r="AE6015">
        <v>-10.167719999999999</v>
      </c>
      <c r="AF6015">
        <v>-5.4071616465303398</v>
      </c>
      <c r="AG6015">
        <v>-1.1221288622259999</v>
      </c>
      <c r="AH6015">
        <v>15.544733474161401</v>
      </c>
      <c r="AI6015">
        <v>93.900393303585105</v>
      </c>
      <c r="AJ6015">
        <v>109.17998730237299</v>
      </c>
      <c r="AK6015">
        <v>16.496524150191899</v>
      </c>
      <c r="AL6015">
        <v>81.271273662440294</v>
      </c>
      <c r="AM6015">
        <v>106.66278484662899</v>
      </c>
      <c r="AN6015">
        <v>0.99999998960724401</v>
      </c>
    </row>
    <row r="6016" spans="1:40" x14ac:dyDescent="0.25">
      <c r="A6016" t="str">
        <f>"20190312172236116"</f>
        <v>20190312172236116</v>
      </c>
      <c r="B6016" t="str">
        <f>"1552382556106777"</f>
        <v>1552382556106777</v>
      </c>
      <c r="C6016" t="s">
        <v>40</v>
      </c>
      <c r="D6016">
        <v>3.3038240000000001</v>
      </c>
      <c r="E6016">
        <v>0.47767660000000001</v>
      </c>
      <c r="F6016" t="s">
        <v>64</v>
      </c>
      <c r="G6016">
        <v>-402.56139999999999</v>
      </c>
      <c r="H6016" s="1">
        <v>-5.9415300000000002E-6</v>
      </c>
      <c r="I6016">
        <v>25.406089999999999</v>
      </c>
      <c r="J6016">
        <v>-415.74360000000001</v>
      </c>
      <c r="K6016">
        <v>1.1222080000000001</v>
      </c>
      <c r="L6016">
        <v>35.471800000000002</v>
      </c>
      <c r="M6016">
        <v>0.54908199999999996</v>
      </c>
      <c r="N6016">
        <v>0</v>
      </c>
      <c r="O6016">
        <v>-0.83562999999999898</v>
      </c>
      <c r="P6016">
        <v>0.754853</v>
      </c>
      <c r="Q6016">
        <v>0.14580270000000001</v>
      </c>
      <c r="R6016">
        <v>-0.63948329999999998</v>
      </c>
      <c r="S6016">
        <v>2.4307560000000001</v>
      </c>
      <c r="T6016">
        <v>-0.20513580000000001</v>
      </c>
      <c r="U6016">
        <v>-1.870514</v>
      </c>
      <c r="V6016">
        <v>-0.2842153</v>
      </c>
      <c r="W6016">
        <v>0.15203729999999999</v>
      </c>
      <c r="X6016">
        <v>0.9466289</v>
      </c>
      <c r="Y6016">
        <v>-0.32564389999999999</v>
      </c>
      <c r="Z6016">
        <v>6.1932510000000003E-2</v>
      </c>
      <c r="AA6016">
        <v>0.94346200000000002</v>
      </c>
      <c r="AB6016">
        <v>35</v>
      </c>
      <c r="AC6016">
        <v>13.1822</v>
      </c>
      <c r="AD6016">
        <v>-1.1222139415299901</v>
      </c>
      <c r="AE6016">
        <v>-10.065709999999999</v>
      </c>
      <c r="AF6016">
        <v>-5.4641618345225096</v>
      </c>
      <c r="AG6016">
        <v>-1.1222139415299901</v>
      </c>
      <c r="AH6016">
        <v>15.579804654024199</v>
      </c>
      <c r="AI6016">
        <v>93.888462701479398</v>
      </c>
      <c r="AJ6016">
        <v>109.32683067406499</v>
      </c>
      <c r="AK6016">
        <v>16.548315374743499</v>
      </c>
      <c r="AL6016">
        <v>81.254990210269796</v>
      </c>
      <c r="AM6016">
        <v>106.711827841147</v>
      </c>
      <c r="AN6016">
        <v>0.99999997583029399</v>
      </c>
    </row>
    <row r="6017" spans="1:40" x14ac:dyDescent="0.25">
      <c r="A6017" t="str">
        <f>"20190312172236127"</f>
        <v>20190312172236127</v>
      </c>
      <c r="B6017" t="str">
        <f>"1552382556116537"</f>
        <v>1552382556116537</v>
      </c>
      <c r="C6017" t="s">
        <v>40</v>
      </c>
      <c r="D6017">
        <v>3.2476980000000002</v>
      </c>
      <c r="E6017">
        <v>0.4779912</v>
      </c>
      <c r="F6017" t="s">
        <v>64</v>
      </c>
      <c r="G6017">
        <v>-402.39769999999999</v>
      </c>
      <c r="H6017" s="1">
        <v>-5.9913349999999996E-6</v>
      </c>
      <c r="I6017">
        <v>25.361519999999999</v>
      </c>
      <c r="J6017">
        <v>-415.64920000000001</v>
      </c>
      <c r="K6017">
        <v>1.1222799999999999</v>
      </c>
      <c r="L6017">
        <v>35.337069999999997</v>
      </c>
      <c r="M6017">
        <v>0.55430380000000001</v>
      </c>
      <c r="N6017">
        <v>0</v>
      </c>
      <c r="O6017">
        <v>-0.83217509999999995</v>
      </c>
      <c r="P6017">
        <v>0.75935759999999997</v>
      </c>
      <c r="Q6017">
        <v>0.14595999999999901</v>
      </c>
      <c r="R6017">
        <v>-0.63409150000000003</v>
      </c>
      <c r="S6017">
        <v>2.4448850000000002</v>
      </c>
      <c r="T6017">
        <v>-0.20558270000000001</v>
      </c>
      <c r="U6017">
        <v>-1.852142</v>
      </c>
      <c r="V6017">
        <v>-0.28503640000000002</v>
      </c>
      <c r="W6017">
        <v>0.1521344</v>
      </c>
      <c r="X6017">
        <v>0.94636640000000005</v>
      </c>
      <c r="Y6017">
        <v>-0.32685039999999999</v>
      </c>
      <c r="Z6017">
        <v>6.1917499999999903E-2</v>
      </c>
      <c r="AA6017">
        <v>0.94304560000000004</v>
      </c>
      <c r="AB6017">
        <v>35</v>
      </c>
      <c r="AC6017">
        <v>13.2515</v>
      </c>
      <c r="AD6017">
        <v>-1.1222859913349901</v>
      </c>
      <c r="AE6017">
        <v>-9.9755500000000001</v>
      </c>
      <c r="AF6017">
        <v>-5.47366117188822</v>
      </c>
      <c r="AG6017">
        <v>-1.1222859913349901</v>
      </c>
      <c r="AH6017">
        <v>15.5772598943609</v>
      </c>
      <c r="AI6017">
        <v>93.888536561389699</v>
      </c>
      <c r="AJ6017">
        <v>109.360859868323</v>
      </c>
      <c r="AK6017">
        <v>16.549063970129801</v>
      </c>
      <c r="AL6017">
        <v>81.249361470973696</v>
      </c>
      <c r="AM6017">
        <v>106.761792875014</v>
      </c>
      <c r="AN6017">
        <v>0.99999999401863904</v>
      </c>
    </row>
    <row r="6018" spans="1:40" x14ac:dyDescent="0.25">
      <c r="A6018" t="str">
        <f>"20190312172236138"</f>
        <v>20190312172236138</v>
      </c>
      <c r="B6018" t="str">
        <f>"1552382556126299"</f>
        <v>1552382556126299</v>
      </c>
      <c r="C6018" t="s">
        <v>40</v>
      </c>
      <c r="D6018">
        <v>3.372967</v>
      </c>
      <c r="E6018">
        <v>0.47778579999999998</v>
      </c>
      <c r="F6018" t="s">
        <v>64</v>
      </c>
      <c r="G6018">
        <v>-402.2921</v>
      </c>
      <c r="H6018" s="1">
        <v>-6.0254650000000003E-6</v>
      </c>
      <c r="I6018">
        <v>25.350909999999999</v>
      </c>
      <c r="J6018">
        <v>-415.54840000000002</v>
      </c>
      <c r="K6018">
        <v>1.1223540000000001</v>
      </c>
      <c r="L6018">
        <v>35.194369999999999</v>
      </c>
      <c r="M6018">
        <v>0.55985209999999996</v>
      </c>
      <c r="N6018">
        <v>0</v>
      </c>
      <c r="O6018">
        <v>-0.82845210000000002</v>
      </c>
      <c r="P6018">
        <v>0.7642255</v>
      </c>
      <c r="Q6018">
        <v>0.1462504</v>
      </c>
      <c r="R6018">
        <v>-0.62814809999999999</v>
      </c>
      <c r="S6018">
        <v>2.456696</v>
      </c>
      <c r="T6018">
        <v>-0.20641609999999999</v>
      </c>
      <c r="U6018">
        <v>-1.8367</v>
      </c>
      <c r="V6018">
        <v>-0.286087799999999</v>
      </c>
      <c r="W6018">
        <v>0.15235499999999999</v>
      </c>
      <c r="X6018">
        <v>0.94601360000000001</v>
      </c>
      <c r="Y6018">
        <v>-0.3265054</v>
      </c>
      <c r="Z6018">
        <v>6.1970530000000003E-2</v>
      </c>
      <c r="AA6018">
        <v>0.94316169999999999</v>
      </c>
      <c r="AB6018">
        <v>35</v>
      </c>
      <c r="AC6018">
        <v>13.2563</v>
      </c>
      <c r="AD6018">
        <v>-1.1223600254649999</v>
      </c>
      <c r="AE6018">
        <v>-9.8434600000000003</v>
      </c>
      <c r="AF6018">
        <v>-5.44679698599949</v>
      </c>
      <c r="AG6018">
        <v>-1.1223600254649999</v>
      </c>
      <c r="AH6018">
        <v>15.5065653117664</v>
      </c>
      <c r="AI6018">
        <v>93.906625447633701</v>
      </c>
      <c r="AJ6018">
        <v>109.354206374474</v>
      </c>
      <c r="AK6018">
        <v>16.473641285445499</v>
      </c>
      <c r="AL6018">
        <v>81.236573026385798</v>
      </c>
      <c r="AM6018">
        <v>106.82605392498</v>
      </c>
      <c r="AN6018">
        <v>1.0000000033593901</v>
      </c>
    </row>
    <row r="6019" spans="1:40" x14ac:dyDescent="0.25">
      <c r="A6019" t="str">
        <f>"20190312172236150"</f>
        <v>20190312172236150</v>
      </c>
      <c r="B6019" t="str">
        <f>"1552382556146794"</f>
        <v>1552382556146794</v>
      </c>
      <c r="C6019" t="s">
        <v>40</v>
      </c>
      <c r="D6019">
        <v>3.1679550000000001</v>
      </c>
      <c r="E6019">
        <v>0.44828509999999999</v>
      </c>
      <c r="F6019" t="s">
        <v>64</v>
      </c>
      <c r="G6019">
        <v>-402.0736</v>
      </c>
      <c r="H6019" s="1">
        <v>-6.092197E-6</v>
      </c>
      <c r="I6019">
        <v>25.29374</v>
      </c>
      <c r="J6019">
        <v>-415.4434</v>
      </c>
      <c r="K6019">
        <v>1.1224289999999999</v>
      </c>
      <c r="L6019">
        <v>35.049010000000003</v>
      </c>
      <c r="M6019">
        <v>0.56558249999999999</v>
      </c>
      <c r="N6019">
        <v>0</v>
      </c>
      <c r="O6019">
        <v>-0.82455040000000002</v>
      </c>
      <c r="P6019">
        <v>0.76908920000000003</v>
      </c>
      <c r="Q6019">
        <v>0.14681930000000001</v>
      </c>
      <c r="R6019">
        <v>-0.62204969999999904</v>
      </c>
      <c r="S6019">
        <v>2.4720149999999999</v>
      </c>
      <c r="T6019">
        <v>-0.205902</v>
      </c>
      <c r="U6019">
        <v>-1.8163149999999999</v>
      </c>
      <c r="V6019">
        <v>-0.28701110000000002</v>
      </c>
      <c r="W6019">
        <v>0.15285679999999999</v>
      </c>
      <c r="X6019">
        <v>0.94565290000000002</v>
      </c>
      <c r="Y6019">
        <v>-0.3278085</v>
      </c>
      <c r="Z6019">
        <v>6.1643789999999997E-2</v>
      </c>
      <c r="AA6019">
        <v>0.94273099999999999</v>
      </c>
      <c r="AB6019">
        <v>35</v>
      </c>
      <c r="AC6019">
        <v>13.3697999999999</v>
      </c>
      <c r="AD6019">
        <v>-1.1224350921969899</v>
      </c>
      <c r="AE6019">
        <v>-9.7552699999999906</v>
      </c>
      <c r="AF6019">
        <v>-5.4820913053566001</v>
      </c>
      <c r="AG6019">
        <v>-1.1224350921969899</v>
      </c>
      <c r="AH6019">
        <v>15.5357998368775</v>
      </c>
      <c r="AI6019">
        <v>93.897595794404793</v>
      </c>
      <c r="AJ6019">
        <v>109.436321838659</v>
      </c>
      <c r="AK6019">
        <v>16.512851425116899</v>
      </c>
      <c r="AL6019">
        <v>81.207481137772902</v>
      </c>
      <c r="AM6019">
        <v>106.883345892778</v>
      </c>
      <c r="AN6019">
        <v>0.99999999005393003</v>
      </c>
    </row>
    <row r="6020" spans="1:40" x14ac:dyDescent="0.25">
      <c r="A6020" t="str">
        <f>"20190312172236162"</f>
        <v>20190312172236162</v>
      </c>
      <c r="B6020" t="str">
        <f>"1552382556156553"</f>
        <v>1552382556156553</v>
      </c>
      <c r="C6020" t="s">
        <v>40</v>
      </c>
      <c r="D6020">
        <v>3.186696</v>
      </c>
      <c r="E6020">
        <v>0.44576739999999998</v>
      </c>
      <c r="F6020" t="s">
        <v>42</v>
      </c>
      <c r="G6020">
        <v>-396.42250000000001</v>
      </c>
      <c r="H6020" s="1">
        <v>-2.6813929999999999E-6</v>
      </c>
      <c r="I6020">
        <v>23.411470000000001</v>
      </c>
      <c r="J6020">
        <v>-415.33550000000002</v>
      </c>
      <c r="K6020">
        <v>1.1225069999999999</v>
      </c>
      <c r="L6020">
        <v>34.900700000000001</v>
      </c>
      <c r="M6020">
        <v>0.5714378</v>
      </c>
      <c r="N6020">
        <v>0</v>
      </c>
      <c r="O6020">
        <v>-0.82050290000000003</v>
      </c>
      <c r="P6020">
        <v>0.77408109999999997</v>
      </c>
      <c r="Q6020">
        <v>0.1474616</v>
      </c>
      <c r="R6020">
        <v>-0.61567320000000003</v>
      </c>
      <c r="S6020">
        <v>2.6292420000000001</v>
      </c>
      <c r="T6020">
        <v>-0.15515229999999999</v>
      </c>
      <c r="U6020">
        <v>-1.608643</v>
      </c>
      <c r="V6020">
        <v>-0.288043099999999</v>
      </c>
      <c r="W6020">
        <v>0.15342649999999999</v>
      </c>
      <c r="X6020">
        <v>0.94524680000000005</v>
      </c>
      <c r="Y6020">
        <v>-0.40058650000000001</v>
      </c>
      <c r="Z6020">
        <v>4.7274299999999998E-2</v>
      </c>
      <c r="AA6020">
        <v>0.91503860000000004</v>
      </c>
      <c r="AB6020">
        <v>35</v>
      </c>
      <c r="AC6020">
        <v>18.913</v>
      </c>
      <c r="AD6020">
        <v>-1.122509681393</v>
      </c>
      <c r="AE6020">
        <v>-11.489229999999999</v>
      </c>
      <c r="AF6020">
        <v>-8.9308584827637603</v>
      </c>
      <c r="AG6020">
        <v>-1.122509681393</v>
      </c>
      <c r="AH6020">
        <v>20.184979039637501</v>
      </c>
      <c r="AI6020">
        <v>92.911306627591102</v>
      </c>
      <c r="AJ6020">
        <v>113.867028760171</v>
      </c>
      <c r="AK6020">
        <v>22.1009873094977</v>
      </c>
      <c r="AL6020">
        <v>81.174450333060093</v>
      </c>
      <c r="AM6020">
        <v>106.947443002713</v>
      </c>
      <c r="AN6020">
        <v>1.0000000156350399</v>
      </c>
    </row>
    <row r="6021" spans="1:40" x14ac:dyDescent="0.25">
      <c r="A6021" t="str">
        <f>"20190312172236174"</f>
        <v>20190312172236174</v>
      </c>
      <c r="B6021" t="str">
        <f>"1552382556166313"</f>
        <v>1552382556166313</v>
      </c>
      <c r="C6021" t="s">
        <v>40</v>
      </c>
      <c r="D6021">
        <v>3.2002259999999998</v>
      </c>
      <c r="E6021">
        <v>0.444936</v>
      </c>
      <c r="F6021" t="s">
        <v>41</v>
      </c>
      <c r="G6021">
        <v>-414.38490000000002</v>
      </c>
      <c r="H6021">
        <v>1.069051</v>
      </c>
      <c r="I6021">
        <v>34.337959999999903</v>
      </c>
      <c r="J6021">
        <v>-415.21499999999997</v>
      </c>
      <c r="K6021">
        <v>1.122592</v>
      </c>
      <c r="L6021">
        <v>34.738590000000002</v>
      </c>
      <c r="M6021">
        <v>0.57792600000000005</v>
      </c>
      <c r="N6021">
        <v>0</v>
      </c>
      <c r="O6021">
        <v>-0.81594560000000005</v>
      </c>
      <c r="P6021">
        <v>0.77976919999999905</v>
      </c>
      <c r="Q6021">
        <v>0.1476933</v>
      </c>
      <c r="R6021">
        <v>-0.60839690000000002</v>
      </c>
      <c r="S6021">
        <v>2.6543580000000002</v>
      </c>
      <c r="T6021">
        <v>-0.14925469999999999</v>
      </c>
      <c r="U6021">
        <v>-1.5711980000000001</v>
      </c>
      <c r="V6021">
        <v>-0.28940589999999999</v>
      </c>
      <c r="W6021">
        <v>0.15357209999999999</v>
      </c>
      <c r="X6021">
        <v>0.94480679999999995</v>
      </c>
      <c r="Y6021">
        <v>-0.40676489999999998</v>
      </c>
      <c r="Z6021">
        <v>4.5392189999999999E-2</v>
      </c>
      <c r="AA6021">
        <v>0.9124044</v>
      </c>
      <c r="AB6021">
        <v>35</v>
      </c>
      <c r="AC6021">
        <v>0.83009999999995898</v>
      </c>
      <c r="AD6021">
        <v>-5.3540999999999998E-2</v>
      </c>
      <c r="AE6021">
        <v>-0.40063000000000598</v>
      </c>
      <c r="AF6021">
        <v>-0.44433490101371498</v>
      </c>
      <c r="AG6021">
        <v>-5.3540999999999998E-2</v>
      </c>
      <c r="AH6021">
        <v>0.80401026939809495</v>
      </c>
      <c r="AI6021">
        <v>93.3356564395541</v>
      </c>
      <c r="AJ6021">
        <v>118.92715932659701</v>
      </c>
      <c r="AK6021">
        <v>0.92018077367301399</v>
      </c>
      <c r="AL6021">
        <v>81.166008117729902</v>
      </c>
      <c r="AM6021">
        <v>107.03046829178101</v>
      </c>
      <c r="AN6021">
        <v>1.00000002708972</v>
      </c>
    </row>
    <row r="6022" spans="1:40" x14ac:dyDescent="0.25">
      <c r="A6022" t="str">
        <f>"20190312172236185"</f>
        <v>20190312172236185</v>
      </c>
      <c r="B6022" t="str">
        <f>"1552382556176073"</f>
        <v>1552382556176073</v>
      </c>
      <c r="C6022" t="s">
        <v>40</v>
      </c>
      <c r="D6022">
        <v>3.1931020000000001</v>
      </c>
      <c r="E6022">
        <v>0.44403009999999898</v>
      </c>
      <c r="F6022" t="s">
        <v>42</v>
      </c>
      <c r="G6022">
        <v>-396.76580000000001</v>
      </c>
      <c r="H6022" s="1">
        <v>-2.7025049999999999E-6</v>
      </c>
      <c r="I6022">
        <v>24.100860000000001</v>
      </c>
      <c r="J6022">
        <v>-415.11579999999998</v>
      </c>
      <c r="K6022">
        <v>1.1226590000000001</v>
      </c>
      <c r="L6022">
        <v>34.606990000000003</v>
      </c>
      <c r="M6022">
        <v>0.58322390000000002</v>
      </c>
      <c r="N6022">
        <v>0</v>
      </c>
      <c r="O6022">
        <v>-0.81216690000000002</v>
      </c>
      <c r="P6022">
        <v>0.78449639999999998</v>
      </c>
      <c r="Q6022">
        <v>0.14776900000000001</v>
      </c>
      <c r="R6022">
        <v>-0.60227050000000004</v>
      </c>
      <c r="S6022">
        <v>2.6747740000000002</v>
      </c>
      <c r="T6022">
        <v>-0.16275490000000001</v>
      </c>
      <c r="U6022">
        <v>-1.5422670000000001</v>
      </c>
      <c r="V6022">
        <v>-0.29067599999999999</v>
      </c>
      <c r="W6022">
        <v>0.1535726</v>
      </c>
      <c r="X6022">
        <v>0.9444167</v>
      </c>
      <c r="Y6022">
        <v>-0.41104940000000001</v>
      </c>
      <c r="Z6022">
        <v>4.9377270000000001E-2</v>
      </c>
      <c r="AA6022">
        <v>0.9102749</v>
      </c>
      <c r="AB6022">
        <v>35</v>
      </c>
      <c r="AC6022">
        <v>18.349999999999898</v>
      </c>
      <c r="AD6022">
        <v>-1.1226617025049901</v>
      </c>
      <c r="AE6022">
        <v>-10.506130000000001</v>
      </c>
      <c r="AF6022">
        <v>-8.7521947493364092</v>
      </c>
      <c r="AG6022">
        <v>-1.1226617025049901</v>
      </c>
      <c r="AH6022">
        <v>19.183071573485499</v>
      </c>
      <c r="AI6022">
        <v>93.047763366646393</v>
      </c>
      <c r="AJ6022">
        <v>114.52464101787599</v>
      </c>
      <c r="AK6022">
        <v>21.1151963576485</v>
      </c>
      <c r="AL6022">
        <v>81.165978812060004</v>
      </c>
      <c r="AM6022">
        <v>107.10750868996099</v>
      </c>
      <c r="AN6022">
        <v>0.99999999184282495</v>
      </c>
    </row>
    <row r="6023" spans="1:40" x14ac:dyDescent="0.25">
      <c r="A6023" t="str">
        <f>"20190312172236196"</f>
        <v>20190312172236196</v>
      </c>
      <c r="B6023" t="str">
        <f>"1552382556186809"</f>
        <v>1552382556186809</v>
      </c>
      <c r="C6023" t="s">
        <v>40</v>
      </c>
      <c r="D6023">
        <v>3.1775950000000002</v>
      </c>
      <c r="E6023">
        <v>0.44368360000000001</v>
      </c>
      <c r="F6023" t="s">
        <v>41</v>
      </c>
      <c r="G6023">
        <v>-414.20339999999999</v>
      </c>
      <c r="H6023">
        <v>1.065075</v>
      </c>
      <c r="I6023">
        <v>34.092859999999902</v>
      </c>
      <c r="J6023">
        <v>-415.01069999999999</v>
      </c>
      <c r="K6023">
        <v>1.122725</v>
      </c>
      <c r="L6023">
        <v>34.469329999999999</v>
      </c>
      <c r="M6023">
        <v>0.58879389999999998</v>
      </c>
      <c r="N6023">
        <v>0</v>
      </c>
      <c r="O6023">
        <v>-0.80813749999999995</v>
      </c>
      <c r="P6023">
        <v>0.78930140000000004</v>
      </c>
      <c r="Q6023">
        <v>0.1479067</v>
      </c>
      <c r="R6023">
        <v>-0.5959255</v>
      </c>
      <c r="S6023">
        <v>2.6920169999999999</v>
      </c>
      <c r="T6023">
        <v>-0.16985329999999901</v>
      </c>
      <c r="U6023">
        <v>-1.5162659999999999</v>
      </c>
      <c r="V6023">
        <v>-0.29181030000000002</v>
      </c>
      <c r="W6023">
        <v>0.15363859999999999</v>
      </c>
      <c r="X6023">
        <v>0.94405609999999995</v>
      </c>
      <c r="Y6023">
        <v>-0.41384670000000001</v>
      </c>
      <c r="Z6023">
        <v>5.1387889999999999E-2</v>
      </c>
      <c r="AA6023">
        <v>0.90889509999999996</v>
      </c>
      <c r="AB6023">
        <v>35</v>
      </c>
      <c r="AC6023">
        <v>0.80729999999999702</v>
      </c>
      <c r="AD6023">
        <v>-5.7649999999999903E-2</v>
      </c>
      <c r="AE6023">
        <v>-0.37647000000000402</v>
      </c>
      <c r="AF6023">
        <v>-0.42899997674496598</v>
      </c>
      <c r="AG6023">
        <v>-5.7649999999999903E-2</v>
      </c>
      <c r="AH6023">
        <v>0.77641255582553703</v>
      </c>
      <c r="AI6023">
        <v>93.718463961768705</v>
      </c>
      <c r="AJ6023">
        <v>118.92246174270601</v>
      </c>
      <c r="AK6023">
        <v>0.88892123351325303</v>
      </c>
      <c r="AL6023">
        <v>81.162151903928006</v>
      </c>
      <c r="AM6023">
        <v>107.176520853277</v>
      </c>
      <c r="AN6023">
        <v>0.99999999527162897</v>
      </c>
    </row>
    <row r="6024" spans="1:40" x14ac:dyDescent="0.25">
      <c r="A6024" t="str">
        <f>"20190312172236207"</f>
        <v>20190312172236207</v>
      </c>
      <c r="B6024" t="str">
        <f>"1552382556196571"</f>
        <v>1552382556196571</v>
      </c>
      <c r="C6024" t="s">
        <v>40</v>
      </c>
      <c r="D6024">
        <v>3.1578200000000001</v>
      </c>
      <c r="E6024">
        <v>0.44351449999999998</v>
      </c>
      <c r="F6024" t="s">
        <v>42</v>
      </c>
      <c r="G6024">
        <v>-397.46359999999999</v>
      </c>
      <c r="H6024" s="1">
        <v>-2.556999E-6</v>
      </c>
      <c r="I6024">
        <v>24.793659999999999</v>
      </c>
      <c r="J6024">
        <v>-414.9076</v>
      </c>
      <c r="K6024">
        <v>1.122789</v>
      </c>
      <c r="L6024">
        <v>34.336640000000003</v>
      </c>
      <c r="M6024">
        <v>0.59421709999999905</v>
      </c>
      <c r="N6024">
        <v>0</v>
      </c>
      <c r="O6024">
        <v>-0.80415800000000004</v>
      </c>
      <c r="P6024">
        <v>0.79394359999999997</v>
      </c>
      <c r="Q6024">
        <v>0.14809129999999901</v>
      </c>
      <c r="R6024">
        <v>-0.58967979999999998</v>
      </c>
      <c r="S6024">
        <v>2.706512</v>
      </c>
      <c r="T6024">
        <v>-0.1731722</v>
      </c>
      <c r="U6024">
        <v>-1.4924010000000001</v>
      </c>
      <c r="V6024">
        <v>-0.29291319999999998</v>
      </c>
      <c r="W6024">
        <v>0.1537531</v>
      </c>
      <c r="X6024">
        <v>0.94369579999999997</v>
      </c>
      <c r="Y6024">
        <v>-0.41587960000000002</v>
      </c>
      <c r="Z6024">
        <v>5.2254340000000003E-2</v>
      </c>
      <c r="AA6024">
        <v>0.90791719999999998</v>
      </c>
      <c r="AB6024">
        <v>35</v>
      </c>
      <c r="AC6024">
        <v>17.443999999999999</v>
      </c>
      <c r="AD6024">
        <v>-1.1227915569989999</v>
      </c>
      <c r="AE6024">
        <v>-9.54298</v>
      </c>
      <c r="AF6024">
        <v>-8.33155014433998</v>
      </c>
      <c r="AG6024">
        <v>-1.1227915569989999</v>
      </c>
      <c r="AH6024">
        <v>17.984369935556199</v>
      </c>
      <c r="AI6024">
        <v>93.242225531509604</v>
      </c>
      <c r="AJ6024">
        <v>114.85669353226599</v>
      </c>
      <c r="AK6024">
        <v>19.852278223595899</v>
      </c>
      <c r="AL6024">
        <v>81.155512342809899</v>
      </c>
      <c r="AM6024">
        <v>107.24379030928399</v>
      </c>
      <c r="AN6024">
        <v>0.99999996071574404</v>
      </c>
    </row>
    <row r="6025" spans="1:40" x14ac:dyDescent="0.25">
      <c r="A6025" t="str">
        <f>"20190312172236219"</f>
        <v>20190312172236219</v>
      </c>
      <c r="B6025" t="str">
        <f>"1552382556206329"</f>
        <v>1552382556206329</v>
      </c>
      <c r="C6025" t="s">
        <v>40</v>
      </c>
      <c r="D6025">
        <v>3.1771980000000002</v>
      </c>
      <c r="E6025">
        <v>0.4428974</v>
      </c>
      <c r="F6025" t="s">
        <v>41</v>
      </c>
      <c r="G6025">
        <v>-414.0127</v>
      </c>
      <c r="H6025">
        <v>1.065652</v>
      </c>
      <c r="I6025">
        <v>33.85286</v>
      </c>
      <c r="J6025">
        <v>-414.80020000000002</v>
      </c>
      <c r="K6025">
        <v>1.122857</v>
      </c>
      <c r="L6025">
        <v>34.19952</v>
      </c>
      <c r="M6025">
        <v>0.59982849999999999</v>
      </c>
      <c r="N6025">
        <v>0</v>
      </c>
      <c r="O6025">
        <v>-0.79998100000000005</v>
      </c>
      <c r="P6025">
        <v>0.79860220000000004</v>
      </c>
      <c r="Q6025">
        <v>0.1479367</v>
      </c>
      <c r="R6025">
        <v>-0.58339510000000006</v>
      </c>
      <c r="S6025">
        <v>2.7193299999999998</v>
      </c>
      <c r="T6025">
        <v>-0.1736065</v>
      </c>
      <c r="U6025">
        <v>-1.469849</v>
      </c>
      <c r="V6025">
        <v>-0.293805599999999</v>
      </c>
      <c r="W6025">
        <v>0.15353439999999999</v>
      </c>
      <c r="X6025">
        <v>0.94345400000000001</v>
      </c>
      <c r="Y6025">
        <v>-0.41713440000000002</v>
      </c>
      <c r="Z6025">
        <v>5.2236520000000002E-2</v>
      </c>
      <c r="AA6025">
        <v>0.90734239999999999</v>
      </c>
      <c r="AB6025">
        <v>35</v>
      </c>
      <c r="AC6025">
        <v>0.78750000000002196</v>
      </c>
      <c r="AD6025">
        <v>-5.7204999999999902E-2</v>
      </c>
      <c r="AE6025">
        <v>-0.34666000000000002</v>
      </c>
      <c r="AF6025">
        <v>-0.42024078331932502</v>
      </c>
      <c r="AG6025">
        <v>-5.7204999999999902E-2</v>
      </c>
      <c r="AH6025">
        <v>0.74647532142370898</v>
      </c>
      <c r="AI6025">
        <v>93.820456411107898</v>
      </c>
      <c r="AJ6025">
        <v>119.378064364031</v>
      </c>
      <c r="AK6025">
        <v>0.85854535901399498</v>
      </c>
      <c r="AL6025">
        <v>81.168193819711504</v>
      </c>
      <c r="AM6025">
        <v>107.297364956463</v>
      </c>
      <c r="AN6025">
        <v>0.99999999634535996</v>
      </c>
    </row>
    <row r="6026" spans="1:40" x14ac:dyDescent="0.25">
      <c r="A6026" t="str">
        <f>"20190312172236230"</f>
        <v>20190312172236230</v>
      </c>
      <c r="B6026" t="str">
        <f>"1552382556226826"</f>
        <v>1552382556226826</v>
      </c>
      <c r="C6026" t="s">
        <v>40</v>
      </c>
      <c r="D6026">
        <v>3.175027</v>
      </c>
      <c r="E6026">
        <v>0.4423726</v>
      </c>
      <c r="F6026" t="s">
        <v>42</v>
      </c>
      <c r="G6026">
        <v>-397.15559999999999</v>
      </c>
      <c r="H6026" s="1">
        <v>-2.72544E-6</v>
      </c>
      <c r="I6026">
        <v>24.879470000000001</v>
      </c>
      <c r="J6026">
        <v>-414.69439999999997</v>
      </c>
      <c r="K6026">
        <v>1.1229169999999999</v>
      </c>
      <c r="L6026">
        <v>34.067500000000003</v>
      </c>
      <c r="M6026">
        <v>0.60530930000000005</v>
      </c>
      <c r="N6026">
        <v>0</v>
      </c>
      <c r="O6026">
        <v>-0.79584160000000004</v>
      </c>
      <c r="P6026">
        <v>0.80329229999999996</v>
      </c>
      <c r="Q6026">
        <v>0.14771719999999999</v>
      </c>
      <c r="R6026">
        <v>-0.57697580000000004</v>
      </c>
      <c r="S6026">
        <v>2.7338260000000001</v>
      </c>
      <c r="T6026">
        <v>-0.17397360000000001</v>
      </c>
      <c r="U6026">
        <v>-1.4440309999999901</v>
      </c>
      <c r="V6026">
        <v>-0.2949389</v>
      </c>
      <c r="W6026">
        <v>0.1532451</v>
      </c>
      <c r="X6026">
        <v>0.94314739999999997</v>
      </c>
      <c r="Y6026">
        <v>-0.41957800000000001</v>
      </c>
      <c r="Z6026">
        <v>5.221932E-2</v>
      </c>
      <c r="AA6026">
        <v>0.90621600000000002</v>
      </c>
      <c r="AB6026">
        <v>35</v>
      </c>
      <c r="AC6026">
        <v>17.538799999999899</v>
      </c>
      <c r="AD6026">
        <v>-1.1229197254399901</v>
      </c>
      <c r="AE6026">
        <v>-9.1880299999999995</v>
      </c>
      <c r="AF6026">
        <v>-8.3705772993674206</v>
      </c>
      <c r="AG6026">
        <v>-1.1229197254399901</v>
      </c>
      <c r="AH6026">
        <v>17.873249687596999</v>
      </c>
      <c r="AI6026">
        <v>93.2564071523244</v>
      </c>
      <c r="AJ6026">
        <v>115.09509796360901</v>
      </c>
      <c r="AK6026">
        <v>19.768170563551301</v>
      </c>
      <c r="AL6026">
        <v>81.184968179827194</v>
      </c>
      <c r="AM6026">
        <v>107.365388291583</v>
      </c>
      <c r="AN6026">
        <v>1.00000001676698</v>
      </c>
    </row>
    <row r="6027" spans="1:40" x14ac:dyDescent="0.25">
      <c r="A6027" t="str">
        <f>"20190312172236242"</f>
        <v>20190312172236242</v>
      </c>
      <c r="B6027" t="str">
        <f>"1552382556236585"</f>
        <v>1552382556236585</v>
      </c>
      <c r="C6027" t="s">
        <v>40</v>
      </c>
      <c r="D6027">
        <v>3.083977</v>
      </c>
      <c r="E6027">
        <v>0.44236890000000001</v>
      </c>
      <c r="F6027" t="s">
        <v>41</v>
      </c>
      <c r="G6027">
        <v>-413.78870000000001</v>
      </c>
      <c r="H6027">
        <v>1.0649580000000001</v>
      </c>
      <c r="I6027">
        <v>33.600020000000001</v>
      </c>
      <c r="J6027">
        <v>-414.5761</v>
      </c>
      <c r="K6027">
        <v>1.122987</v>
      </c>
      <c r="L6027">
        <v>33.921140000000001</v>
      </c>
      <c r="M6027">
        <v>0.61138609999999904</v>
      </c>
      <c r="N6027">
        <v>0</v>
      </c>
      <c r="O6027">
        <v>-0.79118259999999996</v>
      </c>
      <c r="P6027">
        <v>0.80812910000000004</v>
      </c>
      <c r="Q6027">
        <v>0.14769879999999999</v>
      </c>
      <c r="R6027">
        <v>-0.57018669999999905</v>
      </c>
      <c r="S6027">
        <v>2.7481689999999999</v>
      </c>
      <c r="T6027">
        <v>-0.17586299999999999</v>
      </c>
      <c r="U6027">
        <v>-1.4183650000000001</v>
      </c>
      <c r="V6027">
        <v>-0.29569489999999998</v>
      </c>
      <c r="W6027">
        <v>0.15316550000000001</v>
      </c>
      <c r="X6027">
        <v>0.94292350000000003</v>
      </c>
      <c r="Y6027">
        <v>-0.42121439999999999</v>
      </c>
      <c r="Z6027">
        <v>5.2615429999999998E-2</v>
      </c>
      <c r="AA6027">
        <v>0.90543370000000001</v>
      </c>
      <c r="AB6027">
        <v>35</v>
      </c>
      <c r="AC6027">
        <v>0.78739999999999</v>
      </c>
      <c r="AD6027">
        <v>-5.8029000000000101E-2</v>
      </c>
      <c r="AE6027">
        <v>-0.32112000000000002</v>
      </c>
      <c r="AF6027">
        <v>-0.42472165242642201</v>
      </c>
      <c r="AG6027">
        <v>-5.8029000000000101E-2</v>
      </c>
      <c r="AH6027">
        <v>0.73214776860861697</v>
      </c>
      <c r="AI6027">
        <v>93.9219508499216</v>
      </c>
      <c r="AJ6027">
        <v>120.118180245882</v>
      </c>
      <c r="AK6027">
        <v>0.84840803977768098</v>
      </c>
      <c r="AL6027">
        <v>81.189582688315795</v>
      </c>
      <c r="AM6027">
        <v>107.411097821811</v>
      </c>
      <c r="AN6027">
        <v>0.99999993556425204</v>
      </c>
    </row>
    <row r="6028" spans="1:40" x14ac:dyDescent="0.25">
      <c r="A6028" t="str">
        <f>"20190312172236254"</f>
        <v>20190312172236254</v>
      </c>
      <c r="B6028" t="str">
        <f>"1552382556246345"</f>
        <v>1552382556246345</v>
      </c>
      <c r="C6028" t="s">
        <v>40</v>
      </c>
      <c r="D6028">
        <v>3.1778149999999998</v>
      </c>
      <c r="E6028">
        <v>0.44247639999999999</v>
      </c>
      <c r="F6028" t="s">
        <v>41</v>
      </c>
      <c r="G6028">
        <v>-413.59699999999998</v>
      </c>
      <c r="H6028">
        <v>1.06109599999999</v>
      </c>
      <c r="I6028">
        <v>33.426459999999999</v>
      </c>
      <c r="J6028">
        <v>-414.45589999999999</v>
      </c>
      <c r="K6028">
        <v>1.123057</v>
      </c>
      <c r="L6028">
        <v>33.775449999999999</v>
      </c>
      <c r="M6028">
        <v>0.61750479999999996</v>
      </c>
      <c r="N6028">
        <v>0</v>
      </c>
      <c r="O6028">
        <v>-0.78641569999999905</v>
      </c>
      <c r="P6028">
        <v>0.81305119999999997</v>
      </c>
      <c r="Q6028">
        <v>0.14787320000000001</v>
      </c>
      <c r="R6028">
        <v>-0.56309969999999998</v>
      </c>
      <c r="S6028">
        <v>2.7601619999999998</v>
      </c>
      <c r="T6028">
        <v>-0.17447779999999999</v>
      </c>
      <c r="U6028">
        <v>-1.3945920000000001</v>
      </c>
      <c r="V6028">
        <v>-0.29663400000000001</v>
      </c>
      <c r="W6028">
        <v>0.1532724</v>
      </c>
      <c r="X6028">
        <v>0.94261119999999998</v>
      </c>
      <c r="Y6028">
        <v>-0.42200579999999999</v>
      </c>
      <c r="Z6028">
        <v>5.2028020000000001E-2</v>
      </c>
      <c r="AA6028">
        <v>0.90509899999999999</v>
      </c>
      <c r="AB6028">
        <v>35</v>
      </c>
      <c r="AC6028">
        <v>0.85890000000000499</v>
      </c>
      <c r="AD6028">
        <v>-6.1961000000000099E-2</v>
      </c>
      <c r="AE6028">
        <v>-0.34899000000000002</v>
      </c>
      <c r="AF6028">
        <v>-0.45795865129483998</v>
      </c>
      <c r="AG6028">
        <v>-6.1961000000000099E-2</v>
      </c>
      <c r="AH6028">
        <v>0.80134256942696702</v>
      </c>
      <c r="AI6028">
        <v>93.840623238038006</v>
      </c>
      <c r="AJ6028">
        <v>119.74750138511899</v>
      </c>
      <c r="AK6028">
        <v>0.92504875838660705</v>
      </c>
      <c r="AL6028">
        <v>81.183385302425904</v>
      </c>
      <c r="AM6028">
        <v>107.468471122531</v>
      </c>
      <c r="AN6028">
        <v>1.0000000164615901</v>
      </c>
    </row>
    <row r="6029" spans="1:40" x14ac:dyDescent="0.25">
      <c r="A6029" t="str">
        <f>"20190312172236271"</f>
        <v>20190312172236271</v>
      </c>
      <c r="B6029" t="str">
        <f>"1552382556266842"</f>
        <v>1552382556266842</v>
      </c>
      <c r="C6029" t="s">
        <v>40</v>
      </c>
      <c r="D6029">
        <v>3.1762619999999999</v>
      </c>
      <c r="E6029">
        <v>0.4427529</v>
      </c>
      <c r="F6029" t="s">
        <v>42</v>
      </c>
      <c r="G6029">
        <v>-396.44349999999997</v>
      </c>
      <c r="H6029" s="1">
        <v>-3.0590470000000001E-6</v>
      </c>
      <c r="I6029">
        <v>24.868200000000002</v>
      </c>
      <c r="J6029">
        <v>-414.29640000000001</v>
      </c>
      <c r="K6029">
        <v>1.1231519999999999</v>
      </c>
      <c r="L6029">
        <v>33.585479999999997</v>
      </c>
      <c r="M6029">
        <v>0.62553829999999999</v>
      </c>
      <c r="N6029">
        <v>0</v>
      </c>
      <c r="O6029">
        <v>-0.78004030000000002</v>
      </c>
      <c r="P6029">
        <v>0.81935539999999996</v>
      </c>
      <c r="Q6029">
        <v>0.14819749999999901</v>
      </c>
      <c r="R6029">
        <v>-0.55379999999999996</v>
      </c>
      <c r="S6029">
        <v>2.7719119999999999</v>
      </c>
      <c r="T6029">
        <v>-0.17282629999999999</v>
      </c>
      <c r="U6029">
        <v>-1.3707279999999999</v>
      </c>
      <c r="V6029">
        <v>-0.297707</v>
      </c>
      <c r="W6029">
        <v>0.15351509999999999</v>
      </c>
      <c r="X6029">
        <v>0.94223330000000005</v>
      </c>
      <c r="Y6029">
        <v>-0.42053220000000002</v>
      </c>
      <c r="Z6029">
        <v>5.1253390000000003E-2</v>
      </c>
      <c r="AA6029">
        <v>0.90582879999999999</v>
      </c>
      <c r="AB6029">
        <v>35</v>
      </c>
      <c r="AC6029">
        <v>17.852900000000002</v>
      </c>
      <c r="AD6029">
        <v>-1.1231550590469901</v>
      </c>
      <c r="AE6029">
        <v>-8.7172799999999899</v>
      </c>
      <c r="AF6029">
        <v>-8.4470057068413293</v>
      </c>
      <c r="AG6029">
        <v>-1.1231550590469901</v>
      </c>
      <c r="AH6029">
        <v>17.9124033107827</v>
      </c>
      <c r="AI6029">
        <v>93.245937929018694</v>
      </c>
      <c r="AJ6029">
        <v>115.24729918125</v>
      </c>
      <c r="AK6029">
        <v>19.836017117007501</v>
      </c>
      <c r="AL6029">
        <v>81.169312640165899</v>
      </c>
      <c r="AM6029">
        <v>107.53439525311801</v>
      </c>
      <c r="AN6029">
        <v>0.99999996770294897</v>
      </c>
    </row>
    <row r="6030" spans="1:40" x14ac:dyDescent="0.25">
      <c r="A6030" t="str">
        <f>"20190312172236284"</f>
        <v>20190312172236284</v>
      </c>
      <c r="B6030" t="str">
        <f>"1552382556276601"</f>
        <v>1552382556276601</v>
      </c>
      <c r="C6030" t="s">
        <v>40</v>
      </c>
      <c r="D6030">
        <v>3.1519089999999998</v>
      </c>
      <c r="E6030">
        <v>0.44298799999999999</v>
      </c>
      <c r="F6030" t="s">
        <v>41</v>
      </c>
      <c r="G6030">
        <v>-413.37889999999999</v>
      </c>
      <c r="H6030">
        <v>1.0666199999999999</v>
      </c>
      <c r="I6030">
        <v>33.14387</v>
      </c>
      <c r="J6030">
        <v>-414.16649999999998</v>
      </c>
      <c r="K6030">
        <v>1.123224</v>
      </c>
      <c r="L6030">
        <v>33.43329</v>
      </c>
      <c r="M6030">
        <v>0.63201130000000005</v>
      </c>
      <c r="N6030">
        <v>0</v>
      </c>
      <c r="O6030">
        <v>-0.77480439999999995</v>
      </c>
      <c r="P6030">
        <v>0.82413419999999904</v>
      </c>
      <c r="Q6030">
        <v>0.14838100000000001</v>
      </c>
      <c r="R6030">
        <v>-0.54661269999999995</v>
      </c>
      <c r="S6030">
        <v>2.7866209999999998</v>
      </c>
      <c r="T6030">
        <v>-0.17162239999999901</v>
      </c>
      <c r="U6030">
        <v>-1.3402099999999999</v>
      </c>
      <c r="V6030">
        <v>-0.29811130000000002</v>
      </c>
      <c r="W6030">
        <v>0.15365029999999999</v>
      </c>
      <c r="X6030">
        <v>0.94208340000000002</v>
      </c>
      <c r="Y6030">
        <v>-0.42292740000000001</v>
      </c>
      <c r="Z6030">
        <v>5.0737549999999999E-2</v>
      </c>
      <c r="AA6030">
        <v>0.90474200000000005</v>
      </c>
      <c r="AB6030">
        <v>35</v>
      </c>
      <c r="AC6030">
        <v>0.78759999999999697</v>
      </c>
      <c r="AD6030">
        <v>-5.66039999999998E-2</v>
      </c>
      <c r="AE6030">
        <v>-0.28941999999999901</v>
      </c>
      <c r="AF6030">
        <v>-0.42543448782467902</v>
      </c>
      <c r="AG6030">
        <v>-5.66039999999998E-2</v>
      </c>
      <c r="AH6030">
        <v>0.71883144372216301</v>
      </c>
      <c r="AI6030">
        <v>93.876750366395697</v>
      </c>
      <c r="AJ6030">
        <v>120.61881988762499</v>
      </c>
      <c r="AK6030">
        <v>0.83720795548676896</v>
      </c>
      <c r="AL6030">
        <v>81.161473059790595</v>
      </c>
      <c r="AM6030">
        <v>107.559367731902</v>
      </c>
      <c r="AN6030">
        <v>0.99999994721666796</v>
      </c>
    </row>
    <row r="6031" spans="1:40" x14ac:dyDescent="0.25">
      <c r="A6031" t="str">
        <f>"20190312172236297"</f>
        <v>20190312172236297</v>
      </c>
      <c r="B6031" t="str">
        <f>"1552382556286361"</f>
        <v>1552382556286361</v>
      </c>
      <c r="C6031" t="s">
        <v>40</v>
      </c>
      <c r="D6031">
        <v>3.1250399999999998</v>
      </c>
      <c r="E6031">
        <v>0.44305519999999998</v>
      </c>
      <c r="F6031" t="s">
        <v>41</v>
      </c>
      <c r="G6031">
        <v>-413.1968</v>
      </c>
      <c r="H6031">
        <v>1.0638190000000001</v>
      </c>
      <c r="I6031">
        <v>32.976649999999999</v>
      </c>
      <c r="J6031">
        <v>-414.02850000000001</v>
      </c>
      <c r="K6031">
        <v>1.1232899999999999</v>
      </c>
      <c r="L6031">
        <v>33.274479999999997</v>
      </c>
      <c r="M6031">
        <v>0.63881899999999903</v>
      </c>
      <c r="N6031">
        <v>0</v>
      </c>
      <c r="O6031">
        <v>-0.76920080000000002</v>
      </c>
      <c r="P6031">
        <v>0.82925519999999997</v>
      </c>
      <c r="Q6031">
        <v>0.1483111</v>
      </c>
      <c r="R6031">
        <v>-0.53883149999999902</v>
      </c>
      <c r="S6031">
        <v>2.7973629999999998</v>
      </c>
      <c r="T6031">
        <v>-0.171363299999999</v>
      </c>
      <c r="U6031">
        <v>-1.3172299999999999</v>
      </c>
      <c r="V6031">
        <v>-0.29870829999999998</v>
      </c>
      <c r="W6031">
        <v>0.15352449999999901</v>
      </c>
      <c r="X6031">
        <v>0.9419149</v>
      </c>
      <c r="Y6031">
        <v>-0.4223729</v>
      </c>
      <c r="Z6031">
        <v>5.0426390000000001E-2</v>
      </c>
      <c r="AA6031">
        <v>0.9050184</v>
      </c>
      <c r="AB6031">
        <v>35</v>
      </c>
      <c r="AC6031">
        <v>0.83170000000001199</v>
      </c>
      <c r="AD6031">
        <v>-5.9470999999999802E-2</v>
      </c>
      <c r="AE6031">
        <v>-0.29782999999999699</v>
      </c>
      <c r="AF6031">
        <v>-0.44751082085152499</v>
      </c>
      <c r="AG6031">
        <v>-5.9470999999999802E-2</v>
      </c>
      <c r="AH6031">
        <v>0.75705736937173396</v>
      </c>
      <c r="AI6031">
        <v>93.868695765081895</v>
      </c>
      <c r="AJ6031">
        <v>120.58813055447401</v>
      </c>
      <c r="AK6031">
        <v>0.88144120345049504</v>
      </c>
      <c r="AL6031">
        <v>81.168768328728405</v>
      </c>
      <c r="AM6031">
        <v>107.59531835385999</v>
      </c>
      <c r="AN6031">
        <v>1.0000000497155701</v>
      </c>
    </row>
    <row r="6032" spans="1:40" x14ac:dyDescent="0.25">
      <c r="A6032" t="str">
        <f>"20190312172236311"</f>
        <v>20190312172236311</v>
      </c>
      <c r="B6032" t="str">
        <f>"1552382556306857"</f>
        <v>1552382556306857</v>
      </c>
      <c r="C6032" t="s">
        <v>40</v>
      </c>
      <c r="D6032">
        <v>3.1731189999999998</v>
      </c>
      <c r="E6032">
        <v>0.44332549999999998</v>
      </c>
      <c r="F6032" t="s">
        <v>42</v>
      </c>
      <c r="G6032">
        <v>-395.69779999999997</v>
      </c>
      <c r="H6032" s="1">
        <v>-3.407001E-6</v>
      </c>
      <c r="I6032">
        <v>24.851089999999999</v>
      </c>
      <c r="J6032">
        <v>-413.89870000000002</v>
      </c>
      <c r="K6032">
        <v>1.123356</v>
      </c>
      <c r="L6032">
        <v>33.128390000000003</v>
      </c>
      <c r="M6032">
        <v>0.64514640000000001</v>
      </c>
      <c r="N6032">
        <v>0</v>
      </c>
      <c r="O6032">
        <v>-0.76390130000000001</v>
      </c>
      <c r="P6032">
        <v>0.83387639999999996</v>
      </c>
      <c r="Q6032">
        <v>0.1482241</v>
      </c>
      <c r="R6032">
        <v>-0.5316765</v>
      </c>
      <c r="S6032">
        <v>2.8096009999999998</v>
      </c>
      <c r="T6032">
        <v>-0.1721704</v>
      </c>
      <c r="U6032">
        <v>-1.291077</v>
      </c>
      <c r="V6032">
        <v>-0.29907339999999999</v>
      </c>
      <c r="W6032">
        <v>0.15339359999999999</v>
      </c>
      <c r="X6032">
        <v>0.94182030000000005</v>
      </c>
      <c r="Y6032">
        <v>-0.42333700000000002</v>
      </c>
      <c r="Z6032">
        <v>5.0465959999999997E-2</v>
      </c>
      <c r="AA6032">
        <v>0.90456559999999997</v>
      </c>
      <c r="AB6032">
        <v>35</v>
      </c>
      <c r="AC6032">
        <v>18.200900000000001</v>
      </c>
      <c r="AD6032">
        <v>-1.123359407001</v>
      </c>
      <c r="AE6032">
        <v>-8.2773000000000003</v>
      </c>
      <c r="AF6032">
        <v>-8.5377031798051899</v>
      </c>
      <c r="AG6032">
        <v>-1.123359407001</v>
      </c>
      <c r="AH6032">
        <v>18.010610975409499</v>
      </c>
      <c r="AI6032">
        <v>93.225795350223507</v>
      </c>
      <c r="AJ6032">
        <v>115.362701443238</v>
      </c>
      <c r="AK6032">
        <v>19.9633769601061</v>
      </c>
      <c r="AL6032">
        <v>81.176357684408799</v>
      </c>
      <c r="AM6032">
        <v>107.61715528434</v>
      </c>
      <c r="AN6032">
        <v>0.99999998630030495</v>
      </c>
    </row>
    <row r="6033" spans="1:40" x14ac:dyDescent="0.25">
      <c r="A6033" t="str">
        <f>"20190312172236326"</f>
        <v>20190312172236326</v>
      </c>
      <c r="B6033" t="str">
        <f>"1552382556316617"</f>
        <v>1552382556316617</v>
      </c>
      <c r="C6033" t="s">
        <v>40</v>
      </c>
      <c r="D6033">
        <v>3.1626029999999998</v>
      </c>
      <c r="E6033">
        <v>0.44351659999999998</v>
      </c>
      <c r="F6033" t="s">
        <v>41</v>
      </c>
      <c r="G6033">
        <v>-412.97300000000001</v>
      </c>
      <c r="H6033">
        <v>1.0648770000000001</v>
      </c>
      <c r="I6033">
        <v>32.71172</v>
      </c>
      <c r="J6033">
        <v>-413.74180000000001</v>
      </c>
      <c r="K6033">
        <v>1.12344</v>
      </c>
      <c r="L6033">
        <v>32.954279999999997</v>
      </c>
      <c r="M6033">
        <v>0.65272249999999998</v>
      </c>
      <c r="N6033">
        <v>0</v>
      </c>
      <c r="O6033">
        <v>-0.7574379</v>
      </c>
      <c r="P6033">
        <v>0.83939159999999902</v>
      </c>
      <c r="Q6033">
        <v>0.14861460000000001</v>
      </c>
      <c r="R6033">
        <v>-0.52281529999999998</v>
      </c>
      <c r="S6033">
        <v>2.8202509999999998</v>
      </c>
      <c r="T6033">
        <v>-0.17811869999999999</v>
      </c>
      <c r="U6033">
        <v>-1.2688900000000001</v>
      </c>
      <c r="V6033">
        <v>-0.29966090000000001</v>
      </c>
      <c r="W6033">
        <v>0.15372479999999999</v>
      </c>
      <c r="X6033">
        <v>0.94157959999999996</v>
      </c>
      <c r="Y6033">
        <v>-0.42142190000000002</v>
      </c>
      <c r="Z6033">
        <v>5.1880700000000002E-2</v>
      </c>
      <c r="AA6033">
        <v>0.9053795</v>
      </c>
      <c r="AB6033">
        <v>35</v>
      </c>
      <c r="AC6033">
        <v>0.76879999999999804</v>
      </c>
      <c r="AD6033">
        <v>-5.85629999999999E-2</v>
      </c>
      <c r="AE6033">
        <v>-0.242559999999997</v>
      </c>
      <c r="AF6033">
        <v>-0.421818979769362</v>
      </c>
      <c r="AG6033">
        <v>-5.85629999999999E-2</v>
      </c>
      <c r="AH6033">
        <v>0.68202068104701896</v>
      </c>
      <c r="AI6033">
        <v>94.176783958242098</v>
      </c>
      <c r="AJ6033">
        <v>121.73613407969199</v>
      </c>
      <c r="AK6033">
        <v>0.80406037462276803</v>
      </c>
      <c r="AL6033">
        <v>81.157154172717398</v>
      </c>
      <c r="AM6033">
        <v>107.653847931874</v>
      </c>
      <c r="AN6033">
        <v>1.00000005613</v>
      </c>
    </row>
    <row r="6034" spans="1:40" x14ac:dyDescent="0.25">
      <c r="A6034" t="str">
        <f>"20190312172236337"</f>
        <v>20190312172236337</v>
      </c>
      <c r="B6034" t="str">
        <f>"1552382556326377"</f>
        <v>1552382556326377</v>
      </c>
      <c r="C6034" t="s">
        <v>40</v>
      </c>
      <c r="D6034">
        <v>3.165537</v>
      </c>
      <c r="E6034">
        <v>0.44365690000000002</v>
      </c>
      <c r="F6034" t="s">
        <v>41</v>
      </c>
      <c r="G6034">
        <v>-412.7876</v>
      </c>
      <c r="H6034">
        <v>1.0637779999999999</v>
      </c>
      <c r="I6034">
        <v>32.53669</v>
      </c>
      <c r="J6034">
        <v>-413.62079999999997</v>
      </c>
      <c r="K6034">
        <v>1.1234999999999999</v>
      </c>
      <c r="L6034">
        <v>32.822360000000003</v>
      </c>
      <c r="M6034">
        <v>0.65849729999999995</v>
      </c>
      <c r="N6034">
        <v>0</v>
      </c>
      <c r="O6034">
        <v>-0.75242249999999999</v>
      </c>
      <c r="P6034">
        <v>0.843290599999999</v>
      </c>
      <c r="Q6034">
        <v>0.1490795</v>
      </c>
      <c r="R6034">
        <v>-0.51636839999999995</v>
      </c>
      <c r="S6034">
        <v>2.8329770000000001</v>
      </c>
      <c r="T6034">
        <v>-0.17714759999999999</v>
      </c>
      <c r="U6034">
        <v>-1.240051</v>
      </c>
      <c r="V6034">
        <v>-0.2996491</v>
      </c>
      <c r="W6034">
        <v>0.1541611</v>
      </c>
      <c r="X6034">
        <v>0.94151189999999996</v>
      </c>
      <c r="Y6034">
        <v>-0.4237359</v>
      </c>
      <c r="Z6034">
        <v>5.1436580000000003E-2</v>
      </c>
      <c r="AA6034">
        <v>0.90432420000000002</v>
      </c>
      <c r="AB6034">
        <v>35</v>
      </c>
      <c r="AC6034">
        <v>0.83319999999997596</v>
      </c>
      <c r="AD6034">
        <v>-5.9721999999999803E-2</v>
      </c>
      <c r="AE6034">
        <v>-0.28566999999999598</v>
      </c>
      <c r="AF6034">
        <v>-0.43685021062736801</v>
      </c>
      <c r="AG6034">
        <v>-5.9721999999999803E-2</v>
      </c>
      <c r="AH6034">
        <v>0.760201907225874</v>
      </c>
      <c r="AI6034">
        <v>93.896686771049005</v>
      </c>
      <c r="AJ6034">
        <v>119.883839266181</v>
      </c>
      <c r="AK6034">
        <v>0.87881270106834097</v>
      </c>
      <c r="AL6034">
        <v>81.1318534333885</v>
      </c>
      <c r="AM6034">
        <v>107.65438646345601</v>
      </c>
      <c r="AN6034">
        <v>0.99999994286281302</v>
      </c>
    </row>
    <row r="6035" spans="1:40" x14ac:dyDescent="0.25">
      <c r="A6035" t="str">
        <f>"20190312172236348"</f>
        <v>20190312172236348</v>
      </c>
      <c r="B6035" t="str">
        <f>"1552382556336138"</f>
        <v>1552382556336138</v>
      </c>
      <c r="C6035" t="s">
        <v>40</v>
      </c>
      <c r="D6035">
        <v>3.1299779999999999</v>
      </c>
      <c r="E6035">
        <v>0.44378519999999999</v>
      </c>
      <c r="F6035" t="s">
        <v>42</v>
      </c>
      <c r="G6035">
        <v>-395.51690000000002</v>
      </c>
      <c r="H6035" s="1">
        <v>-3.5470769999999999E-6</v>
      </c>
      <c r="I6035">
        <v>25.0562</v>
      </c>
      <c r="J6035">
        <v>-413.50889999999998</v>
      </c>
      <c r="K6035">
        <v>1.123556</v>
      </c>
      <c r="L6035">
        <v>32.702849999999998</v>
      </c>
      <c r="M6035">
        <v>0.66378680000000001</v>
      </c>
      <c r="N6035">
        <v>0</v>
      </c>
      <c r="O6035">
        <v>-0.74775990000000003</v>
      </c>
      <c r="P6035">
        <v>0.84689340000000002</v>
      </c>
      <c r="Q6035">
        <v>0.14951829999999999</v>
      </c>
      <c r="R6035">
        <v>-0.51030969999999998</v>
      </c>
      <c r="S6035">
        <v>2.842133</v>
      </c>
      <c r="T6035">
        <v>-0.1763786</v>
      </c>
      <c r="U6035">
        <v>-1.2192080000000001</v>
      </c>
      <c r="V6035">
        <v>-0.2997379</v>
      </c>
      <c r="W6035">
        <v>0.15457089999999901</v>
      </c>
      <c r="X6035">
        <v>0.94141649999999999</v>
      </c>
      <c r="Y6035">
        <v>-0.4240274</v>
      </c>
      <c r="Z6035">
        <v>5.1020019999999999E-2</v>
      </c>
      <c r="AA6035">
        <v>0.90421110000000005</v>
      </c>
      <c r="AB6035">
        <v>35</v>
      </c>
      <c r="AC6035">
        <v>17.991999999999901</v>
      </c>
      <c r="AD6035">
        <v>-1.1235595470769999</v>
      </c>
      <c r="AE6035">
        <v>-7.6466499999999904</v>
      </c>
      <c r="AF6035">
        <v>-8.3513802443051404</v>
      </c>
      <c r="AG6035">
        <v>-1.1235595470769999</v>
      </c>
      <c r="AH6035">
        <v>17.604699673259098</v>
      </c>
      <c r="AI6035">
        <v>93.300155234279401</v>
      </c>
      <c r="AJ6035">
        <v>115.378894129633</v>
      </c>
      <c r="AK6035">
        <v>19.517514919334499</v>
      </c>
      <c r="AL6035">
        <v>81.108089276365504</v>
      </c>
      <c r="AM6035">
        <v>107.660971552147</v>
      </c>
      <c r="AN6035">
        <v>0.99999999914773496</v>
      </c>
    </row>
    <row r="6036" spans="1:40" x14ac:dyDescent="0.25">
      <c r="A6036" t="str">
        <f>"20190312172236362"</f>
        <v>20190312172236362</v>
      </c>
      <c r="B6036" t="str">
        <f>"1552382556356633"</f>
        <v>1552382556356633</v>
      </c>
      <c r="C6036" t="s">
        <v>40</v>
      </c>
      <c r="D6036">
        <v>3.1721140000000001</v>
      </c>
      <c r="E6036">
        <v>0.44424669999999999</v>
      </c>
      <c r="F6036" t="s">
        <v>41</v>
      </c>
      <c r="G6036">
        <v>-412.58350000000002</v>
      </c>
      <c r="H6036">
        <v>1.066546</v>
      </c>
      <c r="I6036">
        <v>32.313220000000001</v>
      </c>
      <c r="J6036">
        <v>-413.36779999999999</v>
      </c>
      <c r="K6036">
        <v>1.123621</v>
      </c>
      <c r="L6036">
        <v>32.55341</v>
      </c>
      <c r="M6036">
        <v>0.67040500000000003</v>
      </c>
      <c r="N6036">
        <v>0</v>
      </c>
      <c r="O6036">
        <v>-0.74183149999999998</v>
      </c>
      <c r="P6036">
        <v>0.851248</v>
      </c>
      <c r="Q6036">
        <v>0.149689299999999</v>
      </c>
      <c r="R6036">
        <v>-0.50296129999999994</v>
      </c>
      <c r="S6036">
        <v>2.8504640000000001</v>
      </c>
      <c r="T6036">
        <v>-0.17556240000000001</v>
      </c>
      <c r="U6036">
        <v>-1.199646</v>
      </c>
      <c r="V6036">
        <v>-0.29952980000000001</v>
      </c>
      <c r="W6036">
        <v>0.15471789999999999</v>
      </c>
      <c r="X6036">
        <v>0.94145860000000003</v>
      </c>
      <c r="Y6036">
        <v>-0.42222229999999999</v>
      </c>
      <c r="Z6036">
        <v>5.0492099999999998E-2</v>
      </c>
      <c r="AA6036">
        <v>0.90508500000000003</v>
      </c>
      <c r="AB6036">
        <v>35</v>
      </c>
      <c r="AC6036">
        <v>0.78429999999997302</v>
      </c>
      <c r="AD6036">
        <v>-5.7074999999999897E-2</v>
      </c>
      <c r="AE6036">
        <v>-0.24018999999999799</v>
      </c>
      <c r="AF6036">
        <v>-0.418817266881849</v>
      </c>
      <c r="AG6036">
        <v>-5.7074999999999897E-2</v>
      </c>
      <c r="AH6036">
        <v>0.70067233721852995</v>
      </c>
      <c r="AI6036">
        <v>93.999551211516902</v>
      </c>
      <c r="AJ6036">
        <v>120.868291885049</v>
      </c>
      <c r="AK6036">
        <v>0.81829529071519103</v>
      </c>
      <c r="AL6036">
        <v>81.099564362902598</v>
      </c>
      <c r="AM6036">
        <v>107.64873106279801</v>
      </c>
      <c r="AN6036">
        <v>1.0000000125912001</v>
      </c>
    </row>
    <row r="6037" spans="1:40" x14ac:dyDescent="0.25">
      <c r="A6037" t="str">
        <f>"20190312172236373"</f>
        <v>20190312172236373</v>
      </c>
      <c r="B6037" t="str">
        <f>"1552382556366394"</f>
        <v>1552382556366394</v>
      </c>
      <c r="C6037" t="s">
        <v>40</v>
      </c>
      <c r="D6037">
        <v>3.282197</v>
      </c>
      <c r="E6037">
        <v>0.44451309999999999</v>
      </c>
      <c r="F6037" t="s">
        <v>41</v>
      </c>
      <c r="G6037">
        <v>-412.35</v>
      </c>
      <c r="H6037">
        <v>1.060538</v>
      </c>
      <c r="I6037">
        <v>32.134169999999997</v>
      </c>
      <c r="J6037">
        <v>-413.2398</v>
      </c>
      <c r="K6037">
        <v>1.123683</v>
      </c>
      <c r="L6037">
        <v>32.421050000000001</v>
      </c>
      <c r="M6037">
        <v>0.67633920000000003</v>
      </c>
      <c r="N6037">
        <v>0</v>
      </c>
      <c r="O6037">
        <v>-0.73642489999999905</v>
      </c>
      <c r="P6037">
        <v>0.85514920000000005</v>
      </c>
      <c r="Q6037">
        <v>0.14997079999999999</v>
      </c>
      <c r="R6037">
        <v>-0.49621419999999999</v>
      </c>
      <c r="S6037">
        <v>2.859375</v>
      </c>
      <c r="T6037">
        <v>-0.17724970000000001</v>
      </c>
      <c r="U6037">
        <v>-1.17804</v>
      </c>
      <c r="V6037">
        <v>-0.2994135</v>
      </c>
      <c r="W6037">
        <v>0.15497469999999999</v>
      </c>
      <c r="X6037">
        <v>0.94145330000000005</v>
      </c>
      <c r="Y6037">
        <v>-0.42176540000000001</v>
      </c>
      <c r="Z6037">
        <v>5.0733439999999998E-2</v>
      </c>
      <c r="AA6037">
        <v>0.90528450000000005</v>
      </c>
      <c r="AB6037">
        <v>35</v>
      </c>
      <c r="AC6037">
        <v>0.88979999999997905</v>
      </c>
      <c r="AD6037">
        <v>-6.3145000000000007E-2</v>
      </c>
      <c r="AE6037">
        <v>-0.28687999999999603</v>
      </c>
      <c r="AF6037">
        <v>-0.45920405109152501</v>
      </c>
      <c r="AG6037">
        <v>-6.3145000000000007E-2</v>
      </c>
      <c r="AH6037">
        <v>0.80947851762435197</v>
      </c>
      <c r="AI6037">
        <v>93.8815616799955</v>
      </c>
      <c r="AJ6037">
        <v>119.565539954657</v>
      </c>
      <c r="AK6037">
        <v>0.932797471083186</v>
      </c>
      <c r="AL6037">
        <v>81.084670690739699</v>
      </c>
      <c r="AM6037">
        <v>107.642396730747</v>
      </c>
      <c r="AN6037">
        <v>0.99999995885161397</v>
      </c>
    </row>
    <row r="6038" spans="1:40" x14ac:dyDescent="0.25">
      <c r="A6038" t="str">
        <f>"20190312172236383"</f>
        <v>20190312172236383</v>
      </c>
      <c r="B6038" t="str">
        <f>"1552382556376153"</f>
        <v>1552382556376153</v>
      </c>
      <c r="C6038" t="s">
        <v>40</v>
      </c>
      <c r="D6038">
        <v>3.1516220000000001</v>
      </c>
      <c r="E6038">
        <v>0.4447333</v>
      </c>
      <c r="F6038" t="s">
        <v>42</v>
      </c>
      <c r="G6038">
        <v>-395.05520000000001</v>
      </c>
      <c r="H6038" s="1">
        <v>-3.7398620000000002E-6</v>
      </c>
      <c r="I6038">
        <v>25.08389</v>
      </c>
      <c r="J6038">
        <v>-413.1354</v>
      </c>
      <c r="K6038">
        <v>1.123734</v>
      </c>
      <c r="L6038">
        <v>32.314210000000003</v>
      </c>
      <c r="M6038">
        <v>0.681141</v>
      </c>
      <c r="N6038">
        <v>0</v>
      </c>
      <c r="O6038">
        <v>-0.73198540000000001</v>
      </c>
      <c r="P6038">
        <v>0.85822730000000003</v>
      </c>
      <c r="Q6038">
        <v>0.15040770000000001</v>
      </c>
      <c r="R6038">
        <v>-0.49073800000000001</v>
      </c>
      <c r="S6038">
        <v>2.8677980000000001</v>
      </c>
      <c r="T6038">
        <v>-0.1772106</v>
      </c>
      <c r="U6038">
        <v>-1.1571039999999999</v>
      </c>
      <c r="V6038">
        <v>-0.29925220000000002</v>
      </c>
      <c r="W6038">
        <v>0.155393899999999</v>
      </c>
      <c r="X6038">
        <v>0.94143549999999998</v>
      </c>
      <c r="Y6038">
        <v>-0.42244910000000002</v>
      </c>
      <c r="Z6038">
        <v>5.0546439999999998E-2</v>
      </c>
      <c r="AA6038">
        <v>0.90497609999999995</v>
      </c>
      <c r="AB6038">
        <v>35</v>
      </c>
      <c r="AC6038">
        <v>18.080199999999898</v>
      </c>
      <c r="AD6038">
        <v>-1.1237377398620001</v>
      </c>
      <c r="AE6038">
        <v>-7.2303199999999901</v>
      </c>
      <c r="AF6038">
        <v>-8.2830046787991503</v>
      </c>
      <c r="AG6038">
        <v>-1.1237377398620001</v>
      </c>
      <c r="AH6038">
        <v>17.551352675120199</v>
      </c>
      <c r="AI6038">
        <v>93.313822788947604</v>
      </c>
      <c r="AJ6038">
        <v>115.26401657948399</v>
      </c>
      <c r="AK6038">
        <v>19.440188624173501</v>
      </c>
      <c r="AL6038">
        <v>81.060357879260707</v>
      </c>
      <c r="AM6038">
        <v>107.633794191446</v>
      </c>
      <c r="AN6038">
        <v>0.99999997201114899</v>
      </c>
    </row>
    <row r="6039" spans="1:40" x14ac:dyDescent="0.25">
      <c r="A6039" t="str">
        <f>"20190312172236394"</f>
        <v>20190312172236394</v>
      </c>
      <c r="B6039" t="str">
        <f>"1552382556386890"</f>
        <v>1552382556386890</v>
      </c>
      <c r="C6039" t="s">
        <v>40</v>
      </c>
      <c r="D6039">
        <v>3.306711</v>
      </c>
      <c r="E6039">
        <v>0.4450094</v>
      </c>
      <c r="F6039" t="s">
        <v>41</v>
      </c>
      <c r="G6039">
        <v>-412.14049999999997</v>
      </c>
      <c r="H6039">
        <v>1.0625199999999999</v>
      </c>
      <c r="I6039">
        <v>31.919350000000001</v>
      </c>
      <c r="J6039">
        <v>-413.01190000000003</v>
      </c>
      <c r="K6039">
        <v>1.1237900000000001</v>
      </c>
      <c r="L6039">
        <v>32.189880000000002</v>
      </c>
      <c r="M6039">
        <v>0.68676870000000001</v>
      </c>
      <c r="N6039">
        <v>0</v>
      </c>
      <c r="O6039">
        <v>-0.72670760000000001</v>
      </c>
      <c r="P6039">
        <v>0.86183580000000004</v>
      </c>
      <c r="Q6039">
        <v>0.15061550000000001</v>
      </c>
      <c r="R6039">
        <v>-0.48430800000000002</v>
      </c>
      <c r="S6039">
        <v>2.8745729999999998</v>
      </c>
      <c r="T6039">
        <v>-0.1768139</v>
      </c>
      <c r="U6039">
        <v>-1.1402589999999999</v>
      </c>
      <c r="V6039">
        <v>-0.29902990000000002</v>
      </c>
      <c r="W6039">
        <v>0.15558329999999901</v>
      </c>
      <c r="X6039">
        <v>0.9414749</v>
      </c>
      <c r="Y6039">
        <v>-0.42078680000000002</v>
      </c>
      <c r="Z6039">
        <v>5.0165370000000001E-2</v>
      </c>
      <c r="AA6039">
        <v>0.90577149999999995</v>
      </c>
      <c r="AB6039">
        <v>35</v>
      </c>
      <c r="AC6039">
        <v>0.87140000000005002</v>
      </c>
      <c r="AD6039">
        <v>-6.1269999999999901E-2</v>
      </c>
      <c r="AE6039">
        <v>-0.27052999999999999</v>
      </c>
      <c r="AF6039">
        <v>-0.44550737087016901</v>
      </c>
      <c r="AG6039">
        <v>-6.1269999999999901E-2</v>
      </c>
      <c r="AH6039">
        <v>0.79157442902928798</v>
      </c>
      <c r="AI6039">
        <v>93.858944694529299</v>
      </c>
      <c r="AJ6039">
        <v>119.37131943125399</v>
      </c>
      <c r="AK6039">
        <v>0.91039601662831005</v>
      </c>
      <c r="AL6039">
        <v>81.049372845501395</v>
      </c>
      <c r="AM6039">
        <v>107.620813897914</v>
      </c>
      <c r="AN6039">
        <v>1.0000000158314499</v>
      </c>
    </row>
    <row r="6040" spans="1:40" x14ac:dyDescent="0.25">
      <c r="A6040" t="str">
        <f>"20190312172236406"</f>
        <v>20190312172236406</v>
      </c>
      <c r="B6040" t="str">
        <f>"1552382556396650"</f>
        <v>1552382556396650</v>
      </c>
      <c r="C6040" t="s">
        <v>40</v>
      </c>
      <c r="D6040">
        <v>3.198817</v>
      </c>
      <c r="E6040">
        <v>0.4450094</v>
      </c>
      <c r="F6040" t="s">
        <v>42</v>
      </c>
      <c r="G6040">
        <v>-394.74090000000001</v>
      </c>
      <c r="H6040" s="1">
        <v>-3.8607299999999997E-6</v>
      </c>
      <c r="I6040">
        <v>25.08475</v>
      </c>
      <c r="J6040">
        <v>-412.89580000000001</v>
      </c>
      <c r="K6040">
        <v>1.1238440000000001</v>
      </c>
      <c r="L6040">
        <v>32.074890000000003</v>
      </c>
      <c r="M6040">
        <v>0.69201029999999997</v>
      </c>
      <c r="N6040">
        <v>0</v>
      </c>
      <c r="O6040">
        <v>-0.72171770000000002</v>
      </c>
      <c r="P6040">
        <v>0.86513249999999997</v>
      </c>
      <c r="Q6040">
        <v>0.1507416</v>
      </c>
      <c r="R6040">
        <v>-0.47835420000000001</v>
      </c>
      <c r="S6040">
        <v>2.8821409999999998</v>
      </c>
      <c r="T6040">
        <v>-0.17727119999999999</v>
      </c>
      <c r="U6040">
        <v>-1.120789</v>
      </c>
      <c r="V6040">
        <v>-0.2987165</v>
      </c>
      <c r="W6040">
        <v>0.15569630000000001</v>
      </c>
      <c r="X6040">
        <v>0.9415557</v>
      </c>
      <c r="Y6040">
        <v>-0.42034110000000002</v>
      </c>
      <c r="Z6040">
        <v>5.0066609999999998E-2</v>
      </c>
      <c r="AA6040">
        <v>0.90598380000000001</v>
      </c>
      <c r="AB6040">
        <v>35</v>
      </c>
      <c r="AC6040">
        <v>18.154900000000001</v>
      </c>
      <c r="AD6040">
        <v>-1.12384786073</v>
      </c>
      <c r="AE6040">
        <v>-6.9901400000000002</v>
      </c>
      <c r="AF6040">
        <v>-8.2389819999006697</v>
      </c>
      <c r="AG6040">
        <v>-1.12384786073</v>
      </c>
      <c r="AH6040">
        <v>17.551870215327899</v>
      </c>
      <c r="AI6040">
        <v>93.317264192473402</v>
      </c>
      <c r="AJ6040">
        <v>115.145719310017</v>
      </c>
      <c r="AK6040">
        <v>19.421946515848301</v>
      </c>
      <c r="AL6040">
        <v>81.042818504766402</v>
      </c>
      <c r="AM6040">
        <v>107.602069897986</v>
      </c>
      <c r="AN6040">
        <v>1.00000001070421</v>
      </c>
    </row>
    <row r="6041" spans="1:40" x14ac:dyDescent="0.25">
      <c r="A6041" t="str">
        <f>"20190312172236419"</f>
        <v>20190312172236419</v>
      </c>
      <c r="B6041" t="str">
        <f>"1552382556416170"</f>
        <v>1552382556416170</v>
      </c>
      <c r="C6041" t="s">
        <v>40</v>
      </c>
      <c r="D6041">
        <v>3.170938</v>
      </c>
      <c r="E6041">
        <v>0.45248549999999899</v>
      </c>
      <c r="F6041" t="s">
        <v>41</v>
      </c>
      <c r="G6041">
        <v>-411.92899999999997</v>
      </c>
      <c r="H6041">
        <v>1.0646709999999999</v>
      </c>
      <c r="I6041">
        <v>31.70664</v>
      </c>
      <c r="J6041">
        <v>-412.75069999999999</v>
      </c>
      <c r="K6041">
        <v>1.1239129999999999</v>
      </c>
      <c r="L6041">
        <v>31.93271</v>
      </c>
      <c r="M6041">
        <v>0.69850509999999999</v>
      </c>
      <c r="N6041">
        <v>0</v>
      </c>
      <c r="O6041">
        <v>-0.71543299999999999</v>
      </c>
      <c r="P6041">
        <v>0.86925869999999905</v>
      </c>
      <c r="Q6041">
        <v>0.15085570000000001</v>
      </c>
      <c r="R6041">
        <v>-0.47077799999999997</v>
      </c>
      <c r="S6041">
        <v>2.8897400000000002</v>
      </c>
      <c r="T6041">
        <v>-0.1768826</v>
      </c>
      <c r="U6041">
        <v>-1.100983</v>
      </c>
      <c r="V6041">
        <v>-0.29844900000000002</v>
      </c>
      <c r="W6041">
        <v>0.1557896</v>
      </c>
      <c r="X6041">
        <v>0.94162509999999999</v>
      </c>
      <c r="Y6041">
        <v>-0.41837459999999999</v>
      </c>
      <c r="Z6041">
        <v>4.9635190000000003E-2</v>
      </c>
      <c r="AA6041">
        <v>0.90691730000000004</v>
      </c>
      <c r="AB6041">
        <v>35</v>
      </c>
      <c r="AC6041">
        <v>0.82169999999996401</v>
      </c>
      <c r="AD6041">
        <v>-5.9242000000000003E-2</v>
      </c>
      <c r="AE6041">
        <v>-0.226069999999992</v>
      </c>
      <c r="AF6041">
        <v>-0.42794528218230599</v>
      </c>
      <c r="AG6041">
        <v>-5.9242000000000003E-2</v>
      </c>
      <c r="AH6041">
        <v>0.73225179603880497</v>
      </c>
      <c r="AI6041">
        <v>93.995613585699004</v>
      </c>
      <c r="AJ6041">
        <v>120.30302605611099</v>
      </c>
      <c r="AK6041">
        <v>0.85019966590686802</v>
      </c>
      <c r="AL6041">
        <v>81.037406829547095</v>
      </c>
      <c r="AM6041">
        <v>107.58606297449499</v>
      </c>
      <c r="AN6041">
        <v>1.00000001700958</v>
      </c>
    </row>
    <row r="6042" spans="1:40" x14ac:dyDescent="0.25">
      <c r="A6042" t="str">
        <f>"20190312172236430"</f>
        <v>20190312172236430</v>
      </c>
      <c r="B6042" t="str">
        <f>"1552382556426905"</f>
        <v>1552382556426905</v>
      </c>
      <c r="C6042" t="s">
        <v>40</v>
      </c>
      <c r="D6042">
        <v>3.2212770000000002</v>
      </c>
      <c r="E6042">
        <v>0.45181349999999998</v>
      </c>
      <c r="F6042" t="s">
        <v>42</v>
      </c>
      <c r="G6042">
        <v>-398.70060000000001</v>
      </c>
      <c r="H6042" s="1">
        <v>-2.4012640000000001E-6</v>
      </c>
      <c r="I6042">
        <v>26.405899999999999</v>
      </c>
      <c r="J6042">
        <v>-412.62729999999999</v>
      </c>
      <c r="K6042">
        <v>1.123982</v>
      </c>
      <c r="L6042">
        <v>31.815090000000001</v>
      </c>
      <c r="M6042">
        <v>0.7039649</v>
      </c>
      <c r="N6042">
        <v>0</v>
      </c>
      <c r="O6042">
        <v>-0.71006119999999995</v>
      </c>
      <c r="P6042">
        <v>0.87261809999999995</v>
      </c>
      <c r="Q6042">
        <v>0.15099689999999999</v>
      </c>
      <c r="R6042">
        <v>-0.46447579999999999</v>
      </c>
      <c r="S6042">
        <v>2.8780209999999999</v>
      </c>
      <c r="T6042">
        <v>-0.23022280000000001</v>
      </c>
      <c r="U6042">
        <v>-1.1321110000000001</v>
      </c>
      <c r="V6042">
        <v>-0.2980602</v>
      </c>
      <c r="W6042">
        <v>0.15591959999999999</v>
      </c>
      <c r="X6042">
        <v>0.94172670000000003</v>
      </c>
      <c r="Y6042">
        <v>-0.40057900000000002</v>
      </c>
      <c r="Z6042">
        <v>6.3704360000000002E-2</v>
      </c>
      <c r="AA6042">
        <v>0.914045</v>
      </c>
      <c r="AB6042">
        <v>35</v>
      </c>
      <c r="AC6042">
        <v>13.926699999999901</v>
      </c>
      <c r="AD6042">
        <v>-1.1239844012639999</v>
      </c>
      <c r="AE6042">
        <v>-5.4091899999999997</v>
      </c>
      <c r="AF6042">
        <v>-6.0474515933579696</v>
      </c>
      <c r="AG6042">
        <v>-1.1239844012639999</v>
      </c>
      <c r="AH6042">
        <v>13.569644313736299</v>
      </c>
      <c r="AI6042">
        <v>94.3266159664946</v>
      </c>
      <c r="AJ6042">
        <v>114.020634667381</v>
      </c>
      <c r="AK6042">
        <v>14.8986663332531</v>
      </c>
      <c r="AL6042">
        <v>81.029865996974294</v>
      </c>
      <c r="AM6042">
        <v>107.562783959981</v>
      </c>
      <c r="AN6042">
        <v>0.99999999099054404</v>
      </c>
    </row>
    <row r="6043" spans="1:40" x14ac:dyDescent="0.25">
      <c r="A6043" t="str">
        <f>"20190312172236443"</f>
        <v>20190312172236443</v>
      </c>
      <c r="B6043" t="str">
        <f>"1552382556436665"</f>
        <v>1552382556436665</v>
      </c>
      <c r="C6043" t="s">
        <v>40</v>
      </c>
      <c r="D6043">
        <v>3.1609799999999999</v>
      </c>
      <c r="E6043">
        <v>0.45127650000000002</v>
      </c>
      <c r="F6043" t="s">
        <v>42</v>
      </c>
      <c r="G6043">
        <v>-397.166</v>
      </c>
      <c r="H6043" s="1">
        <v>-2.9914939999999999E-6</v>
      </c>
      <c r="I6043">
        <v>25.897790000000001</v>
      </c>
      <c r="J6043">
        <v>-412.48610000000002</v>
      </c>
      <c r="K6043">
        <v>1.12405</v>
      </c>
      <c r="L6043">
        <v>31.681609999999999</v>
      </c>
      <c r="M6043">
        <v>0.71015989999999996</v>
      </c>
      <c r="N6043">
        <v>0</v>
      </c>
      <c r="O6043">
        <v>-0.70386470000000001</v>
      </c>
      <c r="P6043">
        <v>0.87646019999999902</v>
      </c>
      <c r="Q6043">
        <v>0.15116969999999999</v>
      </c>
      <c r="R6043">
        <v>-0.45712750000000002</v>
      </c>
      <c r="S6043">
        <v>2.8862610000000002</v>
      </c>
      <c r="T6043">
        <v>-0.20982020000000001</v>
      </c>
      <c r="U6043">
        <v>-1.104614</v>
      </c>
      <c r="V6043">
        <v>-0.29773179999999999</v>
      </c>
      <c r="W6043">
        <v>0.15607449999999901</v>
      </c>
      <c r="X6043">
        <v>0.94180489999999994</v>
      </c>
      <c r="Y6043">
        <v>-0.40145639999999999</v>
      </c>
      <c r="Z6043">
        <v>5.7811580000000001E-2</v>
      </c>
      <c r="AA6043">
        <v>0.91405170000000002</v>
      </c>
      <c r="AB6043">
        <v>34</v>
      </c>
      <c r="AC6043">
        <v>15.3201</v>
      </c>
      <c r="AD6043">
        <v>-1.1240529914940001</v>
      </c>
      <c r="AE6043">
        <v>-5.7838199999999897</v>
      </c>
      <c r="AF6043">
        <v>-6.6453552246637901</v>
      </c>
      <c r="AG6043">
        <v>-1.1240529914940001</v>
      </c>
      <c r="AH6043">
        <v>14.882474585269099</v>
      </c>
      <c r="AI6043">
        <v>93.945194036436803</v>
      </c>
      <c r="AJ6043">
        <v>114.061822123901</v>
      </c>
      <c r="AK6043">
        <v>16.337450565214699</v>
      </c>
      <c r="AL6043">
        <v>81.020880708362199</v>
      </c>
      <c r="AM6043">
        <v>107.543253754581</v>
      </c>
      <c r="AN6043">
        <v>0.99999997197274904</v>
      </c>
    </row>
    <row r="6044" spans="1:40" x14ac:dyDescent="0.25">
      <c r="A6044" t="str">
        <f>"20190312172236454"</f>
        <v>20190312172236454</v>
      </c>
      <c r="B6044" t="str">
        <f>"1552382556446425"</f>
        <v>1552382556446425</v>
      </c>
      <c r="C6044" t="s">
        <v>40</v>
      </c>
      <c r="D6044">
        <v>3.157178</v>
      </c>
      <c r="E6044">
        <v>0.4514089</v>
      </c>
      <c r="F6044" t="s">
        <v>41</v>
      </c>
      <c r="G6044">
        <v>-411.48480000000001</v>
      </c>
      <c r="H6044">
        <v>1.055577</v>
      </c>
      <c r="I6044">
        <v>31.309670000000001</v>
      </c>
      <c r="J6044">
        <v>-412.35820000000001</v>
      </c>
      <c r="K6044">
        <v>1.1241139999999901</v>
      </c>
      <c r="L6044">
        <v>31.563110000000002</v>
      </c>
      <c r="M6044">
        <v>0.71571450000000003</v>
      </c>
      <c r="N6044">
        <v>0</v>
      </c>
      <c r="O6044">
        <v>-0.698215699999999</v>
      </c>
      <c r="P6044">
        <v>0.87993509999999997</v>
      </c>
      <c r="Q6044">
        <v>0.15116499999999999</v>
      </c>
      <c r="R6044">
        <v>-0.45040330000000001</v>
      </c>
      <c r="S6044">
        <v>2.8960880000000002</v>
      </c>
      <c r="T6044">
        <v>-0.1980074</v>
      </c>
      <c r="U6044">
        <v>-1.0754699999999999</v>
      </c>
      <c r="V6044">
        <v>-0.29750510000000002</v>
      </c>
      <c r="W6044">
        <v>0.15605189999999999</v>
      </c>
      <c r="X6044">
        <v>0.9418803</v>
      </c>
      <c r="Y6044">
        <v>-0.40353450000000002</v>
      </c>
      <c r="Z6044">
        <v>5.4352659999999997E-2</v>
      </c>
      <c r="AA6044">
        <v>0.91334859999999896</v>
      </c>
      <c r="AB6044">
        <v>34</v>
      </c>
      <c r="AC6044">
        <v>0.87340000000000295</v>
      </c>
      <c r="AD6044">
        <v>-6.8536999999999806E-2</v>
      </c>
      <c r="AE6044">
        <v>-0.253439999999997</v>
      </c>
      <c r="AF6044">
        <v>-0.42606410719655402</v>
      </c>
      <c r="AG6044">
        <v>-6.8536999999999806E-2</v>
      </c>
      <c r="AH6044">
        <v>0.797629966538552</v>
      </c>
      <c r="AI6044">
        <v>94.334205397882798</v>
      </c>
      <c r="AJ6044">
        <v>118.10946624451999</v>
      </c>
      <c r="AK6044">
        <v>0.90688560873491098</v>
      </c>
      <c r="AL6044">
        <v>81.022191817099298</v>
      </c>
      <c r="AM6044">
        <v>107.529396970468</v>
      </c>
      <c r="AN6044">
        <v>0.99999998977385496</v>
      </c>
    </row>
    <row r="6045" spans="1:40" x14ac:dyDescent="0.25">
      <c r="A6045" t="str">
        <f>"20190312172236467"</f>
        <v>20190312172236467</v>
      </c>
      <c r="B6045" t="str">
        <f>"1552382556456186"</f>
        <v>1552382556456186</v>
      </c>
      <c r="C6045" t="s">
        <v>40</v>
      </c>
      <c r="D6045">
        <v>3.180866</v>
      </c>
      <c r="E6045">
        <v>0.45148890000000003</v>
      </c>
      <c r="F6045" t="s">
        <v>42</v>
      </c>
      <c r="G6045">
        <v>-395.24270000000001</v>
      </c>
      <c r="H6045" s="1">
        <v>-3.715354E-6</v>
      </c>
      <c r="I6045">
        <v>25.351680000000002</v>
      </c>
      <c r="J6045">
        <v>-412.22809999999998</v>
      </c>
      <c r="K6045">
        <v>1.1241779999999999</v>
      </c>
      <c r="L6045">
        <v>31.444489999999998</v>
      </c>
      <c r="M6045">
        <v>0.7213136</v>
      </c>
      <c r="N6045">
        <v>0</v>
      </c>
      <c r="O6045">
        <v>-0.69242910000000002</v>
      </c>
      <c r="P6045">
        <v>0.8833936</v>
      </c>
      <c r="Q6045">
        <v>0.15124319999999999</v>
      </c>
      <c r="R6045">
        <v>-0.44355559999999999</v>
      </c>
      <c r="S6045">
        <v>2.9028930000000002</v>
      </c>
      <c r="T6045">
        <v>-0.1906572</v>
      </c>
      <c r="U6045">
        <v>-1.0534969999999999</v>
      </c>
      <c r="V6045">
        <v>-0.29725430000000003</v>
      </c>
      <c r="W6045">
        <v>0.1561131</v>
      </c>
      <c r="X6045">
        <v>0.94194940000000005</v>
      </c>
      <c r="Y6045">
        <v>-0.40310990000000002</v>
      </c>
      <c r="Z6045">
        <v>5.2065699999999902E-2</v>
      </c>
      <c r="AA6045">
        <v>0.91366930000000002</v>
      </c>
      <c r="AB6045">
        <v>34</v>
      </c>
      <c r="AC6045">
        <v>16.985399999999899</v>
      </c>
      <c r="AD6045">
        <v>-1.1241817153539999</v>
      </c>
      <c r="AE6045">
        <v>-6.0928100000000001</v>
      </c>
      <c r="AF6045">
        <v>-7.3387919313990997</v>
      </c>
      <c r="AG6045">
        <v>-1.1241817153539999</v>
      </c>
      <c r="AH6045">
        <v>16.409002090148601</v>
      </c>
      <c r="AI6045">
        <v>93.578627794561996</v>
      </c>
      <c r="AJ6045">
        <v>114.09619007770399</v>
      </c>
      <c r="AK6045">
        <v>18.0104692092129</v>
      </c>
      <c r="AL6045">
        <v>81.018642311233506</v>
      </c>
      <c r="AM6045">
        <v>107.514317121383</v>
      </c>
      <c r="AN6045">
        <v>1.00000004551022</v>
      </c>
    </row>
    <row r="6046" spans="1:40" x14ac:dyDescent="0.25">
      <c r="A6046" t="str">
        <f>"20190312172236484"</f>
        <v>20190312172236484</v>
      </c>
      <c r="B6046" t="str">
        <f>"1552382556476681"</f>
        <v>1552382556476681</v>
      </c>
      <c r="C6046" t="s">
        <v>40</v>
      </c>
      <c r="D6046">
        <v>3.1645470000000002</v>
      </c>
      <c r="E6046">
        <v>0.45221159999999999</v>
      </c>
      <c r="F6046" t="s">
        <v>41</v>
      </c>
      <c r="G6046">
        <v>-411.19779999999997</v>
      </c>
      <c r="H6046">
        <v>1.0586519999999999</v>
      </c>
      <c r="I6046">
        <v>31.07911</v>
      </c>
      <c r="J6046">
        <v>-412.03469999999999</v>
      </c>
      <c r="K6046">
        <v>1.1242719999999999</v>
      </c>
      <c r="L6046">
        <v>31.27148</v>
      </c>
      <c r="M6046">
        <v>0.72953380000000001</v>
      </c>
      <c r="N6046">
        <v>0</v>
      </c>
      <c r="O6046">
        <v>-0.68376250000000005</v>
      </c>
      <c r="P6046">
        <v>0.88838969999999995</v>
      </c>
      <c r="Q6046">
        <v>0.15095220000000001</v>
      </c>
      <c r="R6046">
        <v>-0.43356349999999999</v>
      </c>
      <c r="S6046">
        <v>2.9099119999999998</v>
      </c>
      <c r="T6046">
        <v>-0.1850222</v>
      </c>
      <c r="U6046">
        <v>-1.0312809999999999</v>
      </c>
      <c r="V6046">
        <v>-0.29668529999999999</v>
      </c>
      <c r="W6046">
        <v>0.15580649999999999</v>
      </c>
      <c r="X6046">
        <v>0.94217949999999995</v>
      </c>
      <c r="Y6046">
        <v>-0.39918769999999998</v>
      </c>
      <c r="Z6046">
        <v>5.0032640000000003E-2</v>
      </c>
      <c r="AA6046">
        <v>0.91550310000000001</v>
      </c>
      <c r="AB6046">
        <v>34</v>
      </c>
      <c r="AC6046">
        <v>0.83690000000001397</v>
      </c>
      <c r="AD6046">
        <v>-6.5619999999999706E-2</v>
      </c>
      <c r="AE6046">
        <v>-0.19237000000000301</v>
      </c>
      <c r="AF6046">
        <v>-0.42944657089899702</v>
      </c>
      <c r="AG6046">
        <v>-6.5619999999999706E-2</v>
      </c>
      <c r="AH6046">
        <v>0.73786607882647504</v>
      </c>
      <c r="AI6046">
        <v>94.395219384558999</v>
      </c>
      <c r="AJ6046">
        <v>120.199898958291</v>
      </c>
      <c r="AK6046">
        <v>0.85625737482351905</v>
      </c>
      <c r="AL6046">
        <v>81.036426600881597</v>
      </c>
      <c r="AM6046">
        <v>107.47882615498099</v>
      </c>
      <c r="AN6046">
        <v>1.0000000214492899</v>
      </c>
    </row>
    <row r="6047" spans="1:40" x14ac:dyDescent="0.25">
      <c r="A6047" t="str">
        <f>"20190312172236498"</f>
        <v>20190312172236498</v>
      </c>
      <c r="B6047" t="str">
        <f>"1552382556486441"</f>
        <v>1552382556486441</v>
      </c>
      <c r="C6047" t="s">
        <v>40</v>
      </c>
      <c r="D6047">
        <v>3.1679840000000001</v>
      </c>
      <c r="E6047">
        <v>0.45260869999999997</v>
      </c>
      <c r="F6047" t="s">
        <v>41</v>
      </c>
      <c r="G6047">
        <v>-411.01580000000001</v>
      </c>
      <c r="H6047">
        <v>1.060975</v>
      </c>
      <c r="I6047">
        <v>30.921140000000001</v>
      </c>
      <c r="J6047">
        <v>-411.87759999999997</v>
      </c>
      <c r="K6047">
        <v>1.1243459999999901</v>
      </c>
      <c r="L6047">
        <v>31.13391</v>
      </c>
      <c r="M6047">
        <v>0.73612639999999996</v>
      </c>
      <c r="N6047">
        <v>0</v>
      </c>
      <c r="O6047">
        <v>-0.67665929999999996</v>
      </c>
      <c r="P6047">
        <v>0.89233490000000004</v>
      </c>
      <c r="Q6047">
        <v>0.151223</v>
      </c>
      <c r="R6047">
        <v>-0.42528860000000002</v>
      </c>
      <c r="S6047">
        <v>2.9180600000000001</v>
      </c>
      <c r="T6047">
        <v>-0.1812716</v>
      </c>
      <c r="U6047">
        <v>-1.0032650000000001</v>
      </c>
      <c r="V6047">
        <v>-0.296317</v>
      </c>
      <c r="W6047">
        <v>0.15606039999999999</v>
      </c>
      <c r="X6047">
        <v>0.94225340000000002</v>
      </c>
      <c r="Y6047">
        <v>-0.3990224</v>
      </c>
      <c r="Z6047">
        <v>4.8705190000000002E-2</v>
      </c>
      <c r="AA6047">
        <v>0.91564670000000004</v>
      </c>
      <c r="AB6047">
        <v>34</v>
      </c>
      <c r="AC6047">
        <v>0.86179999999995904</v>
      </c>
      <c r="AD6047">
        <v>-6.3370999999999802E-2</v>
      </c>
      <c r="AE6047">
        <v>-0.21276999999999499</v>
      </c>
      <c r="AF6047">
        <v>-0.42440971971993602</v>
      </c>
      <c r="AG6047">
        <v>-6.3370999999999802E-2</v>
      </c>
      <c r="AH6047">
        <v>0.774516572820933</v>
      </c>
      <c r="AI6047">
        <v>94.104141704459806</v>
      </c>
      <c r="AJ6047">
        <v>118.721298373496</v>
      </c>
      <c r="AK6047">
        <v>0.885446449768724</v>
      </c>
      <c r="AL6047">
        <v>81.021699229264996</v>
      </c>
      <c r="AM6047">
        <v>107.45716125028299</v>
      </c>
      <c r="AN6047">
        <v>1.0000000413743499</v>
      </c>
    </row>
    <row r="6048" spans="1:40" x14ac:dyDescent="0.25">
      <c r="A6048" t="str">
        <f>"20190312172236510"</f>
        <v>20190312172236510</v>
      </c>
      <c r="B6048" t="str">
        <f>"1552382556506937"</f>
        <v>1552382556506937</v>
      </c>
      <c r="C6048" t="s">
        <v>40</v>
      </c>
      <c r="D6048">
        <v>3.2850809999999999</v>
      </c>
      <c r="E6048">
        <v>0.45305889999999999</v>
      </c>
      <c r="F6048" t="s">
        <v>42</v>
      </c>
      <c r="G6048">
        <v>-393.63569999999999</v>
      </c>
      <c r="H6048" s="1">
        <v>-4.2752089999999998E-6</v>
      </c>
      <c r="I6048">
        <v>25.028780000000001</v>
      </c>
      <c r="J6048">
        <v>-411.73520000000002</v>
      </c>
      <c r="K6048">
        <v>1.1244130000000001</v>
      </c>
      <c r="L6048">
        <v>31.012239999999998</v>
      </c>
      <c r="M6048">
        <v>0.74202950000000001</v>
      </c>
      <c r="N6048">
        <v>0</v>
      </c>
      <c r="O6048">
        <v>-0.67017979999999999</v>
      </c>
      <c r="P6048">
        <v>0.89585919999999897</v>
      </c>
      <c r="Q6048">
        <v>0.15118589999999901</v>
      </c>
      <c r="R6048">
        <v>-0.4178267</v>
      </c>
      <c r="S6048">
        <v>2.9258730000000002</v>
      </c>
      <c r="T6048">
        <v>-0.18033759999999999</v>
      </c>
      <c r="U6048">
        <v>-0.97921749999999996</v>
      </c>
      <c r="V6048">
        <v>-0.29594949999999998</v>
      </c>
      <c r="W6048">
        <v>0.15601189999999901</v>
      </c>
      <c r="X6048">
        <v>0.94237689999999996</v>
      </c>
      <c r="Y6048">
        <v>-0.39851629999999999</v>
      </c>
      <c r="Z6048">
        <v>4.814123E-2</v>
      </c>
      <c r="AA6048">
        <v>0.91589699999999996</v>
      </c>
      <c r="AB6048">
        <v>34</v>
      </c>
      <c r="AC6048">
        <v>18.099499999999999</v>
      </c>
      <c r="AD6048">
        <v>-1.12441727520899</v>
      </c>
      <c r="AE6048">
        <v>-5.98346</v>
      </c>
      <c r="AF6048">
        <v>-7.6643161439485903</v>
      </c>
      <c r="AG6048">
        <v>-1.12441727520899</v>
      </c>
      <c r="AH6048">
        <v>17.3820729158072</v>
      </c>
      <c r="AI6048">
        <v>93.387376038681793</v>
      </c>
      <c r="AJ6048">
        <v>113.794228398397</v>
      </c>
      <c r="AK6048">
        <v>19.030042433310999</v>
      </c>
      <c r="AL6048">
        <v>81.024512345401106</v>
      </c>
      <c r="AM6048">
        <v>107.434676793032</v>
      </c>
      <c r="AN6048">
        <v>1.00000002057273</v>
      </c>
    </row>
    <row r="6049" spans="1:40" x14ac:dyDescent="0.25">
      <c r="A6049" t="str">
        <f>"20190312172236526"</f>
        <v>20190312172236526</v>
      </c>
      <c r="B6049" t="str">
        <f>"1552382556516698"</f>
        <v>1552382556516698</v>
      </c>
      <c r="C6049" t="s">
        <v>40</v>
      </c>
      <c r="D6049">
        <v>3.2265779999999999</v>
      </c>
      <c r="E6049">
        <v>0.45335609999999998</v>
      </c>
      <c r="F6049" t="s">
        <v>42</v>
      </c>
      <c r="G6049">
        <v>-393.8571</v>
      </c>
      <c r="H6049" s="1">
        <v>-4.2156739999999998E-6</v>
      </c>
      <c r="I6049">
        <v>25.172470000000001</v>
      </c>
      <c r="J6049">
        <v>-411.54849999999999</v>
      </c>
      <c r="K6049">
        <v>1.124495</v>
      </c>
      <c r="L6049">
        <v>30.85538</v>
      </c>
      <c r="M6049">
        <v>0.74967689999999998</v>
      </c>
      <c r="N6049">
        <v>0</v>
      </c>
      <c r="O6049">
        <v>-0.66161359999999902</v>
      </c>
      <c r="P6049">
        <v>0.900136099999999</v>
      </c>
      <c r="Q6049">
        <v>0.15120739999999999</v>
      </c>
      <c r="R6049">
        <v>-0.40852349999999998</v>
      </c>
      <c r="S6049">
        <v>2.9330750000000001</v>
      </c>
      <c r="T6049">
        <v>-0.1844711</v>
      </c>
      <c r="U6049">
        <v>-0.95806880000000005</v>
      </c>
      <c r="V6049">
        <v>-0.2949194</v>
      </c>
      <c r="W6049">
        <v>0.15604019999999999</v>
      </c>
      <c r="X6049">
        <v>0.94269510000000001</v>
      </c>
      <c r="Y6049">
        <v>-0.39456089999999999</v>
      </c>
      <c r="Z6049">
        <v>4.872224E-2</v>
      </c>
      <c r="AA6049">
        <v>0.91757710000000003</v>
      </c>
      <c r="AB6049">
        <v>34</v>
      </c>
      <c r="AC6049">
        <v>17.691399999999899</v>
      </c>
      <c r="AD6049">
        <v>-1.1244992156739999</v>
      </c>
      <c r="AE6049">
        <v>-5.6829099999999997</v>
      </c>
      <c r="AF6049">
        <v>-7.4182951448446097</v>
      </c>
      <c r="AG6049">
        <v>-1.1244992156739999</v>
      </c>
      <c r="AH6049">
        <v>16.962748165351201</v>
      </c>
      <c r="AI6049">
        <v>93.475759881799405</v>
      </c>
      <c r="AJ6049">
        <v>113.621135107925</v>
      </c>
      <c r="AK6049">
        <v>18.548057220722701</v>
      </c>
      <c r="AL6049">
        <v>81.022870801775696</v>
      </c>
      <c r="AM6049">
        <v>107.37213930975101</v>
      </c>
      <c r="AN6049">
        <v>1.0000000240382001</v>
      </c>
    </row>
    <row r="6050" spans="1:40" x14ac:dyDescent="0.25">
      <c r="A6050" t="str">
        <f>"20190312172236538"</f>
        <v>20190312172236538</v>
      </c>
      <c r="B6050" t="str">
        <f>"1552382556526458"</f>
        <v>1552382556526458</v>
      </c>
      <c r="C6050" t="s">
        <v>40</v>
      </c>
      <c r="D6050">
        <v>3.2489460000000001</v>
      </c>
      <c r="E6050">
        <v>0.4536945</v>
      </c>
      <c r="F6050" t="s">
        <v>42</v>
      </c>
      <c r="G6050">
        <v>-393.57339999999999</v>
      </c>
      <c r="H6050" s="1">
        <v>-4.3255429999999996E-6</v>
      </c>
      <c r="I6050">
        <v>25.177679999999999</v>
      </c>
      <c r="J6050">
        <v>-411.41520000000003</v>
      </c>
      <c r="K6050">
        <v>1.1245560000000001</v>
      </c>
      <c r="L6050">
        <v>30.74521</v>
      </c>
      <c r="M6050">
        <v>0.75507409999999997</v>
      </c>
      <c r="N6050">
        <v>0</v>
      </c>
      <c r="O6050">
        <v>-0.65544690000000005</v>
      </c>
      <c r="P6050">
        <v>0.90333240000000004</v>
      </c>
      <c r="Q6050">
        <v>0.1510127</v>
      </c>
      <c r="R6050">
        <v>-0.4014799</v>
      </c>
      <c r="S6050">
        <v>2.9419559999999998</v>
      </c>
      <c r="T6050">
        <v>-0.18404509999999999</v>
      </c>
      <c r="U6050">
        <v>-0.92926030000000004</v>
      </c>
      <c r="V6050">
        <v>-0.294595099999999</v>
      </c>
      <c r="W6050">
        <v>0.1558348</v>
      </c>
      <c r="X6050">
        <v>0.94283039999999996</v>
      </c>
      <c r="Y6050">
        <v>-0.39601180000000002</v>
      </c>
      <c r="Z6050">
        <v>4.8351690000000003E-2</v>
      </c>
      <c r="AA6050">
        <v>0.91697150000000005</v>
      </c>
      <c r="AB6050">
        <v>34</v>
      </c>
      <c r="AC6050">
        <v>17.841799999999999</v>
      </c>
      <c r="AD6050">
        <v>-1.1245603255429999</v>
      </c>
      <c r="AE6050">
        <v>-5.5675299999999899</v>
      </c>
      <c r="AF6050">
        <v>-7.4643779397967602</v>
      </c>
      <c r="AG6050">
        <v>-1.1245603255429999</v>
      </c>
      <c r="AH6050">
        <v>17.0614968975419</v>
      </c>
      <c r="AI6050">
        <v>93.455664137438404</v>
      </c>
      <c r="AJ6050">
        <v>113.6293017591</v>
      </c>
      <c r="AK6050">
        <v>18.656801717838501</v>
      </c>
      <c r="AL6050">
        <v>81.034784528843204</v>
      </c>
      <c r="AM6050">
        <v>107.351843292615</v>
      </c>
      <c r="AN6050">
        <v>0.99999996049960405</v>
      </c>
    </row>
    <row r="6051" spans="1:40" x14ac:dyDescent="0.25">
      <c r="A6051" t="str">
        <f>"20190312172236549"</f>
        <v>20190312172236549</v>
      </c>
      <c r="B6051" t="str">
        <f>"1552382556546953"</f>
        <v>1552382556546953</v>
      </c>
      <c r="C6051" t="s">
        <v>40</v>
      </c>
      <c r="D6051">
        <v>3.350285</v>
      </c>
      <c r="E6051">
        <v>0.4543565</v>
      </c>
      <c r="F6051" t="s">
        <v>42</v>
      </c>
      <c r="G6051">
        <v>-393.53160000000003</v>
      </c>
      <c r="H6051" s="1">
        <v>-4.3516120000000003E-6</v>
      </c>
      <c r="I6051">
        <v>25.234159999999999</v>
      </c>
      <c r="J6051">
        <v>-411.28829999999999</v>
      </c>
      <c r="K6051">
        <v>1.1246130000000001</v>
      </c>
      <c r="L6051">
        <v>30.642939999999999</v>
      </c>
      <c r="M6051">
        <v>0.76015480000000002</v>
      </c>
      <c r="N6051">
        <v>0</v>
      </c>
      <c r="O6051">
        <v>-0.64954699999999999</v>
      </c>
      <c r="P6051">
        <v>0.90621200000000002</v>
      </c>
      <c r="Q6051">
        <v>0.1510233</v>
      </c>
      <c r="R6051">
        <v>-0.39493299999999998</v>
      </c>
      <c r="S6051">
        <v>2.948242</v>
      </c>
      <c r="T6051">
        <v>-0.18539240000000001</v>
      </c>
      <c r="U6051">
        <v>-0.90853879999999998</v>
      </c>
      <c r="V6051">
        <v>-0.29409639999999998</v>
      </c>
      <c r="W6051">
        <v>0.15584419999999999</v>
      </c>
      <c r="X6051">
        <v>0.94298459999999995</v>
      </c>
      <c r="Y6051">
        <v>-0.39528629999999998</v>
      </c>
      <c r="Z6051">
        <v>4.8397889999999999E-2</v>
      </c>
      <c r="AA6051">
        <v>0.91728209999999999</v>
      </c>
      <c r="AB6051">
        <v>34</v>
      </c>
      <c r="AC6051">
        <v>17.756699999999899</v>
      </c>
      <c r="AD6051">
        <v>-1.1246173516119999</v>
      </c>
      <c r="AE6051">
        <v>-5.4087800000000001</v>
      </c>
      <c r="AF6051">
        <v>-7.3960926805446601</v>
      </c>
      <c r="AG6051">
        <v>-1.1246173516119999</v>
      </c>
      <c r="AH6051">
        <v>16.951030664077301</v>
      </c>
      <c r="AI6051">
        <v>93.479803791772596</v>
      </c>
      <c r="AJ6051">
        <v>113.57265980365401</v>
      </c>
      <c r="AK6051">
        <v>18.5284751585564</v>
      </c>
      <c r="AL6051">
        <v>81.034239928777893</v>
      </c>
      <c r="AM6051">
        <v>107.321565336563</v>
      </c>
      <c r="AN6051">
        <v>1.00000003150187</v>
      </c>
    </row>
    <row r="6052" spans="1:40" x14ac:dyDescent="0.25">
      <c r="A6052" t="str">
        <f>"20190312172236561"</f>
        <v>20190312172236561</v>
      </c>
      <c r="B6052" t="str">
        <f>"1552382556556714"</f>
        <v>1552382556556714</v>
      </c>
      <c r="C6052" t="s">
        <v>40</v>
      </c>
      <c r="D6052">
        <v>3.2375310000000002</v>
      </c>
      <c r="E6052">
        <v>0.4543565</v>
      </c>
      <c r="F6052" t="s">
        <v>42</v>
      </c>
      <c r="G6052">
        <v>-393.41640000000001</v>
      </c>
      <c r="H6052" s="1">
        <v>-4.3981299999999999E-6</v>
      </c>
      <c r="I6052">
        <v>25.246880000000001</v>
      </c>
      <c r="J6052">
        <v>-411.14659999999998</v>
      </c>
      <c r="K6052">
        <v>1.124679</v>
      </c>
      <c r="L6052">
        <v>30.529689999999999</v>
      </c>
      <c r="M6052">
        <v>0.76577010000000001</v>
      </c>
      <c r="N6052">
        <v>0</v>
      </c>
      <c r="O6052">
        <v>-0.64291690000000001</v>
      </c>
      <c r="P6052">
        <v>0.90944619999999998</v>
      </c>
      <c r="Q6052">
        <v>0.15136520000000001</v>
      </c>
      <c r="R6052">
        <v>-0.38729360000000002</v>
      </c>
      <c r="S6052">
        <v>2.9529109999999998</v>
      </c>
      <c r="T6052">
        <v>-0.18581590000000001</v>
      </c>
      <c r="U6052">
        <v>-0.891570999999999</v>
      </c>
      <c r="V6052">
        <v>-0.29383730000000002</v>
      </c>
      <c r="W6052">
        <v>0.15617200000000001</v>
      </c>
      <c r="X6052">
        <v>0.94301109999999999</v>
      </c>
      <c r="Y6052">
        <v>-0.39254329999999998</v>
      </c>
      <c r="Z6052">
        <v>4.8115100000000001E-2</v>
      </c>
      <c r="AA6052">
        <v>0.91847409999999996</v>
      </c>
      <c r="AB6052">
        <v>34</v>
      </c>
      <c r="AC6052">
        <v>17.7301999999999</v>
      </c>
      <c r="AD6052">
        <v>-1.12468339813</v>
      </c>
      <c r="AE6052">
        <v>-5.2828099999999996</v>
      </c>
      <c r="AF6052">
        <v>-7.3274814020186501</v>
      </c>
      <c r="AG6052">
        <v>-1.12468339813</v>
      </c>
      <c r="AH6052">
        <v>16.9133148641058</v>
      </c>
      <c r="AI6052">
        <v>93.491673906612107</v>
      </c>
      <c r="AJ6052">
        <v>113.424067444345</v>
      </c>
      <c r="AK6052">
        <v>18.466648752151599</v>
      </c>
      <c r="AL6052">
        <v>81.015225213075198</v>
      </c>
      <c r="AM6052">
        <v>107.30675952320399</v>
      </c>
      <c r="AN6052">
        <v>0.99999999358924996</v>
      </c>
    </row>
    <row r="6053" spans="1:40" x14ac:dyDescent="0.25">
      <c r="A6053" t="str">
        <f>"20190312172236572"</f>
        <v>20190312172236572</v>
      </c>
      <c r="B6053" t="str">
        <f>"1552382556566473"</f>
        <v>1552382556566473</v>
      </c>
      <c r="C6053" t="s">
        <v>40</v>
      </c>
      <c r="D6053">
        <v>3.1716519999999999</v>
      </c>
      <c r="E6053">
        <v>0.46449970000000002</v>
      </c>
      <c r="F6053" t="s">
        <v>41</v>
      </c>
      <c r="G6053">
        <v>-410.08960000000002</v>
      </c>
      <c r="H6053">
        <v>1.05877</v>
      </c>
      <c r="I6053">
        <v>30.22044</v>
      </c>
      <c r="J6053">
        <v>-411.0154</v>
      </c>
      <c r="K6053">
        <v>1.124735</v>
      </c>
      <c r="L6053">
        <v>30.42755</v>
      </c>
      <c r="M6053">
        <v>0.7709165</v>
      </c>
      <c r="N6053">
        <v>0</v>
      </c>
      <c r="O6053">
        <v>-0.63673630000000003</v>
      </c>
      <c r="P6053">
        <v>0.91232639999999998</v>
      </c>
      <c r="Q6053">
        <v>0.151452799999999</v>
      </c>
      <c r="R6053">
        <v>-0.3804245</v>
      </c>
      <c r="S6053">
        <v>2.9604189999999999</v>
      </c>
      <c r="T6053">
        <v>-0.18461659999999999</v>
      </c>
      <c r="U6053">
        <v>-0.86651610000000001</v>
      </c>
      <c r="V6053">
        <v>-0.29337920000000001</v>
      </c>
      <c r="W6053">
        <v>0.15625629999999999</v>
      </c>
      <c r="X6053">
        <v>0.94313979999999997</v>
      </c>
      <c r="Y6053">
        <v>-0.3929666</v>
      </c>
      <c r="Z6053">
        <v>4.7509179999999998E-2</v>
      </c>
      <c r="AA6053">
        <v>0.91832460000000005</v>
      </c>
      <c r="AB6053">
        <v>34</v>
      </c>
      <c r="AC6053">
        <v>0.92579999999998097</v>
      </c>
      <c r="AD6053">
        <v>-6.5964999999999996E-2</v>
      </c>
      <c r="AE6053">
        <v>-0.20710999999999599</v>
      </c>
      <c r="AF6053">
        <v>-0.42781226946899198</v>
      </c>
      <c r="AG6053">
        <v>-6.5964999999999996E-2</v>
      </c>
      <c r="AH6053">
        <v>0.84162747243923197</v>
      </c>
      <c r="AI6053">
        <v>93.996726056631502</v>
      </c>
      <c r="AJ6053">
        <v>116.944935379198</v>
      </c>
      <c r="AK6053">
        <v>0.94642037250772404</v>
      </c>
      <c r="AL6053">
        <v>81.010335513611693</v>
      </c>
      <c r="AM6053">
        <v>107.27916806821599</v>
      </c>
      <c r="AN6053">
        <v>1.0000000343131801</v>
      </c>
    </row>
    <row r="6054" spans="1:40" x14ac:dyDescent="0.25">
      <c r="A6054" t="str">
        <f>"20190312172236584"</f>
        <v>20190312172236584</v>
      </c>
      <c r="B6054" t="str">
        <f>"1552382556576234"</f>
        <v>1552382556576234</v>
      </c>
      <c r="C6054" t="s">
        <v>40</v>
      </c>
      <c r="D6054">
        <v>3.1006399999999998</v>
      </c>
      <c r="E6054">
        <v>0.46547670000000002</v>
      </c>
      <c r="F6054" t="s">
        <v>42</v>
      </c>
      <c r="G6054">
        <v>-392.0702</v>
      </c>
      <c r="H6054" s="1">
        <v>-4.7823579999999901E-6</v>
      </c>
      <c r="I6054">
        <v>24.498760000000001</v>
      </c>
      <c r="J6054">
        <v>-410.87389999999999</v>
      </c>
      <c r="K6054">
        <v>1.124798</v>
      </c>
      <c r="L6054">
        <v>30.3187</v>
      </c>
      <c r="M6054">
        <v>0.77640100000000001</v>
      </c>
      <c r="N6054">
        <v>0</v>
      </c>
      <c r="O6054">
        <v>-0.63003679999999995</v>
      </c>
      <c r="P6054">
        <v>0.91538600000000003</v>
      </c>
      <c r="Q6054">
        <v>0.1517481</v>
      </c>
      <c r="R6054">
        <v>-0.37288260000000001</v>
      </c>
      <c r="S6054">
        <v>2.9342959999999998</v>
      </c>
      <c r="T6054">
        <v>-0.1742041</v>
      </c>
      <c r="U6054">
        <v>-0.91827389999999998</v>
      </c>
      <c r="V6054">
        <v>-0.29299910000000001</v>
      </c>
      <c r="W6054">
        <v>0.15654409999999999</v>
      </c>
      <c r="X6054">
        <v>0.9432102</v>
      </c>
      <c r="Y6054">
        <v>-0.36804310000000001</v>
      </c>
      <c r="Z6054">
        <v>4.4048950000000003E-2</v>
      </c>
      <c r="AA6054">
        <v>0.92876479999999995</v>
      </c>
      <c r="AB6054">
        <v>34</v>
      </c>
      <c r="AC6054">
        <v>18.8036999999999</v>
      </c>
      <c r="AD6054">
        <v>-1.124802782358</v>
      </c>
      <c r="AE6054">
        <v>-5.8199399999999901</v>
      </c>
      <c r="AF6054">
        <v>-7.3054953717633904</v>
      </c>
      <c r="AG6054">
        <v>-1.124802782358</v>
      </c>
      <c r="AH6054">
        <v>18.2088591155157</v>
      </c>
      <c r="AI6054">
        <v>93.281190284530396</v>
      </c>
      <c r="AJ6054">
        <v>111.860930444497</v>
      </c>
      <c r="AK6054">
        <v>19.651920878498299</v>
      </c>
      <c r="AL6054">
        <v>80.993640064316494</v>
      </c>
      <c r="AM6054">
        <v>107.25690017433899</v>
      </c>
      <c r="AN6054">
        <v>1.0000000046148201</v>
      </c>
    </row>
    <row r="6055" spans="1:40" x14ac:dyDescent="0.25">
      <c r="A6055" t="str">
        <f>"20190312172236595"</f>
        <v>20190312172236595</v>
      </c>
      <c r="B6055" t="str">
        <f>"1552382556586970"</f>
        <v>1552382556586970</v>
      </c>
      <c r="C6055" t="s">
        <v>40</v>
      </c>
      <c r="D6055">
        <v>3.427416</v>
      </c>
      <c r="E6055">
        <v>0.46654010000000001</v>
      </c>
      <c r="F6055" t="s">
        <v>42</v>
      </c>
      <c r="G6055">
        <v>-391.983</v>
      </c>
      <c r="H6055" s="1">
        <v>-4.8207339999999999E-6</v>
      </c>
      <c r="I6055">
        <v>24.526260000000001</v>
      </c>
      <c r="J6055">
        <v>-410.72949999999997</v>
      </c>
      <c r="K6055">
        <v>1.1248590000000001</v>
      </c>
      <c r="L6055">
        <v>30.20966</v>
      </c>
      <c r="M6055">
        <v>0.78193939999999995</v>
      </c>
      <c r="N6055">
        <v>0</v>
      </c>
      <c r="O6055">
        <v>-0.62314899999999995</v>
      </c>
      <c r="P6055">
        <v>0.91831309999999999</v>
      </c>
      <c r="Q6055">
        <v>0.1521479</v>
      </c>
      <c r="R6055">
        <v>-0.365448</v>
      </c>
      <c r="S6055">
        <v>2.9392399999999999</v>
      </c>
      <c r="T6055">
        <v>-0.17500789999999999</v>
      </c>
      <c r="U6055">
        <v>-0.90124510000000002</v>
      </c>
      <c r="V6055">
        <v>-0.2923058</v>
      </c>
      <c r="W6055">
        <v>0.15694910000000001</v>
      </c>
      <c r="X6055">
        <v>0.94335800000000003</v>
      </c>
      <c r="Y6055">
        <v>-0.36518089999999997</v>
      </c>
      <c r="Z6055">
        <v>4.3854070000000002E-2</v>
      </c>
      <c r="AA6055">
        <v>0.92990309999999998</v>
      </c>
      <c r="AB6055">
        <v>34</v>
      </c>
      <c r="AC6055">
        <v>18.746499999999902</v>
      </c>
      <c r="AD6055">
        <v>-1.124863820734</v>
      </c>
      <c r="AE6055">
        <v>-5.68339999999999</v>
      </c>
      <c r="AF6055">
        <v>-7.2149248258914804</v>
      </c>
      <c r="AG6055">
        <v>-1.124863820734</v>
      </c>
      <c r="AH6055">
        <v>18.142739107257899</v>
      </c>
      <c r="AI6055">
        <v>93.297298610196606</v>
      </c>
      <c r="AJ6055">
        <v>111.68650910944</v>
      </c>
      <c r="AK6055">
        <v>19.557081611848101</v>
      </c>
      <c r="AL6055">
        <v>80.9701448804677</v>
      </c>
      <c r="AM6055">
        <v>107.21594542982101</v>
      </c>
      <c r="AN6055">
        <v>1.00000000843422</v>
      </c>
    </row>
    <row r="6056" spans="1:40" x14ac:dyDescent="0.25">
      <c r="A6056" t="str">
        <f>"20190312172236607"</f>
        <v>20190312172236607</v>
      </c>
      <c r="B6056" t="str">
        <f>"1552382556596729"</f>
        <v>1552382556596729</v>
      </c>
      <c r="C6056" t="s">
        <v>40</v>
      </c>
      <c r="D6056">
        <v>3.6096020000000002</v>
      </c>
      <c r="E6056">
        <v>0.46748590000000001</v>
      </c>
      <c r="F6056" t="s">
        <v>42</v>
      </c>
      <c r="G6056">
        <v>-391.81619999999998</v>
      </c>
      <c r="H6056" s="1">
        <v>-4.8838459999999997E-6</v>
      </c>
      <c r="I6056">
        <v>24.520949999999999</v>
      </c>
      <c r="J6056">
        <v>-410.59969999999998</v>
      </c>
      <c r="K6056">
        <v>1.124916</v>
      </c>
      <c r="L6056">
        <v>30.113710000000001</v>
      </c>
      <c r="M6056">
        <v>0.78685799999999995</v>
      </c>
      <c r="N6056">
        <v>0</v>
      </c>
      <c r="O6056">
        <v>-0.61692619999999998</v>
      </c>
      <c r="P6056">
        <v>0.92093860000000005</v>
      </c>
      <c r="Q6056">
        <v>0.15254279999999901</v>
      </c>
      <c r="R6056">
        <v>-0.35861320000000002</v>
      </c>
      <c r="S6056">
        <v>2.9435120000000001</v>
      </c>
      <c r="T6056">
        <v>-0.1750649</v>
      </c>
      <c r="U6056">
        <v>-0.88534550000000001</v>
      </c>
      <c r="V6056">
        <v>-0.29182789999999997</v>
      </c>
      <c r="W6056">
        <v>0.15734419999999999</v>
      </c>
      <c r="X6056">
        <v>0.9434401</v>
      </c>
      <c r="Y6056">
        <v>-0.36278529999999998</v>
      </c>
      <c r="Z6056">
        <v>4.3515320000000003E-2</v>
      </c>
      <c r="AA6056">
        <v>0.93085620000000002</v>
      </c>
      <c r="AB6056">
        <v>34</v>
      </c>
      <c r="AC6056">
        <v>18.7835</v>
      </c>
      <c r="AD6056">
        <v>-1.1249208838460001</v>
      </c>
      <c r="AE6056">
        <v>-5.5927599999999904</v>
      </c>
      <c r="AF6056">
        <v>-7.1646429282028397</v>
      </c>
      <c r="AG6056">
        <v>-1.1249208838460001</v>
      </c>
      <c r="AH6056">
        <v>18.172734715710501</v>
      </c>
      <c r="AI6056">
        <v>93.2958860284769</v>
      </c>
      <c r="AJ6056">
        <v>111.516953666948</v>
      </c>
      <c r="AK6056">
        <v>19.566446849930301</v>
      </c>
      <c r="AL6056">
        <v>80.9472221758205</v>
      </c>
      <c r="AM6056">
        <v>107.18805086574</v>
      </c>
      <c r="AN6056">
        <v>0.99999997139002905</v>
      </c>
    </row>
    <row r="6057" spans="1:40" x14ac:dyDescent="0.25">
      <c r="A6057" t="str">
        <f>"20190312172236619"</f>
        <v>20190312172236619</v>
      </c>
      <c r="B6057" t="str">
        <f>"1552382556616250"</f>
        <v>1552382556616250</v>
      </c>
      <c r="C6057" t="s">
        <v>40</v>
      </c>
      <c r="D6057">
        <v>3.3592149999999998</v>
      </c>
      <c r="E6057">
        <v>0.46815079999999998</v>
      </c>
      <c r="F6057" t="s">
        <v>42</v>
      </c>
      <c r="G6057">
        <v>-391.77390000000003</v>
      </c>
      <c r="H6057" s="1">
        <v>-4.9058079999999999E-6</v>
      </c>
      <c r="I6057">
        <v>24.5533</v>
      </c>
      <c r="J6057">
        <v>-410.45260000000002</v>
      </c>
      <c r="K6057">
        <v>1.124978</v>
      </c>
      <c r="L6057">
        <v>30.006129999999999</v>
      </c>
      <c r="M6057">
        <v>0.79236509999999905</v>
      </c>
      <c r="N6057">
        <v>0</v>
      </c>
      <c r="O6057">
        <v>-0.60983580000000004</v>
      </c>
      <c r="P6057">
        <v>0.92381869999999999</v>
      </c>
      <c r="Q6057">
        <v>0.1530492</v>
      </c>
      <c r="R6057">
        <v>-0.35090569999999999</v>
      </c>
      <c r="S6057">
        <v>2.9476930000000001</v>
      </c>
      <c r="T6057">
        <v>-0.17613770000000001</v>
      </c>
      <c r="U6057">
        <v>-0.87063599999999997</v>
      </c>
      <c r="V6057">
        <v>-0.29122949999999997</v>
      </c>
      <c r="W6057">
        <v>0.15785270000000001</v>
      </c>
      <c r="X6057">
        <v>0.94354009999999999</v>
      </c>
      <c r="Y6057">
        <v>-0.35904609999999998</v>
      </c>
      <c r="Z6057">
        <v>4.3343600000000003E-2</v>
      </c>
      <c r="AA6057">
        <v>0.93231280000000005</v>
      </c>
      <c r="AB6057">
        <v>34</v>
      </c>
      <c r="AC6057">
        <v>18.6786999999999</v>
      </c>
      <c r="AD6057">
        <v>-1.1249829058079901</v>
      </c>
      <c r="AE6057">
        <v>-5.4528299999999899</v>
      </c>
      <c r="AF6057">
        <v>-7.0476621893038498</v>
      </c>
      <c r="AG6057">
        <v>-1.1249829058079901</v>
      </c>
      <c r="AH6057">
        <v>18.067625961481301</v>
      </c>
      <c r="AI6057">
        <v>93.319903630812206</v>
      </c>
      <c r="AJ6057">
        <v>111.309328962278</v>
      </c>
      <c r="AK6057">
        <v>19.426122535310402</v>
      </c>
      <c r="AL6057">
        <v>80.917718911799994</v>
      </c>
      <c r="AM6057">
        <v>107.153165765813</v>
      </c>
      <c r="AN6057">
        <v>1.00000000843777</v>
      </c>
    </row>
    <row r="6058" spans="1:40" x14ac:dyDescent="0.25">
      <c r="A6058" t="str">
        <f>"20190312172236630"</f>
        <v>20190312172236630</v>
      </c>
      <c r="B6058" t="str">
        <f>"1552382556626986"</f>
        <v>1552382556626986</v>
      </c>
      <c r="C6058" t="s">
        <v>40</v>
      </c>
      <c r="D6058">
        <v>3.1068220000000002</v>
      </c>
      <c r="E6058">
        <v>0.46905599999999997</v>
      </c>
      <c r="F6058" t="s">
        <v>42</v>
      </c>
      <c r="G6058">
        <v>-392.42309999999998</v>
      </c>
      <c r="H6058" s="1">
        <v>-4.701522E-6</v>
      </c>
      <c r="I6058">
        <v>24.806940000000001</v>
      </c>
      <c r="J6058">
        <v>-410.32029999999997</v>
      </c>
      <c r="K6058">
        <v>1.12503</v>
      </c>
      <c r="L6058">
        <v>29.912199999999999</v>
      </c>
      <c r="M6058">
        <v>0.79726090000000005</v>
      </c>
      <c r="N6058">
        <v>0</v>
      </c>
      <c r="O6058">
        <v>-0.60342079999999998</v>
      </c>
      <c r="P6058">
        <v>0.92646099999999998</v>
      </c>
      <c r="Q6058">
        <v>0.1534306</v>
      </c>
      <c r="R6058">
        <v>-0.34369880000000003</v>
      </c>
      <c r="S6058">
        <v>2.954285</v>
      </c>
      <c r="T6058">
        <v>-0.1843371</v>
      </c>
      <c r="U6058">
        <v>-0.85192869999999998</v>
      </c>
      <c r="V6058">
        <v>-0.29096119999999998</v>
      </c>
      <c r="W6058">
        <v>0.1582266</v>
      </c>
      <c r="X6058">
        <v>0.94356019999999896</v>
      </c>
      <c r="Y6058">
        <v>-0.35740080000000002</v>
      </c>
      <c r="Z6058">
        <v>4.4968050000000002E-2</v>
      </c>
      <c r="AA6058">
        <v>0.93286789999999997</v>
      </c>
      <c r="AB6058">
        <v>34</v>
      </c>
      <c r="AC6058">
        <v>17.897199999999899</v>
      </c>
      <c r="AD6058">
        <v>-1.1250347015219999</v>
      </c>
      <c r="AE6058">
        <v>-5.1052599999999897</v>
      </c>
      <c r="AF6058">
        <v>-6.7056845142632602</v>
      </c>
      <c r="AG6058">
        <v>-1.1250347015219999</v>
      </c>
      <c r="AH6058">
        <v>17.288425159121299</v>
      </c>
      <c r="AI6058">
        <v>93.471908923323596</v>
      </c>
      <c r="AJ6058">
        <v>111.19984538659</v>
      </c>
      <c r="AK6058">
        <v>18.5774474125752</v>
      </c>
      <c r="AL6058">
        <v>80.896022958352106</v>
      </c>
      <c r="AM6058">
        <v>107.13794569686701</v>
      </c>
      <c r="AN6058">
        <v>0.99999996393851898</v>
      </c>
    </row>
    <row r="6059" spans="1:40" x14ac:dyDescent="0.25">
      <c r="A6059" t="str">
        <f>"20190312172236642"</f>
        <v>20190312172236642</v>
      </c>
      <c r="B6059" t="str">
        <f>"1552382556636746"</f>
        <v>1552382556636746</v>
      </c>
      <c r="C6059" t="s">
        <v>40</v>
      </c>
      <c r="D6059">
        <v>3.2238989999999998</v>
      </c>
      <c r="E6059">
        <v>0.46970129999999999</v>
      </c>
      <c r="F6059" t="s">
        <v>42</v>
      </c>
      <c r="G6059">
        <v>-392.19220000000001</v>
      </c>
      <c r="H6059" s="1">
        <v>-4.78695E-6</v>
      </c>
      <c r="I6059">
        <v>24.788820000000001</v>
      </c>
      <c r="J6059">
        <v>-410.17110000000002</v>
      </c>
      <c r="K6059">
        <v>1.1250880000000001</v>
      </c>
      <c r="L6059">
        <v>29.80716</v>
      </c>
      <c r="M6059">
        <v>0.80271749999999997</v>
      </c>
      <c r="N6059">
        <v>0</v>
      </c>
      <c r="O6059">
        <v>-0.59614230000000001</v>
      </c>
      <c r="P6059">
        <v>0.92928549999999999</v>
      </c>
      <c r="Q6059">
        <v>0.15382290000000001</v>
      </c>
      <c r="R6059">
        <v>-0.3358083</v>
      </c>
      <c r="S6059">
        <v>2.9583439999999999</v>
      </c>
      <c r="T6059">
        <v>-0.18359549999999999</v>
      </c>
      <c r="U6059">
        <v>-0.83609009999999995</v>
      </c>
      <c r="V6059">
        <v>-0.29039900000000002</v>
      </c>
      <c r="W6059">
        <v>0.1586207</v>
      </c>
      <c r="X6059">
        <v>0.94366719999999904</v>
      </c>
      <c r="Y6059">
        <v>-0.35389189999999998</v>
      </c>
      <c r="Z6059">
        <v>4.4327199999999997E-2</v>
      </c>
      <c r="AA6059">
        <v>0.93423529999999999</v>
      </c>
      <c r="AB6059">
        <v>34</v>
      </c>
      <c r="AC6059">
        <v>17.978899999999999</v>
      </c>
      <c r="AD6059">
        <v>-1.12509278694999</v>
      </c>
      <c r="AE6059">
        <v>-5.0183399999999896</v>
      </c>
      <c r="AF6059">
        <v>-6.66632096710424</v>
      </c>
      <c r="AG6059">
        <v>-1.12509278694999</v>
      </c>
      <c r="AH6059">
        <v>17.362799562406899</v>
      </c>
      <c r="AI6059">
        <v>93.461804970435395</v>
      </c>
      <c r="AJ6059">
        <v>111.00393059056</v>
      </c>
      <c r="AK6059">
        <v>18.632564978016799</v>
      </c>
      <c r="AL6059">
        <v>80.873153708154106</v>
      </c>
      <c r="AM6059">
        <v>107.104939861663</v>
      </c>
      <c r="AN6059">
        <v>0.99999994501266298</v>
      </c>
    </row>
    <row r="6060" spans="1:40" x14ac:dyDescent="0.25">
      <c r="A6060" t="str">
        <f>"20190312172236655"</f>
        <v>20190312172236655</v>
      </c>
      <c r="B6060" t="str">
        <f>"1552382556646506"</f>
        <v>1552382556646506</v>
      </c>
      <c r="C6060" t="s">
        <v>40</v>
      </c>
      <c r="D6060">
        <v>3.4041879999999902</v>
      </c>
      <c r="E6060">
        <v>0.47052880000000002</v>
      </c>
      <c r="F6060" t="s">
        <v>42</v>
      </c>
      <c r="G6060">
        <v>-391.99740000000003</v>
      </c>
      <c r="H6060" s="1">
        <v>-4.864179E-6</v>
      </c>
      <c r="I6060">
        <v>24.80245</v>
      </c>
      <c r="J6060">
        <v>-410.01150000000001</v>
      </c>
      <c r="K6060">
        <v>1.1251500000000001</v>
      </c>
      <c r="L6060">
        <v>29.697600000000001</v>
      </c>
      <c r="M6060">
        <v>0.80847619999999998</v>
      </c>
      <c r="N6060">
        <v>0</v>
      </c>
      <c r="O6060">
        <v>-0.5883081</v>
      </c>
      <c r="P6060">
        <v>0.93229600000000001</v>
      </c>
      <c r="Q6060">
        <v>0.15401099999999901</v>
      </c>
      <c r="R6060">
        <v>-0.32726860000000002</v>
      </c>
      <c r="S6060">
        <v>2.9637449999999999</v>
      </c>
      <c r="T6060">
        <v>-0.18347859999999999</v>
      </c>
      <c r="U6060">
        <v>-0.8161621</v>
      </c>
      <c r="V6060">
        <v>-0.28989290000000001</v>
      </c>
      <c r="W6060">
        <v>0.15880949999999999</v>
      </c>
      <c r="X6060">
        <v>0.94379120000000005</v>
      </c>
      <c r="Y6060">
        <v>-0.35109119999999999</v>
      </c>
      <c r="Z6060">
        <v>4.3822649999999998E-2</v>
      </c>
      <c r="AA6060">
        <v>0.93531520000000001</v>
      </c>
      <c r="AB6060">
        <v>34</v>
      </c>
      <c r="AC6060">
        <v>18.0140999999999</v>
      </c>
      <c r="AD6060">
        <v>-1.1251548641789999</v>
      </c>
      <c r="AE6060">
        <v>-4.8951500000000001</v>
      </c>
      <c r="AF6060">
        <v>-6.6170520650616904</v>
      </c>
      <c r="AG6060">
        <v>-1.1251548641789999</v>
      </c>
      <c r="AH6060">
        <v>17.3829427447731</v>
      </c>
      <c r="AI6060">
        <v>93.461768731500896</v>
      </c>
      <c r="AJ6060">
        <v>110.84000331696799</v>
      </c>
      <c r="AK6060">
        <v>18.633787858838101</v>
      </c>
      <c r="AL6060">
        <v>80.862198722682393</v>
      </c>
      <c r="AM6060">
        <v>107.07475234227</v>
      </c>
      <c r="AN6060">
        <v>1.00000008997904</v>
      </c>
    </row>
    <row r="6061" spans="1:40" x14ac:dyDescent="0.25">
      <c r="A6061" t="str">
        <f>"20190312172236667"</f>
        <v>20190312172236667</v>
      </c>
      <c r="B6061" t="str">
        <f>"1552382556656265"</f>
        <v>1552382556656265</v>
      </c>
      <c r="C6061" t="s">
        <v>40</v>
      </c>
      <c r="D6061">
        <v>3.2819029999999998</v>
      </c>
      <c r="E6061">
        <v>0.4710239</v>
      </c>
      <c r="F6061" t="s">
        <v>42</v>
      </c>
      <c r="G6061">
        <v>-391.76830000000001</v>
      </c>
      <c r="H6061" s="1">
        <v>-4.9536439999999998E-6</v>
      </c>
      <c r="I6061">
        <v>24.810790000000001</v>
      </c>
      <c r="J6061">
        <v>-409.8775</v>
      </c>
      <c r="K6061">
        <v>1.1252009999999999</v>
      </c>
      <c r="L6061">
        <v>29.607389999999999</v>
      </c>
      <c r="M6061">
        <v>0.81324759999999996</v>
      </c>
      <c r="N6061">
        <v>0</v>
      </c>
      <c r="O6061">
        <v>-0.58169389999999999</v>
      </c>
      <c r="P6061">
        <v>0.9347145</v>
      </c>
      <c r="Q6061">
        <v>0.15410119999999999</v>
      </c>
      <c r="R6061">
        <v>-0.3202527</v>
      </c>
      <c r="S6061">
        <v>2.9689329999999998</v>
      </c>
      <c r="T6061">
        <v>-0.18310950000000001</v>
      </c>
      <c r="U6061">
        <v>-0.79528809999999905</v>
      </c>
      <c r="V6061">
        <v>-0.2893019</v>
      </c>
      <c r="W6061">
        <v>0.15890789999999999</v>
      </c>
      <c r="X6061">
        <v>0.94395589999999996</v>
      </c>
      <c r="Y6061">
        <v>-0.35001700000000002</v>
      </c>
      <c r="Z6061">
        <v>4.337071E-2</v>
      </c>
      <c r="AA6061">
        <v>0.93573879999999998</v>
      </c>
      <c r="AB6061">
        <v>34</v>
      </c>
      <c r="AC6061">
        <v>18.109199999999898</v>
      </c>
      <c r="AD6061">
        <v>-1.125205953644</v>
      </c>
      <c r="AE6061">
        <v>-4.7965999999999998</v>
      </c>
      <c r="AF6061">
        <v>-6.6102050708029996</v>
      </c>
      <c r="AG6061">
        <v>-1.125205953644</v>
      </c>
      <c r="AH6061">
        <v>17.456722064752601</v>
      </c>
      <c r="AI6061">
        <v>93.449613686736797</v>
      </c>
      <c r="AJ6061">
        <v>110.739795002661</v>
      </c>
      <c r="AK6061">
        <v>18.700215099356601</v>
      </c>
      <c r="AL6061">
        <v>80.856487709929198</v>
      </c>
      <c r="AM6061">
        <v>107.03916005206101</v>
      </c>
      <c r="AN6061">
        <v>1.00000002558541</v>
      </c>
    </row>
    <row r="6062" spans="1:40" x14ac:dyDescent="0.25">
      <c r="A6062" t="str">
        <f>"20190312172236679"</f>
        <v>20190312172236679</v>
      </c>
      <c r="B6062" t="str">
        <f>"1552382556676762"</f>
        <v>1552382556676762</v>
      </c>
      <c r="C6062" t="s">
        <v>40</v>
      </c>
      <c r="D6062">
        <v>3.1953770000000001</v>
      </c>
      <c r="E6062">
        <v>0.47155599999999998</v>
      </c>
      <c r="F6062" t="s">
        <v>42</v>
      </c>
      <c r="G6062">
        <v>-391.77960000000002</v>
      </c>
      <c r="H6062" s="1">
        <v>-4.9615809999999998E-6</v>
      </c>
      <c r="I6062">
        <v>24.879919999999998</v>
      </c>
      <c r="J6062">
        <v>-409.71510000000001</v>
      </c>
      <c r="K6062">
        <v>1.125259</v>
      </c>
      <c r="L6062">
        <v>29.49954</v>
      </c>
      <c r="M6062">
        <v>0.81895319999999905</v>
      </c>
      <c r="N6062">
        <v>0</v>
      </c>
      <c r="O6062">
        <v>-0.573632699999999</v>
      </c>
      <c r="P6062">
        <v>0.93762000000000001</v>
      </c>
      <c r="Q6062">
        <v>0.15426010000000001</v>
      </c>
      <c r="R6062">
        <v>-0.31156499999999998</v>
      </c>
      <c r="S6062">
        <v>2.9738769999999999</v>
      </c>
      <c r="T6062">
        <v>-0.18489530000000001</v>
      </c>
      <c r="U6062">
        <v>-0.77682499999999999</v>
      </c>
      <c r="V6062">
        <v>-0.28875230000000002</v>
      </c>
      <c r="W6062">
        <v>0.15906979999999901</v>
      </c>
      <c r="X6062">
        <v>0.94409690000000002</v>
      </c>
      <c r="Y6062">
        <v>-0.34657310000000002</v>
      </c>
      <c r="Z6062">
        <v>4.3276439999999999E-2</v>
      </c>
      <c r="AA6062">
        <v>0.93702410000000003</v>
      </c>
      <c r="AB6062">
        <v>34</v>
      </c>
      <c r="AC6062">
        <v>17.935499999999902</v>
      </c>
      <c r="AD6062">
        <v>-1.1252639615809901</v>
      </c>
      <c r="AE6062">
        <v>-4.6196200000000003</v>
      </c>
      <c r="AF6062">
        <v>-6.4820588229340501</v>
      </c>
      <c r="AG6062">
        <v>-1.1252639615809901</v>
      </c>
      <c r="AH6062">
        <v>17.276790156980098</v>
      </c>
      <c r="AI6062">
        <v>93.489619767828401</v>
      </c>
      <c r="AJ6062">
        <v>110.565530323974</v>
      </c>
      <c r="AK6062">
        <v>18.487043671056099</v>
      </c>
      <c r="AL6062">
        <v>80.847092001970097</v>
      </c>
      <c r="AM6062">
        <v>107.006266455508</v>
      </c>
      <c r="AN6062">
        <v>1.0000000243084599</v>
      </c>
    </row>
    <row r="6063" spans="1:40" x14ac:dyDescent="0.25">
      <c r="A6063" t="str">
        <f>"20190312172236698"</f>
        <v>20190312172236698</v>
      </c>
      <c r="B6063" t="str">
        <f>"1552382556686521"</f>
        <v>1552382556686521</v>
      </c>
      <c r="C6063" t="s">
        <v>40</v>
      </c>
      <c r="D6063">
        <v>3.198601</v>
      </c>
      <c r="E6063">
        <v>0.48226200000000002</v>
      </c>
      <c r="F6063" t="s">
        <v>42</v>
      </c>
      <c r="G6063">
        <v>-391.8252</v>
      </c>
      <c r="H6063" s="1">
        <v>-4.9610210000000004E-6</v>
      </c>
      <c r="I6063">
        <v>24.97559</v>
      </c>
      <c r="J6063">
        <v>-409.48570000000001</v>
      </c>
      <c r="K6063">
        <v>1.1253390000000001</v>
      </c>
      <c r="L6063">
        <v>29.351990000000001</v>
      </c>
      <c r="M6063">
        <v>0.82686559999999898</v>
      </c>
      <c r="N6063">
        <v>0</v>
      </c>
      <c r="O6063">
        <v>-0.56216639999999996</v>
      </c>
      <c r="P6063">
        <v>0.94158200000000003</v>
      </c>
      <c r="Q6063">
        <v>0.154303</v>
      </c>
      <c r="R6063">
        <v>-0.29935630000000002</v>
      </c>
      <c r="S6063">
        <v>2.9799799999999999</v>
      </c>
      <c r="T6063">
        <v>-0.1874391</v>
      </c>
      <c r="U6063">
        <v>-0.75357059999999998</v>
      </c>
      <c r="V6063">
        <v>-0.28789330000000002</v>
      </c>
      <c r="W6063">
        <v>0.15912299999999999</v>
      </c>
      <c r="X6063">
        <v>0.94435020000000003</v>
      </c>
      <c r="Y6063">
        <v>-0.34081699999999998</v>
      </c>
      <c r="Z6063">
        <v>4.30976E-2</v>
      </c>
      <c r="AA6063">
        <v>0.93914129999999996</v>
      </c>
      <c r="AB6063">
        <v>34</v>
      </c>
      <c r="AC6063">
        <v>17.660499999999999</v>
      </c>
      <c r="AD6063">
        <v>-1.1253439610210001</v>
      </c>
      <c r="AE6063">
        <v>-4.3764000000000003</v>
      </c>
      <c r="AF6063">
        <v>-6.2862248718323404</v>
      </c>
      <c r="AG6063">
        <v>-1.1253439610210001</v>
      </c>
      <c r="AH6063">
        <v>17.000328698427101</v>
      </c>
      <c r="AI6063">
        <v>93.552750832905602</v>
      </c>
      <c r="AJ6063">
        <v>110.292921166696</v>
      </c>
      <c r="AK6063">
        <v>18.160236728204101</v>
      </c>
      <c r="AL6063">
        <v>80.844004232103401</v>
      </c>
      <c r="AM6063">
        <v>106.954294599383</v>
      </c>
      <c r="AN6063">
        <v>0.999999990776965</v>
      </c>
    </row>
    <row r="6064" spans="1:40" x14ac:dyDescent="0.25">
      <c r="A6064" t="str">
        <f>"20190312172236713"</f>
        <v>20190312172236713</v>
      </c>
      <c r="B6064" t="str">
        <f>"1552382556706522"</f>
        <v>1552382556706522</v>
      </c>
      <c r="C6064" t="s">
        <v>40</v>
      </c>
      <c r="D6064">
        <v>3.2449849999999998</v>
      </c>
      <c r="E6064">
        <v>0.4823385</v>
      </c>
      <c r="F6064" t="s">
        <v>42</v>
      </c>
      <c r="G6064">
        <v>-392.3698</v>
      </c>
      <c r="H6064" s="1">
        <v>-4.712216E-6</v>
      </c>
      <c r="I6064">
        <v>24.75188</v>
      </c>
      <c r="J6064">
        <v>-409.29689999999999</v>
      </c>
      <c r="K6064">
        <v>1.125399</v>
      </c>
      <c r="L6064">
        <v>29.234220000000001</v>
      </c>
      <c r="M6064">
        <v>0.8332444</v>
      </c>
      <c r="N6064">
        <v>0</v>
      </c>
      <c r="O6064">
        <v>-0.55266660000000001</v>
      </c>
      <c r="P6064">
        <v>0.944743</v>
      </c>
      <c r="Q6064">
        <v>0.15468979999999999</v>
      </c>
      <c r="R6064">
        <v>-0.2890182</v>
      </c>
      <c r="S6064">
        <v>2.9647519999999998</v>
      </c>
      <c r="T6064">
        <v>-0.19492789999999999</v>
      </c>
      <c r="U6064">
        <v>-0.79681400000000002</v>
      </c>
      <c r="V6064">
        <v>-0.287441</v>
      </c>
      <c r="W6064">
        <v>0.1595095</v>
      </c>
      <c r="X6064">
        <v>0.94442280000000001</v>
      </c>
      <c r="Y6064">
        <v>-0.31590960000000001</v>
      </c>
      <c r="Z6064">
        <v>4.3622679999999997E-2</v>
      </c>
      <c r="AA6064">
        <v>0.94778589999999996</v>
      </c>
      <c r="AB6064">
        <v>34</v>
      </c>
      <c r="AC6064">
        <v>16.9270999999999</v>
      </c>
      <c r="AD6064">
        <v>-1.1254037122159899</v>
      </c>
      <c r="AE6064">
        <v>-4.4823399999999998</v>
      </c>
      <c r="AF6064">
        <v>-5.5977759386635997</v>
      </c>
      <c r="AG6064">
        <v>-1.1254037122159899</v>
      </c>
      <c r="AH6064">
        <v>16.5156148125991</v>
      </c>
      <c r="AI6064">
        <v>93.692499785653197</v>
      </c>
      <c r="AJ6064">
        <v>108.723492807532</v>
      </c>
      <c r="AK6064">
        <v>17.474757841329101</v>
      </c>
      <c r="AL6064">
        <v>80.821573154972199</v>
      </c>
      <c r="AM6064">
        <v>106.92795580997399</v>
      </c>
      <c r="AN6064">
        <v>1.0000000171155401</v>
      </c>
    </row>
    <row r="6065" spans="1:40" x14ac:dyDescent="0.25">
      <c r="A6065" t="str">
        <f>"20190312172236728"</f>
        <v>20190312172236728</v>
      </c>
      <c r="B6065" t="str">
        <f>"1552382556716283"</f>
        <v>1552382556716283</v>
      </c>
      <c r="C6065" t="s">
        <v>40</v>
      </c>
      <c r="D6065">
        <v>3.220259</v>
      </c>
      <c r="E6065">
        <v>0.4828366</v>
      </c>
      <c r="F6065" t="s">
        <v>42</v>
      </c>
      <c r="G6065">
        <v>-392.52980000000002</v>
      </c>
      <c r="H6065" s="1">
        <v>-4.6801969999999998E-6</v>
      </c>
      <c r="I6065">
        <v>24.917660000000001</v>
      </c>
      <c r="J6065">
        <v>-409.09750000000003</v>
      </c>
      <c r="K6065">
        <v>1.125461</v>
      </c>
      <c r="L6065">
        <v>29.11279</v>
      </c>
      <c r="M6065">
        <v>0.83985299999999996</v>
      </c>
      <c r="N6065">
        <v>0</v>
      </c>
      <c r="O6065">
        <v>-0.54257049999999996</v>
      </c>
      <c r="P6065">
        <v>0.94788910000000004</v>
      </c>
      <c r="Q6065">
        <v>0.15500549999999999</v>
      </c>
      <c r="R6065">
        <v>-0.27835120000000002</v>
      </c>
      <c r="S6065">
        <v>2.9739689999999999</v>
      </c>
      <c r="T6065">
        <v>-0.19961180000000001</v>
      </c>
      <c r="U6065">
        <v>-0.765625</v>
      </c>
      <c r="V6065">
        <v>-0.28669689999999998</v>
      </c>
      <c r="W6065">
        <v>0.15983710000000001</v>
      </c>
      <c r="X6065">
        <v>0.94459349999999997</v>
      </c>
      <c r="Y6065">
        <v>-0.31444250000000001</v>
      </c>
      <c r="Z6065">
        <v>4.4025410000000001E-2</v>
      </c>
      <c r="AA6065">
        <v>0.94825510000000002</v>
      </c>
      <c r="AB6065">
        <v>34</v>
      </c>
      <c r="AC6065">
        <v>16.567699999999999</v>
      </c>
      <c r="AD6065">
        <v>-1.125465680197</v>
      </c>
      <c r="AE6065">
        <v>-4.1951299999999998</v>
      </c>
      <c r="AF6065">
        <v>-5.44297083300519</v>
      </c>
      <c r="AG6065">
        <v>-1.125465680197</v>
      </c>
      <c r="AH6065">
        <v>16.122807013040799</v>
      </c>
      <c r="AI6065">
        <v>93.783950340946106</v>
      </c>
      <c r="AJ6065">
        <v>108.65439894908501</v>
      </c>
      <c r="AK6065">
        <v>17.0539587916122</v>
      </c>
      <c r="AL6065">
        <v>80.802558442693694</v>
      </c>
      <c r="AM6065">
        <v>106.883753225188</v>
      </c>
      <c r="AN6065">
        <v>0.99999994562413297</v>
      </c>
    </row>
    <row r="6066" spans="1:40" x14ac:dyDescent="0.25">
      <c r="A6066" t="str">
        <f>"20190312172236742"</f>
        <v>20190312172236742</v>
      </c>
      <c r="B6066" t="str">
        <f>"1552382556736778"</f>
        <v>1552382556736778</v>
      </c>
      <c r="C6066" t="s">
        <v>40</v>
      </c>
      <c r="D6066">
        <v>3.081178</v>
      </c>
      <c r="E6066">
        <v>0.48436190000000001</v>
      </c>
      <c r="F6066" t="s">
        <v>42</v>
      </c>
      <c r="G6066">
        <v>-392.35390000000001</v>
      </c>
      <c r="H6066" s="1">
        <v>-4.757929E-6</v>
      </c>
      <c r="I6066">
        <v>24.975079999999998</v>
      </c>
      <c r="J6066">
        <v>-408.92450000000002</v>
      </c>
      <c r="K6066">
        <v>1.1255120000000001</v>
      </c>
      <c r="L6066">
        <v>29.00958</v>
      </c>
      <c r="M6066">
        <v>0.84548519999999905</v>
      </c>
      <c r="N6066">
        <v>0</v>
      </c>
      <c r="O6066">
        <v>-0.53375069999999902</v>
      </c>
      <c r="P6066">
        <v>0.95063260000000005</v>
      </c>
      <c r="Q6066">
        <v>0.1548977</v>
      </c>
      <c r="R6066">
        <v>-0.268895099999999</v>
      </c>
      <c r="S6066">
        <v>2.9813540000000001</v>
      </c>
      <c r="T6066">
        <v>-0.20039860000000001</v>
      </c>
      <c r="U6066">
        <v>-0.73675539999999995</v>
      </c>
      <c r="V6066">
        <v>-0.28624640000000001</v>
      </c>
      <c r="W6066">
        <v>0.15973309999999999</v>
      </c>
      <c r="X6066">
        <v>0.94474769999999997</v>
      </c>
      <c r="Y6066">
        <v>-0.31371719999999997</v>
      </c>
      <c r="Z6066">
        <v>4.3660280000000003E-2</v>
      </c>
      <c r="AA6066">
        <v>0.94851209999999997</v>
      </c>
      <c r="AB6066">
        <v>34</v>
      </c>
      <c r="AC6066">
        <v>16.570599999999999</v>
      </c>
      <c r="AD6066">
        <v>-1.125516757929</v>
      </c>
      <c r="AE6066">
        <v>-4.0345000000000004</v>
      </c>
      <c r="AF6066">
        <v>-5.4106145062486704</v>
      </c>
      <c r="AG6066">
        <v>-1.125516757929</v>
      </c>
      <c r="AH6066">
        <v>16.0956548614034</v>
      </c>
      <c r="AI6066">
        <v>93.792134267090603</v>
      </c>
      <c r="AJ6066">
        <v>108.580262982047</v>
      </c>
      <c r="AK6066">
        <v>17.0179799836827</v>
      </c>
      <c r="AL6066">
        <v>80.808594714134102</v>
      </c>
      <c r="AM6066">
        <v>106.856133473599</v>
      </c>
      <c r="AN6066">
        <v>0.99999994070192799</v>
      </c>
    </row>
    <row r="6067" spans="1:40" x14ac:dyDescent="0.25">
      <c r="A6067" t="str">
        <f>"20190312172236754"</f>
        <v>20190312172236754</v>
      </c>
      <c r="B6067" t="str">
        <f>"1552382556746537"</f>
        <v>1552382556746537</v>
      </c>
      <c r="C6067" t="s">
        <v>40</v>
      </c>
      <c r="D6067">
        <v>3.2426210000000002</v>
      </c>
      <c r="E6067">
        <v>0.48491899999999899</v>
      </c>
      <c r="F6067" t="s">
        <v>42</v>
      </c>
      <c r="G6067">
        <v>-392.54579999999999</v>
      </c>
      <c r="H6067" s="1">
        <v>-4.7005129999999999E-6</v>
      </c>
      <c r="I6067">
        <v>25.067049999999998</v>
      </c>
      <c r="J6067">
        <v>-408.76330000000002</v>
      </c>
      <c r="K6067">
        <v>1.1255550000000001</v>
      </c>
      <c r="L6067">
        <v>28.916350000000001</v>
      </c>
      <c r="M6067">
        <v>0.85063389999999905</v>
      </c>
      <c r="N6067">
        <v>0</v>
      </c>
      <c r="O6067">
        <v>-0.52550609999999998</v>
      </c>
      <c r="P6067">
        <v>0.95304650000000002</v>
      </c>
      <c r="Q6067">
        <v>0.1546766</v>
      </c>
      <c r="R6067">
        <v>-0.26034200000000002</v>
      </c>
      <c r="S6067">
        <v>2.9859309999999999</v>
      </c>
      <c r="T6067">
        <v>-0.20518919999999999</v>
      </c>
      <c r="U6067">
        <v>-0.71875</v>
      </c>
      <c r="V6067">
        <v>-0.28557969999999999</v>
      </c>
      <c r="W6067">
        <v>0.159528799999999</v>
      </c>
      <c r="X6067">
        <v>0.94498400000000005</v>
      </c>
      <c r="Y6067">
        <v>-0.31016870000000002</v>
      </c>
      <c r="Z6067">
        <v>4.4095429999999998E-2</v>
      </c>
      <c r="AA6067">
        <v>0.94965829999999996</v>
      </c>
      <c r="AB6067">
        <v>34</v>
      </c>
      <c r="AC6067">
        <v>16.217500000000001</v>
      </c>
      <c r="AD6067">
        <v>-1.12555970051299</v>
      </c>
      <c r="AE6067">
        <v>-3.8492999999999999</v>
      </c>
      <c r="AF6067">
        <v>-5.2249206783869999</v>
      </c>
      <c r="AG6067">
        <v>-1.12555970051299</v>
      </c>
      <c r="AH6067">
        <v>15.7482722113949</v>
      </c>
      <c r="AI6067">
        <v>93.880762022925197</v>
      </c>
      <c r="AJ6067">
        <v>108.35467740725301</v>
      </c>
      <c r="AK6067">
        <v>16.630536923955599</v>
      </c>
      <c r="AL6067">
        <v>80.820452674513405</v>
      </c>
      <c r="AM6067">
        <v>106.81512447746699</v>
      </c>
      <c r="AN6067">
        <v>0.99999998166876403</v>
      </c>
    </row>
    <row r="6068" spans="1:40" x14ac:dyDescent="0.25">
      <c r="A6068" t="str">
        <f>"20190312172236777"</f>
        <v>20190312172236777</v>
      </c>
      <c r="B6068" t="str">
        <f>"1552382556767035"</f>
        <v>1552382556767035</v>
      </c>
      <c r="C6068" t="s">
        <v>40</v>
      </c>
      <c r="D6068">
        <v>3.2089050000000001</v>
      </c>
      <c r="E6068">
        <v>0.49258439999999998</v>
      </c>
      <c r="F6068" t="s">
        <v>42</v>
      </c>
      <c r="G6068">
        <v>-392.553</v>
      </c>
      <c r="H6068" s="1">
        <v>-4.7115749999999999E-6</v>
      </c>
      <c r="I6068">
        <v>25.144870000000001</v>
      </c>
      <c r="J6068">
        <v>-408.476</v>
      </c>
      <c r="K6068">
        <v>1.1256250000000001</v>
      </c>
      <c r="L6068">
        <v>28.754670000000001</v>
      </c>
      <c r="M6068">
        <v>0.85959349999999901</v>
      </c>
      <c r="N6068">
        <v>0</v>
      </c>
      <c r="O6068">
        <v>-0.51071759999999999</v>
      </c>
      <c r="P6068">
        <v>0.95718400000000003</v>
      </c>
      <c r="Q6068">
        <v>0.1544807</v>
      </c>
      <c r="R6068">
        <v>-0.24481549999999999</v>
      </c>
      <c r="S6068">
        <v>2.991425</v>
      </c>
      <c r="T6068">
        <v>-0.207709</v>
      </c>
      <c r="U6068">
        <v>-0.69598389999999999</v>
      </c>
      <c r="V6068">
        <v>-0.28463650000000001</v>
      </c>
      <c r="W6068">
        <v>0.1593542</v>
      </c>
      <c r="X6068">
        <v>0.94529799999999997</v>
      </c>
      <c r="Y6068">
        <v>-0.3009675</v>
      </c>
      <c r="Z6068">
        <v>4.3444339999999998E-2</v>
      </c>
      <c r="AA6068">
        <v>0.9526443</v>
      </c>
      <c r="AB6068">
        <v>34</v>
      </c>
      <c r="AC6068">
        <v>15.922999999999901</v>
      </c>
      <c r="AD6068">
        <v>-1.125629711575</v>
      </c>
      <c r="AE6068">
        <v>-3.6097999999999999</v>
      </c>
      <c r="AF6068">
        <v>-5.0060718363846002</v>
      </c>
      <c r="AG6068">
        <v>-1.125629711575</v>
      </c>
      <c r="AH6068">
        <v>15.4594857149541</v>
      </c>
      <c r="AI6068">
        <v>93.962566750884307</v>
      </c>
      <c r="AJ6068">
        <v>107.942927207998</v>
      </c>
      <c r="AK6068">
        <v>16.288753667776199</v>
      </c>
      <c r="AL6068">
        <v>80.830586353433304</v>
      </c>
      <c r="AM6068">
        <v>106.75745228026</v>
      </c>
      <c r="AN6068">
        <v>1.0000000034969401</v>
      </c>
    </row>
    <row r="6069" spans="1:40" x14ac:dyDescent="0.25">
      <c r="A6069" t="str">
        <f>"20190312172236792"</f>
        <v>20190312172236792</v>
      </c>
      <c r="B6069" t="str">
        <f>"1552382556786554"</f>
        <v>1552382556786554</v>
      </c>
      <c r="C6069" t="s">
        <v>40</v>
      </c>
      <c r="D6069">
        <v>3.1992660000000002</v>
      </c>
      <c r="E6069">
        <v>0.4929866</v>
      </c>
      <c r="F6069" t="s">
        <v>42</v>
      </c>
      <c r="G6069">
        <v>-393.10680000000002</v>
      </c>
      <c r="H6069" s="1">
        <v>-4.4947369999999999E-6</v>
      </c>
      <c r="I6069">
        <v>25.121259999999999</v>
      </c>
      <c r="J6069">
        <v>-408.28539999999998</v>
      </c>
      <c r="K6069">
        <v>1.1256649999999999</v>
      </c>
      <c r="L6069">
        <v>28.65146</v>
      </c>
      <c r="M6069">
        <v>0.86537719999999996</v>
      </c>
      <c r="N6069">
        <v>0</v>
      </c>
      <c r="O6069">
        <v>-0.50085429999999997</v>
      </c>
      <c r="P6069">
        <v>0.95960179999999995</v>
      </c>
      <c r="Q6069">
        <v>0.1548234</v>
      </c>
      <c r="R6069">
        <v>-0.23493459999999999</v>
      </c>
      <c r="S6069">
        <v>2.9887999999999999</v>
      </c>
      <c r="T6069">
        <v>-0.21889629999999999</v>
      </c>
      <c r="U6069">
        <v>-0.70657349999999997</v>
      </c>
      <c r="V6069">
        <v>-0.28357259999999901</v>
      </c>
      <c r="W6069">
        <v>0.15973119999999999</v>
      </c>
      <c r="X6069">
        <v>0.94555409999999995</v>
      </c>
      <c r="Y6069">
        <v>-0.28651359999999998</v>
      </c>
      <c r="Z6069">
        <v>4.4664919999999997E-2</v>
      </c>
      <c r="AA6069">
        <v>0.95703450000000001</v>
      </c>
      <c r="AB6069">
        <v>34</v>
      </c>
      <c r="AC6069">
        <v>15.1785999999999</v>
      </c>
      <c r="AD6069">
        <v>-1.1256694947369901</v>
      </c>
      <c r="AE6069">
        <v>-3.53019999999999</v>
      </c>
      <c r="AF6069">
        <v>-4.5243137467577199</v>
      </c>
      <c r="AG6069">
        <v>-1.1256694947369901</v>
      </c>
      <c r="AH6069">
        <v>14.8279543084747</v>
      </c>
      <c r="AI6069">
        <v>94.152992287126096</v>
      </c>
      <c r="AJ6069">
        <v>106.968025450537</v>
      </c>
      <c r="AK6069">
        <v>15.5436410041115</v>
      </c>
      <c r="AL6069">
        <v>80.808705688977994</v>
      </c>
      <c r="AM6069">
        <v>106.694039043705</v>
      </c>
      <c r="AN6069">
        <v>1.0000000158755</v>
      </c>
    </row>
    <row r="6070" spans="1:40" x14ac:dyDescent="0.25">
      <c r="A6070" t="str">
        <f>"20190312172236807"</f>
        <v>20190312172236807</v>
      </c>
      <c r="B6070" t="str">
        <f>"1552382556796313"</f>
        <v>1552382556796313</v>
      </c>
      <c r="C6070" t="s">
        <v>40</v>
      </c>
      <c r="D6070">
        <v>3.6872060000000002</v>
      </c>
      <c r="E6070">
        <v>0.4756783</v>
      </c>
      <c r="F6070" t="s">
        <v>42</v>
      </c>
      <c r="G6070">
        <v>-392.77809999999999</v>
      </c>
      <c r="H6070" s="1">
        <v>-4.6236899999999996E-6</v>
      </c>
      <c r="I6070">
        <v>25.136690000000002</v>
      </c>
      <c r="J6070">
        <v>-408.09019999999998</v>
      </c>
      <c r="K6070">
        <v>1.1257090000000001</v>
      </c>
      <c r="L6070">
        <v>28.548310000000001</v>
      </c>
      <c r="M6070">
        <v>0.87116859999999996</v>
      </c>
      <c r="N6070">
        <v>0</v>
      </c>
      <c r="O6070">
        <v>-0.49071090000000001</v>
      </c>
      <c r="P6070">
        <v>0.9619238</v>
      </c>
      <c r="Q6070">
        <v>0.1558272</v>
      </c>
      <c r="R6070">
        <v>-0.22454540000000001</v>
      </c>
      <c r="S6070">
        <v>2.9951780000000001</v>
      </c>
      <c r="T6070">
        <v>-0.21741869999999999</v>
      </c>
      <c r="U6070">
        <v>-0.67886349999999995</v>
      </c>
      <c r="V6070">
        <v>-0.28272389999999997</v>
      </c>
      <c r="W6070">
        <v>0.16076009999999999</v>
      </c>
      <c r="X6070">
        <v>0.94563379999999997</v>
      </c>
      <c r="Y6070">
        <v>-0.28423850000000001</v>
      </c>
      <c r="Z6070">
        <v>4.3633369999999998E-2</v>
      </c>
      <c r="AA6070">
        <v>0.95776019999999995</v>
      </c>
      <c r="AB6070">
        <v>34</v>
      </c>
      <c r="AC6070">
        <v>15.3120999999999</v>
      </c>
      <c r="AD6070">
        <v>-1.1257136236900001</v>
      </c>
      <c r="AE6070">
        <v>-3.4116199999999899</v>
      </c>
      <c r="AF6070">
        <v>-4.5190572429921403</v>
      </c>
      <c r="AG6070">
        <v>-1.1257136236900001</v>
      </c>
      <c r="AH6070">
        <v>14.938629760401801</v>
      </c>
      <c r="AI6070">
        <v>94.125477854145998</v>
      </c>
      <c r="AJ6070">
        <v>106.830993762384</v>
      </c>
      <c r="AK6070">
        <v>15.647740049168799</v>
      </c>
      <c r="AL6070">
        <v>80.748981635240398</v>
      </c>
      <c r="AM6070">
        <v>106.645518768752</v>
      </c>
      <c r="AN6070">
        <v>0.99999994854282803</v>
      </c>
    </row>
    <row r="6071" spans="1:40" x14ac:dyDescent="0.25">
      <c r="A6071" t="str">
        <f>"20190312172236818"</f>
        <v>20190312172236818</v>
      </c>
      <c r="B6071" t="str">
        <f>"1552382556816809"</f>
        <v>1552382556816809</v>
      </c>
      <c r="C6071" t="s">
        <v>40</v>
      </c>
      <c r="D6071">
        <v>3.1876959999999999</v>
      </c>
      <c r="E6071">
        <v>0.46802680000000002</v>
      </c>
      <c r="F6071" t="s">
        <v>67</v>
      </c>
      <c r="G6071">
        <v>-389.4692</v>
      </c>
      <c r="H6071" s="1">
        <v>-1.7906299999999901E-6</v>
      </c>
      <c r="I6071">
        <v>25.40147</v>
      </c>
      <c r="J6071">
        <v>-407.93060000000003</v>
      </c>
      <c r="K6071">
        <v>1.125739</v>
      </c>
      <c r="L6071">
        <v>28.46564</v>
      </c>
      <c r="M6071">
        <v>0.875807</v>
      </c>
      <c r="N6071">
        <v>0</v>
      </c>
      <c r="O6071">
        <v>-0.48238330000000001</v>
      </c>
      <c r="P6071">
        <v>0.96380869999999996</v>
      </c>
      <c r="Q6071">
        <v>0.1562713</v>
      </c>
      <c r="R6071">
        <v>-0.21599119999999999</v>
      </c>
      <c r="S6071">
        <v>3.028931</v>
      </c>
      <c r="T6071">
        <v>-0.1831102</v>
      </c>
      <c r="U6071">
        <v>-0.51187130000000003</v>
      </c>
      <c r="V6071">
        <v>-0.28210299999999999</v>
      </c>
      <c r="W6071">
        <v>0.16122320000000001</v>
      </c>
      <c r="X6071">
        <v>0.94574049999999998</v>
      </c>
      <c r="Y6071">
        <v>-0.32839190000000001</v>
      </c>
      <c r="Z6071">
        <v>3.7539459999999997E-2</v>
      </c>
      <c r="AA6071">
        <v>0.9437953</v>
      </c>
      <c r="AB6071">
        <v>34</v>
      </c>
      <c r="AC6071">
        <v>18.461400000000001</v>
      </c>
      <c r="AD6071">
        <v>-1.1257407906299901</v>
      </c>
      <c r="AE6071">
        <v>-3.0641699999999998</v>
      </c>
      <c r="AF6071">
        <v>-6.2002483571973803</v>
      </c>
      <c r="AG6071">
        <v>-1.1257407906299901</v>
      </c>
      <c r="AH6071">
        <v>17.585461465175001</v>
      </c>
      <c r="AI6071">
        <v>93.454913341272004</v>
      </c>
      <c r="AJ6071">
        <v>109.42153359824501</v>
      </c>
      <c r="AK6071">
        <v>18.680439688662901</v>
      </c>
      <c r="AL6071">
        <v>80.722098297510797</v>
      </c>
      <c r="AM6071">
        <v>106.60920836436701</v>
      </c>
      <c r="AN6071">
        <v>1.00000005808374</v>
      </c>
    </row>
    <row r="6072" spans="1:40" x14ac:dyDescent="0.25">
      <c r="A6072" t="str">
        <f>"20190312172236831"</f>
        <v>20190312172236831</v>
      </c>
      <c r="B6072" t="str">
        <f>"1552382556826570"</f>
        <v>1552382556826570</v>
      </c>
      <c r="C6072" t="s">
        <v>40</v>
      </c>
      <c r="D6072">
        <v>3.185616</v>
      </c>
      <c r="E6072">
        <v>0.46648889999999998</v>
      </c>
      <c r="F6072" t="s">
        <v>67</v>
      </c>
      <c r="G6072">
        <v>-388.2629</v>
      </c>
      <c r="H6072" s="1">
        <v>-2.4450650000000002E-6</v>
      </c>
      <c r="I6072">
        <v>25.717960000000001</v>
      </c>
      <c r="J6072">
        <v>-407.78379999999999</v>
      </c>
      <c r="K6072">
        <v>1.1257629999999901</v>
      </c>
      <c r="L6072">
        <v>28.392299999999999</v>
      </c>
      <c r="M6072">
        <v>0.87999019999999994</v>
      </c>
      <c r="N6072">
        <v>0</v>
      </c>
      <c r="O6072">
        <v>-0.47470889999999999</v>
      </c>
      <c r="P6072">
        <v>0.96545700000000001</v>
      </c>
      <c r="Q6072">
        <v>0.15659239999999999</v>
      </c>
      <c r="R6072">
        <v>-0.20825840000000001</v>
      </c>
      <c r="S6072">
        <v>3.0455320000000001</v>
      </c>
      <c r="T6072">
        <v>-0.17432029999999901</v>
      </c>
      <c r="U6072">
        <v>-0.42547610000000002</v>
      </c>
      <c r="V6072">
        <v>-0.28141270000000002</v>
      </c>
      <c r="W6072">
        <v>0.16156860000000001</v>
      </c>
      <c r="X6072">
        <v>0.94588709999999998</v>
      </c>
      <c r="Y6072">
        <v>-0.34718339999999998</v>
      </c>
      <c r="Z6072">
        <v>3.5821779999999998E-2</v>
      </c>
      <c r="AA6072">
        <v>0.93711290000000003</v>
      </c>
      <c r="AB6072">
        <v>34</v>
      </c>
      <c r="AC6072">
        <v>19.520899999999902</v>
      </c>
      <c r="AD6072">
        <v>-1.1257654450650001</v>
      </c>
      <c r="AE6072">
        <v>-2.6743399999999902</v>
      </c>
      <c r="AF6072">
        <v>-6.8917825726021498</v>
      </c>
      <c r="AG6072">
        <v>-1.1257654450650001</v>
      </c>
      <c r="AH6072">
        <v>18.3901774493829</v>
      </c>
      <c r="AI6072">
        <v>93.280751779036507</v>
      </c>
      <c r="AJ6072">
        <v>110.543659884725</v>
      </c>
      <c r="AK6072">
        <v>19.671366029971502</v>
      </c>
      <c r="AL6072">
        <v>80.702044547071594</v>
      </c>
      <c r="AM6072">
        <v>106.568369785749</v>
      </c>
      <c r="AN6072">
        <v>0.99999996308682904</v>
      </c>
    </row>
    <row r="6073" spans="1:40" x14ac:dyDescent="0.25">
      <c r="A6073" t="str">
        <f>"20190312172236843"</f>
        <v>20190312172236843</v>
      </c>
      <c r="B6073" t="str">
        <f>"1552382556836330"</f>
        <v>1552382556836330</v>
      </c>
      <c r="C6073" t="s">
        <v>40</v>
      </c>
      <c r="D6073">
        <v>3.1959770000000001</v>
      </c>
      <c r="E6073">
        <v>0.46573300000000001</v>
      </c>
      <c r="F6073" t="s">
        <v>67</v>
      </c>
      <c r="G6073">
        <v>-387.23689999999999</v>
      </c>
      <c r="H6073" s="1">
        <v>-2.9450970000000001E-6</v>
      </c>
      <c r="I6073">
        <v>25.774439999999998</v>
      </c>
      <c r="J6073">
        <v>-407.61720000000003</v>
      </c>
      <c r="K6073">
        <v>1.1257889999999999</v>
      </c>
      <c r="L6073">
        <v>28.310179999999999</v>
      </c>
      <c r="M6073">
        <v>0.88464560000000003</v>
      </c>
      <c r="N6073">
        <v>0</v>
      </c>
      <c r="O6073">
        <v>-0.46597529999999998</v>
      </c>
      <c r="P6073">
        <v>0.96723510000000001</v>
      </c>
      <c r="Q6073">
        <v>0.1566352</v>
      </c>
      <c r="R6073">
        <v>-0.19980400000000001</v>
      </c>
      <c r="S6073">
        <v>3.0505680000000002</v>
      </c>
      <c r="T6073">
        <v>-0.16714119999999999</v>
      </c>
      <c r="U6073">
        <v>-0.38867190000000001</v>
      </c>
      <c r="V6073">
        <v>-0.28033190000000002</v>
      </c>
      <c r="W6073">
        <v>0.1616524</v>
      </c>
      <c r="X6073">
        <v>0.94619370000000003</v>
      </c>
      <c r="Y6073">
        <v>-0.34933309999999901</v>
      </c>
      <c r="Z6073">
        <v>3.3975610000000003E-2</v>
      </c>
      <c r="AA6073">
        <v>0.93638239999999995</v>
      </c>
      <c r="AB6073">
        <v>34</v>
      </c>
      <c r="AC6073">
        <v>20.380299999999998</v>
      </c>
      <c r="AD6073">
        <v>-1.125791945097</v>
      </c>
      <c r="AE6073">
        <v>-2.5357400000000001</v>
      </c>
      <c r="AF6073">
        <v>-7.2327283261082398</v>
      </c>
      <c r="AG6073">
        <v>-1.125791945097</v>
      </c>
      <c r="AH6073">
        <v>19.1559601929638</v>
      </c>
      <c r="AI6073">
        <v>93.1470262783767</v>
      </c>
      <c r="AJ6073">
        <v>110.685064596671</v>
      </c>
      <c r="AK6073">
        <v>20.506842210768301</v>
      </c>
      <c r="AL6073">
        <v>80.6971795056715</v>
      </c>
      <c r="AM6073">
        <v>106.50314845457</v>
      </c>
      <c r="AN6073">
        <v>0.99999999525153005</v>
      </c>
    </row>
    <row r="6074" spans="1:40" x14ac:dyDescent="0.25">
      <c r="A6074" t="str">
        <f>"20190312172236855"</f>
        <v>20190312172236855</v>
      </c>
      <c r="B6074" t="str">
        <f>"1552382556847066"</f>
        <v>1552382556847066</v>
      </c>
      <c r="C6074" t="s">
        <v>40</v>
      </c>
      <c r="D6074">
        <v>3.1738149999999998</v>
      </c>
      <c r="E6074">
        <v>0.46554240000000002</v>
      </c>
      <c r="F6074" t="s">
        <v>67</v>
      </c>
      <c r="G6074">
        <v>-386.87670000000003</v>
      </c>
      <c r="H6074" s="1">
        <v>-3.148399E-6</v>
      </c>
      <c r="I6074">
        <v>25.898579999999999</v>
      </c>
      <c r="J6074">
        <v>-407.44310000000002</v>
      </c>
      <c r="K6074">
        <v>1.125812</v>
      </c>
      <c r="L6074">
        <v>28.226839999999999</v>
      </c>
      <c r="M6074">
        <v>0.88940640000000004</v>
      </c>
      <c r="N6074">
        <v>0</v>
      </c>
      <c r="O6074">
        <v>-0.45682260000000002</v>
      </c>
      <c r="P6074">
        <v>0.96899500000000005</v>
      </c>
      <c r="Q6074">
        <v>0.1566961</v>
      </c>
      <c r="R6074">
        <v>-0.1910376</v>
      </c>
      <c r="S6074">
        <v>3.0550540000000002</v>
      </c>
      <c r="T6074">
        <v>-0.16582769999999999</v>
      </c>
      <c r="U6074">
        <v>-0.355224599999999</v>
      </c>
      <c r="V6074">
        <v>-0.27914139999999998</v>
      </c>
      <c r="W6074">
        <v>0.16176009999999999</v>
      </c>
      <c r="X6074">
        <v>0.94652720000000001</v>
      </c>
      <c r="Y6074">
        <v>-0.34997159999999999</v>
      </c>
      <c r="Z6074">
        <v>3.3274720000000001E-2</v>
      </c>
      <c r="AA6074">
        <v>0.93616909999999998</v>
      </c>
      <c r="AB6074">
        <v>34</v>
      </c>
      <c r="AC6074">
        <v>20.566399999999899</v>
      </c>
      <c r="AD6074">
        <v>-1.125815148399</v>
      </c>
      <c r="AE6074">
        <v>-2.3282600000000002</v>
      </c>
      <c r="AF6074">
        <v>-7.3038045768684201</v>
      </c>
      <c r="AG6074">
        <v>-1.125815148399</v>
      </c>
      <c r="AH6074">
        <v>19.300992936156099</v>
      </c>
      <c r="AI6074">
        <v>93.122618495397305</v>
      </c>
      <c r="AJ6074">
        <v>110.727444528823</v>
      </c>
      <c r="AK6074">
        <v>20.667398224425799</v>
      </c>
      <c r="AL6074">
        <v>80.6909264579878</v>
      </c>
      <c r="AM6074">
        <v>106.431374539676</v>
      </c>
      <c r="AN6074">
        <v>0.99999999574290499</v>
      </c>
    </row>
    <row r="6075" spans="1:40" x14ac:dyDescent="0.25">
      <c r="A6075" t="str">
        <f>"20190312172236868"</f>
        <v>20190312172236868</v>
      </c>
      <c r="B6075" t="str">
        <f>"1552382556856826"</f>
        <v>1552382556856826</v>
      </c>
      <c r="C6075" t="s">
        <v>40</v>
      </c>
      <c r="D6075">
        <v>3.242543</v>
      </c>
      <c r="E6075">
        <v>0.46527439999999998</v>
      </c>
      <c r="F6075" t="s">
        <v>67</v>
      </c>
      <c r="G6075">
        <v>-386.43040000000002</v>
      </c>
      <c r="H6075" s="1">
        <v>-3.384311E-6</v>
      </c>
      <c r="I6075">
        <v>25.992370000000001</v>
      </c>
      <c r="J6075">
        <v>-407.28250000000003</v>
      </c>
      <c r="K6075">
        <v>1.1258269999999999</v>
      </c>
      <c r="L6075">
        <v>28.15213</v>
      </c>
      <c r="M6075">
        <v>0.89370079999999996</v>
      </c>
      <c r="N6075">
        <v>0</v>
      </c>
      <c r="O6075">
        <v>-0.4483627</v>
      </c>
      <c r="P6075">
        <v>0.97052090000000002</v>
      </c>
      <c r="Q6075">
        <v>0.1569749</v>
      </c>
      <c r="R6075">
        <v>-0.18288960000000001</v>
      </c>
      <c r="S6075">
        <v>3.0583800000000001</v>
      </c>
      <c r="T6075">
        <v>-0.1638619</v>
      </c>
      <c r="U6075">
        <v>-0.32522579999999901</v>
      </c>
      <c r="V6075">
        <v>-0.2781091</v>
      </c>
      <c r="W6075">
        <v>0.1620801</v>
      </c>
      <c r="X6075">
        <v>0.94677630000000002</v>
      </c>
      <c r="Y6075">
        <v>-0.3503097</v>
      </c>
      <c r="Z6075">
        <v>3.2480910000000002E-2</v>
      </c>
      <c r="AA6075">
        <v>0.93607059999999997</v>
      </c>
      <c r="AB6075">
        <v>34</v>
      </c>
      <c r="AC6075">
        <v>20.8521</v>
      </c>
      <c r="AD6075">
        <v>-1.125830384311</v>
      </c>
      <c r="AE6075">
        <v>-2.1597599999999901</v>
      </c>
      <c r="AF6075">
        <v>-7.3987866166160199</v>
      </c>
      <c r="AG6075">
        <v>-1.125830384311</v>
      </c>
      <c r="AH6075">
        <v>19.550154242974301</v>
      </c>
      <c r="AI6075">
        <v>93.082904258594496</v>
      </c>
      <c r="AJ6075">
        <v>110.72922727368</v>
      </c>
      <c r="AK6075">
        <v>20.933658743194901</v>
      </c>
      <c r="AL6075">
        <v>80.672346631594095</v>
      </c>
      <c r="AM6075">
        <v>106.369792234214</v>
      </c>
      <c r="AN6075">
        <v>0.99999999628025504</v>
      </c>
    </row>
    <row r="6076" spans="1:40" x14ac:dyDescent="0.25">
      <c r="A6076" t="str">
        <f>"20190312172236888"</f>
        <v>20190312172236888</v>
      </c>
      <c r="B6076" t="str">
        <f>"1552382556876346"</f>
        <v>1552382556876346</v>
      </c>
      <c r="C6076" t="s">
        <v>40</v>
      </c>
      <c r="D6076">
        <v>3.1429399999999998</v>
      </c>
      <c r="E6076">
        <v>0.4653197</v>
      </c>
      <c r="F6076" t="s">
        <v>67</v>
      </c>
      <c r="G6076">
        <v>-386.27839999999998</v>
      </c>
      <c r="H6076" s="1">
        <v>-3.4695610000000002E-6</v>
      </c>
      <c r="I6076">
        <v>26.116599999999998</v>
      </c>
      <c r="J6076">
        <v>-407.024</v>
      </c>
      <c r="K6076">
        <v>1.1258549999999901</v>
      </c>
      <c r="L6076">
        <v>28.035399999999999</v>
      </c>
      <c r="M6076">
        <v>0.90042160000000004</v>
      </c>
      <c r="N6076">
        <v>0</v>
      </c>
      <c r="O6076">
        <v>-0.43470789999999998</v>
      </c>
      <c r="P6076">
        <v>0.97282000000000002</v>
      </c>
      <c r="Q6076">
        <v>0.15771379999999999</v>
      </c>
      <c r="R6076">
        <v>-0.16955249999999999</v>
      </c>
      <c r="S6076">
        <v>3.061798</v>
      </c>
      <c r="T6076">
        <v>-0.16411400000000001</v>
      </c>
      <c r="U6076">
        <v>-0.2967224</v>
      </c>
      <c r="V6076">
        <v>-0.27667619999999998</v>
      </c>
      <c r="W6076">
        <v>0.16287570000000001</v>
      </c>
      <c r="X6076">
        <v>0.9470596</v>
      </c>
      <c r="Y6076">
        <v>-0.34480860000000002</v>
      </c>
      <c r="Z6076">
        <v>3.1716880000000003E-2</v>
      </c>
      <c r="AA6076">
        <v>0.938137</v>
      </c>
      <c r="AB6076">
        <v>33</v>
      </c>
      <c r="AC6076">
        <v>20.7456</v>
      </c>
      <c r="AD6076">
        <v>-1.1258584695610001</v>
      </c>
      <c r="AE6076">
        <v>-1.9188000000000001</v>
      </c>
      <c r="AF6076">
        <v>-7.2703007044908601</v>
      </c>
      <c r="AG6076">
        <v>-1.1258584695610001</v>
      </c>
      <c r="AH6076">
        <v>19.459711905669302</v>
      </c>
      <c r="AI6076">
        <v>93.102218636902194</v>
      </c>
      <c r="AJ6076">
        <v>110.48608177994601</v>
      </c>
      <c r="AK6076">
        <v>20.8039711853014</v>
      </c>
      <c r="AL6076">
        <v>80.626148736574393</v>
      </c>
      <c r="AM6076">
        <v>106.285318423405</v>
      </c>
      <c r="AN6076">
        <v>1.00000004962454</v>
      </c>
    </row>
    <row r="6077" spans="1:40" x14ac:dyDescent="0.25">
      <c r="A6077" t="str">
        <f>"20190312172236910"</f>
        <v>20190312172236910</v>
      </c>
      <c r="B6077" t="str">
        <f>"1552382556906602"</f>
        <v>1552382556906602</v>
      </c>
      <c r="C6077" t="s">
        <v>40</v>
      </c>
      <c r="D6077">
        <v>3.3114150000000002</v>
      </c>
      <c r="E6077">
        <v>0.46599620000000003</v>
      </c>
      <c r="F6077" t="s">
        <v>67</v>
      </c>
      <c r="G6077">
        <v>-385.81740000000002</v>
      </c>
      <c r="H6077" s="1">
        <v>-3.6738179999999999E-6</v>
      </c>
      <c r="I6077">
        <v>26.270209999999999</v>
      </c>
      <c r="J6077">
        <v>-406.7294</v>
      </c>
      <c r="K6077">
        <v>1.1258779999999999</v>
      </c>
      <c r="L6077">
        <v>27.908169999999998</v>
      </c>
      <c r="M6077">
        <v>0.9077923</v>
      </c>
      <c r="N6077">
        <v>0</v>
      </c>
      <c r="O6077">
        <v>-0.4190971</v>
      </c>
      <c r="P6077">
        <v>0.97520669999999998</v>
      </c>
      <c r="Q6077">
        <v>0.15859609999999999</v>
      </c>
      <c r="R6077">
        <v>-0.1543358</v>
      </c>
      <c r="S6077">
        <v>3.0657649999999999</v>
      </c>
      <c r="T6077">
        <v>-0.16276209999999999</v>
      </c>
      <c r="U6077">
        <v>-0.25518800000000003</v>
      </c>
      <c r="V6077">
        <v>-0.27509850000000002</v>
      </c>
      <c r="W6077">
        <v>0.16382169999999999</v>
      </c>
      <c r="X6077">
        <v>0.94735590000000003</v>
      </c>
      <c r="Y6077">
        <v>-0.34137060000000002</v>
      </c>
      <c r="Z6077">
        <v>3.0607200000000001E-2</v>
      </c>
      <c r="AA6077">
        <v>0.93943030000000005</v>
      </c>
      <c r="AB6077">
        <v>33</v>
      </c>
      <c r="AC6077">
        <v>20.9119999999999</v>
      </c>
      <c r="AD6077">
        <v>-1.125881673818</v>
      </c>
      <c r="AE6077">
        <v>-1.6379600000000001</v>
      </c>
      <c r="AF6077">
        <v>-7.2573084170783497</v>
      </c>
      <c r="AG6077">
        <v>-1.125881673818</v>
      </c>
      <c r="AH6077">
        <v>19.616366286848201</v>
      </c>
      <c r="AI6077">
        <v>93.081215873399202</v>
      </c>
      <c r="AJ6077">
        <v>110.30255428478399</v>
      </c>
      <c r="AK6077">
        <v>20.946072694035799</v>
      </c>
      <c r="AL6077">
        <v>80.571208221261699</v>
      </c>
      <c r="AM6077">
        <v>106.19253562452499</v>
      </c>
      <c r="AN6077">
        <v>0.99999996767897403</v>
      </c>
    </row>
    <row r="6078" spans="1:40" x14ac:dyDescent="0.25">
      <c r="A6078" t="str">
        <f>"20190312172236931"</f>
        <v>20190312172236931</v>
      </c>
      <c r="B6078" t="str">
        <f>"1552382556927097"</f>
        <v>1552382556927097</v>
      </c>
      <c r="C6078" t="s">
        <v>40</v>
      </c>
      <c r="D6078">
        <v>3.4109959999999999</v>
      </c>
      <c r="E6078">
        <v>0.46703539999999999</v>
      </c>
      <c r="F6078" t="s">
        <v>67</v>
      </c>
      <c r="G6078">
        <v>-385.89240000000001</v>
      </c>
      <c r="H6078" s="1">
        <v>-3.678829E-6</v>
      </c>
      <c r="I6078">
        <v>26.460699999999999</v>
      </c>
      <c r="J6078">
        <v>-406.44220000000001</v>
      </c>
      <c r="K6078">
        <v>1.1258950000000001</v>
      </c>
      <c r="L6078">
        <v>27.78989</v>
      </c>
      <c r="M6078">
        <v>0.91468570000000005</v>
      </c>
      <c r="N6078">
        <v>0</v>
      </c>
      <c r="O6078">
        <v>-0.40383010000000003</v>
      </c>
      <c r="P6078">
        <v>0.97725839999999997</v>
      </c>
      <c r="Q6078">
        <v>0.15894549999999999</v>
      </c>
      <c r="R6078">
        <v>-0.14036499999999999</v>
      </c>
      <c r="S6078">
        <v>3.0694889999999999</v>
      </c>
      <c r="T6078">
        <v>-0.1658531</v>
      </c>
      <c r="U6078">
        <v>-0.21322630000000001</v>
      </c>
      <c r="V6078">
        <v>-0.27277689999999999</v>
      </c>
      <c r="W6078">
        <v>0.16427</v>
      </c>
      <c r="X6078">
        <v>0.94794940000000005</v>
      </c>
      <c r="Y6078">
        <v>-0.338474</v>
      </c>
      <c r="Z6078">
        <v>3.0347280000000001E-2</v>
      </c>
      <c r="AA6078">
        <v>0.9404863</v>
      </c>
      <c r="AB6078">
        <v>33</v>
      </c>
      <c r="AC6078">
        <v>20.549800000000001</v>
      </c>
      <c r="AD6078">
        <v>-1.125898678829</v>
      </c>
      <c r="AE6078">
        <v>-1.3291900000000001</v>
      </c>
      <c r="AF6078">
        <v>-7.0626852367599202</v>
      </c>
      <c r="AG6078">
        <v>-1.125898678829</v>
      </c>
      <c r="AH6078">
        <v>19.278369502880299</v>
      </c>
      <c r="AI6078">
        <v>93.138840828789498</v>
      </c>
      <c r="AJ6078">
        <v>110.12045134683601</v>
      </c>
      <c r="AK6078">
        <v>20.5622153786531</v>
      </c>
      <c r="AL6078">
        <v>80.545169770375793</v>
      </c>
      <c r="AM6078">
        <v>106.05342176438801</v>
      </c>
      <c r="AN6078">
        <v>0.99999996751698395</v>
      </c>
    </row>
    <row r="6079" spans="1:40" x14ac:dyDescent="0.25">
      <c r="A6079" t="str">
        <f>"20190312172236943"</f>
        <v>20190312172236943</v>
      </c>
      <c r="B6079" t="str">
        <f>"1552382556936858"</f>
        <v>1552382556936858</v>
      </c>
      <c r="C6079" t="s">
        <v>40</v>
      </c>
      <c r="D6079">
        <v>3.2581180000000001</v>
      </c>
      <c r="E6079">
        <v>0.46737430000000002</v>
      </c>
      <c r="F6079" t="s">
        <v>67</v>
      </c>
      <c r="G6079">
        <v>-385.3184</v>
      </c>
      <c r="H6079" s="1">
        <v>-3.9194089999999997E-6</v>
      </c>
      <c r="I6079">
        <v>26.574290000000001</v>
      </c>
      <c r="J6079">
        <v>-406.27789999999999</v>
      </c>
      <c r="K6079">
        <v>1.1259030000000001</v>
      </c>
      <c r="L6079">
        <v>27.724460000000001</v>
      </c>
      <c r="M6079">
        <v>0.91850220000000005</v>
      </c>
      <c r="N6079">
        <v>0</v>
      </c>
      <c r="O6079">
        <v>-0.39507249999999999</v>
      </c>
      <c r="P6079">
        <v>0.97835620000000001</v>
      </c>
      <c r="Q6079">
        <v>0.15901279999999901</v>
      </c>
      <c r="R6079">
        <v>-0.13241710000000001</v>
      </c>
      <c r="S6079">
        <v>3.0710449999999998</v>
      </c>
      <c r="T6079">
        <v>-0.16368640000000001</v>
      </c>
      <c r="U6079">
        <v>-0.1767273</v>
      </c>
      <c r="V6079">
        <v>-0.27142339999999998</v>
      </c>
      <c r="W6079">
        <v>0.16439509999999999</v>
      </c>
      <c r="X6079">
        <v>0.94831620000000005</v>
      </c>
      <c r="Y6079">
        <v>-0.34068589999999999</v>
      </c>
      <c r="Z6079">
        <v>2.9587800000000001E-2</v>
      </c>
      <c r="AA6079">
        <v>0.93971150000000003</v>
      </c>
      <c r="AB6079">
        <v>33</v>
      </c>
      <c r="AC6079">
        <v>20.959499999999899</v>
      </c>
      <c r="AD6079">
        <v>-1.1259069194089999</v>
      </c>
      <c r="AE6079">
        <v>-1.1501699999999899</v>
      </c>
      <c r="AF6079">
        <v>-7.2043422293300798</v>
      </c>
      <c r="AG6079">
        <v>-1.1259069194089999</v>
      </c>
      <c r="AH6079">
        <v>19.651884156065499</v>
      </c>
      <c r="AI6079">
        <v>93.0790772123257</v>
      </c>
      <c r="AJ6079">
        <v>110.132837361076</v>
      </c>
      <c r="AK6079">
        <v>20.961077363339399</v>
      </c>
      <c r="AL6079">
        <v>80.537903715194503</v>
      </c>
      <c r="AM6079">
        <v>105.97197625826</v>
      </c>
      <c r="AN6079">
        <v>1.0000000130769999</v>
      </c>
    </row>
    <row r="6080" spans="1:40" x14ac:dyDescent="0.25">
      <c r="A6080" t="str">
        <f>"20190312172236955"</f>
        <v>20190312172236955</v>
      </c>
      <c r="B6080" t="str">
        <f>"1552382556946618"</f>
        <v>1552382556946618</v>
      </c>
      <c r="C6080" t="s">
        <v>40</v>
      </c>
      <c r="D6080">
        <v>3.4057759999999999</v>
      </c>
      <c r="E6080">
        <v>0.46795209999999998</v>
      </c>
      <c r="F6080" t="s">
        <v>67</v>
      </c>
      <c r="G6080">
        <v>-385.37299999999999</v>
      </c>
      <c r="H6080" s="1">
        <v>-3.916795E-6</v>
      </c>
      <c r="I6080">
        <v>26.67773</v>
      </c>
      <c r="J6080">
        <v>-406.10599999999999</v>
      </c>
      <c r="K6080">
        <v>1.125909</v>
      </c>
      <c r="L6080">
        <v>27.658329999999999</v>
      </c>
      <c r="M6080">
        <v>0.9223922</v>
      </c>
      <c r="N6080">
        <v>0</v>
      </c>
      <c r="O6080">
        <v>-0.38590259999999998</v>
      </c>
      <c r="P6080">
        <v>0.9794214</v>
      </c>
      <c r="Q6080">
        <v>0.15915199999999999</v>
      </c>
      <c r="R6080">
        <v>-0.1241133</v>
      </c>
      <c r="S6080">
        <v>3.0724490000000002</v>
      </c>
      <c r="T6080">
        <v>-0.16547690000000001</v>
      </c>
      <c r="U6080">
        <v>-0.15383910000000001</v>
      </c>
      <c r="V6080">
        <v>-0.2700167</v>
      </c>
      <c r="W6080">
        <v>0.16459550000000001</v>
      </c>
      <c r="X6080">
        <v>0.9486829</v>
      </c>
      <c r="Y6080">
        <v>-0.33831939999999999</v>
      </c>
      <c r="Z6080">
        <v>2.9388890000000001E-2</v>
      </c>
      <c r="AA6080">
        <v>0.94057230000000003</v>
      </c>
      <c r="AB6080">
        <v>33</v>
      </c>
      <c r="AC6080">
        <v>20.732999999999901</v>
      </c>
      <c r="AD6080">
        <v>-1.1259129167949999</v>
      </c>
      <c r="AE6080">
        <v>-0.98059999999999803</v>
      </c>
      <c r="AF6080">
        <v>-7.07656274967679</v>
      </c>
      <c r="AG6080">
        <v>-1.1259129167949999</v>
      </c>
      <c r="AH6080">
        <v>19.447799666759401</v>
      </c>
      <c r="AI6080">
        <v>93.114068612355496</v>
      </c>
      <c r="AJ6080">
        <v>109.995167693325</v>
      </c>
      <c r="AK6080">
        <v>20.725885557069098</v>
      </c>
      <c r="AL6080">
        <v>80.526262666739001</v>
      </c>
      <c r="AM6080">
        <v>105.887556879833</v>
      </c>
      <c r="AN6080">
        <v>0.99999997082577397</v>
      </c>
    </row>
    <row r="6081" spans="1:40" x14ac:dyDescent="0.25">
      <c r="A6081" t="str">
        <f>"20190312172236967"</f>
        <v>20190312172236967</v>
      </c>
      <c r="B6081" t="str">
        <f>"1552382556956379"</f>
        <v>1552382556956379</v>
      </c>
      <c r="C6081" t="s">
        <v>40</v>
      </c>
      <c r="D6081">
        <v>3.3298320000000001</v>
      </c>
      <c r="E6081">
        <v>0.46854249999999997</v>
      </c>
      <c r="F6081" t="s">
        <v>67</v>
      </c>
      <c r="G6081">
        <v>-385.1087</v>
      </c>
      <c r="H6081" s="1">
        <v>-4.0324919999999997E-6</v>
      </c>
      <c r="I6081">
        <v>26.757960000000001</v>
      </c>
      <c r="J6081">
        <v>-405.95499999999998</v>
      </c>
      <c r="K6081">
        <v>1.125912</v>
      </c>
      <c r="L6081">
        <v>27.601990000000001</v>
      </c>
      <c r="M6081">
        <v>0.9257244</v>
      </c>
      <c r="N6081">
        <v>0</v>
      </c>
      <c r="O6081">
        <v>-0.37783929999999999</v>
      </c>
      <c r="P6081">
        <v>0.98029160000000004</v>
      </c>
      <c r="Q6081">
        <v>0.1593397</v>
      </c>
      <c r="R6081">
        <v>-0.11678819999999999</v>
      </c>
      <c r="S6081">
        <v>3.0731199999999999</v>
      </c>
      <c r="T6081">
        <v>-0.16478609999999999</v>
      </c>
      <c r="U6081">
        <v>-0.1317749</v>
      </c>
      <c r="V6081">
        <v>-0.26882539999999999</v>
      </c>
      <c r="W6081">
        <v>0.16483490000000001</v>
      </c>
      <c r="X6081">
        <v>0.94897969999999998</v>
      </c>
      <c r="Y6081">
        <v>-0.33687990000000001</v>
      </c>
      <c r="Z6081">
        <v>2.8830160000000001E-2</v>
      </c>
      <c r="AA6081">
        <v>0.94110609999999995</v>
      </c>
      <c r="AB6081">
        <v>33</v>
      </c>
      <c r="AC6081">
        <v>20.8462999999999</v>
      </c>
      <c r="AD6081">
        <v>-1.1259160324919999</v>
      </c>
      <c r="AE6081">
        <v>-0.84403000000000294</v>
      </c>
      <c r="AF6081">
        <v>-7.0755701703516296</v>
      </c>
      <c r="AG6081">
        <v>-1.1259160324919999</v>
      </c>
      <c r="AH6081">
        <v>19.562529903863599</v>
      </c>
      <c r="AI6081">
        <v>93.098014346583</v>
      </c>
      <c r="AJ6081">
        <v>109.88454734749099</v>
      </c>
      <c r="AK6081">
        <v>20.8332416197612</v>
      </c>
      <c r="AL6081">
        <v>80.512356919936295</v>
      </c>
      <c r="AM6081">
        <v>105.81627749789099</v>
      </c>
      <c r="AN6081">
        <v>1.0000000554776201</v>
      </c>
    </row>
    <row r="6082" spans="1:40" x14ac:dyDescent="0.25">
      <c r="A6082" t="str">
        <f>"20190312172236978"</f>
        <v>20190312172236978</v>
      </c>
      <c r="B6082" t="str">
        <f>"1552382556967115"</f>
        <v>1552382556967115</v>
      </c>
      <c r="C6082" t="s">
        <v>40</v>
      </c>
      <c r="D6082">
        <v>3.1517249999999999</v>
      </c>
      <c r="E6082">
        <v>0.46909309999999999</v>
      </c>
      <c r="F6082" t="s">
        <v>67</v>
      </c>
      <c r="G6082">
        <v>-384.86009999999999</v>
      </c>
      <c r="H6082" s="1">
        <v>-4.1402949999999996E-6</v>
      </c>
      <c r="I6082">
        <v>26.82743</v>
      </c>
      <c r="J6082">
        <v>-405.79169999999999</v>
      </c>
      <c r="K6082">
        <v>1.125915</v>
      </c>
      <c r="L6082">
        <v>27.542110000000001</v>
      </c>
      <c r="M6082">
        <v>0.92924450000000003</v>
      </c>
      <c r="N6082">
        <v>0</v>
      </c>
      <c r="O6082">
        <v>-0.36909750000000002</v>
      </c>
      <c r="P6082">
        <v>0.98116999999999999</v>
      </c>
      <c r="Q6082">
        <v>0.15966329999999901</v>
      </c>
      <c r="R6082">
        <v>-0.1086892</v>
      </c>
      <c r="S6082">
        <v>3.073547</v>
      </c>
      <c r="T6082">
        <v>-0.1640469</v>
      </c>
      <c r="U6082">
        <v>-0.112854</v>
      </c>
      <c r="V6082">
        <v>-0.26771009999999901</v>
      </c>
      <c r="W6082">
        <v>0.16520739999999901</v>
      </c>
      <c r="X6082">
        <v>0.94923009999999997</v>
      </c>
      <c r="Y6082">
        <v>-0.33382089999999998</v>
      </c>
      <c r="Z6082">
        <v>2.8187839999999999E-2</v>
      </c>
      <c r="AA6082">
        <v>0.94221500000000002</v>
      </c>
      <c r="AB6082">
        <v>33</v>
      </c>
      <c r="AC6082">
        <v>20.9316</v>
      </c>
      <c r="AD6082">
        <v>-1.125919140295</v>
      </c>
      <c r="AE6082">
        <v>-0.71467999999999698</v>
      </c>
      <c r="AF6082">
        <v>-7.04229577669736</v>
      </c>
      <c r="AG6082">
        <v>-1.125919140295</v>
      </c>
      <c r="AH6082">
        <v>19.660220682519199</v>
      </c>
      <c r="AI6082">
        <v>93.086081968064903</v>
      </c>
      <c r="AJ6082">
        <v>109.707536307816</v>
      </c>
      <c r="AK6082">
        <v>20.913772997771702</v>
      </c>
      <c r="AL6082">
        <v>80.490716869774602</v>
      </c>
      <c r="AM6082">
        <v>105.749973406111</v>
      </c>
      <c r="AN6082">
        <v>0.99999998270138901</v>
      </c>
    </row>
    <row r="6083" spans="1:40" x14ac:dyDescent="0.25">
      <c r="A6083" t="str">
        <f>"20190312172236998"</f>
        <v>20190312172236998</v>
      </c>
      <c r="B6083" t="str">
        <f>"1552382556986634"</f>
        <v>1552382556986634</v>
      </c>
      <c r="C6083" t="s">
        <v>40</v>
      </c>
      <c r="D6083">
        <v>3.1561620000000001</v>
      </c>
      <c r="E6083">
        <v>0.46992929999999999</v>
      </c>
      <c r="F6083" t="s">
        <v>67</v>
      </c>
      <c r="G6083">
        <v>-384.56169999999997</v>
      </c>
      <c r="H6083" s="1">
        <v>-4.2693489999999998E-6</v>
      </c>
      <c r="I6083">
        <v>26.90897</v>
      </c>
      <c r="J6083">
        <v>-405.53</v>
      </c>
      <c r="K6083">
        <v>1.1259129999999999</v>
      </c>
      <c r="L6083">
        <v>27.450589999999998</v>
      </c>
      <c r="M6083">
        <v>0.9346875</v>
      </c>
      <c r="N6083">
        <v>0</v>
      </c>
      <c r="O6083">
        <v>-0.35508779999999901</v>
      </c>
      <c r="P6083">
        <v>0.98241020000000001</v>
      </c>
      <c r="Q6083">
        <v>0.16042229999999999</v>
      </c>
      <c r="R6083">
        <v>-9.5578209999999997E-2</v>
      </c>
      <c r="S6083">
        <v>3.073944</v>
      </c>
      <c r="T6083">
        <v>-0.16302459999999999</v>
      </c>
      <c r="U6083">
        <v>-9.1674800000000001E-2</v>
      </c>
      <c r="V6083">
        <v>-0.26609870000000002</v>
      </c>
      <c r="W6083">
        <v>0.166038299999999</v>
      </c>
      <c r="X6083">
        <v>0.9495382</v>
      </c>
      <c r="Y6083">
        <v>-0.32617420000000003</v>
      </c>
      <c r="Z6083">
        <v>2.7116250000000001E-2</v>
      </c>
      <c r="AA6083">
        <v>0.94492069999999995</v>
      </c>
      <c r="AB6083">
        <v>33</v>
      </c>
      <c r="AC6083">
        <v>20.968299999999999</v>
      </c>
      <c r="AD6083">
        <v>-1.125917269349</v>
      </c>
      <c r="AE6083">
        <v>-0.54162000000000099</v>
      </c>
      <c r="AF6083">
        <v>-6.9203458021652997</v>
      </c>
      <c r="AG6083">
        <v>-1.125917269349</v>
      </c>
      <c r="AH6083">
        <v>19.736952848521401</v>
      </c>
      <c r="AI6083">
        <v>93.081425085916393</v>
      </c>
      <c r="AJ6083">
        <v>109.322140188029</v>
      </c>
      <c r="AK6083">
        <v>20.945314117093599</v>
      </c>
      <c r="AL6083">
        <v>80.442443407437906</v>
      </c>
      <c r="AM6083">
        <v>105.655003373195</v>
      </c>
      <c r="AN6083">
        <v>1.0000000142339101</v>
      </c>
    </row>
    <row r="6084" spans="1:40" x14ac:dyDescent="0.25">
      <c r="A6084" t="str">
        <f>"20190312172237011"</f>
        <v>20190312172237011</v>
      </c>
      <c r="B6084" t="str">
        <f>"1552382557007130"</f>
        <v>1552382557007130</v>
      </c>
      <c r="C6084" t="s">
        <v>40</v>
      </c>
      <c r="D6084">
        <v>3.1795680000000002</v>
      </c>
      <c r="E6084">
        <v>0.4709256</v>
      </c>
      <c r="F6084" t="s">
        <v>67</v>
      </c>
      <c r="G6084">
        <v>-384.04020000000003</v>
      </c>
      <c r="H6084" s="1">
        <v>-4.4926199999999997E-6</v>
      </c>
      <c r="I6084">
        <v>27.03867</v>
      </c>
      <c r="J6084">
        <v>-405.35329999999999</v>
      </c>
      <c r="K6084">
        <v>1.1259079999999999</v>
      </c>
      <c r="L6084">
        <v>27.391629999999999</v>
      </c>
      <c r="M6084">
        <v>0.93822850000000002</v>
      </c>
      <c r="N6084">
        <v>0</v>
      </c>
      <c r="O6084">
        <v>-0.34562280000000001</v>
      </c>
      <c r="P6084">
        <v>0.98327379999999998</v>
      </c>
      <c r="Q6084">
        <v>0.16023899999999999</v>
      </c>
      <c r="R6084">
        <v>-8.6579499999999907E-2</v>
      </c>
      <c r="S6084">
        <v>3.0742799999999999</v>
      </c>
      <c r="T6084">
        <v>-0.16107079999999999</v>
      </c>
      <c r="U6084">
        <v>-5.892944E-2</v>
      </c>
      <c r="V6084">
        <v>-0.26519569999999998</v>
      </c>
      <c r="W6084">
        <v>0.1658982</v>
      </c>
      <c r="X6084">
        <v>0.94981530000000003</v>
      </c>
      <c r="Y6084">
        <v>-0.32671739999999999</v>
      </c>
      <c r="Z6084">
        <v>2.6345940000000002E-2</v>
      </c>
      <c r="AA6084">
        <v>0.94475480000000001</v>
      </c>
      <c r="AB6084">
        <v>33</v>
      </c>
      <c r="AC6084">
        <v>21.313099999999899</v>
      </c>
      <c r="AD6084">
        <v>-1.1259124926199999</v>
      </c>
      <c r="AE6084">
        <v>-0.352959999999999</v>
      </c>
      <c r="AF6084">
        <v>-7.0165179531903599</v>
      </c>
      <c r="AG6084">
        <v>-1.1259124926199999</v>
      </c>
      <c r="AH6084">
        <v>20.065305910074699</v>
      </c>
      <c r="AI6084">
        <v>93.0319736658697</v>
      </c>
      <c r="AJ6084">
        <v>109.27391890961999</v>
      </c>
      <c r="AK6084">
        <v>21.286514613561302</v>
      </c>
      <c r="AL6084">
        <v>80.450583669277293</v>
      </c>
      <c r="AM6084">
        <v>105.600140082523</v>
      </c>
      <c r="AN6084">
        <v>1.0000000380878999</v>
      </c>
    </row>
    <row r="6085" spans="1:40" x14ac:dyDescent="0.25">
      <c r="A6085" t="str">
        <f>"20190312172237024"</f>
        <v>20190312172237024</v>
      </c>
      <c r="B6085" t="str">
        <f>"1552382557016890"</f>
        <v>1552382557016890</v>
      </c>
      <c r="C6085" t="s">
        <v>40</v>
      </c>
      <c r="D6085">
        <v>3.1635960000000001</v>
      </c>
      <c r="E6085">
        <v>0.4709256</v>
      </c>
      <c r="F6085" t="s">
        <v>67</v>
      </c>
      <c r="G6085">
        <v>-384.25839999999999</v>
      </c>
      <c r="H6085" s="1">
        <v>-4.4233730000000002E-6</v>
      </c>
      <c r="I6085">
        <v>27.12067</v>
      </c>
      <c r="J6085">
        <v>-405.16730000000001</v>
      </c>
      <c r="K6085">
        <v>1.1258999999999999</v>
      </c>
      <c r="L6085">
        <v>27.331119999999999</v>
      </c>
      <c r="M6085">
        <v>0.94184489999999998</v>
      </c>
      <c r="N6085">
        <v>0</v>
      </c>
      <c r="O6085">
        <v>-0.33564270000000002</v>
      </c>
      <c r="P6085">
        <v>0.98407480000000003</v>
      </c>
      <c r="Q6085">
        <v>0.16019520000000001</v>
      </c>
      <c r="R6085">
        <v>-7.7034530000000004E-2</v>
      </c>
      <c r="S6085">
        <v>3.074341</v>
      </c>
      <c r="T6085">
        <v>-0.1640884</v>
      </c>
      <c r="U6085">
        <v>-3.9489749999999997E-2</v>
      </c>
      <c r="V6085">
        <v>-0.26432420000000001</v>
      </c>
      <c r="W6085">
        <v>0.16589770000000001</v>
      </c>
      <c r="X6085">
        <v>0.95005819999999996</v>
      </c>
      <c r="Y6085">
        <v>-0.3226405</v>
      </c>
      <c r="Z6085">
        <v>2.6229860000000001E-2</v>
      </c>
      <c r="AA6085">
        <v>0.9461581</v>
      </c>
      <c r="AB6085">
        <v>33</v>
      </c>
      <c r="AC6085">
        <v>20.908899999999999</v>
      </c>
      <c r="AD6085">
        <v>-1.125904423373</v>
      </c>
      <c r="AE6085">
        <v>-0.210450000000001</v>
      </c>
      <c r="AF6085">
        <v>-6.8009185505863501</v>
      </c>
      <c r="AG6085">
        <v>-1.125904423373</v>
      </c>
      <c r="AH6085">
        <v>19.709123708211902</v>
      </c>
      <c r="AI6085">
        <v>93.091054685729404</v>
      </c>
      <c r="AJ6085">
        <v>109.03773583315601</v>
      </c>
      <c r="AK6085">
        <v>20.879887721151199</v>
      </c>
      <c r="AL6085">
        <v>80.450611933108704</v>
      </c>
      <c r="AM6085">
        <v>105.547575225706</v>
      </c>
      <c r="AN6085">
        <v>0.99999995647908402</v>
      </c>
    </row>
    <row r="6086" spans="1:40" x14ac:dyDescent="0.25">
      <c r="A6086" t="str">
        <f>"20190312172237036"</f>
        <v>20190312172237036</v>
      </c>
      <c r="B6086" t="str">
        <f>"1552382557026650"</f>
        <v>1552382557026650</v>
      </c>
      <c r="C6086" t="s">
        <v>40</v>
      </c>
      <c r="D6086">
        <v>3.268465</v>
      </c>
      <c r="E6086">
        <v>0.48295110000000002</v>
      </c>
      <c r="F6086" t="s">
        <v>67</v>
      </c>
      <c r="G6086">
        <v>-384.11349999999999</v>
      </c>
      <c r="H6086" s="1">
        <v>-4.503945E-6</v>
      </c>
      <c r="I6086">
        <v>27.261320000000001</v>
      </c>
      <c r="J6086">
        <v>-404.99220000000003</v>
      </c>
      <c r="K6086">
        <v>1.125883</v>
      </c>
      <c r="L6086">
        <v>27.276250000000001</v>
      </c>
      <c r="M6086">
        <v>0.94513820000000004</v>
      </c>
      <c r="N6086">
        <v>0</v>
      </c>
      <c r="O6086">
        <v>-0.32625399999999999</v>
      </c>
      <c r="P6086">
        <v>0.98474130000000004</v>
      </c>
      <c r="Q6086">
        <v>0.1599891</v>
      </c>
      <c r="R6086">
        <v>-6.8473129999999993E-2</v>
      </c>
      <c r="S6086">
        <v>3.0745239999999998</v>
      </c>
      <c r="T6086">
        <v>-0.16441829999999999</v>
      </c>
      <c r="U6086">
        <v>-1.019287E-2</v>
      </c>
      <c r="V6086">
        <v>-0.26312980000000002</v>
      </c>
      <c r="W6086">
        <v>0.16574910000000001</v>
      </c>
      <c r="X6086">
        <v>0.95041569999999997</v>
      </c>
      <c r="Y6086">
        <v>-0.32224950000000002</v>
      </c>
      <c r="Z6086">
        <v>2.579973E-2</v>
      </c>
      <c r="AA6086">
        <v>0.94630309999999995</v>
      </c>
      <c r="AB6086">
        <v>33</v>
      </c>
      <c r="AC6086">
        <v>20.878699999999998</v>
      </c>
      <c r="AD6086">
        <v>-1.125887503945</v>
      </c>
      <c r="AE6086">
        <v>-1.49299999999996E-2</v>
      </c>
      <c r="AF6086">
        <v>-6.7788611160589198</v>
      </c>
      <c r="AG6086">
        <v>-1.125887503945</v>
      </c>
      <c r="AH6086">
        <v>19.6835756138627</v>
      </c>
      <c r="AI6086">
        <v>93.095652813701406</v>
      </c>
      <c r="AJ6086">
        <v>109.00328535976401</v>
      </c>
      <c r="AK6086">
        <v>20.8485905914286</v>
      </c>
      <c r="AL6086">
        <v>80.459246316944999</v>
      </c>
      <c r="AM6086">
        <v>105.475153214182</v>
      </c>
      <c r="AN6086">
        <v>1.0000000293026601</v>
      </c>
    </row>
    <row r="6087" spans="1:40" x14ac:dyDescent="0.25">
      <c r="A6087" t="str">
        <f>"20190312172237054"</f>
        <v>20190312172237054</v>
      </c>
      <c r="B6087" t="str">
        <f>"1552382557046173"</f>
        <v>1552382557046173</v>
      </c>
      <c r="C6087" t="s">
        <v>40</v>
      </c>
      <c r="D6087">
        <v>3.197835</v>
      </c>
      <c r="E6087">
        <v>0.4828229</v>
      </c>
      <c r="F6087" t="s">
        <v>67</v>
      </c>
      <c r="G6087">
        <v>-386.97149999999999</v>
      </c>
      <c r="H6087" s="1">
        <v>-3.3260949999999999E-6</v>
      </c>
      <c r="I6087">
        <v>26.808299999999999</v>
      </c>
      <c r="J6087">
        <v>-404.75020000000001</v>
      </c>
      <c r="K6087">
        <v>1.1258570000000001</v>
      </c>
      <c r="L6087">
        <v>27.20383</v>
      </c>
      <c r="M6087">
        <v>0.94951859999999999</v>
      </c>
      <c r="N6087">
        <v>0</v>
      </c>
      <c r="O6087">
        <v>-0.31327670000000002</v>
      </c>
      <c r="P6087">
        <v>0.98552490000000004</v>
      </c>
      <c r="Q6087">
        <v>0.15935070000000001</v>
      </c>
      <c r="R6087">
        <v>-5.7864869999999999E-2</v>
      </c>
      <c r="S6087">
        <v>3.0720830000000001</v>
      </c>
      <c r="T6087">
        <v>-0.19193499999999999</v>
      </c>
      <c r="U6087">
        <v>-7.9772949999999995E-2</v>
      </c>
      <c r="V6087">
        <v>-0.26033899999999999</v>
      </c>
      <c r="W6087">
        <v>0.16524169999999999</v>
      </c>
      <c r="X6087">
        <v>0.95127220000000001</v>
      </c>
      <c r="Y6087">
        <v>-0.28741030000000001</v>
      </c>
      <c r="Z6087">
        <v>2.824846E-2</v>
      </c>
      <c r="AA6087">
        <v>0.95739090000000004</v>
      </c>
      <c r="AB6087">
        <v>33</v>
      </c>
      <c r="AC6087">
        <v>17.778700000000001</v>
      </c>
      <c r="AD6087">
        <v>-1.125860326095</v>
      </c>
      <c r="AE6087">
        <v>-0.39552999999999999</v>
      </c>
      <c r="AF6087">
        <v>-5.1740573885695804</v>
      </c>
      <c r="AG6087">
        <v>-1.125860326095</v>
      </c>
      <c r="AH6087">
        <v>16.939533225465599</v>
      </c>
      <c r="AI6087">
        <v>93.637081920146898</v>
      </c>
      <c r="AJ6087">
        <v>106.984911042333</v>
      </c>
      <c r="AK6087">
        <v>17.747851059515298</v>
      </c>
      <c r="AL6087">
        <v>80.488724465372002</v>
      </c>
      <c r="AM6087">
        <v>105.305624525385</v>
      </c>
      <c r="AN6087">
        <v>1.0000000064163601</v>
      </c>
    </row>
    <row r="6088" spans="1:40" x14ac:dyDescent="0.25">
      <c r="A6088" t="str">
        <f>"20190312172237067"</f>
        <v>20190312172237067</v>
      </c>
      <c r="B6088" t="str">
        <f>"1552382557056906"</f>
        <v>1552382557056906</v>
      </c>
      <c r="C6088" t="s">
        <v>40</v>
      </c>
      <c r="D6088">
        <v>3.17415</v>
      </c>
      <c r="E6088">
        <v>0.48407620000000001</v>
      </c>
      <c r="F6088" t="s">
        <v>67</v>
      </c>
      <c r="G6088">
        <v>-387.36009999999999</v>
      </c>
      <c r="H6088" s="1">
        <v>-3.1998720000000001E-6</v>
      </c>
      <c r="I6088">
        <v>26.950869999999998</v>
      </c>
      <c r="J6088">
        <v>-404.57569999999998</v>
      </c>
      <c r="K6088">
        <v>1.125839</v>
      </c>
      <c r="L6088">
        <v>27.15381</v>
      </c>
      <c r="M6088">
        <v>0.95255299999999998</v>
      </c>
      <c r="N6088">
        <v>0</v>
      </c>
      <c r="O6088">
        <v>-0.30392570000000002</v>
      </c>
      <c r="P6088">
        <v>0.98600600000000005</v>
      </c>
      <c r="Q6088">
        <v>0.15922929999999999</v>
      </c>
      <c r="R6088">
        <v>-4.9380529999999999E-2</v>
      </c>
      <c r="S6088">
        <v>3.0736080000000001</v>
      </c>
      <c r="T6088">
        <v>-0.19899030000000001</v>
      </c>
      <c r="U6088">
        <v>-4.4708249999999998E-2</v>
      </c>
      <c r="V6088">
        <v>-0.25916489999999998</v>
      </c>
      <c r="W6088">
        <v>0.1651791</v>
      </c>
      <c r="X6088">
        <v>0.95160359999999999</v>
      </c>
      <c r="Y6088">
        <v>-0.28885470000000002</v>
      </c>
      <c r="Z6088">
        <v>2.8748639999999999E-2</v>
      </c>
      <c r="AA6088">
        <v>0.95694120000000005</v>
      </c>
      <c r="AB6088">
        <v>33</v>
      </c>
      <c r="AC6088">
        <v>17.215599999999899</v>
      </c>
      <c r="AD6088">
        <v>-1.1258421998720001</v>
      </c>
      <c r="AE6088">
        <v>-0.20293999999999399</v>
      </c>
      <c r="AF6088">
        <v>-5.0181791287550803</v>
      </c>
      <c r="AG6088">
        <v>-1.1258421998720001</v>
      </c>
      <c r="AH6088">
        <v>16.392592013841998</v>
      </c>
      <c r="AI6088">
        <v>93.757316532579097</v>
      </c>
      <c r="AJ6088">
        <v>107.020649339126</v>
      </c>
      <c r="AK6088">
        <v>17.180416623573599</v>
      </c>
      <c r="AL6088">
        <v>80.492361055337796</v>
      </c>
      <c r="AM6088">
        <v>105.234753851435</v>
      </c>
      <c r="AN6088">
        <v>0.99999999600088996</v>
      </c>
    </row>
    <row r="6089" spans="1:40" x14ac:dyDescent="0.25">
      <c r="A6089" t="str">
        <f>"20190312172237079"</f>
        <v>20190312172237079</v>
      </c>
      <c r="B6089" t="str">
        <f>"1552382557076426"</f>
        <v>1552382557076426</v>
      </c>
      <c r="C6089" t="s">
        <v>40</v>
      </c>
      <c r="D6089">
        <v>3.1819799999999998</v>
      </c>
      <c r="E6089">
        <v>0.48621959999999997</v>
      </c>
      <c r="F6089" t="s">
        <v>67</v>
      </c>
      <c r="G6089">
        <v>-387.42509999999999</v>
      </c>
      <c r="H6089" s="1">
        <v>-3.1817969999999999E-6</v>
      </c>
      <c r="I6089">
        <v>26.998339999999999</v>
      </c>
      <c r="J6089">
        <v>-404.40440000000001</v>
      </c>
      <c r="K6089">
        <v>1.1258170000000001</v>
      </c>
      <c r="L6089">
        <v>27.10596</v>
      </c>
      <c r="M6089">
        <v>0.95543400000000001</v>
      </c>
      <c r="N6089">
        <v>0</v>
      </c>
      <c r="O6089">
        <v>-0.2947438</v>
      </c>
      <c r="P6089">
        <v>0.98639770000000004</v>
      </c>
      <c r="Q6089">
        <v>0.15920279999999901</v>
      </c>
      <c r="R6089">
        <v>-4.09191E-2</v>
      </c>
      <c r="S6089">
        <v>3.0737610000000002</v>
      </c>
      <c r="T6089">
        <v>-0.20177539999999999</v>
      </c>
      <c r="U6089">
        <v>-2.786255E-2</v>
      </c>
      <c r="V6089">
        <v>-0.25816</v>
      </c>
      <c r="W6089">
        <v>0.1652045</v>
      </c>
      <c r="X6089">
        <v>0.9518723</v>
      </c>
      <c r="Y6089">
        <v>-0.28487800000000002</v>
      </c>
      <c r="Z6089">
        <v>2.844354E-2</v>
      </c>
      <c r="AA6089">
        <v>0.95814169999999999</v>
      </c>
      <c r="AB6089">
        <v>33</v>
      </c>
      <c r="AC6089">
        <v>16.979299999999999</v>
      </c>
      <c r="AD6089">
        <v>-1.1258201817969999</v>
      </c>
      <c r="AE6089">
        <v>-0.107619999999993</v>
      </c>
      <c r="AF6089">
        <v>-4.8809285615446996</v>
      </c>
      <c r="AG6089">
        <v>-1.1258201817969999</v>
      </c>
      <c r="AH6089">
        <v>16.185376845364502</v>
      </c>
      <c r="AI6089">
        <v>93.810021580960495</v>
      </c>
      <c r="AJ6089">
        <v>106.781425485254</v>
      </c>
      <c r="AK6089">
        <v>16.942767139139502</v>
      </c>
      <c r="AL6089">
        <v>80.490885450596195</v>
      </c>
      <c r="AM6089">
        <v>105.17432486044299</v>
      </c>
      <c r="AN6089">
        <v>0.99999999396376904</v>
      </c>
    </row>
    <row r="6090" spans="1:40" x14ac:dyDescent="0.25">
      <c r="A6090" t="str">
        <f>"20190312172237093"</f>
        <v>20190312172237093</v>
      </c>
      <c r="B6090" t="str">
        <f>"1552382557087162"</f>
        <v>1552382557087162</v>
      </c>
      <c r="C6090" t="s">
        <v>40</v>
      </c>
      <c r="D6090">
        <v>3.1772170000000002</v>
      </c>
      <c r="E6090">
        <v>0.4871934</v>
      </c>
      <c r="F6090" t="s">
        <v>67</v>
      </c>
      <c r="G6090">
        <v>-387.23610000000002</v>
      </c>
      <c r="H6090" s="1">
        <v>-3.2586960000000001E-6</v>
      </c>
      <c r="I6090">
        <v>27.001280000000001</v>
      </c>
      <c r="J6090">
        <v>-404.22640000000001</v>
      </c>
      <c r="K6090">
        <v>1.125785</v>
      </c>
      <c r="L6090">
        <v>27.059139999999999</v>
      </c>
      <c r="M6090">
        <v>0.95831469999999996</v>
      </c>
      <c r="N6090">
        <v>0</v>
      </c>
      <c r="O6090">
        <v>-0.28523880000000001</v>
      </c>
      <c r="P6090">
        <v>0.98667850000000001</v>
      </c>
      <c r="Q6090">
        <v>0.1594875</v>
      </c>
      <c r="R6090">
        <v>-3.2085229999999999E-2</v>
      </c>
      <c r="S6090">
        <v>3.0731199999999999</v>
      </c>
      <c r="T6090">
        <v>-0.20152239999999999</v>
      </c>
      <c r="U6090">
        <v>-1.8737790000000001E-2</v>
      </c>
      <c r="V6090">
        <v>-0.25721189999999999</v>
      </c>
      <c r="W6090">
        <v>0.165541299999999</v>
      </c>
      <c r="X6090">
        <v>0.95207050000000004</v>
      </c>
      <c r="Y6090">
        <v>-0.27823179999999997</v>
      </c>
      <c r="Z6090">
        <v>2.7597320000000002E-2</v>
      </c>
      <c r="AA6090">
        <v>0.96011740000000001</v>
      </c>
      <c r="AB6090">
        <v>33</v>
      </c>
      <c r="AC6090">
        <v>16.990299999999898</v>
      </c>
      <c r="AD6090">
        <v>-1.125788258696</v>
      </c>
      <c r="AE6090">
        <v>-5.7860000000005102E-2</v>
      </c>
      <c r="AF6090">
        <v>-4.7705510803596303</v>
      </c>
      <c r="AG6090">
        <v>-1.125788258696</v>
      </c>
      <c r="AH6090">
        <v>16.229518844335502</v>
      </c>
      <c r="AI6090">
        <v>93.807486741953099</v>
      </c>
      <c r="AJ6090">
        <v>106.38032233308699</v>
      </c>
      <c r="AK6090">
        <v>16.953549443475801</v>
      </c>
      <c r="AL6090">
        <v>80.471319458481901</v>
      </c>
      <c r="AM6090">
        <v>105.11814914818299</v>
      </c>
      <c r="AN6090">
        <v>1.00000006023877</v>
      </c>
    </row>
    <row r="6091" spans="1:40" x14ac:dyDescent="0.25">
      <c r="A6091" t="str">
        <f>"20190312172237110"</f>
        <v>20190312172237110</v>
      </c>
      <c r="B6091" t="str">
        <f>"1552382557106682"</f>
        <v>1552382557106682</v>
      </c>
      <c r="C6091" t="s">
        <v>40</v>
      </c>
      <c r="D6091">
        <v>3.2246450000000002</v>
      </c>
      <c r="E6091">
        <v>0.48899559999999997</v>
      </c>
      <c r="F6091" t="s">
        <v>67</v>
      </c>
      <c r="G6091">
        <v>-386.99979999999999</v>
      </c>
      <c r="H6091" s="1">
        <v>-3.359984E-6</v>
      </c>
      <c r="I6091">
        <v>27.060680000000001</v>
      </c>
      <c r="J6091">
        <v>-403.97550000000001</v>
      </c>
      <c r="K6091">
        <v>1.125739</v>
      </c>
      <c r="L6091">
        <v>26.995640000000002</v>
      </c>
      <c r="M6091">
        <v>0.962198</v>
      </c>
      <c r="N6091">
        <v>0</v>
      </c>
      <c r="O6091">
        <v>-0.27185189999999998</v>
      </c>
      <c r="P6091">
        <v>0.98688830000000005</v>
      </c>
      <c r="Q6091">
        <v>0.16009499999999999</v>
      </c>
      <c r="R6091">
        <v>-2.052375E-2</v>
      </c>
      <c r="S6091">
        <v>3.0729679999999999</v>
      </c>
      <c r="T6091">
        <v>-0.20082349999999999</v>
      </c>
      <c r="U6091">
        <v>2.7465820000000001E-4</v>
      </c>
      <c r="V6091">
        <v>-0.25506400000000001</v>
      </c>
      <c r="W6091">
        <v>0.1662583</v>
      </c>
      <c r="X6091">
        <v>0.95252320000000001</v>
      </c>
      <c r="Y6091">
        <v>-0.27082830000000002</v>
      </c>
      <c r="Z6091">
        <v>2.6419069999999999E-2</v>
      </c>
      <c r="AA6091">
        <v>0.96226509999999998</v>
      </c>
      <c r="AB6091">
        <v>33</v>
      </c>
      <c r="AC6091">
        <v>16.9757</v>
      </c>
      <c r="AD6091">
        <v>-1.125742359984</v>
      </c>
      <c r="AE6091">
        <v>6.5039999999996198E-2</v>
      </c>
      <c r="AF6091">
        <v>-4.65761054225508</v>
      </c>
      <c r="AG6091">
        <v>-1.125742359984</v>
      </c>
      <c r="AH6091">
        <v>16.247070957898998</v>
      </c>
      <c r="AI6091">
        <v>93.810618146754393</v>
      </c>
      <c r="AJ6091">
        <v>105.996213153433</v>
      </c>
      <c r="AK6091">
        <v>16.938947621838601</v>
      </c>
      <c r="AL6091">
        <v>80.429660107970307</v>
      </c>
      <c r="AM6091">
        <v>104.990805543091</v>
      </c>
      <c r="AN6091">
        <v>0.99999995647656403</v>
      </c>
    </row>
    <row r="6092" spans="1:40" x14ac:dyDescent="0.25">
      <c r="A6092" t="str">
        <f>"20190312172237133"</f>
        <v>20190312172237133</v>
      </c>
      <c r="B6092" t="str">
        <f>"1552382557126202"</f>
        <v>1552382557126202</v>
      </c>
      <c r="C6092" t="s">
        <v>40</v>
      </c>
      <c r="D6092">
        <v>3.3241309999999999</v>
      </c>
      <c r="E6092">
        <v>0.48925089999999999</v>
      </c>
      <c r="F6092" t="s">
        <v>67</v>
      </c>
      <c r="G6092">
        <v>-386.75009999999997</v>
      </c>
      <c r="H6092" s="1">
        <v>-3.4652639999999999E-6</v>
      </c>
      <c r="I6092">
        <v>27.113499999999998</v>
      </c>
      <c r="J6092">
        <v>-403.66489999999999</v>
      </c>
      <c r="K6092">
        <v>1.1256649999999999</v>
      </c>
      <c r="L6092">
        <v>26.922090000000001</v>
      </c>
      <c r="M6092">
        <v>0.96671059999999998</v>
      </c>
      <c r="N6092">
        <v>0</v>
      </c>
      <c r="O6092">
        <v>-0.25534299999999999</v>
      </c>
      <c r="P6092">
        <v>0.98696269999999997</v>
      </c>
      <c r="Q6092">
        <v>0.1608125</v>
      </c>
      <c r="R6092">
        <v>-6.6810219999999896E-3</v>
      </c>
      <c r="S6092">
        <v>3.0728759999999999</v>
      </c>
      <c r="T6092">
        <v>-0.20082269999999999</v>
      </c>
      <c r="U6092">
        <v>2.1026610000000001E-2</v>
      </c>
      <c r="V6092">
        <v>-0.25207800000000002</v>
      </c>
      <c r="W6092">
        <v>0.16712859999999999</v>
      </c>
      <c r="X6092">
        <v>0.9531657</v>
      </c>
      <c r="Y6092">
        <v>-0.26089459999999998</v>
      </c>
      <c r="Z6092">
        <v>2.5050739999999998E-2</v>
      </c>
      <c r="AA6092">
        <v>0.96504219999999996</v>
      </c>
      <c r="AB6092">
        <v>33</v>
      </c>
      <c r="AC6092">
        <v>16.9148</v>
      </c>
      <c r="AD6092">
        <v>-1.1256684652640001</v>
      </c>
      <c r="AE6092">
        <v>0.191409999999997</v>
      </c>
      <c r="AF6092">
        <v>-4.4848632371318002</v>
      </c>
      <c r="AG6092">
        <v>-1.1256684652640001</v>
      </c>
      <c r="AH6092">
        <v>16.233162791702899</v>
      </c>
      <c r="AI6092">
        <v>93.823947151384203</v>
      </c>
      <c r="AJ6092">
        <v>105.444296517122</v>
      </c>
      <c r="AK6092">
        <v>16.878883315296399</v>
      </c>
      <c r="AL6092">
        <v>80.379089117518106</v>
      </c>
      <c r="AM6092">
        <v>104.81352707939</v>
      </c>
      <c r="AN6092">
        <v>1.0000000693392199</v>
      </c>
    </row>
    <row r="6093" spans="1:40" x14ac:dyDescent="0.25">
      <c r="A6093" t="str">
        <f>"20190312172237145"</f>
        <v>20190312172237145</v>
      </c>
      <c r="B6093" t="str">
        <f>"1552382557136938"</f>
        <v>1552382557136938</v>
      </c>
      <c r="C6093" t="s">
        <v>40</v>
      </c>
      <c r="D6093">
        <v>3.3313929999999998</v>
      </c>
      <c r="E6093">
        <v>0.48925089999999999</v>
      </c>
      <c r="F6093" t="s">
        <v>67</v>
      </c>
      <c r="G6093">
        <v>-386.08800000000002</v>
      </c>
      <c r="H6093" s="1">
        <v>-3.7489330000000001E-6</v>
      </c>
      <c r="I6093">
        <v>27.279509999999998</v>
      </c>
      <c r="J6093">
        <v>-403.48379999999997</v>
      </c>
      <c r="K6093">
        <v>1.1256139999999999</v>
      </c>
      <c r="L6093">
        <v>26.881710000000002</v>
      </c>
      <c r="M6093">
        <v>0.96919169999999999</v>
      </c>
      <c r="N6093">
        <v>0</v>
      </c>
      <c r="O6093">
        <v>-0.24575859999999999</v>
      </c>
      <c r="P6093">
        <v>0.98694740000000003</v>
      </c>
      <c r="Q6093">
        <v>0.1610414</v>
      </c>
      <c r="R6093">
        <v>9.1293169999999999E-4</v>
      </c>
      <c r="S6093">
        <v>3.0720830000000001</v>
      </c>
      <c r="T6093">
        <v>-0.1967449</v>
      </c>
      <c r="U6093">
        <v>6.2469480000000001E-2</v>
      </c>
      <c r="V6093">
        <v>-0.24994659999999999</v>
      </c>
      <c r="W6093">
        <v>0.16746520000000001</v>
      </c>
      <c r="X6093">
        <v>0.95366770000000001</v>
      </c>
      <c r="Y6093">
        <v>-0.26440940000000002</v>
      </c>
      <c r="Z6093">
        <v>2.4067939999999999E-2</v>
      </c>
      <c r="AA6093">
        <v>0.96411009999999997</v>
      </c>
      <c r="AB6093">
        <v>33</v>
      </c>
      <c r="AC6093">
        <v>17.395799999999898</v>
      </c>
      <c r="AD6093">
        <v>-1.1256177489329999</v>
      </c>
      <c r="AE6093">
        <v>0.39779999999999999</v>
      </c>
      <c r="AF6093">
        <v>-4.6419165036702497</v>
      </c>
      <c r="AG6093">
        <v>-1.1256177489329999</v>
      </c>
      <c r="AH6093">
        <v>16.6945051148221</v>
      </c>
      <c r="AI6093">
        <v>93.716716856347702</v>
      </c>
      <c r="AJ6093">
        <v>105.538619694791</v>
      </c>
      <c r="AK6093">
        <v>17.364357321035001</v>
      </c>
      <c r="AL6093">
        <v>80.359526889879405</v>
      </c>
      <c r="AM6093">
        <v>104.686315349371</v>
      </c>
      <c r="AN6093">
        <v>0.99999998904294496</v>
      </c>
    </row>
    <row r="6094" spans="1:40" x14ac:dyDescent="0.25">
      <c r="A6094" t="str">
        <f>"20190312172237157"</f>
        <v>20190312172237157</v>
      </c>
      <c r="B6094" t="str">
        <f>"1552382557146699"</f>
        <v>1552382557146699</v>
      </c>
      <c r="C6094" t="s">
        <v>40</v>
      </c>
      <c r="D6094">
        <v>3.21272</v>
      </c>
      <c r="E6094">
        <v>0.47255399999999997</v>
      </c>
      <c r="F6094" t="s">
        <v>67</v>
      </c>
      <c r="G6094">
        <v>-385.8417</v>
      </c>
      <c r="H6094" s="1">
        <v>-3.8613120000000001E-6</v>
      </c>
      <c r="I6094">
        <v>27.3797</v>
      </c>
      <c r="J6094">
        <v>-403.30549999999999</v>
      </c>
      <c r="K6094">
        <v>1.1255580000000001</v>
      </c>
      <c r="L6094">
        <v>26.843630000000001</v>
      </c>
      <c r="M6094">
        <v>0.97152919999999998</v>
      </c>
      <c r="N6094">
        <v>0</v>
      </c>
      <c r="O6094">
        <v>-0.23634930000000001</v>
      </c>
      <c r="P6094">
        <v>0.98684709999999998</v>
      </c>
      <c r="Q6094">
        <v>0.1614362</v>
      </c>
      <c r="R6094">
        <v>8.4562209999999999E-3</v>
      </c>
      <c r="S6094">
        <v>3.071564</v>
      </c>
      <c r="T6094">
        <v>-0.19597490000000001</v>
      </c>
      <c r="U6094">
        <v>8.6700440000000004E-2</v>
      </c>
      <c r="V6094">
        <v>-0.2479595</v>
      </c>
      <c r="W6094">
        <v>0.16796159999999999</v>
      </c>
      <c r="X6094">
        <v>0.95409909999999998</v>
      </c>
      <c r="Y6094">
        <v>-0.26269429999999999</v>
      </c>
      <c r="Z6094">
        <v>2.333789E-2</v>
      </c>
      <c r="AA6094">
        <v>0.96459689999999998</v>
      </c>
      <c r="AB6094">
        <v>33</v>
      </c>
      <c r="AC6094">
        <v>17.4637999999999</v>
      </c>
      <c r="AD6094">
        <v>-1.125561861312</v>
      </c>
      <c r="AE6094">
        <v>0.53607000000000204</v>
      </c>
      <c r="AF6094">
        <v>-4.6297785077227296</v>
      </c>
      <c r="AG6094">
        <v>-1.125561861312</v>
      </c>
      <c r="AH6094">
        <v>16.772559123280001</v>
      </c>
      <c r="AI6094">
        <v>93.701200998397297</v>
      </c>
      <c r="AJ6094">
        <v>105.431257817236</v>
      </c>
      <c r="AK6094">
        <v>17.4361830134389</v>
      </c>
      <c r="AL6094">
        <v>80.330677244318494</v>
      </c>
      <c r="AM6094">
        <v>104.568238600199</v>
      </c>
      <c r="AN6094">
        <v>1.0000000526677999</v>
      </c>
    </row>
    <row r="6095" spans="1:40" x14ac:dyDescent="0.25">
      <c r="A6095" t="str">
        <f>"20190312172237176"</f>
        <v>20190312172237176</v>
      </c>
      <c r="B6095" t="str">
        <f>"1552382557166218"</f>
        <v>1552382557166218</v>
      </c>
      <c r="C6095" t="s">
        <v>40</v>
      </c>
      <c r="D6095">
        <v>3.23508</v>
      </c>
      <c r="E6095">
        <v>0.4739022</v>
      </c>
      <c r="F6095" t="s">
        <v>68</v>
      </c>
      <c r="G6095">
        <v>-378.43329999999997</v>
      </c>
      <c r="H6095" s="1">
        <v>-3.106207E-6</v>
      </c>
      <c r="I6095">
        <v>28.824719999999999</v>
      </c>
      <c r="J6095">
        <v>-403.03609999999998</v>
      </c>
      <c r="K6095">
        <v>1.125456</v>
      </c>
      <c r="L6095">
        <v>26.789919999999999</v>
      </c>
      <c r="M6095">
        <v>0.97485540000000004</v>
      </c>
      <c r="N6095">
        <v>0</v>
      </c>
      <c r="O6095">
        <v>-0.2222336</v>
      </c>
      <c r="P6095">
        <v>0.98658190000000001</v>
      </c>
      <c r="Q6095">
        <v>0.16216749999999999</v>
      </c>
      <c r="R6095">
        <v>1.8916700000000002E-2</v>
      </c>
      <c r="S6095">
        <v>3.0605470000000001</v>
      </c>
      <c r="T6095">
        <v>-0.13850119999999999</v>
      </c>
      <c r="U6095">
        <v>0.2437744</v>
      </c>
      <c r="V6095">
        <v>-0.24418390000000001</v>
      </c>
      <c r="W6095">
        <v>0.16888149999999999</v>
      </c>
      <c r="X6095">
        <v>0.95491009999999998</v>
      </c>
      <c r="Y6095">
        <v>-0.29844589999999999</v>
      </c>
      <c r="Z6095">
        <v>1.6734700000000002E-2</v>
      </c>
      <c r="AA6095">
        <v>0.95427980000000001</v>
      </c>
      <c r="AB6095">
        <v>33</v>
      </c>
      <c r="AC6095">
        <v>24.602799999999998</v>
      </c>
      <c r="AD6095">
        <v>-1.1254591062070001</v>
      </c>
      <c r="AE6095">
        <v>2.0348000000000002</v>
      </c>
      <c r="AF6095">
        <v>-7.4367510612243599</v>
      </c>
      <c r="AG6095">
        <v>-1.1254591062070001</v>
      </c>
      <c r="AH6095">
        <v>23.486325216665001</v>
      </c>
      <c r="AI6095">
        <v>92.615696592197907</v>
      </c>
      <c r="AJ6095">
        <v>107.569961135291</v>
      </c>
      <c r="AK6095">
        <v>24.661293492623699</v>
      </c>
      <c r="AL6095">
        <v>80.277206704170695</v>
      </c>
      <c r="AM6095">
        <v>104.343957808002</v>
      </c>
      <c r="AN6095">
        <v>1.0000000185717299</v>
      </c>
    </row>
    <row r="6096" spans="1:40" x14ac:dyDescent="0.25">
      <c r="A6096" t="str">
        <f>"20190312172237189"</f>
        <v>20190312172237189</v>
      </c>
      <c r="B6096" t="str">
        <f>"1552382557186714"</f>
        <v>1552382557186714</v>
      </c>
      <c r="C6096" t="s">
        <v>40</v>
      </c>
      <c r="D6096">
        <v>3.1835979999999999</v>
      </c>
      <c r="E6096">
        <v>0.47608729999999999</v>
      </c>
      <c r="F6096" t="s">
        <v>68</v>
      </c>
      <c r="G6096">
        <v>-375.08249999999998</v>
      </c>
      <c r="H6096" s="1">
        <v>-4.4628660000000004E-6</v>
      </c>
      <c r="I6096">
        <v>29.21884</v>
      </c>
      <c r="J6096">
        <v>-402.85669999999999</v>
      </c>
      <c r="K6096">
        <v>1.1253759999999999</v>
      </c>
      <c r="L6096">
        <v>26.756620000000002</v>
      </c>
      <c r="M6096">
        <v>0.97693459999999999</v>
      </c>
      <c r="N6096">
        <v>0</v>
      </c>
      <c r="O6096">
        <v>-0.21290899999999999</v>
      </c>
      <c r="P6096">
        <v>0.9863343</v>
      </c>
      <c r="Q6096">
        <v>0.16256300000000001</v>
      </c>
      <c r="R6096">
        <v>2.6788659999999999E-2</v>
      </c>
      <c r="S6096">
        <v>3.055939</v>
      </c>
      <c r="T6096">
        <v>-0.1230372</v>
      </c>
      <c r="U6096">
        <v>0.26553339999999998</v>
      </c>
      <c r="V6096">
        <v>-0.24264430000000001</v>
      </c>
      <c r="W6096">
        <v>0.1693646</v>
      </c>
      <c r="X6096">
        <v>0.95521690000000004</v>
      </c>
      <c r="Y6096">
        <v>-0.29630840000000003</v>
      </c>
      <c r="Z6096">
        <v>1.4475180000000001E-2</v>
      </c>
      <c r="AA6096">
        <v>0.95498260000000001</v>
      </c>
      <c r="AB6096">
        <v>33</v>
      </c>
      <c r="AC6096">
        <v>27.7742</v>
      </c>
      <c r="AD6096">
        <v>-1.125380462866</v>
      </c>
      <c r="AE6096">
        <v>2.4622199999999999</v>
      </c>
      <c r="AF6096">
        <v>-8.3063913230624102</v>
      </c>
      <c r="AG6096">
        <v>-1.125380462866</v>
      </c>
      <c r="AH6096">
        <v>26.569640373689801</v>
      </c>
      <c r="AI6096">
        <v>92.315000046917206</v>
      </c>
      <c r="AJ6096">
        <v>107.360662148221</v>
      </c>
      <c r="AK6096">
        <v>27.860517001399199</v>
      </c>
      <c r="AL6096">
        <v>80.2491221311315</v>
      </c>
      <c r="AM6096">
        <v>104.252823655699</v>
      </c>
      <c r="AN6096">
        <v>0.99999997505062899</v>
      </c>
    </row>
    <row r="6097" spans="1:40" x14ac:dyDescent="0.25">
      <c r="A6097" t="str">
        <f>"20190312172237204"</f>
        <v>20190312172237204</v>
      </c>
      <c r="B6097" t="str">
        <f>"1552382557196474"</f>
        <v>1552382557196474</v>
      </c>
      <c r="C6097" t="s">
        <v>40</v>
      </c>
      <c r="D6097">
        <v>3.2641360000000001</v>
      </c>
      <c r="E6097">
        <v>0.47635529999999998</v>
      </c>
      <c r="F6097" t="s">
        <v>68</v>
      </c>
      <c r="G6097">
        <v>-371.61349999999999</v>
      </c>
      <c r="H6097" s="1">
        <v>-5.8520199999999997E-6</v>
      </c>
      <c r="I6097">
        <v>29.540199999999999</v>
      </c>
      <c r="J6097">
        <v>-402.66849999999999</v>
      </c>
      <c r="K6097">
        <v>1.125291</v>
      </c>
      <c r="L6097">
        <v>26.722989999999999</v>
      </c>
      <c r="M6097">
        <v>0.97900640000000005</v>
      </c>
      <c r="N6097">
        <v>0</v>
      </c>
      <c r="O6097">
        <v>-0.2031722</v>
      </c>
      <c r="P6097">
        <v>0.98603819999999998</v>
      </c>
      <c r="Q6097">
        <v>0.1629111</v>
      </c>
      <c r="R6097">
        <v>3.4478580000000002E-2</v>
      </c>
      <c r="S6097">
        <v>3.0523069999999999</v>
      </c>
      <c r="T6097">
        <v>-0.10994429999999999</v>
      </c>
      <c r="U6097">
        <v>0.27194210000000002</v>
      </c>
      <c r="V6097">
        <v>-0.2405399</v>
      </c>
      <c r="W6097">
        <v>0.16982800000000001</v>
      </c>
      <c r="X6097">
        <v>0.95566680000000004</v>
      </c>
      <c r="Y6097">
        <v>-0.28897200000000001</v>
      </c>
      <c r="Z6097">
        <v>1.247294E-2</v>
      </c>
      <c r="AA6097">
        <v>0.95725629999999995</v>
      </c>
      <c r="AB6097">
        <v>33</v>
      </c>
      <c r="AC6097">
        <v>31.055</v>
      </c>
      <c r="AD6097">
        <v>-1.12529685202</v>
      </c>
      <c r="AE6097">
        <v>2.81720999999999</v>
      </c>
      <c r="AF6097">
        <v>-9.0569974943296305</v>
      </c>
      <c r="AG6097">
        <v>-1.12529685202</v>
      </c>
      <c r="AH6097">
        <v>29.795852836810798</v>
      </c>
      <c r="AI6097">
        <v>92.069449330263694</v>
      </c>
      <c r="AJ6097">
        <v>106.90761403191</v>
      </c>
      <c r="AK6097">
        <v>31.162290398658801</v>
      </c>
      <c r="AL6097">
        <v>80.222181359509506</v>
      </c>
      <c r="AM6097">
        <v>104.127799155695</v>
      </c>
      <c r="AN6097">
        <v>1.00000001284912</v>
      </c>
    </row>
    <row r="6098" spans="1:40" x14ac:dyDescent="0.25">
      <c r="A6098" t="str">
        <f>"20190312172237215"</f>
        <v>20190312172237215</v>
      </c>
      <c r="B6098" t="str">
        <f>"1552382557206234"</f>
        <v>1552382557206234</v>
      </c>
      <c r="C6098" t="s">
        <v>40</v>
      </c>
      <c r="D6098">
        <v>3.1856230000000001</v>
      </c>
      <c r="E6098">
        <v>0.47725620000000002</v>
      </c>
      <c r="F6098" t="s">
        <v>68</v>
      </c>
      <c r="G6098">
        <v>-372.53640000000001</v>
      </c>
      <c r="H6098">
        <v>5.5075230000000003E-2</v>
      </c>
      <c r="I6098">
        <v>29.621420000000001</v>
      </c>
      <c r="J6098">
        <v>-402.49380000000002</v>
      </c>
      <c r="K6098">
        <v>1.125197</v>
      </c>
      <c r="L6098">
        <v>26.693819999999999</v>
      </c>
      <c r="M6098">
        <v>0.98082230000000004</v>
      </c>
      <c r="N6098">
        <v>0</v>
      </c>
      <c r="O6098">
        <v>-0.1942189</v>
      </c>
      <c r="P6098">
        <v>0.98577210000000004</v>
      </c>
      <c r="Q6098">
        <v>0.16307920000000001</v>
      </c>
      <c r="R6098">
        <v>4.0731110000000001E-2</v>
      </c>
      <c r="S6098">
        <v>3.0501399999999999</v>
      </c>
      <c r="T6098">
        <v>-0.1083335</v>
      </c>
      <c r="U6098">
        <v>0.29339599999999999</v>
      </c>
      <c r="V6098">
        <v>-0.23782249999999999</v>
      </c>
      <c r="W6098">
        <v>0.17013619999999999</v>
      </c>
      <c r="X6098">
        <v>0.95629189999999997</v>
      </c>
      <c r="Y6098">
        <v>-0.28697679999999998</v>
      </c>
      <c r="Z6098">
        <v>1.19471E-2</v>
      </c>
      <c r="AA6098">
        <v>0.95786300000000002</v>
      </c>
      <c r="AB6098">
        <v>33</v>
      </c>
      <c r="AC6098">
        <v>29.9574</v>
      </c>
      <c r="AD6098">
        <v>-1.0701217700000001</v>
      </c>
      <c r="AE6098">
        <v>2.9275999999999902</v>
      </c>
      <c r="AF6098">
        <v>-8.6799363526547904</v>
      </c>
      <c r="AG6098">
        <v>-1.0701217700000001</v>
      </c>
      <c r="AH6098">
        <v>28.781754206488099</v>
      </c>
      <c r="AI6098">
        <v>92.038698404826107</v>
      </c>
      <c r="AJ6098">
        <v>106.782141917291</v>
      </c>
      <c r="AK6098">
        <v>30.0811540817745</v>
      </c>
      <c r="AL6098">
        <v>80.204262222651593</v>
      </c>
      <c r="AM6098">
        <v>103.96570733377099</v>
      </c>
      <c r="AN6098">
        <v>1.00000003303114</v>
      </c>
    </row>
    <row r="6099" spans="1:40" x14ac:dyDescent="0.25">
      <c r="A6099" t="str">
        <f>"20190312172237233"</f>
        <v>20190312172237233</v>
      </c>
      <c r="B6099" t="str">
        <f>"1552382557226730"</f>
        <v>1552382557226730</v>
      </c>
      <c r="C6099" t="s">
        <v>40</v>
      </c>
      <c r="D6099">
        <v>3.2245010000000001</v>
      </c>
      <c r="E6099">
        <v>0.47902699999999998</v>
      </c>
      <c r="F6099" t="s">
        <v>68</v>
      </c>
      <c r="G6099">
        <v>-373.33600000000001</v>
      </c>
      <c r="H6099">
        <v>4.6370809999999998E-2</v>
      </c>
      <c r="I6099">
        <v>29.616330000000001</v>
      </c>
      <c r="J6099">
        <v>-402.24720000000002</v>
      </c>
      <c r="K6099">
        <v>1.125049</v>
      </c>
      <c r="L6099">
        <v>26.655360000000002</v>
      </c>
      <c r="M6099">
        <v>0.98321789999999998</v>
      </c>
      <c r="N6099">
        <v>0</v>
      </c>
      <c r="O6099">
        <v>-0.1817059</v>
      </c>
      <c r="P6099">
        <v>0.98531780000000002</v>
      </c>
      <c r="Q6099">
        <v>0.16385939999999999</v>
      </c>
      <c r="R6099">
        <v>4.794789E-2</v>
      </c>
      <c r="S6099">
        <v>3.0492859999999999</v>
      </c>
      <c r="T6099">
        <v>-0.11282250000000001</v>
      </c>
      <c r="U6099">
        <v>0.3056335</v>
      </c>
      <c r="V6099">
        <v>-0.23256689999999999</v>
      </c>
      <c r="W6099">
        <v>0.1711703</v>
      </c>
      <c r="X6099">
        <v>0.95739920000000001</v>
      </c>
      <c r="Y6099">
        <v>-0.27858250000000001</v>
      </c>
      <c r="Z6099">
        <v>1.1831110000000001E-2</v>
      </c>
      <c r="AA6099">
        <v>0.96033939999999995</v>
      </c>
      <c r="AB6099">
        <v>33</v>
      </c>
      <c r="AC6099">
        <v>28.911200000000001</v>
      </c>
      <c r="AD6099">
        <v>-1.07867819</v>
      </c>
      <c r="AE6099">
        <v>2.9609700000000001</v>
      </c>
      <c r="AF6099">
        <v>-8.1544649915789709</v>
      </c>
      <c r="AG6099">
        <v>-1.07867819</v>
      </c>
      <c r="AH6099">
        <v>27.853316428386702</v>
      </c>
      <c r="AI6099">
        <v>92.128534135481303</v>
      </c>
      <c r="AJ6099">
        <v>106.318162528239</v>
      </c>
      <c r="AK6099">
        <v>29.042487531138001</v>
      </c>
      <c r="AL6099">
        <v>80.144129582090201</v>
      </c>
      <c r="AM6099">
        <v>103.65356488309899</v>
      </c>
      <c r="AN6099">
        <v>0.99999993136916698</v>
      </c>
    </row>
    <row r="6100" spans="1:40" x14ac:dyDescent="0.25">
      <c r="A6100" t="str">
        <f>"20190312172237246"</f>
        <v>20190312172237246</v>
      </c>
      <c r="B6100" t="str">
        <f>"1552382557236490"</f>
        <v>1552382557236490</v>
      </c>
      <c r="C6100" t="s">
        <v>40</v>
      </c>
      <c r="D6100">
        <v>3.224396</v>
      </c>
      <c r="E6100">
        <v>0.4799022</v>
      </c>
      <c r="F6100" t="s">
        <v>68</v>
      </c>
      <c r="G6100">
        <v>-373.52719999999999</v>
      </c>
      <c r="H6100">
        <v>5.3597740000000003E-3</v>
      </c>
      <c r="I6100">
        <v>29.616330000000001</v>
      </c>
      <c r="J6100">
        <v>-402.06439999999998</v>
      </c>
      <c r="K6100">
        <v>1.1249290000000001</v>
      </c>
      <c r="L6100">
        <v>26.628720000000001</v>
      </c>
      <c r="M6100">
        <v>0.98487139999999995</v>
      </c>
      <c r="N6100">
        <v>0</v>
      </c>
      <c r="O6100">
        <v>-0.17252219999999999</v>
      </c>
      <c r="P6100">
        <v>0.98481050000000003</v>
      </c>
      <c r="Q6100">
        <v>0.16476440000000001</v>
      </c>
      <c r="R6100">
        <v>5.4782409999999997E-2</v>
      </c>
      <c r="S6100">
        <v>3.0491640000000002</v>
      </c>
      <c r="T6100">
        <v>-0.1188757</v>
      </c>
      <c r="U6100">
        <v>0.31436160000000002</v>
      </c>
      <c r="V6100">
        <v>-0.23022339999999999</v>
      </c>
      <c r="W6100">
        <v>0.17220189999999999</v>
      </c>
      <c r="X6100">
        <v>0.95778059999999998</v>
      </c>
      <c r="Y6100">
        <v>-0.27231630000000001</v>
      </c>
      <c r="Z6100">
        <v>1.1988459999999999E-2</v>
      </c>
      <c r="AA6100">
        <v>0.96213309999999996</v>
      </c>
      <c r="AB6100">
        <v>33</v>
      </c>
      <c r="AC6100">
        <v>28.537199999999899</v>
      </c>
      <c r="AD6100">
        <v>-1.1195692259999901</v>
      </c>
      <c r="AE6100">
        <v>2.9876099999999899</v>
      </c>
      <c r="AF6100">
        <v>-7.8547936991804699</v>
      </c>
      <c r="AG6100">
        <v>-1.1195692259999901</v>
      </c>
      <c r="AH6100">
        <v>27.551745064455499</v>
      </c>
      <c r="AI6100">
        <v>92.237870384531007</v>
      </c>
      <c r="AJ6100">
        <v>105.912449334737</v>
      </c>
      <c r="AK6100">
        <v>28.671412162731698</v>
      </c>
      <c r="AL6100">
        <v>80.084133010226594</v>
      </c>
      <c r="AM6100">
        <v>103.515871302698</v>
      </c>
      <c r="AN6100">
        <v>0.99999999300376397</v>
      </c>
    </row>
    <row r="6101" spans="1:40" x14ac:dyDescent="0.25">
      <c r="A6101" t="str">
        <f>"20190312172237257"</f>
        <v>20190312172237257</v>
      </c>
      <c r="B6101" t="str">
        <f>"1552382557246250"</f>
        <v>1552382557246250</v>
      </c>
      <c r="C6101" t="s">
        <v>40</v>
      </c>
      <c r="D6101">
        <v>3.2274530000000001</v>
      </c>
      <c r="E6101">
        <v>0.48071330000000001</v>
      </c>
      <c r="F6101" t="s">
        <v>68</v>
      </c>
      <c r="G6101">
        <v>-374.30770000000001</v>
      </c>
      <c r="H6101">
        <v>4.2496560000000003E-2</v>
      </c>
      <c r="I6101">
        <v>29.616330000000001</v>
      </c>
      <c r="J6101">
        <v>-401.88580000000002</v>
      </c>
      <c r="K6101">
        <v>1.124806</v>
      </c>
      <c r="L6101">
        <v>26.604130000000001</v>
      </c>
      <c r="M6101">
        <v>0.98638809999999999</v>
      </c>
      <c r="N6101">
        <v>0</v>
      </c>
      <c r="O6101">
        <v>-0.1636312</v>
      </c>
      <c r="P6101">
        <v>0.98426290000000005</v>
      </c>
      <c r="Q6101">
        <v>0.1656455</v>
      </c>
      <c r="R6101">
        <v>6.1548029999999997E-2</v>
      </c>
      <c r="S6101">
        <v>3.0479129999999999</v>
      </c>
      <c r="T6101">
        <v>-0.11885999999999999</v>
      </c>
      <c r="U6101">
        <v>0.32806400000000002</v>
      </c>
      <c r="V6101">
        <v>-0.22811239999999999</v>
      </c>
      <c r="W6101">
        <v>0.17320179999999999</v>
      </c>
      <c r="X6101">
        <v>0.95810530000000005</v>
      </c>
      <c r="Y6101">
        <v>-0.267962799999999</v>
      </c>
      <c r="Z6101">
        <v>1.156154E-2</v>
      </c>
      <c r="AA6101">
        <v>0.96335990000000005</v>
      </c>
      <c r="AB6101">
        <v>33</v>
      </c>
      <c r="AC6101">
        <v>27.578099999999999</v>
      </c>
      <c r="AD6101">
        <v>-1.08230944</v>
      </c>
      <c r="AE6101">
        <v>3.0122</v>
      </c>
      <c r="AF6101">
        <v>-7.4734466232661001</v>
      </c>
      <c r="AG6101">
        <v>-1.08230944</v>
      </c>
      <c r="AH6101">
        <v>26.672740662206301</v>
      </c>
      <c r="AI6101">
        <v>92.237557248948406</v>
      </c>
      <c r="AJ6101">
        <v>105.652363467321</v>
      </c>
      <c r="AK6101">
        <v>27.721091114673602</v>
      </c>
      <c r="AL6101">
        <v>80.025968542028096</v>
      </c>
      <c r="AM6101">
        <v>103.392050129911</v>
      </c>
      <c r="AN6101">
        <v>0.99999994822254301</v>
      </c>
    </row>
    <row r="6102" spans="1:40" x14ac:dyDescent="0.25">
      <c r="A6102" t="str">
        <f>"20190312172237270"</f>
        <v>20190312172237270</v>
      </c>
      <c r="B6102" t="str">
        <f>"1552382557266746"</f>
        <v>1552382557266746</v>
      </c>
      <c r="C6102" t="s">
        <v>40</v>
      </c>
      <c r="D6102">
        <v>3.2677070000000001</v>
      </c>
      <c r="E6102">
        <v>0.4927665</v>
      </c>
      <c r="F6102" t="s">
        <v>68</v>
      </c>
      <c r="G6102">
        <v>-374.93299999999999</v>
      </c>
      <c r="H6102">
        <v>6.1089770000000002E-2</v>
      </c>
      <c r="I6102">
        <v>29.62744</v>
      </c>
      <c r="J6102">
        <v>-401.71609999999998</v>
      </c>
      <c r="K6102">
        <v>1.1246769999999999</v>
      </c>
      <c r="L6102">
        <v>26.58286</v>
      </c>
      <c r="M6102">
        <v>0.98773149999999998</v>
      </c>
      <c r="N6102">
        <v>0</v>
      </c>
      <c r="O6102">
        <v>-0.15532070000000001</v>
      </c>
      <c r="P6102">
        <v>0.98373969999999999</v>
      </c>
      <c r="Q6102">
        <v>0.1663615</v>
      </c>
      <c r="R6102">
        <v>6.76789E-2</v>
      </c>
      <c r="S6102">
        <v>3.0468440000000001</v>
      </c>
      <c r="T6102">
        <v>-0.12024650000000001</v>
      </c>
      <c r="U6102">
        <v>0.34176640000000003</v>
      </c>
      <c r="V6102">
        <v>-0.2259582</v>
      </c>
      <c r="W6102">
        <v>0.1740391</v>
      </c>
      <c r="X6102">
        <v>0.95846399999999998</v>
      </c>
      <c r="Y6102">
        <v>-0.26416810000000002</v>
      </c>
      <c r="Z6102">
        <v>1.129834E-2</v>
      </c>
      <c r="AA6102">
        <v>0.96441049999999995</v>
      </c>
      <c r="AB6102">
        <v>33</v>
      </c>
      <c r="AC6102">
        <v>26.783099999999902</v>
      </c>
      <c r="AD6102">
        <v>-1.06358723</v>
      </c>
      <c r="AE6102">
        <v>3.0445799999999998</v>
      </c>
      <c r="AF6102">
        <v>-7.1569939586786298</v>
      </c>
      <c r="AG6102">
        <v>-1.06358723</v>
      </c>
      <c r="AH6102">
        <v>25.944636967095398</v>
      </c>
      <c r="AI6102">
        <v>92.263062568429902</v>
      </c>
      <c r="AJ6102">
        <v>105.42185908144199</v>
      </c>
      <c r="AK6102">
        <v>26.934698210203798</v>
      </c>
      <c r="AL6102">
        <v>79.977255251320997</v>
      </c>
      <c r="AM6102">
        <v>103.265284965501</v>
      </c>
      <c r="AN6102">
        <v>0.99999997788602402</v>
      </c>
    </row>
    <row r="6103" spans="1:40" x14ac:dyDescent="0.25">
      <c r="A6103" t="str">
        <f>"20190312172237289"</f>
        <v>20190312172237289</v>
      </c>
      <c r="B6103" t="str">
        <f>"1552382557286266"</f>
        <v>1552382557286266</v>
      </c>
      <c r="C6103" t="s">
        <v>40</v>
      </c>
      <c r="D6103">
        <v>3.26294</v>
      </c>
      <c r="E6103">
        <v>0.49399539999999997</v>
      </c>
      <c r="F6103" t="s">
        <v>67</v>
      </c>
      <c r="G6103">
        <v>-380.63889999999998</v>
      </c>
      <c r="H6103" s="1">
        <v>-6.0401469999999901E-6</v>
      </c>
      <c r="I6103">
        <v>28.399380000000001</v>
      </c>
      <c r="J6103">
        <v>-401.45569999999998</v>
      </c>
      <c r="K6103">
        <v>1.124458</v>
      </c>
      <c r="L6103">
        <v>26.552309999999999</v>
      </c>
      <c r="M6103">
        <v>0.98962930000000005</v>
      </c>
      <c r="N6103">
        <v>0</v>
      </c>
      <c r="O6103">
        <v>-0.14273549999999999</v>
      </c>
      <c r="P6103">
        <v>0.98319290000000004</v>
      </c>
      <c r="Q6103">
        <v>0.16643629999999901</v>
      </c>
      <c r="R6103">
        <v>7.5036850000000002E-2</v>
      </c>
      <c r="S6103">
        <v>3.0590519999999999</v>
      </c>
      <c r="T6103">
        <v>-0.16323099999999999</v>
      </c>
      <c r="U6103">
        <v>0.26364140000000003</v>
      </c>
      <c r="V6103">
        <v>-0.22081780000000001</v>
      </c>
      <c r="W6103">
        <v>0.17437629999999901</v>
      </c>
      <c r="X6103">
        <v>0.95960020000000001</v>
      </c>
      <c r="Y6103">
        <v>-0.2266908</v>
      </c>
      <c r="Z6103">
        <v>1.362267E-2</v>
      </c>
      <c r="AA6103">
        <v>0.9738715</v>
      </c>
      <c r="AB6103">
        <v>33</v>
      </c>
      <c r="AC6103">
        <v>20.816800000000001</v>
      </c>
      <c r="AD6103">
        <v>-1.1244640401470001</v>
      </c>
      <c r="AE6103">
        <v>1.84706999999999</v>
      </c>
      <c r="AF6103">
        <v>-4.78598029353165</v>
      </c>
      <c r="AG6103">
        <v>-1.1244640401470001</v>
      </c>
      <c r="AH6103">
        <v>20.281206156636902</v>
      </c>
      <c r="AI6103">
        <v>93.0887718039465</v>
      </c>
      <c r="AJ6103">
        <v>103.277807743008</v>
      </c>
      <c r="AK6103">
        <v>20.868573260183901</v>
      </c>
      <c r="AL6103">
        <v>79.957636028560799</v>
      </c>
      <c r="AM6103">
        <v>102.95898829981201</v>
      </c>
      <c r="AN6103">
        <v>1.0000000693192801</v>
      </c>
    </row>
    <row r="6104" spans="1:40" x14ac:dyDescent="0.25">
      <c r="A6104" t="str">
        <f>"20190312172237303"</f>
        <v>20190312172237303</v>
      </c>
      <c r="B6104" t="str">
        <f>"1552382557297002"</f>
        <v>1552382557297002</v>
      </c>
      <c r="C6104" t="s">
        <v>40</v>
      </c>
      <c r="D6104">
        <v>3.2738749999999999</v>
      </c>
      <c r="E6104">
        <v>0.4946352</v>
      </c>
      <c r="F6104" t="s">
        <v>67</v>
      </c>
      <c r="G6104">
        <v>-380.62169999999998</v>
      </c>
      <c r="H6104" s="1">
        <v>-6.05278699999999E-6</v>
      </c>
      <c r="I6104">
        <v>28.433430000000001</v>
      </c>
      <c r="J6104">
        <v>-401.24829999999997</v>
      </c>
      <c r="K6104">
        <v>1.124271</v>
      </c>
      <c r="L6104">
        <v>26.53012</v>
      </c>
      <c r="M6104">
        <v>0.99100149999999998</v>
      </c>
      <c r="N6104">
        <v>0</v>
      </c>
      <c r="O6104">
        <v>-0.1328809</v>
      </c>
      <c r="P6104">
        <v>0.98266880000000001</v>
      </c>
      <c r="Q6104">
        <v>0.16627900000000001</v>
      </c>
      <c r="R6104">
        <v>8.1935530000000006E-2</v>
      </c>
      <c r="S6104">
        <v>3.0581360000000002</v>
      </c>
      <c r="T6104">
        <v>-0.16505529999999999</v>
      </c>
      <c r="U6104">
        <v>0.27612300000000001</v>
      </c>
      <c r="V6104">
        <v>-0.21790950000000001</v>
      </c>
      <c r="W6104">
        <v>0.1743847</v>
      </c>
      <c r="X6104">
        <v>0.96026319999999998</v>
      </c>
      <c r="Y6104">
        <v>-0.2209759</v>
      </c>
      <c r="Z6104">
        <v>1.30947999999999E-2</v>
      </c>
      <c r="AA6104">
        <v>0.97519140000000004</v>
      </c>
      <c r="AB6104">
        <v>33</v>
      </c>
      <c r="AC6104">
        <v>20.6266</v>
      </c>
      <c r="AD6104">
        <v>-1.1242770527869901</v>
      </c>
      <c r="AE6104">
        <v>1.9033099999999901</v>
      </c>
      <c r="AF6104">
        <v>-4.6140705331781904</v>
      </c>
      <c r="AG6104">
        <v>-1.1242770527869901</v>
      </c>
      <c r="AH6104">
        <v>20.131385912308701</v>
      </c>
      <c r="AI6104">
        <v>93.115848266310394</v>
      </c>
      <c r="AJ6104">
        <v>102.90910662862299</v>
      </c>
      <c r="AK6104">
        <v>20.6839634627135</v>
      </c>
      <c r="AL6104">
        <v>79.957146486190794</v>
      </c>
      <c r="AM6104">
        <v>102.785420515978</v>
      </c>
      <c r="AN6104">
        <v>0.99999999352929003</v>
      </c>
    </row>
    <row r="6105" spans="1:40" x14ac:dyDescent="0.25">
      <c r="A6105" t="str">
        <f>"20190312172237317"</f>
        <v>20190312172237317</v>
      </c>
      <c r="B6105" t="str">
        <f>"1552382557306762"</f>
        <v>1552382557306762</v>
      </c>
      <c r="C6105" t="s">
        <v>40</v>
      </c>
      <c r="D6105">
        <v>3.2654999999999998</v>
      </c>
      <c r="E6105">
        <v>0.49523339999999999</v>
      </c>
      <c r="F6105" t="s">
        <v>67</v>
      </c>
      <c r="G6105">
        <v>-380.85340000000002</v>
      </c>
      <c r="H6105" s="1">
        <v>-5.9727980000000002E-6</v>
      </c>
      <c r="I6105">
        <v>28.484100000000002</v>
      </c>
      <c r="J6105">
        <v>-401.048</v>
      </c>
      <c r="K6105">
        <v>1.1240699999999999</v>
      </c>
      <c r="L6105">
        <v>26.510770000000001</v>
      </c>
      <c r="M6105">
        <v>0.99220929999999996</v>
      </c>
      <c r="N6105">
        <v>0</v>
      </c>
      <c r="O6105">
        <v>-0.123546</v>
      </c>
      <c r="P6105">
        <v>0.98226990000000003</v>
      </c>
      <c r="Q6105">
        <v>0.16563029999999901</v>
      </c>
      <c r="R6105">
        <v>8.7820250000000002E-2</v>
      </c>
      <c r="S6105">
        <v>3.0569459999999999</v>
      </c>
      <c r="T6105">
        <v>-0.1685152</v>
      </c>
      <c r="U6105">
        <v>0.2928772</v>
      </c>
      <c r="V6105">
        <v>-0.21451619999999999</v>
      </c>
      <c r="W6105">
        <v>0.17391989999999999</v>
      </c>
      <c r="X6105">
        <v>0.96111120000000005</v>
      </c>
      <c r="Y6105">
        <v>-0.21712480000000001</v>
      </c>
      <c r="Z6105">
        <v>1.2754059999999999E-2</v>
      </c>
      <c r="AA6105">
        <v>0.9760605</v>
      </c>
      <c r="AB6105">
        <v>33</v>
      </c>
      <c r="AC6105">
        <v>20.194599999999902</v>
      </c>
      <c r="AD6105">
        <v>-1.1240759727979901</v>
      </c>
      <c r="AE6105">
        <v>1.97333</v>
      </c>
      <c r="AF6105">
        <v>-4.4398650966863098</v>
      </c>
      <c r="AG6105">
        <v>-1.1240759727979901</v>
      </c>
      <c r="AH6105">
        <v>19.735450102670299</v>
      </c>
      <c r="AI6105">
        <v>93.180561972559303</v>
      </c>
      <c r="AJ6105">
        <v>102.678694617498</v>
      </c>
      <c r="AK6105">
        <v>20.2599096647637</v>
      </c>
      <c r="AL6105">
        <v>79.984191258886099</v>
      </c>
      <c r="AM6105">
        <v>102.581965916643</v>
      </c>
      <c r="AN6105">
        <v>1.00000003522194</v>
      </c>
    </row>
    <row r="6106" spans="1:40" x14ac:dyDescent="0.25">
      <c r="A6106" t="str">
        <f>"20190312172237336"</f>
        <v>20190312172237336</v>
      </c>
      <c r="B6106" t="str">
        <f>"1552382557326282"</f>
        <v>1552382557326282</v>
      </c>
      <c r="C6106" t="s">
        <v>40</v>
      </c>
      <c r="D6106">
        <v>3.27569</v>
      </c>
      <c r="E6106">
        <v>0.49569950000000002</v>
      </c>
      <c r="F6106" t="s">
        <v>67</v>
      </c>
      <c r="G6106">
        <v>-381.1422</v>
      </c>
      <c r="H6106" s="1">
        <v>-5.8666879999999998E-6</v>
      </c>
      <c r="I6106">
        <v>28.51108</v>
      </c>
      <c r="J6106">
        <v>-400.77719999999999</v>
      </c>
      <c r="K6106">
        <v>1.1237729999999999</v>
      </c>
      <c r="L6106">
        <v>26.48752</v>
      </c>
      <c r="M6106">
        <v>0.99366659999999996</v>
      </c>
      <c r="N6106">
        <v>0</v>
      </c>
      <c r="O6106">
        <v>-0.1112287</v>
      </c>
      <c r="P6106">
        <v>0.98190330000000003</v>
      </c>
      <c r="Q6106">
        <v>0.1648097</v>
      </c>
      <c r="R6106">
        <v>9.3293440000000005E-2</v>
      </c>
      <c r="S6106">
        <v>3.0557560000000001</v>
      </c>
      <c r="T6106">
        <v>-0.17255770000000001</v>
      </c>
      <c r="U6106">
        <v>0.3070679</v>
      </c>
      <c r="V6106">
        <v>-0.20779049999999999</v>
      </c>
      <c r="W6106">
        <v>0.17342729999999901</v>
      </c>
      <c r="X6106">
        <v>0.96267650000000005</v>
      </c>
      <c r="Y6106">
        <v>-0.2095428</v>
      </c>
      <c r="Z6106">
        <v>1.2157009999999999E-2</v>
      </c>
      <c r="AA6106">
        <v>0.97772389999999998</v>
      </c>
      <c r="AB6106">
        <v>33</v>
      </c>
      <c r="AC6106">
        <v>19.634999999999899</v>
      </c>
      <c r="AD6106">
        <v>-1.123778866688</v>
      </c>
      <c r="AE6106">
        <v>2.0235599999999998</v>
      </c>
      <c r="AF6106">
        <v>-4.1817002489711301</v>
      </c>
      <c r="AG6106">
        <v>-1.123778866688</v>
      </c>
      <c r="AH6106">
        <v>19.225708628155701</v>
      </c>
      <c r="AI6106">
        <v>93.2689793822165</v>
      </c>
      <c r="AJ6106">
        <v>102.271029448029</v>
      </c>
      <c r="AK6106">
        <v>19.707292258658999</v>
      </c>
      <c r="AL6106">
        <v>80.012850151438897</v>
      </c>
      <c r="AM6106">
        <v>102.180238428015</v>
      </c>
      <c r="AN6106">
        <v>0.99999998196389395</v>
      </c>
    </row>
    <row r="6107" spans="1:40" x14ac:dyDescent="0.25">
      <c r="A6107" t="str">
        <f>"20190312172237356"</f>
        <v>20190312172237356</v>
      </c>
      <c r="B6107" t="str">
        <f>"1552382557346189"</f>
        <v>1552382557346189</v>
      </c>
      <c r="C6107" t="s">
        <v>40</v>
      </c>
      <c r="D6107">
        <v>3.2508620000000001</v>
      </c>
      <c r="E6107">
        <v>0.50199740000000004</v>
      </c>
      <c r="F6107" t="s">
        <v>67</v>
      </c>
      <c r="G6107">
        <v>-381.28609999999998</v>
      </c>
      <c r="H6107" s="1">
        <v>-5.81611E-6</v>
      </c>
      <c r="I6107">
        <v>28.53762</v>
      </c>
      <c r="J6107">
        <v>-400.48950000000002</v>
      </c>
      <c r="K6107">
        <v>1.1234120000000001</v>
      </c>
      <c r="L6107">
        <v>26.466190000000001</v>
      </c>
      <c r="M6107">
        <v>0.99500420000000001</v>
      </c>
      <c r="N6107">
        <v>0</v>
      </c>
      <c r="O6107">
        <v>-9.8562919999999998E-2</v>
      </c>
      <c r="P6107">
        <v>0.98122929999999997</v>
      </c>
      <c r="Q6107">
        <v>0.16502639999999999</v>
      </c>
      <c r="R6107">
        <v>9.9777119999999997E-2</v>
      </c>
      <c r="S6107">
        <v>3.0543209999999998</v>
      </c>
      <c r="T6107">
        <v>-0.17610000000000001</v>
      </c>
      <c r="U6107">
        <v>0.3212585</v>
      </c>
      <c r="V6107">
        <v>-0.2017186</v>
      </c>
      <c r="W6107">
        <v>0.173956</v>
      </c>
      <c r="X6107">
        <v>0.96387179999999995</v>
      </c>
      <c r="Y6107">
        <v>-0.2016357</v>
      </c>
      <c r="Z6107">
        <v>1.145558E-2</v>
      </c>
      <c r="AA6107">
        <v>0.97939359999999998</v>
      </c>
      <c r="AB6107">
        <v>33</v>
      </c>
      <c r="AC6107">
        <v>19.203399999999998</v>
      </c>
      <c r="AD6107">
        <v>-1.1234178161099999</v>
      </c>
      <c r="AE6107">
        <v>2.0714299999999901</v>
      </c>
      <c r="AF6107">
        <v>-3.9409906090760298</v>
      </c>
      <c r="AG6107">
        <v>-1.1234178161099999</v>
      </c>
      <c r="AH6107">
        <v>18.841937343207999</v>
      </c>
      <c r="AI6107">
        <v>93.340013268595996</v>
      </c>
      <c r="AJ6107">
        <v>101.813707735658</v>
      </c>
      <c r="AK6107">
        <v>19.2824292405225</v>
      </c>
      <c r="AL6107">
        <v>79.982090155267599</v>
      </c>
      <c r="AM6107">
        <v>101.820234936178</v>
      </c>
      <c r="AN6107">
        <v>0.99999996517859902</v>
      </c>
    </row>
    <row r="6108" spans="1:40" x14ac:dyDescent="0.25">
      <c r="A6108" t="str">
        <f>"20190312172237370"</f>
        <v>20190312172237370</v>
      </c>
      <c r="B6108" t="str">
        <f>"1552382557366682"</f>
        <v>1552382557366682</v>
      </c>
      <c r="C6108" t="s">
        <v>40</v>
      </c>
      <c r="D6108">
        <v>3.249949</v>
      </c>
      <c r="E6108">
        <v>0.50363869999999999</v>
      </c>
      <c r="F6108" t="s">
        <v>67</v>
      </c>
      <c r="G6108">
        <v>-382.10860000000002</v>
      </c>
      <c r="H6108" s="1">
        <v>-5.4417610000000001E-6</v>
      </c>
      <c r="I6108">
        <v>28.20767</v>
      </c>
      <c r="J6108">
        <v>-400.29469999999998</v>
      </c>
      <c r="K6108">
        <v>1.1231439999999999</v>
      </c>
      <c r="L6108">
        <v>26.453890000000001</v>
      </c>
      <c r="M6108">
        <v>0.99578960000000005</v>
      </c>
      <c r="N6108">
        <v>0</v>
      </c>
      <c r="O6108">
        <v>-9.0293410000000005E-2</v>
      </c>
      <c r="P6108">
        <v>0.98065590000000002</v>
      </c>
      <c r="Q6108">
        <v>0.16527030000000001</v>
      </c>
      <c r="R6108">
        <v>0.10488160000000001</v>
      </c>
      <c r="S6108">
        <v>3.0593569999999999</v>
      </c>
      <c r="T6108">
        <v>-0.1869835</v>
      </c>
      <c r="U6108">
        <v>0.289856</v>
      </c>
      <c r="V6108">
        <v>-0.1986047</v>
      </c>
      <c r="W6108">
        <v>0.1743777</v>
      </c>
      <c r="X6108">
        <v>0.96444209999999997</v>
      </c>
      <c r="Y6108">
        <v>-0.18333160000000001</v>
      </c>
      <c r="Z6108">
        <v>1.10869E-2</v>
      </c>
      <c r="AA6108">
        <v>0.98298859999999999</v>
      </c>
      <c r="AB6108">
        <v>33</v>
      </c>
      <c r="AC6108">
        <v>18.1860999999999</v>
      </c>
      <c r="AD6108">
        <v>-1.123149441761</v>
      </c>
      <c r="AE6108">
        <v>1.7537799999999899</v>
      </c>
      <c r="AF6108">
        <v>-3.3761463760174002</v>
      </c>
      <c r="AG6108">
        <v>-1.123149441761</v>
      </c>
      <c r="AH6108">
        <v>17.885829957746299</v>
      </c>
      <c r="AI6108">
        <v>93.531004919264007</v>
      </c>
      <c r="AJ6108">
        <v>100.68943311852</v>
      </c>
      <c r="AK6108">
        <v>18.236302868132</v>
      </c>
      <c r="AL6108">
        <v>79.957553727945495</v>
      </c>
      <c r="AM6108">
        <v>101.63608984860601</v>
      </c>
      <c r="AN6108">
        <v>0.99999998668589496</v>
      </c>
    </row>
    <row r="6109" spans="1:40" x14ac:dyDescent="0.25">
      <c r="A6109" t="str">
        <f>"20190312172237389"</f>
        <v>20190312172237389</v>
      </c>
      <c r="B6109" t="str">
        <f>"1552382557387178"</f>
        <v>1552382557387178</v>
      </c>
      <c r="C6109" t="s">
        <v>40</v>
      </c>
      <c r="D6109">
        <v>3.2678430000000001</v>
      </c>
      <c r="E6109">
        <v>0.50418940000000001</v>
      </c>
      <c r="F6109" t="s">
        <v>67</v>
      </c>
      <c r="G6109">
        <v>-381.77550000000002</v>
      </c>
      <c r="H6109" s="1">
        <v>-5.5714230000000001E-6</v>
      </c>
      <c r="I6109">
        <v>28.217559999999999</v>
      </c>
      <c r="J6109">
        <v>-400.02910000000003</v>
      </c>
      <c r="K6109">
        <v>1.122746</v>
      </c>
      <c r="L6109">
        <v>26.439209999999999</v>
      </c>
      <c r="M6109">
        <v>0.99672159999999999</v>
      </c>
      <c r="N6109">
        <v>0</v>
      </c>
      <c r="O6109">
        <v>-7.9365569999999996E-2</v>
      </c>
      <c r="P6109">
        <v>0.98035000000000005</v>
      </c>
      <c r="Q6109">
        <v>0.1648135</v>
      </c>
      <c r="R6109">
        <v>0.1083998</v>
      </c>
      <c r="S6109">
        <v>3.0592959999999998</v>
      </c>
      <c r="T6109">
        <v>-0.18553900000000001</v>
      </c>
      <c r="U6109">
        <v>0.29135129999999998</v>
      </c>
      <c r="V6109">
        <v>-0.19128229999999999</v>
      </c>
      <c r="W6109">
        <v>0.17427200000000001</v>
      </c>
      <c r="X6109">
        <v>0.96594009999999997</v>
      </c>
      <c r="Y6109">
        <v>-0.1730642</v>
      </c>
      <c r="Z6109">
        <v>1.003077E-2</v>
      </c>
      <c r="AA6109">
        <v>0.9848595</v>
      </c>
      <c r="AB6109">
        <v>32</v>
      </c>
      <c r="AC6109">
        <v>18.253599999999999</v>
      </c>
      <c r="AD6109">
        <v>-1.1227515714229901</v>
      </c>
      <c r="AE6109">
        <v>1.7783499999999901</v>
      </c>
      <c r="AF6109">
        <v>-3.2095966939994498</v>
      </c>
      <c r="AG6109">
        <v>-1.1227515714229901</v>
      </c>
      <c r="AH6109">
        <v>17.987437029457698</v>
      </c>
      <c r="AI6109">
        <v>93.516294831329205</v>
      </c>
      <c r="AJ6109">
        <v>100.11712208335599</v>
      </c>
      <c r="AK6109">
        <v>18.3060092023895</v>
      </c>
      <c r="AL6109">
        <v>79.963703819747195</v>
      </c>
      <c r="AM6109">
        <v>101.201199197885</v>
      </c>
      <c r="AN6109">
        <v>0.999999962532649</v>
      </c>
    </row>
    <row r="6110" spans="1:40" x14ac:dyDescent="0.25">
      <c r="A6110" t="str">
        <f>"20190312172237411"</f>
        <v>20190312172237411</v>
      </c>
      <c r="B6110" t="str">
        <f>"1552382557406698"</f>
        <v>1552382557406698</v>
      </c>
      <c r="C6110" t="s">
        <v>40</v>
      </c>
      <c r="D6110">
        <v>3.2572070000000002</v>
      </c>
      <c r="E6110">
        <v>0.50987329999999997</v>
      </c>
      <c r="F6110" t="s">
        <v>67</v>
      </c>
      <c r="G6110">
        <v>-381.6746</v>
      </c>
      <c r="H6110" s="1">
        <v>-5.611017E-6</v>
      </c>
      <c r="I6110">
        <v>28.222480000000001</v>
      </c>
      <c r="J6110">
        <v>-399.71249999999998</v>
      </c>
      <c r="K6110">
        <v>1.12222</v>
      </c>
      <c r="L6110">
        <v>26.425139999999999</v>
      </c>
      <c r="M6110">
        <v>0.99763469999999999</v>
      </c>
      <c r="N6110">
        <v>0</v>
      </c>
      <c r="O6110">
        <v>-6.6940699999999895E-2</v>
      </c>
      <c r="P6110">
        <v>0.98036769999999995</v>
      </c>
      <c r="Q6110">
        <v>0.162248799999999</v>
      </c>
      <c r="R6110">
        <v>0.1120466</v>
      </c>
      <c r="S6110">
        <v>3.0587460000000002</v>
      </c>
      <c r="T6110">
        <v>-0.18710489999999999</v>
      </c>
      <c r="U6110">
        <v>0.29718020000000001</v>
      </c>
      <c r="V6110">
        <v>-0.18254300000000001</v>
      </c>
      <c r="W6110">
        <v>0.172124</v>
      </c>
      <c r="X6110">
        <v>0.96801420000000005</v>
      </c>
      <c r="Y6110">
        <v>-0.16269449999999999</v>
      </c>
      <c r="Z6110">
        <v>9.0426629999999994E-3</v>
      </c>
      <c r="AA6110">
        <v>0.98663500000000004</v>
      </c>
      <c r="AB6110">
        <v>32</v>
      </c>
      <c r="AC6110">
        <v>18.037899999999901</v>
      </c>
      <c r="AD6110">
        <v>-1.1222256110169999</v>
      </c>
      <c r="AE6110">
        <v>1.7973399999999899</v>
      </c>
      <c r="AF6110">
        <v>-2.9894669188565701</v>
      </c>
      <c r="AG6110">
        <v>-1.1222256110169999</v>
      </c>
      <c r="AH6110">
        <v>17.808845585756099</v>
      </c>
      <c r="AI6110">
        <v>93.556105592934699</v>
      </c>
      <c r="AJ6110">
        <v>99.529066215016101</v>
      </c>
      <c r="AK6110">
        <v>18.092851734269601</v>
      </c>
      <c r="AL6110">
        <v>80.088664624920597</v>
      </c>
      <c r="AM6110">
        <v>100.679128921583</v>
      </c>
      <c r="AN6110">
        <v>1.0000000548133099</v>
      </c>
    </row>
    <row r="6111" spans="1:40" x14ac:dyDescent="0.25">
      <c r="A6111" t="str">
        <f>"20190312172237424"</f>
        <v>20190312172237424</v>
      </c>
      <c r="B6111" t="str">
        <f>"1552382557416460"</f>
        <v>1552382557416460</v>
      </c>
      <c r="C6111" t="s">
        <v>40</v>
      </c>
      <c r="D6111">
        <v>3.2792219999999999</v>
      </c>
      <c r="E6111">
        <v>0.51052120000000001</v>
      </c>
      <c r="F6111" t="s">
        <v>67</v>
      </c>
      <c r="G6111">
        <v>-382.75580000000002</v>
      </c>
      <c r="H6111" s="1">
        <v>-5.1362659999999998E-6</v>
      </c>
      <c r="I6111">
        <v>27.88664</v>
      </c>
      <c r="J6111">
        <v>-399.52839999999998</v>
      </c>
      <c r="K6111">
        <v>1.1219049999999999</v>
      </c>
      <c r="L6111">
        <v>26.41846</v>
      </c>
      <c r="M6111">
        <v>0.99807729999999995</v>
      </c>
      <c r="N6111">
        <v>0</v>
      </c>
      <c r="O6111">
        <v>-5.9998740000000002E-2</v>
      </c>
      <c r="P6111">
        <v>0.98028170000000003</v>
      </c>
      <c r="Q6111">
        <v>0.1611736</v>
      </c>
      <c r="R6111">
        <v>0.1143282</v>
      </c>
      <c r="S6111">
        <v>3.0634459999999999</v>
      </c>
      <c r="T6111">
        <v>-0.2027439</v>
      </c>
      <c r="U6111">
        <v>0.2640381</v>
      </c>
      <c r="V6111">
        <v>-0.1778961</v>
      </c>
      <c r="W6111">
        <v>0.17126949999999999</v>
      </c>
      <c r="X6111">
        <v>0.96903030000000001</v>
      </c>
      <c r="Y6111">
        <v>-0.145055399999999</v>
      </c>
      <c r="Z6111">
        <v>8.7463260000000004E-3</v>
      </c>
      <c r="AA6111">
        <v>0.98938490000000001</v>
      </c>
      <c r="AB6111">
        <v>32</v>
      </c>
      <c r="AC6111">
        <v>16.772599999999901</v>
      </c>
      <c r="AD6111">
        <v>-1.121910136266</v>
      </c>
      <c r="AE6111">
        <v>1.46818</v>
      </c>
      <c r="AF6111">
        <v>-2.4610633868118299</v>
      </c>
      <c r="AG6111">
        <v>-1.121910136266</v>
      </c>
      <c r="AH6111">
        <v>16.580655390502901</v>
      </c>
      <c r="AI6111">
        <v>93.829125877768504</v>
      </c>
      <c r="AJ6111">
        <v>98.442759341276499</v>
      </c>
      <c r="AK6111">
        <v>16.799810966983301</v>
      </c>
      <c r="AL6111">
        <v>80.138361265165301</v>
      </c>
      <c r="AM6111">
        <v>100.40261739968101</v>
      </c>
      <c r="AN6111">
        <v>0.99999999317177402</v>
      </c>
    </row>
    <row r="6112" spans="1:40" x14ac:dyDescent="0.25">
      <c r="A6112" t="str">
        <f>"20190312172237435"</f>
        <v>20190312172237435</v>
      </c>
      <c r="B6112" t="str">
        <f>"1552382557426218"</f>
        <v>1552382557426218</v>
      </c>
      <c r="C6112" t="s">
        <v>40</v>
      </c>
      <c r="D6112">
        <v>3.442577</v>
      </c>
      <c r="E6112">
        <v>0.51118580000000002</v>
      </c>
      <c r="F6112" t="s">
        <v>67</v>
      </c>
      <c r="G6112">
        <v>-382.78379999999999</v>
      </c>
      <c r="H6112" s="1">
        <v>-5.122933E-6</v>
      </c>
      <c r="I6112">
        <v>27.872029999999999</v>
      </c>
      <c r="J6112">
        <v>-399.34649999999999</v>
      </c>
      <c r="K6112">
        <v>1.121591</v>
      </c>
      <c r="L6112">
        <v>26.413019999999999</v>
      </c>
      <c r="M6112">
        <v>0.99845410000000001</v>
      </c>
      <c r="N6112">
        <v>0</v>
      </c>
      <c r="O6112">
        <v>-5.3380230000000001E-2</v>
      </c>
      <c r="P6112">
        <v>0.98022500000000001</v>
      </c>
      <c r="Q6112">
        <v>0.15984229999999899</v>
      </c>
      <c r="R6112">
        <v>0.11665970000000001</v>
      </c>
      <c r="S6112">
        <v>3.0630799999999998</v>
      </c>
      <c r="T6112">
        <v>-0.20522969999999999</v>
      </c>
      <c r="U6112">
        <v>0.26589970000000002</v>
      </c>
      <c r="V6112">
        <v>-0.17360500000000001</v>
      </c>
      <c r="W6112">
        <v>0.17014470000000001</v>
      </c>
      <c r="X6112">
        <v>0.97000620000000004</v>
      </c>
      <c r="Y6112">
        <v>-0.1391172</v>
      </c>
      <c r="Z6112">
        <v>8.2136380000000005E-3</v>
      </c>
      <c r="AA6112">
        <v>0.99024190000000001</v>
      </c>
      <c r="AB6112">
        <v>32</v>
      </c>
      <c r="AC6112">
        <v>16.5627</v>
      </c>
      <c r="AD6112">
        <v>-1.121596122933</v>
      </c>
      <c r="AE6112">
        <v>1.4590099999999899</v>
      </c>
      <c r="AF6112">
        <v>-2.3305511222833202</v>
      </c>
      <c r="AG6112">
        <v>-1.121596122933</v>
      </c>
      <c r="AH6112">
        <v>16.3866221862794</v>
      </c>
      <c r="AI6112">
        <v>93.876660618067206</v>
      </c>
      <c r="AJ6112">
        <v>98.094480355803398</v>
      </c>
      <c r="AK6112">
        <v>16.589479590162501</v>
      </c>
      <c r="AL6112">
        <v>80.203767394019295</v>
      </c>
      <c r="AM6112">
        <v>100.14697204066501</v>
      </c>
      <c r="AN6112">
        <v>0.99999997150076403</v>
      </c>
    </row>
    <row r="6113" spans="1:40" x14ac:dyDescent="0.25">
      <c r="A6113" t="str">
        <f>"20190312172237448"</f>
        <v>20190312172237448</v>
      </c>
      <c r="B6113" t="str">
        <f>"1552382557436954"</f>
        <v>1552382557436954</v>
      </c>
      <c r="C6113" t="s">
        <v>40</v>
      </c>
      <c r="D6113">
        <v>3.3015189999999999</v>
      </c>
      <c r="E6113">
        <v>0.51179540000000001</v>
      </c>
      <c r="F6113" t="s">
        <v>67</v>
      </c>
      <c r="G6113">
        <v>-382.8691</v>
      </c>
      <c r="H6113" s="1">
        <v>-5.0866679999999999E-6</v>
      </c>
      <c r="I6113">
        <v>27.852460000000001</v>
      </c>
      <c r="J6113">
        <v>-399.18729999999999</v>
      </c>
      <c r="K6113">
        <v>1.121302</v>
      </c>
      <c r="L6113">
        <v>26.40936</v>
      </c>
      <c r="M6113">
        <v>0.99873630000000002</v>
      </c>
      <c r="N6113">
        <v>0</v>
      </c>
      <c r="O6113">
        <v>-4.7828309999999999E-2</v>
      </c>
      <c r="P6113">
        <v>0.98017069999999995</v>
      </c>
      <c r="Q6113">
        <v>0.15932260000000001</v>
      </c>
      <c r="R6113">
        <v>0.11782040000000001</v>
      </c>
      <c r="S6113">
        <v>3.0626530000000001</v>
      </c>
      <c r="T6113">
        <v>-0.2084713</v>
      </c>
      <c r="U6113">
        <v>0.267547599999999</v>
      </c>
      <c r="V6113">
        <v>-0.16921829999999999</v>
      </c>
      <c r="W6113">
        <v>0.16982039999999901</v>
      </c>
      <c r="X6113">
        <v>0.97083790000000003</v>
      </c>
      <c r="Y6113">
        <v>-0.13416129999999901</v>
      </c>
      <c r="Z6113">
        <v>7.7990330000000004E-3</v>
      </c>
      <c r="AA6113">
        <v>0.99092880000000005</v>
      </c>
      <c r="AB6113">
        <v>32</v>
      </c>
      <c r="AC6113">
        <v>16.318199999999901</v>
      </c>
      <c r="AD6113">
        <v>-1.1213070866679999</v>
      </c>
      <c r="AE6113">
        <v>1.4431</v>
      </c>
      <c r="AF6113">
        <v>-2.2116511366362701</v>
      </c>
      <c r="AG6113">
        <v>-1.1213070866679999</v>
      </c>
      <c r="AH6113">
        <v>16.154803973644601</v>
      </c>
      <c r="AI6113">
        <v>93.933961090765294</v>
      </c>
      <c r="AJ6113">
        <v>97.795537771034006</v>
      </c>
      <c r="AK6113">
        <v>16.344002623582799</v>
      </c>
      <c r="AL6113">
        <v>80.222623244025399</v>
      </c>
      <c r="AM6113">
        <v>99.8873974477074</v>
      </c>
      <c r="AN6113">
        <v>1.00000001469373</v>
      </c>
    </row>
    <row r="6114" spans="1:40" x14ac:dyDescent="0.25">
      <c r="A6114" t="str">
        <f>"20190312172237462"</f>
        <v>20190312172237462</v>
      </c>
      <c r="B6114" t="str">
        <f>"1552382557456474"</f>
        <v>1552382557456474</v>
      </c>
      <c r="C6114" t="s">
        <v>40</v>
      </c>
      <c r="D6114">
        <v>3.2518090000000002</v>
      </c>
      <c r="E6114">
        <v>0.51700239999999997</v>
      </c>
      <c r="F6114" t="s">
        <v>67</v>
      </c>
      <c r="G6114">
        <v>-382.79969999999997</v>
      </c>
      <c r="H6114" s="1">
        <v>-5.1093199999999899E-6</v>
      </c>
      <c r="I6114">
        <v>27.829920000000001</v>
      </c>
      <c r="J6114">
        <v>-398.98680000000002</v>
      </c>
      <c r="K6114">
        <v>1.120935</v>
      </c>
      <c r="L6114">
        <v>26.405429999999999</v>
      </c>
      <c r="M6114">
        <v>0.99903980000000003</v>
      </c>
      <c r="N6114">
        <v>0</v>
      </c>
      <c r="O6114">
        <v>-4.1031339999999999E-2</v>
      </c>
      <c r="P6114">
        <v>0.97994709999999996</v>
      </c>
      <c r="Q6114">
        <v>0.15862419999999999</v>
      </c>
      <c r="R6114">
        <v>0.1205905</v>
      </c>
      <c r="S6114">
        <v>3.0628359999999999</v>
      </c>
      <c r="T6114">
        <v>-0.20957310000000001</v>
      </c>
      <c r="U6114">
        <v>0.26550289999999999</v>
      </c>
      <c r="V6114">
        <v>-0.16517509999999999</v>
      </c>
      <c r="W6114">
        <v>0.16932139999999901</v>
      </c>
      <c r="X6114">
        <v>0.97162099999999996</v>
      </c>
      <c r="Y6114">
        <v>-0.1267818</v>
      </c>
      <c r="Z6114">
        <v>7.1243729999999998E-3</v>
      </c>
      <c r="AA6114">
        <v>0.99190500000000004</v>
      </c>
      <c r="AB6114">
        <v>32</v>
      </c>
      <c r="AC6114">
        <v>16.187100000000001</v>
      </c>
      <c r="AD6114">
        <v>-1.12094010932</v>
      </c>
      <c r="AE6114">
        <v>1.42449</v>
      </c>
      <c r="AF6114">
        <v>-2.0776601670892898</v>
      </c>
      <c r="AG6114">
        <v>-1.12094010932</v>
      </c>
      <c r="AH6114">
        <v>16.038688142393902</v>
      </c>
      <c r="AI6114">
        <v>93.964866232133105</v>
      </c>
      <c r="AJ6114">
        <v>97.381022444220093</v>
      </c>
      <c r="AK6114">
        <v>16.211498876648001</v>
      </c>
      <c r="AL6114">
        <v>80.251633422317198</v>
      </c>
      <c r="AM6114">
        <v>99.648018379021295</v>
      </c>
      <c r="AN6114">
        <v>0.99999995889948401</v>
      </c>
    </row>
    <row r="6115" spans="1:40" x14ac:dyDescent="0.25">
      <c r="A6115" t="str">
        <f>"20190312172237477"</f>
        <v>20190312172237477</v>
      </c>
      <c r="B6115" t="str">
        <f>"1552382557466234"</f>
        <v>1552382557466234</v>
      </c>
      <c r="C6115" t="s">
        <v>40</v>
      </c>
      <c r="D6115">
        <v>3.295455</v>
      </c>
      <c r="E6115">
        <v>0.51765919999999999</v>
      </c>
      <c r="F6115" t="s">
        <v>67</v>
      </c>
      <c r="G6115">
        <v>-382.0052</v>
      </c>
      <c r="H6115" s="1">
        <v>-5.3891720000000001E-6</v>
      </c>
      <c r="I6115">
        <v>27.6876</v>
      </c>
      <c r="J6115">
        <v>-398.7595</v>
      </c>
      <c r="K6115">
        <v>1.1204889999999901</v>
      </c>
      <c r="L6115">
        <v>26.402560000000001</v>
      </c>
      <c r="M6115">
        <v>0.9993126</v>
      </c>
      <c r="N6115">
        <v>0</v>
      </c>
      <c r="O6115">
        <v>-3.3778719999999998E-2</v>
      </c>
      <c r="P6115">
        <v>0.9801742</v>
      </c>
      <c r="Q6115">
        <v>0.15804360000000001</v>
      </c>
      <c r="R6115">
        <v>0.119504</v>
      </c>
      <c r="S6115">
        <v>3.0657350000000001</v>
      </c>
      <c r="T6115">
        <v>-0.20236689999999999</v>
      </c>
      <c r="U6115">
        <v>0.23147580000000001</v>
      </c>
      <c r="V6115">
        <v>-0.15681879999999901</v>
      </c>
      <c r="W6115">
        <v>0.16906949999999901</v>
      </c>
      <c r="X6115">
        <v>0.97304849999999998</v>
      </c>
      <c r="Y6115">
        <v>-0.1086254</v>
      </c>
      <c r="Z6115">
        <v>5.80095E-3</v>
      </c>
      <c r="AA6115">
        <v>0.9940658</v>
      </c>
      <c r="AB6115">
        <v>32</v>
      </c>
      <c r="AC6115">
        <v>16.754300000000001</v>
      </c>
      <c r="AD6115">
        <v>-1.1204943891719901</v>
      </c>
      <c r="AE6115">
        <v>1.28504</v>
      </c>
      <c r="AF6115">
        <v>-1.8421203375084201</v>
      </c>
      <c r="AG6115">
        <v>-1.1204943891719901</v>
      </c>
      <c r="AH6115">
        <v>16.627390737755199</v>
      </c>
      <c r="AI6115">
        <v>93.831871952254602</v>
      </c>
      <c r="AJ6115">
        <v>96.321920888770507</v>
      </c>
      <c r="AK6115">
        <v>16.7666048369971</v>
      </c>
      <c r="AL6115">
        <v>80.266277837246506</v>
      </c>
      <c r="AM6115">
        <v>99.155201503212396</v>
      </c>
      <c r="AN6115">
        <v>1.00000000760796</v>
      </c>
    </row>
    <row r="6116" spans="1:40" x14ac:dyDescent="0.25">
      <c r="A6116" t="str">
        <f>"20190312172237490"</f>
        <v>20190312172237490</v>
      </c>
      <c r="B6116" t="str">
        <f>"1552382557486729"</f>
        <v>1552382557486729</v>
      </c>
      <c r="C6116" t="s">
        <v>40</v>
      </c>
      <c r="D6116">
        <v>3.2818179999999999</v>
      </c>
      <c r="E6116">
        <v>0.5185362</v>
      </c>
      <c r="F6116" t="s">
        <v>67</v>
      </c>
      <c r="G6116">
        <v>-382.10059999999999</v>
      </c>
      <c r="H6116" s="1">
        <v>-5.3381580000000001E-6</v>
      </c>
      <c r="I6116">
        <v>27.60651</v>
      </c>
      <c r="J6116">
        <v>-398.58339999999998</v>
      </c>
      <c r="K6116">
        <v>1.1201319999999999</v>
      </c>
      <c r="L6116">
        <v>26.40146</v>
      </c>
      <c r="M6116">
        <v>0.99947839999999999</v>
      </c>
      <c r="N6116">
        <v>0</v>
      </c>
      <c r="O6116">
        <v>-2.848962E-2</v>
      </c>
      <c r="P6116">
        <v>0.98012580000000005</v>
      </c>
      <c r="Q6116">
        <v>0.15768080000000001</v>
      </c>
      <c r="R6116">
        <v>0.1203751</v>
      </c>
      <c r="S6116">
        <v>3.0669249999999999</v>
      </c>
      <c r="T6116">
        <v>-0.20628469999999999</v>
      </c>
      <c r="U6116">
        <v>0.22164919999999999</v>
      </c>
      <c r="V6116">
        <v>-0.15236379999999999</v>
      </c>
      <c r="W6116">
        <v>0.1688965</v>
      </c>
      <c r="X6116">
        <v>0.97378609999999999</v>
      </c>
      <c r="Y6116">
        <v>-0.10018299999999999</v>
      </c>
      <c r="Z6116">
        <v>5.2731509999999898E-3</v>
      </c>
      <c r="AA6116">
        <v>0.99495509999999998</v>
      </c>
      <c r="AB6116">
        <v>32</v>
      </c>
      <c r="AC6116">
        <v>16.482799999999902</v>
      </c>
      <c r="AD6116">
        <v>-1.120137338158</v>
      </c>
      <c r="AE6116">
        <v>1.20505</v>
      </c>
      <c r="AF6116">
        <v>-1.6665480901699601</v>
      </c>
      <c r="AG6116">
        <v>-1.120137338158</v>
      </c>
      <c r="AH6116">
        <v>16.366588818457402</v>
      </c>
      <c r="AI6116">
        <v>93.895166517911903</v>
      </c>
      <c r="AJ6116">
        <v>95.814173757425905</v>
      </c>
      <c r="AK6116">
        <v>16.489309256170799</v>
      </c>
      <c r="AL6116">
        <v>80.276335167302193</v>
      </c>
      <c r="AM6116">
        <v>98.892704322057696</v>
      </c>
      <c r="AN6116">
        <v>1.0000000619079401</v>
      </c>
    </row>
    <row r="6117" spans="1:40" x14ac:dyDescent="0.25">
      <c r="A6117" t="str">
        <f>"20190312172237505"</f>
        <v>20190312172237505</v>
      </c>
      <c r="B6117" t="str">
        <f>"1552382557496489"</f>
        <v>1552382557496489</v>
      </c>
      <c r="C6117" t="s">
        <v>40</v>
      </c>
      <c r="D6117">
        <v>3.283779</v>
      </c>
      <c r="E6117">
        <v>0.51888789999999996</v>
      </c>
      <c r="F6117" t="s">
        <v>67</v>
      </c>
      <c r="G6117">
        <v>-381.82499999999999</v>
      </c>
      <c r="H6117" s="1">
        <v>-5.4404980000000002E-6</v>
      </c>
      <c r="I6117">
        <v>27.586659999999998</v>
      </c>
      <c r="J6117">
        <v>-398.37049999999999</v>
      </c>
      <c r="K6117">
        <v>1.119685</v>
      </c>
      <c r="L6117">
        <v>26.400880000000001</v>
      </c>
      <c r="M6117">
        <v>0.99963550000000001</v>
      </c>
      <c r="N6117">
        <v>0</v>
      </c>
      <c r="O6117">
        <v>-2.2360560000000002E-2</v>
      </c>
      <c r="P6117">
        <v>0.97991700000000004</v>
      </c>
      <c r="Q6117">
        <v>0.1574496</v>
      </c>
      <c r="R6117">
        <v>0.1223615</v>
      </c>
      <c r="S6117">
        <v>3.0671689999999998</v>
      </c>
      <c r="T6117">
        <v>-0.20501040000000001</v>
      </c>
      <c r="U6117">
        <v>0.2169189</v>
      </c>
      <c r="V6117">
        <v>-0.14816199999999999</v>
      </c>
      <c r="W6117">
        <v>0.16886029999999999</v>
      </c>
      <c r="X6117">
        <v>0.97444050000000004</v>
      </c>
      <c r="Y6117">
        <v>-9.2581109999999994E-2</v>
      </c>
      <c r="Z6117">
        <v>4.5782180000000002E-3</v>
      </c>
      <c r="AA6117">
        <v>0.99569459999999999</v>
      </c>
      <c r="AB6117">
        <v>32</v>
      </c>
      <c r="AC6117">
        <v>16.545500000000001</v>
      </c>
      <c r="AD6117">
        <v>-1.1196904404979999</v>
      </c>
      <c r="AE6117">
        <v>1.1857800000000001</v>
      </c>
      <c r="AF6117">
        <v>-1.5484373166682399</v>
      </c>
      <c r="AG6117">
        <v>-1.1196904404979999</v>
      </c>
      <c r="AH6117">
        <v>16.4399393612082</v>
      </c>
      <c r="AI6117">
        <v>93.879164685758198</v>
      </c>
      <c r="AJ6117">
        <v>95.380674363758004</v>
      </c>
      <c r="AK6117">
        <v>16.5506184478525</v>
      </c>
      <c r="AL6117">
        <v>80.278439221263099</v>
      </c>
      <c r="AM6117">
        <v>98.645506218676601</v>
      </c>
      <c r="AN6117">
        <v>1.00000003360016</v>
      </c>
    </row>
    <row r="6118" spans="1:40" x14ac:dyDescent="0.25">
      <c r="A6118" t="str">
        <f>"20190312172237524"</f>
        <v>20190312172237524</v>
      </c>
      <c r="B6118" t="str">
        <f>"1552382557516986"</f>
        <v>1552382557516986</v>
      </c>
      <c r="C6118" t="s">
        <v>40</v>
      </c>
      <c r="D6118">
        <v>3.260138</v>
      </c>
      <c r="E6118">
        <v>0.51934159999999996</v>
      </c>
      <c r="F6118" t="s">
        <v>67</v>
      </c>
      <c r="G6118">
        <v>-381.57080000000002</v>
      </c>
      <c r="H6118" s="1">
        <v>-5.5410360000000001E-6</v>
      </c>
      <c r="I6118">
        <v>27.60314</v>
      </c>
      <c r="J6118">
        <v>-398.09719999999999</v>
      </c>
      <c r="K6118">
        <v>1.119076</v>
      </c>
      <c r="L6118">
        <v>26.401700000000002</v>
      </c>
      <c r="M6118">
        <v>0.99977309999999997</v>
      </c>
      <c r="N6118">
        <v>0</v>
      </c>
      <c r="O6118">
        <v>-1.508868E-2</v>
      </c>
      <c r="P6118">
        <v>0.98006819999999895</v>
      </c>
      <c r="Q6118">
        <v>0.1576399</v>
      </c>
      <c r="R6118">
        <v>0.120897</v>
      </c>
      <c r="S6118">
        <v>3.0669249999999999</v>
      </c>
      <c r="T6118">
        <v>-0.20440920000000001</v>
      </c>
      <c r="U6118">
        <v>0.21948239999999999</v>
      </c>
      <c r="V6118">
        <v>-0.13933889999999999</v>
      </c>
      <c r="W6118">
        <v>0.16937920000000001</v>
      </c>
      <c r="X6118">
        <v>0.9756513</v>
      </c>
      <c r="Y6118">
        <v>-8.6201899999999901E-2</v>
      </c>
      <c r="Z6118">
        <v>3.8693059999999999E-3</v>
      </c>
      <c r="AA6118">
        <v>0.99627019999999999</v>
      </c>
      <c r="AB6118">
        <v>32</v>
      </c>
      <c r="AC6118">
        <v>16.526399999999899</v>
      </c>
      <c r="AD6118">
        <v>-1.119081541036</v>
      </c>
      <c r="AE6118">
        <v>1.2014400000000001</v>
      </c>
      <c r="AF6118">
        <v>-1.4441061144388301</v>
      </c>
      <c r="AG6118">
        <v>-1.119081541036</v>
      </c>
      <c r="AH6118">
        <v>16.431441155888699</v>
      </c>
      <c r="AI6118">
        <v>93.881261273229896</v>
      </c>
      <c r="AJ6118">
        <v>95.022635164734197</v>
      </c>
      <c r="AK6118">
        <v>16.5326962236859</v>
      </c>
      <c r="AL6118">
        <v>80.248274095802103</v>
      </c>
      <c r="AM6118">
        <v>98.127808516238403</v>
      </c>
      <c r="AN6118">
        <v>1.0000000508187601</v>
      </c>
    </row>
    <row r="6119" spans="1:40" x14ac:dyDescent="0.25">
      <c r="A6119" t="str">
        <f>"20190312172237538"</f>
        <v>20190312172237538</v>
      </c>
      <c r="B6119" t="str">
        <f>"1552382557526745"</f>
        <v>1552382557526745</v>
      </c>
      <c r="C6119" t="s">
        <v>40</v>
      </c>
      <c r="D6119">
        <v>3.2901980000000002</v>
      </c>
      <c r="E6119">
        <v>0.523698</v>
      </c>
      <c r="F6119" t="s">
        <v>67</v>
      </c>
      <c r="G6119">
        <v>-381.17419999999998</v>
      </c>
      <c r="H6119" s="1">
        <v>-5.6849699999999901E-6</v>
      </c>
      <c r="I6119">
        <v>27.556039999999999</v>
      </c>
      <c r="J6119">
        <v>-397.8922</v>
      </c>
      <c r="K6119">
        <v>1.1186130000000001</v>
      </c>
      <c r="L6119">
        <v>26.403230000000001</v>
      </c>
      <c r="M6119">
        <v>0.99983789999999995</v>
      </c>
      <c r="N6119">
        <v>0</v>
      </c>
      <c r="O6119">
        <v>-1.001353E-2</v>
      </c>
      <c r="P6119">
        <v>0.97989490000000001</v>
      </c>
      <c r="Q6119">
        <v>0.1580037</v>
      </c>
      <c r="R6119">
        <v>0.121824</v>
      </c>
      <c r="S6119">
        <v>3.0678100000000001</v>
      </c>
      <c r="T6119">
        <v>-0.20286770000000001</v>
      </c>
      <c r="U6119">
        <v>0.209259</v>
      </c>
      <c r="V6119">
        <v>-0.13510739999999999</v>
      </c>
      <c r="W6119">
        <v>0.1699224</v>
      </c>
      <c r="X6119">
        <v>0.97615180000000001</v>
      </c>
      <c r="Y6119">
        <v>-7.7850059999999999E-2</v>
      </c>
      <c r="Z6119">
        <v>3.2290550000000002E-3</v>
      </c>
      <c r="AA6119">
        <v>0.99695990000000001</v>
      </c>
      <c r="AB6119">
        <v>32</v>
      </c>
      <c r="AC6119">
        <v>16.718</v>
      </c>
      <c r="AD6119">
        <v>-1.1186186849699999</v>
      </c>
      <c r="AE6119">
        <v>1.1528099999999999</v>
      </c>
      <c r="AF6119">
        <v>-1.31432064802231</v>
      </c>
      <c r="AG6119">
        <v>-1.1186186849699999</v>
      </c>
      <c r="AH6119">
        <v>16.6315083164491</v>
      </c>
      <c r="AI6119">
        <v>93.835938367813199</v>
      </c>
      <c r="AJ6119">
        <v>94.518462604255106</v>
      </c>
      <c r="AK6119">
        <v>16.720819818666101</v>
      </c>
      <c r="AL6119">
        <v>80.216692581913307</v>
      </c>
      <c r="AM6119">
        <v>97.880139932637206</v>
      </c>
      <c r="AN6119">
        <v>0.999999984099879</v>
      </c>
    </row>
    <row r="6120" spans="1:40" x14ac:dyDescent="0.25">
      <c r="A6120" t="str">
        <f>"20190312172237557"</f>
        <v>20190312172237557</v>
      </c>
      <c r="B6120" t="str">
        <f>"1552382557547246"</f>
        <v>1552382557547246</v>
      </c>
      <c r="C6120" t="s">
        <v>40</v>
      </c>
      <c r="D6120">
        <v>3.5277319999999999</v>
      </c>
      <c r="E6120">
        <v>0.52344670000000004</v>
      </c>
      <c r="F6120" t="s">
        <v>68</v>
      </c>
      <c r="G6120">
        <v>-379.42759999999998</v>
      </c>
      <c r="H6120" s="1">
        <v>-2.3388649999999998E-6</v>
      </c>
      <c r="I6120">
        <v>27.463000000000001</v>
      </c>
      <c r="J6120">
        <v>-397.62020000000001</v>
      </c>
      <c r="K6120">
        <v>1.117996</v>
      </c>
      <c r="L6120">
        <v>26.406559999999999</v>
      </c>
      <c r="M6120">
        <v>0.99988200000000005</v>
      </c>
      <c r="N6120">
        <v>0</v>
      </c>
      <c r="O6120">
        <v>-3.8814050000000001E-3</v>
      </c>
      <c r="P6120">
        <v>0.98002</v>
      </c>
      <c r="Q6120">
        <v>0.158707399999999</v>
      </c>
      <c r="R6120">
        <v>0.1198862</v>
      </c>
      <c r="S6120">
        <v>3.0695800000000002</v>
      </c>
      <c r="T6120">
        <v>-0.18596019999999999</v>
      </c>
      <c r="U6120">
        <v>0.176178</v>
      </c>
      <c r="V6120">
        <v>-0.12691569999999999</v>
      </c>
      <c r="W6120">
        <v>0.1709049</v>
      </c>
      <c r="X6120">
        <v>0.97707929999999998</v>
      </c>
      <c r="Y6120">
        <v>-6.1056869999999999E-2</v>
      </c>
      <c r="Z6120">
        <v>2.0810199999999998E-3</v>
      </c>
      <c r="AA6120">
        <v>0.99813209999999997</v>
      </c>
      <c r="AB6120">
        <v>32</v>
      </c>
      <c r="AC6120">
        <v>18.192599999999999</v>
      </c>
      <c r="AD6120">
        <v>-1.1179983388650001</v>
      </c>
      <c r="AE6120">
        <v>1.05644</v>
      </c>
      <c r="AF6120">
        <v>-1.1228265546096301</v>
      </c>
      <c r="AG6120">
        <v>-1.1179983388650001</v>
      </c>
      <c r="AH6120">
        <v>18.1201606830993</v>
      </c>
      <c r="AI6120">
        <v>93.523882951243607</v>
      </c>
      <c r="AJ6120">
        <v>93.545833404327098</v>
      </c>
      <c r="AK6120">
        <v>18.189306829529801</v>
      </c>
      <c r="AL6120">
        <v>80.159564178805894</v>
      </c>
      <c r="AM6120">
        <v>97.400879736352906</v>
      </c>
      <c r="AN6120">
        <v>1.00000001911949</v>
      </c>
    </row>
    <row r="6121" spans="1:40" x14ac:dyDescent="0.25">
      <c r="A6121" t="str">
        <f>"20190312172237570"</f>
        <v>20190312172237570</v>
      </c>
      <c r="B6121" t="str">
        <f>"1552382557566762"</f>
        <v>1552382557566762</v>
      </c>
      <c r="C6121" t="s">
        <v>40</v>
      </c>
      <c r="D6121">
        <v>3.3193830000000002</v>
      </c>
      <c r="E6121">
        <v>0.52415429999999996</v>
      </c>
      <c r="F6121" t="s">
        <v>67</v>
      </c>
      <c r="G6121">
        <v>-382.97809999999998</v>
      </c>
      <c r="H6121" s="1">
        <v>-4.9318430000000001E-6</v>
      </c>
      <c r="I6121">
        <v>27.215620000000001</v>
      </c>
      <c r="J6121">
        <v>-397.44029999999998</v>
      </c>
      <c r="K6121">
        <v>1.117561</v>
      </c>
      <c r="L6121">
        <v>26.40945</v>
      </c>
      <c r="M6121">
        <v>0.99989039999999996</v>
      </c>
      <c r="N6121">
        <v>0</v>
      </c>
      <c r="O6121">
        <v>-2.7382619999999998E-4</v>
      </c>
      <c r="P6121">
        <v>0.98016259999999999</v>
      </c>
      <c r="Q6121">
        <v>0.15808459999999999</v>
      </c>
      <c r="R6121">
        <v>0.1195425</v>
      </c>
      <c r="S6121">
        <v>3.0784609999999999</v>
      </c>
      <c r="T6121">
        <v>-0.23505799999999999</v>
      </c>
      <c r="U6121">
        <v>0.17010500000000001</v>
      </c>
      <c r="V6121">
        <v>-0.1228383</v>
      </c>
      <c r="W6121">
        <v>0.1704379</v>
      </c>
      <c r="X6121">
        <v>0.97768180000000005</v>
      </c>
      <c r="Y6121">
        <v>-5.528454E-2</v>
      </c>
      <c r="Z6121">
        <v>2.1268419999999999E-3</v>
      </c>
      <c r="AA6121">
        <v>0.99846840000000003</v>
      </c>
      <c r="AB6121">
        <v>32</v>
      </c>
      <c r="AC6121">
        <v>14.4621999999999</v>
      </c>
      <c r="AD6121">
        <v>-1.117565931843</v>
      </c>
      <c r="AE6121">
        <v>0.80617000000000105</v>
      </c>
      <c r="AF6121">
        <v>-0.80533642808644701</v>
      </c>
      <c r="AG6121">
        <v>-1.117565931843</v>
      </c>
      <c r="AH6121">
        <v>14.3763971134093</v>
      </c>
      <c r="AI6121">
        <v>94.438084695390003</v>
      </c>
      <c r="AJ6121">
        <v>93.206241704082004</v>
      </c>
      <c r="AK6121">
        <v>14.442240627301</v>
      </c>
      <c r="AL6121">
        <v>80.186719681857497</v>
      </c>
      <c r="AM6121">
        <v>97.161254733642195</v>
      </c>
      <c r="AN6121">
        <v>1.00000001387727</v>
      </c>
    </row>
    <row r="6122" spans="1:40" x14ac:dyDescent="0.25">
      <c r="A6122" t="str">
        <f>"20190312172237584"</f>
        <v>20190312172237584</v>
      </c>
      <c r="B6122" t="str">
        <f>"1552382557576521"</f>
        <v>1552382557576521</v>
      </c>
      <c r="C6122" t="s">
        <v>40</v>
      </c>
      <c r="D6122">
        <v>3.2797190000000001</v>
      </c>
      <c r="E6122">
        <v>0.52423929999999996</v>
      </c>
      <c r="F6122" t="s">
        <v>67</v>
      </c>
      <c r="G6122">
        <v>-382.15780000000001</v>
      </c>
      <c r="H6122" s="1">
        <v>-5.2472740000000003E-6</v>
      </c>
      <c r="I6122">
        <v>27.2179</v>
      </c>
      <c r="J6122">
        <v>-397.24329999999998</v>
      </c>
      <c r="K6122">
        <v>1.1170639999999901</v>
      </c>
      <c r="L6122">
        <v>26.412960000000002</v>
      </c>
      <c r="M6122">
        <v>0.99988569999999999</v>
      </c>
      <c r="N6122">
        <v>0</v>
      </c>
      <c r="O6122">
        <v>3.4061680000000002E-3</v>
      </c>
      <c r="P6122">
        <v>0.98040769999999999</v>
      </c>
      <c r="Q6122">
        <v>0.15675039999999901</v>
      </c>
      <c r="R6122">
        <v>0.1192912</v>
      </c>
      <c r="S6122">
        <v>3.0771480000000002</v>
      </c>
      <c r="T6122">
        <v>-0.22502359999999999</v>
      </c>
      <c r="U6122">
        <v>0.1627808</v>
      </c>
      <c r="V6122">
        <v>-0.11874460000000001</v>
      </c>
      <c r="W6122">
        <v>0.169265</v>
      </c>
      <c r="X6122">
        <v>0.97839109999999996</v>
      </c>
      <c r="Y6122">
        <v>-4.9301709999999999E-2</v>
      </c>
      <c r="Z6122">
        <v>1.550395E-3</v>
      </c>
      <c r="AA6122">
        <v>0.99878279999999997</v>
      </c>
      <c r="AB6122">
        <v>32</v>
      </c>
      <c r="AC6122">
        <v>15.0854999999999</v>
      </c>
      <c r="AD6122">
        <v>-1.11706924727399</v>
      </c>
      <c r="AE6122">
        <v>0.80494000000000199</v>
      </c>
      <c r="AF6122">
        <v>-0.74944823556360196</v>
      </c>
      <c r="AG6122">
        <v>-1.11706924727399</v>
      </c>
      <c r="AH6122">
        <v>15.006105389138201</v>
      </c>
      <c r="AI6122">
        <v>94.252021772005406</v>
      </c>
      <c r="AJ6122">
        <v>92.859141080734602</v>
      </c>
      <c r="AK6122">
        <v>15.0662774204818</v>
      </c>
      <c r="AL6122">
        <v>80.254912954953198</v>
      </c>
      <c r="AM6122">
        <v>96.919984334512307</v>
      </c>
      <c r="AN6122">
        <v>1.00000003240668</v>
      </c>
    </row>
    <row r="6123" spans="1:40" x14ac:dyDescent="0.25">
      <c r="A6123" t="str">
        <f>"20190312172237601"</f>
        <v>20190312172237601</v>
      </c>
      <c r="B6123" t="str">
        <f>"1552382557597017"</f>
        <v>1552382557597017</v>
      </c>
      <c r="C6123" t="s">
        <v>40</v>
      </c>
      <c r="D6123">
        <v>3.288027</v>
      </c>
      <c r="E6123">
        <v>0.52472469999999904</v>
      </c>
      <c r="F6123" t="s">
        <v>67</v>
      </c>
      <c r="G6123">
        <v>-382.05619999999999</v>
      </c>
      <c r="H6123" s="1">
        <v>-5.2838799999999998E-6</v>
      </c>
      <c r="I6123">
        <v>27.2043</v>
      </c>
      <c r="J6123">
        <v>-396.99509999999998</v>
      </c>
      <c r="K6123">
        <v>1.1164019999999999</v>
      </c>
      <c r="L6123">
        <v>26.41797</v>
      </c>
      <c r="M6123">
        <v>0.99986459999999999</v>
      </c>
      <c r="N6123">
        <v>0</v>
      </c>
      <c r="O6123">
        <v>7.4906349999999998E-3</v>
      </c>
      <c r="P6123">
        <v>0.98151279999999996</v>
      </c>
      <c r="Q6123">
        <v>0.1531122</v>
      </c>
      <c r="R6123">
        <v>0.1148443</v>
      </c>
      <c r="S6123">
        <v>3.0765989999999999</v>
      </c>
      <c r="T6123">
        <v>-0.226295</v>
      </c>
      <c r="U6123">
        <v>0.1603088</v>
      </c>
      <c r="V6123">
        <v>-0.1099504</v>
      </c>
      <c r="W6123">
        <v>0.1658897</v>
      </c>
      <c r="X6123">
        <v>0.97999570000000003</v>
      </c>
      <c r="Y6123">
        <v>-4.4452949999999998E-2</v>
      </c>
      <c r="Z6123">
        <v>1.081654E-3</v>
      </c>
      <c r="AA6123">
        <v>0.99901090000000003</v>
      </c>
      <c r="AB6123">
        <v>32</v>
      </c>
      <c r="AC6123">
        <v>14.938899999999901</v>
      </c>
      <c r="AD6123">
        <v>-1.1164072838799901</v>
      </c>
      <c r="AE6123">
        <v>0.78632999999999897</v>
      </c>
      <c r="AF6123">
        <v>-0.67065892306149699</v>
      </c>
      <c r="AG6123">
        <v>-1.1164072838799901</v>
      </c>
      <c r="AH6123">
        <v>14.861601700321399</v>
      </c>
      <c r="AI6123">
        <v>94.291653445723298</v>
      </c>
      <c r="AJ6123">
        <v>92.5838314280698</v>
      </c>
      <c r="AK6123">
        <v>14.9185573603341</v>
      </c>
      <c r="AL6123">
        <v>80.451077424633397</v>
      </c>
      <c r="AM6123">
        <v>96.401516778036296</v>
      </c>
      <c r="AN6123">
        <v>1.0000000275223599</v>
      </c>
    </row>
    <row r="6124" spans="1:40" x14ac:dyDescent="0.25">
      <c r="A6124" t="str">
        <f>"20190312172237614"</f>
        <v>20190312172237614</v>
      </c>
      <c r="B6124" t="str">
        <f>"1552382557606779"</f>
        <v>1552382557606779</v>
      </c>
      <c r="C6124" t="s">
        <v>40</v>
      </c>
      <c r="D6124">
        <v>3.2920219999999998</v>
      </c>
      <c r="E6124">
        <v>0.52492499999999997</v>
      </c>
      <c r="F6124" t="s">
        <v>67</v>
      </c>
      <c r="G6124">
        <v>-382.28800000000001</v>
      </c>
      <c r="H6124" s="1">
        <v>-5.1748640000000001E-6</v>
      </c>
      <c r="I6124">
        <v>27.091550000000002</v>
      </c>
      <c r="J6124">
        <v>-396.80009999999999</v>
      </c>
      <c r="K6124">
        <v>1.115877</v>
      </c>
      <c r="L6124">
        <v>26.422360000000001</v>
      </c>
      <c r="M6124">
        <v>0.99984099999999998</v>
      </c>
      <c r="N6124">
        <v>0</v>
      </c>
      <c r="O6124">
        <v>1.024397E-2</v>
      </c>
      <c r="P6124">
        <v>0.98191019999999896</v>
      </c>
      <c r="Q6124">
        <v>0.1517587</v>
      </c>
      <c r="R6124">
        <v>0.113233</v>
      </c>
      <c r="S6124">
        <v>3.0764469999999999</v>
      </c>
      <c r="T6124">
        <v>-0.23353090000000001</v>
      </c>
      <c r="U6124">
        <v>0.14089969999999999</v>
      </c>
      <c r="V6124">
        <v>-0.1053978</v>
      </c>
      <c r="W6124">
        <v>0.1646862</v>
      </c>
      <c r="X6124">
        <v>0.98069859999999998</v>
      </c>
      <c r="Y6124">
        <v>-3.544245E-2</v>
      </c>
      <c r="Z6124">
        <v>5.66455E-4</v>
      </c>
      <c r="AA6124">
        <v>0.99937149999999997</v>
      </c>
      <c r="AB6124">
        <v>32</v>
      </c>
      <c r="AC6124">
        <v>14.512099999999901</v>
      </c>
      <c r="AD6124">
        <v>-1.115882174864</v>
      </c>
      <c r="AE6124">
        <v>0.66919000000000395</v>
      </c>
      <c r="AF6124">
        <v>-0.51742470747261204</v>
      </c>
      <c r="AG6124">
        <v>-1.115882174864</v>
      </c>
      <c r="AH6124">
        <v>14.4330390136699</v>
      </c>
      <c r="AI6124">
        <v>94.4181686216222</v>
      </c>
      <c r="AJ6124">
        <v>92.053175427674603</v>
      </c>
      <c r="AK6124">
        <v>14.4853559337077</v>
      </c>
      <c r="AL6124">
        <v>80.520994247706199</v>
      </c>
      <c r="AM6124">
        <v>96.134156625849101</v>
      </c>
      <c r="AN6124">
        <v>0.99999999237861903</v>
      </c>
    </row>
    <row r="6125" spans="1:40" x14ac:dyDescent="0.25">
      <c r="A6125" t="str">
        <f>"20190312172237627"</f>
        <v>20190312172237627</v>
      </c>
      <c r="B6125" t="str">
        <f>"1552382557616538"</f>
        <v>1552382557616538</v>
      </c>
      <c r="C6125" t="s">
        <v>40</v>
      </c>
      <c r="D6125">
        <v>3.293221</v>
      </c>
      <c r="E6125">
        <v>0.52522139999999995</v>
      </c>
      <c r="F6125" t="s">
        <v>67</v>
      </c>
      <c r="G6125">
        <v>-382.25009999999997</v>
      </c>
      <c r="H6125" s="1">
        <v>-5.1823889999999996E-6</v>
      </c>
      <c r="I6125">
        <v>27.051819999999999</v>
      </c>
      <c r="J6125">
        <v>-396.63260000000002</v>
      </c>
      <c r="K6125">
        <v>1.115443</v>
      </c>
      <c r="L6125">
        <v>26.426269999999999</v>
      </c>
      <c r="M6125">
        <v>0.99981770000000003</v>
      </c>
      <c r="N6125">
        <v>0</v>
      </c>
      <c r="O6125">
        <v>1.237546E-2</v>
      </c>
      <c r="P6125">
        <v>0.98229239999999995</v>
      </c>
      <c r="Q6125">
        <v>0.15087329999999999</v>
      </c>
      <c r="R6125">
        <v>0.111082</v>
      </c>
      <c r="S6125">
        <v>3.076355</v>
      </c>
      <c r="T6125">
        <v>-0.23593339999999999</v>
      </c>
      <c r="U6125">
        <v>0.13308719999999999</v>
      </c>
      <c r="V6125">
        <v>-0.1009587</v>
      </c>
      <c r="W6125">
        <v>0.16392709999999999</v>
      </c>
      <c r="X6125">
        <v>0.98129270000000002</v>
      </c>
      <c r="Y6125">
        <v>-3.079838E-2</v>
      </c>
      <c r="Z6125">
        <v>2.3143139999999999E-4</v>
      </c>
      <c r="AA6125">
        <v>0.99952560000000001</v>
      </c>
      <c r="AB6125">
        <v>32</v>
      </c>
      <c r="AC6125">
        <v>14.3825</v>
      </c>
      <c r="AD6125">
        <v>-1.1154481823889999</v>
      </c>
      <c r="AE6125">
        <v>0.62555000000000005</v>
      </c>
      <c r="AF6125">
        <v>-0.44482269246720602</v>
      </c>
      <c r="AG6125">
        <v>-1.1154481823889999</v>
      </c>
      <c r="AH6125">
        <v>14.303270039998299</v>
      </c>
      <c r="AI6125">
        <v>94.457070594868597</v>
      </c>
      <c r="AJ6125">
        <v>91.781288545604696</v>
      </c>
      <c r="AK6125">
        <v>14.35359278064</v>
      </c>
      <c r="AL6125">
        <v>80.565087348828996</v>
      </c>
      <c r="AM6125">
        <v>95.874115254029604</v>
      </c>
      <c r="AN6125">
        <v>1.0000000581466899</v>
      </c>
    </row>
    <row r="6126" spans="1:40" x14ac:dyDescent="0.25">
      <c r="A6126" t="str">
        <f>"20190312172237638"</f>
        <v>20190312172237638</v>
      </c>
      <c r="B6126" t="str">
        <f>"1552382557626298"</f>
        <v>1552382557626298</v>
      </c>
      <c r="C6126" t="s">
        <v>40</v>
      </c>
      <c r="D6126">
        <v>3.3084289999999998</v>
      </c>
      <c r="E6126">
        <v>0.52534179999999997</v>
      </c>
      <c r="F6126" t="s">
        <v>67</v>
      </c>
      <c r="G6126">
        <v>-382.18169999999998</v>
      </c>
      <c r="H6126" s="1">
        <v>-5.2002109999999999E-6</v>
      </c>
      <c r="I6126">
        <v>27.00422</v>
      </c>
      <c r="J6126">
        <v>-396.46390000000002</v>
      </c>
      <c r="K6126">
        <v>1.1150180000000001</v>
      </c>
      <c r="L6126">
        <v>26.43036</v>
      </c>
      <c r="M6126">
        <v>0.99979169999999995</v>
      </c>
      <c r="N6126">
        <v>0</v>
      </c>
      <c r="O6126">
        <v>1.4358549999999999E-2</v>
      </c>
      <c r="P6126">
        <v>0.98264779999999996</v>
      </c>
      <c r="Q6126">
        <v>0.15035079999999901</v>
      </c>
      <c r="R6126">
        <v>0.10861899999999999</v>
      </c>
      <c r="S6126">
        <v>3.0765989999999999</v>
      </c>
      <c r="T6126">
        <v>-0.237479</v>
      </c>
      <c r="U6126">
        <v>0.1230469</v>
      </c>
      <c r="V6126">
        <v>-9.6360360000000006E-2</v>
      </c>
      <c r="W6126">
        <v>0.1635221</v>
      </c>
      <c r="X6126">
        <v>0.98182239999999998</v>
      </c>
      <c r="Y6126">
        <v>-2.557647E-2</v>
      </c>
      <c r="Z6126">
        <v>-1.2099079999999999E-4</v>
      </c>
      <c r="AA6126">
        <v>0.99967289999999998</v>
      </c>
      <c r="AB6126">
        <v>32</v>
      </c>
      <c r="AC6126">
        <v>14.2822</v>
      </c>
      <c r="AD6126">
        <v>-1.1150232002110001</v>
      </c>
      <c r="AE6126">
        <v>0.57386000000000303</v>
      </c>
      <c r="AF6126">
        <v>-0.36647747037547401</v>
      </c>
      <c r="AG6126">
        <v>-1.1150232002110001</v>
      </c>
      <c r="AH6126">
        <v>14.2025422738669</v>
      </c>
      <c r="AI6126">
        <v>94.487522103591502</v>
      </c>
      <c r="AJ6126">
        <v>91.478112405908703</v>
      </c>
      <c r="AK6126">
        <v>14.2509574946485</v>
      </c>
      <c r="AL6126">
        <v>80.588609093810902</v>
      </c>
      <c r="AM6126">
        <v>95.605307919787606</v>
      </c>
      <c r="AN6126">
        <v>1.00000001065474</v>
      </c>
    </row>
    <row r="6127" spans="1:40" x14ac:dyDescent="0.25">
      <c r="A6127" t="str">
        <f>"20190312172237657"</f>
        <v>20190312172237657</v>
      </c>
      <c r="B6127" t="str">
        <f>"1552382557646793"</f>
        <v>1552382557646793</v>
      </c>
      <c r="C6127" t="s">
        <v>40</v>
      </c>
      <c r="D6127">
        <v>3.3080199999999902</v>
      </c>
      <c r="E6127">
        <v>0.52560750000000001</v>
      </c>
      <c r="F6127" t="s">
        <v>67</v>
      </c>
      <c r="G6127">
        <v>-382.39359999999999</v>
      </c>
      <c r="H6127" s="1">
        <v>-5.1091699999999997E-6</v>
      </c>
      <c r="I6127">
        <v>26.949780000000001</v>
      </c>
      <c r="J6127">
        <v>-396.19420000000002</v>
      </c>
      <c r="K6127">
        <v>1.1143419999999999</v>
      </c>
      <c r="L6127">
        <v>26.437100000000001</v>
      </c>
      <c r="M6127">
        <v>0.99975369999999997</v>
      </c>
      <c r="N6127">
        <v>0</v>
      </c>
      <c r="O6127">
        <v>1.6872399999999999E-2</v>
      </c>
      <c r="P6127">
        <v>0.9833402</v>
      </c>
      <c r="Q6127">
        <v>0.149835</v>
      </c>
      <c r="R6127">
        <v>0.102918</v>
      </c>
      <c r="S6127">
        <v>3.077728</v>
      </c>
      <c r="T6127">
        <v>-0.2438987</v>
      </c>
      <c r="U6127">
        <v>0.11361690000000001</v>
      </c>
      <c r="V6127">
        <v>-8.7896879999999997E-2</v>
      </c>
      <c r="W6127">
        <v>0.1631862</v>
      </c>
      <c r="X6127">
        <v>0.98267210000000005</v>
      </c>
      <c r="Y6127">
        <v>-2.0012970000000001E-2</v>
      </c>
      <c r="Z6127">
        <v>-5.4305049999999995E-4</v>
      </c>
      <c r="AA6127">
        <v>0.99979949999999995</v>
      </c>
      <c r="AB6127">
        <v>32</v>
      </c>
      <c r="AC6127">
        <v>13.800599999999999</v>
      </c>
      <c r="AD6127">
        <v>-1.1143471091699999</v>
      </c>
      <c r="AE6127">
        <v>0.51267999999999903</v>
      </c>
      <c r="AF6127">
        <v>-0.27792400134381301</v>
      </c>
      <c r="AG6127">
        <v>-1.1143471091699999</v>
      </c>
      <c r="AH6127">
        <v>13.7179687621406</v>
      </c>
      <c r="AI6127">
        <v>94.643142850492396</v>
      </c>
      <c r="AJ6127">
        <v>91.160645165650493</v>
      </c>
      <c r="AK6127">
        <v>13.7659608523816</v>
      </c>
      <c r="AL6127">
        <v>80.608116935724894</v>
      </c>
      <c r="AM6127">
        <v>95.111321958966698</v>
      </c>
      <c r="AN6127">
        <v>1.0000000267512901</v>
      </c>
    </row>
    <row r="6128" spans="1:40" x14ac:dyDescent="0.25">
      <c r="A6128" t="str">
        <f>"20190312172237670"</f>
        <v>20190312172237670</v>
      </c>
      <c r="B6128" t="str">
        <f>"1552382557667290"</f>
        <v>1552382557667290</v>
      </c>
      <c r="C6128" t="s">
        <v>40</v>
      </c>
      <c r="D6128">
        <v>3.3004449999999999</v>
      </c>
      <c r="E6128">
        <v>0.52586540000000004</v>
      </c>
      <c r="F6128" t="s">
        <v>67</v>
      </c>
      <c r="G6128">
        <v>-382.04079999999999</v>
      </c>
      <c r="H6128" s="1">
        <v>-5.2285900000000004E-6</v>
      </c>
      <c r="I6128">
        <v>26.85932</v>
      </c>
      <c r="J6128">
        <v>-396.0179</v>
      </c>
      <c r="K6128">
        <v>1.113907</v>
      </c>
      <c r="L6128">
        <v>26.441590000000001</v>
      </c>
      <c r="M6128">
        <v>0.99973259999999997</v>
      </c>
      <c r="N6128">
        <v>0</v>
      </c>
      <c r="O6128">
        <v>1.8109150000000001E-2</v>
      </c>
      <c r="P6128">
        <v>0.98369479999999998</v>
      </c>
      <c r="Q6128">
        <v>0.14915390000000001</v>
      </c>
      <c r="R6128">
        <v>0.10048799999999999</v>
      </c>
      <c r="S6128">
        <v>3.0781860000000001</v>
      </c>
      <c r="T6128">
        <v>-0.24235660000000001</v>
      </c>
      <c r="U6128">
        <v>9.1827389999999995E-2</v>
      </c>
      <c r="V6128">
        <v>-8.4059889999999998E-2</v>
      </c>
      <c r="W6128">
        <v>0.1625934</v>
      </c>
      <c r="X6128">
        <v>0.98310600000000004</v>
      </c>
      <c r="Y6128">
        <v>-1.1730249999999999E-2</v>
      </c>
      <c r="Z6128">
        <v>-9.6230649999999997E-4</v>
      </c>
      <c r="AA6128">
        <v>0.99993069999999895</v>
      </c>
      <c r="AB6128">
        <v>32</v>
      </c>
      <c r="AC6128">
        <v>13.9771</v>
      </c>
      <c r="AD6128">
        <v>-1.1139122285900001</v>
      </c>
      <c r="AE6128">
        <v>0.41772999999999799</v>
      </c>
      <c r="AF6128">
        <v>-0.16348448519365999</v>
      </c>
      <c r="AG6128">
        <v>-1.1139122285900001</v>
      </c>
      <c r="AH6128">
        <v>13.894204463208601</v>
      </c>
      <c r="AI6128">
        <v>94.583340333087094</v>
      </c>
      <c r="AJ6128">
        <v>90.674132786779495</v>
      </c>
      <c r="AK6128">
        <v>13.9397433726503</v>
      </c>
      <c r="AL6128">
        <v>80.642541794271906</v>
      </c>
      <c r="AM6128">
        <v>94.887154459026803</v>
      </c>
      <c r="AN6128">
        <v>1.0000000430331799</v>
      </c>
    </row>
    <row r="6129" spans="1:40" x14ac:dyDescent="0.25">
      <c r="A6129" t="str">
        <f>"20190312172237682"</f>
        <v>20190312172237682</v>
      </c>
      <c r="B6129" t="str">
        <f>"1552382557677049"</f>
        <v>1552382557677049</v>
      </c>
      <c r="C6129" t="s">
        <v>40</v>
      </c>
      <c r="D6129">
        <v>3.5585719999999998</v>
      </c>
      <c r="E6129">
        <v>0.52603880000000003</v>
      </c>
      <c r="F6129" t="s">
        <v>67</v>
      </c>
      <c r="G6129">
        <v>-381.8399</v>
      </c>
      <c r="H6129" s="1">
        <v>-5.2982280000000003E-6</v>
      </c>
      <c r="I6129">
        <v>26.81691</v>
      </c>
      <c r="J6129">
        <v>-395.8381</v>
      </c>
      <c r="K6129">
        <v>1.113461</v>
      </c>
      <c r="L6129">
        <v>26.446169999999999</v>
      </c>
      <c r="M6129">
        <v>0.99971310000000002</v>
      </c>
      <c r="N6129">
        <v>0</v>
      </c>
      <c r="O6129">
        <v>1.91951E-2</v>
      </c>
      <c r="P6129">
        <v>0.98404000000000003</v>
      </c>
      <c r="Q6129">
        <v>0.1487474</v>
      </c>
      <c r="R6129">
        <v>9.7671949999999993E-2</v>
      </c>
      <c r="S6129">
        <v>3.0780639999999999</v>
      </c>
      <c r="T6129">
        <v>-0.24183109999999999</v>
      </c>
      <c r="U6129">
        <v>8.1481929999999994E-2</v>
      </c>
      <c r="V6129">
        <v>-7.9984609999999998E-2</v>
      </c>
      <c r="W6129">
        <v>0.1622711</v>
      </c>
      <c r="X6129">
        <v>0.98349909999999996</v>
      </c>
      <c r="Y6129">
        <v>-7.3039289999999998E-3</v>
      </c>
      <c r="Z6129">
        <v>-1.219061E-3</v>
      </c>
      <c r="AA6129">
        <v>0.99997259999999999</v>
      </c>
      <c r="AB6129">
        <v>32</v>
      </c>
      <c r="AC6129">
        <v>13.998199999999899</v>
      </c>
      <c r="AD6129">
        <v>-1.1134662982279999</v>
      </c>
      <c r="AE6129">
        <v>0.37073999999999402</v>
      </c>
      <c r="AF6129">
        <v>-0.101306713670394</v>
      </c>
      <c r="AG6129">
        <v>-1.1134662982279999</v>
      </c>
      <c r="AH6129">
        <v>13.914758142837901</v>
      </c>
      <c r="AI6129">
        <v>94.574969231060507</v>
      </c>
      <c r="AJ6129">
        <v>90.417135857947898</v>
      </c>
      <c r="AK6129">
        <v>13.959604737283801</v>
      </c>
      <c r="AL6129">
        <v>80.661256016362401</v>
      </c>
      <c r="AM6129">
        <v>94.649436857295399</v>
      </c>
      <c r="AN6129">
        <v>0.99999996371643496</v>
      </c>
    </row>
    <row r="6130" spans="1:40" x14ac:dyDescent="0.25">
      <c r="A6130" t="str">
        <f>"20190312172237704"</f>
        <v>20190312172237704</v>
      </c>
      <c r="B6130" t="str">
        <f>"1552382557696570"</f>
        <v>1552382557696570</v>
      </c>
      <c r="C6130" t="s">
        <v>40</v>
      </c>
      <c r="D6130">
        <v>3.3483179999999999</v>
      </c>
      <c r="E6130">
        <v>0.52624680000000001</v>
      </c>
      <c r="F6130" t="s">
        <v>41</v>
      </c>
      <c r="G6130">
        <v>-394.85890000000001</v>
      </c>
      <c r="H6130">
        <v>1.0367390000000001</v>
      </c>
      <c r="I6130">
        <v>26.468620000000001</v>
      </c>
      <c r="J6130">
        <v>-395.52730000000003</v>
      </c>
      <c r="K6130">
        <v>1.112719</v>
      </c>
      <c r="L6130">
        <v>26.45392</v>
      </c>
      <c r="M6130">
        <v>0.99969079999999999</v>
      </c>
      <c r="N6130">
        <v>0</v>
      </c>
      <c r="O6130">
        <v>2.0367980000000001E-2</v>
      </c>
      <c r="P6130">
        <v>0.98478060000000001</v>
      </c>
      <c r="Q6130">
        <v>0.14773789999999901</v>
      </c>
      <c r="R6130">
        <v>9.1548370000000004E-2</v>
      </c>
      <c r="S6130">
        <v>3.0780639999999999</v>
      </c>
      <c r="T6130">
        <v>-0.24122569999999999</v>
      </c>
      <c r="U6130">
        <v>7.0953370000000002E-2</v>
      </c>
      <c r="V6130">
        <v>-7.2386179999999994E-2</v>
      </c>
      <c r="W6130">
        <v>0.16139310000000001</v>
      </c>
      <c r="X6130">
        <v>0.98423190000000005</v>
      </c>
      <c r="Y6130">
        <v>-2.7297979999999999E-3</v>
      </c>
      <c r="Z6130">
        <v>-1.4867680000000001E-3</v>
      </c>
      <c r="AA6130">
        <v>0.99999519999999997</v>
      </c>
      <c r="AB6130">
        <v>32</v>
      </c>
      <c r="AC6130">
        <v>0.66840000000001898</v>
      </c>
      <c r="AD6130">
        <v>-7.5980000000000103E-2</v>
      </c>
      <c r="AE6130">
        <v>1.47000000000012E-2</v>
      </c>
      <c r="AF6130">
        <v>-1.06781544784757E-3</v>
      </c>
      <c r="AG6130">
        <v>-7.5980000000000103E-2</v>
      </c>
      <c r="AH6130">
        <v>0.66003597059978503</v>
      </c>
      <c r="AI6130">
        <v>96.566687317860598</v>
      </c>
      <c r="AJ6130">
        <v>90.092693834591998</v>
      </c>
      <c r="AK6130">
        <v>0.66439565254103705</v>
      </c>
      <c r="AL6130">
        <v>80.712233673908003</v>
      </c>
      <c r="AM6130">
        <v>94.206294258914994</v>
      </c>
      <c r="AN6130">
        <v>0.99999996238010502</v>
      </c>
    </row>
    <row r="6131" spans="1:40" x14ac:dyDescent="0.25">
      <c r="A6131" t="str">
        <f>"20190312172237725"</f>
        <v>20190312172237725</v>
      </c>
      <c r="B6131" t="str">
        <f>"1552382557717066"</f>
        <v>1552382557717066</v>
      </c>
      <c r="C6131" t="s">
        <v>40</v>
      </c>
      <c r="D6131">
        <v>3.3248660000000001</v>
      </c>
      <c r="E6131">
        <v>0.52633960000000002</v>
      </c>
      <c r="F6131" t="s">
        <v>41</v>
      </c>
      <c r="G6131">
        <v>-394.57260000000002</v>
      </c>
      <c r="H6131">
        <v>1.037914</v>
      </c>
      <c r="I6131">
        <v>26.468430000000001</v>
      </c>
      <c r="J6131">
        <v>-395.21769999999998</v>
      </c>
      <c r="K6131">
        <v>1.1120350000000001</v>
      </c>
      <c r="L6131">
        <v>26.46133</v>
      </c>
      <c r="M6131">
        <v>0.99968089999999998</v>
      </c>
      <c r="N6131">
        <v>0</v>
      </c>
      <c r="O6131">
        <v>2.0889419999999999E-2</v>
      </c>
      <c r="P6131">
        <v>0.98541140000000005</v>
      </c>
      <c r="Q6131">
        <v>0.1474155</v>
      </c>
      <c r="R6131">
        <v>8.5048819999999997E-2</v>
      </c>
      <c r="S6131">
        <v>3.0779719999999999</v>
      </c>
      <c r="T6131">
        <v>-0.24108540000000001</v>
      </c>
      <c r="U6131">
        <v>4.8889160000000001E-2</v>
      </c>
      <c r="V6131">
        <v>-6.5085480000000001E-2</v>
      </c>
      <c r="W6131">
        <v>0.1611686</v>
      </c>
      <c r="X6131">
        <v>0.9847785</v>
      </c>
      <c r="Y6131">
        <v>4.9317420000000002E-3</v>
      </c>
      <c r="Z6131">
        <v>-1.826423E-3</v>
      </c>
      <c r="AA6131">
        <v>0.99998620000000005</v>
      </c>
      <c r="AB6131">
        <v>32</v>
      </c>
      <c r="AC6131">
        <v>0.64509999999995604</v>
      </c>
      <c r="AD6131">
        <v>-7.4121000000000103E-2</v>
      </c>
      <c r="AE6131">
        <v>7.0999999999976603E-3</v>
      </c>
      <c r="AF6131">
        <v>6.2955719530714696E-3</v>
      </c>
      <c r="AG6131">
        <v>-7.4121000000000103E-2</v>
      </c>
      <c r="AH6131">
        <v>0.63670301860974399</v>
      </c>
      <c r="AI6131">
        <v>96.6398077294742</v>
      </c>
      <c r="AJ6131">
        <v>89.433491066643896</v>
      </c>
      <c r="AK6131">
        <v>0.64103376726501404</v>
      </c>
      <c r="AL6131">
        <v>80.725268171443403</v>
      </c>
      <c r="AM6131">
        <v>93.781264302847504</v>
      </c>
      <c r="AN6131">
        <v>1.0000000656975101</v>
      </c>
    </row>
    <row r="6132" spans="1:40" x14ac:dyDescent="0.25">
      <c r="A6132" t="str">
        <f>"20190312172237747"</f>
        <v>20190312172237747</v>
      </c>
      <c r="B6132" t="str">
        <f>"1552382557736586"</f>
        <v>1552382557736586</v>
      </c>
      <c r="C6132" t="s">
        <v>40</v>
      </c>
      <c r="D6132">
        <v>3.3197489999999998</v>
      </c>
      <c r="E6132">
        <v>0.52630390000000005</v>
      </c>
      <c r="F6132" t="s">
        <v>41</v>
      </c>
      <c r="G6132">
        <v>-394.28559999999999</v>
      </c>
      <c r="H6132">
        <v>1.0393059999999901</v>
      </c>
      <c r="I6132">
        <v>26.469360000000002</v>
      </c>
      <c r="J6132">
        <v>-394.90929999999997</v>
      </c>
      <c r="K6132">
        <v>1.111423</v>
      </c>
      <c r="L6132">
        <v>26.468260000000001</v>
      </c>
      <c r="M6132">
        <v>0.99968299999999999</v>
      </c>
      <c r="N6132">
        <v>0</v>
      </c>
      <c r="O6132">
        <v>2.0828949999999999E-2</v>
      </c>
      <c r="P6132">
        <v>0.98588560000000003</v>
      </c>
      <c r="Q6132">
        <v>0.1480823</v>
      </c>
      <c r="R6132">
        <v>7.8113210000000002E-2</v>
      </c>
      <c r="S6132">
        <v>3.0779719999999999</v>
      </c>
      <c r="T6132">
        <v>-0.24012700000000001</v>
      </c>
      <c r="U6132">
        <v>2.682495E-2</v>
      </c>
      <c r="V6132">
        <v>-5.7957050000000003E-2</v>
      </c>
      <c r="W6132">
        <v>0.1619004</v>
      </c>
      <c r="X6132">
        <v>0.98510370000000003</v>
      </c>
      <c r="Y6132">
        <v>1.201754E-2</v>
      </c>
      <c r="Z6132">
        <v>-2.0905580000000002E-3</v>
      </c>
      <c r="AA6132">
        <v>0.99992559999999997</v>
      </c>
      <c r="AB6132">
        <v>32</v>
      </c>
      <c r="AC6132">
        <v>0.62369999999998504</v>
      </c>
      <c r="AD6132">
        <v>-7.2117000000000195E-2</v>
      </c>
      <c r="AE6132">
        <v>1.10000000000098E-3</v>
      </c>
      <c r="AF6132">
        <v>1.1735652016253701E-2</v>
      </c>
      <c r="AG6132">
        <v>-7.2117000000000195E-2</v>
      </c>
      <c r="AH6132">
        <v>0.61536037889899098</v>
      </c>
      <c r="AI6132">
        <v>96.683069101288098</v>
      </c>
      <c r="AJ6132">
        <v>88.907433999263901</v>
      </c>
      <c r="AK6132">
        <v>0.619682969861168</v>
      </c>
      <c r="AL6132">
        <v>80.682780801776801</v>
      </c>
      <c r="AM6132">
        <v>93.367027152713405</v>
      </c>
      <c r="AN6132">
        <v>1.0000000294592699</v>
      </c>
    </row>
    <row r="6133" spans="1:40" x14ac:dyDescent="0.25">
      <c r="A6133" t="str">
        <f>"20190312172237760"</f>
        <v>20190312172237760</v>
      </c>
      <c r="B6133" t="str">
        <f>"1552382557757083"</f>
        <v>1552382557757083</v>
      </c>
      <c r="C6133" t="s">
        <v>40</v>
      </c>
      <c r="D6133">
        <v>3.334057</v>
      </c>
      <c r="E6133">
        <v>0.52629230000000005</v>
      </c>
      <c r="F6133" t="s">
        <v>41</v>
      </c>
      <c r="G6133">
        <v>-393.99799999999999</v>
      </c>
      <c r="H6133">
        <v>1.04147099999999</v>
      </c>
      <c r="I6133">
        <v>26.468889999999998</v>
      </c>
      <c r="J6133">
        <v>-394.72160000000002</v>
      </c>
      <c r="K6133">
        <v>1.1110770000000001</v>
      </c>
      <c r="L6133">
        <v>26.472259999999999</v>
      </c>
      <c r="M6133">
        <v>0.99968880000000004</v>
      </c>
      <c r="N6133">
        <v>0</v>
      </c>
      <c r="O6133">
        <v>2.0565110000000001E-2</v>
      </c>
      <c r="P6133">
        <v>0.9861723</v>
      </c>
      <c r="Q6133">
        <v>0.1479867</v>
      </c>
      <c r="R6133">
        <v>7.4594240000000006E-2</v>
      </c>
      <c r="S6133">
        <v>3.0780639999999999</v>
      </c>
      <c r="T6133">
        <v>-0.23607310000000001</v>
      </c>
      <c r="U6133">
        <v>3.8757319999999998E-3</v>
      </c>
      <c r="V6133">
        <v>-5.4551769999999999E-2</v>
      </c>
      <c r="W6133">
        <v>0.16183069999999999</v>
      </c>
      <c r="X6133">
        <v>0.98530949999999995</v>
      </c>
      <c r="Y6133">
        <v>1.919152E-2</v>
      </c>
      <c r="Z6133">
        <v>-2.309874E-3</v>
      </c>
      <c r="AA6133">
        <v>0.99981310000000001</v>
      </c>
      <c r="AB6133">
        <v>32</v>
      </c>
      <c r="AC6133">
        <v>0.72359999999997604</v>
      </c>
      <c r="AD6133">
        <v>-6.9606000000000195E-2</v>
      </c>
      <c r="AE6133">
        <v>-3.3699999999967601E-3</v>
      </c>
      <c r="AF6133">
        <v>1.8084348332719099E-2</v>
      </c>
      <c r="AG6133">
        <v>-6.9606000000000195E-2</v>
      </c>
      <c r="AH6133">
        <v>0.71674551689391897</v>
      </c>
      <c r="AI6133">
        <v>95.545072693921497</v>
      </c>
      <c r="AJ6133">
        <v>88.554665474508198</v>
      </c>
      <c r="AK6133">
        <v>0.72034448347866897</v>
      </c>
      <c r="AL6133">
        <v>80.686826852641303</v>
      </c>
      <c r="AM6133">
        <v>93.1689519198151</v>
      </c>
      <c r="AN6133">
        <v>0.99999994093143396</v>
      </c>
    </row>
    <row r="6134" spans="1:40" x14ac:dyDescent="0.25">
      <c r="A6134" t="str">
        <f>"20190312172237772"</f>
        <v>20190312172237772</v>
      </c>
      <c r="B6134" t="str">
        <f>"1552382557766842"</f>
        <v>1552382557766842</v>
      </c>
      <c r="C6134" t="s">
        <v>40</v>
      </c>
      <c r="D6134">
        <v>3.3048899999999999</v>
      </c>
      <c r="E6134">
        <v>0.52623799999999998</v>
      </c>
      <c r="F6134" t="s">
        <v>41</v>
      </c>
      <c r="G6134">
        <v>-393.71660000000003</v>
      </c>
      <c r="H6134">
        <v>1.034443</v>
      </c>
      <c r="I6134">
        <v>26.46949</v>
      </c>
      <c r="J6134">
        <v>-394.55110000000002</v>
      </c>
      <c r="K6134">
        <v>1.110771</v>
      </c>
      <c r="L6134">
        <v>26.475560000000002</v>
      </c>
      <c r="M6134">
        <v>0.99969980000000003</v>
      </c>
      <c r="N6134">
        <v>0</v>
      </c>
      <c r="O6134">
        <v>2.0044759999999998E-2</v>
      </c>
      <c r="P6134">
        <v>0.98642399999999997</v>
      </c>
      <c r="Q6134">
        <v>0.148119899999999</v>
      </c>
      <c r="R6134">
        <v>7.0909970000000003E-2</v>
      </c>
      <c r="S6134">
        <v>3.0779109999999998</v>
      </c>
      <c r="T6134">
        <v>-0.23458580000000001</v>
      </c>
      <c r="U6134">
        <v>-7.9650880000000004E-3</v>
      </c>
      <c r="V6134">
        <v>-5.1254290000000001E-2</v>
      </c>
      <c r="W6134">
        <v>0.16198460000000001</v>
      </c>
      <c r="X6134">
        <v>0.98546129999999998</v>
      </c>
      <c r="Y6134">
        <v>2.2510550000000001E-2</v>
      </c>
      <c r="Z6134">
        <v>-2.382187E-3</v>
      </c>
      <c r="AA6134">
        <v>0.99974379999999996</v>
      </c>
      <c r="AB6134">
        <v>32</v>
      </c>
      <c r="AC6134">
        <v>0.83449999999999103</v>
      </c>
      <c r="AD6134">
        <v>-7.6327999999999896E-2</v>
      </c>
      <c r="AE6134">
        <v>-6.0699999999940203E-3</v>
      </c>
      <c r="AF6134">
        <v>2.2608660163526299E-2</v>
      </c>
      <c r="AG6134">
        <v>-7.6327999999999896E-2</v>
      </c>
      <c r="AH6134">
        <v>0.82728992114171096</v>
      </c>
      <c r="AI6134">
        <v>95.269383458036202</v>
      </c>
      <c r="AJ6134">
        <v>88.434577246130701</v>
      </c>
      <c r="AK6134">
        <v>0.83111114101607897</v>
      </c>
      <c r="AL6134">
        <v>80.677891625887696</v>
      </c>
      <c r="AM6134">
        <v>92.977296845092297</v>
      </c>
      <c r="AN6134">
        <v>0.99999999333912704</v>
      </c>
    </row>
    <row r="6135" spans="1:40" x14ac:dyDescent="0.25">
      <c r="A6135" t="str">
        <f>"20190312172237790"</f>
        <v>20190312172237790</v>
      </c>
      <c r="B6135" t="str">
        <f>"1552382557786362"</f>
        <v>1552382557786362</v>
      </c>
      <c r="C6135" t="s">
        <v>40</v>
      </c>
      <c r="D6135">
        <v>3.3472940000000002</v>
      </c>
      <c r="E6135">
        <v>0.52602309999999997</v>
      </c>
      <c r="F6135" t="s">
        <v>41</v>
      </c>
      <c r="G6135">
        <v>-393.70729999999998</v>
      </c>
      <c r="H6135">
        <v>1.046753</v>
      </c>
      <c r="I6135">
        <v>26.47</v>
      </c>
      <c r="J6135">
        <v>-394.30099999999999</v>
      </c>
      <c r="K6135">
        <v>1.11032</v>
      </c>
      <c r="L6135">
        <v>26.480039999999999</v>
      </c>
      <c r="M6135">
        <v>0.99971969999999999</v>
      </c>
      <c r="N6135">
        <v>0</v>
      </c>
      <c r="O6135">
        <v>1.9051209999999999E-2</v>
      </c>
      <c r="P6135">
        <v>0.98693640000000005</v>
      </c>
      <c r="Q6135">
        <v>0.14798049999999999</v>
      </c>
      <c r="R6135">
        <v>6.3703819999999994E-2</v>
      </c>
      <c r="S6135">
        <v>3.077728</v>
      </c>
      <c r="T6135">
        <v>-0.2333413</v>
      </c>
      <c r="U6135">
        <v>-1.9653319999999998E-2</v>
      </c>
      <c r="V6135">
        <v>-4.484225E-2</v>
      </c>
      <c r="W6135">
        <v>0.16187019999999999</v>
      </c>
      <c r="X6135">
        <v>0.98579269999999997</v>
      </c>
      <c r="Y6135">
        <v>2.5309749999999999E-2</v>
      </c>
      <c r="Z6135">
        <v>-2.4004619999999999E-3</v>
      </c>
      <c r="AA6135">
        <v>0.99967680000000003</v>
      </c>
      <c r="AB6135">
        <v>32</v>
      </c>
      <c r="AC6135">
        <v>0.593700000000012</v>
      </c>
      <c r="AD6135">
        <v>-6.3566999999999901E-2</v>
      </c>
      <c r="AE6135">
        <v>-1.00400000000036E-2</v>
      </c>
      <c r="AF6135">
        <v>2.1108088229878801E-2</v>
      </c>
      <c r="AG6135">
        <v>-6.3566999999999901E-2</v>
      </c>
      <c r="AH6135">
        <v>0.58667729488186005</v>
      </c>
      <c r="AI6135">
        <v>96.179956052446101</v>
      </c>
      <c r="AJ6135">
        <v>87.939441444125194</v>
      </c>
      <c r="AK6135">
        <v>0.59048841073099601</v>
      </c>
      <c r="AL6135">
        <v>80.684534157366301</v>
      </c>
      <c r="AM6135">
        <v>92.604504728876407</v>
      </c>
      <c r="AN6135">
        <v>1.0000000182031901</v>
      </c>
    </row>
    <row r="6136" spans="1:40" x14ac:dyDescent="0.25">
      <c r="A6136" t="str">
        <f>"20190312172237813"</f>
        <v>20190312172237813</v>
      </c>
      <c r="B6136" t="str">
        <f>"1552382557806858"</f>
        <v>1552382557806858</v>
      </c>
      <c r="C6136" t="s">
        <v>40</v>
      </c>
      <c r="D6136">
        <v>3.3173379999999999</v>
      </c>
      <c r="E6136">
        <v>0.5257889</v>
      </c>
      <c r="F6136" t="s">
        <v>41</v>
      </c>
      <c r="G6136">
        <v>-393.4237</v>
      </c>
      <c r="H6136">
        <v>1.044157</v>
      </c>
      <c r="I6136">
        <v>26.46809</v>
      </c>
      <c r="J6136">
        <v>-393.96179999999998</v>
      </c>
      <c r="K6136">
        <v>1.1097269999999999</v>
      </c>
      <c r="L6136">
        <v>26.485140000000001</v>
      </c>
      <c r="M6136">
        <v>0.99975429999999998</v>
      </c>
      <c r="N6136">
        <v>0</v>
      </c>
      <c r="O6136">
        <v>1.7168470000000002E-2</v>
      </c>
      <c r="P6136">
        <v>0.98733689999999996</v>
      </c>
      <c r="Q6136">
        <v>0.14801919999999999</v>
      </c>
      <c r="R6136">
        <v>5.7063780000000001E-2</v>
      </c>
      <c r="S6136">
        <v>3.077118</v>
      </c>
      <c r="T6136">
        <v>-0.23187060000000001</v>
      </c>
      <c r="U6136">
        <v>-4.0954589999999999E-2</v>
      </c>
      <c r="V6136">
        <v>-3.981821E-2</v>
      </c>
      <c r="W6136">
        <v>0.16192999999999999</v>
      </c>
      <c r="X6136">
        <v>0.98599859999999995</v>
      </c>
      <c r="Y6136">
        <v>3.0340220000000001E-2</v>
      </c>
      <c r="Z6136">
        <v>-2.4333739999999999E-3</v>
      </c>
      <c r="AA6136">
        <v>0.99953669999999994</v>
      </c>
      <c r="AB6136">
        <v>32</v>
      </c>
      <c r="AC6136">
        <v>0.53809999999998503</v>
      </c>
      <c r="AD6136">
        <v>-6.55700000000001E-2</v>
      </c>
      <c r="AE6136">
        <v>-1.7049999999997501E-2</v>
      </c>
      <c r="AF6136">
        <v>2.5902519025283701E-2</v>
      </c>
      <c r="AG6136">
        <v>-6.55700000000001E-2</v>
      </c>
      <c r="AH6136">
        <v>0.52986803615606703</v>
      </c>
      <c r="AI6136">
        <v>97.046033795997303</v>
      </c>
      <c r="AJ6136">
        <v>87.201332393654098</v>
      </c>
      <c r="AK6136">
        <v>0.53453765174376899</v>
      </c>
      <c r="AL6136">
        <v>80.681062145476304</v>
      </c>
      <c r="AM6136">
        <v>92.312555399640104</v>
      </c>
      <c r="AN6136">
        <v>1.00000002697478</v>
      </c>
    </row>
    <row r="6137" spans="1:40" x14ac:dyDescent="0.25">
      <c r="A6137" t="str">
        <f>"20190312172237826"</f>
        <v>20190312172237826</v>
      </c>
      <c r="B6137" t="str">
        <f>"1552382557816618"</f>
        <v>1552382557816618</v>
      </c>
      <c r="C6137" t="s">
        <v>40</v>
      </c>
      <c r="D6137">
        <v>3.3426819999999999</v>
      </c>
      <c r="E6137">
        <v>0.52569250000000001</v>
      </c>
      <c r="F6137" t="s">
        <v>41</v>
      </c>
      <c r="G6137">
        <v>-393.13440000000003</v>
      </c>
      <c r="H6137">
        <v>1.04776</v>
      </c>
      <c r="I6137">
        <v>26.46865</v>
      </c>
      <c r="J6137">
        <v>-393.786</v>
      </c>
      <c r="K6137">
        <v>1.1094280000000001</v>
      </c>
      <c r="L6137">
        <v>26.487269999999999</v>
      </c>
      <c r="M6137">
        <v>0.99977459999999996</v>
      </c>
      <c r="N6137">
        <v>0</v>
      </c>
      <c r="O6137">
        <v>1.5962359999999998E-2</v>
      </c>
      <c r="P6137">
        <v>0.98752090000000003</v>
      </c>
      <c r="Q6137">
        <v>0.14802770000000001</v>
      </c>
      <c r="R6137">
        <v>5.3764369999999999E-2</v>
      </c>
      <c r="S6137">
        <v>3.0764770000000001</v>
      </c>
      <c r="T6137">
        <v>-0.23029050000000001</v>
      </c>
      <c r="U6137">
        <v>-6.045532E-2</v>
      </c>
      <c r="V6137">
        <v>-3.7589450000000003E-2</v>
      </c>
      <c r="W6137">
        <v>0.1619469</v>
      </c>
      <c r="X6137">
        <v>0.9860833</v>
      </c>
      <c r="Y6137">
        <v>3.5461550000000001E-2</v>
      </c>
      <c r="Z6137">
        <v>-2.5184690000000002E-3</v>
      </c>
      <c r="AA6137">
        <v>0.99936789999999998</v>
      </c>
      <c r="AB6137">
        <v>32</v>
      </c>
      <c r="AC6137">
        <v>0.65159999999997298</v>
      </c>
      <c r="AD6137">
        <v>-6.1668000000000001E-2</v>
      </c>
      <c r="AE6137">
        <v>-1.8620000000002E-2</v>
      </c>
      <c r="AF6137">
        <v>2.8762309362807902E-2</v>
      </c>
      <c r="AG6137">
        <v>-6.1668000000000001E-2</v>
      </c>
      <c r="AH6137">
        <v>0.64544326545171604</v>
      </c>
      <c r="AI6137">
        <v>95.452302482801599</v>
      </c>
      <c r="AJ6137">
        <v>87.448467598931003</v>
      </c>
      <c r="AK6137">
        <v>0.64902020121168502</v>
      </c>
      <c r="AL6137">
        <v>80.680080828221506</v>
      </c>
      <c r="AM6137">
        <v>92.183055464995206</v>
      </c>
      <c r="AN6137">
        <v>1.0000000198548999</v>
      </c>
    </row>
    <row r="6138" spans="1:40" x14ac:dyDescent="0.25">
      <c r="A6138" t="str">
        <f>"20190312172237839"</f>
        <v>20190312172237839</v>
      </c>
      <c r="B6138" t="str">
        <f>"1552382557826378"</f>
        <v>1552382557826378</v>
      </c>
      <c r="C6138" t="s">
        <v>40</v>
      </c>
      <c r="D6138">
        <v>3.3502990000000001</v>
      </c>
      <c r="E6138">
        <v>0.52556269999999905</v>
      </c>
      <c r="F6138" t="s">
        <v>41</v>
      </c>
      <c r="G6138">
        <v>-392.85550000000001</v>
      </c>
      <c r="H6138">
        <v>1.0399799999999999</v>
      </c>
      <c r="I6138">
        <v>26.465910000000001</v>
      </c>
      <c r="J6138">
        <v>-393.59640000000002</v>
      </c>
      <c r="K6138">
        <v>1.109118</v>
      </c>
      <c r="L6138">
        <v>26.489229999999999</v>
      </c>
      <c r="M6138">
        <v>0.99979680000000004</v>
      </c>
      <c r="N6138">
        <v>0</v>
      </c>
      <c r="O6138">
        <v>1.452694E-2</v>
      </c>
      <c r="P6138">
        <v>0.98773460000000002</v>
      </c>
      <c r="Q6138">
        <v>0.14777460000000001</v>
      </c>
      <c r="R6138">
        <v>5.0432619999999997E-2</v>
      </c>
      <c r="S6138">
        <v>3.0761409999999998</v>
      </c>
      <c r="T6138">
        <v>-0.22949359999999999</v>
      </c>
      <c r="U6138">
        <v>-7.03125E-2</v>
      </c>
      <c r="V6138">
        <v>-3.5549669999999998E-2</v>
      </c>
      <c r="W6138">
        <v>0.16170129999999999</v>
      </c>
      <c r="X6138">
        <v>0.98619920000000005</v>
      </c>
      <c r="Y6138">
        <v>3.7229779999999997E-2</v>
      </c>
      <c r="Z6138">
        <v>-2.468895E-3</v>
      </c>
      <c r="AA6138">
        <v>0.99930370000000002</v>
      </c>
      <c r="AB6138">
        <v>32</v>
      </c>
      <c r="AC6138">
        <v>0.74090000000001</v>
      </c>
      <c r="AD6138">
        <v>-6.9138000000000102E-2</v>
      </c>
      <c r="AE6138">
        <v>-2.33200000000017E-2</v>
      </c>
      <c r="AF6138">
        <v>3.3787670763907797E-2</v>
      </c>
      <c r="AG6138">
        <v>-6.9138000000000102E-2</v>
      </c>
      <c r="AH6138">
        <v>0.73409687224614895</v>
      </c>
      <c r="AI6138">
        <v>95.374648662766305</v>
      </c>
      <c r="AJ6138">
        <v>87.364754244806406</v>
      </c>
      <c r="AK6138">
        <v>0.738119155408684</v>
      </c>
      <c r="AL6138">
        <v>80.694340207034102</v>
      </c>
      <c r="AM6138">
        <v>92.064455657016495</v>
      </c>
      <c r="AN6138">
        <v>0.999999975769719</v>
      </c>
    </row>
    <row r="6139" spans="1:40" x14ac:dyDescent="0.25">
      <c r="A6139" t="str">
        <f>"20190312172237851"</f>
        <v>20190312172237851</v>
      </c>
      <c r="B6139" t="str">
        <f>"1552382557846874"</f>
        <v>1552382557846874</v>
      </c>
      <c r="C6139" t="s">
        <v>40</v>
      </c>
      <c r="D6139">
        <v>3.331108</v>
      </c>
      <c r="E6139">
        <v>0.52524389999999999</v>
      </c>
      <c r="F6139" t="s">
        <v>68</v>
      </c>
      <c r="G6139">
        <v>-378.75099999999998</v>
      </c>
      <c r="H6139" s="1">
        <v>-2.2973800000000001E-6</v>
      </c>
      <c r="I6139">
        <v>26.105070000000001</v>
      </c>
      <c r="J6139">
        <v>-393.41989999999998</v>
      </c>
      <c r="K6139">
        <v>1.108854</v>
      </c>
      <c r="L6139">
        <v>26.490449999999999</v>
      </c>
      <c r="M6139">
        <v>0.99981819999999999</v>
      </c>
      <c r="N6139">
        <v>0</v>
      </c>
      <c r="O6139">
        <v>1.298125E-2</v>
      </c>
      <c r="P6139">
        <v>0.98800549999999998</v>
      </c>
      <c r="Q6139">
        <v>0.1472367</v>
      </c>
      <c r="R6139">
        <v>4.6551229999999999E-2</v>
      </c>
      <c r="S6139">
        <v>3.0756839999999999</v>
      </c>
      <c r="T6139">
        <v>-0.22978850000000001</v>
      </c>
      <c r="U6139">
        <v>-7.9589839999999995E-2</v>
      </c>
      <c r="V6139">
        <v>-3.308929E-2</v>
      </c>
      <c r="W6139">
        <v>0.16116720000000001</v>
      </c>
      <c r="X6139">
        <v>0.98637220000000003</v>
      </c>
      <c r="Y6139">
        <v>3.870051E-2</v>
      </c>
      <c r="Z6139">
        <v>-2.4118820000000002E-3</v>
      </c>
      <c r="AA6139">
        <v>0.99924800000000003</v>
      </c>
      <c r="AB6139">
        <v>32</v>
      </c>
      <c r="AC6139">
        <v>14.668900000000001</v>
      </c>
      <c r="AD6139">
        <v>-1.10885629737999</v>
      </c>
      <c r="AE6139">
        <v>-0.385379999999997</v>
      </c>
      <c r="AF6139">
        <v>0.57251753033797204</v>
      </c>
      <c r="AG6139">
        <v>-1.10885629737999</v>
      </c>
      <c r="AH6139">
        <v>14.579408361762001</v>
      </c>
      <c r="AI6139">
        <v>94.345996564211703</v>
      </c>
      <c r="AJ6139">
        <v>87.751212410259299</v>
      </c>
      <c r="AK6139">
        <v>14.632719733180201</v>
      </c>
      <c r="AL6139">
        <v>80.725348292558195</v>
      </c>
      <c r="AM6139">
        <v>91.921349729586694</v>
      </c>
      <c r="AN6139">
        <v>0.99999994220069</v>
      </c>
    </row>
    <row r="6140" spans="1:40" x14ac:dyDescent="0.25">
      <c r="A6140" t="str">
        <f>"20190312172237870"</f>
        <v>20190312172237870</v>
      </c>
      <c r="B6140" t="str">
        <f>"1552382557867371"</f>
        <v>1552382557867371</v>
      </c>
      <c r="C6140" t="s">
        <v>40</v>
      </c>
      <c r="D6140">
        <v>3.3649079999999998</v>
      </c>
      <c r="E6140">
        <v>0.52494719999999995</v>
      </c>
      <c r="F6140" t="s">
        <v>41</v>
      </c>
      <c r="G6140">
        <v>-392.5652</v>
      </c>
      <c r="H6140">
        <v>1.0447489999999999</v>
      </c>
      <c r="I6140">
        <v>26.465479999999999</v>
      </c>
      <c r="J6140">
        <v>-393.16379999999998</v>
      </c>
      <c r="K6140">
        <v>1.1084959999999999</v>
      </c>
      <c r="L6140">
        <v>26.49164</v>
      </c>
      <c r="M6140">
        <v>0.99984680000000004</v>
      </c>
      <c r="N6140">
        <v>0</v>
      </c>
      <c r="O6140">
        <v>1.0558349999999999E-2</v>
      </c>
      <c r="P6140">
        <v>0.98847759999999996</v>
      </c>
      <c r="Q6140">
        <v>0.1460707</v>
      </c>
      <c r="R6140">
        <v>3.9689299999999997E-2</v>
      </c>
      <c r="S6140">
        <v>3.0750120000000001</v>
      </c>
      <c r="T6140">
        <v>-0.2304814</v>
      </c>
      <c r="U6140">
        <v>-8.9233399999999893E-2</v>
      </c>
      <c r="V6140">
        <v>-2.848088E-2</v>
      </c>
      <c r="W6140">
        <v>0.15999669999999999</v>
      </c>
      <c r="X6140">
        <v>0.98670659999999999</v>
      </c>
      <c r="Y6140">
        <v>3.9419900000000001E-2</v>
      </c>
      <c r="Z6140">
        <v>-2.2651440000000002E-3</v>
      </c>
      <c r="AA6140">
        <v>0.9992202</v>
      </c>
      <c r="AB6140">
        <v>32</v>
      </c>
      <c r="AC6140">
        <v>0.59859999999997604</v>
      </c>
      <c r="AD6140">
        <v>-6.3746999999999998E-2</v>
      </c>
      <c r="AE6140">
        <v>-2.6160000000004398E-2</v>
      </c>
      <c r="AF6140">
        <v>3.2115858589179203E-2</v>
      </c>
      <c r="AG6140">
        <v>-6.3746999999999998E-2</v>
      </c>
      <c r="AH6140">
        <v>0.591593996756829</v>
      </c>
      <c r="AI6140">
        <v>96.141182882578207</v>
      </c>
      <c r="AJ6140">
        <v>86.892634627601893</v>
      </c>
      <c r="AK6140">
        <v>0.595884691346102</v>
      </c>
      <c r="AL6140">
        <v>80.793295410647005</v>
      </c>
      <c r="AM6140">
        <v>91.653360028000293</v>
      </c>
      <c r="AN6140">
        <v>1.0000000095100099</v>
      </c>
    </row>
    <row r="6141" spans="1:40" x14ac:dyDescent="0.25">
      <c r="A6141" t="str">
        <f>"20190312172237892"</f>
        <v>20190312172237892</v>
      </c>
      <c r="B6141" t="str">
        <f>"1552382557886890"</f>
        <v>1552382557886890</v>
      </c>
      <c r="C6141" t="s">
        <v>40</v>
      </c>
      <c r="D6141">
        <v>3.360055</v>
      </c>
      <c r="E6141">
        <v>0.52457509999999996</v>
      </c>
      <c r="F6141" t="s">
        <v>41</v>
      </c>
      <c r="G6141">
        <v>-392.28250000000003</v>
      </c>
      <c r="H6141">
        <v>1.041531</v>
      </c>
      <c r="I6141">
        <v>26.46041</v>
      </c>
      <c r="J6141">
        <v>-392.84300000000002</v>
      </c>
      <c r="K6141">
        <v>1.1081080000000001</v>
      </c>
      <c r="L6141">
        <v>26.491820000000001</v>
      </c>
      <c r="M6141">
        <v>0.99987720000000002</v>
      </c>
      <c r="N6141">
        <v>0</v>
      </c>
      <c r="O6141">
        <v>7.178579E-3</v>
      </c>
      <c r="P6141">
        <v>0.98891799999999996</v>
      </c>
      <c r="Q6141">
        <v>0.14485919999999999</v>
      </c>
      <c r="R6141">
        <v>3.2512869999999999E-2</v>
      </c>
      <c r="S6141">
        <v>3.0737610000000002</v>
      </c>
      <c r="T6141">
        <v>-0.23339209999999999</v>
      </c>
      <c r="U6141">
        <v>-0.1082153</v>
      </c>
      <c r="V6141">
        <v>-2.4497129999999999E-2</v>
      </c>
      <c r="W6141">
        <v>0.15877649999999999</v>
      </c>
      <c r="X6141">
        <v>0.98701059999999996</v>
      </c>
      <c r="Y6141">
        <v>4.221627E-2</v>
      </c>
      <c r="Z6141">
        <v>-2.144141E-3</v>
      </c>
      <c r="AA6141">
        <v>0.99910620000000006</v>
      </c>
      <c r="AB6141">
        <v>32</v>
      </c>
      <c r="AC6141">
        <v>0.56049999999999001</v>
      </c>
      <c r="AD6141">
        <v>-6.6577000000000094E-2</v>
      </c>
      <c r="AE6141">
        <v>-3.1410000000004601E-2</v>
      </c>
      <c r="AF6141">
        <v>3.4941723962608799E-2</v>
      </c>
      <c r="AG6141">
        <v>-6.6577000000000094E-2</v>
      </c>
      <c r="AH6141">
        <v>0.55248936716824804</v>
      </c>
      <c r="AI6141">
        <v>96.857650444131906</v>
      </c>
      <c r="AJ6141">
        <v>86.381196480451905</v>
      </c>
      <c r="AK6141">
        <v>0.557582210832134</v>
      </c>
      <c r="AL6141">
        <v>80.864113002573703</v>
      </c>
      <c r="AM6141">
        <v>91.421761893366494</v>
      </c>
      <c r="AN6141">
        <v>1.00000000542142</v>
      </c>
    </row>
    <row r="6142" spans="1:40" x14ac:dyDescent="0.25">
      <c r="A6142" t="str">
        <f>"20190312172237909"</f>
        <v>20190312172237909</v>
      </c>
      <c r="B6142" t="str">
        <f>"1552382557896651"</f>
        <v>1552382557896651</v>
      </c>
      <c r="C6142" t="s">
        <v>40</v>
      </c>
      <c r="D6142">
        <v>3.4414220000000002</v>
      </c>
      <c r="E6142">
        <v>0.52457509999999996</v>
      </c>
      <c r="F6142" t="s">
        <v>41</v>
      </c>
      <c r="G6142">
        <v>-391.99579999999997</v>
      </c>
      <c r="H6142">
        <v>1.0427550000000001</v>
      </c>
      <c r="I6142">
        <v>26.456530000000001</v>
      </c>
      <c r="J6142">
        <v>-392.60919999999999</v>
      </c>
      <c r="K6142">
        <v>1.1078669999999999</v>
      </c>
      <c r="L6142">
        <v>26.491060000000001</v>
      </c>
      <c r="M6142">
        <v>0.99989289999999997</v>
      </c>
      <c r="N6142">
        <v>0</v>
      </c>
      <c r="O6142">
        <v>4.5157210000000003E-3</v>
      </c>
      <c r="P6142">
        <v>0.98907040000000002</v>
      </c>
      <c r="Q6142">
        <v>0.1447562</v>
      </c>
      <c r="R6142">
        <v>2.803493E-2</v>
      </c>
      <c r="S6142">
        <v>3.072479</v>
      </c>
      <c r="T6142">
        <v>-0.23674809999999999</v>
      </c>
      <c r="U6142">
        <v>-0.12676999999999999</v>
      </c>
      <c r="V6142">
        <v>-2.2560799999999999E-2</v>
      </c>
      <c r="W6142">
        <v>0.15866540000000001</v>
      </c>
      <c r="X6142">
        <v>0.98707460000000002</v>
      </c>
      <c r="Y6142">
        <v>4.5588400000000001E-2</v>
      </c>
      <c r="Z6142">
        <v>-2.100387E-3</v>
      </c>
      <c r="AA6142">
        <v>0.99895809999999996</v>
      </c>
      <c r="AB6142">
        <v>32</v>
      </c>
      <c r="AC6142">
        <v>0.61340000000001205</v>
      </c>
      <c r="AD6142">
        <v>-6.5112000000000003E-2</v>
      </c>
      <c r="AE6142">
        <v>-3.4530000000000102E-2</v>
      </c>
      <c r="AF6142">
        <v>3.6885557758793701E-2</v>
      </c>
      <c r="AG6142">
        <v>-6.5112000000000003E-2</v>
      </c>
      <c r="AH6142">
        <v>0.60642636764415603</v>
      </c>
      <c r="AI6142">
        <v>96.117150807492706</v>
      </c>
      <c r="AJ6142">
        <v>86.519303203343995</v>
      </c>
      <c r="AK6142">
        <v>0.61102623207949203</v>
      </c>
      <c r="AL6142">
        <v>80.870560080948195</v>
      </c>
      <c r="AM6142">
        <v>91.309337306878902</v>
      </c>
      <c r="AN6142">
        <v>0.99999998240947996</v>
      </c>
    </row>
    <row r="6143" spans="1:40" x14ac:dyDescent="0.25">
      <c r="A6143" t="str">
        <f>"20190312172237926"</f>
        <v>20190312172237926</v>
      </c>
      <c r="B6143" t="str">
        <f>"1552382557917147"</f>
        <v>1552382557917147</v>
      </c>
      <c r="C6143" t="s">
        <v>40</v>
      </c>
      <c r="D6143">
        <v>3.3456130000000002</v>
      </c>
      <c r="E6143">
        <v>0.52398849999999997</v>
      </c>
      <c r="F6143" t="s">
        <v>41</v>
      </c>
      <c r="G6143">
        <v>-391.71350000000001</v>
      </c>
      <c r="H6143">
        <v>1.038611</v>
      </c>
      <c r="I6143">
        <v>26.449839999999998</v>
      </c>
      <c r="J6143">
        <v>-392.34870000000001</v>
      </c>
      <c r="K6143">
        <v>1.1076379999999999</v>
      </c>
      <c r="L6143">
        <v>26.48929</v>
      </c>
      <c r="M6143">
        <v>0.99990219999999996</v>
      </c>
      <c r="N6143">
        <v>0</v>
      </c>
      <c r="O6143">
        <v>1.392042E-3</v>
      </c>
      <c r="P6143">
        <v>0.98933919999999997</v>
      </c>
      <c r="Q6143">
        <v>0.1439242</v>
      </c>
      <c r="R6143">
        <v>2.2223989999999999E-2</v>
      </c>
      <c r="S6143">
        <v>3.0718079999999999</v>
      </c>
      <c r="T6143">
        <v>-0.23722270000000001</v>
      </c>
      <c r="U6143">
        <v>-0.14031979999999999</v>
      </c>
      <c r="V6143">
        <v>-1.9757750000000001E-2</v>
      </c>
      <c r="W6143">
        <v>0.15781789999999901</v>
      </c>
      <c r="X6143">
        <v>0.98727050000000005</v>
      </c>
      <c r="Y6143">
        <v>4.6879560000000001E-2</v>
      </c>
      <c r="Z6143">
        <v>-1.913824E-3</v>
      </c>
      <c r="AA6143">
        <v>0.99889870000000003</v>
      </c>
      <c r="AB6143">
        <v>32</v>
      </c>
      <c r="AC6143">
        <v>0.63519999999999699</v>
      </c>
      <c r="AD6143">
        <v>-6.9026999999999894E-2</v>
      </c>
      <c r="AE6143">
        <v>-3.9450000000002199E-2</v>
      </c>
      <c r="AF6143">
        <v>3.9865307729029797E-2</v>
      </c>
      <c r="AG6143">
        <v>-6.9026999999999894E-2</v>
      </c>
      <c r="AH6143">
        <v>0.62775966733981103</v>
      </c>
      <c r="AI6143">
        <v>96.262388860658405</v>
      </c>
      <c r="AJ6143">
        <v>86.366362839912995</v>
      </c>
      <c r="AK6143">
        <v>0.63280026029381597</v>
      </c>
      <c r="AL6143">
        <v>80.919737572334896</v>
      </c>
      <c r="AM6143">
        <v>91.146478697753196</v>
      </c>
      <c r="AN6143">
        <v>0.99999994920785995</v>
      </c>
    </row>
    <row r="6144" spans="1:40" x14ac:dyDescent="0.25">
      <c r="A6144" t="str">
        <f>"20190312172237948"</f>
        <v>20190312172237948</v>
      </c>
      <c r="B6144" t="str">
        <f>"1552382557936665"</f>
        <v>1552382557936665</v>
      </c>
      <c r="C6144" t="s">
        <v>40</v>
      </c>
      <c r="D6144">
        <v>3.3695059999999999</v>
      </c>
      <c r="E6144">
        <v>0.52354469999999997</v>
      </c>
      <c r="F6144" t="s">
        <v>41</v>
      </c>
      <c r="G6144">
        <v>-391.4298</v>
      </c>
      <c r="H6144">
        <v>1.0355219999999901</v>
      </c>
      <c r="I6144">
        <v>26.443470000000001</v>
      </c>
      <c r="J6144">
        <v>-392.04329999999999</v>
      </c>
      <c r="K6144">
        <v>1.107418</v>
      </c>
      <c r="L6144">
        <v>26.485990000000001</v>
      </c>
      <c r="M6144">
        <v>0.99990049999999997</v>
      </c>
      <c r="N6144">
        <v>0</v>
      </c>
      <c r="O6144">
        <v>-2.4428190000000002E-3</v>
      </c>
      <c r="P6144">
        <v>0.98945700000000003</v>
      </c>
      <c r="Q6144">
        <v>0.14394189999999901</v>
      </c>
      <c r="R6144">
        <v>1.5988720000000001E-2</v>
      </c>
      <c r="S6144">
        <v>3.0708310000000001</v>
      </c>
      <c r="T6144">
        <v>-0.24094960000000001</v>
      </c>
      <c r="U6144">
        <v>-0.15286250000000001</v>
      </c>
      <c r="V6144">
        <v>-1.7235319999999998E-2</v>
      </c>
      <c r="W6144">
        <v>0.15781600000000001</v>
      </c>
      <c r="X6144">
        <v>0.98731809999999998</v>
      </c>
      <c r="Y6144">
        <v>4.7140109999999999E-2</v>
      </c>
      <c r="Z6144">
        <v>-1.6541479999999901E-3</v>
      </c>
      <c r="AA6144">
        <v>0.99888690000000002</v>
      </c>
      <c r="AB6144">
        <v>32</v>
      </c>
      <c r="AC6144">
        <v>0.61349999999998694</v>
      </c>
      <c r="AD6144">
        <v>-7.1896000000000099E-2</v>
      </c>
      <c r="AE6144">
        <v>-4.25199999999996E-2</v>
      </c>
      <c r="AF6144">
        <v>4.0467950413313802E-2</v>
      </c>
      <c r="AG6144">
        <v>-7.1896000000000099E-2</v>
      </c>
      <c r="AH6144">
        <v>0.60532852771746604</v>
      </c>
      <c r="AI6144">
        <v>96.758449540993396</v>
      </c>
      <c r="AJ6144">
        <v>86.175303740209401</v>
      </c>
      <c r="AK6144">
        <v>0.61092496781130901</v>
      </c>
      <c r="AL6144">
        <v>80.919848174269205</v>
      </c>
      <c r="AM6144">
        <v>91.000093893409399</v>
      </c>
      <c r="AN6144">
        <v>0.99999998834955595</v>
      </c>
    </row>
    <row r="6145" spans="1:40" x14ac:dyDescent="0.25">
      <c r="A6145" t="str">
        <f>"20190312172237961"</f>
        <v>20190312172237961</v>
      </c>
      <c r="B6145" t="str">
        <f>"1552382557957162"</f>
        <v>1552382557957162</v>
      </c>
      <c r="C6145" t="s">
        <v>40</v>
      </c>
      <c r="D6145">
        <v>3.351912</v>
      </c>
      <c r="E6145">
        <v>0.52316689999999999</v>
      </c>
      <c r="F6145" t="s">
        <v>41</v>
      </c>
      <c r="G6145">
        <v>-391.14420000000001</v>
      </c>
      <c r="H6145">
        <v>1.0369839999999999</v>
      </c>
      <c r="I6145">
        <v>26.436530000000001</v>
      </c>
      <c r="J6145">
        <v>-391.86360000000002</v>
      </c>
      <c r="K6145">
        <v>1.107308</v>
      </c>
      <c r="L6145">
        <v>26.483550000000001</v>
      </c>
      <c r="M6145">
        <v>0.99989220000000001</v>
      </c>
      <c r="N6145">
        <v>0</v>
      </c>
      <c r="O6145">
        <v>-4.7508510000000004E-3</v>
      </c>
      <c r="P6145">
        <v>0.98946920000000005</v>
      </c>
      <c r="Q6145">
        <v>0.1442244</v>
      </c>
      <c r="R6145">
        <v>1.2258369999999999E-2</v>
      </c>
      <c r="S6145">
        <v>3.0696720000000002</v>
      </c>
      <c r="T6145">
        <v>-0.24022660000000001</v>
      </c>
      <c r="U6145">
        <v>-0.1678772</v>
      </c>
      <c r="V6145">
        <v>-1.5745970000000001E-2</v>
      </c>
      <c r="W6145">
        <v>0.15808440000000001</v>
      </c>
      <c r="X6145">
        <v>0.98729999999999996</v>
      </c>
      <c r="Y6145">
        <v>4.9725449999999997E-2</v>
      </c>
      <c r="Z6145">
        <v>-1.570323E-3</v>
      </c>
      <c r="AA6145">
        <v>0.99876169999999997</v>
      </c>
      <c r="AB6145">
        <v>32</v>
      </c>
      <c r="AC6145">
        <v>0.71940000000000703</v>
      </c>
      <c r="AD6145">
        <v>-7.0323999999999998E-2</v>
      </c>
      <c r="AE6145">
        <v>-4.7020000000003302E-2</v>
      </c>
      <c r="AF6145">
        <v>4.3190414548502198E-2</v>
      </c>
      <c r="AG6145">
        <v>-7.0323999999999998E-2</v>
      </c>
      <c r="AH6145">
        <v>0.71283258826338702</v>
      </c>
      <c r="AI6145">
        <v>95.623996024038206</v>
      </c>
      <c r="AJ6145">
        <v>86.532696546597904</v>
      </c>
      <c r="AK6145">
        <v>0.71759401877046802</v>
      </c>
      <c r="AL6145">
        <v>80.904274154025103</v>
      </c>
      <c r="AM6145">
        <v>90.9137052018947</v>
      </c>
      <c r="AN6145">
        <v>0.99999995154729904</v>
      </c>
    </row>
    <row r="6146" spans="1:40" x14ac:dyDescent="0.25">
      <c r="A6146" t="str">
        <f>"20190312172237972"</f>
        <v>20190312172237972</v>
      </c>
      <c r="B6146" t="str">
        <f>"1552382557966923"</f>
        <v>1552382557966923</v>
      </c>
      <c r="C6146" t="s">
        <v>40</v>
      </c>
      <c r="D6146">
        <v>3.3861650000000001</v>
      </c>
      <c r="E6146">
        <v>0.52311209999999997</v>
      </c>
      <c r="F6146" t="s">
        <v>41</v>
      </c>
      <c r="G6146">
        <v>-390.86320000000001</v>
      </c>
      <c r="H6146">
        <v>1.02952</v>
      </c>
      <c r="I6146">
        <v>26.42623</v>
      </c>
      <c r="J6146">
        <v>-391.68959999999998</v>
      </c>
      <c r="K6146">
        <v>1.107221</v>
      </c>
      <c r="L6146">
        <v>26.480499999999999</v>
      </c>
      <c r="M6146">
        <v>0.99987879999999996</v>
      </c>
      <c r="N6146">
        <v>0</v>
      </c>
      <c r="O6146">
        <v>-7.0321330000000003E-3</v>
      </c>
      <c r="P6146">
        <v>0.98944719999999997</v>
      </c>
      <c r="Q6146">
        <v>0.144637299999999</v>
      </c>
      <c r="R6146">
        <v>8.6112970000000004E-3</v>
      </c>
      <c r="S6146">
        <v>3.0688780000000002</v>
      </c>
      <c r="T6146">
        <v>-0.2385756</v>
      </c>
      <c r="U6146">
        <v>-0.1756287</v>
      </c>
      <c r="V6146">
        <v>-1.432139E-2</v>
      </c>
      <c r="W6146">
        <v>0.15848370000000001</v>
      </c>
      <c r="X6146">
        <v>0.98725770000000002</v>
      </c>
      <c r="Y6146">
        <v>4.9983560000000003E-2</v>
      </c>
      <c r="Z6146">
        <v>-1.3929299999999999E-3</v>
      </c>
      <c r="AA6146">
        <v>0.99874909999999995</v>
      </c>
      <c r="AB6146">
        <v>32</v>
      </c>
      <c r="AC6146">
        <v>0.82639999999997804</v>
      </c>
      <c r="AD6146">
        <v>-7.7701000000000006E-2</v>
      </c>
      <c r="AE6146">
        <v>-5.4269999999998902E-2</v>
      </c>
      <c r="AF6146">
        <v>4.8033926125419402E-2</v>
      </c>
      <c r="AG6146">
        <v>-7.7701000000000006E-2</v>
      </c>
      <c r="AH6146">
        <v>0.81954720802983705</v>
      </c>
      <c r="AI6146">
        <v>95.406781196068195</v>
      </c>
      <c r="AJ6146">
        <v>86.645713223974695</v>
      </c>
      <c r="AK6146">
        <v>0.82462253767982996</v>
      </c>
      <c r="AL6146">
        <v>80.881104077325105</v>
      </c>
      <c r="AM6146">
        <v>90.831087622141297</v>
      </c>
      <c r="AN6146">
        <v>0.99999997579325495</v>
      </c>
    </row>
    <row r="6147" spans="1:40" x14ac:dyDescent="0.25">
      <c r="A6147" t="str">
        <f>"20190312172237993"</f>
        <v>20190312172237993</v>
      </c>
      <c r="B6147" t="str">
        <f>"1552382557986442"</f>
        <v>1552382557986442</v>
      </c>
      <c r="C6147" t="s">
        <v>40</v>
      </c>
      <c r="D6147">
        <v>3.3790049999999998</v>
      </c>
      <c r="E6147">
        <v>0.52287499999999998</v>
      </c>
      <c r="F6147" t="s">
        <v>41</v>
      </c>
      <c r="G6147">
        <v>-390.85539999999997</v>
      </c>
      <c r="H6147">
        <v>1.0429930000000001</v>
      </c>
      <c r="I6147">
        <v>26.429950000000002</v>
      </c>
      <c r="J6147">
        <v>-391.41</v>
      </c>
      <c r="K6147">
        <v>1.1070990000000001</v>
      </c>
      <c r="L6147">
        <v>26.47495</v>
      </c>
      <c r="M6147">
        <v>0.99984620000000002</v>
      </c>
      <c r="N6147">
        <v>0</v>
      </c>
      <c r="O6147">
        <v>-1.072852E-2</v>
      </c>
      <c r="P6147">
        <v>0.98947980000000002</v>
      </c>
      <c r="Q6147">
        <v>0.14464779999999999</v>
      </c>
      <c r="R6147">
        <v>2.6325099999999998E-3</v>
      </c>
      <c r="S6147">
        <v>3.068085</v>
      </c>
      <c r="T6147">
        <v>-0.23612669999999999</v>
      </c>
      <c r="U6147">
        <v>-0.18560789999999999</v>
      </c>
      <c r="V6147">
        <v>-1.195909E-2</v>
      </c>
      <c r="W6147">
        <v>0.15847049999999999</v>
      </c>
      <c r="X6147">
        <v>0.98729129999999998</v>
      </c>
      <c r="Y6147">
        <v>4.9558110000000002E-2</v>
      </c>
      <c r="Z6147">
        <v>-1.078781E-3</v>
      </c>
      <c r="AA6147">
        <v>0.99877070000000001</v>
      </c>
      <c r="AB6147">
        <v>32</v>
      </c>
      <c r="AC6147">
        <v>0.55460000000005005</v>
      </c>
      <c r="AD6147">
        <v>-6.4105999999999996E-2</v>
      </c>
      <c r="AE6147">
        <v>-4.4999999999998097E-2</v>
      </c>
      <c r="AF6147">
        <v>3.8535298749051101E-2</v>
      </c>
      <c r="AG6147">
        <v>-6.4105999999999996E-2</v>
      </c>
      <c r="AH6147">
        <v>0.54777990992803505</v>
      </c>
      <c r="AI6147">
        <v>96.658584088395997</v>
      </c>
      <c r="AJ6147">
        <v>85.975977752717299</v>
      </c>
      <c r="AK6147">
        <v>0.55286289277400802</v>
      </c>
      <c r="AL6147">
        <v>80.881870423377507</v>
      </c>
      <c r="AM6147">
        <v>90.693991605512593</v>
      </c>
      <c r="AN6147">
        <v>1.0000000151297801</v>
      </c>
    </row>
    <row r="6148" spans="1:40" x14ac:dyDescent="0.25">
      <c r="A6148" t="str">
        <f>"20190312172238014"</f>
        <v>20190312172238014</v>
      </c>
      <c r="B6148" t="str">
        <f>"1552382558006938"</f>
        <v>1552382558006938</v>
      </c>
      <c r="C6148" t="s">
        <v>40</v>
      </c>
      <c r="D6148">
        <v>3.3862350000000001</v>
      </c>
      <c r="E6148">
        <v>0.52266809999999997</v>
      </c>
      <c r="F6148" t="s">
        <v>41</v>
      </c>
      <c r="G6148">
        <v>-390.57119999999998</v>
      </c>
      <c r="H6148">
        <v>1.0429389999999901</v>
      </c>
      <c r="I6148">
        <v>26.41949</v>
      </c>
      <c r="J6148">
        <v>-391.08909999999997</v>
      </c>
      <c r="K6148">
        <v>1.106997</v>
      </c>
      <c r="L6148">
        <v>26.467220000000001</v>
      </c>
      <c r="M6148">
        <v>0.99979110000000004</v>
      </c>
      <c r="N6148">
        <v>0</v>
      </c>
      <c r="O6148">
        <v>-1.5007329999999999E-2</v>
      </c>
      <c r="P6148">
        <v>0.98951719999999999</v>
      </c>
      <c r="Q6148">
        <v>0.14439260000000001</v>
      </c>
      <c r="R6148">
        <v>-2.559188E-3</v>
      </c>
      <c r="S6148">
        <v>3.0666500000000001</v>
      </c>
      <c r="T6148">
        <v>-0.2339869</v>
      </c>
      <c r="U6148">
        <v>-0.20095830000000001</v>
      </c>
      <c r="V6148">
        <v>-1.097046E-2</v>
      </c>
      <c r="W6148">
        <v>0.1582026</v>
      </c>
      <c r="X6148">
        <v>0.98734580000000005</v>
      </c>
      <c r="Y6148">
        <v>5.0303819999999999E-2</v>
      </c>
      <c r="Z6148">
        <v>-7.7215070000000001E-4</v>
      </c>
      <c r="AA6148">
        <v>0.9987336</v>
      </c>
      <c r="AB6148">
        <v>32</v>
      </c>
      <c r="AC6148">
        <v>0.51789999999999703</v>
      </c>
      <c r="AD6148">
        <v>-6.4058000000000101E-2</v>
      </c>
      <c r="AE6148">
        <v>-4.7729999999997802E-2</v>
      </c>
      <c r="AF6148">
        <v>3.9354575550432702E-2</v>
      </c>
      <c r="AG6148">
        <v>-6.4058000000000101E-2</v>
      </c>
      <c r="AH6148">
        <v>0.51080912682158297</v>
      </c>
      <c r="AI6148">
        <v>97.126958586295203</v>
      </c>
      <c r="AJ6148">
        <v>85.594429696974302</v>
      </c>
      <c r="AK6148">
        <v>0.51631208975287701</v>
      </c>
      <c r="AL6148">
        <v>80.897416582485505</v>
      </c>
      <c r="AM6148">
        <v>90.636590739286305</v>
      </c>
      <c r="AN6148">
        <v>1.0000000712085</v>
      </c>
    </row>
    <row r="6149" spans="1:40" x14ac:dyDescent="0.25">
      <c r="A6149" t="str">
        <f>"20190312172238026"</f>
        <v>20190312172238026</v>
      </c>
      <c r="B6149" t="str">
        <f>"1552382558016699"</f>
        <v>1552382558016699</v>
      </c>
      <c r="C6149" t="s">
        <v>40</v>
      </c>
      <c r="D6149">
        <v>3.379985</v>
      </c>
      <c r="E6149">
        <v>0.52254319999999999</v>
      </c>
      <c r="F6149" t="s">
        <v>41</v>
      </c>
      <c r="G6149">
        <v>-390.28429999999997</v>
      </c>
      <c r="H6149">
        <v>1.0458160000000001</v>
      </c>
      <c r="I6149">
        <v>26.410419999999998</v>
      </c>
      <c r="J6149">
        <v>-390.92869999999999</v>
      </c>
      <c r="K6149">
        <v>1.1069599999999999</v>
      </c>
      <c r="L6149">
        <v>26.462800000000001</v>
      </c>
      <c r="M6149">
        <v>0.9997568</v>
      </c>
      <c r="N6149">
        <v>0</v>
      </c>
      <c r="O6149">
        <v>-1.7153390000000001E-2</v>
      </c>
      <c r="P6149">
        <v>0.98955570000000004</v>
      </c>
      <c r="Q6149">
        <v>0.14406569999999999</v>
      </c>
      <c r="R6149">
        <v>-4.9866829999999996E-3</v>
      </c>
      <c r="S6149">
        <v>3.0651549999999999</v>
      </c>
      <c r="T6149">
        <v>-0.2326579</v>
      </c>
      <c r="U6149">
        <v>-0.21521000000000001</v>
      </c>
      <c r="V6149">
        <v>-1.065842E-2</v>
      </c>
      <c r="W6149">
        <v>0.1578706</v>
      </c>
      <c r="X6149">
        <v>0.98740229999999996</v>
      </c>
      <c r="Y6149">
        <v>5.2814090000000001E-2</v>
      </c>
      <c r="Z6149">
        <v>-7.0064119999999996E-4</v>
      </c>
      <c r="AA6149">
        <v>0.99860409999999999</v>
      </c>
      <c r="AB6149">
        <v>32</v>
      </c>
      <c r="AC6149">
        <v>0.64440000000001796</v>
      </c>
      <c r="AD6149">
        <v>-6.1143999999999803E-2</v>
      </c>
      <c r="AE6149">
        <v>-5.2379999999999399E-2</v>
      </c>
      <c r="AF6149">
        <v>4.0951312872927199E-2</v>
      </c>
      <c r="AG6149">
        <v>-6.1143999999999803E-2</v>
      </c>
      <c r="AH6149">
        <v>0.63948414269015597</v>
      </c>
      <c r="AI6149">
        <v>95.450610429195507</v>
      </c>
      <c r="AJ6149">
        <v>86.335893631834395</v>
      </c>
      <c r="AK6149">
        <v>0.64370456539796295</v>
      </c>
      <c r="AL6149">
        <v>80.916680355895707</v>
      </c>
      <c r="AM6149">
        <v>90.618449810372894</v>
      </c>
      <c r="AN6149">
        <v>1.00000001515327</v>
      </c>
    </row>
    <row r="6150" spans="1:40" x14ac:dyDescent="0.25">
      <c r="A6150" t="str">
        <f>"20190312172238037"</f>
        <v>20190312172238037</v>
      </c>
      <c r="B6150" t="str">
        <f>"1552382558026458"</f>
        <v>1552382558026458</v>
      </c>
      <c r="C6150" t="s">
        <v>40</v>
      </c>
      <c r="D6150">
        <v>3.3781870000000001</v>
      </c>
      <c r="E6150">
        <v>0.52242239999999995</v>
      </c>
      <c r="F6150" t="s">
        <v>41</v>
      </c>
      <c r="G6150">
        <v>-390.00720000000001</v>
      </c>
      <c r="H6150">
        <v>1.036864</v>
      </c>
      <c r="I6150">
        <v>26.395859999999999</v>
      </c>
      <c r="J6150">
        <v>-390.76330000000002</v>
      </c>
      <c r="K6150">
        <v>1.106927</v>
      </c>
      <c r="L6150">
        <v>26.45795</v>
      </c>
      <c r="M6150">
        <v>0.9997163</v>
      </c>
      <c r="N6150">
        <v>0</v>
      </c>
      <c r="O6150">
        <v>-1.9369899999999999E-2</v>
      </c>
      <c r="P6150">
        <v>0.98964269999999999</v>
      </c>
      <c r="Q6150">
        <v>0.14336769999999999</v>
      </c>
      <c r="R6150">
        <v>-7.3127399999999999E-3</v>
      </c>
      <c r="S6150">
        <v>3.0644529999999999</v>
      </c>
      <c r="T6150">
        <v>-0.23277200000000001</v>
      </c>
      <c r="U6150">
        <v>-0.22149659999999999</v>
      </c>
      <c r="V6150">
        <v>-1.0523080000000001E-2</v>
      </c>
      <c r="W6150">
        <v>0.15716949999999999</v>
      </c>
      <c r="X6150">
        <v>0.98751560000000005</v>
      </c>
      <c r="Y6150">
        <v>5.2660999999999999E-2</v>
      </c>
      <c r="Z6150">
        <v>-5.2745709999999998E-4</v>
      </c>
      <c r="AA6150">
        <v>0.99861230000000001</v>
      </c>
      <c r="AB6150">
        <v>32</v>
      </c>
      <c r="AC6150">
        <v>0.75610000000000299</v>
      </c>
      <c r="AD6150">
        <v>-7.0062999999999903E-2</v>
      </c>
      <c r="AE6150">
        <v>-6.2090000000001297E-2</v>
      </c>
      <c r="AF6150">
        <v>4.7030237528760302E-2</v>
      </c>
      <c r="AG6150">
        <v>-7.0062999999999903E-2</v>
      </c>
      <c r="AH6150">
        <v>0.750757668160423</v>
      </c>
      <c r="AI6150">
        <v>95.321204574697404</v>
      </c>
      <c r="AJ6150">
        <v>86.415464377736697</v>
      </c>
      <c r="AK6150">
        <v>0.75548510475898001</v>
      </c>
      <c r="AL6150">
        <v>80.957358335670094</v>
      </c>
      <c r="AM6150">
        <v>90.6105273189049</v>
      </c>
      <c r="AN6150">
        <v>1.0000000235931401</v>
      </c>
    </row>
    <row r="6151" spans="1:40" x14ac:dyDescent="0.25">
      <c r="A6151" t="str">
        <f>"20190312172238050"</f>
        <v>20190312172238050</v>
      </c>
      <c r="B6151" t="str">
        <f>"1552382558046954"</f>
        <v>1552382558046954</v>
      </c>
      <c r="C6151" t="s">
        <v>40</v>
      </c>
      <c r="D6151">
        <v>3.3923540000000001</v>
      </c>
      <c r="E6151">
        <v>0.52217609999999903</v>
      </c>
      <c r="F6151" t="s">
        <v>41</v>
      </c>
      <c r="G6151">
        <v>-389.9982</v>
      </c>
      <c r="H6151">
        <v>1.048089</v>
      </c>
      <c r="I6151">
        <v>26.400790000000001</v>
      </c>
      <c r="J6151">
        <v>-390.59379999999999</v>
      </c>
      <c r="K6151">
        <v>1.1069020000000001</v>
      </c>
      <c r="L6151">
        <v>26.452449999999999</v>
      </c>
      <c r="M6151">
        <v>0.99966980000000005</v>
      </c>
      <c r="N6151">
        <v>0</v>
      </c>
      <c r="O6151">
        <v>-2.1639390000000001E-2</v>
      </c>
      <c r="P6151">
        <v>0.98974830000000003</v>
      </c>
      <c r="Q6151">
        <v>0.14251320000000001</v>
      </c>
      <c r="R6151">
        <v>-9.3905840000000004E-3</v>
      </c>
      <c r="S6151">
        <v>3.063812</v>
      </c>
      <c r="T6151">
        <v>-0.23532400000000001</v>
      </c>
      <c r="U6151">
        <v>-0.2276001</v>
      </c>
      <c r="V6151">
        <v>-1.069406E-2</v>
      </c>
      <c r="W6151">
        <v>0.15631519999999999</v>
      </c>
      <c r="X6151">
        <v>0.98764929999999995</v>
      </c>
      <c r="Y6151">
        <v>5.2393059999999998E-2</v>
      </c>
      <c r="Z6151">
        <v>-3.4929939999999999E-4</v>
      </c>
      <c r="AA6151">
        <v>0.99862649999999997</v>
      </c>
      <c r="AB6151">
        <v>32</v>
      </c>
      <c r="AC6151">
        <v>0.59559999999999003</v>
      </c>
      <c r="AD6151">
        <v>-5.8812999999999997E-2</v>
      </c>
      <c r="AE6151">
        <v>-5.16599999999982E-2</v>
      </c>
      <c r="AF6151">
        <v>3.8386738710437601E-2</v>
      </c>
      <c r="AG6151">
        <v>-5.8812999999999997E-2</v>
      </c>
      <c r="AH6151">
        <v>0.59086020552987595</v>
      </c>
      <c r="AI6151">
        <v>95.672498883034294</v>
      </c>
      <c r="AJ6151">
        <v>86.282857575788398</v>
      </c>
      <c r="AK6151">
        <v>0.59501957375924297</v>
      </c>
      <c r="AL6151">
        <v>81.006918244486101</v>
      </c>
      <c r="AM6151">
        <v>90.620362470823494</v>
      </c>
      <c r="AN6151">
        <v>0.99999997223040604</v>
      </c>
    </row>
    <row r="6152" spans="1:40" x14ac:dyDescent="0.25">
      <c r="A6152" t="str">
        <f>"20190312172238061"</f>
        <v>20190312172238061</v>
      </c>
      <c r="B6152" t="str">
        <f>"1552382558056714"</f>
        <v>1552382558056714</v>
      </c>
      <c r="C6152" t="s">
        <v>40</v>
      </c>
      <c r="D6152">
        <v>3.382949</v>
      </c>
      <c r="E6152">
        <v>0.52205500000000005</v>
      </c>
      <c r="F6152" t="s">
        <v>41</v>
      </c>
      <c r="G6152">
        <v>-389.72219999999999</v>
      </c>
      <c r="H6152">
        <v>1.039566</v>
      </c>
      <c r="I6152">
        <v>26.38599</v>
      </c>
      <c r="J6152">
        <v>-390.42599999999999</v>
      </c>
      <c r="K6152">
        <v>1.1068770000000001</v>
      </c>
      <c r="L6152">
        <v>26.446809999999999</v>
      </c>
      <c r="M6152">
        <v>0.99961880000000003</v>
      </c>
      <c r="N6152">
        <v>0</v>
      </c>
      <c r="O6152">
        <v>-2.388508E-2</v>
      </c>
      <c r="P6152">
        <v>0.9897804</v>
      </c>
      <c r="Q6152">
        <v>0.142156</v>
      </c>
      <c r="R6152">
        <v>-1.125365E-2</v>
      </c>
      <c r="S6152">
        <v>3.062897</v>
      </c>
      <c r="T6152">
        <v>-0.2362406</v>
      </c>
      <c r="U6152">
        <v>-0.2322388</v>
      </c>
      <c r="V6152">
        <v>-1.105214E-2</v>
      </c>
      <c r="W6152">
        <v>0.15595909999999999</v>
      </c>
      <c r="X6152">
        <v>0.98770170000000002</v>
      </c>
      <c r="Y6152">
        <v>5.1683600000000003E-2</v>
      </c>
      <c r="Z6152">
        <v>-1.508526E-4</v>
      </c>
      <c r="AA6152">
        <v>0.99866350000000004</v>
      </c>
      <c r="AB6152">
        <v>32</v>
      </c>
      <c r="AC6152">
        <v>0.70380000000000098</v>
      </c>
      <c r="AD6152">
        <v>-6.7311000000000107E-2</v>
      </c>
      <c r="AE6152">
        <v>-6.0819999999996099E-2</v>
      </c>
      <c r="AF6152">
        <v>4.3594911915198598E-2</v>
      </c>
      <c r="AG6152">
        <v>-6.7311000000000107E-2</v>
      </c>
      <c r="AH6152">
        <v>0.69870836787659796</v>
      </c>
      <c r="AI6152">
        <v>95.492069829875206</v>
      </c>
      <c r="AJ6152">
        <v>86.429739726960094</v>
      </c>
      <c r="AK6152">
        <v>0.70329557826469702</v>
      </c>
      <c r="AL6152">
        <v>81.027575041667305</v>
      </c>
      <c r="AM6152">
        <v>90.641098976619602</v>
      </c>
      <c r="AN6152">
        <v>1.0000000194271299</v>
      </c>
    </row>
    <row r="6153" spans="1:40" x14ac:dyDescent="0.25">
      <c r="A6153" t="str">
        <f>"20190312172238074"</f>
        <v>20190312172238074</v>
      </c>
      <c r="B6153" t="str">
        <f>"1552382558066474"</f>
        <v>1552382558066474</v>
      </c>
      <c r="C6153" t="s">
        <v>40</v>
      </c>
      <c r="D6153">
        <v>3.3993329999999999</v>
      </c>
      <c r="E6153">
        <v>0.52192369999999999</v>
      </c>
      <c r="F6153" t="s">
        <v>41</v>
      </c>
      <c r="G6153">
        <v>-389.44319999999999</v>
      </c>
      <c r="H6153">
        <v>1.030894</v>
      </c>
      <c r="I6153">
        <v>26.370470000000001</v>
      </c>
      <c r="J6153">
        <v>-390.24709999999999</v>
      </c>
      <c r="K6153">
        <v>1.106862</v>
      </c>
      <c r="L6153">
        <v>26.440159999999999</v>
      </c>
      <c r="M6153">
        <v>0.99955870000000002</v>
      </c>
      <c r="N6153">
        <v>0</v>
      </c>
      <c r="O6153">
        <v>-2.6276910000000001E-2</v>
      </c>
      <c r="P6153">
        <v>0.98986430000000003</v>
      </c>
      <c r="Q6153">
        <v>0.14139839999999901</v>
      </c>
      <c r="R6153">
        <v>-1.323963E-2</v>
      </c>
      <c r="S6153">
        <v>3.0622560000000001</v>
      </c>
      <c r="T6153">
        <v>-0.2365371</v>
      </c>
      <c r="U6153">
        <v>-0.2372437</v>
      </c>
      <c r="V6153">
        <v>-1.1438769999999999E-2</v>
      </c>
      <c r="W6153">
        <v>0.1552036</v>
      </c>
      <c r="X6153">
        <v>0.98781629999999998</v>
      </c>
      <c r="Y6153">
        <v>5.0941430000000003E-2</v>
      </c>
      <c r="Z6153" s="1">
        <v>6.1593950000000003E-5</v>
      </c>
      <c r="AA6153">
        <v>0.99870159999999997</v>
      </c>
      <c r="AB6153">
        <v>32</v>
      </c>
      <c r="AC6153">
        <v>0.80389999999999795</v>
      </c>
      <c r="AD6153">
        <v>-7.5967999999999994E-2</v>
      </c>
      <c r="AE6153">
        <v>-6.9689999999997795E-2</v>
      </c>
      <c r="AF6153">
        <v>4.8113442204631797E-2</v>
      </c>
      <c r="AG6153">
        <v>-7.5967999999999994E-2</v>
      </c>
      <c r="AH6153">
        <v>0.79837734978180996</v>
      </c>
      <c r="AI6153">
        <v>95.425715619681597</v>
      </c>
      <c r="AJ6153">
        <v>86.551295932182796</v>
      </c>
      <c r="AK6153">
        <v>0.80342543710627201</v>
      </c>
      <c r="AL6153">
        <v>81.071395632411594</v>
      </c>
      <c r="AM6153">
        <v>90.663447193184794</v>
      </c>
      <c r="AN6153">
        <v>1.0000000227288799</v>
      </c>
    </row>
    <row r="6154" spans="1:40" x14ac:dyDescent="0.25">
      <c r="A6154" t="str">
        <f>"20190312172238085"</f>
        <v>20190312172238085</v>
      </c>
      <c r="B6154" t="str">
        <f>"1552382558077210"</f>
        <v>1552382558077210</v>
      </c>
      <c r="C6154" t="s">
        <v>40</v>
      </c>
      <c r="D6154">
        <v>3.4089909999999999</v>
      </c>
      <c r="E6154">
        <v>0.52176210000000001</v>
      </c>
      <c r="F6154" t="s">
        <v>41</v>
      </c>
      <c r="G6154">
        <v>-389.43540000000002</v>
      </c>
      <c r="H6154">
        <v>1.043453</v>
      </c>
      <c r="I6154">
        <v>26.37567</v>
      </c>
      <c r="J6154">
        <v>-390.08440000000002</v>
      </c>
      <c r="K6154">
        <v>1.1068469999999999</v>
      </c>
      <c r="L6154">
        <v>26.43384</v>
      </c>
      <c r="M6154">
        <v>0.99949929999999998</v>
      </c>
      <c r="N6154">
        <v>0</v>
      </c>
      <c r="O6154">
        <v>-2.8449800000000001E-2</v>
      </c>
      <c r="P6154">
        <v>0.9898496</v>
      </c>
      <c r="Q6154">
        <v>0.14137620000000001</v>
      </c>
      <c r="R6154">
        <v>-1.4511430000000001E-2</v>
      </c>
      <c r="S6154">
        <v>3.0616759999999998</v>
      </c>
      <c r="T6154">
        <v>-0.23891499999999999</v>
      </c>
      <c r="U6154">
        <v>-0.24246219999999999</v>
      </c>
      <c r="V6154">
        <v>-1.2315390000000001E-2</v>
      </c>
      <c r="W6154">
        <v>0.1551862</v>
      </c>
      <c r="X6154">
        <v>0.98780849999999998</v>
      </c>
      <c r="Y6154">
        <v>5.0483229999999997E-2</v>
      </c>
      <c r="Z6154">
        <v>2.48946E-4</v>
      </c>
      <c r="AA6154">
        <v>0.99872490000000003</v>
      </c>
      <c r="AB6154">
        <v>32</v>
      </c>
      <c r="AC6154">
        <v>0.64900000000000002</v>
      </c>
      <c r="AD6154">
        <v>-6.3393999999999895E-2</v>
      </c>
      <c r="AE6154">
        <v>-5.8170000000004003E-2</v>
      </c>
      <c r="AF6154">
        <v>3.9308692362353501E-2</v>
      </c>
      <c r="AG6154">
        <v>-6.3393999999999895E-2</v>
      </c>
      <c r="AH6154">
        <v>0.64429393180754102</v>
      </c>
      <c r="AI6154">
        <v>95.609052042261595</v>
      </c>
      <c r="AJ6154">
        <v>86.508683666923503</v>
      </c>
      <c r="AK6154">
        <v>0.64859744302244904</v>
      </c>
      <c r="AL6154">
        <v>81.072404863456399</v>
      </c>
      <c r="AM6154">
        <v>90.714291599998006</v>
      </c>
      <c r="AN6154">
        <v>1.0000000290867701</v>
      </c>
    </row>
    <row r="6155" spans="1:40" x14ac:dyDescent="0.25">
      <c r="A6155" t="str">
        <f>"20190312172238097"</f>
        <v>20190312172238097</v>
      </c>
      <c r="B6155" t="str">
        <f>"1552382558086970"</f>
        <v>1552382558086970</v>
      </c>
      <c r="C6155" t="s">
        <v>40</v>
      </c>
      <c r="D6155">
        <v>3.427327</v>
      </c>
      <c r="E6155">
        <v>0.52161629999999903</v>
      </c>
      <c r="F6155" t="s">
        <v>41</v>
      </c>
      <c r="G6155">
        <v>-389.15820000000002</v>
      </c>
      <c r="H6155">
        <v>1.034762</v>
      </c>
      <c r="I6155">
        <v>26.359480000000001</v>
      </c>
      <c r="J6155">
        <v>-389.9074</v>
      </c>
      <c r="K6155">
        <v>1.1068359999999999</v>
      </c>
      <c r="L6155">
        <v>26.42661</v>
      </c>
      <c r="M6155">
        <v>0.99942929999999996</v>
      </c>
      <c r="N6155">
        <v>0</v>
      </c>
      <c r="O6155">
        <v>-3.081219E-2</v>
      </c>
      <c r="P6155">
        <v>0.98988290000000001</v>
      </c>
      <c r="Q6155">
        <v>0.14099909999999999</v>
      </c>
      <c r="R6155">
        <v>-1.5855850000000001E-2</v>
      </c>
      <c r="S6155">
        <v>3.0611570000000001</v>
      </c>
      <c r="T6155">
        <v>-0.2381144</v>
      </c>
      <c r="U6155">
        <v>-0.24523929999999999</v>
      </c>
      <c r="V6155">
        <v>-1.331238E-2</v>
      </c>
      <c r="W6155">
        <v>0.15481549999999999</v>
      </c>
      <c r="X6155">
        <v>0.98785369999999995</v>
      </c>
      <c r="Y6155">
        <v>4.9048029999999999E-2</v>
      </c>
      <c r="Z6155">
        <v>4.868254E-4</v>
      </c>
      <c r="AA6155">
        <v>0.99879629999999997</v>
      </c>
      <c r="AB6155">
        <v>32</v>
      </c>
      <c r="AC6155">
        <v>0.749199999999973</v>
      </c>
      <c r="AD6155">
        <v>-7.2073999999999902E-2</v>
      </c>
      <c r="AE6155">
        <v>-6.7129999999998802E-2</v>
      </c>
      <c r="AF6155">
        <v>4.3611022713978702E-2</v>
      </c>
      <c r="AG6155">
        <v>-7.2073999999999902E-2</v>
      </c>
      <c r="AH6155">
        <v>0.74408143188933795</v>
      </c>
      <c r="AI6155">
        <v>95.523164519060003</v>
      </c>
      <c r="AJ6155">
        <v>86.645700173680197</v>
      </c>
      <c r="AK6155">
        <v>0.74883493512298605</v>
      </c>
      <c r="AL6155">
        <v>81.093903941595599</v>
      </c>
      <c r="AM6155">
        <v>90.772074874873994</v>
      </c>
      <c r="AN6155">
        <v>0.99999999555260199</v>
      </c>
    </row>
    <row r="6156" spans="1:40" x14ac:dyDescent="0.25">
      <c r="A6156" t="str">
        <f>"20190312172238115"</f>
        <v>20190312172238115</v>
      </c>
      <c r="B6156" t="str">
        <f>"1552382558106490"</f>
        <v>1552382558106490</v>
      </c>
      <c r="C6156" t="s">
        <v>40</v>
      </c>
      <c r="D6156">
        <v>3.3986719999999999</v>
      </c>
      <c r="E6156">
        <v>0.52130580000000004</v>
      </c>
      <c r="F6156" t="s">
        <v>41</v>
      </c>
      <c r="G6156">
        <v>-389.14819999999997</v>
      </c>
      <c r="H6156">
        <v>1.0476510000000001</v>
      </c>
      <c r="I6156">
        <v>26.36487</v>
      </c>
      <c r="J6156">
        <v>-389.66719999999998</v>
      </c>
      <c r="K6156">
        <v>1.106824</v>
      </c>
      <c r="L6156">
        <v>26.415990000000001</v>
      </c>
      <c r="M6156">
        <v>0.99932549999999998</v>
      </c>
      <c r="N6156">
        <v>0</v>
      </c>
      <c r="O6156">
        <v>-3.401125E-2</v>
      </c>
      <c r="P6156">
        <v>0.99006989999999995</v>
      </c>
      <c r="Q6156">
        <v>0.13957629999999999</v>
      </c>
      <c r="R6156">
        <v>-1.6739710000000001E-2</v>
      </c>
      <c r="S6156">
        <v>3.0606080000000002</v>
      </c>
      <c r="T6156">
        <v>-0.23844580000000001</v>
      </c>
      <c r="U6156">
        <v>-0.24823000000000001</v>
      </c>
      <c r="V6156">
        <v>-1.561356E-2</v>
      </c>
      <c r="W6156">
        <v>0.15341189999999999</v>
      </c>
      <c r="X6156">
        <v>0.988039</v>
      </c>
      <c r="Y6156">
        <v>4.6850740000000002E-2</v>
      </c>
      <c r="Z6156">
        <v>8.2109649999999995E-4</v>
      </c>
      <c r="AA6156">
        <v>0.9989015</v>
      </c>
      <c r="AB6156">
        <v>32</v>
      </c>
      <c r="AC6156">
        <v>0.51900000000000501</v>
      </c>
      <c r="AD6156">
        <v>-5.9172999999999899E-2</v>
      </c>
      <c r="AE6156">
        <v>-5.1120000000000901E-2</v>
      </c>
      <c r="AF6156">
        <v>3.3011886448766799E-2</v>
      </c>
      <c r="AG6156">
        <v>-5.9172999999999899E-2</v>
      </c>
      <c r="AH6156">
        <v>0.51382344429066495</v>
      </c>
      <c r="AI6156">
        <v>96.555965385848495</v>
      </c>
      <c r="AJ6156">
        <v>86.323940155614906</v>
      </c>
      <c r="AK6156">
        <v>0.51827189821427599</v>
      </c>
      <c r="AL6156">
        <v>81.175297000513595</v>
      </c>
      <c r="AM6156">
        <v>90.905345473367603</v>
      </c>
      <c r="AN6156">
        <v>1.00000002991924</v>
      </c>
    </row>
    <row r="6157" spans="1:40" x14ac:dyDescent="0.25">
      <c r="A6157" t="str">
        <f>"20190312172238131"</f>
        <v>20190312172238131</v>
      </c>
      <c r="B6157" t="str">
        <f>"1552382558126987"</f>
        <v>1552382558126987</v>
      </c>
      <c r="C6157" t="s">
        <v>40</v>
      </c>
      <c r="D6157">
        <v>3.4088729999999998</v>
      </c>
      <c r="E6157">
        <v>0.52106779999999997</v>
      </c>
      <c r="F6157" t="s">
        <v>41</v>
      </c>
      <c r="G6157">
        <v>-388.86880000000002</v>
      </c>
      <c r="H6157">
        <v>1.043731</v>
      </c>
      <c r="I6157">
        <v>26.350670000000001</v>
      </c>
      <c r="J6157">
        <v>-389.44330000000002</v>
      </c>
      <c r="K6157">
        <v>1.106814</v>
      </c>
      <c r="L6157">
        <v>26.405360000000002</v>
      </c>
      <c r="M6157">
        <v>0.99921970000000004</v>
      </c>
      <c r="N6157">
        <v>0</v>
      </c>
      <c r="O6157">
        <v>-3.6990660000000002E-2</v>
      </c>
      <c r="P6157">
        <v>0.99018600000000001</v>
      </c>
      <c r="Q6157">
        <v>0.13857739999999999</v>
      </c>
      <c r="R6157">
        <v>-1.8112509999999998E-2</v>
      </c>
      <c r="S6157">
        <v>3.0599059999999998</v>
      </c>
      <c r="T6157">
        <v>-0.24133869999999999</v>
      </c>
      <c r="U6157">
        <v>-0.2485657</v>
      </c>
      <c r="V6157">
        <v>-1.7204379999999998E-2</v>
      </c>
      <c r="W6157">
        <v>0.15242610000000001</v>
      </c>
      <c r="X6157">
        <v>0.98816510000000002</v>
      </c>
      <c r="Y6157">
        <v>4.4016550000000002E-2</v>
      </c>
      <c r="Z6157">
        <v>1.1766089999999999E-3</v>
      </c>
      <c r="AA6157">
        <v>0.99903010000000003</v>
      </c>
      <c r="AB6157">
        <v>32</v>
      </c>
      <c r="AC6157">
        <v>0.57450000000000001</v>
      </c>
      <c r="AD6157">
        <v>-6.3083E-2</v>
      </c>
      <c r="AE6157">
        <v>-5.4689999999997199E-2</v>
      </c>
      <c r="AF6157">
        <v>3.3005019884083997E-2</v>
      </c>
      <c r="AG6157">
        <v>-6.3083E-2</v>
      </c>
      <c r="AH6157">
        <v>0.56932714324644296</v>
      </c>
      <c r="AI6157">
        <v>96.312225272167794</v>
      </c>
      <c r="AJ6157">
        <v>86.682163885794097</v>
      </c>
      <c r="AK6157">
        <v>0.57376144194578305</v>
      </c>
      <c r="AL6157">
        <v>81.232450998904895</v>
      </c>
      <c r="AM6157">
        <v>90.9974434244116</v>
      </c>
      <c r="AN6157">
        <v>0.99999998575520199</v>
      </c>
    </row>
    <row r="6158" spans="1:40" x14ac:dyDescent="0.25">
      <c r="A6158" t="str">
        <f>"20190312172238149"</f>
        <v>20190312172238149</v>
      </c>
      <c r="B6158" t="str">
        <f>"1552382558146506"</f>
        <v>1552382558146506</v>
      </c>
      <c r="C6158" t="s">
        <v>40</v>
      </c>
      <c r="D6158">
        <v>3.4276819999999999</v>
      </c>
      <c r="E6158">
        <v>0.52082189999999995</v>
      </c>
      <c r="F6158" t="s">
        <v>41</v>
      </c>
      <c r="G6158">
        <v>-388.59039999999999</v>
      </c>
      <c r="H6158">
        <v>1.039034</v>
      </c>
      <c r="I6158">
        <v>26.335280000000001</v>
      </c>
      <c r="J6158">
        <v>-389.19260000000003</v>
      </c>
      <c r="K6158">
        <v>1.106808</v>
      </c>
      <c r="L6158">
        <v>26.39273</v>
      </c>
      <c r="M6158">
        <v>0.9990909</v>
      </c>
      <c r="N6158">
        <v>0</v>
      </c>
      <c r="O6158">
        <v>-4.0324770000000003E-2</v>
      </c>
      <c r="P6158">
        <v>0.99049659999999995</v>
      </c>
      <c r="Q6158">
        <v>0.13618079999999999</v>
      </c>
      <c r="R6158">
        <v>-1.9268529999999999E-2</v>
      </c>
      <c r="S6158">
        <v>3.0591740000000001</v>
      </c>
      <c r="T6158">
        <v>-0.24291879999999999</v>
      </c>
      <c r="U6158">
        <v>-0.25067139999999999</v>
      </c>
      <c r="V6158">
        <v>-1.9385550000000001E-2</v>
      </c>
      <c r="W6158">
        <v>0.1500505</v>
      </c>
      <c r="X6158">
        <v>0.98848829999999999</v>
      </c>
      <c r="Y6158">
        <v>4.1403410000000002E-2</v>
      </c>
      <c r="Z6158">
        <v>1.5515049999999999E-3</v>
      </c>
      <c r="AA6158">
        <v>0.99914130000000001</v>
      </c>
      <c r="AB6158">
        <v>32</v>
      </c>
      <c r="AC6158">
        <v>0.60220000000003804</v>
      </c>
      <c r="AD6158">
        <v>-6.7774000000000001E-2</v>
      </c>
      <c r="AE6158">
        <v>-5.7450000000002797E-2</v>
      </c>
      <c r="AF6158">
        <v>3.27068299430915E-2</v>
      </c>
      <c r="AG6158">
        <v>-6.7774000000000001E-2</v>
      </c>
      <c r="AH6158">
        <v>0.59653926137271696</v>
      </c>
      <c r="AI6158">
        <v>96.472056029448098</v>
      </c>
      <c r="AJ6158">
        <v>86.861750661096707</v>
      </c>
      <c r="AK6158">
        <v>0.60126711381883602</v>
      </c>
      <c r="AL6158">
        <v>81.370147192301403</v>
      </c>
      <c r="AM6158">
        <v>91.123501246358899</v>
      </c>
      <c r="AN6158">
        <v>1.0000000356679699</v>
      </c>
    </row>
    <row r="6159" spans="1:40" x14ac:dyDescent="0.25">
      <c r="A6159" t="str">
        <f>"20190312172238161"</f>
        <v>20190312172238161</v>
      </c>
      <c r="B6159" t="str">
        <f>"1552382558156266"</f>
        <v>1552382558156266</v>
      </c>
      <c r="C6159" t="s">
        <v>40</v>
      </c>
      <c r="D6159">
        <v>3.4264049999999999</v>
      </c>
      <c r="E6159">
        <v>0.520696099999999</v>
      </c>
      <c r="F6159" t="s">
        <v>41</v>
      </c>
      <c r="G6159">
        <v>-388.31029999999998</v>
      </c>
      <c r="H6159">
        <v>1.034842</v>
      </c>
      <c r="I6159">
        <v>26.31981</v>
      </c>
      <c r="J6159">
        <v>-389.0247</v>
      </c>
      <c r="K6159">
        <v>1.106808</v>
      </c>
      <c r="L6159">
        <v>26.383939999999999</v>
      </c>
      <c r="M6159">
        <v>0.99899819999999995</v>
      </c>
      <c r="N6159">
        <v>0</v>
      </c>
      <c r="O6159">
        <v>-4.255536E-2</v>
      </c>
      <c r="P6159">
        <v>0.99062169999999905</v>
      </c>
      <c r="Q6159">
        <v>0.135106</v>
      </c>
      <c r="R6159">
        <v>-2.037015E-2</v>
      </c>
      <c r="S6159">
        <v>3.0581360000000002</v>
      </c>
      <c r="T6159">
        <v>-0.24913389999999999</v>
      </c>
      <c r="U6159">
        <v>-0.25149539999999998</v>
      </c>
      <c r="V6159">
        <v>-2.0510219999999999E-2</v>
      </c>
      <c r="W6159">
        <v>0.1489859</v>
      </c>
      <c r="X6159">
        <v>0.98862660000000002</v>
      </c>
      <c r="Y6159">
        <v>3.9480990000000001E-2</v>
      </c>
      <c r="Z6159">
        <v>1.8504909999999999E-3</v>
      </c>
      <c r="AA6159">
        <v>0.99921859999999996</v>
      </c>
      <c r="AB6159">
        <v>31</v>
      </c>
      <c r="AC6159">
        <v>0.71440000000001103</v>
      </c>
      <c r="AD6159">
        <v>-7.1965999999999905E-2</v>
      </c>
      <c r="AE6159">
        <v>-6.4130000000005793E-2</v>
      </c>
      <c r="AF6159">
        <v>3.3331890075517803E-2</v>
      </c>
      <c r="AG6159">
        <v>-7.1965999999999905E-2</v>
      </c>
      <c r="AH6159">
        <v>0.70934133363211704</v>
      </c>
      <c r="AI6159">
        <v>95.786761353695596</v>
      </c>
      <c r="AJ6159">
        <v>87.309655077935204</v>
      </c>
      <c r="AK6159">
        <v>0.71376133801922703</v>
      </c>
      <c r="AL6159">
        <v>81.431837531203996</v>
      </c>
      <c r="AM6159">
        <v>91.188497750537906</v>
      </c>
      <c r="AN6159">
        <v>1.0000000108753999</v>
      </c>
    </row>
    <row r="6160" spans="1:40" x14ac:dyDescent="0.25">
      <c r="A6160" t="str">
        <f>"20190312172238172"</f>
        <v>20190312172238172</v>
      </c>
      <c r="B6160" t="str">
        <f>"1552382558167002"</f>
        <v>1552382558167002</v>
      </c>
      <c r="C6160" t="s">
        <v>40</v>
      </c>
      <c r="D6160">
        <v>3.4294449999999999</v>
      </c>
      <c r="E6160">
        <v>0.5205864</v>
      </c>
      <c r="F6160" t="s">
        <v>41</v>
      </c>
      <c r="G6160">
        <v>-388.0333</v>
      </c>
      <c r="H6160">
        <v>1.0251300000000001</v>
      </c>
      <c r="I6160">
        <v>26.301629999999999</v>
      </c>
      <c r="J6160">
        <v>-388.84969999999998</v>
      </c>
      <c r="K6160">
        <v>1.1068070000000001</v>
      </c>
      <c r="L6160">
        <v>26.374110000000002</v>
      </c>
      <c r="M6160">
        <v>0.99889669999999997</v>
      </c>
      <c r="N6160">
        <v>0</v>
      </c>
      <c r="O6160">
        <v>-4.4882350000000001E-2</v>
      </c>
      <c r="P6160">
        <v>0.99073009999999995</v>
      </c>
      <c r="Q6160">
        <v>0.1340741</v>
      </c>
      <c r="R6160">
        <v>-2.1868930000000002E-2</v>
      </c>
      <c r="S6160">
        <v>3.0575559999999999</v>
      </c>
      <c r="T6160">
        <v>-0.25180629999999998</v>
      </c>
      <c r="U6160">
        <v>-0.25326539999999997</v>
      </c>
      <c r="V6160">
        <v>-2.133473E-2</v>
      </c>
      <c r="W6160">
        <v>0.14796119999999999</v>
      </c>
      <c r="X6160">
        <v>0.98876299999999995</v>
      </c>
      <c r="Y6160">
        <v>3.7757140000000002E-2</v>
      </c>
      <c r="Z6160">
        <v>2.1320139999999998E-3</v>
      </c>
      <c r="AA6160">
        <v>0.99928470000000003</v>
      </c>
      <c r="AB6160">
        <v>31</v>
      </c>
      <c r="AC6160">
        <v>0.81639999999998702</v>
      </c>
      <c r="AD6160">
        <v>-8.1677E-2</v>
      </c>
      <c r="AE6160">
        <v>-7.2479999999998698E-2</v>
      </c>
      <c r="AF6160">
        <v>3.5409849025563801E-2</v>
      </c>
      <c r="AG6160">
        <v>-8.1677E-2</v>
      </c>
      <c r="AH6160">
        <v>0.81077884646222498</v>
      </c>
      <c r="AI6160">
        <v>95.747067245048896</v>
      </c>
      <c r="AJ6160">
        <v>87.499260806302502</v>
      </c>
      <c r="AK6160">
        <v>0.81565147434895902</v>
      </c>
      <c r="AL6160">
        <v>81.491206267191799</v>
      </c>
      <c r="AM6160">
        <v>91.236090280667696</v>
      </c>
      <c r="AN6160">
        <v>0.99999997878930602</v>
      </c>
    </row>
    <row r="6161" spans="1:40" x14ac:dyDescent="0.25">
      <c r="A6161" t="str">
        <f>"20190312172238184"</f>
        <v>20190312172238184</v>
      </c>
      <c r="B6161" t="str">
        <f>"1552382558176763"</f>
        <v>1552382558176763</v>
      </c>
      <c r="C6161" t="s">
        <v>40</v>
      </c>
      <c r="D6161">
        <v>3.4126720000000001</v>
      </c>
      <c r="E6161">
        <v>0.52047140000000003</v>
      </c>
      <c r="F6161" t="s">
        <v>41</v>
      </c>
      <c r="G6161">
        <v>-388.02629999999999</v>
      </c>
      <c r="H6161">
        <v>1.038252</v>
      </c>
      <c r="I6161">
        <v>26.30491</v>
      </c>
      <c r="J6161">
        <v>-388.69220000000001</v>
      </c>
      <c r="K6161">
        <v>1.10680499999999</v>
      </c>
      <c r="L6161">
        <v>26.36505</v>
      </c>
      <c r="M6161">
        <v>0.99880029999999997</v>
      </c>
      <c r="N6161">
        <v>0</v>
      </c>
      <c r="O6161">
        <v>-4.6974259999999997E-2</v>
      </c>
      <c r="P6161">
        <v>0.99077369999999998</v>
      </c>
      <c r="Q6161">
        <v>0.13354630000000001</v>
      </c>
      <c r="R6161">
        <v>-2.308961E-2</v>
      </c>
      <c r="S6161">
        <v>3.056854</v>
      </c>
      <c r="T6161">
        <v>-0.25441619999999998</v>
      </c>
      <c r="U6161">
        <v>-0.2562256</v>
      </c>
      <c r="V6161">
        <v>-2.2196919999999998E-2</v>
      </c>
      <c r="W6161">
        <v>0.14744009999999999</v>
      </c>
      <c r="X6161">
        <v>0.98882190000000003</v>
      </c>
      <c r="Y6161">
        <v>3.6655609999999998E-2</v>
      </c>
      <c r="Z6161">
        <v>2.3733169999999998E-3</v>
      </c>
      <c r="AA6161">
        <v>0.99932520000000002</v>
      </c>
      <c r="AB6161">
        <v>31</v>
      </c>
      <c r="AC6161">
        <v>0.66590000000002103</v>
      </c>
      <c r="AD6161">
        <v>-6.8552999999999795E-2</v>
      </c>
      <c r="AE6161">
        <v>-6.0140000000004003E-2</v>
      </c>
      <c r="AF6161">
        <v>2.8490933831746001E-2</v>
      </c>
      <c r="AG6161">
        <v>-6.8552999999999795E-2</v>
      </c>
      <c r="AH6161">
        <v>0.661040868192874</v>
      </c>
      <c r="AI6161">
        <v>95.915220764451206</v>
      </c>
      <c r="AJ6161">
        <v>87.532073026730799</v>
      </c>
      <c r="AK6161">
        <v>0.66519641951892095</v>
      </c>
      <c r="AL6161">
        <v>81.521394532783404</v>
      </c>
      <c r="AM6161">
        <v>91.285950764270794</v>
      </c>
      <c r="AN6161">
        <v>1.0000000181325499</v>
      </c>
    </row>
    <row r="6162" spans="1:40" x14ac:dyDescent="0.25">
      <c r="A6162" t="str">
        <f>"20190312172238195"</f>
        <v>20190312172238195</v>
      </c>
      <c r="B6162" t="str">
        <f>"1552382558186522"</f>
        <v>1552382558186522</v>
      </c>
      <c r="C6162" t="s">
        <v>40</v>
      </c>
      <c r="D6162">
        <v>3.4423539999999999</v>
      </c>
      <c r="E6162">
        <v>0.52035089999999995</v>
      </c>
      <c r="F6162" t="s">
        <v>41</v>
      </c>
      <c r="G6162">
        <v>-387.75020000000001</v>
      </c>
      <c r="H6162">
        <v>1.027838</v>
      </c>
      <c r="I6162">
        <v>26.284880000000001</v>
      </c>
      <c r="J6162">
        <v>-388.53230000000002</v>
      </c>
      <c r="K6162">
        <v>1.1068039999999999</v>
      </c>
      <c r="L6162">
        <v>26.35547</v>
      </c>
      <c r="M6162">
        <v>0.99869819999999998</v>
      </c>
      <c r="N6162">
        <v>0</v>
      </c>
      <c r="O6162">
        <v>-4.9098700000000002E-2</v>
      </c>
      <c r="P6162">
        <v>0.99079850000000003</v>
      </c>
      <c r="Q6162">
        <v>0.13312109999999999</v>
      </c>
      <c r="R6162">
        <v>-2.4438979999999999E-2</v>
      </c>
      <c r="S6162">
        <v>3.0564269999999998</v>
      </c>
      <c r="T6162">
        <v>-0.25565090000000001</v>
      </c>
      <c r="U6162">
        <v>-0.2583008</v>
      </c>
      <c r="V6162">
        <v>-2.2962199999999999E-2</v>
      </c>
      <c r="W6162">
        <v>0.14702079999999901</v>
      </c>
      <c r="X6162">
        <v>0.98886689999999999</v>
      </c>
      <c r="Y6162">
        <v>3.5227920000000003E-2</v>
      </c>
      <c r="Z6162">
        <v>2.6212990000000001E-3</v>
      </c>
      <c r="AA6162">
        <v>0.99937589999999998</v>
      </c>
      <c r="AB6162">
        <v>31</v>
      </c>
      <c r="AC6162">
        <v>0.78210000000001401</v>
      </c>
      <c r="AD6162">
        <v>-7.8965999999999995E-2</v>
      </c>
      <c r="AE6162">
        <v>-7.0590000000002803E-2</v>
      </c>
      <c r="AF6162">
        <v>3.1779729071191497E-2</v>
      </c>
      <c r="AG6162">
        <v>-7.8965999999999995E-2</v>
      </c>
      <c r="AH6162">
        <v>0.77676817132318698</v>
      </c>
      <c r="AI6162">
        <v>95.799909508034006</v>
      </c>
      <c r="AJ6162">
        <v>87.657178172726205</v>
      </c>
      <c r="AK6162">
        <v>0.78141818018050202</v>
      </c>
      <c r="AL6162">
        <v>81.545683721459696</v>
      </c>
      <c r="AM6162">
        <v>91.330210122494805</v>
      </c>
      <c r="AN6162">
        <v>1.0000000620885401</v>
      </c>
    </row>
    <row r="6163" spans="1:40" x14ac:dyDescent="0.25">
      <c r="A6163" t="str">
        <f>"20190312172238206"</f>
        <v>20190312172238206</v>
      </c>
      <c r="B6163" t="str">
        <f>"1552382558196282"</f>
        <v>1552382558196282</v>
      </c>
      <c r="C6163" t="s">
        <v>40</v>
      </c>
      <c r="D6163">
        <v>3.4282020000000002</v>
      </c>
      <c r="E6163">
        <v>0.52022979999999996</v>
      </c>
      <c r="F6163" t="s">
        <v>41</v>
      </c>
      <c r="G6163">
        <v>-387.74250000000001</v>
      </c>
      <c r="H6163">
        <v>1.040333</v>
      </c>
      <c r="I6163">
        <v>26.287590000000002</v>
      </c>
      <c r="J6163">
        <v>-388.37970000000001</v>
      </c>
      <c r="K6163">
        <v>1.1068039999999999</v>
      </c>
      <c r="L6163">
        <v>26.34601</v>
      </c>
      <c r="M6163">
        <v>0.99859640000000005</v>
      </c>
      <c r="N6163">
        <v>0</v>
      </c>
      <c r="O6163">
        <v>-5.1127529999999997E-2</v>
      </c>
      <c r="P6163">
        <v>0.99068120000000004</v>
      </c>
      <c r="Q6163">
        <v>0.13372829999999999</v>
      </c>
      <c r="R6163">
        <v>-2.5837590000000001E-2</v>
      </c>
      <c r="S6163">
        <v>3.055939</v>
      </c>
      <c r="T6163">
        <v>-0.25657249999999998</v>
      </c>
      <c r="U6163">
        <v>-0.26046750000000002</v>
      </c>
      <c r="V6163">
        <v>-2.3567359999999999E-2</v>
      </c>
      <c r="W6163">
        <v>0.14763109999999999</v>
      </c>
      <c r="X6163">
        <v>0.98876169999999997</v>
      </c>
      <c r="Y6163">
        <v>3.3926449999999997E-2</v>
      </c>
      <c r="Z6163">
        <v>2.8548850000000001E-3</v>
      </c>
      <c r="AA6163">
        <v>0.99942019999999998</v>
      </c>
      <c r="AB6163">
        <v>31</v>
      </c>
      <c r="AC6163">
        <v>0.63720000000000698</v>
      </c>
      <c r="AD6163">
        <v>-6.6471000000000099E-2</v>
      </c>
      <c r="AE6163">
        <v>-5.8419999999994497E-2</v>
      </c>
      <c r="AF6163">
        <v>2.5486962709044499E-2</v>
      </c>
      <c r="AG6163">
        <v>-6.6471000000000099E-2</v>
      </c>
      <c r="AH6163">
        <v>0.632527765876293</v>
      </c>
      <c r="AI6163">
        <v>95.994244301053399</v>
      </c>
      <c r="AJ6163">
        <v>87.692582151404693</v>
      </c>
      <c r="AK6163">
        <v>0.63652129085647002</v>
      </c>
      <c r="AL6163">
        <v>81.510330064656699</v>
      </c>
      <c r="AM6163">
        <v>91.365399405649995</v>
      </c>
      <c r="AN6163">
        <v>1.00000003076573</v>
      </c>
    </row>
    <row r="6164" spans="1:40" x14ac:dyDescent="0.25">
      <c r="A6164" t="str">
        <f>"20190312172238217"</f>
        <v>20190312172238217</v>
      </c>
      <c r="B6164" t="str">
        <f>"1552382558207018"</f>
        <v>1552382558207018</v>
      </c>
      <c r="C6164" t="s">
        <v>40</v>
      </c>
      <c r="D6164">
        <v>3.4295469999999999</v>
      </c>
      <c r="E6164">
        <v>0.52010800000000001</v>
      </c>
      <c r="F6164" t="s">
        <v>41</v>
      </c>
      <c r="G6164">
        <v>-387.46730000000002</v>
      </c>
      <c r="H6164">
        <v>1.0308120000000001</v>
      </c>
      <c r="I6164">
        <v>26.267379999999999</v>
      </c>
      <c r="J6164">
        <v>-388.2217</v>
      </c>
      <c r="K6164">
        <v>1.10680499999999</v>
      </c>
      <c r="L6164">
        <v>26.33597</v>
      </c>
      <c r="M6164">
        <v>0.99848669999999995</v>
      </c>
      <c r="N6164">
        <v>0</v>
      </c>
      <c r="O6164">
        <v>-5.3228579999999998E-2</v>
      </c>
      <c r="P6164">
        <v>0.99055389999999999</v>
      </c>
      <c r="Q6164">
        <v>0.13439179999999901</v>
      </c>
      <c r="R6164">
        <v>-2.7243940000000001E-2</v>
      </c>
      <c r="S6164">
        <v>3.0556950000000001</v>
      </c>
      <c r="T6164">
        <v>-0.25434879999999999</v>
      </c>
      <c r="U6164">
        <v>-0.26287840000000001</v>
      </c>
      <c r="V6164">
        <v>-2.4235349999999999E-2</v>
      </c>
      <c r="W6164">
        <v>0.14829790000000001</v>
      </c>
      <c r="X6164">
        <v>0.98864569999999996</v>
      </c>
      <c r="Y6164">
        <v>3.262367E-2</v>
      </c>
      <c r="Z6164">
        <v>3.0582700000000001E-3</v>
      </c>
      <c r="AA6164">
        <v>0.99946299999999999</v>
      </c>
      <c r="AB6164">
        <v>31</v>
      </c>
      <c r="AC6164">
        <v>0.75439999999997498</v>
      </c>
      <c r="AD6164">
        <v>-7.59929999999997E-2</v>
      </c>
      <c r="AE6164">
        <v>-6.8590000000000304E-2</v>
      </c>
      <c r="AF6164">
        <v>2.8050964823626401E-2</v>
      </c>
      <c r="AG6164">
        <v>-7.59929999999997E-2</v>
      </c>
      <c r="AH6164">
        <v>0.74943930031742101</v>
      </c>
      <c r="AI6164">
        <v>95.785967004954202</v>
      </c>
      <c r="AJ6164">
        <v>87.856461505747006</v>
      </c>
      <c r="AK6164">
        <v>0.75380438943853501</v>
      </c>
      <c r="AL6164">
        <v>81.471699501428702</v>
      </c>
      <c r="AM6164">
        <v>91.404249497482397</v>
      </c>
      <c r="AN6164">
        <v>0.99999996973126004</v>
      </c>
    </row>
    <row r="6165" spans="1:40" x14ac:dyDescent="0.25">
      <c r="A6165" t="str">
        <f>"20190312172238229"</f>
        <v>20190312172238229</v>
      </c>
      <c r="B6165" t="str">
        <f>"1552382558226538"</f>
        <v>1552382558226538</v>
      </c>
      <c r="C6165" t="s">
        <v>40</v>
      </c>
      <c r="D6165">
        <v>3.4490050000000001</v>
      </c>
      <c r="E6165">
        <v>0.51988380000000001</v>
      </c>
      <c r="F6165" t="s">
        <v>41</v>
      </c>
      <c r="G6165">
        <v>-387.45780000000002</v>
      </c>
      <c r="H6165">
        <v>1.043817</v>
      </c>
      <c r="I6165">
        <v>26.26934</v>
      </c>
      <c r="J6165">
        <v>-388.0643</v>
      </c>
      <c r="K6165">
        <v>1.106808</v>
      </c>
      <c r="L6165">
        <v>26.325500000000002</v>
      </c>
      <c r="M6165">
        <v>0.99837299999999995</v>
      </c>
      <c r="N6165">
        <v>0</v>
      </c>
      <c r="O6165">
        <v>-5.5321049999999997E-2</v>
      </c>
      <c r="P6165">
        <v>0.99041270000000003</v>
      </c>
      <c r="Q6165">
        <v>0.1351079</v>
      </c>
      <c r="R6165">
        <v>-2.8788770000000002E-2</v>
      </c>
      <c r="S6165">
        <v>3.05545</v>
      </c>
      <c r="T6165">
        <v>-0.25178850000000003</v>
      </c>
      <c r="U6165">
        <v>-0.26593020000000001</v>
      </c>
      <c r="V6165">
        <v>-2.475546E-2</v>
      </c>
      <c r="W6165">
        <v>0.14901510000000001</v>
      </c>
      <c r="X6165">
        <v>0.98852499999999999</v>
      </c>
      <c r="Y6165">
        <v>3.1535929999999997E-2</v>
      </c>
      <c r="Z6165">
        <v>3.24377E-3</v>
      </c>
      <c r="AA6165">
        <v>0.99949739999999998</v>
      </c>
      <c r="AB6165">
        <v>31</v>
      </c>
      <c r="AC6165">
        <v>0.60649999999998205</v>
      </c>
      <c r="AD6165">
        <v>-6.2991000000000005E-2</v>
      </c>
      <c r="AE6165">
        <v>-5.6159999999998399E-2</v>
      </c>
      <c r="AF6165">
        <v>2.22802695480456E-2</v>
      </c>
      <c r="AG6165">
        <v>-6.2991000000000005E-2</v>
      </c>
      <c r="AH6165">
        <v>0.60223713973215798</v>
      </c>
      <c r="AI6165">
        <v>95.967088162714305</v>
      </c>
      <c r="AJ6165">
        <v>87.881260724803496</v>
      </c>
      <c r="AK6165">
        <v>0.60593221482679405</v>
      </c>
      <c r="AL6165">
        <v>81.430145550313199</v>
      </c>
      <c r="AM6165">
        <v>91.434548422769396</v>
      </c>
      <c r="AN6165">
        <v>1.0000000042264101</v>
      </c>
    </row>
    <row r="6166" spans="1:40" x14ac:dyDescent="0.25">
      <c r="A6166" t="str">
        <f>"20190312172238241"</f>
        <v>20190312172238241</v>
      </c>
      <c r="B6166" t="str">
        <f>"1552382558236297"</f>
        <v>1552382558236297</v>
      </c>
      <c r="C6166" t="s">
        <v>40</v>
      </c>
      <c r="D6166">
        <v>3.4599950000000002</v>
      </c>
      <c r="E6166">
        <v>0.51978009999999997</v>
      </c>
      <c r="F6166" t="s">
        <v>41</v>
      </c>
      <c r="G6166">
        <v>-387.1841</v>
      </c>
      <c r="H6166">
        <v>1.0352079999999999</v>
      </c>
      <c r="I6166">
        <v>26.247800000000002</v>
      </c>
      <c r="J6166">
        <v>-387.89690000000002</v>
      </c>
      <c r="K6166">
        <v>1.1068089999999999</v>
      </c>
      <c r="L6166">
        <v>26.314150000000001</v>
      </c>
      <c r="M6166">
        <v>0.99824710000000005</v>
      </c>
      <c r="N6166">
        <v>0</v>
      </c>
      <c r="O6166">
        <v>-5.7547250000000001E-2</v>
      </c>
      <c r="P6166">
        <v>0.99027929999999997</v>
      </c>
      <c r="Q6166">
        <v>0.13573460000000001</v>
      </c>
      <c r="R6166">
        <v>-3.038768E-2</v>
      </c>
      <c r="S6166">
        <v>3.0550540000000002</v>
      </c>
      <c r="T6166">
        <v>-0.24827560000000001</v>
      </c>
      <c r="U6166">
        <v>-0.26876830000000002</v>
      </c>
      <c r="V6166">
        <v>-2.5355889999999999E-2</v>
      </c>
      <c r="W6166">
        <v>0.14964459999999999</v>
      </c>
      <c r="X6166">
        <v>0.98841469999999998</v>
      </c>
      <c r="Y6166">
        <v>3.024899E-2</v>
      </c>
      <c r="Z6166">
        <v>3.4308770000000001E-3</v>
      </c>
      <c r="AA6166">
        <v>0.99953650000000005</v>
      </c>
      <c r="AB6166">
        <v>31</v>
      </c>
      <c r="AC6166">
        <v>0.71280000000001498</v>
      </c>
      <c r="AD6166">
        <v>-7.1600999999999998E-2</v>
      </c>
      <c r="AE6166">
        <v>-6.6349999999999895E-2</v>
      </c>
      <c r="AF6166">
        <v>2.4966667697415301E-2</v>
      </c>
      <c r="AG6166">
        <v>-7.1600999999999998E-2</v>
      </c>
      <c r="AH6166">
        <v>0.708351079032569</v>
      </c>
      <c r="AI6166">
        <v>95.768365520575898</v>
      </c>
      <c r="AJ6166">
        <v>87.981378428500193</v>
      </c>
      <c r="AK6166">
        <v>0.71239826562360298</v>
      </c>
      <c r="AL6166">
        <v>81.393669025012002</v>
      </c>
      <c r="AM6166">
        <v>91.469491424076807</v>
      </c>
      <c r="AN6166">
        <v>1.0000000233214701</v>
      </c>
    </row>
    <row r="6167" spans="1:40" x14ac:dyDescent="0.25">
      <c r="A6167" t="str">
        <f>"20190312172238251"</f>
        <v>20190312172238251</v>
      </c>
      <c r="B6167" t="str">
        <f>"1552382558247035"</f>
        <v>1552382558247035</v>
      </c>
      <c r="C6167" t="s">
        <v>40</v>
      </c>
      <c r="D6167">
        <v>3.4610099999999999</v>
      </c>
      <c r="E6167">
        <v>0.51967410000000003</v>
      </c>
      <c r="F6167" t="s">
        <v>41</v>
      </c>
      <c r="G6167">
        <v>-386.90730000000002</v>
      </c>
      <c r="H6167">
        <v>1.027285</v>
      </c>
      <c r="I6167">
        <v>26.2255</v>
      </c>
      <c r="J6167">
        <v>-387.74419999999998</v>
      </c>
      <c r="K6167">
        <v>1.106808</v>
      </c>
      <c r="L6167">
        <v>26.303280000000001</v>
      </c>
      <c r="M6167">
        <v>0.99812780000000001</v>
      </c>
      <c r="N6167">
        <v>0</v>
      </c>
      <c r="O6167">
        <v>-5.9578310000000002E-2</v>
      </c>
      <c r="P6167">
        <v>0.99013899999999999</v>
      </c>
      <c r="Q6167">
        <v>0.1363154</v>
      </c>
      <c r="R6167">
        <v>-3.2298260000000002E-2</v>
      </c>
      <c r="S6167">
        <v>3.0546880000000001</v>
      </c>
      <c r="T6167">
        <v>-0.2454604</v>
      </c>
      <c r="U6167">
        <v>-0.2735901</v>
      </c>
      <c r="V6167">
        <v>-2.5451660000000001E-2</v>
      </c>
      <c r="W6167">
        <v>0.150224</v>
      </c>
      <c r="X6167">
        <v>0.98832430000000004</v>
      </c>
      <c r="Y6167">
        <v>2.9796929999999999E-2</v>
      </c>
      <c r="Z6167">
        <v>3.5725259999999999E-3</v>
      </c>
      <c r="AA6167">
        <v>0.99954960000000004</v>
      </c>
      <c r="AB6167">
        <v>31</v>
      </c>
      <c r="AC6167">
        <v>0.83689999999995701</v>
      </c>
      <c r="AD6167">
        <v>-7.9522999999999996E-2</v>
      </c>
      <c r="AE6167">
        <v>-7.7779999999997004E-2</v>
      </c>
      <c r="AF6167">
        <v>2.752951513936E-2</v>
      </c>
      <c r="AG6167">
        <v>-7.9522999999999996E-2</v>
      </c>
      <c r="AH6167">
        <v>0.832594422796194</v>
      </c>
      <c r="AI6167">
        <v>95.452938622654401</v>
      </c>
      <c r="AJ6167">
        <v>88.106220092874807</v>
      </c>
      <c r="AK6167">
        <v>0.83683645630680803</v>
      </c>
      <c r="AL6167">
        <v>81.360091917169797</v>
      </c>
      <c r="AM6167">
        <v>91.475174151512405</v>
      </c>
      <c r="AN6167">
        <v>0.99999997957162201</v>
      </c>
    </row>
    <row r="6168" spans="1:40" x14ac:dyDescent="0.25">
      <c r="A6168" t="str">
        <f>"20190312172238271"</f>
        <v>20190312172238271</v>
      </c>
      <c r="B6168" t="str">
        <f>"1552382558266555"</f>
        <v>1552382558266555</v>
      </c>
      <c r="C6168" t="s">
        <v>40</v>
      </c>
      <c r="D6168">
        <v>3.4736220000000002</v>
      </c>
      <c r="E6168">
        <v>0.51947469999999996</v>
      </c>
      <c r="F6168" t="s">
        <v>41</v>
      </c>
      <c r="G6168">
        <v>-386.89980000000003</v>
      </c>
      <c r="H6168">
        <v>1.039641</v>
      </c>
      <c r="I6168">
        <v>26.226040000000001</v>
      </c>
      <c r="J6168">
        <v>-387.47179999999997</v>
      </c>
      <c r="K6168">
        <v>1.106814</v>
      </c>
      <c r="L6168">
        <v>26.283359999999998</v>
      </c>
      <c r="M6168">
        <v>0.99790500000000004</v>
      </c>
      <c r="N6168">
        <v>0</v>
      </c>
      <c r="O6168">
        <v>-6.3201660000000007E-2</v>
      </c>
      <c r="P6168">
        <v>0.9898979</v>
      </c>
      <c r="Q6168">
        <v>0.13738499999999901</v>
      </c>
      <c r="R6168">
        <v>-3.5036789999999998E-2</v>
      </c>
      <c r="S6168">
        <v>3.0541990000000001</v>
      </c>
      <c r="T6168">
        <v>-0.2429219</v>
      </c>
      <c r="U6168">
        <v>-0.27929690000000001</v>
      </c>
      <c r="V6168">
        <v>-2.629041E-2</v>
      </c>
      <c r="W6168">
        <v>0.15129589999999901</v>
      </c>
      <c r="X6168">
        <v>0.98813890000000004</v>
      </c>
      <c r="Y6168">
        <v>2.804945E-2</v>
      </c>
      <c r="Z6168">
        <v>3.8914959999999999E-3</v>
      </c>
      <c r="AA6168">
        <v>0.99959900000000002</v>
      </c>
      <c r="AB6168">
        <v>31</v>
      </c>
      <c r="AC6168">
        <v>0.571999999999945</v>
      </c>
      <c r="AD6168">
        <v>-6.7172999999999899E-2</v>
      </c>
      <c r="AE6168">
        <v>-5.7319999999997102E-2</v>
      </c>
      <c r="AF6168">
        <v>2.07670254776002E-2</v>
      </c>
      <c r="AG6168">
        <v>-6.7172999999999899E-2</v>
      </c>
      <c r="AH6168">
        <v>0.56674104251035196</v>
      </c>
      <c r="AI6168">
        <v>96.754957643256304</v>
      </c>
      <c r="AJ6168">
        <v>87.901456381307298</v>
      </c>
      <c r="AK6168">
        <v>0.57108571207998904</v>
      </c>
      <c r="AL6168">
        <v>81.297967206396507</v>
      </c>
      <c r="AM6168">
        <v>91.524051176193694</v>
      </c>
      <c r="AN6168">
        <v>1.00000006035399</v>
      </c>
    </row>
    <row r="6169" spans="1:40" x14ac:dyDescent="0.25">
      <c r="A6169" t="str">
        <f>"20190312172238283"</f>
        <v>20190312172238283</v>
      </c>
      <c r="B6169" t="str">
        <f>"1552382558276316"</f>
        <v>1552382558276316</v>
      </c>
      <c r="C6169" t="s">
        <v>40</v>
      </c>
      <c r="D6169">
        <v>3.4598589999999998</v>
      </c>
      <c r="E6169">
        <v>0.51936870000000002</v>
      </c>
      <c r="F6169" t="s">
        <v>41</v>
      </c>
      <c r="G6169">
        <v>-386.61900000000003</v>
      </c>
      <c r="H6169">
        <v>1.0401590000000001</v>
      </c>
      <c r="I6169">
        <v>26.202809999999999</v>
      </c>
      <c r="J6169">
        <v>-387.30939999999998</v>
      </c>
      <c r="K6169">
        <v>1.106816</v>
      </c>
      <c r="L6169">
        <v>26.27103</v>
      </c>
      <c r="M6169">
        <v>0.99776589999999998</v>
      </c>
      <c r="N6169">
        <v>0</v>
      </c>
      <c r="O6169">
        <v>-6.5361440000000007E-2</v>
      </c>
      <c r="P6169">
        <v>0.98966969999999999</v>
      </c>
      <c r="Q6169">
        <v>0.1385729</v>
      </c>
      <c r="R6169">
        <v>-3.6765630000000001E-2</v>
      </c>
      <c r="S6169">
        <v>3.053528</v>
      </c>
      <c r="T6169">
        <v>-0.23830270000000001</v>
      </c>
      <c r="U6169">
        <v>-0.28717039999999999</v>
      </c>
      <c r="V6169">
        <v>-2.6684099999999999E-2</v>
      </c>
      <c r="W6169">
        <v>0.1524836</v>
      </c>
      <c r="X6169">
        <v>0.98794570000000004</v>
      </c>
      <c r="Y6169">
        <v>2.8462379999999999E-2</v>
      </c>
      <c r="Z6169">
        <v>3.9693829999999999E-3</v>
      </c>
      <c r="AA6169">
        <v>0.999587</v>
      </c>
      <c r="AB6169">
        <v>31</v>
      </c>
      <c r="AC6169">
        <v>0.69039999999995405</v>
      </c>
      <c r="AD6169">
        <v>-6.6656999999999897E-2</v>
      </c>
      <c r="AE6169">
        <v>-6.82200000000001E-2</v>
      </c>
      <c r="AF6169">
        <v>2.2734372518880899E-2</v>
      </c>
      <c r="AG6169">
        <v>-6.6656999999999897E-2</v>
      </c>
      <c r="AH6169">
        <v>0.68704040527726995</v>
      </c>
      <c r="AI6169">
        <v>95.538508350868298</v>
      </c>
      <c r="AJ6169">
        <v>88.104757059061996</v>
      </c>
      <c r="AK6169">
        <v>0.69064066331659302</v>
      </c>
      <c r="AL6169">
        <v>81.229117631197298</v>
      </c>
      <c r="AM6169">
        <v>91.547164673993905</v>
      </c>
      <c r="AN6169">
        <v>0.99999999780512905</v>
      </c>
    </row>
    <row r="6170" spans="1:40" x14ac:dyDescent="0.25">
      <c r="A6170" t="str">
        <f>"20190312172238293"</f>
        <v>20190312172238293</v>
      </c>
      <c r="B6170" t="str">
        <f>"1552382558287050"</f>
        <v>1552382558287050</v>
      </c>
      <c r="C6170" t="s">
        <v>40</v>
      </c>
      <c r="D6170">
        <v>3.4762620000000002</v>
      </c>
      <c r="E6170">
        <v>0.51926439999999996</v>
      </c>
      <c r="F6170" t="s">
        <v>41</v>
      </c>
      <c r="G6170">
        <v>-386.34410000000003</v>
      </c>
      <c r="H6170">
        <v>1.0327999999999999</v>
      </c>
      <c r="I6170">
        <v>26.178360000000001</v>
      </c>
      <c r="J6170">
        <v>-387.1454</v>
      </c>
      <c r="K6170">
        <v>1.1068150000000001</v>
      </c>
      <c r="L6170">
        <v>26.258120000000002</v>
      </c>
      <c r="M6170">
        <v>0.99762059999999997</v>
      </c>
      <c r="N6170">
        <v>0</v>
      </c>
      <c r="O6170">
        <v>-6.7542779999999997E-2</v>
      </c>
      <c r="P6170">
        <v>0.98957910000000004</v>
      </c>
      <c r="Q6170">
        <v>0.1386791</v>
      </c>
      <c r="R6170">
        <v>-3.874739E-2</v>
      </c>
      <c r="S6170">
        <v>3.0531920000000001</v>
      </c>
      <c r="T6170">
        <v>-0.23391300000000001</v>
      </c>
      <c r="U6170">
        <v>-0.29235840000000002</v>
      </c>
      <c r="V6170">
        <v>-2.6865489999999999E-2</v>
      </c>
      <c r="W6170">
        <v>0.15258959999999999</v>
      </c>
      <c r="X6170">
        <v>0.98792440000000004</v>
      </c>
      <c r="Y6170">
        <v>2.797413E-2</v>
      </c>
      <c r="Z6170">
        <v>4.0811270000000004E-3</v>
      </c>
      <c r="AA6170">
        <v>0.9996003</v>
      </c>
      <c r="AB6170">
        <v>31</v>
      </c>
      <c r="AC6170">
        <v>0.80129999999996904</v>
      </c>
      <c r="AD6170">
        <v>-7.40149999999999E-2</v>
      </c>
      <c r="AE6170">
        <v>-7.9760000000000206E-2</v>
      </c>
      <c r="AF6170">
        <v>2.5237409227570999E-2</v>
      </c>
      <c r="AG6170">
        <v>-7.40149999999999E-2</v>
      </c>
      <c r="AH6170">
        <v>0.79811482696873504</v>
      </c>
      <c r="AI6170">
        <v>95.295668872820201</v>
      </c>
      <c r="AJ6170">
        <v>88.188837844618604</v>
      </c>
      <c r="AK6170">
        <v>0.80193667086426101</v>
      </c>
      <c r="AL6170">
        <v>81.222972211132401</v>
      </c>
      <c r="AM6170">
        <v>91.557710209470301</v>
      </c>
      <c r="AN6170">
        <v>0.99999998034822901</v>
      </c>
    </row>
    <row r="6171" spans="1:40" x14ac:dyDescent="0.25">
      <c r="A6171" t="str">
        <f>"20190312172238307"</f>
        <v>20190312172238307</v>
      </c>
      <c r="B6171" t="str">
        <f>"1552382558296811"</f>
        <v>1552382558296811</v>
      </c>
      <c r="C6171" t="s">
        <v>40</v>
      </c>
      <c r="D6171">
        <v>3.482618</v>
      </c>
      <c r="E6171">
        <v>0.51915599999999995</v>
      </c>
      <c r="F6171" t="s">
        <v>41</v>
      </c>
      <c r="G6171">
        <v>-386.33449999999999</v>
      </c>
      <c r="H6171">
        <v>1.044886</v>
      </c>
      <c r="I6171">
        <v>26.178699999999999</v>
      </c>
      <c r="J6171">
        <v>-386.97489999999999</v>
      </c>
      <c r="K6171">
        <v>1.1068169999999999</v>
      </c>
      <c r="L6171">
        <v>26.244350000000001</v>
      </c>
      <c r="M6171">
        <v>0.99746480000000004</v>
      </c>
      <c r="N6171">
        <v>0</v>
      </c>
      <c r="O6171">
        <v>-6.9806699999999999E-2</v>
      </c>
      <c r="P6171">
        <v>0.98958959999999996</v>
      </c>
      <c r="Q6171">
        <v>0.1379871</v>
      </c>
      <c r="R6171">
        <v>-4.0891459999999998E-2</v>
      </c>
      <c r="S6171">
        <v>3.052521</v>
      </c>
      <c r="T6171">
        <v>-0.23290369999999999</v>
      </c>
      <c r="U6171">
        <v>-0.29806519999999997</v>
      </c>
      <c r="V6171">
        <v>-2.6981459999999999E-2</v>
      </c>
      <c r="W6171">
        <v>0.1518987</v>
      </c>
      <c r="X6171">
        <v>0.98802780000000001</v>
      </c>
      <c r="Y6171">
        <v>2.758449E-2</v>
      </c>
      <c r="Z6171">
        <v>4.2503200000000001E-3</v>
      </c>
      <c r="AA6171">
        <v>0.99961040000000001</v>
      </c>
      <c r="AB6171">
        <v>31</v>
      </c>
      <c r="AC6171">
        <v>0.64039999999999897</v>
      </c>
      <c r="AD6171">
        <v>-6.1930999999999903E-2</v>
      </c>
      <c r="AE6171">
        <v>-6.5650000000001499E-2</v>
      </c>
      <c r="AF6171">
        <v>2.0590771903484101E-2</v>
      </c>
      <c r="AG6171">
        <v>-6.1930999999999903E-2</v>
      </c>
      <c r="AH6171">
        <v>0.63752050673750904</v>
      </c>
      <c r="AI6171">
        <v>95.545631419628293</v>
      </c>
      <c r="AJ6171">
        <v>88.150091898585401</v>
      </c>
      <c r="AK6171">
        <v>0.64085242073306703</v>
      </c>
      <c r="AL6171">
        <v>81.263025586668505</v>
      </c>
      <c r="AM6171">
        <v>91.564267386697907</v>
      </c>
      <c r="AN6171">
        <v>1.0000000739091199</v>
      </c>
    </row>
    <row r="6172" spans="1:40" x14ac:dyDescent="0.25">
      <c r="A6172" t="str">
        <f>"20190312172238319"</f>
        <v>20190312172238319</v>
      </c>
      <c r="B6172" t="str">
        <f>"1552382558316330"</f>
        <v>1552382558316330</v>
      </c>
      <c r="C6172" t="s">
        <v>40</v>
      </c>
      <c r="D6172">
        <v>3.4285040000000002</v>
      </c>
      <c r="E6172">
        <v>0.51895139999999995</v>
      </c>
      <c r="F6172" t="s">
        <v>41</v>
      </c>
      <c r="G6172">
        <v>-386.06240000000003</v>
      </c>
      <c r="H6172">
        <v>1.0365439999999999</v>
      </c>
      <c r="I6172">
        <v>26.153030000000001</v>
      </c>
      <c r="J6172">
        <v>-386.7946</v>
      </c>
      <c r="K6172">
        <v>1.1068209999999901</v>
      </c>
      <c r="L6172">
        <v>26.229489999999998</v>
      </c>
      <c r="M6172">
        <v>0.99729440000000003</v>
      </c>
      <c r="N6172">
        <v>0</v>
      </c>
      <c r="O6172">
        <v>-7.2199330000000006E-2</v>
      </c>
      <c r="P6172">
        <v>0.98954399999999998</v>
      </c>
      <c r="Q6172">
        <v>0.13763639999999999</v>
      </c>
      <c r="R6172">
        <v>-4.3114270000000003E-2</v>
      </c>
      <c r="S6172">
        <v>3.051666</v>
      </c>
      <c r="T6172">
        <v>-0.23460249999999999</v>
      </c>
      <c r="U6172">
        <v>-0.30398560000000002</v>
      </c>
      <c r="V6172">
        <v>-2.7141229999999999E-2</v>
      </c>
      <c r="W6172">
        <v>0.1515485</v>
      </c>
      <c r="X6172">
        <v>0.98807710000000004</v>
      </c>
      <c r="Y6172">
        <v>2.7144189999999999E-2</v>
      </c>
      <c r="Z6172">
        <v>4.4813450000000003E-3</v>
      </c>
      <c r="AA6172">
        <v>0.99962150000000005</v>
      </c>
      <c r="AB6172">
        <v>31</v>
      </c>
      <c r="AC6172">
        <v>0.73219999999997698</v>
      </c>
      <c r="AD6172">
        <v>-7.0276999999999701E-2</v>
      </c>
      <c r="AE6172">
        <v>-7.6460000000004399E-2</v>
      </c>
      <c r="AF6172">
        <v>2.31797808172504E-2</v>
      </c>
      <c r="AG6172">
        <v>-7.0276999999999701E-2</v>
      </c>
      <c r="AH6172">
        <v>0.72916483444168301</v>
      </c>
      <c r="AI6172">
        <v>95.502407982452397</v>
      </c>
      <c r="AJ6172">
        <v>88.179209366895506</v>
      </c>
      <c r="AK6172">
        <v>0.732910304712727</v>
      </c>
      <c r="AL6172">
        <v>81.2833247111666</v>
      </c>
      <c r="AM6172">
        <v>91.573447040044698</v>
      </c>
      <c r="AN6172">
        <v>0.999999974881286</v>
      </c>
    </row>
    <row r="6173" spans="1:40" x14ac:dyDescent="0.25">
      <c r="A6173" t="str">
        <f>"20190312172238332"</f>
        <v>20190312172238332</v>
      </c>
      <c r="B6173" t="str">
        <f>"1552382558327066"</f>
        <v>1552382558327066</v>
      </c>
      <c r="C6173" t="s">
        <v>40</v>
      </c>
      <c r="D6173">
        <v>3.4855640000000001</v>
      </c>
      <c r="E6173">
        <v>0.51883210000000002</v>
      </c>
      <c r="F6173" t="s">
        <v>68</v>
      </c>
      <c r="G6173">
        <v>-372.47129999999999</v>
      </c>
      <c r="H6173" s="1">
        <v>-4.6778789999999998E-6</v>
      </c>
      <c r="I6173">
        <v>24.77806</v>
      </c>
      <c r="J6173">
        <v>-386.61700000000002</v>
      </c>
      <c r="K6173">
        <v>1.1068370000000001</v>
      </c>
      <c r="L6173">
        <v>26.214200000000002</v>
      </c>
      <c r="M6173">
        <v>0.99712179999999995</v>
      </c>
      <c r="N6173">
        <v>0</v>
      </c>
      <c r="O6173">
        <v>-7.4546080000000001E-2</v>
      </c>
      <c r="P6173">
        <v>0.98946820000000002</v>
      </c>
      <c r="Q6173">
        <v>0.1373875</v>
      </c>
      <c r="R6173">
        <v>-4.5578830000000001E-2</v>
      </c>
      <c r="S6173">
        <v>3.051056</v>
      </c>
      <c r="T6173">
        <v>-0.23576859999999999</v>
      </c>
      <c r="U6173">
        <v>-0.30917359999999999</v>
      </c>
      <c r="V6173">
        <v>-2.7014130000000001E-2</v>
      </c>
      <c r="W6173">
        <v>0.15129690000000001</v>
      </c>
      <c r="X6173">
        <v>0.98811919999999998</v>
      </c>
      <c r="Y6173">
        <v>2.6504320000000001E-2</v>
      </c>
      <c r="Z6173">
        <v>4.7085349999999998E-3</v>
      </c>
      <c r="AA6173">
        <v>0.99963760000000002</v>
      </c>
      <c r="AB6173">
        <v>31</v>
      </c>
      <c r="AC6173">
        <v>14.1456999999999</v>
      </c>
      <c r="AD6173">
        <v>-1.106841677879</v>
      </c>
      <c r="AE6173">
        <v>-1.43614</v>
      </c>
      <c r="AF6173">
        <v>0.375262007156831</v>
      </c>
      <c r="AG6173">
        <v>-1.106841677879</v>
      </c>
      <c r="AH6173">
        <v>14.1277882734119</v>
      </c>
      <c r="AI6173">
        <v>94.478114840454197</v>
      </c>
      <c r="AJ6173">
        <v>88.478468507173105</v>
      </c>
      <c r="AK6173">
        <v>14.1760474594388</v>
      </c>
      <c r="AL6173">
        <v>81.297909014795295</v>
      </c>
      <c r="AM6173">
        <v>91.566015711982402</v>
      </c>
      <c r="AN6173">
        <v>1.0000000342889499</v>
      </c>
    </row>
    <row r="6174" spans="1:40" x14ac:dyDescent="0.25">
      <c r="A6174" t="str">
        <f>"20190312172238349"</f>
        <v>20190312172238349</v>
      </c>
      <c r="B6174" t="str">
        <f>"1552382558346588"</f>
        <v>1552382558346588</v>
      </c>
      <c r="C6174" t="s">
        <v>40</v>
      </c>
      <c r="D6174">
        <v>3.4729009999999998</v>
      </c>
      <c r="E6174">
        <v>0.51860759999999995</v>
      </c>
      <c r="F6174" t="s">
        <v>41</v>
      </c>
      <c r="G6174">
        <v>-385.77800000000002</v>
      </c>
      <c r="H6174">
        <v>1.0418480000000001</v>
      </c>
      <c r="I6174">
        <v>26.12735</v>
      </c>
      <c r="J6174">
        <v>-386.37639999999999</v>
      </c>
      <c r="K6174">
        <v>1.106857</v>
      </c>
      <c r="L6174">
        <v>26.192990000000002</v>
      </c>
      <c r="M6174">
        <v>0.99688010000000005</v>
      </c>
      <c r="N6174">
        <v>0</v>
      </c>
      <c r="O6174">
        <v>-7.7712600000000007E-2</v>
      </c>
      <c r="P6174">
        <v>0.98935399999999996</v>
      </c>
      <c r="Q6174">
        <v>0.13713139999999999</v>
      </c>
      <c r="R6174">
        <v>-4.8722000000000001E-2</v>
      </c>
      <c r="S6174">
        <v>3.0501710000000002</v>
      </c>
      <c r="T6174">
        <v>-0.23619200000000001</v>
      </c>
      <c r="U6174">
        <v>-0.31546020000000002</v>
      </c>
      <c r="V6174">
        <v>-2.7024630000000001E-2</v>
      </c>
      <c r="W6174">
        <v>0.15103849999999999</v>
      </c>
      <c r="X6174">
        <v>0.98815839999999999</v>
      </c>
      <c r="Y6174">
        <v>2.5410490000000001E-2</v>
      </c>
      <c r="Z6174">
        <v>5.0030959999999899E-3</v>
      </c>
      <c r="AA6174">
        <v>0.99966460000000001</v>
      </c>
      <c r="AB6174">
        <v>31</v>
      </c>
      <c r="AC6174">
        <v>0.59839999999996896</v>
      </c>
      <c r="AD6174">
        <v>-6.5009000000000094E-2</v>
      </c>
      <c r="AE6174">
        <v>-6.5639999999998297E-2</v>
      </c>
      <c r="AF6174">
        <v>1.8715537709956199E-2</v>
      </c>
      <c r="AG6174">
        <v>-6.5009000000000094E-2</v>
      </c>
      <c r="AH6174">
        <v>0.59475553602965503</v>
      </c>
      <c r="AI6174">
        <v>96.234817454168393</v>
      </c>
      <c r="AJ6174">
        <v>88.197633269580294</v>
      </c>
      <c r="AK6174">
        <v>0.59859050198837505</v>
      </c>
      <c r="AL6174">
        <v>81.312885985101303</v>
      </c>
      <c r="AM6174">
        <v>91.566561979647403</v>
      </c>
      <c r="AN6174">
        <v>0.99999999129972295</v>
      </c>
    </row>
    <row r="6175" spans="1:40" x14ac:dyDescent="0.25">
      <c r="A6175" t="str">
        <f>"20190312172238362"</f>
        <v>20190312172238362</v>
      </c>
      <c r="B6175" t="str">
        <f>"1552382558356347"</f>
        <v>1552382558356347</v>
      </c>
      <c r="C6175" t="s">
        <v>40</v>
      </c>
      <c r="D6175">
        <v>3.4852110000000001</v>
      </c>
      <c r="E6175">
        <v>0.51850680000000005</v>
      </c>
      <c r="F6175" t="s">
        <v>41</v>
      </c>
      <c r="G6175">
        <v>-385.5016</v>
      </c>
      <c r="H6175">
        <v>1.038994</v>
      </c>
      <c r="I6175">
        <v>26.099779999999999</v>
      </c>
      <c r="J6175">
        <v>-386.20699999999999</v>
      </c>
      <c r="K6175">
        <v>1.10687</v>
      </c>
      <c r="L6175">
        <v>26.177700000000002</v>
      </c>
      <c r="M6175">
        <v>0.99670460000000005</v>
      </c>
      <c r="N6175">
        <v>0</v>
      </c>
      <c r="O6175">
        <v>-7.9930790000000002E-2</v>
      </c>
      <c r="P6175">
        <v>0.98928280000000002</v>
      </c>
      <c r="Q6175">
        <v>0.1369108</v>
      </c>
      <c r="R6175">
        <v>-5.0744730000000002E-2</v>
      </c>
      <c r="S6175">
        <v>3.0491030000000001</v>
      </c>
      <c r="T6175">
        <v>-0.2361742</v>
      </c>
      <c r="U6175">
        <v>-0.32345580000000002</v>
      </c>
      <c r="V6175">
        <v>-2.7214039999999998E-2</v>
      </c>
      <c r="W6175">
        <v>0.15081649999999999</v>
      </c>
      <c r="X6175">
        <v>0.98818709999999998</v>
      </c>
      <c r="Y6175">
        <v>2.5819999999999999E-2</v>
      </c>
      <c r="Z6175">
        <v>5.1581739999999997E-3</v>
      </c>
      <c r="AA6175">
        <v>0.99965329999999997</v>
      </c>
      <c r="AB6175">
        <v>31</v>
      </c>
      <c r="AC6175">
        <v>0.70539999999999703</v>
      </c>
      <c r="AD6175">
        <v>-6.7876000000000006E-2</v>
      </c>
      <c r="AE6175">
        <v>-7.7920000000002404E-2</v>
      </c>
      <c r="AF6175">
        <v>2.1089166199602799E-2</v>
      </c>
      <c r="AG6175">
        <v>-6.7876000000000006E-2</v>
      </c>
      <c r="AH6175">
        <v>0.70294134577041301</v>
      </c>
      <c r="AI6175">
        <v>95.512914883056098</v>
      </c>
      <c r="AJ6175">
        <v>88.281566603362705</v>
      </c>
      <c r="AK6175">
        <v>0.70652561163804495</v>
      </c>
      <c r="AL6175">
        <v>81.325752966749207</v>
      </c>
      <c r="AM6175">
        <v>91.577490363900594</v>
      </c>
      <c r="AN6175">
        <v>0.99999998262588996</v>
      </c>
    </row>
    <row r="6176" spans="1:40" x14ac:dyDescent="0.25">
      <c r="A6176" t="str">
        <f>"20190312172238373"</f>
        <v>20190312172238373</v>
      </c>
      <c r="B6176" t="str">
        <f>"1552382558367082"</f>
        <v>1552382558367082</v>
      </c>
      <c r="C6176" t="s">
        <v>40</v>
      </c>
      <c r="D6176">
        <v>3.4997829999999999</v>
      </c>
      <c r="E6176">
        <v>0.51839060000000003</v>
      </c>
      <c r="F6176" t="s">
        <v>41</v>
      </c>
      <c r="G6176">
        <v>-385.22820000000002</v>
      </c>
      <c r="H6176">
        <v>1.030886</v>
      </c>
      <c r="I6176">
        <v>26.071909999999999</v>
      </c>
      <c r="J6176">
        <v>-386.03089999999997</v>
      </c>
      <c r="K6176">
        <v>1.1068910000000001</v>
      </c>
      <c r="L6176">
        <v>26.161249999999999</v>
      </c>
      <c r="M6176">
        <v>0.99651869999999998</v>
      </c>
      <c r="N6176">
        <v>0</v>
      </c>
      <c r="O6176">
        <v>-8.2217730000000003E-2</v>
      </c>
      <c r="P6176">
        <v>0.98923019999999995</v>
      </c>
      <c r="Q6176">
        <v>0.13666049999999999</v>
      </c>
      <c r="R6176">
        <v>-5.2416150000000002E-2</v>
      </c>
      <c r="S6176">
        <v>3.04834</v>
      </c>
      <c r="T6176">
        <v>-0.23648140000000001</v>
      </c>
      <c r="U6176">
        <v>-0.32882689999999998</v>
      </c>
      <c r="V6176">
        <v>-2.7825780000000001E-2</v>
      </c>
      <c r="W6176">
        <v>0.1505686</v>
      </c>
      <c r="X6176">
        <v>0.98820790000000003</v>
      </c>
      <c r="Y6176">
        <v>2.5302439999999999E-2</v>
      </c>
      <c r="Z6176">
        <v>5.3613749999999998E-3</v>
      </c>
      <c r="AA6176">
        <v>0.99966540000000004</v>
      </c>
      <c r="AB6176">
        <v>31</v>
      </c>
      <c r="AC6176">
        <v>0.802699999999958</v>
      </c>
      <c r="AD6176">
        <v>-7.60050000000001E-2</v>
      </c>
      <c r="AE6176">
        <v>-8.9339999999999906E-2</v>
      </c>
      <c r="AF6176">
        <v>2.2832801357505501E-2</v>
      </c>
      <c r="AG6176">
        <v>-7.60050000000001E-2</v>
      </c>
      <c r="AH6176">
        <v>0.80024105806199497</v>
      </c>
      <c r="AI6176">
        <v>95.423348363465706</v>
      </c>
      <c r="AJ6176">
        <v>88.365657066640907</v>
      </c>
      <c r="AK6176">
        <v>0.80416655479509502</v>
      </c>
      <c r="AL6176">
        <v>81.340120946814295</v>
      </c>
      <c r="AM6176">
        <v>91.612898057510094</v>
      </c>
      <c r="AN6176">
        <v>1.00000001548048</v>
      </c>
    </row>
    <row r="6177" spans="1:40" x14ac:dyDescent="0.25">
      <c r="A6177" t="str">
        <f>"20190312172238387"</f>
        <v>20190312172238387</v>
      </c>
      <c r="B6177" t="str">
        <f>"1552382558376843"</f>
        <v>1552382558376843</v>
      </c>
      <c r="C6177" t="s">
        <v>40</v>
      </c>
      <c r="D6177">
        <v>3.4840810000000002</v>
      </c>
      <c r="E6177">
        <v>0.5182658</v>
      </c>
      <c r="F6177" t="s">
        <v>41</v>
      </c>
      <c r="G6177">
        <v>-385.21839999999997</v>
      </c>
      <c r="H6177">
        <v>1.043679</v>
      </c>
      <c r="I6177">
        <v>26.072209999999998</v>
      </c>
      <c r="J6177">
        <v>-385.85599999999999</v>
      </c>
      <c r="K6177">
        <v>1.106914</v>
      </c>
      <c r="L6177">
        <v>26.144590000000001</v>
      </c>
      <c r="M6177">
        <v>0.99632989999999999</v>
      </c>
      <c r="N6177">
        <v>0</v>
      </c>
      <c r="O6177">
        <v>-8.4476229999999999E-2</v>
      </c>
      <c r="P6177">
        <v>0.98911090000000002</v>
      </c>
      <c r="Q6177">
        <v>0.13688429999999999</v>
      </c>
      <c r="R6177">
        <v>-5.4061829999999998E-2</v>
      </c>
      <c r="S6177">
        <v>3.0477289999999999</v>
      </c>
      <c r="T6177">
        <v>-0.23691519999999999</v>
      </c>
      <c r="U6177">
        <v>-0.3332214</v>
      </c>
      <c r="V6177">
        <v>-2.842654E-2</v>
      </c>
      <c r="W6177">
        <v>0.15079300000000001</v>
      </c>
      <c r="X6177">
        <v>0.98815660000000005</v>
      </c>
      <c r="Y6177">
        <v>2.4492239999999998E-2</v>
      </c>
      <c r="Z6177">
        <v>5.5770319999999896E-3</v>
      </c>
      <c r="AA6177">
        <v>0.99968449999999998</v>
      </c>
      <c r="AB6177">
        <v>31</v>
      </c>
      <c r="AC6177">
        <v>0.63760000000002004</v>
      </c>
      <c r="AD6177">
        <v>-6.3234999999999902E-2</v>
      </c>
      <c r="AE6177">
        <v>-7.2379999999999001E-2</v>
      </c>
      <c r="AF6177">
        <v>1.80784949810626E-2</v>
      </c>
      <c r="AG6177">
        <v>-6.3234999999999902E-2</v>
      </c>
      <c r="AH6177">
        <v>0.63526645052410102</v>
      </c>
      <c r="AI6177">
        <v>95.682263015221807</v>
      </c>
      <c r="AJ6177">
        <v>88.369909237180195</v>
      </c>
      <c r="AK6177">
        <v>0.63866185134801201</v>
      </c>
      <c r="AL6177">
        <v>81.327115422125601</v>
      </c>
      <c r="AM6177">
        <v>91.6477871080386</v>
      </c>
      <c r="AN6177">
        <v>1.0000000315744599</v>
      </c>
    </row>
    <row r="6178" spans="1:40" x14ac:dyDescent="0.25">
      <c r="A6178" t="str">
        <f>"20190312172238400"</f>
        <v>20190312172238400</v>
      </c>
      <c r="B6178" t="str">
        <f>"1552382558396363"</f>
        <v>1552382558396363</v>
      </c>
      <c r="C6178" t="s">
        <v>40</v>
      </c>
      <c r="D6178">
        <v>3.4838870000000002</v>
      </c>
      <c r="E6178">
        <v>0.51803589999999999</v>
      </c>
      <c r="F6178" t="s">
        <v>41</v>
      </c>
      <c r="G6178">
        <v>-384.94659999999999</v>
      </c>
      <c r="H6178">
        <v>1.036384</v>
      </c>
      <c r="I6178">
        <v>26.043430000000001</v>
      </c>
      <c r="J6178">
        <v>-385.6739</v>
      </c>
      <c r="K6178">
        <v>1.1069450000000001</v>
      </c>
      <c r="L6178">
        <v>26.126919999999998</v>
      </c>
      <c r="M6178">
        <v>0.99612909999999999</v>
      </c>
      <c r="N6178">
        <v>0</v>
      </c>
      <c r="O6178">
        <v>-8.6812239999999999E-2</v>
      </c>
      <c r="P6178">
        <v>0.98899110000000001</v>
      </c>
      <c r="Q6178">
        <v>0.13692219999999999</v>
      </c>
      <c r="R6178">
        <v>-5.6115569999999997E-2</v>
      </c>
      <c r="S6178">
        <v>3.0472109999999999</v>
      </c>
      <c r="T6178">
        <v>-0.2358991</v>
      </c>
      <c r="U6178">
        <v>-0.33749390000000001</v>
      </c>
      <c r="V6178">
        <v>-2.8701549999999999E-2</v>
      </c>
      <c r="W6178">
        <v>0.1508293</v>
      </c>
      <c r="X6178">
        <v>0.98814310000000005</v>
      </c>
      <c r="Y6178">
        <v>2.3559440000000001E-2</v>
      </c>
      <c r="Z6178">
        <v>5.7686609999999996E-3</v>
      </c>
      <c r="AA6178">
        <v>0.99970579999999998</v>
      </c>
      <c r="AB6178">
        <v>31</v>
      </c>
      <c r="AC6178">
        <v>0.72730000000001305</v>
      </c>
      <c r="AD6178">
        <v>-7.0561000000000096E-2</v>
      </c>
      <c r="AE6178">
        <v>-8.3490000000004699E-2</v>
      </c>
      <c r="AF6178">
        <v>1.9845815865543699E-2</v>
      </c>
      <c r="AG6178">
        <v>-7.0561000000000096E-2</v>
      </c>
      <c r="AH6178">
        <v>0.72506645638440603</v>
      </c>
      <c r="AI6178">
        <v>95.556259736275294</v>
      </c>
      <c r="AJ6178">
        <v>88.432146942362493</v>
      </c>
      <c r="AK6178">
        <v>0.72876201691787401</v>
      </c>
      <c r="AL6178">
        <v>81.325011433239297</v>
      </c>
      <c r="AM6178">
        <v>91.663742276436693</v>
      </c>
      <c r="AN6178">
        <v>1.0000000213942499</v>
      </c>
    </row>
    <row r="6179" spans="1:40" x14ac:dyDescent="0.25">
      <c r="A6179" t="str">
        <f>"20190312172238416"</f>
        <v>20190312172238416</v>
      </c>
      <c r="B6179" t="str">
        <f>"1552382558406126"</f>
        <v>1552382558406126</v>
      </c>
      <c r="C6179" t="s">
        <v>40</v>
      </c>
      <c r="D6179">
        <v>3.505452</v>
      </c>
      <c r="E6179">
        <v>0.5179262</v>
      </c>
      <c r="F6179" t="s">
        <v>68</v>
      </c>
      <c r="G6179">
        <v>-371.3306</v>
      </c>
      <c r="H6179" s="1">
        <v>-5.0696889999999998E-6</v>
      </c>
      <c r="I6179">
        <v>24.517299999999999</v>
      </c>
      <c r="J6179">
        <v>-385.44510000000002</v>
      </c>
      <c r="K6179">
        <v>1.106984</v>
      </c>
      <c r="L6179">
        <v>26.10397</v>
      </c>
      <c r="M6179">
        <v>0.99587329999999996</v>
      </c>
      <c r="N6179">
        <v>0</v>
      </c>
      <c r="O6179">
        <v>-8.9698159999999999E-2</v>
      </c>
      <c r="P6179">
        <v>0.98877839999999995</v>
      </c>
      <c r="Q6179">
        <v>0.13742699999999999</v>
      </c>
      <c r="R6179">
        <v>-5.8574510000000003E-2</v>
      </c>
      <c r="S6179">
        <v>3.04657</v>
      </c>
      <c r="T6179">
        <v>-0.2351193</v>
      </c>
      <c r="U6179">
        <v>-0.34188839999999998</v>
      </c>
      <c r="V6179">
        <v>-2.9113940000000001E-2</v>
      </c>
      <c r="W6179">
        <v>0.15132989999999999</v>
      </c>
      <c r="X6179">
        <v>0.98805449999999995</v>
      </c>
      <c r="Y6179">
        <v>2.2121450000000001E-2</v>
      </c>
      <c r="Z6179">
        <v>6.0260419999999997E-3</v>
      </c>
      <c r="AA6179">
        <v>0.99973710000000005</v>
      </c>
      <c r="AB6179">
        <v>31</v>
      </c>
      <c r="AC6179">
        <v>14.1145</v>
      </c>
      <c r="AD6179">
        <v>-1.1069890696889999</v>
      </c>
      <c r="AE6179">
        <v>-1.58667</v>
      </c>
      <c r="AF6179">
        <v>0.31221105874604799</v>
      </c>
      <c r="AG6179">
        <v>-1.1069890696889999</v>
      </c>
      <c r="AH6179">
        <v>14.114193500787399</v>
      </c>
      <c r="AI6179">
        <v>94.483487487594402</v>
      </c>
      <c r="AJ6179">
        <v>88.732803317261897</v>
      </c>
      <c r="AK6179">
        <v>14.160980146984301</v>
      </c>
      <c r="AL6179">
        <v>81.295996170944406</v>
      </c>
      <c r="AM6179">
        <v>91.687784799155907</v>
      </c>
      <c r="AN6179">
        <v>1.0000000275532901</v>
      </c>
    </row>
    <row r="6180" spans="1:40" x14ac:dyDescent="0.25">
      <c r="A6180" t="str">
        <f>"20190312172238428"</f>
        <v>20190312172238428</v>
      </c>
      <c r="B6180" t="str">
        <f>"1552382558416859"</f>
        <v>1552382558416859</v>
      </c>
      <c r="C6180" t="s">
        <v>40</v>
      </c>
      <c r="D6180">
        <v>3.4813420000000002</v>
      </c>
      <c r="E6180">
        <v>0.51780550000000003</v>
      </c>
      <c r="F6180" t="s">
        <v>68</v>
      </c>
      <c r="G6180">
        <v>-371.0009</v>
      </c>
      <c r="H6180" s="1">
        <v>-5.1850000000000003E-6</v>
      </c>
      <c r="I6180">
        <v>24.453720000000001</v>
      </c>
      <c r="J6180">
        <v>-385.27769999999998</v>
      </c>
      <c r="K6180">
        <v>1.107019</v>
      </c>
      <c r="L6180">
        <v>26.086760000000002</v>
      </c>
      <c r="M6180">
        <v>0.99568429999999997</v>
      </c>
      <c r="N6180">
        <v>0</v>
      </c>
      <c r="O6180">
        <v>-9.1772790000000007E-2</v>
      </c>
      <c r="P6180">
        <v>0.98866200000000004</v>
      </c>
      <c r="Q6180">
        <v>0.13737949999999999</v>
      </c>
      <c r="R6180">
        <v>-6.061627E-2</v>
      </c>
      <c r="S6180">
        <v>3.045868</v>
      </c>
      <c r="T6180">
        <v>-0.2334329</v>
      </c>
      <c r="U6180">
        <v>-0.34799190000000002</v>
      </c>
      <c r="V6180">
        <v>-2.914715E-2</v>
      </c>
      <c r="W6180">
        <v>0.15127750000000001</v>
      </c>
      <c r="X6180">
        <v>0.98806150000000004</v>
      </c>
      <c r="Y6180">
        <v>2.204542E-2</v>
      </c>
      <c r="Z6180">
        <v>6.143758E-3</v>
      </c>
      <c r="AA6180">
        <v>0.99973809999999996</v>
      </c>
      <c r="AB6180">
        <v>31</v>
      </c>
      <c r="AC6180">
        <v>14.2767999999999</v>
      </c>
      <c r="AD6180">
        <v>-1.107024185</v>
      </c>
      <c r="AE6180">
        <v>-1.63304</v>
      </c>
      <c r="AF6180">
        <v>0.31393744674447499</v>
      </c>
      <c r="AG6180">
        <v>-1.107024185</v>
      </c>
      <c r="AH6180">
        <v>14.281663911161299</v>
      </c>
      <c r="AI6180">
        <v>94.431277072557606</v>
      </c>
      <c r="AJ6180">
        <v>88.740735357112698</v>
      </c>
      <c r="AK6180">
        <v>14.3279441420607</v>
      </c>
      <c r="AL6180">
        <v>81.299033046719401</v>
      </c>
      <c r="AM6180">
        <v>91.689696960159694</v>
      </c>
      <c r="AN6180">
        <v>0.99999998307081095</v>
      </c>
    </row>
    <row r="6181" spans="1:40" x14ac:dyDescent="0.25">
      <c r="A6181" t="str">
        <f>"20190312172238442"</f>
        <v>20190312172238442</v>
      </c>
      <c r="B6181" t="str">
        <f>"1552382558436378"</f>
        <v>1552382558436378</v>
      </c>
      <c r="C6181" t="s">
        <v>40</v>
      </c>
      <c r="D6181">
        <v>3.5075699999999999</v>
      </c>
      <c r="E6181">
        <v>0.51755019999999996</v>
      </c>
      <c r="F6181" t="s">
        <v>41</v>
      </c>
      <c r="G6181">
        <v>-384.38839999999999</v>
      </c>
      <c r="H6181">
        <v>1.03877</v>
      </c>
      <c r="I6181">
        <v>25.983619999999998</v>
      </c>
      <c r="J6181">
        <v>-385.09359999999998</v>
      </c>
      <c r="K6181">
        <v>1.107064</v>
      </c>
      <c r="L6181">
        <v>26.067630000000001</v>
      </c>
      <c r="M6181">
        <v>0.99547390000000002</v>
      </c>
      <c r="N6181">
        <v>0</v>
      </c>
      <c r="O6181">
        <v>-9.4029689999999999E-2</v>
      </c>
      <c r="P6181">
        <v>0.98853979999999997</v>
      </c>
      <c r="Q6181">
        <v>0.13728779999999999</v>
      </c>
      <c r="R6181">
        <v>-6.2783220000000001E-2</v>
      </c>
      <c r="S6181">
        <v>3.0452270000000001</v>
      </c>
      <c r="T6181">
        <v>-0.23358039999999999</v>
      </c>
      <c r="U6181">
        <v>-0.35275269999999997</v>
      </c>
      <c r="V6181">
        <v>-2.9240410000000001E-2</v>
      </c>
      <c r="W6181">
        <v>0.15118000000000001</v>
      </c>
      <c r="X6181">
        <v>0.98807370000000005</v>
      </c>
      <c r="Y6181">
        <v>2.1354049999999999E-2</v>
      </c>
      <c r="Z6181">
        <v>6.3459049999999998E-3</v>
      </c>
      <c r="AA6181">
        <v>0.99975190000000003</v>
      </c>
      <c r="AB6181">
        <v>31</v>
      </c>
      <c r="AC6181">
        <v>0.70519999999998995</v>
      </c>
      <c r="AD6181">
        <v>-6.8293999999999994E-2</v>
      </c>
      <c r="AE6181">
        <v>-8.4009999999995699E-2</v>
      </c>
      <c r="AF6181">
        <v>1.7162958708945401E-2</v>
      </c>
      <c r="AG6181">
        <v>-6.8293999999999994E-2</v>
      </c>
      <c r="AH6181">
        <v>0.70346984777541899</v>
      </c>
      <c r="AI6181">
        <v>95.543351761210502</v>
      </c>
      <c r="AJ6181">
        <v>88.602399154075499</v>
      </c>
      <c r="AK6181">
        <v>0.70698547673683898</v>
      </c>
      <c r="AL6181">
        <v>81.304684664952106</v>
      </c>
      <c r="AM6181">
        <v>91.695079292923694</v>
      </c>
      <c r="AN6181">
        <v>1.00000001530432</v>
      </c>
    </row>
    <row r="6182" spans="1:40" x14ac:dyDescent="0.25">
      <c r="A6182" t="str">
        <f>"20190312172238453"</f>
        <v>20190312172238453</v>
      </c>
      <c r="B6182" t="str">
        <f>"1552382558447114"</f>
        <v>1552382558447114</v>
      </c>
      <c r="C6182" t="s">
        <v>40</v>
      </c>
      <c r="D6182">
        <v>3.4923259999999998</v>
      </c>
      <c r="E6182">
        <v>0.51742540000000004</v>
      </c>
      <c r="F6182" t="s">
        <v>41</v>
      </c>
      <c r="G6182">
        <v>-384.11610000000002</v>
      </c>
      <c r="H6182">
        <v>1.0320290000000001</v>
      </c>
      <c r="I6182">
        <v>25.953060000000001</v>
      </c>
      <c r="J6182">
        <v>-384.9212</v>
      </c>
      <c r="K6182">
        <v>1.107116</v>
      </c>
      <c r="L6182">
        <v>26.049219999999998</v>
      </c>
      <c r="M6182">
        <v>0.99527719999999997</v>
      </c>
      <c r="N6182">
        <v>0</v>
      </c>
      <c r="O6182">
        <v>-9.6089289999999994E-2</v>
      </c>
      <c r="P6182">
        <v>0.98841520000000005</v>
      </c>
      <c r="Q6182">
        <v>0.13717939999999901</v>
      </c>
      <c r="R6182">
        <v>-6.4940029999999996E-2</v>
      </c>
      <c r="S6182">
        <v>3.0445859999999998</v>
      </c>
      <c r="T6182">
        <v>-0.2337495</v>
      </c>
      <c r="U6182">
        <v>-0.3568115</v>
      </c>
      <c r="V6182">
        <v>-2.9150470000000001E-2</v>
      </c>
      <c r="W6182">
        <v>0.15106349999999999</v>
      </c>
      <c r="X6182">
        <v>0.98809420000000003</v>
      </c>
      <c r="Y6182">
        <v>2.0632689999999999E-2</v>
      </c>
      <c r="Z6182">
        <v>6.5351690000000004E-3</v>
      </c>
      <c r="AA6182">
        <v>0.99976580000000004</v>
      </c>
      <c r="AB6182">
        <v>31</v>
      </c>
      <c r="AC6182">
        <v>0.80509999999998105</v>
      </c>
      <c r="AD6182">
        <v>-7.5086999999999904E-2</v>
      </c>
      <c r="AE6182">
        <v>-9.6160000000001106E-2</v>
      </c>
      <c r="AF6182">
        <v>1.81901163872435E-2</v>
      </c>
      <c r="AG6182">
        <v>-7.5086999999999904E-2</v>
      </c>
      <c r="AH6182">
        <v>0.80372207438265497</v>
      </c>
      <c r="AI6182">
        <v>95.335955130183507</v>
      </c>
      <c r="AJ6182">
        <v>88.703483409834305</v>
      </c>
      <c r="AK6182">
        <v>0.80742684544987697</v>
      </c>
      <c r="AL6182">
        <v>81.311437386558495</v>
      </c>
      <c r="AM6182">
        <v>91.689833420356607</v>
      </c>
      <c r="AN6182">
        <v>1.00000003950355</v>
      </c>
    </row>
    <row r="6183" spans="1:40" x14ac:dyDescent="0.25">
      <c r="A6183" t="str">
        <f>"20190312172238465"</f>
        <v>20190312172238465</v>
      </c>
      <c r="B6183" t="str">
        <f>"1552382558456874"</f>
        <v>1552382558456874</v>
      </c>
      <c r="C6183" t="s">
        <v>40</v>
      </c>
      <c r="D6183">
        <v>3.4936539999999998</v>
      </c>
      <c r="E6183">
        <v>0.5173044</v>
      </c>
      <c r="F6183" t="s">
        <v>41</v>
      </c>
      <c r="G6183">
        <v>-384.09949999999998</v>
      </c>
      <c r="H6183">
        <v>1.043914</v>
      </c>
      <c r="I6183">
        <v>25.951540000000001</v>
      </c>
      <c r="J6183">
        <v>-384.76409999999998</v>
      </c>
      <c r="K6183">
        <v>1.107165</v>
      </c>
      <c r="L6183">
        <v>26.032229999999998</v>
      </c>
      <c r="M6183">
        <v>0.9950966</v>
      </c>
      <c r="N6183">
        <v>0</v>
      </c>
      <c r="O6183">
        <v>-9.7940579999999999E-2</v>
      </c>
      <c r="P6183">
        <v>0.98823280000000002</v>
      </c>
      <c r="Q6183">
        <v>0.13760439999999999</v>
      </c>
      <c r="R6183">
        <v>-6.6788840000000002E-2</v>
      </c>
      <c r="S6183">
        <v>3.0438839999999998</v>
      </c>
      <c r="T6183">
        <v>-0.23411570000000001</v>
      </c>
      <c r="U6183">
        <v>-0.36178589999999999</v>
      </c>
      <c r="V6183">
        <v>-2.9149060000000001E-2</v>
      </c>
      <c r="W6183">
        <v>0.15148110000000001</v>
      </c>
      <c r="X6183">
        <v>0.98803030000000003</v>
      </c>
      <c r="Y6183">
        <v>2.041755E-2</v>
      </c>
      <c r="Z6183">
        <v>6.6951249999999997E-3</v>
      </c>
      <c r="AA6183">
        <v>0.99976920000000002</v>
      </c>
      <c r="AB6183">
        <v>31</v>
      </c>
      <c r="AC6183">
        <v>0.66460000000000696</v>
      </c>
      <c r="AD6183">
        <v>-6.3250999999999905E-2</v>
      </c>
      <c r="AE6183">
        <v>-8.0690000000000595E-2</v>
      </c>
      <c r="AF6183">
        <v>1.5069967522543999E-2</v>
      </c>
      <c r="AG6183">
        <v>-6.3250999999999905E-2</v>
      </c>
      <c r="AH6183">
        <v>0.66338633104989497</v>
      </c>
      <c r="AI6183">
        <v>95.445042600994498</v>
      </c>
      <c r="AJ6183">
        <v>88.698651125224202</v>
      </c>
      <c r="AK6183">
        <v>0.66656523847705396</v>
      </c>
      <c r="AL6183">
        <v>81.287232057568104</v>
      </c>
      <c r="AM6183">
        <v>91.689860950839602</v>
      </c>
      <c r="AN6183">
        <v>1.0000000325370899</v>
      </c>
    </row>
    <row r="6184" spans="1:40" x14ac:dyDescent="0.25">
      <c r="A6184" t="str">
        <f>"20190312172238476"</f>
        <v>20190312172238476</v>
      </c>
      <c r="B6184" t="str">
        <f>"1552382558466635"</f>
        <v>1552382558466635</v>
      </c>
      <c r="C6184" t="s">
        <v>40</v>
      </c>
      <c r="D6184">
        <v>3.4831189999999999</v>
      </c>
      <c r="E6184">
        <v>0.51718260000000005</v>
      </c>
      <c r="F6184" t="s">
        <v>41</v>
      </c>
      <c r="G6184">
        <v>-383.83640000000003</v>
      </c>
      <c r="H6184">
        <v>1.036063</v>
      </c>
      <c r="I6184">
        <v>25.920300000000001</v>
      </c>
      <c r="J6184">
        <v>-384.60160000000002</v>
      </c>
      <c r="K6184">
        <v>1.1072219999999999</v>
      </c>
      <c r="L6184">
        <v>26.01437</v>
      </c>
      <c r="M6184">
        <v>0.99490959999999995</v>
      </c>
      <c r="N6184">
        <v>0</v>
      </c>
      <c r="O6184">
        <v>-9.9824189999999993E-2</v>
      </c>
      <c r="P6184">
        <v>0.98804590000000003</v>
      </c>
      <c r="Q6184">
        <v>0.13799169999999999</v>
      </c>
      <c r="R6184">
        <v>-6.8729299999999993E-2</v>
      </c>
      <c r="S6184">
        <v>3.043396</v>
      </c>
      <c r="T6184">
        <v>-0.23292579999999999</v>
      </c>
      <c r="U6184">
        <v>-0.36566159999999998</v>
      </c>
      <c r="V6184">
        <v>-2.9090810000000002E-2</v>
      </c>
      <c r="W6184">
        <v>0.15185960000000001</v>
      </c>
      <c r="X6184">
        <v>0.98797389999999996</v>
      </c>
      <c r="Y6184">
        <v>1.980382E-2</v>
      </c>
      <c r="Z6184">
        <v>6.8275039999999999E-3</v>
      </c>
      <c r="AA6184">
        <v>0.99978060000000002</v>
      </c>
      <c r="AB6184">
        <v>31</v>
      </c>
      <c r="AC6184">
        <v>0.765199999999992</v>
      </c>
      <c r="AD6184">
        <v>-7.1158999999999903E-2</v>
      </c>
      <c r="AE6184">
        <v>-9.4069999999998502E-2</v>
      </c>
      <c r="AF6184">
        <v>1.7061957752790399E-2</v>
      </c>
      <c r="AG6184">
        <v>-7.1158999999999903E-2</v>
      </c>
      <c r="AH6184">
        <v>0.76425770913031499</v>
      </c>
      <c r="AI6184">
        <v>95.318078619415203</v>
      </c>
      <c r="AJ6184">
        <v>88.721091330836302</v>
      </c>
      <c r="AK6184">
        <v>0.76775292877883305</v>
      </c>
      <c r="AL6184">
        <v>81.265291672953097</v>
      </c>
      <c r="AM6184">
        <v>91.686582190764398</v>
      </c>
      <c r="AN6184">
        <v>1.00000002020991</v>
      </c>
    </row>
    <row r="6185" spans="1:40" x14ac:dyDescent="0.25">
      <c r="A6185" t="str">
        <f>"20190312172238494"</f>
        <v>20190312172238494</v>
      </c>
      <c r="B6185" t="str">
        <f>"1552382558486158"</f>
        <v>1552382558486158</v>
      </c>
      <c r="C6185" t="s">
        <v>40</v>
      </c>
      <c r="D6185">
        <v>3.5467420000000001</v>
      </c>
      <c r="E6185">
        <v>0.51730200000000004</v>
      </c>
      <c r="F6185" t="s">
        <v>68</v>
      </c>
      <c r="G6185">
        <v>-370.072</v>
      </c>
      <c r="H6185" s="1">
        <v>-5.5052290000000004E-6</v>
      </c>
      <c r="I6185">
        <v>24.247969999999999</v>
      </c>
      <c r="J6185">
        <v>-384.35489999999999</v>
      </c>
      <c r="K6185">
        <v>1.1073189999999999</v>
      </c>
      <c r="L6185">
        <v>25.986660000000001</v>
      </c>
      <c r="M6185">
        <v>0.99462779999999995</v>
      </c>
      <c r="N6185">
        <v>0</v>
      </c>
      <c r="O6185">
        <v>-0.1025943</v>
      </c>
      <c r="P6185">
        <v>0.98767389999999999</v>
      </c>
      <c r="Q6185">
        <v>0.13893239999999901</v>
      </c>
      <c r="R6185">
        <v>-7.2097530000000007E-2</v>
      </c>
      <c r="S6185">
        <v>3.0429080000000002</v>
      </c>
      <c r="T6185">
        <v>-0.2318836</v>
      </c>
      <c r="U6185">
        <v>-0.36993409999999999</v>
      </c>
      <c r="V6185">
        <v>-2.8485110000000001E-2</v>
      </c>
      <c r="W6185">
        <v>0.15278239999999901</v>
      </c>
      <c r="X6185">
        <v>0.98784919999999998</v>
      </c>
      <c r="Y6185">
        <v>1.8431929999999999E-2</v>
      </c>
      <c r="Z6185">
        <v>7.0580110000000003E-3</v>
      </c>
      <c r="AA6185">
        <v>0.99980519999999995</v>
      </c>
      <c r="AB6185">
        <v>31</v>
      </c>
      <c r="AC6185">
        <v>14.2829</v>
      </c>
      <c r="AD6185">
        <v>-1.1073245052289999</v>
      </c>
      <c r="AE6185">
        <v>-1.7386899999999901</v>
      </c>
      <c r="AF6185">
        <v>0.26247576271460799</v>
      </c>
      <c r="AG6185">
        <v>-1.1073245052289999</v>
      </c>
      <c r="AH6185">
        <v>14.30121194166</v>
      </c>
      <c r="AI6185">
        <v>94.426762371285406</v>
      </c>
      <c r="AJ6185">
        <v>88.948546092172606</v>
      </c>
      <c r="AK6185">
        <v>14.346418510770301</v>
      </c>
      <c r="AL6185">
        <v>81.211794277573802</v>
      </c>
      <c r="AM6185">
        <v>91.651693860113596</v>
      </c>
      <c r="AN6185">
        <v>0.99999995259105401</v>
      </c>
    </row>
    <row r="6186" spans="1:40" x14ac:dyDescent="0.25">
      <c r="A6186" t="str">
        <f>"20190312172238518"</f>
        <v>20190312172238518</v>
      </c>
      <c r="B6186" t="str">
        <f>"1552382558506650"</f>
        <v>1552382558506650</v>
      </c>
      <c r="C6186" t="s">
        <v>40</v>
      </c>
      <c r="D6186">
        <v>3.539088</v>
      </c>
      <c r="E6186">
        <v>0.52847359999999999</v>
      </c>
      <c r="F6186" t="s">
        <v>69</v>
      </c>
      <c r="G6186">
        <v>-369.6053</v>
      </c>
      <c r="H6186" s="1">
        <v>-1.39124E-6</v>
      </c>
      <c r="I6186">
        <v>24.142130000000002</v>
      </c>
      <c r="J6186">
        <v>-384.03840000000002</v>
      </c>
      <c r="K6186">
        <v>1.107451</v>
      </c>
      <c r="L6186">
        <v>25.95035</v>
      </c>
      <c r="M6186">
        <v>0.9942706</v>
      </c>
      <c r="N6186">
        <v>0</v>
      </c>
      <c r="O6186">
        <v>-0.106001</v>
      </c>
      <c r="P6186">
        <v>0.98725830000000003</v>
      </c>
      <c r="Q6186">
        <v>0.13942399999999999</v>
      </c>
      <c r="R6186">
        <v>-7.669376E-2</v>
      </c>
      <c r="S6186">
        <v>3.0418400000000001</v>
      </c>
      <c r="T6186">
        <v>-0.22836490000000001</v>
      </c>
      <c r="U6186">
        <v>-0.38040160000000001</v>
      </c>
      <c r="V6186">
        <v>-2.7306899999999999E-2</v>
      </c>
      <c r="W6186">
        <v>0.15324839999999901</v>
      </c>
      <c r="X6186">
        <v>0.98781030000000003</v>
      </c>
      <c r="Y6186">
        <v>1.843995E-2</v>
      </c>
      <c r="Z6186">
        <v>7.2041010000000001E-3</v>
      </c>
      <c r="AA6186">
        <v>0.99980400000000003</v>
      </c>
      <c r="AB6186">
        <v>31</v>
      </c>
      <c r="AC6186">
        <v>14.4331</v>
      </c>
      <c r="AD6186">
        <v>-1.1074523912400001</v>
      </c>
      <c r="AE6186">
        <v>-1.8082199999999999</v>
      </c>
      <c r="AF6186">
        <v>0.26641807961490199</v>
      </c>
      <c r="AG6186">
        <v>-1.1074523912400001</v>
      </c>
      <c r="AH6186">
        <v>14.4596444899278</v>
      </c>
      <c r="AI6186">
        <v>94.378946497880904</v>
      </c>
      <c r="AJ6186">
        <v>88.944448145132895</v>
      </c>
      <c r="AK6186">
        <v>14.5044389125229</v>
      </c>
      <c r="AL6186">
        <v>81.184776373390406</v>
      </c>
      <c r="AM6186">
        <v>91.583473835638202</v>
      </c>
      <c r="AN6186">
        <v>0.99999996383812895</v>
      </c>
    </row>
    <row r="6187" spans="1:40" x14ac:dyDescent="0.25">
      <c r="A6187" t="str">
        <f>"20190312172238532"</f>
        <v>20190312172238532</v>
      </c>
      <c r="B6187" t="str">
        <f>"1552382558527146"</f>
        <v>1552382558527146</v>
      </c>
      <c r="C6187" t="s">
        <v>40</v>
      </c>
      <c r="D6187">
        <v>3.5193029999999998</v>
      </c>
      <c r="E6187">
        <v>0.52812700000000001</v>
      </c>
      <c r="F6187" t="s">
        <v>69</v>
      </c>
      <c r="G6187">
        <v>-365.12810000000002</v>
      </c>
      <c r="H6187" s="1">
        <v>-3.1894459999999999E-6</v>
      </c>
      <c r="I6187">
        <v>22.946280000000002</v>
      </c>
      <c r="J6187">
        <v>-383.84969999999998</v>
      </c>
      <c r="K6187">
        <v>1.1075360000000001</v>
      </c>
      <c r="L6187">
        <v>25.928190000000001</v>
      </c>
      <c r="M6187">
        <v>0.99406269999999997</v>
      </c>
      <c r="N6187">
        <v>0</v>
      </c>
      <c r="O6187">
        <v>-0.107933</v>
      </c>
      <c r="P6187">
        <v>0.98707440000000002</v>
      </c>
      <c r="Q6187">
        <v>0.13938919999999999</v>
      </c>
      <c r="R6187">
        <v>-7.908693E-2</v>
      </c>
      <c r="S6187">
        <v>3.0264280000000001</v>
      </c>
      <c r="T6187">
        <v>-0.17723829999999999</v>
      </c>
      <c r="U6187">
        <v>-0.48077389999999998</v>
      </c>
      <c r="V6187">
        <v>-2.6862460000000001E-2</v>
      </c>
      <c r="W6187">
        <v>0.1531999</v>
      </c>
      <c r="X6187">
        <v>0.98782999999999999</v>
      </c>
      <c r="Y6187">
        <v>4.9464849999999998E-2</v>
      </c>
      <c r="Z6187">
        <v>4.8161810000000001E-3</v>
      </c>
      <c r="AA6187">
        <v>0.99876430000000005</v>
      </c>
      <c r="AB6187">
        <v>31</v>
      </c>
      <c r="AC6187">
        <v>18.721599999999899</v>
      </c>
      <c r="AD6187">
        <v>-1.107539189446</v>
      </c>
      <c r="AE6187">
        <v>-2.9819100000000001</v>
      </c>
      <c r="AF6187">
        <v>0.94040688837686903</v>
      </c>
      <c r="AG6187">
        <v>-1.107539189446</v>
      </c>
      <c r="AH6187">
        <v>18.869683243760001</v>
      </c>
      <c r="AI6187">
        <v>93.354916543349105</v>
      </c>
      <c r="AJ6187">
        <v>87.146915361875799</v>
      </c>
      <c r="AK6187">
        <v>18.9255370833089</v>
      </c>
      <c r="AL6187">
        <v>81.187588346598105</v>
      </c>
      <c r="AM6187">
        <v>91.557683380431698</v>
      </c>
      <c r="AN6187">
        <v>0.99999995500862904</v>
      </c>
    </row>
    <row r="6188" spans="1:40" x14ac:dyDescent="0.25">
      <c r="A6188" t="str">
        <f>"20190312172238545"</f>
        <v>20190312172238545</v>
      </c>
      <c r="B6188" t="str">
        <f>"1552382558536906"</f>
        <v>1552382558536906</v>
      </c>
      <c r="C6188" t="s">
        <v>40</v>
      </c>
      <c r="D6188">
        <v>3.5204399999999998</v>
      </c>
      <c r="E6188">
        <v>0.52802919999999998</v>
      </c>
      <c r="F6188" t="s">
        <v>69</v>
      </c>
      <c r="G6188">
        <v>-365.4237</v>
      </c>
      <c r="H6188" s="1">
        <v>-3.0568160000000001E-6</v>
      </c>
      <c r="I6188">
        <v>22.97307</v>
      </c>
      <c r="J6188">
        <v>-383.65989999999999</v>
      </c>
      <c r="K6188">
        <v>1.107623</v>
      </c>
      <c r="L6188">
        <v>25.905639999999998</v>
      </c>
      <c r="M6188">
        <v>0.9938555</v>
      </c>
      <c r="N6188">
        <v>0</v>
      </c>
      <c r="O6188">
        <v>-0.1098262</v>
      </c>
      <c r="P6188">
        <v>0.98691289999999998</v>
      </c>
      <c r="Q6188">
        <v>0.13933209999999999</v>
      </c>
      <c r="R6188">
        <v>-8.1175990000000003E-2</v>
      </c>
      <c r="S6188">
        <v>3.0260929999999999</v>
      </c>
      <c r="T6188">
        <v>-0.1818912</v>
      </c>
      <c r="U6188">
        <v>-0.485321</v>
      </c>
      <c r="V6188">
        <v>-2.6685159999999999E-2</v>
      </c>
      <c r="W6188">
        <v>0.15313109999999999</v>
      </c>
      <c r="X6188">
        <v>0.98784550000000004</v>
      </c>
      <c r="Y6188">
        <v>4.905226E-2</v>
      </c>
      <c r="Z6188">
        <v>5.0665279999999998E-3</v>
      </c>
      <c r="AA6188">
        <v>0.99878330000000004</v>
      </c>
      <c r="AB6188">
        <v>31</v>
      </c>
      <c r="AC6188">
        <v>18.2362</v>
      </c>
      <c r="AD6188">
        <v>-1.1076260568159999</v>
      </c>
      <c r="AE6188">
        <v>-2.9325699999999899</v>
      </c>
      <c r="AF6188">
        <v>0.90855740563621701</v>
      </c>
      <c r="AG6188">
        <v>-1.1076260568159999</v>
      </c>
      <c r="AH6188">
        <v>18.3818655730914</v>
      </c>
      <c r="AI6188">
        <v>93.444076967066806</v>
      </c>
      <c r="AJ6188">
        <v>87.170353843662198</v>
      </c>
      <c r="AK6188">
        <v>18.4376054298891</v>
      </c>
      <c r="AL6188">
        <v>81.191577601699706</v>
      </c>
      <c r="AM6188">
        <v>91.547382967017697</v>
      </c>
      <c r="AN6188">
        <v>0.99999998171084203</v>
      </c>
    </row>
    <row r="6189" spans="1:40" x14ac:dyDescent="0.25">
      <c r="A6189" t="str">
        <f>"20190312172238561"</f>
        <v>20190312172238561</v>
      </c>
      <c r="B6189" t="str">
        <f>"1552382558556426"</f>
        <v>1552382558556426</v>
      </c>
      <c r="C6189" t="s">
        <v>40</v>
      </c>
      <c r="D6189">
        <v>3.5399530000000001</v>
      </c>
      <c r="E6189">
        <v>0.52766999999999997</v>
      </c>
      <c r="F6189" t="s">
        <v>69</v>
      </c>
      <c r="G6189">
        <v>-365.22359999999998</v>
      </c>
      <c r="H6189" s="1">
        <v>-3.135557E-6</v>
      </c>
      <c r="I6189">
        <v>22.913450000000001</v>
      </c>
      <c r="J6189">
        <v>-383.4427</v>
      </c>
      <c r="K6189">
        <v>1.1077239999999999</v>
      </c>
      <c r="L6189">
        <v>25.879490000000001</v>
      </c>
      <c r="M6189">
        <v>0.99362139999999999</v>
      </c>
      <c r="N6189">
        <v>0</v>
      </c>
      <c r="O6189">
        <v>-0.111924499999999</v>
      </c>
      <c r="P6189">
        <v>0.98665559999999997</v>
      </c>
      <c r="Q6189">
        <v>0.1401115</v>
      </c>
      <c r="R6189">
        <v>-8.2941799999999996E-2</v>
      </c>
      <c r="S6189">
        <v>3.0250849999999998</v>
      </c>
      <c r="T6189">
        <v>-0.18174280000000001</v>
      </c>
      <c r="U6189">
        <v>-0.49096679999999998</v>
      </c>
      <c r="V6189">
        <v>-2.7022930000000001E-2</v>
      </c>
      <c r="W6189">
        <v>0.1538986</v>
      </c>
      <c r="X6189">
        <v>0.98771699999999996</v>
      </c>
      <c r="Y6189">
        <v>4.8815850000000001E-2</v>
      </c>
      <c r="Z6189">
        <v>5.1942070000000002E-3</v>
      </c>
      <c r="AA6189">
        <v>0.99879430000000002</v>
      </c>
      <c r="AB6189">
        <v>31</v>
      </c>
      <c r="AC6189">
        <v>18.219100000000001</v>
      </c>
      <c r="AD6189">
        <v>-1.107727135557</v>
      </c>
      <c r="AE6189">
        <v>-2.96604</v>
      </c>
      <c r="AF6189">
        <v>0.90478482177978903</v>
      </c>
      <c r="AG6189">
        <v>-1.107727135557</v>
      </c>
      <c r="AH6189">
        <v>18.370450106648899</v>
      </c>
      <c r="AI6189">
        <v>93.446555261625093</v>
      </c>
      <c r="AJ6189">
        <v>87.180336108572305</v>
      </c>
      <c r="AK6189">
        <v>18.4260449392008</v>
      </c>
      <c r="AL6189">
        <v>81.147075249099501</v>
      </c>
      <c r="AM6189">
        <v>91.567163169757706</v>
      </c>
      <c r="AN6189">
        <v>0.99999994495836997</v>
      </c>
    </row>
    <row r="6190" spans="1:40" x14ac:dyDescent="0.25">
      <c r="A6190" t="str">
        <f>"20190312172238572"</f>
        <v>20190312172238572</v>
      </c>
      <c r="B6190" t="str">
        <f>"1552382558566186"</f>
        <v>1552382558566186</v>
      </c>
      <c r="C6190" t="s">
        <v>40</v>
      </c>
      <c r="D6190">
        <v>3.5401020000000001</v>
      </c>
      <c r="E6190">
        <v>0.52744659999999999</v>
      </c>
      <c r="F6190" t="s">
        <v>41</v>
      </c>
      <c r="G6190">
        <v>-382.45209999999997</v>
      </c>
      <c r="H6190">
        <v>1.0491349999999999</v>
      </c>
      <c r="I6190">
        <v>25.717420000000001</v>
      </c>
      <c r="J6190">
        <v>-383.2817</v>
      </c>
      <c r="K6190">
        <v>1.1077939999999999</v>
      </c>
      <c r="L6190">
        <v>25.859770000000001</v>
      </c>
      <c r="M6190">
        <v>0.993452</v>
      </c>
      <c r="N6190">
        <v>0</v>
      </c>
      <c r="O6190">
        <v>-0.11341900000000001</v>
      </c>
      <c r="P6190">
        <v>0.98643899999999995</v>
      </c>
      <c r="Q6190">
        <v>0.1409398</v>
      </c>
      <c r="R6190">
        <v>-8.4107290000000001E-2</v>
      </c>
      <c r="S6190">
        <v>3.0244450000000001</v>
      </c>
      <c r="T6190">
        <v>-0.17868290000000001</v>
      </c>
      <c r="U6190">
        <v>-0.49374390000000001</v>
      </c>
      <c r="V6190">
        <v>-2.7348129999999998E-2</v>
      </c>
      <c r="W6190">
        <v>0.15471879999999999</v>
      </c>
      <c r="X6190">
        <v>0.98757989999999996</v>
      </c>
      <c r="Y6190">
        <v>4.8240190000000002E-2</v>
      </c>
      <c r="Z6190">
        <v>5.2112149999999999E-3</v>
      </c>
      <c r="AA6190">
        <v>0.99882219999999999</v>
      </c>
      <c r="AB6190">
        <v>31</v>
      </c>
      <c r="AC6190">
        <v>0.82960000000002698</v>
      </c>
      <c r="AD6190">
        <v>-5.8659000000000003E-2</v>
      </c>
      <c r="AE6190">
        <v>-0.14235</v>
      </c>
      <c r="AF6190">
        <v>4.7101218345548701E-2</v>
      </c>
      <c r="AG6190">
        <v>-5.8659000000000003E-2</v>
      </c>
      <c r="AH6190">
        <v>0.83633080243175395</v>
      </c>
      <c r="AI6190">
        <v>94.005743455334894</v>
      </c>
      <c r="AJ6190">
        <v>86.776570742978905</v>
      </c>
      <c r="AK6190">
        <v>0.839707457479554</v>
      </c>
      <c r="AL6190">
        <v>81.099511544550296</v>
      </c>
      <c r="AM6190">
        <v>91.586233251997001</v>
      </c>
      <c r="AN6190">
        <v>0.99999994308597095</v>
      </c>
    </row>
    <row r="6191" spans="1:40" x14ac:dyDescent="0.25">
      <c r="A6191" t="str">
        <f>"20190312172238583"</f>
        <v>20190312172238583</v>
      </c>
      <c r="B6191" t="str">
        <f>"1552382558576922"</f>
        <v>1552382558576922</v>
      </c>
      <c r="C6191" t="s">
        <v>40</v>
      </c>
      <c r="D6191">
        <v>3.507047</v>
      </c>
      <c r="E6191">
        <v>0.52724150000000003</v>
      </c>
      <c r="F6191" t="s">
        <v>69</v>
      </c>
      <c r="G6191">
        <v>-364.3295</v>
      </c>
      <c r="H6191" s="1">
        <v>-3.5156120000000002E-6</v>
      </c>
      <c r="I6191">
        <v>22.753340000000001</v>
      </c>
      <c r="J6191">
        <v>-383.13310000000001</v>
      </c>
      <c r="K6191">
        <v>1.107856</v>
      </c>
      <c r="L6191">
        <v>25.841460000000001</v>
      </c>
      <c r="M6191">
        <v>0.9932955</v>
      </c>
      <c r="N6191">
        <v>0</v>
      </c>
      <c r="O6191">
        <v>-0.1147831</v>
      </c>
      <c r="P6191">
        <v>0.98627379999999998</v>
      </c>
      <c r="Q6191">
        <v>0.1416734</v>
      </c>
      <c r="R6191">
        <v>-8.4812180000000001E-2</v>
      </c>
      <c r="S6191">
        <v>3.0242309999999999</v>
      </c>
      <c r="T6191">
        <v>-0.1767725</v>
      </c>
      <c r="U6191">
        <v>-0.495697</v>
      </c>
      <c r="V6191">
        <v>-2.8005579999999999E-2</v>
      </c>
      <c r="W6191">
        <v>0.1554471</v>
      </c>
      <c r="X6191">
        <v>0.98744710000000002</v>
      </c>
      <c r="Y6191">
        <v>4.7509179999999998E-2</v>
      </c>
      <c r="Z6191">
        <v>5.2552220000000004E-3</v>
      </c>
      <c r="AA6191">
        <v>0.99885699999999999</v>
      </c>
      <c r="AB6191">
        <v>31</v>
      </c>
      <c r="AC6191">
        <v>18.803599999999999</v>
      </c>
      <c r="AD6191">
        <v>-1.1078595156119999</v>
      </c>
      <c r="AE6191">
        <v>-3.08812</v>
      </c>
      <c r="AF6191">
        <v>0.90610335463463998</v>
      </c>
      <c r="AG6191">
        <v>-1.1078595156119999</v>
      </c>
      <c r="AH6191">
        <v>18.969673672622999</v>
      </c>
      <c r="AI6191">
        <v>93.338571508174695</v>
      </c>
      <c r="AJ6191">
        <v>87.265294624914404</v>
      </c>
      <c r="AK6191">
        <v>19.023587864580598</v>
      </c>
      <c r="AL6191">
        <v>81.057271999002197</v>
      </c>
      <c r="AM6191">
        <v>91.624564503435096</v>
      </c>
      <c r="AN6191">
        <v>0.99999994435397599</v>
      </c>
    </row>
    <row r="6192" spans="1:40" x14ac:dyDescent="0.25">
      <c r="A6192" t="str">
        <f>"20190312172238594"</f>
        <v>20190312172238594</v>
      </c>
      <c r="B6192" t="str">
        <f>"1552382558586683"</f>
        <v>1552382558586683</v>
      </c>
      <c r="C6192" t="s">
        <v>40</v>
      </c>
      <c r="D6192">
        <v>3.533385</v>
      </c>
      <c r="E6192">
        <v>0.52715409999999996</v>
      </c>
      <c r="F6192" t="s">
        <v>69</v>
      </c>
      <c r="G6192">
        <v>-363.99689999999998</v>
      </c>
      <c r="H6192" s="1">
        <v>-3.6587429999999999E-6</v>
      </c>
      <c r="I6192">
        <v>22.700389999999999</v>
      </c>
      <c r="J6192">
        <v>-382.97320000000002</v>
      </c>
      <c r="K6192">
        <v>1.1079110000000001</v>
      </c>
      <c r="L6192">
        <v>25.821470000000001</v>
      </c>
      <c r="M6192">
        <v>0.99312880000000003</v>
      </c>
      <c r="N6192">
        <v>0</v>
      </c>
      <c r="O6192">
        <v>-0.116216</v>
      </c>
      <c r="P6192">
        <v>0.98614369999999996</v>
      </c>
      <c r="Q6192">
        <v>0.14208779999999999</v>
      </c>
      <c r="R6192">
        <v>-8.5625809999999997E-2</v>
      </c>
      <c r="S6192">
        <v>3.0242</v>
      </c>
      <c r="T6192">
        <v>-0.17508070000000001</v>
      </c>
      <c r="U6192">
        <v>-0.49639889999999998</v>
      </c>
      <c r="V6192">
        <v>-2.8628049999999999E-2</v>
      </c>
      <c r="W6192">
        <v>0.15585689999999999</v>
      </c>
      <c r="X6192">
        <v>0.98736469999999998</v>
      </c>
      <c r="Y6192">
        <v>4.6297619999999998E-2</v>
      </c>
      <c r="Z6192">
        <v>5.3212939999999999E-3</v>
      </c>
      <c r="AA6192">
        <v>0.99891350000000001</v>
      </c>
      <c r="AB6192">
        <v>31</v>
      </c>
      <c r="AC6192">
        <v>18.976299999999998</v>
      </c>
      <c r="AD6192">
        <v>-1.107914658743</v>
      </c>
      <c r="AE6192">
        <v>-3.1210800000000001</v>
      </c>
      <c r="AF6192">
        <v>0.89141076320288304</v>
      </c>
      <c r="AG6192">
        <v>-1.107914658743</v>
      </c>
      <c r="AH6192">
        <v>19.1468981027372</v>
      </c>
      <c r="AI6192">
        <v>93.308090624694401</v>
      </c>
      <c r="AJ6192">
        <v>87.334439177310301</v>
      </c>
      <c r="AK6192">
        <v>19.199630074467901</v>
      </c>
      <c r="AL6192">
        <v>81.033502937900394</v>
      </c>
      <c r="AM6192">
        <v>91.660791628982494</v>
      </c>
      <c r="AN6192">
        <v>0.99999999466525102</v>
      </c>
    </row>
    <row r="6193" spans="1:40" x14ac:dyDescent="0.25">
      <c r="A6193" t="str">
        <f>"20190312172238616"</f>
        <v>20190312172238616</v>
      </c>
      <c r="B6193" t="str">
        <f>"1552382558606206"</f>
        <v>1552382558606206</v>
      </c>
      <c r="C6193" t="s">
        <v>40</v>
      </c>
      <c r="D6193">
        <v>3.532724</v>
      </c>
      <c r="E6193">
        <v>0.52685329999999997</v>
      </c>
      <c r="F6193" t="s">
        <v>69</v>
      </c>
      <c r="G6193">
        <v>-363.68329999999997</v>
      </c>
      <c r="H6193" s="1">
        <v>-3.7919800000000002E-6</v>
      </c>
      <c r="I6193">
        <v>22.644030000000001</v>
      </c>
      <c r="J6193">
        <v>-382.68009999999998</v>
      </c>
      <c r="K6193">
        <v>1.1079969999999999</v>
      </c>
      <c r="L6193">
        <v>25.784389999999998</v>
      </c>
      <c r="M6193">
        <v>0.9928247</v>
      </c>
      <c r="N6193">
        <v>0</v>
      </c>
      <c r="O6193">
        <v>-0.11878660000000001</v>
      </c>
      <c r="P6193">
        <v>0.98603079999999999</v>
      </c>
      <c r="Q6193">
        <v>0.1422648</v>
      </c>
      <c r="R6193">
        <v>-8.6625939999999998E-2</v>
      </c>
      <c r="S6193">
        <v>3.0239560000000001</v>
      </c>
      <c r="T6193">
        <v>-0.1736809</v>
      </c>
      <c r="U6193">
        <v>-0.49810789999999999</v>
      </c>
      <c r="V6193">
        <v>-3.021335E-2</v>
      </c>
      <c r="W6193">
        <v>0.15602929999999901</v>
      </c>
      <c r="X6193">
        <v>0.98729029999999995</v>
      </c>
      <c r="Y6193">
        <v>4.4279499999999999E-2</v>
      </c>
      <c r="Z6193">
        <v>5.48155E-3</v>
      </c>
      <c r="AA6193">
        <v>0.99900409999999995</v>
      </c>
      <c r="AB6193">
        <v>31</v>
      </c>
      <c r="AC6193">
        <v>18.9968</v>
      </c>
      <c r="AD6193">
        <v>-1.1080007919799999</v>
      </c>
      <c r="AE6193">
        <v>-3.1403599999999998</v>
      </c>
      <c r="AF6193">
        <v>0.858500202644774</v>
      </c>
      <c r="AG6193">
        <v>-1.1080007919799999</v>
      </c>
      <c r="AH6193">
        <v>19.171855916375701</v>
      </c>
      <c r="AI6193">
        <v>93.304317017465394</v>
      </c>
      <c r="AJ6193">
        <v>87.436054137009293</v>
      </c>
      <c r="AK6193">
        <v>19.223026495098001</v>
      </c>
      <c r="AL6193">
        <v>81.023503420197997</v>
      </c>
      <c r="AM6193">
        <v>91.752835363800003</v>
      </c>
      <c r="AN6193">
        <v>1.00000006272539</v>
      </c>
    </row>
    <row r="6194" spans="1:40" x14ac:dyDescent="0.25">
      <c r="A6194" t="str">
        <f>"20190312172238629"</f>
        <v>20190312172238629</v>
      </c>
      <c r="B6194" t="str">
        <f>"1552382558626699"</f>
        <v>1552382558626699</v>
      </c>
      <c r="C6194" t="s">
        <v>40</v>
      </c>
      <c r="D6194">
        <v>3.4985019999999998</v>
      </c>
      <c r="E6194">
        <v>0.5266189</v>
      </c>
      <c r="F6194" t="s">
        <v>69</v>
      </c>
      <c r="G6194">
        <v>-363.36489999999998</v>
      </c>
      <c r="H6194" s="1">
        <v>-3.9294320000000001E-6</v>
      </c>
      <c r="I6194">
        <v>22.59488</v>
      </c>
      <c r="J6194">
        <v>-382.4973</v>
      </c>
      <c r="K6194">
        <v>1.1080369999999999</v>
      </c>
      <c r="L6194">
        <v>25.760860000000001</v>
      </c>
      <c r="M6194">
        <v>0.99263570000000001</v>
      </c>
      <c r="N6194">
        <v>0</v>
      </c>
      <c r="O6194">
        <v>-0.120357199999999</v>
      </c>
      <c r="P6194">
        <v>0.985981</v>
      </c>
      <c r="Q6194">
        <v>0.14201059999999999</v>
      </c>
      <c r="R6194">
        <v>-8.7605790000000003E-2</v>
      </c>
      <c r="S6194">
        <v>3.023682</v>
      </c>
      <c r="T6194">
        <v>-0.17345089999999999</v>
      </c>
      <c r="U6194">
        <v>-0.49929810000000002</v>
      </c>
      <c r="V6194">
        <v>-3.0816260000000002E-2</v>
      </c>
      <c r="W6194">
        <v>0.1557721</v>
      </c>
      <c r="X6194">
        <v>0.98731219999999997</v>
      </c>
      <c r="Y6194">
        <v>4.3100340000000001E-2</v>
      </c>
      <c r="Z6194">
        <v>5.5966499999999999E-3</v>
      </c>
      <c r="AA6194">
        <v>0.99905509999999997</v>
      </c>
      <c r="AB6194">
        <v>31</v>
      </c>
      <c r="AC6194">
        <v>19.132400000000001</v>
      </c>
      <c r="AD6194">
        <v>-1.1080409294319999</v>
      </c>
      <c r="AE6194">
        <v>-3.1659799999999998</v>
      </c>
      <c r="AF6194">
        <v>0.83728838342201595</v>
      </c>
      <c r="AG6194">
        <v>-1.1080409294319999</v>
      </c>
      <c r="AH6194">
        <v>19.311332694159699</v>
      </c>
      <c r="AI6194">
        <v>93.280827077076097</v>
      </c>
      <c r="AJ6194">
        <v>87.517361213842605</v>
      </c>
      <c r="AK6194">
        <v>19.361208045027301</v>
      </c>
      <c r="AL6194">
        <v>81.038421605553694</v>
      </c>
      <c r="AM6194">
        <v>91.787751237142601</v>
      </c>
      <c r="AN6194">
        <v>0.99999998464381801</v>
      </c>
    </row>
    <row r="6195" spans="1:40" x14ac:dyDescent="0.25">
      <c r="A6195" t="str">
        <f>"20190312172238641"</f>
        <v>20190312172238641</v>
      </c>
      <c r="B6195" t="str">
        <f>"1552382558636459"</f>
        <v>1552382558636459</v>
      </c>
      <c r="C6195" t="s">
        <v>40</v>
      </c>
      <c r="D6195">
        <v>3.528416</v>
      </c>
      <c r="E6195">
        <v>0.52642789999999995</v>
      </c>
      <c r="F6195" t="s">
        <v>69</v>
      </c>
      <c r="G6195">
        <v>-363.4248</v>
      </c>
      <c r="H6195" s="1">
        <v>-3.9027540000000001E-6</v>
      </c>
      <c r="I6195">
        <v>22.601140000000001</v>
      </c>
      <c r="J6195">
        <v>-382.33530000000002</v>
      </c>
      <c r="K6195">
        <v>1.1080680000000001</v>
      </c>
      <c r="L6195">
        <v>25.73987</v>
      </c>
      <c r="M6195">
        <v>0.99246699999999999</v>
      </c>
      <c r="N6195">
        <v>0</v>
      </c>
      <c r="O6195">
        <v>-0.1217401</v>
      </c>
      <c r="P6195">
        <v>0.98590860000000002</v>
      </c>
      <c r="Q6195">
        <v>0.14196400000000001</v>
      </c>
      <c r="R6195">
        <v>-8.8490299999999994E-2</v>
      </c>
      <c r="S6195">
        <v>3.0234070000000002</v>
      </c>
      <c r="T6195">
        <v>-0.17564869999999999</v>
      </c>
      <c r="U6195">
        <v>-0.50088500000000002</v>
      </c>
      <c r="V6195">
        <v>-3.1319300000000001E-2</v>
      </c>
      <c r="W6195">
        <v>0.15572269999999999</v>
      </c>
      <c r="X6195">
        <v>0.98730419999999997</v>
      </c>
      <c r="Y6195">
        <v>4.2240159999999999E-2</v>
      </c>
      <c r="Z6195">
        <v>5.7713560000000001E-3</v>
      </c>
      <c r="AA6195">
        <v>0.99909079999999995</v>
      </c>
      <c r="AB6195">
        <v>31</v>
      </c>
      <c r="AC6195">
        <v>18.910499999999999</v>
      </c>
      <c r="AD6195">
        <v>-1.108071902754</v>
      </c>
      <c r="AE6195">
        <v>-3.13872999999999</v>
      </c>
      <c r="AF6195">
        <v>0.81028896279390195</v>
      </c>
      <c r="AG6195">
        <v>-1.108071902754</v>
      </c>
      <c r="AH6195">
        <v>19.088181544808101</v>
      </c>
      <c r="AI6195">
        <v>93.319317755214001</v>
      </c>
      <c r="AJ6195">
        <v>87.569266544127998</v>
      </c>
      <c r="AK6195">
        <v>19.137478053088699</v>
      </c>
      <c r="AL6195">
        <v>81.041287308261104</v>
      </c>
      <c r="AM6195">
        <v>91.816929528844796</v>
      </c>
      <c r="AN6195">
        <v>1.0000000205927</v>
      </c>
    </row>
    <row r="6196" spans="1:40" x14ac:dyDescent="0.25">
      <c r="A6196" t="str">
        <f>"20190312172238652"</f>
        <v>20190312172238652</v>
      </c>
      <c r="B6196" t="str">
        <f>"1552382558646749"</f>
        <v>1552382558646749</v>
      </c>
      <c r="C6196" t="s">
        <v>40</v>
      </c>
      <c r="D6196">
        <v>3.5289190000000001</v>
      </c>
      <c r="E6196">
        <v>0.52639669999999905</v>
      </c>
      <c r="F6196" t="s">
        <v>69</v>
      </c>
      <c r="G6196">
        <v>-363.31330000000003</v>
      </c>
      <c r="H6196" s="1">
        <v>-3.9500899999999998E-6</v>
      </c>
      <c r="I6196">
        <v>22.580970000000001</v>
      </c>
      <c r="J6196">
        <v>-382.17309999999998</v>
      </c>
      <c r="K6196">
        <v>1.1080909999999999</v>
      </c>
      <c r="L6196">
        <v>25.71848</v>
      </c>
      <c r="M6196">
        <v>0.99229780000000001</v>
      </c>
      <c r="N6196">
        <v>0</v>
      </c>
      <c r="O6196">
        <v>-0.1231121</v>
      </c>
      <c r="P6196">
        <v>0.98588980000000004</v>
      </c>
      <c r="Q6196">
        <v>0.14159840000000001</v>
      </c>
      <c r="R6196">
        <v>-8.9282860000000006E-2</v>
      </c>
      <c r="S6196">
        <v>3.0231629999999998</v>
      </c>
      <c r="T6196">
        <v>-0.17610629999999999</v>
      </c>
      <c r="U6196">
        <v>-0.50204470000000001</v>
      </c>
      <c r="V6196">
        <v>-3.1909170000000001E-2</v>
      </c>
      <c r="W6196">
        <v>0.15535579999999999</v>
      </c>
      <c r="X6196">
        <v>0.98734310000000003</v>
      </c>
      <c r="Y6196">
        <v>4.1249319999999999E-2</v>
      </c>
      <c r="Z6196">
        <v>5.8937199999999999E-3</v>
      </c>
      <c r="AA6196">
        <v>0.99913149999999995</v>
      </c>
      <c r="AB6196">
        <v>31</v>
      </c>
      <c r="AC6196">
        <v>18.8597999999999</v>
      </c>
      <c r="AD6196">
        <v>-1.1080949500899999</v>
      </c>
      <c r="AE6196">
        <v>-3.13750999999999</v>
      </c>
      <c r="AF6196">
        <v>0.78889929207042597</v>
      </c>
      <c r="AG6196">
        <v>-1.1080949500899999</v>
      </c>
      <c r="AH6196">
        <v>19.0386510185273</v>
      </c>
      <c r="AI6196">
        <v>93.328143743595305</v>
      </c>
      <c r="AJ6196">
        <v>87.627208113023698</v>
      </c>
      <c r="AK6196">
        <v>19.087180753498298</v>
      </c>
      <c r="AL6196">
        <v>81.062568013398604</v>
      </c>
      <c r="AM6196">
        <v>91.851053243666399</v>
      </c>
      <c r="AN6196">
        <v>1.0000000084206599</v>
      </c>
    </row>
    <row r="6197" spans="1:40" x14ac:dyDescent="0.25">
      <c r="A6197" t="str">
        <f>"20190312172238665"</f>
        <v>20190312172238665</v>
      </c>
      <c r="B6197" t="str">
        <f>"1552382558656509"</f>
        <v>1552382558656509</v>
      </c>
      <c r="C6197" t="s">
        <v>40</v>
      </c>
      <c r="D6197">
        <v>3.5083500000000001</v>
      </c>
      <c r="E6197">
        <v>0.52636079999999996</v>
      </c>
      <c r="F6197" t="s">
        <v>69</v>
      </c>
      <c r="G6197">
        <v>-363.33429999999998</v>
      </c>
      <c r="H6197" s="1">
        <v>-3.9388889999999996E-6</v>
      </c>
      <c r="I6197">
        <v>22.576149999999998</v>
      </c>
      <c r="J6197">
        <v>-382.0136</v>
      </c>
      <c r="K6197">
        <v>1.108107</v>
      </c>
      <c r="L6197">
        <v>25.697330000000001</v>
      </c>
      <c r="M6197">
        <v>0.99212990000000001</v>
      </c>
      <c r="N6197">
        <v>0</v>
      </c>
      <c r="O6197">
        <v>-0.1244591</v>
      </c>
      <c r="P6197">
        <v>0.98576810000000004</v>
      </c>
      <c r="Q6197">
        <v>0.14170739999999901</v>
      </c>
      <c r="R6197">
        <v>-9.0445600000000001E-2</v>
      </c>
      <c r="S6197">
        <v>3.0228269999999999</v>
      </c>
      <c r="T6197">
        <v>-0.17780260000000001</v>
      </c>
      <c r="U6197">
        <v>-0.50421139999999998</v>
      </c>
      <c r="V6197">
        <v>-3.2090349999999997E-2</v>
      </c>
      <c r="W6197">
        <v>0.15546179999999901</v>
      </c>
      <c r="X6197">
        <v>0.98732050000000005</v>
      </c>
      <c r="Y6197">
        <v>4.0613610000000001E-2</v>
      </c>
      <c r="Z6197">
        <v>6.046938E-3</v>
      </c>
      <c r="AA6197">
        <v>0.99915670000000001</v>
      </c>
      <c r="AB6197">
        <v>31</v>
      </c>
      <c r="AC6197">
        <v>18.679300000000001</v>
      </c>
      <c r="AD6197">
        <v>-1.108110938889</v>
      </c>
      <c r="AE6197">
        <v>-3.1211799999999901</v>
      </c>
      <c r="AF6197">
        <v>0.769246160708978</v>
      </c>
      <c r="AG6197">
        <v>-1.108110938889</v>
      </c>
      <c r="AH6197">
        <v>18.8579693524382</v>
      </c>
      <c r="AI6197">
        <v>93.360095730356406</v>
      </c>
      <c r="AJ6197">
        <v>87.664110276968799</v>
      </c>
      <c r="AK6197">
        <v>18.906153961240999</v>
      </c>
      <c r="AL6197">
        <v>81.056419578947995</v>
      </c>
      <c r="AM6197">
        <v>91.861598715818801</v>
      </c>
      <c r="AN6197">
        <v>0.99999996577130501</v>
      </c>
    </row>
    <row r="6198" spans="1:40" x14ac:dyDescent="0.25">
      <c r="A6198" t="str">
        <f>"20190312172238676"</f>
        <v>20190312172238676</v>
      </c>
      <c r="B6198" t="str">
        <f>"1552382558666269"</f>
        <v>1552382558666269</v>
      </c>
      <c r="C6198" t="s">
        <v>40</v>
      </c>
      <c r="D6198">
        <v>3.5126759999999999</v>
      </c>
      <c r="E6198">
        <v>0.52622630000000004</v>
      </c>
      <c r="F6198" t="s">
        <v>69</v>
      </c>
      <c r="G6198">
        <v>-363.23509999999999</v>
      </c>
      <c r="H6198" s="1">
        <v>-3.9774350000000001E-6</v>
      </c>
      <c r="I6198">
        <v>22.544720000000002</v>
      </c>
      <c r="J6198">
        <v>-381.86059999999998</v>
      </c>
      <c r="K6198">
        <v>1.108125</v>
      </c>
      <c r="L6198">
        <v>25.676850000000002</v>
      </c>
      <c r="M6198">
        <v>0.99196709999999999</v>
      </c>
      <c r="N6198">
        <v>0</v>
      </c>
      <c r="O6198">
        <v>-0.12574869999999999</v>
      </c>
      <c r="P6198">
        <v>0.98566810000000005</v>
      </c>
      <c r="Q6198">
        <v>0.1417477</v>
      </c>
      <c r="R6198">
        <v>-9.1466779999999998E-2</v>
      </c>
      <c r="S6198">
        <v>3.0224299999999999</v>
      </c>
      <c r="T6198">
        <v>-0.17835210000000001</v>
      </c>
      <c r="U6198">
        <v>-0.50741579999999997</v>
      </c>
      <c r="V6198">
        <v>-3.2356160000000002E-2</v>
      </c>
      <c r="W6198">
        <v>0.155499</v>
      </c>
      <c r="X6198">
        <v>0.98730600000000002</v>
      </c>
      <c r="Y6198">
        <v>4.0369830000000002E-2</v>
      </c>
      <c r="Z6198">
        <v>6.1475430000000001E-3</v>
      </c>
      <c r="AA6198">
        <v>0.99916590000000005</v>
      </c>
      <c r="AB6198">
        <v>31</v>
      </c>
      <c r="AC6198">
        <v>18.625499999999899</v>
      </c>
      <c r="AD6198">
        <v>-1.1081289774350001</v>
      </c>
      <c r="AE6198">
        <v>-3.1321300000000001</v>
      </c>
      <c r="AF6198">
        <v>0.76228556510683398</v>
      </c>
      <c r="AG6198">
        <v>-1.1081289774350001</v>
      </c>
      <c r="AH6198">
        <v>18.806784221446399</v>
      </c>
      <c r="AI6198">
        <v>93.369309709101003</v>
      </c>
      <c r="AJ6198">
        <v>87.678930609785297</v>
      </c>
      <c r="AK6198">
        <v>18.854818001387599</v>
      </c>
      <c r="AL6198">
        <v>81.0542622352026</v>
      </c>
      <c r="AM6198">
        <v>91.877035226469204</v>
      </c>
      <c r="AN6198">
        <v>0.99999999886347202</v>
      </c>
    </row>
    <row r="6199" spans="1:40" x14ac:dyDescent="0.25">
      <c r="A6199" t="str">
        <f>"20190312172238686"</f>
        <v>20190312172238686</v>
      </c>
      <c r="B6199" t="str">
        <f>"1552382558677005"</f>
        <v>1552382558677005</v>
      </c>
      <c r="C6199" t="s">
        <v>40</v>
      </c>
      <c r="D6199">
        <v>3.5388459999999999</v>
      </c>
      <c r="E6199">
        <v>0.52615080000000003</v>
      </c>
      <c r="F6199" t="s">
        <v>69</v>
      </c>
      <c r="G6199">
        <v>-363.15370000000001</v>
      </c>
      <c r="H6199" s="1">
        <v>-4.0102049999999997E-6</v>
      </c>
      <c r="I6199">
        <v>22.523219999999998</v>
      </c>
      <c r="J6199">
        <v>-381.71280000000002</v>
      </c>
      <c r="K6199">
        <v>1.108139</v>
      </c>
      <c r="L6199">
        <v>25.6568</v>
      </c>
      <c r="M6199">
        <v>0.99180840000000003</v>
      </c>
      <c r="N6199">
        <v>0</v>
      </c>
      <c r="O6199">
        <v>-0.12699489999999999</v>
      </c>
      <c r="P6199">
        <v>0.98555329999999997</v>
      </c>
      <c r="Q6199">
        <v>0.14184469999999999</v>
      </c>
      <c r="R6199">
        <v>-9.2547409999999997E-2</v>
      </c>
      <c r="S6199">
        <v>3.0220639999999999</v>
      </c>
      <c r="T6199">
        <v>-0.17901549999999999</v>
      </c>
      <c r="U6199">
        <v>-0.50946040000000004</v>
      </c>
      <c r="V6199">
        <v>-3.2517150000000002E-2</v>
      </c>
      <c r="W6199">
        <v>0.15559319999999999</v>
      </c>
      <c r="X6199">
        <v>0.98728590000000005</v>
      </c>
      <c r="Y6199">
        <v>3.9795759999999999E-2</v>
      </c>
      <c r="Z6199">
        <v>6.2599739999999997E-3</v>
      </c>
      <c r="AA6199">
        <v>0.99918819999999997</v>
      </c>
      <c r="AB6199">
        <v>31</v>
      </c>
      <c r="AC6199">
        <v>18.559100000000001</v>
      </c>
      <c r="AD6199">
        <v>-1.1081430102050001</v>
      </c>
      <c r="AE6199">
        <v>-3.13357999999999</v>
      </c>
      <c r="AF6199">
        <v>0.74847620240778001</v>
      </c>
      <c r="AG6199">
        <v>-1.1081430102050001</v>
      </c>
      <c r="AH6199">
        <v>18.741826190139999</v>
      </c>
      <c r="AI6199">
        <v>93.381084007442993</v>
      </c>
      <c r="AJ6199">
        <v>87.713043006374306</v>
      </c>
      <c r="AK6199">
        <v>18.789471692893699</v>
      </c>
      <c r="AL6199">
        <v>81.048798739972099</v>
      </c>
      <c r="AM6199">
        <v>91.886406172770094</v>
      </c>
      <c r="AN6199">
        <v>1.00000002863458</v>
      </c>
    </row>
    <row r="6200" spans="1:40" x14ac:dyDescent="0.25">
      <c r="A6200" t="str">
        <f>"20190312172238696"</f>
        <v>20190312172238696</v>
      </c>
      <c r="B6200" t="str">
        <f>"1552382558686765"</f>
        <v>1552382558686765</v>
      </c>
      <c r="C6200" t="s">
        <v>40</v>
      </c>
      <c r="D6200">
        <v>3.5228980000000001</v>
      </c>
      <c r="E6200">
        <v>0.52607519999999997</v>
      </c>
      <c r="F6200" t="s">
        <v>69</v>
      </c>
      <c r="G6200">
        <v>-363.03500000000003</v>
      </c>
      <c r="H6200" s="1">
        <v>-4.0578889999999996E-6</v>
      </c>
      <c r="I6200">
        <v>22.491669999999999</v>
      </c>
      <c r="J6200">
        <v>-381.56880000000001</v>
      </c>
      <c r="K6200">
        <v>1.1081529999999999</v>
      </c>
      <c r="L6200">
        <v>25.637119999999999</v>
      </c>
      <c r="M6200">
        <v>0.99165210000000004</v>
      </c>
      <c r="N6200">
        <v>0</v>
      </c>
      <c r="O6200">
        <v>-0.12820989999999999</v>
      </c>
      <c r="P6200">
        <v>0.98539980000000005</v>
      </c>
      <c r="Q6200">
        <v>0.14203099999999999</v>
      </c>
      <c r="R6200">
        <v>-9.3884410000000001E-2</v>
      </c>
      <c r="S6200">
        <v>3.0216980000000002</v>
      </c>
      <c r="T6200">
        <v>-0.17927560000000001</v>
      </c>
      <c r="U6200">
        <v>-0.51205440000000002</v>
      </c>
      <c r="V6200">
        <v>-3.2386280000000003E-2</v>
      </c>
      <c r="W6200">
        <v>0.15577550000000001</v>
      </c>
      <c r="X6200">
        <v>0.98726139999999996</v>
      </c>
      <c r="Y6200">
        <v>3.942847E-2</v>
      </c>
      <c r="Z6200">
        <v>6.3507650000000004E-3</v>
      </c>
      <c r="AA6200">
        <v>0.99920220000000004</v>
      </c>
      <c r="AB6200">
        <v>31</v>
      </c>
      <c r="AC6200">
        <v>18.5337999999999</v>
      </c>
      <c r="AD6200">
        <v>-1.1081570578890001</v>
      </c>
      <c r="AE6200">
        <v>-3.1454499999999901</v>
      </c>
      <c r="AF6200">
        <v>0.74047236441653297</v>
      </c>
      <c r="AG6200">
        <v>-1.1081570578890001</v>
      </c>
      <c r="AH6200">
        <v>18.7190816352642</v>
      </c>
      <c r="AI6200">
        <v>93.385276250679297</v>
      </c>
      <c r="AJ6200">
        <v>87.734726838901494</v>
      </c>
      <c r="AK6200">
        <v>18.766468198760801</v>
      </c>
      <c r="AL6200">
        <v>81.038224302905505</v>
      </c>
      <c r="AM6200">
        <v>91.878866100621707</v>
      </c>
      <c r="AN6200">
        <v>0.99999997473122304</v>
      </c>
    </row>
    <row r="6201" spans="1:40" x14ac:dyDescent="0.25">
      <c r="A6201" t="str">
        <f>"20190312172238709"</f>
        <v>20190312172238709</v>
      </c>
      <c r="B6201" t="str">
        <f>"1552382558696524"</f>
        <v>1552382558696524</v>
      </c>
      <c r="C6201" t="s">
        <v>40</v>
      </c>
      <c r="D6201">
        <v>3.5158659999999999</v>
      </c>
      <c r="E6201">
        <v>0.52600009999999997</v>
      </c>
      <c r="F6201" t="s">
        <v>69</v>
      </c>
      <c r="G6201">
        <v>-362.8528</v>
      </c>
      <c r="H6201" s="1">
        <v>-4.1313209999999997E-6</v>
      </c>
      <c r="I6201">
        <v>22.443930000000002</v>
      </c>
      <c r="J6201">
        <v>-381.42</v>
      </c>
      <c r="K6201">
        <v>1.1081620000000001</v>
      </c>
      <c r="L6201">
        <v>25.616579999999999</v>
      </c>
      <c r="M6201">
        <v>0.99148860000000005</v>
      </c>
      <c r="N6201">
        <v>0</v>
      </c>
      <c r="O6201">
        <v>-0.12946859999999999</v>
      </c>
      <c r="P6201">
        <v>0.98519679999999998</v>
      </c>
      <c r="Q6201">
        <v>0.1423287</v>
      </c>
      <c r="R6201">
        <v>-9.5550629999999998E-2</v>
      </c>
      <c r="S6201">
        <v>3.021118</v>
      </c>
      <c r="T6201">
        <v>-0.178877799999999</v>
      </c>
      <c r="U6201">
        <v>-0.51544190000000001</v>
      </c>
      <c r="V6201">
        <v>-3.1965800000000003E-2</v>
      </c>
      <c r="W6201">
        <v>0.15606789999999901</v>
      </c>
      <c r="X6201">
        <v>0.98722889999999996</v>
      </c>
      <c r="Y6201">
        <v>3.9282249999999998E-2</v>
      </c>
      <c r="Z6201">
        <v>6.4145269999999997E-3</v>
      </c>
      <c r="AA6201">
        <v>0.99920759999999997</v>
      </c>
      <c r="AB6201">
        <v>31</v>
      </c>
      <c r="AC6201">
        <v>18.5672</v>
      </c>
      <c r="AD6201">
        <v>-1.1081661313210001</v>
      </c>
      <c r="AE6201">
        <v>-3.17265</v>
      </c>
      <c r="AF6201">
        <v>0.73928796946637998</v>
      </c>
      <c r="AG6201">
        <v>-1.1081661313210001</v>
      </c>
      <c r="AH6201">
        <v>18.756777584673301</v>
      </c>
      <c r="AI6201">
        <v>93.378535108330297</v>
      </c>
      <c r="AJ6201">
        <v>87.7428870005769</v>
      </c>
      <c r="AK6201">
        <v>18.8040230864916</v>
      </c>
      <c r="AL6201">
        <v>81.021263365600504</v>
      </c>
      <c r="AM6201">
        <v>91.854550417415993</v>
      </c>
      <c r="AN6201">
        <v>0.99999995138762798</v>
      </c>
    </row>
    <row r="6202" spans="1:40" x14ac:dyDescent="0.25">
      <c r="A6202" t="str">
        <f>"20190312172238721"</f>
        <v>20190312172238721</v>
      </c>
      <c r="B6202" t="str">
        <f>"1552382558717021"</f>
        <v>1552382558717021</v>
      </c>
      <c r="C6202" t="s">
        <v>40</v>
      </c>
      <c r="D6202">
        <v>3.5159280000000002</v>
      </c>
      <c r="E6202">
        <v>0.52587030000000001</v>
      </c>
      <c r="F6202" t="s">
        <v>69</v>
      </c>
      <c r="G6202">
        <v>-362.64879999999999</v>
      </c>
      <c r="H6202" s="1">
        <v>-4.2012380000000003E-6</v>
      </c>
      <c r="I6202">
        <v>22.38383</v>
      </c>
      <c r="J6202">
        <v>-381.24579999999997</v>
      </c>
      <c r="K6202">
        <v>1.108174</v>
      </c>
      <c r="L6202">
        <v>25.59235</v>
      </c>
      <c r="M6202">
        <v>0.99129520000000004</v>
      </c>
      <c r="N6202">
        <v>0</v>
      </c>
      <c r="O6202">
        <v>-0.13094230000000001</v>
      </c>
      <c r="P6202">
        <v>0.98499820000000005</v>
      </c>
      <c r="Q6202">
        <v>0.14246349999999999</v>
      </c>
      <c r="R6202">
        <v>-9.7382330000000003E-2</v>
      </c>
      <c r="S6202">
        <v>3.020416</v>
      </c>
      <c r="T6202">
        <v>-0.1783119</v>
      </c>
      <c r="U6202">
        <v>-0.52017209999999903</v>
      </c>
      <c r="V6202">
        <v>-3.1597500000000001E-2</v>
      </c>
      <c r="W6202">
        <v>0.15619649999999999</v>
      </c>
      <c r="X6202">
        <v>0.98722049999999995</v>
      </c>
      <c r="Y6202">
        <v>3.9356950000000002E-2</v>
      </c>
      <c r="Z6202">
        <v>6.477783E-3</v>
      </c>
      <c r="AA6202">
        <v>0.99920419999999999</v>
      </c>
      <c r="AB6202">
        <v>31</v>
      </c>
      <c r="AC6202">
        <v>18.596999999999898</v>
      </c>
      <c r="AD6202">
        <v>-1.1081782012379999</v>
      </c>
      <c r="AE6202">
        <v>-3.20852</v>
      </c>
      <c r="AF6202">
        <v>0.74296467805416899</v>
      </c>
      <c r="AG6202">
        <v>-1.1081782012379999</v>
      </c>
      <c r="AH6202">
        <v>18.792220223166701</v>
      </c>
      <c r="AI6202">
        <v>93.372198375446402</v>
      </c>
      <c r="AJ6202">
        <v>87.735947043119495</v>
      </c>
      <c r="AK6202">
        <v>18.839522190186599</v>
      </c>
      <c r="AL6202">
        <v>81.013804374673498</v>
      </c>
      <c r="AM6202">
        <v>91.833213116739003</v>
      </c>
      <c r="AN6202">
        <v>1.0000000321193701</v>
      </c>
    </row>
    <row r="6203" spans="1:40" x14ac:dyDescent="0.25">
      <c r="A6203" t="str">
        <f>"20190312172238734"</f>
        <v>20190312172238734</v>
      </c>
      <c r="B6203" t="str">
        <f>"1552382558726782"</f>
        <v>1552382558726782</v>
      </c>
      <c r="C6203" t="s">
        <v>40</v>
      </c>
      <c r="D6203">
        <v>3.5198700000000001</v>
      </c>
      <c r="E6203">
        <v>0.52575669999999897</v>
      </c>
      <c r="F6203" t="s">
        <v>41</v>
      </c>
      <c r="G6203">
        <v>-380.25310000000002</v>
      </c>
      <c r="H6203">
        <v>1.049574</v>
      </c>
      <c r="I6203">
        <v>25.41986</v>
      </c>
      <c r="J6203">
        <v>-381.05509999999998</v>
      </c>
      <c r="K6203">
        <v>1.108187</v>
      </c>
      <c r="L6203">
        <v>25.565460000000002</v>
      </c>
      <c r="M6203">
        <v>0.99107999999999996</v>
      </c>
      <c r="N6203">
        <v>0</v>
      </c>
      <c r="O6203">
        <v>-0.1325607</v>
      </c>
      <c r="P6203">
        <v>0.98480319999999999</v>
      </c>
      <c r="Q6203">
        <v>0.142426</v>
      </c>
      <c r="R6203">
        <v>-9.9385109999999999E-2</v>
      </c>
      <c r="S6203">
        <v>3.0195919999999998</v>
      </c>
      <c r="T6203">
        <v>-0.17827170000000001</v>
      </c>
      <c r="U6203">
        <v>-0.52493290000000004</v>
      </c>
      <c r="V6203">
        <v>-3.12051E-2</v>
      </c>
      <c r="W6203">
        <v>0.1561546</v>
      </c>
      <c r="X6203">
        <v>0.98723959999999999</v>
      </c>
      <c r="Y6203">
        <v>3.9303230000000001E-2</v>
      </c>
      <c r="Z6203">
        <v>6.5721809999999999E-3</v>
      </c>
      <c r="AA6203">
        <v>0.99920569999999997</v>
      </c>
      <c r="AB6203">
        <v>31</v>
      </c>
      <c r="AC6203">
        <v>0.80199999999996396</v>
      </c>
      <c r="AD6203">
        <v>-5.8612999999999998E-2</v>
      </c>
      <c r="AE6203">
        <v>-0.14560000000000101</v>
      </c>
      <c r="AF6203">
        <v>3.7795706436436399E-2</v>
      </c>
      <c r="AG6203">
        <v>-5.8612999999999998E-2</v>
      </c>
      <c r="AH6203">
        <v>0.81003506366959099</v>
      </c>
      <c r="AI6203">
        <v>94.134147112096699</v>
      </c>
      <c r="AJ6203">
        <v>87.328553929631397</v>
      </c>
      <c r="AK6203">
        <v>0.813031858888831</v>
      </c>
      <c r="AL6203">
        <v>81.016234805530402</v>
      </c>
      <c r="AM6203">
        <v>91.810427228463496</v>
      </c>
      <c r="AN6203">
        <v>1.00000002258766</v>
      </c>
    </row>
    <row r="6204" spans="1:40" x14ac:dyDescent="0.25">
      <c r="A6204" t="str">
        <f>"20190312172238752"</f>
        <v>20190312172238752</v>
      </c>
      <c r="B6204" t="str">
        <f>"1552382558746300"</f>
        <v>1552382558746300</v>
      </c>
      <c r="C6204" t="s">
        <v>40</v>
      </c>
      <c r="D6204">
        <v>3.5007239999999999</v>
      </c>
      <c r="E6204">
        <v>0.52566809999999997</v>
      </c>
      <c r="F6204" t="s">
        <v>69</v>
      </c>
      <c r="G6204">
        <v>-362.32740000000001</v>
      </c>
      <c r="H6204" s="1">
        <v>-4.3055179999999998E-6</v>
      </c>
      <c r="I6204">
        <v>22.27581</v>
      </c>
      <c r="J6204">
        <v>-380.83170000000001</v>
      </c>
      <c r="K6204">
        <v>1.1081989999999999</v>
      </c>
      <c r="L6204">
        <v>25.533570000000001</v>
      </c>
      <c r="M6204">
        <v>0.99082409999999999</v>
      </c>
      <c r="N6204">
        <v>0</v>
      </c>
      <c r="O6204">
        <v>-0.134461</v>
      </c>
      <c r="P6204">
        <v>0.98443760000000002</v>
      </c>
      <c r="Q6204">
        <v>0.14311989999999999</v>
      </c>
      <c r="R6204">
        <v>-0.1019771</v>
      </c>
      <c r="S6204">
        <v>3.0186459999999999</v>
      </c>
      <c r="T6204">
        <v>-0.17862430000000001</v>
      </c>
      <c r="U6204">
        <v>-0.53024289999999996</v>
      </c>
      <c r="V6204">
        <v>-3.0484319999999999E-2</v>
      </c>
      <c r="W6204">
        <v>0.15683939999999999</v>
      </c>
      <c r="X6204">
        <v>0.98715350000000002</v>
      </c>
      <c r="Y6204">
        <v>3.9149660000000003E-2</v>
      </c>
      <c r="Z6204">
        <v>6.7005869999999896E-3</v>
      </c>
      <c r="AA6204">
        <v>0.99921090000000001</v>
      </c>
      <c r="AB6204">
        <v>31</v>
      </c>
      <c r="AC6204">
        <v>18.504300000000001</v>
      </c>
      <c r="AD6204">
        <v>-1.1082033055179901</v>
      </c>
      <c r="AE6204">
        <v>-3.2577600000000002</v>
      </c>
      <c r="AF6204">
        <v>0.737265084578552</v>
      </c>
      <c r="AG6204">
        <v>-1.1082033055179901</v>
      </c>
      <c r="AH6204">
        <v>18.7092246736965</v>
      </c>
      <c r="AI6204">
        <v>93.387216719437006</v>
      </c>
      <c r="AJ6204">
        <v>87.743341413371894</v>
      </c>
      <c r="AK6204">
        <v>18.756512529309699</v>
      </c>
      <c r="AL6204">
        <v>80.976508621240598</v>
      </c>
      <c r="AM6204">
        <v>91.768790749722399</v>
      </c>
      <c r="AN6204">
        <v>0.99999996186023499</v>
      </c>
    </row>
    <row r="6205" spans="1:40" x14ac:dyDescent="0.25">
      <c r="A6205" t="str">
        <f>"20190312172238764"</f>
        <v>20190312172238764</v>
      </c>
      <c r="B6205" t="str">
        <f>"1552382558757037"</f>
        <v>1552382558757037</v>
      </c>
      <c r="C6205" t="s">
        <v>40</v>
      </c>
      <c r="D6205">
        <v>3.490551</v>
      </c>
      <c r="E6205">
        <v>0.52554940000000006</v>
      </c>
      <c r="F6205" t="s">
        <v>69</v>
      </c>
      <c r="G6205">
        <v>-361.9246</v>
      </c>
      <c r="H6205" s="1">
        <v>-4.440733E-6</v>
      </c>
      <c r="I6205">
        <v>22.166229999999999</v>
      </c>
      <c r="J6205">
        <v>-380.64839999999998</v>
      </c>
      <c r="K6205">
        <v>1.108209</v>
      </c>
      <c r="L6205">
        <v>25.507079999999998</v>
      </c>
      <c r="M6205">
        <v>0.99061129999999997</v>
      </c>
      <c r="N6205">
        <v>0</v>
      </c>
      <c r="O6205">
        <v>-0.13601959999999999</v>
      </c>
      <c r="P6205">
        <v>0.98414509999999999</v>
      </c>
      <c r="Q6205">
        <v>0.14363870000000001</v>
      </c>
      <c r="R6205">
        <v>-0.10405</v>
      </c>
      <c r="S6205">
        <v>3.017487</v>
      </c>
      <c r="T6205">
        <v>-0.17686470000000001</v>
      </c>
      <c r="U6205">
        <v>-0.53741459999999996</v>
      </c>
      <c r="V6205">
        <v>-2.9947109999999999E-2</v>
      </c>
      <c r="W6205">
        <v>0.15735170000000001</v>
      </c>
      <c r="X6205">
        <v>0.98708839999999998</v>
      </c>
      <c r="Y6205">
        <v>3.9943920000000001E-2</v>
      </c>
      <c r="Z6205">
        <v>6.7018640000000001E-3</v>
      </c>
      <c r="AA6205">
        <v>0.99917940000000005</v>
      </c>
      <c r="AB6205">
        <v>31</v>
      </c>
      <c r="AC6205">
        <v>18.723799999999901</v>
      </c>
      <c r="AD6205">
        <v>-1.108213440733</v>
      </c>
      <c r="AE6205">
        <v>-3.3408500000000001</v>
      </c>
      <c r="AF6205">
        <v>0.76017081853032797</v>
      </c>
      <c r="AG6205">
        <v>-1.108213440733</v>
      </c>
      <c r="AH6205">
        <v>18.939912456351699</v>
      </c>
      <c r="AI6205">
        <v>93.345988635535505</v>
      </c>
      <c r="AJ6205">
        <v>87.701614775310404</v>
      </c>
      <c r="AK6205">
        <v>18.987529606503202</v>
      </c>
      <c r="AL6205">
        <v>80.9467868248923</v>
      </c>
      <c r="AM6205">
        <v>91.7377540409895</v>
      </c>
      <c r="AN6205">
        <v>0.99999994815239901</v>
      </c>
    </row>
    <row r="6206" spans="1:40" x14ac:dyDescent="0.25">
      <c r="A6206" t="str">
        <f>"20190312172238775"</f>
        <v>20190312172238775</v>
      </c>
      <c r="B6206" t="str">
        <f>"1552382558766797"</f>
        <v>1552382558766797</v>
      </c>
      <c r="C6206" t="s">
        <v>40</v>
      </c>
      <c r="D6206">
        <v>3.5007860000000002</v>
      </c>
      <c r="E6206">
        <v>0.52547319999999997</v>
      </c>
      <c r="F6206" t="s">
        <v>69</v>
      </c>
      <c r="G6206">
        <v>-361.63889999999998</v>
      </c>
      <c r="H6206" s="1">
        <v>-4.5366099999999998E-6</v>
      </c>
      <c r="I6206">
        <v>22.088229999999999</v>
      </c>
      <c r="J6206">
        <v>-380.49349999999998</v>
      </c>
      <c r="K6206">
        <v>1.1082179999999999</v>
      </c>
      <c r="L6206">
        <v>25.484470000000002</v>
      </c>
      <c r="M6206">
        <v>0.99042980000000003</v>
      </c>
      <c r="N6206">
        <v>0</v>
      </c>
      <c r="O6206">
        <v>-0.13733519999999999</v>
      </c>
      <c r="P6206">
        <v>0.98395310000000002</v>
      </c>
      <c r="Q6206">
        <v>0.14383409999999999</v>
      </c>
      <c r="R6206">
        <v>-0.105584999999999</v>
      </c>
      <c r="S6206">
        <v>3.016632</v>
      </c>
      <c r="T6206">
        <v>-0.17586370000000001</v>
      </c>
      <c r="U6206">
        <v>-0.54254150000000001</v>
      </c>
      <c r="V6206">
        <v>-2.971555E-2</v>
      </c>
      <c r="W6206">
        <v>0.1575434</v>
      </c>
      <c r="X6206">
        <v>0.98706490000000002</v>
      </c>
      <c r="Y6206">
        <v>4.0310840000000001E-2</v>
      </c>
      <c r="Z6206">
        <v>6.7290650000000002E-3</v>
      </c>
      <c r="AA6206">
        <v>0.99916450000000001</v>
      </c>
      <c r="AB6206">
        <v>31</v>
      </c>
      <c r="AC6206">
        <v>18.854600000000001</v>
      </c>
      <c r="AD6206">
        <v>-1.10822253661</v>
      </c>
      <c r="AE6206">
        <v>-3.3962400000000001</v>
      </c>
      <c r="AF6206">
        <v>0.77182709542456995</v>
      </c>
      <c r="AG6206">
        <v>-1.10822253661</v>
      </c>
      <c r="AH6206">
        <v>19.078538467427499</v>
      </c>
      <c r="AI6206">
        <v>93.321715709057599</v>
      </c>
      <c r="AJ6206">
        <v>87.683348040392801</v>
      </c>
      <c r="AK6206">
        <v>19.1262778477411</v>
      </c>
      <c r="AL6206">
        <v>80.935665217413401</v>
      </c>
      <c r="AM6206">
        <v>91.724366378972903</v>
      </c>
      <c r="AN6206">
        <v>1.0000000268036799</v>
      </c>
    </row>
    <row r="6207" spans="1:40" x14ac:dyDescent="0.25">
      <c r="A6207" t="str">
        <f>"20190312172238787"</f>
        <v>20190312172238787</v>
      </c>
      <c r="B6207" t="str">
        <f>"1552382558776558"</f>
        <v>1552382558776558</v>
      </c>
      <c r="C6207" t="s">
        <v>40</v>
      </c>
      <c r="D6207">
        <v>3.5062280000000001</v>
      </c>
      <c r="E6207">
        <v>0.52547319999999997</v>
      </c>
      <c r="F6207" t="s">
        <v>69</v>
      </c>
      <c r="G6207">
        <v>-361.46789999999999</v>
      </c>
      <c r="H6207" s="1">
        <v>-4.5934489999999998E-6</v>
      </c>
      <c r="I6207">
        <v>22.038460000000001</v>
      </c>
      <c r="J6207">
        <v>-380.34399999999999</v>
      </c>
      <c r="K6207">
        <v>1.1082259999999999</v>
      </c>
      <c r="L6207">
        <v>25.462430000000001</v>
      </c>
      <c r="M6207">
        <v>0.99025339999999995</v>
      </c>
      <c r="N6207">
        <v>0</v>
      </c>
      <c r="O6207">
        <v>-0.13860140000000001</v>
      </c>
      <c r="P6207">
        <v>0.98379450000000002</v>
      </c>
      <c r="Q6207">
        <v>0.14367859999999999</v>
      </c>
      <c r="R6207">
        <v>-0.1072612</v>
      </c>
      <c r="S6207">
        <v>3.0159609999999999</v>
      </c>
      <c r="T6207">
        <v>-0.17567669999999999</v>
      </c>
      <c r="U6207">
        <v>-0.54626459999999999</v>
      </c>
      <c r="V6207">
        <v>-2.9302120000000001E-2</v>
      </c>
      <c r="W6207">
        <v>0.157383299999999</v>
      </c>
      <c r="X6207">
        <v>0.9871027</v>
      </c>
      <c r="Y6207">
        <v>4.0268379999999999E-2</v>
      </c>
      <c r="Z6207">
        <v>6.7958469999999998E-3</v>
      </c>
      <c r="AA6207">
        <v>0.99916579999999999</v>
      </c>
      <c r="AB6207">
        <v>31</v>
      </c>
      <c r="AC6207">
        <v>18.876100000000001</v>
      </c>
      <c r="AD6207">
        <v>-1.108230593449</v>
      </c>
      <c r="AE6207">
        <v>-3.42396999999999</v>
      </c>
      <c r="AF6207">
        <v>0.77184103808179705</v>
      </c>
      <c r="AG6207">
        <v>-1.108230593449</v>
      </c>
      <c r="AH6207">
        <v>19.104734345947801</v>
      </c>
      <c r="AI6207">
        <v>93.317202618147206</v>
      </c>
      <c r="AJ6207">
        <v>87.686479368664806</v>
      </c>
      <c r="AK6207">
        <v>19.152409458487401</v>
      </c>
      <c r="AL6207">
        <v>80.944953258077703</v>
      </c>
      <c r="AM6207">
        <v>91.7003245186892</v>
      </c>
      <c r="AN6207">
        <v>0.99999992885133404</v>
      </c>
    </row>
    <row r="6208" spans="1:40" x14ac:dyDescent="0.25">
      <c r="A6208" t="str">
        <f>"20190312172238799"</f>
        <v>20190312172238799</v>
      </c>
      <c r="B6208" t="str">
        <f>"1552382558786316"</f>
        <v>1552382558786316</v>
      </c>
      <c r="C6208" t="s">
        <v>40</v>
      </c>
      <c r="D6208">
        <v>3.5124369999999998</v>
      </c>
      <c r="E6208">
        <v>0.52126519999999998</v>
      </c>
      <c r="F6208" t="s">
        <v>69</v>
      </c>
      <c r="G6208">
        <v>-361.38600000000002</v>
      </c>
      <c r="H6208" s="1">
        <v>-4.6176630000000003E-6</v>
      </c>
      <c r="I6208">
        <v>21.99756</v>
      </c>
      <c r="J6208">
        <v>-380.18540000000002</v>
      </c>
      <c r="K6208">
        <v>1.1082259999999999</v>
      </c>
      <c r="L6208">
        <v>25.4389</v>
      </c>
      <c r="M6208">
        <v>0.99006490000000003</v>
      </c>
      <c r="N6208">
        <v>0</v>
      </c>
      <c r="O6208">
        <v>-0.1399425</v>
      </c>
      <c r="P6208">
        <v>0.98370329999999995</v>
      </c>
      <c r="Q6208">
        <v>0.14325460000000001</v>
      </c>
      <c r="R6208">
        <v>-0.1086556</v>
      </c>
      <c r="S6208">
        <v>3.0151059999999998</v>
      </c>
      <c r="T6208">
        <v>-0.17625399999999999</v>
      </c>
      <c r="U6208">
        <v>-0.55105590000000004</v>
      </c>
      <c r="V6208">
        <v>-2.9254240000000001E-2</v>
      </c>
      <c r="W6208">
        <v>0.1569576</v>
      </c>
      <c r="X6208">
        <v>0.98717189999999999</v>
      </c>
      <c r="Y6208">
        <v>4.0504489999999997E-2</v>
      </c>
      <c r="Z6208">
        <v>6.8886549999999996E-3</v>
      </c>
      <c r="AA6208">
        <v>0.99915560000000003</v>
      </c>
      <c r="AB6208">
        <v>31</v>
      </c>
      <c r="AC6208">
        <v>18.799399999999999</v>
      </c>
      <c r="AD6208">
        <v>-1.1082306176629999</v>
      </c>
      <c r="AE6208">
        <v>-3.4413399999999998</v>
      </c>
      <c r="AF6208">
        <v>0.77378590478865805</v>
      </c>
      <c r="AG6208">
        <v>-1.1082306176629999</v>
      </c>
      <c r="AH6208">
        <v>19.032012513235198</v>
      </c>
      <c r="AI6208">
        <v>93.329814854647694</v>
      </c>
      <c r="AJ6208">
        <v>87.671803631106997</v>
      </c>
      <c r="AK6208">
        <v>19.0799481139838</v>
      </c>
      <c r="AL6208">
        <v>80.969651035356094</v>
      </c>
      <c r="AM6208">
        <v>91.697428868686401</v>
      </c>
      <c r="AN6208">
        <v>0.99999992945267102</v>
      </c>
    </row>
    <row r="6209" spans="1:40" x14ac:dyDescent="0.25">
      <c r="A6209" t="str">
        <f>"20190312172238810"</f>
        <v>20190312172238810</v>
      </c>
      <c r="B6209" t="str">
        <f>"1552382558806813"</f>
        <v>1552382558806813</v>
      </c>
      <c r="C6209" t="s">
        <v>40</v>
      </c>
      <c r="D6209">
        <v>3.5162079999999998</v>
      </c>
      <c r="E6209">
        <v>0.5208779</v>
      </c>
      <c r="F6209" t="s">
        <v>69</v>
      </c>
      <c r="G6209">
        <v>-362.74130000000002</v>
      </c>
      <c r="H6209" s="1">
        <v>-4.1722449999999901E-6</v>
      </c>
      <c r="I6209">
        <v>22.420680000000001</v>
      </c>
      <c r="J6209">
        <v>-380.03449999999998</v>
      </c>
      <c r="K6209">
        <v>1.1082350000000001</v>
      </c>
      <c r="L6209">
        <v>25.416260000000001</v>
      </c>
      <c r="M6209">
        <v>0.98988540000000003</v>
      </c>
      <c r="N6209">
        <v>0</v>
      </c>
      <c r="O6209">
        <v>-0.14120579999999999</v>
      </c>
      <c r="P6209">
        <v>0.98362519999999998</v>
      </c>
      <c r="Q6209">
        <v>0.14269809999999999</v>
      </c>
      <c r="R6209">
        <v>-0.110084</v>
      </c>
      <c r="S6209">
        <v>3.0199579999999999</v>
      </c>
      <c r="T6209">
        <v>-0.19185969999999999</v>
      </c>
      <c r="U6209">
        <v>-0.52252200000000004</v>
      </c>
      <c r="V6209">
        <v>-2.909869E-2</v>
      </c>
      <c r="W6209">
        <v>0.15639810000000001</v>
      </c>
      <c r="X6209">
        <v>0.98726530000000001</v>
      </c>
      <c r="Y6209">
        <v>2.9844900000000001E-2</v>
      </c>
      <c r="Z6209">
        <v>7.9074790000000002E-3</v>
      </c>
      <c r="AA6209">
        <v>0.9995233</v>
      </c>
      <c r="AB6209">
        <v>31</v>
      </c>
      <c r="AC6209">
        <v>17.293199999999899</v>
      </c>
      <c r="AD6209">
        <v>-1.108239172245</v>
      </c>
      <c r="AE6209">
        <v>-2.9955799999999999</v>
      </c>
      <c r="AF6209">
        <v>0.52135115124863995</v>
      </c>
      <c r="AG6209">
        <v>-1.108239172245</v>
      </c>
      <c r="AH6209">
        <v>17.473256260934299</v>
      </c>
      <c r="AI6209">
        <v>93.627506792411396</v>
      </c>
      <c r="AJ6209">
        <v>88.290967602623397</v>
      </c>
      <c r="AK6209">
        <v>17.5161264395438</v>
      </c>
      <c r="AL6209">
        <v>81.002108948533703</v>
      </c>
      <c r="AM6209">
        <v>91.688248936379296</v>
      </c>
      <c r="AN6209">
        <v>0.99999993601370596</v>
      </c>
    </row>
    <row r="6210" spans="1:40" x14ac:dyDescent="0.25">
      <c r="A6210" t="str">
        <f>"20190312172238822"</f>
        <v>20190312172238822</v>
      </c>
      <c r="B6210" t="str">
        <f>"1552382558816573"</f>
        <v>1552382558816573</v>
      </c>
      <c r="C6210" t="s">
        <v>40</v>
      </c>
      <c r="D6210">
        <v>3.4995090000000002</v>
      </c>
      <c r="E6210">
        <v>0.52052489999999996</v>
      </c>
      <c r="F6210" t="s">
        <v>69</v>
      </c>
      <c r="G6210">
        <v>-362.79539999999997</v>
      </c>
      <c r="H6210" s="1">
        <v>-4.1527159999999997E-6</v>
      </c>
      <c r="I6210">
        <v>22.427710000000001</v>
      </c>
      <c r="J6210">
        <v>-379.87119999999999</v>
      </c>
      <c r="K6210">
        <v>1.1082459999999901</v>
      </c>
      <c r="L6210">
        <v>25.3916</v>
      </c>
      <c r="M6210">
        <v>0.98968999999999996</v>
      </c>
      <c r="N6210">
        <v>0</v>
      </c>
      <c r="O6210">
        <v>-0.14257</v>
      </c>
      <c r="P6210">
        <v>0.98356049999999995</v>
      </c>
      <c r="Q6210">
        <v>0.14200560000000001</v>
      </c>
      <c r="R6210">
        <v>-0.1115502</v>
      </c>
      <c r="S6210">
        <v>3.0195620000000001</v>
      </c>
      <c r="T6210">
        <v>-0.19411639999999999</v>
      </c>
      <c r="U6210">
        <v>-0.52346800000000004</v>
      </c>
      <c r="V6210">
        <v>-2.9010580000000001E-2</v>
      </c>
      <c r="W6210">
        <v>0.155703799999999</v>
      </c>
      <c r="X6210">
        <v>0.98737770000000002</v>
      </c>
      <c r="Y6210">
        <v>2.8803229999999999E-2</v>
      </c>
      <c r="Z6210">
        <v>8.1200490000000007E-3</v>
      </c>
      <c r="AA6210">
        <v>0.99955210000000005</v>
      </c>
      <c r="AB6210">
        <v>31</v>
      </c>
      <c r="AC6210">
        <v>17.075800000000001</v>
      </c>
      <c r="AD6210">
        <v>-1.10825015271599</v>
      </c>
      <c r="AE6210">
        <v>-2.9638899999999899</v>
      </c>
      <c r="AF6210">
        <v>0.49685061274605102</v>
      </c>
      <c r="AG6210">
        <v>-1.10825015271599</v>
      </c>
      <c r="AH6210">
        <v>17.2533845159371</v>
      </c>
      <c r="AI6210">
        <v>93.673756696364407</v>
      </c>
      <c r="AJ6210">
        <v>88.350493037961002</v>
      </c>
      <c r="AK6210">
        <v>17.296079214294799</v>
      </c>
      <c r="AL6210">
        <v>81.042383427463804</v>
      </c>
      <c r="AM6210">
        <v>91.682948418674101</v>
      </c>
      <c r="AN6210">
        <v>1.00000000477183</v>
      </c>
    </row>
    <row r="6211" spans="1:40" x14ac:dyDescent="0.25">
      <c r="A6211" t="str">
        <f>"20190312172238834"</f>
        <v>20190312172238834</v>
      </c>
      <c r="B6211" t="str">
        <f>"1552382558826333"</f>
        <v>1552382558826333</v>
      </c>
      <c r="C6211" t="s">
        <v>40</v>
      </c>
      <c r="D6211">
        <v>3.4900880000000001</v>
      </c>
      <c r="E6211">
        <v>0.52028160000000001</v>
      </c>
      <c r="F6211" t="s">
        <v>41</v>
      </c>
      <c r="G6211">
        <v>-378.9051</v>
      </c>
      <c r="H6211">
        <v>1.0451079999999999</v>
      </c>
      <c r="I6211">
        <v>25.223500000000001</v>
      </c>
      <c r="J6211">
        <v>-379.70850000000002</v>
      </c>
      <c r="K6211">
        <v>1.10826</v>
      </c>
      <c r="L6211">
        <v>25.366759999999999</v>
      </c>
      <c r="M6211">
        <v>0.98949580000000004</v>
      </c>
      <c r="N6211">
        <v>0</v>
      </c>
      <c r="O6211">
        <v>-0.14391180000000001</v>
      </c>
      <c r="P6211">
        <v>0.98343190000000003</v>
      </c>
      <c r="Q6211">
        <v>0.14163719999999999</v>
      </c>
      <c r="R6211">
        <v>-0.1131424</v>
      </c>
      <c r="S6211">
        <v>3.0191349999999999</v>
      </c>
      <c r="T6211">
        <v>-0.19717870000000001</v>
      </c>
      <c r="U6211">
        <v>-0.52459719999999999</v>
      </c>
      <c r="V6211">
        <v>-2.876747E-2</v>
      </c>
      <c r="W6211">
        <v>0.15533129999999901</v>
      </c>
      <c r="X6211">
        <v>0.98744350000000003</v>
      </c>
      <c r="Y6211">
        <v>2.784644E-2</v>
      </c>
      <c r="Z6211">
        <v>8.3653719999999994E-3</v>
      </c>
      <c r="AA6211">
        <v>0.99957720000000005</v>
      </c>
      <c r="AB6211">
        <v>31</v>
      </c>
      <c r="AC6211">
        <v>0.80340000000001</v>
      </c>
      <c r="AD6211">
        <v>-6.3152000000000097E-2</v>
      </c>
      <c r="AE6211">
        <v>-0.143259999999997</v>
      </c>
      <c r="AF6211">
        <v>2.59832780105561E-2</v>
      </c>
      <c r="AG6211">
        <v>-6.3152000000000097E-2</v>
      </c>
      <c r="AH6211">
        <v>0.81079873463451502</v>
      </c>
      <c r="AI6211">
        <v>94.451421802487204</v>
      </c>
      <c r="AJ6211">
        <v>88.164497814689597</v>
      </c>
      <c r="AK6211">
        <v>0.81366940087796402</v>
      </c>
      <c r="AL6211">
        <v>81.063989140531206</v>
      </c>
      <c r="AM6211">
        <v>91.668742098080202</v>
      </c>
      <c r="AN6211">
        <v>1.0000000228910699</v>
      </c>
    </row>
    <row r="6212" spans="1:40" x14ac:dyDescent="0.25">
      <c r="A6212" t="str">
        <f>"20190312172238846"</f>
        <v>20190312172238846</v>
      </c>
      <c r="B6212" t="str">
        <f>"1552382558837069"</f>
        <v>1552382558837069</v>
      </c>
      <c r="C6212" t="s">
        <v>40</v>
      </c>
      <c r="D6212">
        <v>3.5072320000000001</v>
      </c>
      <c r="E6212">
        <v>0.52001169999999997</v>
      </c>
      <c r="F6212" t="s">
        <v>69</v>
      </c>
      <c r="G6212">
        <v>-362.85700000000003</v>
      </c>
      <c r="H6212" s="1">
        <v>-4.1239649999999999E-6</v>
      </c>
      <c r="I6212">
        <v>22.4238</v>
      </c>
      <c r="J6212">
        <v>-379.53989999999999</v>
      </c>
      <c r="K6212">
        <v>1.108279</v>
      </c>
      <c r="L6212">
        <v>25.340789999999998</v>
      </c>
      <c r="M6212">
        <v>0.98929420000000001</v>
      </c>
      <c r="N6212">
        <v>0</v>
      </c>
      <c r="O6212">
        <v>-0.14529059999999999</v>
      </c>
      <c r="P6212">
        <v>0.98330099999999998</v>
      </c>
      <c r="Q6212">
        <v>0.14135059999999999</v>
      </c>
      <c r="R6212">
        <v>-0.11462799999999999</v>
      </c>
      <c r="S6212">
        <v>3.0185240000000002</v>
      </c>
      <c r="T6212">
        <v>-0.19851859999999999</v>
      </c>
      <c r="U6212">
        <v>-0.52716059999999998</v>
      </c>
      <c r="V6212">
        <v>-2.866662E-2</v>
      </c>
      <c r="W6212">
        <v>0.1550406</v>
      </c>
      <c r="X6212">
        <v>0.98749209999999998</v>
      </c>
      <c r="Y6212">
        <v>2.731855E-2</v>
      </c>
      <c r="Z6212">
        <v>8.5288650000000001E-3</v>
      </c>
      <c r="AA6212">
        <v>0.99959039999999999</v>
      </c>
      <c r="AB6212">
        <v>31</v>
      </c>
      <c r="AC6212">
        <v>16.6829</v>
      </c>
      <c r="AD6212">
        <v>-1.1082831239649999</v>
      </c>
      <c r="AE6212">
        <v>-2.91698999999999</v>
      </c>
      <c r="AF6212">
        <v>0.459966348940199</v>
      </c>
      <c r="AG6212">
        <v>-1.1082831239649999</v>
      </c>
      <c r="AH6212">
        <v>16.857506377977</v>
      </c>
      <c r="AI6212">
        <v>93.760056142106095</v>
      </c>
      <c r="AJ6212">
        <v>88.437040887692902</v>
      </c>
      <c r="AK6212">
        <v>16.9001592243552</v>
      </c>
      <c r="AL6212">
        <v>81.080849119748393</v>
      </c>
      <c r="AM6212">
        <v>91.662813491809104</v>
      </c>
      <c r="AN6212">
        <v>1.0000000051564899</v>
      </c>
    </row>
    <row r="6213" spans="1:40" x14ac:dyDescent="0.25">
      <c r="A6213" t="str">
        <f>"20190312172238865"</f>
        <v>20190312172238865</v>
      </c>
      <c r="B6213" t="str">
        <f>"1552382558857000"</f>
        <v>1552382558857000</v>
      </c>
      <c r="C6213" t="s">
        <v>40</v>
      </c>
      <c r="D6213">
        <v>3.4952019999999902</v>
      </c>
      <c r="E6213">
        <v>0.51959889999999997</v>
      </c>
      <c r="F6213" t="s">
        <v>69</v>
      </c>
      <c r="G6213">
        <v>-362.77280000000002</v>
      </c>
      <c r="H6213" s="1">
        <v>-4.1565909999999997E-6</v>
      </c>
      <c r="I6213">
        <v>22.400670000000002</v>
      </c>
      <c r="J6213">
        <v>-379.29750000000001</v>
      </c>
      <c r="K6213">
        <v>1.108314</v>
      </c>
      <c r="L6213">
        <v>25.303129999999999</v>
      </c>
      <c r="M6213">
        <v>0.98900469999999896</v>
      </c>
      <c r="N6213">
        <v>0</v>
      </c>
      <c r="O6213">
        <v>-0.14724870000000001</v>
      </c>
      <c r="P6213">
        <v>0.98306150000000003</v>
      </c>
      <c r="Q6213">
        <v>0.14115329999999901</v>
      </c>
      <c r="R6213">
        <v>-0.1169012</v>
      </c>
      <c r="S6213">
        <v>3.0179749999999999</v>
      </c>
      <c r="T6213">
        <v>-0.19948479999999999</v>
      </c>
      <c r="U6213">
        <v>-0.52920529999999999</v>
      </c>
      <c r="V6213">
        <v>-2.8354399999999998E-2</v>
      </c>
      <c r="W6213">
        <v>0.15483659999999999</v>
      </c>
      <c r="X6213">
        <v>0.98753310000000005</v>
      </c>
      <c r="Y6213">
        <v>2.6036779999999999E-2</v>
      </c>
      <c r="Z6213">
        <v>8.7396709999999992E-3</v>
      </c>
      <c r="AA6213">
        <v>0.99962280000000003</v>
      </c>
      <c r="AB6213">
        <v>31</v>
      </c>
      <c r="AC6213">
        <v>16.5246999999999</v>
      </c>
      <c r="AD6213">
        <v>-1.1083181565909901</v>
      </c>
      <c r="AE6213">
        <v>-2.9024599999999898</v>
      </c>
      <c r="AF6213">
        <v>0.435446789501158</v>
      </c>
      <c r="AG6213">
        <v>-1.1083181565909901</v>
      </c>
      <c r="AH6213">
        <v>16.699090394888401</v>
      </c>
      <c r="AI6213">
        <v>93.795863821523596</v>
      </c>
      <c r="AJ6213">
        <v>88.506289258405403</v>
      </c>
      <c r="AK6213">
        <v>16.741493453672799</v>
      </c>
      <c r="AL6213">
        <v>81.092680142581003</v>
      </c>
      <c r="AM6213">
        <v>91.644644858063003</v>
      </c>
      <c r="AN6213">
        <v>0.99999998414726499</v>
      </c>
    </row>
    <row r="6214" spans="1:40" x14ac:dyDescent="0.25">
      <c r="A6214" t="str">
        <f>"20190312172238877"</f>
        <v>20190312172238877</v>
      </c>
      <c r="B6214" t="str">
        <f>"1552382558866760"</f>
        <v>1552382558866760</v>
      </c>
      <c r="C6214" t="s">
        <v>40</v>
      </c>
      <c r="D6214">
        <v>3.509204</v>
      </c>
      <c r="E6214">
        <v>0.5194069</v>
      </c>
      <c r="F6214" t="s">
        <v>41</v>
      </c>
      <c r="G6214">
        <v>-378.36239999999998</v>
      </c>
      <c r="H6214">
        <v>1.0464389999999999</v>
      </c>
      <c r="I6214">
        <v>25.137899999999998</v>
      </c>
      <c r="J6214">
        <v>-379.11329999999998</v>
      </c>
      <c r="K6214">
        <v>1.1083430000000001</v>
      </c>
      <c r="L6214">
        <v>25.2742</v>
      </c>
      <c r="M6214">
        <v>0.98878540000000004</v>
      </c>
      <c r="N6214">
        <v>0</v>
      </c>
      <c r="O6214">
        <v>-0.148715299999999</v>
      </c>
      <c r="P6214">
        <v>0.98289879999999996</v>
      </c>
      <c r="Q6214">
        <v>0.1409975</v>
      </c>
      <c r="R6214">
        <v>-0.1184486</v>
      </c>
      <c r="S6214">
        <v>3.01709</v>
      </c>
      <c r="T6214">
        <v>-0.19952510000000001</v>
      </c>
      <c r="U6214">
        <v>-0.53222659999999999</v>
      </c>
      <c r="V6214">
        <v>-2.8278370000000001E-2</v>
      </c>
      <c r="W6214">
        <v>0.15467649999999999</v>
      </c>
      <c r="X6214">
        <v>0.9875604</v>
      </c>
      <c r="Y6214">
        <v>2.5579230000000001E-2</v>
      </c>
      <c r="Z6214">
        <v>8.8527520000000002E-3</v>
      </c>
      <c r="AA6214">
        <v>0.99963360000000001</v>
      </c>
      <c r="AB6214">
        <v>31</v>
      </c>
      <c r="AC6214">
        <v>0.75090000000000101</v>
      </c>
      <c r="AD6214">
        <v>-6.1904000000000098E-2</v>
      </c>
      <c r="AE6214">
        <v>-0.136300000000002</v>
      </c>
      <c r="AF6214">
        <v>2.2952278547760101E-2</v>
      </c>
      <c r="AG6214">
        <v>-6.1904000000000098E-2</v>
      </c>
      <c r="AH6214">
        <v>0.75783406143042897</v>
      </c>
      <c r="AI6214">
        <v>94.667731287868406</v>
      </c>
      <c r="AJ6214">
        <v>88.265231292283204</v>
      </c>
      <c r="AK6214">
        <v>0.76070452671893196</v>
      </c>
      <c r="AL6214">
        <v>81.101965330333996</v>
      </c>
      <c r="AM6214">
        <v>91.640191972165795</v>
      </c>
      <c r="AN6214">
        <v>1.00000001475513</v>
      </c>
    </row>
    <row r="6215" spans="1:40" x14ac:dyDescent="0.25">
      <c r="A6215" t="str">
        <f>"20190312172238890"</f>
        <v>20190312172238890</v>
      </c>
      <c r="B6215" t="str">
        <f>"1552382558886280"</f>
        <v>1552382558886280</v>
      </c>
      <c r="C6215" t="s">
        <v>40</v>
      </c>
      <c r="D6215">
        <v>3.5246029999999999</v>
      </c>
      <c r="E6215">
        <v>0.51910119999999904</v>
      </c>
      <c r="F6215" t="s">
        <v>69</v>
      </c>
      <c r="G6215">
        <v>-362.4194</v>
      </c>
      <c r="H6215" s="1">
        <v>-4.2765779999999997E-6</v>
      </c>
      <c r="I6215">
        <v>22.311920000000001</v>
      </c>
      <c r="J6215">
        <v>-378.95139999999998</v>
      </c>
      <c r="K6215">
        <v>1.1083670000000001</v>
      </c>
      <c r="L6215">
        <v>25.248470000000001</v>
      </c>
      <c r="M6215">
        <v>0.98859359999999996</v>
      </c>
      <c r="N6215">
        <v>0</v>
      </c>
      <c r="O6215">
        <v>-0.14998520000000001</v>
      </c>
      <c r="P6215">
        <v>0.98271109999999995</v>
      </c>
      <c r="Q6215">
        <v>0.14117759999999999</v>
      </c>
      <c r="R6215">
        <v>-0.1197829</v>
      </c>
      <c r="S6215">
        <v>3.0163880000000001</v>
      </c>
      <c r="T6215">
        <v>-0.20026450000000001</v>
      </c>
      <c r="U6215">
        <v>-0.53524780000000005</v>
      </c>
      <c r="V6215">
        <v>-2.8209769999999999E-2</v>
      </c>
      <c r="W6215">
        <v>0.15485170000000001</v>
      </c>
      <c r="X6215">
        <v>0.98753489999999999</v>
      </c>
      <c r="Y6215">
        <v>2.531102E-2</v>
      </c>
      <c r="Z6215">
        <v>8.9777099999999999E-3</v>
      </c>
      <c r="AA6215">
        <v>0.99963930000000001</v>
      </c>
      <c r="AB6215">
        <v>31</v>
      </c>
      <c r="AC6215">
        <v>16.531999999999901</v>
      </c>
      <c r="AD6215">
        <v>-1.1083712765780001</v>
      </c>
      <c r="AE6215">
        <v>-2.93655</v>
      </c>
      <c r="AF6215">
        <v>0.42170131409377698</v>
      </c>
      <c r="AG6215">
        <v>-1.1083712765780001</v>
      </c>
      <c r="AH6215">
        <v>16.712615307245802</v>
      </c>
      <c r="AI6215">
        <v>93.793063980516294</v>
      </c>
      <c r="AJ6215">
        <v>88.554590094375399</v>
      </c>
      <c r="AK6215">
        <v>16.7546360537326</v>
      </c>
      <c r="AL6215">
        <v>81.091804640996301</v>
      </c>
      <c r="AM6215">
        <v>91.636257452040397</v>
      </c>
      <c r="AN6215">
        <v>1.0000000094171699</v>
      </c>
    </row>
    <row r="6216" spans="1:40" x14ac:dyDescent="0.25">
      <c r="A6216" t="str">
        <f>"20190312172238908"</f>
        <v>20190312172238908</v>
      </c>
      <c r="B6216" t="str">
        <f>"1552382558897016"</f>
        <v>1552382558897016</v>
      </c>
      <c r="C6216" t="s">
        <v>40</v>
      </c>
      <c r="D6216">
        <v>3.5326939999999998</v>
      </c>
      <c r="E6216">
        <v>0.51898279999999997</v>
      </c>
      <c r="F6216" t="s">
        <v>69</v>
      </c>
      <c r="G6216">
        <v>-362.11860000000001</v>
      </c>
      <c r="H6216" s="1">
        <v>-4.3813559999999997E-6</v>
      </c>
      <c r="I6216">
        <v>22.25132</v>
      </c>
      <c r="J6216">
        <v>-378.70740000000001</v>
      </c>
      <c r="K6216">
        <v>1.1084000000000001</v>
      </c>
      <c r="L6216">
        <v>25.209440000000001</v>
      </c>
      <c r="M6216">
        <v>0.98830479999999998</v>
      </c>
      <c r="N6216">
        <v>0</v>
      </c>
      <c r="O6216">
        <v>-0.15187679999999901</v>
      </c>
      <c r="P6216">
        <v>0.98234010000000005</v>
      </c>
      <c r="Q6216">
        <v>0.14165539999999999</v>
      </c>
      <c r="R6216">
        <v>-0.1222372</v>
      </c>
      <c r="S6216">
        <v>3.0158689999999999</v>
      </c>
      <c r="T6216">
        <v>-0.19858190000000001</v>
      </c>
      <c r="U6216">
        <v>-0.53698729999999995</v>
      </c>
      <c r="V6216">
        <v>-2.7631800000000001E-2</v>
      </c>
      <c r="W6216">
        <v>0.15532089999999901</v>
      </c>
      <c r="X6216">
        <v>0.98747750000000001</v>
      </c>
      <c r="Y6216">
        <v>2.3988700000000002E-2</v>
      </c>
      <c r="Z6216">
        <v>9.0681149999999999E-3</v>
      </c>
      <c r="AA6216">
        <v>0.99967110000000003</v>
      </c>
      <c r="AB6216">
        <v>31</v>
      </c>
      <c r="AC6216">
        <v>16.5887999999999</v>
      </c>
      <c r="AD6216">
        <v>-1.1084043813560001</v>
      </c>
      <c r="AE6216">
        <v>-2.9581200000000001</v>
      </c>
      <c r="AF6216">
        <v>0.40236715102384901</v>
      </c>
      <c r="AG6216">
        <v>-1.1084043813560001</v>
      </c>
      <c r="AH6216">
        <v>16.773061598394101</v>
      </c>
      <c r="AI6216">
        <v>93.779662163086499</v>
      </c>
      <c r="AJ6216">
        <v>88.625801336285505</v>
      </c>
      <c r="AK6216">
        <v>16.8144596993289</v>
      </c>
      <c r="AL6216">
        <v>81.064591731973394</v>
      </c>
      <c r="AM6216">
        <v>91.602844116327304</v>
      </c>
      <c r="AN6216">
        <v>0.99999995567714905</v>
      </c>
    </row>
    <row r="6217" spans="1:40" x14ac:dyDescent="0.25">
      <c r="A6217" t="str">
        <f>"20190312172238921"</f>
        <v>20190312172238921</v>
      </c>
      <c r="B6217" t="str">
        <f>"1552382558916536"</f>
        <v>1552382558916536</v>
      </c>
      <c r="C6217" t="s">
        <v>40</v>
      </c>
      <c r="D6217">
        <v>3.5688499999999999</v>
      </c>
      <c r="E6217">
        <v>0.51909859999999997</v>
      </c>
      <c r="F6217" t="s">
        <v>69</v>
      </c>
      <c r="G6217">
        <v>-361.75850000000003</v>
      </c>
      <c r="H6217" s="1">
        <v>-4.5023629999999999E-6</v>
      </c>
      <c r="I6217">
        <v>22.153939999999999</v>
      </c>
      <c r="J6217">
        <v>-378.53500000000003</v>
      </c>
      <c r="K6217">
        <v>1.108422</v>
      </c>
      <c r="L6217">
        <v>25.181640000000002</v>
      </c>
      <c r="M6217">
        <v>0.9881008</v>
      </c>
      <c r="N6217">
        <v>0</v>
      </c>
      <c r="O6217">
        <v>-0.15319829999999901</v>
      </c>
      <c r="P6217">
        <v>0.9820991</v>
      </c>
      <c r="Q6217">
        <v>0.1416992</v>
      </c>
      <c r="R6217">
        <v>-0.1241073</v>
      </c>
      <c r="S6217">
        <v>3.0147400000000002</v>
      </c>
      <c r="T6217">
        <v>-0.19715369999999999</v>
      </c>
      <c r="U6217">
        <v>-0.54348750000000001</v>
      </c>
      <c r="V6217">
        <v>-2.7077899999999998E-2</v>
      </c>
      <c r="W6217">
        <v>0.1553581</v>
      </c>
      <c r="X6217">
        <v>0.987487</v>
      </c>
      <c r="Y6217">
        <v>2.4802000000000001E-2</v>
      </c>
      <c r="Z6217">
        <v>9.0622080000000004E-3</v>
      </c>
      <c r="AA6217">
        <v>0.99965130000000002</v>
      </c>
      <c r="AB6217">
        <v>31</v>
      </c>
      <c r="AC6217">
        <v>16.776499999999999</v>
      </c>
      <c r="AD6217">
        <v>-1.108426502363</v>
      </c>
      <c r="AE6217">
        <v>-3.0276999999999901</v>
      </c>
      <c r="AF6217">
        <v>0.41980618830514799</v>
      </c>
      <c r="AG6217">
        <v>-1.108426502363</v>
      </c>
      <c r="AH6217">
        <v>16.970561523659999</v>
      </c>
      <c r="AI6217">
        <v>93.735806979530693</v>
      </c>
      <c r="AJ6217">
        <v>88.582945045449705</v>
      </c>
      <c r="AK6217">
        <v>17.011901862378799</v>
      </c>
      <c r="AL6217">
        <v>81.062434208976796</v>
      </c>
      <c r="AM6217">
        <v>91.570715069790793</v>
      </c>
      <c r="AN6217">
        <v>0.999999963536509</v>
      </c>
    </row>
    <row r="6218" spans="1:40" x14ac:dyDescent="0.25">
      <c r="A6218" t="str">
        <f>"20190312172238933"</f>
        <v>20190312172238933</v>
      </c>
      <c r="B6218" t="str">
        <f>"1552382558926296"</f>
        <v>1552382558926296</v>
      </c>
      <c r="C6218" t="s">
        <v>40</v>
      </c>
      <c r="D6218">
        <v>3.5737580000000002</v>
      </c>
      <c r="E6218">
        <v>0.54527159999999997</v>
      </c>
      <c r="F6218" t="s">
        <v>41</v>
      </c>
      <c r="G6218">
        <v>-377.55540000000002</v>
      </c>
      <c r="H6218">
        <v>1.044537</v>
      </c>
      <c r="I6218">
        <v>25.002669999999998</v>
      </c>
      <c r="J6218">
        <v>-378.363</v>
      </c>
      <c r="K6218">
        <v>1.1084430000000001</v>
      </c>
      <c r="L6218">
        <v>25.15353</v>
      </c>
      <c r="M6218">
        <v>0.98789800000000005</v>
      </c>
      <c r="N6218">
        <v>0</v>
      </c>
      <c r="O6218">
        <v>-0.15450069999999999</v>
      </c>
      <c r="P6218">
        <v>0.9818211</v>
      </c>
      <c r="Q6218">
        <v>0.14156679999999999</v>
      </c>
      <c r="R6218">
        <v>-0.12643699999999999</v>
      </c>
      <c r="S6218">
        <v>3.013458</v>
      </c>
      <c r="T6218">
        <v>-0.19647129999999999</v>
      </c>
      <c r="U6218">
        <v>-0.55029300000000003</v>
      </c>
      <c r="V6218">
        <v>-2.604538E-2</v>
      </c>
      <c r="W6218">
        <v>0.1552182</v>
      </c>
      <c r="X6218">
        <v>0.98753679999999999</v>
      </c>
      <c r="Y6218">
        <v>2.5742999999999999E-2</v>
      </c>
      <c r="Z6218">
        <v>9.0848530000000004E-3</v>
      </c>
      <c r="AA6218">
        <v>0.9996273</v>
      </c>
      <c r="AB6218">
        <v>30</v>
      </c>
      <c r="AC6218">
        <v>0.80760000000003596</v>
      </c>
      <c r="AD6218">
        <v>-6.3906000000000004E-2</v>
      </c>
      <c r="AE6218">
        <v>-0.150859999999998</v>
      </c>
      <c r="AF6218">
        <v>2.41158821859974E-2</v>
      </c>
      <c r="AG6218">
        <v>-6.3906000000000004E-2</v>
      </c>
      <c r="AH6218">
        <v>0.81627232433765795</v>
      </c>
      <c r="AI6218">
        <v>94.474613706937802</v>
      </c>
      <c r="AJ6218">
        <v>88.307750460036402</v>
      </c>
      <c r="AK6218">
        <v>0.81912517974312704</v>
      </c>
      <c r="AL6218">
        <v>81.070548570118703</v>
      </c>
      <c r="AM6218">
        <v>91.510773558564694</v>
      </c>
      <c r="AN6218">
        <v>0.99999999139241202</v>
      </c>
    </row>
    <row r="6219" spans="1:40" x14ac:dyDescent="0.25">
      <c r="A6219" t="str">
        <f>"20190312172238945"</f>
        <v>20190312172238945</v>
      </c>
      <c r="B6219" t="str">
        <f>"1552382558937032"</f>
        <v>1552382558937032</v>
      </c>
      <c r="C6219" t="s">
        <v>40</v>
      </c>
      <c r="D6219">
        <v>3.5335420000000002</v>
      </c>
      <c r="E6219">
        <v>0.55147029999999997</v>
      </c>
      <c r="F6219" t="s">
        <v>69</v>
      </c>
      <c r="G6219">
        <v>-362.05349999999999</v>
      </c>
      <c r="H6219" s="1">
        <v>-4.1188899999999998E-6</v>
      </c>
      <c r="I6219">
        <v>20.97711</v>
      </c>
      <c r="J6219">
        <v>-378.2</v>
      </c>
      <c r="K6219">
        <v>1.1084590000000001</v>
      </c>
      <c r="L6219">
        <v>25.126799999999999</v>
      </c>
      <c r="M6219">
        <v>0.98770530000000001</v>
      </c>
      <c r="N6219">
        <v>0</v>
      </c>
      <c r="O6219">
        <v>-0.15572829999999999</v>
      </c>
      <c r="P6219">
        <v>0.98158219999999996</v>
      </c>
      <c r="Q6219">
        <v>0.14132210000000001</v>
      </c>
      <c r="R6219">
        <v>-0.12854849999999901</v>
      </c>
      <c r="S6219">
        <v>2.9862980000000001</v>
      </c>
      <c r="T6219">
        <v>-0.202958</v>
      </c>
      <c r="U6219">
        <v>-0.76470950000000004</v>
      </c>
      <c r="V6219">
        <v>-2.515968E-2</v>
      </c>
      <c r="W6219">
        <v>0.1549671</v>
      </c>
      <c r="X6219">
        <v>0.98759920000000001</v>
      </c>
      <c r="Y6219">
        <v>9.4296430000000001E-2</v>
      </c>
      <c r="Z6219">
        <v>7.1728089999999996E-3</v>
      </c>
      <c r="AA6219">
        <v>0.99551829999999997</v>
      </c>
      <c r="AB6219">
        <v>30</v>
      </c>
      <c r="AC6219">
        <v>16.1465</v>
      </c>
      <c r="AD6219">
        <v>-1.10846311889</v>
      </c>
      <c r="AE6219">
        <v>-4.1496899999999997</v>
      </c>
      <c r="AF6219">
        <v>1.5773785144529699</v>
      </c>
      <c r="AG6219">
        <v>-1.10846311889</v>
      </c>
      <c r="AH6219">
        <v>16.522714229897101</v>
      </c>
      <c r="AI6219">
        <v>93.820744170552203</v>
      </c>
      <c r="AJ6219">
        <v>84.546655210437294</v>
      </c>
      <c r="AK6219">
        <v>16.6348098572434</v>
      </c>
      <c r="AL6219">
        <v>81.085111794913701</v>
      </c>
      <c r="AM6219">
        <v>91.459328584361899</v>
      </c>
      <c r="AN6219">
        <v>0.99999999571037601</v>
      </c>
    </row>
    <row r="6220" spans="1:40" x14ac:dyDescent="0.25">
      <c r="A6220" t="str">
        <f>"20190312172238965"</f>
        <v>20190312172238965</v>
      </c>
      <c r="B6220" t="str">
        <f>"1552382558956552"</f>
        <v>1552382558956552</v>
      </c>
      <c r="C6220" t="s">
        <v>40</v>
      </c>
      <c r="D6220">
        <v>3.5159039999999999</v>
      </c>
      <c r="E6220">
        <v>0.55588130000000002</v>
      </c>
      <c r="F6220" t="s">
        <v>41</v>
      </c>
      <c r="G6220">
        <v>-377.29969999999997</v>
      </c>
      <c r="H6220">
        <v>1.0449469999999901</v>
      </c>
      <c r="I6220">
        <v>24.87857</v>
      </c>
      <c r="J6220">
        <v>-377.94189999999998</v>
      </c>
      <c r="K6220">
        <v>1.1084780000000001</v>
      </c>
      <c r="L6220">
        <v>25.08398</v>
      </c>
      <c r="M6220">
        <v>0.98739880000000002</v>
      </c>
      <c r="N6220">
        <v>0</v>
      </c>
      <c r="O6220">
        <v>-0.15765999999999999</v>
      </c>
      <c r="P6220">
        <v>0.98094740000000002</v>
      </c>
      <c r="Q6220">
        <v>0.14177339999999999</v>
      </c>
      <c r="R6220">
        <v>-0.13282569999999999</v>
      </c>
      <c r="S6220">
        <v>2.9791259999999999</v>
      </c>
      <c r="T6220">
        <v>-0.20996310000000001</v>
      </c>
      <c r="U6220">
        <v>-0.82034300000000004</v>
      </c>
      <c r="V6220">
        <v>-2.2776560000000001E-2</v>
      </c>
      <c r="W6220">
        <v>0.15540290000000001</v>
      </c>
      <c r="X6220">
        <v>0.98758860000000004</v>
      </c>
      <c r="Y6220">
        <v>0.11025069999999999</v>
      </c>
      <c r="Z6220">
        <v>6.9954129999999998E-3</v>
      </c>
      <c r="AA6220">
        <v>0.99387919999999996</v>
      </c>
      <c r="AB6220">
        <v>30</v>
      </c>
      <c r="AC6220">
        <v>0.64220000000000199</v>
      </c>
      <c r="AD6220">
        <v>-6.3531000000000198E-2</v>
      </c>
      <c r="AE6220">
        <v>-0.20541000000000001</v>
      </c>
      <c r="AF6220">
        <v>0.100687895925317</v>
      </c>
      <c r="AG6220">
        <v>-6.3531000000000198E-2</v>
      </c>
      <c r="AH6220">
        <v>0.660688976983274</v>
      </c>
      <c r="AI6220">
        <v>95.430284056934596</v>
      </c>
      <c r="AJ6220">
        <v>81.334891569000007</v>
      </c>
      <c r="AK6220">
        <v>0.67133014579569705</v>
      </c>
      <c r="AL6220">
        <v>81.059836470042896</v>
      </c>
      <c r="AM6220">
        <v>91.321166992132603</v>
      </c>
      <c r="AN6220">
        <v>1.0000000379319001</v>
      </c>
    </row>
    <row r="6221" spans="1:40" x14ac:dyDescent="0.25">
      <c r="A6221" t="str">
        <f>"20190312172238976"</f>
        <v>20190312172238976</v>
      </c>
      <c r="B6221" t="str">
        <f>"1552382558966312"</f>
        <v>1552382558966312</v>
      </c>
      <c r="C6221" t="s">
        <v>40</v>
      </c>
      <c r="D6221">
        <v>3.5053070000000002</v>
      </c>
      <c r="E6221">
        <v>0.55708590000000002</v>
      </c>
      <c r="F6221" t="s">
        <v>41</v>
      </c>
      <c r="G6221">
        <v>-377.03149999999999</v>
      </c>
      <c r="H6221">
        <v>1.045358</v>
      </c>
      <c r="I6221">
        <v>24.818090000000002</v>
      </c>
      <c r="J6221">
        <v>-377.7851</v>
      </c>
      <c r="K6221">
        <v>1.1084860000000001</v>
      </c>
      <c r="L6221">
        <v>25.057739999999999</v>
      </c>
      <c r="M6221">
        <v>0.98721159999999997</v>
      </c>
      <c r="N6221">
        <v>0</v>
      </c>
      <c r="O6221">
        <v>-0.15882829999999901</v>
      </c>
      <c r="P6221">
        <v>0.98057649999999996</v>
      </c>
      <c r="Q6221">
        <v>0.14209459999999999</v>
      </c>
      <c r="R6221">
        <v>-0.13520099999999999</v>
      </c>
      <c r="S6221">
        <v>2.9704899999999999</v>
      </c>
      <c r="T6221">
        <v>-0.20603440000000001</v>
      </c>
      <c r="U6221">
        <v>-0.86785889999999999</v>
      </c>
      <c r="V6221">
        <v>-2.154638E-2</v>
      </c>
      <c r="W6221">
        <v>0.15571559999999901</v>
      </c>
      <c r="X6221">
        <v>0.98756690000000003</v>
      </c>
      <c r="Y6221">
        <v>0.1244799</v>
      </c>
      <c r="Z6221">
        <v>6.4608850000000004E-3</v>
      </c>
      <c r="AA6221">
        <v>0.99220109999999995</v>
      </c>
      <c r="AB6221">
        <v>30</v>
      </c>
      <c r="AC6221">
        <v>0.75360000000000504</v>
      </c>
      <c r="AD6221">
        <v>-6.3128000000000004E-2</v>
      </c>
      <c r="AE6221">
        <v>-0.239650000000001</v>
      </c>
      <c r="AF6221">
        <v>0.116162901194918</v>
      </c>
      <c r="AG6221">
        <v>-6.3128000000000004E-2</v>
      </c>
      <c r="AH6221">
        <v>0.77714639573445898</v>
      </c>
      <c r="AI6221">
        <v>94.593163534926205</v>
      </c>
      <c r="AJ6221">
        <v>81.498731199476197</v>
      </c>
      <c r="AK6221">
        <v>0.788311793899521</v>
      </c>
      <c r="AL6221">
        <v>81.041698840078297</v>
      </c>
      <c r="AM6221">
        <v>91.249860453180403</v>
      </c>
      <c r="AN6221">
        <v>0.999999988275037</v>
      </c>
    </row>
    <row r="6222" spans="1:40" x14ac:dyDescent="0.25">
      <c r="A6222" t="str">
        <f>"20190312172238988"</f>
        <v>20190312172238988</v>
      </c>
      <c r="B6222" t="str">
        <f>"1552382558977048"</f>
        <v>1552382558977048</v>
      </c>
      <c r="C6222" t="s">
        <v>40</v>
      </c>
      <c r="D6222">
        <v>3.5304609999999998</v>
      </c>
      <c r="E6222">
        <v>0.55793800000000005</v>
      </c>
      <c r="F6222" t="s">
        <v>69</v>
      </c>
      <c r="G6222">
        <v>-361.88589999999999</v>
      </c>
      <c r="H6222" s="1">
        <v>-4.0226560000000001E-6</v>
      </c>
      <c r="I6222">
        <v>20.317769999999999</v>
      </c>
      <c r="J6222">
        <v>-377.62740000000002</v>
      </c>
      <c r="K6222">
        <v>1.1084940000000001</v>
      </c>
      <c r="L6222">
        <v>25.031099999999999</v>
      </c>
      <c r="M6222">
        <v>0.98702219999999996</v>
      </c>
      <c r="N6222">
        <v>0</v>
      </c>
      <c r="O6222">
        <v>-0.16000159999999999</v>
      </c>
      <c r="P6222">
        <v>0.98020030000000002</v>
      </c>
      <c r="Q6222">
        <v>0.1422612</v>
      </c>
      <c r="R6222">
        <v>-0.13772980000000001</v>
      </c>
      <c r="S6222">
        <v>2.967438</v>
      </c>
      <c r="T6222">
        <v>-0.20689009999999999</v>
      </c>
      <c r="U6222">
        <v>-0.88467410000000002</v>
      </c>
      <c r="V6222">
        <v>-2.016749E-2</v>
      </c>
      <c r="W6222">
        <v>0.1558744</v>
      </c>
      <c r="X6222">
        <v>0.98757099999999998</v>
      </c>
      <c r="Y6222">
        <v>0.1287393</v>
      </c>
      <c r="Z6222">
        <v>6.4209150000000001E-3</v>
      </c>
      <c r="AA6222">
        <v>0.99165769999999998</v>
      </c>
      <c r="AB6222">
        <v>30</v>
      </c>
      <c r="AC6222">
        <v>15.7415</v>
      </c>
      <c r="AD6222">
        <v>-1.1084980226559999</v>
      </c>
      <c r="AE6222">
        <v>-4.7133299999999902</v>
      </c>
      <c r="AF6222">
        <v>2.12402924014871</v>
      </c>
      <c r="AG6222">
        <v>-1.1084980226559999</v>
      </c>
      <c r="AH6222">
        <v>16.219061023280801</v>
      </c>
      <c r="AI6222">
        <v>93.876821548895805</v>
      </c>
      <c r="AJ6222">
        <v>82.539070653176793</v>
      </c>
      <c r="AK6222">
        <v>16.395066592001001</v>
      </c>
      <c r="AL6222">
        <v>81.032488067884202</v>
      </c>
      <c r="AM6222">
        <v>91.169892061345195</v>
      </c>
      <c r="AN6222">
        <v>1.00000001813462</v>
      </c>
    </row>
    <row r="6223" spans="1:40" x14ac:dyDescent="0.25">
      <c r="A6223" t="str">
        <f>"20190312172239002"</f>
        <v>20190312172239002</v>
      </c>
      <c r="B6223" t="str">
        <f>"1552382558996568"</f>
        <v>1552382558996568</v>
      </c>
      <c r="C6223" t="s">
        <v>40</v>
      </c>
      <c r="D6223">
        <v>3.505773</v>
      </c>
      <c r="E6223">
        <v>0.55899690000000002</v>
      </c>
      <c r="F6223" t="s">
        <v>69</v>
      </c>
      <c r="G6223">
        <v>-361.81099999999998</v>
      </c>
      <c r="H6223" s="1">
        <v>-4.0358429999999997E-6</v>
      </c>
      <c r="I6223">
        <v>20.234190000000002</v>
      </c>
      <c r="J6223">
        <v>-377.44659999999999</v>
      </c>
      <c r="K6223">
        <v>1.1085</v>
      </c>
      <c r="L6223">
        <v>25.000430000000001</v>
      </c>
      <c r="M6223">
        <v>0.98680319999999999</v>
      </c>
      <c r="N6223">
        <v>0</v>
      </c>
      <c r="O6223">
        <v>-0.16134660000000001</v>
      </c>
      <c r="P6223">
        <v>0.97980049999999996</v>
      </c>
      <c r="Q6223">
        <v>0.14228560000000001</v>
      </c>
      <c r="R6223">
        <v>-0.14052110000000001</v>
      </c>
      <c r="S6223">
        <v>2.9644469999999998</v>
      </c>
      <c r="T6223">
        <v>-0.20776420000000001</v>
      </c>
      <c r="U6223">
        <v>-0.89907839999999895</v>
      </c>
      <c r="V6223">
        <v>-1.8700069999999999E-2</v>
      </c>
      <c r="W6223">
        <v>0.1558899</v>
      </c>
      <c r="X6223">
        <v>0.98759739999999996</v>
      </c>
      <c r="Y6223">
        <v>0.13207550000000001</v>
      </c>
      <c r="Z6223">
        <v>6.4246640000000001E-3</v>
      </c>
      <c r="AA6223">
        <v>0.99121879999999996</v>
      </c>
      <c r="AB6223">
        <v>30</v>
      </c>
      <c r="AC6223">
        <v>15.6356</v>
      </c>
      <c r="AD6223">
        <v>-1.1085040358430001</v>
      </c>
      <c r="AE6223">
        <v>-4.7662399999999998</v>
      </c>
      <c r="AF6223">
        <v>2.17081020820424</v>
      </c>
      <c r="AG6223">
        <v>-1.1085040358430001</v>
      </c>
      <c r="AH6223">
        <v>16.125628719028601</v>
      </c>
      <c r="AI6223">
        <v>93.897380013392905</v>
      </c>
      <c r="AJ6223">
        <v>82.333012535133903</v>
      </c>
      <c r="AK6223">
        <v>16.308804362720299</v>
      </c>
      <c r="AL6223">
        <v>81.031588729392695</v>
      </c>
      <c r="AM6223">
        <v>91.084760923438594</v>
      </c>
      <c r="AN6223">
        <v>0.99999998901338705</v>
      </c>
    </row>
    <row r="6224" spans="1:40" x14ac:dyDescent="0.25">
      <c r="A6224" t="str">
        <f>"20190312172239018"</f>
        <v>20190312172239018</v>
      </c>
      <c r="B6224" t="str">
        <f>"1552382559006328"</f>
        <v>1552382559006328</v>
      </c>
      <c r="C6224" t="s">
        <v>40</v>
      </c>
      <c r="D6224">
        <v>3.5083859999999998</v>
      </c>
      <c r="E6224">
        <v>0.55906199999999995</v>
      </c>
      <c r="F6224" t="s">
        <v>41</v>
      </c>
      <c r="G6224">
        <v>-376.4991</v>
      </c>
      <c r="H6224">
        <v>1.0416589999999999</v>
      </c>
      <c r="I6224">
        <v>24.707070000000002</v>
      </c>
      <c r="J6224">
        <v>-377.22579999999999</v>
      </c>
      <c r="K6224">
        <v>1.1084989999999999</v>
      </c>
      <c r="L6224">
        <v>24.962520000000001</v>
      </c>
      <c r="M6224">
        <v>0.98653219999999997</v>
      </c>
      <c r="N6224">
        <v>0</v>
      </c>
      <c r="O6224">
        <v>-0.1629961</v>
      </c>
      <c r="P6224">
        <v>0.9790373</v>
      </c>
      <c r="Q6224">
        <v>0.14267679999999999</v>
      </c>
      <c r="R6224">
        <v>-0.14536089999999999</v>
      </c>
      <c r="S6224">
        <v>2.9608150000000002</v>
      </c>
      <c r="T6224">
        <v>-0.20875479999999999</v>
      </c>
      <c r="U6224">
        <v>-0.91595459999999995</v>
      </c>
      <c r="V6224">
        <v>-1.545391E-2</v>
      </c>
      <c r="W6224">
        <v>0.15626389999999901</v>
      </c>
      <c r="X6224">
        <v>0.98759439999999998</v>
      </c>
      <c r="Y6224">
        <v>0.13591539999999999</v>
      </c>
      <c r="Z6224">
        <v>6.4351800000000004E-3</v>
      </c>
      <c r="AA6224">
        <v>0.99069949999999996</v>
      </c>
      <c r="AB6224">
        <v>30</v>
      </c>
      <c r="AC6224">
        <v>0.72669999999999302</v>
      </c>
      <c r="AD6224">
        <v>-6.6839999999999705E-2</v>
      </c>
      <c r="AE6224">
        <v>-0.25544999999999901</v>
      </c>
      <c r="AF6224">
        <v>0.132574625151022</v>
      </c>
      <c r="AG6224">
        <v>-6.6839999999999705E-2</v>
      </c>
      <c r="AH6224">
        <v>0.75295172613375205</v>
      </c>
      <c r="AI6224">
        <v>94.996425372087103</v>
      </c>
      <c r="AJ6224">
        <v>80.014102333559805</v>
      </c>
      <c r="AK6224">
        <v>0.76745027117183995</v>
      </c>
      <c r="AL6224">
        <v>81.009894015869605</v>
      </c>
      <c r="AM6224">
        <v>90.896493095128406</v>
      </c>
      <c r="AN6224">
        <v>0.99999996434442795</v>
      </c>
    </row>
    <row r="6225" spans="1:40" x14ac:dyDescent="0.25">
      <c r="A6225" t="str">
        <f>"20190312172239029"</f>
        <v>20190312172239029</v>
      </c>
      <c r="B6225" t="str">
        <f>"1552382559026824"</f>
        <v>1552382559026824</v>
      </c>
      <c r="C6225" t="s">
        <v>40</v>
      </c>
      <c r="D6225">
        <v>3.5085820000000001</v>
      </c>
      <c r="E6225">
        <v>0.55935179999999995</v>
      </c>
      <c r="F6225" t="s">
        <v>69</v>
      </c>
      <c r="G6225">
        <v>-361.46570000000003</v>
      </c>
      <c r="H6225" s="1">
        <v>-4.1368949999999998E-6</v>
      </c>
      <c r="I6225">
        <v>20.000599999999999</v>
      </c>
      <c r="J6225">
        <v>-377.07729999999998</v>
      </c>
      <c r="K6225">
        <v>1.108492</v>
      </c>
      <c r="L6225">
        <v>24.936800000000002</v>
      </c>
      <c r="M6225">
        <v>0.98634690000000003</v>
      </c>
      <c r="N6225">
        <v>0</v>
      </c>
      <c r="O6225">
        <v>-0.16411389999999901</v>
      </c>
      <c r="P6225">
        <v>0.97863659999999997</v>
      </c>
      <c r="Q6225">
        <v>0.14243329999999901</v>
      </c>
      <c r="R6225">
        <v>-0.14826989999999901</v>
      </c>
      <c r="S6225">
        <v>2.9563600000000001</v>
      </c>
      <c r="T6225">
        <v>-0.20793929999999999</v>
      </c>
      <c r="U6225">
        <v>-0.93078609999999995</v>
      </c>
      <c r="V6225">
        <v>-1.3639979999999999E-2</v>
      </c>
      <c r="W6225">
        <v>0.15601139999999999</v>
      </c>
      <c r="X6225">
        <v>0.98766109999999896</v>
      </c>
      <c r="Y6225">
        <v>0.1397352</v>
      </c>
      <c r="Z6225">
        <v>6.3574349999999998E-3</v>
      </c>
      <c r="AA6225">
        <v>0.99016850000000001</v>
      </c>
      <c r="AB6225">
        <v>30</v>
      </c>
      <c r="AC6225">
        <v>15.6115999999999</v>
      </c>
      <c r="AD6225">
        <v>-1.1084961368949999</v>
      </c>
      <c r="AE6225">
        <v>-4.9362000000000004</v>
      </c>
      <c r="AF6225">
        <v>2.29641458717933</v>
      </c>
      <c r="AG6225">
        <v>-1.1084961368949999</v>
      </c>
      <c r="AH6225">
        <v>16.136104575475901</v>
      </c>
      <c r="AI6225">
        <v>93.890771816592405</v>
      </c>
      <c r="AJ6225">
        <v>81.900324271344303</v>
      </c>
      <c r="AK6225">
        <v>16.336344588444899</v>
      </c>
      <c r="AL6225">
        <v>81.024541408570201</v>
      </c>
      <c r="AM6225">
        <v>90.791226471478197</v>
      </c>
      <c r="AN6225">
        <v>1.0000000272187799</v>
      </c>
    </row>
    <row r="6226" spans="1:40" x14ac:dyDescent="0.25">
      <c r="A6226" t="str">
        <f>"20190312172239040"</f>
        <v>20190312172239040</v>
      </c>
      <c r="B6226" t="str">
        <f>"1552382559036584"</f>
        <v>1552382559036584</v>
      </c>
      <c r="C6226" t="s">
        <v>40</v>
      </c>
      <c r="D6226">
        <v>3.4777900000000002</v>
      </c>
      <c r="E6226">
        <v>0.55932479999999996</v>
      </c>
      <c r="F6226" t="s">
        <v>69</v>
      </c>
      <c r="G6226">
        <v>-361.56599999999997</v>
      </c>
      <c r="H6226" s="1">
        <v>-4.087336E-6</v>
      </c>
      <c r="I6226">
        <v>19.992439999999998</v>
      </c>
      <c r="J6226">
        <v>-376.92809999999997</v>
      </c>
      <c r="K6226">
        <v>1.1084909999999999</v>
      </c>
      <c r="L6226">
        <v>24.910889999999998</v>
      </c>
      <c r="M6226">
        <v>0.98615870000000005</v>
      </c>
      <c r="N6226">
        <v>0</v>
      </c>
      <c r="O6226">
        <v>-0.16523940000000001</v>
      </c>
      <c r="P6226">
        <v>0.97823729999999998</v>
      </c>
      <c r="Q6226">
        <v>0.14219189999999901</v>
      </c>
      <c r="R6226">
        <v>-0.15110609999999999</v>
      </c>
      <c r="S6226">
        <v>2.9535520000000002</v>
      </c>
      <c r="T6226">
        <v>-0.2110717</v>
      </c>
      <c r="U6226">
        <v>-0.94146730000000001</v>
      </c>
      <c r="V6226">
        <v>-1.190685E-2</v>
      </c>
      <c r="W6226">
        <v>0.15576229999999999</v>
      </c>
      <c r="X6226">
        <v>0.98772280000000001</v>
      </c>
      <c r="Y6226">
        <v>0.142127</v>
      </c>
      <c r="Z6226">
        <v>6.4478579999999999E-3</v>
      </c>
      <c r="AA6226">
        <v>0.98982749999999997</v>
      </c>
      <c r="AB6226">
        <v>30</v>
      </c>
      <c r="AC6226">
        <v>15.3620999999999</v>
      </c>
      <c r="AD6226">
        <v>-1.108495087336</v>
      </c>
      <c r="AE6226">
        <v>-4.91845</v>
      </c>
      <c r="AF6226">
        <v>2.3012960286844599</v>
      </c>
      <c r="AG6226">
        <v>-1.108495087336</v>
      </c>
      <c r="AH6226">
        <v>15.888646282737399</v>
      </c>
      <c r="AI6226">
        <v>93.9497764867142</v>
      </c>
      <c r="AJ6226">
        <v>81.758646267677406</v>
      </c>
      <c r="AK6226">
        <v>16.092663094349302</v>
      </c>
      <c r="AL6226">
        <v>81.038990167028103</v>
      </c>
      <c r="AM6226">
        <v>90.690658562250903</v>
      </c>
      <c r="AN6226">
        <v>0.99999999840902598</v>
      </c>
    </row>
    <row r="6227" spans="1:40" x14ac:dyDescent="0.25">
      <c r="A6227" t="str">
        <f>"20190312172239052"</f>
        <v>20190312172239052</v>
      </c>
      <c r="B6227" t="str">
        <f>"1552382559046852"</f>
        <v>1552382559046852</v>
      </c>
      <c r="C6227" t="s">
        <v>40</v>
      </c>
      <c r="D6227">
        <v>3.5149240000000002</v>
      </c>
      <c r="E6227">
        <v>0.55927519999999997</v>
      </c>
      <c r="F6227" t="s">
        <v>69</v>
      </c>
      <c r="G6227">
        <v>-361.5761</v>
      </c>
      <c r="H6227" s="1">
        <v>-4.07678E-6</v>
      </c>
      <c r="I6227">
        <v>19.97073</v>
      </c>
      <c r="J6227">
        <v>-376.76799999999997</v>
      </c>
      <c r="K6227">
        <v>1.1084799999999999</v>
      </c>
      <c r="L6227">
        <v>24.882719999999999</v>
      </c>
      <c r="M6227">
        <v>0.98595180000000004</v>
      </c>
      <c r="N6227">
        <v>0</v>
      </c>
      <c r="O6227">
        <v>-0.16647029999999999</v>
      </c>
      <c r="P6227">
        <v>0.97777270000000005</v>
      </c>
      <c r="Q6227">
        <v>0.1424608</v>
      </c>
      <c r="R6227">
        <v>-0.15383669999999999</v>
      </c>
      <c r="S6227">
        <v>2.9510190000000001</v>
      </c>
      <c r="T6227">
        <v>-0.21307889999999999</v>
      </c>
      <c r="U6227">
        <v>-0.94961549999999995</v>
      </c>
      <c r="V6227">
        <v>-1.0366770000000001E-2</v>
      </c>
      <c r="W6227">
        <v>0.15602269999999999</v>
      </c>
      <c r="X6227">
        <v>0.98769910000000005</v>
      </c>
      <c r="Y6227">
        <v>0.14361599999999999</v>
      </c>
      <c r="Z6227">
        <v>6.5432119999999996E-3</v>
      </c>
      <c r="AA6227">
        <v>0.98961189999999999</v>
      </c>
      <c r="AB6227">
        <v>30</v>
      </c>
      <c r="AC6227">
        <v>15.1919</v>
      </c>
      <c r="AD6227">
        <v>-1.1084840767799999</v>
      </c>
      <c r="AE6227">
        <v>-4.9119900000000003</v>
      </c>
      <c r="AF6227">
        <v>2.3031001750946598</v>
      </c>
      <c r="AG6227">
        <v>-1.1084840767799999</v>
      </c>
      <c r="AH6227">
        <v>15.721875883988499</v>
      </c>
      <c r="AI6227">
        <v>93.990562739981698</v>
      </c>
      <c r="AJ6227">
        <v>81.666008572269504</v>
      </c>
      <c r="AK6227">
        <v>15.928288943779799</v>
      </c>
      <c r="AL6227">
        <v>81.023885987334097</v>
      </c>
      <c r="AM6227">
        <v>90.601347473414904</v>
      </c>
      <c r="AN6227">
        <v>1.0000000324881599</v>
      </c>
    </row>
    <row r="6228" spans="1:40" x14ac:dyDescent="0.25">
      <c r="A6228" t="str">
        <f>"20190312172239064"</f>
        <v>20190312172239064</v>
      </c>
      <c r="B6228" t="str">
        <f>"1552382559056614"</f>
        <v>1552382559056614</v>
      </c>
      <c r="C6228" t="s">
        <v>40</v>
      </c>
      <c r="D6228">
        <v>3.4900980000000001</v>
      </c>
      <c r="E6228">
        <v>0.55922479999999997</v>
      </c>
      <c r="F6228" t="s">
        <v>69</v>
      </c>
      <c r="G6228">
        <v>-361.4074</v>
      </c>
      <c r="H6228" s="1">
        <v>-4.1365979999999999E-6</v>
      </c>
      <c r="I6228">
        <v>19.895969999999998</v>
      </c>
      <c r="J6228">
        <v>-376.61419999999998</v>
      </c>
      <c r="K6228">
        <v>1.108471</v>
      </c>
      <c r="L6228">
        <v>24.855530000000002</v>
      </c>
      <c r="M6228">
        <v>0.98574969999999995</v>
      </c>
      <c r="N6228">
        <v>0</v>
      </c>
      <c r="O6228">
        <v>-0.1676636</v>
      </c>
      <c r="P6228">
        <v>0.97728199999999998</v>
      </c>
      <c r="Q6228">
        <v>0.1430131</v>
      </c>
      <c r="R6228">
        <v>-0.15642130000000001</v>
      </c>
      <c r="S6228">
        <v>2.9485779999999999</v>
      </c>
      <c r="T6228">
        <v>-0.21278169999999999</v>
      </c>
      <c r="U6228">
        <v>-0.95724489999999995</v>
      </c>
      <c r="V6228">
        <v>-8.9266859999999996E-3</v>
      </c>
      <c r="W6228">
        <v>0.15656719999999999</v>
      </c>
      <c r="X6228">
        <v>0.98762700000000003</v>
      </c>
      <c r="Y6228">
        <v>0.14497460000000001</v>
      </c>
      <c r="Z6228">
        <v>6.5702310000000002E-3</v>
      </c>
      <c r="AA6228">
        <v>0.9894136</v>
      </c>
      <c r="AB6228">
        <v>30</v>
      </c>
      <c r="AC6228">
        <v>15.2067999999999</v>
      </c>
      <c r="AD6228">
        <v>-1.1084751365979999</v>
      </c>
      <c r="AE6228">
        <v>-4.95955999999999</v>
      </c>
      <c r="AF6228">
        <v>2.32829418076963</v>
      </c>
      <c r="AG6228">
        <v>-1.1084751365979999</v>
      </c>
      <c r="AH6228">
        <v>15.747482466121699</v>
      </c>
      <c r="AI6228">
        <v>93.983283790021602</v>
      </c>
      <c r="AJ6228">
        <v>81.589644561782606</v>
      </c>
      <c r="AK6228">
        <v>15.9572201508118</v>
      </c>
      <c r="AL6228">
        <v>80.992300260890104</v>
      </c>
      <c r="AM6228">
        <v>90.517854924583602</v>
      </c>
      <c r="AN6228">
        <v>1.00000003248389</v>
      </c>
    </row>
    <row r="6229" spans="1:40" x14ac:dyDescent="0.25">
      <c r="A6229" t="str">
        <f>"20190312172239075"</f>
        <v>20190312172239075</v>
      </c>
      <c r="B6229" t="str">
        <f>"1552382559066372"</f>
        <v>1552382559066372</v>
      </c>
      <c r="C6229" t="s">
        <v>40</v>
      </c>
      <c r="D6229">
        <v>3.5008330000000001</v>
      </c>
      <c r="E6229">
        <v>0.55920080000000005</v>
      </c>
      <c r="F6229" t="s">
        <v>69</v>
      </c>
      <c r="G6229">
        <v>-361.20330000000001</v>
      </c>
      <c r="H6229" s="1">
        <v>-4.2105319999999998E-6</v>
      </c>
      <c r="I6229">
        <v>19.811209999999999</v>
      </c>
      <c r="J6229">
        <v>-376.46539999999999</v>
      </c>
      <c r="K6229">
        <v>1.1084590000000001</v>
      </c>
      <c r="L6229">
        <v>24.82901</v>
      </c>
      <c r="M6229">
        <v>0.98554940000000002</v>
      </c>
      <c r="N6229">
        <v>0</v>
      </c>
      <c r="O6229">
        <v>-0.16883699999999999</v>
      </c>
      <c r="P6229">
        <v>0.9767692</v>
      </c>
      <c r="Q6229">
        <v>0.14380390000000001</v>
      </c>
      <c r="R6229">
        <v>-0.15887960000000001</v>
      </c>
      <c r="S6229">
        <v>2.9463810000000001</v>
      </c>
      <c r="T6229">
        <v>-0.2119278</v>
      </c>
      <c r="U6229">
        <v>-0.96441650000000001</v>
      </c>
      <c r="V6229">
        <v>-7.5849649999999999E-3</v>
      </c>
      <c r="W6229">
        <v>0.15734989999999999</v>
      </c>
      <c r="X6229">
        <v>0.9875138</v>
      </c>
      <c r="Y6229">
        <v>0.1461896</v>
      </c>
      <c r="Z6229">
        <v>6.5832209999999898E-3</v>
      </c>
      <c r="AA6229">
        <v>0.98923470000000002</v>
      </c>
      <c r="AB6229">
        <v>30</v>
      </c>
      <c r="AC6229">
        <v>15.262099999999901</v>
      </c>
      <c r="AD6229">
        <v>-1.108463210532</v>
      </c>
      <c r="AE6229">
        <v>-5.0178000000000003</v>
      </c>
      <c r="AF6229">
        <v>2.3574810268861901</v>
      </c>
      <c r="AG6229">
        <v>-1.108463210532</v>
      </c>
      <c r="AH6229">
        <v>15.814940762202299</v>
      </c>
      <c r="AI6229">
        <v>93.965607351889901</v>
      </c>
      <c r="AJ6229">
        <v>81.521539006439298</v>
      </c>
      <c r="AK6229">
        <v>16.028061604361199</v>
      </c>
      <c r="AL6229">
        <v>80.946891858997304</v>
      </c>
      <c r="AM6229">
        <v>90.440072772961102</v>
      </c>
      <c r="AN6229">
        <v>1.00000001395725</v>
      </c>
    </row>
    <row r="6230" spans="1:40" x14ac:dyDescent="0.25">
      <c r="A6230" t="str">
        <f>"20190312172239085"</f>
        <v>20190312172239085</v>
      </c>
      <c r="B6230" t="str">
        <f>"1552382559077108"</f>
        <v>1552382559077108</v>
      </c>
      <c r="C6230" t="s">
        <v>40</v>
      </c>
      <c r="D6230">
        <v>3.4871759999999998</v>
      </c>
      <c r="E6230">
        <v>0.55910579999999999</v>
      </c>
      <c r="F6230" t="s">
        <v>69</v>
      </c>
      <c r="G6230">
        <v>-360.94729999999998</v>
      </c>
      <c r="H6230" s="1">
        <v>-4.3042810000000001E-6</v>
      </c>
      <c r="I6230">
        <v>19.708639999999999</v>
      </c>
      <c r="J6230">
        <v>-376.31610000000001</v>
      </c>
      <c r="K6230">
        <v>1.108441</v>
      </c>
      <c r="L6230">
        <v>24.80219</v>
      </c>
      <c r="M6230">
        <v>0.98534299999999997</v>
      </c>
      <c r="N6230">
        <v>0</v>
      </c>
      <c r="O6230">
        <v>-0.17003670000000001</v>
      </c>
      <c r="P6230">
        <v>0.97614730000000005</v>
      </c>
      <c r="Q6230">
        <v>0.14529690000000001</v>
      </c>
      <c r="R6230">
        <v>-0.16132299999999999</v>
      </c>
      <c r="S6230">
        <v>2.9442750000000002</v>
      </c>
      <c r="T6230">
        <v>-0.2103109</v>
      </c>
      <c r="U6230">
        <v>-0.97149660000000004</v>
      </c>
      <c r="V6230">
        <v>-6.2593279999999998E-3</v>
      </c>
      <c r="W6230">
        <v>0.15883349999999999</v>
      </c>
      <c r="X6230">
        <v>0.98728559999999999</v>
      </c>
      <c r="Y6230">
        <v>0.14734040000000001</v>
      </c>
      <c r="Z6230">
        <v>6.5759429999999999E-3</v>
      </c>
      <c r="AA6230">
        <v>0.98906400000000005</v>
      </c>
      <c r="AB6230">
        <v>30</v>
      </c>
      <c r="AC6230">
        <v>15.3688</v>
      </c>
      <c r="AD6230">
        <v>-1.1084453042810001</v>
      </c>
      <c r="AE6230">
        <v>-5.0935499999999996</v>
      </c>
      <c r="AF6230">
        <v>2.3946349129850701</v>
      </c>
      <c r="AG6230">
        <v>-1.1084453042810001</v>
      </c>
      <c r="AH6230">
        <v>15.9364316944311</v>
      </c>
      <c r="AI6230">
        <v>93.934721458071493</v>
      </c>
      <c r="AJ6230">
        <v>81.454572021055597</v>
      </c>
      <c r="AK6230">
        <v>16.153413958366102</v>
      </c>
      <c r="AL6230">
        <v>80.860805650687894</v>
      </c>
      <c r="AM6230">
        <v>90.363246736347506</v>
      </c>
      <c r="AN6230">
        <v>1.0000000579382999</v>
      </c>
    </row>
    <row r="6231" spans="1:40" x14ac:dyDescent="0.25">
      <c r="A6231" t="str">
        <f>"20190312172239096"</f>
        <v>20190312172239096</v>
      </c>
      <c r="B6231" t="str">
        <f>"1552382559086867"</f>
        <v>1552382559086867</v>
      </c>
      <c r="C6231" t="s">
        <v>40</v>
      </c>
      <c r="D6231">
        <v>3.4610249999999998</v>
      </c>
      <c r="E6231">
        <v>0.5589615</v>
      </c>
      <c r="F6231" t="s">
        <v>69</v>
      </c>
      <c r="G6231">
        <v>-360.52879999999999</v>
      </c>
      <c r="H6231" s="1">
        <v>-4.4888600000000001E-6</v>
      </c>
      <c r="I6231">
        <v>19.55247</v>
      </c>
      <c r="J6231">
        <v>-376.17149999999998</v>
      </c>
      <c r="K6231">
        <v>1.108419</v>
      </c>
      <c r="L6231">
        <v>24.776060000000001</v>
      </c>
      <c r="M6231">
        <v>0.98513839999999997</v>
      </c>
      <c r="N6231">
        <v>0</v>
      </c>
      <c r="O6231">
        <v>-0.1712176</v>
      </c>
      <c r="P6231">
        <v>0.97555519999999996</v>
      </c>
      <c r="Q6231">
        <v>0.146651</v>
      </c>
      <c r="R6231">
        <v>-0.163662</v>
      </c>
      <c r="S6231">
        <v>2.942383</v>
      </c>
      <c r="T6231">
        <v>-0.20658860000000001</v>
      </c>
      <c r="U6231">
        <v>-0.97842410000000002</v>
      </c>
      <c r="V6231">
        <v>-5.0224349999999996E-3</v>
      </c>
      <c r="W6231">
        <v>0.16017879999999901</v>
      </c>
      <c r="X6231">
        <v>0.98707520000000004</v>
      </c>
      <c r="Y6231">
        <v>0.14844070000000001</v>
      </c>
      <c r="Z6231">
        <v>6.5019479999999996E-3</v>
      </c>
      <c r="AA6231">
        <v>0.98889990000000005</v>
      </c>
      <c r="AB6231">
        <v>30</v>
      </c>
      <c r="AC6231">
        <v>15.6426999999999</v>
      </c>
      <c r="AD6231">
        <v>-1.10842348886</v>
      </c>
      <c r="AE6231">
        <v>-5.2235899999999997</v>
      </c>
      <c r="AF6231">
        <v>2.4567862081759801</v>
      </c>
      <c r="AG6231">
        <v>-1.10842348886</v>
      </c>
      <c r="AH6231">
        <v>16.2327909509577</v>
      </c>
      <c r="AI6231">
        <v>93.8624132935727</v>
      </c>
      <c r="AJ6231">
        <v>81.393763323433703</v>
      </c>
      <c r="AK6231">
        <v>16.455026683686501</v>
      </c>
      <c r="AL6231">
        <v>80.782725082159601</v>
      </c>
      <c r="AM6231">
        <v>90.291529809515396</v>
      </c>
      <c r="AN6231">
        <v>0.99999996163890303</v>
      </c>
    </row>
    <row r="6232" spans="1:40" x14ac:dyDescent="0.25">
      <c r="A6232" t="str">
        <f>"20190312172239108"</f>
        <v>20190312172239108</v>
      </c>
      <c r="B6232" t="str">
        <f>"1552382559096628"</f>
        <v>1552382559096628</v>
      </c>
      <c r="C6232" t="s">
        <v>40</v>
      </c>
      <c r="D6232">
        <v>3.4848180000000002</v>
      </c>
      <c r="E6232">
        <v>0.55881819999999904</v>
      </c>
      <c r="F6232" t="s">
        <v>69</v>
      </c>
      <c r="G6232">
        <v>-360.11489999999998</v>
      </c>
      <c r="H6232" s="1">
        <v>-4.7116659999999996E-6</v>
      </c>
      <c r="I6232">
        <v>19.399380000000001</v>
      </c>
      <c r="J6232">
        <v>-376.0247</v>
      </c>
      <c r="K6232">
        <v>1.10839</v>
      </c>
      <c r="L6232">
        <v>24.74924</v>
      </c>
      <c r="M6232">
        <v>0.98492190000000002</v>
      </c>
      <c r="N6232">
        <v>0</v>
      </c>
      <c r="O6232">
        <v>-0.17245949999999999</v>
      </c>
      <c r="P6232">
        <v>0.97496439999999995</v>
      </c>
      <c r="Q6232">
        <v>0.14778279999999999</v>
      </c>
      <c r="R6232">
        <v>-0.16614670000000001</v>
      </c>
      <c r="S6232">
        <v>2.9404910000000002</v>
      </c>
      <c r="T6232">
        <v>-0.20298930000000001</v>
      </c>
      <c r="U6232">
        <v>-0.98464969999999996</v>
      </c>
      <c r="V6232">
        <v>-3.7000919999999999E-3</v>
      </c>
      <c r="W6232">
        <v>0.16130269999999999</v>
      </c>
      <c r="X6232">
        <v>0.9868981</v>
      </c>
      <c r="Y6232">
        <v>0.14926739999999999</v>
      </c>
      <c r="Z6232">
        <v>6.4437519999999996E-3</v>
      </c>
      <c r="AA6232">
        <v>0.98877579999999998</v>
      </c>
      <c r="AB6232">
        <v>30</v>
      </c>
      <c r="AC6232">
        <v>15.909800000000001</v>
      </c>
      <c r="AD6232">
        <v>-1.108394711666</v>
      </c>
      <c r="AE6232">
        <v>-5.3498599999999996</v>
      </c>
      <c r="AF6232">
        <v>2.5146685309855199</v>
      </c>
      <c r="AG6232">
        <v>-1.108394711666</v>
      </c>
      <c r="AH6232">
        <v>16.5220483221735</v>
      </c>
      <c r="AI6232">
        <v>93.794414595107298</v>
      </c>
      <c r="AJ6232">
        <v>81.345954067468</v>
      </c>
      <c r="AK6232">
        <v>16.749035119009601</v>
      </c>
      <c r="AL6232">
        <v>80.7174828523369</v>
      </c>
      <c r="AM6232">
        <v>90.214813122131602</v>
      </c>
      <c r="AN6232">
        <v>1.0000000557458499</v>
      </c>
    </row>
    <row r="6233" spans="1:40" x14ac:dyDescent="0.25">
      <c r="A6233" t="str">
        <f>"20190312172239121"</f>
        <v>20190312172239121</v>
      </c>
      <c r="B6233" t="str">
        <f>"1552382559117124"</f>
        <v>1552382559117124</v>
      </c>
      <c r="C6233" t="s">
        <v>40</v>
      </c>
      <c r="D6233">
        <v>3.4980470000000001</v>
      </c>
      <c r="E6233">
        <v>0.55850829999999996</v>
      </c>
      <c r="F6233" t="s">
        <v>42</v>
      </c>
      <c r="G6233">
        <v>-359.7647</v>
      </c>
      <c r="H6233" s="1">
        <v>-1.5998770000000001E-7</v>
      </c>
      <c r="I6233">
        <v>19.263470000000002</v>
      </c>
      <c r="J6233">
        <v>-375.8655</v>
      </c>
      <c r="K6233">
        <v>1.1083499999999999</v>
      </c>
      <c r="L6233">
        <v>24.72</v>
      </c>
      <c r="M6233">
        <v>0.98468230000000001</v>
      </c>
      <c r="N6233">
        <v>0</v>
      </c>
      <c r="O6233">
        <v>-0.17382239999999999</v>
      </c>
      <c r="P6233">
        <v>0.97425340000000005</v>
      </c>
      <c r="Q6233">
        <v>0.1493411</v>
      </c>
      <c r="R6233">
        <v>-0.16890250000000001</v>
      </c>
      <c r="S6233">
        <v>2.9384769999999998</v>
      </c>
      <c r="T6233">
        <v>-0.2003067</v>
      </c>
      <c r="U6233">
        <v>-0.99136349999999995</v>
      </c>
      <c r="V6233">
        <v>-2.206338E-3</v>
      </c>
      <c r="W6233">
        <v>0.16285079999999999</v>
      </c>
      <c r="X6233">
        <v>0.98664830000000003</v>
      </c>
      <c r="Y6233">
        <v>0.1501325</v>
      </c>
      <c r="Z6233">
        <v>6.4194559999999996E-3</v>
      </c>
      <c r="AA6233">
        <v>0.988645</v>
      </c>
      <c r="AB6233">
        <v>30</v>
      </c>
      <c r="AC6233">
        <v>16.1007999999999</v>
      </c>
      <c r="AD6233">
        <v>-1.1083501599876999</v>
      </c>
      <c r="AE6233">
        <v>-5.4565299999999901</v>
      </c>
      <c r="AF6233">
        <v>2.5636122690579399</v>
      </c>
      <c r="AG6233">
        <v>-1.1083501599876999</v>
      </c>
      <c r="AH6233">
        <v>16.7330830534715</v>
      </c>
      <c r="AI6233">
        <v>93.745986629446193</v>
      </c>
      <c r="AJ6233">
        <v>81.289659379026006</v>
      </c>
      <c r="AK6233">
        <v>16.964569443919999</v>
      </c>
      <c r="AL6233">
        <v>80.627594799895405</v>
      </c>
      <c r="AM6233">
        <v>90.128124322381396</v>
      </c>
      <c r="AN6233">
        <v>1.0000000594404399</v>
      </c>
    </row>
    <row r="6234" spans="1:40" x14ac:dyDescent="0.25">
      <c r="A6234" t="str">
        <f>"20190312172239132"</f>
        <v>20190312172239132</v>
      </c>
      <c r="B6234" t="str">
        <f>"1552382559126884"</f>
        <v>1552382559126884</v>
      </c>
      <c r="C6234" t="s">
        <v>40</v>
      </c>
      <c r="D6234">
        <v>3.512302</v>
      </c>
      <c r="E6234">
        <v>0.55834689999999998</v>
      </c>
      <c r="F6234" t="s">
        <v>42</v>
      </c>
      <c r="G6234">
        <v>-359.38569999999999</v>
      </c>
      <c r="H6234" s="1">
        <v>-3.3306219999999998E-7</v>
      </c>
      <c r="I6234">
        <v>19.124680000000001</v>
      </c>
      <c r="J6234">
        <v>-375.69459999999998</v>
      </c>
      <c r="K6234">
        <v>1.1082860000000001</v>
      </c>
      <c r="L6234">
        <v>24.688199999999998</v>
      </c>
      <c r="M6234">
        <v>0.98440760000000005</v>
      </c>
      <c r="N6234">
        <v>0</v>
      </c>
      <c r="O6234">
        <v>-0.17537079999999999</v>
      </c>
      <c r="P6234">
        <v>0.97350780000000003</v>
      </c>
      <c r="Q6234">
        <v>0.15077270000000001</v>
      </c>
      <c r="R6234">
        <v>-0.17190259999999999</v>
      </c>
      <c r="S6234">
        <v>2.9367070000000002</v>
      </c>
      <c r="T6234">
        <v>-0.19750799999999999</v>
      </c>
      <c r="U6234">
        <v>-0.99707029999999996</v>
      </c>
      <c r="V6234">
        <v>-6.4422000000000004E-4</v>
      </c>
      <c r="W6234">
        <v>0.1642728</v>
      </c>
      <c r="X6234">
        <v>0.98641469999999998</v>
      </c>
      <c r="Y6234">
        <v>0.1504827</v>
      </c>
      <c r="Z6234">
        <v>6.4183159999999899E-3</v>
      </c>
      <c r="AA6234">
        <v>0.98859180000000002</v>
      </c>
      <c r="AB6234">
        <v>30</v>
      </c>
      <c r="AC6234">
        <v>16.308899999999898</v>
      </c>
      <c r="AD6234">
        <v>-1.1082863330621999</v>
      </c>
      <c r="AE6234">
        <v>-5.5635199999999996</v>
      </c>
      <c r="AF6234">
        <v>2.6061303402146501</v>
      </c>
      <c r="AG6234">
        <v>-1.1082863330621999</v>
      </c>
      <c r="AH6234">
        <v>16.961710433446399</v>
      </c>
      <c r="AI6234">
        <v>93.695179062072398</v>
      </c>
      <c r="AJ6234">
        <v>81.264937337646501</v>
      </c>
      <c r="AK6234">
        <v>17.196506470045701</v>
      </c>
      <c r="AL6234">
        <v>80.545007100254594</v>
      </c>
      <c r="AM6234">
        <v>90.037419436095206</v>
      </c>
      <c r="AN6234">
        <v>0.999999964107668</v>
      </c>
    </row>
    <row r="6235" spans="1:40" x14ac:dyDescent="0.25">
      <c r="A6235" t="str">
        <f>"20190312172239146"</f>
        <v>20190312172239146</v>
      </c>
      <c r="B6235" t="str">
        <f>"1552382559136644"</f>
        <v>1552382559136644</v>
      </c>
      <c r="C6235" t="s">
        <v>40</v>
      </c>
      <c r="D6235">
        <v>3.4817879999999999</v>
      </c>
      <c r="E6235">
        <v>0.5580714</v>
      </c>
      <c r="F6235" t="s">
        <v>42</v>
      </c>
      <c r="G6235">
        <v>-358.99470000000002</v>
      </c>
      <c r="H6235" s="1">
        <v>-5.2780159999999898E-7</v>
      </c>
      <c r="I6235">
        <v>18.972300000000001</v>
      </c>
      <c r="J6235">
        <v>-375.51859999999999</v>
      </c>
      <c r="K6235">
        <v>1.1082190000000001</v>
      </c>
      <c r="L6235">
        <v>24.655180000000001</v>
      </c>
      <c r="M6235">
        <v>0.98411510000000002</v>
      </c>
      <c r="N6235">
        <v>0</v>
      </c>
      <c r="O6235">
        <v>-0.1770062</v>
      </c>
      <c r="P6235">
        <v>0.97280509999999998</v>
      </c>
      <c r="Q6235">
        <v>0.1517915</v>
      </c>
      <c r="R6235">
        <v>-0.1749568</v>
      </c>
      <c r="S6235">
        <v>2.9344480000000002</v>
      </c>
      <c r="T6235">
        <v>-0.19474440000000001</v>
      </c>
      <c r="U6235">
        <v>-1.004364</v>
      </c>
      <c r="V6235">
        <v>8.7689189999999996E-4</v>
      </c>
      <c r="W6235">
        <v>0.1652826</v>
      </c>
      <c r="X6235">
        <v>0.98624590000000001</v>
      </c>
      <c r="Y6235">
        <v>0.1512732</v>
      </c>
      <c r="Z6235">
        <v>6.4074010000000001E-3</v>
      </c>
      <c r="AA6235">
        <v>0.98847119999999999</v>
      </c>
      <c r="AB6235">
        <v>30</v>
      </c>
      <c r="AC6235">
        <v>16.523899999999902</v>
      </c>
      <c r="AD6235">
        <v>-1.1082195278016</v>
      </c>
      <c r="AE6235">
        <v>-5.6828799999999902</v>
      </c>
      <c r="AF6235">
        <v>2.65733514231996</v>
      </c>
      <c r="AG6235">
        <v>-1.1082195278016</v>
      </c>
      <c r="AH6235">
        <v>17.1997501765706</v>
      </c>
      <c r="AI6235">
        <v>93.643493303574004</v>
      </c>
      <c r="AJ6235">
        <v>81.217330338781295</v>
      </c>
      <c r="AK6235">
        <v>17.439064961082401</v>
      </c>
      <c r="AL6235">
        <v>80.486348728688696</v>
      </c>
      <c r="AM6235">
        <v>89.949057135020993</v>
      </c>
      <c r="AN6235">
        <v>1.00000004103448</v>
      </c>
    </row>
    <row r="6236" spans="1:40" x14ac:dyDescent="0.25">
      <c r="A6236" t="str">
        <f>"20190312172239159"</f>
        <v>20190312172239159</v>
      </c>
      <c r="B6236" t="str">
        <f>"1552382559146404"</f>
        <v>1552382559146404</v>
      </c>
      <c r="C6236" t="s">
        <v>40</v>
      </c>
      <c r="D6236">
        <v>3.4463020000000002</v>
      </c>
      <c r="E6236">
        <v>0.55781740000000002</v>
      </c>
      <c r="F6236" t="s">
        <v>42</v>
      </c>
      <c r="G6236">
        <v>-358.68520000000001</v>
      </c>
      <c r="H6236" s="1">
        <v>-6.8201440000000003E-7</v>
      </c>
      <c r="I6236">
        <v>18.851330000000001</v>
      </c>
      <c r="J6236">
        <v>-375.3449</v>
      </c>
      <c r="K6236">
        <v>1.108147</v>
      </c>
      <c r="L6236">
        <v>24.622309999999999</v>
      </c>
      <c r="M6236">
        <v>0.98381479999999999</v>
      </c>
      <c r="N6236">
        <v>0</v>
      </c>
      <c r="O6236">
        <v>-0.17866609999999999</v>
      </c>
      <c r="P6236">
        <v>0.97214080000000003</v>
      </c>
      <c r="Q6236">
        <v>0.1525446</v>
      </c>
      <c r="R6236">
        <v>-0.17796779999999901</v>
      </c>
      <c r="S6236">
        <v>2.9321899999999999</v>
      </c>
      <c r="T6236">
        <v>-0.1930405</v>
      </c>
      <c r="U6236">
        <v>-1.010956</v>
      </c>
      <c r="V6236">
        <v>2.3243399999999998E-3</v>
      </c>
      <c r="W6236">
        <v>0.16602790000000001</v>
      </c>
      <c r="X6236">
        <v>0.9861183</v>
      </c>
      <c r="Y6236">
        <v>0.1518275</v>
      </c>
      <c r="Z6236">
        <v>6.4388249999999996E-3</v>
      </c>
      <c r="AA6236">
        <v>0.98838599999999999</v>
      </c>
      <c r="AB6236">
        <v>30</v>
      </c>
      <c r="AC6236">
        <v>16.659699999999901</v>
      </c>
      <c r="AD6236">
        <v>-1.1081476820143901</v>
      </c>
      <c r="AE6236">
        <v>-5.7709799999999998</v>
      </c>
      <c r="AF6236">
        <v>2.6906749778655699</v>
      </c>
      <c r="AG6236">
        <v>-1.1081476820143901</v>
      </c>
      <c r="AH6236">
        <v>17.3542091970664</v>
      </c>
      <c r="AI6236">
        <v>93.610620312247605</v>
      </c>
      <c r="AJ6236">
        <v>81.186776252084499</v>
      </c>
      <c r="AK6236">
        <v>17.596485443894998</v>
      </c>
      <c r="AL6236">
        <v>80.4430473776425</v>
      </c>
      <c r="AM6236">
        <v>89.864950660051306</v>
      </c>
      <c r="AN6236">
        <v>0.99999998386486699</v>
      </c>
    </row>
    <row r="6237" spans="1:40" x14ac:dyDescent="0.25">
      <c r="A6237" t="str">
        <f>"20190312172239176"</f>
        <v>20190312172239176</v>
      </c>
      <c r="B6237" t="str">
        <f>"1552382559166900"</f>
        <v>1552382559166900</v>
      </c>
      <c r="C6237" t="s">
        <v>40</v>
      </c>
      <c r="D6237">
        <v>3.4782109999999999</v>
      </c>
      <c r="E6237">
        <v>0.55731309999999901</v>
      </c>
      <c r="F6237" t="s">
        <v>42</v>
      </c>
      <c r="G6237">
        <v>-358.45310000000001</v>
      </c>
      <c r="H6237" s="1">
        <v>-7.9881540000000004E-7</v>
      </c>
      <c r="I6237">
        <v>18.754370000000002</v>
      </c>
      <c r="J6237">
        <v>-375.1182</v>
      </c>
      <c r="K6237">
        <v>1.1080399999999999</v>
      </c>
      <c r="L6237">
        <v>24.578669999999999</v>
      </c>
      <c r="M6237">
        <v>0.98339529999999997</v>
      </c>
      <c r="N6237">
        <v>0</v>
      </c>
      <c r="O6237">
        <v>-0.18096100000000001</v>
      </c>
      <c r="P6237">
        <v>0.97128539999999997</v>
      </c>
      <c r="Q6237">
        <v>0.1523293</v>
      </c>
      <c r="R6237">
        <v>-0.1827589</v>
      </c>
      <c r="S6237">
        <v>2.92984</v>
      </c>
      <c r="T6237">
        <v>-0.1922046</v>
      </c>
      <c r="U6237">
        <v>-1.0177609999999999</v>
      </c>
      <c r="V6237">
        <v>4.9268239999999998E-3</v>
      </c>
      <c r="W6237">
        <v>0.16580029999999901</v>
      </c>
      <c r="X6237">
        <v>0.986147</v>
      </c>
      <c r="Y6237">
        <v>0.1518196</v>
      </c>
      <c r="Z6237">
        <v>6.5552969999999999E-3</v>
      </c>
      <c r="AA6237">
        <v>0.98838649999999995</v>
      </c>
      <c r="AB6237">
        <v>30</v>
      </c>
      <c r="AC6237">
        <v>16.665099999999899</v>
      </c>
      <c r="AD6237">
        <v>-1.1080407988154</v>
      </c>
      <c r="AE6237">
        <v>-5.8243</v>
      </c>
      <c r="AF6237">
        <v>2.7014668321272399</v>
      </c>
      <c r="AG6237">
        <v>-1.1080407988154</v>
      </c>
      <c r="AH6237">
        <v>17.375529666799999</v>
      </c>
      <c r="AI6237">
        <v>93.605619825048905</v>
      </c>
      <c r="AJ6237">
        <v>81.162671475329006</v>
      </c>
      <c r="AK6237">
        <v>17.619157433281799</v>
      </c>
      <c r="AL6237">
        <v>80.456270940167698</v>
      </c>
      <c r="AM6237">
        <v>89.713750715680206</v>
      </c>
      <c r="AN6237">
        <v>0.999999959341907</v>
      </c>
    </row>
    <row r="6238" spans="1:40" x14ac:dyDescent="0.25">
      <c r="A6238" t="str">
        <f>"20190312172239188"</f>
        <v>20190312172239188</v>
      </c>
      <c r="B6238" t="str">
        <f>"1552382559176661"</f>
        <v>1552382559176661</v>
      </c>
      <c r="C6238" t="s">
        <v>40</v>
      </c>
      <c r="D6238">
        <v>3.4809109999999999</v>
      </c>
      <c r="E6238">
        <v>0.55706739999999999</v>
      </c>
      <c r="F6238" t="s">
        <v>42</v>
      </c>
      <c r="G6238">
        <v>-358.5197</v>
      </c>
      <c r="H6238" s="1">
        <v>-7.7146640000000003E-7</v>
      </c>
      <c r="I6238">
        <v>18.747509999999998</v>
      </c>
      <c r="J6238">
        <v>-374.9622</v>
      </c>
      <c r="K6238">
        <v>1.1079589999999999</v>
      </c>
      <c r="L6238">
        <v>24.548279999999998</v>
      </c>
      <c r="M6238">
        <v>0.9830894</v>
      </c>
      <c r="N6238">
        <v>0</v>
      </c>
      <c r="O6238">
        <v>-0.18261520000000001</v>
      </c>
      <c r="P6238">
        <v>0.97077570000000002</v>
      </c>
      <c r="Q6238">
        <v>0.15204870000000001</v>
      </c>
      <c r="R6238">
        <v>-0.1856768</v>
      </c>
      <c r="S6238">
        <v>2.9258730000000002</v>
      </c>
      <c r="T6238">
        <v>-0.19531799999999999</v>
      </c>
      <c r="U6238">
        <v>-1.027863</v>
      </c>
      <c r="V6238">
        <v>6.2562719999999898E-3</v>
      </c>
      <c r="W6238">
        <v>0.16551399999999999</v>
      </c>
      <c r="X6238">
        <v>0.98618760000000005</v>
      </c>
      <c r="Y6238">
        <v>0.153614</v>
      </c>
      <c r="Z6238">
        <v>6.7112159999999999E-3</v>
      </c>
      <c r="AA6238">
        <v>0.98810819999999999</v>
      </c>
      <c r="AB6238">
        <v>30</v>
      </c>
      <c r="AC6238">
        <v>16.4424999999999</v>
      </c>
      <c r="AD6238">
        <v>-1.10795977146639</v>
      </c>
      <c r="AE6238">
        <v>-5.8007699999999902</v>
      </c>
      <c r="AF6238">
        <v>2.6894175520352199</v>
      </c>
      <c r="AG6238">
        <v>-1.10795977146639</v>
      </c>
      <c r="AH6238">
        <v>17.156089693961999</v>
      </c>
      <c r="AI6238">
        <v>93.650634445210599</v>
      </c>
      <c r="AJ6238">
        <v>81.090724315924803</v>
      </c>
      <c r="AK6238">
        <v>17.4009182289801</v>
      </c>
      <c r="AL6238">
        <v>80.472904969494905</v>
      </c>
      <c r="AM6238">
        <v>89.636526384548404</v>
      </c>
      <c r="AN6238">
        <v>1.00000000376454</v>
      </c>
    </row>
    <row r="6239" spans="1:40" x14ac:dyDescent="0.25">
      <c r="A6239" t="str">
        <f>"20190312172239199"</f>
        <v>20190312172239199</v>
      </c>
      <c r="B6239" t="str">
        <f>"1552382559197155"</f>
        <v>1552382559197155</v>
      </c>
      <c r="C6239" t="s">
        <v>40</v>
      </c>
      <c r="D6239">
        <v>3.4519470000000001</v>
      </c>
      <c r="E6239">
        <v>0.55683099999999996</v>
      </c>
      <c r="F6239" t="s">
        <v>42</v>
      </c>
      <c r="G6239">
        <v>-358.54500000000002</v>
      </c>
      <c r="H6239" s="1">
        <v>-7.6209590000000003E-7</v>
      </c>
      <c r="I6239">
        <v>18.73911</v>
      </c>
      <c r="J6239">
        <v>-374.80829999999997</v>
      </c>
      <c r="K6239">
        <v>1.10788</v>
      </c>
      <c r="L6239">
        <v>24.518070000000002</v>
      </c>
      <c r="M6239">
        <v>0.98277820000000005</v>
      </c>
      <c r="N6239">
        <v>0</v>
      </c>
      <c r="O6239">
        <v>-0.1842828</v>
      </c>
      <c r="P6239">
        <v>0.97028639999999999</v>
      </c>
      <c r="Q6239">
        <v>0.1517386</v>
      </c>
      <c r="R6239">
        <v>-0.18846769999999999</v>
      </c>
      <c r="S6239">
        <v>2.92334</v>
      </c>
      <c r="T6239">
        <v>-0.19728870000000001</v>
      </c>
      <c r="U6239">
        <v>-1.0343929999999999</v>
      </c>
      <c r="V6239">
        <v>7.4433959999999997E-3</v>
      </c>
      <c r="W6239">
        <v>0.1651984</v>
      </c>
      <c r="X6239">
        <v>0.98623229999999995</v>
      </c>
      <c r="Y6239">
        <v>0.15417169999999999</v>
      </c>
      <c r="Z6239">
        <v>6.8690469999999997E-3</v>
      </c>
      <c r="AA6239">
        <v>0.98802020000000002</v>
      </c>
      <c r="AB6239">
        <v>30</v>
      </c>
      <c r="AC6239">
        <v>16.263299999999902</v>
      </c>
      <c r="AD6239">
        <v>-1.1078807620958999</v>
      </c>
      <c r="AE6239">
        <v>-5.7789599999999997</v>
      </c>
      <c r="AF6239">
        <v>2.6716321848943498</v>
      </c>
      <c r="AG6239">
        <v>-1.1078807620958999</v>
      </c>
      <c r="AH6239">
        <v>16.979810843944701</v>
      </c>
      <c r="AI6239">
        <v>93.687840801918199</v>
      </c>
      <c r="AJ6239">
        <v>81.058292327997506</v>
      </c>
      <c r="AK6239">
        <v>17.224372110777399</v>
      </c>
      <c r="AL6239">
        <v>80.491240194167702</v>
      </c>
      <c r="AM6239">
        <v>89.567579485359005</v>
      </c>
      <c r="AN6239">
        <v>1.0000000325349301</v>
      </c>
    </row>
    <row r="6240" spans="1:40" x14ac:dyDescent="0.25">
      <c r="A6240" t="str">
        <f>"20190312172239210"</f>
        <v>20190312172239210</v>
      </c>
      <c r="B6240" t="str">
        <f>"1552382559206916"</f>
        <v>1552382559206916</v>
      </c>
      <c r="C6240" t="s">
        <v>40</v>
      </c>
      <c r="D6240">
        <v>3.4902299999999999</v>
      </c>
      <c r="E6240">
        <v>0.54872290000000001</v>
      </c>
      <c r="F6240" t="s">
        <v>42</v>
      </c>
      <c r="G6240">
        <v>-358.58760000000001</v>
      </c>
      <c r="H6240" s="1">
        <v>-7.4384039999999999E-7</v>
      </c>
      <c r="I6240">
        <v>18.739049999999999</v>
      </c>
      <c r="J6240">
        <v>-374.66059999999999</v>
      </c>
      <c r="K6240">
        <v>1.107793</v>
      </c>
      <c r="L6240">
        <v>24.488589999999999</v>
      </c>
      <c r="M6240">
        <v>0.98245839999999995</v>
      </c>
      <c r="N6240">
        <v>0</v>
      </c>
      <c r="O6240">
        <v>-0.18598039999999999</v>
      </c>
      <c r="P6240">
        <v>0.96986099999999997</v>
      </c>
      <c r="Q6240">
        <v>0.15112929999999999</v>
      </c>
      <c r="R6240">
        <v>-0.19112799999999999</v>
      </c>
      <c r="S6240">
        <v>2.9208980000000002</v>
      </c>
      <c r="T6240">
        <v>-0.19949739999999999</v>
      </c>
      <c r="U6240">
        <v>-1.040619</v>
      </c>
      <c r="V6240">
        <v>8.4579589999999993E-3</v>
      </c>
      <c r="W6240">
        <v>0.16458610000000001</v>
      </c>
      <c r="X6240">
        <v>0.98632649999999999</v>
      </c>
      <c r="Y6240">
        <v>0.15459809999999999</v>
      </c>
      <c r="Z6240">
        <v>7.0432730000000001E-3</v>
      </c>
      <c r="AA6240">
        <v>0.98795239999999995</v>
      </c>
      <c r="AB6240">
        <v>30</v>
      </c>
      <c r="AC6240">
        <v>16.072999999999901</v>
      </c>
      <c r="AD6240">
        <v>-1.10779374384039</v>
      </c>
      <c r="AE6240">
        <v>-5.7495399999999997</v>
      </c>
      <c r="AF6240">
        <v>2.6485152435266501</v>
      </c>
      <c r="AG6240">
        <v>-1.10779374384039</v>
      </c>
      <c r="AH6240">
        <v>16.791215279728199</v>
      </c>
      <c r="AI6240">
        <v>93.728630379310104</v>
      </c>
      <c r="AJ6240">
        <v>81.0364600401535</v>
      </c>
      <c r="AK6240">
        <v>17.0348686682423</v>
      </c>
      <c r="AL6240">
        <v>80.526809383787096</v>
      </c>
      <c r="AM6240">
        <v>89.508688577106199</v>
      </c>
      <c r="AN6240">
        <v>1.0000000429929501</v>
      </c>
    </row>
    <row r="6241" spans="1:40" x14ac:dyDescent="0.25">
      <c r="A6241" t="str">
        <f>"20190312172239222"</f>
        <v>20190312172239222</v>
      </c>
      <c r="B6241" t="str">
        <f>"1552382559216676"</f>
        <v>1552382559216676</v>
      </c>
      <c r="C6241" t="s">
        <v>40</v>
      </c>
      <c r="D6241">
        <v>3.4577589999999998</v>
      </c>
      <c r="E6241">
        <v>0.54829459999999997</v>
      </c>
      <c r="F6241" t="s">
        <v>41</v>
      </c>
      <c r="G6241">
        <v>-373.83670000000001</v>
      </c>
      <c r="H6241">
        <v>1.043479</v>
      </c>
      <c r="I6241">
        <v>24.211680000000001</v>
      </c>
      <c r="J6241">
        <v>-374.50409999999999</v>
      </c>
      <c r="K6241">
        <v>1.107702</v>
      </c>
      <c r="L6241">
        <v>24.457180000000001</v>
      </c>
      <c r="M6241">
        <v>0.98211130000000002</v>
      </c>
      <c r="N6241">
        <v>0</v>
      </c>
      <c r="O6241">
        <v>-0.18780440000000001</v>
      </c>
      <c r="P6241">
        <v>0.96949660000000004</v>
      </c>
      <c r="Q6241">
        <v>0.150579399999999</v>
      </c>
      <c r="R6241">
        <v>-0.19339680000000001</v>
      </c>
      <c r="S6241">
        <v>2.9345400000000001</v>
      </c>
      <c r="T6241">
        <v>-0.22909889999999999</v>
      </c>
      <c r="U6241">
        <v>-0.98620609999999997</v>
      </c>
      <c r="V6241">
        <v>8.9510809999999996E-3</v>
      </c>
      <c r="W6241">
        <v>0.16403579999999901</v>
      </c>
      <c r="X6241">
        <v>0.98641380000000001</v>
      </c>
      <c r="Y6241">
        <v>0.13499140000000001</v>
      </c>
      <c r="Z6241">
        <v>8.9581169999999998E-3</v>
      </c>
      <c r="AA6241">
        <v>0.99080630000000003</v>
      </c>
      <c r="AB6241">
        <v>30</v>
      </c>
      <c r="AC6241">
        <v>0.667399999999986</v>
      </c>
      <c r="AD6241">
        <v>-6.4222999999999905E-2</v>
      </c>
      <c r="AE6241">
        <v>-0.245499999999999</v>
      </c>
      <c r="AF6241">
        <v>0.114841801280249</v>
      </c>
      <c r="AG6241">
        <v>-6.4222999999999905E-2</v>
      </c>
      <c r="AH6241">
        <v>0.69595619204871295</v>
      </c>
      <c r="AI6241">
        <v>95.202377035104206</v>
      </c>
      <c r="AJ6241">
        <v>80.6298912304932</v>
      </c>
      <c r="AK6241">
        <v>0.70828543278909595</v>
      </c>
      <c r="AL6241">
        <v>80.558773520511195</v>
      </c>
      <c r="AM6241">
        <v>89.480091329730897</v>
      </c>
      <c r="AN6241">
        <v>1.0000000251815699</v>
      </c>
    </row>
    <row r="6242" spans="1:40" x14ac:dyDescent="0.25">
      <c r="A6242" t="str">
        <f>"20190312172239234"</f>
        <v>20190312172239234</v>
      </c>
      <c r="B6242" t="str">
        <f>"1552382559226436"</f>
        <v>1552382559226436</v>
      </c>
      <c r="C6242" t="s">
        <v>40</v>
      </c>
      <c r="D6242">
        <v>3.4566400000000002</v>
      </c>
      <c r="E6242">
        <v>0.54789169999999998</v>
      </c>
      <c r="F6242" t="s">
        <v>41</v>
      </c>
      <c r="G6242">
        <v>-373.58150000000001</v>
      </c>
      <c r="H6242">
        <v>1.033965</v>
      </c>
      <c r="I6242">
        <v>24.145679999999999</v>
      </c>
      <c r="J6242">
        <v>-374.35090000000002</v>
      </c>
      <c r="K6242">
        <v>1.1076109999999999</v>
      </c>
      <c r="L6242">
        <v>24.42596</v>
      </c>
      <c r="M6242">
        <v>0.98175159999999995</v>
      </c>
      <c r="N6242">
        <v>0</v>
      </c>
      <c r="O6242">
        <v>-0.18967529999999999</v>
      </c>
      <c r="P6242">
        <v>0.96919379999999999</v>
      </c>
      <c r="Q6242">
        <v>0.1503536</v>
      </c>
      <c r="R6242">
        <v>-0.1950829</v>
      </c>
      <c r="S6242">
        <v>2.9333499999999999</v>
      </c>
      <c r="T6242">
        <v>-0.23417399999999999</v>
      </c>
      <c r="U6242">
        <v>-0.98959350000000001</v>
      </c>
      <c r="V6242">
        <v>8.8144599999999997E-3</v>
      </c>
      <c r="W6242">
        <v>0.16381279999999901</v>
      </c>
      <c r="X6242">
        <v>0.986452</v>
      </c>
      <c r="Y6242">
        <v>0.13426579999999999</v>
      </c>
      <c r="Z6242">
        <v>9.3265529999999996E-3</v>
      </c>
      <c r="AA6242">
        <v>0.99090149999999999</v>
      </c>
      <c r="AB6242">
        <v>30</v>
      </c>
      <c r="AC6242">
        <v>0.76940000000001796</v>
      </c>
      <c r="AD6242">
        <v>-7.36460000000001E-2</v>
      </c>
      <c r="AE6242">
        <v>-0.28028000000000097</v>
      </c>
      <c r="AF6242">
        <v>0.12820424818920101</v>
      </c>
      <c r="AG6242">
        <v>-7.36460000000001E-2</v>
      </c>
      <c r="AH6242">
        <v>0.80210949996620196</v>
      </c>
      <c r="AI6242">
        <v>95.180535118257097</v>
      </c>
      <c r="AJ6242">
        <v>80.919005483784304</v>
      </c>
      <c r="AK6242">
        <v>0.81562228543964499</v>
      </c>
      <c r="AL6242">
        <v>80.5717248566623</v>
      </c>
      <c r="AM6242">
        <v>89.488046132831997</v>
      </c>
      <c r="AN6242">
        <v>0.99999993822646305</v>
      </c>
    </row>
    <row r="6243" spans="1:40" x14ac:dyDescent="0.25">
      <c r="A6243" t="str">
        <f>"20190312172239244"</f>
        <v>20190312172239244</v>
      </c>
      <c r="B6243" t="str">
        <f>"1552382559237172"</f>
        <v>1552382559237172</v>
      </c>
      <c r="C6243" t="s">
        <v>40</v>
      </c>
      <c r="D6243">
        <v>3.4343330000000001</v>
      </c>
      <c r="E6243">
        <v>0.54772829999999995</v>
      </c>
      <c r="F6243" t="s">
        <v>41</v>
      </c>
      <c r="G6243">
        <v>-373.57049999999998</v>
      </c>
      <c r="H6243">
        <v>1.0450159999999999</v>
      </c>
      <c r="I6243">
        <v>24.16189</v>
      </c>
      <c r="J6243">
        <v>-374.21269999999998</v>
      </c>
      <c r="K6243">
        <v>1.107529</v>
      </c>
      <c r="L6243">
        <v>24.397549999999999</v>
      </c>
      <c r="M6243">
        <v>0.98141690000000004</v>
      </c>
      <c r="N6243">
        <v>0</v>
      </c>
      <c r="O6243">
        <v>-0.19139909999999999</v>
      </c>
      <c r="P6243">
        <v>0.968943</v>
      </c>
      <c r="Q6243">
        <v>0.1504141</v>
      </c>
      <c r="R6243">
        <v>-0.1962796</v>
      </c>
      <c r="S6243">
        <v>2.9322509999999999</v>
      </c>
      <c r="T6243">
        <v>-0.23494480000000001</v>
      </c>
      <c r="U6243">
        <v>-0.99145510000000003</v>
      </c>
      <c r="V6243">
        <v>8.3328819999999998E-3</v>
      </c>
      <c r="W6243">
        <v>0.16387860000000001</v>
      </c>
      <c r="X6243">
        <v>0.98644529999999997</v>
      </c>
      <c r="Y6243">
        <v>0.13321140000000001</v>
      </c>
      <c r="Z6243">
        <v>9.5306149999999992E-3</v>
      </c>
      <c r="AA6243">
        <v>0.99104179999999997</v>
      </c>
      <c r="AB6243">
        <v>30</v>
      </c>
      <c r="AC6243">
        <v>0.64220000000000199</v>
      </c>
      <c r="AD6243">
        <v>-6.2512999999999999E-2</v>
      </c>
      <c r="AE6243">
        <v>-0.23565999999999901</v>
      </c>
      <c r="AF6243">
        <v>0.10747681963771499</v>
      </c>
      <c r="AG6243">
        <v>-6.2512999999999999E-2</v>
      </c>
      <c r="AH6243">
        <v>0.669840490652853</v>
      </c>
      <c r="AI6243">
        <v>95.264743911185107</v>
      </c>
      <c r="AJ6243">
        <v>80.884509189252498</v>
      </c>
      <c r="AK6243">
        <v>0.68128219178728899</v>
      </c>
      <c r="AL6243">
        <v>80.567903556277699</v>
      </c>
      <c r="AM6243">
        <v>89.516012075016306</v>
      </c>
      <c r="AN6243">
        <v>0.99999998117623701</v>
      </c>
    </row>
    <row r="6244" spans="1:40" x14ac:dyDescent="0.25">
      <c r="A6244" t="str">
        <f>"20190312172239254"</f>
        <v>20190312172239254</v>
      </c>
      <c r="B6244" t="str">
        <f>"1552382559246932"</f>
        <v>1552382559246932</v>
      </c>
      <c r="C6244" t="s">
        <v>40</v>
      </c>
      <c r="D6244">
        <v>3.4816530000000001</v>
      </c>
      <c r="E6244">
        <v>0.54740719999999898</v>
      </c>
      <c r="F6244" t="s">
        <v>41</v>
      </c>
      <c r="G6244">
        <v>-373.31659999999999</v>
      </c>
      <c r="H6244">
        <v>1.03532</v>
      </c>
      <c r="I6244">
        <v>24.093699999999998</v>
      </c>
      <c r="J6244">
        <v>-374.06909999999999</v>
      </c>
      <c r="K6244">
        <v>1.10745</v>
      </c>
      <c r="L6244">
        <v>24.367740000000001</v>
      </c>
      <c r="M6244">
        <v>0.98105560000000003</v>
      </c>
      <c r="N6244">
        <v>0</v>
      </c>
      <c r="O6244">
        <v>-0.193242</v>
      </c>
      <c r="P6244">
        <v>0.96881620000000002</v>
      </c>
      <c r="Q6244">
        <v>0.15049580000000001</v>
      </c>
      <c r="R6244">
        <v>-0.1968413</v>
      </c>
      <c r="S6244">
        <v>2.9315190000000002</v>
      </c>
      <c r="T6244">
        <v>-0.2361251</v>
      </c>
      <c r="U6244">
        <v>-0.99377439999999995</v>
      </c>
      <c r="V6244">
        <v>7.0845409999999998E-3</v>
      </c>
      <c r="W6244">
        <v>0.16397220000000001</v>
      </c>
      <c r="X6244">
        <v>0.98643950000000002</v>
      </c>
      <c r="Y6244">
        <v>0.13213820000000001</v>
      </c>
      <c r="Z6244">
        <v>9.7610500000000003E-3</v>
      </c>
      <c r="AA6244">
        <v>0.99118320000000004</v>
      </c>
      <c r="AB6244">
        <v>30</v>
      </c>
      <c r="AC6244">
        <v>0.75249999999999695</v>
      </c>
      <c r="AD6244">
        <v>-7.213E-2</v>
      </c>
      <c r="AE6244">
        <v>-0.27403999999999901</v>
      </c>
      <c r="AF6244">
        <v>0.122452096294972</v>
      </c>
      <c r="AG6244">
        <v>-7.213E-2</v>
      </c>
      <c r="AH6244">
        <v>0.78490728224877304</v>
      </c>
      <c r="AI6244">
        <v>95.188110278990905</v>
      </c>
      <c r="AJ6244">
        <v>81.132856454782001</v>
      </c>
      <c r="AK6244">
        <v>0.79766953966801901</v>
      </c>
      <c r="AL6244">
        <v>80.562467121273599</v>
      </c>
      <c r="AM6244">
        <v>89.588512706289194</v>
      </c>
      <c r="AN6244">
        <v>0.99999998012713498</v>
      </c>
    </row>
    <row r="6245" spans="1:40" x14ac:dyDescent="0.25">
      <c r="A6245" t="str">
        <f>"20190312172239265"</f>
        <v>20190312172239265</v>
      </c>
      <c r="B6245" t="str">
        <f>"1552382559256692"</f>
        <v>1552382559256692</v>
      </c>
      <c r="C6245" t="s">
        <v>40</v>
      </c>
      <c r="D6245">
        <v>3.461398</v>
      </c>
      <c r="E6245">
        <v>0.54706899999999903</v>
      </c>
      <c r="F6245" t="s">
        <v>41</v>
      </c>
      <c r="G6245">
        <v>-373.30540000000002</v>
      </c>
      <c r="H6245">
        <v>1.0461499999999999</v>
      </c>
      <c r="I6245">
        <v>24.108979999999999</v>
      </c>
      <c r="J6245">
        <v>-373.93259999999998</v>
      </c>
      <c r="K6245">
        <v>1.107372</v>
      </c>
      <c r="L6245">
        <v>24.339079999999999</v>
      </c>
      <c r="M6245">
        <v>0.98070000000000002</v>
      </c>
      <c r="N6245">
        <v>0</v>
      </c>
      <c r="O6245">
        <v>-0.19503880000000001</v>
      </c>
      <c r="P6245">
        <v>0.96869649999999996</v>
      </c>
      <c r="Q6245">
        <v>0.15073349999999999</v>
      </c>
      <c r="R6245">
        <v>-0.19724839999999999</v>
      </c>
      <c r="S6245">
        <v>2.9313660000000001</v>
      </c>
      <c r="T6245">
        <v>-0.23516860000000001</v>
      </c>
      <c r="U6245">
        <v>-0.99285889999999999</v>
      </c>
      <c r="V6245">
        <v>5.7278809999999998E-3</v>
      </c>
      <c r="W6245">
        <v>0.1642216</v>
      </c>
      <c r="X6245">
        <v>0.98640689999999998</v>
      </c>
      <c r="Y6245">
        <v>0.1300695</v>
      </c>
      <c r="Z6245">
        <v>9.9390889999999999E-3</v>
      </c>
      <c r="AA6245">
        <v>0.99145510000000003</v>
      </c>
      <c r="AB6245">
        <v>30</v>
      </c>
      <c r="AC6245">
        <v>0.62719999999995901</v>
      </c>
      <c r="AD6245">
        <v>-6.1222000000000103E-2</v>
      </c>
      <c r="AE6245">
        <v>-0.2301</v>
      </c>
      <c r="AF6245">
        <v>0.10247981690708401</v>
      </c>
      <c r="AG6245">
        <v>-6.1222000000000103E-2</v>
      </c>
      <c r="AH6245">
        <v>0.65453865577846304</v>
      </c>
      <c r="AI6245">
        <v>95.2796403714718</v>
      </c>
      <c r="AJ6245">
        <v>81.101555140246603</v>
      </c>
      <c r="AK6245">
        <v>0.66533532753461</v>
      </c>
      <c r="AL6245">
        <v>80.547981922966997</v>
      </c>
      <c r="AM6245">
        <v>89.667297827857297</v>
      </c>
      <c r="AN6245">
        <v>1.0000000574474499</v>
      </c>
    </row>
    <row r="6246" spans="1:40" x14ac:dyDescent="0.25">
      <c r="A6246" t="str">
        <f>"20190312172239276"</f>
        <v>20190312172239276</v>
      </c>
      <c r="B6246" t="str">
        <f>"1552382559266452"</f>
        <v>1552382559266452</v>
      </c>
      <c r="C6246" t="s">
        <v>40</v>
      </c>
      <c r="D6246">
        <v>3.4512369999999999</v>
      </c>
      <c r="E6246">
        <v>0.5468073</v>
      </c>
      <c r="F6246" t="s">
        <v>41</v>
      </c>
      <c r="G6246">
        <v>-373.05149999999998</v>
      </c>
      <c r="H6246">
        <v>1.036875</v>
      </c>
      <c r="I6246">
        <v>24.040839999999999</v>
      </c>
      <c r="J6246">
        <v>-373.78559999999999</v>
      </c>
      <c r="K6246">
        <v>1.1072949999999999</v>
      </c>
      <c r="L6246">
        <v>24.30789</v>
      </c>
      <c r="M6246">
        <v>0.98030439999999996</v>
      </c>
      <c r="N6246">
        <v>0</v>
      </c>
      <c r="O6246">
        <v>-0.197017</v>
      </c>
      <c r="P6246">
        <v>0.9686342</v>
      </c>
      <c r="Q6246">
        <v>0.15097079999999999</v>
      </c>
      <c r="R6246">
        <v>-0.19737299999999999</v>
      </c>
      <c r="S6246">
        <v>2.931549</v>
      </c>
      <c r="T6246">
        <v>-0.2341693</v>
      </c>
      <c r="U6246">
        <v>-0.99114990000000003</v>
      </c>
      <c r="V6246">
        <v>3.9014140000000002E-3</v>
      </c>
      <c r="W6246">
        <v>0.1644756</v>
      </c>
      <c r="X6246">
        <v>0.98637339999999996</v>
      </c>
      <c r="Y6246">
        <v>0.1275423</v>
      </c>
      <c r="Z6246">
        <v>1.014438E-2</v>
      </c>
      <c r="AA6246">
        <v>0.99178120000000003</v>
      </c>
      <c r="AB6246">
        <v>30</v>
      </c>
      <c r="AC6246">
        <v>0.73410000000001197</v>
      </c>
      <c r="AD6246">
        <v>-7.0420000000000094E-2</v>
      </c>
      <c r="AE6246">
        <v>-0.26705000000000101</v>
      </c>
      <c r="AF6246">
        <v>0.11622657852679701</v>
      </c>
      <c r="AG6246">
        <v>-7.0420000000000094E-2</v>
      </c>
      <c r="AH6246">
        <v>0.76610152302085199</v>
      </c>
      <c r="AI6246">
        <v>95.192776599880304</v>
      </c>
      <c r="AJ6246">
        <v>81.373342431622504</v>
      </c>
      <c r="AK6246">
        <v>0.77806113996967796</v>
      </c>
      <c r="AL6246">
        <v>80.533227287533293</v>
      </c>
      <c r="AM6246">
        <v>89.7733785292166</v>
      </c>
      <c r="AN6246">
        <v>0.99999996412705905</v>
      </c>
    </row>
    <row r="6247" spans="1:40" x14ac:dyDescent="0.25">
      <c r="A6247" t="str">
        <f>"20190312172239287"</f>
        <v>20190312172239287</v>
      </c>
      <c r="B6247" t="str">
        <f>"1552382559277189"</f>
        <v>1552382559277189</v>
      </c>
      <c r="C6247" t="s">
        <v>40</v>
      </c>
      <c r="D6247">
        <v>3.4176310000000001</v>
      </c>
      <c r="E6247">
        <v>0.54638900000000001</v>
      </c>
      <c r="F6247" t="s">
        <v>41</v>
      </c>
      <c r="G6247">
        <v>-373.03989999999999</v>
      </c>
      <c r="H6247">
        <v>1.048044</v>
      </c>
      <c r="I6247">
        <v>24.056049999999999</v>
      </c>
      <c r="J6247">
        <v>-373.63909999999998</v>
      </c>
      <c r="K6247">
        <v>1.1072200000000001</v>
      </c>
      <c r="L6247">
        <v>24.27637</v>
      </c>
      <c r="M6247">
        <v>0.97989340000000003</v>
      </c>
      <c r="N6247">
        <v>0</v>
      </c>
      <c r="O6247">
        <v>-0.1990509</v>
      </c>
      <c r="P6247">
        <v>0.9686806</v>
      </c>
      <c r="Q6247">
        <v>0.15134310000000001</v>
      </c>
      <c r="R6247">
        <v>-0.1968589</v>
      </c>
      <c r="S6247">
        <v>2.9318240000000002</v>
      </c>
      <c r="T6247">
        <v>-0.23254420000000001</v>
      </c>
      <c r="U6247">
        <v>-0.98907469999999997</v>
      </c>
      <c r="V6247">
        <v>1.370851E-3</v>
      </c>
      <c r="W6247">
        <v>0.16487009999999999</v>
      </c>
      <c r="X6247">
        <v>0.98631440000000004</v>
      </c>
      <c r="Y6247">
        <v>0.1248354</v>
      </c>
      <c r="Z6247">
        <v>1.0330850000000001E-2</v>
      </c>
      <c r="AA6247">
        <v>0.99212370000000005</v>
      </c>
      <c r="AB6247">
        <v>30</v>
      </c>
      <c r="AC6247">
        <v>0.59919999999999596</v>
      </c>
      <c r="AD6247">
        <v>-5.9176000000000097E-2</v>
      </c>
      <c r="AE6247">
        <v>-0.22031999999999999</v>
      </c>
      <c r="AF6247">
        <v>9.5804760602824293E-2</v>
      </c>
      <c r="AG6247">
        <v>-5.9176000000000097E-2</v>
      </c>
      <c r="AH6247">
        <v>0.62569052097858102</v>
      </c>
      <c r="AI6247">
        <v>95.340917710111597</v>
      </c>
      <c r="AJ6247">
        <v>81.294572705562899</v>
      </c>
      <c r="AK6247">
        <v>0.63574285617112003</v>
      </c>
      <c r="AL6247">
        <v>80.510312198378102</v>
      </c>
      <c r="AM6247">
        <v>89.920366238122696</v>
      </c>
      <c r="AN6247">
        <v>1.0000000623769101</v>
      </c>
    </row>
    <row r="6248" spans="1:40" x14ac:dyDescent="0.25">
      <c r="A6248" t="str">
        <f>"20190312172239298"</f>
        <v>20190312172239298</v>
      </c>
      <c r="B6248" t="str">
        <f>"1552382559286948"</f>
        <v>1552382559286948</v>
      </c>
      <c r="C6248" t="s">
        <v>40</v>
      </c>
      <c r="D6248">
        <v>3.4263789999999998</v>
      </c>
      <c r="E6248">
        <v>0.54605669999999995</v>
      </c>
      <c r="F6248" t="s">
        <v>41</v>
      </c>
      <c r="G6248">
        <v>-372.78519999999997</v>
      </c>
      <c r="H6248">
        <v>1.039863</v>
      </c>
      <c r="I6248">
        <v>23.989719999999998</v>
      </c>
      <c r="J6248">
        <v>-373.49720000000002</v>
      </c>
      <c r="K6248">
        <v>1.1071489999999999</v>
      </c>
      <c r="L6248">
        <v>24.245640000000002</v>
      </c>
      <c r="M6248">
        <v>0.97948619999999997</v>
      </c>
      <c r="N6248">
        <v>0</v>
      </c>
      <c r="O6248">
        <v>-0.2010448</v>
      </c>
      <c r="P6248">
        <v>0.96875610000000001</v>
      </c>
      <c r="Q6248">
        <v>0.1519366</v>
      </c>
      <c r="R6248">
        <v>-0.19602749999999999</v>
      </c>
      <c r="S6248">
        <v>2.9331670000000001</v>
      </c>
      <c r="T6248">
        <v>-0.23115540000000001</v>
      </c>
      <c r="U6248">
        <v>-0.98403929999999995</v>
      </c>
      <c r="V6248">
        <v>-1.4360079999999999E-3</v>
      </c>
      <c r="W6248">
        <v>0.16548860000000001</v>
      </c>
      <c r="X6248">
        <v>0.98621060000000005</v>
      </c>
      <c r="Y6248">
        <v>0.1211604</v>
      </c>
      <c r="Z6248">
        <v>1.0556930000000001E-2</v>
      </c>
      <c r="AA6248">
        <v>0.99257680000000004</v>
      </c>
      <c r="AB6248">
        <v>30</v>
      </c>
      <c r="AC6248">
        <v>0.71200000000004504</v>
      </c>
      <c r="AD6248">
        <v>-6.7285999999999901E-2</v>
      </c>
      <c r="AE6248">
        <v>-0.25591999999999598</v>
      </c>
      <c r="AF6248">
        <v>0.10669247926018</v>
      </c>
      <c r="AG6248">
        <v>-6.7285999999999901E-2</v>
      </c>
      <c r="AH6248">
        <v>0.74303919774837401</v>
      </c>
      <c r="AI6248">
        <v>95.122063252212499</v>
      </c>
      <c r="AJ6248">
        <v>81.828791268171599</v>
      </c>
      <c r="AK6248">
        <v>0.75366964932736402</v>
      </c>
      <c r="AL6248">
        <v>80.474380050027506</v>
      </c>
      <c r="AM6248">
        <v>90.083427555533603</v>
      </c>
      <c r="AN6248">
        <v>0.999999943200646</v>
      </c>
    </row>
    <row r="6249" spans="1:40" x14ac:dyDescent="0.25">
      <c r="A6249" t="str">
        <f>"20190312172239309"</f>
        <v>20190312172239309</v>
      </c>
      <c r="B6249" t="str">
        <f>"1552382559306467"</f>
        <v>1552382559306467</v>
      </c>
      <c r="C6249" t="s">
        <v>40</v>
      </c>
      <c r="D6249">
        <v>3.473611</v>
      </c>
      <c r="E6249">
        <v>0.51811790000000002</v>
      </c>
      <c r="F6249" t="s">
        <v>41</v>
      </c>
      <c r="G6249">
        <v>-372.77390000000003</v>
      </c>
      <c r="H6249">
        <v>1.050535</v>
      </c>
      <c r="I6249">
        <v>24.00422</v>
      </c>
      <c r="J6249">
        <v>-373.35719999999998</v>
      </c>
      <c r="K6249">
        <v>1.107081</v>
      </c>
      <c r="L6249">
        <v>24.214780000000001</v>
      </c>
      <c r="M6249">
        <v>0.97906599999999999</v>
      </c>
      <c r="N6249">
        <v>0</v>
      </c>
      <c r="O6249">
        <v>-0.2030815</v>
      </c>
      <c r="P6249">
        <v>0.96883909999999995</v>
      </c>
      <c r="Q6249">
        <v>0.15241579999999999</v>
      </c>
      <c r="R6249">
        <v>-0.19524459999999999</v>
      </c>
      <c r="S6249">
        <v>2.9346920000000001</v>
      </c>
      <c r="T6249">
        <v>-0.2294397</v>
      </c>
      <c r="U6249">
        <v>-0.97882080000000005</v>
      </c>
      <c r="V6249">
        <v>-4.2426269999999997E-3</v>
      </c>
      <c r="W6249">
        <v>0.16599359999999999</v>
      </c>
      <c r="X6249">
        <v>0.98611769999999999</v>
      </c>
      <c r="Y6249">
        <v>0.1173641</v>
      </c>
      <c r="Z6249">
        <v>1.0771360000000001E-2</v>
      </c>
      <c r="AA6249">
        <v>0.99303050000000004</v>
      </c>
      <c r="AB6249">
        <v>30</v>
      </c>
      <c r="AC6249">
        <v>0.58329999999995097</v>
      </c>
      <c r="AD6249">
        <v>-5.6545999999999902E-2</v>
      </c>
      <c r="AE6249">
        <v>-0.210559999999997</v>
      </c>
      <c r="AF6249">
        <v>8.6979756112458298E-2</v>
      </c>
      <c r="AG6249">
        <v>-5.6545999999999902E-2</v>
      </c>
      <c r="AH6249">
        <v>0.60884554989900597</v>
      </c>
      <c r="AI6249">
        <v>95.253043428292699</v>
      </c>
      <c r="AJ6249">
        <v>81.869729761103699</v>
      </c>
      <c r="AK6249">
        <v>0.61762110692657402</v>
      </c>
      <c r="AL6249">
        <v>80.445040400173895</v>
      </c>
      <c r="AM6249">
        <v>90.246505180175603</v>
      </c>
      <c r="AN6249">
        <v>0.99999999668905504</v>
      </c>
    </row>
    <row r="6250" spans="1:40" x14ac:dyDescent="0.25">
      <c r="A6250" t="str">
        <f>"20190312172239321"</f>
        <v>20190312172239321</v>
      </c>
      <c r="B6250" t="str">
        <f>"1552382559317205"</f>
        <v>1552382559317205</v>
      </c>
      <c r="C6250" t="s">
        <v>40</v>
      </c>
      <c r="D6250">
        <v>3.4104610000000002</v>
      </c>
      <c r="E6250">
        <v>0.50953599999999999</v>
      </c>
      <c r="F6250" t="s">
        <v>42</v>
      </c>
      <c r="G6250">
        <v>-356.56740000000002</v>
      </c>
      <c r="H6250" s="1">
        <v>-1.5425019999999999E-6</v>
      </c>
      <c r="I6250">
        <v>19.945509999999999</v>
      </c>
      <c r="J6250">
        <v>-373.21109999999999</v>
      </c>
      <c r="K6250">
        <v>1.1070120000000001</v>
      </c>
      <c r="L6250">
        <v>24.182500000000001</v>
      </c>
      <c r="M6250">
        <v>0.97861980000000004</v>
      </c>
      <c r="N6250">
        <v>0</v>
      </c>
      <c r="O6250">
        <v>-0.2052205</v>
      </c>
      <c r="P6250">
        <v>0.96904630000000003</v>
      </c>
      <c r="Q6250">
        <v>0.1531267</v>
      </c>
      <c r="R6250">
        <v>-0.19365389999999999</v>
      </c>
      <c r="S6250">
        <v>2.9749150000000002</v>
      </c>
      <c r="T6250">
        <v>-0.196159</v>
      </c>
      <c r="U6250">
        <v>-0.75643919999999998</v>
      </c>
      <c r="V6250">
        <v>-7.9656969999999903E-3</v>
      </c>
      <c r="W6250">
        <v>0.1667389</v>
      </c>
      <c r="X6250">
        <v>0.98596890000000004</v>
      </c>
      <c r="Y6250">
        <v>4.2597580000000003E-2</v>
      </c>
      <c r="Z6250">
        <v>1.177043E-2</v>
      </c>
      <c r="AA6250">
        <v>0.99902299999999999</v>
      </c>
      <c r="AB6250">
        <v>30</v>
      </c>
      <c r="AC6250">
        <v>16.6436999999999</v>
      </c>
      <c r="AD6250">
        <v>-1.107013542502</v>
      </c>
      <c r="AE6250">
        <v>-4.2369899999999898</v>
      </c>
      <c r="AF6250">
        <v>0.72781867202551898</v>
      </c>
      <c r="AG6250">
        <v>-1.107013542502</v>
      </c>
      <c r="AH6250">
        <v>17.087988358457402</v>
      </c>
      <c r="AI6250">
        <v>93.703272712578197</v>
      </c>
      <c r="AJ6250">
        <v>87.561108543160799</v>
      </c>
      <c r="AK6250">
        <v>17.1392690958922</v>
      </c>
      <c r="AL6250">
        <v>80.401734301303094</v>
      </c>
      <c r="AM6250">
        <v>90.462885684767997</v>
      </c>
      <c r="AN6250">
        <v>0.99999999243455695</v>
      </c>
    </row>
    <row r="6251" spans="1:40" x14ac:dyDescent="0.25">
      <c r="A6251" t="str">
        <f>"20190312172239333"</f>
        <v>20190312172239333</v>
      </c>
      <c r="B6251" t="str">
        <f>"1552382559326964"</f>
        <v>1552382559326964</v>
      </c>
      <c r="C6251" t="s">
        <v>40</v>
      </c>
      <c r="D6251">
        <v>3.4135379999999902</v>
      </c>
      <c r="E6251">
        <v>0.50361940000000005</v>
      </c>
      <c r="F6251" t="s">
        <v>42</v>
      </c>
      <c r="G6251">
        <v>-354.18369999999999</v>
      </c>
      <c r="H6251" s="1">
        <v>-2.5341940000000001E-6</v>
      </c>
      <c r="I6251">
        <v>19.829409999999999</v>
      </c>
      <c r="J6251">
        <v>-373.04</v>
      </c>
      <c r="K6251">
        <v>1.10694</v>
      </c>
      <c r="L6251">
        <v>24.14386</v>
      </c>
      <c r="M6251">
        <v>0.97807310000000003</v>
      </c>
      <c r="N6251">
        <v>0</v>
      </c>
      <c r="O6251">
        <v>-0.20781060000000001</v>
      </c>
      <c r="P6251">
        <v>0.96928789999999998</v>
      </c>
      <c r="Q6251">
        <v>0.1536072</v>
      </c>
      <c r="R6251">
        <v>-0.19205729999999999</v>
      </c>
      <c r="S6251">
        <v>2.9867249999999999</v>
      </c>
      <c r="T6251">
        <v>-0.173767899999999</v>
      </c>
      <c r="U6251">
        <v>-0.68328859999999902</v>
      </c>
      <c r="V6251">
        <v>-1.215635E-2</v>
      </c>
      <c r="W6251">
        <v>0.1672602</v>
      </c>
      <c r="X6251">
        <v>0.98583779999999999</v>
      </c>
      <c r="Y6251">
        <v>1.5849309999999998E-2</v>
      </c>
      <c r="Z6251">
        <v>1.133787E-2</v>
      </c>
      <c r="AA6251">
        <v>0.99981010000000003</v>
      </c>
      <c r="AB6251">
        <v>30</v>
      </c>
      <c r="AC6251">
        <v>18.856300000000001</v>
      </c>
      <c r="AD6251">
        <v>-1.106942534194</v>
      </c>
      <c r="AE6251">
        <v>-4.3144499999999999</v>
      </c>
      <c r="AF6251">
        <v>0.30035318461576499</v>
      </c>
      <c r="AG6251">
        <v>-1.106942534194</v>
      </c>
      <c r="AH6251">
        <v>19.278113454598898</v>
      </c>
      <c r="AI6251">
        <v>93.285897234856904</v>
      </c>
      <c r="AJ6251">
        <v>89.107403446453503</v>
      </c>
      <c r="AK6251">
        <v>19.312203193263699</v>
      </c>
      <c r="AL6251">
        <v>80.3714402765914</v>
      </c>
      <c r="AM6251">
        <v>90.706477526470906</v>
      </c>
      <c r="AN6251">
        <v>0.99999995962910004</v>
      </c>
    </row>
    <row r="6252" spans="1:40" x14ac:dyDescent="0.25">
      <c r="A6252" t="str">
        <f>"20190312172239346"</f>
        <v>20190312172239346</v>
      </c>
      <c r="B6252" t="str">
        <f>"1552382559336724"</f>
        <v>1552382559336724</v>
      </c>
      <c r="C6252" t="s">
        <v>40</v>
      </c>
      <c r="D6252">
        <v>3.4195540000000002</v>
      </c>
      <c r="E6252">
        <v>0.50029609999999902</v>
      </c>
      <c r="F6252" t="s">
        <v>42</v>
      </c>
      <c r="G6252">
        <v>-352.23439999999999</v>
      </c>
      <c r="H6252" s="1">
        <v>-3.3517890000000002E-6</v>
      </c>
      <c r="I6252">
        <v>19.759309999999999</v>
      </c>
      <c r="J6252">
        <v>-372.87880000000001</v>
      </c>
      <c r="K6252">
        <v>1.1068690000000001</v>
      </c>
      <c r="L6252">
        <v>24.107119999999998</v>
      </c>
      <c r="M6252">
        <v>0.97754430000000003</v>
      </c>
      <c r="N6252">
        <v>0</v>
      </c>
      <c r="O6252">
        <v>-0.21028230000000001</v>
      </c>
      <c r="P6252">
        <v>0.96953259999999997</v>
      </c>
      <c r="Q6252">
        <v>0.15394730000000001</v>
      </c>
      <c r="R6252">
        <v>-0.19054299999999999</v>
      </c>
      <c r="S6252">
        <v>2.995209</v>
      </c>
      <c r="T6252">
        <v>-0.15935750000000001</v>
      </c>
      <c r="U6252">
        <v>-0.63119510000000001</v>
      </c>
      <c r="V6252">
        <v>-1.6152779999999999E-2</v>
      </c>
      <c r="W6252">
        <v>0.1676406</v>
      </c>
      <c r="X6252">
        <v>0.98571589999999998</v>
      </c>
      <c r="Y6252">
        <v>-3.904313E-3</v>
      </c>
      <c r="Z6252">
        <v>1.1040029999999999E-2</v>
      </c>
      <c r="AA6252">
        <v>0.99993149999999997</v>
      </c>
      <c r="AB6252">
        <v>30</v>
      </c>
      <c r="AC6252">
        <v>20.644400000000001</v>
      </c>
      <c r="AD6252">
        <v>-1.106872351789</v>
      </c>
      <c r="AE6252">
        <v>-4.34781</v>
      </c>
      <c r="AF6252">
        <v>-9.0733852814005297E-2</v>
      </c>
      <c r="AG6252">
        <v>-1.106872351789</v>
      </c>
      <c r="AH6252">
        <v>21.039159153405901</v>
      </c>
      <c r="AI6252">
        <v>93.011532526121002</v>
      </c>
      <c r="AJ6252">
        <v>90.247093268234906</v>
      </c>
      <c r="AK6252">
        <v>21.068450747920298</v>
      </c>
      <c r="AL6252">
        <v>80.349333785749593</v>
      </c>
      <c r="AM6252">
        <v>90.938813399301395</v>
      </c>
      <c r="AN6252">
        <v>1.00000005929144</v>
      </c>
    </row>
    <row r="6253" spans="1:40" x14ac:dyDescent="0.25">
      <c r="A6253" t="str">
        <f>"20190312172239358"</f>
        <v>20190312172239358</v>
      </c>
      <c r="B6253" t="str">
        <f>"1552382559346484"</f>
        <v>1552382559346484</v>
      </c>
      <c r="C6253" t="s">
        <v>40</v>
      </c>
      <c r="D6253">
        <v>3.4144239999999999</v>
      </c>
      <c r="E6253">
        <v>0.49806329999999999</v>
      </c>
      <c r="F6253" t="s">
        <v>42</v>
      </c>
      <c r="G6253">
        <v>-350.89710000000002</v>
      </c>
      <c r="H6253" s="1">
        <v>-3.9126109999999997E-6</v>
      </c>
      <c r="I6253">
        <v>19.710920000000002</v>
      </c>
      <c r="J6253">
        <v>-372.71460000000002</v>
      </c>
      <c r="K6253">
        <v>1.1068020000000001</v>
      </c>
      <c r="L6253">
        <v>24.069269999999999</v>
      </c>
      <c r="M6253">
        <v>0.97699130000000001</v>
      </c>
      <c r="N6253">
        <v>0</v>
      </c>
      <c r="O6253">
        <v>-0.21283759999999999</v>
      </c>
      <c r="P6253">
        <v>0.96978030000000004</v>
      </c>
      <c r="Q6253">
        <v>0.15447089999999999</v>
      </c>
      <c r="R6253">
        <v>-0.18885279999999999</v>
      </c>
      <c r="S6253">
        <v>3.0003359999999999</v>
      </c>
      <c r="T6253">
        <v>-0.15107999999999999</v>
      </c>
      <c r="U6253">
        <v>-0.60003660000000003</v>
      </c>
      <c r="V6253">
        <v>-2.0407169999999999E-2</v>
      </c>
      <c r="W6253">
        <v>0.168207</v>
      </c>
      <c r="X6253">
        <v>0.98554039999999998</v>
      </c>
      <c r="Y6253">
        <v>-1.683811E-2</v>
      </c>
      <c r="Z6253">
        <v>1.0909459999999999E-2</v>
      </c>
      <c r="AA6253">
        <v>0.99979870000000004</v>
      </c>
      <c r="AB6253">
        <v>30</v>
      </c>
      <c r="AC6253">
        <v>21.8174999999999</v>
      </c>
      <c r="AD6253">
        <v>-1.1068059126109999</v>
      </c>
      <c r="AE6253">
        <v>-4.35834999999999</v>
      </c>
      <c r="AF6253">
        <v>-0.38459877641861601</v>
      </c>
      <c r="AG6253">
        <v>-1.1068059126109999</v>
      </c>
      <c r="AH6253">
        <v>22.1903048917756</v>
      </c>
      <c r="AI6253">
        <v>92.854999014842306</v>
      </c>
      <c r="AJ6253">
        <v>90.992941770163497</v>
      </c>
      <c r="AK6253">
        <v>22.221218840040599</v>
      </c>
      <c r="AL6253">
        <v>80.316413061753806</v>
      </c>
      <c r="AM6253">
        <v>91.186230058544695</v>
      </c>
      <c r="AN6253">
        <v>0.99999996373428301</v>
      </c>
    </row>
    <row r="6254" spans="1:40" x14ac:dyDescent="0.25">
      <c r="A6254" t="str">
        <f>"20190312172239376"</f>
        <v>20190312172239376</v>
      </c>
      <c r="B6254" t="str">
        <f>"1552382559366980"</f>
        <v>1552382559366980</v>
      </c>
      <c r="C6254" t="s">
        <v>40</v>
      </c>
      <c r="D6254">
        <v>3.36063</v>
      </c>
      <c r="E6254">
        <v>0.49542910000000001</v>
      </c>
      <c r="F6254" t="s">
        <v>42</v>
      </c>
      <c r="G6254">
        <v>-349.54500000000002</v>
      </c>
      <c r="H6254" s="1">
        <v>-1.786044E-7</v>
      </c>
      <c r="I6254">
        <v>19.620360000000002</v>
      </c>
      <c r="J6254">
        <v>-372.47340000000003</v>
      </c>
      <c r="K6254">
        <v>1.106714</v>
      </c>
      <c r="L6254">
        <v>24.012699999999999</v>
      </c>
      <c r="M6254">
        <v>0.97614749999999995</v>
      </c>
      <c r="N6254">
        <v>0</v>
      </c>
      <c r="O6254">
        <v>-0.21667359999999999</v>
      </c>
      <c r="P6254">
        <v>0.97038049999999998</v>
      </c>
      <c r="Q6254">
        <v>0.156088</v>
      </c>
      <c r="R6254">
        <v>-0.18438640000000001</v>
      </c>
      <c r="S6254">
        <v>3.0040589999999998</v>
      </c>
      <c r="T6254">
        <v>-0.14350250000000001</v>
      </c>
      <c r="U6254">
        <v>-0.57681269999999996</v>
      </c>
      <c r="V6254">
        <v>-2.872429E-2</v>
      </c>
      <c r="W6254">
        <v>0.169905</v>
      </c>
      <c r="X6254">
        <v>0.98504170000000002</v>
      </c>
      <c r="Y6254">
        <v>-2.8456539999999999E-2</v>
      </c>
      <c r="Z6254">
        <v>1.081123E-2</v>
      </c>
      <c r="AA6254">
        <v>0.9995366</v>
      </c>
      <c r="AB6254">
        <v>30</v>
      </c>
      <c r="AC6254">
        <v>22.9284</v>
      </c>
      <c r="AD6254">
        <v>-1.1067141786043999</v>
      </c>
      <c r="AE6254">
        <v>-4.3923399999999901</v>
      </c>
      <c r="AF6254">
        <v>-0.67894560491926004</v>
      </c>
      <c r="AG6254">
        <v>-1.1067141786043999</v>
      </c>
      <c r="AH6254">
        <v>23.2830799221293</v>
      </c>
      <c r="AI6254">
        <v>92.720236264985203</v>
      </c>
      <c r="AJ6254">
        <v>91.670298656502794</v>
      </c>
      <c r="AK6254">
        <v>23.319253720216299</v>
      </c>
      <c r="AL6254">
        <v>80.217704122488897</v>
      </c>
      <c r="AM6254">
        <v>91.670299172939806</v>
      </c>
      <c r="AN6254">
        <v>0.99999997229994597</v>
      </c>
    </row>
    <row r="6255" spans="1:40" x14ac:dyDescent="0.25">
      <c r="A6255" t="str">
        <f>"20190312172239388"</f>
        <v>20190312172239388</v>
      </c>
      <c r="B6255" t="str">
        <f>"1552382559376740"</f>
        <v>1552382559376740</v>
      </c>
      <c r="C6255" t="s">
        <v>40</v>
      </c>
      <c r="D6255">
        <v>3.377335</v>
      </c>
      <c r="E6255">
        <v>0.4946488</v>
      </c>
      <c r="F6255" t="s">
        <v>42</v>
      </c>
      <c r="G6255">
        <v>-347.33629999999999</v>
      </c>
      <c r="H6255" s="1">
        <v>-1.1471040000000001E-6</v>
      </c>
      <c r="I6255">
        <v>19.49192</v>
      </c>
      <c r="J6255">
        <v>-372.32929999999999</v>
      </c>
      <c r="K6255">
        <v>1.1066659999999999</v>
      </c>
      <c r="L6255">
        <v>23.978269999999998</v>
      </c>
      <c r="M6255">
        <v>0.9756264</v>
      </c>
      <c r="N6255">
        <v>0</v>
      </c>
      <c r="O6255">
        <v>-0.2190076</v>
      </c>
      <c r="P6255">
        <v>0.97057769999999999</v>
      </c>
      <c r="Q6255">
        <v>0.15681030000000001</v>
      </c>
      <c r="R6255">
        <v>-0.18272820000000001</v>
      </c>
      <c r="S6255">
        <v>3.0100099999999999</v>
      </c>
      <c r="T6255">
        <v>-0.13252159999999999</v>
      </c>
      <c r="U6255">
        <v>-0.54132080000000005</v>
      </c>
      <c r="V6255">
        <v>-3.2719190000000002E-2</v>
      </c>
      <c r="W6255">
        <v>0.1706676</v>
      </c>
      <c r="X6255">
        <v>0.98478529999999997</v>
      </c>
      <c r="Y6255">
        <v>-4.2626530000000003E-2</v>
      </c>
      <c r="Z6255">
        <v>1.038734E-2</v>
      </c>
      <c r="AA6255">
        <v>0.99903710000000001</v>
      </c>
      <c r="AB6255">
        <v>30</v>
      </c>
      <c r="AC6255">
        <v>24.992999999999899</v>
      </c>
      <c r="AD6255">
        <v>-1.1066671471039999</v>
      </c>
      <c r="AE6255">
        <v>-4.4863499999999998</v>
      </c>
      <c r="AF6255">
        <v>-1.09467971340494</v>
      </c>
      <c r="AG6255">
        <v>-1.1066671471039999</v>
      </c>
      <c r="AH6255">
        <v>25.320675315766799</v>
      </c>
      <c r="AI6255">
        <v>92.500248030343997</v>
      </c>
      <c r="AJ6255">
        <v>92.475506450974294</v>
      </c>
      <c r="AK6255">
        <v>25.368477177313999</v>
      </c>
      <c r="AL6255">
        <v>80.173363319667899</v>
      </c>
      <c r="AM6255">
        <v>91.902934729334604</v>
      </c>
      <c r="AN6255">
        <v>1.0000000310900501</v>
      </c>
    </row>
    <row r="6256" spans="1:40" x14ac:dyDescent="0.25">
      <c r="A6256" t="str">
        <f>"20190312172239398"</f>
        <v>20190312172239398</v>
      </c>
      <c r="B6256" t="str">
        <f>"1552382559386500"</f>
        <v>1552382559386500</v>
      </c>
      <c r="C6256" t="s">
        <v>40</v>
      </c>
      <c r="D6256">
        <v>3.3907039999999999</v>
      </c>
      <c r="E6256">
        <v>0.4940428</v>
      </c>
      <c r="F6256" t="s">
        <v>42</v>
      </c>
      <c r="G6256">
        <v>-346.52140000000003</v>
      </c>
      <c r="H6256" s="1">
        <v>-1.5058449999999901E-6</v>
      </c>
      <c r="I6256">
        <v>19.440259999999999</v>
      </c>
      <c r="J6256">
        <v>-372.18630000000002</v>
      </c>
      <c r="K6256">
        <v>1.1066210000000001</v>
      </c>
      <c r="L6256">
        <v>23.943940000000001</v>
      </c>
      <c r="M6256">
        <v>0.97510039999999998</v>
      </c>
      <c r="N6256">
        <v>0</v>
      </c>
      <c r="O6256">
        <v>-0.2213378</v>
      </c>
      <c r="P6256">
        <v>0.97076640000000003</v>
      </c>
      <c r="Q6256">
        <v>0.15724969999999999</v>
      </c>
      <c r="R6256">
        <v>-0.18134349999999999</v>
      </c>
      <c r="S6256">
        <v>3.0121150000000001</v>
      </c>
      <c r="T6256">
        <v>-0.129162</v>
      </c>
      <c r="U6256">
        <v>-0.52963260000000001</v>
      </c>
      <c r="V6256">
        <v>-3.6445310000000002E-2</v>
      </c>
      <c r="W6256">
        <v>0.17114679999999999</v>
      </c>
      <c r="X6256">
        <v>0.98457119999999998</v>
      </c>
      <c r="Y6256">
        <v>-4.889669E-2</v>
      </c>
      <c r="Z6256">
        <v>1.0351330000000001E-2</v>
      </c>
      <c r="AA6256">
        <v>0.99875020000000003</v>
      </c>
      <c r="AB6256">
        <v>30</v>
      </c>
      <c r="AC6256">
        <v>25.6648999999999</v>
      </c>
      <c r="AD6256">
        <v>-1.1066225058450001</v>
      </c>
      <c r="AE6256">
        <v>-4.5036799999999904</v>
      </c>
      <c r="AF6256">
        <v>-1.2868729847240099</v>
      </c>
      <c r="AG6256">
        <v>-1.1066225058450001</v>
      </c>
      <c r="AH6256">
        <v>25.978290303523099</v>
      </c>
      <c r="AI6256">
        <v>92.436225744760705</v>
      </c>
      <c r="AJ6256">
        <v>92.835912943270003</v>
      </c>
      <c r="AK6256">
        <v>26.033674779857201</v>
      </c>
      <c r="AL6256">
        <v>80.145496562288798</v>
      </c>
      <c r="AM6256">
        <v>92.119917264322098</v>
      </c>
      <c r="AN6256">
        <v>0.99999996782033695</v>
      </c>
    </row>
    <row r="6257" spans="1:40" x14ac:dyDescent="0.25">
      <c r="A6257" t="str">
        <f>"20190312172239408"</f>
        <v>20190312172239408</v>
      </c>
      <c r="B6257" t="str">
        <f>"1552382559397236"</f>
        <v>1552382559397236</v>
      </c>
      <c r="C6257" t="s">
        <v>40</v>
      </c>
      <c r="D6257">
        <v>3.387178</v>
      </c>
      <c r="E6257">
        <v>0.49361759999999899</v>
      </c>
      <c r="F6257" t="s">
        <v>42</v>
      </c>
      <c r="G6257">
        <v>-345.9348</v>
      </c>
      <c r="H6257" s="1">
        <v>-1.763125E-6</v>
      </c>
      <c r="I6257">
        <v>19.408519999999999</v>
      </c>
      <c r="J6257">
        <v>-372.0523</v>
      </c>
      <c r="K6257">
        <v>1.106582</v>
      </c>
      <c r="L6257">
        <v>23.911159999999999</v>
      </c>
      <c r="M6257">
        <v>0.97459390000000001</v>
      </c>
      <c r="N6257">
        <v>0</v>
      </c>
      <c r="O6257">
        <v>-0.22355729999999999</v>
      </c>
      <c r="P6257">
        <v>0.97100089999999994</v>
      </c>
      <c r="Q6257">
        <v>0.15769810000000001</v>
      </c>
      <c r="R6257">
        <v>-0.179691299999999</v>
      </c>
      <c r="S6257">
        <v>3.0137019999999999</v>
      </c>
      <c r="T6257">
        <v>-0.12704109999999999</v>
      </c>
      <c r="U6257">
        <v>-0.52066040000000002</v>
      </c>
      <c r="V6257">
        <v>-4.0333519999999998E-2</v>
      </c>
      <c r="W6257">
        <v>0.17163539999999999</v>
      </c>
      <c r="X6257">
        <v>0.9843345</v>
      </c>
      <c r="Y6257">
        <v>-5.4146989999999999E-2</v>
      </c>
      <c r="Z6257">
        <v>1.037954E-2</v>
      </c>
      <c r="AA6257">
        <v>0.99847900000000001</v>
      </c>
      <c r="AB6257">
        <v>30</v>
      </c>
      <c r="AC6257">
        <v>26.1175</v>
      </c>
      <c r="AD6257">
        <v>-1.106583763125</v>
      </c>
      <c r="AE6257">
        <v>-4.5026399999999898</v>
      </c>
      <c r="AF6257">
        <v>-1.4481247048103301</v>
      </c>
      <c r="AG6257">
        <v>-1.106583763125</v>
      </c>
      <c r="AH6257">
        <v>26.416999116295401</v>
      </c>
      <c r="AI6257">
        <v>92.395073410040098</v>
      </c>
      <c r="AJ6257">
        <v>93.137694525528701</v>
      </c>
      <c r="AK6257">
        <v>26.479792957949002</v>
      </c>
      <c r="AL6257">
        <v>80.117081264134796</v>
      </c>
      <c r="AM6257">
        <v>92.346406049359501</v>
      </c>
      <c r="AN6257">
        <v>0.99999995562949895</v>
      </c>
    </row>
    <row r="6258" spans="1:40" x14ac:dyDescent="0.25">
      <c r="A6258" t="str">
        <f>"20190312172239420"</f>
        <v>20190312172239420</v>
      </c>
      <c r="B6258" t="str">
        <f>"1552382559416756"</f>
        <v>1552382559416756</v>
      </c>
      <c r="C6258" t="s">
        <v>40</v>
      </c>
      <c r="D6258">
        <v>3.3727309999999999</v>
      </c>
      <c r="E6258">
        <v>0.49319390000000002</v>
      </c>
      <c r="F6258" t="s">
        <v>42</v>
      </c>
      <c r="G6258">
        <v>-345.56380000000001</v>
      </c>
      <c r="H6258" s="1">
        <v>-1.9227229999999998E-6</v>
      </c>
      <c r="I6258">
        <v>19.40615</v>
      </c>
      <c r="J6258">
        <v>-371.899</v>
      </c>
      <c r="K6258">
        <v>1.1065400000000001</v>
      </c>
      <c r="L6258">
        <v>23.873539999999998</v>
      </c>
      <c r="M6258">
        <v>0.97400620000000004</v>
      </c>
      <c r="N6258">
        <v>0</v>
      </c>
      <c r="O6258">
        <v>-0.22610340000000001</v>
      </c>
      <c r="P6258">
        <v>0.97113389999999999</v>
      </c>
      <c r="Q6258">
        <v>0.15820879999999901</v>
      </c>
      <c r="R6258">
        <v>-0.17851879999999901</v>
      </c>
      <c r="S6258">
        <v>3.0151370000000002</v>
      </c>
      <c r="T6258">
        <v>-0.12596009999999999</v>
      </c>
      <c r="U6258">
        <v>-0.51278690000000005</v>
      </c>
      <c r="V6258">
        <v>-4.4060389999999998E-2</v>
      </c>
      <c r="W6258">
        <v>0.1721859</v>
      </c>
      <c r="X6258">
        <v>0.98407860000000003</v>
      </c>
      <c r="Y6258">
        <v>-5.936603E-2</v>
      </c>
      <c r="Z6258">
        <v>1.050008E-2</v>
      </c>
      <c r="AA6258">
        <v>0.99818099999999998</v>
      </c>
      <c r="AB6258">
        <v>30</v>
      </c>
      <c r="AC6258">
        <v>26.335199999999901</v>
      </c>
      <c r="AD6258">
        <v>-1.10654192272299</v>
      </c>
      <c r="AE6258">
        <v>-4.4673899999999902</v>
      </c>
      <c r="AF6258">
        <v>-1.6006175538655201</v>
      </c>
      <c r="AG6258">
        <v>-1.10654192272299</v>
      </c>
      <c r="AH6258">
        <v>26.617583947381899</v>
      </c>
      <c r="AI6258">
        <v>92.376232706362401</v>
      </c>
      <c r="AJ6258">
        <v>93.441271302951407</v>
      </c>
      <c r="AK6258">
        <v>26.688615302716801</v>
      </c>
      <c r="AL6258">
        <v>80.085063679039905</v>
      </c>
      <c r="AM6258">
        <v>92.563605718663794</v>
      </c>
      <c r="AN6258">
        <v>0.999999996551861</v>
      </c>
    </row>
    <row r="6259" spans="1:40" x14ac:dyDescent="0.25">
      <c r="A6259" t="str">
        <f>"20190312172239432"</f>
        <v>20190312172239432</v>
      </c>
      <c r="B6259" t="str">
        <f>"1552382559426515"</f>
        <v>1552382559426515</v>
      </c>
      <c r="C6259" t="s">
        <v>40</v>
      </c>
      <c r="D6259">
        <v>3.382927</v>
      </c>
      <c r="E6259">
        <v>0.49308869999999999</v>
      </c>
      <c r="F6259" t="s">
        <v>42</v>
      </c>
      <c r="G6259">
        <v>-345.13569999999999</v>
      </c>
      <c r="H6259" s="1">
        <v>-2.1107559999999998E-6</v>
      </c>
      <c r="I6259">
        <v>19.381430000000002</v>
      </c>
      <c r="J6259">
        <v>-371.74130000000002</v>
      </c>
      <c r="K6259">
        <v>1.1065</v>
      </c>
      <c r="L6259">
        <v>23.83408</v>
      </c>
      <c r="M6259">
        <v>0.97338519999999995</v>
      </c>
      <c r="N6259">
        <v>0</v>
      </c>
      <c r="O6259">
        <v>-0.22876250000000001</v>
      </c>
      <c r="P6259">
        <v>0.97126230000000002</v>
      </c>
      <c r="Q6259">
        <v>0.15881579999999901</v>
      </c>
      <c r="R6259">
        <v>-0.1772774</v>
      </c>
      <c r="S6259">
        <v>3.0164490000000002</v>
      </c>
      <c r="T6259">
        <v>-0.1247162</v>
      </c>
      <c r="U6259">
        <v>-0.50628660000000003</v>
      </c>
      <c r="V6259">
        <v>-4.7968950000000003E-2</v>
      </c>
      <c r="W6259">
        <v>0.1728346</v>
      </c>
      <c r="X6259">
        <v>0.98378209999999999</v>
      </c>
      <c r="Y6259">
        <v>-6.4253050000000006E-2</v>
      </c>
      <c r="Z6259">
        <v>1.060062E-2</v>
      </c>
      <c r="AA6259">
        <v>0.99787740000000003</v>
      </c>
      <c r="AB6259">
        <v>30</v>
      </c>
      <c r="AC6259">
        <v>26.605599999999999</v>
      </c>
      <c r="AD6259">
        <v>-1.106502110756</v>
      </c>
      <c r="AE6259">
        <v>-4.4526500000000002</v>
      </c>
      <c r="AF6259">
        <v>-1.7494420612920301</v>
      </c>
      <c r="AG6259">
        <v>-1.106502110756</v>
      </c>
      <c r="AH6259">
        <v>26.873424942945899</v>
      </c>
      <c r="AI6259">
        <v>92.352823441597593</v>
      </c>
      <c r="AJ6259">
        <v>93.724661400410199</v>
      </c>
      <c r="AK6259">
        <v>26.953030675808499</v>
      </c>
      <c r="AL6259">
        <v>80.047330427887402</v>
      </c>
      <c r="AM6259">
        <v>92.791515877952804</v>
      </c>
      <c r="AN6259">
        <v>1.0000000197008301</v>
      </c>
    </row>
    <row r="6260" spans="1:40" x14ac:dyDescent="0.25">
      <c r="A6260" t="str">
        <f>"20190312172239443"</f>
        <v>20190312172239443</v>
      </c>
      <c r="B6260" t="str">
        <f>"1552382559436276"</f>
        <v>1552382559436276</v>
      </c>
      <c r="C6260" t="s">
        <v>40</v>
      </c>
      <c r="D6260">
        <v>3.3843760000000001</v>
      </c>
      <c r="E6260">
        <v>0.4930486</v>
      </c>
      <c r="F6260" t="s">
        <v>42</v>
      </c>
      <c r="G6260">
        <v>-344.6037</v>
      </c>
      <c r="H6260" s="1">
        <v>-2.3500259999999998E-6</v>
      </c>
      <c r="I6260">
        <v>19.319099999999999</v>
      </c>
      <c r="J6260">
        <v>-371.60820000000001</v>
      </c>
      <c r="K6260">
        <v>1.1064689999999999</v>
      </c>
      <c r="L6260">
        <v>23.80057</v>
      </c>
      <c r="M6260">
        <v>0.97285370000000004</v>
      </c>
      <c r="N6260">
        <v>0</v>
      </c>
      <c r="O6260">
        <v>-0.231012</v>
      </c>
      <c r="P6260">
        <v>0.9715085</v>
      </c>
      <c r="Q6260">
        <v>0.1595201</v>
      </c>
      <c r="R6260">
        <v>-0.175284299999999</v>
      </c>
      <c r="S6260">
        <v>3.0172729999999999</v>
      </c>
      <c r="T6260">
        <v>-0.1230255</v>
      </c>
      <c r="U6260">
        <v>-0.50198359999999997</v>
      </c>
      <c r="V6260">
        <v>-5.2223319999999997E-2</v>
      </c>
      <c r="W6260">
        <v>0.17358270000000001</v>
      </c>
      <c r="X6260">
        <v>0.98343369999999997</v>
      </c>
      <c r="Y6260">
        <v>-6.7990229999999999E-2</v>
      </c>
      <c r="Z6260">
        <v>1.0619780000000001E-2</v>
      </c>
      <c r="AA6260">
        <v>0.99762949999999995</v>
      </c>
      <c r="AB6260">
        <v>30</v>
      </c>
      <c r="AC6260">
        <v>27.0045</v>
      </c>
      <c r="AD6260">
        <v>-1.1064713500259999</v>
      </c>
      <c r="AE6260">
        <v>-4.4814699999999998</v>
      </c>
      <c r="AF6260">
        <v>-1.87566202787224</v>
      </c>
      <c r="AG6260">
        <v>-1.1064713500259999</v>
      </c>
      <c r="AH6260">
        <v>27.264737586270101</v>
      </c>
      <c r="AI6260">
        <v>92.318457254597604</v>
      </c>
      <c r="AJ6260">
        <v>93.935429828586393</v>
      </c>
      <c r="AK6260">
        <v>27.3515685572034</v>
      </c>
      <c r="AL6260">
        <v>80.003809805477204</v>
      </c>
      <c r="AM6260">
        <v>93.0397249951465</v>
      </c>
      <c r="AN6260">
        <v>1.0000000355934</v>
      </c>
    </row>
    <row r="6261" spans="1:40" x14ac:dyDescent="0.25">
      <c r="A6261" t="str">
        <f>"20190312172239453"</f>
        <v>20190312172239453</v>
      </c>
      <c r="B6261" t="str">
        <f>"1552382559447012"</f>
        <v>1552382559447012</v>
      </c>
      <c r="C6261" t="s">
        <v>40</v>
      </c>
      <c r="D6261">
        <v>3.381535</v>
      </c>
      <c r="E6261">
        <v>0.4930774</v>
      </c>
      <c r="F6261" t="s">
        <v>42</v>
      </c>
      <c r="G6261">
        <v>-344.08</v>
      </c>
      <c r="H6261" s="1">
        <v>-2.5823159999999998E-6</v>
      </c>
      <c r="I6261">
        <v>19.276039999999998</v>
      </c>
      <c r="J6261">
        <v>-371.45499999999998</v>
      </c>
      <c r="K6261">
        <v>1.106439</v>
      </c>
      <c r="L6261">
        <v>23.761469999999999</v>
      </c>
      <c r="M6261">
        <v>0.97222969999999997</v>
      </c>
      <c r="N6261">
        <v>0</v>
      </c>
      <c r="O6261">
        <v>-0.23362369999999999</v>
      </c>
      <c r="P6261">
        <v>0.97167409999999999</v>
      </c>
      <c r="Q6261">
        <v>0.159945899999999</v>
      </c>
      <c r="R6261">
        <v>-0.1739723</v>
      </c>
      <c r="S6261">
        <v>3.018402</v>
      </c>
      <c r="T6261">
        <v>-0.1213219</v>
      </c>
      <c r="U6261">
        <v>-0.49609379999999997</v>
      </c>
      <c r="V6261">
        <v>-5.6166630000000002E-2</v>
      </c>
      <c r="W6261">
        <v>0.17404990000000001</v>
      </c>
      <c r="X6261">
        <v>0.9831337</v>
      </c>
      <c r="Y6261">
        <v>-7.2625079999999995E-2</v>
      </c>
      <c r="Z6261">
        <v>1.0664689999999999E-2</v>
      </c>
      <c r="AA6261">
        <v>0.99730229999999997</v>
      </c>
      <c r="AB6261">
        <v>30</v>
      </c>
      <c r="AC6261">
        <v>27.375</v>
      </c>
      <c r="AD6261">
        <v>-1.1064415823160001</v>
      </c>
      <c r="AE6261">
        <v>-4.48543</v>
      </c>
      <c r="AF6261">
        <v>-2.03154122432883</v>
      </c>
      <c r="AG6261">
        <v>-1.1064415823160001</v>
      </c>
      <c r="AH6261">
        <v>27.6213676710735</v>
      </c>
      <c r="AI6261">
        <v>92.287723640580296</v>
      </c>
      <c r="AJ6261">
        <v>94.206508884862302</v>
      </c>
      <c r="AK6261">
        <v>27.718068560811499</v>
      </c>
      <c r="AL6261">
        <v>79.976626736310394</v>
      </c>
      <c r="AM6261">
        <v>93.269765377896704</v>
      </c>
      <c r="AN6261">
        <v>0.99999996504562705</v>
      </c>
    </row>
    <row r="6262" spans="1:40" x14ac:dyDescent="0.25">
      <c r="A6262" t="str">
        <f>"20190312172239465"</f>
        <v>20190312172239465</v>
      </c>
      <c r="B6262" t="str">
        <f>"1552382559456772"</f>
        <v>1552382559456772</v>
      </c>
      <c r="C6262" t="s">
        <v>40</v>
      </c>
      <c r="D6262">
        <v>3.3659880000000002</v>
      </c>
      <c r="E6262">
        <v>0.49310409999999999</v>
      </c>
      <c r="F6262" t="s">
        <v>42</v>
      </c>
      <c r="G6262">
        <v>-343.77960000000002</v>
      </c>
      <c r="H6262" s="1">
        <v>-2.717025E-6</v>
      </c>
      <c r="I6262">
        <v>19.243099999999998</v>
      </c>
      <c r="J6262">
        <v>-371.31169999999997</v>
      </c>
      <c r="K6262">
        <v>1.106414</v>
      </c>
      <c r="L6262">
        <v>23.724519999999998</v>
      </c>
      <c r="M6262">
        <v>0.97163679999999997</v>
      </c>
      <c r="N6262">
        <v>0</v>
      </c>
      <c r="O6262">
        <v>-0.23607739999999999</v>
      </c>
      <c r="P6262">
        <v>0.97199610000000003</v>
      </c>
      <c r="Q6262">
        <v>0.15997159999999999</v>
      </c>
      <c r="R6262">
        <v>-0.17214189999999999</v>
      </c>
      <c r="S6262">
        <v>3.0190429999999999</v>
      </c>
      <c r="T6262">
        <v>-0.1206989</v>
      </c>
      <c r="U6262">
        <v>-0.49288939999999998</v>
      </c>
      <c r="V6262">
        <v>-6.049744E-2</v>
      </c>
      <c r="W6262">
        <v>0.17412130000000001</v>
      </c>
      <c r="X6262">
        <v>0.98286410000000002</v>
      </c>
      <c r="Y6262">
        <v>-7.6205010000000004E-2</v>
      </c>
      <c r="Z6262">
        <v>1.07744E-2</v>
      </c>
      <c r="AA6262">
        <v>0.99703399999999998</v>
      </c>
      <c r="AB6262">
        <v>30</v>
      </c>
      <c r="AC6262">
        <v>27.5320999999999</v>
      </c>
      <c r="AD6262">
        <v>-1.1064167170250001</v>
      </c>
      <c r="AE6262">
        <v>-4.48142</v>
      </c>
      <c r="AF6262">
        <v>-2.1422268899990402</v>
      </c>
      <c r="AG6262">
        <v>-1.1064167170250001</v>
      </c>
      <c r="AH6262">
        <v>27.768110655171199</v>
      </c>
      <c r="AI6262">
        <v>92.274983017601301</v>
      </c>
      <c r="AJ6262">
        <v>94.411460451905199</v>
      </c>
      <c r="AK6262">
        <v>27.8725898215035</v>
      </c>
      <c r="AL6262">
        <v>79.972472769395694</v>
      </c>
      <c r="AM6262">
        <v>93.522237117804806</v>
      </c>
      <c r="AN6262">
        <v>1.00000000321452</v>
      </c>
    </row>
    <row r="6263" spans="1:40" x14ac:dyDescent="0.25">
      <c r="A6263" t="str">
        <f>"20190312172239476"</f>
        <v>20190312172239476</v>
      </c>
      <c r="B6263" t="str">
        <f>"1552382559466533"</f>
        <v>1552382559466533</v>
      </c>
      <c r="C6263" t="s">
        <v>40</v>
      </c>
      <c r="D6263">
        <v>3.372611</v>
      </c>
      <c r="E6263">
        <v>0.49318119999999999</v>
      </c>
      <c r="F6263" t="s">
        <v>42</v>
      </c>
      <c r="G6263">
        <v>-343.81040000000002</v>
      </c>
      <c r="H6263" s="1">
        <v>-2.69681E-6</v>
      </c>
      <c r="I6263">
        <v>19.28274</v>
      </c>
      <c r="J6263">
        <v>-371.16849999999999</v>
      </c>
      <c r="K6263">
        <v>1.106387</v>
      </c>
      <c r="L6263">
        <v>23.687259999999998</v>
      </c>
      <c r="M6263">
        <v>0.97103550000000005</v>
      </c>
      <c r="N6263">
        <v>0</v>
      </c>
      <c r="O6263">
        <v>-0.23853859999999999</v>
      </c>
      <c r="P6263">
        <v>0.97244260000000005</v>
      </c>
      <c r="Q6263">
        <v>0.15922709999999901</v>
      </c>
      <c r="R6263">
        <v>-0.1702996</v>
      </c>
      <c r="S6263">
        <v>3.0200499999999999</v>
      </c>
      <c r="T6263">
        <v>-0.1215005</v>
      </c>
      <c r="U6263">
        <v>-0.48776249999999999</v>
      </c>
      <c r="V6263">
        <v>-6.4886949999999999E-2</v>
      </c>
      <c r="W6263">
        <v>0.17342449999999901</v>
      </c>
      <c r="X6263">
        <v>0.98270729999999995</v>
      </c>
      <c r="Y6263">
        <v>-8.0424529999999994E-2</v>
      </c>
      <c r="Z6263">
        <v>1.102381E-2</v>
      </c>
      <c r="AA6263">
        <v>0.99669980000000002</v>
      </c>
      <c r="AB6263">
        <v>30</v>
      </c>
      <c r="AC6263">
        <v>27.358099999999901</v>
      </c>
      <c r="AD6263">
        <v>-1.10638969681</v>
      </c>
      <c r="AE6263">
        <v>-4.4045199999999998</v>
      </c>
      <c r="AF6263">
        <v>-2.2456506776696501</v>
      </c>
      <c r="AG6263">
        <v>-1.10638969681</v>
      </c>
      <c r="AH6263">
        <v>27.574991034408299</v>
      </c>
      <c r="AI6263">
        <v>92.290069302160205</v>
      </c>
      <c r="AJ6263">
        <v>94.655776249989003</v>
      </c>
      <c r="AK6263">
        <v>27.688394241541499</v>
      </c>
      <c r="AL6263">
        <v>80.013013285240902</v>
      </c>
      <c r="AM6263">
        <v>93.777685983100298</v>
      </c>
      <c r="AN6263">
        <v>1.00000000547692</v>
      </c>
    </row>
    <row r="6264" spans="1:40" x14ac:dyDescent="0.25">
      <c r="A6264" t="str">
        <f>"20190312172239488"</f>
        <v>20190312172239488</v>
      </c>
      <c r="B6264" t="str">
        <f>"1552382559477269"</f>
        <v>1552382559477269</v>
      </c>
      <c r="C6264" t="s">
        <v>40</v>
      </c>
      <c r="D6264">
        <v>3.3861409999999998</v>
      </c>
      <c r="E6264">
        <v>0.49334099999999997</v>
      </c>
      <c r="F6264" t="s">
        <v>42</v>
      </c>
      <c r="G6264">
        <v>-344.38780000000003</v>
      </c>
      <c r="H6264" s="1">
        <v>-2.4274100000000001E-6</v>
      </c>
      <c r="I6264">
        <v>19.404990000000002</v>
      </c>
      <c r="J6264">
        <v>-371.0265</v>
      </c>
      <c r="K6264">
        <v>1.1063639999999999</v>
      </c>
      <c r="L6264">
        <v>23.64978</v>
      </c>
      <c r="M6264">
        <v>0.97043040000000003</v>
      </c>
      <c r="N6264">
        <v>0</v>
      </c>
      <c r="O6264">
        <v>-0.24098820000000001</v>
      </c>
      <c r="P6264">
        <v>0.97299610000000003</v>
      </c>
      <c r="Q6264">
        <v>0.1580435</v>
      </c>
      <c r="R6264">
        <v>-0.16822960000000001</v>
      </c>
      <c r="S6264">
        <v>3.0208740000000001</v>
      </c>
      <c r="T6264">
        <v>-0.1248012</v>
      </c>
      <c r="U6264">
        <v>-0.48303220000000002</v>
      </c>
      <c r="V6264">
        <v>-6.9518220000000006E-2</v>
      </c>
      <c r="W6264">
        <v>0.1722902</v>
      </c>
      <c r="X6264">
        <v>0.98259010000000002</v>
      </c>
      <c r="Y6264">
        <v>-8.4484610000000002E-2</v>
      </c>
      <c r="Z6264">
        <v>1.1502449999999999E-2</v>
      </c>
      <c r="AA6264">
        <v>0.99635839999999998</v>
      </c>
      <c r="AB6264">
        <v>30</v>
      </c>
      <c r="AC6264">
        <v>26.638699999999901</v>
      </c>
      <c r="AD6264">
        <v>-1.10636642740999</v>
      </c>
      <c r="AE6264">
        <v>-4.2447900000000001</v>
      </c>
      <c r="AF6264">
        <v>-2.2966935848508698</v>
      </c>
      <c r="AG6264">
        <v>-1.10636642740999</v>
      </c>
      <c r="AH6264">
        <v>26.8313594247733</v>
      </c>
      <c r="AI6264">
        <v>92.352607943104303</v>
      </c>
      <c r="AJ6264">
        <v>94.892442010539398</v>
      </c>
      <c r="AK6264">
        <v>26.9521927990241</v>
      </c>
      <c r="AL6264">
        <v>80.078997103128003</v>
      </c>
      <c r="AM6264">
        <v>94.046931282223994</v>
      </c>
      <c r="AN6264">
        <v>1.0000000002730001</v>
      </c>
    </row>
    <row r="6265" spans="1:40" x14ac:dyDescent="0.25">
      <c r="A6265" t="str">
        <f>"20190312172239497"</f>
        <v>20190312172239497</v>
      </c>
      <c r="B6265" t="str">
        <f>"1552382559487028"</f>
        <v>1552382559487028</v>
      </c>
      <c r="C6265" t="s">
        <v>40</v>
      </c>
      <c r="D6265">
        <v>3.3731490000000002</v>
      </c>
      <c r="E6265">
        <v>0.49353429999999998</v>
      </c>
      <c r="F6265" t="s">
        <v>42</v>
      </c>
      <c r="G6265">
        <v>-345.17320000000001</v>
      </c>
      <c r="H6265" s="1">
        <v>-2.0629720000000001E-6</v>
      </c>
      <c r="I6265">
        <v>19.559889999999999</v>
      </c>
      <c r="J6265">
        <v>-370.8877</v>
      </c>
      <c r="K6265">
        <v>1.1063419999999999</v>
      </c>
      <c r="L6265">
        <v>23.612950000000001</v>
      </c>
      <c r="M6265">
        <v>0.96983129999999995</v>
      </c>
      <c r="N6265">
        <v>0</v>
      </c>
      <c r="O6265">
        <v>-0.24338760000000001</v>
      </c>
      <c r="P6265">
        <v>0.97369749999999999</v>
      </c>
      <c r="Q6265">
        <v>0.15627269999999999</v>
      </c>
      <c r="R6265">
        <v>-0.16580699999999901</v>
      </c>
      <c r="S6265">
        <v>3.0216059999999998</v>
      </c>
      <c r="T6265">
        <v>-0.12930659999999999</v>
      </c>
      <c r="U6265">
        <v>-0.4779968</v>
      </c>
      <c r="V6265">
        <v>-7.4485780000000001E-2</v>
      </c>
      <c r="W6265">
        <v>0.17057269999999999</v>
      </c>
      <c r="X6265">
        <v>0.98252569999999995</v>
      </c>
      <c r="Y6265">
        <v>-8.8580229999999996E-2</v>
      </c>
      <c r="Z6265">
        <v>1.210228E-2</v>
      </c>
      <c r="AA6265">
        <v>0.99599550000000003</v>
      </c>
      <c r="AB6265">
        <v>30</v>
      </c>
      <c r="AC6265">
        <v>25.714499999999902</v>
      </c>
      <c r="AD6265">
        <v>-1.1063440629719901</v>
      </c>
      <c r="AE6265">
        <v>-4.0530600000000003</v>
      </c>
      <c r="AF6265">
        <v>-2.32382953525472</v>
      </c>
      <c r="AG6265">
        <v>-1.1063440629719901</v>
      </c>
      <c r="AH6265">
        <v>25.880905006629</v>
      </c>
      <c r="AI6265">
        <v>92.437965299283107</v>
      </c>
      <c r="AJ6265">
        <v>95.130791727674193</v>
      </c>
      <c r="AK6265">
        <v>26.008564452056</v>
      </c>
      <c r="AL6265">
        <v>80.178880941635796</v>
      </c>
      <c r="AM6265">
        <v>94.335329897073706</v>
      </c>
      <c r="AN6265">
        <v>0.99999996428399296</v>
      </c>
    </row>
    <row r="6266" spans="1:40" x14ac:dyDescent="0.25">
      <c r="A6266" t="str">
        <f>"20190312172239509"</f>
        <v>20190312172239509</v>
      </c>
      <c r="B6266" t="str">
        <f>"1552382559506548"</f>
        <v>1552382559506548</v>
      </c>
      <c r="C6266" t="s">
        <v>40</v>
      </c>
      <c r="D6266">
        <v>3.4117099999999998</v>
      </c>
      <c r="E6266">
        <v>0.4939653</v>
      </c>
      <c r="F6266" t="s">
        <v>42</v>
      </c>
      <c r="G6266">
        <v>-346.3526</v>
      </c>
      <c r="H6266" s="1">
        <v>-1.590819E-6</v>
      </c>
      <c r="I6266">
        <v>19.780809999999999</v>
      </c>
      <c r="J6266">
        <v>-370.74759999999998</v>
      </c>
      <c r="K6266">
        <v>1.1063229999999999</v>
      </c>
      <c r="L6266">
        <v>23.57516</v>
      </c>
      <c r="M6266">
        <v>0.96921860000000004</v>
      </c>
      <c r="N6266">
        <v>0</v>
      </c>
      <c r="O6266">
        <v>-0.24581610000000001</v>
      </c>
      <c r="P6266">
        <v>0.97447410000000001</v>
      </c>
      <c r="Q6266">
        <v>0.15410070000000001</v>
      </c>
      <c r="R6266">
        <v>-0.163258399999999</v>
      </c>
      <c r="S6266">
        <v>3.0225219999999999</v>
      </c>
      <c r="T6266">
        <v>-0.1362921</v>
      </c>
      <c r="U6266">
        <v>-0.47207640000000001</v>
      </c>
      <c r="V6266">
        <v>-7.9630720000000002E-2</v>
      </c>
      <c r="W6266">
        <v>0.1684552</v>
      </c>
      <c r="X6266">
        <v>0.98248760000000002</v>
      </c>
      <c r="Y6266">
        <v>-9.2985979999999996E-2</v>
      </c>
      <c r="Z6266">
        <v>1.295809E-2</v>
      </c>
      <c r="AA6266">
        <v>0.99558310000000005</v>
      </c>
      <c r="AB6266">
        <v>30</v>
      </c>
      <c r="AC6266">
        <v>24.3949999999999</v>
      </c>
      <c r="AD6266">
        <v>-1.106324590819</v>
      </c>
      <c r="AE6266">
        <v>-3.7943500000000001</v>
      </c>
      <c r="AF6266">
        <v>-2.3147011073509201</v>
      </c>
      <c r="AG6266">
        <v>-1.106324590819</v>
      </c>
      <c r="AH6266">
        <v>24.529874056433101</v>
      </c>
      <c r="AI6266">
        <v>92.570947935319296</v>
      </c>
      <c r="AJ6266">
        <v>95.3906129768651</v>
      </c>
      <c r="AK6266">
        <v>24.663667945808299</v>
      </c>
      <c r="AL6266">
        <v>80.3019871837989</v>
      </c>
      <c r="AM6266">
        <v>94.633700033375504</v>
      </c>
      <c r="AN6266">
        <v>1.0000000450642501</v>
      </c>
    </row>
    <row r="6267" spans="1:40" x14ac:dyDescent="0.25">
      <c r="A6267" t="str">
        <f>"20190312172239521"</f>
        <v>20190312172239521</v>
      </c>
      <c r="B6267" t="str">
        <f>"1552382559516308"</f>
        <v>1552382559516308</v>
      </c>
      <c r="C6267" t="s">
        <v>40</v>
      </c>
      <c r="D6267">
        <v>3.3858579999999998</v>
      </c>
      <c r="E6267">
        <v>0.49420340000000001</v>
      </c>
      <c r="F6267" t="s">
        <v>42</v>
      </c>
      <c r="G6267">
        <v>-347.78469999999999</v>
      </c>
      <c r="H6267" s="1">
        <v>-1.040784E-6</v>
      </c>
      <c r="I6267">
        <v>20.022639999999999</v>
      </c>
      <c r="J6267">
        <v>-370.59589999999997</v>
      </c>
      <c r="K6267">
        <v>1.106303</v>
      </c>
      <c r="L6267">
        <v>23.534120000000001</v>
      </c>
      <c r="M6267">
        <v>0.96854810000000002</v>
      </c>
      <c r="N6267">
        <v>0</v>
      </c>
      <c r="O6267">
        <v>-0.24844579999999999</v>
      </c>
      <c r="P6267">
        <v>0.97539070000000005</v>
      </c>
      <c r="Q6267">
        <v>0.15131700000000001</v>
      </c>
      <c r="R6267">
        <v>-0.16036339999999999</v>
      </c>
      <c r="S6267">
        <v>3.023285</v>
      </c>
      <c r="T6267">
        <v>-0.14565790000000001</v>
      </c>
      <c r="U6267">
        <v>-0.46771239999999997</v>
      </c>
      <c r="V6267">
        <v>-8.5358110000000001E-2</v>
      </c>
      <c r="W6267">
        <v>0.16573170000000001</v>
      </c>
      <c r="X6267">
        <v>0.98246990000000001</v>
      </c>
      <c r="Y6267">
        <v>-9.7074859999999999E-2</v>
      </c>
      <c r="Z6267">
        <v>1.406569E-2</v>
      </c>
      <c r="AA6267">
        <v>0.99517770000000005</v>
      </c>
      <c r="AB6267">
        <v>30</v>
      </c>
      <c r="AC6267">
        <v>22.8111999999999</v>
      </c>
      <c r="AD6267">
        <v>-1.1063040407839999</v>
      </c>
      <c r="AE6267">
        <v>-3.5114800000000002</v>
      </c>
      <c r="AF6267">
        <v>-2.2613283320290098</v>
      </c>
      <c r="AG6267">
        <v>-1.1063040407839999</v>
      </c>
      <c r="AH6267">
        <v>22.9156785775229</v>
      </c>
      <c r="AI6267">
        <v>92.750592684092098</v>
      </c>
      <c r="AJ6267">
        <v>95.635724486055395</v>
      </c>
      <c r="AK6267">
        <v>23.053542875754101</v>
      </c>
      <c r="AL6267">
        <v>80.460257481730807</v>
      </c>
      <c r="AM6267">
        <v>94.9654543514919</v>
      </c>
      <c r="AN6267">
        <v>1.0000000538668301</v>
      </c>
    </row>
    <row r="6268" spans="1:40" x14ac:dyDescent="0.25">
      <c r="A6268" t="str">
        <f>"20190312172239533"</f>
        <v>20190312172239533</v>
      </c>
      <c r="B6268" t="str">
        <f>"1552382559527044"</f>
        <v>1552382559527044</v>
      </c>
      <c r="C6268" t="s">
        <v>40</v>
      </c>
      <c r="D6268">
        <v>3.3700139999999998</v>
      </c>
      <c r="E6268">
        <v>0.49448510000000001</v>
      </c>
      <c r="F6268" t="s">
        <v>42</v>
      </c>
      <c r="G6268">
        <v>-348.99529999999999</v>
      </c>
      <c r="H6268" s="1">
        <v>-5.7992139999999996E-7</v>
      </c>
      <c r="I6268">
        <v>20.242380000000001</v>
      </c>
      <c r="J6268">
        <v>-370.42950000000002</v>
      </c>
      <c r="K6268">
        <v>1.1062879999999999</v>
      </c>
      <c r="L6268">
        <v>23.48828</v>
      </c>
      <c r="M6268">
        <v>0.96780160000000004</v>
      </c>
      <c r="N6268">
        <v>0</v>
      </c>
      <c r="O6268">
        <v>-0.25133680000000003</v>
      </c>
      <c r="P6268">
        <v>0.97636040000000002</v>
      </c>
      <c r="Q6268">
        <v>0.14856140000000001</v>
      </c>
      <c r="R6268">
        <v>-0.15700320000000001</v>
      </c>
      <c r="S6268">
        <v>3.023987</v>
      </c>
      <c r="T6268">
        <v>-0.15487690000000001</v>
      </c>
      <c r="U6268">
        <v>-0.46081539999999999</v>
      </c>
      <c r="V6268">
        <v>-9.1819410000000004E-2</v>
      </c>
      <c r="W6268">
        <v>0.16304179999999999</v>
      </c>
      <c r="X6268">
        <v>0.98233729999999997</v>
      </c>
      <c r="Y6268">
        <v>-0.1022377</v>
      </c>
      <c r="Z6268">
        <v>1.522834E-2</v>
      </c>
      <c r="AA6268">
        <v>0.99464339999999996</v>
      </c>
      <c r="AB6268">
        <v>30</v>
      </c>
      <c r="AC6268">
        <v>21.434200000000001</v>
      </c>
      <c r="AD6268">
        <v>-1.1062885799214</v>
      </c>
      <c r="AE6268">
        <v>-3.2458999999999998</v>
      </c>
      <c r="AF6268">
        <v>-2.24019534007568</v>
      </c>
      <c r="AG6268">
        <v>-1.1062885799214</v>
      </c>
      <c r="AH6268">
        <v>21.505908513991599</v>
      </c>
      <c r="AI6268">
        <v>92.928945115974201</v>
      </c>
      <c r="AJ6268">
        <v>95.946853925699898</v>
      </c>
      <c r="AK6268">
        <v>21.650553124480101</v>
      </c>
      <c r="AL6268">
        <v>80.616502519053498</v>
      </c>
      <c r="AM6268">
        <v>95.339941391649006</v>
      </c>
      <c r="AN6268">
        <v>1.0000000017856301</v>
      </c>
    </row>
    <row r="6269" spans="1:40" x14ac:dyDescent="0.25">
      <c r="A6269" t="str">
        <f>"20190312172239546"</f>
        <v>20190312172239546</v>
      </c>
      <c r="B6269" t="str">
        <f>"1552382559536804"</f>
        <v>1552382559536804</v>
      </c>
      <c r="C6269" t="s">
        <v>40</v>
      </c>
      <c r="D6269">
        <v>3.3881459999999999</v>
      </c>
      <c r="E6269">
        <v>0.49476019999999998</v>
      </c>
      <c r="F6269" t="s">
        <v>42</v>
      </c>
      <c r="G6269">
        <v>-350.04239999999999</v>
      </c>
      <c r="H6269" s="1">
        <v>-4.4072550000000004E-6</v>
      </c>
      <c r="I6269">
        <v>20.437470000000001</v>
      </c>
      <c r="J6269">
        <v>-370.2731</v>
      </c>
      <c r="K6269">
        <v>1.1062809999999901</v>
      </c>
      <c r="L6269">
        <v>23.444790000000001</v>
      </c>
      <c r="M6269">
        <v>0.96709219999999896</v>
      </c>
      <c r="N6269">
        <v>0</v>
      </c>
      <c r="O6269">
        <v>-0.25405309999999998</v>
      </c>
      <c r="P6269">
        <v>0.97719440000000002</v>
      </c>
      <c r="Q6269">
        <v>0.14670710000000001</v>
      </c>
      <c r="R6269">
        <v>-0.1535195</v>
      </c>
      <c r="S6269">
        <v>3.0248409999999999</v>
      </c>
      <c r="T6269">
        <v>-0.16414089999999901</v>
      </c>
      <c r="U6269">
        <v>-0.4526367</v>
      </c>
      <c r="V6269">
        <v>-9.8182080000000005E-2</v>
      </c>
      <c r="W6269">
        <v>0.16124910000000001</v>
      </c>
      <c r="X6269">
        <v>0.98201780000000005</v>
      </c>
      <c r="Y6269">
        <v>-0.10763440000000001</v>
      </c>
      <c r="Z6269">
        <v>1.6424729999999998E-2</v>
      </c>
      <c r="AA6269">
        <v>0.99405489999999996</v>
      </c>
      <c r="AB6269">
        <v>30</v>
      </c>
      <c r="AC6269">
        <v>20.230699999999999</v>
      </c>
      <c r="AD6269">
        <v>-1.1062854072549999</v>
      </c>
      <c r="AE6269">
        <v>-3.00732</v>
      </c>
      <c r="AF6269">
        <v>-2.22501840995591</v>
      </c>
      <c r="AG6269">
        <v>-1.1062854072549999</v>
      </c>
      <c r="AH6269">
        <v>20.271592299736099</v>
      </c>
      <c r="AI6269">
        <v>93.105103412010394</v>
      </c>
      <c r="AJ6269">
        <v>96.263735114595704</v>
      </c>
      <c r="AK6269">
        <v>20.423320706821102</v>
      </c>
      <c r="AL6269">
        <v>80.720593897532495</v>
      </c>
      <c r="AM6269">
        <v>95.709455119876594</v>
      </c>
      <c r="AN6269">
        <v>0.99999997630038795</v>
      </c>
    </row>
    <row r="6270" spans="1:40" x14ac:dyDescent="0.25">
      <c r="A6270" t="str">
        <f>"20190312172239558"</f>
        <v>20190312172239558</v>
      </c>
      <c r="B6270" t="str">
        <f>"1552382559546564"</f>
        <v>1552382559546564</v>
      </c>
      <c r="C6270" t="s">
        <v>40</v>
      </c>
      <c r="D6270">
        <v>3.3855770000000001</v>
      </c>
      <c r="E6270">
        <v>0.4950715</v>
      </c>
      <c r="F6270" t="s">
        <v>42</v>
      </c>
      <c r="G6270">
        <v>-350.64519999999999</v>
      </c>
      <c r="H6270" s="1">
        <v>-4.2246920000000002E-6</v>
      </c>
      <c r="I6270">
        <v>20.564640000000001</v>
      </c>
      <c r="J6270">
        <v>-370.11360000000002</v>
      </c>
      <c r="K6270">
        <v>1.1062730000000001</v>
      </c>
      <c r="L6270">
        <v>23.400089999999999</v>
      </c>
      <c r="M6270">
        <v>0.96636029999999995</v>
      </c>
      <c r="N6270">
        <v>0</v>
      </c>
      <c r="O6270">
        <v>-0.25682319999999997</v>
      </c>
      <c r="P6270">
        <v>0.97783850000000005</v>
      </c>
      <c r="Q6270">
        <v>0.1463805</v>
      </c>
      <c r="R6270">
        <v>-0.14968129999999999</v>
      </c>
      <c r="S6270">
        <v>3.025909</v>
      </c>
      <c r="T6270">
        <v>-0.17054839999999999</v>
      </c>
      <c r="U6270">
        <v>-0.44400020000000001</v>
      </c>
      <c r="V6270">
        <v>-0.10487870000000001</v>
      </c>
      <c r="W6270">
        <v>0.16098180000000001</v>
      </c>
      <c r="X6270">
        <v>0.98136909999999999</v>
      </c>
      <c r="Y6270">
        <v>-0.1132557</v>
      </c>
      <c r="Z6270">
        <v>1.7370980000000001E-2</v>
      </c>
      <c r="AA6270">
        <v>0.99341400000000002</v>
      </c>
      <c r="AB6270">
        <v>30</v>
      </c>
      <c r="AC6270">
        <v>19.468399999999999</v>
      </c>
      <c r="AD6270">
        <v>-1.1062772246920001</v>
      </c>
      <c r="AE6270">
        <v>-2.83544999999999</v>
      </c>
      <c r="AF6270">
        <v>-2.2529610644254001</v>
      </c>
      <c r="AG6270">
        <v>-1.1062772246920001</v>
      </c>
      <c r="AH6270">
        <v>19.481950711242099</v>
      </c>
      <c r="AI6270">
        <v>93.228564063517396</v>
      </c>
      <c r="AJ6270">
        <v>96.596582615648003</v>
      </c>
      <c r="AK6270">
        <v>19.642965315118701</v>
      </c>
      <c r="AL6270">
        <v>80.736111976803997</v>
      </c>
      <c r="AM6270">
        <v>96.100034535218697</v>
      </c>
      <c r="AN6270">
        <v>0.999999996039869</v>
      </c>
    </row>
    <row r="6271" spans="1:40" x14ac:dyDescent="0.25">
      <c r="A6271" t="str">
        <f>"20190312172239571"</f>
        <v>20190312172239571</v>
      </c>
      <c r="B6271" t="str">
        <f>"1552382559567061"</f>
        <v>1552382559567061</v>
      </c>
      <c r="C6271" t="s">
        <v>40</v>
      </c>
      <c r="D6271">
        <v>3.39636</v>
      </c>
      <c r="E6271">
        <v>0.49530679999999999</v>
      </c>
      <c r="F6271" t="s">
        <v>42</v>
      </c>
      <c r="G6271">
        <v>-350.61619999999999</v>
      </c>
      <c r="H6271" s="1">
        <v>-4.2406569999999998E-6</v>
      </c>
      <c r="I6271">
        <v>20.599080000000001</v>
      </c>
      <c r="J6271">
        <v>-369.95190000000002</v>
      </c>
      <c r="K6271">
        <v>1.106277</v>
      </c>
      <c r="L6271">
        <v>23.354030000000002</v>
      </c>
      <c r="M6271">
        <v>0.96561129999999995</v>
      </c>
      <c r="N6271">
        <v>0</v>
      </c>
      <c r="O6271">
        <v>-0.25962439999999998</v>
      </c>
      <c r="P6271">
        <v>0.97821100000000005</v>
      </c>
      <c r="Q6271">
        <v>0.14749570000000001</v>
      </c>
      <c r="R6271">
        <v>-0.14610999999999999</v>
      </c>
      <c r="S6271">
        <v>3.0271910000000002</v>
      </c>
      <c r="T6271">
        <v>-0.1717622</v>
      </c>
      <c r="U6271">
        <v>-0.43487550000000003</v>
      </c>
      <c r="V6271">
        <v>-0.1112653</v>
      </c>
      <c r="W6271">
        <v>0.1621493</v>
      </c>
      <c r="X6271">
        <v>0.98047320000000004</v>
      </c>
      <c r="Y6271">
        <v>-0.11910660000000001</v>
      </c>
      <c r="Z6271">
        <v>1.7809640000000002E-2</v>
      </c>
      <c r="AA6271">
        <v>0.99272169999999904</v>
      </c>
      <c r="AB6271">
        <v>30</v>
      </c>
      <c r="AC6271">
        <v>19.335699999999999</v>
      </c>
      <c r="AD6271">
        <v>-1.106281240657</v>
      </c>
      <c r="AE6271">
        <v>-2.75495</v>
      </c>
      <c r="AF6271">
        <v>-2.3524852389828999</v>
      </c>
      <c r="AG6271">
        <v>-1.106281240657</v>
      </c>
      <c r="AH6271">
        <v>19.3258601456983</v>
      </c>
      <c r="AI6271">
        <v>93.252284843771406</v>
      </c>
      <c r="AJ6271">
        <v>96.940316846295303</v>
      </c>
      <c r="AK6271">
        <v>19.499920906356301</v>
      </c>
      <c r="AL6271">
        <v>80.668328922875702</v>
      </c>
      <c r="AM6271">
        <v>96.474298081356807</v>
      </c>
      <c r="AN6271">
        <v>1.0000000291964</v>
      </c>
    </row>
    <row r="6272" spans="1:40" x14ac:dyDescent="0.25">
      <c r="A6272" t="str">
        <f>"20190312172239587"</f>
        <v>20190312172239587</v>
      </c>
      <c r="B6272" t="str">
        <f>"1552382559576820"</f>
        <v>1552382559576820</v>
      </c>
      <c r="C6272" t="s">
        <v>40</v>
      </c>
      <c r="D6272">
        <v>3.3953310000000001</v>
      </c>
      <c r="E6272">
        <v>0.50401770000000001</v>
      </c>
      <c r="F6272" t="s">
        <v>42</v>
      </c>
      <c r="G6272">
        <v>-350.11259999999999</v>
      </c>
      <c r="H6272" s="1">
        <v>-4.4047170000000002E-6</v>
      </c>
      <c r="I6272">
        <v>20.557739999999999</v>
      </c>
      <c r="J6272">
        <v>-369.73910000000001</v>
      </c>
      <c r="K6272">
        <v>1.1062780000000001</v>
      </c>
      <c r="L6272">
        <v>23.292819999999999</v>
      </c>
      <c r="M6272">
        <v>0.96461549999999996</v>
      </c>
      <c r="N6272">
        <v>0</v>
      </c>
      <c r="O6272">
        <v>-0.2633008</v>
      </c>
      <c r="P6272">
        <v>0.97931029999999997</v>
      </c>
      <c r="Q6272">
        <v>0.1477831</v>
      </c>
      <c r="R6272">
        <v>-0.1382456</v>
      </c>
      <c r="S6272">
        <v>3.0285340000000001</v>
      </c>
      <c r="T6272">
        <v>-0.1688771</v>
      </c>
      <c r="U6272">
        <v>-0.42684939999999999</v>
      </c>
      <c r="V6272">
        <v>-0.1228842</v>
      </c>
      <c r="W6272">
        <v>0.1625318</v>
      </c>
      <c r="X6272">
        <v>0.97902140000000004</v>
      </c>
      <c r="Y6272">
        <v>-0.12553130000000001</v>
      </c>
      <c r="Z6272">
        <v>1.788232E-2</v>
      </c>
      <c r="AA6272">
        <v>0.99192849999999999</v>
      </c>
      <c r="AB6272">
        <v>30</v>
      </c>
      <c r="AC6272">
        <v>19.6265</v>
      </c>
      <c r="AD6272">
        <v>-1.1062824047169999</v>
      </c>
      <c r="AE6272">
        <v>-2.73508</v>
      </c>
      <c r="AF6272">
        <v>-2.5217529288590601</v>
      </c>
      <c r="AG6272">
        <v>-1.1062824047169999</v>
      </c>
      <c r="AH6272">
        <v>19.5929732635127</v>
      </c>
      <c r="AI6272">
        <v>93.205289214724203</v>
      </c>
      <c r="AJ6272">
        <v>97.3340482259255</v>
      </c>
      <c r="AK6272">
        <v>19.785542699100201</v>
      </c>
      <c r="AL6272">
        <v>80.6461184558014</v>
      </c>
      <c r="AM6272">
        <v>97.154202058615596</v>
      </c>
      <c r="AN6272">
        <v>1.0000000071394199</v>
      </c>
    </row>
    <row r="6273" spans="1:40" x14ac:dyDescent="0.25">
      <c r="A6273" t="str">
        <f>"20190312172239599"</f>
        <v>20190312172239599</v>
      </c>
      <c r="B6273" t="str">
        <f>"1552382559586580"</f>
        <v>1552382559586580</v>
      </c>
      <c r="C6273" t="s">
        <v>40</v>
      </c>
      <c r="D6273">
        <v>3.392093</v>
      </c>
      <c r="E6273">
        <v>0.50450609999999996</v>
      </c>
      <c r="F6273" t="s">
        <v>42</v>
      </c>
      <c r="G6273">
        <v>-349.03649999999999</v>
      </c>
      <c r="H6273" s="1">
        <v>-5.1166090000000005E-7</v>
      </c>
      <c r="I6273">
        <v>20.05218</v>
      </c>
      <c r="J6273">
        <v>-369.5949</v>
      </c>
      <c r="K6273">
        <v>1.106279</v>
      </c>
      <c r="L6273">
        <v>23.25095</v>
      </c>
      <c r="M6273">
        <v>0.96393399999999996</v>
      </c>
      <c r="N6273">
        <v>0</v>
      </c>
      <c r="O6273">
        <v>-0.26578469999999998</v>
      </c>
      <c r="P6273">
        <v>0.97986130000000005</v>
      </c>
      <c r="Q6273">
        <v>0.14684839999999999</v>
      </c>
      <c r="R6273">
        <v>-0.1353055</v>
      </c>
      <c r="S6273">
        <v>3.0209959999999998</v>
      </c>
      <c r="T6273">
        <v>-0.16143109999999999</v>
      </c>
      <c r="U6273">
        <v>-0.47286990000000001</v>
      </c>
      <c r="V6273">
        <v>-0.12840480000000001</v>
      </c>
      <c r="W6273">
        <v>0.16164200000000001</v>
      </c>
      <c r="X6273">
        <v>0.97846010000000005</v>
      </c>
      <c r="Y6273">
        <v>-0.1130154</v>
      </c>
      <c r="Z6273">
        <v>1.690589E-2</v>
      </c>
      <c r="AA6273">
        <v>0.99344940000000004</v>
      </c>
      <c r="AB6273">
        <v>30</v>
      </c>
      <c r="AC6273">
        <v>20.558399999999999</v>
      </c>
      <c r="AD6273">
        <v>-1.1062795116608899</v>
      </c>
      <c r="AE6273">
        <v>-3.1987700000000001</v>
      </c>
      <c r="AF6273">
        <v>-2.3742184220996698</v>
      </c>
      <c r="AG6273">
        <v>-1.1062795116608899</v>
      </c>
      <c r="AH6273">
        <v>20.6108141428012</v>
      </c>
      <c r="AI6273">
        <v>93.0522408228735</v>
      </c>
      <c r="AJ6273">
        <v>96.571101431111799</v>
      </c>
      <c r="AK6273">
        <v>20.776583624428</v>
      </c>
      <c r="AL6273">
        <v>80.697783818408396</v>
      </c>
      <c r="AM6273">
        <v>97.476289053324194</v>
      </c>
      <c r="AN6273">
        <v>1.0000000480595199</v>
      </c>
    </row>
    <row r="6274" spans="1:40" x14ac:dyDescent="0.25">
      <c r="A6274" t="str">
        <f>"20190312172239610"</f>
        <v>20190312172239610</v>
      </c>
      <c r="B6274" t="str">
        <f>"1552382559607077"</f>
        <v>1552382559607077</v>
      </c>
      <c r="C6274" t="s">
        <v>40</v>
      </c>
      <c r="D6274">
        <v>3.4236610000000001</v>
      </c>
      <c r="E6274">
        <v>0.50600029999999996</v>
      </c>
      <c r="F6274" t="s">
        <v>42</v>
      </c>
      <c r="G6274">
        <v>-349.66120000000001</v>
      </c>
      <c r="H6274" s="1">
        <v>-2.7316790000000001E-7</v>
      </c>
      <c r="I6274">
        <v>20.1631</v>
      </c>
      <c r="J6274">
        <v>-369.44499999999999</v>
      </c>
      <c r="K6274">
        <v>1.1062829999999999</v>
      </c>
      <c r="L6274">
        <v>23.206759999999999</v>
      </c>
      <c r="M6274">
        <v>0.96322269999999999</v>
      </c>
      <c r="N6274">
        <v>0</v>
      </c>
      <c r="O6274">
        <v>-0.26835120000000001</v>
      </c>
      <c r="P6274">
        <v>0.9805912</v>
      </c>
      <c r="Q6274">
        <v>0.14471199999999901</v>
      </c>
      <c r="R6274">
        <v>-0.1322864</v>
      </c>
      <c r="S6274">
        <v>3.022186</v>
      </c>
      <c r="T6274">
        <v>-0.1677245</v>
      </c>
      <c r="U6274">
        <v>-0.46813959999999999</v>
      </c>
      <c r="V6274">
        <v>-0.13414699999999999</v>
      </c>
      <c r="W6274">
        <v>0.1595519</v>
      </c>
      <c r="X6274">
        <v>0.97803260000000003</v>
      </c>
      <c r="Y6274">
        <v>-0.1171881</v>
      </c>
      <c r="Z6274">
        <v>1.781108E-2</v>
      </c>
      <c r="AA6274">
        <v>0.99295</v>
      </c>
      <c r="AB6274">
        <v>30</v>
      </c>
      <c r="AC6274">
        <v>19.7837999999999</v>
      </c>
      <c r="AD6274">
        <v>-1.10628327316789</v>
      </c>
      <c r="AE6274">
        <v>-3.0436599999999898</v>
      </c>
      <c r="AF6274">
        <v>-2.3702693249059998</v>
      </c>
      <c r="AG6274">
        <v>-1.10628327316789</v>
      </c>
      <c r="AH6274">
        <v>19.814335121805001</v>
      </c>
      <c r="AI6274">
        <v>93.1730713029512</v>
      </c>
      <c r="AJ6274">
        <v>96.821533079573896</v>
      </c>
      <c r="AK6274">
        <v>19.9862431605411</v>
      </c>
      <c r="AL6274">
        <v>80.819112107081907</v>
      </c>
      <c r="AM6274">
        <v>97.809959332470598</v>
      </c>
      <c r="AN6274">
        <v>0.99999999653268501</v>
      </c>
    </row>
    <row r="6275" spans="1:40" x14ac:dyDescent="0.25">
      <c r="A6275" t="str">
        <f>"20190312172239624"</f>
        <v>20190312172239624</v>
      </c>
      <c r="B6275" t="str">
        <f>"1552382559616836"</f>
        <v>1552382559616836</v>
      </c>
      <c r="C6275" t="s">
        <v>40</v>
      </c>
      <c r="D6275">
        <v>3.3738269999999901</v>
      </c>
      <c r="E6275">
        <v>0.50655669999999997</v>
      </c>
      <c r="F6275" t="s">
        <v>42</v>
      </c>
      <c r="G6275">
        <v>-349.81880000000001</v>
      </c>
      <c r="H6275" s="1">
        <v>-2.0191669999999999E-7</v>
      </c>
      <c r="I6275">
        <v>20.149529999999999</v>
      </c>
      <c r="J6275">
        <v>-369.2747</v>
      </c>
      <c r="K6275">
        <v>1.106298</v>
      </c>
      <c r="L6275">
        <v>23.15625</v>
      </c>
      <c r="M6275">
        <v>0.96240990000000004</v>
      </c>
      <c r="N6275">
        <v>0</v>
      </c>
      <c r="O6275">
        <v>-0.2712521</v>
      </c>
      <c r="P6275">
        <v>0.98128190000000004</v>
      </c>
      <c r="Q6275">
        <v>0.1425206</v>
      </c>
      <c r="R6275">
        <v>-0.1295134</v>
      </c>
      <c r="S6275">
        <v>3.0210270000000001</v>
      </c>
      <c r="T6275">
        <v>-0.170288299999999</v>
      </c>
      <c r="U6275">
        <v>-0.47058109999999997</v>
      </c>
      <c r="V6275">
        <v>-0.13998469999999999</v>
      </c>
      <c r="W6275">
        <v>0.1574045</v>
      </c>
      <c r="X6275">
        <v>0.9775623</v>
      </c>
      <c r="Y6275">
        <v>-0.1193134</v>
      </c>
      <c r="Z6275">
        <v>1.8303759999999999E-2</v>
      </c>
      <c r="AA6275">
        <v>0.99268789999999996</v>
      </c>
      <c r="AB6275">
        <v>30</v>
      </c>
      <c r="AC6275">
        <v>19.4558999999999</v>
      </c>
      <c r="AD6275">
        <v>-1.1062982019167</v>
      </c>
      <c r="AE6275">
        <v>-3.0067200000000001</v>
      </c>
      <c r="AF6275">
        <v>-2.3764779482247298</v>
      </c>
      <c r="AG6275">
        <v>-1.1062982019167</v>
      </c>
      <c r="AH6275">
        <v>19.480465012901799</v>
      </c>
      <c r="AI6275">
        <v>93.226474842899407</v>
      </c>
      <c r="AJ6275">
        <v>96.955309208564003</v>
      </c>
      <c r="AK6275">
        <v>19.656043861083901</v>
      </c>
      <c r="AL6275">
        <v>80.943723647169094</v>
      </c>
      <c r="AM6275">
        <v>98.149225231616498</v>
      </c>
      <c r="AN6275">
        <v>0.99999997161781395</v>
      </c>
    </row>
    <row r="6276" spans="1:40" x14ac:dyDescent="0.25">
      <c r="A6276" t="str">
        <f>"20190312172239635"</f>
        <v>20190312172239635</v>
      </c>
      <c r="B6276" t="str">
        <f>"1552382559626597"</f>
        <v>1552382559626597</v>
      </c>
      <c r="C6276" t="s">
        <v>40</v>
      </c>
      <c r="D6276">
        <v>3.3957920000000001</v>
      </c>
      <c r="E6276">
        <v>0.50704970000000005</v>
      </c>
      <c r="F6276" t="s">
        <v>42</v>
      </c>
      <c r="G6276">
        <v>-350.21069999999997</v>
      </c>
      <c r="H6276" s="1">
        <v>-4.3103040000000002E-6</v>
      </c>
      <c r="I6276">
        <v>20.213660000000001</v>
      </c>
      <c r="J6276">
        <v>-369.12490000000003</v>
      </c>
      <c r="K6276">
        <v>1.1063149999999999</v>
      </c>
      <c r="L6276">
        <v>23.111329999999999</v>
      </c>
      <c r="M6276">
        <v>0.96169260000000001</v>
      </c>
      <c r="N6276">
        <v>0</v>
      </c>
      <c r="O6276">
        <v>-0.27378370000000002</v>
      </c>
      <c r="P6276">
        <v>0.98178549999999998</v>
      </c>
      <c r="Q6276">
        <v>0.14149979999999901</v>
      </c>
      <c r="R6276">
        <v>-0.1267876</v>
      </c>
      <c r="S6276">
        <v>3.0211489999999999</v>
      </c>
      <c r="T6276">
        <v>-0.17531959999999999</v>
      </c>
      <c r="U6276">
        <v>-0.46630859999999902</v>
      </c>
      <c r="V6276">
        <v>-0.1453411</v>
      </c>
      <c r="W6276">
        <v>0.1564188</v>
      </c>
      <c r="X6276">
        <v>0.97693869999999905</v>
      </c>
      <c r="Y6276">
        <v>-0.12325609999999999</v>
      </c>
      <c r="Z6276">
        <v>1.9099399999999999E-2</v>
      </c>
      <c r="AA6276">
        <v>0.99219109999999999</v>
      </c>
      <c r="AB6276">
        <v>30</v>
      </c>
      <c r="AC6276">
        <v>18.914200000000001</v>
      </c>
      <c r="AD6276">
        <v>-1.1063193103040001</v>
      </c>
      <c r="AE6276">
        <v>-2.89766999999999</v>
      </c>
      <c r="AF6276">
        <v>-2.3839897159906398</v>
      </c>
      <c r="AG6276">
        <v>-1.1063193103040001</v>
      </c>
      <c r="AH6276">
        <v>18.921532204241</v>
      </c>
      <c r="AI6276">
        <v>93.320017509621394</v>
      </c>
      <c r="AJ6276">
        <v>97.181056042949194</v>
      </c>
      <c r="AK6276">
        <v>19.103186392286201</v>
      </c>
      <c r="AL6276">
        <v>81.000909180746604</v>
      </c>
      <c r="AM6276">
        <v>98.4619408813993</v>
      </c>
      <c r="AN6276">
        <v>1.00000004995016</v>
      </c>
    </row>
    <row r="6277" spans="1:40" x14ac:dyDescent="0.25">
      <c r="A6277" t="str">
        <f>"20190312172239646"</f>
        <v>20190312172239646</v>
      </c>
      <c r="B6277" t="str">
        <f>"1552382559636357"</f>
        <v>1552382559636357</v>
      </c>
      <c r="C6277" t="s">
        <v>40</v>
      </c>
      <c r="D6277">
        <v>3.4077030000000001</v>
      </c>
      <c r="E6277">
        <v>0.507492099999999</v>
      </c>
      <c r="F6277" t="s">
        <v>42</v>
      </c>
      <c r="G6277">
        <v>-350.22140000000002</v>
      </c>
      <c r="H6277" s="1">
        <v>-4.3081119999999998E-6</v>
      </c>
      <c r="I6277">
        <v>20.221969999999999</v>
      </c>
      <c r="J6277">
        <v>-368.99130000000002</v>
      </c>
      <c r="K6277">
        <v>1.106339</v>
      </c>
      <c r="L6277">
        <v>23.07086</v>
      </c>
      <c r="M6277">
        <v>0.96105260000000003</v>
      </c>
      <c r="N6277">
        <v>0</v>
      </c>
      <c r="O6277">
        <v>-0.27602179999999998</v>
      </c>
      <c r="P6277">
        <v>0.9822592</v>
      </c>
      <c r="Q6277">
        <v>0.14071159999999999</v>
      </c>
      <c r="R6277">
        <v>-0.123964</v>
      </c>
      <c r="S6277">
        <v>3.0215450000000001</v>
      </c>
      <c r="T6277">
        <v>-0.17683460000000001</v>
      </c>
      <c r="U6277">
        <v>-0.46182250000000002</v>
      </c>
      <c r="V6277">
        <v>-0.150482</v>
      </c>
      <c r="W6277">
        <v>0.15566099999999999</v>
      </c>
      <c r="X6277">
        <v>0.97628110000000001</v>
      </c>
      <c r="Y6277">
        <v>-0.12700339999999999</v>
      </c>
      <c r="Z6277">
        <v>1.9498390000000001E-2</v>
      </c>
      <c r="AA6277">
        <v>0.9917106</v>
      </c>
      <c r="AB6277">
        <v>30</v>
      </c>
      <c r="AC6277">
        <v>18.7699</v>
      </c>
      <c r="AD6277">
        <v>-1.106343308112</v>
      </c>
      <c r="AE6277">
        <v>-2.8488899999999902</v>
      </c>
      <c r="AF6277">
        <v>-2.4349314263219499</v>
      </c>
      <c r="AG6277">
        <v>-1.106343308112</v>
      </c>
      <c r="AH6277">
        <v>18.7632846780992</v>
      </c>
      <c r="AI6277">
        <v>93.346439849935194</v>
      </c>
      <c r="AJ6277">
        <v>97.3940127074858</v>
      </c>
      <c r="AK6277">
        <v>18.9529348249206</v>
      </c>
      <c r="AL6277">
        <v>81.044865756879901</v>
      </c>
      <c r="AM6277">
        <v>98.762495544847596</v>
      </c>
      <c r="AN6277">
        <v>0.99999998273110402</v>
      </c>
    </row>
    <row r="6278" spans="1:40" x14ac:dyDescent="0.25">
      <c r="A6278" t="str">
        <f>"20190312172239656"</f>
        <v>20190312172239656</v>
      </c>
      <c r="B6278" t="str">
        <f>"1552382559647092"</f>
        <v>1552382559647092</v>
      </c>
      <c r="C6278" t="s">
        <v>40</v>
      </c>
      <c r="D6278">
        <v>3.383667</v>
      </c>
      <c r="E6278">
        <v>0.507492099999999</v>
      </c>
      <c r="F6278" t="s">
        <v>42</v>
      </c>
      <c r="G6278">
        <v>-350.31240000000003</v>
      </c>
      <c r="H6278" s="1">
        <v>-4.2816949999999997E-6</v>
      </c>
      <c r="I6278">
        <v>20.247589999999999</v>
      </c>
      <c r="J6278">
        <v>-368.85070000000002</v>
      </c>
      <c r="K6278">
        <v>1.1063670000000001</v>
      </c>
      <c r="L6278">
        <v>23.028020000000001</v>
      </c>
      <c r="M6278">
        <v>0.96037669999999997</v>
      </c>
      <c r="N6278">
        <v>0</v>
      </c>
      <c r="O6278">
        <v>-0.27836430000000001</v>
      </c>
      <c r="P6278">
        <v>0.9824309</v>
      </c>
      <c r="Q6278">
        <v>0.14117779999999999</v>
      </c>
      <c r="R6278">
        <v>-0.1220585</v>
      </c>
      <c r="S6278">
        <v>3.0222169999999999</v>
      </c>
      <c r="T6278">
        <v>-0.17900429999999901</v>
      </c>
      <c r="U6278">
        <v>-0.4567871</v>
      </c>
      <c r="V6278">
        <v>-0.15475139999999901</v>
      </c>
      <c r="W6278">
        <v>0.15614610000000001</v>
      </c>
      <c r="X6278">
        <v>0.97553590000000001</v>
      </c>
      <c r="Y6278">
        <v>-0.13104189999999999</v>
      </c>
      <c r="Z6278">
        <v>1.9987290000000001E-2</v>
      </c>
      <c r="AA6278">
        <v>0.99117540000000004</v>
      </c>
      <c r="AB6278">
        <v>30</v>
      </c>
      <c r="AC6278">
        <v>18.5382999999999</v>
      </c>
      <c r="AD6278">
        <v>-1.106371281695</v>
      </c>
      <c r="AE6278">
        <v>-2.78043</v>
      </c>
      <c r="AF6278">
        <v>-2.4817323840589198</v>
      </c>
      <c r="AG6278">
        <v>-1.106371281695</v>
      </c>
      <c r="AH6278">
        <v>18.514993379432902</v>
      </c>
      <c r="AI6278">
        <v>93.389426407109696</v>
      </c>
      <c r="AJ6278">
        <v>97.634368787735099</v>
      </c>
      <c r="AK6278">
        <v>18.713311649184199</v>
      </c>
      <c r="AL6278">
        <v>81.016727176619895</v>
      </c>
      <c r="AM6278">
        <v>99.013847319189907</v>
      </c>
      <c r="AN6278">
        <v>0.99999994626798805</v>
      </c>
    </row>
    <row r="6279" spans="1:40" x14ac:dyDescent="0.25">
      <c r="A6279" t="str">
        <f>"20190312172239668"</f>
        <v>20190312172239668</v>
      </c>
      <c r="B6279" t="str">
        <f>"1552382559656854"</f>
        <v>1552382559656854</v>
      </c>
      <c r="C6279" t="s">
        <v>40</v>
      </c>
      <c r="D6279">
        <v>3.3778329999999999</v>
      </c>
      <c r="E6279">
        <v>0.51337600000000005</v>
      </c>
      <c r="F6279" t="s">
        <v>42</v>
      </c>
      <c r="G6279">
        <v>-350.01729999999998</v>
      </c>
      <c r="H6279" s="1">
        <v>-4.3769140000000004E-6</v>
      </c>
      <c r="I6279">
        <v>20.21818</v>
      </c>
      <c r="J6279">
        <v>-368.71379999999999</v>
      </c>
      <c r="K6279">
        <v>1.106403</v>
      </c>
      <c r="L6279">
        <v>22.985869999999998</v>
      </c>
      <c r="M6279">
        <v>0.95972239999999998</v>
      </c>
      <c r="N6279">
        <v>0</v>
      </c>
      <c r="O6279">
        <v>-0.28061219999999998</v>
      </c>
      <c r="P6279">
        <v>0.98262899999999997</v>
      </c>
      <c r="Q6279">
        <v>0.141363299999999</v>
      </c>
      <c r="R6279">
        <v>-0.1202348</v>
      </c>
      <c r="S6279">
        <v>3.0231319999999999</v>
      </c>
      <c r="T6279">
        <v>-0.1775941</v>
      </c>
      <c r="U6279">
        <v>-0.45101930000000001</v>
      </c>
      <c r="V6279">
        <v>-0.15885839999999901</v>
      </c>
      <c r="W6279">
        <v>0.15634629999999999</v>
      </c>
      <c r="X6279">
        <v>0.97484349999999997</v>
      </c>
      <c r="Y6279">
        <v>-0.13525580000000001</v>
      </c>
      <c r="Z6279">
        <v>2.0076770000000001E-2</v>
      </c>
      <c r="AA6279">
        <v>0.99060729999999997</v>
      </c>
      <c r="AB6279">
        <v>30</v>
      </c>
      <c r="AC6279">
        <v>18.6965</v>
      </c>
      <c r="AD6279">
        <v>-1.1064073769139999</v>
      </c>
      <c r="AE6279">
        <v>-2.76769</v>
      </c>
      <c r="AF6279">
        <v>-2.5816507049083</v>
      </c>
      <c r="AG6279">
        <v>-1.1064073769139999</v>
      </c>
      <c r="AH6279">
        <v>18.657935384464999</v>
      </c>
      <c r="AI6279">
        <v>93.361686859004294</v>
      </c>
      <c r="AJ6279">
        <v>97.877849072236302</v>
      </c>
      <c r="AK6279">
        <v>18.868163939734998</v>
      </c>
      <c r="AL6279">
        <v>81.005114444368303</v>
      </c>
      <c r="AM6279">
        <v>99.255442323276796</v>
      </c>
      <c r="AN6279">
        <v>1.0000000031332399</v>
      </c>
    </row>
    <row r="6280" spans="1:40" x14ac:dyDescent="0.25">
      <c r="A6280" t="str">
        <f>"20190312172239680"</f>
        <v>20190312172239680</v>
      </c>
      <c r="B6280" t="str">
        <f>"1552382559676372"</f>
        <v>1552382559676372</v>
      </c>
      <c r="C6280" t="s">
        <v>40</v>
      </c>
      <c r="D6280">
        <v>3.3443489999999998</v>
      </c>
      <c r="E6280">
        <v>0.51497669999999995</v>
      </c>
      <c r="F6280" t="s">
        <v>42</v>
      </c>
      <c r="G6280">
        <v>-347.5299</v>
      </c>
      <c r="H6280" s="1">
        <v>-1.056162E-6</v>
      </c>
      <c r="I6280">
        <v>19.536210000000001</v>
      </c>
      <c r="J6280">
        <v>-368.55959999999999</v>
      </c>
      <c r="K6280">
        <v>1.106449</v>
      </c>
      <c r="L6280">
        <v>22.938140000000001</v>
      </c>
      <c r="M6280">
        <v>0.95898289999999997</v>
      </c>
      <c r="N6280">
        <v>0</v>
      </c>
      <c r="O6280">
        <v>-0.2831302</v>
      </c>
      <c r="P6280">
        <v>0.98270250000000003</v>
      </c>
      <c r="Q6280">
        <v>0.1415119</v>
      </c>
      <c r="R6280">
        <v>-0.1194602</v>
      </c>
      <c r="S6280">
        <v>3.0155940000000001</v>
      </c>
      <c r="T6280">
        <v>-0.15750020000000001</v>
      </c>
      <c r="U6280">
        <v>-0.4910583</v>
      </c>
      <c r="V6280">
        <v>-0.16219990000000001</v>
      </c>
      <c r="W6280">
        <v>0.15649979999999999</v>
      </c>
      <c r="X6280">
        <v>0.97426840000000003</v>
      </c>
      <c r="Y6280">
        <v>-0.12480330000000001</v>
      </c>
      <c r="Z6280">
        <v>1.7681510000000001E-2</v>
      </c>
      <c r="AA6280">
        <v>0.99202389999999996</v>
      </c>
      <c r="AB6280">
        <v>30</v>
      </c>
      <c r="AC6280">
        <v>21.029699999999899</v>
      </c>
      <c r="AD6280">
        <v>-1.1064500561620001</v>
      </c>
      <c r="AE6280">
        <v>-3.4019300000000001</v>
      </c>
      <c r="AF6280">
        <v>-2.6847625602555798</v>
      </c>
      <c r="AG6280">
        <v>-1.1064500561620001</v>
      </c>
      <c r="AH6280">
        <v>21.075456539025598</v>
      </c>
      <c r="AI6280">
        <v>92.981190770196704</v>
      </c>
      <c r="AJ6280">
        <v>97.259700040771094</v>
      </c>
      <c r="AK6280">
        <v>21.274563451692501</v>
      </c>
      <c r="AL6280">
        <v>80.996209492886294</v>
      </c>
      <c r="AM6280">
        <v>99.452127280989799</v>
      </c>
      <c r="AN6280">
        <v>0.99999995509930395</v>
      </c>
    </row>
    <row r="6281" spans="1:40" x14ac:dyDescent="0.25">
      <c r="A6281" t="str">
        <f>"20190312172239691"</f>
        <v>20190312172239691</v>
      </c>
      <c r="B6281" t="str">
        <f>"1552382559687108"</f>
        <v>1552382559687108</v>
      </c>
      <c r="C6281" t="s">
        <v>40</v>
      </c>
      <c r="D6281">
        <v>3.627033</v>
      </c>
      <c r="E6281">
        <v>0.5157043</v>
      </c>
      <c r="F6281" t="s">
        <v>42</v>
      </c>
      <c r="G6281">
        <v>-347.19</v>
      </c>
      <c r="H6281" s="1">
        <v>-1.22927E-6</v>
      </c>
      <c r="I6281">
        <v>19.382539999999999</v>
      </c>
      <c r="J6281">
        <v>-368.40989999999999</v>
      </c>
      <c r="K6281">
        <v>1.106501</v>
      </c>
      <c r="L6281">
        <v>22.89124</v>
      </c>
      <c r="M6281">
        <v>0.95827479999999998</v>
      </c>
      <c r="N6281">
        <v>0</v>
      </c>
      <c r="O6281">
        <v>-0.28551700000000002</v>
      </c>
      <c r="P6281">
        <v>0.98280829999999997</v>
      </c>
      <c r="Q6281">
        <v>0.1411549</v>
      </c>
      <c r="R6281">
        <v>-0.1190085</v>
      </c>
      <c r="S6281">
        <v>3.014313</v>
      </c>
      <c r="T6281">
        <v>-0.15607109999999999</v>
      </c>
      <c r="U6281">
        <v>-0.50152589999999997</v>
      </c>
      <c r="V6281">
        <v>-0.1651154</v>
      </c>
      <c r="W6281">
        <v>0.15614140000000001</v>
      </c>
      <c r="X6281">
        <v>0.97383609999999998</v>
      </c>
      <c r="Y6281">
        <v>-0.1238604</v>
      </c>
      <c r="Z6281">
        <v>1.761503E-2</v>
      </c>
      <c r="AA6281">
        <v>0.99214329999999995</v>
      </c>
      <c r="AB6281">
        <v>30</v>
      </c>
      <c r="AC6281">
        <v>21.219899999999999</v>
      </c>
      <c r="AD6281">
        <v>-1.10650222927</v>
      </c>
      <c r="AE6281">
        <v>-3.5087000000000002</v>
      </c>
      <c r="AF6281">
        <v>-2.6894806166370899</v>
      </c>
      <c r="AG6281">
        <v>-1.10650222927</v>
      </c>
      <c r="AH6281">
        <v>21.281983426491198</v>
      </c>
      <c r="AI6281">
        <v>92.952824168181806</v>
      </c>
      <c r="AJ6281">
        <v>97.202493247267995</v>
      </c>
      <c r="AK6281">
        <v>21.4797688939172</v>
      </c>
      <c r="AL6281">
        <v>81.017000214967396</v>
      </c>
      <c r="AM6281">
        <v>99.6230697272551</v>
      </c>
      <c r="AN6281">
        <v>0.99999999088716496</v>
      </c>
    </row>
    <row r="6282" spans="1:40" x14ac:dyDescent="0.25">
      <c r="A6282" t="str">
        <f>"20190312172239703"</f>
        <v>20190312172239703</v>
      </c>
      <c r="B6282" t="str">
        <f>"1552382559696869"</f>
        <v>1552382559696869</v>
      </c>
      <c r="C6282" t="s">
        <v>40</v>
      </c>
      <c r="D6282">
        <v>3.3599100000000002</v>
      </c>
      <c r="E6282">
        <v>0.51609510000000003</v>
      </c>
      <c r="F6282" t="s">
        <v>42</v>
      </c>
      <c r="G6282">
        <v>-346.92520000000002</v>
      </c>
      <c r="H6282" s="1">
        <v>-1.3601380000000001E-6</v>
      </c>
      <c r="I6282">
        <v>19.285080000000001</v>
      </c>
      <c r="J6282">
        <v>-368.27030000000002</v>
      </c>
      <c r="K6282">
        <v>1.106549</v>
      </c>
      <c r="L6282">
        <v>22.847290000000001</v>
      </c>
      <c r="M6282">
        <v>0.95761289999999999</v>
      </c>
      <c r="N6282">
        <v>0</v>
      </c>
      <c r="O6282">
        <v>-0.28772940000000002</v>
      </c>
      <c r="P6282">
        <v>0.9828886</v>
      </c>
      <c r="Q6282">
        <v>0.14064450000000001</v>
      </c>
      <c r="R6282">
        <v>-0.1189499</v>
      </c>
      <c r="S6282">
        <v>3.0135190000000001</v>
      </c>
      <c r="T6282">
        <v>-0.15520120000000001</v>
      </c>
      <c r="U6282">
        <v>-0.50579830000000003</v>
      </c>
      <c r="V6282">
        <v>-0.16747190000000001</v>
      </c>
      <c r="W6282">
        <v>0.1556266</v>
      </c>
      <c r="X6282">
        <v>0.97351600000000005</v>
      </c>
      <c r="Y6282">
        <v>-0.1247432</v>
      </c>
      <c r="Z6282">
        <v>1.7649339999999999E-2</v>
      </c>
      <c r="AA6282">
        <v>0.99203209999999997</v>
      </c>
      <c r="AB6282">
        <v>30</v>
      </c>
      <c r="AC6282">
        <v>21.345099999999999</v>
      </c>
      <c r="AD6282">
        <v>-1.106550360138</v>
      </c>
      <c r="AE6282">
        <v>-3.5622099999999999</v>
      </c>
      <c r="AF6282">
        <v>-2.7235319526768702</v>
      </c>
      <c r="AG6282">
        <v>-1.106550360138</v>
      </c>
      <c r="AH6282">
        <v>21.4113444609517</v>
      </c>
      <c r="AI6282">
        <v>92.934840525142405</v>
      </c>
      <c r="AJ6282">
        <v>97.249117566494306</v>
      </c>
      <c r="AK6282">
        <v>21.612213020010199</v>
      </c>
      <c r="AL6282">
        <v>81.046860653884494</v>
      </c>
      <c r="AM6282">
        <v>99.760933131357206</v>
      </c>
      <c r="AN6282">
        <v>0.99999993908658302</v>
      </c>
    </row>
    <row r="6283" spans="1:40" x14ac:dyDescent="0.25">
      <c r="A6283" t="str">
        <f>"20190312172239714"</f>
        <v>20190312172239714</v>
      </c>
      <c r="B6283" t="str">
        <f>"1552382559706629"</f>
        <v>1552382559706629</v>
      </c>
      <c r="C6283" t="s">
        <v>40</v>
      </c>
      <c r="D6283">
        <v>3.3498879999999902</v>
      </c>
      <c r="E6283">
        <v>0.51658389999999998</v>
      </c>
      <c r="F6283" t="s">
        <v>42</v>
      </c>
      <c r="G6283">
        <v>-346.7971</v>
      </c>
      <c r="H6283" s="1">
        <v>-1.4262330000000001E-6</v>
      </c>
      <c r="I6283">
        <v>19.222359999999998</v>
      </c>
      <c r="J6283">
        <v>-368.12189999999998</v>
      </c>
      <c r="K6283">
        <v>1.1066039999999999</v>
      </c>
      <c r="L6283">
        <v>22.80011</v>
      </c>
      <c r="M6283">
        <v>0.95691559999999998</v>
      </c>
      <c r="N6283">
        <v>0</v>
      </c>
      <c r="O6283">
        <v>-0.29004039999999998</v>
      </c>
      <c r="P6283">
        <v>0.9829445</v>
      </c>
      <c r="Q6283">
        <v>0.14029259999999999</v>
      </c>
      <c r="R6283">
        <v>-0.11890439999999999</v>
      </c>
      <c r="S6283">
        <v>3.0129389999999998</v>
      </c>
      <c r="T6283">
        <v>-0.15526129999999999</v>
      </c>
      <c r="U6283">
        <v>-0.508606</v>
      </c>
      <c r="V6283">
        <v>-0.1699099</v>
      </c>
      <c r="W6283">
        <v>0.15526579999999901</v>
      </c>
      <c r="X6283">
        <v>0.97315110000000005</v>
      </c>
      <c r="Y6283">
        <v>-0.12620300000000001</v>
      </c>
      <c r="Z6283">
        <v>1.7807799999999999E-2</v>
      </c>
      <c r="AA6283">
        <v>0.99184459999999997</v>
      </c>
      <c r="AB6283">
        <v>29</v>
      </c>
      <c r="AC6283">
        <v>21.3247999999999</v>
      </c>
      <c r="AD6283">
        <v>-1.1066054262330001</v>
      </c>
      <c r="AE6283">
        <v>-3.5777499999999902</v>
      </c>
      <c r="AF6283">
        <v>-2.7544954374114599</v>
      </c>
      <c r="AG6283">
        <v>-1.1066054262330001</v>
      </c>
      <c r="AH6283">
        <v>21.389730769430798</v>
      </c>
      <c r="AI6283">
        <v>92.937364816138299</v>
      </c>
      <c r="AJ6283">
        <v>97.337967052695106</v>
      </c>
      <c r="AK6283">
        <v>21.594730909942399</v>
      </c>
      <c r="AL6283">
        <v>81.067787476127194</v>
      </c>
      <c r="AM6283">
        <v>99.903876317589706</v>
      </c>
      <c r="AN6283">
        <v>0.99999995309942902</v>
      </c>
    </row>
    <row r="6284" spans="1:40" x14ac:dyDescent="0.25">
      <c r="A6284" t="str">
        <f>"20190312172239726"</f>
        <v>20190312172239726</v>
      </c>
      <c r="B6284" t="str">
        <f>"1552382559716389"</f>
        <v>1552382559716389</v>
      </c>
      <c r="C6284" t="s">
        <v>40</v>
      </c>
      <c r="D6284">
        <v>3.3427069999999999</v>
      </c>
      <c r="E6284">
        <v>0.51712939999999996</v>
      </c>
      <c r="F6284" t="s">
        <v>42</v>
      </c>
      <c r="G6284">
        <v>-346.53680000000003</v>
      </c>
      <c r="H6284" s="1">
        <v>-1.5539390000000001E-6</v>
      </c>
      <c r="I6284">
        <v>19.131769999999999</v>
      </c>
      <c r="J6284">
        <v>-367.98320000000001</v>
      </c>
      <c r="K6284">
        <v>1.106663</v>
      </c>
      <c r="L6284">
        <v>22.755769999999998</v>
      </c>
      <c r="M6284">
        <v>0.95626860000000002</v>
      </c>
      <c r="N6284">
        <v>0</v>
      </c>
      <c r="O6284">
        <v>-0.29216599999999998</v>
      </c>
      <c r="P6284">
        <v>0.98281799999999997</v>
      </c>
      <c r="Q6284">
        <v>0.14058389999999901</v>
      </c>
      <c r="R6284">
        <v>-0.11960320000000001</v>
      </c>
      <c r="S6284">
        <v>3.0121769999999999</v>
      </c>
      <c r="T6284">
        <v>-0.1544259</v>
      </c>
      <c r="U6284">
        <v>-0.51190190000000002</v>
      </c>
      <c r="V6284">
        <v>-0.17138800000000001</v>
      </c>
      <c r="W6284">
        <v>0.1555414</v>
      </c>
      <c r="X6284">
        <v>0.97284789999999999</v>
      </c>
      <c r="Y6284">
        <v>-0.1273125</v>
      </c>
      <c r="Z6284">
        <v>1.7845699999999999E-2</v>
      </c>
      <c r="AA6284">
        <v>0.99170210000000003</v>
      </c>
      <c r="AB6284">
        <v>29</v>
      </c>
      <c r="AC6284">
        <v>21.446399999999901</v>
      </c>
      <c r="AD6284">
        <v>-1.1066645539390001</v>
      </c>
      <c r="AE6284">
        <v>-3.6240000000000001</v>
      </c>
      <c r="AF6284">
        <v>-2.79342514234758</v>
      </c>
      <c r="AG6284">
        <v>-1.1066645539390001</v>
      </c>
      <c r="AH6284">
        <v>21.513676832336301</v>
      </c>
      <c r="AI6284">
        <v>92.920231166973196</v>
      </c>
      <c r="AJ6284">
        <v>97.398130966655302</v>
      </c>
      <c r="AK6284">
        <v>21.722481932482999</v>
      </c>
      <c r="AL6284">
        <v>81.051803027809498</v>
      </c>
      <c r="AM6284">
        <v>99.991355786271598</v>
      </c>
      <c r="AN6284">
        <v>1.0000000050961799</v>
      </c>
    </row>
    <row r="6285" spans="1:40" x14ac:dyDescent="0.25">
      <c r="A6285" t="str">
        <f>"20190312172239738"</f>
        <v>20190312172239738</v>
      </c>
      <c r="B6285" t="str">
        <f>"1552382559727125"</f>
        <v>1552382559727125</v>
      </c>
      <c r="C6285" t="s">
        <v>40</v>
      </c>
      <c r="D6285">
        <v>3.3629370000000001</v>
      </c>
      <c r="E6285">
        <v>0.51751119999999995</v>
      </c>
      <c r="F6285" t="s">
        <v>42</v>
      </c>
      <c r="G6285">
        <v>-346.15429999999998</v>
      </c>
      <c r="H6285" s="1">
        <v>-1.7413190000000001E-6</v>
      </c>
      <c r="I6285">
        <v>19.000599999999999</v>
      </c>
      <c r="J6285">
        <v>-367.8175</v>
      </c>
      <c r="K6285">
        <v>1.106732</v>
      </c>
      <c r="L6285">
        <v>22.702390000000001</v>
      </c>
      <c r="M6285">
        <v>0.95549870000000003</v>
      </c>
      <c r="N6285">
        <v>0</v>
      </c>
      <c r="O6285">
        <v>-0.29467470000000001</v>
      </c>
      <c r="P6285">
        <v>0.98250479999999996</v>
      </c>
      <c r="Q6285">
        <v>0.1411588</v>
      </c>
      <c r="R6285">
        <v>-0.1214857</v>
      </c>
      <c r="S6285">
        <v>3.0112610000000002</v>
      </c>
      <c r="T6285">
        <v>-0.15266189999999999</v>
      </c>
      <c r="U6285">
        <v>-0.51800539999999995</v>
      </c>
      <c r="V6285">
        <v>-0.172074799999999</v>
      </c>
      <c r="W6285">
        <v>0.15608820000000001</v>
      </c>
      <c r="X6285">
        <v>0.97263909999999998</v>
      </c>
      <c r="Y6285">
        <v>-0.1279208</v>
      </c>
      <c r="Z6285">
        <v>1.7778869999999999E-2</v>
      </c>
      <c r="AA6285">
        <v>0.99162499999999998</v>
      </c>
      <c r="AB6285">
        <v>29</v>
      </c>
      <c r="AC6285">
        <v>21.6632</v>
      </c>
      <c r="AD6285">
        <v>-1.1067337413189999</v>
      </c>
      <c r="AE6285">
        <v>-3.7017899999999999</v>
      </c>
      <c r="AF6285">
        <v>-2.8396094237515701</v>
      </c>
      <c r="AG6285">
        <v>-1.1067337413189999</v>
      </c>
      <c r="AH6285">
        <v>21.736919509700499</v>
      </c>
      <c r="AI6285">
        <v>92.890178935625698</v>
      </c>
      <c r="AJ6285">
        <v>97.442705383972594</v>
      </c>
      <c r="AK6285">
        <v>21.949530997833001</v>
      </c>
      <c r="AL6285">
        <v>81.020086640763395</v>
      </c>
      <c r="AM6285">
        <v>100.032692024963</v>
      </c>
      <c r="AN6285">
        <v>1.0000000409115399</v>
      </c>
    </row>
    <row r="6286" spans="1:40" x14ac:dyDescent="0.25">
      <c r="A6286" t="str">
        <f>"20190312172239757"</f>
        <v>20190312172239757</v>
      </c>
      <c r="B6286" t="str">
        <f>"1552382559746645"</f>
        <v>1552382559746645</v>
      </c>
      <c r="C6286" t="s">
        <v>40</v>
      </c>
      <c r="D6286">
        <v>3.3612649999999999</v>
      </c>
      <c r="E6286">
        <v>0.518067099999999</v>
      </c>
      <c r="F6286" t="s">
        <v>42</v>
      </c>
      <c r="G6286">
        <v>-345.73259999999999</v>
      </c>
      <c r="H6286" s="1">
        <v>-1.9507179999999999E-6</v>
      </c>
      <c r="I6286">
        <v>18.839860000000002</v>
      </c>
      <c r="J6286">
        <v>-367.59429999999998</v>
      </c>
      <c r="K6286">
        <v>1.1068309999999999</v>
      </c>
      <c r="L6286">
        <v>22.629729999999999</v>
      </c>
      <c r="M6286">
        <v>0.95448160000000004</v>
      </c>
      <c r="N6286">
        <v>0</v>
      </c>
      <c r="O6286">
        <v>-0.29795270000000001</v>
      </c>
      <c r="P6286">
        <v>0.98204809999999998</v>
      </c>
      <c r="Q6286">
        <v>0.14220350000000001</v>
      </c>
      <c r="R6286">
        <v>-0.1239349</v>
      </c>
      <c r="S6286">
        <v>3.01004</v>
      </c>
      <c r="T6286">
        <v>-0.15084139999999999</v>
      </c>
      <c r="U6286">
        <v>-0.52642819999999901</v>
      </c>
      <c r="V6286">
        <v>-0.17297119999999999</v>
      </c>
      <c r="W6286">
        <v>0.15709229999999999</v>
      </c>
      <c r="X6286">
        <v>0.97231840000000003</v>
      </c>
      <c r="Y6286">
        <v>-0.12857160000000001</v>
      </c>
      <c r="Z6286">
        <v>1.773978E-2</v>
      </c>
      <c r="AA6286">
        <v>0.99154160000000002</v>
      </c>
      <c r="AB6286">
        <v>29</v>
      </c>
      <c r="AC6286">
        <v>21.8616999999999</v>
      </c>
      <c r="AD6286">
        <v>-1.1068329507179999</v>
      </c>
      <c r="AE6286">
        <v>-3.7898699999999899</v>
      </c>
      <c r="AF6286">
        <v>-2.8894747542957</v>
      </c>
      <c r="AG6286">
        <v>-1.1068329507179999</v>
      </c>
      <c r="AH6286">
        <v>21.9432662644281</v>
      </c>
      <c r="AI6286">
        <v>92.862917588487605</v>
      </c>
      <c r="AJ6286">
        <v>97.501511582957207</v>
      </c>
      <c r="AK6286">
        <v>22.160349227575299</v>
      </c>
      <c r="AL6286">
        <v>80.961837437563403</v>
      </c>
      <c r="AM6286">
        <v>100.087143741356</v>
      </c>
      <c r="AN6286">
        <v>1.00000004886364</v>
      </c>
    </row>
    <row r="6287" spans="1:40" x14ac:dyDescent="0.25">
      <c r="A6287" t="str">
        <f>"20190312172239777"</f>
        <v>20190312172239777</v>
      </c>
      <c r="B6287" t="str">
        <f>"1552382559767140"</f>
        <v>1552382559767140</v>
      </c>
      <c r="C6287" t="s">
        <v>40</v>
      </c>
      <c r="D6287">
        <v>3.3667340000000001</v>
      </c>
      <c r="E6287">
        <v>0.51854029999999995</v>
      </c>
      <c r="F6287" t="s">
        <v>42</v>
      </c>
      <c r="G6287">
        <v>-344.9864</v>
      </c>
      <c r="H6287" s="1">
        <v>-2.3158170000000002E-6</v>
      </c>
      <c r="I6287">
        <v>18.586290000000002</v>
      </c>
      <c r="J6287">
        <v>-367.3338</v>
      </c>
      <c r="K6287">
        <v>1.1069519999999999</v>
      </c>
      <c r="L6287">
        <v>22.544070000000001</v>
      </c>
      <c r="M6287">
        <v>0.95331639999999995</v>
      </c>
      <c r="N6287">
        <v>0</v>
      </c>
      <c r="O6287">
        <v>-0.3016607</v>
      </c>
      <c r="P6287">
        <v>0.98139140000000002</v>
      </c>
      <c r="Q6287">
        <v>0.14288879999999901</v>
      </c>
      <c r="R6287">
        <v>-0.128272</v>
      </c>
      <c r="S6287">
        <v>3.0083009999999999</v>
      </c>
      <c r="T6287">
        <v>-0.14727970000000001</v>
      </c>
      <c r="U6287">
        <v>-0.53802490000000003</v>
      </c>
      <c r="V6287">
        <v>-0.17246230000000001</v>
      </c>
      <c r="W6287">
        <v>0.1577172</v>
      </c>
      <c r="X6287">
        <v>0.97230760000000005</v>
      </c>
      <c r="Y6287">
        <v>-0.12864210000000001</v>
      </c>
      <c r="Z6287">
        <v>1.7496290000000001E-2</v>
      </c>
      <c r="AA6287">
        <v>0.99153670000000005</v>
      </c>
      <c r="AB6287">
        <v>29</v>
      </c>
      <c r="AC6287">
        <v>22.3474</v>
      </c>
      <c r="AD6287">
        <v>-1.1069543158170001</v>
      </c>
      <c r="AE6287">
        <v>-3.9577800000000001</v>
      </c>
      <c r="AF6287">
        <v>-2.9615502889426399</v>
      </c>
      <c r="AG6287">
        <v>-1.1069543158170001</v>
      </c>
      <c r="AH6287">
        <v>22.446771506797699</v>
      </c>
      <c r="AI6287">
        <v>92.7990158069031</v>
      </c>
      <c r="AJ6287">
        <v>97.515998887698402</v>
      </c>
      <c r="AK6287">
        <v>22.668340897596099</v>
      </c>
      <c r="AL6287">
        <v>80.925581030001496</v>
      </c>
      <c r="AM6287">
        <v>100.058182535374</v>
      </c>
      <c r="AN6287">
        <v>1.0000000145574399</v>
      </c>
    </row>
    <row r="6288" spans="1:40" x14ac:dyDescent="0.25">
      <c r="A6288" t="str">
        <f>"20190312172239789"</f>
        <v>20190312172239789</v>
      </c>
      <c r="B6288" t="str">
        <f>"1552382559786661"</f>
        <v>1552382559786661</v>
      </c>
      <c r="C6288" t="s">
        <v>40</v>
      </c>
      <c r="D6288">
        <v>3.3355589999999902</v>
      </c>
      <c r="E6288">
        <v>0.51869600000000005</v>
      </c>
      <c r="F6288" t="s">
        <v>42</v>
      </c>
      <c r="G6288">
        <v>-344.4769</v>
      </c>
      <c r="H6288" s="1">
        <v>-2.5825479999999999E-6</v>
      </c>
      <c r="I6288">
        <v>18.314969999999999</v>
      </c>
      <c r="J6288">
        <v>-367.18779999999998</v>
      </c>
      <c r="K6288">
        <v>1.10702099999999</v>
      </c>
      <c r="L6288">
        <v>22.495480000000001</v>
      </c>
      <c r="M6288">
        <v>0.95267769999999996</v>
      </c>
      <c r="N6288">
        <v>0</v>
      </c>
      <c r="O6288">
        <v>-0.3036722</v>
      </c>
      <c r="P6288">
        <v>0.98099340000000002</v>
      </c>
      <c r="Q6288">
        <v>0.14341010000000001</v>
      </c>
      <c r="R6288">
        <v>-0.1307112</v>
      </c>
      <c r="S6288">
        <v>3.0054020000000001</v>
      </c>
      <c r="T6288">
        <v>-0.1455505</v>
      </c>
      <c r="U6288">
        <v>-0.55606080000000002</v>
      </c>
      <c r="V6288">
        <v>-0.17209449999999901</v>
      </c>
      <c r="W6288">
        <v>0.1582026</v>
      </c>
      <c r="X6288">
        <v>0.97229390000000004</v>
      </c>
      <c r="Y6288">
        <v>-0.12482210000000001</v>
      </c>
      <c r="Z6288">
        <v>1.7295080000000001E-2</v>
      </c>
      <c r="AA6288">
        <v>0.99202840000000003</v>
      </c>
      <c r="AB6288">
        <v>29</v>
      </c>
      <c r="AC6288">
        <v>22.710899999999899</v>
      </c>
      <c r="AD6288">
        <v>-1.1070235825479899</v>
      </c>
      <c r="AE6288">
        <v>-4.1805099999999902</v>
      </c>
      <c r="AF6288">
        <v>-2.9075828595156699</v>
      </c>
      <c r="AG6288">
        <v>-1.1070235825479899</v>
      </c>
      <c r="AH6288">
        <v>22.855306285531601</v>
      </c>
      <c r="AI6288">
        <v>92.750884554261603</v>
      </c>
      <c r="AJ6288">
        <v>97.2500509697703</v>
      </c>
      <c r="AK6288">
        <v>23.0660912315617</v>
      </c>
      <c r="AL6288">
        <v>80.897415963468902</v>
      </c>
      <c r="AM6288">
        <v>100.03730722694</v>
      </c>
      <c r="AN6288">
        <v>1.00000000377711</v>
      </c>
    </row>
    <row r="6289" spans="1:40" x14ac:dyDescent="0.25">
      <c r="A6289" t="str">
        <f>"20190312172239801"</f>
        <v>20190312172239801</v>
      </c>
      <c r="B6289" t="str">
        <f>"1552382559796421"</f>
        <v>1552382559796421</v>
      </c>
      <c r="C6289" t="s">
        <v>40</v>
      </c>
      <c r="D6289">
        <v>3.3436300000000001</v>
      </c>
      <c r="E6289">
        <v>0.51871239999999996</v>
      </c>
      <c r="F6289" t="s">
        <v>42</v>
      </c>
      <c r="G6289">
        <v>-344.03100000000001</v>
      </c>
      <c r="H6289" s="1">
        <v>-2.805284E-6</v>
      </c>
      <c r="I6289">
        <v>18.137509999999999</v>
      </c>
      <c r="J6289">
        <v>-367.0498</v>
      </c>
      <c r="K6289">
        <v>1.1070879999999901</v>
      </c>
      <c r="L6289">
        <v>22.44952</v>
      </c>
      <c r="M6289">
        <v>0.95207459999999999</v>
      </c>
      <c r="N6289">
        <v>0</v>
      </c>
      <c r="O6289">
        <v>-0.30555739999999998</v>
      </c>
      <c r="P6289">
        <v>0.9804929</v>
      </c>
      <c r="Q6289">
        <v>0.14442169999999999</v>
      </c>
      <c r="R6289">
        <v>-0.13332669999999999</v>
      </c>
      <c r="S6289">
        <v>3.0037539999999998</v>
      </c>
      <c r="T6289">
        <v>-0.1435961</v>
      </c>
      <c r="U6289">
        <v>-0.56527709999999998</v>
      </c>
      <c r="V6289">
        <v>-0.17139550000000001</v>
      </c>
      <c r="W6289">
        <v>0.1591776</v>
      </c>
      <c r="X6289">
        <v>0.97225819999999996</v>
      </c>
      <c r="Y6289">
        <v>-0.12375899999999999</v>
      </c>
      <c r="Z6289">
        <v>1.7125419999999999E-2</v>
      </c>
      <c r="AA6289">
        <v>0.9921645</v>
      </c>
      <c r="AB6289">
        <v>29</v>
      </c>
      <c r="AC6289">
        <v>23.018799999999999</v>
      </c>
      <c r="AD6289">
        <v>-1.1070908052839901</v>
      </c>
      <c r="AE6289">
        <v>-4.3120099999999999</v>
      </c>
      <c r="AF6289">
        <v>-2.92195595189198</v>
      </c>
      <c r="AG6289">
        <v>-1.1070908052839901</v>
      </c>
      <c r="AH6289">
        <v>23.1835642109458</v>
      </c>
      <c r="AI6289">
        <v>92.712556292524994</v>
      </c>
      <c r="AJ6289">
        <v>97.183435251842596</v>
      </c>
      <c r="AK6289">
        <v>23.393185464125899</v>
      </c>
      <c r="AL6289">
        <v>80.840835271734605</v>
      </c>
      <c r="AM6289">
        <v>99.997722246947802</v>
      </c>
      <c r="AN6289">
        <v>0.99999996661462398</v>
      </c>
    </row>
    <row r="6290" spans="1:40" x14ac:dyDescent="0.25">
      <c r="A6290" t="str">
        <f>"20190312172239812"</f>
        <v>20190312172239812</v>
      </c>
      <c r="B6290" t="str">
        <f>"1552382559807157"</f>
        <v>1552382559807157</v>
      </c>
      <c r="C6290" t="s">
        <v>40</v>
      </c>
      <c r="D6290">
        <v>3.3797519999999999</v>
      </c>
      <c r="E6290">
        <v>0.51866979999999996</v>
      </c>
      <c r="F6290" t="s">
        <v>42</v>
      </c>
      <c r="G6290">
        <v>-343.45670000000001</v>
      </c>
      <c r="H6290" s="1">
        <v>-3.0871550000000001E-6</v>
      </c>
      <c r="I6290">
        <v>17.937429999999999</v>
      </c>
      <c r="J6290">
        <v>-366.90210000000002</v>
      </c>
      <c r="K6290">
        <v>1.107162</v>
      </c>
      <c r="L6290">
        <v>22.399750000000001</v>
      </c>
      <c r="M6290">
        <v>0.95144550000000006</v>
      </c>
      <c r="N6290">
        <v>0</v>
      </c>
      <c r="O6290">
        <v>-0.3075116</v>
      </c>
      <c r="P6290">
        <v>0.98008919999999999</v>
      </c>
      <c r="Q6290">
        <v>0.14502570000000001</v>
      </c>
      <c r="R6290">
        <v>-0.13562070000000001</v>
      </c>
      <c r="S6290">
        <v>3.0024109999999999</v>
      </c>
      <c r="T6290">
        <v>-0.14088609999999999</v>
      </c>
      <c r="U6290">
        <v>-0.57418819999999904</v>
      </c>
      <c r="V6290">
        <v>-0.17110980000000001</v>
      </c>
      <c r="W6290">
        <v>0.15974630000000001</v>
      </c>
      <c r="X6290">
        <v>0.9722153</v>
      </c>
      <c r="Y6290">
        <v>-0.1228894</v>
      </c>
      <c r="Z6290">
        <v>1.6869640000000002E-2</v>
      </c>
      <c r="AA6290">
        <v>0.99227699999999996</v>
      </c>
      <c r="AB6290">
        <v>29</v>
      </c>
      <c r="AC6290">
        <v>23.445399999999999</v>
      </c>
      <c r="AD6290">
        <v>-1.1071650871550001</v>
      </c>
      <c r="AE6290">
        <v>-4.4623200000000001</v>
      </c>
      <c r="AF6290">
        <v>-2.9579911682350901</v>
      </c>
      <c r="AG6290">
        <v>-1.1071650871550001</v>
      </c>
      <c r="AH6290">
        <v>23.630607939326001</v>
      </c>
      <c r="AI6290">
        <v>92.661775404588298</v>
      </c>
      <c r="AJ6290">
        <v>97.134959825768405</v>
      </c>
      <c r="AK6290">
        <v>23.8407457489003</v>
      </c>
      <c r="AL6290">
        <v>80.807829277345903</v>
      </c>
      <c r="AM6290">
        <v>99.981823983048002</v>
      </c>
      <c r="AN6290">
        <v>1.0000000167869001</v>
      </c>
    </row>
    <row r="6291" spans="1:40" x14ac:dyDescent="0.25">
      <c r="A6291" t="str">
        <f>"20190312172239823"</f>
        <v>20190312172239823</v>
      </c>
      <c r="B6291" t="str">
        <f>"1552382559816917"</f>
        <v>1552382559816917</v>
      </c>
      <c r="C6291" t="s">
        <v>40</v>
      </c>
      <c r="D6291">
        <v>3.3789030000000002</v>
      </c>
      <c r="E6291">
        <v>0.51855589999999996</v>
      </c>
      <c r="F6291" t="s">
        <v>42</v>
      </c>
      <c r="G6291">
        <v>-343.08260000000001</v>
      </c>
      <c r="H6291" s="1">
        <v>-3.2746949999999998E-6</v>
      </c>
      <c r="I6291">
        <v>17.78482</v>
      </c>
      <c r="J6291">
        <v>-366.76130000000001</v>
      </c>
      <c r="K6291">
        <v>1.107227</v>
      </c>
      <c r="L6291">
        <v>22.3522</v>
      </c>
      <c r="M6291">
        <v>0.95084709999999995</v>
      </c>
      <c r="N6291">
        <v>0</v>
      </c>
      <c r="O6291">
        <v>-0.30935669999999998</v>
      </c>
      <c r="P6291">
        <v>0.97971770000000002</v>
      </c>
      <c r="Q6291">
        <v>0.14529110000000001</v>
      </c>
      <c r="R6291">
        <v>-0.13800000000000001</v>
      </c>
      <c r="S6291">
        <v>3.00116</v>
      </c>
      <c r="T6291">
        <v>-0.13949839999999999</v>
      </c>
      <c r="U6291">
        <v>-0.58145139999999995</v>
      </c>
      <c r="V6291">
        <v>-0.1706433</v>
      </c>
      <c r="W6291">
        <v>0.15997829999999999</v>
      </c>
      <c r="X6291">
        <v>0.97225910000000004</v>
      </c>
      <c r="Y6291">
        <v>-0.12242980000000001</v>
      </c>
      <c r="Z6291">
        <v>1.6775269999999998E-2</v>
      </c>
      <c r="AA6291">
        <v>0.99233539999999998</v>
      </c>
      <c r="AB6291">
        <v>29</v>
      </c>
      <c r="AC6291">
        <v>23.6786999999999</v>
      </c>
      <c r="AD6291">
        <v>-1.107230274695</v>
      </c>
      <c r="AE6291">
        <v>-4.56738</v>
      </c>
      <c r="AF6291">
        <v>-2.9762908009308102</v>
      </c>
      <c r="AG6291">
        <v>-1.107230274695</v>
      </c>
      <c r="AH6291">
        <v>23.879683848893102</v>
      </c>
      <c r="AI6291">
        <v>92.634380544870695</v>
      </c>
      <c r="AJ6291">
        <v>97.104533840491897</v>
      </c>
      <c r="AK6291">
        <v>24.089905905503102</v>
      </c>
      <c r="AL6291">
        <v>80.794363088636004</v>
      </c>
      <c r="AM6291">
        <v>99.954715962305201</v>
      </c>
      <c r="AN6291">
        <v>0.99999997491929404</v>
      </c>
    </row>
    <row r="6292" spans="1:40" x14ac:dyDescent="0.25">
      <c r="A6292" t="str">
        <f>"20190312172239834"</f>
        <v>20190312172239834</v>
      </c>
      <c r="B6292" t="str">
        <f>"1552382559826676"</f>
        <v>1552382559826676</v>
      </c>
      <c r="C6292" t="s">
        <v>40</v>
      </c>
      <c r="D6292">
        <v>3.3985300000000001</v>
      </c>
      <c r="E6292">
        <v>0.51847869999999996</v>
      </c>
      <c r="F6292" t="s">
        <v>42</v>
      </c>
      <c r="G6292">
        <v>-342.9425</v>
      </c>
      <c r="H6292" s="1">
        <v>-3.3525149999999999E-6</v>
      </c>
      <c r="I6292">
        <v>17.684979999999999</v>
      </c>
      <c r="J6292">
        <v>-366.61579999999998</v>
      </c>
      <c r="K6292">
        <v>1.107294</v>
      </c>
      <c r="L6292">
        <v>22.302700000000002</v>
      </c>
      <c r="M6292">
        <v>0.95023809999999997</v>
      </c>
      <c r="N6292">
        <v>0</v>
      </c>
      <c r="O6292">
        <v>-0.31122240000000001</v>
      </c>
      <c r="P6292">
        <v>0.97936279999999998</v>
      </c>
      <c r="Q6292">
        <v>0.14554300000000001</v>
      </c>
      <c r="R6292">
        <v>-0.14023379999999999</v>
      </c>
      <c r="S6292">
        <v>3</v>
      </c>
      <c r="T6292">
        <v>-0.13945669999999999</v>
      </c>
      <c r="U6292">
        <v>-0.58782959999999995</v>
      </c>
      <c r="V6292">
        <v>-0.1703442</v>
      </c>
      <c r="W6292">
        <v>0.1601986</v>
      </c>
      <c r="X6292">
        <v>0.97227529999999995</v>
      </c>
      <c r="Y6292">
        <v>-0.12227209999999999</v>
      </c>
      <c r="Z6292">
        <v>1.684971E-2</v>
      </c>
      <c r="AA6292">
        <v>0.99235359999999995</v>
      </c>
      <c r="AB6292">
        <v>29</v>
      </c>
      <c r="AC6292">
        <v>23.673299999999902</v>
      </c>
      <c r="AD6292">
        <v>-1.1072973525150001</v>
      </c>
      <c r="AE6292">
        <v>-4.6177200000000003</v>
      </c>
      <c r="AF6292">
        <v>-2.9737406225177998</v>
      </c>
      <c r="AG6292">
        <v>-1.1072973525150001</v>
      </c>
      <c r="AH6292">
        <v>23.8843223378591</v>
      </c>
      <c r="AI6292">
        <v>92.634071252101293</v>
      </c>
      <c r="AJ6292">
        <v>97.097144065408003</v>
      </c>
      <c r="AK6292">
        <v>24.094192127059401</v>
      </c>
      <c r="AL6292">
        <v>80.781576126442005</v>
      </c>
      <c r="AM6292">
        <v>99.937453394006695</v>
      </c>
      <c r="AN6292">
        <v>0.99999999845284404</v>
      </c>
    </row>
    <row r="6293" spans="1:40" x14ac:dyDescent="0.25">
      <c r="A6293" t="str">
        <f>"20190312172239848"</f>
        <v>20190312172239848</v>
      </c>
      <c r="B6293" t="str">
        <f>"1552382559837412"</f>
        <v>1552382559837412</v>
      </c>
      <c r="C6293" t="s">
        <v>40</v>
      </c>
      <c r="D6293">
        <v>3.385392</v>
      </c>
      <c r="E6293">
        <v>0.51830920000000003</v>
      </c>
      <c r="F6293" t="s">
        <v>42</v>
      </c>
      <c r="G6293">
        <v>-342.82440000000003</v>
      </c>
      <c r="H6293" s="1">
        <v>-3.4192339999999999E-6</v>
      </c>
      <c r="I6293">
        <v>17.5945</v>
      </c>
      <c r="J6293">
        <v>-366.4599</v>
      </c>
      <c r="K6293">
        <v>1.1073569999999999</v>
      </c>
      <c r="L6293">
        <v>22.249389999999998</v>
      </c>
      <c r="M6293">
        <v>0.94959329999999997</v>
      </c>
      <c r="N6293">
        <v>0</v>
      </c>
      <c r="O6293">
        <v>-0.31318469999999998</v>
      </c>
      <c r="P6293">
        <v>0.97906159999999998</v>
      </c>
      <c r="Q6293">
        <v>0.14550489999999999</v>
      </c>
      <c r="R6293">
        <v>-0.1423624</v>
      </c>
      <c r="S6293">
        <v>2.998993</v>
      </c>
      <c r="T6293">
        <v>-0.1395787</v>
      </c>
      <c r="U6293">
        <v>-0.59347530000000004</v>
      </c>
      <c r="V6293">
        <v>-0.17026450000000001</v>
      </c>
      <c r="W6293">
        <v>0.16012939999999901</v>
      </c>
      <c r="X6293">
        <v>0.97230059999999996</v>
      </c>
      <c r="Y6293">
        <v>-0.1224581</v>
      </c>
      <c r="Z6293">
        <v>1.6955680000000001E-2</v>
      </c>
      <c r="AA6293">
        <v>0.99232880000000001</v>
      </c>
      <c r="AB6293">
        <v>29</v>
      </c>
      <c r="AC6293">
        <v>23.635499999999901</v>
      </c>
      <c r="AD6293">
        <v>-1.1073604192340001</v>
      </c>
      <c r="AE6293">
        <v>-4.6548899999999902</v>
      </c>
      <c r="AF6293">
        <v>-2.97601618874784</v>
      </c>
      <c r="AG6293">
        <v>-1.1073604192340001</v>
      </c>
      <c r="AH6293">
        <v>23.853793122799502</v>
      </c>
      <c r="AI6293">
        <v>92.637505364654004</v>
      </c>
      <c r="AJ6293">
        <v>97.111516625634195</v>
      </c>
      <c r="AK6293">
        <v>24.0642133841747</v>
      </c>
      <c r="AL6293">
        <v>80.785592312103802</v>
      </c>
      <c r="AM6293">
        <v>99.932643202624902</v>
      </c>
      <c r="AN6293">
        <v>0.99999994073248299</v>
      </c>
    </row>
    <row r="6294" spans="1:40" x14ac:dyDescent="0.25">
      <c r="A6294" t="str">
        <f>"20190312172239860"</f>
        <v>20190312172239860</v>
      </c>
      <c r="B6294" t="str">
        <f>"1552382559856933"</f>
        <v>1552382559856933</v>
      </c>
      <c r="C6294" t="s">
        <v>40</v>
      </c>
      <c r="D6294">
        <v>3.3872209999999998</v>
      </c>
      <c r="E6294">
        <v>0.51799439999999997</v>
      </c>
      <c r="F6294" t="s">
        <v>42</v>
      </c>
      <c r="G6294">
        <v>-342.81229999999999</v>
      </c>
      <c r="H6294" s="1">
        <v>-3.4349700000000002E-6</v>
      </c>
      <c r="I6294">
        <v>17.535079999999901</v>
      </c>
      <c r="J6294">
        <v>-366.29759999999999</v>
      </c>
      <c r="K6294">
        <v>1.107421</v>
      </c>
      <c r="L6294">
        <v>22.193629999999999</v>
      </c>
      <c r="M6294">
        <v>0.9489263</v>
      </c>
      <c r="N6294">
        <v>0</v>
      </c>
      <c r="O6294">
        <v>-0.31519960000000002</v>
      </c>
      <c r="P6294">
        <v>0.97889490000000001</v>
      </c>
      <c r="Q6294">
        <v>0.14466850000000001</v>
      </c>
      <c r="R6294">
        <v>-0.1443458</v>
      </c>
      <c r="S6294">
        <v>2.998138</v>
      </c>
      <c r="T6294">
        <v>-0.1403953</v>
      </c>
      <c r="U6294">
        <v>-0.59768679999999996</v>
      </c>
      <c r="V6294">
        <v>-0.1704282</v>
      </c>
      <c r="W6294">
        <v>0.1592652</v>
      </c>
      <c r="X6294">
        <v>0.972414</v>
      </c>
      <c r="Y6294">
        <v>-0.12316199999999999</v>
      </c>
      <c r="Z6294">
        <v>1.7160959999999999E-2</v>
      </c>
      <c r="AA6294">
        <v>0.99223819999999996</v>
      </c>
      <c r="AB6294">
        <v>29</v>
      </c>
      <c r="AC6294">
        <v>23.485299999999899</v>
      </c>
      <c r="AD6294">
        <v>-1.10742443497</v>
      </c>
      <c r="AE6294">
        <v>-4.65855</v>
      </c>
      <c r="AF6294">
        <v>-2.9758507324890999</v>
      </c>
      <c r="AG6294">
        <v>-1.10742443497</v>
      </c>
      <c r="AH6294">
        <v>23.7057121253725</v>
      </c>
      <c r="AI6294">
        <v>92.653858414592506</v>
      </c>
      <c r="AJ6294">
        <v>97.155086939968299</v>
      </c>
      <c r="AK6294">
        <v>23.9174175828466</v>
      </c>
      <c r="AL6294">
        <v>80.835752365044698</v>
      </c>
      <c r="AM6294">
        <v>99.940866167235399</v>
      </c>
      <c r="AN6294">
        <v>1.0000000813411301</v>
      </c>
    </row>
    <row r="6295" spans="1:40" x14ac:dyDescent="0.25">
      <c r="A6295" t="str">
        <f>"20190312172239872"</f>
        <v>20190312172239872</v>
      </c>
      <c r="B6295" t="str">
        <f>"1552382559866693"</f>
        <v>1552382559866693</v>
      </c>
      <c r="C6295" t="s">
        <v>40</v>
      </c>
      <c r="D6295">
        <v>3.3896609999999998</v>
      </c>
      <c r="E6295">
        <v>0.51799439999999997</v>
      </c>
      <c r="F6295" t="s">
        <v>42</v>
      </c>
      <c r="G6295">
        <v>-343.16309999999999</v>
      </c>
      <c r="H6295" s="1">
        <v>-3.2804340000000001E-6</v>
      </c>
      <c r="I6295">
        <v>17.557870000000001</v>
      </c>
      <c r="J6295">
        <v>-366.1456</v>
      </c>
      <c r="K6295">
        <v>1.107475</v>
      </c>
      <c r="L6295">
        <v>22.140930000000001</v>
      </c>
      <c r="M6295">
        <v>0.94831589999999999</v>
      </c>
      <c r="N6295">
        <v>0</v>
      </c>
      <c r="O6295">
        <v>-0.31703229999999999</v>
      </c>
      <c r="P6295">
        <v>0.97877309999999995</v>
      </c>
      <c r="Q6295">
        <v>0.14394799999999999</v>
      </c>
      <c r="R6295">
        <v>-0.14588409999999999</v>
      </c>
      <c r="S6295">
        <v>2.9972530000000002</v>
      </c>
      <c r="T6295">
        <v>-0.14347489999999999</v>
      </c>
      <c r="U6295">
        <v>-0.60058590000000001</v>
      </c>
      <c r="V6295">
        <v>-0.1708394</v>
      </c>
      <c r="W6295">
        <v>0.15851989999999999</v>
      </c>
      <c r="X6295">
        <v>0.97246350000000004</v>
      </c>
      <c r="Y6295">
        <v>-0.1240772</v>
      </c>
      <c r="Z6295">
        <v>1.7643470000000001E-2</v>
      </c>
      <c r="AA6295">
        <v>0.99211570000000004</v>
      </c>
      <c r="AB6295">
        <v>29</v>
      </c>
      <c r="AC6295">
        <v>22.982500000000002</v>
      </c>
      <c r="AD6295">
        <v>-1.107478280434</v>
      </c>
      <c r="AE6295">
        <v>-4.5830599999999899</v>
      </c>
      <c r="AF6295">
        <v>-2.9337299987954499</v>
      </c>
      <c r="AG6295">
        <v>-1.107478280434</v>
      </c>
      <c r="AH6295">
        <v>23.198020393434199</v>
      </c>
      <c r="AI6295">
        <v>92.711671464739695</v>
      </c>
      <c r="AJ6295">
        <v>97.207629753073505</v>
      </c>
      <c r="AK6295">
        <v>23.409003182999001</v>
      </c>
      <c r="AL6295">
        <v>80.879003261003405</v>
      </c>
      <c r="AM6295">
        <v>99.963873779099202</v>
      </c>
      <c r="AN6295">
        <v>0.99999995906030903</v>
      </c>
    </row>
    <row r="6296" spans="1:40" x14ac:dyDescent="0.25">
      <c r="A6296" t="str">
        <f>"20190312172239890"</f>
        <v>20190312172239890</v>
      </c>
      <c r="B6296" t="str">
        <f>"1552382559887188"</f>
        <v>1552382559887188</v>
      </c>
      <c r="C6296" t="s">
        <v>40</v>
      </c>
      <c r="D6296">
        <v>3.3976589999999902</v>
      </c>
      <c r="E6296">
        <v>0.51309380000000004</v>
      </c>
      <c r="F6296" t="s">
        <v>42</v>
      </c>
      <c r="G6296">
        <v>-343.37240000000003</v>
      </c>
      <c r="H6296" s="1">
        <v>-3.193707E-6</v>
      </c>
      <c r="I6296">
        <v>17.540559999999999</v>
      </c>
      <c r="J6296">
        <v>-365.93369999999999</v>
      </c>
      <c r="K6296">
        <v>1.1075600000000001</v>
      </c>
      <c r="L6296">
        <v>22.067080000000001</v>
      </c>
      <c r="M6296">
        <v>0.94747320000000002</v>
      </c>
      <c r="N6296">
        <v>0</v>
      </c>
      <c r="O6296">
        <v>-0.31954199999999999</v>
      </c>
      <c r="P6296">
        <v>0.97861940000000003</v>
      </c>
      <c r="Q6296">
        <v>0.14426229999999901</v>
      </c>
      <c r="R6296">
        <v>-0.14660390000000001</v>
      </c>
      <c r="S6296">
        <v>2.9962460000000002</v>
      </c>
      <c r="T6296">
        <v>-0.14570999999999901</v>
      </c>
      <c r="U6296">
        <v>-0.60525509999999905</v>
      </c>
      <c r="V6296">
        <v>-0.17271549999999999</v>
      </c>
      <c r="W6296">
        <v>0.158803799999999</v>
      </c>
      <c r="X6296">
        <v>0.9720858</v>
      </c>
      <c r="Y6296">
        <v>-0.12513550000000001</v>
      </c>
      <c r="Z6296">
        <v>1.8059599999999999E-2</v>
      </c>
      <c r="AA6296">
        <v>0.9919753</v>
      </c>
      <c r="AB6296">
        <v>29</v>
      </c>
      <c r="AC6296">
        <v>22.5612999999999</v>
      </c>
      <c r="AD6296">
        <v>-1.1075631937070001</v>
      </c>
      <c r="AE6296">
        <v>-4.5265199999999899</v>
      </c>
      <c r="AF6296">
        <v>-2.9140493168055301</v>
      </c>
      <c r="AG6296">
        <v>-1.1075631937070001</v>
      </c>
      <c r="AH6296">
        <v>22.7720237248312</v>
      </c>
      <c r="AI6296">
        <v>92.762013934757704</v>
      </c>
      <c r="AJ6296">
        <v>97.292290857521394</v>
      </c>
      <c r="AK6296">
        <v>22.9844174207898</v>
      </c>
      <c r="AL6296">
        <v>80.862529107473605</v>
      </c>
      <c r="AM6296">
        <v>100.074898448715</v>
      </c>
      <c r="AN6296">
        <v>1.00000004669816</v>
      </c>
    </row>
    <row r="6297" spans="1:40" x14ac:dyDescent="0.25">
      <c r="A6297" t="str">
        <f>"20190312172239903"</f>
        <v>20190312172239903</v>
      </c>
      <c r="B6297" t="str">
        <f>"1552382559896949"</f>
        <v>1552382559896949</v>
      </c>
      <c r="C6297" t="s">
        <v>40</v>
      </c>
      <c r="D6297">
        <v>3.3795160000000002</v>
      </c>
      <c r="E6297">
        <v>0.51287539999999998</v>
      </c>
      <c r="F6297" t="s">
        <v>42</v>
      </c>
      <c r="G6297">
        <v>-342.82729999999998</v>
      </c>
      <c r="H6297" s="1">
        <v>-3.4024429999999999E-6</v>
      </c>
      <c r="I6297">
        <v>17.682279999999999</v>
      </c>
      <c r="J6297">
        <v>-365.76089999999999</v>
      </c>
      <c r="K6297">
        <v>1.1076349999999999</v>
      </c>
      <c r="L6297">
        <v>22.00647</v>
      </c>
      <c r="M6297">
        <v>0.94679550000000001</v>
      </c>
      <c r="N6297">
        <v>0</v>
      </c>
      <c r="O6297">
        <v>-0.32154460000000001</v>
      </c>
      <c r="P6297">
        <v>0.97821400000000003</v>
      </c>
      <c r="Q6297">
        <v>0.1463576</v>
      </c>
      <c r="R6297">
        <v>-0.1472311</v>
      </c>
      <c r="S6297">
        <v>3.001404</v>
      </c>
      <c r="T6297">
        <v>-0.14386640000000001</v>
      </c>
      <c r="U6297">
        <v>-0.56954959999999999</v>
      </c>
      <c r="V6297">
        <v>-0.1740604</v>
      </c>
      <c r="W6297">
        <v>0.16086929999999999</v>
      </c>
      <c r="X6297">
        <v>0.97150610000000004</v>
      </c>
      <c r="Y6297">
        <v>-0.13891220000000001</v>
      </c>
      <c r="Z6297">
        <v>1.8245219999999999E-2</v>
      </c>
      <c r="AA6297">
        <v>0.99013660000000003</v>
      </c>
      <c r="AB6297">
        <v>29</v>
      </c>
      <c r="AC6297">
        <v>22.933599999999998</v>
      </c>
      <c r="AD6297">
        <v>-1.1076384024429999</v>
      </c>
      <c r="AE6297">
        <v>-4.3241899999999998</v>
      </c>
      <c r="AF6297">
        <v>-3.2729862570015702</v>
      </c>
      <c r="AG6297">
        <v>-1.1076384024429999</v>
      </c>
      <c r="AH6297">
        <v>23.0540827055314</v>
      </c>
      <c r="AI6297">
        <v>92.723405859468599</v>
      </c>
      <c r="AJ6297">
        <v>98.080278685723897</v>
      </c>
      <c r="AK6297">
        <v>23.311585773228099</v>
      </c>
      <c r="AL6297">
        <v>80.742643174658795</v>
      </c>
      <c r="AM6297">
        <v>100.157655561314</v>
      </c>
      <c r="AN6297">
        <v>1.0000000284339201</v>
      </c>
    </row>
    <row r="6298" spans="1:40" x14ac:dyDescent="0.25">
      <c r="A6298" t="str">
        <f>"20190312172239924"</f>
        <v>20190312172239924</v>
      </c>
      <c r="B6298" t="str">
        <f>"1552382559916468"</f>
        <v>1552382559916468</v>
      </c>
      <c r="C6298" t="s">
        <v>40</v>
      </c>
      <c r="D6298">
        <v>3.3810180000000001</v>
      </c>
      <c r="E6298">
        <v>0.51248149999999904</v>
      </c>
      <c r="F6298" t="s">
        <v>42</v>
      </c>
      <c r="G6298">
        <v>-341.19929999999999</v>
      </c>
      <c r="H6298" s="1">
        <v>-4.1608799999999997E-6</v>
      </c>
      <c r="I6298">
        <v>17.343669999999999</v>
      </c>
      <c r="J6298">
        <v>-365.51119999999997</v>
      </c>
      <c r="K6298">
        <v>1.1077650000000001</v>
      </c>
      <c r="L6298">
        <v>21.918209999999998</v>
      </c>
      <c r="M6298">
        <v>0.9458396</v>
      </c>
      <c r="N6298">
        <v>0</v>
      </c>
      <c r="O6298">
        <v>-0.32434629999999998</v>
      </c>
      <c r="P6298">
        <v>0.97743780000000002</v>
      </c>
      <c r="Q6298">
        <v>0.1512047</v>
      </c>
      <c r="R6298">
        <v>-0.14748789999999901</v>
      </c>
      <c r="S6298">
        <v>3.001312</v>
      </c>
      <c r="T6298">
        <v>-0.13534860000000001</v>
      </c>
      <c r="U6298">
        <v>-0.56976319999999903</v>
      </c>
      <c r="V6298">
        <v>-0.1764531</v>
      </c>
      <c r="W6298">
        <v>0.16566639999999999</v>
      </c>
      <c r="X6298">
        <v>0.97026749999999995</v>
      </c>
      <c r="Y6298">
        <v>-0.14182110000000001</v>
      </c>
      <c r="Z6298">
        <v>1.7349389999999999E-2</v>
      </c>
      <c r="AA6298">
        <v>0.98974030000000002</v>
      </c>
      <c r="AB6298">
        <v>29</v>
      </c>
      <c r="AC6298">
        <v>24.311899999999898</v>
      </c>
      <c r="AD6298">
        <v>-1.10776916088</v>
      </c>
      <c r="AE6298">
        <v>-4.5745399999999998</v>
      </c>
      <c r="AF6298">
        <v>-3.5519042206384701</v>
      </c>
      <c r="AG6298">
        <v>-1.10776916088</v>
      </c>
      <c r="AH6298">
        <v>24.432190475991899</v>
      </c>
      <c r="AI6298">
        <v>92.569074950827698</v>
      </c>
      <c r="AJ6298">
        <v>98.271600748409796</v>
      </c>
      <c r="AK6298">
        <v>24.7138646828361</v>
      </c>
      <c r="AL6298">
        <v>80.464051179200396</v>
      </c>
      <c r="AM6298">
        <v>100.307180215152</v>
      </c>
      <c r="AN6298">
        <v>1.0000000370724</v>
      </c>
    </row>
    <row r="6299" spans="1:40" x14ac:dyDescent="0.25">
      <c r="A6299" t="str">
        <f>"20190312172239935"</f>
        <v>20190312172239935</v>
      </c>
      <c r="B6299" t="str">
        <f>"1552382559927204"</f>
        <v>1552382559927204</v>
      </c>
      <c r="C6299" t="s">
        <v>40</v>
      </c>
      <c r="D6299">
        <v>3.3642810000000001</v>
      </c>
      <c r="E6299">
        <v>0.51227879999999903</v>
      </c>
      <c r="F6299" t="s">
        <v>42</v>
      </c>
      <c r="G6299">
        <v>-337.77100000000002</v>
      </c>
      <c r="H6299" s="1">
        <v>-1.52391699999999E-6</v>
      </c>
      <c r="I6299">
        <v>16.687349999999999</v>
      </c>
      <c r="J6299">
        <v>-365.36779999999999</v>
      </c>
      <c r="K6299">
        <v>1.107837</v>
      </c>
      <c r="L6299">
        <v>21.86722</v>
      </c>
      <c r="M6299">
        <v>0.94530360000000002</v>
      </c>
      <c r="N6299">
        <v>0</v>
      </c>
      <c r="O6299">
        <v>-0.32590479999999999</v>
      </c>
      <c r="P6299">
        <v>0.97691490000000003</v>
      </c>
      <c r="Q6299">
        <v>0.15434489999999901</v>
      </c>
      <c r="R6299">
        <v>-0.14769889999999999</v>
      </c>
      <c r="S6299">
        <v>3.0023499999999999</v>
      </c>
      <c r="T6299">
        <v>-0.1198946</v>
      </c>
      <c r="U6299">
        <v>-0.56613159999999996</v>
      </c>
      <c r="V6299">
        <v>-0.17768999999999999</v>
      </c>
      <c r="W6299">
        <v>0.16877439999999999</v>
      </c>
      <c r="X6299">
        <v>0.96950579999999997</v>
      </c>
      <c r="Y6299">
        <v>-0.14476229999999901</v>
      </c>
      <c r="Z6299">
        <v>1.5483490000000001E-2</v>
      </c>
      <c r="AA6299">
        <v>0.98934529999999998</v>
      </c>
      <c r="AB6299">
        <v>29</v>
      </c>
      <c r="AC6299">
        <v>27.596800000000002</v>
      </c>
      <c r="AD6299">
        <v>-1.1078385239170001</v>
      </c>
      <c r="AE6299">
        <v>-5.1798700000000002</v>
      </c>
      <c r="AF6299">
        <v>-4.09139434594766</v>
      </c>
      <c r="AG6299">
        <v>-1.1078385239170001</v>
      </c>
      <c r="AH6299">
        <v>27.734924248240802</v>
      </c>
      <c r="AI6299">
        <v>92.262931689625404</v>
      </c>
      <c r="AJ6299">
        <v>98.391623820484</v>
      </c>
      <c r="AK6299">
        <v>28.056957015057399</v>
      </c>
      <c r="AL6299">
        <v>80.283432416337206</v>
      </c>
      <c r="AM6299">
        <v>100.385842887004</v>
      </c>
      <c r="AN6299">
        <v>1.0000000152144899</v>
      </c>
    </row>
    <row r="6300" spans="1:40" x14ac:dyDescent="0.25">
      <c r="A6300" t="str">
        <f>"20190312172239949"</f>
        <v>20190312172239949</v>
      </c>
      <c r="B6300" t="str">
        <f>"1552382559936964"</f>
        <v>1552382559936964</v>
      </c>
      <c r="C6300" t="s">
        <v>40</v>
      </c>
      <c r="D6300">
        <v>3.3737059999999999</v>
      </c>
      <c r="E6300">
        <v>0.51191569999999997</v>
      </c>
      <c r="F6300" t="s">
        <v>42</v>
      </c>
      <c r="G6300">
        <v>-335.42160000000001</v>
      </c>
      <c r="H6300" s="1">
        <v>-2.5453169999999998E-6</v>
      </c>
      <c r="I6300">
        <v>16.240079999999999</v>
      </c>
      <c r="J6300">
        <v>-365.20510000000002</v>
      </c>
      <c r="K6300">
        <v>1.1079209999999999</v>
      </c>
      <c r="L6300">
        <v>21.809080000000002</v>
      </c>
      <c r="M6300">
        <v>0.94470849999999995</v>
      </c>
      <c r="N6300">
        <v>0</v>
      </c>
      <c r="O6300">
        <v>-0.32762629999999998</v>
      </c>
      <c r="P6300">
        <v>0.97642430000000002</v>
      </c>
      <c r="Q6300">
        <v>0.15715299999999999</v>
      </c>
      <c r="R6300">
        <v>-0.147982</v>
      </c>
      <c r="S6300">
        <v>3.0031129999999999</v>
      </c>
      <c r="T6300">
        <v>-0.1110979</v>
      </c>
      <c r="U6300">
        <v>-0.56430049999999998</v>
      </c>
      <c r="V6300">
        <v>-0.17904329999999999</v>
      </c>
      <c r="W6300">
        <v>0.17154469999999999</v>
      </c>
      <c r="X6300">
        <v>0.96877029999999997</v>
      </c>
      <c r="Y6300">
        <v>-0.1472396</v>
      </c>
      <c r="Z6300">
        <v>1.4450599999999999E-2</v>
      </c>
      <c r="AA6300">
        <v>0.98899530000000002</v>
      </c>
      <c r="AB6300">
        <v>29</v>
      </c>
      <c r="AC6300">
        <v>29.7835</v>
      </c>
      <c r="AD6300">
        <v>-1.107923545317</v>
      </c>
      <c r="AE6300">
        <v>-5.5689999999999902</v>
      </c>
      <c r="AF6300">
        <v>-4.4911915666296496</v>
      </c>
      <c r="AG6300">
        <v>-1.107923545317</v>
      </c>
      <c r="AH6300">
        <v>29.924066522654599</v>
      </c>
      <c r="AI6300">
        <v>92.096914367499906</v>
      </c>
      <c r="AJ6300">
        <v>98.535599760585896</v>
      </c>
      <c r="AK6300">
        <v>30.2794988981438</v>
      </c>
      <c r="AL6300">
        <v>80.122356578074104</v>
      </c>
      <c r="AM6300">
        <v>100.470969828668</v>
      </c>
      <c r="AN6300">
        <v>0.99999999076753399</v>
      </c>
    </row>
    <row r="6301" spans="1:40" x14ac:dyDescent="0.25">
      <c r="A6301" t="str">
        <f>"20190312172239962"</f>
        <v>20190312172239962</v>
      </c>
      <c r="B6301" t="str">
        <f>"1552382559957462"</f>
        <v>1552382559957462</v>
      </c>
      <c r="C6301" t="s">
        <v>40</v>
      </c>
      <c r="D6301">
        <v>3.3821469999999998</v>
      </c>
      <c r="E6301">
        <v>0.51152410000000004</v>
      </c>
      <c r="F6301" t="s">
        <v>42</v>
      </c>
      <c r="G6301">
        <v>-332.64319999999998</v>
      </c>
      <c r="H6301" s="1">
        <v>-3.8288940000000001E-6</v>
      </c>
      <c r="I6301">
        <v>15.7233</v>
      </c>
      <c r="J6301">
        <v>-365.04079999999999</v>
      </c>
      <c r="K6301">
        <v>1.1080080000000001</v>
      </c>
      <c r="L6301">
        <v>21.750119999999999</v>
      </c>
      <c r="M6301">
        <v>0.94411860000000003</v>
      </c>
      <c r="N6301">
        <v>0</v>
      </c>
      <c r="O6301">
        <v>-0.32932289999999997</v>
      </c>
      <c r="P6301">
        <v>0.97598030000000002</v>
      </c>
      <c r="Q6301">
        <v>0.15958919999999999</v>
      </c>
      <c r="R6301">
        <v>-0.14830360000000001</v>
      </c>
      <c r="S6301">
        <v>3.0038149999999999</v>
      </c>
      <c r="T6301">
        <v>-0.1022053</v>
      </c>
      <c r="U6301">
        <v>-0.56140140000000005</v>
      </c>
      <c r="V6301">
        <v>-0.18035480000000001</v>
      </c>
      <c r="W6301">
        <v>0.17394100000000001</v>
      </c>
      <c r="X6301">
        <v>0.9680995</v>
      </c>
      <c r="Y6301">
        <v>-0.1500242</v>
      </c>
      <c r="Z6301">
        <v>1.339393E-2</v>
      </c>
      <c r="AA6301">
        <v>0.98859160000000001</v>
      </c>
      <c r="AB6301">
        <v>29</v>
      </c>
      <c r="AC6301">
        <v>32.397599999999997</v>
      </c>
      <c r="AD6301">
        <v>-1.108011828894</v>
      </c>
      <c r="AE6301">
        <v>-6.0268199999999998</v>
      </c>
      <c r="AF6301">
        <v>-4.9740796701963896</v>
      </c>
      <c r="AG6301">
        <v>-1.108011828894</v>
      </c>
      <c r="AH6301">
        <v>32.538198378108298</v>
      </c>
      <c r="AI6301">
        <v>91.927939778058899</v>
      </c>
      <c r="AJ6301">
        <v>98.691458200055393</v>
      </c>
      <c r="AK6301">
        <v>32.934837368227001</v>
      </c>
      <c r="AL6301">
        <v>79.982963083915195</v>
      </c>
      <c r="AM6301">
        <v>100.55309877897599</v>
      </c>
      <c r="AN6301">
        <v>0.99999998363214404</v>
      </c>
    </row>
    <row r="6302" spans="1:40" x14ac:dyDescent="0.25">
      <c r="A6302" t="str">
        <f>"20190312172239975"</f>
        <v>20190312172239975</v>
      </c>
      <c r="B6302" t="str">
        <f>"1552382559967220"</f>
        <v>1552382559967220</v>
      </c>
      <c r="C6302" t="s">
        <v>40</v>
      </c>
      <c r="D6302">
        <v>3.3743080000000001</v>
      </c>
      <c r="E6302">
        <v>0.51127709999999904</v>
      </c>
      <c r="F6302" t="s">
        <v>42</v>
      </c>
      <c r="G6302">
        <v>-329.58929999999998</v>
      </c>
      <c r="H6302" s="1">
        <v>-1.329396E-6</v>
      </c>
      <c r="I6302">
        <v>15.1534</v>
      </c>
      <c r="J6302">
        <v>-364.87459999999999</v>
      </c>
      <c r="K6302">
        <v>1.108109</v>
      </c>
      <c r="L6302">
        <v>21.690159999999999</v>
      </c>
      <c r="M6302">
        <v>0.94354930000000004</v>
      </c>
      <c r="N6302">
        <v>0</v>
      </c>
      <c r="O6302">
        <v>-0.33095029999999998</v>
      </c>
      <c r="P6302">
        <v>0.97556299999999996</v>
      </c>
      <c r="Q6302">
        <v>0.16220909999999999</v>
      </c>
      <c r="R6302">
        <v>-0.14820649999999999</v>
      </c>
      <c r="S6302">
        <v>3.0042420000000001</v>
      </c>
      <c r="T6302">
        <v>-9.3895199999999998E-2</v>
      </c>
      <c r="U6302">
        <v>-0.55902099999999999</v>
      </c>
      <c r="V6302">
        <v>-0.182005</v>
      </c>
      <c r="W6302">
        <v>0.17651410000000001</v>
      </c>
      <c r="X6302">
        <v>0.96732459999999998</v>
      </c>
      <c r="Y6302">
        <v>-0.1525492</v>
      </c>
      <c r="Z6302">
        <v>1.239146E-2</v>
      </c>
      <c r="AA6302">
        <v>0.98821820000000005</v>
      </c>
      <c r="AB6302">
        <v>29</v>
      </c>
      <c r="AC6302">
        <v>35.285299999999999</v>
      </c>
      <c r="AD6302">
        <v>-1.108110329396</v>
      </c>
      <c r="AE6302">
        <v>-6.5367600000000001</v>
      </c>
      <c r="AF6302">
        <v>-5.5051902580663699</v>
      </c>
      <c r="AG6302">
        <v>-1.108110329396</v>
      </c>
      <c r="AH6302">
        <v>35.426292476109502</v>
      </c>
      <c r="AI6302">
        <v>91.770354292365894</v>
      </c>
      <c r="AJ6302">
        <v>98.833024456001297</v>
      </c>
      <c r="AK6302">
        <v>35.868610607081997</v>
      </c>
      <c r="AL6302">
        <v>79.833218214659595</v>
      </c>
      <c r="AM6302">
        <v>100.655793015142</v>
      </c>
      <c r="AN6302">
        <v>0.99999996464448404</v>
      </c>
    </row>
    <row r="6303" spans="1:40" x14ac:dyDescent="0.25">
      <c r="A6303" t="str">
        <f>"20190312172239993"</f>
        <v>20190312172239993</v>
      </c>
      <c r="B6303" t="str">
        <f>"1552382559986740"</f>
        <v>1552382559986740</v>
      </c>
      <c r="C6303" t="s">
        <v>40</v>
      </c>
      <c r="D6303">
        <v>3.3889239999999998</v>
      </c>
      <c r="E6303">
        <v>0.51100559999999995</v>
      </c>
      <c r="F6303" t="s">
        <v>42</v>
      </c>
      <c r="G6303">
        <v>-325.92779999999999</v>
      </c>
      <c r="H6303" s="1">
        <v>-2.9186459999999999E-6</v>
      </c>
      <c r="I6303">
        <v>14.46503</v>
      </c>
      <c r="J6303">
        <v>-364.69009999999997</v>
      </c>
      <c r="K6303">
        <v>1.108233</v>
      </c>
      <c r="L6303">
        <v>21.62332</v>
      </c>
      <c r="M6303">
        <v>0.94294710000000004</v>
      </c>
      <c r="N6303">
        <v>0</v>
      </c>
      <c r="O6303">
        <v>-0.33266309999999999</v>
      </c>
      <c r="P6303">
        <v>0.9750953</v>
      </c>
      <c r="Q6303">
        <v>0.16640969999999999</v>
      </c>
      <c r="R6303">
        <v>-0.14662049999999999</v>
      </c>
      <c r="S6303">
        <v>3.0046689999999998</v>
      </c>
      <c r="T6303">
        <v>-8.5488560000000005E-2</v>
      </c>
      <c r="U6303">
        <v>-0.5574036</v>
      </c>
      <c r="V6303">
        <v>-0.18513089999999999</v>
      </c>
      <c r="W6303">
        <v>0.18065639999999999</v>
      </c>
      <c r="X6303">
        <v>0.96596570000000004</v>
      </c>
      <c r="Y6303">
        <v>-0.1549189</v>
      </c>
      <c r="Z6303">
        <v>1.1360479999999999E-2</v>
      </c>
      <c r="AA6303">
        <v>0.98786189999999996</v>
      </c>
      <c r="AB6303">
        <v>29</v>
      </c>
      <c r="AC6303">
        <v>38.762299999999897</v>
      </c>
      <c r="AD6303">
        <v>-1.108235918646</v>
      </c>
      <c r="AE6303">
        <v>-7.15829</v>
      </c>
      <c r="AF6303">
        <v>-6.14061580022633</v>
      </c>
      <c r="AG6303">
        <v>-1.108235918646</v>
      </c>
      <c r="AH6303">
        <v>38.904966139892103</v>
      </c>
      <c r="AI6303">
        <v>91.611728508376004</v>
      </c>
      <c r="AJ6303">
        <v>98.969359689759898</v>
      </c>
      <c r="AK6303">
        <v>39.402179376317797</v>
      </c>
      <c r="AL6303">
        <v>79.592003997408099</v>
      </c>
      <c r="AM6303">
        <v>100.84938799091</v>
      </c>
      <c r="AN6303">
        <v>0.99999995928612895</v>
      </c>
    </row>
    <row r="6304" spans="1:40" x14ac:dyDescent="0.25">
      <c r="A6304" t="str">
        <f>"20190312172240005"</f>
        <v>20190312172240005</v>
      </c>
      <c r="B6304" t="str">
        <f>"1552382559996501"</f>
        <v>1552382559996501</v>
      </c>
      <c r="C6304" t="s">
        <v>40</v>
      </c>
      <c r="D6304">
        <v>3.379264</v>
      </c>
      <c r="E6304">
        <v>0.51050459999999998</v>
      </c>
      <c r="F6304" t="s">
        <v>43</v>
      </c>
      <c r="G6304">
        <v>-316.61759999999998</v>
      </c>
      <c r="H6304">
        <v>-0.05</v>
      </c>
      <c r="I6304">
        <v>12.79565</v>
      </c>
      <c r="J6304">
        <v>-364.50749999999999</v>
      </c>
      <c r="K6304">
        <v>1.108366</v>
      </c>
      <c r="L6304">
        <v>21.556950000000001</v>
      </c>
      <c r="M6304">
        <v>0.94238230000000001</v>
      </c>
      <c r="N6304">
        <v>0</v>
      </c>
      <c r="O6304">
        <v>-0.33425959999999899</v>
      </c>
      <c r="P6304">
        <v>0.97482809999999998</v>
      </c>
      <c r="Q6304">
        <v>0.1678905</v>
      </c>
      <c r="R6304">
        <v>-0.14670710000000001</v>
      </c>
      <c r="S6304">
        <v>3.0060120000000001</v>
      </c>
      <c r="T6304">
        <v>-7.2425249999999997E-2</v>
      </c>
      <c r="U6304">
        <v>-0.55200199999999999</v>
      </c>
      <c r="V6304">
        <v>-0.18664810000000001</v>
      </c>
      <c r="W6304">
        <v>0.18207300000000001</v>
      </c>
      <c r="X6304">
        <v>0.96540760000000003</v>
      </c>
      <c r="Y6304">
        <v>-0.15843759999999901</v>
      </c>
      <c r="Z6304">
        <v>9.7008200000000006E-3</v>
      </c>
      <c r="AA6304">
        <v>0.98732129999999996</v>
      </c>
      <c r="AB6304">
        <v>29</v>
      </c>
      <c r="AC6304">
        <v>47.889899999999997</v>
      </c>
      <c r="AD6304">
        <v>-1.158366</v>
      </c>
      <c r="AE6304">
        <v>-8.7613000000000003</v>
      </c>
      <c r="AF6304">
        <v>-7.7475002085286402</v>
      </c>
      <c r="AG6304">
        <v>-1.158366</v>
      </c>
      <c r="AH6304">
        <v>48.036421533944299</v>
      </c>
      <c r="AI6304">
        <v>91.363764675254203</v>
      </c>
      <c r="AJ6304">
        <v>99.161986995600003</v>
      </c>
      <c r="AK6304">
        <v>48.670970455271302</v>
      </c>
      <c r="AL6304">
        <v>79.509470066560198</v>
      </c>
      <c r="AM6304">
        <v>100.942335910423</v>
      </c>
      <c r="AN6304">
        <v>0.99999996235018396</v>
      </c>
    </row>
    <row r="6305" spans="1:40" x14ac:dyDescent="0.25">
      <c r="A6305" t="str">
        <f>"20190312172240016"</f>
        <v>20190312172240016</v>
      </c>
      <c r="B6305" t="str">
        <f>"1552382560007237"</f>
        <v>1552382560007237</v>
      </c>
      <c r="C6305" t="s">
        <v>40</v>
      </c>
      <c r="D6305">
        <v>3.3830239999999998</v>
      </c>
      <c r="E6305">
        <v>0.51050459999999998</v>
      </c>
      <c r="F6305" t="s">
        <v>43</v>
      </c>
      <c r="G6305">
        <v>-314.80739999999997</v>
      </c>
      <c r="H6305">
        <v>-0.05</v>
      </c>
      <c r="I6305">
        <v>12.48874</v>
      </c>
      <c r="J6305">
        <v>-364.36880000000002</v>
      </c>
      <c r="K6305">
        <v>1.1084830000000001</v>
      </c>
      <c r="L6305">
        <v>21.506409999999999</v>
      </c>
      <c r="M6305">
        <v>0.94197819999999999</v>
      </c>
      <c r="N6305">
        <v>0</v>
      </c>
      <c r="O6305">
        <v>-0.33539669999999999</v>
      </c>
      <c r="P6305">
        <v>0.97483629999999999</v>
      </c>
      <c r="Q6305">
        <v>0.16802310000000001</v>
      </c>
      <c r="R6305">
        <v>-0.14650179999999999</v>
      </c>
      <c r="S6305">
        <v>3.006958</v>
      </c>
      <c r="T6305">
        <v>-7.0083500000000007E-2</v>
      </c>
      <c r="U6305">
        <v>-0.54864499999999905</v>
      </c>
      <c r="V6305">
        <v>-0.1880587</v>
      </c>
      <c r="W6305">
        <v>0.18215509999999999</v>
      </c>
      <c r="X6305">
        <v>0.96511829999999998</v>
      </c>
      <c r="Y6305">
        <v>-0.16075809999999999</v>
      </c>
      <c r="Z6305">
        <v>9.4371300000000002E-3</v>
      </c>
      <c r="AA6305">
        <v>0.98694870000000001</v>
      </c>
      <c r="AB6305">
        <v>29</v>
      </c>
      <c r="AC6305">
        <v>49.561399999999999</v>
      </c>
      <c r="AD6305">
        <v>-1.1584829999999999</v>
      </c>
      <c r="AE6305">
        <v>-9.0176700000000007</v>
      </c>
      <c r="AF6305">
        <v>-8.1247410763144607</v>
      </c>
      <c r="AG6305">
        <v>-1.1584829999999999</v>
      </c>
      <c r="AH6305">
        <v>49.688603187890102</v>
      </c>
      <c r="AI6305">
        <v>91.318103070160106</v>
      </c>
      <c r="AJ6305">
        <v>99.286434126998202</v>
      </c>
      <c r="AK6305">
        <v>50.361798887470698</v>
      </c>
      <c r="AL6305">
        <v>79.504685888027097</v>
      </c>
      <c r="AM6305">
        <v>101.026238042453</v>
      </c>
      <c r="AN6305">
        <v>0.99999994404829295</v>
      </c>
    </row>
    <row r="6306" spans="1:40" x14ac:dyDescent="0.25">
      <c r="A6306" t="str">
        <f>"20190312172240027"</f>
        <v>20190312172240027</v>
      </c>
      <c r="B6306" t="str">
        <f>"1552382560016997"</f>
        <v>1552382560016997</v>
      </c>
      <c r="C6306" t="s">
        <v>40</v>
      </c>
      <c r="D6306">
        <v>3.394155</v>
      </c>
      <c r="E6306">
        <v>0.50653490000000001</v>
      </c>
      <c r="F6306" t="s">
        <v>43</v>
      </c>
      <c r="G6306">
        <v>-314.41419999999999</v>
      </c>
      <c r="H6306">
        <v>-0.05</v>
      </c>
      <c r="I6306">
        <v>12.41025</v>
      </c>
      <c r="J6306">
        <v>-364.23239999999998</v>
      </c>
      <c r="K6306">
        <v>1.1086</v>
      </c>
      <c r="L6306">
        <v>21.45654</v>
      </c>
      <c r="M6306">
        <v>0.94161150000000005</v>
      </c>
      <c r="N6306">
        <v>0</v>
      </c>
      <c r="O6306">
        <v>-0.33642559999999999</v>
      </c>
      <c r="P6306">
        <v>0.97495399999999999</v>
      </c>
      <c r="Q6306">
        <v>0.16748750000000001</v>
      </c>
      <c r="R6306">
        <v>-0.14633070000000001</v>
      </c>
      <c r="S6306">
        <v>3.0072019999999999</v>
      </c>
      <c r="T6306">
        <v>-6.9739220000000005E-2</v>
      </c>
      <c r="U6306">
        <v>-0.54757690000000003</v>
      </c>
      <c r="V6306">
        <v>-0.1893685</v>
      </c>
      <c r="W6306">
        <v>0.18156620000000001</v>
      </c>
      <c r="X6306">
        <v>0.96497319999999998</v>
      </c>
      <c r="Y6306">
        <v>-0.16219020000000001</v>
      </c>
      <c r="Z6306">
        <v>9.4291189999999997E-3</v>
      </c>
      <c r="AA6306">
        <v>0.98671450000000005</v>
      </c>
      <c r="AB6306">
        <v>29</v>
      </c>
      <c r="AC6306">
        <v>49.818199999999898</v>
      </c>
      <c r="AD6306">
        <v>-1.1586000000000001</v>
      </c>
      <c r="AE6306">
        <v>-9.0462899999999902</v>
      </c>
      <c r="AF6306">
        <v>-8.2384784021197</v>
      </c>
      <c r="AG6306">
        <v>-1.1586000000000001</v>
      </c>
      <c r="AH6306">
        <v>49.931285651492303</v>
      </c>
      <c r="AI6306">
        <v>91.311520287746205</v>
      </c>
      <c r="AJ6306">
        <v>99.369179854824395</v>
      </c>
      <c r="AK6306">
        <v>50.619642108109701</v>
      </c>
      <c r="AL6306">
        <v>79.539000121094801</v>
      </c>
      <c r="AM6306">
        <v>101.10276065898201</v>
      </c>
      <c r="AN6306">
        <v>0.99999999524646499</v>
      </c>
    </row>
    <row r="6307" spans="1:40" x14ac:dyDescent="0.25">
      <c r="A6307" t="str">
        <f>"20190312172240039"</f>
        <v>20190312172240039</v>
      </c>
      <c r="B6307" t="str">
        <f>"1552382560036517"</f>
        <v>1552382560036517</v>
      </c>
      <c r="C6307" t="s">
        <v>40</v>
      </c>
      <c r="D6307">
        <v>3.3732359999999999</v>
      </c>
      <c r="E6307">
        <v>0.50677879999999997</v>
      </c>
      <c r="F6307" t="s">
        <v>42</v>
      </c>
      <c r="G6307">
        <v>-327.52749999999997</v>
      </c>
      <c r="H6307" s="1">
        <v>-2.1142820000000002E-6</v>
      </c>
      <c r="I6307">
        <v>15.1792</v>
      </c>
      <c r="J6307">
        <v>-364.09289999999999</v>
      </c>
      <c r="K6307">
        <v>1.108722</v>
      </c>
      <c r="L6307">
        <v>21.405519999999999</v>
      </c>
      <c r="M6307">
        <v>0.94124819999999998</v>
      </c>
      <c r="N6307">
        <v>0</v>
      </c>
      <c r="O6307">
        <v>-0.33744109999999899</v>
      </c>
      <c r="P6307">
        <v>0.97516040000000004</v>
      </c>
      <c r="Q6307">
        <v>0.16651529999999901</v>
      </c>
      <c r="R6307">
        <v>-0.14606479999999999</v>
      </c>
      <c r="S6307">
        <v>3.01532</v>
      </c>
      <c r="T6307">
        <v>-9.107208E-2</v>
      </c>
      <c r="U6307">
        <v>-0.51568599999999998</v>
      </c>
      <c r="V6307">
        <v>-0.19078870000000001</v>
      </c>
      <c r="W6307">
        <v>0.18053920000000001</v>
      </c>
      <c r="X6307">
        <v>0.96488609999999997</v>
      </c>
      <c r="Y6307">
        <v>-0.1737388</v>
      </c>
      <c r="Z6307">
        <v>1.2497019999999999E-2</v>
      </c>
      <c r="AA6307">
        <v>0.98471249999999999</v>
      </c>
      <c r="AB6307">
        <v>29</v>
      </c>
      <c r="AC6307">
        <v>36.565399999999997</v>
      </c>
      <c r="AD6307">
        <v>-1.1087241142819999</v>
      </c>
      <c r="AE6307">
        <v>-6.2263200000000003</v>
      </c>
      <c r="AF6307">
        <v>-6.4729731052750701</v>
      </c>
      <c r="AG6307">
        <v>-1.1087241142819999</v>
      </c>
      <c r="AH6307">
        <v>36.488914890434302</v>
      </c>
      <c r="AI6307">
        <v>91.713671275180204</v>
      </c>
      <c r="AJ6307">
        <v>100.05937050905101</v>
      </c>
      <c r="AK6307">
        <v>37.075187927569097</v>
      </c>
      <c r="AL6307">
        <v>79.598831315035497</v>
      </c>
      <c r="AM6307">
        <v>101.184920230887</v>
      </c>
      <c r="AN6307">
        <v>0.99999995837876898</v>
      </c>
    </row>
    <row r="6308" spans="1:40" x14ac:dyDescent="0.25">
      <c r="A6308" t="str">
        <f>"20190312172240051"</f>
        <v>20190312172240051</v>
      </c>
      <c r="B6308" t="str">
        <f>"1552382560047253"</f>
        <v>1552382560047253</v>
      </c>
      <c r="C6308" t="s">
        <v>40</v>
      </c>
      <c r="D6308">
        <v>3.3653379999999999</v>
      </c>
      <c r="E6308">
        <v>0.50698690000000002</v>
      </c>
      <c r="F6308" t="s">
        <v>42</v>
      </c>
      <c r="G6308">
        <v>-326.15449999999998</v>
      </c>
      <c r="H6308" s="1">
        <v>-2.7111749999999999E-6</v>
      </c>
      <c r="I6308">
        <v>14.917540000000001</v>
      </c>
      <c r="J6308">
        <v>-363.9622</v>
      </c>
      <c r="K6308">
        <v>1.1088469999999999</v>
      </c>
      <c r="L6308">
        <v>21.357600000000001</v>
      </c>
      <c r="M6308">
        <v>0.9409556</v>
      </c>
      <c r="N6308">
        <v>0</v>
      </c>
      <c r="O6308">
        <v>-0.338256099999999</v>
      </c>
      <c r="P6308">
        <v>0.97546219999999995</v>
      </c>
      <c r="Q6308">
        <v>0.1650105</v>
      </c>
      <c r="R6308">
        <v>-0.1457579</v>
      </c>
      <c r="S6308">
        <v>3.014221</v>
      </c>
      <c r="T6308">
        <v>-8.8088630000000001E-2</v>
      </c>
      <c r="U6308">
        <v>-0.51547240000000005</v>
      </c>
      <c r="V6308">
        <v>-0.1920782</v>
      </c>
      <c r="W6308">
        <v>0.1789772</v>
      </c>
      <c r="X6308">
        <v>0.96492129999999998</v>
      </c>
      <c r="Y6308">
        <v>-0.17461309999999999</v>
      </c>
      <c r="Z6308">
        <v>1.212709E-2</v>
      </c>
      <c r="AA6308">
        <v>0.98456250000000001</v>
      </c>
      <c r="AB6308">
        <v>29</v>
      </c>
      <c r="AC6308">
        <v>37.807699999999997</v>
      </c>
      <c r="AD6308">
        <v>-1.108849711175</v>
      </c>
      <c r="AE6308">
        <v>-6.4400599999999999</v>
      </c>
      <c r="AF6308">
        <v>-6.7238777770152698</v>
      </c>
      <c r="AG6308">
        <v>-1.108849711175</v>
      </c>
      <c r="AH6308">
        <v>37.725720726533901</v>
      </c>
      <c r="AI6308">
        <v>91.657471112038607</v>
      </c>
      <c r="AJ6308">
        <v>100.105745869917</v>
      </c>
      <c r="AK6308">
        <v>38.336276349935702</v>
      </c>
      <c r="AL6308">
        <v>79.689809665394193</v>
      </c>
      <c r="AM6308">
        <v>101.258191729904</v>
      </c>
      <c r="AN6308">
        <v>0.999999994114385</v>
      </c>
    </row>
    <row r="6309" spans="1:40" x14ac:dyDescent="0.25">
      <c r="A6309" t="str">
        <f>"20190312172240061"</f>
        <v>20190312172240061</v>
      </c>
      <c r="B6309" t="str">
        <f>"1552382560057013"</f>
        <v>1552382560057013</v>
      </c>
      <c r="C6309" t="s">
        <v>40</v>
      </c>
      <c r="D6309">
        <v>3.3696090000000001</v>
      </c>
      <c r="E6309">
        <v>0.50710889999999997</v>
      </c>
      <c r="F6309" t="s">
        <v>42</v>
      </c>
      <c r="G6309">
        <v>-328.38049999999998</v>
      </c>
      <c r="H6309" s="1">
        <v>-1.7606210000000001E-6</v>
      </c>
      <c r="I6309">
        <v>15.277340000000001</v>
      </c>
      <c r="J6309">
        <v>-363.82170000000002</v>
      </c>
      <c r="K6309">
        <v>1.1089830000000001</v>
      </c>
      <c r="L6309">
        <v>21.306059999999999</v>
      </c>
      <c r="M6309">
        <v>0.94065189999999999</v>
      </c>
      <c r="N6309">
        <v>0</v>
      </c>
      <c r="O6309">
        <v>-0.339099599999999</v>
      </c>
      <c r="P6309">
        <v>0.97567559999999998</v>
      </c>
      <c r="Q6309">
        <v>0.16383599999999901</v>
      </c>
      <c r="R6309">
        <v>-0.14565349999999999</v>
      </c>
      <c r="S6309">
        <v>3.0144039999999999</v>
      </c>
      <c r="T6309">
        <v>-9.393907E-2</v>
      </c>
      <c r="U6309">
        <v>-0.51510619999999996</v>
      </c>
      <c r="V6309">
        <v>-0.19317960000000001</v>
      </c>
      <c r="W6309">
        <v>0.17773710000000001</v>
      </c>
      <c r="X6309">
        <v>0.96493070000000003</v>
      </c>
      <c r="Y6309">
        <v>-0.1755929</v>
      </c>
      <c r="Z6309">
        <v>1.29712E-2</v>
      </c>
      <c r="AA6309">
        <v>0.98437739999999996</v>
      </c>
      <c r="AB6309">
        <v>29</v>
      </c>
      <c r="AC6309">
        <v>35.441200000000002</v>
      </c>
      <c r="AD6309">
        <v>-1.1089847606209999</v>
      </c>
      <c r="AE6309">
        <v>-6.0287199999999999</v>
      </c>
      <c r="AF6309">
        <v>-6.3417238209509996</v>
      </c>
      <c r="AG6309">
        <v>-1.1089847606209999</v>
      </c>
      <c r="AH6309">
        <v>35.351810042906898</v>
      </c>
      <c r="AI6309">
        <v>91.768564048228399</v>
      </c>
      <c r="AJ6309">
        <v>100.170057856708</v>
      </c>
      <c r="AK6309">
        <v>35.933240621050103</v>
      </c>
      <c r="AL6309">
        <v>79.762020529496994</v>
      </c>
      <c r="AM6309">
        <v>101.320977521898</v>
      </c>
      <c r="AN6309">
        <v>1.0000000451875199</v>
      </c>
    </row>
    <row r="6310" spans="1:40" x14ac:dyDescent="0.25">
      <c r="A6310" t="str">
        <f>"20190312172240073"</f>
        <v>20190312172240073</v>
      </c>
      <c r="B6310" t="str">
        <f>"1552382560066773"</f>
        <v>1552382560066773</v>
      </c>
      <c r="C6310" t="s">
        <v>40</v>
      </c>
      <c r="D6310">
        <v>3.4029729999999998</v>
      </c>
      <c r="E6310">
        <v>0.50720120000000002</v>
      </c>
      <c r="F6310" t="s">
        <v>42</v>
      </c>
      <c r="G6310">
        <v>-330.06199999999899</v>
      </c>
      <c r="H6310" s="1">
        <v>-4.9694779999999901E-6</v>
      </c>
      <c r="I6310">
        <v>15.535819999999999</v>
      </c>
      <c r="J6310">
        <v>-363.6737</v>
      </c>
      <c r="K6310">
        <v>1.10914</v>
      </c>
      <c r="L6310">
        <v>21.251709999999999</v>
      </c>
      <c r="M6310">
        <v>0.94038900000000003</v>
      </c>
      <c r="N6310">
        <v>0</v>
      </c>
      <c r="O6310">
        <v>-0.33982790000000002</v>
      </c>
      <c r="P6310">
        <v>0.9759369</v>
      </c>
      <c r="Q6310">
        <v>0.1623946</v>
      </c>
      <c r="R6310">
        <v>-0.145517799999999</v>
      </c>
      <c r="S6310">
        <v>3.014465</v>
      </c>
      <c r="T6310">
        <v>-9.9023459999999994E-2</v>
      </c>
      <c r="U6310">
        <v>-0.51522829999999997</v>
      </c>
      <c r="V6310">
        <v>-0.19421930000000001</v>
      </c>
      <c r="W6310">
        <v>0.17621979999999901</v>
      </c>
      <c r="X6310">
        <v>0.96500019999999997</v>
      </c>
      <c r="Y6310">
        <v>-0.17629310000000001</v>
      </c>
      <c r="Z6310">
        <v>1.370625E-2</v>
      </c>
      <c r="AA6310">
        <v>0.98424230000000001</v>
      </c>
      <c r="AB6310">
        <v>29</v>
      </c>
      <c r="AC6310">
        <v>33.611699999999999</v>
      </c>
      <c r="AD6310">
        <v>-1.109144969478</v>
      </c>
      <c r="AE6310">
        <v>-5.7158899999999901</v>
      </c>
      <c r="AF6310">
        <v>-6.0412008822734702</v>
      </c>
      <c r="AG6310">
        <v>-1.109144969478</v>
      </c>
      <c r="AH6310">
        <v>33.518131846385799</v>
      </c>
      <c r="AI6310">
        <v>91.865244384522597</v>
      </c>
      <c r="AJ6310">
        <v>100.217115116977</v>
      </c>
      <c r="AK6310">
        <v>34.076259670553704</v>
      </c>
      <c r="AL6310">
        <v>79.850348952442801</v>
      </c>
      <c r="AM6310">
        <v>101.379523380178</v>
      </c>
      <c r="AN6310">
        <v>0.99999997020228404</v>
      </c>
    </row>
    <row r="6311" spans="1:40" x14ac:dyDescent="0.25">
      <c r="A6311" t="str">
        <f>"20190312172240084"</f>
        <v>20190312172240084</v>
      </c>
      <c r="B6311" t="str">
        <f>"1552382560076533"</f>
        <v>1552382560076533</v>
      </c>
      <c r="C6311" t="s">
        <v>40</v>
      </c>
      <c r="D6311">
        <v>3.4179550000000001</v>
      </c>
      <c r="E6311">
        <v>0.50718809999999903</v>
      </c>
      <c r="F6311" t="s">
        <v>42</v>
      </c>
      <c r="G6311">
        <v>-331.92840000000001</v>
      </c>
      <c r="H6311" s="1">
        <v>-4.1172570000000002E-6</v>
      </c>
      <c r="I6311">
        <v>15.826460000000001</v>
      </c>
      <c r="J6311">
        <v>-363.53960000000001</v>
      </c>
      <c r="K6311">
        <v>1.1092820000000001</v>
      </c>
      <c r="L6311">
        <v>21.202449999999999</v>
      </c>
      <c r="M6311">
        <v>0.94017490000000004</v>
      </c>
      <c r="N6311">
        <v>0</v>
      </c>
      <c r="O6311">
        <v>-0.34042060000000002</v>
      </c>
      <c r="P6311">
        <v>0.97614339999999999</v>
      </c>
      <c r="Q6311">
        <v>0.1613221</v>
      </c>
      <c r="R6311">
        <v>-0.14532500000000001</v>
      </c>
      <c r="S6311">
        <v>3.0146790000000001</v>
      </c>
      <c r="T6311">
        <v>-0.1053292</v>
      </c>
      <c r="U6311">
        <v>-0.51519780000000004</v>
      </c>
      <c r="V6311">
        <v>-0.19514590000000001</v>
      </c>
      <c r="W6311">
        <v>0.17507719999999999</v>
      </c>
      <c r="X6311">
        <v>0.96502129999999997</v>
      </c>
      <c r="Y6311">
        <v>-0.17689969999999999</v>
      </c>
      <c r="Z6311">
        <v>1.460734E-2</v>
      </c>
      <c r="AA6311">
        <v>0.98412049999999995</v>
      </c>
      <c r="AB6311">
        <v>29</v>
      </c>
      <c r="AC6311">
        <v>31.6112</v>
      </c>
      <c r="AD6311">
        <v>-1.1092861172570001</v>
      </c>
      <c r="AE6311">
        <v>-5.3759899999999901</v>
      </c>
      <c r="AF6311">
        <v>-5.7004383777327599</v>
      </c>
      <c r="AG6311">
        <v>-1.1092861172570001</v>
      </c>
      <c r="AH6311">
        <v>31.515355239244599</v>
      </c>
      <c r="AI6311">
        <v>91.983717307415702</v>
      </c>
      <c r="AJ6311">
        <v>100.252700152087</v>
      </c>
      <c r="AK6311">
        <v>32.045953398893403</v>
      </c>
      <c r="AL6311">
        <v>79.9168495934031</v>
      </c>
      <c r="AM6311">
        <v>101.432144204992</v>
      </c>
      <c r="AN6311">
        <v>1.00000002885016</v>
      </c>
    </row>
    <row r="6312" spans="1:40" x14ac:dyDescent="0.25">
      <c r="A6312" t="str">
        <f>"20190312172240103"</f>
        <v>20190312172240103</v>
      </c>
      <c r="B6312" t="str">
        <f>"1552382560097029"</f>
        <v>1552382560097029</v>
      </c>
      <c r="C6312" t="s">
        <v>40</v>
      </c>
      <c r="D6312">
        <v>3.3987880000000001</v>
      </c>
      <c r="E6312">
        <v>0.50700579999999995</v>
      </c>
      <c r="F6312" t="s">
        <v>42</v>
      </c>
      <c r="G6312">
        <v>-332.91840000000002</v>
      </c>
      <c r="H6312" s="1">
        <v>-3.6658729999999998E-6</v>
      </c>
      <c r="I6312">
        <v>15.97691</v>
      </c>
      <c r="J6312">
        <v>-363.32510000000002</v>
      </c>
      <c r="K6312">
        <v>1.109513</v>
      </c>
      <c r="L6312">
        <v>21.123719999999999</v>
      </c>
      <c r="M6312">
        <v>0.93989699999999998</v>
      </c>
      <c r="N6312">
        <v>0</v>
      </c>
      <c r="O6312">
        <v>-0.34118670000000001</v>
      </c>
      <c r="P6312">
        <v>0.97641940000000005</v>
      </c>
      <c r="Q6312">
        <v>0.1608086</v>
      </c>
      <c r="R6312">
        <v>-0.14403389999999999</v>
      </c>
      <c r="S6312">
        <v>3.0147710000000001</v>
      </c>
      <c r="T6312">
        <v>-0.109213</v>
      </c>
      <c r="U6312">
        <v>-0.51446530000000001</v>
      </c>
      <c r="V6312">
        <v>-0.19734399999999999</v>
      </c>
      <c r="W6312">
        <v>0.17444479999999901</v>
      </c>
      <c r="X6312">
        <v>0.96468869999999896</v>
      </c>
      <c r="Y6312">
        <v>-0.17791560000000001</v>
      </c>
      <c r="Z6312">
        <v>1.518969E-2</v>
      </c>
      <c r="AA6312">
        <v>0.98392849999999998</v>
      </c>
      <c r="AB6312">
        <v>29</v>
      </c>
      <c r="AC6312">
        <v>30.406700000000001</v>
      </c>
      <c r="AD6312">
        <v>-1.109516665873</v>
      </c>
      <c r="AE6312">
        <v>-5.1468100000000003</v>
      </c>
      <c r="AF6312">
        <v>-5.5302450929677098</v>
      </c>
      <c r="AG6312">
        <v>-1.109516665873</v>
      </c>
      <c r="AH6312">
        <v>30.298781573205499</v>
      </c>
      <c r="AI6312">
        <v>92.0631328469359</v>
      </c>
      <c r="AJ6312">
        <v>100.343970131571</v>
      </c>
      <c r="AK6312">
        <v>30.819325152263801</v>
      </c>
      <c r="AL6312">
        <v>79.9536491204708</v>
      </c>
      <c r="AM6312">
        <v>101.561345704622</v>
      </c>
      <c r="AN6312">
        <v>0.99999996524536405</v>
      </c>
    </row>
    <row r="6313" spans="1:40" x14ac:dyDescent="0.25">
      <c r="A6313" t="str">
        <f>"20190312172240114"</f>
        <v>20190312172240114</v>
      </c>
      <c r="B6313" t="str">
        <f>"1552382560106788"</f>
        <v>1552382560106788</v>
      </c>
      <c r="C6313" t="s">
        <v>40</v>
      </c>
      <c r="D6313">
        <v>3.3593730000000002</v>
      </c>
      <c r="E6313">
        <v>0.5068918</v>
      </c>
      <c r="F6313" t="s">
        <v>42</v>
      </c>
      <c r="G6313">
        <v>-333.51499999999999</v>
      </c>
      <c r="H6313" s="1">
        <v>-3.390116E-6</v>
      </c>
      <c r="I6313">
        <v>16.088419999999999</v>
      </c>
      <c r="J6313">
        <v>-363.16649999999998</v>
      </c>
      <c r="K6313">
        <v>1.109694</v>
      </c>
      <c r="L6313">
        <v>21.065519999999999</v>
      </c>
      <c r="M6313">
        <v>0.93975629999999999</v>
      </c>
      <c r="N6313">
        <v>0</v>
      </c>
      <c r="O6313">
        <v>-0.34157500000000002</v>
      </c>
      <c r="P6313">
        <v>0.97652609999999995</v>
      </c>
      <c r="Q6313">
        <v>0.16116079999999999</v>
      </c>
      <c r="R6313">
        <v>-0.1429134</v>
      </c>
      <c r="S6313">
        <v>3.0158079999999998</v>
      </c>
      <c r="T6313">
        <v>-0.11224679999999999</v>
      </c>
      <c r="U6313">
        <v>-0.50939939999999995</v>
      </c>
      <c r="V6313">
        <v>-0.19890949999999999</v>
      </c>
      <c r="W6313">
        <v>0.174703</v>
      </c>
      <c r="X6313">
        <v>0.96432039999999997</v>
      </c>
      <c r="Y6313">
        <v>-0.17996479999999901</v>
      </c>
      <c r="Z6313">
        <v>1.5660429999999999E-2</v>
      </c>
      <c r="AA6313">
        <v>0.98354839999999999</v>
      </c>
      <c r="AB6313">
        <v>29</v>
      </c>
      <c r="AC6313">
        <v>29.651499999999999</v>
      </c>
      <c r="AD6313">
        <v>-1.1096973901160001</v>
      </c>
      <c r="AE6313">
        <v>-4.9771000000000001</v>
      </c>
      <c r="AF6313">
        <v>-5.4440372635188696</v>
      </c>
      <c r="AG6313">
        <v>-1.1096973901160001</v>
      </c>
      <c r="AH6313">
        <v>29.527742915110402</v>
      </c>
      <c r="AI6313">
        <v>92.116609067251602</v>
      </c>
      <c r="AJ6313">
        <v>100.446326092243</v>
      </c>
      <c r="AK6313">
        <v>30.045907736080601</v>
      </c>
      <c r="AL6313">
        <v>79.9386247911185</v>
      </c>
      <c r="AM6313">
        <v>101.65489022005001</v>
      </c>
      <c r="AN6313">
        <v>0.99999998062770401</v>
      </c>
    </row>
    <row r="6314" spans="1:40" x14ac:dyDescent="0.25">
      <c r="A6314" t="str">
        <f>"20190312172240127"</f>
        <v>20190312172240127</v>
      </c>
      <c r="B6314" t="str">
        <f>"1552382560116548"</f>
        <v>1552382560116548</v>
      </c>
      <c r="C6314" t="s">
        <v>40</v>
      </c>
      <c r="D6314">
        <v>3.3683920000000001</v>
      </c>
      <c r="E6314">
        <v>0.50680670000000005</v>
      </c>
      <c r="F6314" t="s">
        <v>42</v>
      </c>
      <c r="G6314">
        <v>-333.25040000000001</v>
      </c>
      <c r="H6314" s="1">
        <v>-3.5088429999999999E-6</v>
      </c>
      <c r="I6314">
        <v>16.059229999999999</v>
      </c>
      <c r="J6314">
        <v>-363.02569999999997</v>
      </c>
      <c r="K6314">
        <v>1.1098429999999999</v>
      </c>
      <c r="L6314">
        <v>21.013919999999999</v>
      </c>
      <c r="M6314">
        <v>0.939666</v>
      </c>
      <c r="N6314">
        <v>0</v>
      </c>
      <c r="O6314">
        <v>-0.34182360000000001</v>
      </c>
      <c r="P6314">
        <v>0.97661509999999996</v>
      </c>
      <c r="Q6314">
        <v>0.16219059999999999</v>
      </c>
      <c r="R6314">
        <v>-0.1411299</v>
      </c>
      <c r="S6314">
        <v>3.016724</v>
      </c>
      <c r="T6314">
        <v>-0.111901</v>
      </c>
      <c r="U6314">
        <v>-0.50482179999999999</v>
      </c>
      <c r="V6314">
        <v>-0.20093610000000001</v>
      </c>
      <c r="W6314">
        <v>0.17564859999999999</v>
      </c>
      <c r="X6314">
        <v>0.96372829999999998</v>
      </c>
      <c r="Y6314">
        <v>-0.181726</v>
      </c>
      <c r="Z6314">
        <v>1.565132E-2</v>
      </c>
      <c r="AA6314">
        <v>0.9832246</v>
      </c>
      <c r="AB6314">
        <v>29</v>
      </c>
      <c r="AC6314">
        <v>29.775299999999898</v>
      </c>
      <c r="AD6314">
        <v>-1.1098465088429901</v>
      </c>
      <c r="AE6314">
        <v>-4.9546900000000003</v>
      </c>
      <c r="AF6314">
        <v>-5.5151996952129698</v>
      </c>
      <c r="AG6314">
        <v>-1.1098465088429901</v>
      </c>
      <c r="AH6314">
        <v>29.635139338246901</v>
      </c>
      <c r="AI6314">
        <v>92.108574657779599</v>
      </c>
      <c r="AJ6314">
        <v>100.542333188483</v>
      </c>
      <c r="AK6314">
        <v>30.1643940855535</v>
      </c>
      <c r="AL6314">
        <v>79.883595094162104</v>
      </c>
      <c r="AM6314">
        <v>101.7773694481</v>
      </c>
      <c r="AN6314">
        <v>0.99999999159302999</v>
      </c>
    </row>
    <row r="6315" spans="1:40" x14ac:dyDescent="0.25">
      <c r="A6315" t="str">
        <f>"20190312172240138"</f>
        <v>20190312172240138</v>
      </c>
      <c r="B6315" t="str">
        <f>"1552382560127020"</f>
        <v>1552382560127020</v>
      </c>
      <c r="C6315" t="s">
        <v>40</v>
      </c>
      <c r="D6315">
        <v>3.428582</v>
      </c>
      <c r="E6315">
        <v>0.50680670000000005</v>
      </c>
      <c r="F6315" t="s">
        <v>42</v>
      </c>
      <c r="G6315">
        <v>-332.03789999999998</v>
      </c>
      <c r="H6315" s="1">
        <v>-4.0581979999999999E-6</v>
      </c>
      <c r="I6315">
        <v>15.894629999999999</v>
      </c>
      <c r="J6315">
        <v>-362.88080000000002</v>
      </c>
      <c r="K6315">
        <v>1.1100030000000001</v>
      </c>
      <c r="L6315">
        <v>20.960850000000001</v>
      </c>
      <c r="M6315">
        <v>0.93959749999999997</v>
      </c>
      <c r="N6315">
        <v>0</v>
      </c>
      <c r="O6315">
        <v>-0.34201169999999997</v>
      </c>
      <c r="P6315">
        <v>0.97674749999999999</v>
      </c>
      <c r="Q6315">
        <v>0.16352920000000001</v>
      </c>
      <c r="R6315">
        <v>-0.13864560000000001</v>
      </c>
      <c r="S6315">
        <v>3.0177610000000001</v>
      </c>
      <c r="T6315">
        <v>-0.10808280000000001</v>
      </c>
      <c r="U6315">
        <v>-0.49853520000000001</v>
      </c>
      <c r="V6315">
        <v>-0.20357549999999999</v>
      </c>
      <c r="W6315">
        <v>0.1768989</v>
      </c>
      <c r="X6315">
        <v>0.96294539999999995</v>
      </c>
      <c r="Y6315">
        <v>-0.18399190000000001</v>
      </c>
      <c r="Z6315">
        <v>1.516267E-2</v>
      </c>
      <c r="AA6315">
        <v>0.98281079999999998</v>
      </c>
      <c r="AB6315">
        <v>29</v>
      </c>
      <c r="AC6315">
        <v>30.8429</v>
      </c>
      <c r="AD6315">
        <v>-1.1100070581979999</v>
      </c>
      <c r="AE6315">
        <v>-5.0662200000000004</v>
      </c>
      <c r="AF6315">
        <v>-5.7816674229823102</v>
      </c>
      <c r="AG6315">
        <v>-1.1100070581979999</v>
      </c>
      <c r="AH6315">
        <v>30.676763354681899</v>
      </c>
      <c r="AI6315">
        <v>92.036462475042299</v>
      </c>
      <c r="AJ6315">
        <v>100.673367383121</v>
      </c>
      <c r="AK6315">
        <v>31.236574776668199</v>
      </c>
      <c r="AL6315">
        <v>79.810818916853506</v>
      </c>
      <c r="AM6315">
        <v>101.937087132362</v>
      </c>
      <c r="AN6315">
        <v>1.0000000242013001</v>
      </c>
    </row>
    <row r="6316" spans="1:40" x14ac:dyDescent="0.25">
      <c r="A6316" t="str">
        <f>"20190312172240152"</f>
        <v>20190312172240152</v>
      </c>
      <c r="B6316" t="str">
        <f>"1552382560146540"</f>
        <v>1552382560146540</v>
      </c>
      <c r="C6316" t="s">
        <v>40</v>
      </c>
      <c r="D6316">
        <v>3.4001420000000002</v>
      </c>
      <c r="E6316">
        <v>0.47933049999999999</v>
      </c>
      <c r="F6316" t="s">
        <v>42</v>
      </c>
      <c r="G6316">
        <v>-330.63889999999998</v>
      </c>
      <c r="H6316" s="1">
        <v>-4.6893909999999999E-6</v>
      </c>
      <c r="I6316">
        <v>15.71964</v>
      </c>
      <c r="J6316">
        <v>-362.72710000000001</v>
      </c>
      <c r="K6316">
        <v>1.1101810000000001</v>
      </c>
      <c r="L6316">
        <v>20.90475</v>
      </c>
      <c r="M6316">
        <v>0.93959409999999999</v>
      </c>
      <c r="N6316">
        <v>0</v>
      </c>
      <c r="O6316">
        <v>-0.34202129999999997</v>
      </c>
      <c r="P6316">
        <v>0.97689000000000004</v>
      </c>
      <c r="Q6316">
        <v>0.16501859999999999</v>
      </c>
      <c r="R6316">
        <v>-0.13584979999999999</v>
      </c>
      <c r="S6316">
        <v>3.0191650000000001</v>
      </c>
      <c r="T6316">
        <v>-0.1039422</v>
      </c>
      <c r="U6316">
        <v>-0.49078369999999999</v>
      </c>
      <c r="V6316">
        <v>-0.20633480000000001</v>
      </c>
      <c r="W6316">
        <v>0.17828840000000001</v>
      </c>
      <c r="X6316">
        <v>0.96210150000000005</v>
      </c>
      <c r="Y6316">
        <v>-0.18655450000000001</v>
      </c>
      <c r="Z6316">
        <v>1.4623830000000001E-2</v>
      </c>
      <c r="AA6316">
        <v>0.98233570000000003</v>
      </c>
      <c r="AB6316">
        <v>29</v>
      </c>
      <c r="AC6316">
        <v>32.088200000000001</v>
      </c>
      <c r="AD6316">
        <v>-1.11018568939099</v>
      </c>
      <c r="AE6316">
        <v>-5.1851099999999999</v>
      </c>
      <c r="AF6316">
        <v>-6.0963999540090503</v>
      </c>
      <c r="AG6316">
        <v>-1.11018568939099</v>
      </c>
      <c r="AH6316">
        <v>31.889044117266401</v>
      </c>
      <c r="AI6316">
        <v>91.958451662088805</v>
      </c>
      <c r="AJ6316">
        <v>100.822950643556</v>
      </c>
      <c r="AK6316">
        <v>32.4855312312595</v>
      </c>
      <c r="AL6316">
        <v>79.729920721907703</v>
      </c>
      <c r="AM6316">
        <v>102.104447205516</v>
      </c>
      <c r="AN6316">
        <v>1.0000000497839201</v>
      </c>
    </row>
    <row r="6317" spans="1:40" x14ac:dyDescent="0.25">
      <c r="A6317" t="str">
        <f>"20190312172240165"</f>
        <v>20190312172240165</v>
      </c>
      <c r="B6317" t="str">
        <f>"1552382560157276"</f>
        <v>1552382560157276</v>
      </c>
      <c r="C6317" t="s">
        <v>40</v>
      </c>
      <c r="D6317">
        <v>3.3220100000000001</v>
      </c>
      <c r="E6317">
        <v>0.47189029999999998</v>
      </c>
      <c r="F6317" t="s">
        <v>43</v>
      </c>
      <c r="G6317">
        <v>-316.2647</v>
      </c>
      <c r="H6317">
        <v>-0.05</v>
      </c>
      <c r="I6317">
        <v>16.87209</v>
      </c>
      <c r="J6317">
        <v>-362.5609</v>
      </c>
      <c r="K6317">
        <v>1.11039</v>
      </c>
      <c r="L6317">
        <v>20.844180000000001</v>
      </c>
      <c r="M6317">
        <v>0.93963249999999998</v>
      </c>
      <c r="N6317">
        <v>0</v>
      </c>
      <c r="O6317">
        <v>-0.341916</v>
      </c>
      <c r="P6317">
        <v>0.97701280000000001</v>
      </c>
      <c r="Q6317">
        <v>0.1669012</v>
      </c>
      <c r="R6317">
        <v>-0.13262879999999999</v>
      </c>
      <c r="S6317">
        <v>3.0470280000000001</v>
      </c>
      <c r="T6317">
        <v>-7.6085330000000007E-2</v>
      </c>
      <c r="U6317">
        <v>-0.26446530000000001</v>
      </c>
      <c r="V6317">
        <v>-0.20938119999999999</v>
      </c>
      <c r="W6317">
        <v>0.18005560000000001</v>
      </c>
      <c r="X6317">
        <v>0.96111369999999896</v>
      </c>
      <c r="Y6317">
        <v>-0.25922840000000003</v>
      </c>
      <c r="Z6317">
        <v>1.1587439999999999E-2</v>
      </c>
      <c r="AA6317">
        <v>0.96574649999999995</v>
      </c>
      <c r="AB6317">
        <v>29</v>
      </c>
      <c r="AC6317">
        <v>46.296199999999999</v>
      </c>
      <c r="AD6317">
        <v>-1.16039</v>
      </c>
      <c r="AE6317">
        <v>-3.9720899999999899</v>
      </c>
      <c r="AF6317">
        <v>-12.0906808447226</v>
      </c>
      <c r="AG6317">
        <v>-1.16039</v>
      </c>
      <c r="AH6317">
        <v>44.835706499550099</v>
      </c>
      <c r="AI6317">
        <v>91.431426482607506</v>
      </c>
      <c r="AJ6317">
        <v>105.091755240956</v>
      </c>
      <c r="AK6317">
        <v>46.451820691495399</v>
      </c>
      <c r="AL6317">
        <v>79.627001900006704</v>
      </c>
      <c r="AM6317">
        <v>102.290013542792</v>
      </c>
      <c r="AN6317">
        <v>1.00000002516624</v>
      </c>
    </row>
    <row r="6318" spans="1:40" x14ac:dyDescent="0.25">
      <c r="A6318" t="str">
        <f>"20190312172240181"</f>
        <v>20190312172240181</v>
      </c>
      <c r="B6318" t="str">
        <f>"1552382560176795"</f>
        <v>1552382560176795</v>
      </c>
      <c r="C6318" t="s">
        <v>40</v>
      </c>
      <c r="D6318">
        <v>3.656825</v>
      </c>
      <c r="E6318">
        <v>0.46161780000000002</v>
      </c>
      <c r="F6318" t="s">
        <v>43</v>
      </c>
      <c r="G6318">
        <v>-314.31229999999999</v>
      </c>
      <c r="H6318">
        <v>-0.05</v>
      </c>
      <c r="I6318">
        <v>17.753360000000001</v>
      </c>
      <c r="J6318">
        <v>-362.37090000000001</v>
      </c>
      <c r="K6318">
        <v>1.1106549999999999</v>
      </c>
      <c r="L6318">
        <v>20.775179999999999</v>
      </c>
      <c r="M6318">
        <v>0.93974669999999905</v>
      </c>
      <c r="N6318">
        <v>0</v>
      </c>
      <c r="O6318">
        <v>-0.34160210000000002</v>
      </c>
      <c r="P6318">
        <v>0.9776996</v>
      </c>
      <c r="Q6318">
        <v>0.16904249999999901</v>
      </c>
      <c r="R6318">
        <v>-0.1246126</v>
      </c>
      <c r="S6318">
        <v>3.0565190000000002</v>
      </c>
      <c r="T6318">
        <v>-7.3509930000000001E-2</v>
      </c>
      <c r="U6318">
        <v>-0.1958008</v>
      </c>
      <c r="V6318">
        <v>-0.21693409999999999</v>
      </c>
      <c r="W6318">
        <v>0.1820407</v>
      </c>
      <c r="X6318">
        <v>0.95906250000000004</v>
      </c>
      <c r="Y6318">
        <v>-0.28067700000000001</v>
      </c>
      <c r="Z6318">
        <v>1.142843E-2</v>
      </c>
      <c r="AA6318">
        <v>0.95973430000000004</v>
      </c>
      <c r="AB6318">
        <v>29</v>
      </c>
      <c r="AC6318">
        <v>48.058599999999998</v>
      </c>
      <c r="AD6318">
        <v>-1.160655</v>
      </c>
      <c r="AE6318">
        <v>-3.0218199999999902</v>
      </c>
      <c r="AF6318">
        <v>-13.5705395512464</v>
      </c>
      <c r="AG6318">
        <v>-1.160655</v>
      </c>
      <c r="AH6318">
        <v>46.172600017501303</v>
      </c>
      <c r="AI6318">
        <v>91.381547736923395</v>
      </c>
      <c r="AJ6318">
        <v>106.37853332088901</v>
      </c>
      <c r="AK6318">
        <v>48.139543580274299</v>
      </c>
      <c r="AL6318">
        <v>79.511353099072593</v>
      </c>
      <c r="AM6318">
        <v>102.745476821263</v>
      </c>
      <c r="AN6318">
        <v>1.0000000495527701</v>
      </c>
    </row>
    <row r="6319" spans="1:40" x14ac:dyDescent="0.25">
      <c r="A6319" t="str">
        <f>"20190312172240193"</f>
        <v>20190312172240193</v>
      </c>
      <c r="B6319" t="str">
        <f>"1552382560186555"</f>
        <v>1552382560186555</v>
      </c>
      <c r="C6319" t="s">
        <v>40</v>
      </c>
      <c r="D6319">
        <v>3.3549280000000001</v>
      </c>
      <c r="E6319">
        <v>0.45901350000000002</v>
      </c>
      <c r="F6319" t="s">
        <v>43</v>
      </c>
      <c r="G6319">
        <v>-312.48950000000002</v>
      </c>
      <c r="H6319">
        <v>-0.05</v>
      </c>
      <c r="I6319">
        <v>19.298649999999999</v>
      </c>
      <c r="J6319">
        <v>-362.21170000000001</v>
      </c>
      <c r="K6319">
        <v>1.1108800000000001</v>
      </c>
      <c r="L6319">
        <v>20.717680000000001</v>
      </c>
      <c r="M6319">
        <v>0.9399189</v>
      </c>
      <c r="N6319">
        <v>0</v>
      </c>
      <c r="O6319">
        <v>-0.3411283</v>
      </c>
      <c r="P6319">
        <v>0.97812650000000001</v>
      </c>
      <c r="Q6319">
        <v>0.1696204</v>
      </c>
      <c r="R6319">
        <v>-0.1204065</v>
      </c>
      <c r="S6319">
        <v>3.0692140000000001</v>
      </c>
      <c r="T6319">
        <v>-7.1415309999999996E-2</v>
      </c>
      <c r="U6319">
        <v>-9.0850829999999994E-2</v>
      </c>
      <c r="V6319">
        <v>-0.22064410000000001</v>
      </c>
      <c r="W6319">
        <v>0.18249029999999999</v>
      </c>
      <c r="X6319">
        <v>0.95813020000000004</v>
      </c>
      <c r="Y6319">
        <v>-0.31302410000000003</v>
      </c>
      <c r="Z6319">
        <v>1.1443170000000001E-2</v>
      </c>
      <c r="AA6319">
        <v>0.94967630000000003</v>
      </c>
      <c r="AB6319">
        <v>29</v>
      </c>
      <c r="AC6319">
        <v>49.722200000000001</v>
      </c>
      <c r="AD6319">
        <v>-1.1608799999999999</v>
      </c>
      <c r="AE6319">
        <v>-1.41902999999999</v>
      </c>
      <c r="AF6319">
        <v>-15.620806041048899</v>
      </c>
      <c r="AG6319">
        <v>-1.1608799999999999</v>
      </c>
      <c r="AH6319">
        <v>47.197543932464903</v>
      </c>
      <c r="AI6319">
        <v>91.337643538959</v>
      </c>
      <c r="AJ6319">
        <v>108.312813809144</v>
      </c>
      <c r="AK6319">
        <v>49.7289189205177</v>
      </c>
      <c r="AL6319">
        <v>79.485153585718606</v>
      </c>
      <c r="AM6319">
        <v>102.96833414757199</v>
      </c>
      <c r="AN6319">
        <v>1.00000000430547</v>
      </c>
    </row>
    <row r="6320" spans="1:40" x14ac:dyDescent="0.25">
      <c r="A6320" t="str">
        <f>"20190312172240205"</f>
        <v>20190312172240205</v>
      </c>
      <c r="B6320" t="str">
        <f>"1552382560197291"</f>
        <v>1552382560197291</v>
      </c>
      <c r="C6320" t="s">
        <v>40</v>
      </c>
      <c r="D6320">
        <v>3.4152870000000002</v>
      </c>
      <c r="E6320">
        <v>0.45687990000000001</v>
      </c>
      <c r="F6320" t="s">
        <v>43</v>
      </c>
      <c r="G6320">
        <v>-309.52210000000002</v>
      </c>
      <c r="H6320">
        <v>-0.05</v>
      </c>
      <c r="I6320">
        <v>19.733029999999999</v>
      </c>
      <c r="J6320">
        <v>-362.07510000000002</v>
      </c>
      <c r="K6320">
        <v>1.1110739999999999</v>
      </c>
      <c r="L6320">
        <v>20.668520000000001</v>
      </c>
      <c r="M6320">
        <v>0.94009569999999998</v>
      </c>
      <c r="N6320">
        <v>0</v>
      </c>
      <c r="O6320">
        <v>-0.34064050000000001</v>
      </c>
      <c r="P6320">
        <v>0.97861819999999999</v>
      </c>
      <c r="Q6320">
        <v>0.170010299999999</v>
      </c>
      <c r="R6320">
        <v>-0.1157701</v>
      </c>
      <c r="S6320">
        <v>3.0717469999999998</v>
      </c>
      <c r="T6320">
        <v>-6.7678089999999996E-2</v>
      </c>
      <c r="U6320">
        <v>-5.7403559999999999E-2</v>
      </c>
      <c r="V6320">
        <v>-0.22475319999999999</v>
      </c>
      <c r="W6320">
        <v>0.1827636</v>
      </c>
      <c r="X6320">
        <v>0.95712249999999999</v>
      </c>
      <c r="Y6320">
        <v>-0.3228876</v>
      </c>
      <c r="Z6320">
        <v>1.093888E-2</v>
      </c>
      <c r="AA6320">
        <v>0.9463741</v>
      </c>
      <c r="AB6320">
        <v>29</v>
      </c>
      <c r="AC6320">
        <v>52.552999999999997</v>
      </c>
      <c r="AD6320">
        <v>-1.1610739999999999</v>
      </c>
      <c r="AE6320">
        <v>-0.93549000000000104</v>
      </c>
      <c r="AF6320">
        <v>-17.015494454987</v>
      </c>
      <c r="AG6320">
        <v>-1.1610739999999999</v>
      </c>
      <c r="AH6320">
        <v>49.7038397460583</v>
      </c>
      <c r="AI6320">
        <v>91.2660690632365</v>
      </c>
      <c r="AJ6320">
        <v>108.898004987924</v>
      </c>
      <c r="AK6320">
        <v>52.5485188172132</v>
      </c>
      <c r="AL6320">
        <v>79.469226827766306</v>
      </c>
      <c r="AM6320">
        <v>103.21487344054999</v>
      </c>
      <c r="AN6320">
        <v>1.00000000720072</v>
      </c>
    </row>
    <row r="6321" spans="1:40" x14ac:dyDescent="0.25">
      <c r="A6321" t="str">
        <f>"20190312172240215"</f>
        <v>20190312172240215</v>
      </c>
      <c r="B6321" t="str">
        <f>"1552382560207052"</f>
        <v>1552382560207052</v>
      </c>
      <c r="C6321" t="s">
        <v>40</v>
      </c>
      <c r="D6321">
        <v>3.4367179999999999</v>
      </c>
      <c r="E6321">
        <v>0.45522410000000002</v>
      </c>
      <c r="F6321" t="s">
        <v>43</v>
      </c>
      <c r="G6321">
        <v>-310.96190000000001</v>
      </c>
      <c r="H6321">
        <v>-0.05</v>
      </c>
      <c r="I6321">
        <v>20.22409</v>
      </c>
      <c r="J6321">
        <v>-361.94319999999999</v>
      </c>
      <c r="K6321">
        <v>1.1112599999999999</v>
      </c>
      <c r="L6321">
        <v>20.621220000000001</v>
      </c>
      <c r="M6321">
        <v>0.94029969999999996</v>
      </c>
      <c r="N6321">
        <v>0</v>
      </c>
      <c r="O6321">
        <v>-0.34007700000000002</v>
      </c>
      <c r="P6321">
        <v>0.97888589999999998</v>
      </c>
      <c r="Q6321">
        <v>0.1712552</v>
      </c>
      <c r="R6321">
        <v>-0.1115983</v>
      </c>
      <c r="S6321">
        <v>3.074554</v>
      </c>
      <c r="T6321">
        <v>-6.984079E-2</v>
      </c>
      <c r="U6321">
        <v>-2.6733400000000001E-2</v>
      </c>
      <c r="V6321">
        <v>-0.22827169999999999</v>
      </c>
      <c r="W6321">
        <v>0.18389340000000001</v>
      </c>
      <c r="X6321">
        <v>0.95607279999999994</v>
      </c>
      <c r="Y6321">
        <v>-0.3317486</v>
      </c>
      <c r="Z6321">
        <v>1.137055E-2</v>
      </c>
      <c r="AA6321">
        <v>0.94329929999999995</v>
      </c>
      <c r="AB6321">
        <v>29</v>
      </c>
      <c r="AC6321">
        <v>50.981299999999898</v>
      </c>
      <c r="AD6321">
        <v>-1.16126</v>
      </c>
      <c r="AE6321">
        <v>-0.39712999999999998</v>
      </c>
      <c r="AF6321">
        <v>-16.956910711446099</v>
      </c>
      <c r="AG6321">
        <v>-1.16126</v>
      </c>
      <c r="AH6321">
        <v>48.052251652976203</v>
      </c>
      <c r="AI6321">
        <v>91.305503708713402</v>
      </c>
      <c r="AJ6321">
        <v>109.437164030628</v>
      </c>
      <c r="AK6321">
        <v>50.969640322298801</v>
      </c>
      <c r="AL6321">
        <v>79.403377685381898</v>
      </c>
      <c r="AM6321">
        <v>103.42852334689201</v>
      </c>
      <c r="AN6321">
        <v>0.99999997524214401</v>
      </c>
    </row>
    <row r="6322" spans="1:40" x14ac:dyDescent="0.25">
      <c r="A6322" t="str">
        <f>"20190312172240227"</f>
        <v>20190312172240227</v>
      </c>
      <c r="B6322" t="str">
        <f>"1552382560216812"</f>
        <v>1552382560216812</v>
      </c>
      <c r="C6322" t="s">
        <v>40</v>
      </c>
      <c r="D6322">
        <v>2.9535399999999998</v>
      </c>
      <c r="E6322">
        <v>0.45416339999999999</v>
      </c>
      <c r="F6322" t="s">
        <v>43</v>
      </c>
      <c r="G6322">
        <v>-308.57100000000003</v>
      </c>
      <c r="H6322">
        <v>-0.05</v>
      </c>
      <c r="I6322">
        <v>20.603210000000001</v>
      </c>
      <c r="J6322">
        <v>-361.79969999999997</v>
      </c>
      <c r="K6322">
        <v>1.111462</v>
      </c>
      <c r="L6322">
        <v>20.57001</v>
      </c>
      <c r="M6322">
        <v>0.94057020000000002</v>
      </c>
      <c r="N6322">
        <v>0</v>
      </c>
      <c r="O6322">
        <v>-0.33932830000000003</v>
      </c>
      <c r="P6322">
        <v>0.97909959999999996</v>
      </c>
      <c r="Q6322">
        <v>0.1726461</v>
      </c>
      <c r="R6322">
        <v>-0.1075055</v>
      </c>
      <c r="S6322">
        <v>3.0763240000000001</v>
      </c>
      <c r="T6322">
        <v>-6.6933870000000006E-2</v>
      </c>
      <c r="U6322">
        <v>-1.037598E-3</v>
      </c>
      <c r="V6322">
        <v>-0.23151820000000001</v>
      </c>
      <c r="W6322">
        <v>0.18515870000000001</v>
      </c>
      <c r="X6322">
        <v>0.95504739999999999</v>
      </c>
      <c r="Y6322">
        <v>-0.33888420000000002</v>
      </c>
      <c r="Z6322">
        <v>1.095607E-2</v>
      </c>
      <c r="AA6322">
        <v>0.9407643</v>
      </c>
      <c r="AB6322">
        <v>29</v>
      </c>
      <c r="AC6322">
        <v>53.228700000000003</v>
      </c>
      <c r="AD6322">
        <v>-1.161462</v>
      </c>
      <c r="AE6322">
        <v>3.3200000000000701E-2</v>
      </c>
      <c r="AF6322">
        <v>-18.086284777697401</v>
      </c>
      <c r="AG6322">
        <v>-1.161462</v>
      </c>
      <c r="AH6322">
        <v>50.034846322829999</v>
      </c>
      <c r="AI6322">
        <v>91.250602937764597</v>
      </c>
      <c r="AJ6322">
        <v>109.873594301181</v>
      </c>
      <c r="AK6322">
        <v>53.216055261421097</v>
      </c>
      <c r="AL6322">
        <v>79.329614678515597</v>
      </c>
      <c r="AM6322">
        <v>103.626516489458</v>
      </c>
      <c r="AN6322">
        <v>0.99999997868184398</v>
      </c>
    </row>
    <row r="6323" spans="1:40" x14ac:dyDescent="0.25">
      <c r="A6323" t="str">
        <f>"20190312172240241"</f>
        <v>20190312172240241</v>
      </c>
      <c r="B6323" t="str">
        <f>"1552382560237306"</f>
        <v>1552382560237306</v>
      </c>
      <c r="C6323" t="s">
        <v>40</v>
      </c>
      <c r="D6323">
        <v>3.3691490000000002</v>
      </c>
      <c r="E6323">
        <v>0.45358359999999898</v>
      </c>
      <c r="F6323" t="s">
        <v>43</v>
      </c>
      <c r="G6323">
        <v>-285.00279999999998</v>
      </c>
      <c r="H6323">
        <v>-0.05</v>
      </c>
      <c r="I6323">
        <v>21.093669999999999</v>
      </c>
      <c r="J6323">
        <v>-361.64690000000002</v>
      </c>
      <c r="K6323">
        <v>1.1116729999999999</v>
      </c>
      <c r="L6323">
        <v>20.515720000000002</v>
      </c>
      <c r="M6323">
        <v>0.94088640000000001</v>
      </c>
      <c r="N6323">
        <v>0</v>
      </c>
      <c r="O6323">
        <v>-0.33845019999999998</v>
      </c>
      <c r="P6323">
        <v>0.97936699999999999</v>
      </c>
      <c r="Q6323">
        <v>0.17359279999999999</v>
      </c>
      <c r="R6323">
        <v>-0.10347000000000001</v>
      </c>
      <c r="S6323">
        <v>3.074554</v>
      </c>
      <c r="T6323">
        <v>-4.649901E-2</v>
      </c>
      <c r="U6323">
        <v>2.0965580000000001E-2</v>
      </c>
      <c r="V6323">
        <v>-0.2346057</v>
      </c>
      <c r="W6323">
        <v>0.1859721</v>
      </c>
      <c r="X6323">
        <v>0.95413550000000003</v>
      </c>
      <c r="Y6323">
        <v>-0.34481299999999998</v>
      </c>
      <c r="Z6323">
        <v>7.6496849999999998E-3</v>
      </c>
      <c r="AA6323">
        <v>0.93864020000000004</v>
      </c>
      <c r="AB6323">
        <v>29</v>
      </c>
      <c r="AC6323">
        <v>76.644099999999995</v>
      </c>
      <c r="AD6323">
        <v>-1.161673</v>
      </c>
      <c r="AE6323">
        <v>0.57794999999999697</v>
      </c>
      <c r="AF6323">
        <v>-26.480353487729701</v>
      </c>
      <c r="AG6323">
        <v>-1.161673</v>
      </c>
      <c r="AH6323">
        <v>71.907891997729095</v>
      </c>
      <c r="AI6323">
        <v>90.868524226748093</v>
      </c>
      <c r="AJ6323">
        <v>110.21642067841201</v>
      </c>
      <c r="AK6323">
        <v>76.637481277447506</v>
      </c>
      <c r="AL6323">
        <v>79.282186832258105</v>
      </c>
      <c r="AM6323">
        <v>103.814018324069</v>
      </c>
      <c r="AN6323">
        <v>1.0000000044055699</v>
      </c>
    </row>
    <row r="6324" spans="1:40" x14ac:dyDescent="0.25">
      <c r="A6324" t="str">
        <f>"20190312172240252"</f>
        <v>20190312172240252</v>
      </c>
      <c r="B6324" t="str">
        <f>"1552382560247067"</f>
        <v>1552382560247067</v>
      </c>
      <c r="C6324" t="s">
        <v>40</v>
      </c>
      <c r="D6324">
        <v>3.3318889999999999</v>
      </c>
      <c r="E6324">
        <v>0.45317429999999997</v>
      </c>
      <c r="F6324" t="s">
        <v>70</v>
      </c>
      <c r="G6324">
        <v>-279.68</v>
      </c>
      <c r="H6324">
        <v>0.49521029999999999</v>
      </c>
      <c r="I6324">
        <v>21.5655</v>
      </c>
      <c r="J6324">
        <v>-361.49919999999997</v>
      </c>
      <c r="K6324">
        <v>1.1118729999999999</v>
      </c>
      <c r="L6324">
        <v>20.463650000000001</v>
      </c>
      <c r="M6324">
        <v>0.94126449999999995</v>
      </c>
      <c r="N6324">
        <v>0</v>
      </c>
      <c r="O6324">
        <v>-0.33739740000000001</v>
      </c>
      <c r="P6324">
        <v>0.97965990000000003</v>
      </c>
      <c r="Q6324">
        <v>0.17427029999999999</v>
      </c>
      <c r="R6324">
        <v>-9.9480849999999996E-2</v>
      </c>
      <c r="S6324">
        <v>3.0714419999999998</v>
      </c>
      <c r="T6324">
        <v>-2.309978E-2</v>
      </c>
      <c r="U6324">
        <v>3.9337160000000003E-2</v>
      </c>
      <c r="V6324">
        <v>-0.23747850000000001</v>
      </c>
      <c r="W6324">
        <v>0.1865221</v>
      </c>
      <c r="X6324">
        <v>0.95331710000000003</v>
      </c>
      <c r="Y6324">
        <v>-0.34943689999999999</v>
      </c>
      <c r="Z6324">
        <v>3.814596E-3</v>
      </c>
      <c r="AA6324">
        <v>0.93695209999999995</v>
      </c>
      <c r="AB6324">
        <v>29</v>
      </c>
      <c r="AC6324">
        <v>81.819199999999896</v>
      </c>
      <c r="AD6324">
        <v>-0.61666269999999901</v>
      </c>
      <c r="AE6324">
        <v>1.10184999999999</v>
      </c>
      <c r="AF6324">
        <v>-28.6437282686712</v>
      </c>
      <c r="AG6324">
        <v>-0.61666269999999901</v>
      </c>
      <c r="AH6324">
        <v>76.644451279588196</v>
      </c>
      <c r="AI6324">
        <v>90.431809455830603</v>
      </c>
      <c r="AJ6324">
        <v>110.491828857245</v>
      </c>
      <c r="AK6324">
        <v>81.824295621558605</v>
      </c>
      <c r="AL6324">
        <v>79.250113042019905</v>
      </c>
      <c r="AM6324">
        <v>103.98810833971299</v>
      </c>
      <c r="AN6324">
        <v>1.00000001245153</v>
      </c>
    </row>
    <row r="6325" spans="1:40" x14ac:dyDescent="0.25">
      <c r="A6325" t="str">
        <f>"20190312172240264"</f>
        <v>20190312172240264</v>
      </c>
      <c r="B6325" t="str">
        <f>"1552382560256827"</f>
        <v>1552382560256827</v>
      </c>
      <c r="C6325" t="s">
        <v>40</v>
      </c>
      <c r="D6325">
        <v>3.6035349999999999</v>
      </c>
      <c r="E6325">
        <v>0.45321070000000002</v>
      </c>
      <c r="F6325" t="s">
        <v>70</v>
      </c>
      <c r="G6325">
        <v>-279.68</v>
      </c>
      <c r="H6325">
        <v>0.49993979999999999</v>
      </c>
      <c r="I6325">
        <v>21.944559999999999</v>
      </c>
      <c r="J6325">
        <v>-361.3596</v>
      </c>
      <c r="K6325">
        <v>1.1120490000000001</v>
      </c>
      <c r="L6325">
        <v>20.414670000000001</v>
      </c>
      <c r="M6325">
        <v>0.94164349999999997</v>
      </c>
      <c r="N6325">
        <v>0</v>
      </c>
      <c r="O6325">
        <v>-0.33633829999999998</v>
      </c>
      <c r="P6325">
        <v>0.97995030000000005</v>
      </c>
      <c r="Q6325">
        <v>0.1746375</v>
      </c>
      <c r="R6325">
        <v>-9.5913079999999998E-2</v>
      </c>
      <c r="S6325">
        <v>3.0720209999999999</v>
      </c>
      <c r="T6325">
        <v>-2.2975800000000001E-2</v>
      </c>
      <c r="U6325">
        <v>5.5603029999999998E-2</v>
      </c>
      <c r="V6325">
        <v>-0.23994180000000001</v>
      </c>
      <c r="W6325">
        <v>0.18677179999999999</v>
      </c>
      <c r="X6325">
        <v>0.95265109999999997</v>
      </c>
      <c r="Y6325">
        <v>-0.35333740000000002</v>
      </c>
      <c r="Z6325">
        <v>3.8008400000000002E-3</v>
      </c>
      <c r="AA6325">
        <v>0.93548819999999999</v>
      </c>
      <c r="AB6325">
        <v>29</v>
      </c>
      <c r="AC6325">
        <v>81.679599999999994</v>
      </c>
      <c r="AD6325">
        <v>-0.61210920000000002</v>
      </c>
      <c r="AE6325">
        <v>1.52988999999999</v>
      </c>
      <c r="AF6325">
        <v>-28.913626842086501</v>
      </c>
      <c r="AG6325">
        <v>-0.61210920000000002</v>
      </c>
      <c r="AH6325">
        <v>76.401246784084293</v>
      </c>
      <c r="AI6325">
        <v>90.429316937175003</v>
      </c>
      <c r="AJ6325">
        <v>110.72886966745</v>
      </c>
      <c r="AK6325">
        <v>81.691633629146594</v>
      </c>
      <c r="AL6325">
        <v>79.235549647758404</v>
      </c>
      <c r="AM6325">
        <v>104.136902010501</v>
      </c>
      <c r="AN6325">
        <v>0.99999994549684301</v>
      </c>
    </row>
    <row r="6326" spans="1:40" x14ac:dyDescent="0.25">
      <c r="A6326" t="str">
        <f>"20190312172240281"</f>
        <v>20190312172240281</v>
      </c>
      <c r="B6326" t="str">
        <f>"1552382560277324"</f>
        <v>1552382560277324</v>
      </c>
      <c r="C6326" t="s">
        <v>40</v>
      </c>
      <c r="D6326">
        <v>3.3194430000000001</v>
      </c>
      <c r="E6326">
        <v>0.45338709999999999</v>
      </c>
      <c r="F6326" t="s">
        <v>70</v>
      </c>
      <c r="G6326">
        <v>-279.68</v>
      </c>
      <c r="H6326">
        <v>0.70422299999999904</v>
      </c>
      <c r="I6326">
        <v>22.19164</v>
      </c>
      <c r="J6326">
        <v>-361.1635</v>
      </c>
      <c r="K6326">
        <v>1.1122829999999999</v>
      </c>
      <c r="L6326">
        <v>20.346309999999999</v>
      </c>
      <c r="M6326">
        <v>0.94223120000000005</v>
      </c>
      <c r="N6326">
        <v>0</v>
      </c>
      <c r="O6326">
        <v>-0.33468799999999999</v>
      </c>
      <c r="P6326">
        <v>0.9806357</v>
      </c>
      <c r="Q6326">
        <v>0.173654</v>
      </c>
      <c r="R6326">
        <v>-9.0542600000000001E-2</v>
      </c>
      <c r="S6326">
        <v>3.0706479999999998</v>
      </c>
      <c r="T6326">
        <v>-1.5331630000000001E-2</v>
      </c>
      <c r="U6326">
        <v>6.6802979999999998E-2</v>
      </c>
      <c r="V6326">
        <v>-0.24366180000000001</v>
      </c>
      <c r="W6326">
        <v>0.18562819999999999</v>
      </c>
      <c r="X6326">
        <v>0.95193019999999995</v>
      </c>
      <c r="Y6326">
        <v>-0.35512680000000002</v>
      </c>
      <c r="Z6326">
        <v>2.5341970000000002E-3</v>
      </c>
      <c r="AA6326">
        <v>0.9348147</v>
      </c>
      <c r="AB6326">
        <v>29</v>
      </c>
      <c r="AC6326">
        <v>81.483499999999907</v>
      </c>
      <c r="AD6326">
        <v>-0.40805999999999998</v>
      </c>
      <c r="AE6326">
        <v>1.8453299999999999</v>
      </c>
      <c r="AF6326">
        <v>-29.012223714774201</v>
      </c>
      <c r="AG6326">
        <v>-0.40805999999999998</v>
      </c>
      <c r="AH6326">
        <v>76.163796365311498</v>
      </c>
      <c r="AI6326">
        <v>90.286861919036099</v>
      </c>
      <c r="AJ6326">
        <v>110.852778995976</v>
      </c>
      <c r="AK6326">
        <v>81.503371185591703</v>
      </c>
      <c r="AL6326">
        <v>79.302240016642799</v>
      </c>
      <c r="AM6326">
        <v>104.357510233105</v>
      </c>
      <c r="AN6326">
        <v>1.0000000035432599</v>
      </c>
    </row>
    <row r="6327" spans="1:40" x14ac:dyDescent="0.25">
      <c r="A6327" t="str">
        <f>"20190312172240291"</f>
        <v>20190312172240291</v>
      </c>
      <c r="B6327" t="str">
        <f>"1552382560287083"</f>
        <v>1552382560287083</v>
      </c>
      <c r="C6327" t="s">
        <v>40</v>
      </c>
      <c r="D6327">
        <v>3.3840490000000001</v>
      </c>
      <c r="E6327">
        <v>0.45351570000000002</v>
      </c>
      <c r="F6327" t="s">
        <v>70</v>
      </c>
      <c r="G6327">
        <v>-279.68</v>
      </c>
      <c r="H6327">
        <v>0.83192319999999997</v>
      </c>
      <c r="I6327">
        <v>22.49541</v>
      </c>
      <c r="J6327">
        <v>-361.02249999999998</v>
      </c>
      <c r="K6327">
        <v>1.112444</v>
      </c>
      <c r="L6327">
        <v>20.297730000000001</v>
      </c>
      <c r="M6327">
        <v>0.94270940000000003</v>
      </c>
      <c r="N6327">
        <v>0</v>
      </c>
      <c r="O6327">
        <v>-0.33333839999999998</v>
      </c>
      <c r="P6327">
        <v>0.98099550000000002</v>
      </c>
      <c r="Q6327">
        <v>0.17306969999999999</v>
      </c>
      <c r="R6327">
        <v>-8.7720259999999994E-2</v>
      </c>
      <c r="S6327">
        <v>3.0685730000000002</v>
      </c>
      <c r="T6327">
        <v>-1.055789E-2</v>
      </c>
      <c r="U6327">
        <v>8.0932619999999997E-2</v>
      </c>
      <c r="V6327">
        <v>-0.245145</v>
      </c>
      <c r="W6327">
        <v>0.1849431</v>
      </c>
      <c r="X6327">
        <v>0.95168269999999999</v>
      </c>
      <c r="Y6327">
        <v>-0.35810649999999999</v>
      </c>
      <c r="Z6327">
        <v>1.747134E-3</v>
      </c>
      <c r="AA6327">
        <v>0.93367909999999998</v>
      </c>
      <c r="AB6327">
        <v>29</v>
      </c>
      <c r="AC6327">
        <v>81.342499999999902</v>
      </c>
      <c r="AD6327">
        <v>-0.28052080000000001</v>
      </c>
      <c r="AE6327">
        <v>2.1976800000000001</v>
      </c>
      <c r="AF6327">
        <v>-29.1886982931684</v>
      </c>
      <c r="AG6327">
        <v>-0.28052080000000001</v>
      </c>
      <c r="AH6327">
        <v>75.955872811454796</v>
      </c>
      <c r="AI6327">
        <v>90.197521864721395</v>
      </c>
      <c r="AJ6327">
        <v>111.021016123519</v>
      </c>
      <c r="AK6327">
        <v>81.371699100600907</v>
      </c>
      <c r="AL6327">
        <v>79.342184884143805</v>
      </c>
      <c r="AM6327">
        <v>104.444860449469</v>
      </c>
      <c r="AN6327">
        <v>0.99999999137094997</v>
      </c>
    </row>
    <row r="6328" spans="1:40" x14ac:dyDescent="0.25">
      <c r="A6328" t="str">
        <f>"20190312172240304"</f>
        <v>20190312172240304</v>
      </c>
      <c r="B6328" t="str">
        <f>"1552382560296843"</f>
        <v>1552382560296843</v>
      </c>
      <c r="C6328" t="s">
        <v>40</v>
      </c>
      <c r="D6328">
        <v>3.3608030000000002</v>
      </c>
      <c r="E6328">
        <v>0.45369229999999999</v>
      </c>
      <c r="F6328" t="s">
        <v>70</v>
      </c>
      <c r="G6328">
        <v>-279.68</v>
      </c>
      <c r="H6328">
        <v>0.87543090000000001</v>
      </c>
      <c r="I6328">
        <v>22.612960000000001</v>
      </c>
      <c r="J6328">
        <v>-360.87549999999999</v>
      </c>
      <c r="K6328">
        <v>1.112603</v>
      </c>
      <c r="L6328">
        <v>20.247219999999999</v>
      </c>
      <c r="M6328">
        <v>0.94322410000000001</v>
      </c>
      <c r="N6328">
        <v>0</v>
      </c>
      <c r="O6328">
        <v>-0.33187899999999998</v>
      </c>
      <c r="P6328">
        <v>0.98111610000000005</v>
      </c>
      <c r="Q6328">
        <v>0.1737059</v>
      </c>
      <c r="R6328">
        <v>-8.5071160000000007E-2</v>
      </c>
      <c r="S6328">
        <v>3.0675349999999999</v>
      </c>
      <c r="T6328">
        <v>-8.9379549999999992E-3</v>
      </c>
      <c r="U6328">
        <v>8.7310789999999999E-2</v>
      </c>
      <c r="V6328">
        <v>-0.24628130000000001</v>
      </c>
      <c r="W6328">
        <v>0.18547640000000001</v>
      </c>
      <c r="X6328">
        <v>0.95128550000000001</v>
      </c>
      <c r="Y6328">
        <v>-0.35861079999999901</v>
      </c>
      <c r="Z6328">
        <v>1.4762760000000001E-3</v>
      </c>
      <c r="AA6328">
        <v>0.93348600000000004</v>
      </c>
      <c r="AB6328">
        <v>29</v>
      </c>
      <c r="AC6328">
        <v>81.195499999999896</v>
      </c>
      <c r="AD6328">
        <v>-0.237172099999999</v>
      </c>
      <c r="AE6328">
        <v>2.3657400000000002</v>
      </c>
      <c r="AF6328">
        <v>-29.180949495188901</v>
      </c>
      <c r="AG6328">
        <v>-0.237172099999999</v>
      </c>
      <c r="AH6328">
        <v>75.806765085877203</v>
      </c>
      <c r="AI6328">
        <v>90.167290960715405</v>
      </c>
      <c r="AJ6328">
        <v>111.053641355043</v>
      </c>
      <c r="AK6328">
        <v>81.229610960727697</v>
      </c>
      <c r="AL6328">
        <v>79.311091596244907</v>
      </c>
      <c r="AM6328">
        <v>104.514797980704</v>
      </c>
      <c r="AN6328">
        <v>1.00000003809844</v>
      </c>
    </row>
    <row r="6329" spans="1:40" x14ac:dyDescent="0.25">
      <c r="A6329" t="str">
        <f>"20190312172240314"</f>
        <v>20190312172240314</v>
      </c>
      <c r="B6329" t="str">
        <f>"1552382560306603"</f>
        <v>1552382560306603</v>
      </c>
      <c r="C6329" t="s">
        <v>40</v>
      </c>
      <c r="D6329">
        <v>3.4725679999999999</v>
      </c>
      <c r="E6329">
        <v>0.4539241</v>
      </c>
      <c r="F6329" t="s">
        <v>70</v>
      </c>
      <c r="G6329">
        <v>-279.68</v>
      </c>
      <c r="H6329">
        <v>1.0105679999999999</v>
      </c>
      <c r="I6329">
        <v>22.699660000000002</v>
      </c>
      <c r="J6329">
        <v>-360.7414</v>
      </c>
      <c r="K6329">
        <v>1.1127419999999999</v>
      </c>
      <c r="L6329">
        <v>20.20157</v>
      </c>
      <c r="M6329">
        <v>0.94372250000000002</v>
      </c>
      <c r="N6329">
        <v>0</v>
      </c>
      <c r="O6329">
        <v>-0.33045920000000001</v>
      </c>
      <c r="P6329">
        <v>0.981186</v>
      </c>
      <c r="Q6329">
        <v>0.174667299999999</v>
      </c>
      <c r="R6329">
        <v>-8.2254190000000005E-2</v>
      </c>
      <c r="S6329">
        <v>3.0664980000000002</v>
      </c>
      <c r="T6329">
        <v>-3.8534400000000001E-3</v>
      </c>
      <c r="U6329">
        <v>9.2620850000000005E-2</v>
      </c>
      <c r="V6329">
        <v>-0.2475936</v>
      </c>
      <c r="W6329">
        <v>0.18634600000000001</v>
      </c>
      <c r="X6329">
        <v>0.95077469999999997</v>
      </c>
      <c r="Y6329">
        <v>-0.3588324</v>
      </c>
      <c r="Z6329">
        <v>6.3513209999999998E-4</v>
      </c>
      <c r="AA6329">
        <v>0.93340179999999995</v>
      </c>
      <c r="AB6329">
        <v>29</v>
      </c>
      <c r="AC6329">
        <v>81.061399999999907</v>
      </c>
      <c r="AD6329">
        <v>-0.102173999999999</v>
      </c>
      <c r="AE6329">
        <v>2.4980899999999999</v>
      </c>
      <c r="AF6329">
        <v>-29.147632744674599</v>
      </c>
      <c r="AG6329">
        <v>-0.102173999999999</v>
      </c>
      <c r="AH6329">
        <v>75.680814279358998</v>
      </c>
      <c r="AI6329">
        <v>90.072184384903494</v>
      </c>
      <c r="AJ6329">
        <v>111.06364103445399</v>
      </c>
      <c r="AK6329">
        <v>81.099818644257894</v>
      </c>
      <c r="AL6329">
        <v>79.260382492261201</v>
      </c>
      <c r="AM6329">
        <v>104.596351019925</v>
      </c>
      <c r="AN6329">
        <v>0.999999976318524</v>
      </c>
    </row>
    <row r="6330" spans="1:40" x14ac:dyDescent="0.25">
      <c r="A6330" t="str">
        <f>"20190312172240326"</f>
        <v>20190312172240326</v>
      </c>
      <c r="B6330" t="str">
        <f>"1552382560317340"</f>
        <v>1552382560317340</v>
      </c>
      <c r="C6330" t="s">
        <v>40</v>
      </c>
      <c r="D6330">
        <v>3.6154220000000001</v>
      </c>
      <c r="E6330">
        <v>0.4540072</v>
      </c>
      <c r="F6330" t="s">
        <v>70</v>
      </c>
      <c r="G6330">
        <v>-279.68</v>
      </c>
      <c r="H6330">
        <v>1.1597470000000001</v>
      </c>
      <c r="I6330">
        <v>22.803360000000001</v>
      </c>
      <c r="J6330">
        <v>-360.61430000000001</v>
      </c>
      <c r="K6330">
        <v>1.112873</v>
      </c>
      <c r="L6330">
        <v>20.158570000000001</v>
      </c>
      <c r="M6330">
        <v>0.94421639999999996</v>
      </c>
      <c r="N6330">
        <v>0</v>
      </c>
      <c r="O6330">
        <v>-0.32904549999999999</v>
      </c>
      <c r="P6330">
        <v>0.981128</v>
      </c>
      <c r="Q6330">
        <v>0.176139299999999</v>
      </c>
      <c r="R6330">
        <v>-7.9769119999999999E-2</v>
      </c>
      <c r="S6330">
        <v>3.0653990000000002</v>
      </c>
      <c r="T6330">
        <v>1.7776490000000001E-3</v>
      </c>
      <c r="U6330">
        <v>9.8388669999999998E-2</v>
      </c>
      <c r="V6330">
        <v>-0.2485561</v>
      </c>
      <c r="W6330">
        <v>0.18773580000000001</v>
      </c>
      <c r="X6330">
        <v>0.95025000000000004</v>
      </c>
      <c r="Y6330">
        <v>-0.35919970000000001</v>
      </c>
      <c r="Z6330">
        <v>-2.9242880000000001E-4</v>
      </c>
      <c r="AA6330">
        <v>0.93326070000000005</v>
      </c>
      <c r="AB6330">
        <v>29</v>
      </c>
      <c r="AC6330">
        <v>80.934299999999993</v>
      </c>
      <c r="AD6330">
        <v>4.6873999999999798E-2</v>
      </c>
      <c r="AE6330">
        <v>2.64479</v>
      </c>
      <c r="AF6330">
        <v>-29.130998257388399</v>
      </c>
      <c r="AG6330">
        <v>4.6873999999999798E-2</v>
      </c>
      <c r="AH6330">
        <v>75.5561802688608</v>
      </c>
      <c r="AI6330">
        <v>89.966834208238097</v>
      </c>
      <c r="AJ6330">
        <v>111.084351825537</v>
      </c>
      <c r="AK6330">
        <v>80.977488436382302</v>
      </c>
      <c r="AL6330">
        <v>79.1793221328643</v>
      </c>
      <c r="AM6330">
        <v>104.658397708282</v>
      </c>
      <c r="AN6330">
        <v>0.99999996397442403</v>
      </c>
    </row>
    <row r="6331" spans="1:40" x14ac:dyDescent="0.25">
      <c r="A6331" t="str">
        <f>"20190312172240336"</f>
        <v>20190312172240336</v>
      </c>
      <c r="B6331" t="str">
        <f>"1552382560327099"</f>
        <v>1552382560327099</v>
      </c>
      <c r="C6331" t="s">
        <v>40</v>
      </c>
      <c r="D6331">
        <v>3.1411669999999998</v>
      </c>
      <c r="E6331">
        <v>0.45414719999999997</v>
      </c>
      <c r="F6331" t="s">
        <v>70</v>
      </c>
      <c r="G6331">
        <v>-279.68</v>
      </c>
      <c r="H6331">
        <v>1.3436410000000001</v>
      </c>
      <c r="I6331">
        <v>22.91892</v>
      </c>
      <c r="J6331">
        <v>-360.47340000000003</v>
      </c>
      <c r="K6331">
        <v>1.113008</v>
      </c>
      <c r="L6331">
        <v>20.111149999999999</v>
      </c>
      <c r="M6331">
        <v>0.94478229999999996</v>
      </c>
      <c r="N6331">
        <v>0</v>
      </c>
      <c r="O6331">
        <v>-0.32741629999999999</v>
      </c>
      <c r="P6331">
        <v>0.98117010000000004</v>
      </c>
      <c r="Q6331">
        <v>0.1770264</v>
      </c>
      <c r="R6331">
        <v>-7.7245540000000001E-2</v>
      </c>
      <c r="S6331">
        <v>3.0646360000000001</v>
      </c>
      <c r="T6331">
        <v>8.7382789999999998E-3</v>
      </c>
      <c r="U6331">
        <v>0.104522699999999</v>
      </c>
      <c r="V6331">
        <v>-0.24937380000000001</v>
      </c>
      <c r="W6331">
        <v>0.1885394</v>
      </c>
      <c r="X6331">
        <v>0.94987659999999996</v>
      </c>
      <c r="Y6331">
        <v>-0.35946060000000002</v>
      </c>
      <c r="Z6331">
        <v>-1.43378E-3</v>
      </c>
      <c r="AA6331">
        <v>0.93315919999999997</v>
      </c>
      <c r="AB6331">
        <v>29</v>
      </c>
      <c r="AC6331">
        <v>80.793400000000005</v>
      </c>
      <c r="AD6331">
        <v>0.230633</v>
      </c>
      <c r="AE6331">
        <v>2.8077700000000001</v>
      </c>
      <c r="AF6331">
        <v>-29.108262835667301</v>
      </c>
      <c r="AG6331">
        <v>0.230633</v>
      </c>
      <c r="AH6331">
        <v>75.419226386644795</v>
      </c>
      <c r="AI6331">
        <v>89.8365411442621</v>
      </c>
      <c r="AJ6331">
        <v>111.104235396334</v>
      </c>
      <c r="AK6331">
        <v>80.841844768974397</v>
      </c>
      <c r="AL6331">
        <v>79.132442225517593</v>
      </c>
      <c r="AM6331">
        <v>104.710064101675</v>
      </c>
      <c r="AN6331">
        <v>0.99999997635317905</v>
      </c>
    </row>
    <row r="6332" spans="1:40" x14ac:dyDescent="0.25">
      <c r="A6332" t="str">
        <f>"20190312172240349"</f>
        <v>20190312172240349</v>
      </c>
      <c r="B6332" t="str">
        <f>"1552382560346619"</f>
        <v>1552382560346619</v>
      </c>
      <c r="C6332" t="s">
        <v>40</v>
      </c>
      <c r="D6332">
        <v>3.9671400000000001</v>
      </c>
      <c r="E6332">
        <v>0.454509</v>
      </c>
      <c r="F6332" t="s">
        <v>71</v>
      </c>
      <c r="G6332">
        <v>-273.40989999999999</v>
      </c>
      <c r="H6332">
        <v>1.510151</v>
      </c>
      <c r="I6332">
        <v>23.261780000000002</v>
      </c>
      <c r="J6332">
        <v>-360.32799999999997</v>
      </c>
      <c r="K6332">
        <v>1.113137</v>
      </c>
      <c r="L6332">
        <v>20.062650000000001</v>
      </c>
      <c r="M6332">
        <v>0.94539859999999998</v>
      </c>
      <c r="N6332">
        <v>0</v>
      </c>
      <c r="O6332">
        <v>-0.3256329</v>
      </c>
      <c r="P6332">
        <v>0.98124180000000005</v>
      </c>
      <c r="Q6332">
        <v>0.17763689999999999</v>
      </c>
      <c r="R6332">
        <v>-7.4898820000000005E-2</v>
      </c>
      <c r="S6332">
        <v>3.0637509999999999</v>
      </c>
      <c r="T6332">
        <v>1.39755E-2</v>
      </c>
      <c r="U6332">
        <v>0.11087039999999999</v>
      </c>
      <c r="V6332">
        <v>-0.2498785</v>
      </c>
      <c r="W6332">
        <v>0.18907180000000001</v>
      </c>
      <c r="X6332">
        <v>0.94963810000000004</v>
      </c>
      <c r="Y6332">
        <v>-0.3596356</v>
      </c>
      <c r="Z6332">
        <v>-2.2864029999999998E-3</v>
      </c>
      <c r="AA6332">
        <v>0.93308999999999997</v>
      </c>
      <c r="AB6332">
        <v>29</v>
      </c>
      <c r="AC6332">
        <v>86.918099999999995</v>
      </c>
      <c r="AD6332">
        <v>0.39701399999999998</v>
      </c>
      <c r="AE6332">
        <v>3.19912999999999</v>
      </c>
      <c r="AF6332">
        <v>-31.330086763479699</v>
      </c>
      <c r="AG6332">
        <v>0.39701399999999998</v>
      </c>
      <c r="AH6332">
        <v>81.136311065880605</v>
      </c>
      <c r="AI6332">
        <v>89.738464713930298</v>
      </c>
      <c r="AJ6332">
        <v>111.113637780532</v>
      </c>
      <c r="AK6332">
        <v>86.976048025319599</v>
      </c>
      <c r="AL6332">
        <v>79.101379149863007</v>
      </c>
      <c r="AM6332">
        <v>104.74208088391499</v>
      </c>
      <c r="AN6332">
        <v>0.99999996564454896</v>
      </c>
    </row>
    <row r="6333" spans="1:40" x14ac:dyDescent="0.25">
      <c r="A6333" t="str">
        <f>"20190312172240364"</f>
        <v>20190312172240364</v>
      </c>
      <c r="B6333" t="str">
        <f>"1552382560357315"</f>
        <v>1552382560357315</v>
      </c>
      <c r="C6333" t="s">
        <v>40</v>
      </c>
      <c r="D6333">
        <v>3.526624</v>
      </c>
      <c r="E6333">
        <v>0.45469929999999997</v>
      </c>
      <c r="F6333" t="s">
        <v>71</v>
      </c>
      <c r="G6333">
        <v>-273.40989999999999</v>
      </c>
      <c r="H6333">
        <v>1.6894480000000001</v>
      </c>
      <c r="I6333">
        <v>23.32544</v>
      </c>
      <c r="J6333">
        <v>-360.161</v>
      </c>
      <c r="K6333">
        <v>1.1132799999999901</v>
      </c>
      <c r="L6333">
        <v>20.00742</v>
      </c>
      <c r="M6333">
        <v>0.94612249999999998</v>
      </c>
      <c r="N6333">
        <v>0</v>
      </c>
      <c r="O6333">
        <v>-0.32352330000000001</v>
      </c>
      <c r="P6333">
        <v>0.98143860000000005</v>
      </c>
      <c r="Q6333">
        <v>0.1775928</v>
      </c>
      <c r="R6333">
        <v>-7.2383690000000001E-2</v>
      </c>
      <c r="S6333">
        <v>3.0624389999999999</v>
      </c>
      <c r="T6333">
        <v>2.0305630000000002E-2</v>
      </c>
      <c r="U6333">
        <v>0.1149597</v>
      </c>
      <c r="V6333">
        <v>-0.2502605</v>
      </c>
      <c r="W6333">
        <v>0.18894540000000001</v>
      </c>
      <c r="X6333">
        <v>0.94956269999999998</v>
      </c>
      <c r="Y6333">
        <v>-0.35880509999999999</v>
      </c>
      <c r="Z6333">
        <v>-3.3072850000000001E-3</v>
      </c>
      <c r="AA6333">
        <v>0.93340670000000003</v>
      </c>
      <c r="AB6333">
        <v>29</v>
      </c>
      <c r="AC6333">
        <v>86.751099999999994</v>
      </c>
      <c r="AD6333">
        <v>0.57616800000000001</v>
      </c>
      <c r="AE6333">
        <v>3.3180200000000002</v>
      </c>
      <c r="AF6333">
        <v>-31.206766132639199</v>
      </c>
      <c r="AG6333">
        <v>0.57616800000000001</v>
      </c>
      <c r="AH6333">
        <v>81.007632110861195</v>
      </c>
      <c r="AI6333">
        <v>89.619729968664103</v>
      </c>
      <c r="AJ6333">
        <v>111.068302298926</v>
      </c>
      <c r="AK6333">
        <v>86.812618220107197</v>
      </c>
      <c r="AL6333">
        <v>79.108754666797495</v>
      </c>
      <c r="AM6333">
        <v>104.76475512358699</v>
      </c>
      <c r="AN6333">
        <v>1.0000000016363499</v>
      </c>
    </row>
    <row r="6334" spans="1:40" x14ac:dyDescent="0.25">
      <c r="A6334" t="str">
        <f>"20190312172240376"</f>
        <v>20190312172240376</v>
      </c>
      <c r="B6334" t="str">
        <f>"1552382560367076"</f>
        <v>1552382560367076</v>
      </c>
      <c r="C6334" t="s">
        <v>40</v>
      </c>
      <c r="D6334">
        <v>3.8971879999999999</v>
      </c>
      <c r="E6334">
        <v>0.45478469999999999</v>
      </c>
      <c r="F6334" t="s">
        <v>71</v>
      </c>
      <c r="G6334">
        <v>-273.40989999999999</v>
      </c>
      <c r="H6334">
        <v>1.7306269999999999</v>
      </c>
      <c r="I6334">
        <v>23.44021</v>
      </c>
      <c r="J6334">
        <v>-359.99259999999998</v>
      </c>
      <c r="K6334">
        <v>1.1134109999999999</v>
      </c>
      <c r="L6334">
        <v>19.95224</v>
      </c>
      <c r="M6334">
        <v>0.94688240000000001</v>
      </c>
      <c r="N6334">
        <v>0</v>
      </c>
      <c r="O6334">
        <v>-0.32129229999999998</v>
      </c>
      <c r="P6334">
        <v>0.98178180000000004</v>
      </c>
      <c r="Q6334">
        <v>0.17658199999999999</v>
      </c>
      <c r="R6334">
        <v>-7.0168579999999994E-2</v>
      </c>
      <c r="S6334">
        <v>3.0617369999999999</v>
      </c>
      <c r="T6334">
        <v>2.178836E-2</v>
      </c>
      <c r="U6334">
        <v>0.12115480000000001</v>
      </c>
      <c r="V6334">
        <v>-0.25027579999999999</v>
      </c>
      <c r="W6334">
        <v>0.18786320000000001</v>
      </c>
      <c r="X6334">
        <v>0.94977339999999999</v>
      </c>
      <c r="Y6334">
        <v>-0.3584965</v>
      </c>
      <c r="Z6334">
        <v>-3.533301E-3</v>
      </c>
      <c r="AA6334">
        <v>0.93352440000000003</v>
      </c>
      <c r="AB6334">
        <v>29</v>
      </c>
      <c r="AC6334">
        <v>86.582699999999903</v>
      </c>
      <c r="AD6334">
        <v>0.61721599999999999</v>
      </c>
      <c r="AE6334">
        <v>3.4879699999999998</v>
      </c>
      <c r="AF6334">
        <v>-31.122351997310702</v>
      </c>
      <c r="AG6334">
        <v>0.61721599999999999</v>
      </c>
      <c r="AH6334">
        <v>80.866354109509103</v>
      </c>
      <c r="AI6334">
        <v>89.591876825744905</v>
      </c>
      <c r="AJ6334">
        <v>111.049797687861</v>
      </c>
      <c r="AK6334">
        <v>86.650729808811704</v>
      </c>
      <c r="AL6334">
        <v>79.171891195361098</v>
      </c>
      <c r="AM6334">
        <v>104.762485780761</v>
      </c>
      <c r="AN6334">
        <v>1.0000000346637099</v>
      </c>
    </row>
    <row r="6335" spans="1:40" x14ac:dyDescent="0.25">
      <c r="A6335" t="str">
        <f>"20190312172240394"</f>
        <v>20190312172240394</v>
      </c>
      <c r="B6335" t="str">
        <f>"1552382560386595"</f>
        <v>1552382560386595</v>
      </c>
      <c r="C6335" t="s">
        <v>40</v>
      </c>
      <c r="D6335">
        <v>3.136876</v>
      </c>
      <c r="E6335">
        <v>0.45495439999999998</v>
      </c>
      <c r="F6335" t="s">
        <v>71</v>
      </c>
      <c r="G6335">
        <v>-273.40989999999999</v>
      </c>
      <c r="H6335">
        <v>1.705848</v>
      </c>
      <c r="I6335">
        <v>23.555240000000001</v>
      </c>
      <c r="J6335">
        <v>-359.7919</v>
      </c>
      <c r="K6335">
        <v>1.113551</v>
      </c>
      <c r="L6335">
        <v>19.887270000000001</v>
      </c>
      <c r="M6335">
        <v>0.94781610000000005</v>
      </c>
      <c r="N6335">
        <v>0</v>
      </c>
      <c r="O6335">
        <v>-0.3185267</v>
      </c>
      <c r="P6335">
        <v>0.98236880000000004</v>
      </c>
      <c r="Q6335">
        <v>0.17414579999999999</v>
      </c>
      <c r="R6335">
        <v>-6.8004620000000002E-2</v>
      </c>
      <c r="S6335">
        <v>3.061035</v>
      </c>
      <c r="T6335">
        <v>2.094507E-2</v>
      </c>
      <c r="U6335">
        <v>0.12738039999999901</v>
      </c>
      <c r="V6335">
        <v>-0.2497798</v>
      </c>
      <c r="W6335">
        <v>0.18535969999999999</v>
      </c>
      <c r="X6335">
        <v>0.95039560000000001</v>
      </c>
      <c r="Y6335">
        <v>-0.35767670000000001</v>
      </c>
      <c r="Z6335">
        <v>-3.3763840000000001E-3</v>
      </c>
      <c r="AA6335">
        <v>0.93383939999999999</v>
      </c>
      <c r="AB6335">
        <v>29</v>
      </c>
      <c r="AC6335">
        <v>86.382000000000005</v>
      </c>
      <c r="AD6335">
        <v>0.59229699999999996</v>
      </c>
      <c r="AE6335">
        <v>3.6679699999999902</v>
      </c>
      <c r="AF6335">
        <v>-30.992952956865999</v>
      </c>
      <c r="AG6335">
        <v>0.59229699999999996</v>
      </c>
      <c r="AH6335">
        <v>80.709598021859705</v>
      </c>
      <c r="AI6335">
        <v>89.607480420773499</v>
      </c>
      <c r="AJ6335">
        <v>111.007078546457</v>
      </c>
      <c r="AK6335">
        <v>86.457811454910797</v>
      </c>
      <c r="AL6335">
        <v>79.317895394024305</v>
      </c>
      <c r="AM6335">
        <v>104.725276421571</v>
      </c>
      <c r="AN6335">
        <v>0.999999981685744</v>
      </c>
    </row>
    <row r="6336" spans="1:40" x14ac:dyDescent="0.25">
      <c r="A6336" t="str">
        <f>"20190312172240407"</f>
        <v>20190312172240407</v>
      </c>
      <c r="B6336" t="str">
        <f>"1552382560396357"</f>
        <v>1552382560396357</v>
      </c>
      <c r="C6336" t="s">
        <v>40</v>
      </c>
      <c r="D6336">
        <v>3.2921469999999999</v>
      </c>
      <c r="E6336">
        <v>0.45551520000000001</v>
      </c>
      <c r="F6336" t="s">
        <v>71</v>
      </c>
      <c r="G6336">
        <v>-273.40989999999999</v>
      </c>
      <c r="H6336">
        <v>1.6247119999999999</v>
      </c>
      <c r="I6336">
        <v>23.650379999999998</v>
      </c>
      <c r="J6336">
        <v>-359.63929999999999</v>
      </c>
      <c r="K6336">
        <v>1.1136440000000001</v>
      </c>
      <c r="L6336">
        <v>19.838349999999998</v>
      </c>
      <c r="M6336">
        <v>0.94854150000000004</v>
      </c>
      <c r="N6336">
        <v>0</v>
      </c>
      <c r="O6336">
        <v>-0.31636009999999998</v>
      </c>
      <c r="P6336">
        <v>0.98263560000000005</v>
      </c>
      <c r="Q6336">
        <v>0.1733083</v>
      </c>
      <c r="R6336">
        <v>-6.6270519999999999E-2</v>
      </c>
      <c r="S6336">
        <v>3.0599059999999998</v>
      </c>
      <c r="T6336">
        <v>1.8106939999999998E-2</v>
      </c>
      <c r="U6336">
        <v>0.133300799999999</v>
      </c>
      <c r="V6336">
        <v>-0.24936939999999999</v>
      </c>
      <c r="W6336">
        <v>0.18447359999999999</v>
      </c>
      <c r="X6336">
        <v>0.95067579999999996</v>
      </c>
      <c r="Y6336">
        <v>-0.35736449999999997</v>
      </c>
      <c r="Z6336">
        <v>-2.9067279999999999E-3</v>
      </c>
      <c r="AA6336">
        <v>0.93396049999999997</v>
      </c>
      <c r="AB6336">
        <v>29</v>
      </c>
      <c r="AC6336">
        <v>86.229399999999998</v>
      </c>
      <c r="AD6336">
        <v>0.51106799999999997</v>
      </c>
      <c r="AE6336">
        <v>3.81203</v>
      </c>
      <c r="AF6336">
        <v>-30.897190049313402</v>
      </c>
      <c r="AG6336">
        <v>0.51106799999999997</v>
      </c>
      <c r="AH6336">
        <v>80.590832546922798</v>
      </c>
      <c r="AI6336">
        <v>89.6607404044193</v>
      </c>
      <c r="AJ6336">
        <v>110.97599611514801</v>
      </c>
      <c r="AK6336">
        <v>86.312107111633907</v>
      </c>
      <c r="AL6336">
        <v>79.3695567629415</v>
      </c>
      <c r="AM6336">
        <v>104.697985407023</v>
      </c>
      <c r="AN6336">
        <v>1.0000000417294701</v>
      </c>
    </row>
    <row r="6337" spans="1:40" x14ac:dyDescent="0.25">
      <c r="A6337" t="str">
        <f>"20190312172240417"</f>
        <v>20190312172240417</v>
      </c>
      <c r="B6337" t="str">
        <f>"1552382560407092"</f>
        <v>1552382560407092</v>
      </c>
      <c r="C6337" t="s">
        <v>40</v>
      </c>
      <c r="D6337">
        <v>3.4418139999999999</v>
      </c>
      <c r="E6337">
        <v>0.45551520000000001</v>
      </c>
      <c r="F6337" t="s">
        <v>71</v>
      </c>
      <c r="G6337">
        <v>-273.40989999999999</v>
      </c>
      <c r="H6337">
        <v>1.5977870000000001</v>
      </c>
      <c r="I6337">
        <v>23.62426</v>
      </c>
      <c r="J6337">
        <v>-359.49299999999999</v>
      </c>
      <c r="K6337">
        <v>1.1137280000000001</v>
      </c>
      <c r="L6337">
        <v>19.791720000000002</v>
      </c>
      <c r="M6337">
        <v>0.94924779999999997</v>
      </c>
      <c r="N6337">
        <v>0</v>
      </c>
      <c r="O6337">
        <v>-0.31423450000000003</v>
      </c>
      <c r="P6337">
        <v>0.982873</v>
      </c>
      <c r="Q6337">
        <v>0.17253869999999999</v>
      </c>
      <c r="R6337">
        <v>-6.4740080000000005E-2</v>
      </c>
      <c r="S6337">
        <v>3.0590519999999999</v>
      </c>
      <c r="T6337">
        <v>1.717544E-2</v>
      </c>
      <c r="U6337">
        <v>0.13430790000000001</v>
      </c>
      <c r="V6337">
        <v>-0.2487953</v>
      </c>
      <c r="W6337">
        <v>0.1836623</v>
      </c>
      <c r="X6337">
        <v>0.95098320000000003</v>
      </c>
      <c r="Y6337">
        <v>-0.3555913</v>
      </c>
      <c r="Z6337">
        <v>-2.7415080000000001E-3</v>
      </c>
      <c r="AA6337">
        <v>0.93463750000000001</v>
      </c>
      <c r="AB6337">
        <v>29</v>
      </c>
      <c r="AC6337">
        <v>86.083100000000002</v>
      </c>
      <c r="AD6337">
        <v>0.48405900000000002</v>
      </c>
      <c r="AE6337">
        <v>3.8325399999999901</v>
      </c>
      <c r="AF6337">
        <v>-30.690185111642499</v>
      </c>
      <c r="AG6337">
        <v>0.48405900000000002</v>
      </c>
      <c r="AH6337">
        <v>80.514796169559602</v>
      </c>
      <c r="AI6337">
        <v>89.678128757654406</v>
      </c>
      <c r="AJ6337">
        <v>110.865569560406</v>
      </c>
      <c r="AK6337">
        <v>86.167013279607801</v>
      </c>
      <c r="AL6337">
        <v>79.416848375472199</v>
      </c>
      <c r="AM6337">
        <v>104.661071586687</v>
      </c>
      <c r="AN6337">
        <v>0.99999999421280905</v>
      </c>
    </row>
    <row r="6338" spans="1:40" x14ac:dyDescent="0.25">
      <c r="A6338" t="str">
        <f>"20190312172240430"</f>
        <v>20190312172240430</v>
      </c>
      <c r="B6338" t="str">
        <f>"1552382560426612"</f>
        <v>1552382560426612</v>
      </c>
      <c r="C6338" t="s">
        <v>40</v>
      </c>
      <c r="D6338">
        <v>3.4138069999999998</v>
      </c>
      <c r="E6338">
        <v>0.50012730000000005</v>
      </c>
      <c r="F6338" t="s">
        <v>71</v>
      </c>
      <c r="G6338">
        <v>-273.40989999999999</v>
      </c>
      <c r="H6338">
        <v>1.5291410000000001</v>
      </c>
      <c r="I6338">
        <v>23.70458</v>
      </c>
      <c r="J6338">
        <v>-359.35210000000001</v>
      </c>
      <c r="K6338">
        <v>1.113799</v>
      </c>
      <c r="L6338">
        <v>19.747499999999999</v>
      </c>
      <c r="M6338">
        <v>0.94994520000000005</v>
      </c>
      <c r="N6338">
        <v>0</v>
      </c>
      <c r="O6338">
        <v>-0.3121198</v>
      </c>
      <c r="P6338">
        <v>0.98310149999999996</v>
      </c>
      <c r="Q6338">
        <v>0.1717311</v>
      </c>
      <c r="R6338">
        <v>-6.3405920000000004E-2</v>
      </c>
      <c r="S6338">
        <v>3.0588380000000002</v>
      </c>
      <c r="T6338">
        <v>1.476121E-2</v>
      </c>
      <c r="U6338">
        <v>0.1390381</v>
      </c>
      <c r="V6338">
        <v>-0.24803890000000001</v>
      </c>
      <c r="W6338">
        <v>0.18282219999999999</v>
      </c>
      <c r="X6338">
        <v>0.95134260000000004</v>
      </c>
      <c r="Y6338">
        <v>-0.35495789999999999</v>
      </c>
      <c r="Z6338">
        <v>-2.34498E-3</v>
      </c>
      <c r="AA6338">
        <v>0.93487929999999997</v>
      </c>
      <c r="AB6338">
        <v>29</v>
      </c>
      <c r="AC6338">
        <v>85.9422</v>
      </c>
      <c r="AD6338">
        <v>0.41534199999999999</v>
      </c>
      <c r="AE6338">
        <v>3.9570799999999999</v>
      </c>
      <c r="AF6338">
        <v>-30.585393245528198</v>
      </c>
      <c r="AG6338">
        <v>0.41534199999999999</v>
      </c>
      <c r="AH6338">
        <v>80.410875738859403</v>
      </c>
      <c r="AI6338">
        <v>89.723389349904593</v>
      </c>
      <c r="AJ6338">
        <v>110.82500725207601</v>
      </c>
      <c r="AK6338">
        <v>86.032248175035306</v>
      </c>
      <c r="AL6338">
        <v>79.465811654320007</v>
      </c>
      <c r="AM6338">
        <v>104.61312417686899</v>
      </c>
      <c r="AN6338">
        <v>0.99999999765040504</v>
      </c>
    </row>
    <row r="6339" spans="1:40" x14ac:dyDescent="0.25">
      <c r="A6339" t="str">
        <f>"20190312172240443"</f>
        <v>20190312172240443</v>
      </c>
      <c r="B6339" t="str">
        <f>"1552382560437348"</f>
        <v>1552382560437348</v>
      </c>
      <c r="C6339" t="s">
        <v>40</v>
      </c>
      <c r="D6339">
        <v>3.6648779999999999</v>
      </c>
      <c r="E6339">
        <v>0.51604319999999904</v>
      </c>
      <c r="F6339" t="s">
        <v>71</v>
      </c>
      <c r="G6339">
        <v>-274.49669999999998</v>
      </c>
      <c r="H6339">
        <v>2.8471259999999998</v>
      </c>
      <c r="I6339">
        <v>13.86299</v>
      </c>
      <c r="J6339">
        <v>-359.19630000000001</v>
      </c>
      <c r="K6339">
        <v>1.113877</v>
      </c>
      <c r="L6339">
        <v>19.698820000000001</v>
      </c>
      <c r="M6339">
        <v>0.95072109999999999</v>
      </c>
      <c r="N6339">
        <v>0</v>
      </c>
      <c r="O6339">
        <v>-0.30974800000000002</v>
      </c>
      <c r="P6339">
        <v>0.98327379999999998</v>
      </c>
      <c r="Q6339">
        <v>0.17122499999999999</v>
      </c>
      <c r="R6339">
        <v>-6.2087910000000003E-2</v>
      </c>
      <c r="S6339">
        <v>3.0272220000000001</v>
      </c>
      <c r="T6339">
        <v>6.1836719999999998E-2</v>
      </c>
      <c r="U6339">
        <v>-0.20993039999999999</v>
      </c>
      <c r="V6339">
        <v>-0.24699789999999999</v>
      </c>
      <c r="W6339">
        <v>0.18228259999999999</v>
      </c>
      <c r="X6339">
        <v>0.95171689999999998</v>
      </c>
      <c r="Y6339">
        <v>-0.24314369999999999</v>
      </c>
      <c r="Z6339">
        <v>-8.7031000000000001E-3</v>
      </c>
      <c r="AA6339">
        <v>0.96995129999999996</v>
      </c>
      <c r="AB6339">
        <v>29</v>
      </c>
      <c r="AC6339">
        <v>84.699600000000004</v>
      </c>
      <c r="AD6339">
        <v>1.73324899999999</v>
      </c>
      <c r="AE6339">
        <v>-5.8358299999999996</v>
      </c>
      <c r="AF6339">
        <v>-20.680585519501498</v>
      </c>
      <c r="AG6339">
        <v>1.73324899999999</v>
      </c>
      <c r="AH6339">
        <v>82.306670351884904</v>
      </c>
      <c r="AI6339">
        <v>88.829976973153705</v>
      </c>
      <c r="AJ6339">
        <v>104.10430785702999</v>
      </c>
      <c r="AK6339">
        <v>84.882735311365195</v>
      </c>
      <c r="AL6339">
        <v>79.497256706354094</v>
      </c>
      <c r="AM6339">
        <v>104.548922476078</v>
      </c>
      <c r="AN6339">
        <v>0.99999998330638995</v>
      </c>
    </row>
    <row r="6340" spans="1:40" x14ac:dyDescent="0.25">
      <c r="A6340" t="str">
        <f>"20190312172240454"</f>
        <v>20190312172240454</v>
      </c>
      <c r="B6340" t="str">
        <f>"1552382560447107"</f>
        <v>1552382560447107</v>
      </c>
      <c r="C6340" t="s">
        <v>40</v>
      </c>
      <c r="D6340">
        <v>3.375416</v>
      </c>
      <c r="E6340">
        <v>0.51573619999999998</v>
      </c>
      <c r="F6340" t="s">
        <v>43</v>
      </c>
      <c r="G6340">
        <v>-314.56509999999997</v>
      </c>
      <c r="H6340">
        <v>-0.05</v>
      </c>
      <c r="I6340">
        <v>14.73981</v>
      </c>
      <c r="J6340">
        <v>-359.05149999999998</v>
      </c>
      <c r="K6340">
        <v>1.1139460000000001</v>
      </c>
      <c r="L6340">
        <v>19.654109999999999</v>
      </c>
      <c r="M6340">
        <v>0.951457</v>
      </c>
      <c r="N6340">
        <v>0</v>
      </c>
      <c r="O6340">
        <v>-0.30747989999999997</v>
      </c>
      <c r="P6340">
        <v>0.98337370000000002</v>
      </c>
      <c r="Q6340">
        <v>0.170866299999999</v>
      </c>
      <c r="R6340">
        <v>-6.1489229999999999E-2</v>
      </c>
      <c r="S6340">
        <v>3.043488</v>
      </c>
      <c r="T6340">
        <v>-7.936704E-2</v>
      </c>
      <c r="U6340">
        <v>-0.3381653</v>
      </c>
      <c r="V6340">
        <v>-0.2453523</v>
      </c>
      <c r="W6340">
        <v>0.18190329999999999</v>
      </c>
      <c r="X6340">
        <v>0.95221500000000003</v>
      </c>
      <c r="Y6340">
        <v>-0.20038049999999999</v>
      </c>
      <c r="Z6340">
        <v>1.046447E-2</v>
      </c>
      <c r="AA6340">
        <v>0.97966220000000004</v>
      </c>
      <c r="AB6340">
        <v>29</v>
      </c>
      <c r="AC6340">
        <v>44.486400000000003</v>
      </c>
      <c r="AD6340">
        <v>-1.1639459999999999</v>
      </c>
      <c r="AE6340">
        <v>-4.9142999999999901</v>
      </c>
      <c r="AF6340">
        <v>-8.9976794855511297</v>
      </c>
      <c r="AG6340">
        <v>-1.1639459999999999</v>
      </c>
      <c r="AH6340">
        <v>43.812385223659497</v>
      </c>
      <c r="AI6340">
        <v>91.490699090675193</v>
      </c>
      <c r="AJ6340">
        <v>101.605381282474</v>
      </c>
      <c r="AK6340">
        <v>44.741905473526302</v>
      </c>
      <c r="AL6340">
        <v>79.519358515750596</v>
      </c>
      <c r="AM6340">
        <v>104.448820662061</v>
      </c>
      <c r="AN6340">
        <v>0.99999998394558898</v>
      </c>
    </row>
    <row r="6341" spans="1:40" x14ac:dyDescent="0.25">
      <c r="A6341" t="str">
        <f>"20190312172240471"</f>
        <v>20190312172240471</v>
      </c>
      <c r="B6341" t="str">
        <f>"1552382560467270"</f>
        <v>1552382560467270</v>
      </c>
      <c r="C6341" t="s">
        <v>40</v>
      </c>
      <c r="D6341">
        <v>3.369354</v>
      </c>
      <c r="E6341">
        <v>0.51534279999999999</v>
      </c>
      <c r="F6341" t="s">
        <v>43</v>
      </c>
      <c r="G6341">
        <v>-247.09440000000001</v>
      </c>
      <c r="H6341">
        <v>-0.05</v>
      </c>
      <c r="I6341">
        <v>7.4189449999999999</v>
      </c>
      <c r="J6341">
        <v>-358.8544</v>
      </c>
      <c r="K6341">
        <v>1.114034</v>
      </c>
      <c r="L6341">
        <v>19.593990000000002</v>
      </c>
      <c r="M6341">
        <v>0.9524705</v>
      </c>
      <c r="N6341">
        <v>0</v>
      </c>
      <c r="O6341">
        <v>-0.30432550000000003</v>
      </c>
      <c r="P6341">
        <v>0.98336140000000005</v>
      </c>
      <c r="Q6341">
        <v>0.1704108</v>
      </c>
      <c r="R6341">
        <v>-6.2933500000000003E-2</v>
      </c>
      <c r="S6341">
        <v>3.035431</v>
      </c>
      <c r="T6341">
        <v>-3.1557439999999999E-2</v>
      </c>
      <c r="U6341">
        <v>-0.33172610000000002</v>
      </c>
      <c r="V6341">
        <v>-0.2408477</v>
      </c>
      <c r="W6341">
        <v>0.18145040000000001</v>
      </c>
      <c r="X6341">
        <v>0.95345069999999998</v>
      </c>
      <c r="Y6341">
        <v>-0.1990422</v>
      </c>
      <c r="Z6341">
        <v>4.13497E-3</v>
      </c>
      <c r="AA6341">
        <v>0.97998220000000003</v>
      </c>
      <c r="AB6341">
        <v>29</v>
      </c>
      <c r="AC6341">
        <v>111.76</v>
      </c>
      <c r="AD6341">
        <v>-1.164034</v>
      </c>
      <c r="AE6341">
        <v>-12.1750449999999</v>
      </c>
      <c r="AF6341">
        <v>-22.4147277814799</v>
      </c>
      <c r="AG6341">
        <v>-1.164034</v>
      </c>
      <c r="AH6341">
        <v>110.151712581628</v>
      </c>
      <c r="AI6341">
        <v>90.593295512237503</v>
      </c>
      <c r="AJ6341">
        <v>101.502052128038</v>
      </c>
      <c r="AK6341">
        <v>112.415189282128</v>
      </c>
      <c r="AL6341">
        <v>79.545747619386503</v>
      </c>
      <c r="AM6341">
        <v>104.176705546468</v>
      </c>
      <c r="AN6341">
        <v>1.00000004979296</v>
      </c>
    </row>
    <row r="6342" spans="1:40" x14ac:dyDescent="0.25">
      <c r="A6342" t="str">
        <f>"20190312172240484"</f>
        <v>20190312172240484</v>
      </c>
      <c r="B6342" t="str">
        <f>"1552382560477029"</f>
        <v>1552382560477029</v>
      </c>
      <c r="C6342" t="s">
        <v>40</v>
      </c>
      <c r="D6342">
        <v>3.397589</v>
      </c>
      <c r="E6342">
        <v>0.51521779999999995</v>
      </c>
      <c r="F6342" t="s">
        <v>43</v>
      </c>
      <c r="G6342">
        <v>-262.00389999999999</v>
      </c>
      <c r="H6342">
        <v>-0.05</v>
      </c>
      <c r="I6342">
        <v>8.9798279999999995</v>
      </c>
      <c r="J6342">
        <v>-358.69369999999998</v>
      </c>
      <c r="K6342">
        <v>1.114109</v>
      </c>
      <c r="L6342">
        <v>19.545439999999999</v>
      </c>
      <c r="M6342">
        <v>0.95330619999999999</v>
      </c>
      <c r="N6342">
        <v>0</v>
      </c>
      <c r="O6342">
        <v>-0.3016973</v>
      </c>
      <c r="P6342">
        <v>0.98342220000000002</v>
      </c>
      <c r="Q6342">
        <v>0.17025399999999999</v>
      </c>
      <c r="R6342">
        <v>-6.2407560000000001E-2</v>
      </c>
      <c r="S6342">
        <v>3.0357970000000001</v>
      </c>
      <c r="T6342">
        <v>-3.6486860000000003E-2</v>
      </c>
      <c r="U6342">
        <v>-0.33270260000000001</v>
      </c>
      <c r="V6342">
        <v>-0.23876349999999999</v>
      </c>
      <c r="W6342">
        <v>0.18127869999999999</v>
      </c>
      <c r="X6342">
        <v>0.95400739999999995</v>
      </c>
      <c r="Y6342">
        <v>-0.19603119999999999</v>
      </c>
      <c r="Z6342">
        <v>4.7320280000000001E-3</v>
      </c>
      <c r="AA6342">
        <v>0.98058619999999996</v>
      </c>
      <c r="AB6342">
        <v>29</v>
      </c>
      <c r="AC6342">
        <v>96.689800000000005</v>
      </c>
      <c r="AD6342">
        <v>-1.1641090000000001</v>
      </c>
      <c r="AE6342">
        <v>-10.565612</v>
      </c>
      <c r="AF6342">
        <v>-19.097829261033599</v>
      </c>
      <c r="AG6342">
        <v>-1.1641090000000001</v>
      </c>
      <c r="AH6342">
        <v>95.357814473674907</v>
      </c>
      <c r="AI6342">
        <v>90.685803283307195</v>
      </c>
      <c r="AJ6342">
        <v>101.325106820145</v>
      </c>
      <c r="AK6342">
        <v>97.258393023138495</v>
      </c>
      <c r="AL6342">
        <v>79.555751181505002</v>
      </c>
      <c r="AM6342">
        <v>104.051032326452</v>
      </c>
      <c r="AN6342">
        <v>1.0000000476303399</v>
      </c>
    </row>
    <row r="6343" spans="1:40" x14ac:dyDescent="0.25">
      <c r="A6343" t="str">
        <f>"20190312172240495"</f>
        <v>20190312172240495</v>
      </c>
      <c r="B6343" t="str">
        <f>"1552382560486789"</f>
        <v>1552382560486789</v>
      </c>
      <c r="C6343" t="s">
        <v>40</v>
      </c>
      <c r="D6343">
        <v>3.3543669999999999</v>
      </c>
      <c r="E6343">
        <v>0.51519119999999996</v>
      </c>
      <c r="F6343" t="s">
        <v>43</v>
      </c>
      <c r="G6343">
        <v>-292.99329999999998</v>
      </c>
      <c r="H6343">
        <v>-0.05</v>
      </c>
      <c r="I6343">
        <v>12.398070000000001</v>
      </c>
      <c r="J6343">
        <v>-358.5453</v>
      </c>
      <c r="K6343">
        <v>1.114174</v>
      </c>
      <c r="L6343">
        <v>19.501159999999999</v>
      </c>
      <c r="M6343">
        <v>0.95408809999999999</v>
      </c>
      <c r="N6343">
        <v>0</v>
      </c>
      <c r="O6343">
        <v>-0.29921569999999997</v>
      </c>
      <c r="P6343">
        <v>0.98346359999999999</v>
      </c>
      <c r="Q6343">
        <v>0.1698731</v>
      </c>
      <c r="R6343">
        <v>-6.2790860000000004E-2</v>
      </c>
      <c r="S6343">
        <v>3.0389400000000002</v>
      </c>
      <c r="T6343">
        <v>-5.3845289999999997E-2</v>
      </c>
      <c r="U6343">
        <v>-0.33059690000000003</v>
      </c>
      <c r="V6343">
        <v>-0.2359484</v>
      </c>
      <c r="W6343">
        <v>0.1808961</v>
      </c>
      <c r="X6343">
        <v>0.95477999999999996</v>
      </c>
      <c r="Y6343">
        <v>-0.19422049999999999</v>
      </c>
      <c r="Z6343">
        <v>6.9183319999999897E-3</v>
      </c>
      <c r="AA6343">
        <v>0.98093350000000001</v>
      </c>
      <c r="AB6343">
        <v>29</v>
      </c>
      <c r="AC6343">
        <v>65.552000000000007</v>
      </c>
      <c r="AD6343">
        <v>-1.164174</v>
      </c>
      <c r="AE6343">
        <v>-7.1030899999999999</v>
      </c>
      <c r="AF6343">
        <v>-12.8344060531811</v>
      </c>
      <c r="AG6343">
        <v>-1.164174</v>
      </c>
      <c r="AH6343">
        <v>64.653594467662501</v>
      </c>
      <c r="AI6343">
        <v>91.011835749293496</v>
      </c>
      <c r="AJ6343">
        <v>101.227839697478</v>
      </c>
      <c r="AK6343">
        <v>65.925446964197107</v>
      </c>
      <c r="AL6343">
        <v>79.578040008331499</v>
      </c>
      <c r="AM6343">
        <v>103.881012347319</v>
      </c>
      <c r="AN6343">
        <v>0.99999994742888298</v>
      </c>
    </row>
    <row r="6344" spans="1:40" x14ac:dyDescent="0.25">
      <c r="A6344" t="str">
        <f>"20190312172240507"</f>
        <v>20190312172240507</v>
      </c>
      <c r="B6344" t="str">
        <f>"1552382560496549"</f>
        <v>1552382560496549</v>
      </c>
      <c r="C6344" t="s">
        <v>40</v>
      </c>
      <c r="D6344">
        <v>3.3903660000000002</v>
      </c>
      <c r="E6344">
        <v>0.51508620000000005</v>
      </c>
      <c r="F6344" t="s">
        <v>43</v>
      </c>
      <c r="G6344">
        <v>-305.41890000000001</v>
      </c>
      <c r="H6344">
        <v>-0.05</v>
      </c>
      <c r="I6344">
        <v>13.704929999999999</v>
      </c>
      <c r="J6344">
        <v>-358.41759999999999</v>
      </c>
      <c r="K6344">
        <v>1.1141859999999999</v>
      </c>
      <c r="L6344">
        <v>19.463470000000001</v>
      </c>
      <c r="M6344">
        <v>0.95483700000000005</v>
      </c>
      <c r="N6344">
        <v>0</v>
      </c>
      <c r="O6344">
        <v>-0.29681990000000003</v>
      </c>
      <c r="P6344">
        <v>0.9836317</v>
      </c>
      <c r="Q6344">
        <v>0.16885149999999999</v>
      </c>
      <c r="R6344">
        <v>-6.290983E-2</v>
      </c>
      <c r="S6344">
        <v>3.0407709999999999</v>
      </c>
      <c r="T6344">
        <v>-6.6633339999999999E-2</v>
      </c>
      <c r="U6344">
        <v>-0.33175660000000001</v>
      </c>
      <c r="V6344">
        <v>-0.23348820000000001</v>
      </c>
      <c r="W6344">
        <v>0.17980789999999999</v>
      </c>
      <c r="X6344">
        <v>0.9555901</v>
      </c>
      <c r="Y6344">
        <v>-0.19141240000000001</v>
      </c>
      <c r="Z6344">
        <v>8.4749609999999996E-3</v>
      </c>
      <c r="AA6344">
        <v>0.98147309999999999</v>
      </c>
      <c r="AB6344">
        <v>29</v>
      </c>
      <c r="AC6344">
        <v>52.9986999999999</v>
      </c>
      <c r="AD6344">
        <v>-1.1641859999999999</v>
      </c>
      <c r="AE6344">
        <v>-5.75854</v>
      </c>
      <c r="AF6344">
        <v>-10.2286666499294</v>
      </c>
      <c r="AG6344">
        <v>-1.1641859999999999</v>
      </c>
      <c r="AH6344">
        <v>52.2942505720534</v>
      </c>
      <c r="AI6344">
        <v>91.251610460919807</v>
      </c>
      <c r="AJ6344">
        <v>101.06722974944999</v>
      </c>
      <c r="AK6344">
        <v>53.297932355492797</v>
      </c>
      <c r="AL6344">
        <v>79.6414295851623</v>
      </c>
      <c r="AM6344">
        <v>103.73058259853801</v>
      </c>
      <c r="AN6344">
        <v>1.0000000298298199</v>
      </c>
    </row>
    <row r="6345" spans="1:40" x14ac:dyDescent="0.25">
      <c r="A6345" t="str">
        <f>"20190312172240518"</f>
        <v>20190312172240518</v>
      </c>
      <c r="B6345" t="str">
        <f>"1552382560507285"</f>
        <v>1552382560507285</v>
      </c>
      <c r="C6345" t="s">
        <v>40</v>
      </c>
      <c r="D6345">
        <v>3.377936</v>
      </c>
      <c r="E6345">
        <v>0.51490550000000002</v>
      </c>
      <c r="F6345" t="s">
        <v>43</v>
      </c>
      <c r="G6345">
        <v>-312.40649999999999</v>
      </c>
      <c r="H6345">
        <v>-0.05</v>
      </c>
      <c r="I6345">
        <v>14.45425</v>
      </c>
      <c r="J6345">
        <v>-358.27839999999998</v>
      </c>
      <c r="K6345">
        <v>1.114174</v>
      </c>
      <c r="L6345">
        <v>19.422519999999999</v>
      </c>
      <c r="M6345">
        <v>0.95568969999999998</v>
      </c>
      <c r="N6345">
        <v>0</v>
      </c>
      <c r="O6345">
        <v>-0.29406910000000003</v>
      </c>
      <c r="P6345">
        <v>0.98388730000000002</v>
      </c>
      <c r="Q6345">
        <v>0.16737369999999999</v>
      </c>
      <c r="R6345">
        <v>-6.2861849999999997E-2</v>
      </c>
      <c r="S6345">
        <v>3.0419619999999998</v>
      </c>
      <c r="T6345">
        <v>-7.6968549999999997E-2</v>
      </c>
      <c r="U6345">
        <v>-0.33117679999999999</v>
      </c>
      <c r="V6345">
        <v>-0.23084789999999999</v>
      </c>
      <c r="W6345">
        <v>0.1782223</v>
      </c>
      <c r="X6345">
        <v>0.95652809999999999</v>
      </c>
      <c r="Y6345">
        <v>-0.188775</v>
      </c>
      <c r="Z6345">
        <v>9.685773E-3</v>
      </c>
      <c r="AA6345">
        <v>0.98197259999999997</v>
      </c>
      <c r="AB6345">
        <v>28</v>
      </c>
      <c r="AC6345">
        <v>45.871899999999897</v>
      </c>
      <c r="AD6345">
        <v>-1.164174</v>
      </c>
      <c r="AE6345">
        <v>-4.9682700000000004</v>
      </c>
      <c r="AF6345">
        <v>-8.7366113033602399</v>
      </c>
      <c r="AG6345">
        <v>-1.164174</v>
      </c>
      <c r="AH6345">
        <v>45.275584185692303</v>
      </c>
      <c r="AI6345">
        <v>91.446257136745501</v>
      </c>
      <c r="AJ6345">
        <v>100.921850470145</v>
      </c>
      <c r="AK6345">
        <v>46.125504891805598</v>
      </c>
      <c r="AL6345">
        <v>79.733768825221702</v>
      </c>
      <c r="AM6345">
        <v>103.56827256385399</v>
      </c>
      <c r="AN6345">
        <v>0.99999997362065396</v>
      </c>
    </row>
    <row r="6346" spans="1:40" x14ac:dyDescent="0.25">
      <c r="A6346" t="str">
        <f>"20190312172240529"</f>
        <v>20190312172240529</v>
      </c>
      <c r="B6346" t="str">
        <f>"1552382560526805"</f>
        <v>1552382560526805</v>
      </c>
      <c r="C6346" t="s">
        <v>40</v>
      </c>
      <c r="D6346">
        <v>3.4073630000000001</v>
      </c>
      <c r="E6346">
        <v>0.51461880000000004</v>
      </c>
      <c r="F6346" t="s">
        <v>42</v>
      </c>
      <c r="G6346">
        <v>-320.15719999999999</v>
      </c>
      <c r="H6346" s="1">
        <v>-5.3993070000000001E-6</v>
      </c>
      <c r="I6346">
        <v>15.297650000000001</v>
      </c>
      <c r="J6346">
        <v>-358.14159999999998</v>
      </c>
      <c r="K6346">
        <v>1.1142570000000001</v>
      </c>
      <c r="L6346">
        <v>19.382999999999999</v>
      </c>
      <c r="M6346">
        <v>0.95644960000000001</v>
      </c>
      <c r="N6346">
        <v>0</v>
      </c>
      <c r="O6346">
        <v>-0.29158800000000001</v>
      </c>
      <c r="P6346">
        <v>0.98420819999999998</v>
      </c>
      <c r="Q6346">
        <v>0.1654031</v>
      </c>
      <c r="R6346">
        <v>-6.3056589999999996E-2</v>
      </c>
      <c r="S6346">
        <v>3.0431819999999998</v>
      </c>
      <c r="T6346">
        <v>-8.8943960000000002E-2</v>
      </c>
      <c r="U6346">
        <v>-0.32928469999999999</v>
      </c>
      <c r="V6346">
        <v>-0.228295</v>
      </c>
      <c r="W6346">
        <v>0.17623720000000001</v>
      </c>
      <c r="X6346">
        <v>0.95750809999999997</v>
      </c>
      <c r="Y6346">
        <v>-0.18682399999999999</v>
      </c>
      <c r="Z6346">
        <v>1.1090640000000001E-2</v>
      </c>
      <c r="AA6346">
        <v>0.98233079999999995</v>
      </c>
      <c r="AB6346">
        <v>28</v>
      </c>
      <c r="AC6346">
        <v>37.984400000000001</v>
      </c>
      <c r="AD6346">
        <v>-1.114262399307</v>
      </c>
      <c r="AE6346">
        <v>-4.0853499999999903</v>
      </c>
      <c r="AF6346">
        <v>-7.1629178518986896</v>
      </c>
      <c r="AG6346">
        <v>-1.114262399307</v>
      </c>
      <c r="AH6346">
        <v>37.4928971864991</v>
      </c>
      <c r="AI6346">
        <v>91.672065679105401</v>
      </c>
      <c r="AJ6346">
        <v>100.815872666846</v>
      </c>
      <c r="AK6346">
        <v>38.187253269709601</v>
      </c>
      <c r="AL6346">
        <v>79.849336046361202</v>
      </c>
      <c r="AM6346">
        <v>103.410440816896</v>
      </c>
      <c r="AN6346">
        <v>0.99999995962722399</v>
      </c>
    </row>
    <row r="6347" spans="1:40" x14ac:dyDescent="0.25">
      <c r="A6347" t="str">
        <f>"20190312172240541"</f>
        <v>20190312172240541</v>
      </c>
      <c r="B6347" t="str">
        <f>"1552382560536565"</f>
        <v>1552382560536565</v>
      </c>
      <c r="C6347" t="s">
        <v>40</v>
      </c>
      <c r="D6347">
        <v>3.3844199999999902</v>
      </c>
      <c r="E6347">
        <v>0.51446829999999999</v>
      </c>
      <c r="F6347" t="s">
        <v>42</v>
      </c>
      <c r="G6347">
        <v>-326.15230000000003</v>
      </c>
      <c r="H6347" s="1">
        <v>-2.450505E-6</v>
      </c>
      <c r="I6347">
        <v>15.94516</v>
      </c>
      <c r="J6347">
        <v>-358.0027</v>
      </c>
      <c r="K6347">
        <v>1.1143590000000001</v>
      </c>
      <c r="L6347">
        <v>19.343019999999999</v>
      </c>
      <c r="M6347">
        <v>0.95719900000000002</v>
      </c>
      <c r="N6347">
        <v>0</v>
      </c>
      <c r="O6347">
        <v>-0.2891167</v>
      </c>
      <c r="P6347">
        <v>0.98457819999999996</v>
      </c>
      <c r="Q6347">
        <v>0.16300419999999999</v>
      </c>
      <c r="R6347">
        <v>-6.3525300000000007E-2</v>
      </c>
      <c r="S6347">
        <v>3.0449830000000002</v>
      </c>
      <c r="T6347">
        <v>-0.1060637</v>
      </c>
      <c r="U6347">
        <v>-0.32723999999999998</v>
      </c>
      <c r="V6347">
        <v>-0.22550490000000001</v>
      </c>
      <c r="W6347">
        <v>0.17384279999999999</v>
      </c>
      <c r="X6347">
        <v>0.95860639999999997</v>
      </c>
      <c r="Y6347">
        <v>-0.1849201</v>
      </c>
      <c r="Z6347">
        <v>1.310184E-2</v>
      </c>
      <c r="AA6347">
        <v>0.98266620000000005</v>
      </c>
      <c r="AB6347">
        <v>29</v>
      </c>
      <c r="AC6347">
        <v>31.850399999999901</v>
      </c>
      <c r="AD6347">
        <v>-1.1143614505049999</v>
      </c>
      <c r="AE6347">
        <v>-3.3978600000000001</v>
      </c>
      <c r="AF6347">
        <v>-5.9493944620232302</v>
      </c>
      <c r="AG6347">
        <v>-1.1143614505049999</v>
      </c>
      <c r="AH6347">
        <v>31.434360771811299</v>
      </c>
      <c r="AI6347">
        <v>91.994923293877505</v>
      </c>
      <c r="AJ6347">
        <v>100.71726401642</v>
      </c>
      <c r="AK6347">
        <v>32.011812398543</v>
      </c>
      <c r="AL6347">
        <v>79.988676787919005</v>
      </c>
      <c r="AM6347">
        <v>103.237713814854</v>
      </c>
      <c r="AN6347">
        <v>1.0000000045784001</v>
      </c>
    </row>
    <row r="6348" spans="1:40" x14ac:dyDescent="0.25">
      <c r="A6348" t="str">
        <f>"20190312172240554"</f>
        <v>20190312172240554</v>
      </c>
      <c r="B6348" t="str">
        <f>"1552382560546326"</f>
        <v>1552382560546326</v>
      </c>
      <c r="C6348" t="s">
        <v>40</v>
      </c>
      <c r="D6348">
        <v>3.3692570000000002</v>
      </c>
      <c r="E6348">
        <v>0.51427299999999998</v>
      </c>
      <c r="F6348" t="s">
        <v>42</v>
      </c>
      <c r="G6348">
        <v>-328.73719999999997</v>
      </c>
      <c r="H6348" s="1">
        <v>-1.3771820000000001E-6</v>
      </c>
      <c r="I6348">
        <v>16.203600000000002</v>
      </c>
      <c r="J6348">
        <v>-357.846</v>
      </c>
      <c r="K6348">
        <v>1.114522</v>
      </c>
      <c r="L6348">
        <v>19.29871</v>
      </c>
      <c r="M6348">
        <v>0.95799330000000005</v>
      </c>
      <c r="N6348">
        <v>0</v>
      </c>
      <c r="O6348">
        <v>-0.28647070000000002</v>
      </c>
      <c r="P6348">
        <v>0.98495049999999995</v>
      </c>
      <c r="Q6348">
        <v>0.16051309999999999</v>
      </c>
      <c r="R6348">
        <v>-6.4095810000000003E-2</v>
      </c>
      <c r="S6348">
        <v>3.045105</v>
      </c>
      <c r="T6348">
        <v>-0.11595030000000001</v>
      </c>
      <c r="U6348">
        <v>-0.32666020000000001</v>
      </c>
      <c r="V6348">
        <v>-0.22246540000000001</v>
      </c>
      <c r="W6348">
        <v>0.17137140000000001</v>
      </c>
      <c r="X6348">
        <v>0.95976090000000003</v>
      </c>
      <c r="Y6348">
        <v>-0.1823429</v>
      </c>
      <c r="Z6348">
        <v>1.41767E-2</v>
      </c>
      <c r="AA6348">
        <v>0.98313280000000003</v>
      </c>
      <c r="AB6348">
        <v>28</v>
      </c>
      <c r="AC6348">
        <v>29.108799999999999</v>
      </c>
      <c r="AD6348">
        <v>-1.114523377182</v>
      </c>
      <c r="AE6348">
        <v>-3.0951099999999898</v>
      </c>
      <c r="AF6348">
        <v>-5.3664372704211303</v>
      </c>
      <c r="AG6348">
        <v>-1.114523377182</v>
      </c>
      <c r="AH6348">
        <v>28.733679909475601</v>
      </c>
      <c r="AI6348">
        <v>92.1835594461471</v>
      </c>
      <c r="AJ6348">
        <v>100.57895140382399</v>
      </c>
      <c r="AK6348">
        <v>29.251755032405299</v>
      </c>
      <c r="AL6348">
        <v>80.132435259236502</v>
      </c>
      <c r="AM6348">
        <v>103.050270140385</v>
      </c>
      <c r="AN6348">
        <v>0.99999999805196405</v>
      </c>
    </row>
    <row r="6349" spans="1:40" x14ac:dyDescent="0.25">
      <c r="A6349" t="str">
        <f>"20190312172240572"</f>
        <v>20190312172240572</v>
      </c>
      <c r="B6349" t="str">
        <f>"1552382560566821"</f>
        <v>1552382560566821</v>
      </c>
      <c r="C6349" t="s">
        <v>40</v>
      </c>
      <c r="D6349">
        <v>3.3781059999999998</v>
      </c>
      <c r="E6349">
        <v>0.51421559999999999</v>
      </c>
      <c r="F6349" t="s">
        <v>42</v>
      </c>
      <c r="G6349">
        <v>-330.7056</v>
      </c>
      <c r="H6349" s="1">
        <v>-4.5407259999999999E-6</v>
      </c>
      <c r="I6349">
        <v>16.396329999999999</v>
      </c>
      <c r="J6349">
        <v>-357.63159999999999</v>
      </c>
      <c r="K6349">
        <v>1.1146929999999999</v>
      </c>
      <c r="L6349">
        <v>19.239039999999999</v>
      </c>
      <c r="M6349">
        <v>0.95908899999999997</v>
      </c>
      <c r="N6349">
        <v>0</v>
      </c>
      <c r="O6349">
        <v>-0.28277659999999999</v>
      </c>
      <c r="P6349">
        <v>0.98532850000000005</v>
      </c>
      <c r="Q6349">
        <v>0.15667609999999901</v>
      </c>
      <c r="R6349">
        <v>-6.767637E-2</v>
      </c>
      <c r="S6349">
        <v>3.045013</v>
      </c>
      <c r="T6349">
        <v>-0.1250443</v>
      </c>
      <c r="U6349">
        <v>-0.32562259999999998</v>
      </c>
      <c r="V6349">
        <v>-0.21548030000000001</v>
      </c>
      <c r="W6349">
        <v>0.16758039999999999</v>
      </c>
      <c r="X6349">
        <v>0.96202140000000003</v>
      </c>
      <c r="Y6349">
        <v>-0.1788332</v>
      </c>
      <c r="Z6349">
        <v>1.5071569999999999E-2</v>
      </c>
      <c r="AA6349">
        <v>0.98376390000000002</v>
      </c>
      <c r="AB6349">
        <v>28</v>
      </c>
      <c r="AC6349">
        <v>26.925999999999899</v>
      </c>
      <c r="AD6349">
        <v>-1.114697540726</v>
      </c>
      <c r="AE6349">
        <v>-2.8427099999999998</v>
      </c>
      <c r="AF6349">
        <v>-4.8798136495786499</v>
      </c>
      <c r="AG6349">
        <v>-1.114697540726</v>
      </c>
      <c r="AH6349">
        <v>26.585693476084298</v>
      </c>
      <c r="AI6349">
        <v>92.361513051508595</v>
      </c>
      <c r="AJ6349">
        <v>100.400887796425</v>
      </c>
      <c r="AK6349">
        <v>27.052804465826199</v>
      </c>
      <c r="AL6349">
        <v>80.352832513956002</v>
      </c>
      <c r="AM6349">
        <v>102.625128338519</v>
      </c>
      <c r="AN6349">
        <v>1.0000000621051</v>
      </c>
    </row>
    <row r="6350" spans="1:40" x14ac:dyDescent="0.25">
      <c r="A6350" t="str">
        <f>"20190312172240585"</f>
        <v>20190312172240585</v>
      </c>
      <c r="B6350" t="str">
        <f>"1552382560576581"</f>
        <v>1552382560576581</v>
      </c>
      <c r="C6350" t="s">
        <v>40</v>
      </c>
      <c r="D6350">
        <v>3.3889749999999998</v>
      </c>
      <c r="E6350">
        <v>0.5141597</v>
      </c>
      <c r="F6350" t="s">
        <v>42</v>
      </c>
      <c r="G6350">
        <v>-332.67380000000003</v>
      </c>
      <c r="H6350" s="1">
        <v>-3.6772359999999999E-6</v>
      </c>
      <c r="I6350">
        <v>16.504300000000001</v>
      </c>
      <c r="J6350">
        <v>-357.47680000000003</v>
      </c>
      <c r="K6350">
        <v>1.1147689999999999</v>
      </c>
      <c r="L6350">
        <v>19.19659</v>
      </c>
      <c r="M6350">
        <v>0.95990200000000003</v>
      </c>
      <c r="N6350">
        <v>0</v>
      </c>
      <c r="O6350">
        <v>-0.28000389999999997</v>
      </c>
      <c r="P6350">
        <v>0.98550850000000001</v>
      </c>
      <c r="Q6350">
        <v>0.155188299999999</v>
      </c>
      <c r="R6350">
        <v>-6.8480959999999994E-2</v>
      </c>
      <c r="S6350">
        <v>3.0433650000000001</v>
      </c>
      <c r="T6350">
        <v>-0.13592650000000001</v>
      </c>
      <c r="U6350">
        <v>-0.33346559999999997</v>
      </c>
      <c r="V6350">
        <v>-0.21200330000000001</v>
      </c>
      <c r="W6350">
        <v>0.16609939999999901</v>
      </c>
      <c r="X6350">
        <v>0.96305010000000002</v>
      </c>
      <c r="Y6350">
        <v>-0.17336460000000001</v>
      </c>
      <c r="Z6350">
        <v>1.6147109999999999E-2</v>
      </c>
      <c r="AA6350">
        <v>0.98472539999999997</v>
      </c>
      <c r="AB6350">
        <v>28</v>
      </c>
      <c r="AC6350">
        <v>24.803000000000001</v>
      </c>
      <c r="AD6350">
        <v>-1.114772677236</v>
      </c>
      <c r="AE6350">
        <v>-2.6922899999999998</v>
      </c>
      <c r="AF6350">
        <v>-4.3523181371078401</v>
      </c>
      <c r="AG6350">
        <v>-1.114772677236</v>
      </c>
      <c r="AH6350">
        <v>24.515638858928501</v>
      </c>
      <c r="AI6350">
        <v>92.563524392845196</v>
      </c>
      <c r="AJ6350">
        <v>100.066964341429</v>
      </c>
      <c r="AK6350">
        <v>24.923923044936402</v>
      </c>
      <c r="AL6350">
        <v>80.438892743909605</v>
      </c>
      <c r="AM6350">
        <v>102.414924756915</v>
      </c>
      <c r="AN6350">
        <v>0.99999995250062801</v>
      </c>
    </row>
    <row r="6351" spans="1:40" x14ac:dyDescent="0.25">
      <c r="A6351" t="str">
        <f>"20190312172240596"</f>
        <v>20190312172240596</v>
      </c>
      <c r="B6351" t="str">
        <f>"1552382560586341"</f>
        <v>1552382560586341</v>
      </c>
      <c r="C6351" t="s">
        <v>40</v>
      </c>
      <c r="D6351">
        <v>3.3795570000000001</v>
      </c>
      <c r="E6351">
        <v>0.51381060000000001</v>
      </c>
      <c r="F6351" t="s">
        <v>42</v>
      </c>
      <c r="G6351">
        <v>-333.46809999999999</v>
      </c>
      <c r="H6351" s="1">
        <v>-3.3266419999999999E-6</v>
      </c>
      <c r="I6351">
        <v>16.559670000000001</v>
      </c>
      <c r="J6351">
        <v>-357.32679999999999</v>
      </c>
      <c r="K6351">
        <v>1.1147879999999999</v>
      </c>
      <c r="L6351">
        <v>19.15598</v>
      </c>
      <c r="M6351">
        <v>0.96072060000000004</v>
      </c>
      <c r="N6351">
        <v>0</v>
      </c>
      <c r="O6351">
        <v>-0.2771827</v>
      </c>
      <c r="P6351">
        <v>0.98572309999999996</v>
      </c>
      <c r="Q6351">
        <v>0.153442</v>
      </c>
      <c r="R6351">
        <v>-6.9321510000000003E-2</v>
      </c>
      <c r="S6351">
        <v>3.0431819999999998</v>
      </c>
      <c r="T6351">
        <v>-0.14130100000000001</v>
      </c>
      <c r="U6351">
        <v>-0.33422849999999998</v>
      </c>
      <c r="V6351">
        <v>-0.20842659999999999</v>
      </c>
      <c r="W6351">
        <v>0.16436829999999999</v>
      </c>
      <c r="X6351">
        <v>0.96412730000000002</v>
      </c>
      <c r="Y6351">
        <v>-0.17019100000000001</v>
      </c>
      <c r="Z6351">
        <v>1.6586630000000002E-2</v>
      </c>
      <c r="AA6351">
        <v>0.98527149999999997</v>
      </c>
      <c r="AB6351">
        <v>28</v>
      </c>
      <c r="AC6351">
        <v>23.858699999999999</v>
      </c>
      <c r="AD6351">
        <v>-1.114791326642</v>
      </c>
      <c r="AE6351">
        <v>-2.5963099999999901</v>
      </c>
      <c r="AF6351">
        <v>-4.1104040209268904</v>
      </c>
      <c r="AG6351">
        <v>-1.114791326642</v>
      </c>
      <c r="AH6351">
        <v>23.5924876163512</v>
      </c>
      <c r="AI6351">
        <v>92.665236530937804</v>
      </c>
      <c r="AJ6351">
        <v>99.883161841026805</v>
      </c>
      <c r="AK6351">
        <v>23.973811812994899</v>
      </c>
      <c r="AL6351">
        <v>80.539460466336607</v>
      </c>
      <c r="AM6351">
        <v>102.19857493471</v>
      </c>
      <c r="AN6351">
        <v>1.00000001811887</v>
      </c>
    </row>
    <row r="6352" spans="1:40" x14ac:dyDescent="0.25">
      <c r="A6352" t="str">
        <f>"20190312172240607"</f>
        <v>20190312172240607</v>
      </c>
      <c r="B6352" t="str">
        <f>"1552382560597078"</f>
        <v>1552382560597078</v>
      </c>
      <c r="C6352" t="s">
        <v>40</v>
      </c>
      <c r="D6352">
        <v>3.3611909999999998</v>
      </c>
      <c r="E6352">
        <v>0.51360209999999995</v>
      </c>
      <c r="F6352" t="s">
        <v>42</v>
      </c>
      <c r="G6352">
        <v>-334.1275</v>
      </c>
      <c r="H6352" s="1">
        <v>-3.033959E-6</v>
      </c>
      <c r="I6352">
        <v>16.61506</v>
      </c>
      <c r="J6352">
        <v>-357.1952</v>
      </c>
      <c r="K6352">
        <v>1.1147849999999999</v>
      </c>
      <c r="L6352">
        <v>19.120909999999999</v>
      </c>
      <c r="M6352">
        <v>0.96146670000000001</v>
      </c>
      <c r="N6352">
        <v>0</v>
      </c>
      <c r="O6352">
        <v>-0.27458369999999999</v>
      </c>
      <c r="P6352">
        <v>0.98590359999999999</v>
      </c>
      <c r="Q6352">
        <v>0.15195919999999999</v>
      </c>
      <c r="R6352">
        <v>-7.0021739999999999E-2</v>
      </c>
      <c r="S6352">
        <v>3.042786</v>
      </c>
      <c r="T6352">
        <v>-0.1462145</v>
      </c>
      <c r="U6352">
        <v>-0.33325199999999999</v>
      </c>
      <c r="V6352">
        <v>-0.20518529999999999</v>
      </c>
      <c r="W6352">
        <v>0.16291140000000001</v>
      </c>
      <c r="X6352">
        <v>0.96506939999999997</v>
      </c>
      <c r="Y6352">
        <v>-0.16779669999999999</v>
      </c>
      <c r="Z6352">
        <v>1.6988349999999999E-2</v>
      </c>
      <c r="AA6352">
        <v>0.98567519999999997</v>
      </c>
      <c r="AB6352">
        <v>28</v>
      </c>
      <c r="AC6352">
        <v>23.067699999999999</v>
      </c>
      <c r="AD6352">
        <v>-1.1147880339589999</v>
      </c>
      <c r="AE6352">
        <v>-2.5058500000000001</v>
      </c>
      <c r="AF6352">
        <v>-3.91604812327886</v>
      </c>
      <c r="AG6352">
        <v>-1.1147880339589999</v>
      </c>
      <c r="AH6352">
        <v>22.816347411298601</v>
      </c>
      <c r="AI6352">
        <v>92.756951499494804</v>
      </c>
      <c r="AJ6352">
        <v>99.738980984687799</v>
      </c>
      <c r="AK6352">
        <v>23.176796466672499</v>
      </c>
      <c r="AL6352">
        <v>80.624075489036301</v>
      </c>
      <c r="AM6352">
        <v>102.003037038161</v>
      </c>
      <c r="AN6352">
        <v>1.0000000392012001</v>
      </c>
    </row>
    <row r="6353" spans="1:40" x14ac:dyDescent="0.25">
      <c r="A6353" t="str">
        <f>"20190312172240775"</f>
        <v>20190312172240775</v>
      </c>
      <c r="B6353" t="str">
        <f>"1552382560766901"</f>
        <v>1552382560766901</v>
      </c>
      <c r="C6353" t="s">
        <v>40</v>
      </c>
      <c r="D6353">
        <v>3.535199</v>
      </c>
      <c r="E6353">
        <v>0.51360209999999995</v>
      </c>
      <c r="F6353" t="s">
        <v>42</v>
      </c>
      <c r="G6353">
        <v>-334.78680000000003</v>
      </c>
      <c r="H6353" s="1">
        <v>-2.7418210000000001E-6</v>
      </c>
      <c r="I6353">
        <v>16.667590000000001</v>
      </c>
      <c r="J6353">
        <v>-355.15589999999997</v>
      </c>
      <c r="K6353">
        <v>1.114827</v>
      </c>
      <c r="L6353">
        <v>18.628879999999999</v>
      </c>
      <c r="M6353">
        <v>0.97265979999999996</v>
      </c>
      <c r="N6353">
        <v>0</v>
      </c>
      <c r="O6353">
        <v>-0.23183380000000001</v>
      </c>
      <c r="P6353">
        <v>0.98941109999999999</v>
      </c>
      <c r="Q6353">
        <v>0.1301667</v>
      </c>
      <c r="R6353">
        <v>-6.4205319999999996E-2</v>
      </c>
      <c r="S6353">
        <v>3.0426030000000002</v>
      </c>
      <c r="T6353">
        <v>-0.15136520000000001</v>
      </c>
      <c r="U6353">
        <v>-0.33309939999999999</v>
      </c>
      <c r="V6353">
        <v>-0.16851820000000001</v>
      </c>
      <c r="W6353">
        <v>0.1416375</v>
      </c>
      <c r="X6353">
        <v>0.97546940000000004</v>
      </c>
      <c r="Y6353">
        <v>-0.1241872</v>
      </c>
      <c r="Z6353">
        <v>1.4455539999999999E-2</v>
      </c>
      <c r="AA6353">
        <v>0.99215350000000002</v>
      </c>
      <c r="AB6353">
        <v>28</v>
      </c>
      <c r="AC6353">
        <v>20.3690999999999</v>
      </c>
      <c r="AD6353">
        <v>-1.114829741821</v>
      </c>
      <c r="AE6353">
        <v>-1.96128999999999</v>
      </c>
      <c r="AF6353">
        <v>-2.8065099602055601</v>
      </c>
      <c r="AG6353">
        <v>-1.114829741821</v>
      </c>
      <c r="AH6353">
        <v>20.2088032083836</v>
      </c>
      <c r="AI6353">
        <v>93.127597100652395</v>
      </c>
      <c r="AJ6353">
        <v>97.906416518709804</v>
      </c>
      <c r="AK6353">
        <v>20.433185523191401</v>
      </c>
      <c r="AL6353">
        <v>81.857388068205395</v>
      </c>
      <c r="AM6353">
        <v>99.801447404100401</v>
      </c>
      <c r="AN6353">
        <v>1.0000000577369199</v>
      </c>
    </row>
    <row r="6354" spans="1:40" x14ac:dyDescent="0.25">
      <c r="A6354" t="str">
        <f>"20190312172240828"</f>
        <v>20190312172240828</v>
      </c>
      <c r="B6354" t="str">
        <f>"1552382560816679"</f>
        <v>1552382560816679</v>
      </c>
      <c r="C6354" t="s">
        <v>40</v>
      </c>
      <c r="D6354">
        <v>3.2125409999999999</v>
      </c>
      <c r="E6354">
        <v>0.51294240000000002</v>
      </c>
      <c r="F6354" t="s">
        <v>42</v>
      </c>
      <c r="G6354">
        <v>-339.7081</v>
      </c>
      <c r="H6354" s="1">
        <v>-7.6706430000000002E-7</v>
      </c>
      <c r="I6354">
        <v>17.054300000000001</v>
      </c>
      <c r="J6354">
        <v>-354.5129</v>
      </c>
      <c r="K6354">
        <v>1.114811</v>
      </c>
      <c r="L6354">
        <v>18.493739999999999</v>
      </c>
      <c r="M6354">
        <v>0.97576010000000002</v>
      </c>
      <c r="N6354">
        <v>0</v>
      </c>
      <c r="O6354">
        <v>-0.21841569999999999</v>
      </c>
      <c r="P6354">
        <v>0.98919330000000005</v>
      </c>
      <c r="Q6354">
        <v>0.13718320000000001</v>
      </c>
      <c r="R6354">
        <v>-5.1742169999999997E-2</v>
      </c>
      <c r="S6354">
        <v>3.0408629999999999</v>
      </c>
      <c r="T6354">
        <v>-0.21945149999999999</v>
      </c>
      <c r="U6354">
        <v>-0.3099365</v>
      </c>
      <c r="V6354">
        <v>-0.1672033</v>
      </c>
      <c r="W6354">
        <v>0.14871899999999999</v>
      </c>
      <c r="X6354">
        <v>0.97464130000000004</v>
      </c>
      <c r="Y6354">
        <v>-0.1175073</v>
      </c>
      <c r="Z6354">
        <v>1.978734E-2</v>
      </c>
      <c r="AA6354">
        <v>0.9928749</v>
      </c>
      <c r="AB6354">
        <v>28</v>
      </c>
      <c r="AC6354">
        <v>14.8048</v>
      </c>
      <c r="AD6354">
        <v>-1.1148117670643001</v>
      </c>
      <c r="AE6354">
        <v>-1.4394399999999901</v>
      </c>
      <c r="AF6354">
        <v>-1.81900597331773</v>
      </c>
      <c r="AG6354">
        <v>-1.1148117670643001</v>
      </c>
      <c r="AH6354">
        <v>14.679253536207</v>
      </c>
      <c r="AI6354">
        <v>94.310134951659293</v>
      </c>
      <c r="AJ6354">
        <v>97.063899666493</v>
      </c>
      <c r="AK6354">
        <v>14.833478094742199</v>
      </c>
      <c r="AL6354">
        <v>81.447301741404203</v>
      </c>
      <c r="AM6354">
        <v>99.734541859513101</v>
      </c>
      <c r="AN6354">
        <v>0.99999997407878904</v>
      </c>
    </row>
    <row r="6355" spans="1:40" x14ac:dyDescent="0.25">
      <c r="A6355" t="str">
        <f>"20190312172240842"</f>
        <v>20190312172240842</v>
      </c>
      <c r="B6355" t="str">
        <f>"1552382560837174"</f>
        <v>1552382560837174</v>
      </c>
      <c r="C6355" t="s">
        <v>40</v>
      </c>
      <c r="D6355">
        <v>3.2158519999999999</v>
      </c>
      <c r="E6355">
        <v>0.51184280000000004</v>
      </c>
      <c r="F6355" t="s">
        <v>42</v>
      </c>
      <c r="G6355">
        <v>-336.78969999999998</v>
      </c>
      <c r="H6355" s="1">
        <v>-1.834553E-6</v>
      </c>
      <c r="I6355">
        <v>16.938210000000002</v>
      </c>
      <c r="J6355">
        <v>-354.35180000000003</v>
      </c>
      <c r="K6355">
        <v>1.114803</v>
      </c>
      <c r="L6355">
        <v>18.46115</v>
      </c>
      <c r="M6355">
        <v>0.97650060000000005</v>
      </c>
      <c r="N6355">
        <v>0</v>
      </c>
      <c r="O6355">
        <v>-0.21508050000000001</v>
      </c>
      <c r="P6355">
        <v>0.98915169999999997</v>
      </c>
      <c r="Q6355">
        <v>0.13892679999999999</v>
      </c>
      <c r="R6355">
        <v>-4.7731509999999998E-2</v>
      </c>
      <c r="S6355">
        <v>3.0453800000000002</v>
      </c>
      <c r="T6355">
        <v>-0.19155810000000001</v>
      </c>
      <c r="U6355">
        <v>-0.26727289999999998</v>
      </c>
      <c r="V6355">
        <v>-0.1677825</v>
      </c>
      <c r="W6355">
        <v>0.15046770000000001</v>
      </c>
      <c r="X6355">
        <v>0.97427330000000001</v>
      </c>
      <c r="Y6355">
        <v>-0.12823090000000001</v>
      </c>
      <c r="Z6355">
        <v>1.7400590000000001E-2</v>
      </c>
      <c r="AA6355">
        <v>0.99159169999999996</v>
      </c>
      <c r="AB6355">
        <v>28</v>
      </c>
      <c r="AC6355">
        <v>17.562100000000001</v>
      </c>
      <c r="AD6355">
        <v>-1.1148048345529999</v>
      </c>
      <c r="AE6355">
        <v>-1.52293999999999</v>
      </c>
      <c r="AF6355">
        <v>-2.2812041608334699</v>
      </c>
      <c r="AG6355">
        <v>-1.1148048345529999</v>
      </c>
      <c r="AH6355">
        <v>17.4089650062398</v>
      </c>
      <c r="AI6355">
        <v>93.633030627863207</v>
      </c>
      <c r="AJ6355">
        <v>97.465286099111296</v>
      </c>
      <c r="AK6355">
        <v>17.593144824931901</v>
      </c>
      <c r="AL6355">
        <v>81.345968399896293</v>
      </c>
      <c r="AM6355">
        <v>99.771232589265693</v>
      </c>
      <c r="AN6355">
        <v>0.999999979571214</v>
      </c>
    </row>
    <row r="6356" spans="1:40" x14ac:dyDescent="0.25">
      <c r="A6356" t="str">
        <f>"20190312172240854"</f>
        <v>20190312172240854</v>
      </c>
      <c r="B6356" t="str">
        <f>"1552382560846934"</f>
        <v>1552382560846934</v>
      </c>
      <c r="C6356" t="s">
        <v>40</v>
      </c>
      <c r="D6356">
        <v>3.2861579999999999</v>
      </c>
      <c r="E6356">
        <v>0.51138859999999997</v>
      </c>
      <c r="F6356" t="s">
        <v>42</v>
      </c>
      <c r="G6356">
        <v>-335.12610000000001</v>
      </c>
      <c r="H6356" s="1">
        <v>-2.553823E-6</v>
      </c>
      <c r="I6356">
        <v>16.90673</v>
      </c>
      <c r="J6356">
        <v>-354.18490000000003</v>
      </c>
      <c r="K6356">
        <v>1.114792</v>
      </c>
      <c r="L6356">
        <v>18.42822</v>
      </c>
      <c r="M6356">
        <v>0.97724999999999995</v>
      </c>
      <c r="N6356">
        <v>0</v>
      </c>
      <c r="O6356">
        <v>-0.21164930000000001</v>
      </c>
      <c r="P6356">
        <v>0.98923899999999998</v>
      </c>
      <c r="Q6356">
        <v>0.1396675</v>
      </c>
      <c r="R6356">
        <v>-4.3579319999999998E-2</v>
      </c>
      <c r="S6356">
        <v>3.0458370000000001</v>
      </c>
      <c r="T6356">
        <v>-0.17661350000000001</v>
      </c>
      <c r="U6356">
        <v>-0.2462463</v>
      </c>
      <c r="V6356">
        <v>-0.16842689999999999</v>
      </c>
      <c r="W6356">
        <v>0.1512144</v>
      </c>
      <c r="X6356">
        <v>0.97404650000000004</v>
      </c>
      <c r="Y6356">
        <v>-0.131656299999999</v>
      </c>
      <c r="Z6356">
        <v>1.5954900000000001E-2</v>
      </c>
      <c r="AA6356">
        <v>0.99116700000000002</v>
      </c>
      <c r="AB6356">
        <v>28</v>
      </c>
      <c r="AC6356">
        <v>19.058800000000002</v>
      </c>
      <c r="AD6356">
        <v>-1.114794553823</v>
      </c>
      <c r="AE6356">
        <v>-1.52149</v>
      </c>
      <c r="AF6356">
        <v>-2.5385135954311799</v>
      </c>
      <c r="AG6356">
        <v>-1.114794553823</v>
      </c>
      <c r="AH6356">
        <v>18.884803998282798</v>
      </c>
      <c r="AI6356">
        <v>93.348278766128502</v>
      </c>
      <c r="AJ6356">
        <v>97.655862879327003</v>
      </c>
      <c r="AK6356">
        <v>19.087237626879901</v>
      </c>
      <c r="AL6356">
        <v>81.302690631556899</v>
      </c>
      <c r="AM6356">
        <v>99.810272693989305</v>
      </c>
      <c r="AN6356">
        <v>0.99999999978661003</v>
      </c>
    </row>
    <row r="6357" spans="1:40" x14ac:dyDescent="0.25">
      <c r="A6357" t="str">
        <f>"20190312172240868"</f>
        <v>20190312172240868</v>
      </c>
      <c r="B6357" t="str">
        <f>"1552382560856704"</f>
        <v>1552382560856704</v>
      </c>
      <c r="C6357" t="s">
        <v>40</v>
      </c>
      <c r="D6357">
        <v>3.372414</v>
      </c>
      <c r="E6357">
        <v>0.51099159999999999</v>
      </c>
      <c r="F6357" t="s">
        <v>42</v>
      </c>
      <c r="G6357">
        <v>-334.22989999999999</v>
      </c>
      <c r="H6357" s="1">
        <v>-2.9352989999999998E-6</v>
      </c>
      <c r="I6357">
        <v>16.923559999999998</v>
      </c>
      <c r="J6357">
        <v>-354.02780000000001</v>
      </c>
      <c r="K6357">
        <v>1.1147819999999999</v>
      </c>
      <c r="L6357">
        <v>18.397670000000002</v>
      </c>
      <c r="M6357">
        <v>0.9779409</v>
      </c>
      <c r="N6357">
        <v>0</v>
      </c>
      <c r="O6357">
        <v>-0.2084338</v>
      </c>
      <c r="P6357">
        <v>0.98936800000000003</v>
      </c>
      <c r="Q6357">
        <v>0.13987740000000001</v>
      </c>
      <c r="R6357">
        <v>-3.9818369999999999E-2</v>
      </c>
      <c r="S6357">
        <v>3.0465390000000001</v>
      </c>
      <c r="T6357">
        <v>-0.1701964</v>
      </c>
      <c r="U6357">
        <v>-0.22970579999999999</v>
      </c>
      <c r="V6357">
        <v>-0.16891349999999999</v>
      </c>
      <c r="W6357">
        <v>0.15143209999999999</v>
      </c>
      <c r="X6357">
        <v>0.97392840000000003</v>
      </c>
      <c r="Y6357">
        <v>-0.13380439999999999</v>
      </c>
      <c r="Z6357">
        <v>1.52619E-2</v>
      </c>
      <c r="AA6357">
        <v>0.99089020000000005</v>
      </c>
      <c r="AB6357">
        <v>28</v>
      </c>
      <c r="AC6357">
        <v>19.797899999999998</v>
      </c>
      <c r="AD6357">
        <v>-1.114784935299</v>
      </c>
      <c r="AE6357">
        <v>-1.47410999999999</v>
      </c>
      <c r="AF6357">
        <v>-2.6767698543569902</v>
      </c>
      <c r="AG6357">
        <v>-1.114784935299</v>
      </c>
      <c r="AH6357">
        <v>19.608441125104601</v>
      </c>
      <c r="AI6357">
        <v>93.224056040334801</v>
      </c>
      <c r="AJ6357">
        <v>97.773460619380003</v>
      </c>
      <c r="AK6357">
        <v>19.8216751477229</v>
      </c>
      <c r="AL6357">
        <v>81.290071941546302</v>
      </c>
      <c r="AM6357">
        <v>99.839232050451599</v>
      </c>
      <c r="AN6357">
        <v>0.99999998985960903</v>
      </c>
    </row>
    <row r="6358" spans="1:40" x14ac:dyDescent="0.25">
      <c r="A6358" t="str">
        <f>"20190312172240884"</f>
        <v>20190312172240884</v>
      </c>
      <c r="B6358" t="str">
        <f>"1552382560877190"</f>
        <v>1552382560877190</v>
      </c>
      <c r="C6358" t="s">
        <v>40</v>
      </c>
      <c r="D6358">
        <v>3.2457039999999999</v>
      </c>
      <c r="E6358">
        <v>0.51026700000000003</v>
      </c>
      <c r="F6358" t="s">
        <v>42</v>
      </c>
      <c r="G6358">
        <v>-333.1816</v>
      </c>
      <c r="H6358" s="1">
        <v>-3.3842230000000001E-6</v>
      </c>
      <c r="I6358">
        <v>16.927989999999902</v>
      </c>
      <c r="J6358">
        <v>-353.8254</v>
      </c>
      <c r="K6358">
        <v>1.1147670000000001</v>
      </c>
      <c r="L6358">
        <v>18.359069999999999</v>
      </c>
      <c r="M6358">
        <v>0.97881099999999999</v>
      </c>
      <c r="N6358">
        <v>0</v>
      </c>
      <c r="O6358">
        <v>-0.2043084</v>
      </c>
      <c r="P6358">
        <v>0.98954520000000001</v>
      </c>
      <c r="Q6358">
        <v>0.13988030000000001</v>
      </c>
      <c r="R6358">
        <v>-3.5128090000000001E-2</v>
      </c>
      <c r="S6358">
        <v>3.0466609999999998</v>
      </c>
      <c r="T6358">
        <v>-0.1629256</v>
      </c>
      <c r="U6358">
        <v>-0.21478269999999999</v>
      </c>
      <c r="V6358">
        <v>-0.16941229999999999</v>
      </c>
      <c r="W6358">
        <v>0.15144769999999999</v>
      </c>
      <c r="X6358">
        <v>0.97383929999999996</v>
      </c>
      <c r="Y6358">
        <v>-0.13450509999999999</v>
      </c>
      <c r="Z6358">
        <v>1.441721E-2</v>
      </c>
      <c r="AA6358">
        <v>0.99080800000000002</v>
      </c>
      <c r="AB6358">
        <v>28</v>
      </c>
      <c r="AC6358">
        <v>20.643799999999999</v>
      </c>
      <c r="AD6358">
        <v>-1.1147703842229999</v>
      </c>
      <c r="AE6358">
        <v>-1.4310799999999999</v>
      </c>
      <c r="AF6358">
        <v>-2.8090563611321899</v>
      </c>
      <c r="AG6358">
        <v>-1.1147703842229999</v>
      </c>
      <c r="AH6358">
        <v>20.441355688766102</v>
      </c>
      <c r="AI6358">
        <v>93.0925297842997</v>
      </c>
      <c r="AJ6358">
        <v>97.824592327724403</v>
      </c>
      <c r="AK6358">
        <v>20.663555672831599</v>
      </c>
      <c r="AL6358">
        <v>81.289167416165597</v>
      </c>
      <c r="AM6358">
        <v>99.868601967786802</v>
      </c>
      <c r="AN6358">
        <v>0.99999995772553396</v>
      </c>
    </row>
    <row r="6359" spans="1:40" x14ac:dyDescent="0.25">
      <c r="A6359" t="str">
        <f>"20190312172240896"</f>
        <v>20190312172240896</v>
      </c>
      <c r="B6359" t="str">
        <f>"1552382560886950"</f>
        <v>1552382560886950</v>
      </c>
      <c r="C6359" t="s">
        <v>40</v>
      </c>
      <c r="D6359">
        <v>3.2716620000000001</v>
      </c>
      <c r="E6359">
        <v>0.50995349999999995</v>
      </c>
      <c r="F6359" t="s">
        <v>42</v>
      </c>
      <c r="G6359">
        <v>-332.22739999999999</v>
      </c>
      <c r="H6359" s="1">
        <v>-3.7838199999999998E-6</v>
      </c>
      <c r="I6359">
        <v>16.98301</v>
      </c>
      <c r="J6359">
        <v>-353.67290000000003</v>
      </c>
      <c r="K6359">
        <v>1.1147530000000001</v>
      </c>
      <c r="L6359">
        <v>18.33051</v>
      </c>
      <c r="M6359">
        <v>0.97945179999999998</v>
      </c>
      <c r="N6359">
        <v>0</v>
      </c>
      <c r="O6359">
        <v>-0.20121420000000001</v>
      </c>
      <c r="P6359">
        <v>0.98970910000000001</v>
      </c>
      <c r="Q6359">
        <v>0.13940810000000001</v>
      </c>
      <c r="R6359">
        <v>-3.2275570000000003E-2</v>
      </c>
      <c r="S6359">
        <v>3.0470280000000001</v>
      </c>
      <c r="T6359">
        <v>-0.15727079999999999</v>
      </c>
      <c r="U6359">
        <v>-0.1941223</v>
      </c>
      <c r="V6359">
        <v>-0.16914100000000001</v>
      </c>
      <c r="W6359">
        <v>0.150992299999999</v>
      </c>
      <c r="X6359">
        <v>0.97395719999999997</v>
      </c>
      <c r="Y6359">
        <v>-0.138101</v>
      </c>
      <c r="Z6359">
        <v>1.3857039999999999E-2</v>
      </c>
      <c r="AA6359">
        <v>0.99032120000000001</v>
      </c>
      <c r="AB6359">
        <v>28</v>
      </c>
      <c r="AC6359">
        <v>21.445499999999999</v>
      </c>
      <c r="AD6359">
        <v>-1.1147567838200001</v>
      </c>
      <c r="AE6359">
        <v>-1.3474999999999999</v>
      </c>
      <c r="AF6359">
        <v>-2.9875672449965802</v>
      </c>
      <c r="AG6359">
        <v>-1.1147567838200001</v>
      </c>
      <c r="AH6359">
        <v>21.220845902763699</v>
      </c>
      <c r="AI6359">
        <v>92.977741409679098</v>
      </c>
      <c r="AJ6359">
        <v>98.013692940157298</v>
      </c>
      <c r="AK6359">
        <v>21.4590899517965</v>
      </c>
      <c r="AL6359">
        <v>81.315563748949103</v>
      </c>
      <c r="AM6359">
        <v>99.851938818068604</v>
      </c>
      <c r="AN6359">
        <v>0.99999998998606399</v>
      </c>
    </row>
    <row r="6360" spans="1:40" x14ac:dyDescent="0.25">
      <c r="A6360" t="str">
        <f>"20190312172240910"</f>
        <v>20190312172240910</v>
      </c>
      <c r="B6360" t="str">
        <f>"1552382560906470"</f>
        <v>1552382560906470</v>
      </c>
      <c r="C6360" t="s">
        <v>40</v>
      </c>
      <c r="D6360">
        <v>3.2632940000000001</v>
      </c>
      <c r="E6360">
        <v>0.50944149999999999</v>
      </c>
      <c r="F6360" t="s">
        <v>42</v>
      </c>
      <c r="G6360">
        <v>-332.04919999999998</v>
      </c>
      <c r="H6360" s="1">
        <v>-3.8510869999999997E-6</v>
      </c>
      <c r="I6360">
        <v>17.034800000000001</v>
      </c>
      <c r="J6360">
        <v>-353.52460000000002</v>
      </c>
      <c r="K6360">
        <v>1.1147359999999999</v>
      </c>
      <c r="L6360">
        <v>18.303339999999999</v>
      </c>
      <c r="M6360">
        <v>0.98006179999999998</v>
      </c>
      <c r="N6360">
        <v>0</v>
      </c>
      <c r="O6360">
        <v>-0.19822100000000001</v>
      </c>
      <c r="P6360">
        <v>0.98985559999999995</v>
      </c>
      <c r="Q6360">
        <v>0.13889580000000001</v>
      </c>
      <c r="R6360">
        <v>-2.990015E-2</v>
      </c>
      <c r="S6360">
        <v>3.0473330000000001</v>
      </c>
      <c r="T6360">
        <v>-0.15709790000000001</v>
      </c>
      <c r="U6360">
        <v>-0.18258669999999999</v>
      </c>
      <c r="V6360">
        <v>-0.16850209999999999</v>
      </c>
      <c r="W6360">
        <v>0.1505011</v>
      </c>
      <c r="X6360">
        <v>0.97414389999999995</v>
      </c>
      <c r="Y6360">
        <v>-0.1388201</v>
      </c>
      <c r="Z6360">
        <v>1.3710299999999899E-2</v>
      </c>
      <c r="AA6360">
        <v>0.99022270000000001</v>
      </c>
      <c r="AB6360">
        <v>28</v>
      </c>
      <c r="AC6360">
        <v>21.4754</v>
      </c>
      <c r="AD6360">
        <v>-1.1147398510869999</v>
      </c>
      <c r="AE6360">
        <v>-1.26853999999999</v>
      </c>
      <c r="AF6360">
        <v>-3.0058391204213599</v>
      </c>
      <c r="AG6360">
        <v>-1.1147398510869999</v>
      </c>
      <c r="AH6360">
        <v>21.243625259495001</v>
      </c>
      <c r="AI6360">
        <v>92.974217677777602</v>
      </c>
      <c r="AJ6360">
        <v>98.053530602551504</v>
      </c>
      <c r="AK6360">
        <v>21.484164585091701</v>
      </c>
      <c r="AL6360">
        <v>81.344032318064194</v>
      </c>
      <c r="AM6360">
        <v>99.813605434964302</v>
      </c>
      <c r="AN6360">
        <v>0.99999993835641299</v>
      </c>
    </row>
    <row r="6361" spans="1:40" x14ac:dyDescent="0.25">
      <c r="A6361" t="str">
        <f>"20190312172240923"</f>
        <v>20190312172240923</v>
      </c>
      <c r="B6361" t="str">
        <f>"1552382560917206"</f>
        <v>1552382560917206</v>
      </c>
      <c r="C6361" t="s">
        <v>40</v>
      </c>
      <c r="D6361">
        <v>3.3192910000000002</v>
      </c>
      <c r="E6361">
        <v>0.50922159999999905</v>
      </c>
      <c r="F6361" t="s">
        <v>42</v>
      </c>
      <c r="G6361">
        <v>-331.31130000000002</v>
      </c>
      <c r="H6361" s="1">
        <v>-4.1636849999999901E-6</v>
      </c>
      <c r="I6361">
        <v>17.05715</v>
      </c>
      <c r="J6361">
        <v>-353.36540000000002</v>
      </c>
      <c r="K6361">
        <v>1.114717</v>
      </c>
      <c r="L6361">
        <v>18.274480000000001</v>
      </c>
      <c r="M6361">
        <v>0.98070570000000001</v>
      </c>
      <c r="N6361">
        <v>0</v>
      </c>
      <c r="O6361">
        <v>-0.19500890000000001</v>
      </c>
      <c r="P6361">
        <v>0.99006950000000005</v>
      </c>
      <c r="Q6361">
        <v>0.13783519999999999</v>
      </c>
      <c r="R6361">
        <v>-2.7634860000000001E-2</v>
      </c>
      <c r="S6361">
        <v>3.0469970000000002</v>
      </c>
      <c r="T6361">
        <v>-0.152908399999999</v>
      </c>
      <c r="U6361">
        <v>-0.170929</v>
      </c>
      <c r="V6361">
        <v>-0.16754759999999999</v>
      </c>
      <c r="W6361">
        <v>0.1494664</v>
      </c>
      <c r="X6361">
        <v>0.97446790000000005</v>
      </c>
      <c r="Y6361">
        <v>-0.1393711</v>
      </c>
      <c r="Z6361">
        <v>1.320469E-2</v>
      </c>
      <c r="AA6361">
        <v>0.99015220000000004</v>
      </c>
      <c r="AB6361">
        <v>28</v>
      </c>
      <c r="AC6361">
        <v>22.054099999999998</v>
      </c>
      <c r="AD6361">
        <v>-1.1147211636849901</v>
      </c>
      <c r="AE6361">
        <v>-1.21733</v>
      </c>
      <c r="AF6361">
        <v>-3.0993011953372198</v>
      </c>
      <c r="AG6361">
        <v>-1.1147211636849901</v>
      </c>
      <c r="AH6361">
        <v>21.812469079953502</v>
      </c>
      <c r="AI6361">
        <v>92.896499861086497</v>
      </c>
      <c r="AJ6361">
        <v>98.086938995444797</v>
      </c>
      <c r="AK6361">
        <v>22.059738859200401</v>
      </c>
      <c r="AL6361">
        <v>81.403995461152206</v>
      </c>
      <c r="AM6361">
        <v>99.755904594025097</v>
      </c>
      <c r="AN6361">
        <v>1.0000000455625599</v>
      </c>
    </row>
    <row r="6362" spans="1:40" x14ac:dyDescent="0.25">
      <c r="A6362" t="str">
        <f>"20190312172240934"</f>
        <v>20190312172240934</v>
      </c>
      <c r="B6362" t="str">
        <f>"1552382560926967"</f>
        <v>1552382560926967</v>
      </c>
      <c r="C6362" t="s">
        <v>40</v>
      </c>
      <c r="D6362">
        <v>3.2697769999999999</v>
      </c>
      <c r="E6362">
        <v>0.50910999999999995</v>
      </c>
      <c r="F6362" t="s">
        <v>42</v>
      </c>
      <c r="G6362">
        <v>-331.48289999999997</v>
      </c>
      <c r="H6362" s="1">
        <v>-4.0801309999999999E-6</v>
      </c>
      <c r="I6362">
        <v>17.11308</v>
      </c>
      <c r="J6362">
        <v>-353.21289999999999</v>
      </c>
      <c r="K6362">
        <v>1.1146929999999999</v>
      </c>
      <c r="L6362">
        <v>18.247530000000001</v>
      </c>
      <c r="M6362">
        <v>0.98130980000000001</v>
      </c>
      <c r="N6362">
        <v>0</v>
      </c>
      <c r="O6362">
        <v>-0.19194649999999999</v>
      </c>
      <c r="P6362">
        <v>0.99022390000000005</v>
      </c>
      <c r="Q6362">
        <v>0.13709979999999999</v>
      </c>
      <c r="R6362">
        <v>-2.570184E-2</v>
      </c>
      <c r="S6362">
        <v>3.0471189999999999</v>
      </c>
      <c r="T6362">
        <v>-0.15522429999999901</v>
      </c>
      <c r="U6362">
        <v>-0.16171259999999901</v>
      </c>
      <c r="V6362">
        <v>-0.16641129999999901</v>
      </c>
      <c r="W6362">
        <v>0.14875669999999999</v>
      </c>
      <c r="X6362">
        <v>0.9747711</v>
      </c>
      <c r="Y6362">
        <v>-0.13925940000000001</v>
      </c>
      <c r="Z6362">
        <v>1.3249729999999999E-2</v>
      </c>
      <c r="AA6362">
        <v>0.99016729999999997</v>
      </c>
      <c r="AB6362">
        <v>28</v>
      </c>
      <c r="AC6362">
        <v>21.73</v>
      </c>
      <c r="AD6362">
        <v>-1.1146970801310001</v>
      </c>
      <c r="AE6362">
        <v>-1.13444999999999</v>
      </c>
      <c r="AF6362">
        <v>-3.0500332479353101</v>
      </c>
      <c r="AG6362">
        <v>-1.1146970801310001</v>
      </c>
      <c r="AH6362">
        <v>21.487247919416799</v>
      </c>
      <c r="AI6362">
        <v>92.940258335361804</v>
      </c>
      <c r="AJ6362">
        <v>98.078946676087398</v>
      </c>
      <c r="AK6362">
        <v>21.731246525324899</v>
      </c>
      <c r="AL6362">
        <v>81.445117504401495</v>
      </c>
      <c r="AM6362">
        <v>99.688042128159793</v>
      </c>
      <c r="AN6362">
        <v>0.99999998697889403</v>
      </c>
    </row>
    <row r="6363" spans="1:40" x14ac:dyDescent="0.25">
      <c r="A6363" t="str">
        <f>"20190312172240952"</f>
        <v>20190312172240952</v>
      </c>
      <c r="B6363" t="str">
        <f>"1552382560946486"</f>
        <v>1552382560946486</v>
      </c>
      <c r="C6363" t="s">
        <v>40</v>
      </c>
      <c r="D6363">
        <v>3.2620070000000001</v>
      </c>
      <c r="E6363">
        <v>0.50894779999999995</v>
      </c>
      <c r="F6363" t="s">
        <v>42</v>
      </c>
      <c r="G6363">
        <v>-331.46159999999998</v>
      </c>
      <c r="H6363" s="1">
        <v>-4.0836579999999997E-6</v>
      </c>
      <c r="I6363">
        <v>17.144770000000001</v>
      </c>
      <c r="J6363">
        <v>-353.01830000000001</v>
      </c>
      <c r="K6363">
        <v>1.114671</v>
      </c>
      <c r="L6363">
        <v>18.213709999999999</v>
      </c>
      <c r="M6363">
        <v>0.98206510000000002</v>
      </c>
      <c r="N6363">
        <v>0</v>
      </c>
      <c r="O6363">
        <v>-0.1880435</v>
      </c>
      <c r="P6363">
        <v>0.99043380000000003</v>
      </c>
      <c r="Q6363">
        <v>0.13578460000000001</v>
      </c>
      <c r="R6363">
        <v>-2.457138E-2</v>
      </c>
      <c r="S6363">
        <v>3.0472410000000001</v>
      </c>
      <c r="T6363">
        <v>-0.15616289999999999</v>
      </c>
      <c r="U6363">
        <v>-0.15448000000000001</v>
      </c>
      <c r="V6363">
        <v>-0.16365639999999901</v>
      </c>
      <c r="W6363">
        <v>0.1474887</v>
      </c>
      <c r="X6363">
        <v>0.97543000000000002</v>
      </c>
      <c r="Y6363">
        <v>-0.1376703</v>
      </c>
      <c r="Z6363">
        <v>1.309341E-2</v>
      </c>
      <c r="AA6363">
        <v>0.99039160000000004</v>
      </c>
      <c r="AB6363">
        <v>28</v>
      </c>
      <c r="AC6363">
        <v>21.556699999999999</v>
      </c>
      <c r="AD6363">
        <v>-1.1146750836579999</v>
      </c>
      <c r="AE6363">
        <v>-1.06893999999999</v>
      </c>
      <c r="AF6363">
        <v>-2.99611928888122</v>
      </c>
      <c r="AG6363">
        <v>-1.1146750836579999</v>
      </c>
      <c r="AH6363">
        <v>21.316240820415501</v>
      </c>
      <c r="AI6363">
        <v>92.964315707731899</v>
      </c>
      <c r="AJ6363">
        <v>98.000835586408499</v>
      </c>
      <c r="AK6363">
        <v>21.554613289253901</v>
      </c>
      <c r="AL6363">
        <v>81.518579104050701</v>
      </c>
      <c r="AM6363">
        <v>99.524305095851005</v>
      </c>
      <c r="AN6363">
        <v>1.00000000939432</v>
      </c>
    </row>
    <row r="6364" spans="1:40" x14ac:dyDescent="0.25">
      <c r="A6364" t="str">
        <f>"20190312172240964"</f>
        <v>20190312172240964</v>
      </c>
      <c r="B6364" t="str">
        <f>"1552382560957221"</f>
        <v>1552382560957221</v>
      </c>
      <c r="C6364" t="s">
        <v>40</v>
      </c>
      <c r="D6364">
        <v>3.3298420000000002</v>
      </c>
      <c r="E6364">
        <v>0.5088743</v>
      </c>
      <c r="F6364" t="s">
        <v>42</v>
      </c>
      <c r="G6364">
        <v>-331.41919999999999</v>
      </c>
      <c r="H6364" s="1">
        <v>-4.0997750000000001E-6</v>
      </c>
      <c r="I6364">
        <v>17.156589999999898</v>
      </c>
      <c r="J6364">
        <v>-352.858</v>
      </c>
      <c r="K6364">
        <v>1.114657</v>
      </c>
      <c r="L6364">
        <v>18.186399999999999</v>
      </c>
      <c r="M6364">
        <v>0.98267450000000001</v>
      </c>
      <c r="N6364">
        <v>0</v>
      </c>
      <c r="O6364">
        <v>-0.1848323</v>
      </c>
      <c r="P6364">
        <v>0.99054439999999999</v>
      </c>
      <c r="Q6364">
        <v>0.13528709999999999</v>
      </c>
      <c r="R6364">
        <v>-2.2787160000000001E-2</v>
      </c>
      <c r="S6364">
        <v>3.0468440000000001</v>
      </c>
      <c r="T6364">
        <v>-0.15723909999999999</v>
      </c>
      <c r="U6364">
        <v>-0.14910889999999999</v>
      </c>
      <c r="V6364">
        <v>-0.16222490000000001</v>
      </c>
      <c r="W6364">
        <v>0.14701700000000001</v>
      </c>
      <c r="X6364">
        <v>0.9757403</v>
      </c>
      <c r="Y6364">
        <v>-0.1361677</v>
      </c>
      <c r="Z6364">
        <v>1.2984570000000001E-2</v>
      </c>
      <c r="AA6364">
        <v>0.9906007</v>
      </c>
      <c r="AB6364">
        <v>28</v>
      </c>
      <c r="AC6364">
        <v>21.438800000000001</v>
      </c>
      <c r="AD6364">
        <v>-1.1146610997749999</v>
      </c>
      <c r="AE6364">
        <v>-1.0298099999999999</v>
      </c>
      <c r="AF6364">
        <v>-2.9429546574608301</v>
      </c>
      <c r="AG6364">
        <v>-1.1146610997749999</v>
      </c>
      <c r="AH6364">
        <v>21.202517541154901</v>
      </c>
      <c r="AI6364">
        <v>92.980864184745997</v>
      </c>
      <c r="AJ6364">
        <v>97.902285964805401</v>
      </c>
      <c r="AK6364">
        <v>21.4347895153231</v>
      </c>
      <c r="AL6364">
        <v>81.545903519337202</v>
      </c>
      <c r="AM6364">
        <v>99.4395540410558</v>
      </c>
      <c r="AN6364">
        <v>1.0000000247565399</v>
      </c>
    </row>
    <row r="6365" spans="1:40" x14ac:dyDescent="0.25">
      <c r="A6365" t="str">
        <f>"20190312172240976"</f>
        <v>20190312172240976</v>
      </c>
      <c r="B6365" t="str">
        <f>"1552382560966982"</f>
        <v>1552382560966982</v>
      </c>
      <c r="C6365" t="s">
        <v>40</v>
      </c>
      <c r="D6365">
        <v>3.2755800000000002</v>
      </c>
      <c r="E6365">
        <v>0.50882419999999995</v>
      </c>
      <c r="F6365" t="s">
        <v>42</v>
      </c>
      <c r="G6365">
        <v>-331.33800000000002</v>
      </c>
      <c r="H6365" s="1">
        <v>-4.1314960000000001E-6</v>
      </c>
      <c r="I6365">
        <v>17.174129999999899</v>
      </c>
      <c r="J6365">
        <v>-352.69560000000001</v>
      </c>
      <c r="K6365">
        <v>1.11464599999999</v>
      </c>
      <c r="L6365">
        <v>18.159300000000002</v>
      </c>
      <c r="M6365">
        <v>0.98328040000000005</v>
      </c>
      <c r="N6365">
        <v>0</v>
      </c>
      <c r="O6365">
        <v>-0.18158170000000001</v>
      </c>
      <c r="P6365">
        <v>0.99065910000000001</v>
      </c>
      <c r="Q6365">
        <v>0.13470889999999999</v>
      </c>
      <c r="R6365">
        <v>-2.116693E-2</v>
      </c>
      <c r="S6365">
        <v>3.0469059999999999</v>
      </c>
      <c r="T6365">
        <v>-0.1578186</v>
      </c>
      <c r="U6365">
        <v>-0.14331050000000001</v>
      </c>
      <c r="V6365">
        <v>-0.16059509999999999</v>
      </c>
      <c r="W6365">
        <v>0.14646609999999999</v>
      </c>
      <c r="X6365">
        <v>0.97609259999999998</v>
      </c>
      <c r="Y6365">
        <v>-0.13477629999999999</v>
      </c>
      <c r="Z6365">
        <v>1.2831459999999999E-2</v>
      </c>
      <c r="AA6365">
        <v>0.99079300000000003</v>
      </c>
      <c r="AB6365">
        <v>28</v>
      </c>
      <c r="AC6365">
        <v>21.357599999999898</v>
      </c>
      <c r="AD6365">
        <v>-1.11465013149599</v>
      </c>
      <c r="AE6365">
        <v>-0.98517000000000299</v>
      </c>
      <c r="AF6365">
        <v>-2.9018369270833002</v>
      </c>
      <c r="AG6365">
        <v>-1.11465013149599</v>
      </c>
      <c r="AH6365">
        <v>21.123971799956699</v>
      </c>
      <c r="AI6365">
        <v>92.992477408124699</v>
      </c>
      <c r="AJ6365">
        <v>97.821864427780895</v>
      </c>
      <c r="AK6365">
        <v>21.351470372608802</v>
      </c>
      <c r="AL6365">
        <v>81.577812421978606</v>
      </c>
      <c r="AM6365">
        <v>99.343086916918494</v>
      </c>
      <c r="AN6365">
        <v>0.99999993418398703</v>
      </c>
    </row>
    <row r="6366" spans="1:40" x14ac:dyDescent="0.25">
      <c r="A6366" t="str">
        <f>"20190312172240993"</f>
        <v>20190312172240993</v>
      </c>
      <c r="B6366" t="str">
        <f>"1552382560986504"</f>
        <v>1552382560986504</v>
      </c>
      <c r="C6366" t="s">
        <v>40</v>
      </c>
      <c r="D6366">
        <v>3.2785199999999999</v>
      </c>
      <c r="E6366">
        <v>0.508768</v>
      </c>
      <c r="F6366" t="s">
        <v>42</v>
      </c>
      <c r="G6366">
        <v>-331.17140000000001</v>
      </c>
      <c r="H6366" s="1">
        <v>-4.2011840000000001E-6</v>
      </c>
      <c r="I6366">
        <v>17.184089999999902</v>
      </c>
      <c r="J6366">
        <v>-352.50229999999999</v>
      </c>
      <c r="K6366">
        <v>1.114635</v>
      </c>
      <c r="L6366">
        <v>18.127870000000001</v>
      </c>
      <c r="M6366">
        <v>0.98398609999999997</v>
      </c>
      <c r="N6366">
        <v>0</v>
      </c>
      <c r="O6366">
        <v>-0.177717299999999</v>
      </c>
      <c r="P6366">
        <v>0.99080179999999995</v>
      </c>
      <c r="Q6366">
        <v>0.1339823</v>
      </c>
      <c r="R6366">
        <v>-1.900141E-2</v>
      </c>
      <c r="S6366">
        <v>3.046783</v>
      </c>
      <c r="T6366">
        <v>-0.15778059999999999</v>
      </c>
      <c r="U6366">
        <v>-0.13803099999999999</v>
      </c>
      <c r="V6366">
        <v>-0.15889719999999999</v>
      </c>
      <c r="W6366">
        <v>0.14576800000000001</v>
      </c>
      <c r="X6366">
        <v>0.97647499999999998</v>
      </c>
      <c r="Y6366">
        <v>-0.13260279999999999</v>
      </c>
      <c r="Z6366">
        <v>1.2576550000000001E-2</v>
      </c>
      <c r="AA6366">
        <v>0.99108949999999996</v>
      </c>
      <c r="AB6366">
        <v>28</v>
      </c>
      <c r="AC6366">
        <v>21.3308999999999</v>
      </c>
      <c r="AD6366">
        <v>-1.1146392011839901</v>
      </c>
      <c r="AE6366">
        <v>-0.94378000000000295</v>
      </c>
      <c r="AF6366">
        <v>-2.8546928637940598</v>
      </c>
      <c r="AG6366">
        <v>-1.1146392011839901</v>
      </c>
      <c r="AH6366">
        <v>21.101517098625301</v>
      </c>
      <c r="AI6366">
        <v>92.996462399733403</v>
      </c>
      <c r="AJ6366">
        <v>97.704415186675305</v>
      </c>
      <c r="AK6366">
        <v>21.322891824492</v>
      </c>
      <c r="AL6366">
        <v>81.618245345222206</v>
      </c>
      <c r="AM6366">
        <v>99.242463157200305</v>
      </c>
      <c r="AN6366">
        <v>1.00000002780841</v>
      </c>
    </row>
    <row r="6367" spans="1:40" x14ac:dyDescent="0.25">
      <c r="A6367" t="str">
        <f>"20190312172241007"</f>
        <v>20190312172241007</v>
      </c>
      <c r="B6367" t="str">
        <f>"1552382560997237"</f>
        <v>1552382560997237</v>
      </c>
      <c r="C6367" t="s">
        <v>40</v>
      </c>
      <c r="D6367">
        <v>3.2513450000000002</v>
      </c>
      <c r="E6367">
        <v>0.50874149999999996</v>
      </c>
      <c r="F6367" t="s">
        <v>42</v>
      </c>
      <c r="G6367">
        <v>-330.78140000000002</v>
      </c>
      <c r="H6367" s="1">
        <v>-4.3662839999999996E-6</v>
      </c>
      <c r="I6367">
        <v>17.19652</v>
      </c>
      <c r="J6367">
        <v>-352.3218</v>
      </c>
      <c r="K6367">
        <v>1.1146130000000001</v>
      </c>
      <c r="L6367">
        <v>18.099150000000002</v>
      </c>
      <c r="M6367">
        <v>0.98463120000000004</v>
      </c>
      <c r="N6367">
        <v>0</v>
      </c>
      <c r="O6367">
        <v>-0.17410709999999999</v>
      </c>
      <c r="P6367">
        <v>0.99103350000000001</v>
      </c>
      <c r="Q6367">
        <v>0.132241</v>
      </c>
      <c r="R6367">
        <v>-1.9102640000000001E-2</v>
      </c>
      <c r="S6367">
        <v>3.046478</v>
      </c>
      <c r="T6367">
        <v>-0.15633440000000001</v>
      </c>
      <c r="U6367">
        <v>-0.13061519999999999</v>
      </c>
      <c r="V6367">
        <v>-0.15522810000000001</v>
      </c>
      <c r="W6367">
        <v>0.14407979999999901</v>
      </c>
      <c r="X6367">
        <v>0.9773153</v>
      </c>
      <c r="Y6367">
        <v>-0.13138440000000001</v>
      </c>
      <c r="Z6367">
        <v>1.225008E-2</v>
      </c>
      <c r="AA6367">
        <v>0.99125580000000002</v>
      </c>
      <c r="AB6367">
        <v>28</v>
      </c>
      <c r="AC6367">
        <v>21.540399999999899</v>
      </c>
      <c r="AD6367">
        <v>-1.11461736628399</v>
      </c>
      <c r="AE6367">
        <v>-0.90263000000000204</v>
      </c>
      <c r="AF6367">
        <v>-2.85421907924139</v>
      </c>
      <c r="AG6367">
        <v>-1.11461736628399</v>
      </c>
      <c r="AH6367">
        <v>21.311550614327299</v>
      </c>
      <c r="AI6367">
        <v>92.9674569274368</v>
      </c>
      <c r="AJ6367">
        <v>97.628132634828404</v>
      </c>
      <c r="AK6367">
        <v>21.530701986060802</v>
      </c>
      <c r="AL6367">
        <v>81.716003697410898</v>
      </c>
      <c r="AM6367">
        <v>99.024965766316498</v>
      </c>
      <c r="AN6367">
        <v>0.99999997370586902</v>
      </c>
    </row>
    <row r="6368" spans="1:40" x14ac:dyDescent="0.25">
      <c r="A6368" t="str">
        <f>"20190312172241019"</f>
        <v>20190312172241019</v>
      </c>
      <c r="B6368" t="str">
        <f>"1552382561016758"</f>
        <v>1552382561016758</v>
      </c>
      <c r="C6368" t="s">
        <v>40</v>
      </c>
      <c r="D6368">
        <v>3.2707989999999998</v>
      </c>
      <c r="E6368">
        <v>0.5087931</v>
      </c>
      <c r="F6368" t="s">
        <v>42</v>
      </c>
      <c r="G6368">
        <v>-331.18169999999998</v>
      </c>
      <c r="H6368" s="1">
        <v>-4.1951629999999997E-6</v>
      </c>
      <c r="I6368">
        <v>17.192999999999898</v>
      </c>
      <c r="J6368">
        <v>-352.17410000000001</v>
      </c>
      <c r="K6368">
        <v>1.114606</v>
      </c>
      <c r="L6368">
        <v>18.07602</v>
      </c>
      <c r="M6368">
        <v>0.98514919999999995</v>
      </c>
      <c r="N6368">
        <v>0</v>
      </c>
      <c r="O6368">
        <v>-0.17115229999999901</v>
      </c>
      <c r="P6368">
        <v>0.99122549999999998</v>
      </c>
      <c r="Q6368">
        <v>0.1309014</v>
      </c>
      <c r="R6368">
        <v>-1.8355920000000001E-2</v>
      </c>
      <c r="S6368">
        <v>3.0460509999999998</v>
      </c>
      <c r="T6368">
        <v>-0.16060369999999999</v>
      </c>
      <c r="U6368">
        <v>-0.13055419999999901</v>
      </c>
      <c r="V6368">
        <v>-0.1530424</v>
      </c>
      <c r="W6368">
        <v>0.14277309999999999</v>
      </c>
      <c r="X6368">
        <v>0.97785160000000004</v>
      </c>
      <c r="Y6368">
        <v>-0.12840969999999999</v>
      </c>
      <c r="Z6368">
        <v>1.235404E-2</v>
      </c>
      <c r="AA6368">
        <v>0.99164430000000003</v>
      </c>
      <c r="AB6368">
        <v>28</v>
      </c>
      <c r="AC6368">
        <v>20.9924</v>
      </c>
      <c r="AD6368">
        <v>-1.1146101951629901</v>
      </c>
      <c r="AE6368">
        <v>-0.88302000000000103</v>
      </c>
      <c r="AF6368">
        <v>-2.7156047771634002</v>
      </c>
      <c r="AG6368">
        <v>-1.1146101951629901</v>
      </c>
      <c r="AH6368">
        <v>20.775269203426902</v>
      </c>
      <c r="AI6368">
        <v>93.045165910145499</v>
      </c>
      <c r="AJ6368">
        <v>97.447100446373398</v>
      </c>
      <c r="AK6368">
        <v>20.981627097719901</v>
      </c>
      <c r="AL6368">
        <v>81.791653998790906</v>
      </c>
      <c r="AM6368">
        <v>98.895134454497196</v>
      </c>
      <c r="AN6368">
        <v>0.99999994295196304</v>
      </c>
    </row>
    <row r="6369" spans="1:40" x14ac:dyDescent="0.25">
      <c r="A6369" t="str">
        <f>"20190312172241031"</f>
        <v>20190312172241031</v>
      </c>
      <c r="B6369" t="str">
        <f>"1552382561026518"</f>
        <v>1552382561026518</v>
      </c>
      <c r="C6369" t="s">
        <v>40</v>
      </c>
      <c r="D6369">
        <v>3.2765979999999999</v>
      </c>
      <c r="E6369">
        <v>0.50881920000000003</v>
      </c>
      <c r="F6369" t="s">
        <v>42</v>
      </c>
      <c r="G6369">
        <v>-331.11349999999999</v>
      </c>
      <c r="H6369" s="1">
        <v>-4.225438E-6</v>
      </c>
      <c r="I6369">
        <v>17.187449999999998</v>
      </c>
      <c r="J6369">
        <v>-352.03870000000001</v>
      </c>
      <c r="K6369">
        <v>1.1146069999999999</v>
      </c>
      <c r="L6369">
        <v>18.055510000000002</v>
      </c>
      <c r="M6369">
        <v>0.98561609999999999</v>
      </c>
      <c r="N6369">
        <v>0</v>
      </c>
      <c r="O6369">
        <v>-0.16844229999999999</v>
      </c>
      <c r="P6369">
        <v>0.99133819999999995</v>
      </c>
      <c r="Q6369">
        <v>0.13013659999999999</v>
      </c>
      <c r="R6369">
        <v>-1.7697669999999999E-2</v>
      </c>
      <c r="S6369">
        <v>3.045471</v>
      </c>
      <c r="T6369">
        <v>-0.16117799999999999</v>
      </c>
      <c r="U6369">
        <v>-0.12847900000000001</v>
      </c>
      <c r="V6369">
        <v>-0.15100620000000001</v>
      </c>
      <c r="W6369">
        <v>0.14203640000000001</v>
      </c>
      <c r="X6369">
        <v>0.97827540000000002</v>
      </c>
      <c r="Y6369">
        <v>-0.12635199999999999</v>
      </c>
      <c r="Z6369">
        <v>1.2205010000000001E-2</v>
      </c>
      <c r="AA6369">
        <v>0.99191039999999997</v>
      </c>
      <c r="AB6369">
        <v>28</v>
      </c>
      <c r="AC6369">
        <v>20.9252</v>
      </c>
      <c r="AD6369">
        <v>-1.1146112254379901</v>
      </c>
      <c r="AE6369">
        <v>-0.86806000000000305</v>
      </c>
      <c r="AF6369">
        <v>-2.6618264971170098</v>
      </c>
      <c r="AG6369">
        <v>-1.1146112254379901</v>
      </c>
      <c r="AH6369">
        <v>20.7137153481832</v>
      </c>
      <c r="AI6369">
        <v>93.055058809067404</v>
      </c>
      <c r="AJ6369">
        <v>97.322691034719796</v>
      </c>
      <c r="AK6369">
        <v>20.913767762174999</v>
      </c>
      <c r="AL6369">
        <v>81.834298757244397</v>
      </c>
      <c r="AM6369">
        <v>98.774898180889096</v>
      </c>
      <c r="AN6369">
        <v>0.99999998480427998</v>
      </c>
    </row>
    <row r="6370" spans="1:40" x14ac:dyDescent="0.25">
      <c r="A6370" t="str">
        <f>"20190312172241044"</f>
        <v>20190312172241044</v>
      </c>
      <c r="B6370" t="str">
        <f>"1552382561037254"</f>
        <v>1552382561037254</v>
      </c>
      <c r="C6370" t="s">
        <v>40</v>
      </c>
      <c r="D6370">
        <v>3.2588520000000001</v>
      </c>
      <c r="E6370">
        <v>0.50879940000000001</v>
      </c>
      <c r="F6370" t="s">
        <v>42</v>
      </c>
      <c r="G6370">
        <v>-331.07049999999998</v>
      </c>
      <c r="H6370" s="1">
        <v>-4.2446279999999999E-6</v>
      </c>
      <c r="I6370">
        <v>17.183160000000001</v>
      </c>
      <c r="J6370">
        <v>-351.88560000000001</v>
      </c>
      <c r="K6370">
        <v>1.1146039999999999</v>
      </c>
      <c r="L6370">
        <v>18.032530000000001</v>
      </c>
      <c r="M6370">
        <v>0.98613530000000005</v>
      </c>
      <c r="N6370">
        <v>0</v>
      </c>
      <c r="O6370">
        <v>-0.1653762</v>
      </c>
      <c r="P6370">
        <v>0.99141699999999999</v>
      </c>
      <c r="Q6370">
        <v>0.129686</v>
      </c>
      <c r="R6370">
        <v>-1.6555429999999999E-2</v>
      </c>
      <c r="S6370">
        <v>3.0451969999999999</v>
      </c>
      <c r="T6370">
        <v>-0.16187379999999901</v>
      </c>
      <c r="U6370">
        <v>-0.1266785</v>
      </c>
      <c r="V6370">
        <v>-0.14909040000000001</v>
      </c>
      <c r="W6370">
        <v>0.1416135</v>
      </c>
      <c r="X6370">
        <v>0.97863049999999996</v>
      </c>
      <c r="Y6370">
        <v>-0.1238524</v>
      </c>
      <c r="Z6370">
        <v>1.203183E-2</v>
      </c>
      <c r="AA6370">
        <v>0.99222770000000005</v>
      </c>
      <c r="AB6370">
        <v>28</v>
      </c>
      <c r="AC6370">
        <v>20.815100000000001</v>
      </c>
      <c r="AD6370">
        <v>-1.1146082446279999</v>
      </c>
      <c r="AE6370">
        <v>-0.84936999999999596</v>
      </c>
      <c r="AF6370">
        <v>-2.5975373429313899</v>
      </c>
      <c r="AG6370">
        <v>-1.1146082446279999</v>
      </c>
      <c r="AH6370">
        <v>20.6099136988921</v>
      </c>
      <c r="AI6370">
        <v>93.071356976743701</v>
      </c>
      <c r="AJ6370">
        <v>97.183307036575798</v>
      </c>
      <c r="AK6370">
        <v>20.802838615503799</v>
      </c>
      <c r="AL6370">
        <v>81.858776639088106</v>
      </c>
      <c r="AM6370">
        <v>98.662175832652807</v>
      </c>
      <c r="AN6370">
        <v>0.99999999314232901</v>
      </c>
    </row>
    <row r="6371" spans="1:40" x14ac:dyDescent="0.25">
      <c r="A6371" t="str">
        <f>"20190312172241054"</f>
        <v>20190312172241054</v>
      </c>
      <c r="B6371" t="str">
        <f>"1552382561047014"</f>
        <v>1552382561047014</v>
      </c>
      <c r="C6371" t="s">
        <v>40</v>
      </c>
      <c r="D6371">
        <v>3.25536</v>
      </c>
      <c r="E6371">
        <v>0.50878849999999998</v>
      </c>
      <c r="F6371" t="s">
        <v>42</v>
      </c>
      <c r="G6371">
        <v>-330.86799999999999</v>
      </c>
      <c r="H6371" s="1">
        <v>-4.3312930000000004E-6</v>
      </c>
      <c r="I6371">
        <v>17.184200000000001</v>
      </c>
      <c r="J6371">
        <v>-351.74079999999998</v>
      </c>
      <c r="K6371">
        <v>1.114601</v>
      </c>
      <c r="L6371">
        <v>18.011289999999999</v>
      </c>
      <c r="M6371">
        <v>0.98661739999999998</v>
      </c>
      <c r="N6371">
        <v>0</v>
      </c>
      <c r="O6371">
        <v>-0.1624747</v>
      </c>
      <c r="P6371">
        <v>0.99149189999999998</v>
      </c>
      <c r="Q6371">
        <v>0.12921579999999999</v>
      </c>
      <c r="R6371">
        <v>-1.5724330000000002E-2</v>
      </c>
      <c r="S6371">
        <v>3.045013</v>
      </c>
      <c r="T6371">
        <v>-0.16148370000000001</v>
      </c>
      <c r="U6371">
        <v>-0.1228943</v>
      </c>
      <c r="V6371">
        <v>-0.14703169999999999</v>
      </c>
      <c r="W6371">
        <v>0.1411712</v>
      </c>
      <c r="X6371">
        <v>0.97900580000000004</v>
      </c>
      <c r="Y6371">
        <v>-0.12217020000000001</v>
      </c>
      <c r="Z6371">
        <v>1.1807689999999999E-2</v>
      </c>
      <c r="AA6371">
        <v>0.99243890000000001</v>
      </c>
      <c r="AB6371">
        <v>28</v>
      </c>
      <c r="AC6371">
        <v>20.872799999999899</v>
      </c>
      <c r="AD6371">
        <v>-1.114605331293</v>
      </c>
      <c r="AE6371">
        <v>-0.82708999999999799</v>
      </c>
      <c r="AF6371">
        <v>-2.5682108459045399</v>
      </c>
      <c r="AG6371">
        <v>-1.114605331293</v>
      </c>
      <c r="AH6371">
        <v>20.6709465601628</v>
      </c>
      <c r="AI6371">
        <v>93.062972290540699</v>
      </c>
      <c r="AJ6371">
        <v>97.082280631687297</v>
      </c>
      <c r="AK6371">
        <v>20.8596760206546</v>
      </c>
      <c r="AL6371">
        <v>81.884375735174402</v>
      </c>
      <c r="AM6371">
        <v>98.541115429092301</v>
      </c>
      <c r="AN6371">
        <v>0.99999999247398497</v>
      </c>
    </row>
    <row r="6372" spans="1:40" x14ac:dyDescent="0.25">
      <c r="A6372" t="str">
        <f>"20190312172241066"</f>
        <v>20190312172241066</v>
      </c>
      <c r="B6372" t="str">
        <f>"1552382561056774"</f>
        <v>1552382561056774</v>
      </c>
      <c r="C6372" t="s">
        <v>40</v>
      </c>
      <c r="D6372">
        <v>3.288748</v>
      </c>
      <c r="E6372">
        <v>0.50875130000000002</v>
      </c>
      <c r="F6372" t="s">
        <v>42</v>
      </c>
      <c r="G6372">
        <v>-330.7867</v>
      </c>
      <c r="H6372" s="1">
        <v>-4.3658749999999999E-6</v>
      </c>
      <c r="I6372">
        <v>17.185879999999901</v>
      </c>
      <c r="J6372">
        <v>-351.61180000000002</v>
      </c>
      <c r="K6372">
        <v>1.1146020000000001</v>
      </c>
      <c r="L6372">
        <v>17.99277</v>
      </c>
      <c r="M6372">
        <v>0.98703960000000002</v>
      </c>
      <c r="N6372">
        <v>0</v>
      </c>
      <c r="O6372">
        <v>-0.15988949999999999</v>
      </c>
      <c r="P6372">
        <v>0.99154140000000002</v>
      </c>
      <c r="Q6372">
        <v>0.128858</v>
      </c>
      <c r="R6372">
        <v>-1.552889E-2</v>
      </c>
      <c r="S6372">
        <v>3.0449519999999999</v>
      </c>
      <c r="T6372">
        <v>-0.16196940000000001</v>
      </c>
      <c r="U6372">
        <v>-0.1199341</v>
      </c>
      <c r="V6372">
        <v>-0.1446577</v>
      </c>
      <c r="W6372">
        <v>0.140845</v>
      </c>
      <c r="X6372">
        <v>0.97940640000000001</v>
      </c>
      <c r="Y6372">
        <v>-0.120536</v>
      </c>
      <c r="Z6372">
        <v>1.1664590000000001E-2</v>
      </c>
      <c r="AA6372">
        <v>0.99264039999999998</v>
      </c>
      <c r="AB6372">
        <v>28</v>
      </c>
      <c r="AC6372">
        <v>20.825099999999999</v>
      </c>
      <c r="AD6372">
        <v>-1.1146063658750001</v>
      </c>
      <c r="AE6372">
        <v>-0.80689000000000199</v>
      </c>
      <c r="AF6372">
        <v>-2.5262947716758402</v>
      </c>
      <c r="AG6372">
        <v>-1.1146063658750001</v>
      </c>
      <c r="AH6372">
        <v>20.6271573803688</v>
      </c>
      <c r="AI6372">
        <v>93.0701234054889</v>
      </c>
      <c r="AJ6372">
        <v>96.982481553285098</v>
      </c>
      <c r="AK6372">
        <v>20.8111540818559</v>
      </c>
      <c r="AL6372">
        <v>81.903254552540204</v>
      </c>
      <c r="AM6372">
        <v>98.4018060472212</v>
      </c>
      <c r="AN6372">
        <v>1.00000003027762</v>
      </c>
    </row>
    <row r="6373" spans="1:40" x14ac:dyDescent="0.25">
      <c r="A6373" t="str">
        <f>"20190312172241077"</f>
        <v>20190312172241077</v>
      </c>
      <c r="B6373" t="str">
        <f>"1552382561066534"</f>
        <v>1552382561066534</v>
      </c>
      <c r="C6373" t="s">
        <v>40</v>
      </c>
      <c r="D6373">
        <v>3.303471</v>
      </c>
      <c r="E6373">
        <v>0.50870219999999999</v>
      </c>
      <c r="F6373" t="s">
        <v>42</v>
      </c>
      <c r="G6373">
        <v>-330.73930000000001</v>
      </c>
      <c r="H6373" s="1">
        <v>-4.3871010000000001E-6</v>
      </c>
      <c r="I6373">
        <v>17.181010000000001</v>
      </c>
      <c r="J6373">
        <v>-351.47089999999997</v>
      </c>
      <c r="K6373">
        <v>1.1145989999999999</v>
      </c>
      <c r="L6373">
        <v>17.972839999999898</v>
      </c>
      <c r="M6373">
        <v>0.98749319999999896</v>
      </c>
      <c r="N6373">
        <v>0</v>
      </c>
      <c r="O6373">
        <v>-0.1570647</v>
      </c>
      <c r="P6373">
        <v>0.99155720000000003</v>
      </c>
      <c r="Q6373">
        <v>0.12877130000000001</v>
      </c>
      <c r="R6373">
        <v>-1.5247749999999999E-2</v>
      </c>
      <c r="S6373">
        <v>3.0448909999999998</v>
      </c>
      <c r="T6373">
        <v>-0.1625992</v>
      </c>
      <c r="U6373">
        <v>-0.11840820000000001</v>
      </c>
      <c r="V6373">
        <v>-0.14212710000000001</v>
      </c>
      <c r="W6373">
        <v>0.1407911</v>
      </c>
      <c r="X6373">
        <v>0.97978449999999995</v>
      </c>
      <c r="Y6373">
        <v>-0.1181955</v>
      </c>
      <c r="Z6373">
        <v>1.149887E-2</v>
      </c>
      <c r="AA6373">
        <v>0.99292380000000002</v>
      </c>
      <c r="AB6373">
        <v>28</v>
      </c>
      <c r="AC6373">
        <v>20.731599999999901</v>
      </c>
      <c r="AD6373">
        <v>-1.1146033871009999</v>
      </c>
      <c r="AE6373">
        <v>-0.79182999999999704</v>
      </c>
      <c r="AF6373">
        <v>-2.4673866089843601</v>
      </c>
      <c r="AG6373">
        <v>-1.1146033871009999</v>
      </c>
      <c r="AH6373">
        <v>20.5393347330604</v>
      </c>
      <c r="AI6373">
        <v>93.084079764142302</v>
      </c>
      <c r="AJ6373">
        <v>96.850105916967706</v>
      </c>
      <c r="AK6373">
        <v>20.7170125420012</v>
      </c>
      <c r="AL6373">
        <v>81.906373275688196</v>
      </c>
      <c r="AM6373">
        <v>98.253728981323704</v>
      </c>
      <c r="AN6373">
        <v>0.99999995641693395</v>
      </c>
    </row>
    <row r="6374" spans="1:40" x14ac:dyDescent="0.25">
      <c r="A6374" t="str">
        <f>"20190312172241088"</f>
        <v>20190312172241088</v>
      </c>
      <c r="B6374" t="str">
        <f>"1552382561077271"</f>
        <v>1552382561077271</v>
      </c>
      <c r="C6374" t="s">
        <v>40</v>
      </c>
      <c r="D6374">
        <v>3.2638400000000001</v>
      </c>
      <c r="E6374">
        <v>0.50868679999999999</v>
      </c>
      <c r="F6374" t="s">
        <v>42</v>
      </c>
      <c r="G6374">
        <v>-330.55279999999999</v>
      </c>
      <c r="H6374" s="1">
        <v>-4.468321E-6</v>
      </c>
      <c r="I6374">
        <v>17.17418</v>
      </c>
      <c r="J6374">
        <v>-351.3381</v>
      </c>
      <c r="K6374">
        <v>1.1145940000000001</v>
      </c>
      <c r="L6374">
        <v>17.95459</v>
      </c>
      <c r="M6374">
        <v>0.98791229999999997</v>
      </c>
      <c r="N6374">
        <v>0</v>
      </c>
      <c r="O6374">
        <v>-0.15440599999999999</v>
      </c>
      <c r="P6374">
        <v>0.99160590000000004</v>
      </c>
      <c r="Q6374">
        <v>0.12835299999999999</v>
      </c>
      <c r="R6374">
        <v>-1.5602680000000001E-2</v>
      </c>
      <c r="S6374">
        <v>3.0448300000000001</v>
      </c>
      <c r="T6374">
        <v>-0.16224069999999999</v>
      </c>
      <c r="U6374">
        <v>-0.1162415</v>
      </c>
      <c r="V6374">
        <v>-0.1391346</v>
      </c>
      <c r="W6374">
        <v>0.14041199999999901</v>
      </c>
      <c r="X6374">
        <v>0.98026840000000004</v>
      </c>
      <c r="Y6374">
        <v>-0.1162354</v>
      </c>
      <c r="Z6374">
        <v>1.1281899999999999E-2</v>
      </c>
      <c r="AA6374">
        <v>0.99315759999999997</v>
      </c>
      <c r="AB6374">
        <v>28</v>
      </c>
      <c r="AC6374">
        <v>20.785299999999999</v>
      </c>
      <c r="AD6374">
        <v>-1.114598468321</v>
      </c>
      <c r="AE6374">
        <v>-0.78040999999999905</v>
      </c>
      <c r="AF6374">
        <v>-2.4316451984661298</v>
      </c>
      <c r="AG6374">
        <v>-1.114598468321</v>
      </c>
      <c r="AH6374">
        <v>20.5973502982044</v>
      </c>
      <c r="AI6374">
        <v>93.076143644896007</v>
      </c>
      <c r="AJ6374">
        <v>96.732958544881896</v>
      </c>
      <c r="AK6374">
        <v>20.770316979375899</v>
      </c>
      <c r="AL6374">
        <v>81.928312812119898</v>
      </c>
      <c r="AM6374">
        <v>98.078329212041496</v>
      </c>
      <c r="AN6374">
        <v>1.0000000513498499</v>
      </c>
    </row>
    <row r="6375" spans="1:40" x14ac:dyDescent="0.25">
      <c r="A6375" t="str">
        <f>"20190312172241098"</f>
        <v>20190312172241098</v>
      </c>
      <c r="B6375" t="str">
        <f>"1552382561096790"</f>
        <v>1552382561096790</v>
      </c>
      <c r="C6375" t="s">
        <v>40</v>
      </c>
      <c r="D6375">
        <v>3.2848269999999902</v>
      </c>
      <c r="E6375">
        <v>0.50868829999999998</v>
      </c>
      <c r="F6375" t="s">
        <v>42</v>
      </c>
      <c r="G6375">
        <v>-330.51499999999999</v>
      </c>
      <c r="H6375" s="1">
        <v>-4.4871879999999997E-6</v>
      </c>
      <c r="I6375">
        <v>17.159089999999999</v>
      </c>
      <c r="J6375">
        <v>-351.20699999999999</v>
      </c>
      <c r="K6375">
        <v>1.114581</v>
      </c>
      <c r="L6375">
        <v>17.936679999999999</v>
      </c>
      <c r="M6375">
        <v>0.98831880000000005</v>
      </c>
      <c r="N6375">
        <v>0</v>
      </c>
      <c r="O6375">
        <v>-0.15178249999999999</v>
      </c>
      <c r="P6375">
        <v>0.99166259999999995</v>
      </c>
      <c r="Q6375">
        <v>0.127883199999999</v>
      </c>
      <c r="R6375">
        <v>-1.5850050000000001E-2</v>
      </c>
      <c r="S6375">
        <v>3.0446469999999999</v>
      </c>
      <c r="T6375">
        <v>-0.16297120000000001</v>
      </c>
      <c r="U6375">
        <v>-0.1163025</v>
      </c>
      <c r="V6375">
        <v>-0.13628409999999999</v>
      </c>
      <c r="W6375">
        <v>0.13997960000000001</v>
      </c>
      <c r="X6375">
        <v>0.98073049999999995</v>
      </c>
      <c r="Y6375">
        <v>-0.11357979999999999</v>
      </c>
      <c r="Z6375">
        <v>1.112346E-2</v>
      </c>
      <c r="AA6375">
        <v>0.99346659999999998</v>
      </c>
      <c r="AB6375">
        <v>28</v>
      </c>
      <c r="AC6375">
        <v>20.692</v>
      </c>
      <c r="AD6375">
        <v>-1.1145854871879901</v>
      </c>
      <c r="AE6375">
        <v>-0.77759</v>
      </c>
      <c r="AF6375">
        <v>-2.3655457766380699</v>
      </c>
      <c r="AG6375">
        <v>-1.1145854871879901</v>
      </c>
      <c r="AH6375">
        <v>20.510822961158102</v>
      </c>
      <c r="AI6375">
        <v>93.090026969098901</v>
      </c>
      <c r="AJ6375">
        <v>96.578946291933207</v>
      </c>
      <c r="AK6375">
        <v>20.676846137010202</v>
      </c>
      <c r="AL6375">
        <v>81.953334040358996</v>
      </c>
      <c r="AM6375">
        <v>97.911262500548304</v>
      </c>
      <c r="AN6375">
        <v>0.99999997897960902</v>
      </c>
    </row>
    <row r="6376" spans="1:40" x14ac:dyDescent="0.25">
      <c r="A6376" t="str">
        <f>"20190312172241110"</f>
        <v>20190312172241110</v>
      </c>
      <c r="B6376" t="str">
        <f>"1552382561106550"</f>
        <v>1552382561106550</v>
      </c>
      <c r="C6376" t="s">
        <v>40</v>
      </c>
      <c r="D6376">
        <v>3.2564540000000002</v>
      </c>
      <c r="E6376">
        <v>0.5087081</v>
      </c>
      <c r="F6376" t="s">
        <v>42</v>
      </c>
      <c r="G6376">
        <v>-330.37540000000001</v>
      </c>
      <c r="H6376" s="1">
        <v>-4.55049E-6</v>
      </c>
      <c r="I6376">
        <v>17.13993</v>
      </c>
      <c r="J6376">
        <v>-351.07729999999998</v>
      </c>
      <c r="K6376">
        <v>1.1145700000000001</v>
      </c>
      <c r="L6376">
        <v>17.919619999999998</v>
      </c>
      <c r="M6376">
        <v>0.98871240000000005</v>
      </c>
      <c r="N6376">
        <v>0</v>
      </c>
      <c r="O6376">
        <v>-0.149197</v>
      </c>
      <c r="P6376">
        <v>0.99176940000000002</v>
      </c>
      <c r="Q6376">
        <v>0.1269653</v>
      </c>
      <c r="R6376">
        <v>-1.6537449999999999E-2</v>
      </c>
      <c r="S6376">
        <v>3.0443419999999999</v>
      </c>
      <c r="T6376">
        <v>-0.1628858</v>
      </c>
      <c r="U6376">
        <v>-0.1164246</v>
      </c>
      <c r="V6376">
        <v>-0.13303709999999999</v>
      </c>
      <c r="W6376">
        <v>0.1391056</v>
      </c>
      <c r="X6376">
        <v>0.98130050000000002</v>
      </c>
      <c r="Y6376">
        <v>-0.110945</v>
      </c>
      <c r="Z6376">
        <v>1.0911529999999999E-2</v>
      </c>
      <c r="AA6376">
        <v>0.9937667</v>
      </c>
      <c r="AB6376">
        <v>28</v>
      </c>
      <c r="AC6376">
        <v>20.701899999999899</v>
      </c>
      <c r="AD6376">
        <v>-1.11457455049</v>
      </c>
      <c r="AE6376">
        <v>-0.77969000000000199</v>
      </c>
      <c r="AF6376">
        <v>-2.3112999655385802</v>
      </c>
      <c r="AG6376">
        <v>-1.11457455049</v>
      </c>
      <c r="AH6376">
        <v>20.527071533896699</v>
      </c>
      <c r="AI6376">
        <v>93.088503468127001</v>
      </c>
      <c r="AJ6376">
        <v>96.424311537926798</v>
      </c>
      <c r="AK6376">
        <v>20.686832761856301</v>
      </c>
      <c r="AL6376">
        <v>82.003905144469996</v>
      </c>
      <c r="AM6376">
        <v>97.720645018417201</v>
      </c>
      <c r="AN6376">
        <v>0.99999995461400903</v>
      </c>
    </row>
    <row r="6377" spans="1:40" x14ac:dyDescent="0.25">
      <c r="A6377" t="str">
        <f>"20190312172241122"</f>
        <v>20190312172241122</v>
      </c>
      <c r="B6377" t="str">
        <f>"1552382561117286"</f>
        <v>1552382561117286</v>
      </c>
      <c r="C6377" t="s">
        <v>40</v>
      </c>
      <c r="D6377">
        <v>3.235401</v>
      </c>
      <c r="E6377">
        <v>0.50867659999999904</v>
      </c>
      <c r="F6377" t="s">
        <v>42</v>
      </c>
      <c r="G6377">
        <v>-330.46300000000002</v>
      </c>
      <c r="H6377" s="1">
        <v>-4.5168709999999997E-6</v>
      </c>
      <c r="I6377">
        <v>17.117660000000001</v>
      </c>
      <c r="J6377">
        <v>-350.93169999999998</v>
      </c>
      <c r="K6377">
        <v>1.114554</v>
      </c>
      <c r="L6377">
        <v>17.900569999999998</v>
      </c>
      <c r="M6377">
        <v>0.98914539999999995</v>
      </c>
      <c r="N6377">
        <v>0</v>
      </c>
      <c r="O6377">
        <v>-0.14629929999999999</v>
      </c>
      <c r="P6377">
        <v>0.99190880000000003</v>
      </c>
      <c r="Q6377">
        <v>0.12581539999999999</v>
      </c>
      <c r="R6377">
        <v>-1.6965330000000001E-2</v>
      </c>
      <c r="S6377">
        <v>3.044006</v>
      </c>
      <c r="T6377">
        <v>-0.1645828</v>
      </c>
      <c r="U6377">
        <v>-0.11840820000000001</v>
      </c>
      <c r="V6377">
        <v>-0.1297372</v>
      </c>
      <c r="W6377">
        <v>0.1380005</v>
      </c>
      <c r="X6377">
        <v>0.98189820000000005</v>
      </c>
      <c r="Y6377">
        <v>-0.1073831</v>
      </c>
      <c r="Z6377">
        <v>1.0774850000000001E-2</v>
      </c>
      <c r="AA6377">
        <v>0.99415929999999997</v>
      </c>
      <c r="AB6377">
        <v>28</v>
      </c>
      <c r="AC6377">
        <v>20.468699999999899</v>
      </c>
      <c r="AD6377">
        <v>-1.1145585168709999</v>
      </c>
      <c r="AE6377">
        <v>-0.78291000000000099</v>
      </c>
      <c r="AF6377">
        <v>-2.2137989275596301</v>
      </c>
      <c r="AG6377">
        <v>-1.1145585168709999</v>
      </c>
      <c r="AH6377">
        <v>20.302862628172701</v>
      </c>
      <c r="AI6377">
        <v>93.123712888872404</v>
      </c>
      <c r="AJ6377">
        <v>96.222876159956002</v>
      </c>
      <c r="AK6377">
        <v>20.453590816226999</v>
      </c>
      <c r="AL6377">
        <v>82.067839541111596</v>
      </c>
      <c r="AM6377">
        <v>97.526833217296897</v>
      </c>
      <c r="AN6377">
        <v>0.99999997711366395</v>
      </c>
    </row>
    <row r="6378" spans="1:40" x14ac:dyDescent="0.25">
      <c r="A6378" t="str">
        <f>"20190312172241133"</f>
        <v>20190312172241133</v>
      </c>
      <c r="B6378" t="str">
        <f>"1552382561127046"</f>
        <v>1552382561127046</v>
      </c>
      <c r="C6378" t="s">
        <v>40</v>
      </c>
      <c r="D6378">
        <v>3.2327720000000002</v>
      </c>
      <c r="E6378">
        <v>0.50864359999999997</v>
      </c>
      <c r="F6378" t="s">
        <v>42</v>
      </c>
      <c r="G6378">
        <v>-330.60579999999999</v>
      </c>
      <c r="H6378" s="1">
        <v>-4.4580159999999999E-6</v>
      </c>
      <c r="I6378">
        <v>17.104029999999899</v>
      </c>
      <c r="J6378">
        <v>-350.78820000000002</v>
      </c>
      <c r="K6378">
        <v>1.1145309999999999</v>
      </c>
      <c r="L6378">
        <v>17.882390000000001</v>
      </c>
      <c r="M6378">
        <v>0.9895602</v>
      </c>
      <c r="N6378">
        <v>0</v>
      </c>
      <c r="O6378">
        <v>-0.14346600000000001</v>
      </c>
      <c r="P6378">
        <v>0.99206629999999996</v>
      </c>
      <c r="Q6378">
        <v>0.12454610000000001</v>
      </c>
      <c r="R6378">
        <v>-1.7104330000000001E-2</v>
      </c>
      <c r="S6378">
        <v>3.0436100000000001</v>
      </c>
      <c r="T6378">
        <v>-0.1668943</v>
      </c>
      <c r="U6378">
        <v>-0.1192627</v>
      </c>
      <c r="V6378">
        <v>-0.1267848</v>
      </c>
      <c r="W6378">
        <v>0.1367739</v>
      </c>
      <c r="X6378">
        <v>0.98245539999999998</v>
      </c>
      <c r="Y6378">
        <v>-0.10425</v>
      </c>
      <c r="Z6378">
        <v>1.0687729999999999E-2</v>
      </c>
      <c r="AA6378">
        <v>0.99449370000000004</v>
      </c>
      <c r="AB6378">
        <v>28</v>
      </c>
      <c r="AC6378">
        <v>20.182400000000001</v>
      </c>
      <c r="AD6378">
        <v>-1.1145354580159901</v>
      </c>
      <c r="AE6378">
        <v>-0.77836000000000205</v>
      </c>
      <c r="AF6378">
        <v>-2.1190015487323102</v>
      </c>
      <c r="AG6378">
        <v>-1.1145354580159901</v>
      </c>
      <c r="AH6378">
        <v>20.024282001074798</v>
      </c>
      <c r="AI6378">
        <v>93.168097243481995</v>
      </c>
      <c r="AJ6378">
        <v>96.040649812584505</v>
      </c>
      <c r="AK6378">
        <v>20.166909195741301</v>
      </c>
      <c r="AL6378">
        <v>82.138791926557204</v>
      </c>
      <c r="AM6378">
        <v>97.3533179052056</v>
      </c>
      <c r="AN6378">
        <v>1.0000000491107</v>
      </c>
    </row>
    <row r="6379" spans="1:40" x14ac:dyDescent="0.25">
      <c r="A6379" t="str">
        <f>"20190312172241145"</f>
        <v>20190312172241145</v>
      </c>
      <c r="B6379" t="str">
        <f>"1552382561136806"</f>
        <v>1552382561136806</v>
      </c>
      <c r="C6379" t="s">
        <v>40</v>
      </c>
      <c r="D6379">
        <v>3.2376710000000002</v>
      </c>
      <c r="E6379">
        <v>0.50863599999999998</v>
      </c>
      <c r="F6379" t="s">
        <v>42</v>
      </c>
      <c r="G6379">
        <v>-330.76280000000003</v>
      </c>
      <c r="H6379" s="1">
        <v>-4.3917629999999996E-6</v>
      </c>
      <c r="I6379">
        <v>17.097919999999998</v>
      </c>
      <c r="J6379">
        <v>-350.64819999999997</v>
      </c>
      <c r="K6379">
        <v>1.114503</v>
      </c>
      <c r="L6379">
        <v>17.86496</v>
      </c>
      <c r="M6379">
        <v>0.98995500000000003</v>
      </c>
      <c r="N6379">
        <v>0</v>
      </c>
      <c r="O6379">
        <v>-0.14071710000000001</v>
      </c>
      <c r="P6379">
        <v>0.99220109999999995</v>
      </c>
      <c r="Q6379">
        <v>0.123409</v>
      </c>
      <c r="R6379">
        <v>-1.7542019999999998E-2</v>
      </c>
      <c r="S6379">
        <v>3.0432130000000002</v>
      </c>
      <c r="T6379">
        <v>-0.1693732</v>
      </c>
      <c r="U6379">
        <v>-0.11920169999999999</v>
      </c>
      <c r="V6379">
        <v>-0.1236168</v>
      </c>
      <c r="W6379">
        <v>0.13568179999999999</v>
      </c>
      <c r="X6379">
        <v>0.98301039999999995</v>
      </c>
      <c r="Y6379">
        <v>-0.1014996</v>
      </c>
      <c r="Z6379">
        <v>1.0619760000000001E-2</v>
      </c>
      <c r="AA6379">
        <v>0.99477890000000002</v>
      </c>
      <c r="AB6379">
        <v>28</v>
      </c>
      <c r="AC6379">
        <v>19.885399999999901</v>
      </c>
      <c r="AD6379">
        <v>-1.114507391763</v>
      </c>
      <c r="AE6379">
        <v>-0.76703999999999795</v>
      </c>
      <c r="AF6379">
        <v>-2.03269656606777</v>
      </c>
      <c r="AG6379">
        <v>-1.114507391763</v>
      </c>
      <c r="AH6379">
        <v>19.733550466407099</v>
      </c>
      <c r="AI6379">
        <v>93.215527052193906</v>
      </c>
      <c r="AJ6379">
        <v>95.881132298278601</v>
      </c>
      <c r="AK6379">
        <v>19.869247496224801</v>
      </c>
      <c r="AL6379">
        <v>82.201953517594802</v>
      </c>
      <c r="AM6379">
        <v>97.167509198608798</v>
      </c>
      <c r="AN6379">
        <v>1.0000000553008099</v>
      </c>
    </row>
    <row r="6380" spans="1:40" x14ac:dyDescent="0.25">
      <c r="A6380" t="str">
        <f>"20190312172241156"</f>
        <v>20190312172241156</v>
      </c>
      <c r="B6380" t="str">
        <f>"1552382561146566"</f>
        <v>1552382561146566</v>
      </c>
      <c r="C6380" t="s">
        <v>40</v>
      </c>
      <c r="D6380">
        <v>3.2862140000000002</v>
      </c>
      <c r="E6380">
        <v>0.50859770000000004</v>
      </c>
      <c r="F6380" t="s">
        <v>42</v>
      </c>
      <c r="G6380">
        <v>-330.90780000000001</v>
      </c>
      <c r="H6380" s="1">
        <v>-4.3320469999999996E-6</v>
      </c>
      <c r="I6380">
        <v>17.083829999999999</v>
      </c>
      <c r="J6380">
        <v>-350.50940000000003</v>
      </c>
      <c r="K6380">
        <v>1.1144719999999999</v>
      </c>
      <c r="L6380">
        <v>17.848050000000001</v>
      </c>
      <c r="M6380">
        <v>0.99033649999999995</v>
      </c>
      <c r="N6380">
        <v>0</v>
      </c>
      <c r="O6380">
        <v>-0.1380065</v>
      </c>
      <c r="P6380">
        <v>0.99231080000000005</v>
      </c>
      <c r="Q6380">
        <v>0.1224446</v>
      </c>
      <c r="R6380">
        <v>-1.8077659999999999E-2</v>
      </c>
      <c r="S6380">
        <v>3.0428160000000002</v>
      </c>
      <c r="T6380">
        <v>-0.17179150000000001</v>
      </c>
      <c r="U6380">
        <v>-0.12039179999999999</v>
      </c>
      <c r="V6380">
        <v>-0.1203868</v>
      </c>
      <c r="W6380">
        <v>0.13476279999999999</v>
      </c>
      <c r="X6380">
        <v>0.98353749999999995</v>
      </c>
      <c r="Y6380">
        <v>-9.8380620000000002E-2</v>
      </c>
      <c r="Z6380">
        <v>1.0532939999999999E-2</v>
      </c>
      <c r="AA6380">
        <v>0.99509309999999995</v>
      </c>
      <c r="AB6380">
        <v>28</v>
      </c>
      <c r="AC6380">
        <v>19.601600000000001</v>
      </c>
      <c r="AD6380">
        <v>-1.1144763320469999</v>
      </c>
      <c r="AE6380">
        <v>-0.76422000000000101</v>
      </c>
      <c r="AF6380">
        <v>-1.94222723360606</v>
      </c>
      <c r="AG6380">
        <v>-1.1144763320469999</v>
      </c>
      <c r="AH6380">
        <v>19.456679283176399</v>
      </c>
      <c r="AI6380">
        <v>93.262135889200096</v>
      </c>
      <c r="AJ6380">
        <v>95.700561166270703</v>
      </c>
      <c r="AK6380">
        <v>19.5851135521354</v>
      </c>
      <c r="AL6380">
        <v>82.255096039982206</v>
      </c>
      <c r="AM6380">
        <v>96.978396407134994</v>
      </c>
      <c r="AN6380">
        <v>1.0000000038921599</v>
      </c>
    </row>
    <row r="6381" spans="1:40" x14ac:dyDescent="0.25">
      <c r="A6381" t="str">
        <f>"20190312172241168"</f>
        <v>20190312172241168</v>
      </c>
      <c r="B6381" t="str">
        <f>"1552382561157302"</f>
        <v>1552382561157302</v>
      </c>
      <c r="C6381" t="s">
        <v>40</v>
      </c>
      <c r="D6381">
        <v>3.287588</v>
      </c>
      <c r="E6381">
        <v>0.50854189999999999</v>
      </c>
      <c r="F6381" t="s">
        <v>42</v>
      </c>
      <c r="G6381">
        <v>-331.00220000000002</v>
      </c>
      <c r="H6381" s="1">
        <v>-4.294673E-6</v>
      </c>
      <c r="I6381">
        <v>17.066289999999999</v>
      </c>
      <c r="J6381">
        <v>-350.38060000000002</v>
      </c>
      <c r="K6381">
        <v>1.114433</v>
      </c>
      <c r="L6381">
        <v>17.83276</v>
      </c>
      <c r="M6381">
        <v>0.99067930000000004</v>
      </c>
      <c r="N6381">
        <v>0</v>
      </c>
      <c r="O6381">
        <v>-0.13552359999999999</v>
      </c>
      <c r="P6381">
        <v>0.99240890000000004</v>
      </c>
      <c r="Q6381">
        <v>0.12162920000000001</v>
      </c>
      <c r="R6381">
        <v>-1.8194740000000001E-2</v>
      </c>
      <c r="S6381">
        <v>3.0424799999999999</v>
      </c>
      <c r="T6381">
        <v>-0.17382139999999999</v>
      </c>
      <c r="U6381">
        <v>-0.1219177</v>
      </c>
      <c r="V6381">
        <v>-0.1177946</v>
      </c>
      <c r="W6381">
        <v>0.13398599999999999</v>
      </c>
      <c r="X6381">
        <v>0.98395739999999998</v>
      </c>
      <c r="Y6381">
        <v>-9.5383029999999994E-2</v>
      </c>
      <c r="Z6381">
        <v>1.0432189999999999E-2</v>
      </c>
      <c r="AA6381">
        <v>0.99538599999999999</v>
      </c>
      <c r="AB6381">
        <v>28</v>
      </c>
      <c r="AC6381">
        <v>19.378399999999999</v>
      </c>
      <c r="AD6381">
        <v>-1.1144372946729999</v>
      </c>
      <c r="AE6381">
        <v>-0.76647000000000098</v>
      </c>
      <c r="AF6381">
        <v>-1.86093488473391</v>
      </c>
      <c r="AG6381">
        <v>-1.1144372946729999</v>
      </c>
      <c r="AH6381">
        <v>19.2399348432305</v>
      </c>
      <c r="AI6381">
        <v>93.299682437585204</v>
      </c>
      <c r="AJ6381">
        <v>95.524606642127793</v>
      </c>
      <c r="AK6381">
        <v>19.361821760896699</v>
      </c>
      <c r="AL6381">
        <v>82.300010646754899</v>
      </c>
      <c r="AM6381">
        <v>96.826683405971906</v>
      </c>
      <c r="AN6381">
        <v>0.99999999049996002</v>
      </c>
    </row>
    <row r="6382" spans="1:40" x14ac:dyDescent="0.25">
      <c r="A6382" t="str">
        <f>"20190312172241180"</f>
        <v>20190312172241180</v>
      </c>
      <c r="B6382" t="str">
        <f>"1552382561176821"</f>
        <v>1552382561176821</v>
      </c>
      <c r="C6382" t="s">
        <v>40</v>
      </c>
      <c r="D6382">
        <v>3.2479439999999999</v>
      </c>
      <c r="E6382">
        <v>0.50850039999999996</v>
      </c>
      <c r="F6382" t="s">
        <v>42</v>
      </c>
      <c r="G6382">
        <v>-330.9991</v>
      </c>
      <c r="H6382" s="1">
        <v>-4.2982160000000002E-6</v>
      </c>
      <c r="I6382">
        <v>17.053809999999999</v>
      </c>
      <c r="J6382">
        <v>-350.2176</v>
      </c>
      <c r="K6382">
        <v>1.1143829999999999</v>
      </c>
      <c r="L6382">
        <v>17.81363</v>
      </c>
      <c r="M6382">
        <v>0.99110169999999997</v>
      </c>
      <c r="N6382">
        <v>0</v>
      </c>
      <c r="O6382">
        <v>-0.13240060000000001</v>
      </c>
      <c r="P6382">
        <v>0.99244169999999998</v>
      </c>
      <c r="Q6382">
        <v>0.12142020000000001</v>
      </c>
      <c r="R6382">
        <v>-1.7807770000000001E-2</v>
      </c>
      <c r="S6382">
        <v>3.0421450000000001</v>
      </c>
      <c r="T6382">
        <v>-0.17492289999999999</v>
      </c>
      <c r="U6382">
        <v>-0.122253399999999</v>
      </c>
      <c r="V6382">
        <v>-0.1150581</v>
      </c>
      <c r="W6382">
        <v>0.13381870000000001</v>
      </c>
      <c r="X6382">
        <v>0.98430390000000001</v>
      </c>
      <c r="Y6382">
        <v>-9.2136839999999998E-2</v>
      </c>
      <c r="Z6382">
        <v>1.022819E-2</v>
      </c>
      <c r="AA6382">
        <v>0.99569379999999996</v>
      </c>
      <c r="AB6382">
        <v>28</v>
      </c>
      <c r="AC6382">
        <v>19.218499999999999</v>
      </c>
      <c r="AD6382">
        <v>-1.1143872982159999</v>
      </c>
      <c r="AE6382">
        <v>-0.75981999999999705</v>
      </c>
      <c r="AF6382">
        <v>-1.7856555173317199</v>
      </c>
      <c r="AG6382">
        <v>-1.1143872982159999</v>
      </c>
      <c r="AH6382">
        <v>19.085812429032401</v>
      </c>
      <c r="AI6382">
        <v>93.327109600126207</v>
      </c>
      <c r="AJ6382">
        <v>95.344994534388803</v>
      </c>
      <c r="AK6382">
        <v>19.201527563014601</v>
      </c>
      <c r="AL6382">
        <v>82.309683327835799</v>
      </c>
      <c r="AM6382">
        <v>96.667210722055103</v>
      </c>
      <c r="AN6382">
        <v>0.99999998920025401</v>
      </c>
    </row>
    <row r="6383" spans="1:40" x14ac:dyDescent="0.25">
      <c r="A6383" t="str">
        <f>"20190312172241197"</f>
        <v>20190312172241197</v>
      </c>
      <c r="B6383" t="str">
        <f>"1552382561186582"</f>
        <v>1552382561186582</v>
      </c>
      <c r="C6383" t="s">
        <v>40</v>
      </c>
      <c r="D6383">
        <v>3.2426110000000001</v>
      </c>
      <c r="E6383">
        <v>0.50847209999999998</v>
      </c>
      <c r="F6383" t="s">
        <v>42</v>
      </c>
      <c r="G6383">
        <v>-330.73270000000002</v>
      </c>
      <c r="H6383" s="1">
        <v>-4.41554899999999E-6</v>
      </c>
      <c r="I6383">
        <v>17.036529999999999</v>
      </c>
      <c r="J6383">
        <v>-350.00689999999997</v>
      </c>
      <c r="K6383">
        <v>1.1143000000000001</v>
      </c>
      <c r="L6383">
        <v>17.789829999999998</v>
      </c>
      <c r="M6383">
        <v>0.99161940000000004</v>
      </c>
      <c r="N6383">
        <v>0</v>
      </c>
      <c r="O6383">
        <v>-0.12846550000000001</v>
      </c>
      <c r="P6383">
        <v>0.99249710000000002</v>
      </c>
      <c r="Q6383">
        <v>0.12077060000000001</v>
      </c>
      <c r="R6383">
        <v>-1.9086289999999999E-2</v>
      </c>
      <c r="S6383">
        <v>3.0419619999999998</v>
      </c>
      <c r="T6383">
        <v>-0.1739773</v>
      </c>
      <c r="U6383">
        <v>-0.121307399999999</v>
      </c>
      <c r="V6383">
        <v>-0.10984969999999999</v>
      </c>
      <c r="W6383">
        <v>0.1332441</v>
      </c>
      <c r="X6383">
        <v>0.98497670000000004</v>
      </c>
      <c r="Y6383">
        <v>-8.850674E-2</v>
      </c>
      <c r="Z6383">
        <v>9.8469609999999996E-3</v>
      </c>
      <c r="AA6383">
        <v>0.99602690000000005</v>
      </c>
      <c r="AB6383">
        <v>28</v>
      </c>
      <c r="AC6383">
        <v>19.274199999999901</v>
      </c>
      <c r="AD6383">
        <v>-1.1143044155490001</v>
      </c>
      <c r="AE6383">
        <v>-0.75329999999999897</v>
      </c>
      <c r="AF6383">
        <v>-1.7234932679463799</v>
      </c>
      <c r="AG6383">
        <v>-1.1143044155490001</v>
      </c>
      <c r="AH6383">
        <v>19.147345642858301</v>
      </c>
      <c r="AI6383">
        <v>93.317263618298</v>
      </c>
      <c r="AJ6383">
        <v>95.143453682133298</v>
      </c>
      <c r="AK6383">
        <v>19.257023356226501</v>
      </c>
      <c r="AL6383">
        <v>82.342903241013303</v>
      </c>
      <c r="AM6383">
        <v>96.363625541198999</v>
      </c>
      <c r="AN6383">
        <v>1.0000000231588899</v>
      </c>
    </row>
    <row r="6384" spans="1:40" x14ac:dyDescent="0.25">
      <c r="A6384" t="str">
        <f>"20190312172241210"</f>
        <v>20190312172241210</v>
      </c>
      <c r="B6384" t="str">
        <f>"1552382561207077"</f>
        <v>1552382561207077</v>
      </c>
      <c r="C6384" t="s">
        <v>40</v>
      </c>
      <c r="D6384">
        <v>3.2643270000000002</v>
      </c>
      <c r="E6384">
        <v>0.50839630000000002</v>
      </c>
      <c r="F6384" t="s">
        <v>42</v>
      </c>
      <c r="G6384">
        <v>-330.67579999999998</v>
      </c>
      <c r="H6384" s="1">
        <v>-4.4479780000000003E-6</v>
      </c>
      <c r="I6384">
        <v>16.991229999999899</v>
      </c>
      <c r="J6384">
        <v>-349.8571</v>
      </c>
      <c r="K6384">
        <v>1.1142289999999999</v>
      </c>
      <c r="L6384">
        <v>17.773409999999998</v>
      </c>
      <c r="M6384">
        <v>0.99196960000000001</v>
      </c>
      <c r="N6384">
        <v>0</v>
      </c>
      <c r="O6384">
        <v>-0.12573380000000001</v>
      </c>
      <c r="P6384">
        <v>0.99260280000000001</v>
      </c>
      <c r="Q6384">
        <v>0.1199511</v>
      </c>
      <c r="R6384">
        <v>-1.875052E-2</v>
      </c>
      <c r="S6384">
        <v>3.041595</v>
      </c>
      <c r="T6384">
        <v>-0.1753275</v>
      </c>
      <c r="U6384">
        <v>-0.1256409</v>
      </c>
      <c r="V6384">
        <v>-0.1074489</v>
      </c>
      <c r="W6384">
        <v>0.13246520000000001</v>
      </c>
      <c r="X6384">
        <v>0.98534650000000001</v>
      </c>
      <c r="Y6384">
        <v>-8.4346770000000001E-2</v>
      </c>
      <c r="Z6384">
        <v>9.6481359999999999E-3</v>
      </c>
      <c r="AA6384">
        <v>0.99638970000000004</v>
      </c>
      <c r="AB6384">
        <v>28</v>
      </c>
      <c r="AC6384">
        <v>19.1813</v>
      </c>
      <c r="AD6384">
        <v>-1.1142334479780001</v>
      </c>
      <c r="AE6384">
        <v>-0.78218000000000298</v>
      </c>
      <c r="AF6384">
        <v>-1.6304993738386</v>
      </c>
      <c r="AG6384">
        <v>-1.1142334479780001</v>
      </c>
      <c r="AH6384">
        <v>19.0631845661594</v>
      </c>
      <c r="AI6384">
        <v>93.332961793036304</v>
      </c>
      <c r="AJ6384">
        <v>94.888685689003495</v>
      </c>
      <c r="AK6384">
        <v>19.165204152007899</v>
      </c>
      <c r="AL6384">
        <v>82.387929963384707</v>
      </c>
      <c r="AM6384">
        <v>96.223332503821894</v>
      </c>
      <c r="AN6384">
        <v>1.0000000101922499</v>
      </c>
    </row>
    <row r="6385" spans="1:40" x14ac:dyDescent="0.25">
      <c r="A6385" t="str">
        <f>"20190312172241222"</f>
        <v>20190312172241222</v>
      </c>
      <c r="B6385" t="str">
        <f>"1552382561216837"</f>
        <v>1552382561216837</v>
      </c>
      <c r="C6385" t="s">
        <v>40</v>
      </c>
      <c r="D6385">
        <v>3.264815</v>
      </c>
      <c r="E6385">
        <v>0.50836429999999999</v>
      </c>
      <c r="F6385" t="s">
        <v>42</v>
      </c>
      <c r="G6385">
        <v>-330.64319999999998</v>
      </c>
      <c r="H6385" s="1">
        <v>-4.4623600000000004E-6</v>
      </c>
      <c r="I6385">
        <v>16.9892</v>
      </c>
      <c r="J6385">
        <v>-349.70479999999998</v>
      </c>
      <c r="K6385">
        <v>1.114152</v>
      </c>
      <c r="L6385">
        <v>17.756930000000001</v>
      </c>
      <c r="M6385">
        <v>0.99231279999999999</v>
      </c>
      <c r="N6385">
        <v>0</v>
      </c>
      <c r="O6385">
        <v>-0.1229954</v>
      </c>
      <c r="P6385">
        <v>0.99276379999999997</v>
      </c>
      <c r="Q6385">
        <v>0.1186695</v>
      </c>
      <c r="R6385">
        <v>-1.8377259999999999E-2</v>
      </c>
      <c r="S6385">
        <v>3.04129</v>
      </c>
      <c r="T6385">
        <v>-0.17636740000000001</v>
      </c>
      <c r="U6385">
        <v>-0.124115</v>
      </c>
      <c r="V6385">
        <v>-0.1050787</v>
      </c>
      <c r="W6385">
        <v>0.13122449999999999</v>
      </c>
      <c r="X6385">
        <v>0.98576799999999998</v>
      </c>
      <c r="Y6385">
        <v>-8.2095440000000006E-2</v>
      </c>
      <c r="Z6385">
        <v>9.4837129999999995E-3</v>
      </c>
      <c r="AA6385">
        <v>0.99657929999999995</v>
      </c>
      <c r="AB6385">
        <v>28</v>
      </c>
      <c r="AC6385">
        <v>19.061599999999999</v>
      </c>
      <c r="AD6385">
        <v>-1.11415646236</v>
      </c>
      <c r="AE6385">
        <v>-0.76773000000000002</v>
      </c>
      <c r="AF6385">
        <v>-1.57742869659492</v>
      </c>
      <c r="AG6385">
        <v>-1.11415646236</v>
      </c>
      <c r="AH6385">
        <v>18.946653482354701</v>
      </c>
      <c r="AI6385">
        <v>93.353821157581294</v>
      </c>
      <c r="AJ6385">
        <v>94.759259709325093</v>
      </c>
      <c r="AK6385">
        <v>19.044823551187999</v>
      </c>
      <c r="AL6385">
        <v>82.459642610964195</v>
      </c>
      <c r="AM6385">
        <v>96.084511799285295</v>
      </c>
      <c r="AN6385">
        <v>0.99999997620896897</v>
      </c>
    </row>
    <row r="6386" spans="1:40" x14ac:dyDescent="0.25">
      <c r="A6386" t="str">
        <f>"20190312172241233"</f>
        <v>20190312172241233</v>
      </c>
      <c r="B6386" t="str">
        <f>"1552382561226598"</f>
        <v>1552382561226598</v>
      </c>
      <c r="C6386" t="s">
        <v>40</v>
      </c>
      <c r="D6386">
        <v>3.2444359999999999</v>
      </c>
      <c r="E6386">
        <v>0.50833470000000003</v>
      </c>
      <c r="F6386" t="s">
        <v>42</v>
      </c>
      <c r="G6386">
        <v>-330.85210000000001</v>
      </c>
      <c r="H6386" s="1">
        <v>-4.3718210000000002E-6</v>
      </c>
      <c r="I6386">
        <v>16.994420000000002</v>
      </c>
      <c r="J6386">
        <v>-349.56400000000002</v>
      </c>
      <c r="K6386">
        <v>1.1140669999999999</v>
      </c>
      <c r="L6386">
        <v>17.74213</v>
      </c>
      <c r="M6386">
        <v>0.99261390000000005</v>
      </c>
      <c r="N6386">
        <v>0</v>
      </c>
      <c r="O6386">
        <v>-0.1205436</v>
      </c>
      <c r="P6386">
        <v>0.99290590000000001</v>
      </c>
      <c r="Q6386">
        <v>0.11748599999999999</v>
      </c>
      <c r="R6386">
        <v>-1.8304529999999999E-2</v>
      </c>
      <c r="S6386">
        <v>3.0411069999999998</v>
      </c>
      <c r="T6386">
        <v>-0.17972279999999999</v>
      </c>
      <c r="U6386">
        <v>-0.12298580000000001</v>
      </c>
      <c r="V6386">
        <v>-0.10269300000000001</v>
      </c>
      <c r="W6386">
        <v>0.13008230000000001</v>
      </c>
      <c r="X6386">
        <v>0.98617080000000001</v>
      </c>
      <c r="Y6386">
        <v>-7.9994869999999996E-2</v>
      </c>
      <c r="Z6386">
        <v>9.458803E-3</v>
      </c>
      <c r="AA6386">
        <v>0.99675040000000004</v>
      </c>
      <c r="AB6386">
        <v>28</v>
      </c>
      <c r="AC6386">
        <v>18.7119</v>
      </c>
      <c r="AD6386">
        <v>-1.114071371821</v>
      </c>
      <c r="AE6386">
        <v>-0.74770999999999699</v>
      </c>
      <c r="AF6386">
        <v>-1.50821610411917</v>
      </c>
      <c r="AG6386">
        <v>-1.114071371821</v>
      </c>
      <c r="AH6386">
        <v>18.599740910464799</v>
      </c>
      <c r="AI6386">
        <v>93.416570954568101</v>
      </c>
      <c r="AJ6386">
        <v>94.635858220814598</v>
      </c>
      <c r="AK6386">
        <v>18.694015961656099</v>
      </c>
      <c r="AL6386">
        <v>82.525652247408502</v>
      </c>
      <c r="AM6386">
        <v>95.944959168284001</v>
      </c>
      <c r="AN6386">
        <v>1.0000000518974601</v>
      </c>
    </row>
    <row r="6387" spans="1:40" x14ac:dyDescent="0.25">
      <c r="A6387" t="str">
        <f>"20190312172241244"</f>
        <v>20190312172241244</v>
      </c>
      <c r="B6387" t="str">
        <f>"1552382561237334"</f>
        <v>1552382561237334</v>
      </c>
      <c r="C6387" t="s">
        <v>40</v>
      </c>
      <c r="D6387">
        <v>3.2558829999999999</v>
      </c>
      <c r="E6387">
        <v>0.50828490000000004</v>
      </c>
      <c r="F6387" t="s">
        <v>42</v>
      </c>
      <c r="G6387">
        <v>-331.02510000000001</v>
      </c>
      <c r="H6387" s="1">
        <v>-4.2975690000000004E-6</v>
      </c>
      <c r="I6387">
        <v>16.99465</v>
      </c>
      <c r="J6387">
        <v>-349.43430000000001</v>
      </c>
      <c r="K6387">
        <v>1.113988</v>
      </c>
      <c r="L6387">
        <v>17.728729999999999</v>
      </c>
      <c r="M6387">
        <v>0.99288050000000005</v>
      </c>
      <c r="N6387">
        <v>0</v>
      </c>
      <c r="O6387">
        <v>-0.1183284</v>
      </c>
      <c r="P6387">
        <v>0.99302239999999997</v>
      </c>
      <c r="Q6387">
        <v>0.1164439</v>
      </c>
      <c r="R6387">
        <v>-1.8639349999999999E-2</v>
      </c>
      <c r="S6387">
        <v>3.0408019999999998</v>
      </c>
      <c r="T6387">
        <v>-0.18273239999999999</v>
      </c>
      <c r="U6387">
        <v>-0.12258910000000001</v>
      </c>
      <c r="V6387">
        <v>-0.100136</v>
      </c>
      <c r="W6387">
        <v>0.12908130000000001</v>
      </c>
      <c r="X6387">
        <v>0.98656520000000003</v>
      </c>
      <c r="Y6387">
        <v>-7.7892169999999997E-2</v>
      </c>
      <c r="Z6387">
        <v>9.4227379999999999E-3</v>
      </c>
      <c r="AA6387">
        <v>0.99691719999999895</v>
      </c>
      <c r="AB6387">
        <v>28</v>
      </c>
      <c r="AC6387">
        <v>18.409199999999998</v>
      </c>
      <c r="AD6387">
        <v>-1.113992297569</v>
      </c>
      <c r="AE6387">
        <v>-0.73407999999999796</v>
      </c>
      <c r="AF6387">
        <v>-1.44433233440322</v>
      </c>
      <c r="AG6387">
        <v>-1.113992297569</v>
      </c>
      <c r="AH6387">
        <v>18.2998090010033</v>
      </c>
      <c r="AI6387">
        <v>93.472781759131806</v>
      </c>
      <c r="AJ6387">
        <v>94.512776726262004</v>
      </c>
      <c r="AK6387">
        <v>18.390488960450401</v>
      </c>
      <c r="AL6387">
        <v>82.583492957665001</v>
      </c>
      <c r="AM6387">
        <v>95.795652038612403</v>
      </c>
      <c r="AN6387">
        <v>1.0000000471783601</v>
      </c>
    </row>
    <row r="6388" spans="1:40" x14ac:dyDescent="0.25">
      <c r="A6388" t="str">
        <f>"20190312172241254"</f>
        <v>20190312172241254</v>
      </c>
      <c r="B6388" t="str">
        <f>"1552382561247093"</f>
        <v>1552382561247093</v>
      </c>
      <c r="C6388" t="s">
        <v>40</v>
      </c>
      <c r="D6388">
        <v>3.2533099999999999</v>
      </c>
      <c r="E6388">
        <v>0.50823890000000005</v>
      </c>
      <c r="F6388" t="s">
        <v>42</v>
      </c>
      <c r="G6388">
        <v>-331.14420000000001</v>
      </c>
      <c r="H6388" s="1">
        <v>-4.2477500000000001E-6</v>
      </c>
      <c r="I6388">
        <v>16.987349999999999</v>
      </c>
      <c r="J6388">
        <v>-349.3032</v>
      </c>
      <c r="K6388">
        <v>1.113904</v>
      </c>
      <c r="L6388">
        <v>17.715420000000002</v>
      </c>
      <c r="M6388">
        <v>0.99313850000000004</v>
      </c>
      <c r="N6388">
        <v>0</v>
      </c>
      <c r="O6388">
        <v>-0.1161425</v>
      </c>
      <c r="P6388">
        <v>0.99311700000000003</v>
      </c>
      <c r="Q6388">
        <v>0.11566029999999999</v>
      </c>
      <c r="R6388">
        <v>-1.8477520000000001E-2</v>
      </c>
      <c r="S6388">
        <v>3.0404659999999999</v>
      </c>
      <c r="T6388">
        <v>-0.18518499999999999</v>
      </c>
      <c r="U6388">
        <v>-0.12323000000000001</v>
      </c>
      <c r="V6388">
        <v>-9.8100389999999996E-2</v>
      </c>
      <c r="W6388">
        <v>0.12833319999999901</v>
      </c>
      <c r="X6388">
        <v>0.98686719999999895</v>
      </c>
      <c r="Y6388">
        <v>-7.5482099999999996E-2</v>
      </c>
      <c r="Z6388">
        <v>9.3445479999999994E-3</v>
      </c>
      <c r="AA6388">
        <v>0.99710339999999997</v>
      </c>
      <c r="AB6388">
        <v>28</v>
      </c>
      <c r="AC6388">
        <v>18.158999999999899</v>
      </c>
      <c r="AD6388">
        <v>-1.11390824775</v>
      </c>
      <c r="AE6388">
        <v>-0.72807000000000199</v>
      </c>
      <c r="AF6388">
        <v>-1.3808990503087799</v>
      </c>
      <c r="AG6388">
        <v>-1.11390824775</v>
      </c>
      <c r="AH6388">
        <v>18.052834016972099</v>
      </c>
      <c r="AI6388">
        <v>93.520568341180905</v>
      </c>
      <c r="AJ6388">
        <v>94.374156217850498</v>
      </c>
      <c r="AK6388">
        <v>18.1398040181226</v>
      </c>
      <c r="AL6388">
        <v>82.626714955008794</v>
      </c>
      <c r="AM6388">
        <v>95.676886909232394</v>
      </c>
      <c r="AN6388">
        <v>0.99999998358811504</v>
      </c>
    </row>
    <row r="6389" spans="1:40" x14ac:dyDescent="0.25">
      <c r="A6389" t="str">
        <f>"20190312172241266"</f>
        <v>20190312172241266</v>
      </c>
      <c r="B6389" t="str">
        <f>"1552382561256854"</f>
        <v>1552382561256854</v>
      </c>
      <c r="C6389" t="s">
        <v>40</v>
      </c>
      <c r="D6389">
        <v>3.2343769999999998</v>
      </c>
      <c r="E6389">
        <v>0.50819409999999998</v>
      </c>
      <c r="F6389" t="s">
        <v>42</v>
      </c>
      <c r="G6389">
        <v>-331.19420000000002</v>
      </c>
      <c r="H6389" s="1">
        <v>-4.2262780000000003E-6</v>
      </c>
      <c r="I6389">
        <v>16.98733</v>
      </c>
      <c r="J6389">
        <v>-349.1696</v>
      </c>
      <c r="K6389">
        <v>1.1138129999999999</v>
      </c>
      <c r="L6389">
        <v>17.702120000000001</v>
      </c>
      <c r="M6389">
        <v>0.99338879999999996</v>
      </c>
      <c r="N6389">
        <v>0</v>
      </c>
      <c r="O6389">
        <v>-0.11398170000000001</v>
      </c>
      <c r="P6389">
        <v>0.99318079999999997</v>
      </c>
      <c r="Q6389">
        <v>0.1151056</v>
      </c>
      <c r="R6389">
        <v>-1.8507289999999999E-2</v>
      </c>
      <c r="S6389">
        <v>3.040222</v>
      </c>
      <c r="T6389">
        <v>-0.1870087</v>
      </c>
      <c r="U6389">
        <v>-0.1222229</v>
      </c>
      <c r="V6389">
        <v>-9.5895400000000006E-2</v>
      </c>
      <c r="W6389">
        <v>0.12781489999999901</v>
      </c>
      <c r="X6389">
        <v>0.98715109999999995</v>
      </c>
      <c r="Y6389">
        <v>-7.3639750000000004E-2</v>
      </c>
      <c r="Z6389">
        <v>9.2487439999999997E-3</v>
      </c>
      <c r="AA6389">
        <v>0.99724199999999996</v>
      </c>
      <c r="AB6389">
        <v>28</v>
      </c>
      <c r="AC6389">
        <v>17.975399999999901</v>
      </c>
      <c r="AD6389">
        <v>-1.1138172262779999</v>
      </c>
      <c r="AE6389">
        <v>-0.71479000000000004</v>
      </c>
      <c r="AF6389">
        <v>-1.3338143257275601</v>
      </c>
      <c r="AG6389">
        <v>-1.1138172262779999</v>
      </c>
      <c r="AH6389">
        <v>17.8712027038065</v>
      </c>
      <c r="AI6389">
        <v>93.556462873401799</v>
      </c>
      <c r="AJ6389">
        <v>94.268347573510695</v>
      </c>
      <c r="AK6389">
        <v>17.955487616592698</v>
      </c>
      <c r="AL6389">
        <v>82.656657594263706</v>
      </c>
      <c r="AM6389">
        <v>95.548507791526802</v>
      </c>
      <c r="AN6389">
        <v>0.99999993531718701</v>
      </c>
    </row>
    <row r="6390" spans="1:40" x14ac:dyDescent="0.25">
      <c r="A6390" t="str">
        <f>"20190312172241277"</f>
        <v>20190312172241277</v>
      </c>
      <c r="B6390" t="str">
        <f>"1552382561266614"</f>
        <v>1552382561266614</v>
      </c>
      <c r="C6390" t="s">
        <v>40</v>
      </c>
      <c r="D6390">
        <v>3.2637649999999998</v>
      </c>
      <c r="E6390">
        <v>0.50815379999999999</v>
      </c>
      <c r="F6390" t="s">
        <v>42</v>
      </c>
      <c r="G6390">
        <v>-331.17430000000002</v>
      </c>
      <c r="H6390" s="1">
        <v>-4.2359450000000001E-6</v>
      </c>
      <c r="I6390">
        <v>16.981100000000001</v>
      </c>
      <c r="J6390">
        <v>-349.03629999999998</v>
      </c>
      <c r="K6390">
        <v>1.11372</v>
      </c>
      <c r="L6390">
        <v>17.689060000000001</v>
      </c>
      <c r="M6390">
        <v>0.99362930000000005</v>
      </c>
      <c r="N6390">
        <v>0</v>
      </c>
      <c r="O6390">
        <v>-0.11186790000000001</v>
      </c>
      <c r="P6390">
        <v>0.99323430000000001</v>
      </c>
      <c r="Q6390">
        <v>0.1146419</v>
      </c>
      <c r="R6390">
        <v>-1.8523330000000001E-2</v>
      </c>
      <c r="S6390">
        <v>3.0401310000000001</v>
      </c>
      <c r="T6390">
        <v>-0.1881678</v>
      </c>
      <c r="U6390">
        <v>-0.12179570000000001</v>
      </c>
      <c r="V6390">
        <v>-9.3750180000000002E-2</v>
      </c>
      <c r="W6390">
        <v>0.12738740000000001</v>
      </c>
      <c r="X6390">
        <v>0.98741250000000003</v>
      </c>
      <c r="Y6390">
        <v>-7.1659890000000004E-2</v>
      </c>
      <c r="Z6390">
        <v>9.1152009999999999E-3</v>
      </c>
      <c r="AA6390">
        <v>0.99738749999999998</v>
      </c>
      <c r="AB6390">
        <v>28</v>
      </c>
      <c r="AC6390">
        <v>17.861999999999899</v>
      </c>
      <c r="AD6390">
        <v>-1.1137242359449999</v>
      </c>
      <c r="AE6390">
        <v>-0.70795999999999903</v>
      </c>
      <c r="AF6390">
        <v>-1.28984860115008</v>
      </c>
      <c r="AG6390">
        <v>-1.1137242359449999</v>
      </c>
      <c r="AH6390">
        <v>17.760128048287999</v>
      </c>
      <c r="AI6390">
        <v>93.578875007267797</v>
      </c>
      <c r="AJ6390">
        <v>94.1538752279953</v>
      </c>
      <c r="AK6390">
        <v>17.841699453225001</v>
      </c>
      <c r="AL6390">
        <v>82.681354227383906</v>
      </c>
      <c r="AM6390">
        <v>95.423706663461402</v>
      </c>
      <c r="AN6390">
        <v>1.00000004554252</v>
      </c>
    </row>
    <row r="6391" spans="1:40" x14ac:dyDescent="0.25">
      <c r="A6391" t="str">
        <f>"20190312172241288"</f>
        <v>20190312172241288</v>
      </c>
      <c r="B6391" t="str">
        <f>"1552382561277350"</f>
        <v>1552382561277350</v>
      </c>
      <c r="C6391" t="s">
        <v>40</v>
      </c>
      <c r="D6391">
        <v>3.2420239999999998</v>
      </c>
      <c r="E6391">
        <v>0.50811830000000002</v>
      </c>
      <c r="F6391" t="s">
        <v>42</v>
      </c>
      <c r="G6391">
        <v>-331.11799999999999</v>
      </c>
      <c r="H6391" s="1">
        <v>-4.2615559999999996E-6</v>
      </c>
      <c r="I6391">
        <v>16.97288</v>
      </c>
      <c r="J6391">
        <v>-348.90480000000002</v>
      </c>
      <c r="K6391">
        <v>1.1136280000000001</v>
      </c>
      <c r="L6391">
        <v>17.676449999999999</v>
      </c>
      <c r="M6391">
        <v>0.99385230000000002</v>
      </c>
      <c r="N6391">
        <v>0</v>
      </c>
      <c r="O6391">
        <v>-0.1098691</v>
      </c>
      <c r="P6391">
        <v>0.99331899999999995</v>
      </c>
      <c r="Q6391">
        <v>0.11385240000000001</v>
      </c>
      <c r="R6391">
        <v>-1.8845580000000001E-2</v>
      </c>
      <c r="S6391">
        <v>3.0399780000000001</v>
      </c>
      <c r="T6391">
        <v>-0.18895149999999999</v>
      </c>
      <c r="U6391">
        <v>-0.1214905</v>
      </c>
      <c r="V6391">
        <v>-9.1415460000000004E-2</v>
      </c>
      <c r="W6391">
        <v>0.12663440000000001</v>
      </c>
      <c r="X6391">
        <v>0.98772819999999995</v>
      </c>
      <c r="Y6391">
        <v>-6.9756040000000005E-2</v>
      </c>
      <c r="Z6391">
        <v>8.9711249999999999E-3</v>
      </c>
      <c r="AA6391">
        <v>0.99752370000000001</v>
      </c>
      <c r="AB6391">
        <v>28</v>
      </c>
      <c r="AC6391">
        <v>17.7867999999999</v>
      </c>
      <c r="AD6391">
        <v>-1.1136322615559999</v>
      </c>
      <c r="AE6391">
        <v>-0.70356999999999903</v>
      </c>
      <c r="AF6391">
        <v>-1.2501988719227199</v>
      </c>
      <c r="AG6391">
        <v>-1.1136322615559999</v>
      </c>
      <c r="AH6391">
        <v>17.687181807049399</v>
      </c>
      <c r="AI6391">
        <v>93.593796815154604</v>
      </c>
      <c r="AJ6391">
        <v>94.043164211507303</v>
      </c>
      <c r="AK6391">
        <v>17.766248177624799</v>
      </c>
      <c r="AL6391">
        <v>82.724850075225405</v>
      </c>
      <c r="AM6391">
        <v>95.287731450440901</v>
      </c>
      <c r="AN6391">
        <v>1.0000000273328</v>
      </c>
    </row>
    <row r="6392" spans="1:40" x14ac:dyDescent="0.25">
      <c r="A6392" t="str">
        <f>"20190312172241298"</f>
        <v>20190312172241298</v>
      </c>
      <c r="B6392" t="str">
        <f>"1552382561287109"</f>
        <v>1552382561287109</v>
      </c>
      <c r="C6392" t="s">
        <v>40</v>
      </c>
      <c r="D6392">
        <v>3.2789459999999999</v>
      </c>
      <c r="E6392">
        <v>0.50807979999999997</v>
      </c>
      <c r="F6392" t="s">
        <v>42</v>
      </c>
      <c r="G6392">
        <v>-331.154</v>
      </c>
      <c r="H6392" s="1">
        <v>-4.2477900000000004E-6</v>
      </c>
      <c r="I6392">
        <v>16.963529999999999</v>
      </c>
      <c r="J6392">
        <v>-348.77569999999997</v>
      </c>
      <c r="K6392">
        <v>1.1135429999999999</v>
      </c>
      <c r="L6392">
        <v>17.664149999999999</v>
      </c>
      <c r="M6392">
        <v>0.99406459999999996</v>
      </c>
      <c r="N6392">
        <v>0</v>
      </c>
      <c r="O6392">
        <v>-0.1079319</v>
      </c>
      <c r="P6392">
        <v>0.99341109999999999</v>
      </c>
      <c r="Q6392">
        <v>0.1130155</v>
      </c>
      <c r="R6392">
        <v>-1.902264E-2</v>
      </c>
      <c r="S6392">
        <v>3.0397639999999999</v>
      </c>
      <c r="T6392">
        <v>-0.1907045</v>
      </c>
      <c r="U6392">
        <v>-0.12207030000000001</v>
      </c>
      <c r="V6392">
        <v>-8.9286160000000003E-2</v>
      </c>
      <c r="W6392">
        <v>0.12583130000000001</v>
      </c>
      <c r="X6392">
        <v>0.9880255</v>
      </c>
      <c r="Y6392">
        <v>-6.7620440000000004E-2</v>
      </c>
      <c r="Z6392">
        <v>8.8671800000000005E-3</v>
      </c>
      <c r="AA6392">
        <v>0.99767169999999905</v>
      </c>
      <c r="AB6392">
        <v>28</v>
      </c>
      <c r="AC6392">
        <v>17.621699999999901</v>
      </c>
      <c r="AD6392">
        <v>-1.1135472477899999</v>
      </c>
      <c r="AE6392">
        <v>-0.70062000000000002</v>
      </c>
      <c r="AF6392">
        <v>-1.20080681328784</v>
      </c>
      <c r="AG6392">
        <v>-1.1135472477899999</v>
      </c>
      <c r="AH6392">
        <v>17.524497710544601</v>
      </c>
      <c r="AI6392">
        <v>93.627335882542596</v>
      </c>
      <c r="AJ6392">
        <v>93.919871896787996</v>
      </c>
      <c r="AK6392">
        <v>17.600850674975401</v>
      </c>
      <c r="AL6392">
        <v>82.771234890353</v>
      </c>
      <c r="AM6392">
        <v>95.163694925161394</v>
      </c>
      <c r="AN6392">
        <v>0.99999996153874204</v>
      </c>
    </row>
    <row r="6393" spans="1:40" x14ac:dyDescent="0.25">
      <c r="A6393" t="str">
        <f>"20190312172241309"</f>
        <v>20190312172241309</v>
      </c>
      <c r="B6393" t="str">
        <f>"1552382561306630"</f>
        <v>1552382561306630</v>
      </c>
      <c r="C6393" t="s">
        <v>40</v>
      </c>
      <c r="D6393">
        <v>3.259493</v>
      </c>
      <c r="E6393">
        <v>0.50802119999999995</v>
      </c>
      <c r="F6393" t="s">
        <v>42</v>
      </c>
      <c r="G6393">
        <v>-331.20409999999998</v>
      </c>
      <c r="H6393" s="1">
        <v>-4.2274270000000001E-6</v>
      </c>
      <c r="I6393">
        <v>16.956949999999999</v>
      </c>
      <c r="J6393">
        <v>-348.64690000000002</v>
      </c>
      <c r="K6393">
        <v>1.1134489999999999</v>
      </c>
      <c r="L6393">
        <v>17.652190000000001</v>
      </c>
      <c r="M6393">
        <v>0.99426199999999998</v>
      </c>
      <c r="N6393">
        <v>0</v>
      </c>
      <c r="O6393">
        <v>-0.1060989</v>
      </c>
      <c r="P6393">
        <v>0.99348460000000005</v>
      </c>
      <c r="Q6393">
        <v>0.11228589999999999</v>
      </c>
      <c r="R6393">
        <v>-1.9499720000000002E-2</v>
      </c>
      <c r="S6393">
        <v>3.0394589999999999</v>
      </c>
      <c r="T6393">
        <v>-0.19261629999999999</v>
      </c>
      <c r="U6393">
        <v>-0.12231450000000001</v>
      </c>
      <c r="V6393">
        <v>-8.6961549999999999E-2</v>
      </c>
      <c r="W6393">
        <v>0.12513630000000001</v>
      </c>
      <c r="X6393">
        <v>0.98832109999999995</v>
      </c>
      <c r="Y6393">
        <v>-6.5697199999999997E-2</v>
      </c>
      <c r="Z6393">
        <v>8.7805330000000001E-3</v>
      </c>
      <c r="AA6393">
        <v>0.99780089999999999</v>
      </c>
      <c r="AB6393">
        <v>28</v>
      </c>
      <c r="AC6393">
        <v>17.442799999999998</v>
      </c>
      <c r="AD6393">
        <v>-1.1134532274269999</v>
      </c>
      <c r="AE6393">
        <v>-0.69524000000000097</v>
      </c>
      <c r="AF6393">
        <v>-1.1548208207960899</v>
      </c>
      <c r="AG6393">
        <v>-1.1134532274269999</v>
      </c>
      <c r="AH6393">
        <v>17.3475218175608</v>
      </c>
      <c r="AI6393">
        <v>93.6644119439311</v>
      </c>
      <c r="AJ6393">
        <v>93.808548525729506</v>
      </c>
      <c r="AK6393">
        <v>17.421535593298302</v>
      </c>
      <c r="AL6393">
        <v>82.811373005466905</v>
      </c>
      <c r="AM6393">
        <v>95.028457647406896</v>
      </c>
      <c r="AN6393">
        <v>1.00000000073065</v>
      </c>
    </row>
    <row r="6394" spans="1:40" x14ac:dyDescent="0.25">
      <c r="A6394" t="str">
        <f>"20190312172241321"</f>
        <v>20190312172241321</v>
      </c>
      <c r="B6394" t="str">
        <f>"1552382561317366"</f>
        <v>1552382561317366</v>
      </c>
      <c r="C6394" t="s">
        <v>40</v>
      </c>
      <c r="D6394">
        <v>3.265263</v>
      </c>
      <c r="E6394">
        <v>0.50798509999999997</v>
      </c>
      <c r="F6394" t="s">
        <v>42</v>
      </c>
      <c r="G6394">
        <v>-331.16140000000001</v>
      </c>
      <c r="H6394" s="1">
        <v>-4.2485289999999901E-6</v>
      </c>
      <c r="I6394">
        <v>16.94135</v>
      </c>
      <c r="J6394">
        <v>-348.50729999999999</v>
      </c>
      <c r="K6394">
        <v>1.1133459999999999</v>
      </c>
      <c r="L6394">
        <v>17.63937</v>
      </c>
      <c r="M6394">
        <v>0.99446959999999995</v>
      </c>
      <c r="N6394">
        <v>0</v>
      </c>
      <c r="O6394">
        <v>-0.1041354</v>
      </c>
      <c r="P6394">
        <v>0.99357099999999998</v>
      </c>
      <c r="Q6394">
        <v>0.1114378</v>
      </c>
      <c r="R6394">
        <v>-1.9954360000000001E-2</v>
      </c>
      <c r="S6394">
        <v>3.0390929999999998</v>
      </c>
      <c r="T6394">
        <v>-0.19352559999999999</v>
      </c>
      <c r="U6394">
        <v>-0.123535199999999</v>
      </c>
      <c r="V6394">
        <v>-8.4527409999999997E-2</v>
      </c>
      <c r="W6394">
        <v>0.1243235</v>
      </c>
      <c r="X6394">
        <v>0.98863480000000004</v>
      </c>
      <c r="Y6394">
        <v>-6.3327129999999995E-2</v>
      </c>
      <c r="Z6394">
        <v>8.6232859999999904E-3</v>
      </c>
      <c r="AA6394">
        <v>0.99795560000000005</v>
      </c>
      <c r="AB6394">
        <v>28</v>
      </c>
      <c r="AC6394">
        <v>17.345899999999901</v>
      </c>
      <c r="AD6394">
        <v>-1.1133502485290001</v>
      </c>
      <c r="AE6394">
        <v>-0.69801999999999897</v>
      </c>
      <c r="AF6394">
        <v>-1.10770992826833</v>
      </c>
      <c r="AG6394">
        <v>-1.1133502485290001</v>
      </c>
      <c r="AH6394">
        <v>17.253306104490498</v>
      </c>
      <c r="AI6394">
        <v>93.684593771777202</v>
      </c>
      <c r="AJ6394">
        <v>93.673505517063901</v>
      </c>
      <c r="AK6394">
        <v>17.3246397248639</v>
      </c>
      <c r="AL6394">
        <v>82.858309491811497</v>
      </c>
      <c r="AM6394">
        <v>94.8868543202788</v>
      </c>
      <c r="AN6394">
        <v>0.99999999173229903</v>
      </c>
    </row>
    <row r="6395" spans="1:40" x14ac:dyDescent="0.25">
      <c r="A6395" t="str">
        <f>"20190312172241332"</f>
        <v>20190312172241332</v>
      </c>
      <c r="B6395" t="str">
        <f>"1552382561327126"</f>
        <v>1552382561327126</v>
      </c>
      <c r="C6395" t="s">
        <v>40</v>
      </c>
      <c r="D6395">
        <v>3.2516159999999998</v>
      </c>
      <c r="E6395">
        <v>0.50794539999999999</v>
      </c>
      <c r="F6395" t="s">
        <v>42</v>
      </c>
      <c r="G6395">
        <v>-331.20260000000002</v>
      </c>
      <c r="H6395" s="1">
        <v>-4.2329440000000001E-6</v>
      </c>
      <c r="I6395">
        <v>16.929569999999998</v>
      </c>
      <c r="J6395">
        <v>-348.36320000000001</v>
      </c>
      <c r="K6395">
        <v>1.113245</v>
      </c>
      <c r="L6395">
        <v>17.626429999999999</v>
      </c>
      <c r="M6395">
        <v>0.9946682</v>
      </c>
      <c r="N6395">
        <v>0</v>
      </c>
      <c r="O6395">
        <v>-0.1022227</v>
      </c>
      <c r="P6395">
        <v>0.99363849999999998</v>
      </c>
      <c r="Q6395">
        <v>0.110795</v>
      </c>
      <c r="R6395">
        <v>-2.0178789999999999E-2</v>
      </c>
      <c r="S6395">
        <v>3.0388790000000001</v>
      </c>
      <c r="T6395">
        <v>-0.19551560000000001</v>
      </c>
      <c r="U6395">
        <v>-0.1246338</v>
      </c>
      <c r="V6395">
        <v>-8.2371150000000004E-2</v>
      </c>
      <c r="W6395">
        <v>0.12371269999999999</v>
      </c>
      <c r="X6395">
        <v>0.98889340000000003</v>
      </c>
      <c r="Y6395">
        <v>-6.104627E-2</v>
      </c>
      <c r="Z6395">
        <v>8.5167569999999998E-3</v>
      </c>
      <c r="AA6395">
        <v>0.99809859999999995</v>
      </c>
      <c r="AB6395">
        <v>27</v>
      </c>
      <c r="AC6395">
        <v>17.160599999999899</v>
      </c>
      <c r="AD6395">
        <v>-1.113249232944</v>
      </c>
      <c r="AE6395">
        <v>-0.69685999999999704</v>
      </c>
      <c r="AF6395">
        <v>-1.0567171159736799</v>
      </c>
      <c r="AG6395">
        <v>-1.113249232944</v>
      </c>
      <c r="AH6395">
        <v>17.070209180041999</v>
      </c>
      <c r="AI6395">
        <v>93.724203645175393</v>
      </c>
      <c r="AJ6395">
        <v>93.542327357716005</v>
      </c>
      <c r="AK6395">
        <v>17.139078632418698</v>
      </c>
      <c r="AL6395">
        <v>82.893578070879997</v>
      </c>
      <c r="AM6395">
        <v>94.761533813008896</v>
      </c>
      <c r="AN6395">
        <v>0.99999999752858604</v>
      </c>
    </row>
    <row r="6396" spans="1:40" x14ac:dyDescent="0.25">
      <c r="A6396" t="str">
        <f>"20190312172241344"</f>
        <v>20190312172241344</v>
      </c>
      <c r="B6396" t="str">
        <f>"1552382561336886"</f>
        <v>1552382561336886</v>
      </c>
      <c r="C6396" t="s">
        <v>40</v>
      </c>
      <c r="D6396">
        <v>3.2623669999999998</v>
      </c>
      <c r="E6396">
        <v>0.50791900000000001</v>
      </c>
      <c r="F6396" t="s">
        <v>42</v>
      </c>
      <c r="G6396">
        <v>-331.18610000000001</v>
      </c>
      <c r="H6396" s="1">
        <v>-4.2417950000000003E-6</v>
      </c>
      <c r="I6396">
        <v>16.91957</v>
      </c>
      <c r="J6396">
        <v>-348.22340000000003</v>
      </c>
      <c r="K6396">
        <v>1.1131470000000001</v>
      </c>
      <c r="L6396">
        <v>17.61401</v>
      </c>
      <c r="M6396">
        <v>0.99485330000000005</v>
      </c>
      <c r="N6396">
        <v>0</v>
      </c>
      <c r="O6396">
        <v>-0.1004057</v>
      </c>
      <c r="P6396">
        <v>0.99374819999999997</v>
      </c>
      <c r="Q6396">
        <v>0.1096521</v>
      </c>
      <c r="R6396">
        <v>-2.099761E-2</v>
      </c>
      <c r="S6396">
        <v>3.0386350000000002</v>
      </c>
      <c r="T6396">
        <v>-0.19693369999999999</v>
      </c>
      <c r="U6396">
        <v>-0.12503049999999999</v>
      </c>
      <c r="V6396">
        <v>-7.9721470000000003E-2</v>
      </c>
      <c r="W6396">
        <v>0.1226049</v>
      </c>
      <c r="X6396">
        <v>0.98924849999999998</v>
      </c>
      <c r="Y6396">
        <v>-5.9092609999999997E-2</v>
      </c>
      <c r="Z6396">
        <v>8.3988250000000004E-3</v>
      </c>
      <c r="AA6396">
        <v>0.99821720000000003</v>
      </c>
      <c r="AB6396">
        <v>27</v>
      </c>
      <c r="AC6396">
        <v>17.037299999999998</v>
      </c>
      <c r="AD6396">
        <v>-1.11315124179499</v>
      </c>
      <c r="AE6396">
        <v>-0.69443999999999995</v>
      </c>
      <c r="AF6396">
        <v>-1.0155427901971701</v>
      </c>
      <c r="AG6396">
        <v>-1.11315124179499</v>
      </c>
      <c r="AH6396">
        <v>16.9486888084989</v>
      </c>
      <c r="AI6396">
        <v>93.750951281407097</v>
      </c>
      <c r="AJ6396">
        <v>93.428986847741996</v>
      </c>
      <c r="AK6396">
        <v>17.0155365819938</v>
      </c>
      <c r="AL6396">
        <v>82.957537523706506</v>
      </c>
      <c r="AM6396">
        <v>94.607390294793404</v>
      </c>
      <c r="AN6396">
        <v>1.0000000345175999</v>
      </c>
    </row>
    <row r="6397" spans="1:40" x14ac:dyDescent="0.25">
      <c r="A6397" t="str">
        <f>"20190312172241355"</f>
        <v>20190312172241355</v>
      </c>
      <c r="B6397" t="str">
        <f>"1552382561346647"</f>
        <v>1552382561346647</v>
      </c>
      <c r="C6397" t="s">
        <v>40</v>
      </c>
      <c r="D6397">
        <v>3.258111</v>
      </c>
      <c r="E6397">
        <v>0.50789980000000001</v>
      </c>
      <c r="F6397" t="s">
        <v>42</v>
      </c>
      <c r="G6397">
        <v>-331.30689999999998</v>
      </c>
      <c r="H6397" s="1">
        <v>-4.1925680000000003E-6</v>
      </c>
      <c r="I6397">
        <v>16.90503</v>
      </c>
      <c r="J6397">
        <v>-348.0856</v>
      </c>
      <c r="K6397">
        <v>1.113051</v>
      </c>
      <c r="L6397">
        <v>17.601990000000001</v>
      </c>
      <c r="M6397">
        <v>0.99502619999999997</v>
      </c>
      <c r="N6397">
        <v>0</v>
      </c>
      <c r="O6397">
        <v>-9.8679710000000004E-2</v>
      </c>
      <c r="P6397">
        <v>0.99384209999999995</v>
      </c>
      <c r="Q6397">
        <v>0.10863920000000001</v>
      </c>
      <c r="R6397">
        <v>-2.1804799999999999E-2</v>
      </c>
      <c r="S6397">
        <v>3.038208</v>
      </c>
      <c r="T6397">
        <v>-0.19992090000000001</v>
      </c>
      <c r="U6397">
        <v>-0.1273193</v>
      </c>
      <c r="V6397">
        <v>-7.7173919999999993E-2</v>
      </c>
      <c r="W6397">
        <v>0.1216238</v>
      </c>
      <c r="X6397">
        <v>0.9895716</v>
      </c>
      <c r="Y6397">
        <v>-5.6603010000000002E-2</v>
      </c>
      <c r="Z6397">
        <v>8.3322910000000003E-3</v>
      </c>
      <c r="AA6397">
        <v>0.99836199999999997</v>
      </c>
      <c r="AB6397">
        <v>27</v>
      </c>
      <c r="AC6397">
        <v>16.778700000000001</v>
      </c>
      <c r="AD6397">
        <v>-1.1130551925679999</v>
      </c>
      <c r="AE6397">
        <v>-0.69696000000000002</v>
      </c>
      <c r="AF6397">
        <v>-0.95810387567501698</v>
      </c>
      <c r="AG6397">
        <v>-1.1130551925679999</v>
      </c>
      <c r="AH6397">
        <v>16.692244087318599</v>
      </c>
      <c r="AI6397">
        <v>93.808641073402796</v>
      </c>
      <c r="AJ6397">
        <v>93.285067121561298</v>
      </c>
      <c r="AK6397">
        <v>16.756726039680501</v>
      </c>
      <c r="AL6397">
        <v>83.014174439228697</v>
      </c>
      <c r="AM6397">
        <v>94.459311614935601</v>
      </c>
      <c r="AN6397">
        <v>1.00000005709058</v>
      </c>
    </row>
    <row r="6398" spans="1:40" x14ac:dyDescent="0.25">
      <c r="A6398" t="str">
        <f>"20190312172241367"</f>
        <v>20190312172241367</v>
      </c>
      <c r="B6398" t="str">
        <f>"1552382561357381"</f>
        <v>1552382561357381</v>
      </c>
      <c r="C6398" t="s">
        <v>40</v>
      </c>
      <c r="D6398">
        <v>3.2724660000000001</v>
      </c>
      <c r="E6398">
        <v>0.50787890000000002</v>
      </c>
      <c r="F6398" t="s">
        <v>42</v>
      </c>
      <c r="G6398">
        <v>-331.38240000000002</v>
      </c>
      <c r="H6398" s="1">
        <v>-4.163238E-6</v>
      </c>
      <c r="I6398">
        <v>16.88777</v>
      </c>
      <c r="J6398">
        <v>-347.95330000000001</v>
      </c>
      <c r="K6398">
        <v>1.1129579999999999</v>
      </c>
      <c r="L6398">
        <v>17.59064</v>
      </c>
      <c r="M6398">
        <v>0.99518359999999995</v>
      </c>
      <c r="N6398">
        <v>0</v>
      </c>
      <c r="O6398">
        <v>-9.7079680000000002E-2</v>
      </c>
      <c r="P6398">
        <v>0.99394269999999996</v>
      </c>
      <c r="Q6398">
        <v>0.1075057</v>
      </c>
      <c r="R6398">
        <v>-2.2817029999999999E-2</v>
      </c>
      <c r="S6398">
        <v>3.037903</v>
      </c>
      <c r="T6398">
        <v>-0.20243639999999999</v>
      </c>
      <c r="U6398">
        <v>-0.12988279999999999</v>
      </c>
      <c r="V6398">
        <v>-7.4550759999999994E-2</v>
      </c>
      <c r="W6398">
        <v>0.12052</v>
      </c>
      <c r="X6398">
        <v>0.9899076</v>
      </c>
      <c r="Y6398">
        <v>-5.4152810000000003E-2</v>
      </c>
      <c r="Z6398">
        <v>8.2500479999999994E-3</v>
      </c>
      <c r="AA6398">
        <v>0.99849860000000001</v>
      </c>
      <c r="AB6398">
        <v>27</v>
      </c>
      <c r="AC6398">
        <v>16.570899999999899</v>
      </c>
      <c r="AD6398">
        <v>-1.11296216323799</v>
      </c>
      <c r="AE6398">
        <v>-0.70286999999999999</v>
      </c>
      <c r="AF6398">
        <v>-0.90522106976210703</v>
      </c>
      <c r="AG6398">
        <v>-1.11296216323799</v>
      </c>
      <c r="AH6398">
        <v>16.4866185515315</v>
      </c>
      <c r="AI6398">
        <v>93.856215921026504</v>
      </c>
      <c r="AJ6398">
        <v>93.142750043287094</v>
      </c>
      <c r="AK6398">
        <v>16.5489184306903</v>
      </c>
      <c r="AL6398">
        <v>83.077885604440198</v>
      </c>
      <c r="AM6398">
        <v>94.306862376727594</v>
      </c>
      <c r="AN6398">
        <v>0.99999997137716801</v>
      </c>
    </row>
    <row r="6399" spans="1:40" x14ac:dyDescent="0.25">
      <c r="A6399" t="str">
        <f>"20190312172241378"</f>
        <v>20190312172241378</v>
      </c>
      <c r="B6399" t="str">
        <f>"1552382561367141"</f>
        <v>1552382561367141</v>
      </c>
      <c r="C6399" t="s">
        <v>40</v>
      </c>
      <c r="D6399">
        <v>3.2566619999999999</v>
      </c>
      <c r="E6399">
        <v>0.50785479999999905</v>
      </c>
      <c r="F6399" t="s">
        <v>42</v>
      </c>
      <c r="G6399">
        <v>-331.47859999999997</v>
      </c>
      <c r="H6399" s="1">
        <v>-4.1252330000000002E-6</v>
      </c>
      <c r="I6399">
        <v>16.86936</v>
      </c>
      <c r="J6399">
        <v>-347.80340000000001</v>
      </c>
      <c r="K6399">
        <v>1.1128610000000001</v>
      </c>
      <c r="L6399">
        <v>17.57788</v>
      </c>
      <c r="M6399">
        <v>0.99535469999999904</v>
      </c>
      <c r="N6399">
        <v>0</v>
      </c>
      <c r="O6399">
        <v>-9.5310580000000006E-2</v>
      </c>
      <c r="P6399">
        <v>0.99409150000000002</v>
      </c>
      <c r="Q6399">
        <v>0.1058693</v>
      </c>
      <c r="R6399">
        <v>-2.3951239999999999E-2</v>
      </c>
      <c r="S6399">
        <v>3.0374150000000002</v>
      </c>
      <c r="T6399">
        <v>-0.20519390000000001</v>
      </c>
      <c r="U6399">
        <v>-0.1329651</v>
      </c>
      <c r="V6399">
        <v>-7.1635939999999995E-2</v>
      </c>
      <c r="W6399">
        <v>0.1189161</v>
      </c>
      <c r="X6399">
        <v>0.99031670000000005</v>
      </c>
      <c r="Y6399">
        <v>-5.1360629999999997E-2</v>
      </c>
      <c r="Z6399">
        <v>8.1503019999999999E-3</v>
      </c>
      <c r="AA6399">
        <v>0.9986469</v>
      </c>
      <c r="AB6399">
        <v>27</v>
      </c>
      <c r="AC6399">
        <v>16.3248</v>
      </c>
      <c r="AD6399">
        <v>-1.112865125233</v>
      </c>
      <c r="AE6399">
        <v>-0.70851999999999904</v>
      </c>
      <c r="AF6399">
        <v>-0.84684805380779304</v>
      </c>
      <c r="AG6399">
        <v>-1.112865125233</v>
      </c>
      <c r="AH6399">
        <v>16.242664010380899</v>
      </c>
      <c r="AI6399">
        <v>93.914191588481501</v>
      </c>
      <c r="AJ6399">
        <v>92.984542824133499</v>
      </c>
      <c r="AK6399">
        <v>16.3027529751058</v>
      </c>
      <c r="AL6399">
        <v>83.170447931687903</v>
      </c>
      <c r="AM6399">
        <v>94.137363854608196</v>
      </c>
      <c r="AN6399">
        <v>0.99999995651889095</v>
      </c>
    </row>
    <row r="6400" spans="1:40" x14ac:dyDescent="0.25">
      <c r="A6400" t="str">
        <f>"20190312172241392"</f>
        <v>20190312172241392</v>
      </c>
      <c r="B6400" t="str">
        <f>"1552382561386662"</f>
        <v>1552382561386662</v>
      </c>
      <c r="C6400" t="s">
        <v>40</v>
      </c>
      <c r="D6400">
        <v>3.2291919999999998</v>
      </c>
      <c r="E6400">
        <v>0.50780959999999997</v>
      </c>
      <c r="F6400" t="s">
        <v>42</v>
      </c>
      <c r="G6400">
        <v>-331.69080000000002</v>
      </c>
      <c r="H6400" s="1">
        <v>-4.0369000000000003E-6</v>
      </c>
      <c r="I6400">
        <v>16.854029999999899</v>
      </c>
      <c r="J6400">
        <v>-347.64069999999998</v>
      </c>
      <c r="K6400">
        <v>1.1127579999999999</v>
      </c>
      <c r="L6400">
        <v>17.564419999999998</v>
      </c>
      <c r="M6400">
        <v>0.9955271</v>
      </c>
      <c r="N6400">
        <v>0</v>
      </c>
      <c r="O6400">
        <v>-9.3493510000000002E-2</v>
      </c>
      <c r="P6400">
        <v>0.99422719999999998</v>
      </c>
      <c r="Q6400">
        <v>0.1043673</v>
      </c>
      <c r="R6400">
        <v>-2.489891E-2</v>
      </c>
      <c r="S6400">
        <v>3.0368650000000001</v>
      </c>
      <c r="T6400">
        <v>-0.20974989999999999</v>
      </c>
      <c r="U6400">
        <v>-0.1364136</v>
      </c>
      <c r="V6400">
        <v>-6.8857929999999998E-2</v>
      </c>
      <c r="W6400">
        <v>0.11744449999999999</v>
      </c>
      <c r="X6400">
        <v>0.99068929999999999</v>
      </c>
      <c r="Y6400">
        <v>-4.8394079999999999E-2</v>
      </c>
      <c r="Z6400">
        <v>8.1050280000000002E-3</v>
      </c>
      <c r="AA6400">
        <v>0.9987954</v>
      </c>
      <c r="AB6400">
        <v>27</v>
      </c>
      <c r="AC6400">
        <v>15.9498999999999</v>
      </c>
      <c r="AD6400">
        <v>-1.1127620369</v>
      </c>
      <c r="AE6400">
        <v>-0.71039000000000296</v>
      </c>
      <c r="AF6400">
        <v>-0.78028172208113</v>
      </c>
      <c r="AG6400">
        <v>-1.1127620369</v>
      </c>
      <c r="AH6400">
        <v>15.8693596090139</v>
      </c>
      <c r="AI6400">
        <v>94.006200001649802</v>
      </c>
      <c r="AJ6400">
        <v>92.814913458970906</v>
      </c>
      <c r="AK6400">
        <v>15.927449680246401</v>
      </c>
      <c r="AL6400">
        <v>83.255359463612393</v>
      </c>
      <c r="AM6400">
        <v>93.975952892860505</v>
      </c>
      <c r="AN6400">
        <v>0.999999957119311</v>
      </c>
    </row>
    <row r="6401" spans="1:40" x14ac:dyDescent="0.25">
      <c r="A6401" t="str">
        <f>"20190312172241410"</f>
        <v>20190312172241410</v>
      </c>
      <c r="B6401" t="str">
        <f>"1552382561407158"</f>
        <v>1552382561407158</v>
      </c>
      <c r="C6401" t="s">
        <v>40</v>
      </c>
      <c r="D6401">
        <v>3.2200519999999999</v>
      </c>
      <c r="E6401">
        <v>0.50774529999999995</v>
      </c>
      <c r="F6401" t="s">
        <v>42</v>
      </c>
      <c r="G6401">
        <v>-331.80450000000002</v>
      </c>
      <c r="H6401" s="1">
        <v>-3.9906969999999999E-6</v>
      </c>
      <c r="I6401">
        <v>16.839649999999999</v>
      </c>
      <c r="J6401">
        <v>-347.43709999999999</v>
      </c>
      <c r="K6401">
        <v>1.112616</v>
      </c>
      <c r="L6401">
        <v>17.547789999999999</v>
      </c>
      <c r="M6401">
        <v>0.99573029999999996</v>
      </c>
      <c r="N6401">
        <v>0</v>
      </c>
      <c r="O6401">
        <v>-9.1306529999999997E-2</v>
      </c>
      <c r="P6401">
        <v>0.99452280000000004</v>
      </c>
      <c r="Q6401">
        <v>0.1005365</v>
      </c>
      <c r="R6401">
        <v>-2.8580669999999999E-2</v>
      </c>
      <c r="S6401">
        <v>3.0363159999999998</v>
      </c>
      <c r="T6401">
        <v>-0.2133525</v>
      </c>
      <c r="U6401">
        <v>-0.1389465</v>
      </c>
      <c r="V6401">
        <v>-6.2983860000000003E-2</v>
      </c>
      <c r="W6401">
        <v>0.1136672</v>
      </c>
      <c r="X6401">
        <v>0.99152050000000003</v>
      </c>
      <c r="Y6401">
        <v>-4.5361279999999997E-2</v>
      </c>
      <c r="Z6401">
        <v>7.9860350000000007E-3</v>
      </c>
      <c r="AA6401">
        <v>0.99893869999999896</v>
      </c>
      <c r="AB6401">
        <v>27</v>
      </c>
      <c r="AC6401">
        <v>15.632599999999901</v>
      </c>
      <c r="AD6401">
        <v>-1.112619990697</v>
      </c>
      <c r="AE6401">
        <v>-0.70813999999999999</v>
      </c>
      <c r="AF6401">
        <v>-0.71867549458176805</v>
      </c>
      <c r="AG6401">
        <v>-1.112619990697</v>
      </c>
      <c r="AH6401">
        <v>15.553326084253699</v>
      </c>
      <c r="AI6401">
        <v>94.087384270558601</v>
      </c>
      <c r="AJ6401">
        <v>92.6455951709803</v>
      </c>
      <c r="AK6401">
        <v>15.6096242745729</v>
      </c>
      <c r="AL6401">
        <v>83.473243170720394</v>
      </c>
      <c r="AM6401">
        <v>93.634687562478703</v>
      </c>
      <c r="AN6401">
        <v>1.00000005044829</v>
      </c>
    </row>
    <row r="6402" spans="1:40" x14ac:dyDescent="0.25">
      <c r="A6402" t="str">
        <f>"20190312172241433"</f>
        <v>20190312172241433</v>
      </c>
      <c r="B6402" t="str">
        <f>"1552382561426678"</f>
        <v>1552382561426678</v>
      </c>
      <c r="C6402" t="s">
        <v>40</v>
      </c>
      <c r="D6402">
        <v>3.2458450000000001</v>
      </c>
      <c r="E6402">
        <v>0.50763709999999995</v>
      </c>
      <c r="F6402" t="s">
        <v>42</v>
      </c>
      <c r="G6402">
        <v>-332.36329999999998</v>
      </c>
      <c r="H6402" s="1">
        <v>-3.7569430000000001E-6</v>
      </c>
      <c r="I6402">
        <v>16.805889999999899</v>
      </c>
      <c r="J6402">
        <v>-347.15820000000002</v>
      </c>
      <c r="K6402">
        <v>1.112452</v>
      </c>
      <c r="L6402">
        <v>17.525539999999999</v>
      </c>
      <c r="M6402">
        <v>0.99598560000000003</v>
      </c>
      <c r="N6402">
        <v>0</v>
      </c>
      <c r="O6402">
        <v>-8.8479680000000005E-2</v>
      </c>
      <c r="P6402">
        <v>0.99481839999999999</v>
      </c>
      <c r="Q6402">
        <v>9.6608559999999996E-2</v>
      </c>
      <c r="R6402">
        <v>-3.1672760000000001E-2</v>
      </c>
      <c r="S6402">
        <v>3.0348820000000001</v>
      </c>
      <c r="T6402">
        <v>-0.22400890000000001</v>
      </c>
      <c r="U6402">
        <v>-0.14935300000000001</v>
      </c>
      <c r="V6402">
        <v>-5.7047750000000001E-2</v>
      </c>
      <c r="W6402">
        <v>0.1097915</v>
      </c>
      <c r="X6402">
        <v>0.99231619999999998</v>
      </c>
      <c r="Y6402">
        <v>-3.9075690000000003E-2</v>
      </c>
      <c r="Z6402">
        <v>7.9479479999999998E-3</v>
      </c>
      <c r="AA6402">
        <v>0.9992046</v>
      </c>
      <c r="AB6402">
        <v>27</v>
      </c>
      <c r="AC6402">
        <v>14.7949</v>
      </c>
      <c r="AD6402">
        <v>-1.112455756943</v>
      </c>
      <c r="AE6402">
        <v>-0.71965000000000101</v>
      </c>
      <c r="AF6402">
        <v>-0.58901914437912095</v>
      </c>
      <c r="AG6402">
        <v>-1.112455756943</v>
      </c>
      <c r="AH6402">
        <v>14.7175299484347</v>
      </c>
      <c r="AI6402">
        <v>94.319158829726902</v>
      </c>
      <c r="AJ6402">
        <v>92.291845839200207</v>
      </c>
      <c r="AK6402">
        <v>14.7712622733019</v>
      </c>
      <c r="AL6402">
        <v>83.696703588123199</v>
      </c>
      <c r="AM6402">
        <v>93.2902833615818</v>
      </c>
      <c r="AN6402">
        <v>1.0000000300173699</v>
      </c>
    </row>
    <row r="6403" spans="1:40" x14ac:dyDescent="0.25">
      <c r="A6403" t="str">
        <f>"20190312172241444"</f>
        <v>20190312172241444</v>
      </c>
      <c r="B6403" t="str">
        <f>"1552382561437413"</f>
        <v>1552382561437413</v>
      </c>
      <c r="C6403" t="s">
        <v>40</v>
      </c>
      <c r="D6403">
        <v>3.4279299999999999</v>
      </c>
      <c r="E6403">
        <v>0.50759379999999998</v>
      </c>
      <c r="F6403" t="s">
        <v>42</v>
      </c>
      <c r="G6403">
        <v>-332.7747</v>
      </c>
      <c r="H6403" s="1">
        <v>-3.5848060000000001E-6</v>
      </c>
      <c r="I6403">
        <v>16.781400000000001</v>
      </c>
      <c r="J6403">
        <v>-347.00940000000003</v>
      </c>
      <c r="K6403">
        <v>1.1123639999999999</v>
      </c>
      <c r="L6403">
        <v>17.51389</v>
      </c>
      <c r="M6403">
        <v>0.99611289999999997</v>
      </c>
      <c r="N6403">
        <v>0</v>
      </c>
      <c r="O6403">
        <v>-8.7036970000000005E-2</v>
      </c>
      <c r="P6403">
        <v>0.99494309999999997</v>
      </c>
      <c r="Q6403">
        <v>9.4833230000000004E-2</v>
      </c>
      <c r="R6403">
        <v>-3.3094030000000003E-2</v>
      </c>
      <c r="S6403">
        <v>3.0334469999999998</v>
      </c>
      <c r="T6403">
        <v>-0.23461319999999999</v>
      </c>
      <c r="U6403">
        <v>-0.15692139999999999</v>
      </c>
      <c r="V6403">
        <v>-5.4173989999999998E-2</v>
      </c>
      <c r="W6403">
        <v>0.1080392</v>
      </c>
      <c r="X6403">
        <v>0.99266949999999998</v>
      </c>
      <c r="Y6403">
        <v>-3.5100600000000003E-2</v>
      </c>
      <c r="Z6403">
        <v>8.0620199999999996E-3</v>
      </c>
      <c r="AA6403">
        <v>0.99935130000000005</v>
      </c>
      <c r="AB6403">
        <v>27</v>
      </c>
      <c r="AC6403">
        <v>14.2347</v>
      </c>
      <c r="AD6403">
        <v>-1.112367584806</v>
      </c>
      <c r="AE6403">
        <v>-0.73248999999999798</v>
      </c>
      <c r="AF6403">
        <v>-0.50626579160150298</v>
      </c>
      <c r="AG6403">
        <v>-1.112367584806</v>
      </c>
      <c r="AH6403">
        <v>14.1581998687848</v>
      </c>
      <c r="AI6403">
        <v>94.489472983093705</v>
      </c>
      <c r="AJ6403">
        <v>92.047897331259094</v>
      </c>
      <c r="AK6403">
        <v>14.210851143402101</v>
      </c>
      <c r="AL6403">
        <v>83.797703735177507</v>
      </c>
      <c r="AM6403">
        <v>93.123763714812</v>
      </c>
      <c r="AN6403">
        <v>1.0000000130797</v>
      </c>
    </row>
    <row r="6404" spans="1:40" x14ac:dyDescent="0.25">
      <c r="A6404" t="str">
        <f>"20190312172241454"</f>
        <v>20190312172241454</v>
      </c>
      <c r="B6404" t="str">
        <f>"1552382561447174"</f>
        <v>1552382561447174</v>
      </c>
      <c r="C6404" t="s">
        <v>40</v>
      </c>
      <c r="D6404">
        <v>3.2629990000000002</v>
      </c>
      <c r="E6404">
        <v>0.50753760000000003</v>
      </c>
      <c r="F6404" t="s">
        <v>42</v>
      </c>
      <c r="G6404">
        <v>-332.91219999999998</v>
      </c>
      <c r="H6404" s="1">
        <v>-3.5282579999999999E-6</v>
      </c>
      <c r="I6404">
        <v>16.76764</v>
      </c>
      <c r="J6404">
        <v>-346.87209999999999</v>
      </c>
      <c r="K6404">
        <v>1.11229</v>
      </c>
      <c r="L6404">
        <v>17.503329999999998</v>
      </c>
      <c r="M6404">
        <v>0.99622429999999995</v>
      </c>
      <c r="N6404">
        <v>0</v>
      </c>
      <c r="O6404">
        <v>-8.5752720000000004E-2</v>
      </c>
      <c r="P6404">
        <v>0.99507009999999996</v>
      </c>
      <c r="Q6404">
        <v>9.2750460000000007E-2</v>
      </c>
      <c r="R6404">
        <v>-3.5114550000000001E-2</v>
      </c>
      <c r="S6404">
        <v>3.032715</v>
      </c>
      <c r="T6404">
        <v>-0.2393025</v>
      </c>
      <c r="U6404">
        <v>-0.16052249999999901</v>
      </c>
      <c r="V6404">
        <v>-5.0862159999999997E-2</v>
      </c>
      <c r="W6404">
        <v>0.10598009999999999</v>
      </c>
      <c r="X6404">
        <v>0.99306660000000002</v>
      </c>
      <c r="Y6404">
        <v>-3.2613139999999999E-2</v>
      </c>
      <c r="Z6404">
        <v>8.0256609999999999E-3</v>
      </c>
      <c r="AA6404">
        <v>0.99943579999999999</v>
      </c>
      <c r="AB6404">
        <v>27</v>
      </c>
      <c r="AC6404">
        <v>13.959899999999999</v>
      </c>
      <c r="AD6404">
        <v>-1.112293528258</v>
      </c>
      <c r="AE6404">
        <v>-0.73568999999999796</v>
      </c>
      <c r="AF6404">
        <v>-0.46130923121058298</v>
      </c>
      <c r="AG6404">
        <v>-1.112293528258</v>
      </c>
      <c r="AH6404">
        <v>13.8836648237376</v>
      </c>
      <c r="AI6404">
        <v>94.577967936613604</v>
      </c>
      <c r="AJ6404">
        <v>91.903053119009996</v>
      </c>
      <c r="AK6404">
        <v>13.9357867391006</v>
      </c>
      <c r="AL6404">
        <v>83.916362797400794</v>
      </c>
      <c r="AM6404">
        <v>92.931971465329596</v>
      </c>
      <c r="AN6404">
        <v>1.00000000647571</v>
      </c>
    </row>
    <row r="6405" spans="1:40" x14ac:dyDescent="0.25">
      <c r="A6405" t="str">
        <f>"20190312172241466"</f>
        <v>20190312172241466</v>
      </c>
      <c r="B6405" t="str">
        <f>"1552382561456934"</f>
        <v>1552382561456934</v>
      </c>
      <c r="C6405" t="s">
        <v>40</v>
      </c>
      <c r="D6405">
        <v>3.2322410000000001</v>
      </c>
      <c r="E6405">
        <v>0.50747330000000002</v>
      </c>
      <c r="F6405" t="s">
        <v>42</v>
      </c>
      <c r="G6405">
        <v>-333.1035</v>
      </c>
      <c r="H6405" s="1">
        <v>-3.4493149999999999E-6</v>
      </c>
      <c r="I6405">
        <v>16.749870000000001</v>
      </c>
      <c r="J6405">
        <v>-346.74689999999998</v>
      </c>
      <c r="K6405">
        <v>1.1122190000000001</v>
      </c>
      <c r="L6405">
        <v>17.493770000000001</v>
      </c>
      <c r="M6405">
        <v>0.99632140000000002</v>
      </c>
      <c r="N6405">
        <v>0</v>
      </c>
      <c r="O6405">
        <v>-8.4617520000000002E-2</v>
      </c>
      <c r="P6405">
        <v>0.99517920000000004</v>
      </c>
      <c r="Q6405">
        <v>9.0702649999999996E-2</v>
      </c>
      <c r="R6405">
        <v>-3.730377E-2</v>
      </c>
      <c r="S6405">
        <v>3.0318299999999998</v>
      </c>
      <c r="T6405">
        <v>-0.24492620000000001</v>
      </c>
      <c r="U6405">
        <v>-0.1658936</v>
      </c>
      <c r="V6405">
        <v>-4.7531810000000001E-2</v>
      </c>
      <c r="W6405">
        <v>0.1039553</v>
      </c>
      <c r="X6405">
        <v>0.99344549999999998</v>
      </c>
      <c r="Y6405">
        <v>-2.9688920000000001E-2</v>
      </c>
      <c r="Z6405">
        <v>8.0065520000000001E-3</v>
      </c>
      <c r="AA6405">
        <v>0.9995271</v>
      </c>
      <c r="AB6405">
        <v>27</v>
      </c>
      <c r="AC6405">
        <v>13.6433999999999</v>
      </c>
      <c r="AD6405">
        <v>-1.1122224493149999</v>
      </c>
      <c r="AE6405">
        <v>-0.74390000000000001</v>
      </c>
      <c r="AF6405">
        <v>-0.41062433712122998</v>
      </c>
      <c r="AG6405">
        <v>-1.1122224493149999</v>
      </c>
      <c r="AH6405">
        <v>13.567513962662</v>
      </c>
      <c r="AI6405">
        <v>94.684314612180003</v>
      </c>
      <c r="AJ6405">
        <v>91.733542490734195</v>
      </c>
      <c r="AK6405">
        <v>13.6192175344263</v>
      </c>
      <c r="AL6405">
        <v>84.033019545839196</v>
      </c>
      <c r="AM6405">
        <v>92.739251278236594</v>
      </c>
      <c r="AN6405">
        <v>0.99999996941510705</v>
      </c>
    </row>
    <row r="6406" spans="1:40" x14ac:dyDescent="0.25">
      <c r="A6406" t="str">
        <f>"20190312172241476"</f>
        <v>20190312172241476</v>
      </c>
      <c r="B6406" t="str">
        <f>"1552382561466695"</f>
        <v>1552382561466695</v>
      </c>
      <c r="C6406" t="s">
        <v>40</v>
      </c>
      <c r="D6406">
        <v>3.2142279999999999</v>
      </c>
      <c r="E6406">
        <v>0.50741519999999996</v>
      </c>
      <c r="F6406" t="s">
        <v>42</v>
      </c>
      <c r="G6406">
        <v>-333.27809999999999</v>
      </c>
      <c r="H6406" s="1">
        <v>-3.378021E-6</v>
      </c>
      <c r="I6406">
        <v>16.72963</v>
      </c>
      <c r="J6406">
        <v>-346.61009999999999</v>
      </c>
      <c r="K6406">
        <v>1.1121490000000001</v>
      </c>
      <c r="L6406">
        <v>17.48349</v>
      </c>
      <c r="M6406">
        <v>0.99642359999999996</v>
      </c>
      <c r="N6406">
        <v>0</v>
      </c>
      <c r="O6406">
        <v>-8.3405599999999996E-2</v>
      </c>
      <c r="P6406">
        <v>0.99528439999999996</v>
      </c>
      <c r="Q6406">
        <v>8.8618769999999999E-2</v>
      </c>
      <c r="R6406">
        <v>-3.944367E-2</v>
      </c>
      <c r="S6406">
        <v>3.0308839999999999</v>
      </c>
      <c r="T6406">
        <v>-0.25028220000000001</v>
      </c>
      <c r="U6406">
        <v>-0.17193599999999901</v>
      </c>
      <c r="V6406">
        <v>-4.4173400000000002E-2</v>
      </c>
      <c r="W6406">
        <v>0.101893</v>
      </c>
      <c r="X6406">
        <v>0.99381410000000003</v>
      </c>
      <c r="Y6406">
        <v>-2.6467899999999999E-2</v>
      </c>
      <c r="Z6406">
        <v>7.9508819999999994E-3</v>
      </c>
      <c r="AA6406">
        <v>0.99961809999999995</v>
      </c>
      <c r="AB6406">
        <v>27</v>
      </c>
      <c r="AC6406">
        <v>13.331999999999899</v>
      </c>
      <c r="AD6406">
        <v>-1.1121523780210001</v>
      </c>
      <c r="AE6406">
        <v>-0.75385999999999898</v>
      </c>
      <c r="AF6406">
        <v>-0.35834693707818099</v>
      </c>
      <c r="AG6406">
        <v>-1.1121523780210001</v>
      </c>
      <c r="AH6406">
        <v>13.2564646158778</v>
      </c>
      <c r="AI6406">
        <v>94.793861878473905</v>
      </c>
      <c r="AJ6406">
        <v>91.548434584951593</v>
      </c>
      <c r="AK6406">
        <v>13.307860442282699</v>
      </c>
      <c r="AL6406">
        <v>84.151811534836398</v>
      </c>
      <c r="AM6406">
        <v>92.545027885870596</v>
      </c>
      <c r="AN6406">
        <v>0.99999996903768396</v>
      </c>
    </row>
    <row r="6407" spans="1:40" x14ac:dyDescent="0.25">
      <c r="A6407" t="str">
        <f>"20190312172241488"</f>
        <v>20190312172241488</v>
      </c>
      <c r="B6407" t="str">
        <f>"1552382561476455"</f>
        <v>1552382561476455</v>
      </c>
      <c r="C6407" t="s">
        <v>40</v>
      </c>
      <c r="D6407">
        <v>3.2410060000000001</v>
      </c>
      <c r="E6407">
        <v>0.5073455</v>
      </c>
      <c r="F6407" t="s">
        <v>42</v>
      </c>
      <c r="G6407">
        <v>-333.43900000000002</v>
      </c>
      <c r="H6407" s="1">
        <v>-3.312436E-6</v>
      </c>
      <c r="I6407">
        <v>16.710270000000001</v>
      </c>
      <c r="J6407">
        <v>-346.48239999999998</v>
      </c>
      <c r="K6407">
        <v>1.1120840000000001</v>
      </c>
      <c r="L6407">
        <v>17.474</v>
      </c>
      <c r="M6407">
        <v>0.99651380000000001</v>
      </c>
      <c r="N6407">
        <v>0</v>
      </c>
      <c r="O6407">
        <v>-8.2322259999999994E-2</v>
      </c>
      <c r="P6407">
        <v>0.99537739999999997</v>
      </c>
      <c r="Q6407">
        <v>8.6412439999999993E-2</v>
      </c>
      <c r="R6407">
        <v>-4.1916429999999998E-2</v>
      </c>
      <c r="S6407">
        <v>3.029938</v>
      </c>
      <c r="T6407">
        <v>-0.25584380000000001</v>
      </c>
      <c r="U6407">
        <v>-0.1778564</v>
      </c>
      <c r="V6407">
        <v>-4.0610470000000003E-2</v>
      </c>
      <c r="W6407">
        <v>9.9707900000000002E-2</v>
      </c>
      <c r="X6407">
        <v>0.99418770000000001</v>
      </c>
      <c r="Y6407">
        <v>-2.341437E-2</v>
      </c>
      <c r="Z6407">
        <v>7.9093930000000007E-3</v>
      </c>
      <c r="AA6407">
        <v>0.99969459999999999</v>
      </c>
      <c r="AB6407">
        <v>27</v>
      </c>
      <c r="AC6407">
        <v>13.043399999999901</v>
      </c>
      <c r="AD6407">
        <v>-1.112087312436</v>
      </c>
      <c r="AE6407">
        <v>-0.76372999999999802</v>
      </c>
      <c r="AF6407">
        <v>-0.31047410626420502</v>
      </c>
      <c r="AG6407">
        <v>-1.112087312436</v>
      </c>
      <c r="AH6407">
        <v>12.968049890086601</v>
      </c>
      <c r="AI6407">
        <v>94.900064369584001</v>
      </c>
      <c r="AJ6407">
        <v>91.371482870286698</v>
      </c>
      <c r="AK6407">
        <v>13.019349074086501</v>
      </c>
      <c r="AL6407">
        <v>84.277649853129006</v>
      </c>
      <c r="AM6407">
        <v>92.339111313552607</v>
      </c>
      <c r="AN6407">
        <v>1.0000000292136599</v>
      </c>
    </row>
    <row r="6408" spans="1:40" x14ac:dyDescent="0.25">
      <c r="A6408" t="str">
        <f>"20190312172241497"</f>
        <v>20190312172241497</v>
      </c>
      <c r="B6408" t="str">
        <f>"1552382561487190"</f>
        <v>1552382561487190</v>
      </c>
      <c r="C6408" t="s">
        <v>40</v>
      </c>
      <c r="D6408">
        <v>3.2379600000000002</v>
      </c>
      <c r="E6408">
        <v>0.50727949999999999</v>
      </c>
      <c r="F6408" t="s">
        <v>42</v>
      </c>
      <c r="G6408">
        <v>-333.61320000000001</v>
      </c>
      <c r="H6408" s="1">
        <v>-3.241515E-6</v>
      </c>
      <c r="I6408">
        <v>16.688790000000001</v>
      </c>
      <c r="J6408">
        <v>-346.3501</v>
      </c>
      <c r="K6408">
        <v>1.1120129999999999</v>
      </c>
      <c r="L6408">
        <v>17.464259999999999</v>
      </c>
      <c r="M6408">
        <v>0.99660439999999995</v>
      </c>
      <c r="N6408">
        <v>0</v>
      </c>
      <c r="O6408">
        <v>-8.121892E-2</v>
      </c>
      <c r="P6408">
        <v>0.99544840000000001</v>
      </c>
      <c r="Q6408">
        <v>8.4197789999999995E-2</v>
      </c>
      <c r="R6408">
        <v>-4.4648170000000001E-2</v>
      </c>
      <c r="S6408">
        <v>3.0288390000000001</v>
      </c>
      <c r="T6408">
        <v>-0.26173560000000001</v>
      </c>
      <c r="U6408">
        <v>-0.1847839</v>
      </c>
      <c r="V6408">
        <v>-3.6767840000000003E-2</v>
      </c>
      <c r="W6408">
        <v>9.7515180000000007E-2</v>
      </c>
      <c r="X6408">
        <v>0.99455459999999996</v>
      </c>
      <c r="Y6408">
        <v>-2.0006960000000001E-2</v>
      </c>
      <c r="Z6408">
        <v>7.8515269999999901E-3</v>
      </c>
      <c r="AA6408">
        <v>0.99976900000000002</v>
      </c>
      <c r="AB6408">
        <v>27</v>
      </c>
      <c r="AC6408">
        <v>12.736899999999901</v>
      </c>
      <c r="AD6408">
        <v>-1.1120162415149999</v>
      </c>
      <c r="AE6408">
        <v>-0.77546999999999799</v>
      </c>
      <c r="AF6408">
        <v>-0.259692230595017</v>
      </c>
      <c r="AG6408">
        <v>-1.1120162415149999</v>
      </c>
      <c r="AH6408">
        <v>12.6616454435056</v>
      </c>
      <c r="AI6408">
        <v>95.018106214795097</v>
      </c>
      <c r="AJ6408">
        <v>91.174980216943098</v>
      </c>
      <c r="AK6408">
        <v>12.7130360462428</v>
      </c>
      <c r="AL6408">
        <v>84.403898472660302</v>
      </c>
      <c r="AM6408">
        <v>92.117212178580203</v>
      </c>
      <c r="AN6408">
        <v>0.999999968384928</v>
      </c>
    </row>
    <row r="6409" spans="1:40" x14ac:dyDescent="0.25">
      <c r="A6409" t="str">
        <f>"20190312172241510"</f>
        <v>20190312172241510</v>
      </c>
      <c r="B6409" t="str">
        <f>"1552382561506710"</f>
        <v>1552382561506710</v>
      </c>
      <c r="C6409" t="s">
        <v>40</v>
      </c>
      <c r="D6409">
        <v>3.2509480000000002</v>
      </c>
      <c r="E6409">
        <v>0.50711899999999999</v>
      </c>
      <c r="F6409" t="s">
        <v>42</v>
      </c>
      <c r="G6409">
        <v>-333.76670000000001</v>
      </c>
      <c r="H6409" s="1">
        <v>-3.1801179999999999E-6</v>
      </c>
      <c r="I6409">
        <v>16.663729999999902</v>
      </c>
      <c r="J6409">
        <v>-346.21069999999997</v>
      </c>
      <c r="K6409">
        <v>1.111942</v>
      </c>
      <c r="L6409">
        <v>17.454160000000002</v>
      </c>
      <c r="M6409">
        <v>0.99669339999999995</v>
      </c>
      <c r="N6409">
        <v>0</v>
      </c>
      <c r="O6409">
        <v>-8.0120640000000007E-2</v>
      </c>
      <c r="P6409">
        <v>0.9954887</v>
      </c>
      <c r="Q6409">
        <v>8.200884E-2</v>
      </c>
      <c r="R6409">
        <v>-4.7716250000000002E-2</v>
      </c>
      <c r="S6409">
        <v>3.0277099999999999</v>
      </c>
      <c r="T6409">
        <v>-0.26756279999999999</v>
      </c>
      <c r="U6409">
        <v>-0.1925964</v>
      </c>
      <c r="V6409">
        <v>-3.2591599999999998E-2</v>
      </c>
      <c r="W6409">
        <v>9.5348080000000002E-2</v>
      </c>
      <c r="X6409">
        <v>0.99491030000000003</v>
      </c>
      <c r="Y6409">
        <v>-1.6314169999999999E-2</v>
      </c>
      <c r="Z6409">
        <v>7.7687059999999898E-3</v>
      </c>
      <c r="AA6409">
        <v>0.99983670000000002</v>
      </c>
      <c r="AB6409">
        <v>27</v>
      </c>
      <c r="AC6409">
        <v>12.4439999999999</v>
      </c>
      <c r="AD6409">
        <v>-1.111945180118</v>
      </c>
      <c r="AE6409">
        <v>-0.79043000000000396</v>
      </c>
      <c r="AF6409">
        <v>-0.207573314215588</v>
      </c>
      <c r="AG6409">
        <v>-1.111945180118</v>
      </c>
      <c r="AH6409">
        <v>12.3689600454298</v>
      </c>
      <c r="AI6409">
        <v>95.136249839544703</v>
      </c>
      <c r="AJ6409">
        <v>90.961435602718296</v>
      </c>
      <c r="AK6409">
        <v>12.4205749210654</v>
      </c>
      <c r="AL6409">
        <v>84.528645657186203</v>
      </c>
      <c r="AM6409">
        <v>91.876243111718296</v>
      </c>
      <c r="AN6409">
        <v>0.99999998689816805</v>
      </c>
    </row>
    <row r="6410" spans="1:40" x14ac:dyDescent="0.25">
      <c r="A6410" t="str">
        <f>"20190312172241521"</f>
        <v>20190312172241521</v>
      </c>
      <c r="B6410" t="str">
        <f>"1552382561516470"</f>
        <v>1552382561516470</v>
      </c>
      <c r="C6410" t="s">
        <v>40</v>
      </c>
      <c r="D6410">
        <v>3.3208690000000001</v>
      </c>
      <c r="E6410">
        <v>0.50702139999999996</v>
      </c>
      <c r="F6410" t="s">
        <v>41</v>
      </c>
      <c r="G6410">
        <v>-345.36160000000001</v>
      </c>
      <c r="H6410">
        <v>1.035569</v>
      </c>
      <c r="I6410">
        <v>17.397749999999998</v>
      </c>
      <c r="J6410">
        <v>-346.07470000000001</v>
      </c>
      <c r="K6410">
        <v>1.111872</v>
      </c>
      <c r="L6410">
        <v>17.44434</v>
      </c>
      <c r="M6410">
        <v>0.99677760000000004</v>
      </c>
      <c r="N6410">
        <v>0</v>
      </c>
      <c r="O6410">
        <v>-7.9066230000000001E-2</v>
      </c>
      <c r="P6410">
        <v>0.9955079</v>
      </c>
      <c r="Q6410">
        <v>7.9977110000000004E-2</v>
      </c>
      <c r="R6410">
        <v>-5.0673169999999997E-2</v>
      </c>
      <c r="S6410">
        <v>3.0264280000000001</v>
      </c>
      <c r="T6410">
        <v>-0.27232190000000001</v>
      </c>
      <c r="U6410">
        <v>-0.2005615</v>
      </c>
      <c r="V6410">
        <v>-2.8569549999999999E-2</v>
      </c>
      <c r="W6410">
        <v>9.3335779999999993E-2</v>
      </c>
      <c r="X6410">
        <v>0.99522469999999996</v>
      </c>
      <c r="Y6410">
        <v>-1.261462E-2</v>
      </c>
      <c r="Z6410">
        <v>7.6486369999999998E-3</v>
      </c>
      <c r="AA6410">
        <v>0.99989119999999998</v>
      </c>
      <c r="AB6410">
        <v>27</v>
      </c>
      <c r="AC6410">
        <v>0.71309999999999696</v>
      </c>
      <c r="AD6410">
        <v>-7.6302999999999996E-2</v>
      </c>
      <c r="AE6410">
        <v>-4.6590000000001901E-2</v>
      </c>
      <c r="AF6410">
        <v>-9.8310882743620799E-3</v>
      </c>
      <c r="AG6410">
        <v>-7.6302999999999996E-2</v>
      </c>
      <c r="AH6410">
        <v>0.70649659439349999</v>
      </c>
      <c r="AI6410">
        <v>96.163569972910807</v>
      </c>
      <c r="AJ6410">
        <v>90.797234576930407</v>
      </c>
      <c r="AK6410">
        <v>0.71067308658431105</v>
      </c>
      <c r="AL6410">
        <v>84.644458563162701</v>
      </c>
      <c r="AM6410">
        <v>91.644317323797196</v>
      </c>
      <c r="AN6410">
        <v>0.99999999525274996</v>
      </c>
    </row>
    <row r="6411" spans="1:40" x14ac:dyDescent="0.25">
      <c r="A6411" t="str">
        <f>"20190312172241531"</f>
        <v>20190312172241531</v>
      </c>
      <c r="B6411" t="str">
        <f>"1552382561527208"</f>
        <v>1552382561527208</v>
      </c>
      <c r="C6411" t="s">
        <v>40</v>
      </c>
      <c r="D6411">
        <v>3.2248130000000002</v>
      </c>
      <c r="E6411">
        <v>0.50693100000000002</v>
      </c>
      <c r="F6411" t="s">
        <v>41</v>
      </c>
      <c r="G6411">
        <v>-345.12790000000001</v>
      </c>
      <c r="H6411">
        <v>1.025064</v>
      </c>
      <c r="I6411">
        <v>17.37903</v>
      </c>
      <c r="J6411">
        <v>-345.95100000000002</v>
      </c>
      <c r="K6411">
        <v>1.111804</v>
      </c>
      <c r="L6411">
        <v>17.435579999999899</v>
      </c>
      <c r="M6411">
        <v>0.99684859999999997</v>
      </c>
      <c r="N6411">
        <v>0</v>
      </c>
      <c r="O6411">
        <v>-7.8166399999999997E-2</v>
      </c>
      <c r="P6411">
        <v>0.99550629999999996</v>
      </c>
      <c r="Q6411">
        <v>7.8109040000000005E-2</v>
      </c>
      <c r="R6411">
        <v>-5.3537340000000003E-2</v>
      </c>
      <c r="S6411">
        <v>3.0251769999999998</v>
      </c>
      <c r="T6411">
        <v>-0.27741749999999998</v>
      </c>
      <c r="U6411">
        <v>-0.2088013</v>
      </c>
      <c r="V6411">
        <v>-2.479423E-2</v>
      </c>
      <c r="W6411">
        <v>9.1484549999999998E-2</v>
      </c>
      <c r="X6411">
        <v>0.99549779999999999</v>
      </c>
      <c r="Y6411">
        <v>-8.9784099999999992E-3</v>
      </c>
      <c r="Z6411">
        <v>7.5453309999999997E-3</v>
      </c>
      <c r="AA6411">
        <v>0.99993120000000002</v>
      </c>
      <c r="AB6411">
        <v>27</v>
      </c>
      <c r="AC6411">
        <v>0.82309999999995398</v>
      </c>
      <c r="AD6411">
        <v>-8.6739999999999998E-2</v>
      </c>
      <c r="AE6411">
        <v>-5.6549999999997803E-2</v>
      </c>
      <c r="AF6411">
        <v>-7.8805981978577206E-3</v>
      </c>
      <c r="AG6411">
        <v>-8.6739999999999998E-2</v>
      </c>
      <c r="AH6411">
        <v>0.81598260652015597</v>
      </c>
      <c r="AI6411">
        <v>96.067547217193507</v>
      </c>
      <c r="AJ6411">
        <v>90.553334073016998</v>
      </c>
      <c r="AK6411">
        <v>0.82061778287542897</v>
      </c>
      <c r="AL6411">
        <v>84.750982203981707</v>
      </c>
      <c r="AM6411">
        <v>91.4267345423536</v>
      </c>
      <c r="AN6411">
        <v>1.00000002326741</v>
      </c>
    </row>
    <row r="6412" spans="1:40" x14ac:dyDescent="0.25">
      <c r="A6412" t="str">
        <f>"20190312172241542"</f>
        <v>20190312172241542</v>
      </c>
      <c r="B6412" t="str">
        <f>"1552382561536966"</f>
        <v>1552382561536966</v>
      </c>
      <c r="C6412" t="s">
        <v>40</v>
      </c>
      <c r="D6412">
        <v>3.2352259999999999</v>
      </c>
      <c r="E6412">
        <v>0.50683919999999905</v>
      </c>
      <c r="F6412" t="s">
        <v>41</v>
      </c>
      <c r="G6412">
        <v>-345.12169999999998</v>
      </c>
      <c r="H6412">
        <v>1.0344819999999999</v>
      </c>
      <c r="I6412">
        <v>17.376159999999999</v>
      </c>
      <c r="J6412">
        <v>-345.81509999999997</v>
      </c>
      <c r="K6412">
        <v>1.111734</v>
      </c>
      <c r="L6412">
        <v>17.42596</v>
      </c>
      <c r="M6412">
        <v>0.99692460000000005</v>
      </c>
      <c r="N6412">
        <v>0</v>
      </c>
      <c r="O6412">
        <v>-7.7192490000000002E-2</v>
      </c>
      <c r="P6412">
        <v>0.99549290000000001</v>
      </c>
      <c r="Q6412">
        <v>7.6057719999999995E-2</v>
      </c>
      <c r="R6412">
        <v>-5.6650779999999998E-2</v>
      </c>
      <c r="S6412">
        <v>3.023987</v>
      </c>
      <c r="T6412">
        <v>-0.28195979999999998</v>
      </c>
      <c r="U6412">
        <v>-0.2167664</v>
      </c>
      <c r="V6412">
        <v>-2.0693699999999999E-2</v>
      </c>
      <c r="W6412">
        <v>8.9451100000000006E-2</v>
      </c>
      <c r="X6412">
        <v>0.9957762</v>
      </c>
      <c r="Y6412">
        <v>-5.3611939999999997E-3</v>
      </c>
      <c r="Z6412">
        <v>7.4122210000000001E-3</v>
      </c>
      <c r="AA6412">
        <v>0.99995820000000002</v>
      </c>
      <c r="AB6412">
        <v>27</v>
      </c>
      <c r="AC6412">
        <v>0.69339999999999602</v>
      </c>
      <c r="AD6412">
        <v>-7.7252000000000098E-2</v>
      </c>
      <c r="AE6412">
        <v>-4.9799999999997603E-2</v>
      </c>
      <c r="AF6412">
        <v>-3.8314685164733998E-3</v>
      </c>
      <c r="AG6412">
        <v>-7.7252000000000098E-2</v>
      </c>
      <c r="AH6412">
        <v>0.68669547582074597</v>
      </c>
      <c r="AI6412">
        <v>96.4185854006288</v>
      </c>
      <c r="AJ6412">
        <v>90.319682748793795</v>
      </c>
      <c r="AK6412">
        <v>0.69103779069431004</v>
      </c>
      <c r="AL6412">
        <v>84.867969848178006</v>
      </c>
      <c r="AM6412">
        <v>91.190519549382302</v>
      </c>
      <c r="AN6412">
        <v>0.999999984498669</v>
      </c>
    </row>
    <row r="6413" spans="1:40" x14ac:dyDescent="0.25">
      <c r="A6413" t="str">
        <f>"20190312172241553"</f>
        <v>20190312172241553</v>
      </c>
      <c r="B6413" t="str">
        <f>"1552382561546726"</f>
        <v>1552382561546726</v>
      </c>
      <c r="C6413" t="s">
        <v>40</v>
      </c>
      <c r="D6413">
        <v>3.2068140000000001</v>
      </c>
      <c r="E6413">
        <v>0.50674410000000003</v>
      </c>
      <c r="F6413" t="s">
        <v>41</v>
      </c>
      <c r="G6413">
        <v>-344.88709999999998</v>
      </c>
      <c r="H6413">
        <v>1.0236289999999999</v>
      </c>
      <c r="I6413">
        <v>17.35651</v>
      </c>
      <c r="J6413">
        <v>-345.67489999999998</v>
      </c>
      <c r="K6413">
        <v>1.1116600000000001</v>
      </c>
      <c r="L6413">
        <v>17.416170000000001</v>
      </c>
      <c r="M6413">
        <v>0.9969981</v>
      </c>
      <c r="N6413">
        <v>0</v>
      </c>
      <c r="O6413">
        <v>-7.6241139999999999E-2</v>
      </c>
      <c r="P6413">
        <v>0.99549759999999998</v>
      </c>
      <c r="Q6413">
        <v>7.3903250000000004E-2</v>
      </c>
      <c r="R6413">
        <v>-5.9355119999999997E-2</v>
      </c>
      <c r="S6413">
        <v>3.0226139999999999</v>
      </c>
      <c r="T6413">
        <v>-0.28707559999999999</v>
      </c>
      <c r="U6413">
        <v>-0.2255249</v>
      </c>
      <c r="V6413">
        <v>-1.7024999999999998E-2</v>
      </c>
      <c r="W6413">
        <v>8.7310869999999999E-2</v>
      </c>
      <c r="X6413">
        <v>0.99603560000000002</v>
      </c>
      <c r="Y6413">
        <v>-1.5006500000000001E-3</v>
      </c>
      <c r="Z6413">
        <v>7.276144E-3</v>
      </c>
      <c r="AA6413">
        <v>0.99997239999999998</v>
      </c>
      <c r="AB6413">
        <v>27</v>
      </c>
      <c r="AC6413">
        <v>0.78780000000000405</v>
      </c>
      <c r="AD6413">
        <v>-8.8030999999999901E-2</v>
      </c>
      <c r="AE6413">
        <v>-5.96600000000009E-2</v>
      </c>
      <c r="AF6413">
        <v>-5.7478037859368103E-4</v>
      </c>
      <c r="AG6413">
        <v>-8.8030999999999901E-2</v>
      </c>
      <c r="AH6413">
        <v>0.78036711932580505</v>
      </c>
      <c r="AI6413">
        <v>96.436163533520102</v>
      </c>
      <c r="AJ6413">
        <v>90.042201270491006</v>
      </c>
      <c r="AK6413">
        <v>0.78531689671007299</v>
      </c>
      <c r="AL6413">
        <v>84.991077738395404</v>
      </c>
      <c r="AM6413">
        <v>90.979247795134697</v>
      </c>
      <c r="AN6413">
        <v>0.99999997755625802</v>
      </c>
    </row>
    <row r="6414" spans="1:40" x14ac:dyDescent="0.25">
      <c r="A6414" t="str">
        <f>"20190312172241565"</f>
        <v>20190312172241565</v>
      </c>
      <c r="B6414" t="str">
        <f>"1552382561556486"</f>
        <v>1552382561556486</v>
      </c>
      <c r="C6414" t="s">
        <v>40</v>
      </c>
      <c r="D6414">
        <v>3.2023670000000002</v>
      </c>
      <c r="E6414">
        <v>0.5066349</v>
      </c>
      <c r="F6414" t="s">
        <v>41</v>
      </c>
      <c r="G6414">
        <v>-344.88069999999999</v>
      </c>
      <c r="H6414">
        <v>1.03478799999999</v>
      </c>
      <c r="I6414">
        <v>17.354659999999999</v>
      </c>
      <c r="J6414">
        <v>-345.5421</v>
      </c>
      <c r="K6414">
        <v>1.1115969999999999</v>
      </c>
      <c r="L6414">
        <v>17.406979999999901</v>
      </c>
      <c r="M6414">
        <v>0.99706410000000001</v>
      </c>
      <c r="N6414">
        <v>0</v>
      </c>
      <c r="O6414">
        <v>-7.5372259999999996E-2</v>
      </c>
      <c r="P6414">
        <v>0.99550959999999999</v>
      </c>
      <c r="Q6414">
        <v>7.1360519999999997E-2</v>
      </c>
      <c r="R6414">
        <v>-6.2197759999999998E-2</v>
      </c>
      <c r="S6414">
        <v>3.0214539999999999</v>
      </c>
      <c r="T6414">
        <v>-0.2925547</v>
      </c>
      <c r="U6414">
        <v>-0.2331848</v>
      </c>
      <c r="V6414">
        <v>-1.3300899999999999E-2</v>
      </c>
      <c r="W6414">
        <v>8.4781620000000002E-2</v>
      </c>
      <c r="X6414">
        <v>0.99631080000000005</v>
      </c>
      <c r="Y6414">
        <v>1.913545E-3</v>
      </c>
      <c r="Z6414">
        <v>7.1681430000000001E-3</v>
      </c>
      <c r="AA6414">
        <v>0.99997250000000004</v>
      </c>
      <c r="AB6414">
        <v>27</v>
      </c>
      <c r="AC6414">
        <v>0.66140000000001398</v>
      </c>
      <c r="AD6414">
        <v>-7.6809000000000099E-2</v>
      </c>
      <c r="AE6414">
        <v>-5.2319999999998097E-2</v>
      </c>
      <c r="AF6414">
        <v>2.2847702002358602E-3</v>
      </c>
      <c r="AG6414">
        <v>-7.6809000000000099E-2</v>
      </c>
      <c r="AH6414">
        <v>0.65468764899741805</v>
      </c>
      <c r="AI6414">
        <v>96.691402676684802</v>
      </c>
      <c r="AJ6414">
        <v>89.800046390996798</v>
      </c>
      <c r="AK6414">
        <v>0.65918188719475201</v>
      </c>
      <c r="AL6414">
        <v>85.1365328274684</v>
      </c>
      <c r="AM6414">
        <v>90.764861892442795</v>
      </c>
      <c r="AN6414">
        <v>1.0000000236136299</v>
      </c>
    </row>
    <row r="6415" spans="1:40" x14ac:dyDescent="0.25">
      <c r="A6415" t="str">
        <f>"20190312172241576"</f>
        <v>20190312172241576</v>
      </c>
      <c r="B6415" t="str">
        <f>"1552382561567222"</f>
        <v>1552382561567222</v>
      </c>
      <c r="C6415" t="s">
        <v>40</v>
      </c>
      <c r="D6415">
        <v>3.2120899999999999</v>
      </c>
      <c r="E6415">
        <v>0.50651889999999999</v>
      </c>
      <c r="F6415" t="s">
        <v>41</v>
      </c>
      <c r="G6415">
        <v>-344.64600000000002</v>
      </c>
      <c r="H6415">
        <v>1.0228759999999999</v>
      </c>
      <c r="I6415">
        <v>17.335079999999898</v>
      </c>
      <c r="J6415">
        <v>-345.4092</v>
      </c>
      <c r="K6415">
        <v>1.111526</v>
      </c>
      <c r="L6415">
        <v>17.397860000000001</v>
      </c>
      <c r="M6415">
        <v>0.99712679999999998</v>
      </c>
      <c r="N6415">
        <v>0</v>
      </c>
      <c r="O6415">
        <v>-7.4539499999999995E-2</v>
      </c>
      <c r="P6415">
        <v>0.99551270000000003</v>
      </c>
      <c r="Q6415">
        <v>6.8740930000000006E-2</v>
      </c>
      <c r="R6415">
        <v>-6.5035430000000005E-2</v>
      </c>
      <c r="S6415">
        <v>3.0198969999999998</v>
      </c>
      <c r="T6415">
        <v>-0.29911120000000002</v>
      </c>
      <c r="U6415">
        <v>-0.2413025</v>
      </c>
      <c r="V6415">
        <v>-9.6172700000000007E-3</v>
      </c>
      <c r="W6415">
        <v>8.2174360000000002E-2</v>
      </c>
      <c r="X6415">
        <v>0.99657150000000005</v>
      </c>
      <c r="Y6415">
        <v>5.4542019999999896E-3</v>
      </c>
      <c r="Z6415">
        <v>7.0743119999999897E-3</v>
      </c>
      <c r="AA6415">
        <v>0.99996010000000002</v>
      </c>
      <c r="AB6415">
        <v>27</v>
      </c>
      <c r="AC6415">
        <v>0.76320000000003996</v>
      </c>
      <c r="AD6415">
        <v>-8.8649999999999896E-2</v>
      </c>
      <c r="AE6415">
        <v>-6.2780000000003597E-2</v>
      </c>
      <c r="AF6415">
        <v>5.6360624608962004E-3</v>
      </c>
      <c r="AG6415">
        <v>-8.8649999999999896E-2</v>
      </c>
      <c r="AH6415">
        <v>0.75562991240811395</v>
      </c>
      <c r="AI6415">
        <v>96.691130909624405</v>
      </c>
      <c r="AJ6415">
        <v>89.572652433971797</v>
      </c>
      <c r="AK6415">
        <v>0.76083319605939703</v>
      </c>
      <c r="AL6415">
        <v>85.286440684104605</v>
      </c>
      <c r="AM6415">
        <v>90.552907520164695</v>
      </c>
      <c r="AN6415">
        <v>0.999999935967954</v>
      </c>
    </row>
    <row r="6416" spans="1:40" x14ac:dyDescent="0.25">
      <c r="A6416" t="str">
        <f>"20190312172241589"</f>
        <v>20190312172241589</v>
      </c>
      <c r="B6416" t="str">
        <f>"1552382561586743"</f>
        <v>1552382561586743</v>
      </c>
      <c r="C6416" t="s">
        <v>40</v>
      </c>
      <c r="D6416">
        <v>3.229625</v>
      </c>
      <c r="E6416">
        <v>0.5063957</v>
      </c>
      <c r="F6416" t="s">
        <v>41</v>
      </c>
      <c r="G6416">
        <v>-344.64069999999998</v>
      </c>
      <c r="H6416">
        <v>1.0336890000000001</v>
      </c>
      <c r="I6416">
        <v>17.334119999999999</v>
      </c>
      <c r="J6416">
        <v>-345.25080000000003</v>
      </c>
      <c r="K6416">
        <v>1.111443</v>
      </c>
      <c r="L6416">
        <v>17.387119999999999</v>
      </c>
      <c r="M6416">
        <v>0.99719579999999997</v>
      </c>
      <c r="N6416">
        <v>0</v>
      </c>
      <c r="O6416">
        <v>-7.3610809999999999E-2</v>
      </c>
      <c r="P6416">
        <v>0.99549790000000005</v>
      </c>
      <c r="Q6416">
        <v>6.6398750000000006E-2</v>
      </c>
      <c r="R6416">
        <v>-6.7639519999999995E-2</v>
      </c>
      <c r="S6416">
        <v>3.0183409999999999</v>
      </c>
      <c r="T6416">
        <v>-0.30586279999999999</v>
      </c>
      <c r="U6416">
        <v>-0.2492065</v>
      </c>
      <c r="V6416">
        <v>-6.0690839999999998E-3</v>
      </c>
      <c r="W6416">
        <v>7.9842200000000002E-2</v>
      </c>
      <c r="X6416">
        <v>0.99678900000000004</v>
      </c>
      <c r="Y6416">
        <v>9.020531E-3</v>
      </c>
      <c r="Z6416">
        <v>6.962635E-3</v>
      </c>
      <c r="AA6416">
        <v>0.99993509999999997</v>
      </c>
      <c r="AB6416">
        <v>27</v>
      </c>
      <c r="AC6416">
        <v>0.61010000000004505</v>
      </c>
      <c r="AD6416">
        <v>-7.7754000000000101E-2</v>
      </c>
      <c r="AE6416">
        <v>-5.2999999999997202E-2</v>
      </c>
      <c r="AF6416">
        <v>7.8161448253301E-3</v>
      </c>
      <c r="AG6416">
        <v>-7.7754000000000101E-2</v>
      </c>
      <c r="AH6416">
        <v>0.60263153496591104</v>
      </c>
      <c r="AI6416">
        <v>97.351308859071295</v>
      </c>
      <c r="AJ6416">
        <v>89.256914091872503</v>
      </c>
      <c r="AK6416">
        <v>0.60767717052008796</v>
      </c>
      <c r="AL6416">
        <v>85.420504371522995</v>
      </c>
      <c r="AM6416">
        <v>90.348848755168703</v>
      </c>
      <c r="AN6416">
        <v>0.99999996060121799</v>
      </c>
    </row>
    <row r="6417" spans="1:40" x14ac:dyDescent="0.25">
      <c r="A6417" t="str">
        <f>"20190312172241602"</f>
        <v>20190312172241602</v>
      </c>
      <c r="B6417" t="str">
        <f>"1552382561597479"</f>
        <v>1552382561597479</v>
      </c>
      <c r="C6417" t="s">
        <v>40</v>
      </c>
      <c r="D6417">
        <v>3.2292749999999999</v>
      </c>
      <c r="E6417">
        <v>0.49383490000000002</v>
      </c>
      <c r="F6417" t="s">
        <v>41</v>
      </c>
      <c r="G6417">
        <v>-344.40390000000002</v>
      </c>
      <c r="H6417">
        <v>1.0239929999999999</v>
      </c>
      <c r="I6417">
        <v>17.314889999999998</v>
      </c>
      <c r="J6417">
        <v>-345.09469999999999</v>
      </c>
      <c r="K6417">
        <v>1.111364</v>
      </c>
      <c r="L6417">
        <v>17.376529999999999</v>
      </c>
      <c r="M6417">
        <v>0.99726000000000004</v>
      </c>
      <c r="N6417">
        <v>0</v>
      </c>
      <c r="O6417">
        <v>-7.273686E-2</v>
      </c>
      <c r="P6417">
        <v>0.99549609999999999</v>
      </c>
      <c r="Q6417">
        <v>6.3848489999999994E-2</v>
      </c>
      <c r="R6417">
        <v>-7.0078029999999999E-2</v>
      </c>
      <c r="S6417">
        <v>3.016937</v>
      </c>
      <c r="T6417">
        <v>-0.31160399999999999</v>
      </c>
      <c r="U6417">
        <v>-0.2562256</v>
      </c>
      <c r="V6417">
        <v>-2.7410389999999998E-3</v>
      </c>
      <c r="W6417">
        <v>7.7300439999999998E-2</v>
      </c>
      <c r="X6417">
        <v>0.99700409999999995</v>
      </c>
      <c r="Y6417">
        <v>1.2236240000000001E-2</v>
      </c>
      <c r="Z6417">
        <v>6.8401869999999898E-3</v>
      </c>
      <c r="AA6417">
        <v>0.9999017</v>
      </c>
      <c r="AB6417">
        <v>27</v>
      </c>
      <c r="AC6417">
        <v>0.690799999999967</v>
      </c>
      <c r="AD6417">
        <v>-8.7371000000000004E-2</v>
      </c>
      <c r="AE6417">
        <v>-6.16400000000005E-2</v>
      </c>
      <c r="AF6417">
        <v>1.1050134962170499E-2</v>
      </c>
      <c r="AG6417">
        <v>-8.7371000000000004E-2</v>
      </c>
      <c r="AH6417">
        <v>0.68262035373637697</v>
      </c>
      <c r="AI6417">
        <v>97.292887328478997</v>
      </c>
      <c r="AJ6417">
        <v>89.072587274907804</v>
      </c>
      <c r="AK6417">
        <v>0.688277810523381</v>
      </c>
      <c r="AL6417">
        <v>85.566588435572697</v>
      </c>
      <c r="AM6417">
        <v>90.157521489123596</v>
      </c>
      <c r="AN6417">
        <v>1.0000000233679001</v>
      </c>
    </row>
    <row r="6418" spans="1:40" x14ac:dyDescent="0.25">
      <c r="A6418" t="str">
        <f>"20190312172241616"</f>
        <v>20190312172241616</v>
      </c>
      <c r="B6418" t="str">
        <f>"1552382561607238"</f>
        <v>1552382561607238</v>
      </c>
      <c r="C6418" t="s">
        <v>40</v>
      </c>
      <c r="D6418">
        <v>3.2112660000000002</v>
      </c>
      <c r="E6418">
        <v>0.49337789999999998</v>
      </c>
      <c r="F6418" t="s">
        <v>42</v>
      </c>
      <c r="G6418">
        <v>-328.15989999999999</v>
      </c>
      <c r="H6418" s="1">
        <v>-1.530607E-6</v>
      </c>
      <c r="I6418">
        <v>16.460249999999998</v>
      </c>
      <c r="J6418">
        <v>-344.93369999999999</v>
      </c>
      <c r="K6418">
        <v>1.1112799999999901</v>
      </c>
      <c r="L6418">
        <v>17.365749999999998</v>
      </c>
      <c r="M6418">
        <v>0.99731959999999997</v>
      </c>
      <c r="N6418">
        <v>0</v>
      </c>
      <c r="O6418">
        <v>-7.1914720000000001E-2</v>
      </c>
      <c r="P6418">
        <v>0.99547149999999995</v>
      </c>
      <c r="Q6418">
        <v>6.1250680000000002E-2</v>
      </c>
      <c r="R6418">
        <v>-7.2697860000000003E-2</v>
      </c>
      <c r="S6418">
        <v>3.0147710000000001</v>
      </c>
      <c r="T6418">
        <v>-0.19784750000000001</v>
      </c>
      <c r="U6418">
        <v>-0.1631165</v>
      </c>
      <c r="V6418">
        <v>7.1773539999999997E-4</v>
      </c>
      <c r="W6418">
        <v>7.4709659999999997E-2</v>
      </c>
      <c r="X6418">
        <v>0.99720509999999996</v>
      </c>
      <c r="Y6418">
        <v>-1.7737470000000002E-2</v>
      </c>
      <c r="Z6418">
        <v>5.2870319999999997E-3</v>
      </c>
      <c r="AA6418">
        <v>0.99982870000000001</v>
      </c>
      <c r="AB6418">
        <v>27</v>
      </c>
      <c r="AC6418">
        <v>16.773799999999898</v>
      </c>
      <c r="AD6418">
        <v>-1.1112815306070001</v>
      </c>
      <c r="AE6418">
        <v>-0.90549999999999997</v>
      </c>
      <c r="AF6418">
        <v>-0.30191649051249497</v>
      </c>
      <c r="AG6418">
        <v>-1.1112815306070001</v>
      </c>
      <c r="AH6418">
        <v>16.7223015692628</v>
      </c>
      <c r="AI6418">
        <v>93.801386355374802</v>
      </c>
      <c r="AJ6418">
        <v>91.034346937762606</v>
      </c>
      <c r="AK6418">
        <v>16.761905320722899</v>
      </c>
      <c r="AL6418">
        <v>85.715459883081493</v>
      </c>
      <c r="AM6418">
        <v>89.958761540503502</v>
      </c>
      <c r="AN6418">
        <v>1.00000002995371</v>
      </c>
    </row>
    <row r="6419" spans="1:40" x14ac:dyDescent="0.25">
      <c r="A6419" t="str">
        <f>"20190312172241629"</f>
        <v>20190312172241629</v>
      </c>
      <c r="B6419" t="str">
        <f>"1552382561616998"</f>
        <v>1552382561616998</v>
      </c>
      <c r="C6419" t="s">
        <v>40</v>
      </c>
      <c r="D6419">
        <v>3.2159179999999998</v>
      </c>
      <c r="E6419">
        <v>0.49286799999999997</v>
      </c>
      <c r="F6419" t="s">
        <v>42</v>
      </c>
      <c r="G6419">
        <v>-328.2099</v>
      </c>
      <c r="H6419" s="1">
        <v>-1.517621E-6</v>
      </c>
      <c r="I6419">
        <v>16.436879999999999</v>
      </c>
      <c r="J6419">
        <v>-344.7722</v>
      </c>
      <c r="K6419">
        <v>1.111192</v>
      </c>
      <c r="L6419">
        <v>17.35501</v>
      </c>
      <c r="M6419">
        <v>0.99737450000000005</v>
      </c>
      <c r="N6419">
        <v>0</v>
      </c>
      <c r="O6419">
        <v>-7.1150519999999995E-2</v>
      </c>
      <c r="P6419">
        <v>0.9954345</v>
      </c>
      <c r="Q6419">
        <v>5.858149E-2</v>
      </c>
      <c r="R6419">
        <v>-7.5355549999999993E-2</v>
      </c>
      <c r="S6419">
        <v>3.0137330000000002</v>
      </c>
      <c r="T6419">
        <v>-0.20025999999999999</v>
      </c>
      <c r="U6419">
        <v>-0.16738889999999901</v>
      </c>
      <c r="V6419">
        <v>4.1566219999999996E-3</v>
      </c>
      <c r="W6419">
        <v>7.2046570000000004E-2</v>
      </c>
      <c r="X6419">
        <v>0.99739259999999996</v>
      </c>
      <c r="Y6419">
        <v>-1.5541259999999999E-2</v>
      </c>
      <c r="Z6419">
        <v>5.229554E-3</v>
      </c>
      <c r="AA6419">
        <v>0.99986549999999996</v>
      </c>
      <c r="AB6419">
        <v>27</v>
      </c>
      <c r="AC6419">
        <v>16.562299999999901</v>
      </c>
      <c r="AD6419">
        <v>-1.1111935176209999</v>
      </c>
      <c r="AE6419">
        <v>-0.918130000000001</v>
      </c>
      <c r="AF6419">
        <v>-0.26154698328653497</v>
      </c>
      <c r="AG6419">
        <v>-1.1111935176209999</v>
      </c>
      <c r="AH6419">
        <v>16.511552291263801</v>
      </c>
      <c r="AI6419">
        <v>93.849601316980099</v>
      </c>
      <c r="AJ6419">
        <v>90.907503113835105</v>
      </c>
      <c r="AK6419">
        <v>16.550967250442199</v>
      </c>
      <c r="AL6419">
        <v>85.868456034143307</v>
      </c>
      <c r="AM6419">
        <v>89.7612218910796</v>
      </c>
      <c r="AN6419">
        <v>0.99999999214498703</v>
      </c>
    </row>
    <row r="6420" spans="1:40" x14ac:dyDescent="0.25">
      <c r="A6420" t="str">
        <f>"20190312172241643"</f>
        <v>20190312172241643</v>
      </c>
      <c r="B6420" t="str">
        <f>"1552382561636521"</f>
        <v>1552382561636521</v>
      </c>
      <c r="C6420" t="s">
        <v>40</v>
      </c>
      <c r="D6420">
        <v>3.1895980000000002</v>
      </c>
      <c r="E6420">
        <v>0.49249589999999999</v>
      </c>
      <c r="F6420" t="s">
        <v>42</v>
      </c>
      <c r="G6420">
        <v>-328.36790000000002</v>
      </c>
      <c r="H6420" s="1">
        <v>-1.4606219999999901E-6</v>
      </c>
      <c r="I6420">
        <v>16.422999999999998</v>
      </c>
      <c r="J6420">
        <v>-344.59690000000001</v>
      </c>
      <c r="K6420">
        <v>1.1110910000000001</v>
      </c>
      <c r="L6420">
        <v>17.34338</v>
      </c>
      <c r="M6420">
        <v>0.99742960000000003</v>
      </c>
      <c r="N6420">
        <v>0</v>
      </c>
      <c r="O6420">
        <v>-7.0375110000000005E-2</v>
      </c>
      <c r="P6420">
        <v>0.99524330000000005</v>
      </c>
      <c r="Q6420">
        <v>5.3441860000000001E-2</v>
      </c>
      <c r="R6420">
        <v>-8.1453719999999993E-2</v>
      </c>
      <c r="S6420">
        <v>3.0128170000000001</v>
      </c>
      <c r="T6420">
        <v>-0.2040817</v>
      </c>
      <c r="U6420">
        <v>-0.17117309999999999</v>
      </c>
      <c r="V6420">
        <v>1.1055300000000001E-2</v>
      </c>
      <c r="W6420">
        <v>6.6920129999999994E-2</v>
      </c>
      <c r="X6420">
        <v>0.9976971</v>
      </c>
      <c r="Y6420">
        <v>-1.349417E-2</v>
      </c>
      <c r="Z6420">
        <v>5.2090230000000001E-3</v>
      </c>
      <c r="AA6420">
        <v>0.99989539999999999</v>
      </c>
      <c r="AB6420">
        <v>27</v>
      </c>
      <c r="AC6420">
        <v>16.2289999999999</v>
      </c>
      <c r="AD6420">
        <v>-1.1110924606219901</v>
      </c>
      <c r="AE6420">
        <v>-0.92038000000000098</v>
      </c>
      <c r="AF6420">
        <v>-0.223081465863738</v>
      </c>
      <c r="AG6420">
        <v>-1.1110924606219901</v>
      </c>
      <c r="AH6420">
        <v>16.177945444972199</v>
      </c>
      <c r="AI6420">
        <v>93.928500980699795</v>
      </c>
      <c r="AJ6420">
        <v>90.790014807836798</v>
      </c>
      <c r="AK6420">
        <v>16.217589543978502</v>
      </c>
      <c r="AL6420">
        <v>86.162891439364898</v>
      </c>
      <c r="AM6420">
        <v>89.365141876875896</v>
      </c>
      <c r="AN6420">
        <v>1.0000000134028499</v>
      </c>
    </row>
    <row r="6421" spans="1:40" x14ac:dyDescent="0.25">
      <c r="A6421" t="str">
        <f>"20190312172241655"</f>
        <v>20190312172241655</v>
      </c>
      <c r="B6421" t="str">
        <f>"1552382561647254"</f>
        <v>1552382561647254</v>
      </c>
      <c r="C6421" t="s">
        <v>40</v>
      </c>
      <c r="D6421">
        <v>3.2142300000000001</v>
      </c>
      <c r="E6421">
        <v>0.48770160000000001</v>
      </c>
      <c r="F6421" t="s">
        <v>42</v>
      </c>
      <c r="G6421">
        <v>-329.23739999999998</v>
      </c>
      <c r="H6421" s="1">
        <v>-1.1347379999999999E-6</v>
      </c>
      <c r="I6421">
        <v>16.392910000000001</v>
      </c>
      <c r="J6421">
        <v>-344.45650000000001</v>
      </c>
      <c r="K6421">
        <v>1.111016</v>
      </c>
      <c r="L6421">
        <v>17.334139999999898</v>
      </c>
      <c r="M6421">
        <v>0.99746889999999999</v>
      </c>
      <c r="N6421">
        <v>0</v>
      </c>
      <c r="O6421">
        <v>-6.9815370000000002E-2</v>
      </c>
      <c r="P6421">
        <v>0.99510889999999996</v>
      </c>
      <c r="Q6421">
        <v>5.1519669999999997E-2</v>
      </c>
      <c r="R6421">
        <v>-8.4285559999999995E-2</v>
      </c>
      <c r="S6421">
        <v>3.010742</v>
      </c>
      <c r="T6421">
        <v>-0.21779470000000001</v>
      </c>
      <c r="U6421">
        <v>-0.1863098</v>
      </c>
      <c r="V6421">
        <v>1.446471E-2</v>
      </c>
      <c r="W6421">
        <v>6.5000290000000002E-2</v>
      </c>
      <c r="X6421">
        <v>0.99778040000000001</v>
      </c>
      <c r="Y6421">
        <v>-7.8737919999999992E-3</v>
      </c>
      <c r="Z6421">
        <v>5.3178100000000001E-3</v>
      </c>
      <c r="AA6421">
        <v>0.99995489999999998</v>
      </c>
      <c r="AB6421">
        <v>27</v>
      </c>
      <c r="AC6421">
        <v>15.219099999999999</v>
      </c>
      <c r="AD6421">
        <v>-1.111017134738</v>
      </c>
      <c r="AE6421">
        <v>-0.94122999999999701</v>
      </c>
      <c r="AF6421">
        <v>-0.123037481593518</v>
      </c>
      <c r="AG6421">
        <v>-1.111017134738</v>
      </c>
      <c r="AH6421">
        <v>15.167154757163299</v>
      </c>
      <c r="AI6421">
        <v>94.189382905200702</v>
      </c>
      <c r="AJ6421">
        <v>90.464778918791097</v>
      </c>
      <c r="AK6421">
        <v>15.208289868466499</v>
      </c>
      <c r="AL6421">
        <v>86.273130191898503</v>
      </c>
      <c r="AM6421">
        <v>89.169447721770595</v>
      </c>
      <c r="AN6421">
        <v>0.99999999607981405</v>
      </c>
    </row>
    <row r="6422" spans="1:40" x14ac:dyDescent="0.25">
      <c r="A6422" t="str">
        <f>"20190312172241665"</f>
        <v>20190312172241665</v>
      </c>
      <c r="B6422" t="str">
        <f>"1552382561657014"</f>
        <v>1552382561657014</v>
      </c>
      <c r="C6422" t="s">
        <v>40</v>
      </c>
      <c r="D6422">
        <v>3.196326</v>
      </c>
      <c r="E6422">
        <v>0.4878979</v>
      </c>
      <c r="F6422" t="s">
        <v>42</v>
      </c>
      <c r="G6422">
        <v>-326.12099999999998</v>
      </c>
      <c r="H6422" s="1">
        <v>-2.3879500000000002E-6</v>
      </c>
      <c r="I6422">
        <v>16.381339999999899</v>
      </c>
      <c r="J6422">
        <v>-344.32799999999997</v>
      </c>
      <c r="K6422">
        <v>1.1109530000000001</v>
      </c>
      <c r="L6422">
        <v>17.325679999999998</v>
      </c>
      <c r="M6422">
        <v>0.99750229999999995</v>
      </c>
      <c r="N6422">
        <v>0</v>
      </c>
      <c r="O6422">
        <v>-6.9339479999999995E-2</v>
      </c>
      <c r="P6422">
        <v>0.99495979999999995</v>
      </c>
      <c r="Q6422">
        <v>4.9424610000000001E-2</v>
      </c>
      <c r="R6422">
        <v>-8.7249409999999999E-2</v>
      </c>
      <c r="S6422">
        <v>3.0109560000000002</v>
      </c>
      <c r="T6422">
        <v>-0.1824452</v>
      </c>
      <c r="U6422">
        <v>-0.15646360000000001</v>
      </c>
      <c r="V6422">
        <v>1.7921719999999999E-2</v>
      </c>
      <c r="W6422">
        <v>6.2906970000000006E-2</v>
      </c>
      <c r="X6422">
        <v>0.99785849999999998</v>
      </c>
      <c r="Y6422">
        <v>-1.7324269999999999E-2</v>
      </c>
      <c r="Z6422">
        <v>4.7148729999999996E-3</v>
      </c>
      <c r="AA6422">
        <v>0.99983880000000003</v>
      </c>
      <c r="AB6422">
        <v>27</v>
      </c>
      <c r="AC6422">
        <v>18.207000000000001</v>
      </c>
      <c r="AD6422">
        <v>-1.11095538795</v>
      </c>
      <c r="AE6422">
        <v>-0.94433999999999996</v>
      </c>
      <c r="AF6422">
        <v>-0.319325905078019</v>
      </c>
      <c r="AG6422">
        <v>-1.11095538795</v>
      </c>
      <c r="AH6422">
        <v>18.161219542746299</v>
      </c>
      <c r="AI6422">
        <v>93.499987194740299</v>
      </c>
      <c r="AJ6422">
        <v>91.007319002558901</v>
      </c>
      <c r="AK6422">
        <v>18.197969287464499</v>
      </c>
      <c r="AL6422">
        <v>86.393314773066194</v>
      </c>
      <c r="AM6422">
        <v>88.971068011670496</v>
      </c>
      <c r="AN6422">
        <v>1.00000003047229</v>
      </c>
    </row>
    <row r="6423" spans="1:40" x14ac:dyDescent="0.25">
      <c r="A6423" t="str">
        <f>"20190312172241676"</f>
        <v>20190312172241676</v>
      </c>
      <c r="B6423" t="str">
        <f>"1552382561666774"</f>
        <v>1552382561666774</v>
      </c>
      <c r="C6423" t="s">
        <v>40</v>
      </c>
      <c r="D6423">
        <v>3.2347410000000001</v>
      </c>
      <c r="E6423">
        <v>0.48783660000000001</v>
      </c>
      <c r="F6423" t="s">
        <v>42</v>
      </c>
      <c r="G6423">
        <v>-327.01589999999999</v>
      </c>
      <c r="H6423" s="1">
        <v>-1.9949530000000001E-6</v>
      </c>
      <c r="I6423">
        <v>16.366150000000001</v>
      </c>
      <c r="J6423">
        <v>-344.19049999999999</v>
      </c>
      <c r="K6423">
        <v>1.110886</v>
      </c>
      <c r="L6423">
        <v>17.316649999999999</v>
      </c>
      <c r="M6423">
        <v>0.99753530000000001</v>
      </c>
      <c r="N6423">
        <v>0</v>
      </c>
      <c r="O6423">
        <v>-6.8863759999999996E-2</v>
      </c>
      <c r="P6423">
        <v>0.99477439999999995</v>
      </c>
      <c r="Q6423">
        <v>4.8217259999999998E-2</v>
      </c>
      <c r="R6423">
        <v>-8.9996469999999995E-2</v>
      </c>
      <c r="S6423">
        <v>3.0101619999999998</v>
      </c>
      <c r="T6423">
        <v>-0.19316829999999999</v>
      </c>
      <c r="U6423">
        <v>-0.1668396</v>
      </c>
      <c r="V6423">
        <v>2.116289E-2</v>
      </c>
      <c r="W6423">
        <v>6.1699110000000001E-2</v>
      </c>
      <c r="X6423">
        <v>0.99787040000000005</v>
      </c>
      <c r="Y6423">
        <v>-1.3387E-2</v>
      </c>
      <c r="Z6423">
        <v>4.8356570000000001E-3</v>
      </c>
      <c r="AA6423">
        <v>0.99989870000000003</v>
      </c>
      <c r="AB6423">
        <v>27</v>
      </c>
      <c r="AC6423">
        <v>17.174599999999899</v>
      </c>
      <c r="AD6423">
        <v>-1.1108879949529999</v>
      </c>
      <c r="AE6423">
        <v>-0.95049999999999801</v>
      </c>
      <c r="AF6423">
        <v>-0.233597140889865</v>
      </c>
      <c r="AG6423">
        <v>-1.1108879949529999</v>
      </c>
      <c r="AH6423">
        <v>17.1278422454773</v>
      </c>
      <c r="AI6423">
        <v>93.710582663571799</v>
      </c>
      <c r="AJ6423">
        <v>90.781376914379393</v>
      </c>
      <c r="AK6423">
        <v>17.165419300078799</v>
      </c>
      <c r="AL6423">
        <v>86.462654626222999</v>
      </c>
      <c r="AM6423">
        <v>88.785050107726903</v>
      </c>
      <c r="AN6423">
        <v>0.999999991642052</v>
      </c>
    </row>
    <row r="6424" spans="1:40" x14ac:dyDescent="0.25">
      <c r="A6424" t="str">
        <f>"20190312172241687"</f>
        <v>20190312172241687</v>
      </c>
      <c r="B6424" t="str">
        <f>"1552382561676535"</f>
        <v>1552382561676535</v>
      </c>
      <c r="C6424" t="s">
        <v>40</v>
      </c>
      <c r="D6424">
        <v>3.2343419999999998</v>
      </c>
      <c r="E6424">
        <v>0.48760680000000001</v>
      </c>
      <c r="F6424" t="s">
        <v>42</v>
      </c>
      <c r="G6424">
        <v>-327.22469999999998</v>
      </c>
      <c r="H6424" s="1">
        <v>-1.9236960000000002E-6</v>
      </c>
      <c r="I6424">
        <v>16.33259</v>
      </c>
      <c r="J6424">
        <v>-344.06229999999999</v>
      </c>
      <c r="K6424">
        <v>1.1108260000000001</v>
      </c>
      <c r="L6424">
        <v>17.30829</v>
      </c>
      <c r="M6424">
        <v>0.99756239999999996</v>
      </c>
      <c r="N6424">
        <v>0</v>
      </c>
      <c r="O6424">
        <v>-6.8469859999999994E-2</v>
      </c>
      <c r="P6424">
        <v>0.99456440000000002</v>
      </c>
      <c r="Q6424">
        <v>4.70707E-2</v>
      </c>
      <c r="R6424">
        <v>-9.2879409999999996E-2</v>
      </c>
      <c r="S6424">
        <v>3.0095209999999999</v>
      </c>
      <c r="T6424">
        <v>-0.19705790000000001</v>
      </c>
      <c r="U6424">
        <v>-0.17456050000000001</v>
      </c>
      <c r="V6424">
        <v>2.4458170000000001E-2</v>
      </c>
      <c r="W6424">
        <v>6.0552080000000001E-2</v>
      </c>
      <c r="X6424">
        <v>0.99786529999999996</v>
      </c>
      <c r="Y6424">
        <v>-1.04236E-2</v>
      </c>
      <c r="Z6424">
        <v>4.8109030000000001E-3</v>
      </c>
      <c r="AA6424">
        <v>0.99993410000000005</v>
      </c>
      <c r="AB6424">
        <v>27</v>
      </c>
      <c r="AC6424">
        <v>16.837599999999998</v>
      </c>
      <c r="AD6424">
        <v>-1.1108279236959999</v>
      </c>
      <c r="AE6424">
        <v>-0.97569999999999901</v>
      </c>
      <c r="AF6424">
        <v>-0.17878718749767</v>
      </c>
      <c r="AG6424">
        <v>-1.1108279236959999</v>
      </c>
      <c r="AH6424">
        <v>16.792048347028501</v>
      </c>
      <c r="AI6424">
        <v>93.784503366039701</v>
      </c>
      <c r="AJ6424">
        <v>90.610012787425404</v>
      </c>
      <c r="AK6424">
        <v>16.829699677160601</v>
      </c>
      <c r="AL6424">
        <v>86.528497608153998</v>
      </c>
      <c r="AM6424">
        <v>88.595933349170593</v>
      </c>
      <c r="AN6424">
        <v>0.99999995670808095</v>
      </c>
    </row>
    <row r="6425" spans="1:40" x14ac:dyDescent="0.25">
      <c r="A6425" t="str">
        <f>"20190312172241698"</f>
        <v>20190312172241698</v>
      </c>
      <c r="B6425" t="str">
        <f>"1552382561686294"</f>
        <v>1552382561686294</v>
      </c>
      <c r="C6425" t="s">
        <v>40</v>
      </c>
      <c r="D6425">
        <v>3.1909320000000001</v>
      </c>
      <c r="E6425">
        <v>0.48737079999999999</v>
      </c>
      <c r="F6425" t="s">
        <v>42</v>
      </c>
      <c r="G6425">
        <v>-327.15519999999998</v>
      </c>
      <c r="H6425" s="1">
        <v>-1.961991E-6</v>
      </c>
      <c r="I6425">
        <v>16.288989999999998</v>
      </c>
      <c r="J6425">
        <v>-343.9323</v>
      </c>
      <c r="K6425">
        <v>1.1107670000000001</v>
      </c>
      <c r="L6425">
        <v>17.29984</v>
      </c>
      <c r="M6425">
        <v>0.99758849999999999</v>
      </c>
      <c r="N6425">
        <v>0</v>
      </c>
      <c r="O6425">
        <v>-6.808873E-2</v>
      </c>
      <c r="P6425">
        <v>0.9943514</v>
      </c>
      <c r="Q6425">
        <v>4.6351120000000003E-2</v>
      </c>
      <c r="R6425">
        <v>-9.54816E-2</v>
      </c>
      <c r="S6425">
        <v>3.0088200000000001</v>
      </c>
      <c r="T6425">
        <v>-0.197685</v>
      </c>
      <c r="U6425">
        <v>-0.18139649999999999</v>
      </c>
      <c r="V6425">
        <v>2.745993E-2</v>
      </c>
      <c r="W6425">
        <v>5.9830029999999999E-2</v>
      </c>
      <c r="X6425">
        <v>0.99783080000000002</v>
      </c>
      <c r="Y6425">
        <v>-7.7695389999999998E-3</v>
      </c>
      <c r="Z6425">
        <v>4.7149519999999997E-3</v>
      </c>
      <c r="AA6425">
        <v>0.99995869999999998</v>
      </c>
      <c r="AB6425">
        <v>27</v>
      </c>
      <c r="AC6425">
        <v>16.777100000000001</v>
      </c>
      <c r="AD6425">
        <v>-1.1107689619909999</v>
      </c>
      <c r="AE6425">
        <v>-1.01085</v>
      </c>
      <c r="AF6425">
        <v>-0.13334881515556099</v>
      </c>
      <c r="AG6425">
        <v>-1.1107689619909999</v>
      </c>
      <c r="AH6425">
        <v>16.7339050268322</v>
      </c>
      <c r="AI6425">
        <v>93.797507921584497</v>
      </c>
      <c r="AJ6425">
        <v>90.456567823318807</v>
      </c>
      <c r="AK6425">
        <v>16.7712601506406</v>
      </c>
      <c r="AL6425">
        <v>86.5699432985366</v>
      </c>
      <c r="AM6425">
        <v>88.423639462221004</v>
      </c>
      <c r="AN6425">
        <v>0.99999999283702201</v>
      </c>
    </row>
    <row r="6426" spans="1:40" x14ac:dyDescent="0.25">
      <c r="A6426" t="str">
        <f>"20190312172241710"</f>
        <v>20190312172241710</v>
      </c>
      <c r="B6426" t="str">
        <f>"1552382561707201"</f>
        <v>1552382561707201</v>
      </c>
      <c r="C6426" t="s">
        <v>40</v>
      </c>
      <c r="D6426">
        <v>3.2218309999999999</v>
      </c>
      <c r="E6426">
        <v>0.49050539999999998</v>
      </c>
      <c r="F6426" t="s">
        <v>42</v>
      </c>
      <c r="G6426">
        <v>-327.00529999999998</v>
      </c>
      <c r="H6426" s="1">
        <v>-2.030971E-6</v>
      </c>
      <c r="I6426">
        <v>16.246009999999998</v>
      </c>
      <c r="J6426">
        <v>-343.79360000000003</v>
      </c>
      <c r="K6426">
        <v>1.1107100000000001</v>
      </c>
      <c r="L6426">
        <v>17.290800000000001</v>
      </c>
      <c r="M6426">
        <v>0.9976121</v>
      </c>
      <c r="N6426">
        <v>0</v>
      </c>
      <c r="O6426">
        <v>-6.7742419999999998E-2</v>
      </c>
      <c r="P6426">
        <v>0.9941316</v>
      </c>
      <c r="Q6426">
        <v>4.5450079999999997E-2</v>
      </c>
      <c r="R6426">
        <v>-9.8166989999999996E-2</v>
      </c>
      <c r="S6426">
        <v>3.00827</v>
      </c>
      <c r="T6426">
        <v>-0.197406</v>
      </c>
      <c r="U6426">
        <v>-0.18728639999999999</v>
      </c>
      <c r="V6426">
        <v>3.051044E-2</v>
      </c>
      <c r="W6426">
        <v>5.892563E-2</v>
      </c>
      <c r="X6426">
        <v>0.99779600000000002</v>
      </c>
      <c r="Y6426">
        <v>-5.4670209999999999E-3</v>
      </c>
      <c r="Z6426">
        <v>4.6108030000000001E-3</v>
      </c>
      <c r="AA6426">
        <v>0.99997440000000004</v>
      </c>
      <c r="AB6426">
        <v>27</v>
      </c>
      <c r="AC6426">
        <v>16.7883</v>
      </c>
      <c r="AD6426">
        <v>-1.1107120309709999</v>
      </c>
      <c r="AE6426">
        <v>-1.0447899999999899</v>
      </c>
      <c r="AF6426">
        <v>-9.4581127248207095E-2</v>
      </c>
      <c r="AG6426">
        <v>-1.1107120309709999</v>
      </c>
      <c r="AH6426">
        <v>16.747487547559999</v>
      </c>
      <c r="AI6426">
        <v>93.794302948283004</v>
      </c>
      <c r="AJ6426">
        <v>90.323573418776107</v>
      </c>
      <c r="AK6426">
        <v>16.784545449938499</v>
      </c>
      <c r="AL6426">
        <v>86.621853175543094</v>
      </c>
      <c r="AM6426">
        <v>88.248564921385906</v>
      </c>
      <c r="AN6426">
        <v>0.99999998721794503</v>
      </c>
    </row>
    <row r="6427" spans="1:40" x14ac:dyDescent="0.25">
      <c r="A6427" t="str">
        <f>"20190312172241721"</f>
        <v>20190312172241721</v>
      </c>
      <c r="B6427" t="str">
        <f>"1552382561716962"</f>
        <v>1552382561716962</v>
      </c>
      <c r="C6427" t="s">
        <v>40</v>
      </c>
      <c r="D6427">
        <v>3.2536489999999998</v>
      </c>
      <c r="E6427">
        <v>0.49050539999999998</v>
      </c>
      <c r="F6427" t="s">
        <v>42</v>
      </c>
      <c r="G6427">
        <v>-326.32240000000002</v>
      </c>
      <c r="H6427" s="1">
        <v>-2.3585890000000001E-6</v>
      </c>
      <c r="I6427">
        <v>16.00996</v>
      </c>
      <c r="J6427">
        <v>-343.66079999999999</v>
      </c>
      <c r="K6427">
        <v>1.110649</v>
      </c>
      <c r="L6427">
        <v>17.282139999999998</v>
      </c>
      <c r="M6427">
        <v>0.99763369999999996</v>
      </c>
      <c r="N6427">
        <v>0</v>
      </c>
      <c r="O6427">
        <v>-6.7424570000000003E-2</v>
      </c>
      <c r="P6427">
        <v>0.99390590000000001</v>
      </c>
      <c r="Q6427">
        <v>4.4503300000000003E-2</v>
      </c>
      <c r="R6427">
        <v>-0.10085</v>
      </c>
      <c r="S6427">
        <v>3.0046689999999998</v>
      </c>
      <c r="T6427">
        <v>-0.1910184</v>
      </c>
      <c r="U6427">
        <v>-0.2202759</v>
      </c>
      <c r="V6427">
        <v>3.3529530000000002E-2</v>
      </c>
      <c r="W6427">
        <v>5.7975020000000002E-2</v>
      </c>
      <c r="X6427">
        <v>0.99775480000000005</v>
      </c>
      <c r="Y6427">
        <v>5.8217769999999898E-3</v>
      </c>
      <c r="Z6427">
        <v>4.0870890000000003E-3</v>
      </c>
      <c r="AA6427">
        <v>0.99997469999999999</v>
      </c>
      <c r="AB6427">
        <v>27</v>
      </c>
      <c r="AC6427">
        <v>17.338399999999901</v>
      </c>
      <c r="AD6427">
        <v>-1.1106513585889899</v>
      </c>
      <c r="AE6427">
        <v>-1.2721799999999901</v>
      </c>
      <c r="AF6427">
        <v>9.9737470650971494E-2</v>
      </c>
      <c r="AG6427">
        <v>-1.1106513585889899</v>
      </c>
      <c r="AH6427">
        <v>17.314056080575298</v>
      </c>
      <c r="AI6427">
        <v>93.670284651428602</v>
      </c>
      <c r="AJ6427">
        <v>89.669951807173604</v>
      </c>
      <c r="AK6427">
        <v>17.349928874917399</v>
      </c>
      <c r="AL6427">
        <v>86.676412396216506</v>
      </c>
      <c r="AM6427">
        <v>88.075300780527897</v>
      </c>
      <c r="AN6427">
        <v>0.99999998662453005</v>
      </c>
    </row>
    <row r="6428" spans="1:40" x14ac:dyDescent="0.25">
      <c r="A6428" t="str">
        <f>"20190312172241732"</f>
        <v>20190312172241732</v>
      </c>
      <c r="B6428" t="str">
        <f>"1552382561726721"</f>
        <v>1552382561726721</v>
      </c>
      <c r="C6428" t="s">
        <v>40</v>
      </c>
      <c r="D6428">
        <v>3.251757</v>
      </c>
      <c r="E6428">
        <v>0.51515730000000004</v>
      </c>
      <c r="F6428" t="s">
        <v>42</v>
      </c>
      <c r="G6428">
        <v>-326.44670000000002</v>
      </c>
      <c r="H6428" s="1">
        <v>-2.3176800000000001E-6</v>
      </c>
      <c r="I6428">
        <v>15.97471</v>
      </c>
      <c r="J6428">
        <v>-343.51459999999997</v>
      </c>
      <c r="K6428">
        <v>1.110592</v>
      </c>
      <c r="L6428">
        <v>17.27261</v>
      </c>
      <c r="M6428">
        <v>0.99765349999999997</v>
      </c>
      <c r="N6428">
        <v>0</v>
      </c>
      <c r="O6428">
        <v>-6.7132609999999995E-2</v>
      </c>
      <c r="P6428">
        <v>0.99366200000000005</v>
      </c>
      <c r="Q6428">
        <v>4.4050569999999997E-2</v>
      </c>
      <c r="R6428">
        <v>-0.10342030000000001</v>
      </c>
      <c r="S6428">
        <v>3.0039060000000002</v>
      </c>
      <c r="T6428">
        <v>-0.1938115</v>
      </c>
      <c r="U6428">
        <v>-0.2281494</v>
      </c>
      <c r="V6428">
        <v>3.6410949999999997E-2</v>
      </c>
      <c r="W6428">
        <v>5.7516589999999999E-2</v>
      </c>
      <c r="X6428">
        <v>0.99768040000000002</v>
      </c>
      <c r="Y6428">
        <v>8.7364690000000002E-3</v>
      </c>
      <c r="Z6428">
        <v>4.0347459999999996E-3</v>
      </c>
      <c r="AA6428">
        <v>0.99995369999999995</v>
      </c>
      <c r="AB6428">
        <v>27</v>
      </c>
      <c r="AC6428">
        <v>17.067899999999899</v>
      </c>
      <c r="AD6428">
        <v>-1.1105943176799999</v>
      </c>
      <c r="AE6428">
        <v>-1.2979000000000001</v>
      </c>
      <c r="AF6428">
        <v>0.148430430632355</v>
      </c>
      <c r="AG6428">
        <v>-1.1105943176799999</v>
      </c>
      <c r="AH6428">
        <v>17.044775551339399</v>
      </c>
      <c r="AI6428">
        <v>93.727836893457507</v>
      </c>
      <c r="AJ6428">
        <v>89.501065752619397</v>
      </c>
      <c r="AK6428">
        <v>17.081563889958701</v>
      </c>
      <c r="AL6428">
        <v>86.702722606532802</v>
      </c>
      <c r="AM6428">
        <v>87.909883483970802</v>
      </c>
      <c r="AN6428">
        <v>1.00000004797464</v>
      </c>
    </row>
    <row r="6429" spans="1:40" x14ac:dyDescent="0.25">
      <c r="A6429" t="str">
        <f>"20190312172241744"</f>
        <v>20190312172241744</v>
      </c>
      <c r="B6429" t="str">
        <f>"1552382561736481"</f>
        <v>1552382561736481</v>
      </c>
      <c r="C6429" t="s">
        <v>40</v>
      </c>
      <c r="D6429">
        <v>3.2026720000000002</v>
      </c>
      <c r="E6429">
        <v>0.51448070000000001</v>
      </c>
      <c r="F6429" t="s">
        <v>42</v>
      </c>
      <c r="G6429">
        <v>-320.39229999999998</v>
      </c>
      <c r="H6429" s="1">
        <v>-5.5310960000000002E-6</v>
      </c>
      <c r="I6429">
        <v>13.92815</v>
      </c>
      <c r="J6429">
        <v>-343.38199999999898</v>
      </c>
      <c r="K6429">
        <v>1.11054599999999</v>
      </c>
      <c r="L6429">
        <v>17.264039999999898</v>
      </c>
      <c r="M6429">
        <v>0.9976699</v>
      </c>
      <c r="N6429">
        <v>0</v>
      </c>
      <c r="O6429">
        <v>-6.688537E-2</v>
      </c>
      <c r="P6429">
        <v>0.99340640000000002</v>
      </c>
      <c r="Q6429">
        <v>4.296324E-2</v>
      </c>
      <c r="R6429">
        <v>-0.1062917</v>
      </c>
      <c r="S6429">
        <v>2.9806210000000002</v>
      </c>
      <c r="T6429">
        <v>-0.14316329999999999</v>
      </c>
      <c r="U6429">
        <v>-0.4311218</v>
      </c>
      <c r="V6429">
        <v>3.9548170000000001E-2</v>
      </c>
      <c r="W6429">
        <v>5.6424500000000002E-2</v>
      </c>
      <c r="X6429">
        <v>0.99762329999999999</v>
      </c>
      <c r="Y6429">
        <v>7.6617749999999998E-2</v>
      </c>
      <c r="Z6429">
        <v>1.3593539999999999E-3</v>
      </c>
      <c r="AA6429">
        <v>0.99705960000000005</v>
      </c>
      <c r="AB6429">
        <v>27</v>
      </c>
      <c r="AC6429">
        <v>22.9896999999999</v>
      </c>
      <c r="AD6429">
        <v>-1.1105515310959999</v>
      </c>
      <c r="AE6429">
        <v>-3.3358899999999898</v>
      </c>
      <c r="AF6429">
        <v>1.78652170330807</v>
      </c>
      <c r="AG6429">
        <v>-1.1105515310959999</v>
      </c>
      <c r="AH6429">
        <v>23.108539313327299</v>
      </c>
      <c r="AI6429">
        <v>92.7432338619641</v>
      </c>
      <c r="AJ6429">
        <v>85.579255341276493</v>
      </c>
      <c r="AK6429">
        <v>23.204085280295001</v>
      </c>
      <c r="AL6429">
        <v>86.765396440082</v>
      </c>
      <c r="AM6429">
        <v>87.729847172229597</v>
      </c>
      <c r="AN6429">
        <v>1.0000000153267401</v>
      </c>
    </row>
    <row r="6430" spans="1:40" x14ac:dyDescent="0.25">
      <c r="A6430" t="str">
        <f>"20190312172241755"</f>
        <v>20190312172241755</v>
      </c>
      <c r="B6430" t="str">
        <f>"1552382561747218"</f>
        <v>1552382561747218</v>
      </c>
      <c r="C6430" t="s">
        <v>40</v>
      </c>
      <c r="D6430">
        <v>3.2109640000000002</v>
      </c>
      <c r="E6430">
        <v>0.51409629999999995</v>
      </c>
      <c r="F6430" t="s">
        <v>42</v>
      </c>
      <c r="G6430">
        <v>-321.59309999999999</v>
      </c>
      <c r="H6430" s="1">
        <v>-4.934801E-6</v>
      </c>
      <c r="I6430">
        <v>14.08971</v>
      </c>
      <c r="J6430">
        <v>-343.24770000000001</v>
      </c>
      <c r="K6430">
        <v>1.1105039999999999</v>
      </c>
      <c r="L6430">
        <v>17.255310000000001</v>
      </c>
      <c r="M6430">
        <v>0.99768500000000004</v>
      </c>
      <c r="N6430">
        <v>0</v>
      </c>
      <c r="O6430">
        <v>-6.6663819999999999E-2</v>
      </c>
      <c r="P6430">
        <v>0.99313180000000001</v>
      </c>
      <c r="Q6430">
        <v>4.255867E-2</v>
      </c>
      <c r="R6430">
        <v>-0.10898919999999999</v>
      </c>
      <c r="S6430">
        <v>2.9800110000000002</v>
      </c>
      <c r="T6430">
        <v>-0.1518871</v>
      </c>
      <c r="U6430">
        <v>-0.4341431</v>
      </c>
      <c r="V6430">
        <v>4.24859E-2</v>
      </c>
      <c r="W6430">
        <v>5.6014120000000001E-2</v>
      </c>
      <c r="X6430">
        <v>0.99752560000000001</v>
      </c>
      <c r="Y6430">
        <v>7.7854800000000002E-2</v>
      </c>
      <c r="Z6430">
        <v>1.3997230000000001E-3</v>
      </c>
      <c r="AA6430">
        <v>0.99696370000000001</v>
      </c>
      <c r="AB6430">
        <v>27</v>
      </c>
      <c r="AC6430">
        <v>21.654599999999999</v>
      </c>
      <c r="AD6430">
        <v>-1.110508934801</v>
      </c>
      <c r="AE6430">
        <v>-3.1656</v>
      </c>
      <c r="AF6430">
        <v>1.71044389285183</v>
      </c>
      <c r="AG6430">
        <v>-1.110508934801</v>
      </c>
      <c r="AH6430">
        <v>21.7614369873898</v>
      </c>
      <c r="AI6430">
        <v>92.9123627637982</v>
      </c>
      <c r="AJ6430">
        <v>85.5058047714721</v>
      </c>
      <c r="AK6430">
        <v>21.8567835730924</v>
      </c>
      <c r="AL6430">
        <v>86.788946607990795</v>
      </c>
      <c r="AM6430">
        <v>87.561172939507301</v>
      </c>
      <c r="AN6430">
        <v>0.99999997799677098</v>
      </c>
    </row>
    <row r="6431" spans="1:40" x14ac:dyDescent="0.25">
      <c r="A6431" t="str">
        <f>"20190312172241765"</f>
        <v>20190312172241765</v>
      </c>
      <c r="B6431" t="str">
        <f>"1552382561756976"</f>
        <v>1552382561756976</v>
      </c>
      <c r="C6431" t="s">
        <v>40</v>
      </c>
      <c r="D6431">
        <v>3.1914220000000002</v>
      </c>
      <c r="E6431">
        <v>0.51371849999999997</v>
      </c>
      <c r="F6431" t="s">
        <v>42</v>
      </c>
      <c r="G6431">
        <v>-322.03339999999997</v>
      </c>
      <c r="H6431" s="1">
        <v>-4.7196420000000004E-6</v>
      </c>
      <c r="I6431">
        <v>14.1291799999999</v>
      </c>
      <c r="J6431">
        <v>-343.12029999999999</v>
      </c>
      <c r="K6431">
        <v>1.1104689999999999</v>
      </c>
      <c r="L6431">
        <v>17.247039999999998</v>
      </c>
      <c r="M6431">
        <v>0.99769770000000002</v>
      </c>
      <c r="N6431">
        <v>0</v>
      </c>
      <c r="O6431">
        <v>-6.6474119999999998E-2</v>
      </c>
      <c r="P6431">
        <v>0.99285420000000002</v>
      </c>
      <c r="Q6431">
        <v>4.2390560000000001E-2</v>
      </c>
      <c r="R6431">
        <v>-0.11155180000000001</v>
      </c>
      <c r="S6431">
        <v>2.979279</v>
      </c>
      <c r="T6431">
        <v>-0.15595709999999999</v>
      </c>
      <c r="U6431">
        <v>-0.43902590000000002</v>
      </c>
      <c r="V6431">
        <v>4.5256310000000001E-2</v>
      </c>
      <c r="W6431">
        <v>5.5840349999999997E-2</v>
      </c>
      <c r="X6431">
        <v>0.99741349999999995</v>
      </c>
      <c r="Y6431">
        <v>7.9675339999999997E-2</v>
      </c>
      <c r="Z6431">
        <v>1.3801200000000001E-3</v>
      </c>
      <c r="AA6431">
        <v>0.99681989999999998</v>
      </c>
      <c r="AB6431">
        <v>27</v>
      </c>
      <c r="AC6431">
        <v>21.0869</v>
      </c>
      <c r="AD6431">
        <v>-1.110473719642</v>
      </c>
      <c r="AE6431">
        <v>-3.1178599999999999</v>
      </c>
      <c r="AF6431">
        <v>1.7044770414964301</v>
      </c>
      <c r="AG6431">
        <v>-1.110473719642</v>
      </c>
      <c r="AH6431">
        <v>21.190017949545801</v>
      </c>
      <c r="AI6431">
        <v>92.990229869200803</v>
      </c>
      <c r="AJ6431">
        <v>85.401158753077794</v>
      </c>
      <c r="AK6431">
        <v>21.287443589334</v>
      </c>
      <c r="AL6431">
        <v>86.798918523029499</v>
      </c>
      <c r="AM6431">
        <v>87.402062139865905</v>
      </c>
      <c r="AN6431">
        <v>0.99999998413259406</v>
      </c>
    </row>
    <row r="6432" spans="1:40" x14ac:dyDescent="0.25">
      <c r="A6432" t="str">
        <f>"20190312172241777"</f>
        <v>20190312172241777</v>
      </c>
      <c r="B6432" t="str">
        <f>"1552382561766738"</f>
        <v>1552382561766738</v>
      </c>
      <c r="C6432" t="s">
        <v>40</v>
      </c>
      <c r="D6432">
        <v>3.1873719999999999</v>
      </c>
      <c r="E6432">
        <v>0.51336759999999904</v>
      </c>
      <c r="F6432" t="s">
        <v>42</v>
      </c>
      <c r="G6432">
        <v>-322.09109999999998</v>
      </c>
      <c r="H6432" s="1">
        <v>-4.6948889999999996E-6</v>
      </c>
      <c r="I6432">
        <v>14.115030000000001</v>
      </c>
      <c r="J6432">
        <v>-342.98410000000001</v>
      </c>
      <c r="K6432">
        <v>1.110433</v>
      </c>
      <c r="L6432">
        <v>17.238189999999999</v>
      </c>
      <c r="M6432">
        <v>0.99771019999999999</v>
      </c>
      <c r="N6432">
        <v>0</v>
      </c>
      <c r="O6432">
        <v>-6.6287860000000004E-2</v>
      </c>
      <c r="P6432">
        <v>0.99257680000000004</v>
      </c>
      <c r="Q6432">
        <v>4.1897579999999997E-2</v>
      </c>
      <c r="R6432">
        <v>-0.1141754</v>
      </c>
      <c r="S6432">
        <v>2.978485</v>
      </c>
      <c r="T6432">
        <v>-0.1572827</v>
      </c>
      <c r="U6432">
        <v>-0.44360349999999998</v>
      </c>
      <c r="V6432">
        <v>4.8084189999999999E-2</v>
      </c>
      <c r="W6432">
        <v>5.5341389999999997E-2</v>
      </c>
      <c r="X6432">
        <v>0.997309</v>
      </c>
      <c r="Y6432">
        <v>8.1395800000000004E-2</v>
      </c>
      <c r="Z6432">
        <v>1.337118E-3</v>
      </c>
      <c r="AA6432">
        <v>0.99668100000000004</v>
      </c>
      <c r="AB6432">
        <v>27</v>
      </c>
      <c r="AC6432">
        <v>20.893000000000001</v>
      </c>
      <c r="AD6432">
        <v>-1.110437694889</v>
      </c>
      <c r="AE6432">
        <v>-3.1231599999999999</v>
      </c>
      <c r="AF6432">
        <v>1.7264421341306</v>
      </c>
      <c r="AG6432">
        <v>-1.110437694889</v>
      </c>
      <c r="AH6432">
        <v>20.996071413398301</v>
      </c>
      <c r="AI6432">
        <v>93.017267502723399</v>
      </c>
      <c r="AJ6432">
        <v>85.299320078956995</v>
      </c>
      <c r="AK6432">
        <v>21.096177120825701</v>
      </c>
      <c r="AL6432">
        <v>86.827551153233003</v>
      </c>
      <c r="AM6432">
        <v>87.239682623927294</v>
      </c>
      <c r="AN6432">
        <v>1.00000000012804</v>
      </c>
    </row>
    <row r="6433" spans="1:40" x14ac:dyDescent="0.25">
      <c r="A6433" t="str">
        <f>"20190312172241789"</f>
        <v>20190312172241789</v>
      </c>
      <c r="B6433" t="str">
        <f>"1552382561776497"</f>
        <v>1552382561776497</v>
      </c>
      <c r="C6433" t="s">
        <v>40</v>
      </c>
      <c r="D6433">
        <v>3.2072370000000001</v>
      </c>
      <c r="E6433">
        <v>0.5129648</v>
      </c>
      <c r="F6433" t="s">
        <v>42</v>
      </c>
      <c r="G6433">
        <v>-322.15780000000001</v>
      </c>
      <c r="H6433" s="1">
        <v>-4.6659620000000001E-6</v>
      </c>
      <c r="I6433">
        <v>14.100350000000001</v>
      </c>
      <c r="J6433">
        <v>-342.8467</v>
      </c>
      <c r="K6433">
        <v>1.110401</v>
      </c>
      <c r="L6433">
        <v>17.229310000000002</v>
      </c>
      <c r="M6433">
        <v>0.99772110000000003</v>
      </c>
      <c r="N6433">
        <v>0</v>
      </c>
      <c r="O6433">
        <v>-6.6120810000000002E-2</v>
      </c>
      <c r="P6433">
        <v>0.99228970000000005</v>
      </c>
      <c r="Q6433">
        <v>4.1396710000000003E-2</v>
      </c>
      <c r="R6433">
        <v>-0.1168237</v>
      </c>
      <c r="S6433">
        <v>2.9774780000000001</v>
      </c>
      <c r="T6433">
        <v>-0.1587566</v>
      </c>
      <c r="U6433">
        <v>-0.44860840000000002</v>
      </c>
      <c r="V6433">
        <v>5.0916870000000003E-2</v>
      </c>
      <c r="W6433">
        <v>5.4835290000000002E-2</v>
      </c>
      <c r="X6433">
        <v>0.99719639999999998</v>
      </c>
      <c r="Y6433">
        <v>8.324703E-2</v>
      </c>
      <c r="Z6433">
        <v>1.2920099999999999E-3</v>
      </c>
      <c r="AA6433">
        <v>0.99652810000000003</v>
      </c>
      <c r="AB6433">
        <v>27</v>
      </c>
      <c r="AC6433">
        <v>20.688899999999901</v>
      </c>
      <c r="AD6433">
        <v>-1.1104056659620001</v>
      </c>
      <c r="AE6433">
        <v>-3.1289600000000002</v>
      </c>
      <c r="AF6433">
        <v>1.74909518278117</v>
      </c>
      <c r="AG6433">
        <v>-1.1104056659620001</v>
      </c>
      <c r="AH6433">
        <v>20.7919700047151</v>
      </c>
      <c r="AI6433">
        <v>93.046266423004894</v>
      </c>
      <c r="AJ6433">
        <v>85.191395089599098</v>
      </c>
      <c r="AK6433">
        <v>20.8949360223572</v>
      </c>
      <c r="AL6433">
        <v>86.856592799488794</v>
      </c>
      <c r="AM6433">
        <v>87.077014677809302</v>
      </c>
      <c r="AN6433">
        <v>1.00000004842646</v>
      </c>
    </row>
    <row r="6434" spans="1:40" x14ac:dyDescent="0.25">
      <c r="A6434" t="str">
        <f>"20190312172241800"</f>
        <v>20190312172241800</v>
      </c>
      <c r="B6434" t="str">
        <f>"1552382561796992"</f>
        <v>1552382561796992</v>
      </c>
      <c r="C6434" t="s">
        <v>40</v>
      </c>
      <c r="D6434">
        <v>3.1856960000000001</v>
      </c>
      <c r="E6434">
        <v>0.51222219999999996</v>
      </c>
      <c r="F6434" t="s">
        <v>42</v>
      </c>
      <c r="G6434">
        <v>-322.28059999999999</v>
      </c>
      <c r="H6434" s="1">
        <v>-4.6084359999999999E-6</v>
      </c>
      <c r="I6434">
        <v>14.09732</v>
      </c>
      <c r="J6434">
        <v>-342.70620000000002</v>
      </c>
      <c r="K6434">
        <v>1.1103730000000001</v>
      </c>
      <c r="L6434">
        <v>17.220210000000002</v>
      </c>
      <c r="M6434">
        <v>0.99773199999999995</v>
      </c>
      <c r="N6434">
        <v>0</v>
      </c>
      <c r="O6434">
        <v>-6.5957070000000007E-2</v>
      </c>
      <c r="P6434">
        <v>0.99201700000000004</v>
      </c>
      <c r="Q6434">
        <v>4.111563E-2</v>
      </c>
      <c r="R6434">
        <v>-0.1192129</v>
      </c>
      <c r="S6434">
        <v>2.9766240000000002</v>
      </c>
      <c r="T6434">
        <v>-0.16071440000000001</v>
      </c>
      <c r="U6434">
        <v>-0.45330809999999999</v>
      </c>
      <c r="V6434">
        <v>5.348642E-2</v>
      </c>
      <c r="W6434">
        <v>5.4548180000000002E-2</v>
      </c>
      <c r="X6434">
        <v>0.99707760000000001</v>
      </c>
      <c r="Y6434">
        <v>8.4987370000000007E-2</v>
      </c>
      <c r="Z6434">
        <v>1.252663E-3</v>
      </c>
      <c r="AA6434">
        <v>0.99638119999999997</v>
      </c>
      <c r="AB6434">
        <v>27</v>
      </c>
      <c r="AC6434">
        <v>20.425599999999999</v>
      </c>
      <c r="AD6434">
        <v>-1.110377608436</v>
      </c>
      <c r="AE6434">
        <v>-3.1228899999999999</v>
      </c>
      <c r="AF6434">
        <v>1.7636612340159501</v>
      </c>
      <c r="AG6434">
        <v>-1.110377608436</v>
      </c>
      <c r="AH6434">
        <v>20.527830857182298</v>
      </c>
      <c r="AI6434">
        <v>93.084845029696595</v>
      </c>
      <c r="AJ6434">
        <v>85.0894564963086</v>
      </c>
      <c r="AK6434">
        <v>20.633353558808</v>
      </c>
      <c r="AL6434">
        <v>86.873067561475196</v>
      </c>
      <c r="AM6434">
        <v>86.929414833797196</v>
      </c>
      <c r="AN6434">
        <v>1.0000000207437401</v>
      </c>
    </row>
    <row r="6435" spans="1:40" x14ac:dyDescent="0.25">
      <c r="A6435" t="str">
        <f>"20190312172241812"</f>
        <v>20190312172241812</v>
      </c>
      <c r="B6435" t="str">
        <f>"1552382561806753"</f>
        <v>1552382561806753</v>
      </c>
      <c r="C6435" t="s">
        <v>40</v>
      </c>
      <c r="D6435">
        <v>3.212059</v>
      </c>
      <c r="E6435">
        <v>0.51189419999999997</v>
      </c>
      <c r="F6435" t="s">
        <v>42</v>
      </c>
      <c r="G6435">
        <v>-321.86720000000003</v>
      </c>
      <c r="H6435" s="1">
        <v>-4.8145339999999999E-6</v>
      </c>
      <c r="I6435">
        <v>14.037100000000001</v>
      </c>
      <c r="J6435">
        <v>-342.55990000000003</v>
      </c>
      <c r="K6435">
        <v>1.110355</v>
      </c>
      <c r="L6435">
        <v>17.210750000000001</v>
      </c>
      <c r="M6435">
        <v>0.99774220000000002</v>
      </c>
      <c r="N6435">
        <v>0</v>
      </c>
      <c r="O6435">
        <v>-6.5801789999999999E-2</v>
      </c>
      <c r="P6435">
        <v>0.99170729999999996</v>
      </c>
      <c r="Q6435">
        <v>4.086538E-2</v>
      </c>
      <c r="R6435">
        <v>-0.1218472</v>
      </c>
      <c r="S6435">
        <v>2.9760740000000001</v>
      </c>
      <c r="T6435">
        <v>-0.1585763</v>
      </c>
      <c r="U6435">
        <v>-0.45458979999999999</v>
      </c>
      <c r="V6435">
        <v>5.6293330000000003E-2</v>
      </c>
      <c r="W6435">
        <v>5.4292979999999998E-2</v>
      </c>
      <c r="X6435">
        <v>0.99693699999999996</v>
      </c>
      <c r="Y6435">
        <v>8.5588819999999996E-2</v>
      </c>
      <c r="Z6435">
        <v>1.212086E-3</v>
      </c>
      <c r="AA6435">
        <v>0.99632980000000004</v>
      </c>
      <c r="AB6435">
        <v>27</v>
      </c>
      <c r="AC6435">
        <v>20.692699999999999</v>
      </c>
      <c r="AD6435">
        <v>-1.1103598145339999</v>
      </c>
      <c r="AE6435">
        <v>-3.1736499999999999</v>
      </c>
      <c r="AF6435">
        <v>1.79996724771628</v>
      </c>
      <c r="AG6435">
        <v>-1.1103598145339999</v>
      </c>
      <c r="AH6435">
        <v>20.798186792361999</v>
      </c>
      <c r="AI6435">
        <v>93.044608767442497</v>
      </c>
      <c r="AJ6435">
        <v>85.0536939542298</v>
      </c>
      <c r="AK6435">
        <v>20.9054384039312</v>
      </c>
      <c r="AL6435">
        <v>86.887711155590793</v>
      </c>
      <c r="AM6435">
        <v>86.768152051039394</v>
      </c>
      <c r="AN6435">
        <v>1.0000000243243801</v>
      </c>
    </row>
    <row r="6436" spans="1:40" x14ac:dyDescent="0.25">
      <c r="A6436" t="str">
        <f>"20190312172241825"</f>
        <v>20190312172241825</v>
      </c>
      <c r="B6436" t="str">
        <f>"1552382561816514"</f>
        <v>1552382561816514</v>
      </c>
      <c r="C6436" t="s">
        <v>40</v>
      </c>
      <c r="D6436">
        <v>3.1895259999999999</v>
      </c>
      <c r="E6436">
        <v>0.51160709999999998</v>
      </c>
      <c r="F6436" t="s">
        <v>42</v>
      </c>
      <c r="G6436">
        <v>-321.65519999999998</v>
      </c>
      <c r="H6436" s="1">
        <v>-4.9249540000000003E-6</v>
      </c>
      <c r="I6436">
        <v>13.97987</v>
      </c>
      <c r="J6436">
        <v>-342.41500000000002</v>
      </c>
      <c r="K6436">
        <v>1.110333</v>
      </c>
      <c r="L6436">
        <v>17.201350000000001</v>
      </c>
      <c r="M6436">
        <v>0.99775230000000004</v>
      </c>
      <c r="N6436">
        <v>0</v>
      </c>
      <c r="O6436">
        <v>-6.5650390000000003E-2</v>
      </c>
      <c r="P6436">
        <v>0.99141939999999995</v>
      </c>
      <c r="Q6436">
        <v>4.0427280000000003E-2</v>
      </c>
      <c r="R6436">
        <v>-0.1243118</v>
      </c>
      <c r="S6436">
        <v>2.975098</v>
      </c>
      <c r="T6436">
        <v>-0.158023</v>
      </c>
      <c r="U6436">
        <v>-0.4598083</v>
      </c>
      <c r="V6436">
        <v>5.8924980000000002E-2</v>
      </c>
      <c r="W6436">
        <v>5.3849689999999999E-2</v>
      </c>
      <c r="X6436">
        <v>0.9968089</v>
      </c>
      <c r="Y6436">
        <v>8.7493349999999998E-2</v>
      </c>
      <c r="Z6436">
        <v>1.149841E-3</v>
      </c>
      <c r="AA6436">
        <v>0.99616439999999995</v>
      </c>
      <c r="AB6436">
        <v>27</v>
      </c>
      <c r="AC6436">
        <v>20.759799999999998</v>
      </c>
      <c r="AD6436">
        <v>-1.110337924954</v>
      </c>
      <c r="AE6436">
        <v>-3.2214800000000001</v>
      </c>
      <c r="AF6436">
        <v>1.8463595206593399</v>
      </c>
      <c r="AG6436">
        <v>-1.110337924954</v>
      </c>
      <c r="AH6436">
        <v>20.868224132551202</v>
      </c>
      <c r="AI6436">
        <v>93.033841660688196</v>
      </c>
      <c r="AJ6436">
        <v>84.943802974647895</v>
      </c>
      <c r="AK6436">
        <v>20.979148510688301</v>
      </c>
      <c r="AL6436">
        <v>86.913146821770198</v>
      </c>
      <c r="AM6436">
        <v>86.616976110748297</v>
      </c>
      <c r="AN6436">
        <v>0.99999996275015202</v>
      </c>
    </row>
    <row r="6437" spans="1:40" x14ac:dyDescent="0.25">
      <c r="A6437" t="str">
        <f>"20190312172241837"</f>
        <v>20190312172241837</v>
      </c>
      <c r="B6437" t="str">
        <f>"1552382561827248"</f>
        <v>1552382561827248</v>
      </c>
      <c r="C6437" t="s">
        <v>40</v>
      </c>
      <c r="D6437">
        <v>3.1395309999999998</v>
      </c>
      <c r="E6437">
        <v>0.51128720000000005</v>
      </c>
      <c r="F6437" t="s">
        <v>42</v>
      </c>
      <c r="G6437">
        <v>-321.6044</v>
      </c>
      <c r="H6437" s="1">
        <v>-4.9542949999999998E-6</v>
      </c>
      <c r="I6437">
        <v>13.94965</v>
      </c>
      <c r="J6437">
        <v>-342.26760000000002</v>
      </c>
      <c r="K6437">
        <v>1.110322</v>
      </c>
      <c r="L6437">
        <v>17.191859999999998</v>
      </c>
      <c r="M6437">
        <v>0.99776229999999999</v>
      </c>
      <c r="N6437">
        <v>0</v>
      </c>
      <c r="O6437">
        <v>-6.5499859999999993E-2</v>
      </c>
      <c r="P6437">
        <v>0.99116709999999997</v>
      </c>
      <c r="Q6437">
        <v>4.0228630000000001E-2</v>
      </c>
      <c r="R6437">
        <v>-0.12637190000000001</v>
      </c>
      <c r="S6437">
        <v>2.9741819999999999</v>
      </c>
      <c r="T6437">
        <v>-0.15868570000000001</v>
      </c>
      <c r="U6437">
        <v>-0.46472170000000002</v>
      </c>
      <c r="V6437">
        <v>6.1149219999999997E-2</v>
      </c>
      <c r="W6437">
        <v>5.3647319999999998E-2</v>
      </c>
      <c r="X6437">
        <v>0.99668590000000001</v>
      </c>
      <c r="Y6437">
        <v>8.9293670000000006E-2</v>
      </c>
      <c r="Z6437">
        <v>1.099165E-3</v>
      </c>
      <c r="AA6437">
        <v>0.99600480000000002</v>
      </c>
      <c r="AB6437">
        <v>27</v>
      </c>
      <c r="AC6437">
        <v>20.6632</v>
      </c>
      <c r="AD6437">
        <v>-1.1103269542950001</v>
      </c>
      <c r="AE6437">
        <v>-3.24221</v>
      </c>
      <c r="AF6437">
        <v>1.87639998118982</v>
      </c>
      <c r="AG6437">
        <v>-1.1103269542950001</v>
      </c>
      <c r="AH6437">
        <v>20.772665079347</v>
      </c>
      <c r="AI6437">
        <v>93.047241763595693</v>
      </c>
      <c r="AJ6437">
        <v>84.838466234090205</v>
      </c>
      <c r="AK6437">
        <v>20.886773741618502</v>
      </c>
      <c r="AL6437">
        <v>86.924758738228107</v>
      </c>
      <c r="AM6437">
        <v>86.4891585905863</v>
      </c>
      <c r="AN6437">
        <v>1.0000000226543</v>
      </c>
    </row>
    <row r="6438" spans="1:40" x14ac:dyDescent="0.25">
      <c r="A6438" t="str">
        <f>"20190312172241847"</f>
        <v>20190312172241847</v>
      </c>
      <c r="B6438" t="str">
        <f>"1552382561837009"</f>
        <v>1552382561837009</v>
      </c>
      <c r="C6438" t="s">
        <v>40</v>
      </c>
      <c r="D6438">
        <v>3.1847210000000001</v>
      </c>
      <c r="E6438">
        <v>0.51109099999999996</v>
      </c>
      <c r="F6438" t="s">
        <v>42</v>
      </c>
      <c r="G6438">
        <v>-321.41030000000001</v>
      </c>
      <c r="H6438" s="1">
        <v>-5.0535659999999997E-6</v>
      </c>
      <c r="I6438">
        <v>13.907229999999901</v>
      </c>
      <c r="J6438">
        <v>-342.13619999999997</v>
      </c>
      <c r="K6438">
        <v>1.1103149999999999</v>
      </c>
      <c r="L6438">
        <v>17.183350000000001</v>
      </c>
      <c r="M6438">
        <v>0.99777110000000002</v>
      </c>
      <c r="N6438">
        <v>0</v>
      </c>
      <c r="O6438">
        <v>-6.5365119999999999E-2</v>
      </c>
      <c r="P6438">
        <v>0.99091300000000004</v>
      </c>
      <c r="Q6438">
        <v>3.9843190000000001E-2</v>
      </c>
      <c r="R6438">
        <v>-0.1284691</v>
      </c>
      <c r="S6438">
        <v>2.9734500000000001</v>
      </c>
      <c r="T6438">
        <v>-0.15828989999999901</v>
      </c>
      <c r="U6438">
        <v>-0.4682617</v>
      </c>
      <c r="V6438">
        <v>6.3394049999999993E-2</v>
      </c>
      <c r="W6438">
        <v>5.3258310000000003E-2</v>
      </c>
      <c r="X6438">
        <v>0.99656650000000002</v>
      </c>
      <c r="Y6438">
        <v>9.0620950000000006E-2</v>
      </c>
      <c r="Z6438">
        <v>1.0543760000000001E-3</v>
      </c>
      <c r="AA6438">
        <v>0.99588489999999996</v>
      </c>
      <c r="AB6438">
        <v>27</v>
      </c>
      <c r="AC6438">
        <v>20.7258999999999</v>
      </c>
      <c r="AD6438">
        <v>-1.1103200535659901</v>
      </c>
      <c r="AE6438">
        <v>-3.2761200000000001</v>
      </c>
      <c r="AF6438">
        <v>1.9088946005765399</v>
      </c>
      <c r="AG6438">
        <v>-1.1103200535659901</v>
      </c>
      <c r="AH6438">
        <v>20.837387316063801</v>
      </c>
      <c r="AI6438">
        <v>93.037425917707395</v>
      </c>
      <c r="AJ6438">
        <v>84.7657939691411</v>
      </c>
      <c r="AK6438">
        <v>20.954078347117001</v>
      </c>
      <c r="AL6438">
        <v>86.947079274094307</v>
      </c>
      <c r="AM6438">
        <v>86.360178604165498</v>
      </c>
      <c r="AN6438">
        <v>1.00000002104085</v>
      </c>
    </row>
    <row r="6439" spans="1:40" x14ac:dyDescent="0.25">
      <c r="A6439" t="str">
        <f>"20190312172241860"</f>
        <v>20190312172241860</v>
      </c>
      <c r="B6439" t="str">
        <f>"1552382561856529"</f>
        <v>1552382561856529</v>
      </c>
      <c r="C6439" t="s">
        <v>40</v>
      </c>
      <c r="D6439">
        <v>3.1617730000000002</v>
      </c>
      <c r="E6439">
        <v>0.51059569999999999</v>
      </c>
      <c r="F6439" t="s">
        <v>42</v>
      </c>
      <c r="G6439">
        <v>-321.464</v>
      </c>
      <c r="H6439" s="1">
        <v>-5.0303869999999996E-6</v>
      </c>
      <c r="I6439">
        <v>13.89489</v>
      </c>
      <c r="J6439">
        <v>-341.99250000000001</v>
      </c>
      <c r="K6439">
        <v>1.1103080000000001</v>
      </c>
      <c r="L6439">
        <v>17.174129999999899</v>
      </c>
      <c r="M6439">
        <v>0.99778069999999996</v>
      </c>
      <c r="N6439">
        <v>0</v>
      </c>
      <c r="O6439">
        <v>-6.521747E-2</v>
      </c>
      <c r="P6439">
        <v>0.99070999999999998</v>
      </c>
      <c r="Q6439">
        <v>3.9325569999999997E-2</v>
      </c>
      <c r="R6439">
        <v>-0.1301823</v>
      </c>
      <c r="S6439">
        <v>2.9725950000000001</v>
      </c>
      <c r="T6439">
        <v>-0.15966060000000001</v>
      </c>
      <c r="U6439">
        <v>-0.47286990000000001</v>
      </c>
      <c r="V6439">
        <v>6.5265160000000003E-2</v>
      </c>
      <c r="W6439">
        <v>5.273738E-2</v>
      </c>
      <c r="X6439">
        <v>0.99647339999999995</v>
      </c>
      <c r="Y6439">
        <v>9.2315060000000004E-2</v>
      </c>
      <c r="Z6439">
        <v>1.0106E-3</v>
      </c>
      <c r="AA6439">
        <v>0.99572930000000004</v>
      </c>
      <c r="AB6439">
        <v>27</v>
      </c>
      <c r="AC6439">
        <v>20.528500000000001</v>
      </c>
      <c r="AD6439">
        <v>-1.1103130303869999</v>
      </c>
      <c r="AE6439">
        <v>-3.2792399999999899</v>
      </c>
      <c r="AF6439">
        <v>1.9278206927655599</v>
      </c>
      <c r="AG6439">
        <v>-1.1103130303869999</v>
      </c>
      <c r="AH6439">
        <v>20.6397954060843</v>
      </c>
      <c r="AI6439">
        <v>93.065926092407594</v>
      </c>
      <c r="AJ6439">
        <v>84.663878828461407</v>
      </c>
      <c r="AK6439">
        <v>20.7593458965816</v>
      </c>
      <c r="AL6439">
        <v>86.976968319918498</v>
      </c>
      <c r="AM6439">
        <v>86.252699882887399</v>
      </c>
      <c r="AN6439">
        <v>1.0000000046333199</v>
      </c>
    </row>
    <row r="6440" spans="1:40" x14ac:dyDescent="0.25">
      <c r="A6440" t="str">
        <f>"20190312172241872"</f>
        <v>20190312172241872</v>
      </c>
      <c r="B6440" t="str">
        <f>"1552382561867266"</f>
        <v>1552382561867266</v>
      </c>
      <c r="C6440" t="s">
        <v>40</v>
      </c>
      <c r="D6440">
        <v>3.1547269999999998</v>
      </c>
      <c r="E6440">
        <v>0.51043260000000001</v>
      </c>
      <c r="F6440" t="s">
        <v>42</v>
      </c>
      <c r="G6440">
        <v>-321.56720000000001</v>
      </c>
      <c r="H6440" s="1">
        <v>-4.9776469999999998E-6</v>
      </c>
      <c r="I6440">
        <v>13.91724</v>
      </c>
      <c r="J6440">
        <v>-341.85359999999997</v>
      </c>
      <c r="K6440">
        <v>1.110309</v>
      </c>
      <c r="L6440">
        <v>17.165220000000001</v>
      </c>
      <c r="M6440">
        <v>0.99779050000000002</v>
      </c>
      <c r="N6440">
        <v>0</v>
      </c>
      <c r="O6440">
        <v>-6.5070359999999994E-2</v>
      </c>
      <c r="P6440">
        <v>0.99054089999999995</v>
      </c>
      <c r="Q6440">
        <v>3.87915E-2</v>
      </c>
      <c r="R6440">
        <v>-0.1316224</v>
      </c>
      <c r="S6440">
        <v>2.9722599999999999</v>
      </c>
      <c r="T6440">
        <v>-0.16157099999999999</v>
      </c>
      <c r="U6440">
        <v>-0.47393800000000003</v>
      </c>
      <c r="V6440">
        <v>6.6860390000000006E-2</v>
      </c>
      <c r="W6440">
        <v>5.2201200000000003E-2</v>
      </c>
      <c r="X6440">
        <v>0.9963959</v>
      </c>
      <c r="Y6440">
        <v>9.2826430000000001E-2</v>
      </c>
      <c r="Z6440">
        <v>1.001039E-3</v>
      </c>
      <c r="AA6440">
        <v>0.99568179999999995</v>
      </c>
      <c r="AB6440">
        <v>27</v>
      </c>
      <c r="AC6440">
        <v>20.286399999999901</v>
      </c>
      <c r="AD6440">
        <v>-1.1103139776469999</v>
      </c>
      <c r="AE6440">
        <v>-3.2479800000000001</v>
      </c>
      <c r="AF6440">
        <v>1.91533893677302</v>
      </c>
      <c r="AG6440">
        <v>-1.1103139776469999</v>
      </c>
      <c r="AH6440">
        <v>20.395196531910798</v>
      </c>
      <c r="AI6440">
        <v>93.1024807675023</v>
      </c>
      <c r="AJ6440">
        <v>84.635015150303801</v>
      </c>
      <c r="AK6440">
        <v>20.5150033377268</v>
      </c>
      <c r="AL6440">
        <v>87.007731632189802</v>
      </c>
      <c r="AM6440">
        <v>86.161080189153594</v>
      </c>
      <c r="AN6440">
        <v>1.0000000332846</v>
      </c>
    </row>
    <row r="6441" spans="1:40" x14ac:dyDescent="0.25">
      <c r="A6441" t="str">
        <f>"20190312172241883"</f>
        <v>20190312172241883</v>
      </c>
      <c r="B6441" t="str">
        <f>"1552382561877026"</f>
        <v>1552382561877026</v>
      </c>
      <c r="C6441" t="s">
        <v>40</v>
      </c>
      <c r="D6441">
        <v>3.1700020000000002</v>
      </c>
      <c r="E6441">
        <v>0.51043260000000001</v>
      </c>
      <c r="F6441" t="s">
        <v>42</v>
      </c>
      <c r="G6441">
        <v>-321.60860000000002</v>
      </c>
      <c r="H6441" s="1">
        <v>-4.9584060000000004E-6</v>
      </c>
      <c r="I6441">
        <v>13.91545</v>
      </c>
      <c r="J6441">
        <v>-341.7079</v>
      </c>
      <c r="K6441">
        <v>1.110312</v>
      </c>
      <c r="L6441">
        <v>17.155909999999999</v>
      </c>
      <c r="M6441">
        <v>0.99780069999999998</v>
      </c>
      <c r="N6441">
        <v>0</v>
      </c>
      <c r="O6441">
        <v>-6.4914180000000002E-2</v>
      </c>
      <c r="P6441">
        <v>0.99041250000000003</v>
      </c>
      <c r="Q6441">
        <v>3.8194980000000003E-2</v>
      </c>
      <c r="R6441">
        <v>-0.1327575</v>
      </c>
      <c r="S6441">
        <v>2.9716800000000001</v>
      </c>
      <c r="T6441">
        <v>-0.16297819999999999</v>
      </c>
      <c r="U6441">
        <v>-0.47702030000000001</v>
      </c>
      <c r="V6441">
        <v>6.8157519999999999E-2</v>
      </c>
      <c r="W6441">
        <v>5.1603099999999902E-2</v>
      </c>
      <c r="X6441">
        <v>0.99633910000000003</v>
      </c>
      <c r="Y6441">
        <v>9.4016710000000003E-2</v>
      </c>
      <c r="Z6441">
        <v>9.6894869999999999E-4</v>
      </c>
      <c r="AA6441">
        <v>0.99557010000000001</v>
      </c>
      <c r="AB6441">
        <v>27</v>
      </c>
      <c r="AC6441">
        <v>20.0992999999999</v>
      </c>
      <c r="AD6441">
        <v>-1.110316958406</v>
      </c>
      <c r="AE6441">
        <v>-3.2404600000000001</v>
      </c>
      <c r="AF6441">
        <v>1.92305740180189</v>
      </c>
      <c r="AG6441">
        <v>-1.110316958406</v>
      </c>
      <c r="AH6441">
        <v>20.207168060701399</v>
      </c>
      <c r="AI6441">
        <v>93.130932963236404</v>
      </c>
      <c r="AJ6441">
        <v>84.563699670370497</v>
      </c>
      <c r="AK6441">
        <v>20.328811931644701</v>
      </c>
      <c r="AL6441">
        <v>87.042046285026998</v>
      </c>
      <c r="AM6441">
        <v>86.086609742474707</v>
      </c>
      <c r="AN6441">
        <v>0.99999996482548403</v>
      </c>
    </row>
    <row r="6442" spans="1:40" x14ac:dyDescent="0.25">
      <c r="A6442" t="str">
        <f>"20190312172241901"</f>
        <v>20190312172241901</v>
      </c>
      <c r="B6442" t="str">
        <f>"1552382561896546"</f>
        <v>1552382561896546</v>
      </c>
      <c r="C6442" t="s">
        <v>40</v>
      </c>
      <c r="D6442">
        <v>3.246051</v>
      </c>
      <c r="E6442">
        <v>0.50459209999999999</v>
      </c>
      <c r="F6442" t="s">
        <v>42</v>
      </c>
      <c r="G6442">
        <v>-321.68849999999998</v>
      </c>
      <c r="H6442" s="1">
        <v>-4.9199330000000004E-6</v>
      </c>
      <c r="I6442">
        <v>13.919219999999999</v>
      </c>
      <c r="J6442">
        <v>-341.50450000000001</v>
      </c>
      <c r="K6442">
        <v>1.110317</v>
      </c>
      <c r="L6442">
        <v>17.142879999999899</v>
      </c>
      <c r="M6442">
        <v>0.99781540000000002</v>
      </c>
      <c r="N6442">
        <v>0</v>
      </c>
      <c r="O6442">
        <v>-6.4689640000000007E-2</v>
      </c>
      <c r="P6442">
        <v>0.99012929999999999</v>
      </c>
      <c r="Q6442">
        <v>3.8470560000000001E-2</v>
      </c>
      <c r="R6442">
        <v>-0.13477449999999999</v>
      </c>
      <c r="S6442">
        <v>2.9710079999999999</v>
      </c>
      <c r="T6442">
        <v>-0.1647779</v>
      </c>
      <c r="U6442">
        <v>-0.48034670000000002</v>
      </c>
      <c r="V6442">
        <v>7.0412580000000002E-2</v>
      </c>
      <c r="W6442">
        <v>5.1875959999999999E-2</v>
      </c>
      <c r="X6442">
        <v>0.9961681</v>
      </c>
      <c r="Y6442">
        <v>9.5359040000000006E-2</v>
      </c>
      <c r="Z6442">
        <v>9.304618E-4</v>
      </c>
      <c r="AA6442">
        <v>0.99544250000000001</v>
      </c>
      <c r="AB6442">
        <v>27</v>
      </c>
      <c r="AC6442">
        <v>19.815999999999999</v>
      </c>
      <c r="AD6442">
        <v>-1.1103219199329999</v>
      </c>
      <c r="AE6442">
        <v>-3.22365999999999</v>
      </c>
      <c r="AF6442">
        <v>1.9290014911318001</v>
      </c>
      <c r="AG6442">
        <v>-1.1103219199329999</v>
      </c>
      <c r="AH6442">
        <v>19.922109064917201</v>
      </c>
      <c r="AI6442">
        <v>93.175155186176895</v>
      </c>
      <c r="AJ6442">
        <v>84.469452557052307</v>
      </c>
      <c r="AK6442">
        <v>20.046054252972802</v>
      </c>
      <c r="AL6442">
        <v>87.026391591019404</v>
      </c>
      <c r="AM6442">
        <v>85.956862097573605</v>
      </c>
      <c r="AN6442">
        <v>0.99999996505289301</v>
      </c>
    </row>
    <row r="6443" spans="1:40" x14ac:dyDescent="0.25">
      <c r="A6443" t="str">
        <f>"20190312172241914"</f>
        <v>20190312172241914</v>
      </c>
      <c r="B6443" t="str">
        <f>"1552382561907281"</f>
        <v>1552382561907281</v>
      </c>
      <c r="C6443" t="s">
        <v>40</v>
      </c>
      <c r="D6443">
        <v>3.1447340000000001</v>
      </c>
      <c r="E6443">
        <v>0.50450810000000001</v>
      </c>
      <c r="F6443" t="s">
        <v>43</v>
      </c>
      <c r="G6443">
        <v>-316.5883</v>
      </c>
      <c r="H6443">
        <v>-0.05</v>
      </c>
      <c r="I6443">
        <v>13.45697</v>
      </c>
      <c r="J6443">
        <v>-341.34750000000003</v>
      </c>
      <c r="K6443">
        <v>1.110322</v>
      </c>
      <c r="L6443">
        <v>17.132899999999999</v>
      </c>
      <c r="M6443">
        <v>0.99782689999999996</v>
      </c>
      <c r="N6443">
        <v>0</v>
      </c>
      <c r="O6443">
        <v>-6.4509919999999998E-2</v>
      </c>
      <c r="P6443">
        <v>0.99003589999999997</v>
      </c>
      <c r="Q6443">
        <v>3.8468870000000002E-2</v>
      </c>
      <c r="R6443">
        <v>-0.13545979999999999</v>
      </c>
      <c r="S6443">
        <v>2.9753720000000001</v>
      </c>
      <c r="T6443">
        <v>-0.1385595</v>
      </c>
      <c r="U6443">
        <v>-0.44015500000000002</v>
      </c>
      <c r="V6443">
        <v>7.1281280000000002E-2</v>
      </c>
      <c r="W6443">
        <v>5.1872630000000003E-2</v>
      </c>
      <c r="X6443">
        <v>0.99610650000000001</v>
      </c>
      <c r="Y6443">
        <v>8.2195340000000006E-2</v>
      </c>
      <c r="Z6443">
        <v>1.0789790000000001E-3</v>
      </c>
      <c r="AA6443">
        <v>0.99661560000000005</v>
      </c>
      <c r="AB6443">
        <v>27</v>
      </c>
      <c r="AC6443">
        <v>24.7592</v>
      </c>
      <c r="AD6443">
        <v>-1.1603219999999901</v>
      </c>
      <c r="AE6443">
        <v>-3.6759299999999899</v>
      </c>
      <c r="AF6443">
        <v>2.0664735305776101</v>
      </c>
      <c r="AG6443">
        <v>-1.1603219999999901</v>
      </c>
      <c r="AH6443">
        <v>24.891285493777399</v>
      </c>
      <c r="AI6443">
        <v>92.659807396610901</v>
      </c>
      <c r="AJ6443">
        <v>85.254189902816904</v>
      </c>
      <c r="AK6443">
        <v>25.003854773394401</v>
      </c>
      <c r="AL6443">
        <v>87.026582672749896</v>
      </c>
      <c r="AM6443">
        <v>85.906897000385996</v>
      </c>
      <c r="AN6443">
        <v>0.99999997498190196</v>
      </c>
    </row>
    <row r="6444" spans="1:40" x14ac:dyDescent="0.25">
      <c r="A6444" t="str">
        <f>"20190312172241924"</f>
        <v>20190312172241924</v>
      </c>
      <c r="B6444" t="str">
        <f>"1552382561917041"</f>
        <v>1552382561917041</v>
      </c>
      <c r="C6444" t="s">
        <v>40</v>
      </c>
      <c r="D6444">
        <v>3.2476889999999998</v>
      </c>
      <c r="E6444">
        <v>0.50457470000000004</v>
      </c>
      <c r="F6444" t="s">
        <v>43</v>
      </c>
      <c r="G6444">
        <v>-316.28300000000002</v>
      </c>
      <c r="H6444">
        <v>-0.05</v>
      </c>
      <c r="I6444">
        <v>13.412660000000001</v>
      </c>
      <c r="J6444">
        <v>-341.2133</v>
      </c>
      <c r="K6444">
        <v>1.1103229999999999</v>
      </c>
      <c r="L6444">
        <v>17.124389999999998</v>
      </c>
      <c r="M6444">
        <v>0.99783690000000003</v>
      </c>
      <c r="N6444">
        <v>0</v>
      </c>
      <c r="O6444">
        <v>-6.4354060000000005E-2</v>
      </c>
      <c r="P6444">
        <v>0.99001470000000003</v>
      </c>
      <c r="Q6444">
        <v>3.8634189999999999E-2</v>
      </c>
      <c r="R6444">
        <v>-0.135565299999999</v>
      </c>
      <c r="S6444">
        <v>2.9751280000000002</v>
      </c>
      <c r="T6444">
        <v>-0.13772899999999999</v>
      </c>
      <c r="U6444">
        <v>-0.44158940000000002</v>
      </c>
      <c r="V6444">
        <v>7.1543350000000006E-2</v>
      </c>
      <c r="W6444">
        <v>5.2036930000000002E-2</v>
      </c>
      <c r="X6444">
        <v>0.9960791</v>
      </c>
      <c r="Y6444">
        <v>8.2832370000000002E-2</v>
      </c>
      <c r="Z6444">
        <v>1.050755E-3</v>
      </c>
      <c r="AA6444">
        <v>0.99656299999999998</v>
      </c>
      <c r="AB6444">
        <v>27</v>
      </c>
      <c r="AC6444">
        <v>24.9302999999999</v>
      </c>
      <c r="AD6444">
        <v>-1.160323</v>
      </c>
      <c r="AE6444">
        <v>-3.71172999999999</v>
      </c>
      <c r="AF6444">
        <v>2.0950841838868999</v>
      </c>
      <c r="AG6444">
        <v>-1.160323</v>
      </c>
      <c r="AH6444">
        <v>25.064382231089901</v>
      </c>
      <c r="AI6444">
        <v>92.641342945823297</v>
      </c>
      <c r="AJ6444">
        <v>85.221862012973006</v>
      </c>
      <c r="AK6444">
        <v>25.1785421307127</v>
      </c>
      <c r="AL6444">
        <v>87.017156120320394</v>
      </c>
      <c r="AM6444">
        <v>85.891787266168393</v>
      </c>
      <c r="AN6444">
        <v>0.99999993323492598</v>
      </c>
    </row>
    <row r="6445" spans="1:40" x14ac:dyDescent="0.25">
      <c r="A6445" t="str">
        <f>"20190312172241935"</f>
        <v>20190312172241935</v>
      </c>
      <c r="B6445" t="str">
        <f>"1552382561926801"</f>
        <v>1552382561926801</v>
      </c>
      <c r="C6445" t="s">
        <v>40</v>
      </c>
      <c r="D6445">
        <v>3.1386829999999999</v>
      </c>
      <c r="E6445">
        <v>0.50453490000000001</v>
      </c>
      <c r="F6445" t="s">
        <v>43</v>
      </c>
      <c r="G6445">
        <v>-316.12389999999999</v>
      </c>
      <c r="H6445">
        <v>-0.05</v>
      </c>
      <c r="I6445">
        <v>13.393129999999999</v>
      </c>
      <c r="J6445">
        <v>-341.08109999999999</v>
      </c>
      <c r="K6445">
        <v>1.110328</v>
      </c>
      <c r="L6445">
        <v>17.116</v>
      </c>
      <c r="M6445">
        <v>0.99784709999999999</v>
      </c>
      <c r="N6445">
        <v>0</v>
      </c>
      <c r="O6445">
        <v>-6.4198320000000003E-2</v>
      </c>
      <c r="P6445">
        <v>0.98996700000000004</v>
      </c>
      <c r="Q6445">
        <v>3.9022969999999997E-2</v>
      </c>
      <c r="R6445">
        <v>-0.1358055</v>
      </c>
      <c r="S6445">
        <v>2.9750369999999999</v>
      </c>
      <c r="T6445">
        <v>-0.13758799999999999</v>
      </c>
      <c r="U6445">
        <v>-0.4424438</v>
      </c>
      <c r="V6445">
        <v>7.1940740000000003E-2</v>
      </c>
      <c r="W6445">
        <v>5.2425010000000001E-2</v>
      </c>
      <c r="X6445">
        <v>0.99603019999999998</v>
      </c>
      <c r="Y6445">
        <v>8.3271860000000003E-2</v>
      </c>
      <c r="Z6445">
        <v>1.0324500000000001E-3</v>
      </c>
      <c r="AA6445">
        <v>0.99652640000000003</v>
      </c>
      <c r="AB6445">
        <v>27</v>
      </c>
      <c r="AC6445">
        <v>24.9572</v>
      </c>
      <c r="AD6445">
        <v>-1.160328</v>
      </c>
      <c r="AE6445">
        <v>-3.7228699999999999</v>
      </c>
      <c r="AF6445">
        <v>2.1083764052097802</v>
      </c>
      <c r="AG6445">
        <v>-1.160328</v>
      </c>
      <c r="AH6445">
        <v>25.091674642903399</v>
      </c>
      <c r="AI6445">
        <v>92.638389131172801</v>
      </c>
      <c r="AJ6445">
        <v>85.196894451974103</v>
      </c>
      <c r="AK6445">
        <v>25.206819484396501</v>
      </c>
      <c r="AL6445">
        <v>86.994890597989695</v>
      </c>
      <c r="AM6445">
        <v>85.868844731038493</v>
      </c>
      <c r="AN6445">
        <v>1.00000000552864</v>
      </c>
    </row>
    <row r="6446" spans="1:40" x14ac:dyDescent="0.25">
      <c r="A6446" t="str">
        <f>"20190312172241945"</f>
        <v>20190312172241945</v>
      </c>
      <c r="B6446" t="str">
        <f>"1552382561936562"</f>
        <v>1552382561936562</v>
      </c>
      <c r="C6446" t="s">
        <v>40</v>
      </c>
      <c r="D6446">
        <v>3.2465139999999999</v>
      </c>
      <c r="E6446">
        <v>0.50441720000000001</v>
      </c>
      <c r="F6446" t="s">
        <v>43</v>
      </c>
      <c r="G6446">
        <v>-315.46449999999999</v>
      </c>
      <c r="H6446">
        <v>-0.05</v>
      </c>
      <c r="I6446">
        <v>13.30254</v>
      </c>
      <c r="J6446">
        <v>-340.96910000000003</v>
      </c>
      <c r="K6446">
        <v>1.110333</v>
      </c>
      <c r="L6446">
        <v>17.10895</v>
      </c>
      <c r="M6446">
        <v>0.99785570000000001</v>
      </c>
      <c r="N6446">
        <v>0</v>
      </c>
      <c r="O6446">
        <v>-6.4064750000000004E-2</v>
      </c>
      <c r="P6446">
        <v>0.98991470000000004</v>
      </c>
      <c r="Q6446">
        <v>3.9324270000000001E-2</v>
      </c>
      <c r="R6446">
        <v>-0.13609949999999901</v>
      </c>
      <c r="S6446">
        <v>2.974945</v>
      </c>
      <c r="T6446">
        <v>-0.1347527</v>
      </c>
      <c r="U6446">
        <v>-0.44287109999999902</v>
      </c>
      <c r="V6446">
        <v>7.2370370000000003E-2</v>
      </c>
      <c r="W6446">
        <v>5.2725479999999998E-2</v>
      </c>
      <c r="X6446">
        <v>0.99598319999999996</v>
      </c>
      <c r="Y6446">
        <v>8.355013E-2</v>
      </c>
      <c r="Z6446">
        <v>9.9895600000000006E-4</v>
      </c>
      <c r="AA6446">
        <v>0.99650309999999998</v>
      </c>
      <c r="AB6446">
        <v>27</v>
      </c>
      <c r="AC6446">
        <v>25.5046</v>
      </c>
      <c r="AD6446">
        <v>-1.1603330000000001</v>
      </c>
      <c r="AE6446">
        <v>-3.8064100000000001</v>
      </c>
      <c r="AF6446">
        <v>2.1601229870402201</v>
      </c>
      <c r="AG6446">
        <v>-1.1603330000000001</v>
      </c>
      <c r="AH6446">
        <v>25.644154452317299</v>
      </c>
      <c r="AI6446">
        <v>92.581591602645204</v>
      </c>
      <c r="AJ6446">
        <v>85.185084172298104</v>
      </c>
      <c r="AK6446">
        <v>25.761117242160399</v>
      </c>
      <c r="AL6446">
        <v>86.977651047423706</v>
      </c>
      <c r="AM6446">
        <v>85.844064237905002</v>
      </c>
      <c r="AN6446">
        <v>0.99999999068870304</v>
      </c>
    </row>
    <row r="6447" spans="1:40" x14ac:dyDescent="0.25">
      <c r="A6447" t="str">
        <f>"20190312172241955"</f>
        <v>20190312172241955</v>
      </c>
      <c r="B6447" t="str">
        <f>"1552382561947297"</f>
        <v>1552382561947297</v>
      </c>
      <c r="C6447" t="s">
        <v>40</v>
      </c>
      <c r="D6447">
        <v>3.1435119999999999</v>
      </c>
      <c r="E6447">
        <v>0.50438090000000002</v>
      </c>
      <c r="F6447" t="s">
        <v>43</v>
      </c>
      <c r="G6447">
        <v>-315.05599999999998</v>
      </c>
      <c r="H6447">
        <v>-0.05</v>
      </c>
      <c r="I6447">
        <v>13.251910000000001</v>
      </c>
      <c r="J6447">
        <v>-340.84460000000001</v>
      </c>
      <c r="K6447">
        <v>1.110344</v>
      </c>
      <c r="L6447">
        <v>17.101099999999999</v>
      </c>
      <c r="M6447">
        <v>0.99786520000000001</v>
      </c>
      <c r="N6447">
        <v>0</v>
      </c>
      <c r="O6447">
        <v>-6.3914730000000003E-2</v>
      </c>
      <c r="P6447">
        <v>0.98984930000000004</v>
      </c>
      <c r="Q6447">
        <v>4.0277100000000003E-2</v>
      </c>
      <c r="R6447">
        <v>-0.13629520000000001</v>
      </c>
      <c r="S6447">
        <v>2.9749759999999998</v>
      </c>
      <c r="T6447">
        <v>-0.13321279999999999</v>
      </c>
      <c r="U6447">
        <v>-0.44281009999999998</v>
      </c>
      <c r="V6447">
        <v>7.27188E-2</v>
      </c>
      <c r="W6447">
        <v>5.3676849999999998E-2</v>
      </c>
      <c r="X6447">
        <v>0.99590699999999999</v>
      </c>
      <c r="Y6447">
        <v>8.367861E-2</v>
      </c>
      <c r="Z6447">
        <v>9.780333E-4</v>
      </c>
      <c r="AA6447">
        <v>0.9964923</v>
      </c>
      <c r="AB6447">
        <v>27</v>
      </c>
      <c r="AC6447">
        <v>25.788599999999999</v>
      </c>
      <c r="AD6447">
        <v>-1.160344</v>
      </c>
      <c r="AE6447">
        <v>-3.8491899999999899</v>
      </c>
      <c r="AF6447">
        <v>2.1885644657462802</v>
      </c>
      <c r="AG6447">
        <v>-1.160344</v>
      </c>
      <c r="AH6447">
        <v>25.930551881412299</v>
      </c>
      <c r="AI6447">
        <v>92.5531050448473</v>
      </c>
      <c r="AJ6447">
        <v>85.175612882486803</v>
      </c>
      <c r="AK6447">
        <v>26.048603292569801</v>
      </c>
      <c r="AL6447">
        <v>86.923064253126299</v>
      </c>
      <c r="AM6447">
        <v>85.823807555335506</v>
      </c>
      <c r="AN6447">
        <v>0.99999999037418097</v>
      </c>
    </row>
    <row r="6448" spans="1:40" x14ac:dyDescent="0.25">
      <c r="A6448" t="str">
        <f>"20190312172241966"</f>
        <v>20190312172241966</v>
      </c>
      <c r="B6448" t="str">
        <f>"1552382561957057"</f>
        <v>1552382561957057</v>
      </c>
      <c r="C6448" t="s">
        <v>40</v>
      </c>
      <c r="D6448">
        <v>3.150363</v>
      </c>
      <c r="E6448">
        <v>0.50420050000000005</v>
      </c>
      <c r="F6448" t="s">
        <v>43</v>
      </c>
      <c r="G6448">
        <v>-314.35149999999999</v>
      </c>
      <c r="H6448">
        <v>-0.05</v>
      </c>
      <c r="I6448">
        <v>13.1557</v>
      </c>
      <c r="J6448">
        <v>-340.71370000000002</v>
      </c>
      <c r="K6448">
        <v>1.1103499999999999</v>
      </c>
      <c r="L6448">
        <v>17.0929</v>
      </c>
      <c r="M6448">
        <v>0.99787550000000003</v>
      </c>
      <c r="N6448">
        <v>0</v>
      </c>
      <c r="O6448">
        <v>-6.375625E-2</v>
      </c>
      <c r="P6448">
        <v>0.98978860000000002</v>
      </c>
      <c r="Q6448">
        <v>4.1060659999999999E-2</v>
      </c>
      <c r="R6448">
        <v>-0.13650319999999999</v>
      </c>
      <c r="S6448">
        <v>2.9750670000000001</v>
      </c>
      <c r="T6448">
        <v>-0.1303018</v>
      </c>
      <c r="U6448">
        <v>-0.44305420000000001</v>
      </c>
      <c r="V6448">
        <v>7.3087760000000002E-2</v>
      </c>
      <c r="W6448">
        <v>5.4459140000000003E-2</v>
      </c>
      <c r="X6448">
        <v>0.99583750000000004</v>
      </c>
      <c r="Y6448">
        <v>8.3912870000000001E-2</v>
      </c>
      <c r="Z6448">
        <v>9.4467049999999995E-4</v>
      </c>
      <c r="AA6448">
        <v>0.99647269999999999</v>
      </c>
      <c r="AB6448">
        <v>27</v>
      </c>
      <c r="AC6448">
        <v>26.362200000000001</v>
      </c>
      <c r="AD6448">
        <v>-1.16035</v>
      </c>
      <c r="AE6448">
        <v>-3.9371999999999998</v>
      </c>
      <c r="AF6448">
        <v>2.24402966100343</v>
      </c>
      <c r="AG6448">
        <v>-1.16035</v>
      </c>
      <c r="AH6448">
        <v>26.509362021919699</v>
      </c>
      <c r="AI6448">
        <v>92.497392138575194</v>
      </c>
      <c r="AJ6448">
        <v>85.161421236197796</v>
      </c>
      <c r="AK6448">
        <v>26.6294640586543</v>
      </c>
      <c r="AL6448">
        <v>86.878176621297101</v>
      </c>
      <c r="AM6448">
        <v>85.802402079309999</v>
      </c>
      <c r="AN6448">
        <v>0.99999997249880301</v>
      </c>
    </row>
    <row r="6449" spans="1:40" x14ac:dyDescent="0.25">
      <c r="A6449" t="str">
        <f>"20190312172241977"</f>
        <v>20190312172241977</v>
      </c>
      <c r="B6449" t="str">
        <f>"1552382561966818"</f>
        <v>1552382561966818</v>
      </c>
      <c r="C6449" t="s">
        <v>40</v>
      </c>
      <c r="D6449">
        <v>3.246499</v>
      </c>
      <c r="E6449">
        <v>0.50411549999999905</v>
      </c>
      <c r="F6449" t="s">
        <v>43</v>
      </c>
      <c r="G6449">
        <v>-313.91239999999999</v>
      </c>
      <c r="H6449">
        <v>-0.05</v>
      </c>
      <c r="I6449">
        <v>13.110110000000001</v>
      </c>
      <c r="J6449">
        <v>-340.58150000000001</v>
      </c>
      <c r="K6449">
        <v>1.1103559999999999</v>
      </c>
      <c r="L6449">
        <v>17.084589999999999</v>
      </c>
      <c r="M6449">
        <v>0.99788560000000004</v>
      </c>
      <c r="N6449">
        <v>0</v>
      </c>
      <c r="O6449">
        <v>-6.3595269999999995E-2</v>
      </c>
      <c r="P6449">
        <v>0.989734</v>
      </c>
      <c r="Q6449">
        <v>4.1854080000000002E-2</v>
      </c>
      <c r="R6449">
        <v>-0.13665569999999999</v>
      </c>
      <c r="S6449">
        <v>2.9752809999999998</v>
      </c>
      <c r="T6449">
        <v>-0.1288136</v>
      </c>
      <c r="U6449">
        <v>-0.4421387</v>
      </c>
      <c r="V6449">
        <v>7.3403280000000001E-2</v>
      </c>
      <c r="W6449">
        <v>5.5250929999999997E-2</v>
      </c>
      <c r="X6449">
        <v>0.99577070000000001</v>
      </c>
      <c r="Y6449">
        <v>8.3763610000000002E-2</v>
      </c>
      <c r="Z6449">
        <v>9.3016330000000001E-4</v>
      </c>
      <c r="AA6449">
        <v>0.99648519999999896</v>
      </c>
      <c r="AB6449">
        <v>27</v>
      </c>
      <c r="AC6449">
        <v>26.6691</v>
      </c>
      <c r="AD6449">
        <v>-1.1603559999999999</v>
      </c>
      <c r="AE6449">
        <v>-3.97447999999999</v>
      </c>
      <c r="AF6449">
        <v>2.2660554556143802</v>
      </c>
      <c r="AG6449">
        <v>-1.1603559999999999</v>
      </c>
      <c r="AH6449">
        <v>26.8182212070719</v>
      </c>
      <c r="AI6449">
        <v>92.4687105988328</v>
      </c>
      <c r="AJ6449">
        <v>85.170159363215703</v>
      </c>
      <c r="AK6449">
        <v>26.938790286241499</v>
      </c>
      <c r="AL6449">
        <v>86.832742061270807</v>
      </c>
      <c r="AM6449">
        <v>85.784064448387099</v>
      </c>
      <c r="AN6449">
        <v>0.99999999687955599</v>
      </c>
    </row>
    <row r="6450" spans="1:40" x14ac:dyDescent="0.25">
      <c r="A6450" t="str">
        <f>"20190312172241990"</f>
        <v>20190312172241990</v>
      </c>
      <c r="B6450" t="str">
        <f>"1552382561987313"</f>
        <v>1552382561987313</v>
      </c>
      <c r="C6450" t="s">
        <v>40</v>
      </c>
      <c r="D6450">
        <v>3.1769759999999998</v>
      </c>
      <c r="E6450">
        <v>0.50396019999999997</v>
      </c>
      <c r="F6450" t="s">
        <v>43</v>
      </c>
      <c r="G6450">
        <v>-313.2842</v>
      </c>
      <c r="H6450">
        <v>-0.05</v>
      </c>
      <c r="I6450">
        <v>13.031980000000001</v>
      </c>
      <c r="J6450">
        <v>-340.43729999999999</v>
      </c>
      <c r="K6450">
        <v>1.11036</v>
      </c>
      <c r="L6450">
        <v>17.075589999999998</v>
      </c>
      <c r="M6450">
        <v>0.99789700000000003</v>
      </c>
      <c r="N6450">
        <v>0</v>
      </c>
      <c r="O6450">
        <v>-6.341927E-2</v>
      </c>
      <c r="P6450">
        <v>0.98965740000000002</v>
      </c>
      <c r="Q6450">
        <v>4.25501E-2</v>
      </c>
      <c r="R6450">
        <v>-0.13699629999999999</v>
      </c>
      <c r="S6450">
        <v>2.9754330000000002</v>
      </c>
      <c r="T6450">
        <v>-0.12647990000000001</v>
      </c>
      <c r="U6450">
        <v>-0.44174190000000002</v>
      </c>
      <c r="V6450">
        <v>7.3923180000000005E-2</v>
      </c>
      <c r="W6450">
        <v>5.594557E-2</v>
      </c>
      <c r="X6450">
        <v>0.99569339999999995</v>
      </c>
      <c r="Y6450">
        <v>8.3802420000000002E-2</v>
      </c>
      <c r="Z6450">
        <v>9.0506250000000005E-4</v>
      </c>
      <c r="AA6450">
        <v>0.99648199999999998</v>
      </c>
      <c r="AB6450">
        <v>27</v>
      </c>
      <c r="AC6450">
        <v>27.153099999999899</v>
      </c>
      <c r="AD6450">
        <v>-1.1603600000000001</v>
      </c>
      <c r="AE6450">
        <v>-4.0436099999999904</v>
      </c>
      <c r="AF6450">
        <v>2.3091587403259801</v>
      </c>
      <c r="AG6450">
        <v>-1.1603600000000001</v>
      </c>
      <c r="AH6450">
        <v>27.306111697848799</v>
      </c>
      <c r="AI6450">
        <v>92.424648533365797</v>
      </c>
      <c r="AJ6450">
        <v>85.166246609799103</v>
      </c>
      <c r="AK6450">
        <v>27.428131279272701</v>
      </c>
      <c r="AL6450">
        <v>86.7928802966522</v>
      </c>
      <c r="AM6450">
        <v>85.753984265264293</v>
      </c>
      <c r="AN6450">
        <v>0.99999994507374701</v>
      </c>
    </row>
    <row r="6451" spans="1:40" x14ac:dyDescent="0.25">
      <c r="A6451" t="str">
        <f>"20190312172242005"</f>
        <v>20190312172242005</v>
      </c>
      <c r="B6451" t="str">
        <f>"1552382561997073"</f>
        <v>1552382561997073</v>
      </c>
      <c r="C6451" t="s">
        <v>40</v>
      </c>
      <c r="D6451">
        <v>3.245854</v>
      </c>
      <c r="E6451">
        <v>0.50393739999999998</v>
      </c>
      <c r="F6451" t="s">
        <v>43</v>
      </c>
      <c r="G6451">
        <v>-313.09390000000002</v>
      </c>
      <c r="H6451">
        <v>-0.05</v>
      </c>
      <c r="I6451">
        <v>13.02003</v>
      </c>
      <c r="J6451">
        <v>-340.26510000000002</v>
      </c>
      <c r="K6451">
        <v>1.110366</v>
      </c>
      <c r="L6451">
        <v>17.064879999999999</v>
      </c>
      <c r="M6451">
        <v>0.99791039999999998</v>
      </c>
      <c r="N6451">
        <v>0</v>
      </c>
      <c r="O6451">
        <v>-6.3208340000000002E-2</v>
      </c>
      <c r="P6451">
        <v>0.98963659999999998</v>
      </c>
      <c r="Q6451">
        <v>4.3137920000000003E-2</v>
      </c>
      <c r="R6451">
        <v>-0.13696349999999999</v>
      </c>
      <c r="S6451">
        <v>2.9756469999999999</v>
      </c>
      <c r="T6451">
        <v>-0.1262759</v>
      </c>
      <c r="U6451">
        <v>-0.44134519999999999</v>
      </c>
      <c r="V6451">
        <v>7.4101589999999995E-2</v>
      </c>
      <c r="W6451">
        <v>5.6531619999999998E-2</v>
      </c>
      <c r="X6451">
        <v>0.99564710000000001</v>
      </c>
      <c r="Y6451">
        <v>8.3872500000000003E-2</v>
      </c>
      <c r="Z6451">
        <v>8.932085E-4</v>
      </c>
      <c r="AA6451">
        <v>0.99647609999999998</v>
      </c>
      <c r="AB6451">
        <v>27</v>
      </c>
      <c r="AC6451">
        <v>27.171199999999999</v>
      </c>
      <c r="AD6451">
        <v>-1.160366</v>
      </c>
      <c r="AE6451">
        <v>-4.0448499999999896</v>
      </c>
      <c r="AF6451">
        <v>2.3150290674032599</v>
      </c>
      <c r="AG6451">
        <v>-1.160366</v>
      </c>
      <c r="AH6451">
        <v>27.323796458891898</v>
      </c>
      <c r="AI6451">
        <v>92.423061048772695</v>
      </c>
      <c r="AJ6451">
        <v>85.157138261905402</v>
      </c>
      <c r="AK6451">
        <v>27.446232196128999</v>
      </c>
      <c r="AL6451">
        <v>86.759249082707697</v>
      </c>
      <c r="AM6451">
        <v>85.743577127979094</v>
      </c>
      <c r="AN6451">
        <v>1.0000000087193801</v>
      </c>
    </row>
    <row r="6452" spans="1:40" x14ac:dyDescent="0.25">
      <c r="A6452" t="str">
        <f>"20190312172242017"</f>
        <v>20190312172242017</v>
      </c>
      <c r="B6452" t="str">
        <f>"1552382562006833"</f>
        <v>1552382562006833</v>
      </c>
      <c r="C6452" t="s">
        <v>40</v>
      </c>
      <c r="D6452">
        <v>3.1435179999999998</v>
      </c>
      <c r="E6452">
        <v>0.50384340000000005</v>
      </c>
      <c r="F6452" t="s">
        <v>43</v>
      </c>
      <c r="G6452">
        <v>-312.8374</v>
      </c>
      <c r="H6452">
        <v>-0.05</v>
      </c>
      <c r="I6452">
        <v>12.999650000000001</v>
      </c>
      <c r="J6452">
        <v>-340.10860000000002</v>
      </c>
      <c r="K6452">
        <v>1.1103700000000001</v>
      </c>
      <c r="L6452">
        <v>17.055150000000001</v>
      </c>
      <c r="M6452">
        <v>0.99792259999999999</v>
      </c>
      <c r="N6452">
        <v>0</v>
      </c>
      <c r="O6452">
        <v>-6.3015539999999995E-2</v>
      </c>
      <c r="P6452">
        <v>0.98958579999999996</v>
      </c>
      <c r="Q6452">
        <v>4.3538790000000001E-2</v>
      </c>
      <c r="R6452">
        <v>-0.13720379999999999</v>
      </c>
      <c r="S6452">
        <v>2.9758610000000001</v>
      </c>
      <c r="T6452">
        <v>-0.1258978</v>
      </c>
      <c r="U6452">
        <v>-0.44107059999999998</v>
      </c>
      <c r="V6452">
        <v>7.4536450000000004E-2</v>
      </c>
      <c r="W6452">
        <v>5.6931519999999999E-2</v>
      </c>
      <c r="X6452">
        <v>0.99559180000000003</v>
      </c>
      <c r="Y6452">
        <v>8.3964529999999996E-2</v>
      </c>
      <c r="Z6452">
        <v>8.8046749999999997E-4</v>
      </c>
      <c r="AA6452">
        <v>0.99646840000000003</v>
      </c>
      <c r="AB6452">
        <v>27</v>
      </c>
      <c r="AC6452">
        <v>27.2712</v>
      </c>
      <c r="AD6452">
        <v>-1.1603699999999999</v>
      </c>
      <c r="AE6452">
        <v>-4.0555000000000003</v>
      </c>
      <c r="AF6452">
        <v>2.3246571607358302</v>
      </c>
      <c r="AG6452">
        <v>-1.1603699999999999</v>
      </c>
      <c r="AH6452">
        <v>27.423997149715099</v>
      </c>
      <c r="AI6452">
        <v>92.414218149924807</v>
      </c>
      <c r="AJ6452">
        <v>85.154776573099099</v>
      </c>
      <c r="AK6452">
        <v>27.5467985275865</v>
      </c>
      <c r="AL6452">
        <v>86.736299368236104</v>
      </c>
      <c r="AM6452">
        <v>85.718454293119905</v>
      </c>
      <c r="AN6452">
        <v>0.99999995628767502</v>
      </c>
    </row>
    <row r="6453" spans="1:40" x14ac:dyDescent="0.25">
      <c r="A6453" t="str">
        <f>"20190312172242035"</f>
        <v>20190312172242035</v>
      </c>
      <c r="B6453" t="str">
        <f>"1552382562027329"</f>
        <v>1552382562027329</v>
      </c>
      <c r="C6453" t="s">
        <v>40</v>
      </c>
      <c r="D6453">
        <v>3.2421989999999998</v>
      </c>
      <c r="E6453">
        <v>0.50376769999999904</v>
      </c>
      <c r="F6453" t="s">
        <v>43</v>
      </c>
      <c r="G6453">
        <v>-312.56779999999998</v>
      </c>
      <c r="H6453">
        <v>-0.05</v>
      </c>
      <c r="I6453">
        <v>12.97357</v>
      </c>
      <c r="J6453">
        <v>-339.90410000000003</v>
      </c>
      <c r="K6453">
        <v>1.1103809999999901</v>
      </c>
      <c r="L6453">
        <v>17.042539999999999</v>
      </c>
      <c r="M6453">
        <v>0.99793860000000001</v>
      </c>
      <c r="N6453">
        <v>0</v>
      </c>
      <c r="O6453">
        <v>-6.2760609999999994E-2</v>
      </c>
      <c r="P6453">
        <v>0.98949209999999999</v>
      </c>
      <c r="Q6453">
        <v>4.3754689999999999E-2</v>
      </c>
      <c r="R6453">
        <v>-0.1378085</v>
      </c>
      <c r="S6453">
        <v>2.9759519999999999</v>
      </c>
      <c r="T6453">
        <v>-0.12538530000000001</v>
      </c>
      <c r="U6453">
        <v>-0.44103999999999999</v>
      </c>
      <c r="V6453">
        <v>7.5399590000000002E-2</v>
      </c>
      <c r="W6453">
        <v>5.7145750000000002E-2</v>
      </c>
      <c r="X6453">
        <v>0.99551460000000003</v>
      </c>
      <c r="Y6453">
        <v>8.4204340000000003E-2</v>
      </c>
      <c r="Z6453">
        <v>8.6119970000000001E-4</v>
      </c>
      <c r="AA6453">
        <v>0.99644820000000001</v>
      </c>
      <c r="AB6453">
        <v>27</v>
      </c>
      <c r="AC6453">
        <v>27.336300000000001</v>
      </c>
      <c r="AD6453">
        <v>-1.1603810000000001</v>
      </c>
      <c r="AE6453">
        <v>-4.0689699999999904</v>
      </c>
      <c r="AF6453">
        <v>2.34102326151555</v>
      </c>
      <c r="AG6453">
        <v>-1.1603810000000001</v>
      </c>
      <c r="AH6453">
        <v>27.4893353972368</v>
      </c>
      <c r="AI6453">
        <v>92.408429536855294</v>
      </c>
      <c r="AJ6453">
        <v>85.132370540238199</v>
      </c>
      <c r="AK6453">
        <v>27.613229339537501</v>
      </c>
      <c r="AL6453">
        <v>86.724005108511406</v>
      </c>
      <c r="AM6453">
        <v>85.668726533951997</v>
      </c>
      <c r="AN6453">
        <v>1.00000002686419</v>
      </c>
    </row>
    <row r="6454" spans="1:40" x14ac:dyDescent="0.25">
      <c r="A6454" t="str">
        <f>"20190312172242047"</f>
        <v>20190312172242047</v>
      </c>
      <c r="B6454" t="str">
        <f>"1552382562037089"</f>
        <v>1552382562037089</v>
      </c>
      <c r="C6454" t="s">
        <v>40</v>
      </c>
      <c r="D6454">
        <v>3.2416990000000001</v>
      </c>
      <c r="E6454">
        <v>0.50370969999999904</v>
      </c>
      <c r="F6454" t="s">
        <v>43</v>
      </c>
      <c r="G6454">
        <v>-312.53399999999999</v>
      </c>
      <c r="H6454">
        <v>-0.05</v>
      </c>
      <c r="I6454">
        <v>12.97517</v>
      </c>
      <c r="J6454">
        <v>-339.75869999999998</v>
      </c>
      <c r="K6454">
        <v>1.1103829999999999</v>
      </c>
      <c r="L6454">
        <v>17.033570000000001</v>
      </c>
      <c r="M6454">
        <v>0.99795020000000001</v>
      </c>
      <c r="N6454">
        <v>0</v>
      </c>
      <c r="O6454">
        <v>-6.2576610000000005E-2</v>
      </c>
      <c r="P6454">
        <v>0.9894387</v>
      </c>
      <c r="Q6454">
        <v>4.382747E-2</v>
      </c>
      <c r="R6454">
        <v>-0.13816789999999901</v>
      </c>
      <c r="S6454">
        <v>2.9758610000000001</v>
      </c>
      <c r="T6454">
        <v>-0.1261641</v>
      </c>
      <c r="U6454">
        <v>-0.44223020000000002</v>
      </c>
      <c r="V6454">
        <v>7.5944999999999999E-2</v>
      </c>
      <c r="W6454">
        <v>5.7217629999999998E-2</v>
      </c>
      <c r="X6454">
        <v>0.99546900000000005</v>
      </c>
      <c r="Y6454">
        <v>8.4781549999999997E-2</v>
      </c>
      <c r="Z6454">
        <v>8.4664769999999998E-4</v>
      </c>
      <c r="AA6454">
        <v>0.99639920000000004</v>
      </c>
      <c r="AB6454">
        <v>27</v>
      </c>
      <c r="AC6454">
        <v>27.224699999999899</v>
      </c>
      <c r="AD6454">
        <v>-1.1603829999999999</v>
      </c>
      <c r="AE6454">
        <v>-4.0583999999999998</v>
      </c>
      <c r="AF6454">
        <v>2.3424993158883698</v>
      </c>
      <c r="AG6454">
        <v>-1.1603829999999999</v>
      </c>
      <c r="AH6454">
        <v>27.376664918771201</v>
      </c>
      <c r="AI6454">
        <v>92.418251227475693</v>
      </c>
      <c r="AJ6454">
        <v>85.109367584390299</v>
      </c>
      <c r="AK6454">
        <v>27.501192225543701</v>
      </c>
      <c r="AL6454">
        <v>86.719879899658196</v>
      </c>
      <c r="AM6454">
        <v>85.637317314190796</v>
      </c>
      <c r="AN6454">
        <v>1.0000000150844</v>
      </c>
    </row>
    <row r="6455" spans="1:40" x14ac:dyDescent="0.25">
      <c r="A6455" t="str">
        <f>"20190312172242058"</f>
        <v>20190312172242058</v>
      </c>
      <c r="B6455" t="str">
        <f>"1552382562046850"</f>
        <v>1552382562046850</v>
      </c>
      <c r="C6455" t="s">
        <v>40</v>
      </c>
      <c r="D6455">
        <v>3.1572339999999999</v>
      </c>
      <c r="E6455">
        <v>0.50367799999999996</v>
      </c>
      <c r="F6455" t="s">
        <v>43</v>
      </c>
      <c r="G6455">
        <v>-312.4486</v>
      </c>
      <c r="H6455">
        <v>-0.05</v>
      </c>
      <c r="I6455">
        <v>12.96733</v>
      </c>
      <c r="J6455">
        <v>-339.62380000000002</v>
      </c>
      <c r="K6455">
        <v>1.1103909999999999</v>
      </c>
      <c r="L6455">
        <v>17.025300000000001</v>
      </c>
      <c r="M6455">
        <v>0.99796099999999999</v>
      </c>
      <c r="N6455">
        <v>0</v>
      </c>
      <c r="O6455">
        <v>-6.2404179999999997E-2</v>
      </c>
      <c r="P6455">
        <v>0.98937359999999996</v>
      </c>
      <c r="Q6455">
        <v>4.3880700000000002E-2</v>
      </c>
      <c r="R6455">
        <v>-0.13861599999999999</v>
      </c>
      <c r="S6455">
        <v>2.975708</v>
      </c>
      <c r="T6455">
        <v>-0.1264352</v>
      </c>
      <c r="U6455">
        <v>-0.44305420000000001</v>
      </c>
      <c r="V6455">
        <v>7.656781E-2</v>
      </c>
      <c r="W6455">
        <v>5.7270469999999997E-2</v>
      </c>
      <c r="X6455">
        <v>0.99541829999999998</v>
      </c>
      <c r="Y6455">
        <v>8.5230440000000005E-2</v>
      </c>
      <c r="Z6455">
        <v>8.3174919999999997E-4</v>
      </c>
      <c r="AA6455">
        <v>0.99636089999999999</v>
      </c>
      <c r="AB6455">
        <v>27</v>
      </c>
      <c r="AC6455">
        <v>27.1752</v>
      </c>
      <c r="AD6455">
        <v>-1.160391</v>
      </c>
      <c r="AE6455">
        <v>-4.0579700000000001</v>
      </c>
      <c r="AF6455">
        <v>2.3498699716810498</v>
      </c>
      <c r="AG6455">
        <v>-1.160391</v>
      </c>
      <c r="AH6455">
        <v>27.326743306325302</v>
      </c>
      <c r="AI6455">
        <v>92.422592627728093</v>
      </c>
      <c r="AJ6455">
        <v>85.085135713496499</v>
      </c>
      <c r="AK6455">
        <v>27.4521273471927</v>
      </c>
      <c r="AL6455">
        <v>86.716847579259195</v>
      </c>
      <c r="AM6455">
        <v>85.601456492195695</v>
      </c>
      <c r="AN6455">
        <v>1.00000006411855</v>
      </c>
    </row>
    <row r="6456" spans="1:40" x14ac:dyDescent="0.25">
      <c r="A6456" t="str">
        <f>"20190312172242070"</f>
        <v>20190312172242070</v>
      </c>
      <c r="B6456" t="str">
        <f>"1552382562066927"</f>
        <v>1552382562066927</v>
      </c>
      <c r="C6456" t="s">
        <v>40</v>
      </c>
      <c r="D6456">
        <v>3.244459</v>
      </c>
      <c r="E6456">
        <v>0.50363309999999994</v>
      </c>
      <c r="F6456" t="s">
        <v>43</v>
      </c>
      <c r="G6456">
        <v>-312.36829999999998</v>
      </c>
      <c r="H6456">
        <v>-0.05</v>
      </c>
      <c r="I6456">
        <v>12.956160000000001</v>
      </c>
      <c r="J6456">
        <v>-339.48939999999999</v>
      </c>
      <c r="K6456">
        <v>1.1103989999999999</v>
      </c>
      <c r="L6456">
        <v>17.01709</v>
      </c>
      <c r="M6456">
        <v>0.99797199999999997</v>
      </c>
      <c r="N6456">
        <v>0</v>
      </c>
      <c r="O6456">
        <v>-6.2228039999999998E-2</v>
      </c>
      <c r="P6456">
        <v>0.98927580000000004</v>
      </c>
      <c r="Q6456">
        <v>4.3869060000000001E-2</v>
      </c>
      <c r="R6456">
        <v>-0.13931669999999999</v>
      </c>
      <c r="S6456">
        <v>2.9755859999999998</v>
      </c>
      <c r="T6456">
        <v>-0.1266842</v>
      </c>
      <c r="U6456">
        <v>-0.44424439999999998</v>
      </c>
      <c r="V6456">
        <v>7.7448470000000005E-2</v>
      </c>
      <c r="W6456">
        <v>5.7258089999999998E-2</v>
      </c>
      <c r="X6456">
        <v>0.99535079999999998</v>
      </c>
      <c r="Y6456">
        <v>8.5801340000000004E-2</v>
      </c>
      <c r="Z6456">
        <v>8.1387949999999897E-4</v>
      </c>
      <c r="AA6456">
        <v>0.99631199999999998</v>
      </c>
      <c r="AB6456">
        <v>27</v>
      </c>
      <c r="AC6456">
        <v>27.121099999999998</v>
      </c>
      <c r="AD6456">
        <v>-1.160399</v>
      </c>
      <c r="AE6456">
        <v>-4.0609299999999902</v>
      </c>
      <c r="AF6456">
        <v>2.3609865831301802</v>
      </c>
      <c r="AG6456">
        <v>-1.160399</v>
      </c>
      <c r="AH6456">
        <v>27.2724242399931</v>
      </c>
      <c r="AI6456">
        <v>92.427308506627497</v>
      </c>
      <c r="AJ6456">
        <v>85.052213143179401</v>
      </c>
      <c r="AK6456">
        <v>27.3990128911807</v>
      </c>
      <c r="AL6456">
        <v>86.717557805922596</v>
      </c>
      <c r="AM6456">
        <v>85.550767227316499</v>
      </c>
      <c r="AN6456">
        <v>0.99999998471821405</v>
      </c>
    </row>
    <row r="6457" spans="1:40" x14ac:dyDescent="0.25">
      <c r="A6457" t="str">
        <f>"20190312172242082"</f>
        <v>20190312172242082</v>
      </c>
      <c r="B6457" t="str">
        <f>"1552382562076687"</f>
        <v>1552382562076687</v>
      </c>
      <c r="C6457" t="s">
        <v>40</v>
      </c>
      <c r="D6457">
        <v>3.243916</v>
      </c>
      <c r="E6457">
        <v>0.50363089999999999</v>
      </c>
      <c r="F6457" t="s">
        <v>43</v>
      </c>
      <c r="G6457">
        <v>-312.58080000000001</v>
      </c>
      <c r="H6457">
        <v>-0.05</v>
      </c>
      <c r="I6457">
        <v>12.982329999999999</v>
      </c>
      <c r="J6457">
        <v>-339.34559999999999</v>
      </c>
      <c r="K6457">
        <v>1.1104039999999999</v>
      </c>
      <c r="L6457">
        <v>17.008299999999998</v>
      </c>
      <c r="M6457">
        <v>0.99798379999999998</v>
      </c>
      <c r="N6457">
        <v>0</v>
      </c>
      <c r="O6457">
        <v>-6.203819E-2</v>
      </c>
      <c r="P6457">
        <v>0.98917900000000003</v>
      </c>
      <c r="Q6457">
        <v>4.4230600000000002E-2</v>
      </c>
      <c r="R6457">
        <v>-0.13988879999999901</v>
      </c>
      <c r="S6457">
        <v>2.9753720000000001</v>
      </c>
      <c r="T6457">
        <v>-0.1283087</v>
      </c>
      <c r="U6457">
        <v>-0.44613649999999999</v>
      </c>
      <c r="V6457">
        <v>7.8213740000000004E-2</v>
      </c>
      <c r="W6457">
        <v>5.7618460000000003E-2</v>
      </c>
      <c r="X6457">
        <v>0.99527019999999999</v>
      </c>
      <c r="Y6457">
        <v>8.661953E-2</v>
      </c>
      <c r="Z6457">
        <v>7.9867009999999995E-4</v>
      </c>
      <c r="AA6457">
        <v>0.99624120000000005</v>
      </c>
      <c r="AB6457">
        <v>27</v>
      </c>
      <c r="AC6457">
        <v>26.764799999999902</v>
      </c>
      <c r="AD6457">
        <v>-1.160404</v>
      </c>
      <c r="AE6457">
        <v>-4.0259699999999903</v>
      </c>
      <c r="AF6457">
        <v>2.3532991708315998</v>
      </c>
      <c r="AG6457">
        <v>-1.160404</v>
      </c>
      <c r="AH6457">
        <v>26.9135517673982</v>
      </c>
      <c r="AI6457">
        <v>92.459461704457894</v>
      </c>
      <c r="AJ6457">
        <v>85.002813095143196</v>
      </c>
      <c r="AK6457">
        <v>27.041150551836299</v>
      </c>
      <c r="AL6457">
        <v>86.696876109318396</v>
      </c>
      <c r="AM6457">
        <v>85.506621027671997</v>
      </c>
      <c r="AN6457">
        <v>1.0000000235327899</v>
      </c>
    </row>
    <row r="6458" spans="1:40" x14ac:dyDescent="0.25">
      <c r="A6458" t="str">
        <f>"20190312172242093"</f>
        <v>20190312172242093</v>
      </c>
      <c r="B6458" t="str">
        <f>"1552382562086447"</f>
        <v>1552382562086447</v>
      </c>
      <c r="C6458" t="s">
        <v>40</v>
      </c>
      <c r="D6458">
        <v>3.1511040000000001</v>
      </c>
      <c r="E6458">
        <v>0.50357829999999904</v>
      </c>
      <c r="F6458" t="s">
        <v>43</v>
      </c>
      <c r="G6458">
        <v>-312.37189999999998</v>
      </c>
      <c r="H6458">
        <v>-0.05</v>
      </c>
      <c r="I6458">
        <v>12.948639999999999</v>
      </c>
      <c r="J6458">
        <v>-339.20330000000001</v>
      </c>
      <c r="K6458">
        <v>1.110412</v>
      </c>
      <c r="L6458">
        <v>16.999690000000001</v>
      </c>
      <c r="M6458">
        <v>0.99799590000000005</v>
      </c>
      <c r="N6458">
        <v>0</v>
      </c>
      <c r="O6458">
        <v>-6.184655E-2</v>
      </c>
      <c r="P6458">
        <v>0.98910799999999999</v>
      </c>
      <c r="Q6458">
        <v>4.4731430000000003E-2</v>
      </c>
      <c r="R6458">
        <v>-0.14023150000000001</v>
      </c>
      <c r="S6458">
        <v>2.9752200000000002</v>
      </c>
      <c r="T6458">
        <v>-0.1279933</v>
      </c>
      <c r="U6458">
        <v>-0.44778440000000003</v>
      </c>
      <c r="V6458">
        <v>7.8750609999999999E-2</v>
      </c>
      <c r="W6458">
        <v>5.8118309999999999E-2</v>
      </c>
      <c r="X6458">
        <v>0.99519880000000005</v>
      </c>
      <c r="Y6458">
        <v>8.7357229999999994E-2</v>
      </c>
      <c r="Z6458">
        <v>7.7276839999999999E-4</v>
      </c>
      <c r="AA6458">
        <v>0.99617679999999997</v>
      </c>
      <c r="AB6458">
        <v>27</v>
      </c>
      <c r="AC6458">
        <v>26.831399999999999</v>
      </c>
      <c r="AD6458">
        <v>-1.160412</v>
      </c>
      <c r="AE6458">
        <v>-4.05105</v>
      </c>
      <c r="AF6458">
        <v>2.3793641367249898</v>
      </c>
      <c r="AG6458">
        <v>-1.160412</v>
      </c>
      <c r="AH6458">
        <v>26.981251190919899</v>
      </c>
      <c r="AI6458">
        <v>92.453155621675705</v>
      </c>
      <c r="AJ6458">
        <v>84.960360910573598</v>
      </c>
      <c r="AK6458">
        <v>27.110806803420498</v>
      </c>
      <c r="AL6458">
        <v>86.668188742258295</v>
      </c>
      <c r="AM6458">
        <v>85.475582223763496</v>
      </c>
      <c r="AN6458">
        <v>1.0000000240270299</v>
      </c>
    </row>
    <row r="6459" spans="1:40" x14ac:dyDescent="0.25">
      <c r="A6459" t="str">
        <f>"20190312172242104"</f>
        <v>20190312172242104</v>
      </c>
      <c r="B6459" t="str">
        <f>"1552382562097183"</f>
        <v>1552382562097183</v>
      </c>
      <c r="C6459" t="s">
        <v>40</v>
      </c>
      <c r="D6459">
        <v>3.1322830000000002</v>
      </c>
      <c r="E6459">
        <v>0.50355369999999999</v>
      </c>
      <c r="F6459" t="s">
        <v>43</v>
      </c>
      <c r="G6459">
        <v>-312.1343</v>
      </c>
      <c r="H6459">
        <v>-0.05</v>
      </c>
      <c r="I6459">
        <v>12.92041</v>
      </c>
      <c r="J6459">
        <v>-339.08319999999998</v>
      </c>
      <c r="K6459">
        <v>1.1104179999999999</v>
      </c>
      <c r="L6459">
        <v>16.9924</v>
      </c>
      <c r="M6459">
        <v>0.9980059</v>
      </c>
      <c r="N6459">
        <v>0</v>
      </c>
      <c r="O6459">
        <v>-6.1683410000000001E-2</v>
      </c>
      <c r="P6459">
        <v>0.98900540000000003</v>
      </c>
      <c r="Q6459">
        <v>4.5384510000000003E-2</v>
      </c>
      <c r="R6459">
        <v>-0.14074339999999999</v>
      </c>
      <c r="S6459">
        <v>2.9752200000000002</v>
      </c>
      <c r="T6459">
        <v>-0.12754369999999901</v>
      </c>
      <c r="U6459">
        <v>-0.44836429999999999</v>
      </c>
      <c r="V6459">
        <v>7.9429940000000004E-2</v>
      </c>
      <c r="W6459">
        <v>5.8770929999999999E-2</v>
      </c>
      <c r="X6459">
        <v>0.9951065</v>
      </c>
      <c r="Y6459">
        <v>8.7709579999999995E-2</v>
      </c>
      <c r="Z6459">
        <v>7.556091E-4</v>
      </c>
      <c r="AA6459">
        <v>0.99614579999999997</v>
      </c>
      <c r="AB6459">
        <v>27</v>
      </c>
      <c r="AC6459">
        <v>26.948899999999899</v>
      </c>
      <c r="AD6459">
        <v>-1.1604179999999999</v>
      </c>
      <c r="AE6459">
        <v>-4.0719900000000004</v>
      </c>
      <c r="AF6459">
        <v>2.3974394161536798</v>
      </c>
      <c r="AG6459">
        <v>-1.1604179999999999</v>
      </c>
      <c r="AH6459">
        <v>27.099645081677401</v>
      </c>
      <c r="AI6459">
        <v>92.442403576241503</v>
      </c>
      <c r="AJ6459">
        <v>84.944344280423493</v>
      </c>
      <c r="AK6459">
        <v>27.230223084685399</v>
      </c>
      <c r="AL6459">
        <v>86.630732405350003</v>
      </c>
      <c r="AM6459">
        <v>85.436295694396605</v>
      </c>
      <c r="AN6459">
        <v>1.00000004196185</v>
      </c>
    </row>
    <row r="6460" spans="1:40" x14ac:dyDescent="0.25">
      <c r="A6460" t="str">
        <f>"20190312172242114"</f>
        <v>20190312172242114</v>
      </c>
      <c r="B6460" t="str">
        <f>"1552382562106942"</f>
        <v>1552382562106942</v>
      </c>
      <c r="C6460" t="s">
        <v>40</v>
      </c>
      <c r="D6460">
        <v>3.1913360000000002</v>
      </c>
      <c r="E6460">
        <v>0.50347200000000003</v>
      </c>
      <c r="F6460" t="s">
        <v>43</v>
      </c>
      <c r="G6460">
        <v>-311.7509</v>
      </c>
      <c r="H6460">
        <v>-0.05</v>
      </c>
      <c r="I6460">
        <v>12.86041</v>
      </c>
      <c r="J6460">
        <v>-338.95819999999998</v>
      </c>
      <c r="K6460">
        <v>1.110425</v>
      </c>
      <c r="L6460">
        <v>16.984860000000001</v>
      </c>
      <c r="M6460">
        <v>0.99801649999999997</v>
      </c>
      <c r="N6460">
        <v>0</v>
      </c>
      <c r="O6460">
        <v>-6.1511349999999999E-2</v>
      </c>
      <c r="P6460">
        <v>0.98890860000000003</v>
      </c>
      <c r="Q6460">
        <v>4.5578889999999997E-2</v>
      </c>
      <c r="R6460">
        <v>-0.14135909999999999</v>
      </c>
      <c r="S6460">
        <v>2.9751280000000002</v>
      </c>
      <c r="T6460">
        <v>-0.12631139999999999</v>
      </c>
      <c r="U6460">
        <v>-0.4497681</v>
      </c>
      <c r="V6460">
        <v>8.0221410000000007E-2</v>
      </c>
      <c r="W6460">
        <v>5.8964669999999997E-2</v>
      </c>
      <c r="X6460">
        <v>0.99503149999999996</v>
      </c>
      <c r="Y6460">
        <v>8.8345129999999994E-2</v>
      </c>
      <c r="Z6460">
        <v>7.2765890000000004E-4</v>
      </c>
      <c r="AA6460">
        <v>0.99608960000000002</v>
      </c>
      <c r="AB6460">
        <v>27</v>
      </c>
      <c r="AC6460">
        <v>27.207299999999901</v>
      </c>
      <c r="AD6460">
        <v>-1.160425</v>
      </c>
      <c r="AE6460">
        <v>-4.1244500000000004</v>
      </c>
      <c r="AF6460">
        <v>2.4385941047188902</v>
      </c>
      <c r="AG6460">
        <v>-1.160425</v>
      </c>
      <c r="AH6460">
        <v>27.360839063884001</v>
      </c>
      <c r="AI6460">
        <v>92.418989725449094</v>
      </c>
      <c r="AJ6460">
        <v>84.906847052472102</v>
      </c>
      <c r="AK6460">
        <v>27.493796421519399</v>
      </c>
      <c r="AL6460">
        <v>86.619612483446602</v>
      </c>
      <c r="AM6460">
        <v>85.390670274032701</v>
      </c>
      <c r="AN6460">
        <v>0.99999999646142301</v>
      </c>
    </row>
    <row r="6461" spans="1:40" x14ac:dyDescent="0.25">
      <c r="A6461" t="str">
        <f>"20190312172242124"</f>
        <v>20190312172242124</v>
      </c>
      <c r="B6461" t="str">
        <f>"1552382562116703"</f>
        <v>1552382562116703</v>
      </c>
      <c r="C6461" t="s">
        <v>40</v>
      </c>
      <c r="D6461">
        <v>3.1467079999999998</v>
      </c>
      <c r="E6461">
        <v>0.50347200000000003</v>
      </c>
      <c r="F6461" t="s">
        <v>43</v>
      </c>
      <c r="G6461">
        <v>-311.6198</v>
      </c>
      <c r="H6461">
        <v>-0.05</v>
      </c>
      <c r="I6461">
        <v>12.839130000000001</v>
      </c>
      <c r="J6461">
        <v>-338.84649999999999</v>
      </c>
      <c r="K6461">
        <v>1.11043</v>
      </c>
      <c r="L6461">
        <v>16.978149999999999</v>
      </c>
      <c r="M6461">
        <v>0.99802610000000003</v>
      </c>
      <c r="N6461">
        <v>0</v>
      </c>
      <c r="O6461">
        <v>-6.1356809999999998E-2</v>
      </c>
      <c r="P6461">
        <v>0.98882239999999999</v>
      </c>
      <c r="Q6461">
        <v>4.6046190000000001E-2</v>
      </c>
      <c r="R6461">
        <v>-0.14181079999999999</v>
      </c>
      <c r="S6461">
        <v>2.9749759999999998</v>
      </c>
      <c r="T6461">
        <v>-0.12627769999999999</v>
      </c>
      <c r="U6461">
        <v>-0.45114140000000003</v>
      </c>
      <c r="V6461">
        <v>8.0831299999999995E-2</v>
      </c>
      <c r="W6461">
        <v>5.943068E-2</v>
      </c>
      <c r="X6461">
        <v>0.99495440000000002</v>
      </c>
      <c r="Y6461">
        <v>8.895575E-2</v>
      </c>
      <c r="Z6461">
        <v>7.0809249999999996E-4</v>
      </c>
      <c r="AA6461">
        <v>0.99603529999999996</v>
      </c>
      <c r="AB6461">
        <v>27</v>
      </c>
      <c r="AC6461">
        <v>27.226699999999902</v>
      </c>
      <c r="AD6461">
        <v>-1.1604299999999901</v>
      </c>
      <c r="AE6461">
        <v>-4.1390199999999897</v>
      </c>
      <c r="AF6461">
        <v>2.4561660880732501</v>
      </c>
      <c r="AG6461">
        <v>-1.1604299999999901</v>
      </c>
      <c r="AH6461">
        <v>27.380757619491199</v>
      </c>
      <c r="AI6461">
        <v>92.417118927365607</v>
      </c>
      <c r="AJ6461">
        <v>84.874053757501898</v>
      </c>
      <c r="AK6461">
        <v>27.5151819447814</v>
      </c>
      <c r="AL6461">
        <v>86.592865118326003</v>
      </c>
      <c r="AM6461">
        <v>85.355421864286996</v>
      </c>
      <c r="AN6461">
        <v>0.99999998143215596</v>
      </c>
    </row>
    <row r="6462" spans="1:40" x14ac:dyDescent="0.25">
      <c r="A6462" t="str">
        <f>"20190312172242134"</f>
        <v>20190312172242134</v>
      </c>
      <c r="B6462" t="str">
        <f>"1552382562126463"</f>
        <v>1552382562126463</v>
      </c>
      <c r="C6462" t="s">
        <v>40</v>
      </c>
      <c r="D6462">
        <v>3.2376819999999999</v>
      </c>
      <c r="E6462">
        <v>0.50301279999999904</v>
      </c>
      <c r="F6462" t="s">
        <v>43</v>
      </c>
      <c r="G6462">
        <v>-311.19549999999998</v>
      </c>
      <c r="H6462">
        <v>-0.05</v>
      </c>
      <c r="I6462">
        <v>12.77145</v>
      </c>
      <c r="J6462">
        <v>-338.71929999999998</v>
      </c>
      <c r="K6462">
        <v>1.1104350000000001</v>
      </c>
      <c r="L6462">
        <v>16.97052</v>
      </c>
      <c r="M6462">
        <v>0.99803699999999995</v>
      </c>
      <c r="N6462">
        <v>0</v>
      </c>
      <c r="O6462">
        <v>-6.1178679999999999E-2</v>
      </c>
      <c r="P6462">
        <v>0.98873789999999995</v>
      </c>
      <c r="Q6462">
        <v>4.6431899999999998E-2</v>
      </c>
      <c r="R6462">
        <v>-0.1422746</v>
      </c>
      <c r="S6462">
        <v>2.9748230000000002</v>
      </c>
      <c r="T6462">
        <v>-0.12484430000000001</v>
      </c>
      <c r="U6462">
        <v>-0.45257570000000003</v>
      </c>
      <c r="V6462">
        <v>8.147633E-2</v>
      </c>
      <c r="W6462">
        <v>5.9815750000000001E-2</v>
      </c>
      <c r="X6462">
        <v>0.9948787</v>
      </c>
      <c r="Y6462">
        <v>8.9610330000000002E-2</v>
      </c>
      <c r="Z6462">
        <v>6.790082E-4</v>
      </c>
      <c r="AA6462">
        <v>0.99597670000000005</v>
      </c>
      <c r="AB6462">
        <v>27</v>
      </c>
      <c r="AC6462">
        <v>27.523799999999898</v>
      </c>
      <c r="AD6462">
        <v>-1.1604350000000001</v>
      </c>
      <c r="AE6462">
        <v>-4.1990699999999999</v>
      </c>
      <c r="AF6462">
        <v>2.50283452105174</v>
      </c>
      <c r="AG6462">
        <v>-1.1604350000000001</v>
      </c>
      <c r="AH6462">
        <v>27.681064961037102</v>
      </c>
      <c r="AI6462">
        <v>92.390784829068096</v>
      </c>
      <c r="AJ6462">
        <v>84.833544847509003</v>
      </c>
      <c r="AK6462">
        <v>27.818198133706499</v>
      </c>
      <c r="AL6462">
        <v>86.570762878744404</v>
      </c>
      <c r="AM6462">
        <v>85.318167810330493</v>
      </c>
      <c r="AN6462">
        <v>0.99999997200600999</v>
      </c>
    </row>
    <row r="6463" spans="1:40" x14ac:dyDescent="0.25">
      <c r="A6463" t="str">
        <f>"20190312172242145"</f>
        <v>20190312172242145</v>
      </c>
      <c r="B6463" t="str">
        <f>"1552382562137199"</f>
        <v>1552382562137199</v>
      </c>
      <c r="C6463" t="s">
        <v>40</v>
      </c>
      <c r="D6463">
        <v>3.2377799999999999</v>
      </c>
      <c r="E6463">
        <v>0.50296969999999996</v>
      </c>
      <c r="F6463" t="s">
        <v>43</v>
      </c>
      <c r="G6463">
        <v>-316.7396</v>
      </c>
      <c r="H6463">
        <v>-0.05</v>
      </c>
      <c r="I6463">
        <v>13.643370000000001</v>
      </c>
      <c r="J6463">
        <v>-338.58909999999997</v>
      </c>
      <c r="K6463">
        <v>1.110439</v>
      </c>
      <c r="L6463">
        <v>16.962710000000001</v>
      </c>
      <c r="M6463">
        <v>0.99804809999999999</v>
      </c>
      <c r="N6463">
        <v>0</v>
      </c>
      <c r="O6463">
        <v>-6.0995309999999997E-2</v>
      </c>
      <c r="P6463">
        <v>0.98864430000000003</v>
      </c>
      <c r="Q6463">
        <v>4.6789119999999997E-2</v>
      </c>
      <c r="R6463">
        <v>-0.14280499999999999</v>
      </c>
      <c r="S6463">
        <v>2.9766849999999998</v>
      </c>
      <c r="T6463">
        <v>-0.1571565</v>
      </c>
      <c r="U6463">
        <v>-0.45059199999999999</v>
      </c>
      <c r="V6463">
        <v>8.2193959999999996E-2</v>
      </c>
      <c r="W6463">
        <v>6.0171780000000001E-2</v>
      </c>
      <c r="X6463">
        <v>0.99479819999999997</v>
      </c>
      <c r="Y6463">
        <v>8.903817E-2</v>
      </c>
      <c r="Z6463">
        <v>8.5949080000000003E-4</v>
      </c>
      <c r="AA6463">
        <v>0.99602780000000002</v>
      </c>
      <c r="AB6463">
        <v>27</v>
      </c>
      <c r="AC6463">
        <v>21.8494999999999</v>
      </c>
      <c r="AD6463">
        <v>-1.160439</v>
      </c>
      <c r="AE6463">
        <v>-3.31934</v>
      </c>
      <c r="AF6463">
        <v>1.9748768267711301</v>
      </c>
      <c r="AG6463">
        <v>-1.160439</v>
      </c>
      <c r="AH6463">
        <v>21.950771966778099</v>
      </c>
      <c r="AI6463">
        <v>93.014003225040199</v>
      </c>
      <c r="AJ6463">
        <v>84.859028872119595</v>
      </c>
      <c r="AK6463">
        <v>22.0699602874842</v>
      </c>
      <c r="AL6463">
        <v>86.550327060113503</v>
      </c>
      <c r="AM6463">
        <v>85.276736289715004</v>
      </c>
      <c r="AN6463">
        <v>0.99999997444604405</v>
      </c>
    </row>
    <row r="6464" spans="1:40" x14ac:dyDescent="0.25">
      <c r="A6464" t="str">
        <f>"20190312172242156"</f>
        <v>20190312172242156</v>
      </c>
      <c r="B6464" t="str">
        <f>"1552382562146959"</f>
        <v>1552382562146959</v>
      </c>
      <c r="C6464" t="s">
        <v>40</v>
      </c>
      <c r="D6464">
        <v>3.1644610000000002</v>
      </c>
      <c r="E6464">
        <v>0.50307639999999998</v>
      </c>
      <c r="F6464" t="s">
        <v>43</v>
      </c>
      <c r="G6464">
        <v>-316.20100000000002</v>
      </c>
      <c r="H6464">
        <v>-0.05</v>
      </c>
      <c r="I6464">
        <v>13.56386</v>
      </c>
      <c r="J6464">
        <v>-338.4572</v>
      </c>
      <c r="K6464">
        <v>1.110441</v>
      </c>
      <c r="L6464">
        <v>16.954899999999999</v>
      </c>
      <c r="M6464">
        <v>0.99805969999999999</v>
      </c>
      <c r="N6464">
        <v>0</v>
      </c>
      <c r="O6464">
        <v>-6.0808620000000001E-2</v>
      </c>
      <c r="P6464">
        <v>0.98852989999999996</v>
      </c>
      <c r="Q6464">
        <v>4.7243319999999998E-2</v>
      </c>
      <c r="R6464">
        <v>-0.14344689999999999</v>
      </c>
      <c r="S6464">
        <v>2.9764710000000001</v>
      </c>
      <c r="T6464">
        <v>-0.154279</v>
      </c>
      <c r="U6464">
        <v>-0.45187379999999999</v>
      </c>
      <c r="V6464">
        <v>8.3027429999999999E-2</v>
      </c>
      <c r="W6464">
        <v>6.0624900000000002E-2</v>
      </c>
      <c r="X6464">
        <v>0.99470150000000002</v>
      </c>
      <c r="Y6464">
        <v>8.9654670000000006E-2</v>
      </c>
      <c r="Z6464">
        <v>8.1833920000000003E-4</v>
      </c>
      <c r="AA6464">
        <v>0.99597259999999999</v>
      </c>
      <c r="AB6464">
        <v>27</v>
      </c>
      <c r="AC6464">
        <v>22.2562</v>
      </c>
      <c r="AD6464">
        <v>-1.1604410000000001</v>
      </c>
      <c r="AE6464">
        <v>-3.3910399999999901</v>
      </c>
      <c r="AF6464">
        <v>2.0258908974552998</v>
      </c>
      <c r="AG6464">
        <v>-1.1604410000000001</v>
      </c>
      <c r="AH6464">
        <v>22.361815799444599</v>
      </c>
      <c r="AI6464">
        <v>92.958539781336995</v>
      </c>
      <c r="AJ6464">
        <v>84.823363766083702</v>
      </c>
      <c r="AK6464">
        <v>22.4833641408745</v>
      </c>
      <c r="AL6464">
        <v>86.524317812385206</v>
      </c>
      <c r="AM6464">
        <v>85.228599378260299</v>
      </c>
      <c r="AN6464">
        <v>1.00000000336733</v>
      </c>
    </row>
    <row r="6465" spans="1:40" x14ac:dyDescent="0.25">
      <c r="A6465" t="str">
        <f>"20190312172242167"</f>
        <v>20190312172242167</v>
      </c>
      <c r="B6465" t="str">
        <f>"1552382562156719"</f>
        <v>1552382562156719</v>
      </c>
      <c r="C6465" t="s">
        <v>40</v>
      </c>
      <c r="D6465">
        <v>3.162385</v>
      </c>
      <c r="E6465">
        <v>0.50309550000000003</v>
      </c>
      <c r="F6465" t="s">
        <v>43</v>
      </c>
      <c r="G6465">
        <v>-315.74700000000001</v>
      </c>
      <c r="H6465">
        <v>-0.05</v>
      </c>
      <c r="I6465">
        <v>13.485340000000001</v>
      </c>
      <c r="J6465">
        <v>-338.33420000000001</v>
      </c>
      <c r="K6465">
        <v>1.110444</v>
      </c>
      <c r="L6465">
        <v>16.947569999999999</v>
      </c>
      <c r="M6465">
        <v>0.99807020000000002</v>
      </c>
      <c r="N6465">
        <v>0</v>
      </c>
      <c r="O6465">
        <v>-6.0633260000000001E-2</v>
      </c>
      <c r="P6465">
        <v>0.98843570000000003</v>
      </c>
      <c r="Q6465">
        <v>4.7577059999999997E-2</v>
      </c>
      <c r="R6465">
        <v>-0.14398339999999901</v>
      </c>
      <c r="S6465">
        <v>2.9761350000000002</v>
      </c>
      <c r="T6465">
        <v>-0.15207370000000001</v>
      </c>
      <c r="U6465">
        <v>-0.45468140000000001</v>
      </c>
      <c r="V6465">
        <v>8.3743390000000001E-2</v>
      </c>
      <c r="W6465">
        <v>6.0957119999999997E-2</v>
      </c>
      <c r="X6465">
        <v>0.99462119999999998</v>
      </c>
      <c r="Y6465">
        <v>9.0763969999999999E-2</v>
      </c>
      <c r="Z6465">
        <v>7.6963710000000002E-4</v>
      </c>
      <c r="AA6465">
        <v>0.99587210000000004</v>
      </c>
      <c r="AB6465">
        <v>27</v>
      </c>
      <c r="AC6465">
        <v>22.587199999999999</v>
      </c>
      <c r="AD6465">
        <v>-1.160444</v>
      </c>
      <c r="AE6465">
        <v>-3.4622299999999999</v>
      </c>
      <c r="AF6465">
        <v>2.0808339452974298</v>
      </c>
      <c r="AG6465">
        <v>-1.160444</v>
      </c>
      <c r="AH6465">
        <v>22.697045904469199</v>
      </c>
      <c r="AI6465">
        <v>92.914641545820501</v>
      </c>
      <c r="AJ6465">
        <v>84.761844518201201</v>
      </c>
      <c r="AK6465">
        <v>22.821752627145401</v>
      </c>
      <c r="AL6465">
        <v>86.505247827230406</v>
      </c>
      <c r="AM6465">
        <v>85.187260474206298</v>
      </c>
      <c r="AN6465">
        <v>1.0000000286684101</v>
      </c>
    </row>
    <row r="6466" spans="1:40" x14ac:dyDescent="0.25">
      <c r="A6466" t="str">
        <f>"20190312172242177"</f>
        <v>20190312172242177</v>
      </c>
      <c r="B6466" t="str">
        <f>"1552382562167239"</f>
        <v>1552382562167239</v>
      </c>
      <c r="C6466" t="s">
        <v>40</v>
      </c>
      <c r="D6466">
        <v>3.1653370000000001</v>
      </c>
      <c r="E6466">
        <v>0.50318009999999902</v>
      </c>
      <c r="F6466" t="s">
        <v>43</v>
      </c>
      <c r="G6466">
        <v>-315.43180000000001</v>
      </c>
      <c r="H6466">
        <v>-0.05</v>
      </c>
      <c r="I6466">
        <v>13.434710000000001</v>
      </c>
      <c r="J6466">
        <v>-338.2002</v>
      </c>
      <c r="K6466">
        <v>1.110447</v>
      </c>
      <c r="L6466">
        <v>16.939609999999998</v>
      </c>
      <c r="M6466">
        <v>0.99808189999999997</v>
      </c>
      <c r="N6466">
        <v>0</v>
      </c>
      <c r="O6466">
        <v>-6.0442160000000002E-2</v>
      </c>
      <c r="P6466">
        <v>0.98831910000000001</v>
      </c>
      <c r="Q6466">
        <v>4.7849629999999997E-2</v>
      </c>
      <c r="R6466">
        <v>-0.14469219999999999</v>
      </c>
      <c r="S6466">
        <v>2.9758610000000001</v>
      </c>
      <c r="T6466">
        <v>-0.15078459999999999</v>
      </c>
      <c r="U6466">
        <v>-0.45645140000000001</v>
      </c>
      <c r="V6466">
        <v>8.464824E-2</v>
      </c>
      <c r="W6466">
        <v>6.1228409999999997E-2</v>
      </c>
      <c r="X6466">
        <v>0.99452790000000002</v>
      </c>
      <c r="Y6466">
        <v>9.1546569999999994E-2</v>
      </c>
      <c r="Z6466">
        <v>7.3385839999999905E-4</v>
      </c>
      <c r="AA6466">
        <v>0.99580060000000004</v>
      </c>
      <c r="AB6466">
        <v>27</v>
      </c>
      <c r="AC6466">
        <v>22.7683999999999</v>
      </c>
      <c r="AD6466">
        <v>-1.160447</v>
      </c>
      <c r="AE6466">
        <v>-3.5049000000000001</v>
      </c>
      <c r="AF6466">
        <v>2.1168246581391701</v>
      </c>
      <c r="AG6466">
        <v>-1.160447</v>
      </c>
      <c r="AH6466">
        <v>22.8805672646758</v>
      </c>
      <c r="AI6466">
        <v>92.891090173230197</v>
      </c>
      <c r="AJ6466">
        <v>84.714254815326896</v>
      </c>
      <c r="AK6466">
        <v>23.0075627180818</v>
      </c>
      <c r="AL6466">
        <v>86.489674842640497</v>
      </c>
      <c r="AM6466">
        <v>85.135052716975395</v>
      </c>
      <c r="AN6466">
        <v>0.99999999330231704</v>
      </c>
    </row>
    <row r="6467" spans="1:40" x14ac:dyDescent="0.25">
      <c r="A6467" t="str">
        <f>"20190312172242189"</f>
        <v>20190312172242189</v>
      </c>
      <c r="B6467" t="str">
        <f>"1552382562186759"</f>
        <v>1552382562186759</v>
      </c>
      <c r="C6467" t="s">
        <v>40</v>
      </c>
      <c r="D6467">
        <v>3.175532</v>
      </c>
      <c r="E6467">
        <v>0.50308969999999997</v>
      </c>
      <c r="F6467" t="s">
        <v>43</v>
      </c>
      <c r="G6467">
        <v>-315.15780000000001</v>
      </c>
      <c r="H6467">
        <v>-0.05</v>
      </c>
      <c r="I6467">
        <v>13.383760000000001</v>
      </c>
      <c r="J6467">
        <v>-338.07130000000001</v>
      </c>
      <c r="K6467">
        <v>1.1104419999999999</v>
      </c>
      <c r="L6467">
        <v>16.932040000000001</v>
      </c>
      <c r="M6467">
        <v>0.99809300000000001</v>
      </c>
      <c r="N6467">
        <v>0</v>
      </c>
      <c r="O6467">
        <v>-6.0258230000000003E-2</v>
      </c>
      <c r="P6467">
        <v>0.98826060000000004</v>
      </c>
      <c r="Q6467">
        <v>4.8181620000000001E-2</v>
      </c>
      <c r="R6467">
        <v>-0.14498129999999901</v>
      </c>
      <c r="S6467">
        <v>2.9754640000000001</v>
      </c>
      <c r="T6467">
        <v>-0.1498486</v>
      </c>
      <c r="U6467">
        <v>-0.45916750000000001</v>
      </c>
      <c r="V6467">
        <v>8.5123439999999995E-2</v>
      </c>
      <c r="W6467">
        <v>6.155919E-2</v>
      </c>
      <c r="X6467">
        <v>0.99446690000000004</v>
      </c>
      <c r="Y6467">
        <v>9.2636800000000005E-2</v>
      </c>
      <c r="Z6467">
        <v>6.9288909999999995E-4</v>
      </c>
      <c r="AA6467">
        <v>0.99569969999999997</v>
      </c>
      <c r="AB6467">
        <v>27</v>
      </c>
      <c r="AC6467">
        <v>22.913499999999999</v>
      </c>
      <c r="AD6467">
        <v>-1.160442</v>
      </c>
      <c r="AE6467">
        <v>-3.5482800000000001</v>
      </c>
      <c r="AF6467">
        <v>2.1555809356574098</v>
      </c>
      <c r="AG6467">
        <v>-1.160442</v>
      </c>
      <c r="AH6467">
        <v>23.028006386738902</v>
      </c>
      <c r="AI6467">
        <v>92.8723098624248</v>
      </c>
      <c r="AJ6467">
        <v>84.652301067382993</v>
      </c>
      <c r="AK6467">
        <v>23.157768306838602</v>
      </c>
      <c r="AL6467">
        <v>86.4706866594464</v>
      </c>
      <c r="AM6467">
        <v>85.107575331552894</v>
      </c>
      <c r="AN6467">
        <v>0.99999997455324896</v>
      </c>
    </row>
    <row r="6468" spans="1:40" x14ac:dyDescent="0.25">
      <c r="A6468" t="str">
        <f>"20190312172242202"</f>
        <v>20190312172242202</v>
      </c>
      <c r="B6468" t="str">
        <f>"1552382562197495"</f>
        <v>1552382562197495</v>
      </c>
      <c r="C6468" t="s">
        <v>40</v>
      </c>
      <c r="D6468">
        <v>3.238324</v>
      </c>
      <c r="E6468">
        <v>0.50308929999999996</v>
      </c>
      <c r="F6468" t="s">
        <v>43</v>
      </c>
      <c r="G6468">
        <v>-315.09379999999999</v>
      </c>
      <c r="H6468">
        <v>-0.05</v>
      </c>
      <c r="I6468">
        <v>13.38585</v>
      </c>
      <c r="J6468">
        <v>-337.92950000000002</v>
      </c>
      <c r="K6468">
        <v>1.110444</v>
      </c>
      <c r="L6468">
        <v>16.923679999999901</v>
      </c>
      <c r="M6468">
        <v>0.99810520000000003</v>
      </c>
      <c r="N6468">
        <v>0</v>
      </c>
      <c r="O6468">
        <v>-6.0056180000000001E-2</v>
      </c>
      <c r="P6468">
        <v>0.98815980000000003</v>
      </c>
      <c r="Q6468">
        <v>4.850293E-2</v>
      </c>
      <c r="R6468">
        <v>-0.145560299999999</v>
      </c>
      <c r="S6468">
        <v>2.9755859999999998</v>
      </c>
      <c r="T6468">
        <v>-0.15027670000000001</v>
      </c>
      <c r="U6468">
        <v>-0.45922849999999998</v>
      </c>
      <c r="V6468">
        <v>8.5908719999999994E-2</v>
      </c>
      <c r="W6468">
        <v>6.1878530000000001E-2</v>
      </c>
      <c r="X6468">
        <v>0.99437960000000003</v>
      </c>
      <c r="Y6468">
        <v>9.2851409999999995E-2</v>
      </c>
      <c r="Z6468">
        <v>6.7935089999999999E-4</v>
      </c>
      <c r="AA6468">
        <v>0.99567969999999895</v>
      </c>
      <c r="AB6468">
        <v>27</v>
      </c>
      <c r="AC6468">
        <v>22.835699999999999</v>
      </c>
      <c r="AD6468">
        <v>-1.160444</v>
      </c>
      <c r="AE6468">
        <v>-3.5378299999999898</v>
      </c>
      <c r="AF6468">
        <v>2.15446198918794</v>
      </c>
      <c r="AG6468">
        <v>-1.160444</v>
      </c>
      <c r="AH6468">
        <v>22.949087616387001</v>
      </c>
      <c r="AI6468">
        <v>92.882102643620101</v>
      </c>
      <c r="AJ6468">
        <v>84.636787421553606</v>
      </c>
      <c r="AK6468">
        <v>23.0791888757945</v>
      </c>
      <c r="AL6468">
        <v>86.452355054866203</v>
      </c>
      <c r="AM6468">
        <v>85.062232546638995</v>
      </c>
      <c r="AN6468">
        <v>1.0000000247715699</v>
      </c>
    </row>
    <row r="6469" spans="1:40" x14ac:dyDescent="0.25">
      <c r="A6469" t="str">
        <f>"20190312172242213"</f>
        <v>20190312172242213</v>
      </c>
      <c r="B6469" t="str">
        <f>"1552382562207254"</f>
        <v>1552382562207254</v>
      </c>
      <c r="C6469" t="s">
        <v>40</v>
      </c>
      <c r="D6469">
        <v>3.1778960000000001</v>
      </c>
      <c r="E6469">
        <v>0.50308790000000003</v>
      </c>
      <c r="F6469" t="s">
        <v>43</v>
      </c>
      <c r="G6469">
        <v>-314.67290000000003</v>
      </c>
      <c r="H6469">
        <v>-0.05</v>
      </c>
      <c r="I6469">
        <v>13.32001</v>
      </c>
      <c r="J6469">
        <v>-337.7876</v>
      </c>
      <c r="K6469">
        <v>1.1104449999999999</v>
      </c>
      <c r="L6469">
        <v>16.915369999999999</v>
      </c>
      <c r="M6469">
        <v>0.99811740000000004</v>
      </c>
      <c r="N6469">
        <v>0</v>
      </c>
      <c r="O6469">
        <v>-5.9854600000000001E-2</v>
      </c>
      <c r="P6469">
        <v>0.9881124</v>
      </c>
      <c r="Q6469">
        <v>4.8758709999999997E-2</v>
      </c>
      <c r="R6469">
        <v>-0.1457966</v>
      </c>
      <c r="S6469">
        <v>2.9752809999999998</v>
      </c>
      <c r="T6469">
        <v>-0.14845839999999999</v>
      </c>
      <c r="U6469">
        <v>-0.46102910000000002</v>
      </c>
      <c r="V6469">
        <v>8.634841E-2</v>
      </c>
      <c r="W6469">
        <v>6.2133140000000003E-2</v>
      </c>
      <c r="X6469">
        <v>0.99432560000000003</v>
      </c>
      <c r="Y6469">
        <v>9.3656089999999997E-2</v>
      </c>
      <c r="Z6469">
        <v>6.4126359999999998E-4</v>
      </c>
      <c r="AA6469">
        <v>0.99560439999999994</v>
      </c>
      <c r="AB6469">
        <v>26</v>
      </c>
      <c r="AC6469">
        <v>23.1146999999999</v>
      </c>
      <c r="AD6469">
        <v>-1.1604449999999999</v>
      </c>
      <c r="AE6469">
        <v>-3.5953599999999999</v>
      </c>
      <c r="AF6469">
        <v>2.1998541479863198</v>
      </c>
      <c r="AG6469">
        <v>-1.1604449999999999</v>
      </c>
      <c r="AH6469">
        <v>23.231299045311101</v>
      </c>
      <c r="AI6469">
        <v>92.846935479439196</v>
      </c>
      <c r="AJ6469">
        <v>84.590589321027394</v>
      </c>
      <c r="AK6469">
        <v>23.364058855496602</v>
      </c>
      <c r="AL6469">
        <v>86.437738717015804</v>
      </c>
      <c r="AM6469">
        <v>85.036818245511299</v>
      </c>
      <c r="AN6469">
        <v>0.99999998690557301</v>
      </c>
    </row>
    <row r="6470" spans="1:40" x14ac:dyDescent="0.25">
      <c r="A6470" t="str">
        <f>"20190312172242225"</f>
        <v>20190312172242225</v>
      </c>
      <c r="B6470" t="str">
        <f>"1552382562217016"</f>
        <v>1552382562217016</v>
      </c>
      <c r="C6470" t="s">
        <v>40</v>
      </c>
      <c r="D6470">
        <v>3.1749000000000001</v>
      </c>
      <c r="E6470">
        <v>0.5031137</v>
      </c>
      <c r="F6470" t="s">
        <v>43</v>
      </c>
      <c r="G6470">
        <v>-314.33159999999998</v>
      </c>
      <c r="H6470">
        <v>-0.05</v>
      </c>
      <c r="I6470">
        <v>13.27373</v>
      </c>
      <c r="J6470">
        <v>-337.65140000000002</v>
      </c>
      <c r="K6470">
        <v>1.1104459999999901</v>
      </c>
      <c r="L6470">
        <v>16.907409999999999</v>
      </c>
      <c r="M6470">
        <v>0.99812880000000004</v>
      </c>
      <c r="N6470">
        <v>0</v>
      </c>
      <c r="O6470">
        <v>-5.9661249999999999E-2</v>
      </c>
      <c r="P6470">
        <v>0.98802760000000001</v>
      </c>
      <c r="Q6470">
        <v>4.9250410000000001E-2</v>
      </c>
      <c r="R6470">
        <v>-0.1462039</v>
      </c>
      <c r="S6470">
        <v>2.9752200000000002</v>
      </c>
      <c r="T6470">
        <v>-0.1471934</v>
      </c>
      <c r="U6470">
        <v>-0.46191409999999999</v>
      </c>
      <c r="V6470">
        <v>8.6952650000000006E-2</v>
      </c>
      <c r="W6470">
        <v>6.2623319999999996E-2</v>
      </c>
      <c r="X6470">
        <v>0.99424219999999996</v>
      </c>
      <c r="Y6470">
        <v>9.4141100000000005E-2</v>
      </c>
      <c r="Z6470">
        <v>6.1441049999999997E-4</v>
      </c>
      <c r="AA6470">
        <v>0.99555870000000002</v>
      </c>
      <c r="AB6470">
        <v>26</v>
      </c>
      <c r="AC6470">
        <v>23.319800000000001</v>
      </c>
      <c r="AD6470">
        <v>-1.1604460000000001</v>
      </c>
      <c r="AE6470">
        <v>-3.63368</v>
      </c>
      <c r="AF6470">
        <v>2.2304006557552798</v>
      </c>
      <c r="AG6470">
        <v>-1.1604460000000001</v>
      </c>
      <c r="AH6470">
        <v>23.438397574970399</v>
      </c>
      <c r="AI6470">
        <v>92.821699946993405</v>
      </c>
      <c r="AJ6470">
        <v>84.564095664740194</v>
      </c>
      <c r="AK6470">
        <v>23.572861576110899</v>
      </c>
      <c r="AL6470">
        <v>86.409598710271794</v>
      </c>
      <c r="AM6470">
        <v>85.001845595675206</v>
      </c>
      <c r="AN6470">
        <v>0.999999997905342</v>
      </c>
    </row>
    <row r="6471" spans="1:40" x14ac:dyDescent="0.25">
      <c r="A6471" t="str">
        <f>"20190312172242236"</f>
        <v>20190312172242236</v>
      </c>
      <c r="B6471" t="str">
        <f>"1552382562226775"</f>
        <v>1552382562226775</v>
      </c>
      <c r="C6471" t="s">
        <v>40</v>
      </c>
      <c r="D6471">
        <v>3.197832</v>
      </c>
      <c r="E6471">
        <v>0.50313450000000004</v>
      </c>
      <c r="F6471" t="s">
        <v>43</v>
      </c>
      <c r="G6471">
        <v>-314.03399999999999</v>
      </c>
      <c r="H6471">
        <v>-0.05</v>
      </c>
      <c r="I6471">
        <v>13.228910000000001</v>
      </c>
      <c r="J6471">
        <v>-337.51679999999999</v>
      </c>
      <c r="K6471">
        <v>1.1104499999999999</v>
      </c>
      <c r="L6471">
        <v>16.899539999999998</v>
      </c>
      <c r="M6471">
        <v>0.99814029999999998</v>
      </c>
      <c r="N6471">
        <v>0</v>
      </c>
      <c r="O6471">
        <v>-5.9471009999999998E-2</v>
      </c>
      <c r="P6471">
        <v>0.98796260000000002</v>
      </c>
      <c r="Q6471">
        <v>4.9484430000000003E-2</v>
      </c>
      <c r="R6471">
        <v>-0.14656449999999999</v>
      </c>
      <c r="S6471">
        <v>2.9750670000000001</v>
      </c>
      <c r="T6471">
        <v>-0.1461809</v>
      </c>
      <c r="U6471">
        <v>-0.46337889999999998</v>
      </c>
      <c r="V6471">
        <v>8.7505959999999994E-2</v>
      </c>
      <c r="W6471">
        <v>6.2856049999999997E-2</v>
      </c>
      <c r="X6471">
        <v>0.99417900000000003</v>
      </c>
      <c r="Y6471">
        <v>9.4816739999999997E-2</v>
      </c>
      <c r="Z6471">
        <v>5.8444289999999999E-4</v>
      </c>
      <c r="AA6471">
        <v>0.99549449999999995</v>
      </c>
      <c r="AB6471">
        <v>26</v>
      </c>
      <c r="AC6471">
        <v>23.482800000000001</v>
      </c>
      <c r="AD6471">
        <v>-1.16045</v>
      </c>
      <c r="AE6471">
        <v>-3.6706299999999898</v>
      </c>
      <c r="AF6471">
        <v>2.2620686872651499</v>
      </c>
      <c r="AG6471">
        <v>-1.16045</v>
      </c>
      <c r="AH6471">
        <v>23.603278949135301</v>
      </c>
      <c r="AI6471">
        <v>92.801850835932896</v>
      </c>
      <c r="AJ6471">
        <v>84.525660637864107</v>
      </c>
      <c r="AK6471">
        <v>23.739805730020102</v>
      </c>
      <c r="AL6471">
        <v>86.396238057727203</v>
      </c>
      <c r="AM6471">
        <v>84.969885133780807</v>
      </c>
      <c r="AN6471">
        <v>1.0000000300490599</v>
      </c>
    </row>
    <row r="6472" spans="1:40" x14ac:dyDescent="0.25">
      <c r="A6472" t="str">
        <f>"20190312172242248"</f>
        <v>20190312172242248</v>
      </c>
      <c r="B6472" t="str">
        <f>"1552382562237511"</f>
        <v>1552382562237511</v>
      </c>
      <c r="C6472" t="s">
        <v>40</v>
      </c>
      <c r="D6472">
        <v>3.1832120000000002</v>
      </c>
      <c r="E6472">
        <v>0.50312920000000005</v>
      </c>
      <c r="F6472" t="s">
        <v>43</v>
      </c>
      <c r="G6472">
        <v>-313.83999999999997</v>
      </c>
      <c r="H6472">
        <v>-0.05</v>
      </c>
      <c r="I6472">
        <v>13.20065</v>
      </c>
      <c r="J6472">
        <v>-337.3827</v>
      </c>
      <c r="K6472">
        <v>1.1104510000000001</v>
      </c>
      <c r="L6472">
        <v>16.891779999999901</v>
      </c>
      <c r="M6472">
        <v>0.99815149999999997</v>
      </c>
      <c r="N6472">
        <v>0</v>
      </c>
      <c r="O6472">
        <v>-5.928195E-2</v>
      </c>
      <c r="P6472">
        <v>0.98785809999999996</v>
      </c>
      <c r="Q6472">
        <v>4.9877980000000002E-2</v>
      </c>
      <c r="R6472">
        <v>-0.1471345</v>
      </c>
      <c r="S6472">
        <v>2.9749150000000002</v>
      </c>
      <c r="T6472">
        <v>-0.145806399999999</v>
      </c>
      <c r="U6472">
        <v>-0.4647522</v>
      </c>
      <c r="V6472">
        <v>8.8269559999999997E-2</v>
      </c>
      <c r="W6472">
        <v>6.3247700000000004E-2</v>
      </c>
      <c r="X6472">
        <v>0.99408660000000004</v>
      </c>
      <c r="Y6472">
        <v>9.5460890000000007E-2</v>
      </c>
      <c r="Z6472">
        <v>5.5809299999999996E-4</v>
      </c>
      <c r="AA6472">
        <v>0.99543300000000001</v>
      </c>
      <c r="AB6472">
        <v>26</v>
      </c>
      <c r="AC6472">
        <v>23.5427</v>
      </c>
      <c r="AD6472">
        <v>-1.1604509999999999</v>
      </c>
      <c r="AE6472">
        <v>-3.69112999999999</v>
      </c>
      <c r="AF6472">
        <v>2.2834400880896899</v>
      </c>
      <c r="AG6472">
        <v>-1.1604509999999999</v>
      </c>
      <c r="AH6472">
        <v>23.664009004631801</v>
      </c>
      <c r="AI6472">
        <v>92.7944994196653</v>
      </c>
      <c r="AJ6472">
        <v>84.488352747336407</v>
      </c>
      <c r="AK6472">
        <v>23.8022282009603</v>
      </c>
      <c r="AL6472">
        <v>86.373753236770995</v>
      </c>
      <c r="AM6472">
        <v>84.925750016924198</v>
      </c>
      <c r="AN6472">
        <v>0.99999997753872105</v>
      </c>
    </row>
    <row r="6473" spans="1:40" x14ac:dyDescent="0.25">
      <c r="A6473" t="str">
        <f>"20190312172242258"</f>
        <v>20190312172242258</v>
      </c>
      <c r="B6473" t="str">
        <f>"1552382562247271"</f>
        <v>1552382562247271</v>
      </c>
      <c r="C6473" t="s">
        <v>40</v>
      </c>
      <c r="D6473">
        <v>3.1628940000000001</v>
      </c>
      <c r="E6473">
        <v>0.50312920000000005</v>
      </c>
      <c r="F6473" t="s">
        <v>43</v>
      </c>
      <c r="G6473">
        <v>-313.62630000000001</v>
      </c>
      <c r="H6473">
        <v>-0.05</v>
      </c>
      <c r="I6473">
        <v>13.16559</v>
      </c>
      <c r="J6473">
        <v>-337.25420000000003</v>
      </c>
      <c r="K6473">
        <v>1.1104529999999999</v>
      </c>
      <c r="L6473">
        <v>16.884339999999899</v>
      </c>
      <c r="M6473">
        <v>0.9981622</v>
      </c>
      <c r="N6473">
        <v>0</v>
      </c>
      <c r="O6473">
        <v>-5.9101000000000001E-2</v>
      </c>
      <c r="P6473">
        <v>0.98774329999999999</v>
      </c>
      <c r="Q6473">
        <v>5.023205E-2</v>
      </c>
      <c r="R6473">
        <v>-0.14778459999999999</v>
      </c>
      <c r="S6473">
        <v>2.974701</v>
      </c>
      <c r="T6473">
        <v>-0.145308299999999</v>
      </c>
      <c r="U6473">
        <v>-0.46658329999999998</v>
      </c>
      <c r="V6473">
        <v>8.9105260000000006E-2</v>
      </c>
      <c r="W6473">
        <v>6.3600320000000002E-2</v>
      </c>
      <c r="X6473">
        <v>0.99398960000000003</v>
      </c>
      <c r="Y6473">
        <v>9.6249459999999995E-2</v>
      </c>
      <c r="Z6473">
        <v>5.2830759999999998E-4</v>
      </c>
      <c r="AA6473">
        <v>0.99535709999999999</v>
      </c>
      <c r="AB6473">
        <v>26</v>
      </c>
      <c r="AC6473">
        <v>23.6279</v>
      </c>
      <c r="AD6473">
        <v>-1.160453</v>
      </c>
      <c r="AE6473">
        <v>-3.7187499999999898</v>
      </c>
      <c r="AF6473">
        <v>2.3102527886116899</v>
      </c>
      <c r="AG6473">
        <v>-1.160453</v>
      </c>
      <c r="AH6473">
        <v>23.750487771105998</v>
      </c>
      <c r="AI6473">
        <v>92.784137625837801</v>
      </c>
      <c r="AJ6473">
        <v>84.4442147609182</v>
      </c>
      <c r="AK6473">
        <v>23.890784593184701</v>
      </c>
      <c r="AL6473">
        <v>86.3535090550414</v>
      </c>
      <c r="AM6473">
        <v>84.877466272025899</v>
      </c>
      <c r="AN6473">
        <v>1.00000003648596</v>
      </c>
    </row>
    <row r="6474" spans="1:40" x14ac:dyDescent="0.25">
      <c r="A6474" t="str">
        <f>"20190312172242270"</f>
        <v>20190312172242270</v>
      </c>
      <c r="B6474" t="str">
        <f>"1552382562267327"</f>
        <v>1552382562267327</v>
      </c>
      <c r="C6474" t="s">
        <v>40</v>
      </c>
      <c r="D6474">
        <v>3.2353679999999998</v>
      </c>
      <c r="E6474">
        <v>0.50315480000000001</v>
      </c>
      <c r="F6474" t="s">
        <v>43</v>
      </c>
      <c r="G6474">
        <v>-313.32369999999997</v>
      </c>
      <c r="H6474">
        <v>-0.05</v>
      </c>
      <c r="I6474">
        <v>13.11382</v>
      </c>
      <c r="J6474">
        <v>-337.12920000000003</v>
      </c>
      <c r="K6474">
        <v>1.1104540000000001</v>
      </c>
      <c r="L6474">
        <v>16.877140000000001</v>
      </c>
      <c r="M6474">
        <v>0.99817279999999997</v>
      </c>
      <c r="N6474">
        <v>0</v>
      </c>
      <c r="O6474">
        <v>-5.89253E-2</v>
      </c>
      <c r="P6474">
        <v>0.98758630000000003</v>
      </c>
      <c r="Q6474">
        <v>5.0505979999999999E-2</v>
      </c>
      <c r="R6474">
        <v>-0.14873720000000001</v>
      </c>
      <c r="S6474">
        <v>2.9744570000000001</v>
      </c>
      <c r="T6474">
        <v>-0.14423900000000001</v>
      </c>
      <c r="U6474">
        <v>-0.46865839999999998</v>
      </c>
      <c r="V6474">
        <v>9.0240600000000004E-2</v>
      </c>
      <c r="W6474">
        <v>6.3872520000000002E-2</v>
      </c>
      <c r="X6474">
        <v>0.99386969999999997</v>
      </c>
      <c r="Y6474">
        <v>9.7114290000000006E-2</v>
      </c>
      <c r="Z6474">
        <v>4.9516230000000005E-4</v>
      </c>
      <c r="AA6474">
        <v>0.99527310000000002</v>
      </c>
      <c r="AB6474">
        <v>26</v>
      </c>
      <c r="AC6474">
        <v>23.805499999999999</v>
      </c>
      <c r="AD6474">
        <v>-1.1604540000000001</v>
      </c>
      <c r="AE6474">
        <v>-3.76331999999999</v>
      </c>
      <c r="AF6474">
        <v>2.3484633778458099</v>
      </c>
      <c r="AG6474">
        <v>-1.1604540000000001</v>
      </c>
      <c r="AH6474">
        <v>23.930423265839501</v>
      </c>
      <c r="AI6474">
        <v>92.763007285696006</v>
      </c>
      <c r="AJ6474">
        <v>84.395103292225002</v>
      </c>
      <c r="AK6474">
        <v>24.073368925130399</v>
      </c>
      <c r="AL6474">
        <v>86.337881318881301</v>
      </c>
      <c r="AM6474">
        <v>84.811928680284893</v>
      </c>
      <c r="AN6474">
        <v>1.0000000226387999</v>
      </c>
    </row>
    <row r="6475" spans="1:40" x14ac:dyDescent="0.25">
      <c r="A6475" t="str">
        <f>"20190312172242279"</f>
        <v>20190312172242279</v>
      </c>
      <c r="B6475" t="str">
        <f>"1552382562267327"</f>
        <v>1552382562267327</v>
      </c>
      <c r="C6475" t="s">
        <v>40</v>
      </c>
      <c r="D6475">
        <v>3.2353679999999998</v>
      </c>
      <c r="E6475">
        <v>0.50315480000000001</v>
      </c>
      <c r="F6475" t="s">
        <v>43</v>
      </c>
      <c r="G6475">
        <v>-313.38850000000002</v>
      </c>
      <c r="H6475">
        <v>-0.05</v>
      </c>
      <c r="I6475">
        <v>13.11124</v>
      </c>
      <c r="J6475">
        <v>-337.00909999999999</v>
      </c>
      <c r="K6475">
        <v>1.1104540000000001</v>
      </c>
      <c r="L6475">
        <v>16.870239999999999</v>
      </c>
      <c r="M6475">
        <v>0.99818269999999998</v>
      </c>
      <c r="N6475">
        <v>0</v>
      </c>
      <c r="O6475">
        <v>-5.8756509999999998E-2</v>
      </c>
      <c r="P6475">
        <v>0.98744310000000002</v>
      </c>
      <c r="Q6475">
        <v>5.0824340000000003E-2</v>
      </c>
      <c r="R6475">
        <v>-0.14957719999999999</v>
      </c>
      <c r="S6475">
        <v>2.974091</v>
      </c>
      <c r="T6475">
        <v>-0.145374799999999</v>
      </c>
      <c r="U6475">
        <v>-0.4717712</v>
      </c>
      <c r="V6475">
        <v>9.1255550000000005E-2</v>
      </c>
      <c r="W6475">
        <v>6.4188980000000007E-2</v>
      </c>
      <c r="X6475">
        <v>0.99375659999999999</v>
      </c>
      <c r="Y6475">
        <v>9.8315340000000001E-2</v>
      </c>
      <c r="Z6475">
        <v>4.6173459999999998E-4</v>
      </c>
      <c r="AA6475">
        <v>0.99515520000000002</v>
      </c>
      <c r="AB6475">
        <v>26</v>
      </c>
      <c r="AC6475">
        <v>23.6205999999999</v>
      </c>
      <c r="AD6475">
        <v>-1.1604540000000001</v>
      </c>
      <c r="AE6475">
        <v>-3.7589999999999999</v>
      </c>
      <c r="AF6475">
        <v>2.3589632752462899</v>
      </c>
      <c r="AG6475">
        <v>-1.1604540000000001</v>
      </c>
      <c r="AH6475">
        <v>23.7447739741371</v>
      </c>
      <c r="AI6475">
        <v>92.784247275008596</v>
      </c>
      <c r="AJ6475">
        <v>84.326473949777295</v>
      </c>
      <c r="AK6475">
        <v>23.889865054096401</v>
      </c>
      <c r="AL6475">
        <v>86.319712093306606</v>
      </c>
      <c r="AM6475">
        <v>84.753307694110006</v>
      </c>
      <c r="AN6475">
        <v>0.99999999030140097</v>
      </c>
    </row>
    <row r="6476" spans="1:40" x14ac:dyDescent="0.25">
      <c r="A6476" t="str">
        <f>"20190312172242290"</f>
        <v>20190312172242290</v>
      </c>
      <c r="B6476" t="str">
        <f>"1552382562286846"</f>
        <v>1552382562286846</v>
      </c>
      <c r="C6476" t="s">
        <v>40</v>
      </c>
      <c r="D6476">
        <v>3.2359650000000002</v>
      </c>
      <c r="E6476">
        <v>0.50309340000000002</v>
      </c>
      <c r="F6476" t="s">
        <v>43</v>
      </c>
      <c r="G6476">
        <v>-313.11149999999998</v>
      </c>
      <c r="H6476">
        <v>-0.05</v>
      </c>
      <c r="I6476">
        <v>13.059139999999999</v>
      </c>
      <c r="J6476">
        <v>-336.8843</v>
      </c>
      <c r="K6476">
        <v>1.1104510000000001</v>
      </c>
      <c r="L6476">
        <v>16.86307</v>
      </c>
      <c r="M6476">
        <v>0.998193</v>
      </c>
      <c r="N6476">
        <v>0</v>
      </c>
      <c r="O6476">
        <v>-5.8581279999999999E-2</v>
      </c>
      <c r="P6476">
        <v>0.98728450000000001</v>
      </c>
      <c r="Q6476">
        <v>5.072107E-2</v>
      </c>
      <c r="R6476">
        <v>-0.15065400000000001</v>
      </c>
      <c r="S6476">
        <v>2.9737550000000001</v>
      </c>
      <c r="T6476">
        <v>-0.144403799999999</v>
      </c>
      <c r="U6476">
        <v>-0.47424319999999998</v>
      </c>
      <c r="V6476">
        <v>9.2514659999999999E-2</v>
      </c>
      <c r="W6476">
        <v>6.4084279999999993E-2</v>
      </c>
      <c r="X6476">
        <v>0.9936469</v>
      </c>
      <c r="Y6476">
        <v>9.9313449999999998E-2</v>
      </c>
      <c r="Z6476">
        <v>4.261693E-4</v>
      </c>
      <c r="AA6476">
        <v>0.9950561</v>
      </c>
      <c r="AB6476">
        <v>26</v>
      </c>
      <c r="AC6476">
        <v>23.7728</v>
      </c>
      <c r="AD6476">
        <v>-1.1604509999999999</v>
      </c>
      <c r="AE6476">
        <v>-3.8039299999999998</v>
      </c>
      <c r="AF6476">
        <v>2.39905660010439</v>
      </c>
      <c r="AG6476">
        <v>-1.1604509999999999</v>
      </c>
      <c r="AH6476">
        <v>23.8992990449626</v>
      </c>
      <c r="AI6476">
        <v>92.765983442218101</v>
      </c>
      <c r="AJ6476">
        <v>84.267744130827097</v>
      </c>
      <c r="AK6476">
        <v>24.0474242681926</v>
      </c>
      <c r="AL6476">
        <v>86.325723224797699</v>
      </c>
      <c r="AM6476">
        <v>84.680744328699305</v>
      </c>
      <c r="AN6476">
        <v>0.99999995956882104</v>
      </c>
    </row>
    <row r="6477" spans="1:40" x14ac:dyDescent="0.25">
      <c r="A6477" t="str">
        <f>"20190312172242303"</f>
        <v>20190312172242303</v>
      </c>
      <c r="B6477" t="str">
        <f>"1552382562296606"</f>
        <v>1552382562296606</v>
      </c>
      <c r="C6477" t="s">
        <v>40</v>
      </c>
      <c r="D6477">
        <v>3.1630310000000001</v>
      </c>
      <c r="E6477">
        <v>0.5030789</v>
      </c>
      <c r="F6477" t="s">
        <v>43</v>
      </c>
      <c r="G6477">
        <v>-313.30529999999999</v>
      </c>
      <c r="H6477">
        <v>-0.05</v>
      </c>
      <c r="I6477">
        <v>13.07973</v>
      </c>
      <c r="J6477">
        <v>-336.74029999999999</v>
      </c>
      <c r="K6477">
        <v>1.1104510000000001</v>
      </c>
      <c r="L6477">
        <v>16.85483</v>
      </c>
      <c r="M6477">
        <v>0.9982048</v>
      </c>
      <c r="N6477">
        <v>0</v>
      </c>
      <c r="O6477">
        <v>-5.8379229999999997E-2</v>
      </c>
      <c r="P6477">
        <v>0.98709360000000002</v>
      </c>
      <c r="Q6477">
        <v>5.0852540000000002E-2</v>
      </c>
      <c r="R6477">
        <v>-0.15185699999999999</v>
      </c>
      <c r="S6477">
        <v>2.973328</v>
      </c>
      <c r="T6477">
        <v>-0.14633350000000001</v>
      </c>
      <c r="U6477">
        <v>-0.47708129999999999</v>
      </c>
      <c r="V6477">
        <v>9.3927899999999995E-2</v>
      </c>
      <c r="W6477">
        <v>6.4214199999999999E-2</v>
      </c>
      <c r="X6477">
        <v>0.993506</v>
      </c>
      <c r="Y6477">
        <v>0.1004603</v>
      </c>
      <c r="Z6477">
        <v>3.9400230000000001E-4</v>
      </c>
      <c r="AA6477">
        <v>0.99494099999999996</v>
      </c>
      <c r="AB6477">
        <v>26</v>
      </c>
      <c r="AC6477">
        <v>23.434999999999999</v>
      </c>
      <c r="AD6477">
        <v>-1.1604509999999999</v>
      </c>
      <c r="AE6477">
        <v>-3.7751000000000001</v>
      </c>
      <c r="AF6477">
        <v>2.3946972593606599</v>
      </c>
      <c r="AG6477">
        <v>-1.1604509999999999</v>
      </c>
      <c r="AH6477">
        <v>23.559124809183999</v>
      </c>
      <c r="AI6477">
        <v>92.805504421190093</v>
      </c>
      <c r="AJ6477">
        <v>84.196031510293693</v>
      </c>
      <c r="AK6477">
        <v>23.708934671597898</v>
      </c>
      <c r="AL6477">
        <v>86.318264300598699</v>
      </c>
      <c r="AM6477">
        <v>84.599203622522197</v>
      </c>
      <c r="AN6477">
        <v>1.00000004295802</v>
      </c>
    </row>
    <row r="6478" spans="1:40" x14ac:dyDescent="0.25">
      <c r="A6478" t="str">
        <f>"20190312172242313"</f>
        <v>20190312172242313</v>
      </c>
      <c r="B6478" t="str">
        <f>"1552382562307342"</f>
        <v>1552382562307342</v>
      </c>
      <c r="C6478" t="s">
        <v>40</v>
      </c>
      <c r="D6478">
        <v>3.187608</v>
      </c>
      <c r="E6478">
        <v>0.5030789</v>
      </c>
      <c r="F6478" t="s">
        <v>43</v>
      </c>
      <c r="G6478">
        <v>-313.23480000000001</v>
      </c>
      <c r="H6478">
        <v>-0.05</v>
      </c>
      <c r="I6478">
        <v>13.054930000000001</v>
      </c>
      <c r="J6478">
        <v>-336.61340000000001</v>
      </c>
      <c r="K6478">
        <v>1.110449</v>
      </c>
      <c r="L6478">
        <v>16.8476</v>
      </c>
      <c r="M6478">
        <v>0.99821519999999997</v>
      </c>
      <c r="N6478">
        <v>0</v>
      </c>
      <c r="O6478">
        <v>-5.820115E-2</v>
      </c>
      <c r="P6478">
        <v>0.9868789</v>
      </c>
      <c r="Q6478">
        <v>5.1081120000000001E-2</v>
      </c>
      <c r="R6478">
        <v>-0.15317030000000001</v>
      </c>
      <c r="S6478">
        <v>2.972839</v>
      </c>
      <c r="T6478">
        <v>-0.1467675</v>
      </c>
      <c r="U6478">
        <v>-0.48059079999999899</v>
      </c>
      <c r="V6478">
        <v>9.5428700000000005E-2</v>
      </c>
      <c r="W6478">
        <v>6.4440699999999906E-2</v>
      </c>
      <c r="X6478">
        <v>0.99334820000000001</v>
      </c>
      <c r="Y6478">
        <v>0.10180599999999999</v>
      </c>
      <c r="Z6478">
        <v>3.5348699999999999E-4</v>
      </c>
      <c r="AA6478">
        <v>0.99480420000000003</v>
      </c>
      <c r="AB6478">
        <v>26</v>
      </c>
      <c r="AC6478">
        <v>23.378599999999999</v>
      </c>
      <c r="AD6478">
        <v>-1.1604490000000001</v>
      </c>
      <c r="AE6478">
        <v>-3.79266999999999</v>
      </c>
      <c r="AF6478">
        <v>2.4196477893338502</v>
      </c>
      <c r="AG6478">
        <v>-1.1604490000000001</v>
      </c>
      <c r="AH6478">
        <v>23.5032970473085</v>
      </c>
      <c r="AI6478">
        <v>92.811782511702006</v>
      </c>
      <c r="AJ6478">
        <v>84.122147287146902</v>
      </c>
      <c r="AK6478">
        <v>23.655999437775801</v>
      </c>
      <c r="AL6478">
        <v>86.305259504980299</v>
      </c>
      <c r="AM6478">
        <v>84.512564755992997</v>
      </c>
      <c r="AN6478">
        <v>0.99999994352170796</v>
      </c>
    </row>
    <row r="6479" spans="1:40" x14ac:dyDescent="0.25">
      <c r="A6479" t="str">
        <f>"20190312172242324"</f>
        <v>20190312172242324</v>
      </c>
      <c r="B6479" t="str">
        <f>"1552382562317102"</f>
        <v>1552382562317102</v>
      </c>
      <c r="C6479" t="s">
        <v>40</v>
      </c>
      <c r="D6479">
        <v>3.163611</v>
      </c>
      <c r="E6479">
        <v>0.50141639999999998</v>
      </c>
      <c r="F6479" t="s">
        <v>43</v>
      </c>
      <c r="G6479">
        <v>-312.9991</v>
      </c>
      <c r="H6479">
        <v>-0.05</v>
      </c>
      <c r="I6479">
        <v>12.997120000000001</v>
      </c>
      <c r="J6479">
        <v>-336.48039999999997</v>
      </c>
      <c r="K6479">
        <v>1.1104459999999901</v>
      </c>
      <c r="L6479">
        <v>16.840060000000001</v>
      </c>
      <c r="M6479">
        <v>0.99822599999999995</v>
      </c>
      <c r="N6479">
        <v>0</v>
      </c>
      <c r="O6479">
        <v>-5.8014589999999998E-2</v>
      </c>
      <c r="P6479">
        <v>0.98667419999999995</v>
      </c>
      <c r="Q6479">
        <v>5.133824E-2</v>
      </c>
      <c r="R6479">
        <v>-0.154397799999999</v>
      </c>
      <c r="S6479">
        <v>2.9722599999999999</v>
      </c>
      <c r="T6479">
        <v>-0.14606250000000001</v>
      </c>
      <c r="U6479">
        <v>-0.48464970000000002</v>
      </c>
      <c r="V6479">
        <v>9.6851880000000001E-2</v>
      </c>
      <c r="W6479">
        <v>6.4695749999999996E-2</v>
      </c>
      <c r="X6479">
        <v>0.99319389999999996</v>
      </c>
      <c r="Y6479">
        <v>0.1033444</v>
      </c>
      <c r="Z6479">
        <v>3.0519279999999998E-4</v>
      </c>
      <c r="AA6479">
        <v>0.99464560000000002</v>
      </c>
      <c r="AB6479">
        <v>26</v>
      </c>
      <c r="AC6479">
        <v>23.481299999999901</v>
      </c>
      <c r="AD6479">
        <v>-1.1604460000000001</v>
      </c>
      <c r="AE6479">
        <v>-3.84294</v>
      </c>
      <c r="AF6479">
        <v>2.46821530808448</v>
      </c>
      <c r="AG6479">
        <v>-1.1604460000000001</v>
      </c>
      <c r="AH6479">
        <v>23.608554803894702</v>
      </c>
      <c r="AI6479">
        <v>92.798800617786398</v>
      </c>
      <c r="AJ6479">
        <v>84.031552054380299</v>
      </c>
      <c r="AK6479">
        <v>23.765575559082901</v>
      </c>
      <c r="AL6479">
        <v>86.290615774575301</v>
      </c>
      <c r="AM6479">
        <v>84.430378616037402</v>
      </c>
      <c r="AN6479">
        <v>0.999999974862403</v>
      </c>
    </row>
    <row r="6480" spans="1:40" x14ac:dyDescent="0.25">
      <c r="A6480" t="str">
        <f>"20190312172242335"</f>
        <v>20190312172242335</v>
      </c>
      <c r="B6480" t="str">
        <f>"1552382562326863"</f>
        <v>1552382562326863</v>
      </c>
      <c r="C6480" t="s">
        <v>40</v>
      </c>
      <c r="D6480">
        <v>3.2335720000000001</v>
      </c>
      <c r="E6480">
        <v>0.50168809999999997</v>
      </c>
      <c r="F6480" t="s">
        <v>43</v>
      </c>
      <c r="G6480">
        <v>-315.28019999999998</v>
      </c>
      <c r="H6480">
        <v>-0.05</v>
      </c>
      <c r="I6480">
        <v>13.45181</v>
      </c>
      <c r="J6480">
        <v>-336.34930000000003</v>
      </c>
      <c r="K6480">
        <v>1.1104459999999901</v>
      </c>
      <c r="L6480">
        <v>16.832639999999898</v>
      </c>
      <c r="M6480">
        <v>0.99823680000000004</v>
      </c>
      <c r="N6480">
        <v>0</v>
      </c>
      <c r="O6480">
        <v>-5.783079E-2</v>
      </c>
      <c r="P6480">
        <v>0.98641710000000005</v>
      </c>
      <c r="Q6480">
        <v>5.1756169999999997E-2</v>
      </c>
      <c r="R6480">
        <v>-0.155894</v>
      </c>
      <c r="S6480">
        <v>2.9746090000000001</v>
      </c>
      <c r="T6480">
        <v>-0.1628222</v>
      </c>
      <c r="U6480">
        <v>-0.47540280000000001</v>
      </c>
      <c r="V6480">
        <v>9.8543160000000005E-2</v>
      </c>
      <c r="W6480">
        <v>6.5111630000000004E-2</v>
      </c>
      <c r="X6480">
        <v>0.99300040000000001</v>
      </c>
      <c r="Y6480">
        <v>0.1003801</v>
      </c>
      <c r="Z6480">
        <v>4.1065850000000001E-4</v>
      </c>
      <c r="AA6480">
        <v>0.99494910000000003</v>
      </c>
      <c r="AB6480">
        <v>26</v>
      </c>
      <c r="AC6480">
        <v>21.069099999999999</v>
      </c>
      <c r="AD6480">
        <v>-1.1604460000000001</v>
      </c>
      <c r="AE6480">
        <v>-3.3808299999999898</v>
      </c>
      <c r="AF6480">
        <v>2.1502598521549299</v>
      </c>
      <c r="AG6480">
        <v>-1.1604460000000001</v>
      </c>
      <c r="AH6480">
        <v>21.1667664014359</v>
      </c>
      <c r="AI6480">
        <v>93.122004286267298</v>
      </c>
      <c r="AJ6480">
        <v>84.199415588911904</v>
      </c>
      <c r="AK6480">
        <v>21.307328604113199</v>
      </c>
      <c r="AL6480">
        <v>86.266737488648801</v>
      </c>
      <c r="AM6480">
        <v>84.332649438590394</v>
      </c>
      <c r="AN6480">
        <v>1.0000000365721</v>
      </c>
    </row>
    <row r="6481" spans="1:40" x14ac:dyDescent="0.25">
      <c r="A6481" t="str">
        <f>"20190312172242346"</f>
        <v>20190312172242346</v>
      </c>
      <c r="B6481" t="str">
        <f>"1552382562336623"</f>
        <v>1552382562336623</v>
      </c>
      <c r="C6481" t="s">
        <v>40</v>
      </c>
      <c r="D6481">
        <v>3.1735890000000002</v>
      </c>
      <c r="E6481">
        <v>0.50171169999999998</v>
      </c>
      <c r="F6481" t="s">
        <v>43</v>
      </c>
      <c r="G6481">
        <v>-315.01859999999999</v>
      </c>
      <c r="H6481">
        <v>-0.05</v>
      </c>
      <c r="I6481">
        <v>13.37411</v>
      </c>
      <c r="J6481">
        <v>-336.22269999999997</v>
      </c>
      <c r="K6481">
        <v>1.1104459999999901</v>
      </c>
      <c r="L6481">
        <v>16.825469999999999</v>
      </c>
      <c r="M6481">
        <v>0.998247</v>
      </c>
      <c r="N6481">
        <v>0</v>
      </c>
      <c r="O6481">
        <v>-5.7653179999999998E-2</v>
      </c>
      <c r="P6481">
        <v>0.98616669999999995</v>
      </c>
      <c r="Q6481">
        <v>5.2084699999999998E-2</v>
      </c>
      <c r="R6481">
        <v>-0.15736229999999901</v>
      </c>
      <c r="S6481">
        <v>2.9736630000000002</v>
      </c>
      <c r="T6481">
        <v>-0.16177559999999999</v>
      </c>
      <c r="U6481">
        <v>-0.4821472</v>
      </c>
      <c r="V6481">
        <v>0.1002001</v>
      </c>
      <c r="W6481">
        <v>6.5437560000000006E-2</v>
      </c>
      <c r="X6481">
        <v>0.9928131</v>
      </c>
      <c r="Y6481">
        <v>0.1028027</v>
      </c>
      <c r="Z6481">
        <v>3.3304230000000002E-4</v>
      </c>
      <c r="AA6481">
        <v>0.99470170000000002</v>
      </c>
      <c r="AB6481">
        <v>26</v>
      </c>
      <c r="AC6481">
        <v>21.204099999999901</v>
      </c>
      <c r="AD6481">
        <v>-1.1604460000000001</v>
      </c>
      <c r="AE6481">
        <v>-3.4513600000000002</v>
      </c>
      <c r="AF6481">
        <v>2.21655753549364</v>
      </c>
      <c r="AG6481">
        <v>-1.1604460000000001</v>
      </c>
      <c r="AH6481">
        <v>21.305658577318699</v>
      </c>
      <c r="AI6481">
        <v>93.100920382592605</v>
      </c>
      <c r="AJ6481">
        <v>84.060537904296098</v>
      </c>
      <c r="AK6481">
        <v>21.4520593333215</v>
      </c>
      <c r="AL6481">
        <v>86.248023000499799</v>
      </c>
      <c r="AM6481">
        <v>84.236912809397893</v>
      </c>
      <c r="AN6481">
        <v>0.99999999291518604</v>
      </c>
    </row>
    <row r="6482" spans="1:40" x14ac:dyDescent="0.25">
      <c r="A6482" t="str">
        <f>"20190312172242357"</f>
        <v>20190312172242357</v>
      </c>
      <c r="B6482" t="str">
        <f>"1552382562347359"</f>
        <v>1552382562347359</v>
      </c>
      <c r="C6482" t="s">
        <v>40</v>
      </c>
      <c r="D6482">
        <v>3.235741</v>
      </c>
      <c r="E6482">
        <v>0.50178809999999996</v>
      </c>
      <c r="F6482" t="s">
        <v>43</v>
      </c>
      <c r="G6482">
        <v>-314.85449999999997</v>
      </c>
      <c r="H6482">
        <v>-0.05</v>
      </c>
      <c r="I6482">
        <v>13.32671</v>
      </c>
      <c r="J6482">
        <v>-336.09210000000002</v>
      </c>
      <c r="K6482">
        <v>1.110452</v>
      </c>
      <c r="L6482">
        <v>16.81812</v>
      </c>
      <c r="M6482">
        <v>0.99825770000000003</v>
      </c>
      <c r="N6482">
        <v>0</v>
      </c>
      <c r="O6482">
        <v>-5.746996E-2</v>
      </c>
      <c r="P6482">
        <v>0.98587610000000003</v>
      </c>
      <c r="Q6482">
        <v>5.2467399999999997E-2</v>
      </c>
      <c r="R6482">
        <v>-0.1590464</v>
      </c>
      <c r="S6482">
        <v>2.9729610000000002</v>
      </c>
      <c r="T6482">
        <v>-0.16145300000000001</v>
      </c>
      <c r="U6482">
        <v>-0.48678589999999999</v>
      </c>
      <c r="V6482">
        <v>0.1020805</v>
      </c>
      <c r="W6482">
        <v>6.581774E-2</v>
      </c>
      <c r="X6482">
        <v>0.99259640000000005</v>
      </c>
      <c r="Y6482">
        <v>0.1045316</v>
      </c>
      <c r="Z6482">
        <v>2.759355E-4</v>
      </c>
      <c r="AA6482">
        <v>0.99452149999999995</v>
      </c>
      <c r="AB6482">
        <v>26</v>
      </c>
      <c r="AC6482">
        <v>21.2376</v>
      </c>
      <c r="AD6482">
        <v>-1.160452</v>
      </c>
      <c r="AE6482">
        <v>-3.4914099999999899</v>
      </c>
      <c r="AF6482">
        <v>2.2584398200108402</v>
      </c>
      <c r="AG6482">
        <v>-1.160452</v>
      </c>
      <c r="AH6482">
        <v>21.3411210731384</v>
      </c>
      <c r="AI6482">
        <v>93.095219745168905</v>
      </c>
      <c r="AJ6482">
        <v>83.959115869386295</v>
      </c>
      <c r="AK6482">
        <v>21.491641350145098</v>
      </c>
      <c r="AL6482">
        <v>86.226193288022699</v>
      </c>
      <c r="AM6482">
        <v>84.128235912071105</v>
      </c>
      <c r="AN6482">
        <v>1.0000000083359499</v>
      </c>
    </row>
    <row r="6483" spans="1:40" x14ac:dyDescent="0.25">
      <c r="A6483" t="str">
        <f>"20190312172242368"</f>
        <v>20190312172242368</v>
      </c>
      <c r="B6483" t="str">
        <f>"1552382562357118"</f>
        <v>1552382562357118</v>
      </c>
      <c r="C6483" t="s">
        <v>40</v>
      </c>
      <c r="D6483">
        <v>3.1592159999999998</v>
      </c>
      <c r="E6483">
        <v>0.50177209999999905</v>
      </c>
      <c r="F6483" t="s">
        <v>43</v>
      </c>
      <c r="G6483">
        <v>-314.75349999999997</v>
      </c>
      <c r="H6483">
        <v>-0.05</v>
      </c>
      <c r="I6483">
        <v>13.280900000000001</v>
      </c>
      <c r="J6483">
        <v>-335.9631</v>
      </c>
      <c r="K6483">
        <v>1.1104529999999999</v>
      </c>
      <c r="L6483">
        <v>16.810879999999901</v>
      </c>
      <c r="M6483">
        <v>0.99826809999999999</v>
      </c>
      <c r="N6483">
        <v>0</v>
      </c>
      <c r="O6483">
        <v>-5.7288890000000002E-2</v>
      </c>
      <c r="P6483">
        <v>0.98557150000000004</v>
      </c>
      <c r="Q6483">
        <v>5.2700990000000003E-2</v>
      </c>
      <c r="R6483">
        <v>-0.16084699999999999</v>
      </c>
      <c r="S6483">
        <v>2.9721069999999998</v>
      </c>
      <c r="T6483">
        <v>-0.16163159999999999</v>
      </c>
      <c r="U6483">
        <v>-0.4926758</v>
      </c>
      <c r="V6483">
        <v>0.1040758</v>
      </c>
      <c r="W6483">
        <v>6.6048969999999999E-2</v>
      </c>
      <c r="X6483">
        <v>0.99237379999999997</v>
      </c>
      <c r="Y6483">
        <v>0.10667260000000001</v>
      </c>
      <c r="Z6483">
        <v>2.0871059999999999E-4</v>
      </c>
      <c r="AA6483">
        <v>0.99429420000000002</v>
      </c>
      <c r="AB6483">
        <v>26</v>
      </c>
      <c r="AC6483">
        <v>21.209599999999998</v>
      </c>
      <c r="AD6483">
        <v>-1.160453</v>
      </c>
      <c r="AE6483">
        <v>-3.5299799999999899</v>
      </c>
      <c r="AF6483">
        <v>2.30229208178628</v>
      </c>
      <c r="AG6483">
        <v>-1.160453</v>
      </c>
      <c r="AH6483">
        <v>21.314918770514399</v>
      </c>
      <c r="AI6483">
        <v>93.098304806576493</v>
      </c>
      <c r="AJ6483">
        <v>83.835201308553295</v>
      </c>
      <c r="AK6483">
        <v>21.470280906143099</v>
      </c>
      <c r="AL6483">
        <v>86.212915857444401</v>
      </c>
      <c r="AM6483">
        <v>84.012956880701907</v>
      </c>
      <c r="AN6483">
        <v>0.99999999875506995</v>
      </c>
    </row>
    <row r="6484" spans="1:40" x14ac:dyDescent="0.25">
      <c r="A6484" t="str">
        <f>"20190312172242379"</f>
        <v>20190312172242379</v>
      </c>
      <c r="B6484" t="str">
        <f>"1552382562376735"</f>
        <v>1552382562376735</v>
      </c>
      <c r="C6484" t="s">
        <v>40</v>
      </c>
      <c r="D6484">
        <v>3.191932</v>
      </c>
      <c r="E6484">
        <v>0.50173800000000002</v>
      </c>
      <c r="F6484" t="s">
        <v>43</v>
      </c>
      <c r="G6484">
        <v>-314.66219999999998</v>
      </c>
      <c r="H6484">
        <v>-0.05</v>
      </c>
      <c r="I6484">
        <v>13.241759999999999</v>
      </c>
      <c r="J6484">
        <v>-335.83659999999998</v>
      </c>
      <c r="K6484">
        <v>1.110455</v>
      </c>
      <c r="L6484">
        <v>16.803799999999999</v>
      </c>
      <c r="M6484">
        <v>0.99827829999999995</v>
      </c>
      <c r="N6484">
        <v>0</v>
      </c>
      <c r="O6484">
        <v>-5.71114E-2</v>
      </c>
      <c r="P6484">
        <v>0.98526219999999998</v>
      </c>
      <c r="Q6484">
        <v>5.279259E-2</v>
      </c>
      <c r="R6484">
        <v>-0.16270119999999999</v>
      </c>
      <c r="S6484">
        <v>2.9713129999999999</v>
      </c>
      <c r="T6484">
        <v>-0.16187449999999901</v>
      </c>
      <c r="U6484">
        <v>-0.49786380000000002</v>
      </c>
      <c r="V6484">
        <v>0.1061212</v>
      </c>
      <c r="W6484">
        <v>6.6137479999999998E-2</v>
      </c>
      <c r="X6484">
        <v>0.99215129999999996</v>
      </c>
      <c r="Y6484">
        <v>0.10857799999999999</v>
      </c>
      <c r="Z6484">
        <v>1.4794480000000001E-4</v>
      </c>
      <c r="AA6484">
        <v>0.99408790000000002</v>
      </c>
      <c r="AB6484">
        <v>26</v>
      </c>
      <c r="AC6484">
        <v>21.174399999999899</v>
      </c>
      <c r="AD6484">
        <v>-1.160455</v>
      </c>
      <c r="AE6484">
        <v>-3.5620399999999899</v>
      </c>
      <c r="AF6484">
        <v>2.33998250693968</v>
      </c>
      <c r="AG6484">
        <v>-1.160455</v>
      </c>
      <c r="AH6484">
        <v>21.281124713615402</v>
      </c>
      <c r="AI6484">
        <v>93.102572647462296</v>
      </c>
      <c r="AJ6484">
        <v>83.7252052777404</v>
      </c>
      <c r="AK6484">
        <v>21.440812554944401</v>
      </c>
      <c r="AL6484">
        <v>86.207833646943101</v>
      </c>
      <c r="AM6484">
        <v>83.894814877691701</v>
      </c>
      <c r="AN6484">
        <v>1.00000003872093</v>
      </c>
    </row>
    <row r="6485" spans="1:40" x14ac:dyDescent="0.25">
      <c r="A6485" t="str">
        <f>"20190312172242391"</f>
        <v>20190312172242391</v>
      </c>
      <c r="B6485" t="str">
        <f>"1552382562387470"</f>
        <v>1552382562387470</v>
      </c>
      <c r="C6485" t="s">
        <v>40</v>
      </c>
      <c r="D6485">
        <v>3.2071679999999998</v>
      </c>
      <c r="E6485">
        <v>0.50159149999999997</v>
      </c>
      <c r="F6485" t="s">
        <v>43</v>
      </c>
      <c r="G6485">
        <v>-314.73719999999997</v>
      </c>
      <c r="H6485">
        <v>-0.05</v>
      </c>
      <c r="I6485">
        <v>13.229369999999999</v>
      </c>
      <c r="J6485">
        <v>-335.7045</v>
      </c>
      <c r="K6485">
        <v>1.110452</v>
      </c>
      <c r="L6485">
        <v>16.796479999999999</v>
      </c>
      <c r="M6485">
        <v>0.99828879999999998</v>
      </c>
      <c r="N6485">
        <v>0</v>
      </c>
      <c r="O6485">
        <v>-5.6925679999999999E-2</v>
      </c>
      <c r="P6485">
        <v>0.98493390000000003</v>
      </c>
      <c r="Q6485">
        <v>5.2717199999999999E-2</v>
      </c>
      <c r="R6485">
        <v>-0.16470079999999901</v>
      </c>
      <c r="S6485">
        <v>2.97052</v>
      </c>
      <c r="T6485">
        <v>-0.1633773</v>
      </c>
      <c r="U6485">
        <v>-0.50323490000000004</v>
      </c>
      <c r="V6485">
        <v>0.10832079999999999</v>
      </c>
      <c r="W6485">
        <v>6.6059919999999994E-2</v>
      </c>
      <c r="X6485">
        <v>0.99191870000000004</v>
      </c>
      <c r="Y6485">
        <v>0.1105492</v>
      </c>
      <c r="Z6485" s="1">
        <v>8.54081E-5</v>
      </c>
      <c r="AA6485">
        <v>0.99387060000000005</v>
      </c>
      <c r="AB6485">
        <v>26</v>
      </c>
      <c r="AC6485">
        <v>20.967300000000002</v>
      </c>
      <c r="AD6485">
        <v>-1.160452</v>
      </c>
      <c r="AE6485">
        <v>-3.5671099999999898</v>
      </c>
      <c r="AF6485">
        <v>2.3606124636306598</v>
      </c>
      <c r="AG6485">
        <v>-1.160452</v>
      </c>
      <c r="AH6485">
        <v>21.073635981562902</v>
      </c>
      <c r="AI6485">
        <v>93.132344950062006</v>
      </c>
      <c r="AJ6485">
        <v>83.6085239783894</v>
      </c>
      <c r="AK6485">
        <v>21.2371672671092</v>
      </c>
      <c r="AL6485">
        <v>86.212287130812399</v>
      </c>
      <c r="AM6485">
        <v>83.767806958134102</v>
      </c>
      <c r="AN6485">
        <v>1.00000000807636</v>
      </c>
    </row>
    <row r="6486" spans="1:40" x14ac:dyDescent="0.25">
      <c r="A6486" t="str">
        <f>"20190312172242404"</f>
        <v>20190312172242404</v>
      </c>
      <c r="B6486" t="str">
        <f>"1552382562397233"</f>
        <v>1552382562397233</v>
      </c>
      <c r="C6486" t="s">
        <v>40</v>
      </c>
      <c r="D6486">
        <v>3.1645470000000002</v>
      </c>
      <c r="E6486">
        <v>0.50159189999999998</v>
      </c>
      <c r="F6486" t="s">
        <v>43</v>
      </c>
      <c r="G6486">
        <v>-314.57279999999997</v>
      </c>
      <c r="H6486">
        <v>-0.05</v>
      </c>
      <c r="I6486">
        <v>13.1809799999999</v>
      </c>
      <c r="J6486">
        <v>-335.56189999999998</v>
      </c>
      <c r="K6486">
        <v>1.1104510000000001</v>
      </c>
      <c r="L6486">
        <v>16.78857</v>
      </c>
      <c r="M6486">
        <v>0.99830030000000003</v>
      </c>
      <c r="N6486">
        <v>0</v>
      </c>
      <c r="O6486">
        <v>-5.6725780000000003E-2</v>
      </c>
      <c r="P6486">
        <v>0.98460539999999996</v>
      </c>
      <c r="Q6486">
        <v>5.2452619999999998E-2</v>
      </c>
      <c r="R6486">
        <v>-0.16673750000000001</v>
      </c>
      <c r="S6486">
        <v>2.9696349999999998</v>
      </c>
      <c r="T6486">
        <v>-0.16307829999999901</v>
      </c>
      <c r="U6486">
        <v>-0.50808719999999996</v>
      </c>
      <c r="V6486">
        <v>0.110572</v>
      </c>
      <c r="W6486">
        <v>6.5792980000000001E-2</v>
      </c>
      <c r="X6486">
        <v>0.99168800000000001</v>
      </c>
      <c r="Y6486">
        <v>0.1123724</v>
      </c>
      <c r="Z6486" s="1">
        <v>2.4715900000000002E-5</v>
      </c>
      <c r="AA6486">
        <v>0.99366620000000005</v>
      </c>
      <c r="AB6486">
        <v>26</v>
      </c>
      <c r="AC6486">
        <v>20.989100000000001</v>
      </c>
      <c r="AD6486">
        <v>-1.1604509999999999</v>
      </c>
      <c r="AE6486">
        <v>-3.6075900000000001</v>
      </c>
      <c r="AF6486">
        <v>2.4039131361258099</v>
      </c>
      <c r="AG6486">
        <v>-1.1604509999999999</v>
      </c>
      <c r="AH6486">
        <v>21.097319275076899</v>
      </c>
      <c r="AI6486">
        <v>93.128161878354604</v>
      </c>
      <c r="AJ6486">
        <v>83.499524847342997</v>
      </c>
      <c r="AK6486">
        <v>21.2655196382306</v>
      </c>
      <c r="AL6486">
        <v>86.227614930157699</v>
      </c>
      <c r="AM6486">
        <v>83.637868395166606</v>
      </c>
      <c r="AN6486">
        <v>0.99999998637263998</v>
      </c>
    </row>
    <row r="6487" spans="1:40" x14ac:dyDescent="0.25">
      <c r="A6487" t="str">
        <f>"20190312172242414"</f>
        <v>20190312172242414</v>
      </c>
      <c r="B6487" t="str">
        <f>"1552382562406990"</f>
        <v>1552382562406990</v>
      </c>
      <c r="C6487" t="s">
        <v>40</v>
      </c>
      <c r="D6487">
        <v>3.1862219999999999</v>
      </c>
      <c r="E6487">
        <v>0.50159189999999998</v>
      </c>
      <c r="F6487" t="s">
        <v>43</v>
      </c>
      <c r="G6487">
        <v>-314.5367</v>
      </c>
      <c r="H6487">
        <v>-0.05</v>
      </c>
      <c r="I6487">
        <v>13.14742</v>
      </c>
      <c r="J6487">
        <v>-335.41800000000001</v>
      </c>
      <c r="K6487">
        <v>1.110452</v>
      </c>
      <c r="L6487">
        <v>16.780609999999999</v>
      </c>
      <c r="M6487">
        <v>0.99831179999999997</v>
      </c>
      <c r="N6487">
        <v>0</v>
      </c>
      <c r="O6487">
        <v>-5.6523730000000001E-2</v>
      </c>
      <c r="P6487">
        <v>0.98424710000000004</v>
      </c>
      <c r="Q6487">
        <v>5.202234E-2</v>
      </c>
      <c r="R6487">
        <v>-0.16897200000000001</v>
      </c>
      <c r="S6487">
        <v>2.9685670000000002</v>
      </c>
      <c r="T6487">
        <v>-0.16384479999999901</v>
      </c>
      <c r="U6487">
        <v>-0.51409910000000003</v>
      </c>
      <c r="V6487">
        <v>0.11302429999999999</v>
      </c>
      <c r="W6487">
        <v>6.5359529999999999E-2</v>
      </c>
      <c r="X6487">
        <v>0.99144019999999999</v>
      </c>
      <c r="Y6487">
        <v>0.1145828</v>
      </c>
      <c r="Z6487" s="1">
        <v>-4.6734470000000003E-5</v>
      </c>
      <c r="AA6487">
        <v>0.99341369999999896</v>
      </c>
      <c r="AB6487">
        <v>26</v>
      </c>
      <c r="AC6487">
        <v>20.8813</v>
      </c>
      <c r="AD6487">
        <v>-1.160452</v>
      </c>
      <c r="AE6487">
        <v>-3.6331899999999901</v>
      </c>
      <c r="AF6487">
        <v>2.4396726490887501</v>
      </c>
      <c r="AG6487">
        <v>-1.160452</v>
      </c>
      <c r="AH6487">
        <v>20.990367343823301</v>
      </c>
      <c r="AI6487">
        <v>93.143257602461603</v>
      </c>
      <c r="AJ6487">
        <v>83.370361046965002</v>
      </c>
      <c r="AK6487">
        <v>21.1635104060659</v>
      </c>
      <c r="AL6487">
        <v>86.2525034659498</v>
      </c>
      <c r="AM6487">
        <v>83.496351246872905</v>
      </c>
      <c r="AN6487">
        <v>1.0000000153641699</v>
      </c>
    </row>
    <row r="6488" spans="1:40" x14ac:dyDescent="0.25">
      <c r="A6488" t="str">
        <f>"20190312172242427"</f>
        <v>20190312172242427</v>
      </c>
      <c r="B6488" t="str">
        <f>"1552382562416750"</f>
        <v>1552382562416750</v>
      </c>
      <c r="C6488" t="s">
        <v>40</v>
      </c>
      <c r="D6488">
        <v>3.1757089999999999</v>
      </c>
      <c r="E6488">
        <v>0.49930340000000001</v>
      </c>
      <c r="F6488" t="s">
        <v>43</v>
      </c>
      <c r="G6488">
        <v>-314.56869999999998</v>
      </c>
      <c r="H6488">
        <v>-0.05</v>
      </c>
      <c r="I6488">
        <v>13.12079</v>
      </c>
      <c r="J6488">
        <v>-335.28739999999999</v>
      </c>
      <c r="K6488">
        <v>1.1104529999999999</v>
      </c>
      <c r="L6488">
        <v>16.773409999999998</v>
      </c>
      <c r="M6488">
        <v>0.99832209999999999</v>
      </c>
      <c r="N6488">
        <v>0</v>
      </c>
      <c r="O6488">
        <v>-5.6340389999999997E-2</v>
      </c>
      <c r="P6488">
        <v>0.98386879999999999</v>
      </c>
      <c r="Q6488">
        <v>5.1776950000000002E-2</v>
      </c>
      <c r="R6488">
        <v>-0.1712351</v>
      </c>
      <c r="S6488">
        <v>2.9673159999999998</v>
      </c>
      <c r="T6488">
        <v>-0.165158</v>
      </c>
      <c r="U6488">
        <v>-0.52087399999999995</v>
      </c>
      <c r="V6488">
        <v>0.1154876</v>
      </c>
      <c r="W6488">
        <v>6.5111619999999995E-2</v>
      </c>
      <c r="X6488">
        <v>0.99117259999999996</v>
      </c>
      <c r="Y6488">
        <v>0.1170311</v>
      </c>
      <c r="Z6488">
        <v>-1.2481999999999999E-4</v>
      </c>
      <c r="AA6488">
        <v>0.99312820000000002</v>
      </c>
      <c r="AB6488">
        <v>26</v>
      </c>
      <c r="AC6488">
        <v>20.718699999999998</v>
      </c>
      <c r="AD6488">
        <v>-1.160453</v>
      </c>
      <c r="AE6488">
        <v>-3.6526200000000002</v>
      </c>
      <c r="AF6488">
        <v>2.4718923770498802</v>
      </c>
      <c r="AG6488">
        <v>-1.160453</v>
      </c>
      <c r="AH6488">
        <v>20.828222448960599</v>
      </c>
      <c r="AI6488">
        <v>93.166782705021205</v>
      </c>
      <c r="AJ6488">
        <v>83.231797884203402</v>
      </c>
      <c r="AK6488">
        <v>21.006469324289402</v>
      </c>
      <c r="AL6488">
        <v>86.266737985547806</v>
      </c>
      <c r="AM6488">
        <v>83.354084140235798</v>
      </c>
      <c r="AN6488">
        <v>1.0000000159017699</v>
      </c>
    </row>
    <row r="6489" spans="1:40" x14ac:dyDescent="0.25">
      <c r="A6489" t="str">
        <f>"20190312172242438"</f>
        <v>20190312172242438</v>
      </c>
      <c r="B6489" t="str">
        <f>"1552382562426511"</f>
        <v>1552382562426511</v>
      </c>
      <c r="C6489" t="s">
        <v>40</v>
      </c>
      <c r="D6489">
        <v>3.234369</v>
      </c>
      <c r="E6489">
        <v>0.49921399999999999</v>
      </c>
      <c r="F6489" t="s">
        <v>43</v>
      </c>
      <c r="G6489">
        <v>-315.52229999999997</v>
      </c>
      <c r="H6489">
        <v>-0.05</v>
      </c>
      <c r="I6489">
        <v>13.380520000000001</v>
      </c>
      <c r="J6489">
        <v>-335.14429999999999</v>
      </c>
      <c r="K6489">
        <v>1.1104540000000001</v>
      </c>
      <c r="L6489">
        <v>16.765529999999998</v>
      </c>
      <c r="M6489">
        <v>0.99833340000000004</v>
      </c>
      <c r="N6489">
        <v>0</v>
      </c>
      <c r="O6489">
        <v>-5.613953E-2</v>
      </c>
      <c r="P6489">
        <v>0.98343290000000005</v>
      </c>
      <c r="Q6489">
        <v>5.1635350000000003E-2</v>
      </c>
      <c r="R6489">
        <v>-0.1737631</v>
      </c>
      <c r="S6489">
        <v>2.9696039999999999</v>
      </c>
      <c r="T6489">
        <v>-0.1743526</v>
      </c>
      <c r="U6489">
        <v>-0.50976560000000004</v>
      </c>
      <c r="V6489">
        <v>0.1182356</v>
      </c>
      <c r="W6489">
        <v>6.4966499999999996E-2</v>
      </c>
      <c r="X6489">
        <v>0.99085809999999996</v>
      </c>
      <c r="Y6489">
        <v>0.1134887</v>
      </c>
      <c r="Z6489" s="1">
        <v>-4.0118820000000001E-5</v>
      </c>
      <c r="AA6489">
        <v>0.99353930000000001</v>
      </c>
      <c r="AB6489">
        <v>26</v>
      </c>
      <c r="AC6489">
        <v>19.622</v>
      </c>
      <c r="AD6489">
        <v>-1.1604540000000001</v>
      </c>
      <c r="AE6489">
        <v>-3.3850099999999901</v>
      </c>
      <c r="AF6489">
        <v>2.2702912455929001</v>
      </c>
      <c r="AG6489">
        <v>-1.1604540000000001</v>
      </c>
      <c r="AH6489">
        <v>19.714139780563201</v>
      </c>
      <c r="AI6489">
        <v>93.346705932350801</v>
      </c>
      <c r="AJ6489">
        <v>83.430724805870895</v>
      </c>
      <c r="AK6489">
        <v>19.878334515585401</v>
      </c>
      <c r="AL6489">
        <v>86.275070476339707</v>
      </c>
      <c r="AM6489">
        <v>83.195272188458205</v>
      </c>
      <c r="AN6489">
        <v>1.0000000387826</v>
      </c>
    </row>
    <row r="6490" spans="1:40" x14ac:dyDescent="0.25">
      <c r="A6490" t="str">
        <f>"20190312172242450"</f>
        <v>20190312172242450</v>
      </c>
      <c r="B6490" t="str">
        <f>"1552382562447006"</f>
        <v>1552382562447006</v>
      </c>
      <c r="C6490" t="s">
        <v>40</v>
      </c>
      <c r="D6490">
        <v>3.2056789999999999</v>
      </c>
      <c r="E6490">
        <v>0.49845519999999999</v>
      </c>
      <c r="F6490" t="s">
        <v>43</v>
      </c>
      <c r="G6490">
        <v>-315.61070000000001</v>
      </c>
      <c r="H6490">
        <v>-0.05</v>
      </c>
      <c r="I6490">
        <v>13.36491</v>
      </c>
      <c r="J6490">
        <v>-335.00889999999998</v>
      </c>
      <c r="K6490">
        <v>1.1104510000000001</v>
      </c>
      <c r="L6490">
        <v>16.758120000000002</v>
      </c>
      <c r="M6490">
        <v>0.99834409999999896</v>
      </c>
      <c r="N6490">
        <v>0</v>
      </c>
      <c r="O6490">
        <v>-5.5949390000000002E-2</v>
      </c>
      <c r="P6490">
        <v>0.98303839999999998</v>
      </c>
      <c r="Q6490">
        <v>5.1702720000000001E-2</v>
      </c>
      <c r="R6490">
        <v>-0.17596239999999999</v>
      </c>
      <c r="S6490">
        <v>2.9684750000000002</v>
      </c>
      <c r="T6490">
        <v>-0.17635139999999999</v>
      </c>
      <c r="U6490">
        <v>-0.51678469999999999</v>
      </c>
      <c r="V6490">
        <v>0.1206426</v>
      </c>
      <c r="W6490">
        <v>6.5030740000000004E-2</v>
      </c>
      <c r="X6490">
        <v>0.99056370000000005</v>
      </c>
      <c r="Y6490">
        <v>0.1160147</v>
      </c>
      <c r="Z6490">
        <v>-1.2621280000000001E-4</v>
      </c>
      <c r="AA6490">
        <v>0.99324749999999995</v>
      </c>
      <c r="AB6490">
        <v>26</v>
      </c>
      <c r="AC6490">
        <v>19.3981999999999</v>
      </c>
      <c r="AD6490">
        <v>-1.1604509999999999</v>
      </c>
      <c r="AE6490">
        <v>-3.3932099999999998</v>
      </c>
      <c r="AF6490">
        <v>2.2945118149962598</v>
      </c>
      <c r="AG6490">
        <v>-1.1604509999999999</v>
      </c>
      <c r="AH6490">
        <v>19.489995480125199</v>
      </c>
      <c r="AI6490">
        <v>93.384101042091103</v>
      </c>
      <c r="AJ6490">
        <v>83.285607437802497</v>
      </c>
      <c r="AK6490">
        <v>19.658874708585401</v>
      </c>
      <c r="AL6490">
        <v>86.271381996283395</v>
      </c>
      <c r="AM6490">
        <v>83.056039271711995</v>
      </c>
      <c r="AN6490">
        <v>1.00000003891869</v>
      </c>
    </row>
    <row r="6491" spans="1:40" x14ac:dyDescent="0.25">
      <c r="A6491" t="str">
        <f>"20190312172242462"</f>
        <v>20190312172242462</v>
      </c>
      <c r="B6491" t="str">
        <f>"1552382562456767"</f>
        <v>1552382562456767</v>
      </c>
      <c r="C6491" t="s">
        <v>40</v>
      </c>
      <c r="D6491">
        <v>3.188774</v>
      </c>
      <c r="E6491">
        <v>0.49815779999999898</v>
      </c>
      <c r="F6491" t="s">
        <v>43</v>
      </c>
      <c r="G6491">
        <v>-315.67700000000002</v>
      </c>
      <c r="H6491">
        <v>-0.05</v>
      </c>
      <c r="I6491">
        <v>13.38766</v>
      </c>
      <c r="J6491">
        <v>-334.87169999999998</v>
      </c>
      <c r="K6491">
        <v>1.110449</v>
      </c>
      <c r="L6491">
        <v>16.750640000000001</v>
      </c>
      <c r="M6491">
        <v>0.99835490000000005</v>
      </c>
      <c r="N6491">
        <v>0</v>
      </c>
      <c r="O6491">
        <v>-5.5756519999999997E-2</v>
      </c>
      <c r="P6491">
        <v>0.98259010000000002</v>
      </c>
      <c r="Q6491">
        <v>5.182192E-2</v>
      </c>
      <c r="R6491">
        <v>-0.1784134</v>
      </c>
      <c r="S6491">
        <v>2.9685060000000001</v>
      </c>
      <c r="T6491">
        <v>-0.1781924</v>
      </c>
      <c r="U6491">
        <v>-0.5175476</v>
      </c>
      <c r="V6491">
        <v>0.12330629999999999</v>
      </c>
      <c r="W6491">
        <v>6.5145880000000003E-2</v>
      </c>
      <c r="X6491">
        <v>0.99022809999999994</v>
      </c>
      <c r="Y6491">
        <v>0.11644939999999999</v>
      </c>
      <c r="Z6491">
        <v>-1.519069E-4</v>
      </c>
      <c r="AA6491">
        <v>0.99319659999999999</v>
      </c>
      <c r="AB6491">
        <v>26</v>
      </c>
      <c r="AC6491">
        <v>19.194699999999902</v>
      </c>
      <c r="AD6491">
        <v>-1.1604490000000001</v>
      </c>
      <c r="AE6491">
        <v>-3.3629799999999999</v>
      </c>
      <c r="AF6491">
        <v>2.27933937227164</v>
      </c>
      <c r="AG6491">
        <v>-1.1604490000000001</v>
      </c>
      <c r="AH6491">
        <v>19.2839759808808</v>
      </c>
      <c r="AI6491">
        <v>93.4199767352479</v>
      </c>
      <c r="AJ6491">
        <v>83.258994423002093</v>
      </c>
      <c r="AK6491">
        <v>19.452859930785898</v>
      </c>
      <c r="AL6491">
        <v>86.264771019396903</v>
      </c>
      <c r="AM6491">
        <v>82.901887656473306</v>
      </c>
      <c r="AN6491">
        <v>1.0000000596651299</v>
      </c>
    </row>
    <row r="6492" spans="1:40" x14ac:dyDescent="0.25">
      <c r="A6492" t="str">
        <f>"20190312172242482"</f>
        <v>20190312172242482</v>
      </c>
      <c r="B6492" t="str">
        <f>"1552382562477262"</f>
        <v>1552382562477262</v>
      </c>
      <c r="C6492" t="s">
        <v>40</v>
      </c>
      <c r="D6492">
        <v>3.1740409999999999</v>
      </c>
      <c r="E6492">
        <v>0.4978843</v>
      </c>
      <c r="F6492" t="s">
        <v>43</v>
      </c>
      <c r="G6492">
        <v>-315.6053</v>
      </c>
      <c r="H6492">
        <v>-0.05</v>
      </c>
      <c r="I6492">
        <v>13.356960000000001</v>
      </c>
      <c r="J6492">
        <v>-334.65629999999999</v>
      </c>
      <c r="K6492">
        <v>1.1104510000000001</v>
      </c>
      <c r="L6492">
        <v>16.738949999999999</v>
      </c>
      <c r="M6492">
        <v>0.99837180000000003</v>
      </c>
      <c r="N6492">
        <v>0</v>
      </c>
      <c r="O6492">
        <v>-5.5453860000000001E-2</v>
      </c>
      <c r="P6492">
        <v>0.98169139999999999</v>
      </c>
      <c r="Q6492">
        <v>5.2509899999999998E-2</v>
      </c>
      <c r="R6492">
        <v>-0.18309800000000001</v>
      </c>
      <c r="S6492">
        <v>2.967651</v>
      </c>
      <c r="T6492">
        <v>-0.17874599999999999</v>
      </c>
      <c r="U6492">
        <v>-0.52273559999999997</v>
      </c>
      <c r="V6492">
        <v>0.12833359999999999</v>
      </c>
      <c r="W6492">
        <v>6.5826300000000004E-2</v>
      </c>
      <c r="X6492">
        <v>0.98954399999999998</v>
      </c>
      <c r="Y6492">
        <v>0.118478399999999</v>
      </c>
      <c r="Z6492">
        <v>-2.3103530000000001E-4</v>
      </c>
      <c r="AA6492">
        <v>0.99295659999999997</v>
      </c>
      <c r="AB6492">
        <v>26</v>
      </c>
      <c r="AC6492">
        <v>19.050999999999899</v>
      </c>
      <c r="AD6492">
        <v>-1.1604509999999999</v>
      </c>
      <c r="AE6492">
        <v>-3.3819899999999898</v>
      </c>
      <c r="AF6492">
        <v>2.31192315283432</v>
      </c>
      <c r="AG6492">
        <v>-1.1604509999999999</v>
      </c>
      <c r="AH6492">
        <v>19.1403928383554</v>
      </c>
      <c r="AI6492">
        <v>93.444528035913905</v>
      </c>
      <c r="AJ6492">
        <v>83.112742111855695</v>
      </c>
      <c r="AK6492">
        <v>19.3144058462738</v>
      </c>
      <c r="AL6492">
        <v>86.225701630244998</v>
      </c>
      <c r="AM6492">
        <v>82.610575647942994</v>
      </c>
      <c r="AN6492">
        <v>0.99999997129832396</v>
      </c>
    </row>
    <row r="6493" spans="1:40" x14ac:dyDescent="0.25">
      <c r="A6493" t="str">
        <f>"20190312172242492"</f>
        <v>20190312172242492</v>
      </c>
      <c r="B6493" t="str">
        <f>"1552382562487023"</f>
        <v>1552382562487023</v>
      </c>
      <c r="C6493" t="s">
        <v>40</v>
      </c>
      <c r="D6493">
        <v>3.1377660000000001</v>
      </c>
      <c r="E6493">
        <v>0.4978843</v>
      </c>
      <c r="F6493" t="s">
        <v>43</v>
      </c>
      <c r="G6493">
        <v>-315.28489999999999</v>
      </c>
      <c r="H6493">
        <v>-0.05</v>
      </c>
      <c r="I6493">
        <v>13.243790000000001</v>
      </c>
      <c r="J6493">
        <v>-334.50799999999998</v>
      </c>
      <c r="K6493">
        <v>1.1104529999999999</v>
      </c>
      <c r="L6493">
        <v>16.730929999999901</v>
      </c>
      <c r="M6493">
        <v>0.99838329999999997</v>
      </c>
      <c r="N6493">
        <v>0</v>
      </c>
      <c r="O6493">
        <v>-5.5245250000000003E-2</v>
      </c>
      <c r="P6493">
        <v>0.98123830000000001</v>
      </c>
      <c r="Q6493">
        <v>5.2959899999999997E-2</v>
      </c>
      <c r="R6493">
        <v>-0.1853824</v>
      </c>
      <c r="S6493">
        <v>2.965668</v>
      </c>
      <c r="T6493">
        <v>-0.17766019999999999</v>
      </c>
      <c r="U6493">
        <v>-0.53509519999999899</v>
      </c>
      <c r="V6493">
        <v>0.1308462</v>
      </c>
      <c r="W6493">
        <v>6.6272120000000004E-2</v>
      </c>
      <c r="X6493">
        <v>0.98918519999999999</v>
      </c>
      <c r="Y6493">
        <v>0.1228023</v>
      </c>
      <c r="Z6493">
        <v>-3.7050249999999999E-4</v>
      </c>
      <c r="AA6493">
        <v>0.99243110000000001</v>
      </c>
      <c r="AB6493">
        <v>26</v>
      </c>
      <c r="AC6493">
        <v>19.223099999999999</v>
      </c>
      <c r="AD6493">
        <v>-1.160453</v>
      </c>
      <c r="AE6493">
        <v>-3.4871399999999899</v>
      </c>
      <c r="AF6493">
        <v>2.4112264807630401</v>
      </c>
      <c r="AG6493">
        <v>-1.160453</v>
      </c>
      <c r="AH6493">
        <v>19.318245011352602</v>
      </c>
      <c r="AI6493">
        <v>93.411238477469894</v>
      </c>
      <c r="AJ6493">
        <v>82.885362916837394</v>
      </c>
      <c r="AK6493">
        <v>19.502698649812402</v>
      </c>
      <c r="AL6493">
        <v>86.200102389890304</v>
      </c>
      <c r="AM6493">
        <v>82.464845375527901</v>
      </c>
      <c r="AN6493">
        <v>1.0000000409213801</v>
      </c>
    </row>
    <row r="6494" spans="1:40" x14ac:dyDescent="0.25">
      <c r="A6494" t="str">
        <f>"20190312172242503"</f>
        <v>20190312172242503</v>
      </c>
      <c r="B6494" t="str">
        <f>"1552382562496782"</f>
        <v>1552382562496782</v>
      </c>
      <c r="C6494" t="s">
        <v>40</v>
      </c>
      <c r="D6494">
        <v>3.1770230000000002</v>
      </c>
      <c r="E6494">
        <v>0.49752109999999999</v>
      </c>
      <c r="F6494" t="s">
        <v>43</v>
      </c>
      <c r="G6494">
        <v>-314.99549999999999</v>
      </c>
      <c r="H6494">
        <v>-0.05</v>
      </c>
      <c r="I6494">
        <v>13.16264</v>
      </c>
      <c r="J6494">
        <v>-334.38940000000002</v>
      </c>
      <c r="K6494">
        <v>1.1104540000000001</v>
      </c>
      <c r="L6494">
        <v>16.72458</v>
      </c>
      <c r="M6494">
        <v>0.99839239999999996</v>
      </c>
      <c r="N6494">
        <v>0</v>
      </c>
      <c r="O6494">
        <v>-5.507836E-2</v>
      </c>
      <c r="P6494">
        <v>0.98080829999999997</v>
      </c>
      <c r="Q6494">
        <v>5.3062539999999998E-2</v>
      </c>
      <c r="R6494">
        <v>-0.187615</v>
      </c>
      <c r="S6494">
        <v>2.9644469999999998</v>
      </c>
      <c r="T6494">
        <v>-0.1763026</v>
      </c>
      <c r="U6494">
        <v>-0.54211430000000005</v>
      </c>
      <c r="V6494">
        <v>0.13326450000000001</v>
      </c>
      <c r="W6494">
        <v>6.6371559999999996E-2</v>
      </c>
      <c r="X6494">
        <v>0.98885559999999995</v>
      </c>
      <c r="Y6494">
        <v>0.12531110000000001</v>
      </c>
      <c r="Z6494">
        <v>-4.5152590000000002E-4</v>
      </c>
      <c r="AA6494">
        <v>0.99211740000000004</v>
      </c>
      <c r="AB6494">
        <v>26</v>
      </c>
      <c r="AC6494">
        <v>19.393899999999999</v>
      </c>
      <c r="AD6494">
        <v>-1.1604540000000001</v>
      </c>
      <c r="AE6494">
        <v>-3.5619399999999999</v>
      </c>
      <c r="AF6494">
        <v>2.4796639521035302</v>
      </c>
      <c r="AG6494">
        <v>-1.1604540000000001</v>
      </c>
      <c r="AH6494">
        <v>19.4931439646512</v>
      </c>
      <c r="AI6494">
        <v>93.379705758760693</v>
      </c>
      <c r="AJ6494">
        <v>82.750512476492204</v>
      </c>
      <c r="AK6494">
        <v>19.684462106648802</v>
      </c>
      <c r="AL6494">
        <v>86.194392186268203</v>
      </c>
      <c r="AM6494">
        <v>82.324697899412598</v>
      </c>
      <c r="AN6494">
        <v>1.0000000042942201</v>
      </c>
    </row>
    <row r="6495" spans="1:40" x14ac:dyDescent="0.25">
      <c r="A6495" t="str">
        <f>"20190312172242514"</f>
        <v>20190312172242514</v>
      </c>
      <c r="B6495" t="str">
        <f>"1552382562506542"</f>
        <v>1552382562506542</v>
      </c>
      <c r="C6495" t="s">
        <v>40</v>
      </c>
      <c r="D6495">
        <v>3.1598449999999998</v>
      </c>
      <c r="E6495">
        <v>0.49720350000000002</v>
      </c>
      <c r="F6495" t="s">
        <v>43</v>
      </c>
      <c r="G6495">
        <v>-315.3279</v>
      </c>
      <c r="H6495">
        <v>-0.05</v>
      </c>
      <c r="I6495">
        <v>13.212129999999901</v>
      </c>
      <c r="J6495">
        <v>-334.25970000000001</v>
      </c>
      <c r="K6495">
        <v>1.1104540000000001</v>
      </c>
      <c r="L6495">
        <v>16.717589999999898</v>
      </c>
      <c r="M6495">
        <v>0.99840240000000002</v>
      </c>
      <c r="N6495">
        <v>0</v>
      </c>
      <c r="O6495">
        <v>-5.4896109999999998E-2</v>
      </c>
      <c r="P6495">
        <v>0.98037019999999997</v>
      </c>
      <c r="Q6495">
        <v>5.3488519999999998E-2</v>
      </c>
      <c r="R6495">
        <v>-0.1897711</v>
      </c>
      <c r="S6495">
        <v>2.9639890000000002</v>
      </c>
      <c r="T6495">
        <v>-0.1804461</v>
      </c>
      <c r="U6495">
        <v>-0.54617309999999997</v>
      </c>
      <c r="V6495">
        <v>0.13562199999999999</v>
      </c>
      <c r="W6495">
        <v>6.6793580000000005E-2</v>
      </c>
      <c r="X6495">
        <v>0.98850660000000001</v>
      </c>
      <c r="Y6495">
        <v>0.12682470000000001</v>
      </c>
      <c r="Z6495">
        <v>-5.1876649999999999E-4</v>
      </c>
      <c r="AA6495">
        <v>0.99192499999999995</v>
      </c>
      <c r="AB6495">
        <v>26</v>
      </c>
      <c r="AC6495">
        <v>18.931799999999999</v>
      </c>
      <c r="AD6495">
        <v>-1.1604540000000001</v>
      </c>
      <c r="AE6495">
        <v>-3.5054599999999998</v>
      </c>
      <c r="AF6495">
        <v>2.4518908036220299</v>
      </c>
      <c r="AG6495">
        <v>-1.1604540000000001</v>
      </c>
      <c r="AH6495">
        <v>19.026582216516701</v>
      </c>
      <c r="AI6495">
        <v>93.461660228800497</v>
      </c>
      <c r="AJ6495">
        <v>82.656957367842494</v>
      </c>
      <c r="AK6495">
        <v>19.218981576578699</v>
      </c>
      <c r="AL6495">
        <v>86.170158442502498</v>
      </c>
      <c r="AM6495">
        <v>82.187856856049706</v>
      </c>
      <c r="AN6495">
        <v>1.00000000372838</v>
      </c>
    </row>
    <row r="6496" spans="1:40" x14ac:dyDescent="0.25">
      <c r="A6496" t="str">
        <f>"20190312172242526"</f>
        <v>20190312172242526</v>
      </c>
      <c r="B6496" t="str">
        <f>"1552382562517279"</f>
        <v>1552382562517279</v>
      </c>
      <c r="C6496" t="s">
        <v>40</v>
      </c>
      <c r="D6496">
        <v>3.2130030000000001</v>
      </c>
      <c r="E6496">
        <v>0.49677939999999998</v>
      </c>
      <c r="F6496" t="s">
        <v>43</v>
      </c>
      <c r="G6496">
        <v>-315.13929999999999</v>
      </c>
      <c r="H6496">
        <v>-0.05</v>
      </c>
      <c r="I6496">
        <v>13.1657299999999</v>
      </c>
      <c r="J6496">
        <v>-334.12740000000002</v>
      </c>
      <c r="K6496">
        <v>1.1104540000000001</v>
      </c>
      <c r="L6496">
        <v>16.710539999999899</v>
      </c>
      <c r="M6496">
        <v>0.99841270000000004</v>
      </c>
      <c r="N6496">
        <v>0</v>
      </c>
      <c r="O6496">
        <v>-5.4710269999999998E-2</v>
      </c>
      <c r="P6496">
        <v>0.97997219999999996</v>
      </c>
      <c r="Q6496">
        <v>5.3382159999999998E-2</v>
      </c>
      <c r="R6496">
        <v>-0.19184590000000001</v>
      </c>
      <c r="S6496">
        <v>2.9633180000000001</v>
      </c>
      <c r="T6496">
        <v>-0.17984939999999999</v>
      </c>
      <c r="U6496">
        <v>-0.55047609999999902</v>
      </c>
      <c r="V6496">
        <v>0.13789949999999901</v>
      </c>
      <c r="W6496">
        <v>6.668367E-2</v>
      </c>
      <c r="X6496">
        <v>0.98819889999999999</v>
      </c>
      <c r="Y6496">
        <v>0.12843959999999999</v>
      </c>
      <c r="Z6496">
        <v>-5.7681279999999995E-4</v>
      </c>
      <c r="AA6496">
        <v>0.99171719999999997</v>
      </c>
      <c r="AB6496">
        <v>26</v>
      </c>
      <c r="AC6496">
        <v>18.988099999999999</v>
      </c>
      <c r="AD6496">
        <v>-1.1604540000000001</v>
      </c>
      <c r="AE6496">
        <v>-3.54481</v>
      </c>
      <c r="AF6496">
        <v>2.49157023502638</v>
      </c>
      <c r="AG6496">
        <v>-1.1604540000000001</v>
      </c>
      <c r="AH6496">
        <v>19.084729540581801</v>
      </c>
      <c r="AI6496">
        <v>93.450398193124599</v>
      </c>
      <c r="AJ6496">
        <v>82.561927537349703</v>
      </c>
      <c r="AK6496">
        <v>19.281635754244</v>
      </c>
      <c r="AL6496">
        <v>86.176469974307807</v>
      </c>
      <c r="AM6496">
        <v>82.055886587033896</v>
      </c>
      <c r="AN6496">
        <v>1.0000000249530601</v>
      </c>
    </row>
    <row r="6497" spans="1:40" x14ac:dyDescent="0.25">
      <c r="A6497" t="str">
        <f>"20190312172242535"</f>
        <v>20190312172242535</v>
      </c>
      <c r="B6497" t="str">
        <f>"1552382562527040"</f>
        <v>1552382562527040</v>
      </c>
      <c r="C6497" t="s">
        <v>40</v>
      </c>
      <c r="D6497">
        <v>3.2301139999999999</v>
      </c>
      <c r="E6497">
        <v>0.49648209999999998</v>
      </c>
      <c r="F6497" t="s">
        <v>43</v>
      </c>
      <c r="G6497">
        <v>-315.40190000000001</v>
      </c>
      <c r="H6497">
        <v>-0.05</v>
      </c>
      <c r="I6497">
        <v>13.21251</v>
      </c>
      <c r="J6497">
        <v>-334.00439999999998</v>
      </c>
      <c r="K6497">
        <v>1.1104529999999999</v>
      </c>
      <c r="L6497">
        <v>16.703949999999999</v>
      </c>
      <c r="M6497">
        <v>0.99842240000000004</v>
      </c>
      <c r="N6497">
        <v>0</v>
      </c>
      <c r="O6497">
        <v>-5.4537299999999997E-2</v>
      </c>
      <c r="P6497">
        <v>0.97956880000000002</v>
      </c>
      <c r="Q6497">
        <v>5.377937E-2</v>
      </c>
      <c r="R6497">
        <v>-0.1937865</v>
      </c>
      <c r="S6497">
        <v>2.962952</v>
      </c>
      <c r="T6497">
        <v>-0.18361930000000001</v>
      </c>
      <c r="U6497">
        <v>-0.55349729999999997</v>
      </c>
      <c r="V6497">
        <v>0.1400304</v>
      </c>
      <c r="W6497">
        <v>6.7076659999999996E-2</v>
      </c>
      <c r="X6497">
        <v>0.98787259999999999</v>
      </c>
      <c r="Y6497">
        <v>0.12960269999999999</v>
      </c>
      <c r="Z6497">
        <v>-6.3519830000000001E-4</v>
      </c>
      <c r="AA6497">
        <v>0.99156580000000005</v>
      </c>
      <c r="AB6497">
        <v>26</v>
      </c>
      <c r="AC6497">
        <v>18.6024999999999</v>
      </c>
      <c r="AD6497">
        <v>-1.160453</v>
      </c>
      <c r="AE6497">
        <v>-3.4914399999999901</v>
      </c>
      <c r="AF6497">
        <v>2.46236611402859</v>
      </c>
      <c r="AG6497">
        <v>-1.160453</v>
      </c>
      <c r="AH6497">
        <v>18.694965121942101</v>
      </c>
      <c r="AI6497">
        <v>93.521626774646094</v>
      </c>
      <c r="AJ6497">
        <v>82.496604082517507</v>
      </c>
      <c r="AK6497">
        <v>18.892104672464601</v>
      </c>
      <c r="AL6497">
        <v>86.153902807934799</v>
      </c>
      <c r="AM6497">
        <v>81.932103941758996</v>
      </c>
      <c r="AN6497">
        <v>1.00000003253583</v>
      </c>
    </row>
    <row r="6498" spans="1:40" x14ac:dyDescent="0.25">
      <c r="A6498" t="str">
        <f>"20190312172242547"</f>
        <v>20190312172242547</v>
      </c>
      <c r="B6498" t="str">
        <f>"1552382562536800"</f>
        <v>1552382562536800</v>
      </c>
      <c r="C6498" t="s">
        <v>40</v>
      </c>
      <c r="D6498">
        <v>3.1735660000000001</v>
      </c>
      <c r="E6498">
        <v>0.4962126</v>
      </c>
      <c r="F6498" t="s">
        <v>43</v>
      </c>
      <c r="G6498">
        <v>-315.13679999999999</v>
      </c>
      <c r="H6498">
        <v>-0.05</v>
      </c>
      <c r="I6498">
        <v>13.154109999999999</v>
      </c>
      <c r="J6498">
        <v>-333.8784</v>
      </c>
      <c r="K6498">
        <v>1.1104529999999999</v>
      </c>
      <c r="L6498">
        <v>16.697299999999998</v>
      </c>
      <c r="M6498">
        <v>0.99843190000000004</v>
      </c>
      <c r="N6498">
        <v>0</v>
      </c>
      <c r="O6498">
        <v>-5.4360039999999998E-2</v>
      </c>
      <c r="P6498">
        <v>0.97917540000000003</v>
      </c>
      <c r="Q6498">
        <v>5.3920650000000001E-2</v>
      </c>
      <c r="R6498">
        <v>-0.1957247</v>
      </c>
      <c r="S6498">
        <v>2.9623110000000001</v>
      </c>
      <c r="T6498">
        <v>-0.1821972</v>
      </c>
      <c r="U6498">
        <v>-0.55734249999999996</v>
      </c>
      <c r="V6498">
        <v>0.1421626</v>
      </c>
      <c r="W6498">
        <v>6.7214620000000003E-2</v>
      </c>
      <c r="X6498">
        <v>0.98755859999999995</v>
      </c>
      <c r="Y6498">
        <v>0.1310598</v>
      </c>
      <c r="Z6498">
        <v>-6.8551509999999996E-4</v>
      </c>
      <c r="AA6498">
        <v>0.99137430000000004</v>
      </c>
      <c r="AB6498">
        <v>26</v>
      </c>
      <c r="AC6498">
        <v>18.741599999999998</v>
      </c>
      <c r="AD6498">
        <v>-1.160453</v>
      </c>
      <c r="AE6498">
        <v>-3.5431899999999898</v>
      </c>
      <c r="AF6498">
        <v>2.50977472106903</v>
      </c>
      <c r="AG6498">
        <v>-1.160453</v>
      </c>
      <c r="AH6498">
        <v>18.8367825094581</v>
      </c>
      <c r="AI6498">
        <v>93.494487082923499</v>
      </c>
      <c r="AJ6498">
        <v>82.410725001521399</v>
      </c>
      <c r="AK6498">
        <v>19.038644794846999</v>
      </c>
      <c r="AL6498">
        <v>86.145980274398994</v>
      </c>
      <c r="AM6498">
        <v>81.808342090625203</v>
      </c>
      <c r="AN6498">
        <v>0.99999999920723204</v>
      </c>
    </row>
    <row r="6499" spans="1:40" x14ac:dyDescent="0.25">
      <c r="A6499" t="str">
        <f>"20190312172242557"</f>
        <v>20190312172242557</v>
      </c>
      <c r="B6499" t="str">
        <f>"1552382562546559"</f>
        <v>1552382562546559</v>
      </c>
      <c r="C6499" t="s">
        <v>40</v>
      </c>
      <c r="D6499">
        <v>3.1899839999999999</v>
      </c>
      <c r="E6499">
        <v>0.49595089999999997</v>
      </c>
      <c r="F6499" t="s">
        <v>43</v>
      </c>
      <c r="G6499">
        <v>-314.95429999999999</v>
      </c>
      <c r="H6499">
        <v>-0.05</v>
      </c>
      <c r="I6499">
        <v>13.11162</v>
      </c>
      <c r="J6499">
        <v>-333.75369999999998</v>
      </c>
      <c r="K6499">
        <v>1.1104560000000001</v>
      </c>
      <c r="L6499">
        <v>16.690670000000001</v>
      </c>
      <c r="M6499">
        <v>0.99844140000000003</v>
      </c>
      <c r="N6499">
        <v>0</v>
      </c>
      <c r="O6499">
        <v>-5.4184690000000001E-2</v>
      </c>
      <c r="P6499">
        <v>0.97888600000000003</v>
      </c>
      <c r="Q6499">
        <v>5.3991409999999997E-2</v>
      </c>
      <c r="R6499">
        <v>-0.1971474</v>
      </c>
      <c r="S6499">
        <v>2.9616090000000002</v>
      </c>
      <c r="T6499">
        <v>-0.18160989999999999</v>
      </c>
      <c r="U6499">
        <v>-0.56115719999999902</v>
      </c>
      <c r="V6499">
        <v>0.1437725</v>
      </c>
      <c r="W6499">
        <v>6.72817E-2</v>
      </c>
      <c r="X6499">
        <v>0.987321</v>
      </c>
      <c r="Y6499">
        <v>0.13250729999999999</v>
      </c>
      <c r="Z6499">
        <v>-7.3797770000000003E-4</v>
      </c>
      <c r="AA6499">
        <v>0.99118170000000005</v>
      </c>
      <c r="AB6499">
        <v>26</v>
      </c>
      <c r="AC6499">
        <v>18.799399999999899</v>
      </c>
      <c r="AD6499">
        <v>-1.1604559999999999</v>
      </c>
      <c r="AE6499">
        <v>-3.5790499999999899</v>
      </c>
      <c r="AF6499">
        <v>2.5456996268543599</v>
      </c>
      <c r="AG6499">
        <v>-1.1604559999999999</v>
      </c>
      <c r="AH6499">
        <v>18.896240879013501</v>
      </c>
      <c r="AI6499">
        <v>93.482849825883207</v>
      </c>
      <c r="AJ6499">
        <v>82.327314276252395</v>
      </c>
      <c r="AK6499">
        <v>19.1022292959697</v>
      </c>
      <c r="AL6499">
        <v>86.142128380448995</v>
      </c>
      <c r="AM6499">
        <v>81.714891238320902</v>
      </c>
      <c r="AN6499">
        <v>1.00000005797606</v>
      </c>
    </row>
    <row r="6500" spans="1:40" x14ac:dyDescent="0.25">
      <c r="A6500" t="str">
        <f>"20190312172242569"</f>
        <v>20190312172242569</v>
      </c>
      <c r="B6500" t="str">
        <f>"1552382562566556"</f>
        <v>1552382562566556</v>
      </c>
      <c r="C6500" t="s">
        <v>40</v>
      </c>
      <c r="D6500">
        <v>3.1878259999999998</v>
      </c>
      <c r="E6500">
        <v>0.49548170000000002</v>
      </c>
      <c r="F6500" t="s">
        <v>43</v>
      </c>
      <c r="G6500">
        <v>-314.79840000000002</v>
      </c>
      <c r="H6500">
        <v>-0.05</v>
      </c>
      <c r="I6500">
        <v>13.08334</v>
      </c>
      <c r="J6500">
        <v>-333.6198</v>
      </c>
      <c r="K6500">
        <v>1.1104560000000001</v>
      </c>
      <c r="L6500">
        <v>16.683620000000001</v>
      </c>
      <c r="M6500">
        <v>0.9984518</v>
      </c>
      <c r="N6500">
        <v>0</v>
      </c>
      <c r="O6500">
        <v>-5.3996589999999997E-2</v>
      </c>
      <c r="P6500">
        <v>0.9786108</v>
      </c>
      <c r="Q6500">
        <v>5.4240089999999998E-2</v>
      </c>
      <c r="R6500">
        <v>-0.1984419</v>
      </c>
      <c r="S6500">
        <v>2.9612120000000002</v>
      </c>
      <c r="T6500">
        <v>-0.1812868</v>
      </c>
      <c r="U6500">
        <v>-0.56353759999999997</v>
      </c>
      <c r="V6500">
        <v>0.14526610000000001</v>
      </c>
      <c r="W6500">
        <v>6.752814E-2</v>
      </c>
      <c r="X6500">
        <v>0.98708549999999995</v>
      </c>
      <c r="Y6500">
        <v>0.13348570000000001</v>
      </c>
      <c r="Z6500">
        <v>-7.7774660000000005E-4</v>
      </c>
      <c r="AA6500">
        <v>0.9910504</v>
      </c>
      <c r="AB6500">
        <v>26</v>
      </c>
      <c r="AC6500">
        <v>18.821399999999901</v>
      </c>
      <c r="AD6500">
        <v>-1.1604559999999999</v>
      </c>
      <c r="AE6500">
        <v>-3.6002800000000001</v>
      </c>
      <c r="AF6500">
        <v>2.5692225098262802</v>
      </c>
      <c r="AG6500">
        <v>-1.1604559999999999</v>
      </c>
      <c r="AH6500">
        <v>18.918975584191799</v>
      </c>
      <c r="AI6500">
        <v>93.478176360667405</v>
      </c>
      <c r="AJ6500">
        <v>82.266464609214594</v>
      </c>
      <c r="AK6500">
        <v>19.127864480599499</v>
      </c>
      <c r="AL6500">
        <v>86.127976141401504</v>
      </c>
      <c r="AM6500">
        <v>81.628064832457</v>
      </c>
      <c r="AN6500">
        <v>1.0000000369056501</v>
      </c>
    </row>
    <row r="6501" spans="1:40" x14ac:dyDescent="0.25">
      <c r="A6501" t="str">
        <f>"20190312172242581"</f>
        <v>20190312172242581</v>
      </c>
      <c r="B6501" t="str">
        <f>"1552382562577294"</f>
        <v>1552382562577294</v>
      </c>
      <c r="C6501" t="s">
        <v>40</v>
      </c>
      <c r="D6501">
        <v>3.1900309999999998</v>
      </c>
      <c r="E6501">
        <v>0.49524990000000002</v>
      </c>
      <c r="F6501" t="s">
        <v>43</v>
      </c>
      <c r="G6501">
        <v>-314.54329999999999</v>
      </c>
      <c r="H6501">
        <v>-0.05</v>
      </c>
      <c r="I6501">
        <v>13.05167</v>
      </c>
      <c r="J6501">
        <v>-333.48739999999998</v>
      </c>
      <c r="K6501">
        <v>1.110457</v>
      </c>
      <c r="L6501">
        <v>16.676670000000001</v>
      </c>
      <c r="M6501">
        <v>0.99846179999999995</v>
      </c>
      <c r="N6501">
        <v>0</v>
      </c>
      <c r="O6501">
        <v>-5.3810150000000001E-2</v>
      </c>
      <c r="P6501">
        <v>0.97838360000000002</v>
      </c>
      <c r="Q6501">
        <v>5.4052320000000001E-2</v>
      </c>
      <c r="R6501">
        <v>-0.19960919999999999</v>
      </c>
      <c r="S6501">
        <v>2.9612120000000002</v>
      </c>
      <c r="T6501">
        <v>-0.18013499999999999</v>
      </c>
      <c r="U6501">
        <v>-0.56378169999999905</v>
      </c>
      <c r="V6501">
        <v>0.1466286</v>
      </c>
      <c r="W6501">
        <v>6.7337369999999994E-2</v>
      </c>
      <c r="X6501">
        <v>0.98689700000000002</v>
      </c>
      <c r="Y6501">
        <v>0.1337506</v>
      </c>
      <c r="Z6501">
        <v>-7.9197860000000003E-4</v>
      </c>
      <c r="AA6501">
        <v>0.99101470000000003</v>
      </c>
      <c r="AB6501">
        <v>26</v>
      </c>
      <c r="AC6501">
        <v>18.944099999999899</v>
      </c>
      <c r="AD6501">
        <v>-1.1604570000000001</v>
      </c>
      <c r="AE6501">
        <v>-3.625</v>
      </c>
      <c r="AF6501">
        <v>2.59089256851941</v>
      </c>
      <c r="AG6501">
        <v>-1.1604570000000001</v>
      </c>
      <c r="AH6501">
        <v>19.042795449493699</v>
      </c>
      <c r="AI6501">
        <v>93.455501251756004</v>
      </c>
      <c r="AJ6501">
        <v>82.252121483769002</v>
      </c>
      <c r="AK6501">
        <v>19.2532450065363</v>
      </c>
      <c r="AL6501">
        <v>86.1389311658656</v>
      </c>
      <c r="AM6501">
        <v>81.549079413850507</v>
      </c>
      <c r="AN6501">
        <v>0.999999978172738</v>
      </c>
    </row>
    <row r="6502" spans="1:40" x14ac:dyDescent="0.25">
      <c r="A6502" t="str">
        <f>"20190312172242591"</f>
        <v>20190312172242591</v>
      </c>
      <c r="B6502" t="str">
        <f>"1552382562587051"</f>
        <v>1552382562587051</v>
      </c>
      <c r="C6502" t="s">
        <v>40</v>
      </c>
      <c r="D6502">
        <v>3.1775120000000001</v>
      </c>
      <c r="E6502">
        <v>0.4950639</v>
      </c>
      <c r="F6502" t="s">
        <v>43</v>
      </c>
      <c r="G6502">
        <v>-314.5025</v>
      </c>
      <c r="H6502">
        <v>-0.05</v>
      </c>
      <c r="I6502">
        <v>13.05185</v>
      </c>
      <c r="J6502">
        <v>-333.35390000000001</v>
      </c>
      <c r="K6502">
        <v>1.1104529999999999</v>
      </c>
      <c r="L6502">
        <v>16.66968</v>
      </c>
      <c r="M6502">
        <v>0.99847200000000003</v>
      </c>
      <c r="N6502">
        <v>0</v>
      </c>
      <c r="O6502">
        <v>-5.3622410000000002E-2</v>
      </c>
      <c r="P6502">
        <v>0.97821860000000005</v>
      </c>
      <c r="Q6502">
        <v>5.4095030000000002E-2</v>
      </c>
      <c r="R6502">
        <v>-0.20040620000000001</v>
      </c>
      <c r="S6502">
        <v>2.9609380000000001</v>
      </c>
      <c r="T6502">
        <v>-0.18098790000000001</v>
      </c>
      <c r="U6502">
        <v>-0.56533809999999995</v>
      </c>
      <c r="V6502">
        <v>0.14761879999999999</v>
      </c>
      <c r="W6502">
        <v>6.7378279999999999E-2</v>
      </c>
      <c r="X6502">
        <v>0.98674660000000003</v>
      </c>
      <c r="Y6502">
        <v>0.1344535</v>
      </c>
      <c r="Z6502">
        <v>-8.2835880000000001E-4</v>
      </c>
      <c r="AA6502">
        <v>0.99091949999999995</v>
      </c>
      <c r="AB6502">
        <v>26</v>
      </c>
      <c r="AC6502">
        <v>18.851400000000002</v>
      </c>
      <c r="AD6502">
        <v>-1.160453</v>
      </c>
      <c r="AE6502">
        <v>-3.6178300000000001</v>
      </c>
      <c r="AF6502">
        <v>2.5922025042399501</v>
      </c>
      <c r="AG6502">
        <v>-1.160453</v>
      </c>
      <c r="AH6502">
        <v>18.9490330411274</v>
      </c>
      <c r="AI6502">
        <v>93.472201463701595</v>
      </c>
      <c r="AJ6502">
        <v>82.210364888192998</v>
      </c>
      <c r="AK6502">
        <v>19.160689397355601</v>
      </c>
      <c r="AL6502">
        <v>86.136581935366706</v>
      </c>
      <c r="AM6502">
        <v>81.491564019007797</v>
      </c>
      <c r="AN6502">
        <v>0.99999999767037895</v>
      </c>
    </row>
    <row r="6503" spans="1:40" x14ac:dyDescent="0.25">
      <c r="A6503" t="str">
        <f>"20190312172242603"</f>
        <v>20190312172242603</v>
      </c>
      <c r="B6503" t="str">
        <f>"1552382562596812"</f>
        <v>1552382562596812</v>
      </c>
      <c r="C6503" t="s">
        <v>40</v>
      </c>
      <c r="D6503">
        <v>3.2284470000000001</v>
      </c>
      <c r="E6503">
        <v>0.4948359</v>
      </c>
      <c r="F6503" t="s">
        <v>43</v>
      </c>
      <c r="G6503">
        <v>-314.45170000000002</v>
      </c>
      <c r="H6503">
        <v>-0.05</v>
      </c>
      <c r="I6503">
        <v>13.054460000000001</v>
      </c>
      <c r="J6503">
        <v>-333.22539999999998</v>
      </c>
      <c r="K6503">
        <v>1.1104529999999999</v>
      </c>
      <c r="L6503">
        <v>16.662960000000002</v>
      </c>
      <c r="M6503">
        <v>0.99848159999999997</v>
      </c>
      <c r="N6503">
        <v>0</v>
      </c>
      <c r="O6503">
        <v>-5.3441570000000001E-2</v>
      </c>
      <c r="P6503">
        <v>0.97812180000000004</v>
      </c>
      <c r="Q6503">
        <v>5.3696830000000001E-2</v>
      </c>
      <c r="R6503">
        <v>-0.20098479999999999</v>
      </c>
      <c r="S6503">
        <v>2.9608150000000002</v>
      </c>
      <c r="T6503">
        <v>-0.18177180000000001</v>
      </c>
      <c r="U6503">
        <v>-0.56628420000000002</v>
      </c>
      <c r="V6503">
        <v>0.14838090000000001</v>
      </c>
      <c r="W6503">
        <v>6.6978650000000001E-2</v>
      </c>
      <c r="X6503">
        <v>0.98665950000000002</v>
      </c>
      <c r="Y6503">
        <v>0.13494349999999999</v>
      </c>
      <c r="Z6503">
        <v>-8.5780090000000002E-4</v>
      </c>
      <c r="AA6503">
        <v>0.99085299999999998</v>
      </c>
      <c r="AB6503">
        <v>26</v>
      </c>
      <c r="AC6503">
        <v>18.773699999999899</v>
      </c>
      <c r="AD6503">
        <v>-1.160453</v>
      </c>
      <c r="AE6503">
        <v>-3.6084999999999998</v>
      </c>
      <c r="AF6503">
        <v>2.5904120602653</v>
      </c>
      <c r="AG6503">
        <v>-1.160453</v>
      </c>
      <c r="AH6503">
        <v>18.8701976699619</v>
      </c>
      <c r="AI6503">
        <v>93.486448836092706</v>
      </c>
      <c r="AJ6503">
        <v>82.183559303244394</v>
      </c>
      <c r="AK6503">
        <v>19.082485317971901</v>
      </c>
      <c r="AL6503">
        <v>86.159530899120995</v>
      </c>
      <c r="AM6503">
        <v>81.447542256554797</v>
      </c>
      <c r="AN6503">
        <v>0.99999999999044098</v>
      </c>
    </row>
    <row r="6504" spans="1:40" x14ac:dyDescent="0.25">
      <c r="A6504" t="str">
        <f>"20190312172242615"</f>
        <v>20190312172242615</v>
      </c>
      <c r="B6504" t="str">
        <f>"1552382562606572"</f>
        <v>1552382562606572</v>
      </c>
      <c r="C6504" t="s">
        <v>40</v>
      </c>
      <c r="D6504">
        <v>3.193406</v>
      </c>
      <c r="E6504">
        <v>0.49472460000000001</v>
      </c>
      <c r="F6504" t="s">
        <v>43</v>
      </c>
      <c r="G6504">
        <v>-314.52199999999999</v>
      </c>
      <c r="H6504">
        <v>-0.05</v>
      </c>
      <c r="I6504">
        <v>13.087569999999999</v>
      </c>
      <c r="J6504">
        <v>-333.08589999999998</v>
      </c>
      <c r="K6504">
        <v>1.110452</v>
      </c>
      <c r="L6504">
        <v>16.6557</v>
      </c>
      <c r="M6504">
        <v>0.99849200000000005</v>
      </c>
      <c r="N6504">
        <v>0</v>
      </c>
      <c r="O6504">
        <v>-5.3245479999999998E-2</v>
      </c>
      <c r="P6504">
        <v>0.97801629999999995</v>
      </c>
      <c r="Q6504">
        <v>5.3578069999999998E-2</v>
      </c>
      <c r="R6504">
        <v>-0.20152829999999999</v>
      </c>
      <c r="S6504">
        <v>2.9608759999999998</v>
      </c>
      <c r="T6504">
        <v>-0.1837075</v>
      </c>
      <c r="U6504">
        <v>-0.56600950000000005</v>
      </c>
      <c r="V6504">
        <v>0.14912329999999999</v>
      </c>
      <c r="W6504">
        <v>6.6857810000000004E-2</v>
      </c>
      <c r="X6504">
        <v>0.98655579999999998</v>
      </c>
      <c r="Y6504">
        <v>0.13504189999999999</v>
      </c>
      <c r="Z6504">
        <v>-8.8193410000000005E-4</v>
      </c>
      <c r="AA6504">
        <v>0.99083949999999998</v>
      </c>
      <c r="AB6504">
        <v>26</v>
      </c>
      <c r="AC6504">
        <v>18.563899999999901</v>
      </c>
      <c r="AD6504">
        <v>-1.160452</v>
      </c>
      <c r="AE6504">
        <v>-3.56813</v>
      </c>
      <c r="AF6504">
        <v>2.5648699304332201</v>
      </c>
      <c r="AG6504">
        <v>-1.160452</v>
      </c>
      <c r="AH6504">
        <v>18.6572567003921</v>
      </c>
      <c r="AI6504">
        <v>93.526044100307899</v>
      </c>
      <c r="AJ6504">
        <v>82.172439124013195</v>
      </c>
      <c r="AK6504">
        <v>18.868450762812301</v>
      </c>
      <c r="AL6504">
        <v>86.166470213551605</v>
      </c>
      <c r="AM6504">
        <v>81.404498957995997</v>
      </c>
      <c r="AN6504">
        <v>1.0000000359372601</v>
      </c>
    </row>
    <row r="6505" spans="1:40" x14ac:dyDescent="0.25">
      <c r="A6505" t="str">
        <f>"20190312172242628"</f>
        <v>20190312172242628</v>
      </c>
      <c r="B6505" t="str">
        <f>"1552382562617308"</f>
        <v>1552382562617308</v>
      </c>
      <c r="C6505" t="s">
        <v>40</v>
      </c>
      <c r="D6505">
        <v>3.2319</v>
      </c>
      <c r="E6505">
        <v>0.49472460000000001</v>
      </c>
      <c r="F6505" t="s">
        <v>43</v>
      </c>
      <c r="G6505">
        <v>-314.96850000000001</v>
      </c>
      <c r="H6505">
        <v>-0.05</v>
      </c>
      <c r="I6505">
        <v>13.187810000000001</v>
      </c>
      <c r="J6505">
        <v>-332.94990000000001</v>
      </c>
      <c r="K6505">
        <v>1.1104510000000001</v>
      </c>
      <c r="L6505">
        <v>16.64865</v>
      </c>
      <c r="M6505">
        <v>0.99850229999999995</v>
      </c>
      <c r="N6505">
        <v>0</v>
      </c>
      <c r="O6505">
        <v>-5.3054039999999997E-2</v>
      </c>
      <c r="P6505">
        <v>0.97795710000000002</v>
      </c>
      <c r="Q6505">
        <v>5.3603720000000001E-2</v>
      </c>
      <c r="R6505">
        <v>-0.20180919999999999</v>
      </c>
      <c r="S6505">
        <v>2.9609990000000002</v>
      </c>
      <c r="T6505">
        <v>-0.18965760000000001</v>
      </c>
      <c r="U6505">
        <v>-0.56677250000000001</v>
      </c>
      <c r="V6505">
        <v>0.14959629999999999</v>
      </c>
      <c r="W6505">
        <v>6.6881599999999999E-2</v>
      </c>
      <c r="X6505">
        <v>0.98648259999999999</v>
      </c>
      <c r="Y6505">
        <v>0.13545950000000001</v>
      </c>
      <c r="Z6505">
        <v>-9.3572700000000002E-4</v>
      </c>
      <c r="AA6505">
        <v>0.99078239999999995</v>
      </c>
      <c r="AB6505">
        <v>26</v>
      </c>
      <c r="AC6505">
        <v>17.981400000000001</v>
      </c>
      <c r="AD6505">
        <v>-1.1604509999999999</v>
      </c>
      <c r="AE6505">
        <v>-3.4608400000000001</v>
      </c>
      <c r="AF6505">
        <v>2.4918862173058498</v>
      </c>
      <c r="AG6505">
        <v>-1.1604509999999999</v>
      </c>
      <c r="AH6505">
        <v>18.067138900154099</v>
      </c>
      <c r="AI6505">
        <v>93.640684335513996</v>
      </c>
      <c r="AJ6505">
        <v>82.1471004202877</v>
      </c>
      <c r="AK6505">
        <v>18.275055443988698</v>
      </c>
      <c r="AL6505">
        <v>86.165104184519393</v>
      </c>
      <c r="AM6505">
        <v>81.377014074891804</v>
      </c>
      <c r="AN6505">
        <v>1.0000000607474999</v>
      </c>
    </row>
    <row r="6506" spans="1:40" x14ac:dyDescent="0.25">
      <c r="A6506" t="str">
        <f>"20190312172242640"</f>
        <v>20190312172242640</v>
      </c>
      <c r="B6506" t="str">
        <f>"1552382562636828"</f>
        <v>1552382562636828</v>
      </c>
      <c r="C6506" t="s">
        <v>40</v>
      </c>
      <c r="D6506">
        <v>3.2220170000000001</v>
      </c>
      <c r="E6506">
        <v>0.49874069999999998</v>
      </c>
      <c r="F6506" t="s">
        <v>43</v>
      </c>
      <c r="G6506">
        <v>-314.82159999999999</v>
      </c>
      <c r="H6506">
        <v>-0.05</v>
      </c>
      <c r="I6506">
        <v>13.17468</v>
      </c>
      <c r="J6506">
        <v>-332.80070000000001</v>
      </c>
      <c r="K6506">
        <v>1.110452</v>
      </c>
      <c r="L6506">
        <v>16.64096</v>
      </c>
      <c r="M6506">
        <v>0.99851330000000005</v>
      </c>
      <c r="N6506">
        <v>0</v>
      </c>
      <c r="O6506">
        <v>-5.2844120000000001E-2</v>
      </c>
      <c r="P6506">
        <v>0.97788019999999998</v>
      </c>
      <c r="Q6506">
        <v>5.3884439999999999E-2</v>
      </c>
      <c r="R6506">
        <v>-0.20210610000000001</v>
      </c>
      <c r="S6506">
        <v>2.9609679999999998</v>
      </c>
      <c r="T6506">
        <v>-0.1895404</v>
      </c>
      <c r="U6506">
        <v>-0.56741330000000001</v>
      </c>
      <c r="V6506">
        <v>0.1501044</v>
      </c>
      <c r="W6506">
        <v>6.7160869999999998E-2</v>
      </c>
      <c r="X6506">
        <v>0.9863864</v>
      </c>
      <c r="Y6506">
        <v>0.13587550000000001</v>
      </c>
      <c r="Z6506">
        <v>-9.6158449999999998E-4</v>
      </c>
      <c r="AA6506">
        <v>0.99072550000000004</v>
      </c>
      <c r="AB6506">
        <v>26</v>
      </c>
      <c r="AC6506">
        <v>17.979099999999999</v>
      </c>
      <c r="AD6506">
        <v>-1.160452</v>
      </c>
      <c r="AE6506">
        <v>-3.4662799999999998</v>
      </c>
      <c r="AF6506">
        <v>2.5012147307531398</v>
      </c>
      <c r="AG6506">
        <v>-1.160452</v>
      </c>
      <c r="AH6506">
        <v>18.0646035600133</v>
      </c>
      <c r="AI6506">
        <v>93.640933245282099</v>
      </c>
      <c r="AJ6506">
        <v>82.1169791587118</v>
      </c>
      <c r="AK6506">
        <v>18.273823512174101</v>
      </c>
      <c r="AL6506">
        <v>86.149066984107805</v>
      </c>
      <c r="AM6506">
        <v>81.347337753792502</v>
      </c>
      <c r="AN6506">
        <v>1.00000002173173</v>
      </c>
    </row>
    <row r="6507" spans="1:40" x14ac:dyDescent="0.25">
      <c r="A6507" t="str">
        <f>"20190312172242652"</f>
        <v>20190312172242652</v>
      </c>
      <c r="B6507" t="str">
        <f>"1552382562646588"</f>
        <v>1552382562646588</v>
      </c>
      <c r="C6507" t="s">
        <v>40</v>
      </c>
      <c r="D6507">
        <v>3.2175820000000002</v>
      </c>
      <c r="E6507">
        <v>0.49864160000000002</v>
      </c>
      <c r="F6507" t="s">
        <v>41</v>
      </c>
      <c r="G6507">
        <v>-331.87529999999998</v>
      </c>
      <c r="H6507">
        <v>0.98655459999999995</v>
      </c>
      <c r="I6507">
        <v>16.45308</v>
      </c>
      <c r="J6507">
        <v>-332.65530000000001</v>
      </c>
      <c r="K6507">
        <v>1.110452</v>
      </c>
      <c r="L6507">
        <v>16.633479999999999</v>
      </c>
      <c r="M6507">
        <v>0.99852419999999997</v>
      </c>
      <c r="N6507">
        <v>0</v>
      </c>
      <c r="O6507">
        <v>-5.2639449999999997E-2</v>
      </c>
      <c r="P6507">
        <v>0.97779490000000002</v>
      </c>
      <c r="Q6507">
        <v>5.410881E-2</v>
      </c>
      <c r="R6507">
        <v>-0.20245869999999999</v>
      </c>
      <c r="S6507">
        <v>2.9653930000000002</v>
      </c>
      <c r="T6507">
        <v>-0.39708080000000001</v>
      </c>
      <c r="U6507">
        <v>-0.60147090000000003</v>
      </c>
      <c r="V6507">
        <v>0.1506632</v>
      </c>
      <c r="W6507">
        <v>6.7383529999999997E-2</v>
      </c>
      <c r="X6507">
        <v>0.986286</v>
      </c>
      <c r="Y6507">
        <v>0.14611350000000001</v>
      </c>
      <c r="Z6507">
        <v>-2.7056739999999999E-3</v>
      </c>
      <c r="AA6507">
        <v>0.98926409999999998</v>
      </c>
      <c r="AB6507">
        <v>26</v>
      </c>
      <c r="AC6507">
        <v>0.780000000000029</v>
      </c>
      <c r="AD6507">
        <v>-0.12389739999999901</v>
      </c>
      <c r="AE6507">
        <v>-0.18039999999999801</v>
      </c>
      <c r="AF6507">
        <v>0.13583419057909699</v>
      </c>
      <c r="AG6507">
        <v>-0.12389739999999901</v>
      </c>
      <c r="AH6507">
        <v>0.76997457142544501</v>
      </c>
      <c r="AI6507">
        <v>99.004450911557001</v>
      </c>
      <c r="AJ6507">
        <v>79.995172041913307</v>
      </c>
      <c r="AK6507">
        <v>0.79162006903491</v>
      </c>
      <c r="AL6507">
        <v>86.136280482948393</v>
      </c>
      <c r="AM6507">
        <v>81.314745764352907</v>
      </c>
      <c r="AN6507">
        <v>1.0000000068727499</v>
      </c>
    </row>
    <row r="6508" spans="1:40" x14ac:dyDescent="0.25">
      <c r="A6508" t="str">
        <f>"20190312172242663"</f>
        <v>20190312172242663</v>
      </c>
      <c r="B6508" t="str">
        <f>"1552382562657324"</f>
        <v>1552382562657324</v>
      </c>
      <c r="C6508" t="s">
        <v>40</v>
      </c>
      <c r="D6508">
        <v>3.193791</v>
      </c>
      <c r="E6508">
        <v>0.4982704</v>
      </c>
      <c r="F6508" t="s">
        <v>41</v>
      </c>
      <c r="G6508">
        <v>-331.86599999999999</v>
      </c>
      <c r="H6508">
        <v>1.004508</v>
      </c>
      <c r="I6508">
        <v>16.473140000000001</v>
      </c>
      <c r="J6508">
        <v>-332.52969999999999</v>
      </c>
      <c r="K6508">
        <v>1.1104540000000001</v>
      </c>
      <c r="L6508">
        <v>16.627079999999999</v>
      </c>
      <c r="M6508">
        <v>0.99853349999999996</v>
      </c>
      <c r="N6508">
        <v>0</v>
      </c>
      <c r="O6508">
        <v>-5.2462429999999997E-2</v>
      </c>
      <c r="P6508">
        <v>0.97773779999999999</v>
      </c>
      <c r="Q6508">
        <v>5.4603310000000002E-2</v>
      </c>
      <c r="R6508">
        <v>-0.202601</v>
      </c>
      <c r="S6508">
        <v>2.9655149999999999</v>
      </c>
      <c r="T6508">
        <v>-0.39809139999999998</v>
      </c>
      <c r="U6508">
        <v>-0.60180659999999997</v>
      </c>
      <c r="V6508">
        <v>0.15098320000000001</v>
      </c>
      <c r="W6508">
        <v>6.7875909999999998E-2</v>
      </c>
      <c r="X6508">
        <v>0.9862033</v>
      </c>
      <c r="Y6508">
        <v>0.1463807</v>
      </c>
      <c r="Z6508">
        <v>-2.7533810000000001E-3</v>
      </c>
      <c r="AA6508">
        <v>0.98922449999999995</v>
      </c>
      <c r="AB6508">
        <v>26</v>
      </c>
      <c r="AC6508">
        <v>0.66370000000000495</v>
      </c>
      <c r="AD6508">
        <v>-0.105946</v>
      </c>
      <c r="AE6508">
        <v>-0.153939999999998</v>
      </c>
      <c r="AF6508">
        <v>0.11609821402705001</v>
      </c>
      <c r="AG6508">
        <v>-0.105946</v>
      </c>
      <c r="AH6508">
        <v>0.65502372429410805</v>
      </c>
      <c r="AI6508">
        <v>99.0490156578377</v>
      </c>
      <c r="AJ6508">
        <v>79.949119758496394</v>
      </c>
      <c r="AK6508">
        <v>0.67361667853787199</v>
      </c>
      <c r="AL6508">
        <v>86.108004450660104</v>
      </c>
      <c r="AM6508">
        <v>81.295862289598503</v>
      </c>
      <c r="AN6508">
        <v>1.00000000738572</v>
      </c>
    </row>
    <row r="6509" spans="1:40" x14ac:dyDescent="0.25">
      <c r="A6509" t="str">
        <f>"20190312172242673"</f>
        <v>20190312172242673</v>
      </c>
      <c r="B6509" t="str">
        <f>"1552382562667085"</f>
        <v>1552382562667085</v>
      </c>
      <c r="C6509" t="s">
        <v>40</v>
      </c>
      <c r="D6509">
        <v>3.1917689999999999</v>
      </c>
      <c r="E6509">
        <v>0.49822499999999997</v>
      </c>
      <c r="F6509" t="s">
        <v>41</v>
      </c>
      <c r="G6509">
        <v>-331.64100000000002</v>
      </c>
      <c r="H6509">
        <v>0.99198730000000002</v>
      </c>
      <c r="I6509">
        <v>16.44746</v>
      </c>
      <c r="J6509">
        <v>-332.4117</v>
      </c>
      <c r="K6509">
        <v>1.1104560000000001</v>
      </c>
      <c r="L6509">
        <v>16.62106</v>
      </c>
      <c r="M6509">
        <v>0.99854219999999905</v>
      </c>
      <c r="N6509">
        <v>0</v>
      </c>
      <c r="O6509">
        <v>-5.2296500000000003E-2</v>
      </c>
      <c r="P6509">
        <v>0.97771560000000002</v>
      </c>
      <c r="Q6509">
        <v>5.4868500000000001E-2</v>
      </c>
      <c r="R6509">
        <v>-0.2026376</v>
      </c>
      <c r="S6509">
        <v>2.9662480000000002</v>
      </c>
      <c r="T6509">
        <v>-0.39539279999999999</v>
      </c>
      <c r="U6509">
        <v>-0.59902949999999999</v>
      </c>
      <c r="V6509">
        <v>0.15118429999999999</v>
      </c>
      <c r="W6509">
        <v>6.8139950000000005E-2</v>
      </c>
      <c r="X6509">
        <v>0.98615430000000004</v>
      </c>
      <c r="Y6509">
        <v>0.145623799999999</v>
      </c>
      <c r="Z6509">
        <v>-2.7064179999999999E-3</v>
      </c>
      <c r="AA6509">
        <v>0.98933629999999995</v>
      </c>
      <c r="AB6509">
        <v>26</v>
      </c>
      <c r="AC6509">
        <v>0.77070000000003303</v>
      </c>
      <c r="AD6509">
        <v>-0.118468699999999</v>
      </c>
      <c r="AE6509">
        <v>-0.1736</v>
      </c>
      <c r="AF6509">
        <v>0.13012763940427299</v>
      </c>
      <c r="AG6509">
        <v>-0.118468699999999</v>
      </c>
      <c r="AH6509">
        <v>0.76159818605102103</v>
      </c>
      <c r="AI6509">
        <v>98.717310935038995</v>
      </c>
      <c r="AJ6509">
        <v>80.304000011475594</v>
      </c>
      <c r="AK6509">
        <v>0.78166478263564199</v>
      </c>
      <c r="AL6509">
        <v>86.092841032816295</v>
      </c>
      <c r="AM6509">
        <v>81.284020422628998</v>
      </c>
      <c r="AN6509">
        <v>1.0000000243804901</v>
      </c>
    </row>
    <row r="6510" spans="1:40" x14ac:dyDescent="0.25">
      <c r="A6510" t="str">
        <f>"20190312172242683"</f>
        <v>20190312172242683</v>
      </c>
      <c r="B6510" t="str">
        <f>"1552382562676844"</f>
        <v>1552382562676844</v>
      </c>
      <c r="C6510" t="s">
        <v>40</v>
      </c>
      <c r="D6510">
        <v>3.2141000000000002</v>
      </c>
      <c r="E6510">
        <v>0.4982066</v>
      </c>
      <c r="F6510" t="s">
        <v>41</v>
      </c>
      <c r="G6510">
        <v>-331.63350000000003</v>
      </c>
      <c r="H6510">
        <v>1.0063869999999999</v>
      </c>
      <c r="I6510">
        <v>16.463889999999999</v>
      </c>
      <c r="J6510">
        <v>-332.2946</v>
      </c>
      <c r="K6510">
        <v>1.1104560000000001</v>
      </c>
      <c r="L6510">
        <v>16.615079999999999</v>
      </c>
      <c r="M6510">
        <v>0.99855090000000002</v>
      </c>
      <c r="N6510">
        <v>0</v>
      </c>
      <c r="O6510">
        <v>-5.2131520000000001E-2</v>
      </c>
      <c r="P6510">
        <v>0.97764010000000001</v>
      </c>
      <c r="Q6510">
        <v>5.5272809999999999E-2</v>
      </c>
      <c r="R6510">
        <v>-0.20289180000000001</v>
      </c>
      <c r="S6510">
        <v>2.9665530000000002</v>
      </c>
      <c r="T6510">
        <v>-0.39666800000000002</v>
      </c>
      <c r="U6510">
        <v>-0.59854130000000005</v>
      </c>
      <c r="V6510">
        <v>0.1516053</v>
      </c>
      <c r="W6510">
        <v>6.8542889999999995E-2</v>
      </c>
      <c r="X6510">
        <v>0.98606170000000004</v>
      </c>
      <c r="Y6510">
        <v>0.14560479999999901</v>
      </c>
      <c r="Z6510">
        <v>-2.7352539999999999E-3</v>
      </c>
      <c r="AA6510">
        <v>0.98933910000000003</v>
      </c>
      <c r="AB6510">
        <v>26</v>
      </c>
      <c r="AC6510">
        <v>0.66109999999997604</v>
      </c>
      <c r="AD6510">
        <v>-0.104068999999999</v>
      </c>
      <c r="AE6510">
        <v>-0.15118999999999899</v>
      </c>
      <c r="AF6510">
        <v>0.11383644754252401</v>
      </c>
      <c r="AG6510">
        <v>-0.104068999999999</v>
      </c>
      <c r="AH6510">
        <v>0.65271277360088198</v>
      </c>
      <c r="AI6510">
        <v>98.926505885838495</v>
      </c>
      <c r="AJ6510">
        <v>80.106829310910996</v>
      </c>
      <c r="AK6510">
        <v>0.67068849578016398</v>
      </c>
      <c r="AL6510">
        <v>86.069700015177801</v>
      </c>
      <c r="AM6510">
        <v>81.259315369331205</v>
      </c>
      <c r="AN6510">
        <v>0.99999998548226599</v>
      </c>
    </row>
    <row r="6511" spans="1:40" x14ac:dyDescent="0.25">
      <c r="A6511" t="str">
        <f>"20190312172242693"</f>
        <v>20190312172242693</v>
      </c>
      <c r="B6511" t="str">
        <f>"1552382562686604"</f>
        <v>1552382562686604</v>
      </c>
      <c r="C6511" t="s">
        <v>40</v>
      </c>
      <c r="D6511">
        <v>3.2028159999999999</v>
      </c>
      <c r="E6511">
        <v>0.49822090000000002</v>
      </c>
      <c r="F6511" t="s">
        <v>41</v>
      </c>
      <c r="G6511">
        <v>-331.40949999999998</v>
      </c>
      <c r="H6511">
        <v>0.99212999999999996</v>
      </c>
      <c r="I6511">
        <v>16.436239999999898</v>
      </c>
      <c r="J6511">
        <v>-332.1764</v>
      </c>
      <c r="K6511">
        <v>1.110457</v>
      </c>
      <c r="L6511">
        <v>16.609100000000002</v>
      </c>
      <c r="M6511">
        <v>0.99855959999999999</v>
      </c>
      <c r="N6511">
        <v>0</v>
      </c>
      <c r="O6511">
        <v>-5.1965339999999999E-2</v>
      </c>
      <c r="P6511">
        <v>0.97759680000000004</v>
      </c>
      <c r="Q6511">
        <v>5.5503129999999998E-2</v>
      </c>
      <c r="R6511">
        <v>-0.20303750000000001</v>
      </c>
      <c r="S6511">
        <v>2.966736</v>
      </c>
      <c r="T6511">
        <v>-0.39661839999999998</v>
      </c>
      <c r="U6511">
        <v>-0.59902949999999999</v>
      </c>
      <c r="V6511">
        <v>0.15191729999999901</v>
      </c>
      <c r="W6511">
        <v>6.877171E-2</v>
      </c>
      <c r="X6511">
        <v>0.98599780000000004</v>
      </c>
      <c r="Y6511">
        <v>0.1459104</v>
      </c>
      <c r="Z6511">
        <v>-2.7766689999999998E-3</v>
      </c>
      <c r="AA6511">
        <v>0.98929389999999995</v>
      </c>
      <c r="AB6511">
        <v>26</v>
      </c>
      <c r="AC6511">
        <v>0.76690000000002101</v>
      </c>
      <c r="AD6511">
        <v>-0.118327</v>
      </c>
      <c r="AE6511">
        <v>-0.17286000000000301</v>
      </c>
      <c r="AF6511">
        <v>0.12982932316638099</v>
      </c>
      <c r="AG6511">
        <v>-0.118327</v>
      </c>
      <c r="AH6511">
        <v>0.75768174797309995</v>
      </c>
      <c r="AI6511">
        <v>98.750654569340995</v>
      </c>
      <c r="AJ6511">
        <v>80.276753976131801</v>
      </c>
      <c r="AK6511">
        <v>0.77777796529241805</v>
      </c>
      <c r="AL6511">
        <v>86.056558791817807</v>
      </c>
      <c r="AM6511">
        <v>81.2410470801115</v>
      </c>
      <c r="AN6511">
        <v>1.0000000378702201</v>
      </c>
    </row>
    <row r="6512" spans="1:40" x14ac:dyDescent="0.25">
      <c r="A6512" t="str">
        <f>"20190312172242706"</f>
        <v>20190312172242706</v>
      </c>
      <c r="B6512" t="str">
        <f>"1552382562697340"</f>
        <v>1552382562697340</v>
      </c>
      <c r="C6512" t="s">
        <v>40</v>
      </c>
      <c r="D6512">
        <v>3.2029049999999999</v>
      </c>
      <c r="E6512">
        <v>0.49833919999999998</v>
      </c>
      <c r="F6512" t="s">
        <v>41</v>
      </c>
      <c r="G6512">
        <v>-331.40190000000001</v>
      </c>
      <c r="H6512">
        <v>1.006802</v>
      </c>
      <c r="I6512">
        <v>16.452500000000001</v>
      </c>
      <c r="J6512">
        <v>-332.03699999999998</v>
      </c>
      <c r="K6512">
        <v>1.11046</v>
      </c>
      <c r="L6512">
        <v>16.602049999999998</v>
      </c>
      <c r="M6512">
        <v>0.9985697</v>
      </c>
      <c r="N6512">
        <v>0</v>
      </c>
      <c r="O6512">
        <v>-5.1769370000000002E-2</v>
      </c>
      <c r="P6512">
        <v>0.9775836</v>
      </c>
      <c r="Q6512">
        <v>5.5677699999999899E-2</v>
      </c>
      <c r="R6512">
        <v>-0.20305210000000001</v>
      </c>
      <c r="S6512">
        <v>2.9667970000000001</v>
      </c>
      <c r="T6512">
        <v>-0.3970284</v>
      </c>
      <c r="U6512">
        <v>-0.59936519999999904</v>
      </c>
      <c r="V6512">
        <v>0.15212629999999999</v>
      </c>
      <c r="W6512">
        <v>6.8945329999999999E-2</v>
      </c>
      <c r="X6512">
        <v>0.98595339999999998</v>
      </c>
      <c r="Y6512">
        <v>0.14620229999999901</v>
      </c>
      <c r="Z6512">
        <v>-2.824451E-3</v>
      </c>
      <c r="AA6512">
        <v>0.98925070000000004</v>
      </c>
      <c r="AB6512">
        <v>26</v>
      </c>
      <c r="AC6512">
        <v>0.63509999999996503</v>
      </c>
      <c r="AD6512">
        <v>-0.103658</v>
      </c>
      <c r="AE6512">
        <v>-0.14954999999999699</v>
      </c>
      <c r="AF6512">
        <v>0.113600521433212</v>
      </c>
      <c r="AG6512">
        <v>-0.103658</v>
      </c>
      <c r="AH6512">
        <v>0.62618625920013005</v>
      </c>
      <c r="AI6512">
        <v>99.251094729723803</v>
      </c>
      <c r="AJ6512">
        <v>79.717433136614105</v>
      </c>
      <c r="AK6512">
        <v>0.64479399085673095</v>
      </c>
      <c r="AL6512">
        <v>86.046587235094094</v>
      </c>
      <c r="AM6512">
        <v>81.228795377353094</v>
      </c>
      <c r="AN6512">
        <v>0.99999998832602899</v>
      </c>
    </row>
    <row r="6513" spans="1:40" x14ac:dyDescent="0.25">
      <c r="A6513" t="str">
        <f>"20190312172242715"</f>
        <v>20190312172242715</v>
      </c>
      <c r="B6513" t="str">
        <f>"1552382562707101"</f>
        <v>1552382562707101</v>
      </c>
      <c r="C6513" t="s">
        <v>40</v>
      </c>
      <c r="D6513">
        <v>3.1769959999999999</v>
      </c>
      <c r="E6513">
        <v>0.49841029999999997</v>
      </c>
      <c r="F6513" t="s">
        <v>41</v>
      </c>
      <c r="G6513">
        <v>-331.17680000000001</v>
      </c>
      <c r="H6513">
        <v>0.99519570000000002</v>
      </c>
      <c r="I6513">
        <v>16.42774</v>
      </c>
      <c r="J6513">
        <v>-331.923</v>
      </c>
      <c r="K6513">
        <v>1.1104609999999999</v>
      </c>
      <c r="L6513">
        <v>16.596309999999999</v>
      </c>
      <c r="M6513">
        <v>0.99857799999999997</v>
      </c>
      <c r="N6513">
        <v>0</v>
      </c>
      <c r="O6513">
        <v>-5.1609040000000002E-2</v>
      </c>
      <c r="P6513">
        <v>0.97743279999999999</v>
      </c>
      <c r="Q6513">
        <v>5.6243300000000003E-2</v>
      </c>
      <c r="R6513">
        <v>-0.20362230000000001</v>
      </c>
      <c r="S6513">
        <v>2.966736</v>
      </c>
      <c r="T6513">
        <v>-0.39755210000000002</v>
      </c>
      <c r="U6513">
        <v>-0.60031129999999999</v>
      </c>
      <c r="V6513">
        <v>0.15286140000000001</v>
      </c>
      <c r="W6513">
        <v>6.9508550000000002E-2</v>
      </c>
      <c r="X6513">
        <v>0.98580009999999996</v>
      </c>
      <c r="Y6513">
        <v>0.1466607</v>
      </c>
      <c r="Z6513">
        <v>-2.8795079999999998E-3</v>
      </c>
      <c r="AA6513">
        <v>0.98918269999999997</v>
      </c>
      <c r="AB6513">
        <v>26</v>
      </c>
      <c r="AC6513">
        <v>0.74619999999998698</v>
      </c>
      <c r="AD6513">
        <v>-0.1152653</v>
      </c>
      <c r="AE6513">
        <v>-0.168569999999999</v>
      </c>
      <c r="AF6513">
        <v>0.126949173125814</v>
      </c>
      <c r="AG6513">
        <v>-0.1152653</v>
      </c>
      <c r="AH6513">
        <v>0.73717043843283703</v>
      </c>
      <c r="AI6513">
        <v>98.760008216666407</v>
      </c>
      <c r="AJ6513">
        <v>80.228853354001401</v>
      </c>
      <c r="AK6513">
        <v>0.75685034005454399</v>
      </c>
      <c r="AL6513">
        <v>86.014239314758399</v>
      </c>
      <c r="AM6513">
        <v>81.185726260024794</v>
      </c>
      <c r="AN6513">
        <v>0.99999994164653405</v>
      </c>
    </row>
    <row r="6514" spans="1:40" x14ac:dyDescent="0.25">
      <c r="A6514" t="str">
        <f>"20190312172242726"</f>
        <v>20190312172242726</v>
      </c>
      <c r="B6514" t="str">
        <f>"1552382562716860"</f>
        <v>1552382562716860</v>
      </c>
      <c r="C6514" t="s">
        <v>40</v>
      </c>
      <c r="D6514">
        <v>3.1913990000000001</v>
      </c>
      <c r="E6514">
        <v>0.49846889999999999</v>
      </c>
      <c r="F6514" t="s">
        <v>41</v>
      </c>
      <c r="G6514">
        <v>-331.16919999999999</v>
      </c>
      <c r="H6514">
        <v>1.0097989999999999</v>
      </c>
      <c r="I6514">
        <v>16.44294</v>
      </c>
      <c r="J6514">
        <v>-331.80439999999999</v>
      </c>
      <c r="K6514">
        <v>1.1104590000000001</v>
      </c>
      <c r="L6514">
        <v>16.590389999999999</v>
      </c>
      <c r="M6514">
        <v>0.99858670000000005</v>
      </c>
      <c r="N6514">
        <v>0</v>
      </c>
      <c r="O6514">
        <v>-5.144203E-2</v>
      </c>
      <c r="P6514">
        <v>0.97731469999999998</v>
      </c>
      <c r="Q6514">
        <v>5.6507099999999998E-2</v>
      </c>
      <c r="R6514">
        <v>-0.20411579999999999</v>
      </c>
      <c r="S6514">
        <v>2.9665219999999999</v>
      </c>
      <c r="T6514">
        <v>-0.39612900000000001</v>
      </c>
      <c r="U6514">
        <v>-0.60256960000000004</v>
      </c>
      <c r="V6514">
        <v>0.1535251</v>
      </c>
      <c r="W6514">
        <v>6.9770180000000001E-2</v>
      </c>
      <c r="X6514">
        <v>0.98567859999999996</v>
      </c>
      <c r="Y6514">
        <v>0.14756</v>
      </c>
      <c r="Z6514">
        <v>-2.9503939999999998E-3</v>
      </c>
      <c r="AA6514">
        <v>0.9890487</v>
      </c>
      <c r="AB6514">
        <v>26</v>
      </c>
      <c r="AC6514">
        <v>0.63519999999999699</v>
      </c>
      <c r="AD6514">
        <v>-0.10066</v>
      </c>
      <c r="AE6514">
        <v>-0.147449999999999</v>
      </c>
      <c r="AF6514">
        <v>0.11190920123237701</v>
      </c>
      <c r="AG6514">
        <v>-0.10066</v>
      </c>
      <c r="AH6514">
        <v>0.62700397323976498</v>
      </c>
      <c r="AI6514">
        <v>98.980951770878605</v>
      </c>
      <c r="AJ6514">
        <v>79.880269334658294</v>
      </c>
      <c r="AK6514">
        <v>0.64481787147916503</v>
      </c>
      <c r="AL6514">
        <v>85.9992130455487</v>
      </c>
      <c r="AM6514">
        <v>81.146987024077504</v>
      </c>
      <c r="AN6514">
        <v>1.00000006842259</v>
      </c>
    </row>
    <row r="6515" spans="1:40" x14ac:dyDescent="0.25">
      <c r="A6515" t="str">
        <f>"20190312172242737"</f>
        <v>20190312172242737</v>
      </c>
      <c r="B6515" t="str">
        <f>"1552382562726621"</f>
        <v>1552382562726621</v>
      </c>
      <c r="C6515" t="s">
        <v>40</v>
      </c>
      <c r="D6515">
        <v>3.1889799999999999</v>
      </c>
      <c r="E6515">
        <v>0.49844379999999999</v>
      </c>
      <c r="F6515" t="s">
        <v>41</v>
      </c>
      <c r="G6515">
        <v>-330.94560000000001</v>
      </c>
      <c r="H6515">
        <v>0.99564790000000003</v>
      </c>
      <c r="I6515">
        <v>16.41536</v>
      </c>
      <c r="J6515">
        <v>-331.67649999999998</v>
      </c>
      <c r="K6515">
        <v>1.1104609999999999</v>
      </c>
      <c r="L6515">
        <v>16.58398</v>
      </c>
      <c r="M6515">
        <v>0.99859600000000004</v>
      </c>
      <c r="N6515">
        <v>0</v>
      </c>
      <c r="O6515">
        <v>-5.1262269999999999E-2</v>
      </c>
      <c r="P6515">
        <v>0.97721880000000005</v>
      </c>
      <c r="Q6515">
        <v>5.7168480000000001E-2</v>
      </c>
      <c r="R6515">
        <v>-0.2043904</v>
      </c>
      <c r="S6515">
        <v>2.966278</v>
      </c>
      <c r="T6515">
        <v>-0.39659220000000001</v>
      </c>
      <c r="U6515">
        <v>-0.60461430000000005</v>
      </c>
      <c r="V6515">
        <v>0.1539816</v>
      </c>
      <c r="W6515">
        <v>7.0429930000000002E-2</v>
      </c>
      <c r="X6515">
        <v>0.9855604</v>
      </c>
      <c r="Y6515">
        <v>0.1483979</v>
      </c>
      <c r="Z6515">
        <v>-3.0326939999999998E-3</v>
      </c>
      <c r="AA6515">
        <v>0.98892310000000005</v>
      </c>
      <c r="AB6515">
        <v>26</v>
      </c>
      <c r="AC6515">
        <v>0.73089999999996202</v>
      </c>
      <c r="AD6515">
        <v>-0.1148131</v>
      </c>
      <c r="AE6515">
        <v>-0.16861999999999999</v>
      </c>
      <c r="AF6515">
        <v>0.127930106781071</v>
      </c>
      <c r="AG6515">
        <v>-0.1148131</v>
      </c>
      <c r="AH6515">
        <v>0.72167561918664003</v>
      </c>
      <c r="AI6515">
        <v>98.903037855344806</v>
      </c>
      <c r="AJ6515">
        <v>79.947709066316506</v>
      </c>
      <c r="AK6515">
        <v>0.74186512216240996</v>
      </c>
      <c r="AL6515">
        <v>85.961318679978802</v>
      </c>
      <c r="AM6515">
        <v>81.120033906956706</v>
      </c>
      <c r="AN6515">
        <v>1.00000000511326</v>
      </c>
    </row>
    <row r="6516" spans="1:40" x14ac:dyDescent="0.25">
      <c r="A6516" t="str">
        <f>"20190312172242748"</f>
        <v>20190312172242748</v>
      </c>
      <c r="B6516" t="str">
        <f>"1552382562737356"</f>
        <v>1552382562737356</v>
      </c>
      <c r="C6516" t="s">
        <v>40</v>
      </c>
      <c r="D6516">
        <v>3.1902729999999999</v>
      </c>
      <c r="E6516">
        <v>0.49844149999999998</v>
      </c>
      <c r="F6516" t="s">
        <v>41</v>
      </c>
      <c r="G6516">
        <v>-330.93709999999999</v>
      </c>
      <c r="H6516">
        <v>1.011998</v>
      </c>
      <c r="I6516">
        <v>16.43309</v>
      </c>
      <c r="J6516">
        <v>-331.55399999999997</v>
      </c>
      <c r="K6516">
        <v>1.110463</v>
      </c>
      <c r="L6516">
        <v>16.57788</v>
      </c>
      <c r="M6516">
        <v>0.99860479999999996</v>
      </c>
      <c r="N6516">
        <v>0</v>
      </c>
      <c r="O6516">
        <v>-5.1089790000000003E-2</v>
      </c>
      <c r="P6516">
        <v>0.97696349999999998</v>
      </c>
      <c r="Q6516">
        <v>5.8067290000000001E-2</v>
      </c>
      <c r="R6516">
        <v>-0.20535519999999999</v>
      </c>
      <c r="S6516">
        <v>2.9664609999999998</v>
      </c>
      <c r="T6516">
        <v>-0.3950148</v>
      </c>
      <c r="U6516">
        <v>-0.60540769999999899</v>
      </c>
      <c r="V6516">
        <v>0.15512799999999999</v>
      </c>
      <c r="W6516">
        <v>7.1325070000000004E-2</v>
      </c>
      <c r="X6516">
        <v>0.98531619999999998</v>
      </c>
      <c r="Y6516">
        <v>0.14881249999999999</v>
      </c>
      <c r="Z6516">
        <v>-3.0702490000000002E-3</v>
      </c>
      <c r="AA6516">
        <v>0.98886070000000004</v>
      </c>
      <c r="AB6516">
        <v>26</v>
      </c>
      <c r="AC6516">
        <v>0.61690000000004297</v>
      </c>
      <c r="AD6516">
        <v>-9.8464999999999997E-2</v>
      </c>
      <c r="AE6516">
        <v>-0.14479</v>
      </c>
      <c r="AF6516">
        <v>0.110414699885624</v>
      </c>
      <c r="AG6516">
        <v>-9.8464999999999997E-2</v>
      </c>
      <c r="AH6516">
        <v>0.60879224838880597</v>
      </c>
      <c r="AI6516">
        <v>99.042339862590893</v>
      </c>
      <c r="AJ6516">
        <v>79.7201903875863</v>
      </c>
      <c r="AK6516">
        <v>0.62650998705059002</v>
      </c>
      <c r="AL6516">
        <v>85.909901551771299</v>
      </c>
      <c r="AM6516">
        <v>81.052806265284403</v>
      </c>
      <c r="AN6516">
        <v>0.99999998798847201</v>
      </c>
    </row>
    <row r="6517" spans="1:40" x14ac:dyDescent="0.25">
      <c r="A6517" t="str">
        <f>"20190312172242758"</f>
        <v>20190312172242758</v>
      </c>
      <c r="B6517" t="str">
        <f>"1552382562756876"</f>
        <v>1552382562756876</v>
      </c>
      <c r="C6517" t="s">
        <v>40</v>
      </c>
      <c r="D6517">
        <v>3.2007590000000001</v>
      </c>
      <c r="E6517">
        <v>0.49859949999999997</v>
      </c>
      <c r="F6517" t="s">
        <v>41</v>
      </c>
      <c r="G6517">
        <v>-330.71319999999997</v>
      </c>
      <c r="H6517">
        <v>0.99905250000000001</v>
      </c>
      <c r="I6517">
        <v>16.405279999999902</v>
      </c>
      <c r="J6517">
        <v>-331.42169999999999</v>
      </c>
      <c r="K6517">
        <v>1.110466</v>
      </c>
      <c r="L6517">
        <v>16.571290000000001</v>
      </c>
      <c r="M6517">
        <v>0.99861440000000001</v>
      </c>
      <c r="N6517">
        <v>0</v>
      </c>
      <c r="O6517">
        <v>-5.0903709999999998E-2</v>
      </c>
      <c r="P6517">
        <v>0.97675009999999995</v>
      </c>
      <c r="Q6517">
        <v>5.8729070000000001E-2</v>
      </c>
      <c r="R6517">
        <v>-0.20618120000000001</v>
      </c>
      <c r="S6517">
        <v>2.9662169999999999</v>
      </c>
      <c r="T6517">
        <v>-0.39304749999999999</v>
      </c>
      <c r="U6517">
        <v>-0.60839840000000001</v>
      </c>
      <c r="V6517">
        <v>0.15614739999999999</v>
      </c>
      <c r="W6517">
        <v>7.1984290000000006E-2</v>
      </c>
      <c r="X6517">
        <v>0.98510719999999996</v>
      </c>
      <c r="Y6517">
        <v>0.14996660000000001</v>
      </c>
      <c r="Z6517">
        <v>-3.1546429999999999E-3</v>
      </c>
      <c r="AA6517">
        <v>0.98868599999999995</v>
      </c>
      <c r="AB6517">
        <v>26</v>
      </c>
      <c r="AC6517">
        <v>0.70850000000001501</v>
      </c>
      <c r="AD6517">
        <v>-0.111413499999999</v>
      </c>
      <c r="AE6517">
        <v>-0.16601000000000299</v>
      </c>
      <c r="AF6517">
        <v>0.12675493542290101</v>
      </c>
      <c r="AG6517">
        <v>-0.111413499999999</v>
      </c>
      <c r="AH6517">
        <v>0.69963222257633095</v>
      </c>
      <c r="AI6517">
        <v>98.905541122776796</v>
      </c>
      <c r="AJ6517">
        <v>79.730903856995397</v>
      </c>
      <c r="AK6517">
        <v>0.71969787307134003</v>
      </c>
      <c r="AL6517">
        <v>85.872033621427505</v>
      </c>
      <c r="AM6517">
        <v>80.993092345023797</v>
      </c>
      <c r="AN6517">
        <v>0.99999997201270097</v>
      </c>
    </row>
    <row r="6518" spans="1:40" x14ac:dyDescent="0.25">
      <c r="A6518" t="str">
        <f>"20190312172242770"</f>
        <v>20190312172242770</v>
      </c>
      <c r="B6518" t="str">
        <f>"1552382562766637"</f>
        <v>1552382562766637</v>
      </c>
      <c r="C6518" t="s">
        <v>40</v>
      </c>
      <c r="D6518">
        <v>3.1988340000000002</v>
      </c>
      <c r="E6518">
        <v>0.498664</v>
      </c>
      <c r="F6518" t="s">
        <v>41</v>
      </c>
      <c r="G6518">
        <v>-330.7045</v>
      </c>
      <c r="H6518">
        <v>1.015622</v>
      </c>
      <c r="I6518">
        <v>16.423100000000002</v>
      </c>
      <c r="J6518">
        <v>-331.2921</v>
      </c>
      <c r="K6518">
        <v>1.1104689999999999</v>
      </c>
      <c r="L6518">
        <v>16.564910000000001</v>
      </c>
      <c r="M6518">
        <v>0.99862359999999994</v>
      </c>
      <c r="N6518">
        <v>0</v>
      </c>
      <c r="O6518">
        <v>-5.0721090000000003E-2</v>
      </c>
      <c r="P6518">
        <v>0.97650239999999999</v>
      </c>
      <c r="Q6518">
        <v>5.9464429999999999E-2</v>
      </c>
      <c r="R6518">
        <v>-0.20714009999999999</v>
      </c>
      <c r="S6518">
        <v>2.9657589999999998</v>
      </c>
      <c r="T6518">
        <v>-0.39222469999999998</v>
      </c>
      <c r="U6518">
        <v>-0.61224369999999995</v>
      </c>
      <c r="V6518">
        <v>0.1572974</v>
      </c>
      <c r="W6518">
        <v>7.2716210000000003E-2</v>
      </c>
      <c r="X6518">
        <v>0.98487049999999998</v>
      </c>
      <c r="Y6518">
        <v>0.15139710000000001</v>
      </c>
      <c r="Z6518">
        <v>-3.2651469999999999E-3</v>
      </c>
      <c r="AA6518">
        <v>0.9884676</v>
      </c>
      <c r="AB6518">
        <v>26</v>
      </c>
      <c r="AC6518">
        <v>0.587600000000009</v>
      </c>
      <c r="AD6518">
        <v>-9.4847000000000098E-2</v>
      </c>
      <c r="AE6518">
        <v>-0.14180999999999899</v>
      </c>
      <c r="AF6518">
        <v>0.109134125306943</v>
      </c>
      <c r="AG6518">
        <v>-9.4847000000000098E-2</v>
      </c>
      <c r="AH6518">
        <v>0.57976285475510203</v>
      </c>
      <c r="AI6518">
        <v>99.133432718495996</v>
      </c>
      <c r="AJ6518">
        <v>79.339432773007005</v>
      </c>
      <c r="AK6518">
        <v>0.59752086027962004</v>
      </c>
      <c r="AL6518">
        <v>85.829987662325706</v>
      </c>
      <c r="AM6518">
        <v>80.925713103876404</v>
      </c>
      <c r="AN6518">
        <v>1.00000001050688</v>
      </c>
    </row>
    <row r="6519" spans="1:40" x14ac:dyDescent="0.25">
      <c r="A6519" t="str">
        <f>"20190312172242782"</f>
        <v>20190312172242782</v>
      </c>
      <c r="B6519" t="str">
        <f>"1552382562777372"</f>
        <v>1552382562777372</v>
      </c>
      <c r="C6519" t="s">
        <v>40</v>
      </c>
      <c r="D6519">
        <v>3.2024710000000001</v>
      </c>
      <c r="E6519">
        <v>0.49873919999999999</v>
      </c>
      <c r="F6519" t="s">
        <v>41</v>
      </c>
      <c r="G6519">
        <v>-330.4803</v>
      </c>
      <c r="H6519">
        <v>1.003587</v>
      </c>
      <c r="I6519">
        <v>16.396509999999999</v>
      </c>
      <c r="J6519">
        <v>-331.1619</v>
      </c>
      <c r="K6519">
        <v>1.110471</v>
      </c>
      <c r="L6519">
        <v>16.55847</v>
      </c>
      <c r="M6519">
        <v>0.99863279999999999</v>
      </c>
      <c r="N6519">
        <v>0</v>
      </c>
      <c r="O6519">
        <v>-5.0537869999999999E-2</v>
      </c>
      <c r="P6519">
        <v>0.97620119999999999</v>
      </c>
      <c r="Q6519">
        <v>6.0085880000000001E-2</v>
      </c>
      <c r="R6519">
        <v>-0.20837720000000001</v>
      </c>
      <c r="S6519">
        <v>2.965363</v>
      </c>
      <c r="T6519">
        <v>-0.39042399999999999</v>
      </c>
      <c r="U6519">
        <v>-0.61560059999999905</v>
      </c>
      <c r="V6519">
        <v>0.1587286</v>
      </c>
      <c r="W6519">
        <v>7.3333949999999995E-2</v>
      </c>
      <c r="X6519">
        <v>0.984595</v>
      </c>
      <c r="Y6519">
        <v>0.15267310000000001</v>
      </c>
      <c r="Z6519">
        <v>-3.3568399999999998E-3</v>
      </c>
      <c r="AA6519">
        <v>0.98827109999999996</v>
      </c>
      <c r="AB6519">
        <v>26</v>
      </c>
      <c r="AC6519">
        <v>0.68160000000000298</v>
      </c>
      <c r="AD6519">
        <v>-0.10688399999999899</v>
      </c>
      <c r="AE6519">
        <v>-0.16195999999999999</v>
      </c>
      <c r="AF6519">
        <v>0.124407578079964</v>
      </c>
      <c r="AG6519">
        <v>-0.10688399999999899</v>
      </c>
      <c r="AH6519">
        <v>0.67324412801415101</v>
      </c>
      <c r="AI6519">
        <v>98.873197256403103</v>
      </c>
      <c r="AJ6519">
        <v>79.530515344296305</v>
      </c>
      <c r="AK6519">
        <v>0.69293512744358499</v>
      </c>
      <c r="AL6519">
        <v>85.794498868211505</v>
      </c>
      <c r="AM6519">
        <v>80.842022760606696</v>
      </c>
      <c r="AN6519">
        <v>0.99999997535278096</v>
      </c>
    </row>
    <row r="6520" spans="1:40" x14ac:dyDescent="0.25">
      <c r="A6520" t="str">
        <f>"20190312172242793"</f>
        <v>20190312172242793</v>
      </c>
      <c r="B6520" t="str">
        <f>"1552382562787132"</f>
        <v>1552382562787132</v>
      </c>
      <c r="C6520" t="s">
        <v>40</v>
      </c>
      <c r="D6520">
        <v>3.1903049999999999</v>
      </c>
      <c r="E6520">
        <v>0.49879869999999998</v>
      </c>
      <c r="F6520" t="s">
        <v>41</v>
      </c>
      <c r="G6520">
        <v>-330.25619999999998</v>
      </c>
      <c r="H6520">
        <v>0.99152260000000003</v>
      </c>
      <c r="I6520">
        <v>16.3689</v>
      </c>
      <c r="J6520">
        <v>-331.02550000000002</v>
      </c>
      <c r="K6520">
        <v>1.110468</v>
      </c>
      <c r="L6520">
        <v>16.55179</v>
      </c>
      <c r="M6520">
        <v>0.99864269999999999</v>
      </c>
      <c r="N6520">
        <v>0</v>
      </c>
      <c r="O6520">
        <v>-5.034595E-2</v>
      </c>
      <c r="P6520">
        <v>0.9758945</v>
      </c>
      <c r="Q6520">
        <v>6.0617289999999997E-2</v>
      </c>
      <c r="R6520">
        <v>-0.2096566</v>
      </c>
      <c r="S6520">
        <v>2.9647519999999998</v>
      </c>
      <c r="T6520">
        <v>-0.38937909999999998</v>
      </c>
      <c r="U6520">
        <v>-0.62011719999999904</v>
      </c>
      <c r="V6520">
        <v>0.1602111</v>
      </c>
      <c r="W6520">
        <v>7.3861339999999998E-2</v>
      </c>
      <c r="X6520">
        <v>0.98431550000000001</v>
      </c>
      <c r="Y6520">
        <v>0.15433540000000001</v>
      </c>
      <c r="Z6520">
        <v>-3.4804480000000001E-3</v>
      </c>
      <c r="AA6520">
        <v>0.98801240000000001</v>
      </c>
      <c r="AB6520">
        <v>26</v>
      </c>
      <c r="AC6520">
        <v>0.76930000000004295</v>
      </c>
      <c r="AD6520">
        <v>-0.11894539999999899</v>
      </c>
      <c r="AE6520">
        <v>-0.18289</v>
      </c>
      <c r="AF6520">
        <v>0.14073893792264799</v>
      </c>
      <c r="AG6520">
        <v>-0.11894539999999899</v>
      </c>
      <c r="AH6520">
        <v>0.76032886406304301</v>
      </c>
      <c r="AI6520">
        <v>98.745052642696905</v>
      </c>
      <c r="AJ6520">
        <v>79.513091512820793</v>
      </c>
      <c r="AK6520">
        <v>0.78233972055377099</v>
      </c>
      <c r="AL6520">
        <v>85.764199786255304</v>
      </c>
      <c r="AM6520">
        <v>80.755379024175298</v>
      </c>
      <c r="AN6520">
        <v>1.00000004882502</v>
      </c>
    </row>
    <row r="6521" spans="1:40" x14ac:dyDescent="0.25">
      <c r="A6521" t="str">
        <f>"20190312172242804"</f>
        <v>20190312172242804</v>
      </c>
      <c r="B6521" t="str">
        <f>"1552382562796893"</f>
        <v>1552382562796893</v>
      </c>
      <c r="C6521" t="s">
        <v>40</v>
      </c>
      <c r="D6521">
        <v>3.197057</v>
      </c>
      <c r="E6521">
        <v>0.49884430000000002</v>
      </c>
      <c r="F6521" t="s">
        <v>41</v>
      </c>
      <c r="G6521">
        <v>-330.2475</v>
      </c>
      <c r="H6521">
        <v>1.008513</v>
      </c>
      <c r="I6521">
        <v>16.38766</v>
      </c>
      <c r="J6521">
        <v>-330.89640000000003</v>
      </c>
      <c r="K6521">
        <v>1.1104700000000001</v>
      </c>
      <c r="L6521">
        <v>16.545470000000002</v>
      </c>
      <c r="M6521">
        <v>0.99865170000000003</v>
      </c>
      <c r="N6521">
        <v>0</v>
      </c>
      <c r="O6521">
        <v>-5.016404E-2</v>
      </c>
      <c r="P6521">
        <v>0.97562420000000005</v>
      </c>
      <c r="Q6521">
        <v>6.0981500000000001E-2</v>
      </c>
      <c r="R6521">
        <v>-0.2108054</v>
      </c>
      <c r="S6521">
        <v>2.9639890000000002</v>
      </c>
      <c r="T6521">
        <v>-0.38842840000000001</v>
      </c>
      <c r="U6521">
        <v>-0.62472530000000004</v>
      </c>
      <c r="V6521">
        <v>0.16155120000000001</v>
      </c>
      <c r="W6521">
        <v>7.4222739999999995E-2</v>
      </c>
      <c r="X6521">
        <v>0.98406919999999998</v>
      </c>
      <c r="Y6521">
        <v>0.1560261</v>
      </c>
      <c r="Z6521">
        <v>-3.6049340000000002E-3</v>
      </c>
      <c r="AA6521">
        <v>0.98774640000000002</v>
      </c>
      <c r="AB6521">
        <v>26</v>
      </c>
      <c r="AC6521">
        <v>0.64890000000002601</v>
      </c>
      <c r="AD6521">
        <v>-0.10195700000000001</v>
      </c>
      <c r="AE6521">
        <v>-0.15781000000000101</v>
      </c>
      <c r="AF6521">
        <v>0.122208378359817</v>
      </c>
      <c r="AG6521">
        <v>-0.10195700000000001</v>
      </c>
      <c r="AH6521">
        <v>0.64105757501449101</v>
      </c>
      <c r="AI6521">
        <v>98.879621944757702</v>
      </c>
      <c r="AJ6521">
        <v>79.2068901436826</v>
      </c>
      <c r="AK6521">
        <v>0.66051868412165005</v>
      </c>
      <c r="AL6521">
        <v>85.743435881343601</v>
      </c>
      <c r="AM6521">
        <v>80.677111242756993</v>
      </c>
      <c r="AN6521">
        <v>0.99999999787159299</v>
      </c>
    </row>
    <row r="6522" spans="1:40" x14ac:dyDescent="0.25">
      <c r="A6522" t="str">
        <f>"20190312172242816"</f>
        <v>20190312172242816</v>
      </c>
      <c r="B6522" t="str">
        <f>"1552382562806652"</f>
        <v>1552382562806652</v>
      </c>
      <c r="C6522" t="s">
        <v>40</v>
      </c>
      <c r="D6522">
        <v>3.225425</v>
      </c>
      <c r="E6522">
        <v>0.4988223</v>
      </c>
      <c r="F6522" t="s">
        <v>41</v>
      </c>
      <c r="G6522">
        <v>-330.02370000000002</v>
      </c>
      <c r="H6522">
        <v>0.99628399999999995</v>
      </c>
      <c r="I6522">
        <v>16.36035</v>
      </c>
      <c r="J6522">
        <v>-330.76639999999998</v>
      </c>
      <c r="K6522">
        <v>1.110471</v>
      </c>
      <c r="L6522">
        <v>16.53912</v>
      </c>
      <c r="M6522">
        <v>0.99866100000000002</v>
      </c>
      <c r="N6522">
        <v>0</v>
      </c>
      <c r="O6522">
        <v>-4.9981070000000002E-2</v>
      </c>
      <c r="P6522">
        <v>0.97520600000000002</v>
      </c>
      <c r="Q6522">
        <v>6.1755190000000001E-2</v>
      </c>
      <c r="R6522">
        <v>-0.21250820000000001</v>
      </c>
      <c r="S6522">
        <v>2.9633479999999999</v>
      </c>
      <c r="T6522">
        <v>-0.38780179999999997</v>
      </c>
      <c r="U6522">
        <v>-0.62875369999999997</v>
      </c>
      <c r="V6522">
        <v>0.16345279999999901</v>
      </c>
      <c r="W6522">
        <v>7.4991639999999998E-2</v>
      </c>
      <c r="X6522">
        <v>0.98369680000000004</v>
      </c>
      <c r="Y6522">
        <v>0.1575242</v>
      </c>
      <c r="Z6522">
        <v>-3.7195380000000001E-3</v>
      </c>
      <c r="AA6522">
        <v>0.9875081</v>
      </c>
      <c r="AB6522">
        <v>26</v>
      </c>
      <c r="AC6522">
        <v>0.74269999999995595</v>
      </c>
      <c r="AD6522">
        <v>-0.114186999999999</v>
      </c>
      <c r="AE6522">
        <v>-0.17877000000000001</v>
      </c>
      <c r="AF6522">
        <v>0.13833150524976301</v>
      </c>
      <c r="AG6522">
        <v>-0.114186999999999</v>
      </c>
      <c r="AH6522">
        <v>0.734300827931061</v>
      </c>
      <c r="AI6522">
        <v>98.688515583057793</v>
      </c>
      <c r="AJ6522">
        <v>79.331349568858897</v>
      </c>
      <c r="AK6522">
        <v>0.75589151484449701</v>
      </c>
      <c r="AL6522">
        <v>85.699257950777593</v>
      </c>
      <c r="AM6522">
        <v>80.565826773675397</v>
      </c>
      <c r="AN6522">
        <v>0.99999997911398397</v>
      </c>
    </row>
    <row r="6523" spans="1:40" x14ac:dyDescent="0.25">
      <c r="A6523" t="str">
        <f>"20190312172242828"</f>
        <v>20190312172242828</v>
      </c>
      <c r="B6523" t="str">
        <f>"1552382562817388"</f>
        <v>1552382562817388</v>
      </c>
      <c r="C6523" t="s">
        <v>40</v>
      </c>
      <c r="D6523">
        <v>3.207001</v>
      </c>
      <c r="E6523">
        <v>0.49878359999999999</v>
      </c>
      <c r="F6523" t="s">
        <v>41</v>
      </c>
      <c r="G6523">
        <v>-330.0154</v>
      </c>
      <c r="H6523">
        <v>1.0124930000000001</v>
      </c>
      <c r="I6523">
        <v>16.37837</v>
      </c>
      <c r="J6523">
        <v>-330.6379</v>
      </c>
      <c r="K6523">
        <v>1.110474</v>
      </c>
      <c r="L6523">
        <v>16.532900000000001</v>
      </c>
      <c r="M6523">
        <v>0.99866999999999995</v>
      </c>
      <c r="N6523">
        <v>0</v>
      </c>
      <c r="O6523">
        <v>-4.9800949999999997E-2</v>
      </c>
      <c r="P6523">
        <v>0.97481450000000003</v>
      </c>
      <c r="Q6523">
        <v>6.241915E-2</v>
      </c>
      <c r="R6523">
        <v>-0.2141045</v>
      </c>
      <c r="S6523">
        <v>2.962555</v>
      </c>
      <c r="T6523">
        <v>-0.38652760000000003</v>
      </c>
      <c r="U6523">
        <v>-0.63421629999999996</v>
      </c>
      <c r="V6523">
        <v>0.1652441</v>
      </c>
      <c r="W6523">
        <v>7.5651599999999999E-2</v>
      </c>
      <c r="X6523">
        <v>0.98334690000000002</v>
      </c>
      <c r="Y6523">
        <v>0.15948579999999901</v>
      </c>
      <c r="Z6523">
        <v>-3.8568299999999999E-3</v>
      </c>
      <c r="AA6523">
        <v>0.98719270000000003</v>
      </c>
      <c r="AB6523">
        <v>26</v>
      </c>
      <c r="AC6523">
        <v>0.62250000000000205</v>
      </c>
      <c r="AD6523">
        <v>-9.7980999999999804E-2</v>
      </c>
      <c r="AE6523">
        <v>-0.154530000000001</v>
      </c>
      <c r="AF6523">
        <v>0.12052181763481</v>
      </c>
      <c r="AG6523">
        <v>-9.7980999999999804E-2</v>
      </c>
      <c r="AH6523">
        <v>0.61507032024544706</v>
      </c>
      <c r="AI6523">
        <v>98.884999493803505</v>
      </c>
      <c r="AJ6523">
        <v>78.913471989604005</v>
      </c>
      <c r="AK6523">
        <v>0.63437944775491795</v>
      </c>
      <c r="AL6523">
        <v>85.661337184911901</v>
      </c>
      <c r="AM6523">
        <v>80.460994410077802</v>
      </c>
      <c r="AN6523">
        <v>0.99999995145348797</v>
      </c>
    </row>
    <row r="6524" spans="1:40" x14ac:dyDescent="0.25">
      <c r="A6524" t="str">
        <f>"20190312172242851"</f>
        <v>20190312172242851</v>
      </c>
      <c r="B6524" t="str">
        <f>"1552382562846668"</f>
        <v>1552382562846668</v>
      </c>
      <c r="C6524" t="s">
        <v>40</v>
      </c>
      <c r="D6524">
        <v>3.209098</v>
      </c>
      <c r="E6524">
        <v>0.50343700000000002</v>
      </c>
      <c r="F6524" t="s">
        <v>41</v>
      </c>
      <c r="G6524">
        <v>-329.79180000000002</v>
      </c>
      <c r="H6524">
        <v>1.000326</v>
      </c>
      <c r="I6524">
        <v>16.350100000000001</v>
      </c>
      <c r="J6524">
        <v>-330.37079999999997</v>
      </c>
      <c r="K6524">
        <v>1.110474</v>
      </c>
      <c r="L6524">
        <v>16.520019999999999</v>
      </c>
      <c r="M6524">
        <v>0.99868840000000003</v>
      </c>
      <c r="N6524">
        <v>0</v>
      </c>
      <c r="O6524">
        <v>-4.9431580000000003E-2</v>
      </c>
      <c r="P6524">
        <v>0.9739717</v>
      </c>
      <c r="Q6524">
        <v>6.3851420000000006E-2</v>
      </c>
      <c r="R6524">
        <v>-0.21749170000000001</v>
      </c>
      <c r="S6524">
        <v>2.961792</v>
      </c>
      <c r="T6524">
        <v>-0.38558920000000002</v>
      </c>
      <c r="U6524">
        <v>-0.63940430000000004</v>
      </c>
      <c r="V6524">
        <v>0.1690325</v>
      </c>
      <c r="W6524">
        <v>7.7072719999999997E-2</v>
      </c>
      <c r="X6524">
        <v>0.98259240000000003</v>
      </c>
      <c r="Y6524">
        <v>0.16154019999999999</v>
      </c>
      <c r="Z6524">
        <v>-4.0267310000000004E-3</v>
      </c>
      <c r="AA6524">
        <v>0.98685800000000001</v>
      </c>
      <c r="AB6524">
        <v>26</v>
      </c>
      <c r="AC6524">
        <v>0.57899999999995</v>
      </c>
      <c r="AD6524">
        <v>-0.110147999999999</v>
      </c>
      <c r="AE6524">
        <v>-0.16992000000000099</v>
      </c>
      <c r="AF6524">
        <v>0.13653920302710401</v>
      </c>
      <c r="AG6524">
        <v>-0.110147999999999</v>
      </c>
      <c r="AH6524">
        <v>0.56777351836609402</v>
      </c>
      <c r="AI6524">
        <v>100.681766591635</v>
      </c>
      <c r="AJ6524">
        <v>76.478167413824295</v>
      </c>
      <c r="AK6524">
        <v>0.59425777573801297</v>
      </c>
      <c r="AL6524">
        <v>85.579674800609894</v>
      </c>
      <c r="AM6524">
        <v>80.239111831555107</v>
      </c>
      <c r="AN6524">
        <v>1.0000000073811</v>
      </c>
    </row>
    <row r="6525" spans="1:40" x14ac:dyDescent="0.25">
      <c r="A6525" t="str">
        <f>"20190312172242864"</f>
        <v>20190312172242864</v>
      </c>
      <c r="B6525" t="str">
        <f>"1552382562857405"</f>
        <v>1552382562857405</v>
      </c>
      <c r="C6525" t="s">
        <v>40</v>
      </c>
      <c r="D6525">
        <v>3.2116709999999999</v>
      </c>
      <c r="E6525">
        <v>0.50357470000000004</v>
      </c>
      <c r="F6525" t="s">
        <v>43</v>
      </c>
      <c r="G6525">
        <v>-314.50580000000002</v>
      </c>
      <c r="H6525">
        <v>-0.05</v>
      </c>
      <c r="I6525">
        <v>12.828049999999999</v>
      </c>
      <c r="J6525">
        <v>-330.22359999999998</v>
      </c>
      <c r="K6525">
        <v>1.110473</v>
      </c>
      <c r="L6525">
        <v>16.51294</v>
      </c>
      <c r="M6525">
        <v>0.99869819999999998</v>
      </c>
      <c r="N6525">
        <v>0</v>
      </c>
      <c r="O6525">
        <v>-4.9232680000000001E-2</v>
      </c>
      <c r="P6525">
        <v>0.97351620000000005</v>
      </c>
      <c r="Q6525">
        <v>6.4369919999999997E-2</v>
      </c>
      <c r="R6525">
        <v>-0.2193696</v>
      </c>
      <c r="S6525">
        <v>2.9414370000000001</v>
      </c>
      <c r="T6525">
        <v>-0.21515719999999999</v>
      </c>
      <c r="U6525">
        <v>-0.68450929999999999</v>
      </c>
      <c r="V6525">
        <v>0.1711269</v>
      </c>
      <c r="W6525">
        <v>7.7584719999999996E-2</v>
      </c>
      <c r="X6525">
        <v>0.98218950000000005</v>
      </c>
      <c r="Y6525">
        <v>0.17809990000000001</v>
      </c>
      <c r="Z6525">
        <v>-2.8761849999999999E-3</v>
      </c>
      <c r="AA6525">
        <v>0.9840082</v>
      </c>
      <c r="AB6525">
        <v>26</v>
      </c>
      <c r="AC6525">
        <v>15.717799999999899</v>
      </c>
      <c r="AD6525">
        <v>-1.1604729999999901</v>
      </c>
      <c r="AE6525">
        <v>-3.6848900000000002</v>
      </c>
      <c r="AF6525">
        <v>2.8915811722417999</v>
      </c>
      <c r="AG6525">
        <v>-1.1604729999999901</v>
      </c>
      <c r="AH6525">
        <v>15.798536232926599</v>
      </c>
      <c r="AI6525">
        <v>94.132678703616506</v>
      </c>
      <c r="AJ6525">
        <v>79.628045079691404</v>
      </c>
      <c r="AK6525">
        <v>16.102847150814199</v>
      </c>
      <c r="AL6525">
        <v>85.550251265580897</v>
      </c>
      <c r="AM6525">
        <v>80.116565549472497</v>
      </c>
      <c r="AN6525">
        <v>1.00000000929566</v>
      </c>
    </row>
    <row r="6526" spans="1:40" x14ac:dyDescent="0.25">
      <c r="A6526" t="str">
        <f>"20190312172242875"</f>
        <v>20190312172242875</v>
      </c>
      <c r="B6526" t="str">
        <f>"1552382562867165"</f>
        <v>1552382562867165</v>
      </c>
      <c r="C6526" t="s">
        <v>40</v>
      </c>
      <c r="D6526">
        <v>3.2168320000000001</v>
      </c>
      <c r="E6526">
        <v>0.50392349999999997</v>
      </c>
      <c r="F6526" t="s">
        <v>43</v>
      </c>
      <c r="G6526">
        <v>-313.88850000000002</v>
      </c>
      <c r="H6526">
        <v>-0.05</v>
      </c>
      <c r="I6526">
        <v>12.67159</v>
      </c>
      <c r="J6526">
        <v>-330.08319999999998</v>
      </c>
      <c r="K6526">
        <v>1.1104700000000001</v>
      </c>
      <c r="L6526">
        <v>16.506229999999999</v>
      </c>
      <c r="M6526">
        <v>0.99870729999999996</v>
      </c>
      <c r="N6526">
        <v>0</v>
      </c>
      <c r="O6526">
        <v>-4.904799E-2</v>
      </c>
      <c r="P6526">
        <v>0.97307460000000001</v>
      </c>
      <c r="Q6526">
        <v>6.4795489999999997E-2</v>
      </c>
      <c r="R6526">
        <v>-0.22119649999999999</v>
      </c>
      <c r="S6526">
        <v>2.9396360000000001</v>
      </c>
      <c r="T6526">
        <v>-0.20883740000000001</v>
      </c>
      <c r="U6526">
        <v>-0.69128420000000002</v>
      </c>
      <c r="V6526">
        <v>0.1731558</v>
      </c>
      <c r="W6526">
        <v>7.8003550000000005E-2</v>
      </c>
      <c r="X6526">
        <v>0.98180069999999997</v>
      </c>
      <c r="Y6526">
        <v>0.18057670000000001</v>
      </c>
      <c r="Z6526">
        <v>-2.892473E-3</v>
      </c>
      <c r="AA6526">
        <v>0.9835566</v>
      </c>
      <c r="AB6526">
        <v>26</v>
      </c>
      <c r="AC6526">
        <v>16.194699999999902</v>
      </c>
      <c r="AD6526">
        <v>-1.1604699999999999</v>
      </c>
      <c r="AE6526">
        <v>-3.8346399999999998</v>
      </c>
      <c r="AF6526">
        <v>3.02094731631666</v>
      </c>
      <c r="AG6526">
        <v>-1.1604699999999999</v>
      </c>
      <c r="AH6526">
        <v>16.284126782125199</v>
      </c>
      <c r="AI6526">
        <v>94.008069882166396</v>
      </c>
      <c r="AJ6526">
        <v>79.490262008495193</v>
      </c>
      <c r="AK6526">
        <v>16.602578063818601</v>
      </c>
      <c r="AL6526">
        <v>85.526181309541997</v>
      </c>
      <c r="AM6526">
        <v>79.997857949058002</v>
      </c>
      <c r="AN6526">
        <v>1.0000000497033601</v>
      </c>
    </row>
    <row r="6527" spans="1:40" x14ac:dyDescent="0.25">
      <c r="A6527" t="str">
        <f>"20190312172242886"</f>
        <v>20190312172242886</v>
      </c>
      <c r="B6527" t="str">
        <f>"1552382562876924"</f>
        <v>1552382562876924</v>
      </c>
      <c r="C6527" t="s">
        <v>40</v>
      </c>
      <c r="D6527">
        <v>3.2362419999999998</v>
      </c>
      <c r="E6527">
        <v>0.50416729999999998</v>
      </c>
      <c r="F6527" t="s">
        <v>43</v>
      </c>
      <c r="G6527">
        <v>-313.32729999999998</v>
      </c>
      <c r="H6527">
        <v>-0.05</v>
      </c>
      <c r="I6527">
        <v>12.5154</v>
      </c>
      <c r="J6527">
        <v>-329.95670000000001</v>
      </c>
      <c r="K6527">
        <v>1.1104670000000001</v>
      </c>
      <c r="L6527">
        <v>16.50018</v>
      </c>
      <c r="M6527">
        <v>0.99871509999999997</v>
      </c>
      <c r="N6527">
        <v>0</v>
      </c>
      <c r="O6527">
        <v>-4.8889790000000002E-2</v>
      </c>
      <c r="P6527">
        <v>0.97261819999999999</v>
      </c>
      <c r="Q6527">
        <v>6.5331280000000005E-2</v>
      </c>
      <c r="R6527">
        <v>-0.22303799999999999</v>
      </c>
      <c r="S6527">
        <v>2.9375309999999999</v>
      </c>
      <c r="T6527">
        <v>-0.20344580000000001</v>
      </c>
      <c r="U6527">
        <v>-0.69964599999999999</v>
      </c>
      <c r="V6527">
        <v>0.1751742</v>
      </c>
      <c r="W6527">
        <v>7.8530740000000002E-2</v>
      </c>
      <c r="X6527">
        <v>0.98140050000000001</v>
      </c>
      <c r="Y6527">
        <v>0.18354860000000001</v>
      </c>
      <c r="Z6527">
        <v>-2.9312140000000001E-3</v>
      </c>
      <c r="AA6527">
        <v>0.98300620000000005</v>
      </c>
      <c r="AB6527">
        <v>26</v>
      </c>
      <c r="AC6527">
        <v>16.6294</v>
      </c>
      <c r="AD6527">
        <v>-1.1604669999999999</v>
      </c>
      <c r="AE6527">
        <v>-3.9847800000000002</v>
      </c>
      <c r="AF6527">
        <v>3.1524157852264998</v>
      </c>
      <c r="AG6527">
        <v>-1.1604669999999999</v>
      </c>
      <c r="AH6527">
        <v>16.727307487371998</v>
      </c>
      <c r="AI6527">
        <v>93.900131889058201</v>
      </c>
      <c r="AJ6527">
        <v>79.327259712231296</v>
      </c>
      <c r="AK6527">
        <v>17.0612785194465</v>
      </c>
      <c r="AL6527">
        <v>85.495882423306895</v>
      </c>
      <c r="AM6527">
        <v>79.879622029550006</v>
      </c>
      <c r="AN6527">
        <v>1.00000000943541</v>
      </c>
    </row>
    <row r="6528" spans="1:40" x14ac:dyDescent="0.25">
      <c r="A6528" t="str">
        <f>"20190312172242897"</f>
        <v>20190312172242897</v>
      </c>
      <c r="B6528" t="str">
        <f>"1552382562886685"</f>
        <v>1552382562886685</v>
      </c>
      <c r="C6528" t="s">
        <v>40</v>
      </c>
      <c r="D6528">
        <v>3.2424930000000001</v>
      </c>
      <c r="E6528">
        <v>0.5041911</v>
      </c>
      <c r="F6528" t="s">
        <v>43</v>
      </c>
      <c r="G6528">
        <v>-312.66849999999999</v>
      </c>
      <c r="H6528">
        <v>-0.05</v>
      </c>
      <c r="I6528">
        <v>12.335940000000001</v>
      </c>
      <c r="J6528">
        <v>-329.83089999999999</v>
      </c>
      <c r="K6528">
        <v>1.1104620000000001</v>
      </c>
      <c r="L6528">
        <v>16.49417</v>
      </c>
      <c r="M6528">
        <v>0.99872260000000002</v>
      </c>
      <c r="N6528">
        <v>0</v>
      </c>
      <c r="O6528">
        <v>-4.8737219999999998E-2</v>
      </c>
      <c r="P6528">
        <v>0.97220589999999996</v>
      </c>
      <c r="Q6528">
        <v>6.5562350000000005E-2</v>
      </c>
      <c r="R6528">
        <v>-0.2247604</v>
      </c>
      <c r="S6528">
        <v>2.9355470000000001</v>
      </c>
      <c r="T6528">
        <v>-0.19704769999999999</v>
      </c>
      <c r="U6528">
        <v>-0.70709230000000001</v>
      </c>
      <c r="V6528">
        <v>0.17706639999999901</v>
      </c>
      <c r="W6528">
        <v>7.8753690000000001E-2</v>
      </c>
      <c r="X6528">
        <v>0.981043</v>
      </c>
      <c r="Y6528">
        <v>0.18621860000000001</v>
      </c>
      <c r="Z6528">
        <v>-2.9386220000000001E-3</v>
      </c>
      <c r="AA6528">
        <v>0.98250400000000004</v>
      </c>
      <c r="AB6528">
        <v>26</v>
      </c>
      <c r="AC6528">
        <v>17.162399999999899</v>
      </c>
      <c r="AD6528">
        <v>-1.1604620000000001</v>
      </c>
      <c r="AE6528">
        <v>-4.1582299999999996</v>
      </c>
      <c r="AF6528">
        <v>3.3025037518235001</v>
      </c>
      <c r="AG6528">
        <v>-1.1604620000000001</v>
      </c>
      <c r="AH6528">
        <v>17.270099078877202</v>
      </c>
      <c r="AI6528">
        <v>93.775987202283503</v>
      </c>
      <c r="AJ6528">
        <v>79.174213313464094</v>
      </c>
      <c r="AK6528">
        <v>17.621280466483899</v>
      </c>
      <c r="AL6528">
        <v>85.483068649922103</v>
      </c>
      <c r="AM6528">
        <v>79.768950761487602</v>
      </c>
      <c r="AN6528">
        <v>1.00000001077328</v>
      </c>
    </row>
    <row r="6529" spans="1:40" x14ac:dyDescent="0.25">
      <c r="A6529" t="str">
        <f>"20190312172242909"</f>
        <v>20190312172242909</v>
      </c>
      <c r="B6529" t="str">
        <f>"1552382562897421"</f>
        <v>1552382562897421</v>
      </c>
      <c r="C6529" t="s">
        <v>40</v>
      </c>
      <c r="D6529">
        <v>3.3443740000000002</v>
      </c>
      <c r="E6529">
        <v>0.5042797</v>
      </c>
      <c r="F6529" t="s">
        <v>43</v>
      </c>
      <c r="G6529">
        <v>-312.30959999999999</v>
      </c>
      <c r="H6529">
        <v>-0.05</v>
      </c>
      <c r="I6529">
        <v>12.24028</v>
      </c>
      <c r="J6529">
        <v>-329.70830000000001</v>
      </c>
      <c r="K6529">
        <v>1.1104510000000001</v>
      </c>
      <c r="L6529">
        <v>16.488340000000001</v>
      </c>
      <c r="M6529">
        <v>0.99872899999999998</v>
      </c>
      <c r="N6529">
        <v>0</v>
      </c>
      <c r="O6529">
        <v>-4.860631E-2</v>
      </c>
      <c r="P6529">
        <v>0.9717595</v>
      </c>
      <c r="Q6529">
        <v>6.5954840000000001E-2</v>
      </c>
      <c r="R6529">
        <v>-0.22656999999999999</v>
      </c>
      <c r="S6529">
        <v>2.9341740000000001</v>
      </c>
      <c r="T6529">
        <v>-0.19433500000000001</v>
      </c>
      <c r="U6529">
        <v>-0.7123718</v>
      </c>
      <c r="V6529">
        <v>0.17902650000000001</v>
      </c>
      <c r="W6529">
        <v>7.913539E-2</v>
      </c>
      <c r="X6529">
        <v>0.98065650000000004</v>
      </c>
      <c r="Y6529">
        <v>0.1881255</v>
      </c>
      <c r="Z6529">
        <v>-2.9696879999999998E-3</v>
      </c>
      <c r="AA6529">
        <v>0.98214049999999997</v>
      </c>
      <c r="AB6529">
        <v>26</v>
      </c>
      <c r="AC6529">
        <v>17.398700000000002</v>
      </c>
      <c r="AD6529">
        <v>-1.1604509999999999</v>
      </c>
      <c r="AE6529">
        <v>-4.2480599999999997</v>
      </c>
      <c r="AF6529">
        <v>3.38307304096007</v>
      </c>
      <c r="AG6529">
        <v>-1.1604509999999999</v>
      </c>
      <c r="AH6529">
        <v>17.511115486885799</v>
      </c>
      <c r="AI6529">
        <v>93.722772801623606</v>
      </c>
      <c r="AJ6529">
        <v>79.065413853747501</v>
      </c>
      <c r="AK6529">
        <v>17.872632579419399</v>
      </c>
      <c r="AL6529">
        <v>85.461130488967896</v>
      </c>
      <c r="AM6529">
        <v>79.654137556368795</v>
      </c>
      <c r="AN6529">
        <v>1.00000003432247</v>
      </c>
    </row>
    <row r="6530" spans="1:40" x14ac:dyDescent="0.25">
      <c r="A6530" t="str">
        <f>"20190312172242919"</f>
        <v>20190312172242919</v>
      </c>
      <c r="B6530" t="str">
        <f>"1552382562907181"</f>
        <v>1552382562907181</v>
      </c>
      <c r="C6530" t="s">
        <v>40</v>
      </c>
      <c r="D6530">
        <v>3.3433980000000001</v>
      </c>
      <c r="E6530">
        <v>0.5043706</v>
      </c>
      <c r="F6530" t="s">
        <v>43</v>
      </c>
      <c r="G6530">
        <v>-312.18430000000001</v>
      </c>
      <c r="H6530">
        <v>-0.05</v>
      </c>
      <c r="I6530">
        <v>12.19266</v>
      </c>
      <c r="J6530">
        <v>-329.57889999999998</v>
      </c>
      <c r="K6530">
        <v>1.110436</v>
      </c>
      <c r="L6530">
        <v>16.482209999999998</v>
      </c>
      <c r="M6530">
        <v>0.99873540000000005</v>
      </c>
      <c r="N6530">
        <v>0</v>
      </c>
      <c r="O6530">
        <v>-4.8472559999999998E-2</v>
      </c>
      <c r="P6530">
        <v>0.9713079</v>
      </c>
      <c r="Q6530">
        <v>6.6365469999999996E-2</v>
      </c>
      <c r="R6530">
        <v>-0.22837769999999999</v>
      </c>
      <c r="S6530">
        <v>2.9327390000000002</v>
      </c>
      <c r="T6530">
        <v>-0.1942072</v>
      </c>
      <c r="U6530">
        <v>-0.71890259999999995</v>
      </c>
      <c r="V6530">
        <v>0.1809885</v>
      </c>
      <c r="W6530">
        <v>7.9533709999999994E-2</v>
      </c>
      <c r="X6530">
        <v>0.98026400000000002</v>
      </c>
      <c r="Y6530">
        <v>0.19042609999999999</v>
      </c>
      <c r="Z6530">
        <v>-3.0520870000000002E-3</v>
      </c>
      <c r="AA6530">
        <v>0.98169680000000004</v>
      </c>
      <c r="AB6530">
        <v>26</v>
      </c>
      <c r="AC6530">
        <v>17.394599999999901</v>
      </c>
      <c r="AD6530">
        <v>-1.160436</v>
      </c>
      <c r="AE6530">
        <v>-4.2895500000000002</v>
      </c>
      <c r="AF6530">
        <v>3.4268937137886599</v>
      </c>
      <c r="AG6530">
        <v>-1.160436</v>
      </c>
      <c r="AH6530">
        <v>17.5086372650923</v>
      </c>
      <c r="AI6530">
        <v>93.721490495337207</v>
      </c>
      <c r="AJ6530">
        <v>78.925729253579803</v>
      </c>
      <c r="AK6530">
        <v>17.8785511470108</v>
      </c>
      <c r="AL6530">
        <v>85.438236019982995</v>
      </c>
      <c r="AM6530">
        <v>79.539147847498995</v>
      </c>
      <c r="AN6530">
        <v>0.99999997892730697</v>
      </c>
    </row>
    <row r="6531" spans="1:40" x14ac:dyDescent="0.25">
      <c r="A6531" t="str">
        <f>"20190312172242930"</f>
        <v>20190312172242930</v>
      </c>
      <c r="B6531" t="str">
        <f>"1552382562926701"</f>
        <v>1552382562926701</v>
      </c>
      <c r="C6531" t="s">
        <v>40</v>
      </c>
      <c r="D6531">
        <v>3.231058</v>
      </c>
      <c r="E6531">
        <v>0.50430050000000004</v>
      </c>
      <c r="F6531" t="s">
        <v>43</v>
      </c>
      <c r="G6531">
        <v>-312.01929999999999</v>
      </c>
      <c r="H6531">
        <v>-0.05</v>
      </c>
      <c r="I6531">
        <v>12.13791</v>
      </c>
      <c r="J6531">
        <v>-329.45499999999998</v>
      </c>
      <c r="K6531">
        <v>1.110414</v>
      </c>
      <c r="L6531">
        <v>16.476320000000001</v>
      </c>
      <c r="M6531">
        <v>0.99874010000000002</v>
      </c>
      <c r="N6531">
        <v>0</v>
      </c>
      <c r="O6531">
        <v>-4.8376240000000001E-2</v>
      </c>
      <c r="P6531">
        <v>0.97085999999999995</v>
      </c>
      <c r="Q6531">
        <v>6.7003099999999996E-2</v>
      </c>
      <c r="R6531">
        <v>-0.23009009999999999</v>
      </c>
      <c r="S6531">
        <v>2.9313349999999998</v>
      </c>
      <c r="T6531">
        <v>-0.19371859999999999</v>
      </c>
      <c r="U6531">
        <v>-0.72521969999999902</v>
      </c>
      <c r="V6531">
        <v>0.18281929999999999</v>
      </c>
      <c r="W6531">
        <v>8.0155900000000002E-2</v>
      </c>
      <c r="X6531">
        <v>0.97987349999999995</v>
      </c>
      <c r="Y6531">
        <v>0.19262029999999999</v>
      </c>
      <c r="Z6531">
        <v>-3.1226980000000001E-3</v>
      </c>
      <c r="AA6531">
        <v>0.98126840000000004</v>
      </c>
      <c r="AB6531">
        <v>26</v>
      </c>
      <c r="AC6531">
        <v>17.435699999999901</v>
      </c>
      <c r="AD6531">
        <v>-1.1604139999999901</v>
      </c>
      <c r="AE6531">
        <v>-4.3384099999999997</v>
      </c>
      <c r="AF6531">
        <v>3.4752849364116098</v>
      </c>
      <c r="AG6531">
        <v>-1.1604139999999901</v>
      </c>
      <c r="AH6531">
        <v>17.551964736458601</v>
      </c>
      <c r="AI6531">
        <v>93.710664494870002</v>
      </c>
      <c r="AJ6531">
        <v>78.800306796738298</v>
      </c>
      <c r="AK6531">
        <v>17.9302992766583</v>
      </c>
      <c r="AL6531">
        <v>85.402472937780203</v>
      </c>
      <c r="AM6531">
        <v>79.431585738784605</v>
      </c>
      <c r="AN6531">
        <v>0.99999997037977395</v>
      </c>
    </row>
    <row r="6532" spans="1:40" x14ac:dyDescent="0.25">
      <c r="A6532" t="str">
        <f>"20190312172242941"</f>
        <v>20190312172242941</v>
      </c>
      <c r="B6532" t="str">
        <f>"1552382562937436"</f>
        <v>1552382562937436</v>
      </c>
      <c r="C6532" t="s">
        <v>40</v>
      </c>
      <c r="D6532">
        <v>3.243268</v>
      </c>
      <c r="E6532">
        <v>0.50427140000000004</v>
      </c>
      <c r="F6532" t="s">
        <v>43</v>
      </c>
      <c r="G6532">
        <v>-311.95609999999999</v>
      </c>
      <c r="H6532">
        <v>-0.05</v>
      </c>
      <c r="I6532">
        <v>12.11562</v>
      </c>
      <c r="J6532">
        <v>-329.33620000000002</v>
      </c>
      <c r="K6532">
        <v>1.1103970000000001</v>
      </c>
      <c r="L6532">
        <v>16.470700000000001</v>
      </c>
      <c r="M6532">
        <v>0.99874419999999997</v>
      </c>
      <c r="N6532">
        <v>0</v>
      </c>
      <c r="O6532">
        <v>-4.8287429999999999E-2</v>
      </c>
      <c r="P6532">
        <v>0.97040210000000005</v>
      </c>
      <c r="Q6532">
        <v>6.7396499999999998E-2</v>
      </c>
      <c r="R6532">
        <v>-0.2319</v>
      </c>
      <c r="S6532">
        <v>2.9303889999999999</v>
      </c>
      <c r="T6532">
        <v>-0.19432540000000001</v>
      </c>
      <c r="U6532">
        <v>-0.73025509999999905</v>
      </c>
      <c r="V6532">
        <v>0.1847406</v>
      </c>
      <c r="W6532">
        <v>8.0534229999999998E-2</v>
      </c>
      <c r="X6532">
        <v>0.97948210000000002</v>
      </c>
      <c r="Y6532">
        <v>0.1943636</v>
      </c>
      <c r="Z6532">
        <v>-3.1954819999999999E-3</v>
      </c>
      <c r="AA6532">
        <v>0.98092440000000003</v>
      </c>
      <c r="AB6532">
        <v>26</v>
      </c>
      <c r="AC6532">
        <v>17.380099999999999</v>
      </c>
      <c r="AD6532">
        <v>-1.1603969999999999</v>
      </c>
      <c r="AE6532">
        <v>-4.3550800000000001</v>
      </c>
      <c r="AF6532">
        <v>3.4960201819842101</v>
      </c>
      <c r="AG6532">
        <v>-1.1603969999999999</v>
      </c>
      <c r="AH6532">
        <v>17.4967496199538</v>
      </c>
      <c r="AI6532">
        <v>93.7210019319254</v>
      </c>
      <c r="AJ6532">
        <v>78.700552283487696</v>
      </c>
      <c r="AK6532">
        <v>17.880294336889499</v>
      </c>
      <c r="AL6532">
        <v>85.380726138785704</v>
      </c>
      <c r="AM6532">
        <v>79.318891548255493</v>
      </c>
      <c r="AN6532">
        <v>1.00000001785523</v>
      </c>
    </row>
    <row r="6533" spans="1:40" x14ac:dyDescent="0.25">
      <c r="A6533" t="str">
        <f>"20190312172242951"</f>
        <v>20190312172242951</v>
      </c>
      <c r="B6533" t="str">
        <f>"1552382562947196"</f>
        <v>1552382562947196</v>
      </c>
      <c r="C6533" t="s">
        <v>40</v>
      </c>
      <c r="D6533">
        <v>3.2414489999999998</v>
      </c>
      <c r="E6533">
        <v>0.5040926</v>
      </c>
      <c r="F6533" t="s">
        <v>43</v>
      </c>
      <c r="G6533">
        <v>-311.8766</v>
      </c>
      <c r="H6533">
        <v>-0.05</v>
      </c>
      <c r="I6533">
        <v>12.08548</v>
      </c>
      <c r="J6533">
        <v>-329.22239999999999</v>
      </c>
      <c r="K6533">
        <v>1.110374</v>
      </c>
      <c r="L6533">
        <v>16.46527</v>
      </c>
      <c r="M6533">
        <v>0.99874719999999995</v>
      </c>
      <c r="N6533">
        <v>0</v>
      </c>
      <c r="O6533">
        <v>-4.8230969999999998E-2</v>
      </c>
      <c r="P6533">
        <v>0.96993660000000004</v>
      </c>
      <c r="Q6533">
        <v>6.7925040000000006E-2</v>
      </c>
      <c r="R6533">
        <v>-0.2336869</v>
      </c>
      <c r="S6533">
        <v>2.92923</v>
      </c>
      <c r="T6533">
        <v>-0.19468160000000001</v>
      </c>
      <c r="U6533">
        <v>-0.73571779999999998</v>
      </c>
      <c r="V6533">
        <v>0.1866082</v>
      </c>
      <c r="W6533">
        <v>8.1045640000000002E-2</v>
      </c>
      <c r="X6533">
        <v>0.97908580000000001</v>
      </c>
      <c r="Y6533">
        <v>0.19622619999999999</v>
      </c>
      <c r="Z6533">
        <v>-3.2664399999999998E-3</v>
      </c>
      <c r="AA6533">
        <v>0.98055320000000001</v>
      </c>
      <c r="AB6533">
        <v>26</v>
      </c>
      <c r="AC6533">
        <v>17.345799999999901</v>
      </c>
      <c r="AD6533">
        <v>-1.160374</v>
      </c>
      <c r="AE6533">
        <v>-4.3797899999999998</v>
      </c>
      <c r="AF6533">
        <v>3.5231909658515801</v>
      </c>
      <c r="AG6533">
        <v>-1.160374</v>
      </c>
      <c r="AH6533">
        <v>17.4634024902257</v>
      </c>
      <c r="AI6533">
        <v>93.726623862418094</v>
      </c>
      <c r="AJ6533">
        <v>78.593848047864995</v>
      </c>
      <c r="AK6533">
        <v>17.8530044792846</v>
      </c>
      <c r="AL6533">
        <v>85.351328370637006</v>
      </c>
      <c r="AM6533">
        <v>79.209170480139605</v>
      </c>
      <c r="AN6533">
        <v>1.0000000099159401</v>
      </c>
    </row>
    <row r="6534" spans="1:40" x14ac:dyDescent="0.25">
      <c r="A6534" t="str">
        <f>"20190312172242961"</f>
        <v>20190312172242961</v>
      </c>
      <c r="B6534" t="str">
        <f>"1552382562956956"</f>
        <v>1552382562956956</v>
      </c>
      <c r="C6534" t="s">
        <v>40</v>
      </c>
      <c r="D6534">
        <v>3.2501699999999998</v>
      </c>
      <c r="E6534">
        <v>0.50400480000000003</v>
      </c>
      <c r="F6534" t="s">
        <v>43</v>
      </c>
      <c r="G6534">
        <v>-311.64449999999999</v>
      </c>
      <c r="H6534">
        <v>-0.05</v>
      </c>
      <c r="I6534">
        <v>12.024380000000001</v>
      </c>
      <c r="J6534">
        <v>-329.10509999999999</v>
      </c>
      <c r="K6534">
        <v>1.1103510000000001</v>
      </c>
      <c r="L6534">
        <v>16.459689999999998</v>
      </c>
      <c r="M6534">
        <v>0.99874989999999997</v>
      </c>
      <c r="N6534">
        <v>0</v>
      </c>
      <c r="O6534">
        <v>-4.8175839999999998E-2</v>
      </c>
      <c r="P6534">
        <v>0.96957680000000002</v>
      </c>
      <c r="Q6534">
        <v>6.8519060000000007E-2</v>
      </c>
      <c r="R6534">
        <v>-0.23500270000000001</v>
      </c>
      <c r="S6534">
        <v>2.9282840000000001</v>
      </c>
      <c r="T6534">
        <v>-0.19330610000000001</v>
      </c>
      <c r="U6534">
        <v>-0.73980709999999905</v>
      </c>
      <c r="V6534">
        <v>0.187999</v>
      </c>
      <c r="W6534">
        <v>8.1623550000000003E-2</v>
      </c>
      <c r="X6534">
        <v>0.97877170000000002</v>
      </c>
      <c r="Y6534">
        <v>0.19764380000000001</v>
      </c>
      <c r="Z6534">
        <v>-3.2934940000000001E-3</v>
      </c>
      <c r="AA6534">
        <v>0.98026840000000004</v>
      </c>
      <c r="AB6534">
        <v>26</v>
      </c>
      <c r="AC6534">
        <v>17.460599999999999</v>
      </c>
      <c r="AD6534">
        <v>-1.1603509999999999</v>
      </c>
      <c r="AE6534">
        <v>-4.4353099999999896</v>
      </c>
      <c r="AF6534">
        <v>3.5740777632521299</v>
      </c>
      <c r="AG6534">
        <v>-1.1603509999999999</v>
      </c>
      <c r="AH6534">
        <v>17.5810787926731</v>
      </c>
      <c r="AI6534">
        <v>93.700568037865494</v>
      </c>
      <c r="AJ6534">
        <v>78.5088663477746</v>
      </c>
      <c r="AK6534">
        <v>17.978175041286899</v>
      </c>
      <c r="AL6534">
        <v>85.318106612122904</v>
      </c>
      <c r="AM6534">
        <v>79.127249823185906</v>
      </c>
      <c r="AN6534">
        <v>1.00000003431824</v>
      </c>
    </row>
    <row r="6535" spans="1:40" x14ac:dyDescent="0.25">
      <c r="A6535" t="str">
        <f>"20190312172242971"</f>
        <v>20190312172242971</v>
      </c>
      <c r="B6535" t="str">
        <f>"1552382562966716"</f>
        <v>1552382562966716</v>
      </c>
      <c r="C6535" t="s">
        <v>40</v>
      </c>
      <c r="D6535">
        <v>3.2514090000000002</v>
      </c>
      <c r="E6535">
        <v>0.5039209</v>
      </c>
      <c r="F6535" t="s">
        <v>43</v>
      </c>
      <c r="G6535">
        <v>-311.48930000000001</v>
      </c>
      <c r="H6535">
        <v>-0.05</v>
      </c>
      <c r="I6535">
        <v>11.988390000000001</v>
      </c>
      <c r="J6535">
        <v>-328.983</v>
      </c>
      <c r="K6535">
        <v>1.1103259999999999</v>
      </c>
      <c r="L6535">
        <v>16.45383</v>
      </c>
      <c r="M6535">
        <v>0.99875130000000001</v>
      </c>
      <c r="N6535">
        <v>0</v>
      </c>
      <c r="O6535">
        <v>-4.8145880000000002E-2</v>
      </c>
      <c r="P6535">
        <v>0.96914460000000002</v>
      </c>
      <c r="Q6535">
        <v>6.9044770000000005E-2</v>
      </c>
      <c r="R6535">
        <v>-0.236626</v>
      </c>
      <c r="S6535">
        <v>2.9276430000000002</v>
      </c>
      <c r="T6535">
        <v>-0.19284309999999999</v>
      </c>
      <c r="U6535">
        <v>-0.74310299999999996</v>
      </c>
      <c r="V6535">
        <v>0.18967580000000001</v>
      </c>
      <c r="W6535">
        <v>8.2131579999999996E-2</v>
      </c>
      <c r="X6535">
        <v>0.97840559999999999</v>
      </c>
      <c r="Y6535">
        <v>0.1987602</v>
      </c>
      <c r="Z6535">
        <v>-3.3239839999999999E-3</v>
      </c>
      <c r="AA6535">
        <v>0.98004250000000004</v>
      </c>
      <c r="AB6535">
        <v>26</v>
      </c>
      <c r="AC6535">
        <v>17.493699999999901</v>
      </c>
      <c r="AD6535">
        <v>-1.160326</v>
      </c>
      <c r="AE6535">
        <v>-4.4654400000000001</v>
      </c>
      <c r="AF6535">
        <v>3.6030543626238298</v>
      </c>
      <c r="AG6535">
        <v>-1.160326</v>
      </c>
      <c r="AH6535">
        <v>17.6156626814149</v>
      </c>
      <c r="AI6535">
        <v>93.692345508012906</v>
      </c>
      <c r="AJ6535">
        <v>78.440335521890901</v>
      </c>
      <c r="AK6535">
        <v>18.017767033450401</v>
      </c>
      <c r="AL6535">
        <v>85.288900469412496</v>
      </c>
      <c r="AM6535">
        <v>79.028610955417193</v>
      </c>
      <c r="AN6535">
        <v>1.00000001182514</v>
      </c>
    </row>
    <row r="6536" spans="1:40" x14ac:dyDescent="0.25">
      <c r="A6536" t="str">
        <f>"20190312172242984"</f>
        <v>20190312172242984</v>
      </c>
      <c r="B6536" t="str">
        <f>"1552382562977452"</f>
        <v>1552382562977452</v>
      </c>
      <c r="C6536" t="s">
        <v>40</v>
      </c>
      <c r="D6536">
        <v>3.4720420000000001</v>
      </c>
      <c r="E6536">
        <v>0.50380190000000002</v>
      </c>
      <c r="F6536" t="s">
        <v>43</v>
      </c>
      <c r="G6536">
        <v>-311.34820000000002</v>
      </c>
      <c r="H6536">
        <v>-0.05</v>
      </c>
      <c r="I6536">
        <v>11.950010000000001</v>
      </c>
      <c r="J6536">
        <v>-328.84890000000001</v>
      </c>
      <c r="K6536">
        <v>1.1102970000000001</v>
      </c>
      <c r="L6536">
        <v>16.44745</v>
      </c>
      <c r="M6536">
        <v>0.99875219999999998</v>
      </c>
      <c r="N6536">
        <v>0</v>
      </c>
      <c r="O6536">
        <v>-4.8125500000000002E-2</v>
      </c>
      <c r="P6536">
        <v>0.96875869999999997</v>
      </c>
      <c r="Q6536">
        <v>6.9875430000000002E-2</v>
      </c>
      <c r="R6536">
        <v>-0.23795769999999999</v>
      </c>
      <c r="S6536">
        <v>2.9267270000000001</v>
      </c>
      <c r="T6536">
        <v>-0.1925712</v>
      </c>
      <c r="U6536">
        <v>-0.74746699999999999</v>
      </c>
      <c r="V6536">
        <v>0.19105079999999999</v>
      </c>
      <c r="W6536">
        <v>8.2943249999999996E-2</v>
      </c>
      <c r="X6536">
        <v>0.97806950000000004</v>
      </c>
      <c r="Y6536">
        <v>0.20022329999999999</v>
      </c>
      <c r="Z6536">
        <v>-3.3683749999999998E-3</v>
      </c>
      <c r="AA6536">
        <v>0.97974450000000002</v>
      </c>
      <c r="AB6536">
        <v>26</v>
      </c>
      <c r="AC6536">
        <v>17.500699999999899</v>
      </c>
      <c r="AD6536">
        <v>-1.1602969999999999</v>
      </c>
      <c r="AE6536">
        <v>-4.4974399999999903</v>
      </c>
      <c r="AF6536">
        <v>3.6349347643962102</v>
      </c>
      <c r="AG6536">
        <v>-1.1602969999999999</v>
      </c>
      <c r="AH6536">
        <v>17.624207804451899</v>
      </c>
      <c r="AI6536">
        <v>93.689228376617095</v>
      </c>
      <c r="AJ6536">
        <v>78.346340573936999</v>
      </c>
      <c r="AK6536">
        <v>18.032518975565502</v>
      </c>
      <c r="AL6536">
        <v>85.242235777646101</v>
      </c>
      <c r="AM6536">
        <v>78.9473240911517</v>
      </c>
      <c r="AN6536">
        <v>0.99999996886572595</v>
      </c>
    </row>
    <row r="6537" spans="1:40" x14ac:dyDescent="0.25">
      <c r="A6537" t="str">
        <f>"20190312172242995"</f>
        <v>20190312172242995</v>
      </c>
      <c r="B6537" t="str">
        <f>"1552382562987213"</f>
        <v>1552382562987213</v>
      </c>
      <c r="C6537" t="s">
        <v>40</v>
      </c>
      <c r="D6537">
        <v>3.2604109999999999</v>
      </c>
      <c r="E6537">
        <v>0.50368539999999995</v>
      </c>
      <c r="F6537" t="s">
        <v>43</v>
      </c>
      <c r="G6537">
        <v>-311.0736</v>
      </c>
      <c r="H6537">
        <v>-0.05</v>
      </c>
      <c r="I6537">
        <v>11.88838</v>
      </c>
      <c r="J6537">
        <v>-328.7022</v>
      </c>
      <c r="K6537">
        <v>1.1102650000000001</v>
      </c>
      <c r="L6537">
        <v>16.440370000000001</v>
      </c>
      <c r="M6537">
        <v>0.99875179999999997</v>
      </c>
      <c r="N6537">
        <v>0</v>
      </c>
      <c r="O6537">
        <v>-4.8135219999999999E-2</v>
      </c>
      <c r="P6537">
        <v>0.9684005</v>
      </c>
      <c r="Q6537">
        <v>7.0208309999999996E-2</v>
      </c>
      <c r="R6537">
        <v>-0.2393149</v>
      </c>
      <c r="S6537">
        <v>2.9261780000000002</v>
      </c>
      <c r="T6537">
        <v>-0.19100909999999999</v>
      </c>
      <c r="U6537">
        <v>-0.75051880000000004</v>
      </c>
      <c r="V6537">
        <v>0.1924208</v>
      </c>
      <c r="W6537">
        <v>8.3254960000000003E-2</v>
      </c>
      <c r="X6537">
        <v>0.97777440000000004</v>
      </c>
      <c r="Y6537">
        <v>0.2012197</v>
      </c>
      <c r="Z6537">
        <v>-3.3726580000000002E-3</v>
      </c>
      <c r="AA6537">
        <v>0.97954030000000003</v>
      </c>
      <c r="AB6537">
        <v>26</v>
      </c>
      <c r="AC6537">
        <v>17.628599999999999</v>
      </c>
      <c r="AD6537">
        <v>-1.1602649999999901</v>
      </c>
      <c r="AE6537">
        <v>-4.55199</v>
      </c>
      <c r="AF6537">
        <v>3.6831228964594298</v>
      </c>
      <c r="AG6537">
        <v>-1.1602649999999901</v>
      </c>
      <c r="AH6537">
        <v>17.755186284239599</v>
      </c>
      <c r="AI6537">
        <v>93.661123070129193</v>
      </c>
      <c r="AJ6537">
        <v>78.280814963604897</v>
      </c>
      <c r="AK6537">
        <v>18.170257266442299</v>
      </c>
      <c r="AL6537">
        <v>85.224314105075294</v>
      </c>
      <c r="AM6537">
        <v>78.866763688207598</v>
      </c>
      <c r="AN6537">
        <v>0.99999996496629995</v>
      </c>
    </row>
    <row r="6538" spans="1:40" x14ac:dyDescent="0.25">
      <c r="A6538" t="str">
        <f>"20190312172243006"</f>
        <v>20190312172243006</v>
      </c>
      <c r="B6538" t="str">
        <f>"1552382562996972"</f>
        <v>1552382562996972</v>
      </c>
      <c r="C6538" t="s">
        <v>40</v>
      </c>
      <c r="D6538">
        <v>3.247871</v>
      </c>
      <c r="E6538">
        <v>0.50350499999999998</v>
      </c>
      <c r="F6538" t="s">
        <v>43</v>
      </c>
      <c r="G6538">
        <v>-310.98739999999998</v>
      </c>
      <c r="H6538">
        <v>-0.05</v>
      </c>
      <c r="I6538">
        <v>11.87599</v>
      </c>
      <c r="J6538">
        <v>-328.58510000000001</v>
      </c>
      <c r="K6538">
        <v>1.1102399999999999</v>
      </c>
      <c r="L6538">
        <v>16.434719999999999</v>
      </c>
      <c r="M6538">
        <v>0.99875000000000003</v>
      </c>
      <c r="N6538">
        <v>0</v>
      </c>
      <c r="O6538">
        <v>-4.8171199999999997E-2</v>
      </c>
      <c r="P6538">
        <v>0.96798899999999999</v>
      </c>
      <c r="Q6538">
        <v>7.0859450000000004E-2</v>
      </c>
      <c r="R6538">
        <v>-0.24078289999999999</v>
      </c>
      <c r="S6538">
        <v>2.9255070000000001</v>
      </c>
      <c r="T6538">
        <v>-0.1916118</v>
      </c>
      <c r="U6538">
        <v>-0.75378420000000002</v>
      </c>
      <c r="V6538">
        <v>0.19387750000000001</v>
      </c>
      <c r="W6538">
        <v>8.3887879999999998E-2</v>
      </c>
      <c r="X6538">
        <v>0.97743250000000004</v>
      </c>
      <c r="Y6538">
        <v>0.20226</v>
      </c>
      <c r="Z6538">
        <v>-3.4147660000000001E-3</v>
      </c>
      <c r="AA6538">
        <v>0.97932589999999997</v>
      </c>
      <c r="AB6538">
        <v>26</v>
      </c>
      <c r="AC6538">
        <v>17.5977</v>
      </c>
      <c r="AD6538">
        <v>-1.1602399999999999</v>
      </c>
      <c r="AE6538">
        <v>-4.5587299999999997</v>
      </c>
      <c r="AF6538">
        <v>3.69062500377906</v>
      </c>
      <c r="AG6538">
        <v>-1.1602399999999999</v>
      </c>
      <c r="AH6538">
        <v>17.724683353142201</v>
      </c>
      <c r="AI6538">
        <v>93.666759155117404</v>
      </c>
      <c r="AJ6538">
        <v>78.237961150420205</v>
      </c>
      <c r="AK6538">
        <v>18.141975354003701</v>
      </c>
      <c r="AL6538">
        <v>85.187923211998196</v>
      </c>
      <c r="AM6538">
        <v>78.780785993260807</v>
      </c>
      <c r="AN6538">
        <v>0.99999997673669605</v>
      </c>
    </row>
    <row r="6539" spans="1:40" x14ac:dyDescent="0.25">
      <c r="A6539" t="str">
        <f>"20190312172243018"</f>
        <v>20190312172243018</v>
      </c>
      <c r="B6539" t="str">
        <f>"1552382563006734"</f>
        <v>1552382563006734</v>
      </c>
      <c r="C6539" t="s">
        <v>40</v>
      </c>
      <c r="D6539">
        <v>3.722356</v>
      </c>
      <c r="E6539">
        <v>0.50342029999999904</v>
      </c>
      <c r="F6539" t="s">
        <v>43</v>
      </c>
      <c r="G6539">
        <v>-310.75720000000001</v>
      </c>
      <c r="H6539">
        <v>-0.05</v>
      </c>
      <c r="I6539">
        <v>11.82161</v>
      </c>
      <c r="J6539">
        <v>-328.45229999999998</v>
      </c>
      <c r="K6539">
        <v>1.1102099999999999</v>
      </c>
      <c r="L6539">
        <v>16.428279999999901</v>
      </c>
      <c r="M6539">
        <v>0.9987473</v>
      </c>
      <c r="N6539">
        <v>0</v>
      </c>
      <c r="O6539">
        <v>-4.8229929999999997E-2</v>
      </c>
      <c r="P6539">
        <v>0.96749090000000004</v>
      </c>
      <c r="Q6539">
        <v>7.1796429999999994E-2</v>
      </c>
      <c r="R6539">
        <v>-0.24250169999999999</v>
      </c>
      <c r="S6539">
        <v>2.9248959999999999</v>
      </c>
      <c r="T6539">
        <v>-0.19035199999999999</v>
      </c>
      <c r="U6539">
        <v>-0.75683590000000001</v>
      </c>
      <c r="V6539">
        <v>0.19556789999999999</v>
      </c>
      <c r="W6539">
        <v>8.4802520000000006E-2</v>
      </c>
      <c r="X6539">
        <v>0.97701669999999996</v>
      </c>
      <c r="Y6539">
        <v>0.2032118</v>
      </c>
      <c r="Z6539">
        <v>-3.4193299999999999E-3</v>
      </c>
      <c r="AA6539">
        <v>0.97912880000000002</v>
      </c>
      <c r="AB6539">
        <v>26</v>
      </c>
      <c r="AC6539">
        <v>17.695099999999901</v>
      </c>
      <c r="AD6539">
        <v>-1.16021</v>
      </c>
      <c r="AE6539">
        <v>-4.6066699999999896</v>
      </c>
      <c r="AF6539">
        <v>3.7327701974185699</v>
      </c>
      <c r="AG6539">
        <v>-1.16021</v>
      </c>
      <c r="AH6539">
        <v>17.824937485957101</v>
      </c>
      <c r="AI6539">
        <v>93.645229577319597</v>
      </c>
      <c r="AJ6539">
        <v>78.172447331005003</v>
      </c>
      <c r="AK6539">
        <v>18.248508349153202</v>
      </c>
      <c r="AL6539">
        <v>85.135330665903695</v>
      </c>
      <c r="AM6539">
        <v>78.680788604192003</v>
      </c>
      <c r="AN6539">
        <v>0.99999995149382404</v>
      </c>
    </row>
    <row r="6540" spans="1:40" x14ac:dyDescent="0.25">
      <c r="A6540" t="str">
        <f>"20190312172243030"</f>
        <v>20190312172243030</v>
      </c>
      <c r="B6540" t="str">
        <f>"1552382563027229"</f>
        <v>1552382563027229</v>
      </c>
      <c r="C6540" t="s">
        <v>40</v>
      </c>
      <c r="D6540">
        <v>3.2386050000000002</v>
      </c>
      <c r="E6540">
        <v>0.50317659999999997</v>
      </c>
      <c r="F6540" t="s">
        <v>43</v>
      </c>
      <c r="G6540">
        <v>-310.53449999999998</v>
      </c>
      <c r="H6540">
        <v>-0.05</v>
      </c>
      <c r="I6540">
        <v>11.76205</v>
      </c>
      <c r="J6540">
        <v>-328.32589999999999</v>
      </c>
      <c r="K6540">
        <v>1.110174</v>
      </c>
      <c r="L6540">
        <v>16.422090000000001</v>
      </c>
      <c r="M6540">
        <v>0.99874240000000003</v>
      </c>
      <c r="N6540">
        <v>0</v>
      </c>
      <c r="O6540">
        <v>-4.8331989999999998E-2</v>
      </c>
      <c r="P6540">
        <v>0.96702560000000004</v>
      </c>
      <c r="Q6540">
        <v>7.2829649999999996E-2</v>
      </c>
      <c r="R6540">
        <v>-0.24404519999999999</v>
      </c>
      <c r="S6540">
        <v>2.9239809999999999</v>
      </c>
      <c r="T6540">
        <v>-0.1893329</v>
      </c>
      <c r="U6540">
        <v>-0.7614746</v>
      </c>
      <c r="V6540">
        <v>0.1970402</v>
      </c>
      <c r="W6540">
        <v>8.5811639999999995E-2</v>
      </c>
      <c r="X6540">
        <v>0.97663279999999997</v>
      </c>
      <c r="Y6540">
        <v>0.20464180000000001</v>
      </c>
      <c r="Z6540">
        <v>-3.4404750000000001E-3</v>
      </c>
      <c r="AA6540">
        <v>0.97883089999999995</v>
      </c>
      <c r="AB6540">
        <v>26</v>
      </c>
      <c r="AC6540">
        <v>17.791399999999999</v>
      </c>
      <c r="AD6540">
        <v>-1.160174</v>
      </c>
      <c r="AE6540">
        <v>-4.6600400000000004</v>
      </c>
      <c r="AF6540">
        <v>3.7795826552487402</v>
      </c>
      <c r="AG6540">
        <v>-1.160174</v>
      </c>
      <c r="AH6540">
        <v>17.924525600084898</v>
      </c>
      <c r="AI6540">
        <v>93.6238652874341</v>
      </c>
      <c r="AJ6540">
        <v>78.092983298791495</v>
      </c>
      <c r="AK6540">
        <v>18.355377052685</v>
      </c>
      <c r="AL6540">
        <v>85.077301303703806</v>
      </c>
      <c r="AM6540">
        <v>78.593433372467302</v>
      </c>
      <c r="AN6540">
        <v>1.00000005200568</v>
      </c>
    </row>
    <row r="6541" spans="1:40" x14ac:dyDescent="0.25">
      <c r="A6541" t="str">
        <f>"20190312172243043"</f>
        <v>20190312172243043</v>
      </c>
      <c r="B6541" t="str">
        <f>"1552382563036988"</f>
        <v>1552382563036988</v>
      </c>
      <c r="C6541" t="s">
        <v>40</v>
      </c>
      <c r="D6541">
        <v>3.289228</v>
      </c>
      <c r="E6541">
        <v>0.50317659999999997</v>
      </c>
      <c r="F6541" t="s">
        <v>43</v>
      </c>
      <c r="G6541">
        <v>-310.42070000000001</v>
      </c>
      <c r="H6541">
        <v>-0.05</v>
      </c>
      <c r="I6541">
        <v>11.74042</v>
      </c>
      <c r="J6541">
        <v>-328.1626</v>
      </c>
      <c r="K6541">
        <v>1.1101259999999999</v>
      </c>
      <c r="L6541">
        <v>16.414089999999899</v>
      </c>
      <c r="M6541">
        <v>0.99873449999999997</v>
      </c>
      <c r="N6541">
        <v>0</v>
      </c>
      <c r="O6541">
        <v>-4.849415E-2</v>
      </c>
      <c r="P6541">
        <v>0.96649010000000002</v>
      </c>
      <c r="Q6541">
        <v>7.3646669999999997E-2</v>
      </c>
      <c r="R6541">
        <v>-0.24591399999999999</v>
      </c>
      <c r="S6541">
        <v>2.9236149999999999</v>
      </c>
      <c r="T6541">
        <v>-0.18943589999999999</v>
      </c>
      <c r="U6541">
        <v>-0.76443479999999997</v>
      </c>
      <c r="V6541">
        <v>0.1987854</v>
      </c>
      <c r="W6541">
        <v>8.6596450000000005E-2</v>
      </c>
      <c r="X6541">
        <v>0.97620969999999996</v>
      </c>
      <c r="Y6541">
        <v>0.20543900000000001</v>
      </c>
      <c r="Z6541">
        <v>-3.45744E-3</v>
      </c>
      <c r="AA6541">
        <v>0.97866379999999997</v>
      </c>
      <c r="AB6541">
        <v>26</v>
      </c>
      <c r="AC6541">
        <v>17.741899999999902</v>
      </c>
      <c r="AD6541">
        <v>-1.160126</v>
      </c>
      <c r="AE6541">
        <v>-4.6736699999999898</v>
      </c>
      <c r="AF6541">
        <v>3.7925518045678399</v>
      </c>
      <c r="AG6541">
        <v>-1.160126</v>
      </c>
      <c r="AH6541">
        <v>17.876214116170399</v>
      </c>
      <c r="AI6541">
        <v>93.632532656072499</v>
      </c>
      <c r="AJ6541">
        <v>78.021942642234507</v>
      </c>
      <c r="AK6541">
        <v>18.3108812637015</v>
      </c>
      <c r="AL6541">
        <v>85.032166630153</v>
      </c>
      <c r="AM6541">
        <v>78.490233748302202</v>
      </c>
      <c r="AN6541">
        <v>0.99999997938992602</v>
      </c>
    </row>
    <row r="6542" spans="1:40" x14ac:dyDescent="0.25">
      <c r="A6542" t="str">
        <f>"20190312172243055"</f>
        <v>20190312172243055</v>
      </c>
      <c r="B6542" t="str">
        <f>"1552382563046750"</f>
        <v>1552382563046750</v>
      </c>
      <c r="C6542" t="s">
        <v>40</v>
      </c>
      <c r="D6542">
        <v>3.2469139999999999</v>
      </c>
      <c r="E6542">
        <v>0.49966699999999997</v>
      </c>
      <c r="F6542" t="s">
        <v>43</v>
      </c>
      <c r="G6542">
        <v>-310.02809999999999</v>
      </c>
      <c r="H6542">
        <v>-0.05</v>
      </c>
      <c r="I6542">
        <v>11.635350000000001</v>
      </c>
      <c r="J6542">
        <v>-328.02159999999998</v>
      </c>
      <c r="K6542">
        <v>1.110077</v>
      </c>
      <c r="L6542">
        <v>16.407070000000001</v>
      </c>
      <c r="M6542">
        <v>0.99872530000000004</v>
      </c>
      <c r="N6542">
        <v>0</v>
      </c>
      <c r="O6542">
        <v>-4.8681460000000003E-2</v>
      </c>
      <c r="P6542">
        <v>0.96588609999999997</v>
      </c>
      <c r="Q6542">
        <v>7.4835410000000005E-2</v>
      </c>
      <c r="R6542">
        <v>-0.2479189</v>
      </c>
      <c r="S6542">
        <v>2.9223330000000001</v>
      </c>
      <c r="T6542">
        <v>-0.18695139999999999</v>
      </c>
      <c r="U6542">
        <v>-0.7700806</v>
      </c>
      <c r="V6542">
        <v>0.20064589999999999</v>
      </c>
      <c r="W6542">
        <v>8.7751689999999993E-2</v>
      </c>
      <c r="X6542">
        <v>0.97572579999999998</v>
      </c>
      <c r="Y6542">
        <v>0.20713409999999999</v>
      </c>
      <c r="Z6542">
        <v>-3.4543759999999999E-3</v>
      </c>
      <c r="AA6542">
        <v>0.97830649999999997</v>
      </c>
      <c r="AB6542">
        <v>26</v>
      </c>
      <c r="AC6542">
        <v>17.993499999999901</v>
      </c>
      <c r="AD6542">
        <v>-1.160077</v>
      </c>
      <c r="AE6542">
        <v>-4.7717199999999904</v>
      </c>
      <c r="AF6542">
        <v>3.8749850529861298</v>
      </c>
      <c r="AG6542">
        <v>-1.160077</v>
      </c>
      <c r="AH6542">
        <v>18.1340532108898</v>
      </c>
      <c r="AI6542">
        <v>93.579755682543507</v>
      </c>
      <c r="AJ6542">
        <v>77.938124420219296</v>
      </c>
      <c r="AK6542">
        <v>18.579697889421599</v>
      </c>
      <c r="AL6542">
        <v>84.965723341263896</v>
      </c>
      <c r="AM6542">
        <v>78.379820382342999</v>
      </c>
      <c r="AN6542">
        <v>0.99999998653515298</v>
      </c>
    </row>
    <row r="6543" spans="1:40" x14ac:dyDescent="0.25">
      <c r="A6543" t="str">
        <f>"20190312172243067"</f>
        <v>20190312172243067</v>
      </c>
      <c r="B6543" t="str">
        <f>"1552382563056509"</f>
        <v>1552382563056509</v>
      </c>
      <c r="C6543" t="s">
        <v>40</v>
      </c>
      <c r="D6543">
        <v>3.2616540000000001</v>
      </c>
      <c r="E6543">
        <v>0.50004799999999905</v>
      </c>
      <c r="F6543" t="s">
        <v>43</v>
      </c>
      <c r="G6543">
        <v>-311.2833</v>
      </c>
      <c r="H6543">
        <v>-0.05</v>
      </c>
      <c r="I6543">
        <v>12.1241</v>
      </c>
      <c r="J6543">
        <v>-327.89089999999999</v>
      </c>
      <c r="K6543">
        <v>1.1100239999999999</v>
      </c>
      <c r="L6543">
        <v>16.400510000000001</v>
      </c>
      <c r="M6543">
        <v>0.99871500000000002</v>
      </c>
      <c r="N6543">
        <v>0</v>
      </c>
      <c r="O6543">
        <v>-4.8891289999999997E-2</v>
      </c>
      <c r="P6543">
        <v>0.96535789999999999</v>
      </c>
      <c r="Q6543">
        <v>7.5365559999999998E-2</v>
      </c>
      <c r="R6543">
        <v>-0.249809</v>
      </c>
      <c r="S6543">
        <v>2.9292910000000001</v>
      </c>
      <c r="T6543">
        <v>-0.20301910000000001</v>
      </c>
      <c r="U6543">
        <v>-0.74954219999999905</v>
      </c>
      <c r="V6543">
        <v>0.2023654</v>
      </c>
      <c r="W6543">
        <v>8.8249939999999999E-2</v>
      </c>
      <c r="X6543">
        <v>0.97532569999999996</v>
      </c>
      <c r="Y6543">
        <v>0.19988690000000001</v>
      </c>
      <c r="Z6543">
        <v>-3.4839860000000001E-3</v>
      </c>
      <c r="AA6543">
        <v>0.97981280000000004</v>
      </c>
      <c r="AB6543">
        <v>26</v>
      </c>
      <c r="AC6543">
        <v>16.607599999999898</v>
      </c>
      <c r="AD6543">
        <v>-1.1600239999999999</v>
      </c>
      <c r="AE6543">
        <v>-4.2764100000000003</v>
      </c>
      <c r="AF6543">
        <v>3.4434999523938998</v>
      </c>
      <c r="AG6543">
        <v>-1.1600239999999999</v>
      </c>
      <c r="AH6543">
        <v>16.720329424798798</v>
      </c>
      <c r="AI6543">
        <v>93.887384693145407</v>
      </c>
      <c r="AJ6543">
        <v>78.362818354486805</v>
      </c>
      <c r="AK6543">
        <v>17.110603837284799</v>
      </c>
      <c r="AL6543">
        <v>84.937064673484898</v>
      </c>
      <c r="AM6543">
        <v>78.278305969782807</v>
      </c>
      <c r="AN6543">
        <v>1.0000000140538201</v>
      </c>
    </row>
    <row r="6544" spans="1:40" x14ac:dyDescent="0.25">
      <c r="A6544" t="str">
        <f>"20190312172243077"</f>
        <v>20190312172243077</v>
      </c>
      <c r="B6544" t="str">
        <f>"1552382563067245"</f>
        <v>1552382563067245</v>
      </c>
      <c r="C6544" t="s">
        <v>40</v>
      </c>
      <c r="D6544">
        <v>3.2672050000000001</v>
      </c>
      <c r="E6544">
        <v>0.50026380000000004</v>
      </c>
      <c r="F6544" t="s">
        <v>43</v>
      </c>
      <c r="G6544">
        <v>-311.36360000000002</v>
      </c>
      <c r="H6544">
        <v>-0.05</v>
      </c>
      <c r="I6544">
        <v>12.11984</v>
      </c>
      <c r="J6544">
        <v>-327.77030000000002</v>
      </c>
      <c r="K6544">
        <v>1.109977</v>
      </c>
      <c r="L6544">
        <v>16.394439999999999</v>
      </c>
      <c r="M6544">
        <v>0.9987047</v>
      </c>
      <c r="N6544">
        <v>0</v>
      </c>
      <c r="O6544">
        <v>-4.9102649999999998E-2</v>
      </c>
      <c r="P6544">
        <v>0.96477170000000001</v>
      </c>
      <c r="Q6544">
        <v>7.6119049999999994E-2</v>
      </c>
      <c r="R6544">
        <v>-0.25183620000000001</v>
      </c>
      <c r="S6544">
        <v>2.9274900000000001</v>
      </c>
      <c r="T6544">
        <v>-0.20547609999999999</v>
      </c>
      <c r="U6544">
        <v>-0.75823969999999996</v>
      </c>
      <c r="V6544">
        <v>0.20422360000000001</v>
      </c>
      <c r="W6544">
        <v>8.8971910000000001E-2</v>
      </c>
      <c r="X6544">
        <v>0.97487270000000004</v>
      </c>
      <c r="Y6544">
        <v>0.20253950000000001</v>
      </c>
      <c r="Z6544">
        <v>-3.6038820000000001E-3</v>
      </c>
      <c r="AA6544">
        <v>0.97926749999999996</v>
      </c>
      <c r="AB6544">
        <v>26</v>
      </c>
      <c r="AC6544">
        <v>16.406700000000001</v>
      </c>
      <c r="AD6544">
        <v>-1.159977</v>
      </c>
      <c r="AE6544">
        <v>-4.2746000000000004</v>
      </c>
      <c r="AF6544">
        <v>3.44762057729766</v>
      </c>
      <c r="AG6544">
        <v>-1.159977</v>
      </c>
      <c r="AH6544">
        <v>16.5194917344175</v>
      </c>
      <c r="AI6544">
        <v>93.932193690666907</v>
      </c>
      <c r="AJ6544">
        <v>78.211569170685394</v>
      </c>
      <c r="AK6544">
        <v>16.915236961066299</v>
      </c>
      <c r="AL6544">
        <v>84.895535560017606</v>
      </c>
      <c r="AM6544">
        <v>78.168350121347103</v>
      </c>
      <c r="AN6544">
        <v>1.00000003038564</v>
      </c>
    </row>
    <row r="6545" spans="1:40" x14ac:dyDescent="0.25">
      <c r="A6545" t="str">
        <f>"20190312172243087"</f>
        <v>20190312172243087</v>
      </c>
      <c r="B6545" t="str">
        <f>"1552382563077004"</f>
        <v>1552382563077004</v>
      </c>
      <c r="C6545" t="s">
        <v>40</v>
      </c>
      <c r="D6545">
        <v>3.2742849999999999</v>
      </c>
      <c r="E6545">
        <v>0.50027670000000002</v>
      </c>
      <c r="F6545" t="s">
        <v>43</v>
      </c>
      <c r="G6545">
        <v>-311.23520000000002</v>
      </c>
      <c r="H6545">
        <v>-0.05</v>
      </c>
      <c r="I6545">
        <v>12.06526</v>
      </c>
      <c r="J6545">
        <v>-327.6583</v>
      </c>
      <c r="K6545">
        <v>1.109931</v>
      </c>
      <c r="L6545">
        <v>16.3887</v>
      </c>
      <c r="M6545">
        <v>0.99869289999999999</v>
      </c>
      <c r="N6545">
        <v>0</v>
      </c>
      <c r="O6545">
        <v>-4.934388E-2</v>
      </c>
      <c r="P6545">
        <v>0.96419569999999999</v>
      </c>
      <c r="Q6545">
        <v>7.6760129999999996E-2</v>
      </c>
      <c r="R6545">
        <v>-0.25384000000000001</v>
      </c>
      <c r="S6545">
        <v>2.9257810000000002</v>
      </c>
      <c r="T6545">
        <v>-0.20525089999999999</v>
      </c>
      <c r="U6545">
        <v>-0.76602169999999903</v>
      </c>
      <c r="V6545">
        <v>0.2060283</v>
      </c>
      <c r="W6545">
        <v>8.9582179999999997E-2</v>
      </c>
      <c r="X6545">
        <v>0.97443690000000005</v>
      </c>
      <c r="Y6545">
        <v>0.20487630000000001</v>
      </c>
      <c r="Z6545">
        <v>-3.6648000000000002E-3</v>
      </c>
      <c r="AA6545">
        <v>0.97878100000000001</v>
      </c>
      <c r="AB6545">
        <v>26</v>
      </c>
      <c r="AC6545">
        <v>16.423099999999899</v>
      </c>
      <c r="AD6545">
        <v>-1.159931</v>
      </c>
      <c r="AE6545">
        <v>-4.3234399999999997</v>
      </c>
      <c r="AF6545">
        <v>3.49143337826141</v>
      </c>
      <c r="AG6545">
        <v>-1.159931</v>
      </c>
      <c r="AH6545">
        <v>16.539288776402799</v>
      </c>
      <c r="AI6545">
        <v>93.925458506444699</v>
      </c>
      <c r="AJ6545">
        <v>78.079905683268706</v>
      </c>
      <c r="AK6545">
        <v>16.943542138196602</v>
      </c>
      <c r="AL6545">
        <v>84.860429065028697</v>
      </c>
      <c r="AM6545">
        <v>78.061596329165894</v>
      </c>
      <c r="AN6545">
        <v>0.99999994972802497</v>
      </c>
    </row>
    <row r="6546" spans="1:40" x14ac:dyDescent="0.25">
      <c r="A6546" t="str">
        <f>"20190312172243098"</f>
        <v>20190312172243098</v>
      </c>
      <c r="B6546" t="str">
        <f>"1552382563086765"</f>
        <v>1552382563086765</v>
      </c>
      <c r="C6546" t="s">
        <v>40</v>
      </c>
      <c r="D6546">
        <v>3.2628759999999999</v>
      </c>
      <c r="E6546">
        <v>0.50032469999999996</v>
      </c>
      <c r="F6546" t="s">
        <v>43</v>
      </c>
      <c r="G6546">
        <v>-311.26280000000003</v>
      </c>
      <c r="H6546">
        <v>-0.05</v>
      </c>
      <c r="I6546">
        <v>12.05922</v>
      </c>
      <c r="J6546">
        <v>-327.541</v>
      </c>
      <c r="K6546">
        <v>1.109882</v>
      </c>
      <c r="L6546">
        <v>16.382629999999999</v>
      </c>
      <c r="M6546">
        <v>0.99867989999999995</v>
      </c>
      <c r="N6546">
        <v>0</v>
      </c>
      <c r="O6546">
        <v>-4.9607230000000002E-2</v>
      </c>
      <c r="P6546">
        <v>0.96356739999999996</v>
      </c>
      <c r="Q6546">
        <v>7.7025179999999999E-2</v>
      </c>
      <c r="R6546">
        <v>-0.25613570000000002</v>
      </c>
      <c r="S6546">
        <v>2.9245610000000002</v>
      </c>
      <c r="T6546">
        <v>-0.2069048</v>
      </c>
      <c r="U6546">
        <v>-0.77227780000000001</v>
      </c>
      <c r="V6546">
        <v>0.20810609999999999</v>
      </c>
      <c r="W6546">
        <v>8.9813950000000004E-2</v>
      </c>
      <c r="X6546">
        <v>0.97397400000000001</v>
      </c>
      <c r="Y6546">
        <v>0.20666689999999999</v>
      </c>
      <c r="Z6546">
        <v>-3.7387850000000001E-3</v>
      </c>
      <c r="AA6546">
        <v>0.97840419999999995</v>
      </c>
      <c r="AB6546">
        <v>25</v>
      </c>
      <c r="AC6546">
        <v>16.278199999999899</v>
      </c>
      <c r="AD6546">
        <v>-1.1598820000000001</v>
      </c>
      <c r="AE6546">
        <v>-4.3234099999999902</v>
      </c>
      <c r="AF6546">
        <v>3.4939278487403702</v>
      </c>
      <c r="AG6546">
        <v>-1.1598820000000001</v>
      </c>
      <c r="AH6546">
        <v>16.394892663445901</v>
      </c>
      <c r="AI6546">
        <v>93.958144132429794</v>
      </c>
      <c r="AJ6546">
        <v>77.969623431250994</v>
      </c>
      <c r="AK6546">
        <v>16.8031355262058</v>
      </c>
      <c r="AL6546">
        <v>84.847096257024901</v>
      </c>
      <c r="AM6546">
        <v>77.939140753715293</v>
      </c>
      <c r="AN6546">
        <v>1.0000000235738999</v>
      </c>
    </row>
    <row r="6547" spans="1:40" x14ac:dyDescent="0.25">
      <c r="A6547" t="str">
        <f>"20190312172243108"</f>
        <v>20190312172243108</v>
      </c>
      <c r="B6547" t="str">
        <f>"1552382563096524"</f>
        <v>1552382563096524</v>
      </c>
      <c r="C6547" t="s">
        <v>40</v>
      </c>
      <c r="D6547">
        <v>3.2409430000000001</v>
      </c>
      <c r="E6547">
        <v>0.50033419999999995</v>
      </c>
      <c r="F6547" t="s">
        <v>43</v>
      </c>
      <c r="G6547">
        <v>-311.36689999999999</v>
      </c>
      <c r="H6547">
        <v>-0.05</v>
      </c>
      <c r="I6547">
        <v>12.067830000000001</v>
      </c>
      <c r="J6547">
        <v>-327.42630000000003</v>
      </c>
      <c r="K6547">
        <v>1.109836</v>
      </c>
      <c r="L6547">
        <v>16.376619999999999</v>
      </c>
      <c r="M6547">
        <v>0.99866440000000001</v>
      </c>
      <c r="N6547">
        <v>0</v>
      </c>
      <c r="O6547">
        <v>-4.991777E-2</v>
      </c>
      <c r="P6547">
        <v>0.9629645</v>
      </c>
      <c r="Q6547">
        <v>7.724027E-2</v>
      </c>
      <c r="R6547">
        <v>-0.25832850000000002</v>
      </c>
      <c r="S6547">
        <v>2.9229129999999999</v>
      </c>
      <c r="T6547">
        <v>-0.20960899999999999</v>
      </c>
      <c r="U6547">
        <v>-0.77975459999999996</v>
      </c>
      <c r="V6547">
        <v>0.2100339</v>
      </c>
      <c r="W6547">
        <v>8.9996320000000005E-2</v>
      </c>
      <c r="X6547">
        <v>0.97354320000000005</v>
      </c>
      <c r="Y6547">
        <v>0.20882229999999999</v>
      </c>
      <c r="Z6547">
        <v>-3.8425209999999998E-3</v>
      </c>
      <c r="AA6547">
        <v>0.97794599999999998</v>
      </c>
      <c r="AB6547">
        <v>25</v>
      </c>
      <c r="AC6547">
        <v>16.0594</v>
      </c>
      <c r="AD6547">
        <v>-1.1598360000000001</v>
      </c>
      <c r="AE6547">
        <v>-4.3087900000000001</v>
      </c>
      <c r="AF6547">
        <v>3.4847410678398001</v>
      </c>
      <c r="AG6547">
        <v>-1.1598360000000001</v>
      </c>
      <c r="AH6547">
        <v>16.1757735485774</v>
      </c>
      <c r="AI6547">
        <v>94.009530200917496</v>
      </c>
      <c r="AJ6547">
        <v>77.842592989227995</v>
      </c>
      <c r="AK6547">
        <v>16.587473880963401</v>
      </c>
      <c r="AL6547">
        <v>84.836604458909804</v>
      </c>
      <c r="AM6547">
        <v>77.825505376470005</v>
      </c>
      <c r="AN6547">
        <v>0.99999996951449499</v>
      </c>
    </row>
    <row r="6548" spans="1:40" x14ac:dyDescent="0.25">
      <c r="A6548" t="str">
        <f>"20190312172243118"</f>
        <v>20190312172243118</v>
      </c>
      <c r="B6548" t="str">
        <f>"1552382563107261"</f>
        <v>1552382563107261</v>
      </c>
      <c r="C6548" t="s">
        <v>40</v>
      </c>
      <c r="D6548">
        <v>3.6869079999999999</v>
      </c>
      <c r="E6548">
        <v>0.50030719999999995</v>
      </c>
      <c r="F6548" t="s">
        <v>43</v>
      </c>
      <c r="G6548">
        <v>-311.37020000000001</v>
      </c>
      <c r="H6548">
        <v>-0.05</v>
      </c>
      <c r="I6548">
        <v>12.05373</v>
      </c>
      <c r="J6548">
        <v>-327.30509999999998</v>
      </c>
      <c r="K6548">
        <v>1.109785</v>
      </c>
      <c r="L6548">
        <v>16.370270000000001</v>
      </c>
      <c r="M6548">
        <v>0.99864730000000002</v>
      </c>
      <c r="N6548">
        <v>0</v>
      </c>
      <c r="O6548">
        <v>-5.0257339999999998E-2</v>
      </c>
      <c r="P6548">
        <v>0.96233979999999997</v>
      </c>
      <c r="Q6548">
        <v>7.7930609999999997E-2</v>
      </c>
      <c r="R6548">
        <v>-0.26044050000000002</v>
      </c>
      <c r="S6548">
        <v>2.9213260000000001</v>
      </c>
      <c r="T6548">
        <v>-0.2110263</v>
      </c>
      <c r="U6548">
        <v>-0.78652949999999999</v>
      </c>
      <c r="V6548">
        <v>0.21185519999999999</v>
      </c>
      <c r="W6548">
        <v>9.0652129999999997E-2</v>
      </c>
      <c r="X6548">
        <v>0.9730877</v>
      </c>
      <c r="Y6548">
        <v>0.21072850000000001</v>
      </c>
      <c r="Z6548">
        <v>-3.9129680000000002E-3</v>
      </c>
      <c r="AA6548">
        <v>0.97753679999999998</v>
      </c>
      <c r="AB6548">
        <v>25</v>
      </c>
      <c r="AC6548">
        <v>15.934899999999899</v>
      </c>
      <c r="AD6548">
        <v>-1.1597850000000001</v>
      </c>
      <c r="AE6548">
        <v>-4.3165399999999998</v>
      </c>
      <c r="AF6548">
        <v>3.4929291053729501</v>
      </c>
      <c r="AG6548">
        <v>-1.1597850000000001</v>
      </c>
      <c r="AH6548">
        <v>16.0524946369245</v>
      </c>
      <c r="AI6548">
        <v>94.038241505188793</v>
      </c>
      <c r="AJ6548">
        <v>77.724128395628796</v>
      </c>
      <c r="AK6548">
        <v>16.469008441611599</v>
      </c>
      <c r="AL6548">
        <v>84.798875526098996</v>
      </c>
      <c r="AM6548">
        <v>77.717551087914003</v>
      </c>
      <c r="AN6548">
        <v>1.0000000531659301</v>
      </c>
    </row>
    <row r="6549" spans="1:40" x14ac:dyDescent="0.25">
      <c r="A6549" t="str">
        <f>"20190312172243128"</f>
        <v>20190312172243128</v>
      </c>
      <c r="B6549" t="str">
        <f>"1552382563117021"</f>
        <v>1552382563117021</v>
      </c>
      <c r="C6549" t="s">
        <v>40</v>
      </c>
      <c r="D6549">
        <v>3.2838479999999999</v>
      </c>
      <c r="E6549">
        <v>0.50029079999999904</v>
      </c>
      <c r="F6549" t="s">
        <v>43</v>
      </c>
      <c r="G6549">
        <v>-311.2724</v>
      </c>
      <c r="H6549">
        <v>-0.05</v>
      </c>
      <c r="I6549">
        <v>12.01529</v>
      </c>
      <c r="J6549">
        <v>-327.19970000000001</v>
      </c>
      <c r="K6549">
        <v>1.109745</v>
      </c>
      <c r="L6549">
        <v>16.36459</v>
      </c>
      <c r="M6549">
        <v>0.99862969999999895</v>
      </c>
      <c r="N6549">
        <v>0</v>
      </c>
      <c r="O6549">
        <v>-5.0608E-2</v>
      </c>
      <c r="P6549">
        <v>0.96164360000000004</v>
      </c>
      <c r="Q6549">
        <v>7.8207879999999994E-2</v>
      </c>
      <c r="R6549">
        <v>-0.26291789999999998</v>
      </c>
      <c r="S6549">
        <v>2.9198300000000001</v>
      </c>
      <c r="T6549">
        <v>-0.21121719999999999</v>
      </c>
      <c r="U6549">
        <v>-0.79312130000000003</v>
      </c>
      <c r="V6549">
        <v>0.21403259999999999</v>
      </c>
      <c r="W6549">
        <v>9.0896690000000002E-2</v>
      </c>
      <c r="X6549">
        <v>0.97258820000000001</v>
      </c>
      <c r="Y6549">
        <v>0.21256269999999999</v>
      </c>
      <c r="Z6549">
        <v>-3.9576519999999999E-3</v>
      </c>
      <c r="AA6549">
        <v>0.97713939999999999</v>
      </c>
      <c r="AB6549">
        <v>25</v>
      </c>
      <c r="AC6549">
        <v>15.927300000000001</v>
      </c>
      <c r="AD6549">
        <v>-1.159745</v>
      </c>
      <c r="AE6549">
        <v>-4.3493000000000004</v>
      </c>
      <c r="AF6549">
        <v>3.5202362789198798</v>
      </c>
      <c r="AG6549">
        <v>-1.159745</v>
      </c>
      <c r="AH6549">
        <v>16.047834569667899</v>
      </c>
      <c r="AI6549">
        <v>94.037790151802199</v>
      </c>
      <c r="AJ6549">
        <v>77.627619534181093</v>
      </c>
      <c r="AK6549">
        <v>16.470278270262401</v>
      </c>
      <c r="AL6549">
        <v>84.784804821915998</v>
      </c>
      <c r="AM6549">
        <v>77.589030475706593</v>
      </c>
      <c r="AN6549">
        <v>0.99999998444747695</v>
      </c>
    </row>
    <row r="6550" spans="1:40" x14ac:dyDescent="0.25">
      <c r="A6550" t="str">
        <f>"20190312172243138"</f>
        <v>20190312172243138</v>
      </c>
      <c r="B6550" t="str">
        <f>"1552382563126780"</f>
        <v>1552382563126780</v>
      </c>
      <c r="C6550" t="s">
        <v>40</v>
      </c>
      <c r="D6550">
        <v>3.259738</v>
      </c>
      <c r="E6550">
        <v>0.50019529999999901</v>
      </c>
      <c r="F6550" t="s">
        <v>43</v>
      </c>
      <c r="G6550">
        <v>-311.24009999999998</v>
      </c>
      <c r="H6550">
        <v>-0.05</v>
      </c>
      <c r="I6550">
        <v>11.984819999999999</v>
      </c>
      <c r="J6550">
        <v>-327.08030000000002</v>
      </c>
      <c r="K6550">
        <v>1.109694</v>
      </c>
      <c r="L6550">
        <v>16.358149999999998</v>
      </c>
      <c r="M6550">
        <v>0.99860890000000002</v>
      </c>
      <c r="N6550">
        <v>0</v>
      </c>
      <c r="O6550">
        <v>-5.1012780000000001E-2</v>
      </c>
      <c r="P6550">
        <v>0.96089340000000001</v>
      </c>
      <c r="Q6550">
        <v>7.8889589999999996E-2</v>
      </c>
      <c r="R6550">
        <v>-0.2654434</v>
      </c>
      <c r="S6550">
        <v>2.917999</v>
      </c>
      <c r="T6550">
        <v>-0.21204310000000001</v>
      </c>
      <c r="U6550">
        <v>-0.80078130000000003</v>
      </c>
      <c r="V6550">
        <v>0.21621099999999999</v>
      </c>
      <c r="W6550">
        <v>9.1541520000000001E-2</v>
      </c>
      <c r="X6550">
        <v>0.97204579999999996</v>
      </c>
      <c r="Y6550">
        <v>0.21470069999999999</v>
      </c>
      <c r="Z6550">
        <v>-4.0216619999999996E-3</v>
      </c>
      <c r="AA6550">
        <v>0.97667159999999997</v>
      </c>
      <c r="AB6550">
        <v>25</v>
      </c>
      <c r="AC6550">
        <v>15.840199999999999</v>
      </c>
      <c r="AD6550">
        <v>-1.159694</v>
      </c>
      <c r="AE6550">
        <v>-4.3733299999999904</v>
      </c>
      <c r="AF6550">
        <v>3.54187052195081</v>
      </c>
      <c r="AG6550">
        <v>-1.159694</v>
      </c>
      <c r="AH6550">
        <v>15.9631853258887</v>
      </c>
      <c r="AI6550">
        <v>94.056809561623197</v>
      </c>
      <c r="AJ6550">
        <v>77.490019194034204</v>
      </c>
      <c r="AK6550">
        <v>16.3924684753874</v>
      </c>
      <c r="AL6550">
        <v>84.747704406935796</v>
      </c>
      <c r="AM6550">
        <v>77.459912663278899</v>
      </c>
      <c r="AN6550">
        <v>1.00000004185127</v>
      </c>
    </row>
    <row r="6551" spans="1:40" x14ac:dyDescent="0.25">
      <c r="A6551" t="str">
        <f>"20190312172243150"</f>
        <v>20190312172243150</v>
      </c>
      <c r="B6551" t="str">
        <f>"1552382563147277"</f>
        <v>1552382563147277</v>
      </c>
      <c r="C6551" t="s">
        <v>40</v>
      </c>
      <c r="D6551">
        <v>3.263592</v>
      </c>
      <c r="E6551">
        <v>0.50018169999999995</v>
      </c>
      <c r="F6551" t="s">
        <v>43</v>
      </c>
      <c r="G6551">
        <v>-311.09210000000002</v>
      </c>
      <c r="H6551">
        <v>-0.05</v>
      </c>
      <c r="I6551">
        <v>11.92957</v>
      </c>
      <c r="J6551">
        <v>-326.95179999999999</v>
      </c>
      <c r="K6551">
        <v>1.109639</v>
      </c>
      <c r="L6551">
        <v>16.35107</v>
      </c>
      <c r="M6551">
        <v>0.9985832</v>
      </c>
      <c r="N6551">
        <v>0</v>
      </c>
      <c r="O6551">
        <v>-5.1518389999999997E-2</v>
      </c>
      <c r="P6551">
        <v>0.9600554</v>
      </c>
      <c r="Q6551">
        <v>7.9251509999999997E-2</v>
      </c>
      <c r="R6551">
        <v>-0.26835300000000001</v>
      </c>
      <c r="S6551">
        <v>2.9163510000000001</v>
      </c>
      <c r="T6551">
        <v>-0.21153559999999999</v>
      </c>
      <c r="U6551">
        <v>-0.80780030000000003</v>
      </c>
      <c r="V6551">
        <v>0.21868009999999999</v>
      </c>
      <c r="W6551">
        <v>9.18625E-2</v>
      </c>
      <c r="X6551">
        <v>0.97146299999999997</v>
      </c>
      <c r="Y6551">
        <v>0.21652979999999999</v>
      </c>
      <c r="Z6551">
        <v>-4.0422749999999997E-3</v>
      </c>
      <c r="AA6551">
        <v>0.97626760000000001</v>
      </c>
      <c r="AB6551">
        <v>25</v>
      </c>
      <c r="AC6551">
        <v>15.859699999999901</v>
      </c>
      <c r="AD6551">
        <v>-1.1596389999999901</v>
      </c>
      <c r="AE6551">
        <v>-4.4215</v>
      </c>
      <c r="AF6551">
        <v>3.5807255617190101</v>
      </c>
      <c r="AG6551">
        <v>-1.1596389999999901</v>
      </c>
      <c r="AH6551">
        <v>15.987135677233701</v>
      </c>
      <c r="AI6551">
        <v>94.048762473155094</v>
      </c>
      <c r="AJ6551">
        <v>77.375503713591996</v>
      </c>
      <c r="AK6551">
        <v>16.424215820578699</v>
      </c>
      <c r="AL6551">
        <v>84.729235742353495</v>
      </c>
      <c r="AM6551">
        <v>77.313951014864003</v>
      </c>
      <c r="AN6551">
        <v>1.00000003270562</v>
      </c>
    </row>
    <row r="6552" spans="1:40" x14ac:dyDescent="0.25">
      <c r="A6552" t="str">
        <f>"20190312172243162"</f>
        <v>20190312172243162</v>
      </c>
      <c r="B6552" t="str">
        <f>"1552382563157036"</f>
        <v>1552382563157036</v>
      </c>
      <c r="C6552" t="s">
        <v>40</v>
      </c>
      <c r="D6552">
        <v>3.2603249999999999</v>
      </c>
      <c r="E6552">
        <v>0.50009150000000002</v>
      </c>
      <c r="F6552" t="s">
        <v>43</v>
      </c>
      <c r="G6552">
        <v>-311.12810000000002</v>
      </c>
      <c r="H6552">
        <v>-0.05</v>
      </c>
      <c r="I6552">
        <v>11.91705</v>
      </c>
      <c r="J6552">
        <v>-326.8159</v>
      </c>
      <c r="K6552">
        <v>1.109583</v>
      </c>
      <c r="L6552">
        <v>16.343509999999998</v>
      </c>
      <c r="M6552">
        <v>0.99855419999999995</v>
      </c>
      <c r="N6552">
        <v>0</v>
      </c>
      <c r="O6552">
        <v>-5.2076169999999998E-2</v>
      </c>
      <c r="P6552">
        <v>0.95919770000000004</v>
      </c>
      <c r="Q6552">
        <v>7.9646830000000002E-2</v>
      </c>
      <c r="R6552">
        <v>-0.271287</v>
      </c>
      <c r="S6552">
        <v>2.9141539999999999</v>
      </c>
      <c r="T6552">
        <v>-0.21356420000000001</v>
      </c>
      <c r="U6552">
        <v>-0.81658940000000002</v>
      </c>
      <c r="V6552">
        <v>0.2211254</v>
      </c>
      <c r="W6552">
        <v>9.2213870000000003E-2</v>
      </c>
      <c r="X6552">
        <v>0.97087599999999996</v>
      </c>
      <c r="Y6552">
        <v>0.21889310000000001</v>
      </c>
      <c r="Z6552">
        <v>-4.127332E-3</v>
      </c>
      <c r="AA6552">
        <v>0.9757401</v>
      </c>
      <c r="AB6552">
        <v>25</v>
      </c>
      <c r="AC6552">
        <v>15.6877999999999</v>
      </c>
      <c r="AD6552">
        <v>-1.159583</v>
      </c>
      <c r="AE6552">
        <v>-4.4264599999999996</v>
      </c>
      <c r="AF6552">
        <v>3.5852756239398902</v>
      </c>
      <c r="AG6552">
        <v>-1.159583</v>
      </c>
      <c r="AH6552">
        <v>15.8169980620653</v>
      </c>
      <c r="AI6552">
        <v>94.089611685228206</v>
      </c>
      <c r="AJ6552">
        <v>77.228449428549496</v>
      </c>
      <c r="AK6552">
        <v>16.2596513409385</v>
      </c>
      <c r="AL6552">
        <v>84.709017862901902</v>
      </c>
      <c r="AM6552">
        <v>77.169263243965801</v>
      </c>
      <c r="AN6552">
        <v>1.00000002386076</v>
      </c>
    </row>
    <row r="6553" spans="1:40" x14ac:dyDescent="0.25">
      <c r="A6553" t="str">
        <f>"20190312172243172"</f>
        <v>20190312172243172</v>
      </c>
      <c r="B6553" t="str">
        <f>"1552382563166796"</f>
        <v>1552382563166796</v>
      </c>
      <c r="C6553" t="s">
        <v>40</v>
      </c>
      <c r="D6553">
        <v>3.3012920000000001</v>
      </c>
      <c r="E6553">
        <v>0.50009150000000002</v>
      </c>
      <c r="F6553" t="s">
        <v>43</v>
      </c>
      <c r="G6553">
        <v>-311.06420000000003</v>
      </c>
      <c r="H6553">
        <v>-0.05</v>
      </c>
      <c r="I6553">
        <v>11.88039</v>
      </c>
      <c r="J6553">
        <v>-326.68979999999999</v>
      </c>
      <c r="K6553">
        <v>1.1095280000000001</v>
      </c>
      <c r="L6553">
        <v>16.33633</v>
      </c>
      <c r="M6553">
        <v>0.99852370000000001</v>
      </c>
      <c r="N6553">
        <v>0</v>
      </c>
      <c r="O6553">
        <v>-5.26586E-2</v>
      </c>
      <c r="P6553">
        <v>0.95834459999999999</v>
      </c>
      <c r="Q6553">
        <v>7.967283E-2</v>
      </c>
      <c r="R6553">
        <v>-0.27427780000000002</v>
      </c>
      <c r="S6553">
        <v>2.912048</v>
      </c>
      <c r="T6553">
        <v>-0.21437390000000001</v>
      </c>
      <c r="U6553">
        <v>-0.82510380000000005</v>
      </c>
      <c r="V6553">
        <v>0.22360279999999999</v>
      </c>
      <c r="W6553">
        <v>9.2197730000000006E-2</v>
      </c>
      <c r="X6553">
        <v>0.97030989999999995</v>
      </c>
      <c r="Y6553">
        <v>0.22114220000000001</v>
      </c>
      <c r="Z6553">
        <v>-4.1835659999999997E-3</v>
      </c>
      <c r="AA6553">
        <v>0.97523260000000001</v>
      </c>
      <c r="AB6553">
        <v>25</v>
      </c>
      <c r="AC6553">
        <v>15.625599999999899</v>
      </c>
      <c r="AD6553">
        <v>-1.1595279999999999</v>
      </c>
      <c r="AE6553">
        <v>-4.45594</v>
      </c>
      <c r="AF6553">
        <v>3.6084850143434299</v>
      </c>
      <c r="AG6553">
        <v>-1.1595279999999999</v>
      </c>
      <c r="AH6553">
        <v>15.7583312700981</v>
      </c>
      <c r="AI6553">
        <v>94.102538930892095</v>
      </c>
      <c r="AJ6553">
        <v>77.102261614313406</v>
      </c>
      <c r="AK6553">
        <v>16.207734995972601</v>
      </c>
      <c r="AL6553">
        <v>84.709946275744002</v>
      </c>
      <c r="AM6553">
        <v>77.023037079568198</v>
      </c>
      <c r="AN6553">
        <v>0.99999996781150002</v>
      </c>
    </row>
    <row r="6554" spans="1:40" x14ac:dyDescent="0.25">
      <c r="A6554" t="str">
        <f>"20190312172243184"</f>
        <v>20190312172243184</v>
      </c>
      <c r="B6554" t="str">
        <f>"1552382563176557"</f>
        <v>1552382563176557</v>
      </c>
      <c r="C6554" t="s">
        <v>40</v>
      </c>
      <c r="D6554">
        <v>3.2573639999999999</v>
      </c>
      <c r="E6554">
        <v>0.50017299999999998</v>
      </c>
      <c r="F6554" t="s">
        <v>43</v>
      </c>
      <c r="G6554">
        <v>-310.94830000000002</v>
      </c>
      <c r="H6554">
        <v>-0.05</v>
      </c>
      <c r="I6554">
        <v>11.82164</v>
      </c>
      <c r="J6554">
        <v>-326.56569999999999</v>
      </c>
      <c r="K6554">
        <v>1.1094740000000001</v>
      </c>
      <c r="L6554">
        <v>16.329219999999999</v>
      </c>
      <c r="M6554">
        <v>0.99849189999999999</v>
      </c>
      <c r="N6554">
        <v>0</v>
      </c>
      <c r="O6554">
        <v>-5.3257699999999998E-2</v>
      </c>
      <c r="P6554">
        <v>0.95744899999999999</v>
      </c>
      <c r="Q6554">
        <v>7.9470600000000002E-2</v>
      </c>
      <c r="R6554">
        <v>-0.277447099999999</v>
      </c>
      <c r="S6554">
        <v>2.9093629999999999</v>
      </c>
      <c r="T6554">
        <v>-0.21430550000000001</v>
      </c>
      <c r="U6554">
        <v>-0.83441160000000003</v>
      </c>
      <c r="V6554">
        <v>0.22624459999999999</v>
      </c>
      <c r="W6554">
        <v>9.1951790000000005E-2</v>
      </c>
      <c r="X6554">
        <v>0.96972069999999999</v>
      </c>
      <c r="Y6554">
        <v>0.22367300000000001</v>
      </c>
      <c r="Z6554">
        <v>-4.2324770000000001E-3</v>
      </c>
      <c r="AA6554">
        <v>0.97465500000000005</v>
      </c>
      <c r="AB6554">
        <v>25</v>
      </c>
      <c r="AC6554">
        <v>15.6173999999999</v>
      </c>
      <c r="AD6554">
        <v>-1.1594739999999999</v>
      </c>
      <c r="AE6554">
        <v>-4.5075799999999999</v>
      </c>
      <c r="AF6554">
        <v>3.6507855743419699</v>
      </c>
      <c r="AG6554">
        <v>-1.1594739999999999</v>
      </c>
      <c r="AH6554">
        <v>15.7551530489486</v>
      </c>
      <c r="AI6554">
        <v>94.100731060106995</v>
      </c>
      <c r="AJ6554">
        <v>76.9536680760813</v>
      </c>
      <c r="AK6554">
        <v>16.214113076646999</v>
      </c>
      <c r="AL6554">
        <v>84.724097849368803</v>
      </c>
      <c r="AM6554">
        <v>76.867298050460604</v>
      </c>
      <c r="AN6554">
        <v>0.99999999336092704</v>
      </c>
    </row>
    <row r="6555" spans="1:40" x14ac:dyDescent="0.25">
      <c r="A6555" t="str">
        <f>"20190312172243195"</f>
        <v>20190312172243195</v>
      </c>
      <c r="B6555" t="str">
        <f>"1552382563187295"</f>
        <v>1552382563187295</v>
      </c>
      <c r="C6555" t="s">
        <v>40</v>
      </c>
      <c r="D6555">
        <v>3.2789670000000002</v>
      </c>
      <c r="E6555">
        <v>0.50017299999999998</v>
      </c>
      <c r="F6555" t="s">
        <v>43</v>
      </c>
      <c r="G6555">
        <v>-310.96589999999998</v>
      </c>
      <c r="H6555">
        <v>-0.05</v>
      </c>
      <c r="I6555">
        <v>11.793979999999999</v>
      </c>
      <c r="J6555">
        <v>-326.43639999999999</v>
      </c>
      <c r="K6555">
        <v>1.1094090000000001</v>
      </c>
      <c r="L6555">
        <v>16.321619999999999</v>
      </c>
      <c r="M6555">
        <v>0.99845589999999995</v>
      </c>
      <c r="N6555">
        <v>0</v>
      </c>
      <c r="O6555">
        <v>-5.3927540000000003E-2</v>
      </c>
      <c r="P6555">
        <v>0.95648809999999995</v>
      </c>
      <c r="Q6555">
        <v>7.9929330000000007E-2</v>
      </c>
      <c r="R6555">
        <v>-0.28061039999999998</v>
      </c>
      <c r="S6555">
        <v>2.9064329999999998</v>
      </c>
      <c r="T6555">
        <v>-0.2160241</v>
      </c>
      <c r="U6555">
        <v>-0.84497069999999996</v>
      </c>
      <c r="V6555">
        <v>0.22881789999999999</v>
      </c>
      <c r="W6555">
        <v>9.2365329999999995E-2</v>
      </c>
      <c r="X6555">
        <v>0.96907739999999998</v>
      </c>
      <c r="Y6555">
        <v>0.22653409999999999</v>
      </c>
      <c r="Z6555">
        <v>-4.3240020000000004E-3</v>
      </c>
      <c r="AA6555">
        <v>0.97399369999999996</v>
      </c>
      <c r="AB6555">
        <v>25</v>
      </c>
      <c r="AC6555">
        <v>15.470499999999999</v>
      </c>
      <c r="AD6555">
        <v>-1.1594089999999999</v>
      </c>
      <c r="AE6555">
        <v>-4.5276399999999999</v>
      </c>
      <c r="AF6555">
        <v>3.66771584337687</v>
      </c>
      <c r="AG6555">
        <v>-1.1594089999999999</v>
      </c>
      <c r="AH6555">
        <v>15.611406595432101</v>
      </c>
      <c r="AI6555">
        <v>94.135192401927</v>
      </c>
      <c r="AJ6555">
        <v>76.778804149290806</v>
      </c>
      <c r="AK6555">
        <v>16.0783203297154</v>
      </c>
      <c r="AL6555">
        <v>84.700302503501007</v>
      </c>
      <c r="AM6555">
        <v>76.714687833154002</v>
      </c>
      <c r="AN6555">
        <v>0.99999999636858905</v>
      </c>
    </row>
    <row r="6556" spans="1:40" x14ac:dyDescent="0.25">
      <c r="A6556" t="str">
        <f>"20190312172243206"</f>
        <v>20190312172243206</v>
      </c>
      <c r="B6556" t="str">
        <f>"1552382563197054"</f>
        <v>1552382563197054</v>
      </c>
      <c r="C6556" t="s">
        <v>40</v>
      </c>
      <c r="D6556">
        <v>3.249387</v>
      </c>
      <c r="E6556">
        <v>0.50241000000000002</v>
      </c>
      <c r="F6556" t="s">
        <v>43</v>
      </c>
      <c r="G6556">
        <v>-310.7527</v>
      </c>
      <c r="H6556">
        <v>-0.05</v>
      </c>
      <c r="I6556">
        <v>11.70323</v>
      </c>
      <c r="J6556">
        <v>-326.31360000000001</v>
      </c>
      <c r="K6556">
        <v>1.1093580000000001</v>
      </c>
      <c r="L6556">
        <v>16.314299999999999</v>
      </c>
      <c r="M6556">
        <v>0.99841880000000005</v>
      </c>
      <c r="N6556">
        <v>0</v>
      </c>
      <c r="O6556">
        <v>-5.4607370000000002E-2</v>
      </c>
      <c r="P6556">
        <v>0.95552559999999997</v>
      </c>
      <c r="Q6556">
        <v>8.0090199999999903E-2</v>
      </c>
      <c r="R6556">
        <v>-0.28382469999999999</v>
      </c>
      <c r="S6556">
        <v>2.9035639999999998</v>
      </c>
      <c r="T6556">
        <v>-0.21464320000000001</v>
      </c>
      <c r="U6556">
        <v>-0.85501099999999997</v>
      </c>
      <c r="V6556">
        <v>0.23143230000000001</v>
      </c>
      <c r="W6556">
        <v>9.2480720000000002E-2</v>
      </c>
      <c r="X6556">
        <v>0.96844540000000001</v>
      </c>
      <c r="Y6556">
        <v>0.2292304</v>
      </c>
      <c r="Z6556">
        <v>-4.3471100000000004E-3</v>
      </c>
      <c r="AA6556">
        <v>0.97336250000000002</v>
      </c>
      <c r="AB6556">
        <v>25</v>
      </c>
      <c r="AC6556">
        <v>15.5609</v>
      </c>
      <c r="AD6556">
        <v>-1.1593579999999899</v>
      </c>
      <c r="AE6556">
        <v>-4.6110699999999998</v>
      </c>
      <c r="AF6556">
        <v>3.7353124163818099</v>
      </c>
      <c r="AG6556">
        <v>-1.1593579999999899</v>
      </c>
      <c r="AH6556">
        <v>15.7093358189739</v>
      </c>
      <c r="AI6556">
        <v>94.106721573815605</v>
      </c>
      <c r="AJ6556">
        <v>76.6247808201352</v>
      </c>
      <c r="AK6556">
        <v>16.188882039641801</v>
      </c>
      <c r="AL6556">
        <v>84.693662971821695</v>
      </c>
      <c r="AM6556">
        <v>76.559917831414495</v>
      </c>
      <c r="AN6556">
        <v>1.00000004291808</v>
      </c>
    </row>
    <row r="6557" spans="1:40" x14ac:dyDescent="0.25">
      <c r="A6557" t="str">
        <f>"20190312172243217"</f>
        <v>20190312172243217</v>
      </c>
      <c r="B6557" t="str">
        <f>"1552382563206813"</f>
        <v>1552382563206813</v>
      </c>
      <c r="C6557" t="s">
        <v>40</v>
      </c>
      <c r="D6557">
        <v>3.2565629999999999</v>
      </c>
      <c r="E6557">
        <v>0.50359109999999996</v>
      </c>
      <c r="F6557" t="s">
        <v>43</v>
      </c>
      <c r="G6557">
        <v>-310.52249999999998</v>
      </c>
      <c r="H6557">
        <v>-0.05</v>
      </c>
      <c r="I6557">
        <v>11.5038</v>
      </c>
      <c r="J6557">
        <v>-326.19159999999999</v>
      </c>
      <c r="K6557">
        <v>1.1093029999999999</v>
      </c>
      <c r="L6557">
        <v>16.306950000000001</v>
      </c>
      <c r="M6557">
        <v>0.99837989999999999</v>
      </c>
      <c r="N6557">
        <v>0</v>
      </c>
      <c r="O6557">
        <v>-5.531378E-2</v>
      </c>
      <c r="P6557">
        <v>0.95452000000000004</v>
      </c>
      <c r="Q6557">
        <v>8.0496970000000001E-2</v>
      </c>
      <c r="R6557">
        <v>-0.28707510000000003</v>
      </c>
      <c r="S6557">
        <v>2.8954469999999999</v>
      </c>
      <c r="T6557">
        <v>-0.21257899999999999</v>
      </c>
      <c r="U6557">
        <v>-0.88204959999999899</v>
      </c>
      <c r="V6557">
        <v>0.23406070000000001</v>
      </c>
      <c r="W6557">
        <v>9.2841069999999998E-2</v>
      </c>
      <c r="X6557">
        <v>0.96777899999999994</v>
      </c>
      <c r="Y6557">
        <v>0.23760039999999999</v>
      </c>
      <c r="Z6557">
        <v>-4.5612379999999996E-3</v>
      </c>
      <c r="AA6557">
        <v>0.97135229999999995</v>
      </c>
      <c r="AB6557">
        <v>25</v>
      </c>
      <c r="AC6557">
        <v>15.6691</v>
      </c>
      <c r="AD6557">
        <v>-1.159303</v>
      </c>
      <c r="AE6557">
        <v>-4.8031499999999996</v>
      </c>
      <c r="AF6557">
        <v>3.9094387195193701</v>
      </c>
      <c r="AG6557">
        <v>-1.159303</v>
      </c>
      <c r="AH6557">
        <v>15.8315920919569</v>
      </c>
      <c r="AI6557">
        <v>94.066413859884804</v>
      </c>
      <c r="AJ6557">
        <v>76.128936723704399</v>
      </c>
      <c r="AK6557">
        <v>16.348302747184501</v>
      </c>
      <c r="AL6557">
        <v>84.672927181002606</v>
      </c>
      <c r="AM6557">
        <v>76.403897298531604</v>
      </c>
      <c r="AN6557">
        <v>1.00000003420211</v>
      </c>
    </row>
    <row r="6558" spans="1:40" x14ac:dyDescent="0.25">
      <c r="A6558" t="str">
        <f>"20190312172243229"</f>
        <v>20190312172243229</v>
      </c>
      <c r="B6558" t="str">
        <f>"1552382563216573"</f>
        <v>1552382563216573</v>
      </c>
      <c r="C6558" t="s">
        <v>40</v>
      </c>
      <c r="D6558">
        <v>3.3736820000000001</v>
      </c>
      <c r="E6558">
        <v>0.5048262</v>
      </c>
      <c r="F6558" t="s">
        <v>43</v>
      </c>
      <c r="G6558">
        <v>-310.24360000000001</v>
      </c>
      <c r="H6558">
        <v>-0.05</v>
      </c>
      <c r="I6558">
        <v>11.333819999999999</v>
      </c>
      <c r="J6558">
        <v>-326.0609</v>
      </c>
      <c r="K6558">
        <v>1.109243</v>
      </c>
      <c r="L6558">
        <v>16.298829999999999</v>
      </c>
      <c r="M6558">
        <v>0.9983341</v>
      </c>
      <c r="N6558">
        <v>0</v>
      </c>
      <c r="O6558">
        <v>-5.6136940000000003E-2</v>
      </c>
      <c r="P6558">
        <v>0.95341189999999998</v>
      </c>
      <c r="Q6558">
        <v>8.1087309999999996E-2</v>
      </c>
      <c r="R6558">
        <v>-0.290570099999999</v>
      </c>
      <c r="S6558">
        <v>2.8896480000000002</v>
      </c>
      <c r="T6558">
        <v>-0.2100564</v>
      </c>
      <c r="U6558">
        <v>-0.90109249999999996</v>
      </c>
      <c r="V6558">
        <v>0.2368296</v>
      </c>
      <c r="W6558">
        <v>9.3379000000000004E-2</v>
      </c>
      <c r="X6558">
        <v>0.9670533</v>
      </c>
      <c r="Y6558">
        <v>0.24318229999999999</v>
      </c>
      <c r="Z6558">
        <v>-4.6516500000000002E-3</v>
      </c>
      <c r="AA6558">
        <v>0.96996950000000004</v>
      </c>
      <c r="AB6558">
        <v>25</v>
      </c>
      <c r="AC6558">
        <v>15.8172999999999</v>
      </c>
      <c r="AD6558">
        <v>-1.159243</v>
      </c>
      <c r="AE6558">
        <v>-4.9650100000000004</v>
      </c>
      <c r="AF6558">
        <v>4.0493657619680601</v>
      </c>
      <c r="AG6558">
        <v>-1.159243</v>
      </c>
      <c r="AH6558">
        <v>15.992899569058901</v>
      </c>
      <c r="AI6558">
        <v>94.019421718348994</v>
      </c>
      <c r="AJ6558">
        <v>75.791448056152305</v>
      </c>
      <c r="AK6558">
        <v>16.538260006217499</v>
      </c>
      <c r="AL6558">
        <v>84.641971354642493</v>
      </c>
      <c r="AM6558">
        <v>76.239202568392002</v>
      </c>
      <c r="AN6558">
        <v>0.99999999105902504</v>
      </c>
    </row>
    <row r="6559" spans="1:40" x14ac:dyDescent="0.25">
      <c r="A6559" t="str">
        <f>"20190312172243240"</f>
        <v>20190312172243240</v>
      </c>
      <c r="B6559" t="str">
        <f>"1552382563237068"</f>
        <v>1552382563237068</v>
      </c>
      <c r="C6559" t="s">
        <v>40</v>
      </c>
      <c r="D6559">
        <v>3.2780740000000002</v>
      </c>
      <c r="E6559">
        <v>0.50665150000000003</v>
      </c>
      <c r="F6559" t="s">
        <v>43</v>
      </c>
      <c r="G6559">
        <v>-310.23140000000001</v>
      </c>
      <c r="H6559">
        <v>-0.05</v>
      </c>
      <c r="I6559">
        <v>11.24248</v>
      </c>
      <c r="J6559">
        <v>-325.92910000000001</v>
      </c>
      <c r="K6559">
        <v>1.1091799999999901</v>
      </c>
      <c r="L6559">
        <v>16.290589999999899</v>
      </c>
      <c r="M6559">
        <v>0.99828570000000005</v>
      </c>
      <c r="N6559">
        <v>0</v>
      </c>
      <c r="O6559">
        <v>-5.6991739999999999E-2</v>
      </c>
      <c r="P6559">
        <v>0.95232360000000005</v>
      </c>
      <c r="Q6559">
        <v>8.1394960000000002E-2</v>
      </c>
      <c r="R6559">
        <v>-0.29403210000000002</v>
      </c>
      <c r="S6559">
        <v>2.8838499999999998</v>
      </c>
      <c r="T6559">
        <v>-0.2111923</v>
      </c>
      <c r="U6559">
        <v>-0.92117309999999997</v>
      </c>
      <c r="V6559">
        <v>0.23953440000000001</v>
      </c>
      <c r="W6559">
        <v>9.3632969999999996E-2</v>
      </c>
      <c r="X6559">
        <v>0.96636230000000001</v>
      </c>
      <c r="Y6559">
        <v>0.2490252</v>
      </c>
      <c r="Z6559">
        <v>-4.8289350000000003E-3</v>
      </c>
      <c r="AA6559">
        <v>0.96848500000000004</v>
      </c>
      <c r="AB6559">
        <v>25</v>
      </c>
      <c r="AC6559">
        <v>15.6976999999999</v>
      </c>
      <c r="AD6559">
        <v>-1.1591800000000001</v>
      </c>
      <c r="AE6559">
        <v>-5.0481099999999897</v>
      </c>
      <c r="AF6559">
        <v>4.1248007056360603</v>
      </c>
      <c r="AG6559">
        <v>-1.1591800000000001</v>
      </c>
      <c r="AH6559">
        <v>15.8814235229153</v>
      </c>
      <c r="AI6559">
        <v>94.040991613053507</v>
      </c>
      <c r="AJ6559">
        <v>75.440550267651204</v>
      </c>
      <c r="AK6559">
        <v>16.449233789080399</v>
      </c>
      <c r="AL6559">
        <v>84.627355842521496</v>
      </c>
      <c r="AM6559">
        <v>76.078553572233403</v>
      </c>
      <c r="AN6559">
        <v>0.99999997835783505</v>
      </c>
    </row>
    <row r="6560" spans="1:40" x14ac:dyDescent="0.25">
      <c r="A6560" t="str">
        <f>"20190312172243251"</f>
        <v>20190312172243251</v>
      </c>
      <c r="B6560" t="str">
        <f>"1552382563246829"</f>
        <v>1552382563246829</v>
      </c>
      <c r="C6560" t="s">
        <v>40</v>
      </c>
      <c r="D6560">
        <v>3.2883460000000002</v>
      </c>
      <c r="E6560">
        <v>0.50738459999999996</v>
      </c>
      <c r="F6560" t="s">
        <v>43</v>
      </c>
      <c r="G6560">
        <v>-309.86880000000002</v>
      </c>
      <c r="H6560">
        <v>-0.05</v>
      </c>
      <c r="I6560">
        <v>11.011670000000001</v>
      </c>
      <c r="J6560">
        <v>-325.798</v>
      </c>
      <c r="K6560">
        <v>1.10911</v>
      </c>
      <c r="L6560">
        <v>16.2821</v>
      </c>
      <c r="M6560">
        <v>0.99823110000000004</v>
      </c>
      <c r="N6560">
        <v>0</v>
      </c>
      <c r="O6560">
        <v>-5.7937269999999999E-2</v>
      </c>
      <c r="P6560">
        <v>0.95112110000000005</v>
      </c>
      <c r="Q6560">
        <v>8.1977670000000002E-2</v>
      </c>
      <c r="R6560">
        <v>-0.29773889999999997</v>
      </c>
      <c r="S6560">
        <v>2.8760680000000001</v>
      </c>
      <c r="T6560">
        <v>-0.20758470000000001</v>
      </c>
      <c r="U6560">
        <v>-0.94534300000000004</v>
      </c>
      <c r="V6560">
        <v>0.24240610000000001</v>
      </c>
      <c r="W6560">
        <v>9.4157080000000004E-2</v>
      </c>
      <c r="X6560">
        <v>0.96559499999999998</v>
      </c>
      <c r="Y6560">
        <v>0.25622410000000001</v>
      </c>
      <c r="Z6560">
        <v>-4.9398999999999997E-3</v>
      </c>
      <c r="AA6560">
        <v>0.96660480000000004</v>
      </c>
      <c r="AB6560">
        <v>25</v>
      </c>
      <c r="AC6560">
        <v>15.9291999999999</v>
      </c>
      <c r="AD6560">
        <v>-1.1591100000000001</v>
      </c>
      <c r="AE6560">
        <v>-5.2704299999999904</v>
      </c>
      <c r="AF6560">
        <v>4.3179912406383796</v>
      </c>
      <c r="AG6560">
        <v>-1.1591100000000001</v>
      </c>
      <c r="AH6560">
        <v>16.130835038490499</v>
      </c>
      <c r="AI6560">
        <v>93.970697297467197</v>
      </c>
      <c r="AJ6560">
        <v>75.014095335459601</v>
      </c>
      <c r="AK6560">
        <v>16.738949291557201</v>
      </c>
      <c r="AL6560">
        <v>84.597193350601998</v>
      </c>
      <c r="AM6560">
        <v>75.907513031391503</v>
      </c>
      <c r="AN6560">
        <v>0.99999998852816796</v>
      </c>
    </row>
    <row r="6561" spans="1:40" x14ac:dyDescent="0.25">
      <c r="A6561" t="str">
        <f>"20190312172243264"</f>
        <v>20190312172243264</v>
      </c>
      <c r="B6561" t="str">
        <f>"1552382563256589"</f>
        <v>1552382563256589</v>
      </c>
      <c r="C6561" t="s">
        <v>40</v>
      </c>
      <c r="D6561">
        <v>3.2607650000000001</v>
      </c>
      <c r="E6561">
        <v>0.50803509999999996</v>
      </c>
      <c r="F6561" t="s">
        <v>43</v>
      </c>
      <c r="G6561">
        <v>-309.5496</v>
      </c>
      <c r="H6561">
        <v>-0.05</v>
      </c>
      <c r="I6561">
        <v>10.835940000000001</v>
      </c>
      <c r="J6561">
        <v>-325.66019999999997</v>
      </c>
      <c r="K6561">
        <v>1.109038</v>
      </c>
      <c r="L6561">
        <v>16.273070000000001</v>
      </c>
      <c r="M6561">
        <v>0.99817120000000004</v>
      </c>
      <c r="N6561">
        <v>0</v>
      </c>
      <c r="O6561">
        <v>-5.896241E-2</v>
      </c>
      <c r="P6561">
        <v>0.95002969999999998</v>
      </c>
      <c r="Q6561">
        <v>8.2383159999999997E-2</v>
      </c>
      <c r="R6561">
        <v>-0.30109330000000001</v>
      </c>
      <c r="S6561">
        <v>2.8706360000000002</v>
      </c>
      <c r="T6561">
        <v>-0.2047824</v>
      </c>
      <c r="U6561">
        <v>-0.96218870000000001</v>
      </c>
      <c r="V6561">
        <v>0.2448446</v>
      </c>
      <c r="W6561">
        <v>9.4503149999999994E-2</v>
      </c>
      <c r="X6561">
        <v>0.96494570000000002</v>
      </c>
      <c r="Y6561">
        <v>0.26088299999999998</v>
      </c>
      <c r="Z6561">
        <v>-4.968788E-3</v>
      </c>
      <c r="AA6561">
        <v>0.96535760000000004</v>
      </c>
      <c r="AB6561">
        <v>25</v>
      </c>
      <c r="AC6561">
        <v>16.110599999999899</v>
      </c>
      <c r="AD6561">
        <v>-1.159038</v>
      </c>
      <c r="AE6561">
        <v>-5.4371299999999998</v>
      </c>
      <c r="AF6561">
        <v>4.4569553393480801</v>
      </c>
      <c r="AG6561">
        <v>-1.159038</v>
      </c>
      <c r="AH6561">
        <v>16.327315655164401</v>
      </c>
      <c r="AI6561">
        <v>93.917613818689006</v>
      </c>
      <c r="AJ6561">
        <v>74.731650310547707</v>
      </c>
      <c r="AK6561">
        <v>16.964346627140198</v>
      </c>
      <c r="AL6561">
        <v>84.577276053812795</v>
      </c>
      <c r="AM6561">
        <v>75.762293814890697</v>
      </c>
      <c r="AN6561">
        <v>0.99999996372878497</v>
      </c>
    </row>
    <row r="6562" spans="1:40" x14ac:dyDescent="0.25">
      <c r="A6562" t="str">
        <f>"20190312172243274"</f>
        <v>20190312172243274</v>
      </c>
      <c r="B6562" t="str">
        <f>"1552382563267324"</f>
        <v>1552382563267324</v>
      </c>
      <c r="C6562" t="s">
        <v>40</v>
      </c>
      <c r="D6562">
        <v>3.2724609999999998</v>
      </c>
      <c r="E6562">
        <v>0.50861809999999996</v>
      </c>
      <c r="F6562" t="s">
        <v>43</v>
      </c>
      <c r="G6562">
        <v>-309.25880000000001</v>
      </c>
      <c r="H6562">
        <v>-0.05</v>
      </c>
      <c r="I6562">
        <v>10.680099999999999</v>
      </c>
      <c r="J6562">
        <v>-325.53620000000001</v>
      </c>
      <c r="K6562">
        <v>1.1089739999999999</v>
      </c>
      <c r="L6562">
        <v>16.26474</v>
      </c>
      <c r="M6562">
        <v>0.99811269999999996</v>
      </c>
      <c r="N6562">
        <v>0</v>
      </c>
      <c r="O6562">
        <v>-5.9942259999999997E-2</v>
      </c>
      <c r="P6562">
        <v>0.94892019999999999</v>
      </c>
      <c r="Q6562">
        <v>8.3026749999999996E-2</v>
      </c>
      <c r="R6562">
        <v>-0.30439690000000003</v>
      </c>
      <c r="S6562">
        <v>2.8656619999999999</v>
      </c>
      <c r="T6562">
        <v>-0.20250750000000001</v>
      </c>
      <c r="U6562">
        <v>-0.97720340000000006</v>
      </c>
      <c r="V6562">
        <v>0.2472782</v>
      </c>
      <c r="W6562">
        <v>9.5090339999999995E-2</v>
      </c>
      <c r="X6562">
        <v>0.96426730000000005</v>
      </c>
      <c r="Y6562">
        <v>0.26497910000000002</v>
      </c>
      <c r="Z6562">
        <v>-4.9916730000000003E-3</v>
      </c>
      <c r="AA6562">
        <v>0.96424129999999997</v>
      </c>
      <c r="AB6562">
        <v>25</v>
      </c>
      <c r="AC6562">
        <v>16.2774</v>
      </c>
      <c r="AD6562">
        <v>-1.1589739999999999</v>
      </c>
      <c r="AE6562">
        <v>-5.5846400000000003</v>
      </c>
      <c r="AF6562">
        <v>4.5780404266623602</v>
      </c>
      <c r="AG6562">
        <v>-1.1589739999999999</v>
      </c>
      <c r="AH6562">
        <v>16.508035214227299</v>
      </c>
      <c r="AI6562">
        <v>93.870352063720105</v>
      </c>
      <c r="AJ6562">
        <v>74.500138303079098</v>
      </c>
      <c r="AK6562">
        <v>17.1702330070096</v>
      </c>
      <c r="AL6562">
        <v>84.543480840164506</v>
      </c>
      <c r="AM6562">
        <v>75.616923098333302</v>
      </c>
      <c r="AN6562">
        <v>1.0000000534029201</v>
      </c>
    </row>
    <row r="6563" spans="1:40" x14ac:dyDescent="0.25">
      <c r="A6563" t="str">
        <f>"20190312172243284"</f>
        <v>20190312172243284</v>
      </c>
      <c r="B6563" t="str">
        <f>"1552382563277084"</f>
        <v>1552382563277084</v>
      </c>
      <c r="C6563" t="s">
        <v>40</v>
      </c>
      <c r="D6563">
        <v>3.2379859999999998</v>
      </c>
      <c r="E6563">
        <v>0.50911030000000002</v>
      </c>
      <c r="F6563" t="s">
        <v>43</v>
      </c>
      <c r="G6563">
        <v>-308.95299999999997</v>
      </c>
      <c r="H6563">
        <v>-0.05</v>
      </c>
      <c r="I6563">
        <v>10.5159</v>
      </c>
      <c r="J6563">
        <v>-325.42340000000002</v>
      </c>
      <c r="K6563">
        <v>1.10891299999999</v>
      </c>
      <c r="L6563">
        <v>16.257020000000001</v>
      </c>
      <c r="M6563">
        <v>0.99805630000000001</v>
      </c>
      <c r="N6563">
        <v>0</v>
      </c>
      <c r="O6563">
        <v>-6.087468E-2</v>
      </c>
      <c r="P6563">
        <v>0.94773300000000005</v>
      </c>
      <c r="Q6563">
        <v>8.3707580000000004E-2</v>
      </c>
      <c r="R6563">
        <v>-0.30788910000000003</v>
      </c>
      <c r="S6563">
        <v>2.86084</v>
      </c>
      <c r="T6563">
        <v>-0.1999397</v>
      </c>
      <c r="U6563">
        <v>-0.99176030000000004</v>
      </c>
      <c r="V6563">
        <v>0.24995120000000001</v>
      </c>
      <c r="W6563">
        <v>9.5715469999999997E-2</v>
      </c>
      <c r="X6563">
        <v>0.96351589999999998</v>
      </c>
      <c r="Y6563">
        <v>0.26896379999999998</v>
      </c>
      <c r="Z6563">
        <v>-5.0048599999999999E-3</v>
      </c>
      <c r="AA6563">
        <v>0.96313729999999997</v>
      </c>
      <c r="AB6563">
        <v>25</v>
      </c>
      <c r="AC6563">
        <v>16.470400000000001</v>
      </c>
      <c r="AD6563">
        <v>-1.1589130000000001</v>
      </c>
      <c r="AE6563">
        <v>-5.7411199999999996</v>
      </c>
      <c r="AF6563">
        <v>4.7069717134021696</v>
      </c>
      <c r="AG6563">
        <v>-1.1589130000000001</v>
      </c>
      <c r="AH6563">
        <v>16.715575881278099</v>
      </c>
      <c r="AI6563">
        <v>93.818024760861206</v>
      </c>
      <c r="AJ6563">
        <v>74.273207339393295</v>
      </c>
      <c r="AK6563">
        <v>17.404285078540301</v>
      </c>
      <c r="AL6563">
        <v>84.507498959324593</v>
      </c>
      <c r="AM6563">
        <v>75.457143683726599</v>
      </c>
      <c r="AN6563">
        <v>0.99999997156578502</v>
      </c>
    </row>
    <row r="6564" spans="1:40" x14ac:dyDescent="0.25">
      <c r="A6564" t="str">
        <f>"20190312172243296"</f>
        <v>20190312172243296</v>
      </c>
      <c r="B6564" t="str">
        <f>"1552382563286845"</f>
        <v>1552382563286845</v>
      </c>
      <c r="C6564" t="s">
        <v>40</v>
      </c>
      <c r="D6564">
        <v>3.2826409999999999</v>
      </c>
      <c r="E6564">
        <v>0.50956880000000004</v>
      </c>
      <c r="F6564" t="s">
        <v>43</v>
      </c>
      <c r="G6564">
        <v>-308.60169999999999</v>
      </c>
      <c r="H6564">
        <v>-0.05</v>
      </c>
      <c r="I6564">
        <v>10.33128</v>
      </c>
      <c r="J6564">
        <v>-325.29500000000002</v>
      </c>
      <c r="K6564">
        <v>1.108838</v>
      </c>
      <c r="L6564">
        <v>16.248079999999899</v>
      </c>
      <c r="M6564">
        <v>0.99798810000000004</v>
      </c>
      <c r="N6564">
        <v>0</v>
      </c>
      <c r="O6564">
        <v>-6.198099E-2</v>
      </c>
      <c r="P6564">
        <v>0.94652800000000004</v>
      </c>
      <c r="Q6564">
        <v>8.4286280000000005E-2</v>
      </c>
      <c r="R6564">
        <v>-0.31141750000000001</v>
      </c>
      <c r="S6564">
        <v>2.855988</v>
      </c>
      <c r="T6564">
        <v>-0.1967603</v>
      </c>
      <c r="U6564">
        <v>-1.006073</v>
      </c>
      <c r="V6564">
        <v>0.25249670000000002</v>
      </c>
      <c r="W6564">
        <v>9.6233289999999999E-2</v>
      </c>
      <c r="X6564">
        <v>0.9628004</v>
      </c>
      <c r="Y6564">
        <v>0.27270929999999999</v>
      </c>
      <c r="Z6564">
        <v>-4.9812320000000004E-3</v>
      </c>
      <c r="AA6564">
        <v>0.96208360000000004</v>
      </c>
      <c r="AB6564">
        <v>25</v>
      </c>
      <c r="AC6564">
        <v>16.693300000000001</v>
      </c>
      <c r="AD6564">
        <v>-1.15883799999999</v>
      </c>
      <c r="AE6564">
        <v>-5.9167999999999896</v>
      </c>
      <c r="AF6564">
        <v>4.8498991001082103</v>
      </c>
      <c r="AG6564">
        <v>-1.15883799999999</v>
      </c>
      <c r="AH6564">
        <v>16.955370967685099</v>
      </c>
      <c r="AI6564">
        <v>93.759559559731301</v>
      </c>
      <c r="AJ6564">
        <v>74.037399502134093</v>
      </c>
      <c r="AK6564">
        <v>17.673398978218401</v>
      </c>
      <c r="AL6564">
        <v>84.477692732877699</v>
      </c>
      <c r="AM6564">
        <v>75.304969693883606</v>
      </c>
      <c r="AN6564">
        <v>1.00000001992763</v>
      </c>
    </row>
    <row r="6565" spans="1:40" x14ac:dyDescent="0.25">
      <c r="A6565" t="str">
        <f>"20190312172243307"</f>
        <v>20190312172243307</v>
      </c>
      <c r="B6565" t="str">
        <f>"1552382563296605"</f>
        <v>1552382563296605</v>
      </c>
      <c r="C6565" t="s">
        <v>40</v>
      </c>
      <c r="D6565">
        <v>3.267712</v>
      </c>
      <c r="E6565">
        <v>0.50999659999999902</v>
      </c>
      <c r="F6565" t="s">
        <v>43</v>
      </c>
      <c r="G6565">
        <v>-308.2824</v>
      </c>
      <c r="H6565">
        <v>-0.05</v>
      </c>
      <c r="I6565">
        <v>10.16156</v>
      </c>
      <c r="J6565">
        <v>-325.17309999999998</v>
      </c>
      <c r="K6565">
        <v>1.108771</v>
      </c>
      <c r="L6565">
        <v>16.239319999999999</v>
      </c>
      <c r="M6565">
        <v>0.99791819999999998</v>
      </c>
      <c r="N6565">
        <v>0</v>
      </c>
      <c r="O6565">
        <v>-6.3094650000000002E-2</v>
      </c>
      <c r="P6565">
        <v>0.94526319999999997</v>
      </c>
      <c r="Q6565">
        <v>8.4794320000000006E-2</v>
      </c>
      <c r="R6565">
        <v>-0.31509920000000002</v>
      </c>
      <c r="S6565">
        <v>2.8511660000000001</v>
      </c>
      <c r="T6565">
        <v>-0.1942112</v>
      </c>
      <c r="U6565">
        <v>-1.0200499999999999</v>
      </c>
      <c r="V6565">
        <v>0.25519350000000002</v>
      </c>
      <c r="W6565">
        <v>9.6680379999999996E-2</v>
      </c>
      <c r="X6565">
        <v>0.96204429999999996</v>
      </c>
      <c r="Y6565">
        <v>0.276337099999999</v>
      </c>
      <c r="Z6565">
        <v>-4.9676240000000003E-3</v>
      </c>
      <c r="AA6565">
        <v>0.96104789999999995</v>
      </c>
      <c r="AB6565">
        <v>25</v>
      </c>
      <c r="AC6565">
        <v>16.890699999999899</v>
      </c>
      <c r="AD6565">
        <v>-1.158771</v>
      </c>
      <c r="AE6565">
        <v>-6.0777599999999996</v>
      </c>
      <c r="AF6565">
        <v>4.9790925107374804</v>
      </c>
      <c r="AG6565">
        <v>-1.158771</v>
      </c>
      <c r="AH6565">
        <v>17.169005309742499</v>
      </c>
      <c r="AI6565">
        <v>93.708794140756396</v>
      </c>
      <c r="AJ6565">
        <v>73.827591733373794</v>
      </c>
      <c r="AK6565">
        <v>17.913929099638899</v>
      </c>
      <c r="AL6565">
        <v>84.451956396651298</v>
      </c>
      <c r="AM6565">
        <v>75.143763787971196</v>
      </c>
      <c r="AN6565">
        <v>1.00000002674084</v>
      </c>
    </row>
    <row r="6566" spans="1:40" x14ac:dyDescent="0.25">
      <c r="A6566" t="str">
        <f>"20190312172243318"</f>
        <v>20190312172243318</v>
      </c>
      <c r="B6566" t="str">
        <f>"1552382563307341"</f>
        <v>1552382563307341</v>
      </c>
      <c r="C6566" t="s">
        <v>40</v>
      </c>
      <c r="D6566">
        <v>3.2963100000000001</v>
      </c>
      <c r="E6566">
        <v>0.51031139999999997</v>
      </c>
      <c r="F6566" t="s">
        <v>43</v>
      </c>
      <c r="G6566">
        <v>-308.04989999999998</v>
      </c>
      <c r="H6566">
        <v>-0.05</v>
      </c>
      <c r="I6566">
        <v>10.017010000000001</v>
      </c>
      <c r="J6566">
        <v>-325.05020000000002</v>
      </c>
      <c r="K6566">
        <v>1.1087009999999999</v>
      </c>
      <c r="L6566">
        <v>16.23038</v>
      </c>
      <c r="M6566">
        <v>0.99784459999999997</v>
      </c>
      <c r="N6566">
        <v>0</v>
      </c>
      <c r="O6566">
        <v>-6.4249710000000002E-2</v>
      </c>
      <c r="P6566">
        <v>0.94392790000000004</v>
      </c>
      <c r="Q6566">
        <v>8.5262889999999994E-2</v>
      </c>
      <c r="R6566">
        <v>-0.31895220000000002</v>
      </c>
      <c r="S6566">
        <v>2.846222</v>
      </c>
      <c r="T6566">
        <v>-0.1926107</v>
      </c>
      <c r="U6566">
        <v>-1.0342709999999999</v>
      </c>
      <c r="V6566">
        <v>0.25802770000000003</v>
      </c>
      <c r="W6566">
        <v>9.7084729999999994E-2</v>
      </c>
      <c r="X6566">
        <v>0.96124730000000003</v>
      </c>
      <c r="Y6566">
        <v>0.28000239999999998</v>
      </c>
      <c r="Z6566">
        <v>-4.9758490000000001E-3</v>
      </c>
      <c r="AA6566">
        <v>0.95998640000000002</v>
      </c>
      <c r="AB6566">
        <v>25</v>
      </c>
      <c r="AC6566">
        <v>17.000299999999999</v>
      </c>
      <c r="AD6566">
        <v>-1.158701</v>
      </c>
      <c r="AE6566">
        <v>-6.2133699999999896</v>
      </c>
      <c r="AF6566">
        <v>5.08732023254439</v>
      </c>
      <c r="AG6566">
        <v>-1.158701</v>
      </c>
      <c r="AH6566">
        <v>17.293541567271902</v>
      </c>
      <c r="AI6566">
        <v>93.677819561183</v>
      </c>
      <c r="AJ6566">
        <v>73.607457698568496</v>
      </c>
      <c r="AK6566">
        <v>18.063498971539701</v>
      </c>
      <c r="AL6566">
        <v>84.428679508662796</v>
      </c>
      <c r="AM6566">
        <v>74.974295377229495</v>
      </c>
      <c r="AN6566">
        <v>1.00000005526187</v>
      </c>
    </row>
    <row r="6567" spans="1:40" x14ac:dyDescent="0.25">
      <c r="A6567" t="str">
        <f>"20190312172243328"</f>
        <v>20190312172243328</v>
      </c>
      <c r="B6567" t="str">
        <f>"1552382563317101"</f>
        <v>1552382563317101</v>
      </c>
      <c r="C6567" t="s">
        <v>40</v>
      </c>
      <c r="D6567">
        <v>3.2840199999999902</v>
      </c>
      <c r="E6567">
        <v>0.51056360000000001</v>
      </c>
      <c r="F6567" t="s">
        <v>43</v>
      </c>
      <c r="G6567">
        <v>-307.79450000000003</v>
      </c>
      <c r="H6567">
        <v>-0.05</v>
      </c>
      <c r="I6567">
        <v>9.8652339999999992</v>
      </c>
      <c r="J6567">
        <v>-324.9307</v>
      </c>
      <c r="K6567">
        <v>1.108635</v>
      </c>
      <c r="L6567">
        <v>16.221440000000001</v>
      </c>
      <c r="M6567">
        <v>0.99776679999999995</v>
      </c>
      <c r="N6567">
        <v>0</v>
      </c>
      <c r="O6567">
        <v>-6.5446950000000004E-2</v>
      </c>
      <c r="P6567">
        <v>0.9426194</v>
      </c>
      <c r="Q6567">
        <v>8.5665469999999994E-2</v>
      </c>
      <c r="R6567">
        <v>-0.3226927</v>
      </c>
      <c r="S6567">
        <v>2.841278</v>
      </c>
      <c r="T6567">
        <v>-0.1907885</v>
      </c>
      <c r="U6567">
        <v>-1.048065</v>
      </c>
      <c r="V6567">
        <v>0.26070840000000001</v>
      </c>
      <c r="W6567">
        <v>9.7425460000000005E-2</v>
      </c>
      <c r="X6567">
        <v>0.96048920000000004</v>
      </c>
      <c r="Y6567">
        <v>0.2834969</v>
      </c>
      <c r="Z6567">
        <v>-4.9693799999999998E-3</v>
      </c>
      <c r="AA6567">
        <v>0.95896029999999999</v>
      </c>
      <c r="AB6567">
        <v>25</v>
      </c>
      <c r="AC6567">
        <v>17.136199999999899</v>
      </c>
      <c r="AD6567">
        <v>-1.1586350000000001</v>
      </c>
      <c r="AE6567">
        <v>-6.3562060000000002</v>
      </c>
      <c r="AF6567">
        <v>5.20006698529318</v>
      </c>
      <c r="AG6567">
        <v>-1.1586350000000001</v>
      </c>
      <c r="AH6567">
        <v>17.445378655887598</v>
      </c>
      <c r="AI6567">
        <v>93.641828112142207</v>
      </c>
      <c r="AJ6567">
        <v>73.401888990484395</v>
      </c>
      <c r="AK6567">
        <v>18.240733761613399</v>
      </c>
      <c r="AL6567">
        <v>84.409064083739594</v>
      </c>
      <c r="AM6567">
        <v>74.813930023337406</v>
      </c>
      <c r="AN6567">
        <v>1.0000000467017001</v>
      </c>
    </row>
    <row r="6568" spans="1:40" x14ac:dyDescent="0.25">
      <c r="A6568" t="str">
        <f>"20190312172243339"</f>
        <v>20190312172243339</v>
      </c>
      <c r="B6568" t="str">
        <f>"1552382563336621"</f>
        <v>1552382563336621</v>
      </c>
      <c r="C6568" t="s">
        <v>40</v>
      </c>
      <c r="D6568">
        <v>3.2540429999999998</v>
      </c>
      <c r="E6568">
        <v>0.51102320000000001</v>
      </c>
      <c r="F6568" t="s">
        <v>43</v>
      </c>
      <c r="G6568">
        <v>-307.55290000000002</v>
      </c>
      <c r="H6568">
        <v>-0.05</v>
      </c>
      <c r="I6568">
        <v>9.7211909999999992</v>
      </c>
      <c r="J6568">
        <v>-324.8032</v>
      </c>
      <c r="K6568">
        <v>1.108562</v>
      </c>
      <c r="L6568">
        <v>16.211760000000002</v>
      </c>
      <c r="M6568">
        <v>0.99768069999999998</v>
      </c>
      <c r="N6568">
        <v>0</v>
      </c>
      <c r="O6568">
        <v>-6.6744429999999993E-2</v>
      </c>
      <c r="P6568">
        <v>0.9413416</v>
      </c>
      <c r="Q6568">
        <v>8.5613880000000003E-2</v>
      </c>
      <c r="R6568">
        <v>-0.3264146</v>
      </c>
      <c r="S6568">
        <v>2.8365779999999998</v>
      </c>
      <c r="T6568">
        <v>-0.1891235</v>
      </c>
      <c r="U6568">
        <v>-1.061035</v>
      </c>
      <c r="V6568">
        <v>0.2632738</v>
      </c>
      <c r="W6568">
        <v>9.7309690000000004E-2</v>
      </c>
      <c r="X6568">
        <v>0.95980080000000001</v>
      </c>
      <c r="Y6568">
        <v>0.28662009999999899</v>
      </c>
      <c r="Z6568">
        <v>-4.9477480000000001E-3</v>
      </c>
      <c r="AA6568">
        <v>0.95803150000000004</v>
      </c>
      <c r="AB6568">
        <v>25</v>
      </c>
      <c r="AC6568">
        <v>17.2502999999999</v>
      </c>
      <c r="AD6568">
        <v>-1.1585620000000001</v>
      </c>
      <c r="AE6568">
        <v>-6.4905689999999998</v>
      </c>
      <c r="AF6568">
        <v>5.3036724403188504</v>
      </c>
      <c r="AG6568">
        <v>-1.1585620000000001</v>
      </c>
      <c r="AH6568">
        <v>17.575627744957401</v>
      </c>
      <c r="AI6568">
        <v>93.611029456651906</v>
      </c>
      <c r="AJ6568">
        <v>73.208133934925698</v>
      </c>
      <c r="AK6568">
        <v>18.3949421823325</v>
      </c>
      <c r="AL6568">
        <v>84.415728188515203</v>
      </c>
      <c r="AM6568">
        <v>74.661018162184206</v>
      </c>
      <c r="AN6568">
        <v>0.99999992260748505</v>
      </c>
    </row>
    <row r="6569" spans="1:40" x14ac:dyDescent="0.25">
      <c r="A6569" t="str">
        <f>"20190312172243351"</f>
        <v>20190312172243351</v>
      </c>
      <c r="B6569" t="str">
        <f>"1552382563347357"</f>
        <v>1552382563347357</v>
      </c>
      <c r="C6569" t="s">
        <v>40</v>
      </c>
      <c r="D6569">
        <v>3.2752680000000001</v>
      </c>
      <c r="E6569">
        <v>0.51119870000000001</v>
      </c>
      <c r="F6569" t="s">
        <v>43</v>
      </c>
      <c r="G6569">
        <v>-307.50069999999999</v>
      </c>
      <c r="H6569">
        <v>-0.05</v>
      </c>
      <c r="I6569">
        <v>9.6401669999999999</v>
      </c>
      <c r="J6569">
        <v>-324.67520000000002</v>
      </c>
      <c r="K6569">
        <v>1.10849</v>
      </c>
      <c r="L6569">
        <v>16.201689999999999</v>
      </c>
      <c r="M6569">
        <v>0.99758619999999998</v>
      </c>
      <c r="N6569">
        <v>0</v>
      </c>
      <c r="O6569">
        <v>-6.8140740000000005E-2</v>
      </c>
      <c r="P6569">
        <v>0.94006880000000004</v>
      </c>
      <c r="Q6569">
        <v>8.5425299999999996E-2</v>
      </c>
      <c r="R6569">
        <v>-0.33011099999999999</v>
      </c>
      <c r="S6569">
        <v>2.831299</v>
      </c>
      <c r="T6569">
        <v>-0.18958230000000001</v>
      </c>
      <c r="U6569">
        <v>-1.075348</v>
      </c>
      <c r="V6569">
        <v>0.26571909999999999</v>
      </c>
      <c r="W6569">
        <v>9.7057690000000002E-2</v>
      </c>
      <c r="X6569">
        <v>0.95915229999999996</v>
      </c>
      <c r="Y6569">
        <v>0.29009659999999998</v>
      </c>
      <c r="Z6569">
        <v>-4.9870879999999998E-3</v>
      </c>
      <c r="AA6569">
        <v>0.95698439999999996</v>
      </c>
      <c r="AB6569">
        <v>25</v>
      </c>
      <c r="AC6569">
        <v>17.174499999999998</v>
      </c>
      <c r="AD6569">
        <v>-1.15849</v>
      </c>
      <c r="AE6569">
        <v>-6.5615229999999896</v>
      </c>
      <c r="AF6569">
        <v>5.3546212173262102</v>
      </c>
      <c r="AG6569">
        <v>-1.15849</v>
      </c>
      <c r="AH6569">
        <v>17.512189184002001</v>
      </c>
      <c r="AI6569">
        <v>93.619830394700799</v>
      </c>
      <c r="AJ6569">
        <v>72.998181770904097</v>
      </c>
      <c r="AK6569">
        <v>18.349137240683</v>
      </c>
      <c r="AL6569">
        <v>84.430235744838797</v>
      </c>
      <c r="AM6569">
        <v>74.515387023459994</v>
      </c>
      <c r="AN6569">
        <v>0.99999998494411702</v>
      </c>
    </row>
    <row r="6570" spans="1:40" x14ac:dyDescent="0.25">
      <c r="A6570" t="str">
        <f>"20190312172243362"</f>
        <v>20190312172243362</v>
      </c>
      <c r="B6570" t="str">
        <f>"1552382563357117"</f>
        <v>1552382563357117</v>
      </c>
      <c r="C6570" t="s">
        <v>40</v>
      </c>
      <c r="D6570">
        <v>3.273374</v>
      </c>
      <c r="E6570">
        <v>0.51131959999999999</v>
      </c>
      <c r="F6570" t="s">
        <v>43</v>
      </c>
      <c r="G6570">
        <v>-307.44990000000001</v>
      </c>
      <c r="H6570">
        <v>-0.05</v>
      </c>
      <c r="I6570">
        <v>9.5744319999999998</v>
      </c>
      <c r="J6570">
        <v>-324.54559999999998</v>
      </c>
      <c r="K6570">
        <v>1.108417</v>
      </c>
      <c r="L6570">
        <v>16.191410000000001</v>
      </c>
      <c r="M6570">
        <v>0.99748709999999996</v>
      </c>
      <c r="N6570">
        <v>0</v>
      </c>
      <c r="O6570">
        <v>-6.9578070000000006E-2</v>
      </c>
      <c r="P6570">
        <v>0.93883499999999998</v>
      </c>
      <c r="Q6570">
        <v>8.5193859999999996E-2</v>
      </c>
      <c r="R6570">
        <v>-0.3336634</v>
      </c>
      <c r="S6570">
        <v>2.82666</v>
      </c>
      <c r="T6570">
        <v>-0.19010669999999999</v>
      </c>
      <c r="U6570">
        <v>-1.0875239999999999</v>
      </c>
      <c r="V6570">
        <v>0.26798060000000001</v>
      </c>
      <c r="W6570">
        <v>9.6763429999999997E-2</v>
      </c>
      <c r="X6570">
        <v>0.95855270000000004</v>
      </c>
      <c r="Y6570">
        <v>0.29282849999999999</v>
      </c>
      <c r="Z6570">
        <v>-5.0010829999999999E-3</v>
      </c>
      <c r="AA6570">
        <v>0.95615190000000005</v>
      </c>
      <c r="AB6570">
        <v>25</v>
      </c>
      <c r="AC6570">
        <v>17.095699999999901</v>
      </c>
      <c r="AD6570">
        <v>-1.158417</v>
      </c>
      <c r="AE6570">
        <v>-6.6169779999999996</v>
      </c>
      <c r="AF6570">
        <v>5.3898239811118103</v>
      </c>
      <c r="AG6570">
        <v>-1.158417</v>
      </c>
      <c r="AH6570">
        <v>17.445036108437701</v>
      </c>
      <c r="AI6570">
        <v>93.630249040100693</v>
      </c>
      <c r="AJ6570">
        <v>72.830926220272602</v>
      </c>
      <c r="AK6570">
        <v>18.295393335972602</v>
      </c>
      <c r="AL6570">
        <v>84.447175535239396</v>
      </c>
      <c r="AM6570">
        <v>74.380711826358294</v>
      </c>
      <c r="AN6570">
        <v>1.0000000210194999</v>
      </c>
    </row>
    <row r="6571" spans="1:40" x14ac:dyDescent="0.25">
      <c r="A6571" t="str">
        <f>"20190312172243373"</f>
        <v>20190312172243373</v>
      </c>
      <c r="B6571" t="str">
        <f>"1552382563366876"</f>
        <v>1552382563366876</v>
      </c>
      <c r="C6571" t="s">
        <v>40</v>
      </c>
      <c r="D6571">
        <v>3.2565170000000001</v>
      </c>
      <c r="E6571">
        <v>0.511459</v>
      </c>
      <c r="F6571" t="s">
        <v>43</v>
      </c>
      <c r="G6571">
        <v>-307.4135</v>
      </c>
      <c r="H6571">
        <v>-0.05</v>
      </c>
      <c r="I6571">
        <v>9.520645</v>
      </c>
      <c r="J6571">
        <v>-324.41770000000002</v>
      </c>
      <c r="K6571">
        <v>1.108347</v>
      </c>
      <c r="L6571">
        <v>16.180910000000001</v>
      </c>
      <c r="M6571">
        <v>0.9973822</v>
      </c>
      <c r="N6571">
        <v>0</v>
      </c>
      <c r="O6571">
        <v>-7.1063849999999998E-2</v>
      </c>
      <c r="P6571">
        <v>0.93762290000000004</v>
      </c>
      <c r="Q6571">
        <v>8.4865199999999905E-2</v>
      </c>
      <c r="R6571">
        <v>-0.33713729999999997</v>
      </c>
      <c r="S6571">
        <v>2.822235</v>
      </c>
      <c r="T6571">
        <v>-0.1908311</v>
      </c>
      <c r="U6571">
        <v>-1.0989070000000001</v>
      </c>
      <c r="V6571">
        <v>0.27011649999999998</v>
      </c>
      <c r="W6571">
        <v>9.637474E-2</v>
      </c>
      <c r="X6571">
        <v>0.95799219999999896</v>
      </c>
      <c r="Y6571">
        <v>0.2952535</v>
      </c>
      <c r="Z6571">
        <v>-5.0070660000000001E-3</v>
      </c>
      <c r="AA6571">
        <v>0.95540579999999997</v>
      </c>
      <c r="AB6571">
        <v>25</v>
      </c>
      <c r="AC6571">
        <v>17.004200000000001</v>
      </c>
      <c r="AD6571">
        <v>-1.158347</v>
      </c>
      <c r="AE6571">
        <v>-6.6602649999999999</v>
      </c>
      <c r="AF6571">
        <v>5.4131528430760403</v>
      </c>
      <c r="AG6571">
        <v>-1.158347</v>
      </c>
      <c r="AH6571">
        <v>17.364685332517499</v>
      </c>
      <c r="AI6571">
        <v>93.643928163992697</v>
      </c>
      <c r="AJ6571">
        <v>72.685997965139805</v>
      </c>
      <c r="AK6571">
        <v>18.225704051483401</v>
      </c>
      <c r="AL6571">
        <v>84.469550480974405</v>
      </c>
      <c r="AM6571">
        <v>74.253614648654903</v>
      </c>
      <c r="AN6571">
        <v>1.0000000346715701</v>
      </c>
    </row>
    <row r="6572" spans="1:40" x14ac:dyDescent="0.25">
      <c r="A6572" t="str">
        <f>"20190312172243385"</f>
        <v>20190312172243385</v>
      </c>
      <c r="B6572" t="str">
        <f>"1552382563376637"</f>
        <v>1552382563376637</v>
      </c>
      <c r="C6572" t="s">
        <v>40</v>
      </c>
      <c r="D6572">
        <v>3.249282</v>
      </c>
      <c r="E6572">
        <v>0.5115518</v>
      </c>
      <c r="F6572" t="s">
        <v>43</v>
      </c>
      <c r="G6572">
        <v>-307.4178</v>
      </c>
      <c r="H6572">
        <v>-0.05</v>
      </c>
      <c r="I6572">
        <v>9.4832149999999995</v>
      </c>
      <c r="J6572">
        <v>-324.29149999999998</v>
      </c>
      <c r="K6572">
        <v>1.1082809999999901</v>
      </c>
      <c r="L6572">
        <v>16.170349999999999</v>
      </c>
      <c r="M6572">
        <v>0.99727390000000005</v>
      </c>
      <c r="N6572">
        <v>0</v>
      </c>
      <c r="O6572">
        <v>-7.2568880000000002E-2</v>
      </c>
      <c r="P6572">
        <v>0.9363226</v>
      </c>
      <c r="Q6572">
        <v>8.4834690000000004E-2</v>
      </c>
      <c r="R6572">
        <v>-0.34073989999999998</v>
      </c>
      <c r="S6572">
        <v>2.8178100000000001</v>
      </c>
      <c r="T6572">
        <v>-0.1920007</v>
      </c>
      <c r="U6572">
        <v>-1.110168</v>
      </c>
      <c r="V6572">
        <v>0.27237119999999998</v>
      </c>
      <c r="W6572">
        <v>9.6284549999999997E-2</v>
      </c>
      <c r="X6572">
        <v>0.95736259999999995</v>
      </c>
      <c r="Y6572">
        <v>0.2976203</v>
      </c>
      <c r="Z6572">
        <v>-5.0214300000000003E-3</v>
      </c>
      <c r="AA6572">
        <v>0.95467109999999999</v>
      </c>
      <c r="AB6572">
        <v>25</v>
      </c>
      <c r="AC6572">
        <v>16.8736999999999</v>
      </c>
      <c r="AD6572">
        <v>-1.1582809999999999</v>
      </c>
      <c r="AE6572">
        <v>-6.6871349999999996</v>
      </c>
      <c r="AF6572">
        <v>5.4228018332186601</v>
      </c>
      <c r="AG6572">
        <v>-1.1582809999999999</v>
      </c>
      <c r="AH6572">
        <v>17.244298159651098</v>
      </c>
      <c r="AI6572">
        <v>93.666236269134899</v>
      </c>
      <c r="AJ6572">
        <v>72.543240607402396</v>
      </c>
      <c r="AK6572">
        <v>18.113923197812898</v>
      </c>
      <c r="AL6572">
        <v>84.474741753255003</v>
      </c>
      <c r="AM6572">
        <v>74.118862050352803</v>
      </c>
      <c r="AN6572">
        <v>0.99999996651845002</v>
      </c>
    </row>
    <row r="6573" spans="1:40" x14ac:dyDescent="0.25">
      <c r="A6573" t="str">
        <f>"20190312172243396"</f>
        <v>20190312172243396</v>
      </c>
      <c r="B6573" t="str">
        <f>"1552382563387372"</f>
        <v>1552382563387372</v>
      </c>
      <c r="C6573" t="s">
        <v>40</v>
      </c>
      <c r="D6573">
        <v>3.2534200000000002</v>
      </c>
      <c r="E6573">
        <v>0.5116366</v>
      </c>
      <c r="F6573" t="s">
        <v>43</v>
      </c>
      <c r="G6573">
        <v>-307.33429999999998</v>
      </c>
      <c r="H6573">
        <v>-0.05</v>
      </c>
      <c r="I6573">
        <v>9.4079440000000005</v>
      </c>
      <c r="J6573">
        <v>-324.16930000000002</v>
      </c>
      <c r="K6573">
        <v>1.1082240000000001</v>
      </c>
      <c r="L6573">
        <v>16.15991</v>
      </c>
      <c r="M6573">
        <v>0.99716380000000004</v>
      </c>
      <c r="N6573">
        <v>0</v>
      </c>
      <c r="O6573">
        <v>-7.4065210000000006E-2</v>
      </c>
      <c r="P6573">
        <v>0.93504699999999996</v>
      </c>
      <c r="Q6573">
        <v>8.4514130000000007E-2</v>
      </c>
      <c r="R6573">
        <v>-0.34430339999999998</v>
      </c>
      <c r="S6573">
        <v>2.813202</v>
      </c>
      <c r="T6573">
        <v>-0.19215940000000001</v>
      </c>
      <c r="U6573">
        <v>-1.1218870000000001</v>
      </c>
      <c r="V6573">
        <v>0.27459309999999998</v>
      </c>
      <c r="W6573">
        <v>9.5908160000000006E-2</v>
      </c>
      <c r="X6573">
        <v>0.95676550000000005</v>
      </c>
      <c r="Y6573">
        <v>0.300153</v>
      </c>
      <c r="Z6573">
        <v>-5.015444E-3</v>
      </c>
      <c r="AA6573">
        <v>0.95387789999999995</v>
      </c>
      <c r="AB6573">
        <v>25</v>
      </c>
      <c r="AC6573">
        <v>16.835000000000001</v>
      </c>
      <c r="AD6573">
        <v>-1.1582239999999999</v>
      </c>
      <c r="AE6573">
        <v>-6.7519660000000004</v>
      </c>
      <c r="AF6573">
        <v>5.4641391396422199</v>
      </c>
      <c r="AG6573">
        <v>-1.1582239999999999</v>
      </c>
      <c r="AH6573">
        <v>17.2186761424881</v>
      </c>
      <c r="AI6573">
        <v>93.668480886705694</v>
      </c>
      <c r="AJ6573">
        <v>72.393792375253796</v>
      </c>
      <c r="AK6573">
        <v>18.101964188215501</v>
      </c>
      <c r="AL6573">
        <v>84.496407676947797</v>
      </c>
      <c r="AM6573">
        <v>73.986443408169805</v>
      </c>
      <c r="AN6573">
        <v>0.99999998385622202</v>
      </c>
    </row>
    <row r="6574" spans="1:40" x14ac:dyDescent="0.25">
      <c r="A6574" t="str">
        <f>"20190312172243406"</f>
        <v>20190312172243406</v>
      </c>
      <c r="B6574" t="str">
        <f>"1552382563397133"</f>
        <v>1552382563397133</v>
      </c>
      <c r="C6574" t="s">
        <v>40</v>
      </c>
      <c r="D6574">
        <v>3.255738</v>
      </c>
      <c r="E6574">
        <v>0.51170179999999998</v>
      </c>
      <c r="F6574" t="s">
        <v>43</v>
      </c>
      <c r="G6574">
        <v>-307.33479999999997</v>
      </c>
      <c r="H6574">
        <v>-0.05</v>
      </c>
      <c r="I6574">
        <v>9.369415</v>
      </c>
      <c r="J6574">
        <v>-324.04759999999999</v>
      </c>
      <c r="K6574">
        <v>1.1081639999999999</v>
      </c>
      <c r="L6574">
        <v>16.149260000000002</v>
      </c>
      <c r="M6574">
        <v>0.9970485</v>
      </c>
      <c r="N6574">
        <v>0</v>
      </c>
      <c r="O6574">
        <v>-7.5600539999999994E-2</v>
      </c>
      <c r="P6574">
        <v>0.93366729999999998</v>
      </c>
      <c r="Q6574">
        <v>8.4310319999999994E-2</v>
      </c>
      <c r="R6574">
        <v>-0.34807680000000002</v>
      </c>
      <c r="S6574">
        <v>2.8086850000000001</v>
      </c>
      <c r="T6574">
        <v>-0.19323950000000001</v>
      </c>
      <c r="U6574">
        <v>-1.132935</v>
      </c>
      <c r="V6574">
        <v>0.27699620000000003</v>
      </c>
      <c r="W6574">
        <v>9.5648540000000004E-2</v>
      </c>
      <c r="X6574">
        <v>0.95609860000000002</v>
      </c>
      <c r="Y6574">
        <v>0.30243530000000002</v>
      </c>
      <c r="Z6574">
        <v>-5.022589E-3</v>
      </c>
      <c r="AA6574">
        <v>0.95315669999999997</v>
      </c>
      <c r="AB6574">
        <v>25</v>
      </c>
      <c r="AC6574">
        <v>16.712800000000001</v>
      </c>
      <c r="AD6574">
        <v>-1.158164</v>
      </c>
      <c r="AE6574">
        <v>-6.7798449999999999</v>
      </c>
      <c r="AF6574">
        <v>5.47425546292388</v>
      </c>
      <c r="AG6574">
        <v>-1.158164</v>
      </c>
      <c r="AH6574">
        <v>17.107025581748999</v>
      </c>
      <c r="AI6574">
        <v>93.689331906650096</v>
      </c>
      <c r="AJ6574">
        <v>72.255306267059396</v>
      </c>
      <c r="AK6574">
        <v>17.998864991406101</v>
      </c>
      <c r="AL6574">
        <v>84.511351793157203</v>
      </c>
      <c r="AM6574">
        <v>73.842899467551206</v>
      </c>
      <c r="AN6574">
        <v>1.0000000354702601</v>
      </c>
    </row>
    <row r="6575" spans="1:40" x14ac:dyDescent="0.25">
      <c r="A6575" t="str">
        <f>"20190312172243417"</f>
        <v>20190312172243417</v>
      </c>
      <c r="B6575" t="str">
        <f>"1552382563406892"</f>
        <v>1552382563406892</v>
      </c>
      <c r="C6575" t="s">
        <v>40</v>
      </c>
      <c r="D6575">
        <v>3.2170589999999999</v>
      </c>
      <c r="E6575">
        <v>0.51171429999999996</v>
      </c>
      <c r="F6575" t="s">
        <v>43</v>
      </c>
      <c r="G6575">
        <v>-307.30160000000001</v>
      </c>
      <c r="H6575">
        <v>-0.05</v>
      </c>
      <c r="I6575">
        <v>9.3141169999999995</v>
      </c>
      <c r="J6575">
        <v>-323.9255</v>
      </c>
      <c r="K6575">
        <v>1.108106</v>
      </c>
      <c r="L6575">
        <v>16.138400000000001</v>
      </c>
      <c r="M6575">
        <v>0.99692860000000005</v>
      </c>
      <c r="N6575">
        <v>0</v>
      </c>
      <c r="O6575">
        <v>-7.7165520000000001E-2</v>
      </c>
      <c r="P6575">
        <v>0.93230809999999997</v>
      </c>
      <c r="Q6575">
        <v>8.4167930000000002E-2</v>
      </c>
      <c r="R6575">
        <v>-0.35173510000000002</v>
      </c>
      <c r="S6575">
        <v>2.8040159999999998</v>
      </c>
      <c r="T6575">
        <v>-0.1939275</v>
      </c>
      <c r="U6575">
        <v>-1.144501</v>
      </c>
      <c r="V6575">
        <v>0.27925709999999998</v>
      </c>
      <c r="W6575">
        <v>9.5452510000000004E-2</v>
      </c>
      <c r="X6575">
        <v>0.95546030000000004</v>
      </c>
      <c r="Y6575">
        <v>0.30485849999999998</v>
      </c>
      <c r="Z6575">
        <v>-5.022159E-3</v>
      </c>
      <c r="AA6575">
        <v>0.95238440000000002</v>
      </c>
      <c r="AB6575">
        <v>25</v>
      </c>
      <c r="AC6575">
        <v>16.6238999999999</v>
      </c>
      <c r="AD6575">
        <v>-1.1581059999999901</v>
      </c>
      <c r="AE6575">
        <v>-6.8242830000000003</v>
      </c>
      <c r="AF6575">
        <v>5.4981890231040902</v>
      </c>
      <c r="AG6575">
        <v>-1.1581059999999901</v>
      </c>
      <c r="AH6575">
        <v>17.030238033153399</v>
      </c>
      <c r="AI6575">
        <v>93.702670361897205</v>
      </c>
      <c r="AJ6575">
        <v>72.107397239275599</v>
      </c>
      <c r="AK6575">
        <v>17.933217767787301</v>
      </c>
      <c r="AL6575">
        <v>84.522635174890794</v>
      </c>
      <c r="AM6575">
        <v>73.707681510674007</v>
      </c>
      <c r="AN6575">
        <v>1.0000000472208901</v>
      </c>
    </row>
    <row r="6576" spans="1:40" x14ac:dyDescent="0.25">
      <c r="A6576" t="str">
        <f>"20190312172243430"</f>
        <v>20190312172243430</v>
      </c>
      <c r="B6576" t="str">
        <f>"1552382563427388"</f>
        <v>1552382563427388</v>
      </c>
      <c r="C6576" t="s">
        <v>40</v>
      </c>
      <c r="D6576">
        <v>3.231166</v>
      </c>
      <c r="E6576">
        <v>0.51180509999999901</v>
      </c>
      <c r="F6576" t="s">
        <v>43</v>
      </c>
      <c r="G6576">
        <v>-307.27199999999999</v>
      </c>
      <c r="H6576">
        <v>-0.05</v>
      </c>
      <c r="I6576">
        <v>9.2664639999999991</v>
      </c>
      <c r="J6576">
        <v>-323.7962</v>
      </c>
      <c r="K6576">
        <v>1.1080509999999999</v>
      </c>
      <c r="L6576">
        <v>16.126560000000001</v>
      </c>
      <c r="M6576">
        <v>0.99679439999999997</v>
      </c>
      <c r="N6576">
        <v>0</v>
      </c>
      <c r="O6576">
        <v>-7.8880320000000004E-2</v>
      </c>
      <c r="P6576">
        <v>0.93099149999999997</v>
      </c>
      <c r="Q6576">
        <v>8.3749619999999997E-2</v>
      </c>
      <c r="R6576">
        <v>-0.35530440000000002</v>
      </c>
      <c r="S6576">
        <v>2.7996219999999998</v>
      </c>
      <c r="T6576">
        <v>-0.19468959999999999</v>
      </c>
      <c r="U6576">
        <v>-1.155243</v>
      </c>
      <c r="V6576">
        <v>0.2812828</v>
      </c>
      <c r="W6576">
        <v>9.4983059999999994E-2</v>
      </c>
      <c r="X6576">
        <v>0.95491269999999995</v>
      </c>
      <c r="Y6576">
        <v>0.30686479999999999</v>
      </c>
      <c r="Z6576">
        <v>-4.999468E-3</v>
      </c>
      <c r="AA6576">
        <v>0.95174000000000003</v>
      </c>
      <c r="AB6576">
        <v>25</v>
      </c>
      <c r="AC6576">
        <v>16.5242</v>
      </c>
      <c r="AD6576">
        <v>-1.1580509999999999</v>
      </c>
      <c r="AE6576">
        <v>-6.8600960000000004</v>
      </c>
      <c r="AF6576">
        <v>5.5120735096498796</v>
      </c>
      <c r="AG6576">
        <v>-1.1580509999999999</v>
      </c>
      <c r="AH6576">
        <v>16.942896613186601</v>
      </c>
      <c r="AI6576">
        <v>93.718825659331401</v>
      </c>
      <c r="AJ6576">
        <v>71.978613528960906</v>
      </c>
      <c r="AK6576">
        <v>17.854573143581899</v>
      </c>
      <c r="AL6576">
        <v>84.549655350644102</v>
      </c>
      <c r="AM6576">
        <v>73.586930301880898</v>
      </c>
      <c r="AN6576">
        <v>1.00000002994204</v>
      </c>
    </row>
    <row r="6577" spans="1:40" x14ac:dyDescent="0.25">
      <c r="A6577" t="str">
        <f>"20190312172243442"</f>
        <v>20190312172243442</v>
      </c>
      <c r="B6577" t="str">
        <f>"1552382563437151"</f>
        <v>1552382563437151</v>
      </c>
      <c r="C6577" t="s">
        <v>40</v>
      </c>
      <c r="D6577">
        <v>3.2283849999999998</v>
      </c>
      <c r="E6577">
        <v>0.51184300000000005</v>
      </c>
      <c r="F6577" t="s">
        <v>43</v>
      </c>
      <c r="G6577">
        <v>-307.2851</v>
      </c>
      <c r="H6577">
        <v>-0.05</v>
      </c>
      <c r="I6577">
        <v>9.2368319999999997</v>
      </c>
      <c r="J6577">
        <v>-323.6626</v>
      </c>
      <c r="K6577">
        <v>1.1079950000000001</v>
      </c>
      <c r="L6577">
        <v>16.114170000000001</v>
      </c>
      <c r="M6577">
        <v>0.99665090000000001</v>
      </c>
      <c r="N6577">
        <v>0</v>
      </c>
      <c r="O6577">
        <v>-8.0672859999999999E-2</v>
      </c>
      <c r="P6577">
        <v>0.92952000000000001</v>
      </c>
      <c r="Q6577">
        <v>8.3362829999999999E-2</v>
      </c>
      <c r="R6577">
        <v>-0.35922659999999901</v>
      </c>
      <c r="S6577">
        <v>2.7949220000000001</v>
      </c>
      <c r="T6577">
        <v>-0.19602910000000001</v>
      </c>
      <c r="U6577">
        <v>-1.1662600000000001</v>
      </c>
      <c r="V6577">
        <v>0.28360069999999998</v>
      </c>
      <c r="W6577">
        <v>9.4542059999999997E-2</v>
      </c>
      <c r="X6577">
        <v>0.95427070000000003</v>
      </c>
      <c r="Y6577">
        <v>0.30890909999999999</v>
      </c>
      <c r="Z6577">
        <v>-4.987582E-3</v>
      </c>
      <c r="AA6577">
        <v>0.95107850000000005</v>
      </c>
      <c r="AB6577">
        <v>25</v>
      </c>
      <c r="AC6577">
        <v>16.377499999999898</v>
      </c>
      <c r="AD6577">
        <v>-1.1579950000000001</v>
      </c>
      <c r="AE6577">
        <v>-6.877338</v>
      </c>
      <c r="AF6577">
        <v>5.5101622333388196</v>
      </c>
      <c r="AG6577">
        <v>-1.1579950000000001</v>
      </c>
      <c r="AH6577">
        <v>16.807542717462301</v>
      </c>
      <c r="AI6577">
        <v>93.745744625130996</v>
      </c>
      <c r="AJ6577">
        <v>71.848856268008603</v>
      </c>
      <c r="AK6577">
        <v>17.725584121745001</v>
      </c>
      <c r="AL6577">
        <v>84.575037191450207</v>
      </c>
      <c r="AM6577">
        <v>73.448522576961906</v>
      </c>
      <c r="AN6577">
        <v>1.0000000635140001</v>
      </c>
    </row>
    <row r="6578" spans="1:40" x14ac:dyDescent="0.25">
      <c r="A6578" t="str">
        <f>"20190312172243452"</f>
        <v>20190312172243452</v>
      </c>
      <c r="B6578" t="str">
        <f>"1552382563446909"</f>
        <v>1552382563446909</v>
      </c>
      <c r="C6578" t="s">
        <v>40</v>
      </c>
      <c r="D6578">
        <v>3.2518859999999998</v>
      </c>
      <c r="E6578">
        <v>0.51187139999999998</v>
      </c>
      <c r="F6578" t="s">
        <v>43</v>
      </c>
      <c r="G6578">
        <v>-307.29090000000002</v>
      </c>
      <c r="H6578">
        <v>-0.05</v>
      </c>
      <c r="I6578">
        <v>9.2001039999999996</v>
      </c>
      <c r="J6578">
        <v>-323.53280000000001</v>
      </c>
      <c r="K6578">
        <v>1.107944</v>
      </c>
      <c r="L6578">
        <v>16.101679999999899</v>
      </c>
      <c r="M6578">
        <v>0.99650340000000004</v>
      </c>
      <c r="N6578">
        <v>0</v>
      </c>
      <c r="O6578">
        <v>-8.2474119999999998E-2</v>
      </c>
      <c r="P6578">
        <v>0.92799169999999997</v>
      </c>
      <c r="Q6578">
        <v>8.3267949999999993E-2</v>
      </c>
      <c r="R6578">
        <v>-0.363178</v>
      </c>
      <c r="S6578">
        <v>2.789825</v>
      </c>
      <c r="T6578">
        <v>-0.19732810000000001</v>
      </c>
      <c r="U6578">
        <v>-1.1781919999999999</v>
      </c>
      <c r="V6578">
        <v>0.28594750000000002</v>
      </c>
      <c r="W6578">
        <v>9.4394430000000001E-2</v>
      </c>
      <c r="X6578">
        <v>0.95358469999999995</v>
      </c>
      <c r="Y6578">
        <v>0.31125619999999998</v>
      </c>
      <c r="Z6578">
        <v>-4.9840209999999999E-3</v>
      </c>
      <c r="AA6578">
        <v>0.95031299999999996</v>
      </c>
      <c r="AB6578">
        <v>25</v>
      </c>
      <c r="AC6578">
        <v>16.241899999999902</v>
      </c>
      <c r="AD6578">
        <v>-1.1579440000000001</v>
      </c>
      <c r="AE6578">
        <v>-6.9015759999999897</v>
      </c>
      <c r="AF6578">
        <v>5.5146604293413004</v>
      </c>
      <c r="AG6578">
        <v>-1.1579440000000001</v>
      </c>
      <c r="AH6578">
        <v>16.683978488799202</v>
      </c>
      <c r="AI6578">
        <v>93.770227442422197</v>
      </c>
      <c r="AJ6578">
        <v>71.7094046622408</v>
      </c>
      <c r="AK6578">
        <v>17.609868033940401</v>
      </c>
      <c r="AL6578">
        <v>84.583533585891999</v>
      </c>
      <c r="AM6578">
        <v>73.307806874393293</v>
      </c>
      <c r="AN6578">
        <v>1.0000000306226799</v>
      </c>
    </row>
    <row r="6579" spans="1:40" x14ac:dyDescent="0.25">
      <c r="A6579" t="str">
        <f>"20190312172243464"</f>
        <v>20190312172243464</v>
      </c>
      <c r="B6579" t="str">
        <f>"1552382563456669"</f>
        <v>1552382563456669</v>
      </c>
      <c r="C6579" t="s">
        <v>40</v>
      </c>
      <c r="D6579">
        <v>3.2436180000000001</v>
      </c>
      <c r="E6579">
        <v>0.51189059999999997</v>
      </c>
      <c r="F6579" t="s">
        <v>43</v>
      </c>
      <c r="G6579">
        <v>-307.22050000000002</v>
      </c>
      <c r="H6579">
        <v>-0.05</v>
      </c>
      <c r="I6579">
        <v>9.1313320000000004</v>
      </c>
      <c r="J6579">
        <v>-323.41120000000001</v>
      </c>
      <c r="K6579">
        <v>1.107896</v>
      </c>
      <c r="L6579">
        <v>16.089870000000001</v>
      </c>
      <c r="M6579">
        <v>0.99636080000000005</v>
      </c>
      <c r="N6579">
        <v>0</v>
      </c>
      <c r="O6579">
        <v>-8.4178840000000005E-2</v>
      </c>
      <c r="P6579">
        <v>0.92661159999999998</v>
      </c>
      <c r="Q6579">
        <v>8.2895170000000004E-2</v>
      </c>
      <c r="R6579">
        <v>-0.36676979999999998</v>
      </c>
      <c r="S6579">
        <v>2.784821</v>
      </c>
      <c r="T6579">
        <v>-0.19768350000000001</v>
      </c>
      <c r="U6579">
        <v>-1.189972</v>
      </c>
      <c r="V6579">
        <v>0.2880162</v>
      </c>
      <c r="W6579">
        <v>9.397527E-2</v>
      </c>
      <c r="X6579">
        <v>0.9530033</v>
      </c>
      <c r="Y6579">
        <v>0.31364219999999998</v>
      </c>
      <c r="Z6579">
        <v>-4.9640250000000004E-3</v>
      </c>
      <c r="AA6579">
        <v>0.94952829999999999</v>
      </c>
      <c r="AB6579">
        <v>25</v>
      </c>
      <c r="AC6579">
        <v>16.1906999999999</v>
      </c>
      <c r="AD6579">
        <v>-1.15789599999999</v>
      </c>
      <c r="AE6579">
        <v>-6.9585379999999999</v>
      </c>
      <c r="AF6579">
        <v>5.5468525754080398</v>
      </c>
      <c r="AG6579">
        <v>-1.15789599999999</v>
      </c>
      <c r="AH6579">
        <v>16.647169806072402</v>
      </c>
      <c r="AI6579">
        <v>93.775383648213506</v>
      </c>
      <c r="AJ6579">
        <v>71.571878631587495</v>
      </c>
      <c r="AK6579">
        <v>17.5851232350625</v>
      </c>
      <c r="AL6579">
        <v>84.607656679489807</v>
      </c>
      <c r="AM6579">
        <v>73.184158222182205</v>
      </c>
      <c r="AN6579">
        <v>0.99999998632245102</v>
      </c>
    </row>
    <row r="6580" spans="1:40" x14ac:dyDescent="0.25">
      <c r="A6580" t="str">
        <f>"20190312172243475"</f>
        <v>20190312172243475</v>
      </c>
      <c r="B6580" t="str">
        <f>"1552382563467405"</f>
        <v>1552382563467405</v>
      </c>
      <c r="C6580" t="s">
        <v>40</v>
      </c>
      <c r="D6580">
        <v>3.2271160000000001</v>
      </c>
      <c r="E6580">
        <v>0.51189949999999995</v>
      </c>
      <c r="F6580" t="s">
        <v>43</v>
      </c>
      <c r="G6580">
        <v>-307.22570000000002</v>
      </c>
      <c r="H6580">
        <v>-0.05</v>
      </c>
      <c r="I6580">
        <v>9.0996550000000003</v>
      </c>
      <c r="J6580">
        <v>-323.28109999999998</v>
      </c>
      <c r="K6580">
        <v>1.107853</v>
      </c>
      <c r="L6580">
        <v>16.076899999999998</v>
      </c>
      <c r="M6580">
        <v>0.99620180000000003</v>
      </c>
      <c r="N6580">
        <v>0</v>
      </c>
      <c r="O6580">
        <v>-8.6038050000000005E-2</v>
      </c>
      <c r="P6580">
        <v>0.9249579</v>
      </c>
      <c r="Q6580">
        <v>8.2619509999999993E-2</v>
      </c>
      <c r="R6580">
        <v>-0.37098150000000002</v>
      </c>
      <c r="S6580">
        <v>2.7801209999999998</v>
      </c>
      <c r="T6580">
        <v>-0.19888749999999999</v>
      </c>
      <c r="U6580">
        <v>-1.2006840000000001</v>
      </c>
      <c r="V6580">
        <v>0.29058139999999999</v>
      </c>
      <c r="W6580">
        <v>9.3646740000000006E-2</v>
      </c>
      <c r="X6580">
        <v>0.95225669999999996</v>
      </c>
      <c r="Y6580">
        <v>0.3155309</v>
      </c>
      <c r="Z6580">
        <v>-4.9373990000000003E-3</v>
      </c>
      <c r="AA6580">
        <v>0.94890240000000003</v>
      </c>
      <c r="AB6580">
        <v>25</v>
      </c>
      <c r="AC6580">
        <v>16.055399999999899</v>
      </c>
      <c r="AD6580">
        <v>-1.157853</v>
      </c>
      <c r="AE6580">
        <v>-6.9772449999999901</v>
      </c>
      <c r="AF6580">
        <v>5.54560873962585</v>
      </c>
      <c r="AG6580">
        <v>-1.157853</v>
      </c>
      <c r="AH6580">
        <v>16.523930689782699</v>
      </c>
      <c r="AI6580">
        <v>93.800570542850096</v>
      </c>
      <c r="AJ6580">
        <v>71.447693896034906</v>
      </c>
      <c r="AK6580">
        <v>17.468104799988001</v>
      </c>
      <c r="AL6580">
        <v>84.626563742415797</v>
      </c>
      <c r="AM6580">
        <v>73.030416772469806</v>
      </c>
      <c r="AN6580">
        <v>1.0000000423167299</v>
      </c>
    </row>
    <row r="6581" spans="1:40" x14ac:dyDescent="0.25">
      <c r="A6581" t="str">
        <f>"20190312172243485"</f>
        <v>20190312172243485</v>
      </c>
      <c r="B6581" t="str">
        <f>"1552382563477165"</f>
        <v>1552382563477165</v>
      </c>
      <c r="C6581" t="s">
        <v>40</v>
      </c>
      <c r="D6581">
        <v>3.2353809999999998</v>
      </c>
      <c r="E6581">
        <v>0.51189700000000005</v>
      </c>
      <c r="F6581" t="s">
        <v>43</v>
      </c>
      <c r="G6581">
        <v>-307.1979</v>
      </c>
      <c r="H6581">
        <v>-0.05</v>
      </c>
      <c r="I6581">
        <v>9.0439150000000001</v>
      </c>
      <c r="J6581">
        <v>-323.16390000000001</v>
      </c>
      <c r="K6581">
        <v>1.1078159999999999</v>
      </c>
      <c r="L6581">
        <v>16.064969999999999</v>
      </c>
      <c r="M6581">
        <v>0.99605350000000004</v>
      </c>
      <c r="N6581">
        <v>0</v>
      </c>
      <c r="O6581">
        <v>-8.7738819999999995E-2</v>
      </c>
      <c r="P6581">
        <v>0.92335210000000001</v>
      </c>
      <c r="Q6581">
        <v>8.2666169999999997E-2</v>
      </c>
      <c r="R6581">
        <v>-0.37495000000000001</v>
      </c>
      <c r="S6581">
        <v>2.7746279999999999</v>
      </c>
      <c r="T6581">
        <v>-0.1997505</v>
      </c>
      <c r="U6581">
        <v>-1.2133179999999999</v>
      </c>
      <c r="V6581">
        <v>0.29305589999999998</v>
      </c>
      <c r="W6581">
        <v>9.3645309999999995E-2</v>
      </c>
      <c r="X6581">
        <v>0.95149819999999996</v>
      </c>
      <c r="Y6581">
        <v>0.3182198</v>
      </c>
      <c r="Z6581">
        <v>-4.9406320000000004E-3</v>
      </c>
      <c r="AA6581">
        <v>0.94800410000000002</v>
      </c>
      <c r="AB6581">
        <v>25</v>
      </c>
      <c r="AC6581">
        <v>15.965999999999999</v>
      </c>
      <c r="AD6581">
        <v>-1.157816</v>
      </c>
      <c r="AE6581">
        <v>-7.0210549999999996</v>
      </c>
      <c r="AF6581">
        <v>5.5684716405513797</v>
      </c>
      <c r="AG6581">
        <v>-1.157816</v>
      </c>
      <c r="AH6581">
        <v>16.448010073736</v>
      </c>
      <c r="AI6581">
        <v>93.814554741246198</v>
      </c>
      <c r="AJ6581">
        <v>71.296476573989395</v>
      </c>
      <c r="AK6581">
        <v>17.403604502722999</v>
      </c>
      <c r="AL6581">
        <v>84.626645887681093</v>
      </c>
      <c r="AM6581">
        <v>72.8814726671866</v>
      </c>
      <c r="AN6581">
        <v>1.00000001460652</v>
      </c>
    </row>
    <row r="6582" spans="1:40" x14ac:dyDescent="0.25">
      <c r="A6582" t="str">
        <f>"20190312172243495"</f>
        <v>20190312172243495</v>
      </c>
      <c r="B6582" t="str">
        <f>"1552382563486925"</f>
        <v>1552382563486925</v>
      </c>
      <c r="C6582" t="s">
        <v>40</v>
      </c>
      <c r="D6582">
        <v>3.216043</v>
      </c>
      <c r="E6582">
        <v>0.51187550000000004</v>
      </c>
      <c r="F6582" t="s">
        <v>43</v>
      </c>
      <c r="G6582">
        <v>-307.10750000000002</v>
      </c>
      <c r="H6582">
        <v>-0.05</v>
      </c>
      <c r="I6582">
        <v>8.961487</v>
      </c>
      <c r="J6582">
        <v>-323.0455</v>
      </c>
      <c r="K6582">
        <v>1.1077859999999999</v>
      </c>
      <c r="L6582">
        <v>16.05273</v>
      </c>
      <c r="M6582">
        <v>0.99589890000000003</v>
      </c>
      <c r="N6582">
        <v>0</v>
      </c>
      <c r="O6582">
        <v>-8.9476390000000003E-2</v>
      </c>
      <c r="P6582">
        <v>0.92176570000000002</v>
      </c>
      <c r="Q6582">
        <v>8.2839430000000006E-2</v>
      </c>
      <c r="R6582">
        <v>-0.37879570000000001</v>
      </c>
      <c r="S6582">
        <v>2.769409</v>
      </c>
      <c r="T6582">
        <v>-0.1997012</v>
      </c>
      <c r="U6582">
        <v>-1.22522</v>
      </c>
      <c r="V6582">
        <v>0.29537449999999998</v>
      </c>
      <c r="W6582">
        <v>9.3772069999999999E-2</v>
      </c>
      <c r="X6582">
        <v>0.95076850000000002</v>
      </c>
      <c r="Y6582">
        <v>0.32063160000000002</v>
      </c>
      <c r="Z6582">
        <v>-4.9089989999999998E-3</v>
      </c>
      <c r="AA6582">
        <v>0.94719120000000001</v>
      </c>
      <c r="AB6582">
        <v>25</v>
      </c>
      <c r="AC6582">
        <v>15.937999999999899</v>
      </c>
      <c r="AD6582">
        <v>-1.157786</v>
      </c>
      <c r="AE6582">
        <v>-7.0912429999999897</v>
      </c>
      <c r="AF6582">
        <v>5.6118715640557602</v>
      </c>
      <c r="AG6582">
        <v>-1.157786</v>
      </c>
      <c r="AH6582">
        <v>16.436214370688202</v>
      </c>
      <c r="AI6582">
        <v>93.813842539900094</v>
      </c>
      <c r="AJ6582">
        <v>71.148384481860703</v>
      </c>
      <c r="AK6582">
        <v>17.406398642811499</v>
      </c>
      <c r="AL6582">
        <v>84.619350995557497</v>
      </c>
      <c r="AM6582">
        <v>72.741589152171102</v>
      </c>
      <c r="AN6582">
        <v>1.0000000184772899</v>
      </c>
    </row>
    <row r="6583" spans="1:40" x14ac:dyDescent="0.25">
      <c r="A6583" t="str">
        <f>"20190312172243507"</f>
        <v>20190312172243507</v>
      </c>
      <c r="B6583" t="str">
        <f>"1552382563496685"</f>
        <v>1552382563496685</v>
      </c>
      <c r="C6583" t="s">
        <v>40</v>
      </c>
      <c r="D6583">
        <v>3.2253880000000001</v>
      </c>
      <c r="E6583">
        <v>0.51185749999999997</v>
      </c>
      <c r="F6583" t="s">
        <v>43</v>
      </c>
      <c r="G6583">
        <v>-306.97329999999999</v>
      </c>
      <c r="H6583">
        <v>-0.05</v>
      </c>
      <c r="I6583">
        <v>8.8639679999999998</v>
      </c>
      <c r="J6583">
        <v>-322.92180000000002</v>
      </c>
      <c r="K6583">
        <v>1.1077520000000001</v>
      </c>
      <c r="L6583">
        <v>16.03961</v>
      </c>
      <c r="M6583">
        <v>0.99573100000000003</v>
      </c>
      <c r="N6583">
        <v>0</v>
      </c>
      <c r="O6583">
        <v>-9.1324470000000005E-2</v>
      </c>
      <c r="P6583">
        <v>0.9200488</v>
      </c>
      <c r="Q6583">
        <v>8.3288730000000005E-2</v>
      </c>
      <c r="R6583">
        <v>-0.38284899999999999</v>
      </c>
      <c r="S6583">
        <v>2.7643740000000001</v>
      </c>
      <c r="T6583">
        <v>-0.19913610000000001</v>
      </c>
      <c r="U6583">
        <v>-1.23645</v>
      </c>
      <c r="V6583">
        <v>0.2978112</v>
      </c>
      <c r="W6583">
        <v>9.4172729999999996E-2</v>
      </c>
      <c r="X6583">
        <v>0.94996840000000005</v>
      </c>
      <c r="Y6583">
        <v>0.32272459999999997</v>
      </c>
      <c r="Z6583">
        <v>-4.8462409999999899E-3</v>
      </c>
      <c r="AA6583">
        <v>0.94648049999999995</v>
      </c>
      <c r="AB6583">
        <v>25</v>
      </c>
      <c r="AC6583">
        <v>15.948499999999999</v>
      </c>
      <c r="AD6583">
        <v>-1.1577519999999999</v>
      </c>
      <c r="AE6583">
        <v>-7.1756419999999999</v>
      </c>
      <c r="AF6583">
        <v>5.6642079435465602</v>
      </c>
      <c r="AG6583">
        <v>-1.1577519999999999</v>
      </c>
      <c r="AH6583">
        <v>16.465053296209</v>
      </c>
      <c r="AI6583">
        <v>93.804067558558998</v>
      </c>
      <c r="AJ6583">
        <v>71.016068484817694</v>
      </c>
      <c r="AK6583">
        <v>17.4505478816066</v>
      </c>
      <c r="AL6583">
        <v>84.596292663778101</v>
      </c>
      <c r="AM6583">
        <v>72.5940057549345</v>
      </c>
      <c r="AN6583">
        <v>0.99999998745982599</v>
      </c>
    </row>
    <row r="6584" spans="1:40" x14ac:dyDescent="0.25">
      <c r="A6584" t="str">
        <f>"20190312172243519"</f>
        <v>20190312172243519</v>
      </c>
      <c r="B6584" t="str">
        <f>"1552382563507421"</f>
        <v>1552382563507421</v>
      </c>
      <c r="C6584" t="s">
        <v>40</v>
      </c>
      <c r="D6584">
        <v>3.2108569999999999</v>
      </c>
      <c r="E6584">
        <v>0.51180429999999999</v>
      </c>
      <c r="F6584" t="s">
        <v>43</v>
      </c>
      <c r="G6584">
        <v>-306.78039999999999</v>
      </c>
      <c r="H6584">
        <v>-0.05</v>
      </c>
      <c r="I6584">
        <v>8.7359919999999995</v>
      </c>
      <c r="J6584">
        <v>-322.79329999999999</v>
      </c>
      <c r="K6584">
        <v>1.1077159999999999</v>
      </c>
      <c r="L6584">
        <v>16.025879999999901</v>
      </c>
      <c r="M6584">
        <v>0.99555159999999998</v>
      </c>
      <c r="N6584">
        <v>0</v>
      </c>
      <c r="O6584">
        <v>-9.3260179999999998E-2</v>
      </c>
      <c r="P6584">
        <v>0.91822800000000004</v>
      </c>
      <c r="Q6584">
        <v>8.36557E-2</v>
      </c>
      <c r="R6584">
        <v>-0.38711689999999999</v>
      </c>
      <c r="S6584">
        <v>2.759125</v>
      </c>
      <c r="T6584">
        <v>-0.1979002</v>
      </c>
      <c r="U6584">
        <v>-1.2484440000000001</v>
      </c>
      <c r="V6584">
        <v>0.30039080000000001</v>
      </c>
      <c r="W6584">
        <v>9.4488890000000006E-2</v>
      </c>
      <c r="X6584">
        <v>0.94912450000000004</v>
      </c>
      <c r="Y6584">
        <v>0.3249802</v>
      </c>
      <c r="Z6584">
        <v>-4.7673189999999999E-3</v>
      </c>
      <c r="AA6584">
        <v>0.94570880000000002</v>
      </c>
      <c r="AB6584">
        <v>25</v>
      </c>
      <c r="AC6584">
        <v>16.012899999999998</v>
      </c>
      <c r="AD6584">
        <v>-1.157716</v>
      </c>
      <c r="AE6584">
        <v>-7.2898879999999897</v>
      </c>
      <c r="AF6584">
        <v>5.7397593842495196</v>
      </c>
      <c r="AG6584">
        <v>-1.157716</v>
      </c>
      <c r="AH6584">
        <v>16.5513531991073</v>
      </c>
      <c r="AI6584">
        <v>93.780948360955193</v>
      </c>
      <c r="AJ6584">
        <v>70.874226332514596</v>
      </c>
      <c r="AK6584">
        <v>17.556549685155598</v>
      </c>
      <c r="AL6584">
        <v>84.578097232095303</v>
      </c>
      <c r="AM6584">
        <v>72.437810439441904</v>
      </c>
      <c r="AN6584">
        <v>1.0000000497791599</v>
      </c>
    </row>
    <row r="6585" spans="1:40" x14ac:dyDescent="0.25">
      <c r="A6585" t="str">
        <f>"20190312172243529"</f>
        <v>20190312172243529</v>
      </c>
      <c r="B6585" t="str">
        <f>"1552382563526941"</f>
        <v>1552382563526941</v>
      </c>
      <c r="C6585" t="s">
        <v>40</v>
      </c>
      <c r="D6585">
        <v>3.2129319999999999</v>
      </c>
      <c r="E6585">
        <v>0.51171899999999904</v>
      </c>
      <c r="F6585" t="s">
        <v>43</v>
      </c>
      <c r="G6585">
        <v>-306.59449999999998</v>
      </c>
      <c r="H6585">
        <v>-0.05</v>
      </c>
      <c r="I6585">
        <v>8.6086119999999902</v>
      </c>
      <c r="J6585">
        <v>-322.67399999999998</v>
      </c>
      <c r="K6585">
        <v>1.107683</v>
      </c>
      <c r="L6585">
        <v>16.012629999999898</v>
      </c>
      <c r="M6585">
        <v>0.99537759999999997</v>
      </c>
      <c r="N6585">
        <v>0</v>
      </c>
      <c r="O6585">
        <v>-9.5098290000000002E-2</v>
      </c>
      <c r="P6585">
        <v>0.91659959999999996</v>
      </c>
      <c r="Q6585">
        <v>8.3814360000000004E-2</v>
      </c>
      <c r="R6585">
        <v>-0.3909223</v>
      </c>
      <c r="S6585">
        <v>2.7535099999999999</v>
      </c>
      <c r="T6585">
        <v>-0.19679150000000001</v>
      </c>
      <c r="U6585">
        <v>-1.2608029999999999</v>
      </c>
      <c r="V6585">
        <v>0.302587099999999</v>
      </c>
      <c r="W6585">
        <v>9.4603309999999996E-2</v>
      </c>
      <c r="X6585">
        <v>0.94841520000000001</v>
      </c>
      <c r="Y6585">
        <v>0.32747589999999999</v>
      </c>
      <c r="Z6585">
        <v>-4.7071359999999998E-3</v>
      </c>
      <c r="AA6585">
        <v>0.94484780000000002</v>
      </c>
      <c r="AB6585">
        <v>25</v>
      </c>
      <c r="AC6585">
        <v>16.079499999999999</v>
      </c>
      <c r="AD6585">
        <v>-1.157683</v>
      </c>
      <c r="AE6585">
        <v>-7.40401799999999</v>
      </c>
      <c r="AF6585">
        <v>5.81631032857885</v>
      </c>
      <c r="AG6585">
        <v>-1.157683</v>
      </c>
      <c r="AH6585">
        <v>16.639620650009899</v>
      </c>
      <c r="AI6585">
        <v>93.757628854809795</v>
      </c>
      <c r="AJ6585">
        <v>70.733138292570601</v>
      </c>
      <c r="AK6585">
        <v>17.664842799839899</v>
      </c>
      <c r="AL6585">
        <v>84.571512035891899</v>
      </c>
      <c r="AM6585">
        <v>72.304978492542503</v>
      </c>
      <c r="AN6585">
        <v>1.0000000654701999</v>
      </c>
    </row>
    <row r="6586" spans="1:40" x14ac:dyDescent="0.25">
      <c r="A6586" t="str">
        <f>"20190312172243541"</f>
        <v>20190312172243541</v>
      </c>
      <c r="B6586" t="str">
        <f>"1552382563536701"</f>
        <v>1552382563536701</v>
      </c>
      <c r="C6586" t="s">
        <v>40</v>
      </c>
      <c r="D6586">
        <v>3.216405</v>
      </c>
      <c r="E6586">
        <v>0.51167079999999998</v>
      </c>
      <c r="F6586" t="s">
        <v>43</v>
      </c>
      <c r="G6586">
        <v>-306.48669999999998</v>
      </c>
      <c r="H6586">
        <v>-0.05</v>
      </c>
      <c r="I6586">
        <v>8.5252230000000004</v>
      </c>
      <c r="J6586">
        <v>-322.54770000000002</v>
      </c>
      <c r="K6586">
        <v>1.1076520000000001</v>
      </c>
      <c r="L6586">
        <v>15.998570000000001</v>
      </c>
      <c r="M6586">
        <v>0.99518910000000005</v>
      </c>
      <c r="N6586">
        <v>0</v>
      </c>
      <c r="O6586">
        <v>-9.7051349999999995E-2</v>
      </c>
      <c r="P6586">
        <v>0.91486469999999998</v>
      </c>
      <c r="Q6586">
        <v>8.4001430000000002E-2</v>
      </c>
      <c r="R6586">
        <v>-0.39492670000000002</v>
      </c>
      <c r="S6586">
        <v>2.7486570000000001</v>
      </c>
      <c r="T6586">
        <v>-0.19657910000000001</v>
      </c>
      <c r="U6586">
        <v>-1.271393</v>
      </c>
      <c r="V6586">
        <v>0.30488510000000002</v>
      </c>
      <c r="W6586">
        <v>9.4743350000000004E-2</v>
      </c>
      <c r="X6586">
        <v>0.94766490000000003</v>
      </c>
      <c r="Y6586">
        <v>0.32925670000000001</v>
      </c>
      <c r="Z6586">
        <v>-4.6358900000000001E-3</v>
      </c>
      <c r="AA6586">
        <v>0.94422910000000004</v>
      </c>
      <c r="AB6586">
        <v>25</v>
      </c>
      <c r="AC6586">
        <v>16.061</v>
      </c>
      <c r="AD6586">
        <v>-1.1576519999999999</v>
      </c>
      <c r="AE6586">
        <v>-7.4733470000000004</v>
      </c>
      <c r="AF6586">
        <v>5.8541788374009904</v>
      </c>
      <c r="AG6586">
        <v>-1.1576519999999999</v>
      </c>
      <c r="AH6586">
        <v>16.639470634692501</v>
      </c>
      <c r="AI6586">
        <v>93.7548967219807</v>
      </c>
      <c r="AJ6586">
        <v>70.616862289357798</v>
      </c>
      <c r="AK6586">
        <v>17.677204276020898</v>
      </c>
      <c r="AL6586">
        <v>84.563451747261297</v>
      </c>
      <c r="AM6586">
        <v>72.165849671234696</v>
      </c>
      <c r="AN6586">
        <v>0.99999999463162104</v>
      </c>
    </row>
    <row r="6587" spans="1:40" x14ac:dyDescent="0.25">
      <c r="A6587" t="str">
        <f>"20190312172243552"</f>
        <v>20190312172243552</v>
      </c>
      <c r="B6587" t="str">
        <f>"1552382563547439"</f>
        <v>1552382563547439</v>
      </c>
      <c r="C6587" t="s">
        <v>40</v>
      </c>
      <c r="D6587">
        <v>3.1990780000000001</v>
      </c>
      <c r="E6587">
        <v>0.51158269999999995</v>
      </c>
      <c r="F6587" t="s">
        <v>43</v>
      </c>
      <c r="G6587">
        <v>-306.34589999999997</v>
      </c>
      <c r="H6587">
        <v>-0.05</v>
      </c>
      <c r="I6587">
        <v>8.420731</v>
      </c>
      <c r="J6587">
        <v>-322.41410000000002</v>
      </c>
      <c r="K6587">
        <v>1.1076170000000001</v>
      </c>
      <c r="L6587">
        <v>15.98325</v>
      </c>
      <c r="M6587">
        <v>0.99498109999999995</v>
      </c>
      <c r="N6587">
        <v>0</v>
      </c>
      <c r="O6587">
        <v>-9.9159990000000003E-2</v>
      </c>
      <c r="P6587">
        <v>0.91308679999999998</v>
      </c>
      <c r="Q6587">
        <v>8.4686780000000003E-2</v>
      </c>
      <c r="R6587">
        <v>-0.39887460000000002</v>
      </c>
      <c r="S6587">
        <v>2.7432859999999999</v>
      </c>
      <c r="T6587">
        <v>-0.19601360000000001</v>
      </c>
      <c r="U6587">
        <v>-1.2830809999999999</v>
      </c>
      <c r="V6587">
        <v>0.30699070000000001</v>
      </c>
      <c r="W6587">
        <v>9.5383679999999998E-2</v>
      </c>
      <c r="X6587">
        <v>0.9469206</v>
      </c>
      <c r="Y6587">
        <v>0.33126840000000002</v>
      </c>
      <c r="Z6587">
        <v>-4.5544030000000003E-3</v>
      </c>
      <c r="AA6587">
        <v>0.94352559999999996</v>
      </c>
      <c r="AB6587">
        <v>25</v>
      </c>
      <c r="AC6587">
        <v>16.068200000000001</v>
      </c>
      <c r="AD6587">
        <v>-1.1576169999999999</v>
      </c>
      <c r="AE6587">
        <v>-7.562519</v>
      </c>
      <c r="AF6587">
        <v>5.90667644690775</v>
      </c>
      <c r="AG6587">
        <v>-1.1576169999999999</v>
      </c>
      <c r="AH6587">
        <v>16.668135771367702</v>
      </c>
      <c r="AI6587">
        <v>93.745359937230404</v>
      </c>
      <c r="AJ6587">
        <v>70.487233530981896</v>
      </c>
      <c r="AK6587">
        <v>17.7216154415981</v>
      </c>
      <c r="AL6587">
        <v>84.526596547729397</v>
      </c>
      <c r="AM6587">
        <v>72.037358278347597</v>
      </c>
      <c r="AN6587">
        <v>0.99999997950059605</v>
      </c>
    </row>
    <row r="6588" spans="1:40" x14ac:dyDescent="0.25">
      <c r="A6588" t="str">
        <f>"20190312172243564"</f>
        <v>20190312172243564</v>
      </c>
      <c r="B6588" t="str">
        <f>"1552382563557197"</f>
        <v>1552382563557197</v>
      </c>
      <c r="C6588" t="s">
        <v>40</v>
      </c>
      <c r="D6588">
        <v>3.2069320000000001</v>
      </c>
      <c r="E6588">
        <v>0.51148930000000004</v>
      </c>
      <c r="F6588" t="s">
        <v>43</v>
      </c>
      <c r="G6588">
        <v>-306.07209999999998</v>
      </c>
      <c r="H6588">
        <v>-0.05</v>
      </c>
      <c r="I6588">
        <v>8.2555239999999994</v>
      </c>
      <c r="J6588">
        <v>-322.2928</v>
      </c>
      <c r="K6588">
        <v>1.1075900000000001</v>
      </c>
      <c r="L6588">
        <v>15.96909</v>
      </c>
      <c r="M6588">
        <v>0.99478699999999998</v>
      </c>
      <c r="N6588">
        <v>0</v>
      </c>
      <c r="O6588">
        <v>-0.1010892</v>
      </c>
      <c r="P6588">
        <v>0.91144630000000004</v>
      </c>
      <c r="Q6588">
        <v>8.4975640000000005E-2</v>
      </c>
      <c r="R6588">
        <v>-0.40254780000000001</v>
      </c>
      <c r="S6588">
        <v>2.737946</v>
      </c>
      <c r="T6588">
        <v>-0.1939477</v>
      </c>
      <c r="U6588">
        <v>-1.294708</v>
      </c>
      <c r="V6588">
        <v>0.3089808</v>
      </c>
      <c r="W6588">
        <v>9.5630499999999993E-2</v>
      </c>
      <c r="X6588">
        <v>0.94624819999999998</v>
      </c>
      <c r="Y6588">
        <v>0.33343319999999999</v>
      </c>
      <c r="Z6588">
        <v>-4.455952E-3</v>
      </c>
      <c r="AA6588">
        <v>0.94276320000000002</v>
      </c>
      <c r="AB6588">
        <v>25</v>
      </c>
      <c r="AC6588">
        <v>16.220700000000001</v>
      </c>
      <c r="AD6588">
        <v>-1.1575899999999999</v>
      </c>
      <c r="AE6588">
        <v>-7.7135659999999904</v>
      </c>
      <c r="AF6588">
        <v>6.0091998832748503</v>
      </c>
      <c r="AG6588">
        <v>-1.1575899999999999</v>
      </c>
      <c r="AH6588">
        <v>16.8474420131908</v>
      </c>
      <c r="AI6588">
        <v>93.702826051513995</v>
      </c>
      <c r="AJ6588">
        <v>70.369535455088297</v>
      </c>
      <c r="AK6588">
        <v>17.924474894207599</v>
      </c>
      <c r="AL6588">
        <v>84.512389927660095</v>
      </c>
      <c r="AM6588">
        <v>71.916456350670202</v>
      </c>
      <c r="AN6588">
        <v>0.99999999165106401</v>
      </c>
    </row>
    <row r="6589" spans="1:40" x14ac:dyDescent="0.25">
      <c r="A6589" t="str">
        <f>"20190312172243574"</f>
        <v>20190312172243574</v>
      </c>
      <c r="B6589" t="str">
        <f>"1552382563566957"</f>
        <v>1552382563566957</v>
      </c>
      <c r="C6589" t="s">
        <v>40</v>
      </c>
      <c r="D6589">
        <v>3.4607220000000001</v>
      </c>
      <c r="E6589">
        <v>0.51143459999999996</v>
      </c>
      <c r="F6589" t="s">
        <v>43</v>
      </c>
      <c r="G6589">
        <v>-305.91789999999997</v>
      </c>
      <c r="H6589">
        <v>-0.05</v>
      </c>
      <c r="I6589">
        <v>8.1484380000000005</v>
      </c>
      <c r="J6589">
        <v>-322.16840000000002</v>
      </c>
      <c r="K6589">
        <v>1.1075649999999999</v>
      </c>
      <c r="L6589">
        <v>15.954319999999999</v>
      </c>
      <c r="M6589">
        <v>0.99458159999999896</v>
      </c>
      <c r="N6589">
        <v>0</v>
      </c>
      <c r="O6589">
        <v>-0.1030909</v>
      </c>
      <c r="P6589">
        <v>0.90980950000000005</v>
      </c>
      <c r="Q6589">
        <v>8.5193370000000004E-2</v>
      </c>
      <c r="R6589">
        <v>-0.4061881</v>
      </c>
      <c r="S6589">
        <v>2.732971</v>
      </c>
      <c r="T6589">
        <v>-0.19320190000000001</v>
      </c>
      <c r="U6589">
        <v>-1.305267</v>
      </c>
      <c r="V6589">
        <v>0.31087090000000001</v>
      </c>
      <c r="W6589">
        <v>9.5808489999999996E-2</v>
      </c>
      <c r="X6589">
        <v>0.94561090000000003</v>
      </c>
      <c r="Y6589">
        <v>0.33517279999999999</v>
      </c>
      <c r="Z6589">
        <v>-4.3692000000000002E-3</v>
      </c>
      <c r="AA6589">
        <v>0.9421465</v>
      </c>
      <c r="AB6589">
        <v>25</v>
      </c>
      <c r="AC6589">
        <v>16.250499999999999</v>
      </c>
      <c r="AD6589">
        <v>-1.157565</v>
      </c>
      <c r="AE6589">
        <v>-7.8058820000000004</v>
      </c>
      <c r="AF6589">
        <v>6.0638549469251197</v>
      </c>
      <c r="AG6589">
        <v>-1.157565</v>
      </c>
      <c r="AH6589">
        <v>16.8990170216032</v>
      </c>
      <c r="AI6589">
        <v>93.688972678923093</v>
      </c>
      <c r="AJ6589">
        <v>70.260548781331494</v>
      </c>
      <c r="AK6589">
        <v>17.991305395746299</v>
      </c>
      <c r="AL6589">
        <v>84.502144738380807</v>
      </c>
      <c r="AM6589">
        <v>71.801648348477201</v>
      </c>
      <c r="AN6589">
        <v>0.999999978710849</v>
      </c>
    </row>
    <row r="6590" spans="1:40" x14ac:dyDescent="0.25">
      <c r="A6590" t="str">
        <f>"20190312172243585"</f>
        <v>20190312172243585</v>
      </c>
      <c r="B6590" t="str">
        <f>"1552382563576717"</f>
        <v>1552382563576717</v>
      </c>
      <c r="C6590" t="s">
        <v>40</v>
      </c>
      <c r="D6590">
        <v>3.22688</v>
      </c>
      <c r="E6590">
        <v>0.51141009999999998</v>
      </c>
      <c r="F6590" t="s">
        <v>43</v>
      </c>
      <c r="G6590">
        <v>-305.7885</v>
      </c>
      <c r="H6590">
        <v>-0.05</v>
      </c>
      <c r="I6590">
        <v>8.0526429999999998</v>
      </c>
      <c r="J6590">
        <v>-322.0471</v>
      </c>
      <c r="K6590">
        <v>1.1075390000000001</v>
      </c>
      <c r="L6590">
        <v>15.93961</v>
      </c>
      <c r="M6590">
        <v>0.99437509999999996</v>
      </c>
      <c r="N6590">
        <v>0</v>
      </c>
      <c r="O6590">
        <v>-0.10506359999999999</v>
      </c>
      <c r="P6590">
        <v>0.90824990000000005</v>
      </c>
      <c r="Q6590">
        <v>8.5758290000000001E-2</v>
      </c>
      <c r="R6590">
        <v>-0.40954679999999999</v>
      </c>
      <c r="S6590">
        <v>2.7279049999999998</v>
      </c>
      <c r="T6590">
        <v>-0.19278120000000001</v>
      </c>
      <c r="U6590">
        <v>-1.3159479999999999</v>
      </c>
      <c r="V6590">
        <v>0.312505599999999</v>
      </c>
      <c r="W6590">
        <v>9.6337229999999996E-2</v>
      </c>
      <c r="X6590">
        <v>0.94501820000000003</v>
      </c>
      <c r="Y6590">
        <v>0.33698280000000003</v>
      </c>
      <c r="Z6590">
        <v>-4.2944910000000001E-3</v>
      </c>
      <c r="AA6590">
        <v>0.94150100000000003</v>
      </c>
      <c r="AB6590">
        <v>25</v>
      </c>
      <c r="AC6590">
        <v>16.258600000000001</v>
      </c>
      <c r="AD6590">
        <v>-1.1575389999999901</v>
      </c>
      <c r="AE6590">
        <v>-7.8869669999999896</v>
      </c>
      <c r="AF6590">
        <v>6.1098977614044596</v>
      </c>
      <c r="AG6590">
        <v>-1.1575389999999901</v>
      </c>
      <c r="AH6590">
        <v>16.927849321425999</v>
      </c>
      <c r="AI6590">
        <v>93.680157577404998</v>
      </c>
      <c r="AJ6590">
        <v>70.153579382546695</v>
      </c>
      <c r="AK6590">
        <v>18.033935506157199</v>
      </c>
      <c r="AL6590">
        <v>84.471709528677195</v>
      </c>
      <c r="AM6590">
        <v>71.701600669193297</v>
      </c>
      <c r="AN6590">
        <v>1.00000000512333</v>
      </c>
    </row>
    <row r="6591" spans="1:40" x14ac:dyDescent="0.25">
      <c r="A6591" t="str">
        <f>"20190312172243596"</f>
        <v>20190312172243596</v>
      </c>
      <c r="B6591" t="str">
        <f>"1552382563587453"</f>
        <v>1552382563587453</v>
      </c>
      <c r="C6591" t="s">
        <v>40</v>
      </c>
      <c r="D6591">
        <v>3.182007</v>
      </c>
      <c r="E6591">
        <v>0.51141009999999998</v>
      </c>
      <c r="F6591" t="s">
        <v>43</v>
      </c>
      <c r="G6591">
        <v>-305.55130000000003</v>
      </c>
      <c r="H6591">
        <v>-0.05</v>
      </c>
      <c r="I6591">
        <v>7.907089</v>
      </c>
      <c r="J6591">
        <v>-321.92649999999998</v>
      </c>
      <c r="K6591">
        <v>1.107518</v>
      </c>
      <c r="L6591">
        <v>15.924770000000001</v>
      </c>
      <c r="M6591">
        <v>0.9941641</v>
      </c>
      <c r="N6591">
        <v>0</v>
      </c>
      <c r="O6591">
        <v>-0.1070403</v>
      </c>
      <c r="P6591">
        <v>0.90664109999999998</v>
      </c>
      <c r="Q6591">
        <v>8.6396920000000002E-2</v>
      </c>
      <c r="R6591">
        <v>-0.4129621</v>
      </c>
      <c r="S6591">
        <v>2.7231450000000001</v>
      </c>
      <c r="T6591">
        <v>-0.1910886</v>
      </c>
      <c r="U6591">
        <v>-1.3260190000000001</v>
      </c>
      <c r="V6591">
        <v>0.31420169999999997</v>
      </c>
      <c r="W6591">
        <v>9.6939979999999995E-2</v>
      </c>
      <c r="X6591">
        <v>0.94439399999999996</v>
      </c>
      <c r="Y6591">
        <v>0.33858179999999999</v>
      </c>
      <c r="Z6591">
        <v>-4.1846380000000001E-3</v>
      </c>
      <c r="AA6591">
        <v>0.94092770000000003</v>
      </c>
      <c r="AB6591">
        <v>25</v>
      </c>
      <c r="AC6591">
        <v>16.3751999999999</v>
      </c>
      <c r="AD6591">
        <v>-1.157518</v>
      </c>
      <c r="AE6591">
        <v>-8.0176809999999996</v>
      </c>
      <c r="AF6591">
        <v>6.1936809664255303</v>
      </c>
      <c r="AG6591">
        <v>-1.157518</v>
      </c>
      <c r="AH6591">
        <v>17.070592195221</v>
      </c>
      <c r="AI6591">
        <v>93.6472016076344</v>
      </c>
      <c r="AJ6591">
        <v>70.057834079562696</v>
      </c>
      <c r="AK6591">
        <v>18.196336162253299</v>
      </c>
      <c r="AL6591">
        <v>84.437012334312499</v>
      </c>
      <c r="AM6591">
        <v>71.597616767645704</v>
      </c>
      <c r="AN6591">
        <v>1.0000000476206401</v>
      </c>
    </row>
    <row r="6592" spans="1:40" x14ac:dyDescent="0.25">
      <c r="A6592" t="str">
        <f>"20190312172243607"</f>
        <v>20190312172243607</v>
      </c>
      <c r="B6592" t="str">
        <f>"1552382563597213"</f>
        <v>1552382563597213</v>
      </c>
      <c r="C6592" t="s">
        <v>40</v>
      </c>
      <c r="D6592">
        <v>3.2391380000000001</v>
      </c>
      <c r="E6592">
        <v>0.53364500000000004</v>
      </c>
      <c r="F6592" t="s">
        <v>43</v>
      </c>
      <c r="G6592">
        <v>-305.29070000000002</v>
      </c>
      <c r="H6592">
        <v>-0.05</v>
      </c>
      <c r="I6592">
        <v>7.74546799999999</v>
      </c>
      <c r="J6592">
        <v>-321.80340000000001</v>
      </c>
      <c r="K6592">
        <v>1.1074949999999999</v>
      </c>
      <c r="L6592">
        <v>15.909269999999999</v>
      </c>
      <c r="M6592">
        <v>0.99394179999999999</v>
      </c>
      <c r="N6592">
        <v>0</v>
      </c>
      <c r="O6592">
        <v>-0.10908669999999999</v>
      </c>
      <c r="P6592">
        <v>0.90499569999999996</v>
      </c>
      <c r="Q6592">
        <v>8.6839379999999994E-2</v>
      </c>
      <c r="R6592">
        <v>-0.4164639</v>
      </c>
      <c r="S6592">
        <v>2.7182010000000001</v>
      </c>
      <c r="T6592">
        <v>-0.18913240000000001</v>
      </c>
      <c r="U6592">
        <v>-1.3364560000000001</v>
      </c>
      <c r="V6592">
        <v>0.31592350000000002</v>
      </c>
      <c r="W6592">
        <v>9.7346230000000006E-2</v>
      </c>
      <c r="X6592">
        <v>0.94377759999999999</v>
      </c>
      <c r="Y6592">
        <v>0.34024149999999997</v>
      </c>
      <c r="Z6592">
        <v>-4.0679599999999998E-3</v>
      </c>
      <c r="AA6592">
        <v>0.94032930000000003</v>
      </c>
      <c r="AB6592">
        <v>25</v>
      </c>
      <c r="AC6592">
        <v>16.512699999999899</v>
      </c>
      <c r="AD6592">
        <v>-1.1574949999999999</v>
      </c>
      <c r="AE6592">
        <v>-8.1638020000000004</v>
      </c>
      <c r="AF6592">
        <v>6.2887644702790499</v>
      </c>
      <c r="AG6592">
        <v>-1.1574949999999999</v>
      </c>
      <c r="AH6592">
        <v>17.236721378753298</v>
      </c>
      <c r="AI6592">
        <v>93.609734799127594</v>
      </c>
      <c r="AJ6592">
        <v>69.955658641265501</v>
      </c>
      <c r="AK6592">
        <v>18.384583681074702</v>
      </c>
      <c r="AL6592">
        <v>84.413625340401495</v>
      </c>
      <c r="AM6592">
        <v>71.492360498764498</v>
      </c>
      <c r="AN6592">
        <v>1.00000005230461</v>
      </c>
    </row>
    <row r="6593" spans="1:40" x14ac:dyDescent="0.25">
      <c r="A6593" t="str">
        <f>"20190312172243618"</f>
        <v>20190312172243618</v>
      </c>
      <c r="B6593" t="str">
        <f>"1552382563606973"</f>
        <v>1552382563606973</v>
      </c>
      <c r="C6593" t="s">
        <v>40</v>
      </c>
      <c r="D6593">
        <v>3.213727</v>
      </c>
      <c r="E6593">
        <v>0.53787830000000003</v>
      </c>
      <c r="F6593" t="s">
        <v>43</v>
      </c>
      <c r="G6593">
        <v>-303.3698</v>
      </c>
      <c r="H6593">
        <v>-0.05</v>
      </c>
      <c r="I6593">
        <v>5.372757</v>
      </c>
      <c r="J6593">
        <v>-321.67720000000003</v>
      </c>
      <c r="K6593">
        <v>1.1074729999999999</v>
      </c>
      <c r="L6593">
        <v>15.89325</v>
      </c>
      <c r="M6593">
        <v>0.99370829999999999</v>
      </c>
      <c r="N6593">
        <v>0</v>
      </c>
      <c r="O6593">
        <v>-0.1111934</v>
      </c>
      <c r="P6593">
        <v>0.90332460000000003</v>
      </c>
      <c r="Q6593">
        <v>8.7321339999999997E-2</v>
      </c>
      <c r="R6593">
        <v>-0.41997689999999999</v>
      </c>
      <c r="S6593">
        <v>2.6372070000000001</v>
      </c>
      <c r="T6593">
        <v>-0.16559789999999999</v>
      </c>
      <c r="U6593">
        <v>-1.5074160000000001</v>
      </c>
      <c r="V6593">
        <v>0.31760539999999998</v>
      </c>
      <c r="W6593">
        <v>9.7791840000000005E-2</v>
      </c>
      <c r="X6593">
        <v>0.94316679999999997</v>
      </c>
      <c r="Y6593">
        <v>0.39620860000000002</v>
      </c>
      <c r="Z6593">
        <v>-5.1249499999999996E-3</v>
      </c>
      <c r="AA6593">
        <v>0.91814629999999997</v>
      </c>
      <c r="AB6593">
        <v>25</v>
      </c>
      <c r="AC6593">
        <v>18.307400000000001</v>
      </c>
      <c r="AD6593">
        <v>-1.157473</v>
      </c>
      <c r="AE6593">
        <v>-10.520493</v>
      </c>
      <c r="AF6593">
        <v>8.3941719891204905</v>
      </c>
      <c r="AG6593">
        <v>-1.157473</v>
      </c>
      <c r="AH6593">
        <v>19.305752674639901</v>
      </c>
      <c r="AI6593">
        <v>93.147090276172406</v>
      </c>
      <c r="AJ6593">
        <v>66.500519608001397</v>
      </c>
      <c r="AK6593">
        <v>21.083499554462701</v>
      </c>
      <c r="AL6593">
        <v>84.3879712049348</v>
      </c>
      <c r="AM6593">
        <v>71.389376065577807</v>
      </c>
      <c r="AN6593">
        <v>1.00000002335099</v>
      </c>
    </row>
    <row r="6594" spans="1:40" x14ac:dyDescent="0.25">
      <c r="A6594" t="str">
        <f>"20190312172243631"</f>
        <v>20190312172243631</v>
      </c>
      <c r="B6594" t="str">
        <f>"1552382563627469"</f>
        <v>1552382563627469</v>
      </c>
      <c r="C6594" t="s">
        <v>40</v>
      </c>
      <c r="D6594">
        <v>3.2241279999999999</v>
      </c>
      <c r="E6594">
        <v>0.54061219999999999</v>
      </c>
      <c r="F6594" t="s">
        <v>43</v>
      </c>
      <c r="G6594">
        <v>-304.1046</v>
      </c>
      <c r="H6594">
        <v>-0.05</v>
      </c>
      <c r="I6594">
        <v>5.4985049999999998</v>
      </c>
      <c r="J6594">
        <v>-321.54939999999999</v>
      </c>
      <c r="K6594">
        <v>1.107448</v>
      </c>
      <c r="L6594">
        <v>15.876530000000001</v>
      </c>
      <c r="M6594">
        <v>0.99346259999999997</v>
      </c>
      <c r="N6594">
        <v>0</v>
      </c>
      <c r="O6594">
        <v>-0.1133657</v>
      </c>
      <c r="P6594">
        <v>0.90170090000000003</v>
      </c>
      <c r="Q6594">
        <v>8.7689829999999996E-2</v>
      </c>
      <c r="R6594">
        <v>-0.4233748</v>
      </c>
      <c r="S6594">
        <v>2.6177670000000002</v>
      </c>
      <c r="T6594">
        <v>-0.17242739999999901</v>
      </c>
      <c r="U6594">
        <v>-1.548492</v>
      </c>
      <c r="V6594">
        <v>0.31910850000000002</v>
      </c>
      <c r="W6594">
        <v>9.812593E-2</v>
      </c>
      <c r="X6594">
        <v>0.94262460000000003</v>
      </c>
      <c r="Y6594">
        <v>0.4077963</v>
      </c>
      <c r="Z6594">
        <v>-5.5752060000000001E-3</v>
      </c>
      <c r="AA6594">
        <v>0.91305590000000003</v>
      </c>
      <c r="AB6594">
        <v>25</v>
      </c>
      <c r="AC6594">
        <v>17.444799999999901</v>
      </c>
      <c r="AD6594">
        <v>-1.157448</v>
      </c>
      <c r="AE6594">
        <v>-10.3780249999999</v>
      </c>
      <c r="AF6594">
        <v>8.3062812952147809</v>
      </c>
      <c r="AG6594">
        <v>-1.157448</v>
      </c>
      <c r="AH6594">
        <v>18.448950665790601</v>
      </c>
      <c r="AI6594">
        <v>93.274155778294897</v>
      </c>
      <c r="AJ6594">
        <v>65.761270331283399</v>
      </c>
      <c r="AK6594">
        <v>20.265679744255198</v>
      </c>
      <c r="AL6594">
        <v>84.368736813700096</v>
      </c>
      <c r="AM6594">
        <v>71.2974000377083</v>
      </c>
      <c r="AN6594">
        <v>1.0000000347178799</v>
      </c>
    </row>
    <row r="6595" spans="1:40" x14ac:dyDescent="0.25">
      <c r="A6595" t="str">
        <f>"20190312172243643"</f>
        <v>20190312172243643</v>
      </c>
      <c r="B6595" t="str">
        <f>"1552382563637228"</f>
        <v>1552382563637228</v>
      </c>
      <c r="C6595" t="s">
        <v>40</v>
      </c>
      <c r="D6595">
        <v>3.2413099999999999</v>
      </c>
      <c r="E6595">
        <v>0.54126070000000004</v>
      </c>
      <c r="F6595" t="s">
        <v>43</v>
      </c>
      <c r="G6595">
        <v>-304.28210000000001</v>
      </c>
      <c r="H6595">
        <v>-0.05</v>
      </c>
      <c r="I6595">
        <v>5.4060969999999999</v>
      </c>
      <c r="J6595">
        <v>-321.42160000000001</v>
      </c>
      <c r="K6595">
        <v>1.1074219999999999</v>
      </c>
      <c r="L6595">
        <v>15.85965</v>
      </c>
      <c r="M6595">
        <v>0.99321130000000002</v>
      </c>
      <c r="N6595">
        <v>0</v>
      </c>
      <c r="O6595">
        <v>-0.1155466</v>
      </c>
      <c r="P6595">
        <v>0.89998609999999901</v>
      </c>
      <c r="Q6595">
        <v>8.7700959999999994E-2</v>
      </c>
      <c r="R6595">
        <v>-0.42700559999999999</v>
      </c>
      <c r="S6595">
        <v>2.6029049999999998</v>
      </c>
      <c r="T6595">
        <v>-0.174476399999999</v>
      </c>
      <c r="U6595">
        <v>-1.5783389999999999</v>
      </c>
      <c r="V6595">
        <v>0.32084570000000001</v>
      </c>
      <c r="W6595">
        <v>9.8100300000000001E-2</v>
      </c>
      <c r="X6595">
        <v>0.94203729999999997</v>
      </c>
      <c r="Y6595">
        <v>0.41572999999999999</v>
      </c>
      <c r="Z6595">
        <v>-5.7677509999999998E-3</v>
      </c>
      <c r="AA6595">
        <v>0.90946979999999999</v>
      </c>
      <c r="AB6595">
        <v>25</v>
      </c>
      <c r="AC6595">
        <v>17.139499999999899</v>
      </c>
      <c r="AD6595">
        <v>-1.157422</v>
      </c>
      <c r="AE6595">
        <v>-10.453552999999999</v>
      </c>
      <c r="AF6595">
        <v>8.3750963330742199</v>
      </c>
      <c r="AG6595">
        <v>-1.157422</v>
      </c>
      <c r="AH6595">
        <v>18.1722601687718</v>
      </c>
      <c r="AI6595">
        <v>93.310534740090006</v>
      </c>
      <c r="AJ6595">
        <v>65.256319949664601</v>
      </c>
      <c r="AK6595">
        <v>20.042776851421699</v>
      </c>
      <c r="AL6595">
        <v>84.370211964222193</v>
      </c>
      <c r="AM6595">
        <v>71.191822313903899</v>
      </c>
      <c r="AN6595">
        <v>0.99999995332993397</v>
      </c>
    </row>
    <row r="6596" spans="1:40" x14ac:dyDescent="0.25">
      <c r="A6596" t="str">
        <f>"20190312172243653"</f>
        <v>20190312172243653</v>
      </c>
      <c r="B6596" t="str">
        <f>"1552382563646988"</f>
        <v>1552382563646988</v>
      </c>
      <c r="C6596" t="s">
        <v>40</v>
      </c>
      <c r="D6596">
        <v>3.2105700000000001</v>
      </c>
      <c r="E6596">
        <v>0.54170039999999997</v>
      </c>
      <c r="F6596" t="s">
        <v>43</v>
      </c>
      <c r="G6596">
        <v>-304.30220000000003</v>
      </c>
      <c r="H6596">
        <v>-0.05</v>
      </c>
      <c r="I6596">
        <v>5.3445739999999997</v>
      </c>
      <c r="J6596">
        <v>-321.2946</v>
      </c>
      <c r="K6596">
        <v>1.1073949999999999</v>
      </c>
      <c r="L6596">
        <v>15.84247</v>
      </c>
      <c r="M6596">
        <v>0.99295319999999998</v>
      </c>
      <c r="N6596">
        <v>0</v>
      </c>
      <c r="O6596">
        <v>-0.11774419999999999</v>
      </c>
      <c r="P6596">
        <v>0.89835659999999895</v>
      </c>
      <c r="Q6596">
        <v>8.7643120000000005E-2</v>
      </c>
      <c r="R6596">
        <v>-0.43043540000000002</v>
      </c>
      <c r="S6596">
        <v>2.5943909999999999</v>
      </c>
      <c r="T6596">
        <v>-0.17540439999999999</v>
      </c>
      <c r="U6596">
        <v>-1.5935360000000001</v>
      </c>
      <c r="V6596">
        <v>0.32236090000000001</v>
      </c>
      <c r="W6596">
        <v>9.8008239999999996E-2</v>
      </c>
      <c r="X6596">
        <v>0.94152950000000002</v>
      </c>
      <c r="Y6596">
        <v>0.41890830000000001</v>
      </c>
      <c r="Z6596">
        <v>-5.7721430000000004E-3</v>
      </c>
      <c r="AA6596">
        <v>0.90801019999999999</v>
      </c>
      <c r="AB6596">
        <v>25</v>
      </c>
      <c r="AC6596">
        <v>16.9923999999999</v>
      </c>
      <c r="AD6596">
        <v>-1.157395</v>
      </c>
      <c r="AE6596">
        <v>-10.497896000000001</v>
      </c>
      <c r="AF6596">
        <v>8.3957313955455195</v>
      </c>
      <c r="AG6596">
        <v>-1.157395</v>
      </c>
      <c r="AH6596">
        <v>18.049750128947299</v>
      </c>
      <c r="AI6596">
        <v>93.327465346266806</v>
      </c>
      <c r="AJ6596">
        <v>65.0547930659678</v>
      </c>
      <c r="AK6596">
        <v>19.940445044421899</v>
      </c>
      <c r="AL6596">
        <v>84.375512317886006</v>
      </c>
      <c r="AM6596">
        <v>71.099820202463803</v>
      </c>
      <c r="AN6596">
        <v>0.99999998216347796</v>
      </c>
    </row>
    <row r="6597" spans="1:40" x14ac:dyDescent="0.25">
      <c r="A6597" t="str">
        <f>"20190312172243665"</f>
        <v>20190312172243665</v>
      </c>
      <c r="B6597" t="str">
        <f>"1552382563656749"</f>
        <v>1552382563656749</v>
      </c>
      <c r="C6597" t="s">
        <v>40</v>
      </c>
      <c r="D6597">
        <v>3.2785959999999998</v>
      </c>
      <c r="E6597">
        <v>0.54237179999999996</v>
      </c>
      <c r="F6597" t="s">
        <v>43</v>
      </c>
      <c r="G6597">
        <v>-304.29259999999999</v>
      </c>
      <c r="H6597">
        <v>-0.05</v>
      </c>
      <c r="I6597">
        <v>5.2815399999999997</v>
      </c>
      <c r="J6597">
        <v>-321.16890000000001</v>
      </c>
      <c r="K6597">
        <v>1.107361</v>
      </c>
      <c r="L6597">
        <v>15.82526</v>
      </c>
      <c r="M6597">
        <v>0.99266509999999997</v>
      </c>
      <c r="N6597">
        <v>0</v>
      </c>
      <c r="O6597">
        <v>-0.12015820000000001</v>
      </c>
      <c r="P6597">
        <v>0.89668510000000001</v>
      </c>
      <c r="Q6597">
        <v>8.7572860000000002E-2</v>
      </c>
      <c r="R6597">
        <v>-0.4339209</v>
      </c>
      <c r="S6597">
        <v>2.5867610000000001</v>
      </c>
      <c r="T6597">
        <v>-0.17609079999999999</v>
      </c>
      <c r="U6597">
        <v>-1.606781</v>
      </c>
      <c r="V6597">
        <v>0.3237294</v>
      </c>
      <c r="W6597">
        <v>9.7825999999999996E-2</v>
      </c>
      <c r="X6597">
        <v>0.94107879999999999</v>
      </c>
      <c r="Y6597">
        <v>0.42125119999999999</v>
      </c>
      <c r="Z6597">
        <v>-5.7282940000000001E-3</v>
      </c>
      <c r="AA6597">
        <v>0.90692589999999995</v>
      </c>
      <c r="AB6597">
        <v>25</v>
      </c>
      <c r="AC6597">
        <v>16.876300000000001</v>
      </c>
      <c r="AD6597">
        <v>-1.1573610000000001</v>
      </c>
      <c r="AE6597">
        <v>-10.54372</v>
      </c>
      <c r="AF6597">
        <v>8.4108566946966796</v>
      </c>
      <c r="AG6597">
        <v>-1.1573610000000001</v>
      </c>
      <c r="AH6597">
        <v>17.9602780055904</v>
      </c>
      <c r="AI6597">
        <v>93.339868978888504</v>
      </c>
      <c r="AJ6597">
        <v>64.906154127048595</v>
      </c>
      <c r="AK6597">
        <v>19.8658898834444</v>
      </c>
      <c r="AL6597">
        <v>84.386004303116806</v>
      </c>
      <c r="AM6597">
        <v>71.016875882124793</v>
      </c>
      <c r="AN6597">
        <v>0.99999997925489903</v>
      </c>
    </row>
    <row r="6598" spans="1:40" x14ac:dyDescent="0.25">
      <c r="A6598" t="str">
        <f>"20190312172243676"</f>
        <v>20190312172243676</v>
      </c>
      <c r="B6598" t="str">
        <f>"1552382563667485"</f>
        <v>1552382563667485</v>
      </c>
      <c r="C6598" t="s">
        <v>40</v>
      </c>
      <c r="D6598">
        <v>3.2378119999999999</v>
      </c>
      <c r="E6598">
        <v>0.54273640000000001</v>
      </c>
      <c r="F6598" t="s">
        <v>43</v>
      </c>
      <c r="G6598">
        <v>-305.1121</v>
      </c>
      <c r="H6598">
        <v>-0.05</v>
      </c>
      <c r="I6598">
        <v>5.725708</v>
      </c>
      <c r="J6598">
        <v>-321.03739999999999</v>
      </c>
      <c r="K6598">
        <v>1.10731</v>
      </c>
      <c r="L6598">
        <v>15.807040000000001</v>
      </c>
      <c r="M6598">
        <v>0.99232019999999999</v>
      </c>
      <c r="N6598">
        <v>0</v>
      </c>
      <c r="O6598">
        <v>-0.122999</v>
      </c>
      <c r="P6598">
        <v>0.89470039999999995</v>
      </c>
      <c r="Q6598">
        <v>8.7725549999999999E-2</v>
      </c>
      <c r="R6598">
        <v>-0.43796760000000001</v>
      </c>
      <c r="S6598">
        <v>2.5788570000000002</v>
      </c>
      <c r="T6598">
        <v>-0.18588160000000001</v>
      </c>
      <c r="U6598">
        <v>-1.6220699999999999</v>
      </c>
      <c r="V6598">
        <v>0.32528810000000002</v>
      </c>
      <c r="W6598">
        <v>9.7754830000000001E-2</v>
      </c>
      <c r="X6598">
        <v>0.94054859999999896</v>
      </c>
      <c r="Y6598">
        <v>0.42370629999999998</v>
      </c>
      <c r="Z6598">
        <v>-5.951596E-3</v>
      </c>
      <c r="AA6598">
        <v>0.90578009999999998</v>
      </c>
      <c r="AB6598">
        <v>25</v>
      </c>
      <c r="AC6598">
        <v>15.925299999999901</v>
      </c>
      <c r="AD6598">
        <v>-1.1573100000000001</v>
      </c>
      <c r="AE6598">
        <v>-10.081332</v>
      </c>
      <c r="AF6598">
        <v>8.0155842902190209</v>
      </c>
      <c r="AG6598">
        <v>-1.1573100000000001</v>
      </c>
      <c r="AH6598">
        <v>16.980435328309099</v>
      </c>
      <c r="AI6598">
        <v>93.526886991674701</v>
      </c>
      <c r="AJ6598">
        <v>64.730430053967595</v>
      </c>
      <c r="AK6598">
        <v>18.812871707652501</v>
      </c>
      <c r="AL6598">
        <v>84.390101866030605</v>
      </c>
      <c r="AM6598">
        <v>70.922090222741602</v>
      </c>
      <c r="AN6598">
        <v>1.00000001187594</v>
      </c>
    </row>
    <row r="6599" spans="1:40" x14ac:dyDescent="0.25">
      <c r="A6599" t="str">
        <f>"20190312172243687"</f>
        <v>20190312172243687</v>
      </c>
      <c r="B6599" t="str">
        <f>"1552382563677245"</f>
        <v>1552382563677245</v>
      </c>
      <c r="C6599" t="s">
        <v>40</v>
      </c>
      <c r="D6599">
        <v>3.2218879999999999</v>
      </c>
      <c r="E6599">
        <v>0.54275689999999999</v>
      </c>
      <c r="F6599" t="s">
        <v>43</v>
      </c>
      <c r="G6599">
        <v>-305.49489999999997</v>
      </c>
      <c r="H6599">
        <v>-0.05</v>
      </c>
      <c r="I6599">
        <v>5.9102480000000002</v>
      </c>
      <c r="J6599">
        <v>-320.92579999999998</v>
      </c>
      <c r="K6599">
        <v>1.1071820000000001</v>
      </c>
      <c r="L6599">
        <v>15.791230000000001</v>
      </c>
      <c r="M6599">
        <v>0.99203660000000005</v>
      </c>
      <c r="N6599">
        <v>0</v>
      </c>
      <c r="O6599">
        <v>-0.1252868</v>
      </c>
      <c r="P6599">
        <v>0.8930302</v>
      </c>
      <c r="Q6599">
        <v>8.8130669999999994E-2</v>
      </c>
      <c r="R6599">
        <v>-0.44128289999999998</v>
      </c>
      <c r="S6599">
        <v>2.5705870000000002</v>
      </c>
      <c r="T6599">
        <v>-0.19140879999999999</v>
      </c>
      <c r="U6599">
        <v>-1.636841</v>
      </c>
      <c r="V6599">
        <v>0.3266289</v>
      </c>
      <c r="W6599">
        <v>9.7912360000000004E-2</v>
      </c>
      <c r="X6599">
        <v>0.9400674</v>
      </c>
      <c r="Y6599">
        <v>0.42660619999999999</v>
      </c>
      <c r="Z6599">
        <v>-6.0835890000000004E-3</v>
      </c>
      <c r="AA6599">
        <v>0.90441700000000003</v>
      </c>
      <c r="AB6599">
        <v>25</v>
      </c>
      <c r="AC6599">
        <v>15.430899999999999</v>
      </c>
      <c r="AD6599">
        <v>-1.1571819999999999</v>
      </c>
      <c r="AE6599">
        <v>-9.8809819999999995</v>
      </c>
      <c r="AF6599">
        <v>7.8384010971767797</v>
      </c>
      <c r="AG6599">
        <v>-1.1571819999999999</v>
      </c>
      <c r="AH6599">
        <v>16.481618403040201</v>
      </c>
      <c r="AI6599">
        <v>93.627991504733203</v>
      </c>
      <c r="AJ6599">
        <v>64.564967011471794</v>
      </c>
      <c r="AK6599">
        <v>18.287245476691702</v>
      </c>
      <c r="AL6599">
        <v>84.381032445620704</v>
      </c>
      <c r="AM6599">
        <v>70.840081833713697</v>
      </c>
      <c r="AN6599">
        <v>0.999999992549369</v>
      </c>
    </row>
    <row r="6600" spans="1:40" x14ac:dyDescent="0.25">
      <c r="A6600" t="str">
        <f>"20190312172243696"</f>
        <v>20190312172243696</v>
      </c>
      <c r="B6600" t="str">
        <f>"1552382563687006"</f>
        <v>1552382563687006</v>
      </c>
      <c r="C6600" t="s">
        <v>40</v>
      </c>
      <c r="D6600">
        <v>3.2071019999999999</v>
      </c>
      <c r="E6600">
        <v>0.54259369999999996</v>
      </c>
      <c r="F6600" t="s">
        <v>43</v>
      </c>
      <c r="G6600">
        <v>-305.28070000000002</v>
      </c>
      <c r="H6600">
        <v>-0.05</v>
      </c>
      <c r="I6600">
        <v>5.746048</v>
      </c>
      <c r="J6600">
        <v>-320.81029999999998</v>
      </c>
      <c r="K6600">
        <v>1.107013</v>
      </c>
      <c r="L6600">
        <v>15.77472</v>
      </c>
      <c r="M6600">
        <v>0.99174510000000005</v>
      </c>
      <c r="N6600">
        <v>0</v>
      </c>
      <c r="O6600">
        <v>-0.12759519999999999</v>
      </c>
      <c r="P6600">
        <v>0.89125650000000001</v>
      </c>
      <c r="Q6600">
        <v>8.8339749999999995E-2</v>
      </c>
      <c r="R6600">
        <v>-0.4448126</v>
      </c>
      <c r="S6600">
        <v>2.5644529999999999</v>
      </c>
      <c r="T6600">
        <v>-0.18967809999999999</v>
      </c>
      <c r="U6600">
        <v>-1.6465449999999999</v>
      </c>
      <c r="V6600">
        <v>0.32818639999999999</v>
      </c>
      <c r="W6600">
        <v>9.7833600000000007E-2</v>
      </c>
      <c r="X6600">
        <v>0.93953299999999995</v>
      </c>
      <c r="Y6600">
        <v>0.42792059999999998</v>
      </c>
      <c r="Z6600">
        <v>-5.9280089999999997E-3</v>
      </c>
      <c r="AA6600">
        <v>0.90379690000000001</v>
      </c>
      <c r="AB6600">
        <v>25</v>
      </c>
      <c r="AC6600">
        <v>15.529599999999901</v>
      </c>
      <c r="AD6600">
        <v>-1.1570129999999901</v>
      </c>
      <c r="AE6600">
        <v>-10.028672</v>
      </c>
      <c r="AF6600">
        <v>7.9339466335698701</v>
      </c>
      <c r="AG6600">
        <v>-1.1570129999999901</v>
      </c>
      <c r="AH6600">
        <v>16.617265743880299</v>
      </c>
      <c r="AI6600">
        <v>93.595328468047597</v>
      </c>
      <c r="AJ6600">
        <v>64.477764614634296</v>
      </c>
      <c r="AK6600">
        <v>18.4504663645459</v>
      </c>
      <c r="AL6600">
        <v>84.385566829600705</v>
      </c>
      <c r="AM6600">
        <v>70.745282791156896</v>
      </c>
      <c r="AN6600">
        <v>0.99999999226145997</v>
      </c>
    </row>
    <row r="6601" spans="1:40" x14ac:dyDescent="0.25">
      <c r="A6601" t="str">
        <f>"20190312172243708"</f>
        <v>20190312172243708</v>
      </c>
      <c r="B6601" t="str">
        <f>"1552382563696765"</f>
        <v>1552382563696765</v>
      </c>
      <c r="C6601" t="s">
        <v>40</v>
      </c>
      <c r="D6601">
        <v>3.2026400000000002</v>
      </c>
      <c r="E6601">
        <v>0.542500599999999</v>
      </c>
      <c r="F6601" t="s">
        <v>43</v>
      </c>
      <c r="G6601">
        <v>-305.15910000000002</v>
      </c>
      <c r="H6601">
        <v>-0.05</v>
      </c>
      <c r="I6601">
        <v>5.6457980000000001</v>
      </c>
      <c r="J6601">
        <v>-320.6857</v>
      </c>
      <c r="K6601">
        <v>1.1067940000000001</v>
      </c>
      <c r="L6601">
        <v>15.75647</v>
      </c>
      <c r="M6601">
        <v>0.99145570000000005</v>
      </c>
      <c r="N6601">
        <v>0</v>
      </c>
      <c r="O6601">
        <v>-0.12982340000000001</v>
      </c>
      <c r="P6601">
        <v>0.88965329999999998</v>
      </c>
      <c r="Q6601">
        <v>8.8645669999999996E-2</v>
      </c>
      <c r="R6601">
        <v>-0.44795030000000002</v>
      </c>
      <c r="S6601">
        <v>2.5584410000000002</v>
      </c>
      <c r="T6601">
        <v>-0.18913199999999999</v>
      </c>
      <c r="U6601">
        <v>-1.6557310000000001</v>
      </c>
      <c r="V6601">
        <v>0.32942549999999998</v>
      </c>
      <c r="W6601">
        <v>9.8027680000000006E-2</v>
      </c>
      <c r="X6601">
        <v>0.939079</v>
      </c>
      <c r="Y6601">
        <v>0.42914999999999998</v>
      </c>
      <c r="Z6601">
        <v>-5.8128490000000001E-3</v>
      </c>
      <c r="AA6601">
        <v>0.90321459999999998</v>
      </c>
      <c r="AB6601">
        <v>25</v>
      </c>
      <c r="AC6601">
        <v>15.526599999999901</v>
      </c>
      <c r="AD6601">
        <v>-1.1567940000000001</v>
      </c>
      <c r="AE6601">
        <v>-10.110671999999999</v>
      </c>
      <c r="AF6601">
        <v>7.9781157235616096</v>
      </c>
      <c r="AG6601">
        <v>-1.1567940000000001</v>
      </c>
      <c r="AH6601">
        <v>16.6430131921636</v>
      </c>
      <c r="AI6601">
        <v>93.586435043653495</v>
      </c>
      <c r="AJ6601">
        <v>64.388465863183299</v>
      </c>
      <c r="AK6601">
        <v>18.492657758459401</v>
      </c>
      <c r="AL6601">
        <v>84.374393070285194</v>
      </c>
      <c r="AM6601">
        <v>70.669314992282494</v>
      </c>
      <c r="AN6601">
        <v>0.99999997716871603</v>
      </c>
    </row>
    <row r="6602" spans="1:40" x14ac:dyDescent="0.25">
      <c r="A6602" t="str">
        <f>"20190312172243719"</f>
        <v>20190312172243719</v>
      </c>
      <c r="B6602" t="str">
        <f>"1552382563707501"</f>
        <v>1552382563707501</v>
      </c>
      <c r="C6602" t="s">
        <v>40</v>
      </c>
      <c r="D6602">
        <v>3.211141</v>
      </c>
      <c r="E6602">
        <v>0.54247840000000003</v>
      </c>
      <c r="F6602" t="s">
        <v>43</v>
      </c>
      <c r="G6602">
        <v>-305.0249</v>
      </c>
      <c r="H6602">
        <v>-0.05</v>
      </c>
      <c r="I6602">
        <v>5.5460510000000003</v>
      </c>
      <c r="J6602">
        <v>-320.56229999999999</v>
      </c>
      <c r="K6602">
        <v>1.106565</v>
      </c>
      <c r="L6602">
        <v>15.738250000000001</v>
      </c>
      <c r="M6602">
        <v>0.99117509999999998</v>
      </c>
      <c r="N6602">
        <v>0</v>
      </c>
      <c r="O6602">
        <v>-0.1319401</v>
      </c>
      <c r="P6602">
        <v>0.88797209999999904</v>
      </c>
      <c r="Q6602">
        <v>8.9157749999999994E-2</v>
      </c>
      <c r="R6602">
        <v>-0.45117299999999999</v>
      </c>
      <c r="S6602">
        <v>2.5528559999999998</v>
      </c>
      <c r="T6602">
        <v>-0.1885686</v>
      </c>
      <c r="U6602">
        <v>-1.664398</v>
      </c>
      <c r="V6602">
        <v>0.33087369999999999</v>
      </c>
      <c r="W6602">
        <v>9.8492730000000001E-2</v>
      </c>
      <c r="X6602">
        <v>0.9385211</v>
      </c>
      <c r="Y6602">
        <v>0.430282</v>
      </c>
      <c r="Z6602">
        <v>-5.7010860000000002E-3</v>
      </c>
      <c r="AA6602">
        <v>0.90267649999999999</v>
      </c>
      <c r="AB6602">
        <v>25</v>
      </c>
      <c r="AC6602">
        <v>15.5373999999999</v>
      </c>
      <c r="AD6602">
        <v>-1.1565650000000001</v>
      </c>
      <c r="AE6602">
        <v>-10.192199</v>
      </c>
      <c r="AF6602">
        <v>8.0218308704221197</v>
      </c>
      <c r="AG6602">
        <v>-1.1565650000000001</v>
      </c>
      <c r="AH6602">
        <v>16.681790355672302</v>
      </c>
      <c r="AI6602">
        <v>93.575317127494998</v>
      </c>
      <c r="AJ6602">
        <v>64.318332070267701</v>
      </c>
      <c r="AK6602">
        <v>18.546415895894398</v>
      </c>
      <c r="AL6602">
        <v>84.347618448204699</v>
      </c>
      <c r="AM6602">
        <v>70.580001654298499</v>
      </c>
      <c r="AN6602">
        <v>1.00000003917987</v>
      </c>
    </row>
    <row r="6603" spans="1:40" x14ac:dyDescent="0.25">
      <c r="A6603" t="str">
        <f>"20190312172243730"</f>
        <v>20190312172243730</v>
      </c>
      <c r="B6603" t="str">
        <f>"1552382563727021"</f>
        <v>1552382563727021</v>
      </c>
      <c r="C6603" t="s">
        <v>40</v>
      </c>
      <c r="D6603">
        <v>3.2199260000000001</v>
      </c>
      <c r="E6603">
        <v>0.5423905</v>
      </c>
      <c r="F6603" t="s">
        <v>43</v>
      </c>
      <c r="G6603">
        <v>-304.81979999999999</v>
      </c>
      <c r="H6603">
        <v>-0.05</v>
      </c>
      <c r="I6603">
        <v>5.391769</v>
      </c>
      <c r="J6603">
        <v>-320.435</v>
      </c>
      <c r="K6603">
        <v>1.106268</v>
      </c>
      <c r="L6603">
        <v>15.71893</v>
      </c>
      <c r="M6603">
        <v>0.99089110000000002</v>
      </c>
      <c r="N6603">
        <v>0</v>
      </c>
      <c r="O6603">
        <v>-0.1340287</v>
      </c>
      <c r="P6603">
        <v>0.88636519999999996</v>
      </c>
      <c r="Q6603">
        <v>8.9156460000000007E-2</v>
      </c>
      <c r="R6603">
        <v>-0.45432159999999999</v>
      </c>
      <c r="S6603">
        <v>2.5468139999999999</v>
      </c>
      <c r="T6603">
        <v>-0.18710940000000001</v>
      </c>
      <c r="U6603">
        <v>-1.673859</v>
      </c>
      <c r="V6603">
        <v>0.332264</v>
      </c>
      <c r="W6603">
        <v>9.8618949999999997E-2</v>
      </c>
      <c r="X6603">
        <v>0.93801650000000003</v>
      </c>
      <c r="Y6603">
        <v>0.43171300000000001</v>
      </c>
      <c r="Z6603">
        <v>-5.5754400000000001E-3</v>
      </c>
      <c r="AA6603">
        <v>0.90199379999999996</v>
      </c>
      <c r="AB6603">
        <v>25</v>
      </c>
      <c r="AC6603">
        <v>15.6152</v>
      </c>
      <c r="AD6603">
        <v>-1.1562680000000001</v>
      </c>
      <c r="AE6603">
        <v>-10.327160999999901</v>
      </c>
      <c r="AF6603">
        <v>8.1099673914080999</v>
      </c>
      <c r="AG6603">
        <v>-1.1562680000000001</v>
      </c>
      <c r="AH6603">
        <v>16.794477225041501</v>
      </c>
      <c r="AI6603">
        <v>93.547681148260196</v>
      </c>
      <c r="AJ6603">
        <v>64.224340316420694</v>
      </c>
      <c r="AK6603">
        <v>18.685903564986202</v>
      </c>
      <c r="AL6603">
        <v>84.340351021288001</v>
      </c>
      <c r="AM6603">
        <v>70.494847447801206</v>
      </c>
      <c r="AN6603">
        <v>1.00000000863367</v>
      </c>
    </row>
    <row r="6604" spans="1:40" x14ac:dyDescent="0.25">
      <c r="A6604" t="str">
        <f>"20190312172243742"</f>
        <v>20190312172243742</v>
      </c>
      <c r="B6604" t="str">
        <f>"1552382563736781"</f>
        <v>1552382563736781</v>
      </c>
      <c r="C6604" t="s">
        <v>40</v>
      </c>
      <c r="D6604">
        <v>3.198706</v>
      </c>
      <c r="E6604">
        <v>0.54236450000000003</v>
      </c>
      <c r="F6604" t="s">
        <v>43</v>
      </c>
      <c r="G6604">
        <v>-304.81650000000002</v>
      </c>
      <c r="H6604">
        <v>-0.05</v>
      </c>
      <c r="I6604">
        <v>5.3772890000000002</v>
      </c>
      <c r="J6604">
        <v>-320.31009999999998</v>
      </c>
      <c r="K6604">
        <v>1.105947</v>
      </c>
      <c r="L6604">
        <v>15.69983</v>
      </c>
      <c r="M6604">
        <v>0.99060519999999996</v>
      </c>
      <c r="N6604">
        <v>0</v>
      </c>
      <c r="O6604">
        <v>-0.136097</v>
      </c>
      <c r="P6604">
        <v>0.88472859999999998</v>
      </c>
      <c r="Q6604">
        <v>8.9502300000000007E-2</v>
      </c>
      <c r="R6604">
        <v>-0.45743279999999997</v>
      </c>
      <c r="S6604">
        <v>2.5411380000000001</v>
      </c>
      <c r="T6604">
        <v>-0.18812509999999999</v>
      </c>
      <c r="U6604">
        <v>-1.6825869999999901</v>
      </c>
      <c r="V6604">
        <v>0.33364519999999998</v>
      </c>
      <c r="W6604">
        <v>9.9108169999999995E-2</v>
      </c>
      <c r="X6604">
        <v>0.93747449999999999</v>
      </c>
      <c r="Y6604">
        <v>0.43290610000000002</v>
      </c>
      <c r="Z6604">
        <v>-5.516478E-3</v>
      </c>
      <c r="AA6604">
        <v>0.90142219999999995</v>
      </c>
      <c r="AB6604">
        <v>25</v>
      </c>
      <c r="AC6604">
        <v>15.493599999999899</v>
      </c>
      <c r="AD6604">
        <v>-1.1559469999999901</v>
      </c>
      <c r="AE6604">
        <v>-10.3225409999999</v>
      </c>
      <c r="AF6604">
        <v>8.0864822005260208</v>
      </c>
      <c r="AG6604">
        <v>-1.1559469999999901</v>
      </c>
      <c r="AH6604">
        <v>16.690064323526698</v>
      </c>
      <c r="AI6604">
        <v>93.566578573343193</v>
      </c>
      <c r="AJ6604">
        <v>64.149405753609997</v>
      </c>
      <c r="AK6604">
        <v>18.581863603247498</v>
      </c>
      <c r="AL6604">
        <v>84.312182697361806</v>
      </c>
      <c r="AM6604">
        <v>70.409462885660503</v>
      </c>
      <c r="AN6604">
        <v>0.99999999349701896</v>
      </c>
    </row>
    <row r="6605" spans="1:40" x14ac:dyDescent="0.25">
      <c r="A6605" t="str">
        <f>"20190312172243753"</f>
        <v>20190312172243753</v>
      </c>
      <c r="B6605" t="str">
        <f>"1552382563747517"</f>
        <v>1552382563747517</v>
      </c>
      <c r="C6605" t="s">
        <v>40</v>
      </c>
      <c r="D6605">
        <v>3.2073550000000002</v>
      </c>
      <c r="E6605">
        <v>0.54228509999999996</v>
      </c>
      <c r="F6605" t="s">
        <v>43</v>
      </c>
      <c r="G6605">
        <v>-304.66000000000003</v>
      </c>
      <c r="H6605">
        <v>-0.05</v>
      </c>
      <c r="I6605">
        <v>5.2573549999999996</v>
      </c>
      <c r="J6605">
        <v>-320.18020000000001</v>
      </c>
      <c r="K6605">
        <v>1.105515</v>
      </c>
      <c r="L6605">
        <v>15.6795299999999</v>
      </c>
      <c r="M6605">
        <v>0.99028769999999999</v>
      </c>
      <c r="N6605">
        <v>0</v>
      </c>
      <c r="O6605">
        <v>-0.1383556</v>
      </c>
      <c r="P6605">
        <v>0.88294189999999995</v>
      </c>
      <c r="Q6605">
        <v>8.9480089999999998E-2</v>
      </c>
      <c r="R6605">
        <v>-0.46087669999999997</v>
      </c>
      <c r="S6605">
        <v>2.5351870000000001</v>
      </c>
      <c r="T6605">
        <v>-0.18725310000000001</v>
      </c>
      <c r="U6605">
        <v>-1.691589</v>
      </c>
      <c r="V6605">
        <v>0.33519330000000003</v>
      </c>
      <c r="W6605">
        <v>9.9280859999999999E-2</v>
      </c>
      <c r="X6605">
        <v>0.93690379999999995</v>
      </c>
      <c r="Y6605">
        <v>0.4340484</v>
      </c>
      <c r="Z6605">
        <v>-5.3883639999999997E-3</v>
      </c>
      <c r="AA6605">
        <v>0.90087340000000005</v>
      </c>
      <c r="AB6605">
        <v>25</v>
      </c>
      <c r="AC6605">
        <v>15.5201999999999</v>
      </c>
      <c r="AD6605">
        <v>-1.1555150000000001</v>
      </c>
      <c r="AE6605">
        <v>-10.4221749999999</v>
      </c>
      <c r="AF6605">
        <v>8.1433030782061202</v>
      </c>
      <c r="AG6605">
        <v>-1.1555150000000001</v>
      </c>
      <c r="AH6605">
        <v>16.749022371565601</v>
      </c>
      <c r="AI6605">
        <v>93.550383820672394</v>
      </c>
      <c r="AJ6605">
        <v>64.071177233275193</v>
      </c>
      <c r="AK6605">
        <v>18.659537784788601</v>
      </c>
      <c r="AL6605">
        <v>84.302239194305102</v>
      </c>
      <c r="AM6605">
        <v>70.3144647259724</v>
      </c>
      <c r="AN6605">
        <v>0.99999998399083401</v>
      </c>
    </row>
    <row r="6606" spans="1:40" x14ac:dyDescent="0.25">
      <c r="A6606" t="str">
        <f>"20190312172243765"</f>
        <v>20190312172243765</v>
      </c>
      <c r="B6606" t="str">
        <f>"1552382563757277"</f>
        <v>1552382563757277</v>
      </c>
      <c r="C6606" t="s">
        <v>40</v>
      </c>
      <c r="D6606">
        <v>3.1811959999999999</v>
      </c>
      <c r="E6606">
        <v>0.54233949999999997</v>
      </c>
      <c r="F6606" t="s">
        <v>43</v>
      </c>
      <c r="G6606">
        <v>-304.62729999999999</v>
      </c>
      <c r="H6606">
        <v>-0.05</v>
      </c>
      <c r="I6606">
        <v>5.2161410000000004</v>
      </c>
      <c r="J6606">
        <v>-320.05840000000001</v>
      </c>
      <c r="K6606">
        <v>1.1050739999999999</v>
      </c>
      <c r="L6606">
        <v>15.660310000000001</v>
      </c>
      <c r="M6606">
        <v>0.98998779999999997</v>
      </c>
      <c r="N6606">
        <v>0</v>
      </c>
      <c r="O6606">
        <v>-0.14044579999999901</v>
      </c>
      <c r="P6606">
        <v>0.88109439999999895</v>
      </c>
      <c r="Q6606">
        <v>8.9279849999999994E-2</v>
      </c>
      <c r="R6606">
        <v>-0.46443719999999999</v>
      </c>
      <c r="S6606">
        <v>2.528778</v>
      </c>
      <c r="T6606">
        <v>-0.1878774</v>
      </c>
      <c r="U6606">
        <v>-1.701263</v>
      </c>
      <c r="V6606">
        <v>0.33702389999999999</v>
      </c>
      <c r="W6606">
        <v>9.9334969999999995E-2</v>
      </c>
      <c r="X6606">
        <v>0.93624110000000005</v>
      </c>
      <c r="Y6606">
        <v>0.43557259999999998</v>
      </c>
      <c r="Z6606">
        <v>-5.3275589999999999E-3</v>
      </c>
      <c r="AA6606">
        <v>0.90013779999999999</v>
      </c>
      <c r="AB6606">
        <v>25</v>
      </c>
      <c r="AC6606">
        <v>15.431100000000001</v>
      </c>
      <c r="AD6606">
        <v>-1.1550739999999999</v>
      </c>
      <c r="AE6606">
        <v>-10.444169</v>
      </c>
      <c r="AF6606">
        <v>8.1418933788183292</v>
      </c>
      <c r="AG6606">
        <v>-1.1550739999999999</v>
      </c>
      <c r="AH6606">
        <v>16.681007046490599</v>
      </c>
      <c r="AI6606">
        <v>93.560811051971996</v>
      </c>
      <c r="AJ6606">
        <v>63.983291198862602</v>
      </c>
      <c r="AK6606">
        <v>18.597866001845201</v>
      </c>
      <c r="AL6606">
        <v>84.299123445946293</v>
      </c>
      <c r="AM6606">
        <v>70.202364078292405</v>
      </c>
      <c r="AN6606">
        <v>0.99999997138265995</v>
      </c>
    </row>
    <row r="6607" spans="1:40" x14ac:dyDescent="0.25">
      <c r="A6607" t="str">
        <f>"20190312172243775"</f>
        <v>20190312172243775</v>
      </c>
      <c r="B6607" t="str">
        <f>"1552382563767037"</f>
        <v>1552382563767037</v>
      </c>
      <c r="C6607" t="s">
        <v>40</v>
      </c>
      <c r="D6607">
        <v>3.2117619999999998</v>
      </c>
      <c r="E6607">
        <v>0.54232950000000002</v>
      </c>
      <c r="F6607" t="s">
        <v>43</v>
      </c>
      <c r="G6607">
        <v>-304.85399999999998</v>
      </c>
      <c r="H6607">
        <v>-0.05</v>
      </c>
      <c r="I6607">
        <v>5.3379059999999896</v>
      </c>
      <c r="J6607">
        <v>-319.9366</v>
      </c>
      <c r="K6607">
        <v>1.1045780000000001</v>
      </c>
      <c r="L6607">
        <v>15.640750000000001</v>
      </c>
      <c r="M6607">
        <v>0.98968639999999997</v>
      </c>
      <c r="N6607">
        <v>0</v>
      </c>
      <c r="O6607">
        <v>-0.14250539999999901</v>
      </c>
      <c r="P6607">
        <v>0.87940059999999998</v>
      </c>
      <c r="Q6607">
        <v>8.8899720000000002E-2</v>
      </c>
      <c r="R6607">
        <v>-0.46770869999999998</v>
      </c>
      <c r="S6607">
        <v>2.5217900000000002</v>
      </c>
      <c r="T6607">
        <v>-0.19157950000000001</v>
      </c>
      <c r="U6607">
        <v>-1.71206699999999</v>
      </c>
      <c r="V6607">
        <v>0.33857579999999998</v>
      </c>
      <c r="W6607">
        <v>9.9311700000000003E-2</v>
      </c>
      <c r="X6607">
        <v>0.9356835</v>
      </c>
      <c r="Y6607">
        <v>0.43747520000000001</v>
      </c>
      <c r="Z6607">
        <v>-5.3674350000000003E-3</v>
      </c>
      <c r="AA6607">
        <v>0.89921439999999997</v>
      </c>
      <c r="AB6607">
        <v>25</v>
      </c>
      <c r="AC6607">
        <v>15.0825999999999</v>
      </c>
      <c r="AD6607">
        <v>-1.1545780000000001</v>
      </c>
      <c r="AE6607">
        <v>-10.302844</v>
      </c>
      <c r="AF6607">
        <v>8.0160613661931901</v>
      </c>
      <c r="AG6607">
        <v>-1.1545780000000001</v>
      </c>
      <c r="AH6607">
        <v>16.3317473292784</v>
      </c>
      <c r="AI6607">
        <v>93.631289685677004</v>
      </c>
      <c r="AJ6607">
        <v>63.856952307848097</v>
      </c>
      <c r="AK6607">
        <v>18.229543631480499</v>
      </c>
      <c r="AL6607">
        <v>84.300463503000202</v>
      </c>
      <c r="AM6607">
        <v>70.107411986259805</v>
      </c>
      <c r="AN6607">
        <v>0.99999999913739002</v>
      </c>
    </row>
    <row r="6608" spans="1:40" x14ac:dyDescent="0.25">
      <c r="A6608" t="str">
        <f>"20190312172243787"</f>
        <v>20190312172243787</v>
      </c>
      <c r="B6608" t="str">
        <f>"1552382563776797"</f>
        <v>1552382563776797</v>
      </c>
      <c r="C6608" t="s">
        <v>40</v>
      </c>
      <c r="D6608">
        <v>3.200037</v>
      </c>
      <c r="E6608">
        <v>0.54227999999999998</v>
      </c>
      <c r="F6608" t="s">
        <v>43</v>
      </c>
      <c r="G6608">
        <v>-304.86270000000002</v>
      </c>
      <c r="H6608">
        <v>-0.05</v>
      </c>
      <c r="I6608">
        <v>5.3224179999999999</v>
      </c>
      <c r="J6608">
        <v>-319.81229999999999</v>
      </c>
      <c r="K6608">
        <v>1.1040140000000001</v>
      </c>
      <c r="L6608">
        <v>15.620480000000001</v>
      </c>
      <c r="M6608">
        <v>0.98938419999999905</v>
      </c>
      <c r="N6608">
        <v>0</v>
      </c>
      <c r="O6608">
        <v>-0.14452679999999901</v>
      </c>
      <c r="P6608">
        <v>0.87748090000000001</v>
      </c>
      <c r="Q6608">
        <v>8.8574559999999997E-2</v>
      </c>
      <c r="R6608">
        <v>-0.47136250000000002</v>
      </c>
      <c r="S6608">
        <v>2.5151669999999999</v>
      </c>
      <c r="T6608">
        <v>-0.1926486</v>
      </c>
      <c r="U6608">
        <v>-1.7216800000000001</v>
      </c>
      <c r="V6608">
        <v>0.34057559999999998</v>
      </c>
      <c r="W6608">
        <v>9.9446450000000006E-2</v>
      </c>
      <c r="X6608">
        <v>0.93494310000000003</v>
      </c>
      <c r="Y6608">
        <v>0.43907429999999997</v>
      </c>
      <c r="Z6608">
        <v>-5.3239680000000001E-3</v>
      </c>
      <c r="AA6608">
        <v>0.89843499999999998</v>
      </c>
      <c r="AB6608">
        <v>25</v>
      </c>
      <c r="AC6608">
        <v>14.949599999999901</v>
      </c>
      <c r="AD6608">
        <v>-1.1540139999999901</v>
      </c>
      <c r="AE6608">
        <v>-10.2980619999999</v>
      </c>
      <c r="AF6608">
        <v>7.99673241950223</v>
      </c>
      <c r="AG6608">
        <v>-1.1540139999999901</v>
      </c>
      <c r="AH6608">
        <v>16.2155929349438</v>
      </c>
      <c r="AI6608">
        <v>93.652094870191803</v>
      </c>
      <c r="AJ6608">
        <v>63.749752920657599</v>
      </c>
      <c r="AK6608">
        <v>18.116979106161999</v>
      </c>
      <c r="AL6608">
        <v>84.292704308442296</v>
      </c>
      <c r="AM6608">
        <v>69.984625522752395</v>
      </c>
      <c r="AN6608">
        <v>0.99999996798528501</v>
      </c>
    </row>
    <row r="6609" spans="1:40" x14ac:dyDescent="0.25">
      <c r="A6609" t="str">
        <f>"20190312172243797"</f>
        <v>20190312172243797</v>
      </c>
      <c r="B6609" t="str">
        <f>"1552382563787535"</f>
        <v>1552382563787535</v>
      </c>
      <c r="C6609" t="s">
        <v>40</v>
      </c>
      <c r="D6609">
        <v>3.2123849999999998</v>
      </c>
      <c r="E6609">
        <v>0.54215999999999998</v>
      </c>
      <c r="F6609" t="s">
        <v>43</v>
      </c>
      <c r="G6609">
        <v>-304.88189999999997</v>
      </c>
      <c r="H6609">
        <v>-0.05</v>
      </c>
      <c r="I6609">
        <v>5.3104709999999997</v>
      </c>
      <c r="J6609">
        <v>-319.69580000000002</v>
      </c>
      <c r="K6609">
        <v>1.103459</v>
      </c>
      <c r="L6609">
        <v>15.60126</v>
      </c>
      <c r="M6609">
        <v>0.98910220000000004</v>
      </c>
      <c r="N6609">
        <v>0</v>
      </c>
      <c r="O6609">
        <v>-0.1463787</v>
      </c>
      <c r="P6609">
        <v>0.87576489999999996</v>
      </c>
      <c r="Q6609">
        <v>8.8094519999999996E-2</v>
      </c>
      <c r="R6609">
        <v>-0.4746319</v>
      </c>
      <c r="S6609">
        <v>2.5080870000000002</v>
      </c>
      <c r="T6609">
        <v>-0.19385740000000001</v>
      </c>
      <c r="U6609">
        <v>-1.7319340000000001</v>
      </c>
      <c r="V6609">
        <v>0.34232509999999999</v>
      </c>
      <c r="W6609">
        <v>9.9457379999999998E-2</v>
      </c>
      <c r="X6609">
        <v>0.93430279999999999</v>
      </c>
      <c r="Y6609">
        <v>0.44105529999999998</v>
      </c>
      <c r="Z6609">
        <v>-5.3086359999999898E-3</v>
      </c>
      <c r="AA6609">
        <v>0.89746429999999999</v>
      </c>
      <c r="AB6609">
        <v>25</v>
      </c>
      <c r="AC6609">
        <v>14.8139</v>
      </c>
      <c r="AD6609">
        <v>-1.153459</v>
      </c>
      <c r="AE6609">
        <v>-10.290789</v>
      </c>
      <c r="AF6609">
        <v>7.9785775953643698</v>
      </c>
      <c r="AG6609">
        <v>-1.153459</v>
      </c>
      <c r="AH6609">
        <v>16.0950169074626</v>
      </c>
      <c r="AI6609">
        <v>93.673877257001607</v>
      </c>
      <c r="AJ6609">
        <v>63.631591505705998</v>
      </c>
      <c r="AK6609">
        <v>18.001048229518101</v>
      </c>
      <c r="AL6609">
        <v>84.292075033148905</v>
      </c>
      <c r="AM6609">
        <v>69.877352196577107</v>
      </c>
      <c r="AN6609">
        <v>0.999999983307157</v>
      </c>
    </row>
    <row r="6610" spans="1:40" x14ac:dyDescent="0.25">
      <c r="A6610" t="str">
        <f>"20190312172243809"</f>
        <v>20190312172243809</v>
      </c>
      <c r="B6610" t="str">
        <f>"1552382563797293"</f>
        <v>1552382563797293</v>
      </c>
      <c r="C6610" t="s">
        <v>40</v>
      </c>
      <c r="D6610">
        <v>3.2198609999999999</v>
      </c>
      <c r="E6610">
        <v>0.54215309999999906</v>
      </c>
      <c r="F6610" t="s">
        <v>43</v>
      </c>
      <c r="G6610">
        <v>-304.9794</v>
      </c>
      <c r="H6610">
        <v>-0.05</v>
      </c>
      <c r="I6610">
        <v>5.361694</v>
      </c>
      <c r="J6610">
        <v>-319.57409999999999</v>
      </c>
      <c r="K6610">
        <v>1.102851</v>
      </c>
      <c r="L6610">
        <v>15.580780000000001</v>
      </c>
      <c r="M6610">
        <v>0.98879030000000001</v>
      </c>
      <c r="N6610">
        <v>0</v>
      </c>
      <c r="O6610">
        <v>-0.14838770000000001</v>
      </c>
      <c r="P6610">
        <v>0.87389189999999894</v>
      </c>
      <c r="Q6610">
        <v>8.7583969999999997E-2</v>
      </c>
      <c r="R6610">
        <v>-0.47816570000000003</v>
      </c>
      <c r="S6610">
        <v>2.501862</v>
      </c>
      <c r="T6610">
        <v>-0.1960943</v>
      </c>
      <c r="U6610">
        <v>-1.7407840000000001</v>
      </c>
      <c r="V6610">
        <v>0.34420339999999999</v>
      </c>
      <c r="W6610">
        <v>9.9594020000000005E-2</v>
      </c>
      <c r="X6610">
        <v>0.93359789999999998</v>
      </c>
      <c r="Y6610">
        <v>0.44240350000000001</v>
      </c>
      <c r="Z6610">
        <v>-5.2865189999999999E-3</v>
      </c>
      <c r="AA6610">
        <v>0.89680059999999995</v>
      </c>
      <c r="AB6610">
        <v>25</v>
      </c>
      <c r="AC6610">
        <v>14.5946999999999</v>
      </c>
      <c r="AD6610">
        <v>-1.1528510000000001</v>
      </c>
      <c r="AE6610">
        <v>-10.219086000000001</v>
      </c>
      <c r="AF6610">
        <v>7.9068452095423103</v>
      </c>
      <c r="AG6610">
        <v>-1.1528510000000001</v>
      </c>
      <c r="AH6610">
        <v>15.883175248836899</v>
      </c>
      <c r="AI6610">
        <v>93.717687483288799</v>
      </c>
      <c r="AJ6610">
        <v>63.535298274062903</v>
      </c>
      <c r="AK6610">
        <v>17.779834717486199</v>
      </c>
      <c r="AL6610">
        <v>84.284207135325104</v>
      </c>
      <c r="AM6610">
        <v>69.761833689147906</v>
      </c>
      <c r="AN6610">
        <v>0.999999994137865</v>
      </c>
    </row>
    <row r="6611" spans="1:40" x14ac:dyDescent="0.25">
      <c r="A6611" t="str">
        <f>"20190312172243820"</f>
        <v>20190312172243820</v>
      </c>
      <c r="B6611" t="str">
        <f>"1552382563816813"</f>
        <v>1552382563816813</v>
      </c>
      <c r="C6611" t="s">
        <v>40</v>
      </c>
      <c r="D6611">
        <v>3.2355510000000001</v>
      </c>
      <c r="E6611">
        <v>0.54191919999999905</v>
      </c>
      <c r="F6611" t="s">
        <v>43</v>
      </c>
      <c r="G6611">
        <v>-305.24990000000003</v>
      </c>
      <c r="H6611">
        <v>-0.05</v>
      </c>
      <c r="I6611">
        <v>5.5278320000000001</v>
      </c>
      <c r="J6611">
        <v>-319.44720000000001</v>
      </c>
      <c r="K6611">
        <v>1.102212</v>
      </c>
      <c r="L6611">
        <v>15.5593</v>
      </c>
      <c r="M6611">
        <v>0.98845570000000005</v>
      </c>
      <c r="N6611">
        <v>0</v>
      </c>
      <c r="O6611">
        <v>-0.15050839999999999</v>
      </c>
      <c r="P6611">
        <v>0.87154589999999998</v>
      </c>
      <c r="Q6611">
        <v>8.718592E-2</v>
      </c>
      <c r="R6611">
        <v>-0.48250029999999999</v>
      </c>
      <c r="S6611">
        <v>2.4949650000000001</v>
      </c>
      <c r="T6611">
        <v>-0.20080210000000001</v>
      </c>
      <c r="U6611">
        <v>-1.751007</v>
      </c>
      <c r="V6611">
        <v>0.34684090000000001</v>
      </c>
      <c r="W6611">
        <v>9.9898150000000005E-2</v>
      </c>
      <c r="X6611">
        <v>0.9325888</v>
      </c>
      <c r="Y6611">
        <v>0.4440771</v>
      </c>
      <c r="Z6611">
        <v>-5.3322359999999997E-3</v>
      </c>
      <c r="AA6611">
        <v>0.89597269999999896</v>
      </c>
      <c r="AB6611">
        <v>25</v>
      </c>
      <c r="AC6611">
        <v>14.197299999999901</v>
      </c>
      <c r="AD6611">
        <v>-1.152212</v>
      </c>
      <c r="AE6611">
        <v>-10.031467999999901</v>
      </c>
      <c r="AF6611">
        <v>7.7459962432841296</v>
      </c>
      <c r="AG6611">
        <v>-1.152212</v>
      </c>
      <c r="AH6611">
        <v>15.4775782951557</v>
      </c>
      <c r="AI6611">
        <v>93.808691059415295</v>
      </c>
      <c r="AJ6611">
        <v>63.413609089235102</v>
      </c>
      <c r="AK6611">
        <v>17.345993202367801</v>
      </c>
      <c r="AL6611">
        <v>84.266694811912402</v>
      </c>
      <c r="AM6611">
        <v>69.599231747425804</v>
      </c>
      <c r="AN6611">
        <v>1.0000000600858301</v>
      </c>
    </row>
    <row r="6612" spans="1:40" x14ac:dyDescent="0.25">
      <c r="A6612" t="str">
        <f>"20190312172243831"</f>
        <v>20190312172243831</v>
      </c>
      <c r="B6612" t="str">
        <f>"1552382563826578"</f>
        <v>1552382563826578</v>
      </c>
      <c r="C6612" t="s">
        <v>40</v>
      </c>
      <c r="D6612">
        <v>3.2292320000000001</v>
      </c>
      <c r="E6612">
        <v>0.54190340000000004</v>
      </c>
      <c r="F6612" t="s">
        <v>43</v>
      </c>
      <c r="G6612">
        <v>-305.3073</v>
      </c>
      <c r="H6612">
        <v>-0.05</v>
      </c>
      <c r="I6612">
        <v>5.5410159999999999</v>
      </c>
      <c r="J6612">
        <v>-319.32389999999998</v>
      </c>
      <c r="K6612">
        <v>1.101548</v>
      </c>
      <c r="L6612">
        <v>15.5379</v>
      </c>
      <c r="M6612">
        <v>0.98808479999999999</v>
      </c>
      <c r="N6612">
        <v>0</v>
      </c>
      <c r="O6612">
        <v>-0.15282889999999999</v>
      </c>
      <c r="P6612">
        <v>0.86918809999999902</v>
      </c>
      <c r="Q6612">
        <v>8.6746920000000005E-2</v>
      </c>
      <c r="R6612">
        <v>-0.4868132</v>
      </c>
      <c r="S6612">
        <v>2.4869379999999999</v>
      </c>
      <c r="T6612">
        <v>-0.20265230000000001</v>
      </c>
      <c r="U6612">
        <v>-1.762024</v>
      </c>
      <c r="V6612">
        <v>0.34926230000000003</v>
      </c>
      <c r="W6612">
        <v>0.1002127</v>
      </c>
      <c r="X6612">
        <v>0.9316508</v>
      </c>
      <c r="Y6612">
        <v>0.44596540000000001</v>
      </c>
      <c r="Z6612">
        <v>-5.2948049999999997E-3</v>
      </c>
      <c r="AA6612">
        <v>0.89503459999999901</v>
      </c>
      <c r="AB6612">
        <v>25</v>
      </c>
      <c r="AC6612">
        <v>14.016599999999899</v>
      </c>
      <c r="AD6612">
        <v>-1.151548</v>
      </c>
      <c r="AE6612">
        <v>-9.9968839999999997</v>
      </c>
      <c r="AF6612">
        <v>7.70245140960869</v>
      </c>
      <c r="AG6612">
        <v>-1.151548</v>
      </c>
      <c r="AH6612">
        <v>15.311452387635001</v>
      </c>
      <c r="AI6612">
        <v>93.843704561204504</v>
      </c>
      <c r="AJ6612">
        <v>63.295242235822101</v>
      </c>
      <c r="AK6612">
        <v>17.178311754433299</v>
      </c>
      <c r="AL6612">
        <v>84.248581047033497</v>
      </c>
      <c r="AM6612">
        <v>69.449710648444196</v>
      </c>
      <c r="AN6612">
        <v>0.99999997629160897</v>
      </c>
    </row>
    <row r="6613" spans="1:40" x14ac:dyDescent="0.25">
      <c r="A6613" t="str">
        <f>"20190312172243844"</f>
        <v>20190312172243844</v>
      </c>
      <c r="B6613" t="str">
        <f>"1552382563837310"</f>
        <v>1552382563837310</v>
      </c>
      <c r="C6613" t="s">
        <v>40</v>
      </c>
      <c r="D6613">
        <v>3.2847550000000001</v>
      </c>
      <c r="E6613">
        <v>0.54190340000000004</v>
      </c>
      <c r="F6613" t="s">
        <v>43</v>
      </c>
      <c r="G6613">
        <v>-305.3399</v>
      </c>
      <c r="H6613">
        <v>-0.05</v>
      </c>
      <c r="I6613">
        <v>5.5249629999999996</v>
      </c>
      <c r="J6613">
        <v>-319.18869999999998</v>
      </c>
      <c r="K6613">
        <v>1.1007960000000001</v>
      </c>
      <c r="L6613">
        <v>15.514279999999999</v>
      </c>
      <c r="M6613">
        <v>0.98766069999999995</v>
      </c>
      <c r="N6613">
        <v>0</v>
      </c>
      <c r="O6613">
        <v>-0.15543940000000001</v>
      </c>
      <c r="P6613">
        <v>0.86655400000000005</v>
      </c>
      <c r="Q6613">
        <v>8.634182E-2</v>
      </c>
      <c r="R6613">
        <v>-0.4915583</v>
      </c>
      <c r="S6613">
        <v>2.4780880000000001</v>
      </c>
      <c r="T6613">
        <v>-0.20406450000000001</v>
      </c>
      <c r="U6613">
        <v>-1.774384</v>
      </c>
      <c r="V6613">
        <v>0.3518848</v>
      </c>
      <c r="W6613">
        <v>0.10062359999999999</v>
      </c>
      <c r="X6613">
        <v>0.93061910000000003</v>
      </c>
      <c r="Y6613">
        <v>0.44805270000000003</v>
      </c>
      <c r="Z6613">
        <v>-5.2318529999999999E-3</v>
      </c>
      <c r="AA6613">
        <v>0.8939918</v>
      </c>
      <c r="AB6613">
        <v>25</v>
      </c>
      <c r="AC6613">
        <v>13.848799999999899</v>
      </c>
      <c r="AD6613">
        <v>-1.1507959999999999</v>
      </c>
      <c r="AE6613">
        <v>-9.9893169999999998</v>
      </c>
      <c r="AF6613">
        <v>7.6799323789755602</v>
      </c>
      <c r="AG6613">
        <v>-1.1507959999999999</v>
      </c>
      <c r="AH6613">
        <v>15.164551689867</v>
      </c>
      <c r="AI6613">
        <v>93.873033030529299</v>
      </c>
      <c r="AJ6613">
        <v>63.140531567485901</v>
      </c>
      <c r="AK6613">
        <v>17.037292059887399</v>
      </c>
      <c r="AL6613">
        <v>84.224918540885696</v>
      </c>
      <c r="AM6613">
        <v>69.287440347393201</v>
      </c>
      <c r="AN6613">
        <v>0.999999965316404</v>
      </c>
    </row>
    <row r="6614" spans="1:40" x14ac:dyDescent="0.25">
      <c r="A6614" t="str">
        <f>"20190312172243856"</f>
        <v>20190312172243856</v>
      </c>
      <c r="B6614" t="str">
        <f>"1552382563847069"</f>
        <v>1552382563847069</v>
      </c>
      <c r="C6614" t="s">
        <v>40</v>
      </c>
      <c r="D6614">
        <v>3.2249460000000001</v>
      </c>
      <c r="E6614">
        <v>0.56751940000000001</v>
      </c>
      <c r="F6614" t="s">
        <v>43</v>
      </c>
      <c r="G6614">
        <v>-305.339</v>
      </c>
      <c r="H6614">
        <v>-0.05</v>
      </c>
      <c r="I6614">
        <v>5.4815370000000003</v>
      </c>
      <c r="J6614">
        <v>-319.04969999999997</v>
      </c>
      <c r="K6614">
        <v>1.099969</v>
      </c>
      <c r="L6614">
        <v>15.489560000000001</v>
      </c>
      <c r="M6614">
        <v>0.98719120000000005</v>
      </c>
      <c r="N6614">
        <v>0</v>
      </c>
      <c r="O6614">
        <v>-0.15828299999999901</v>
      </c>
      <c r="P6614">
        <v>0.86353150000000001</v>
      </c>
      <c r="Q6614">
        <v>8.6019460000000006E-2</v>
      </c>
      <c r="R6614">
        <v>-0.49690459999999897</v>
      </c>
      <c r="S6614">
        <v>2.4682010000000001</v>
      </c>
      <c r="T6614">
        <v>-0.20508670000000001</v>
      </c>
      <c r="U6614">
        <v>-1.7879640000000001</v>
      </c>
      <c r="V6614">
        <v>0.35494900000000001</v>
      </c>
      <c r="W6614">
        <v>0.1011132</v>
      </c>
      <c r="X6614">
        <v>0.92940160000000005</v>
      </c>
      <c r="Y6614">
        <v>0.45039570000000001</v>
      </c>
      <c r="Z6614">
        <v>-5.1515179999999999E-3</v>
      </c>
      <c r="AA6614">
        <v>0.8928142</v>
      </c>
      <c r="AB6614">
        <v>25</v>
      </c>
      <c r="AC6614">
        <v>13.7106999999999</v>
      </c>
      <c r="AD6614">
        <v>-1.149969</v>
      </c>
      <c r="AE6614">
        <v>-10.008023</v>
      </c>
      <c r="AF6614">
        <v>7.67597531161229</v>
      </c>
      <c r="AG6614">
        <v>-1.149969</v>
      </c>
      <c r="AH6614">
        <v>15.0531213190947</v>
      </c>
      <c r="AI6614">
        <v>93.8933511033038</v>
      </c>
      <c r="AJ6614">
        <v>62.981791177842702</v>
      </c>
      <c r="AK6614">
        <v>16.936336296047799</v>
      </c>
      <c r="AL6614">
        <v>84.196722940128296</v>
      </c>
      <c r="AM6614">
        <v>69.097576768754394</v>
      </c>
      <c r="AN6614">
        <v>1.0000000029489</v>
      </c>
    </row>
    <row r="6615" spans="1:40" x14ac:dyDescent="0.25">
      <c r="A6615" t="str">
        <f>"20190312172243869"</f>
        <v>20190312172243869</v>
      </c>
      <c r="B6615" t="str">
        <f>"1552382563856830"</f>
        <v>1552382563856830</v>
      </c>
      <c r="C6615" t="s">
        <v>40</v>
      </c>
      <c r="D6615">
        <v>3.2057500000000001</v>
      </c>
      <c r="E6615">
        <v>0.57525519999999997</v>
      </c>
      <c r="F6615" t="s">
        <v>43</v>
      </c>
      <c r="G6615">
        <v>-303.7715</v>
      </c>
      <c r="H6615">
        <v>-0.05</v>
      </c>
      <c r="I6615">
        <v>2.6397089999999999</v>
      </c>
      <c r="J6615">
        <v>-318.91820000000001</v>
      </c>
      <c r="K6615">
        <v>1.0991420000000001</v>
      </c>
      <c r="L6615">
        <v>15.4657</v>
      </c>
      <c r="M6615">
        <v>0.98673429999999995</v>
      </c>
      <c r="N6615">
        <v>0</v>
      </c>
      <c r="O6615">
        <v>-0.16100220000000001</v>
      </c>
      <c r="P6615">
        <v>0.86063319999999999</v>
      </c>
      <c r="Q6615">
        <v>8.5695709999999994E-2</v>
      </c>
      <c r="R6615">
        <v>-0.5019633</v>
      </c>
      <c r="S6615">
        <v>2.3529969999999998</v>
      </c>
      <c r="T6615">
        <v>-0.1771065</v>
      </c>
      <c r="U6615">
        <v>-1.979004</v>
      </c>
      <c r="V6615">
        <v>0.35783999999999999</v>
      </c>
      <c r="W6615">
        <v>0.10151830000000001</v>
      </c>
      <c r="X6615">
        <v>0.92824810000000002</v>
      </c>
      <c r="Y6615">
        <v>0.51145810000000003</v>
      </c>
      <c r="Z6615">
        <v>-6.3580349999999997E-3</v>
      </c>
      <c r="AA6615">
        <v>0.85928470000000001</v>
      </c>
      <c r="AB6615">
        <v>25</v>
      </c>
      <c r="AC6615">
        <v>15.146699999999999</v>
      </c>
      <c r="AD6615">
        <v>-1.1491420000000001</v>
      </c>
      <c r="AE6615">
        <v>-12.825991</v>
      </c>
      <c r="AF6615">
        <v>10.1852665626704</v>
      </c>
      <c r="AG6615">
        <v>-1.1491420000000001</v>
      </c>
      <c r="AH6615">
        <v>16.9576259335924</v>
      </c>
      <c r="AI6615">
        <v>93.324705435333001</v>
      </c>
      <c r="AJ6615">
        <v>59.009690302864399</v>
      </c>
      <c r="AK6615">
        <v>19.814672835867398</v>
      </c>
      <c r="AL6615">
        <v>84.173392251432304</v>
      </c>
      <c r="AM6615">
        <v>68.918329666321895</v>
      </c>
      <c r="AN6615">
        <v>0.99999998299424897</v>
      </c>
    </row>
    <row r="6616" spans="1:40" x14ac:dyDescent="0.25">
      <c r="A6616" t="str">
        <f>"20190312172243883"</f>
        <v>20190312172243883</v>
      </c>
      <c r="B6616" t="str">
        <f>"1552382563877325"</f>
        <v>1552382563877325</v>
      </c>
      <c r="C6616" t="s">
        <v>40</v>
      </c>
      <c r="D6616">
        <v>3.2269070000000002</v>
      </c>
      <c r="E6616">
        <v>0.58140959999999997</v>
      </c>
      <c r="F6616" t="s">
        <v>43</v>
      </c>
      <c r="G6616">
        <v>-302.90140000000002</v>
      </c>
      <c r="H6616">
        <v>-0.05</v>
      </c>
      <c r="I6616">
        <v>1.2788389999999901</v>
      </c>
      <c r="J6616">
        <v>-318.78059999999999</v>
      </c>
      <c r="K6616">
        <v>1.0982540000000001</v>
      </c>
      <c r="L6616">
        <v>15.44046</v>
      </c>
      <c r="M6616">
        <v>0.98624199999999995</v>
      </c>
      <c r="N6616">
        <v>0</v>
      </c>
      <c r="O6616">
        <v>-0.16388069999999999</v>
      </c>
      <c r="P6616">
        <v>0.85764269999999998</v>
      </c>
      <c r="Q6616">
        <v>8.5216899999999998E-2</v>
      </c>
      <c r="R6616">
        <v>-0.50713629999999998</v>
      </c>
      <c r="S6616">
        <v>2.309326</v>
      </c>
      <c r="T6616">
        <v>-0.1656842</v>
      </c>
      <c r="U6616">
        <v>-2.045471</v>
      </c>
      <c r="V6616">
        <v>0.36071740000000002</v>
      </c>
      <c r="W6616">
        <v>0.1017739</v>
      </c>
      <c r="X6616">
        <v>0.92710570000000003</v>
      </c>
      <c r="Y6616">
        <v>0.5308602</v>
      </c>
      <c r="Z6616">
        <v>-6.4163930000000003E-3</v>
      </c>
      <c r="AA6616">
        <v>0.8474351</v>
      </c>
      <c r="AB6616">
        <v>25</v>
      </c>
      <c r="AC6616">
        <v>15.8791999999999</v>
      </c>
      <c r="AD6616">
        <v>-1.1482540000000001</v>
      </c>
      <c r="AE6616">
        <v>-14.161620999999901</v>
      </c>
      <c r="AF6616">
        <v>11.334151017190299</v>
      </c>
      <c r="AG6616">
        <v>-1.1482540000000001</v>
      </c>
      <c r="AH6616">
        <v>17.933544654974799</v>
      </c>
      <c r="AI6616">
        <v>93.098094095269801</v>
      </c>
      <c r="AJ6616">
        <v>57.706769236074202</v>
      </c>
      <c r="AK6616">
        <v>21.246022931856398</v>
      </c>
      <c r="AL6616">
        <v>84.158671152352994</v>
      </c>
      <c r="AM6616">
        <v>68.740031243457594</v>
      </c>
      <c r="AN6616">
        <v>0.99999997417822895</v>
      </c>
    </row>
    <row r="6617" spans="1:40" x14ac:dyDescent="0.25">
      <c r="A6617" t="str">
        <f>"20190312172243897"</f>
        <v>20190312172243897</v>
      </c>
      <c r="B6617" t="str">
        <f>"1552382563887085"</f>
        <v>1552382563887085</v>
      </c>
      <c r="C6617" t="s">
        <v>40</v>
      </c>
      <c r="D6617">
        <v>3.1994449999999999</v>
      </c>
      <c r="E6617">
        <v>0.58261479999999999</v>
      </c>
      <c r="F6617" t="s">
        <v>43</v>
      </c>
      <c r="G6617">
        <v>-302.13940000000002</v>
      </c>
      <c r="H6617">
        <v>-0.05</v>
      </c>
      <c r="I6617">
        <v>4.1229250000000002E-2</v>
      </c>
      <c r="J6617">
        <v>-318.58730000000003</v>
      </c>
      <c r="K6617">
        <v>1.0969799999999901</v>
      </c>
      <c r="L6617">
        <v>15.404109999999999</v>
      </c>
      <c r="M6617">
        <v>0.98547649999999998</v>
      </c>
      <c r="N6617">
        <v>0</v>
      </c>
      <c r="O6617">
        <v>-0.16829479999999999</v>
      </c>
      <c r="P6617">
        <v>0.8521128</v>
      </c>
      <c r="Q6617">
        <v>8.5310990000000003E-2</v>
      </c>
      <c r="R6617">
        <v>-0.516358599999999</v>
      </c>
      <c r="S6617">
        <v>2.2709350000000001</v>
      </c>
      <c r="T6617">
        <v>-0.1566951</v>
      </c>
      <c r="U6617">
        <v>-2.1014400000000002</v>
      </c>
      <c r="V6617">
        <v>0.36657669999999998</v>
      </c>
      <c r="W6617">
        <v>0.10267660000000001</v>
      </c>
      <c r="X6617">
        <v>0.92470479999999999</v>
      </c>
      <c r="Y6617">
        <v>0.54547129999999999</v>
      </c>
      <c r="Z6617">
        <v>-6.2857579999999998E-3</v>
      </c>
      <c r="AA6617">
        <v>0.83810589999999996</v>
      </c>
      <c r="AB6617">
        <v>25</v>
      </c>
      <c r="AC6617">
        <v>16.447900000000001</v>
      </c>
      <c r="AD6617">
        <v>-1.1469800000000001</v>
      </c>
      <c r="AE6617">
        <v>-15.36288075</v>
      </c>
      <c r="AF6617">
        <v>12.342780628049599</v>
      </c>
      <c r="AG6617">
        <v>-1.1469800000000001</v>
      </c>
      <c r="AH6617">
        <v>18.750636629989099</v>
      </c>
      <c r="AI6617">
        <v>92.924930910799603</v>
      </c>
      <c r="AJ6617">
        <v>56.644717624453797</v>
      </c>
      <c r="AK6617">
        <v>22.477681614936301</v>
      </c>
      <c r="AL6617">
        <v>84.106677811337306</v>
      </c>
      <c r="AM6617">
        <v>68.375355457095907</v>
      </c>
      <c r="AN6617">
        <v>0.99999996415674397</v>
      </c>
    </row>
    <row r="6618" spans="1:40" x14ac:dyDescent="0.25">
      <c r="A6618" t="str">
        <f>"20190312172243910"</f>
        <v>20190312172243910</v>
      </c>
      <c r="B6618" t="str">
        <f>"1552382563906605"</f>
        <v>1552382563906605</v>
      </c>
      <c r="C6618" t="s">
        <v>40</v>
      </c>
      <c r="D6618">
        <v>3.1839590000000002</v>
      </c>
      <c r="E6618">
        <v>0.58413169999999903</v>
      </c>
      <c r="F6618" t="s">
        <v>43</v>
      </c>
      <c r="G6618">
        <v>-301.91649999999998</v>
      </c>
      <c r="H6618">
        <v>-0.05</v>
      </c>
      <c r="I6618">
        <v>-0.4609375</v>
      </c>
      <c r="J6618">
        <v>-318.46660000000003</v>
      </c>
      <c r="K6618">
        <v>1.0961080000000001</v>
      </c>
      <c r="L6618">
        <v>15.380890000000001</v>
      </c>
      <c r="M6618">
        <v>0.98500339999999997</v>
      </c>
      <c r="N6618">
        <v>0</v>
      </c>
      <c r="O6618">
        <v>-0.17097870000000001</v>
      </c>
      <c r="P6618">
        <v>0.84909239999999997</v>
      </c>
      <c r="Q6618">
        <v>8.5504609999999995E-2</v>
      </c>
      <c r="R6618">
        <v>-0.52127849999999998</v>
      </c>
      <c r="S6618">
        <v>2.242737</v>
      </c>
      <c r="T6618">
        <v>-0.1543042</v>
      </c>
      <c r="U6618">
        <v>-2.1343380000000001</v>
      </c>
      <c r="V6618">
        <v>0.36942750000000002</v>
      </c>
      <c r="W6618">
        <v>0.1032169</v>
      </c>
      <c r="X6618">
        <v>0.92350940000000004</v>
      </c>
      <c r="Y6618">
        <v>0.55487730000000002</v>
      </c>
      <c r="Z6618">
        <v>-6.3466989999999999E-3</v>
      </c>
      <c r="AA6618">
        <v>0.83190799999999998</v>
      </c>
      <c r="AB6618">
        <v>25</v>
      </c>
      <c r="AC6618">
        <v>16.5501</v>
      </c>
      <c r="AD6618">
        <v>-1.1461079999999999</v>
      </c>
      <c r="AE6618">
        <v>-15.841827500000001</v>
      </c>
      <c r="AF6618">
        <v>12.746056379529101</v>
      </c>
      <c r="AG6618">
        <v>-1.1461079999999999</v>
      </c>
      <c r="AH6618">
        <v>18.968132685716501</v>
      </c>
      <c r="AI6618">
        <v>92.871074097490506</v>
      </c>
      <c r="AJ6618">
        <v>56.099999624950499</v>
      </c>
      <c r="AK6618">
        <v>22.881555330893601</v>
      </c>
      <c r="AL6618">
        <v>84.075555810345406</v>
      </c>
      <c r="AM6618">
        <v>68.197320816372397</v>
      </c>
      <c r="AN6618">
        <v>1.00000000904511</v>
      </c>
    </row>
    <row r="6619" spans="1:40" x14ac:dyDescent="0.25">
      <c r="A6619" t="str">
        <f>"20190312172243922"</f>
        <v>20190312172243922</v>
      </c>
      <c r="B6619" t="str">
        <f>"1552382563917342"</f>
        <v>1552382563917342</v>
      </c>
      <c r="C6619" t="s">
        <v>40</v>
      </c>
      <c r="D6619">
        <v>3.1749930000000002</v>
      </c>
      <c r="E6619">
        <v>0.58433009999999996</v>
      </c>
      <c r="F6619" t="s">
        <v>43</v>
      </c>
      <c r="G6619">
        <v>-301.80599999999998</v>
      </c>
      <c r="H6619">
        <v>-0.05</v>
      </c>
      <c r="I6619">
        <v>-0.78454590000000002</v>
      </c>
      <c r="J6619">
        <v>-318.33449999999999</v>
      </c>
      <c r="K6619">
        <v>1.095124</v>
      </c>
      <c r="L6619">
        <v>15.355320000000001</v>
      </c>
      <c r="M6619">
        <v>0.9844849</v>
      </c>
      <c r="N6619">
        <v>0</v>
      </c>
      <c r="O6619">
        <v>-0.173875799999999</v>
      </c>
      <c r="P6619">
        <v>0.84624549999999998</v>
      </c>
      <c r="Q6619">
        <v>8.5500640000000003E-2</v>
      </c>
      <c r="R6619">
        <v>-0.52588819999999903</v>
      </c>
      <c r="S6619">
        <v>2.2238769999999999</v>
      </c>
      <c r="T6619">
        <v>-0.15298349999999999</v>
      </c>
      <c r="U6619">
        <v>-2.1577760000000001</v>
      </c>
      <c r="V6619">
        <v>0.37175350000000001</v>
      </c>
      <c r="W6619">
        <v>0.10355549999999999</v>
      </c>
      <c r="X6619">
        <v>0.92253759999999996</v>
      </c>
      <c r="Y6619">
        <v>0.56046859999999998</v>
      </c>
      <c r="Z6619">
        <v>-6.3152719999999898E-3</v>
      </c>
      <c r="AA6619">
        <v>0.82815159999999999</v>
      </c>
      <c r="AB6619">
        <v>25</v>
      </c>
      <c r="AC6619">
        <v>16.528500000000001</v>
      </c>
      <c r="AD6619">
        <v>-1.145124</v>
      </c>
      <c r="AE6619">
        <v>-16.1398659</v>
      </c>
      <c r="AF6619">
        <v>12.987261717534899</v>
      </c>
      <c r="AG6619">
        <v>-1.145124</v>
      </c>
      <c r="AH6619">
        <v>19.0369281408726</v>
      </c>
      <c r="AI6619">
        <v>92.844727861698701</v>
      </c>
      <c r="AJ6619">
        <v>55.697638418180198</v>
      </c>
      <c r="AK6619">
        <v>23.073467640037801</v>
      </c>
      <c r="AL6619">
        <v>84.056050973306398</v>
      </c>
      <c r="AM6619">
        <v>68.052122863958601</v>
      </c>
      <c r="AN6619">
        <v>1.0000000148781201</v>
      </c>
    </row>
    <row r="6620" spans="1:40" x14ac:dyDescent="0.25">
      <c r="A6620" t="str">
        <f>"20190312172243931"</f>
        <v>20190312172243931</v>
      </c>
      <c r="B6620" t="str">
        <f>"1552382563927101"</f>
        <v>1552382563927101</v>
      </c>
      <c r="C6620" t="s">
        <v>40</v>
      </c>
      <c r="D6620">
        <v>3.2197239999999998</v>
      </c>
      <c r="E6620">
        <v>0.58451980000000003</v>
      </c>
      <c r="F6620" t="s">
        <v>43</v>
      </c>
      <c r="G6620">
        <v>-301.89510000000001</v>
      </c>
      <c r="H6620">
        <v>-0.05</v>
      </c>
      <c r="I6620">
        <v>-0.78796390000000005</v>
      </c>
      <c r="J6620">
        <v>-318.22430000000003</v>
      </c>
      <c r="K6620">
        <v>1.094212</v>
      </c>
      <c r="L6620">
        <v>15.33344</v>
      </c>
      <c r="M6620">
        <v>0.9840776</v>
      </c>
      <c r="N6620">
        <v>0</v>
      </c>
      <c r="O6620">
        <v>-0.176123</v>
      </c>
      <c r="P6620">
        <v>0.84308869999999903</v>
      </c>
      <c r="Q6620">
        <v>8.5714589999999993E-2</v>
      </c>
      <c r="R6620">
        <v>-0.53089989999999998</v>
      </c>
      <c r="S6620">
        <v>2.2112430000000001</v>
      </c>
      <c r="T6620">
        <v>-0.15402950000000001</v>
      </c>
      <c r="U6620">
        <v>-2.1714169999999999</v>
      </c>
      <c r="V6620">
        <v>0.37516159999999998</v>
      </c>
      <c r="W6620">
        <v>0.1039017</v>
      </c>
      <c r="X6620">
        <v>0.92111790000000004</v>
      </c>
      <c r="Y6620">
        <v>0.56353240000000004</v>
      </c>
      <c r="Z6620">
        <v>-6.3387299999999999E-3</v>
      </c>
      <c r="AA6620">
        <v>0.82606970000000002</v>
      </c>
      <c r="AB6620">
        <v>25</v>
      </c>
      <c r="AC6620">
        <v>16.3292</v>
      </c>
      <c r="AD6620">
        <v>-1.144212</v>
      </c>
      <c r="AE6620">
        <v>-16.121403900000001</v>
      </c>
      <c r="AF6620">
        <v>12.9602559074564</v>
      </c>
      <c r="AG6620">
        <v>-1.144212</v>
      </c>
      <c r="AH6620">
        <v>18.8670478511564</v>
      </c>
      <c r="AI6620">
        <v>92.861736222775505</v>
      </c>
      <c r="AJ6620">
        <v>55.513835510594099</v>
      </c>
      <c r="AK6620">
        <v>22.918179441341501</v>
      </c>
      <c r="AL6620">
        <v>84.036107429204804</v>
      </c>
      <c r="AM6620">
        <v>67.8394509449775</v>
      </c>
      <c r="AN6620">
        <v>0.99999998753892905</v>
      </c>
    </row>
    <row r="6621" spans="1:40" x14ac:dyDescent="0.25">
      <c r="A6621" t="str">
        <f>"20190312172243943"</f>
        <v>20190312172243943</v>
      </c>
      <c r="B6621" t="str">
        <f>"1552382563936861"</f>
        <v>1552382563936861</v>
      </c>
      <c r="C6621" t="s">
        <v>40</v>
      </c>
      <c r="D6621">
        <v>3.178817</v>
      </c>
      <c r="E6621">
        <v>0.58469280000000001</v>
      </c>
      <c r="F6621" t="s">
        <v>43</v>
      </c>
      <c r="G6621">
        <v>-301.90300000000002</v>
      </c>
      <c r="H6621">
        <v>-0.05</v>
      </c>
      <c r="I6621">
        <v>-0.90647889999999998</v>
      </c>
      <c r="J6621">
        <v>-318.09109999999998</v>
      </c>
      <c r="K6621">
        <v>1.0930839999999999</v>
      </c>
      <c r="L6621">
        <v>15.306760000000001</v>
      </c>
      <c r="M6621">
        <v>0.98358570000000001</v>
      </c>
      <c r="N6621">
        <v>0</v>
      </c>
      <c r="O6621">
        <v>-0.17880109999999999</v>
      </c>
      <c r="P6621">
        <v>0.84012359999999897</v>
      </c>
      <c r="Q6621">
        <v>8.5846980000000003E-2</v>
      </c>
      <c r="R6621">
        <v>-0.53555900000000001</v>
      </c>
      <c r="S6621">
        <v>2.1972659999999999</v>
      </c>
      <c r="T6621">
        <v>-0.15404039999999999</v>
      </c>
      <c r="U6621">
        <v>-2.1863100000000002</v>
      </c>
      <c r="V6621">
        <v>0.37779859999999998</v>
      </c>
      <c r="W6621">
        <v>0.10419100000000001</v>
      </c>
      <c r="X6621">
        <v>0.92000680000000001</v>
      </c>
      <c r="Y6621">
        <v>0.56671859999999996</v>
      </c>
      <c r="Z6621">
        <v>-6.3009700000000004E-3</v>
      </c>
      <c r="AA6621">
        <v>0.82388729999999999</v>
      </c>
      <c r="AB6621">
        <v>25</v>
      </c>
      <c r="AC6621">
        <v>16.188099999999899</v>
      </c>
      <c r="AD6621">
        <v>-1.143084</v>
      </c>
      <c r="AE6621">
        <v>-16.2132389</v>
      </c>
      <c r="AF6621">
        <v>13.024088172761701</v>
      </c>
      <c r="AG6621">
        <v>-1.143084</v>
      </c>
      <c r="AH6621">
        <v>18.780129595939002</v>
      </c>
      <c r="AI6621">
        <v>92.863324959658399</v>
      </c>
      <c r="AJ6621">
        <v>55.2585511350986</v>
      </c>
      <c r="AK6621">
        <v>22.8828927673752</v>
      </c>
      <c r="AL6621">
        <v>84.019441554615696</v>
      </c>
      <c r="AM6621">
        <v>67.674612188082406</v>
      </c>
      <c r="AN6621">
        <v>1.0000000293445901</v>
      </c>
    </row>
    <row r="6622" spans="1:40" x14ac:dyDescent="0.25">
      <c r="A6622" t="str">
        <f>"20190312172243954"</f>
        <v>20190312172243954</v>
      </c>
      <c r="B6622" t="str">
        <f>"1552382563946621"</f>
        <v>1552382563946621</v>
      </c>
      <c r="C6622" t="s">
        <v>40</v>
      </c>
      <c r="D6622">
        <v>3.230337</v>
      </c>
      <c r="E6622">
        <v>0.58476249999999996</v>
      </c>
      <c r="F6622" t="s">
        <v>43</v>
      </c>
      <c r="G6622">
        <v>-301.97710000000001</v>
      </c>
      <c r="H6622">
        <v>-0.05</v>
      </c>
      <c r="I6622">
        <v>-0.92024229999999996</v>
      </c>
      <c r="J6622">
        <v>-317.9708</v>
      </c>
      <c r="K6622">
        <v>1.092014</v>
      </c>
      <c r="L6622">
        <v>15.282170000000001</v>
      </c>
      <c r="M6622">
        <v>0.98315070000000004</v>
      </c>
      <c r="N6622">
        <v>0</v>
      </c>
      <c r="O6622">
        <v>-0.18113879999999999</v>
      </c>
      <c r="P6622">
        <v>0.83734519999999901</v>
      </c>
      <c r="Q6622">
        <v>8.6351979999999995E-2</v>
      </c>
      <c r="R6622">
        <v>-0.53981169999999901</v>
      </c>
      <c r="S6622">
        <v>2.1844480000000002</v>
      </c>
      <c r="T6622">
        <v>-0.15495900000000001</v>
      </c>
      <c r="U6622">
        <v>-2.1997680000000002</v>
      </c>
      <c r="V6622">
        <v>0.38033280000000003</v>
      </c>
      <c r="W6622">
        <v>0.1047724</v>
      </c>
      <c r="X6622">
        <v>0.91889600000000005</v>
      </c>
      <c r="Y6622">
        <v>0.56968649999999998</v>
      </c>
      <c r="Z6622">
        <v>-6.31125E-3</v>
      </c>
      <c r="AA6622">
        <v>0.82183779999999995</v>
      </c>
      <c r="AB6622">
        <v>25</v>
      </c>
      <c r="AC6622">
        <v>15.993699999999899</v>
      </c>
      <c r="AD6622">
        <v>-1.1420139999999901</v>
      </c>
      <c r="AE6622">
        <v>-16.202412299999999</v>
      </c>
      <c r="AF6622">
        <v>13.0035475199836</v>
      </c>
      <c r="AG6622">
        <v>-1.1420139999999901</v>
      </c>
      <c r="AH6622">
        <v>18.617888600988799</v>
      </c>
      <c r="AI6622">
        <v>92.878871041044206</v>
      </c>
      <c r="AJ6622">
        <v>55.067867742613501</v>
      </c>
      <c r="AK6622">
        <v>22.7381226146641</v>
      </c>
      <c r="AL6622">
        <v>83.985946749653905</v>
      </c>
      <c r="AM6622">
        <v>67.515243545909101</v>
      </c>
      <c r="AN6622">
        <v>1.00000007668679</v>
      </c>
    </row>
    <row r="6623" spans="1:40" x14ac:dyDescent="0.25">
      <c r="A6623" t="str">
        <f>"20190312172243966"</f>
        <v>20190312172243966</v>
      </c>
      <c r="B6623" t="str">
        <f>"1552382563957357"</f>
        <v>1552382563957357</v>
      </c>
      <c r="C6623" t="s">
        <v>40</v>
      </c>
      <c r="D6623">
        <v>3.2022089999999999</v>
      </c>
      <c r="E6623">
        <v>0.58485869999999995</v>
      </c>
      <c r="F6623" t="s">
        <v>43</v>
      </c>
      <c r="G6623">
        <v>-301.89640000000003</v>
      </c>
      <c r="H6623">
        <v>-0.05</v>
      </c>
      <c r="I6623">
        <v>-1.0796049999999999</v>
      </c>
      <c r="J6623">
        <v>-317.85309999999998</v>
      </c>
      <c r="K6623">
        <v>1.0909469999999999</v>
      </c>
      <c r="L6623">
        <v>15.25778</v>
      </c>
      <c r="M6623">
        <v>0.9827167</v>
      </c>
      <c r="N6623">
        <v>0</v>
      </c>
      <c r="O6623">
        <v>-0.18344869999999999</v>
      </c>
      <c r="P6623">
        <v>0.83455809999999997</v>
      </c>
      <c r="Q6623">
        <v>8.6729379999999995E-2</v>
      </c>
      <c r="R6623">
        <v>-0.54405099999999995</v>
      </c>
      <c r="S6623">
        <v>2.172882</v>
      </c>
      <c r="T6623">
        <v>-0.15437379999999901</v>
      </c>
      <c r="U6623">
        <v>-2.2117309999999999</v>
      </c>
      <c r="V6623">
        <v>0.38288299999999997</v>
      </c>
      <c r="W6623">
        <v>0.1051864</v>
      </c>
      <c r="X6623">
        <v>0.91778890000000002</v>
      </c>
      <c r="Y6623">
        <v>0.57216420000000001</v>
      </c>
      <c r="Z6623">
        <v>-6.2460279999999998E-3</v>
      </c>
      <c r="AA6623">
        <v>0.82011529999999999</v>
      </c>
      <c r="AB6623">
        <v>25</v>
      </c>
      <c r="AC6623">
        <v>15.9566999999999</v>
      </c>
      <c r="AD6623">
        <v>-1.1409469999999999</v>
      </c>
      <c r="AE6623">
        <v>-16.337384999999902</v>
      </c>
      <c r="AF6623">
        <v>13.099124154842601</v>
      </c>
      <c r="AG6623">
        <v>-1.1409469999999999</v>
      </c>
      <c r="AH6623">
        <v>18.6372091594965</v>
      </c>
      <c r="AI6623">
        <v>92.867278410859498</v>
      </c>
      <c r="AJ6623">
        <v>54.898612694075901</v>
      </c>
      <c r="AK6623">
        <v>22.8086470211543</v>
      </c>
      <c r="AL6623">
        <v>83.962094143040304</v>
      </c>
      <c r="AM6623">
        <v>67.355087864624394</v>
      </c>
      <c r="AN6623">
        <v>1.0000000176985799</v>
      </c>
    </row>
    <row r="6624" spans="1:40" x14ac:dyDescent="0.25">
      <c r="A6624" t="str">
        <f>"20190312172243976"</f>
        <v>20190312172243976</v>
      </c>
      <c r="B6624" t="str">
        <f>"1552382563967118"</f>
        <v>1552382563967118</v>
      </c>
      <c r="C6624" t="s">
        <v>40</v>
      </c>
      <c r="D6624">
        <v>3.2069580000000002</v>
      </c>
      <c r="E6624">
        <v>0.58480699999999997</v>
      </c>
      <c r="F6624" t="s">
        <v>42</v>
      </c>
      <c r="G6624">
        <v>-302.62470000000002</v>
      </c>
      <c r="H6624" s="1">
        <v>-4.743463E-6</v>
      </c>
      <c r="I6624">
        <v>-0.4099064</v>
      </c>
      <c r="J6624">
        <v>-317.73099999999999</v>
      </c>
      <c r="K6624">
        <v>1.089817</v>
      </c>
      <c r="L6624">
        <v>15.23218</v>
      </c>
      <c r="M6624">
        <v>0.98225700000000005</v>
      </c>
      <c r="N6624">
        <v>0</v>
      </c>
      <c r="O6624">
        <v>-0.18586859999999999</v>
      </c>
      <c r="P6624">
        <v>0.8317947</v>
      </c>
      <c r="Q6624">
        <v>8.7037829999999997E-2</v>
      </c>
      <c r="R6624">
        <v>-0.54821769999999903</v>
      </c>
      <c r="S6624">
        <v>2.1612550000000001</v>
      </c>
      <c r="T6624">
        <v>-0.15483089999999999</v>
      </c>
      <c r="U6624">
        <v>-2.2236020000000001</v>
      </c>
      <c r="V6624">
        <v>0.38525880000000001</v>
      </c>
      <c r="W6624">
        <v>0.1055031</v>
      </c>
      <c r="X6624">
        <v>0.91675770000000001</v>
      </c>
      <c r="Y6624">
        <v>0.5745323</v>
      </c>
      <c r="Z6624">
        <v>-6.2136869999999999E-3</v>
      </c>
      <c r="AA6624">
        <v>0.81845840000000003</v>
      </c>
      <c r="AB6624">
        <v>25</v>
      </c>
      <c r="AC6624">
        <v>15.1062999999999</v>
      </c>
      <c r="AD6624">
        <v>-1.089821743463</v>
      </c>
      <c r="AE6624">
        <v>-15.6420864</v>
      </c>
      <c r="AF6624">
        <v>12.529212502688701</v>
      </c>
      <c r="AG6624">
        <v>-1.089821743463</v>
      </c>
      <c r="AH6624">
        <v>17.706707695420501</v>
      </c>
      <c r="AI6624">
        <v>92.876267380067901</v>
      </c>
      <c r="AJ6624">
        <v>54.716891265649799</v>
      </c>
      <c r="AK6624">
        <v>21.718572116534698</v>
      </c>
      <c r="AL6624">
        <v>83.943846711022204</v>
      </c>
      <c r="AM6624">
        <v>67.205877326755399</v>
      </c>
      <c r="AN6624">
        <v>0.99999996379816902</v>
      </c>
    </row>
    <row r="6625" spans="1:40" x14ac:dyDescent="0.25">
      <c r="A6625" t="str">
        <f>"20190312172243988"</f>
        <v>20190312172243988</v>
      </c>
      <c r="B6625" t="str">
        <f>"1552382563977542"</f>
        <v>1552382563977542</v>
      </c>
      <c r="C6625" t="s">
        <v>40</v>
      </c>
      <c r="D6625">
        <v>3.2318980000000002</v>
      </c>
      <c r="E6625">
        <v>0.58466180000000001</v>
      </c>
      <c r="F6625" t="s">
        <v>42</v>
      </c>
      <c r="G6625">
        <v>-302.6619</v>
      </c>
      <c r="H6625" s="1">
        <v>-4.7442789999999997E-6</v>
      </c>
      <c r="I6625">
        <v>-0.42497829999999898</v>
      </c>
      <c r="J6625">
        <v>-317.60590000000002</v>
      </c>
      <c r="K6625">
        <v>1.0886290000000001</v>
      </c>
      <c r="L6625">
        <v>15.205439999999999</v>
      </c>
      <c r="M6625">
        <v>0.98176370000000002</v>
      </c>
      <c r="N6625">
        <v>0</v>
      </c>
      <c r="O6625">
        <v>-0.188442</v>
      </c>
      <c r="P6625">
        <v>0.82906209999999902</v>
      </c>
      <c r="Q6625">
        <v>8.7484899999999893E-2</v>
      </c>
      <c r="R6625">
        <v>-0.55227040000000005</v>
      </c>
      <c r="S6625">
        <v>2.15036</v>
      </c>
      <c r="T6625">
        <v>-0.15551809999999999</v>
      </c>
      <c r="U6625">
        <v>-2.234283</v>
      </c>
      <c r="V6625">
        <v>0.38737709999999997</v>
      </c>
      <c r="W6625">
        <v>0.1059076</v>
      </c>
      <c r="X6625">
        <v>0.91581800000000002</v>
      </c>
      <c r="Y6625">
        <v>0.5764087</v>
      </c>
      <c r="Z6625">
        <v>-6.1663339999999999E-3</v>
      </c>
      <c r="AA6625">
        <v>0.81713829999999998</v>
      </c>
      <c r="AB6625">
        <v>25</v>
      </c>
      <c r="AC6625">
        <v>14.944000000000001</v>
      </c>
      <c r="AD6625">
        <v>-1.0886337442789999</v>
      </c>
      <c r="AE6625">
        <v>-15.630418300000001</v>
      </c>
      <c r="AF6625">
        <v>12.5015637201698</v>
      </c>
      <c r="AG6625">
        <v>-1.0886337442789999</v>
      </c>
      <c r="AH6625">
        <v>17.577905164036199</v>
      </c>
      <c r="AI6625">
        <v>92.889233917111</v>
      </c>
      <c r="AJ6625">
        <v>54.579221289998799</v>
      </c>
      <c r="AK6625">
        <v>21.597614887632901</v>
      </c>
      <c r="AL6625">
        <v>83.920540353886196</v>
      </c>
      <c r="AM6625">
        <v>67.0723762901019</v>
      </c>
      <c r="AN6625">
        <v>1.0000000232330799</v>
      </c>
    </row>
    <row r="6626" spans="1:40" x14ac:dyDescent="0.25">
      <c r="A6626" t="str">
        <f>"20190312172243999"</f>
        <v>20190312172243999</v>
      </c>
      <c r="B6626" t="str">
        <f>"1552382563987301"</f>
        <v>1552382563987301</v>
      </c>
      <c r="C6626" t="s">
        <v>40</v>
      </c>
      <c r="D6626">
        <v>3.2242489999999999</v>
      </c>
      <c r="E6626">
        <v>0.58447009999999999</v>
      </c>
      <c r="F6626" t="s">
        <v>42</v>
      </c>
      <c r="G6626">
        <v>-302.62459999999999</v>
      </c>
      <c r="H6626" s="1">
        <v>-4.7076219999999998E-6</v>
      </c>
      <c r="I6626">
        <v>-0.50321479999999996</v>
      </c>
      <c r="J6626">
        <v>-317.4837</v>
      </c>
      <c r="K6626">
        <v>1.087453</v>
      </c>
      <c r="L6626">
        <v>15.17914</v>
      </c>
      <c r="M6626">
        <v>0.98126820000000003</v>
      </c>
      <c r="N6626">
        <v>0</v>
      </c>
      <c r="O6626">
        <v>-0.19099389999999999</v>
      </c>
      <c r="P6626">
        <v>0.82662159999999996</v>
      </c>
      <c r="Q6626">
        <v>8.7734450000000005E-2</v>
      </c>
      <c r="R6626">
        <v>-0.55587730000000002</v>
      </c>
      <c r="S6626">
        <v>2.1401370000000002</v>
      </c>
      <c r="T6626">
        <v>-0.15551589999999901</v>
      </c>
      <c r="U6626">
        <v>-2.244049</v>
      </c>
      <c r="V6626">
        <v>0.38902320000000001</v>
      </c>
      <c r="W6626">
        <v>0.1061025</v>
      </c>
      <c r="X6626">
        <v>0.91509739999999995</v>
      </c>
      <c r="Y6626">
        <v>0.57800909999999905</v>
      </c>
      <c r="Z6626">
        <v>-6.0835400000000001E-3</v>
      </c>
      <c r="AA6626">
        <v>0.816007699999999</v>
      </c>
      <c r="AB6626">
        <v>25</v>
      </c>
      <c r="AC6626">
        <v>14.8591</v>
      </c>
      <c r="AD6626">
        <v>-1.087457707622</v>
      </c>
      <c r="AE6626">
        <v>-15.682354800000001</v>
      </c>
      <c r="AF6626">
        <v>12.5228498660857</v>
      </c>
      <c r="AG6626">
        <v>-1.087457707622</v>
      </c>
      <c r="AH6626">
        <v>17.537136773075499</v>
      </c>
      <c r="AI6626">
        <v>92.888905320948595</v>
      </c>
      <c r="AJ6626">
        <v>54.4702763651987</v>
      </c>
      <c r="AK6626">
        <v>21.576735138383299</v>
      </c>
      <c r="AL6626">
        <v>83.909310117787598</v>
      </c>
      <c r="AM6626">
        <v>66.968844077187299</v>
      </c>
      <c r="AN6626">
        <v>1.0000000210656199</v>
      </c>
    </row>
    <row r="6627" spans="1:40" x14ac:dyDescent="0.25">
      <c r="A6627" t="str">
        <f>"20190312172244010"</f>
        <v>20190312172244010</v>
      </c>
      <c r="B6627" t="str">
        <f>"1552382564006822"</f>
        <v>1552382564006822</v>
      </c>
      <c r="C6627" t="s">
        <v>40</v>
      </c>
      <c r="D6627">
        <v>3.228437</v>
      </c>
      <c r="E6627">
        <v>0.58408950000000004</v>
      </c>
      <c r="F6627" t="s">
        <v>42</v>
      </c>
      <c r="G6627">
        <v>-302.62380000000002</v>
      </c>
      <c r="H6627" s="1">
        <v>-4.6982299999999997E-6</v>
      </c>
      <c r="I6627">
        <v>-0.52727789999999997</v>
      </c>
      <c r="J6627">
        <v>-317.37009999999998</v>
      </c>
      <c r="K6627">
        <v>1.086303</v>
      </c>
      <c r="L6627">
        <v>15.154109999999999</v>
      </c>
      <c r="M6627">
        <v>0.98079190000000005</v>
      </c>
      <c r="N6627">
        <v>0</v>
      </c>
      <c r="O6627">
        <v>-0.1934263</v>
      </c>
      <c r="P6627">
        <v>0.82426769999999905</v>
      </c>
      <c r="Q6627">
        <v>8.8277439999999999E-2</v>
      </c>
      <c r="R6627">
        <v>-0.55927669999999996</v>
      </c>
      <c r="S6627">
        <v>2.1310730000000002</v>
      </c>
      <c r="T6627">
        <v>-0.15595329999999999</v>
      </c>
      <c r="U6627">
        <v>-2.252472</v>
      </c>
      <c r="V6627">
        <v>0.39056600000000002</v>
      </c>
      <c r="W6627">
        <v>0.10652300000000001</v>
      </c>
      <c r="X6627">
        <v>0.91439110000000001</v>
      </c>
      <c r="Y6627">
        <v>0.57923979999999997</v>
      </c>
      <c r="Z6627">
        <v>-6.0119569999999897E-3</v>
      </c>
      <c r="AA6627">
        <v>0.81513500000000005</v>
      </c>
      <c r="AB6627">
        <v>25</v>
      </c>
      <c r="AC6627">
        <v>14.7462999999999</v>
      </c>
      <c r="AD6627">
        <v>-1.08630769823</v>
      </c>
      <c r="AE6627">
        <v>-15.681387900000001</v>
      </c>
      <c r="AF6627">
        <v>12.49999170085</v>
      </c>
      <c r="AG6627">
        <v>-1.08630769823</v>
      </c>
      <c r="AH6627">
        <v>17.4573295297117</v>
      </c>
      <c r="AI6627">
        <v>92.896349979466095</v>
      </c>
      <c r="AJ6627">
        <v>54.396156687738603</v>
      </c>
      <c r="AK6627">
        <v>21.498563004198601</v>
      </c>
      <c r="AL6627">
        <v>83.885079897990806</v>
      </c>
      <c r="AM6627">
        <v>66.8711054698406</v>
      </c>
      <c r="AN6627">
        <v>1.0000000168220999</v>
      </c>
    </row>
    <row r="6628" spans="1:40" x14ac:dyDescent="0.25">
      <c r="A6628" t="str">
        <f>"20190312172244022"</f>
        <v>20190312172244022</v>
      </c>
      <c r="B6628" t="str">
        <f>"1552382564016581"</f>
        <v>1552382564016581</v>
      </c>
      <c r="C6628" t="s">
        <v>40</v>
      </c>
      <c r="D6628">
        <v>3.2101660000000001</v>
      </c>
      <c r="E6628">
        <v>0.58385589999999998</v>
      </c>
      <c r="F6628" t="s">
        <v>42</v>
      </c>
      <c r="G6628">
        <v>-302.68720000000002</v>
      </c>
      <c r="H6628" s="1">
        <v>-4.7327030000000003E-6</v>
      </c>
      <c r="I6628">
        <v>-0.46679500000000002</v>
      </c>
      <c r="J6628">
        <v>-317.24369999999999</v>
      </c>
      <c r="K6628">
        <v>1.0850120000000001</v>
      </c>
      <c r="L6628">
        <v>15.126099999999999</v>
      </c>
      <c r="M6628">
        <v>0.9802535</v>
      </c>
      <c r="N6628">
        <v>0</v>
      </c>
      <c r="O6628">
        <v>-0.19613949999999999</v>
      </c>
      <c r="P6628">
        <v>0.82184080000000004</v>
      </c>
      <c r="Q6628">
        <v>8.9183070000000003E-2</v>
      </c>
      <c r="R6628">
        <v>-0.56269389999999997</v>
      </c>
      <c r="S6628">
        <v>2.123535</v>
      </c>
      <c r="T6628">
        <v>-0.1571081</v>
      </c>
      <c r="U6628">
        <v>-2.2591860000000001</v>
      </c>
      <c r="V6628">
        <v>0.39189030000000002</v>
      </c>
      <c r="W6628">
        <v>0.1072844</v>
      </c>
      <c r="X6628">
        <v>0.91373519999999997</v>
      </c>
      <c r="Y6628">
        <v>0.57963279999999995</v>
      </c>
      <c r="Z6628">
        <v>-5.9240079999999997E-3</v>
      </c>
      <c r="AA6628">
        <v>0.81485620000000003</v>
      </c>
      <c r="AB6628">
        <v>25</v>
      </c>
      <c r="AC6628">
        <v>14.5564999999999</v>
      </c>
      <c r="AD6628">
        <v>-1.085016732703</v>
      </c>
      <c r="AE6628">
        <v>-15.592895</v>
      </c>
      <c r="AF6628">
        <v>12.401731325250999</v>
      </c>
      <c r="AG6628">
        <v>-1.085016732703</v>
      </c>
      <c r="AH6628">
        <v>17.2881956929381</v>
      </c>
      <c r="AI6628">
        <v>92.919343032434199</v>
      </c>
      <c r="AJ6628">
        <v>54.3461377866129</v>
      </c>
      <c r="AK6628">
        <v>21.3040350988089</v>
      </c>
      <c r="AL6628">
        <v>83.841203240993906</v>
      </c>
      <c r="AM6628">
        <v>66.786075004574101</v>
      </c>
      <c r="AN6628">
        <v>0.99999998271824397</v>
      </c>
    </row>
    <row r="6629" spans="1:40" x14ac:dyDescent="0.25">
      <c r="A6629" t="str">
        <f>"20190312172244032"</f>
        <v>20190312172244032</v>
      </c>
      <c r="B6629" t="str">
        <f>"1552382564027318"</f>
        <v>1552382564027318</v>
      </c>
      <c r="C6629" t="s">
        <v>40</v>
      </c>
      <c r="D6629">
        <v>3.2255229999999999</v>
      </c>
      <c r="E6629">
        <v>0.58368929999999997</v>
      </c>
      <c r="F6629" t="s">
        <v>42</v>
      </c>
      <c r="G6629">
        <v>-302.45030000000003</v>
      </c>
      <c r="H6629" s="1">
        <v>-4.5899970000000002E-6</v>
      </c>
      <c r="I6629">
        <v>-0.72897719999999999</v>
      </c>
      <c r="J6629">
        <v>-317.1284</v>
      </c>
      <c r="K6629">
        <v>1.08379</v>
      </c>
      <c r="L6629">
        <v>15.09998</v>
      </c>
      <c r="M6629">
        <v>0.9797555</v>
      </c>
      <c r="N6629">
        <v>0</v>
      </c>
      <c r="O6629">
        <v>-0.19862270000000001</v>
      </c>
      <c r="P6629">
        <v>0.81975569999999898</v>
      </c>
      <c r="Q6629">
        <v>9.0097869999999997E-2</v>
      </c>
      <c r="R6629">
        <v>-0.56558219999999904</v>
      </c>
      <c r="S6629">
        <v>2.1150820000000001</v>
      </c>
      <c r="T6629">
        <v>-0.15512999999999999</v>
      </c>
      <c r="U6629">
        <v>-2.2668759999999999</v>
      </c>
      <c r="V6629">
        <v>0.39284649999999999</v>
      </c>
      <c r="W6629">
        <v>0.1080079</v>
      </c>
      <c r="X6629">
        <v>0.91323929999999998</v>
      </c>
      <c r="Y6629">
        <v>0.58058460000000001</v>
      </c>
      <c r="Z6629">
        <v>-5.7491729999999998E-3</v>
      </c>
      <c r="AA6629">
        <v>0.814179599999999</v>
      </c>
      <c r="AB6629">
        <v>25</v>
      </c>
      <c r="AC6629">
        <v>14.678099999999899</v>
      </c>
      <c r="AD6629">
        <v>-1.0837945899969901</v>
      </c>
      <c r="AE6629">
        <v>-15.8289571999999</v>
      </c>
      <c r="AF6629">
        <v>12.5653888277579</v>
      </c>
      <c r="AG6629">
        <v>-1.0837945899969901</v>
      </c>
      <c r="AH6629">
        <v>17.486370128759301</v>
      </c>
      <c r="AI6629">
        <v>92.881392752866006</v>
      </c>
      <c r="AJ6629">
        <v>54.299660291213897</v>
      </c>
      <c r="AK6629">
        <v>21.560072991203398</v>
      </c>
      <c r="AL6629">
        <v>83.7995078728256</v>
      </c>
      <c r="AM6629">
        <v>66.724162693663999</v>
      </c>
      <c r="AN6629">
        <v>1.00000004904457</v>
      </c>
    </row>
    <row r="6630" spans="1:40" x14ac:dyDescent="0.25">
      <c r="A6630" t="str">
        <f>"20190312172244043"</f>
        <v>20190312172244043</v>
      </c>
      <c r="B6630" t="str">
        <f>"1552382564037077"</f>
        <v>1552382564037077</v>
      </c>
      <c r="C6630" t="s">
        <v>40</v>
      </c>
      <c r="D6630">
        <v>3.2030210000000001</v>
      </c>
      <c r="E6630">
        <v>0.58352369999999898</v>
      </c>
      <c r="F6630" t="s">
        <v>42</v>
      </c>
      <c r="G6630">
        <v>-302.19319999999999</v>
      </c>
      <c r="H6630" s="1">
        <v>-4.4365760000000002E-6</v>
      </c>
      <c r="I6630">
        <v>-1.0097640000000001</v>
      </c>
      <c r="J6630">
        <v>-317.00319999999999</v>
      </c>
      <c r="K6630">
        <v>1.0824579999999999</v>
      </c>
      <c r="L6630">
        <v>15.071440000000001</v>
      </c>
      <c r="M6630">
        <v>0.97920669999999999</v>
      </c>
      <c r="N6630">
        <v>0</v>
      </c>
      <c r="O6630">
        <v>-0.2013269</v>
      </c>
      <c r="P6630">
        <v>0.81766340000000004</v>
      </c>
      <c r="Q6630">
        <v>9.0974200000000005E-2</v>
      </c>
      <c r="R6630">
        <v>-0.5684633</v>
      </c>
      <c r="S6630">
        <v>2.1077880000000002</v>
      </c>
      <c r="T6630">
        <v>-0.15295529999999999</v>
      </c>
      <c r="U6630">
        <v>-2.2735599999999998</v>
      </c>
      <c r="V6630">
        <v>0.3935939</v>
      </c>
      <c r="W6630">
        <v>0.10866489999999999</v>
      </c>
      <c r="X6630">
        <v>0.91283939999999997</v>
      </c>
      <c r="Y6630">
        <v>0.58095079999999999</v>
      </c>
      <c r="Z6630">
        <v>-5.5386810000000002E-3</v>
      </c>
      <c r="AA6630">
        <v>0.81391979999999997</v>
      </c>
      <c r="AB6630">
        <v>25</v>
      </c>
      <c r="AC6630">
        <v>14.81</v>
      </c>
      <c r="AD6630">
        <v>-1.0824624365759901</v>
      </c>
      <c r="AE6630">
        <v>-16.081204</v>
      </c>
      <c r="AF6630">
        <v>12.7379129515637</v>
      </c>
      <c r="AG6630">
        <v>-1.0824624365759901</v>
      </c>
      <c r="AH6630">
        <v>17.701749507446301</v>
      </c>
      <c r="AI6630">
        <v>92.841550445085602</v>
      </c>
      <c r="AJ6630">
        <v>54.261776564411697</v>
      </c>
      <c r="AK6630">
        <v>21.835248725686402</v>
      </c>
      <c r="AL6630">
        <v>83.761641335212701</v>
      </c>
      <c r="AM6630">
        <v>66.675482686751295</v>
      </c>
      <c r="AN6630">
        <v>0.99999999440079002</v>
      </c>
    </row>
    <row r="6631" spans="1:40" x14ac:dyDescent="0.25">
      <c r="A6631" t="str">
        <f>"20190312172244055"</f>
        <v>20190312172244055</v>
      </c>
      <c r="B6631" t="str">
        <f>"1552382564046837"</f>
        <v>1552382564046837</v>
      </c>
      <c r="C6631" t="s">
        <v>40</v>
      </c>
      <c r="D6631">
        <v>3.2076129999999998</v>
      </c>
      <c r="E6631">
        <v>0.58337349999999999</v>
      </c>
      <c r="F6631" t="s">
        <v>42</v>
      </c>
      <c r="G6631">
        <v>-301.93720000000002</v>
      </c>
      <c r="H6631" s="1">
        <v>-4.2862289999999999E-6</v>
      </c>
      <c r="I6631">
        <v>-1.2829999999999999</v>
      </c>
      <c r="J6631">
        <v>-316.875</v>
      </c>
      <c r="K6631">
        <v>1.0810740000000001</v>
      </c>
      <c r="L6631">
        <v>15.041600000000001</v>
      </c>
      <c r="M6631">
        <v>0.97863290000000003</v>
      </c>
      <c r="N6631">
        <v>0</v>
      </c>
      <c r="O6631">
        <v>-0.20412159999999999</v>
      </c>
      <c r="P6631">
        <v>0.81524189999999996</v>
      </c>
      <c r="Q6631">
        <v>9.2222360000000003E-2</v>
      </c>
      <c r="R6631">
        <v>-0.57173090000000004</v>
      </c>
      <c r="S6631">
        <v>2.1005250000000002</v>
      </c>
      <c r="T6631">
        <v>-0.15091789999999999</v>
      </c>
      <c r="U6631">
        <v>-2.280151</v>
      </c>
      <c r="V6631">
        <v>0.39470630000000001</v>
      </c>
      <c r="W6631">
        <v>0.109638</v>
      </c>
      <c r="X6631">
        <v>0.91224249999999996</v>
      </c>
      <c r="Y6631">
        <v>0.58121750000000005</v>
      </c>
      <c r="Z6631">
        <v>-5.3287350000000002E-3</v>
      </c>
      <c r="AA6631">
        <v>0.81373079999999998</v>
      </c>
      <c r="AB6631">
        <v>25</v>
      </c>
      <c r="AC6631">
        <v>14.9377999999999</v>
      </c>
      <c r="AD6631">
        <v>-1.08107828622899</v>
      </c>
      <c r="AE6631">
        <v>-16.3246</v>
      </c>
      <c r="AF6631">
        <v>12.8998290753932</v>
      </c>
      <c r="AG6631">
        <v>-1.08107828622899</v>
      </c>
      <c r="AH6631">
        <v>17.913562624409099</v>
      </c>
      <c r="AI6631">
        <v>92.803716807013799</v>
      </c>
      <c r="AJ6631">
        <v>54.2417652669711</v>
      </c>
      <c r="AK6631">
        <v>22.101358472590402</v>
      </c>
      <c r="AL6631">
        <v>83.7055515052255</v>
      </c>
      <c r="AM6631">
        <v>66.602977391277605</v>
      </c>
      <c r="AN6631">
        <v>0.99999996655496903</v>
      </c>
    </row>
    <row r="6632" spans="1:40" x14ac:dyDescent="0.25">
      <c r="A6632" t="str">
        <f>"20190312172244067"</f>
        <v>20190312172244067</v>
      </c>
      <c r="B6632" t="str">
        <f>"1552382564057575"</f>
        <v>1552382564057575</v>
      </c>
      <c r="C6632" t="s">
        <v>40</v>
      </c>
      <c r="D6632">
        <v>3.2226360000000001</v>
      </c>
      <c r="E6632">
        <v>0.58321509999999999</v>
      </c>
      <c r="F6632" t="s">
        <v>42</v>
      </c>
      <c r="G6632">
        <v>-301.55799999999999</v>
      </c>
      <c r="H6632" s="1">
        <v>-4.0552419999999996E-6</v>
      </c>
      <c r="I6632">
        <v>-1.7093609999999999</v>
      </c>
      <c r="J6632">
        <v>-316.75319999999999</v>
      </c>
      <c r="K6632">
        <v>1.0797859999999999</v>
      </c>
      <c r="L6632">
        <v>15.01282</v>
      </c>
      <c r="M6632">
        <v>0.97806199999999999</v>
      </c>
      <c r="N6632">
        <v>0</v>
      </c>
      <c r="O6632">
        <v>-0.2068661</v>
      </c>
      <c r="P6632">
        <v>0.813133199999999</v>
      </c>
      <c r="Q6632">
        <v>9.3007939999999997E-2</v>
      </c>
      <c r="R6632">
        <v>-0.57459930000000004</v>
      </c>
      <c r="S6632">
        <v>2.0920719999999999</v>
      </c>
      <c r="T6632">
        <v>-0.14765929999999999</v>
      </c>
      <c r="U6632">
        <v>-2.2879330000000002</v>
      </c>
      <c r="V6632">
        <v>0.39539999999999997</v>
      </c>
      <c r="W6632">
        <v>0.1101636</v>
      </c>
      <c r="X6632">
        <v>0.91187879999999999</v>
      </c>
      <c r="Y6632">
        <v>0.58197200000000004</v>
      </c>
      <c r="Z6632">
        <v>-5.0981300000000002E-3</v>
      </c>
      <c r="AA6632">
        <v>0.8131929</v>
      </c>
      <c r="AB6632">
        <v>25</v>
      </c>
      <c r="AC6632">
        <v>15.1952</v>
      </c>
      <c r="AD6632">
        <v>-1.0797900552419999</v>
      </c>
      <c r="AE6632">
        <v>-16.722180999999999</v>
      </c>
      <c r="AF6632">
        <v>13.1858169555742</v>
      </c>
      <c r="AG6632">
        <v>-1.0797900552419999</v>
      </c>
      <c r="AH6632">
        <v>18.284850086691701</v>
      </c>
      <c r="AI6632">
        <v>92.742282429873399</v>
      </c>
      <c r="AJ6632">
        <v>54.203365917018701</v>
      </c>
      <c r="AK6632">
        <v>22.569170521800299</v>
      </c>
      <c r="AL6632">
        <v>83.675253920878205</v>
      </c>
      <c r="AM6632">
        <v>66.5579503976127</v>
      </c>
      <c r="AN6632">
        <v>1.0000000623271901</v>
      </c>
    </row>
    <row r="6633" spans="1:40" x14ac:dyDescent="0.25">
      <c r="A6633" t="str">
        <f>"20190312172244080"</f>
        <v>20190312172244080</v>
      </c>
      <c r="B6633" t="str">
        <f>"1552382564067334"</f>
        <v>1552382564067334</v>
      </c>
      <c r="C6633" t="s">
        <v>40</v>
      </c>
      <c r="D6633">
        <v>3.2328060000000001</v>
      </c>
      <c r="E6633">
        <v>0.58303890000000003</v>
      </c>
      <c r="F6633" t="s">
        <v>42</v>
      </c>
      <c r="G6633">
        <v>-301.36169999999998</v>
      </c>
      <c r="H6633" s="1">
        <v>-3.9241339999999999E-6</v>
      </c>
      <c r="I6633">
        <v>-1.927724</v>
      </c>
      <c r="J6633">
        <v>-316.61599999999999</v>
      </c>
      <c r="K6633">
        <v>1.07834599999999</v>
      </c>
      <c r="L6633">
        <v>14.98007</v>
      </c>
      <c r="M6633">
        <v>0.9773965</v>
      </c>
      <c r="N6633">
        <v>0</v>
      </c>
      <c r="O6633">
        <v>-0.21002000000000001</v>
      </c>
      <c r="P6633">
        <v>0.81068379999999995</v>
      </c>
      <c r="Q6633">
        <v>9.4064620000000002E-2</v>
      </c>
      <c r="R6633">
        <v>-0.57787860000000002</v>
      </c>
      <c r="S6633">
        <v>2.0847169999999999</v>
      </c>
      <c r="T6633">
        <v>-0.14625299999999999</v>
      </c>
      <c r="U6633">
        <v>-2.2945250000000001</v>
      </c>
      <c r="V6633">
        <v>0.39618619999999999</v>
      </c>
      <c r="W6633">
        <v>0.1109218</v>
      </c>
      <c r="X6633">
        <v>0.91144539999999996</v>
      </c>
      <c r="Y6633">
        <v>0.58195189999999997</v>
      </c>
      <c r="Z6633">
        <v>-4.8902429999999998E-3</v>
      </c>
      <c r="AA6633">
        <v>0.81320859999999995</v>
      </c>
      <c r="AB6633">
        <v>25</v>
      </c>
      <c r="AC6633">
        <v>15.254300000000001</v>
      </c>
      <c r="AD6633">
        <v>-1.07834992413399</v>
      </c>
      <c r="AE6633">
        <v>-16.907793999999999</v>
      </c>
      <c r="AF6633">
        <v>13.2960117703026</v>
      </c>
      <c r="AG6633">
        <v>-1.07834992413399</v>
      </c>
      <c r="AH6633">
        <v>18.424585739457399</v>
      </c>
      <c r="AI6633">
        <v>92.717232810822793</v>
      </c>
      <c r="AJ6633">
        <v>54.184084947278002</v>
      </c>
      <c r="AK6633">
        <v>22.746694863771399</v>
      </c>
      <c r="AL6633">
        <v>83.631543562431503</v>
      </c>
      <c r="AM6633">
        <v>66.506425759362997</v>
      </c>
      <c r="AN6633">
        <v>0.99999993398341702</v>
      </c>
    </row>
    <row r="6634" spans="1:40" x14ac:dyDescent="0.25">
      <c r="A6634" t="str">
        <f>"20190312172244091"</f>
        <v>20190312172244091</v>
      </c>
      <c r="B6634" t="str">
        <f>"1552382564087026"</f>
        <v>1552382564087026</v>
      </c>
      <c r="C6634" t="s">
        <v>40</v>
      </c>
      <c r="D6634">
        <v>3.214728</v>
      </c>
      <c r="E6634">
        <v>0.58276309999999998</v>
      </c>
      <c r="F6634" t="s">
        <v>42</v>
      </c>
      <c r="G6634">
        <v>-301.04520000000002</v>
      </c>
      <c r="H6634" s="1">
        <v>-3.6721380000000002E-6</v>
      </c>
      <c r="I6634">
        <v>-2.2826650000000002</v>
      </c>
      <c r="J6634">
        <v>-316.48829999999998</v>
      </c>
      <c r="K6634">
        <v>1.0770649999999999</v>
      </c>
      <c r="L6634">
        <v>14.94882</v>
      </c>
      <c r="M6634">
        <v>0.97671169999999996</v>
      </c>
      <c r="N6634">
        <v>0</v>
      </c>
      <c r="O6634">
        <v>-0.21321780000000001</v>
      </c>
      <c r="P6634">
        <v>0.80788859999999996</v>
      </c>
      <c r="Q6634">
        <v>9.5084100000000005E-2</v>
      </c>
      <c r="R6634">
        <v>-0.58161470000000004</v>
      </c>
      <c r="S6634">
        <v>2.076355</v>
      </c>
      <c r="T6634">
        <v>-0.14379700000000001</v>
      </c>
      <c r="U6634">
        <v>-2.301971</v>
      </c>
      <c r="V6634">
        <v>0.39744210000000002</v>
      </c>
      <c r="W6634">
        <v>0.1116573</v>
      </c>
      <c r="X6634">
        <v>0.91080870000000003</v>
      </c>
      <c r="Y6634">
        <v>0.58224469999999995</v>
      </c>
      <c r="Z6634">
        <v>-4.6587809999999999E-3</v>
      </c>
      <c r="AA6634">
        <v>0.81300019999999995</v>
      </c>
      <c r="AB6634">
        <v>25</v>
      </c>
      <c r="AC6634">
        <v>15.4430999999999</v>
      </c>
      <c r="AD6634">
        <v>-1.0770686721379901</v>
      </c>
      <c r="AE6634">
        <v>-17.231484999999999</v>
      </c>
      <c r="AF6634">
        <v>13.512048978254599</v>
      </c>
      <c r="AG6634">
        <v>-1.0770686721379901</v>
      </c>
      <c r="AH6634">
        <v>18.722321179398499</v>
      </c>
      <c r="AI6634">
        <v>92.670832444504001</v>
      </c>
      <c r="AJ6634">
        <v>54.181714714821602</v>
      </c>
      <c r="AK6634">
        <v>23.114083474362801</v>
      </c>
      <c r="AL6634">
        <v>83.589139726621298</v>
      </c>
      <c r="AM6634">
        <v>66.425383441208794</v>
      </c>
      <c r="AN6634">
        <v>1.0000000317456901</v>
      </c>
    </row>
    <row r="6635" spans="1:40" x14ac:dyDescent="0.25">
      <c r="A6635" t="str">
        <f>"20190312172244103"</f>
        <v>20190312172244103</v>
      </c>
      <c r="B6635" t="str">
        <f>"1552382564096785"</f>
        <v>1552382564096785</v>
      </c>
      <c r="C6635" t="s">
        <v>40</v>
      </c>
      <c r="D6635">
        <v>3.2332830000000001</v>
      </c>
      <c r="E6635">
        <v>0.58263050000000005</v>
      </c>
      <c r="F6635" t="s">
        <v>42</v>
      </c>
      <c r="G6635">
        <v>-300.80430000000001</v>
      </c>
      <c r="H6635" s="1">
        <v>-3.4690839999999902E-6</v>
      </c>
      <c r="I6635">
        <v>-2.576641</v>
      </c>
      <c r="J6635">
        <v>-316.36939999999998</v>
      </c>
      <c r="K6635">
        <v>1.0758810000000001</v>
      </c>
      <c r="L6635">
        <v>14.919460000000001</v>
      </c>
      <c r="M6635">
        <v>0.97604999999999997</v>
      </c>
      <c r="N6635">
        <v>0</v>
      </c>
      <c r="O6635">
        <v>-0.21625910000000001</v>
      </c>
      <c r="P6635">
        <v>0.80545669999999903</v>
      </c>
      <c r="Q6635">
        <v>9.6093799999999993E-2</v>
      </c>
      <c r="R6635">
        <v>-0.58481280000000002</v>
      </c>
      <c r="S6635">
        <v>2.0671689999999998</v>
      </c>
      <c r="T6635">
        <v>-0.1419588</v>
      </c>
      <c r="U6635">
        <v>-2.3098749999999999</v>
      </c>
      <c r="V6635">
        <v>0.3982464</v>
      </c>
      <c r="W6635">
        <v>0.1124045</v>
      </c>
      <c r="X6635">
        <v>0.91036530000000004</v>
      </c>
      <c r="Y6635">
        <v>0.5829029</v>
      </c>
      <c r="Z6635">
        <v>-4.4705959999999899E-3</v>
      </c>
      <c r="AA6635">
        <v>0.81252950000000002</v>
      </c>
      <c r="AB6635">
        <v>24</v>
      </c>
      <c r="AC6635">
        <v>15.5650999999999</v>
      </c>
      <c r="AD6635">
        <v>-1.0758844690839999</v>
      </c>
      <c r="AE6635">
        <v>-17.496100999999999</v>
      </c>
      <c r="AF6635">
        <v>13.685916471886101</v>
      </c>
      <c r="AG6635">
        <v>-1.0758844690839999</v>
      </c>
      <c r="AH6635">
        <v>18.941326064233799</v>
      </c>
      <c r="AI6635">
        <v>92.636053958701197</v>
      </c>
      <c r="AJ6635">
        <v>54.150282147305496</v>
      </c>
      <c r="AK6635">
        <v>23.3930688482269</v>
      </c>
      <c r="AL6635">
        <v>83.546056723293503</v>
      </c>
      <c r="AM6635">
        <v>66.372651806577494</v>
      </c>
      <c r="AN6635">
        <v>0.99999997308864896</v>
      </c>
    </row>
    <row r="6636" spans="1:40" x14ac:dyDescent="0.25">
      <c r="A6636" t="str">
        <f>"20190312172244112"</f>
        <v>20190312172244112</v>
      </c>
      <c r="B6636" t="str">
        <f>"1552382564107521"</f>
        <v>1552382564107521</v>
      </c>
      <c r="C6636" t="s">
        <v>40</v>
      </c>
      <c r="D6636">
        <v>3.202874</v>
      </c>
      <c r="E6636">
        <v>0.58250619999999997</v>
      </c>
      <c r="F6636" t="s">
        <v>42</v>
      </c>
      <c r="G6636">
        <v>-300.49869999999999</v>
      </c>
      <c r="H6636" s="1">
        <v>-3.2122849999999999E-6</v>
      </c>
      <c r="I6636">
        <v>-2.947845</v>
      </c>
      <c r="J6636">
        <v>-316.26350000000002</v>
      </c>
      <c r="K6636">
        <v>1.074851</v>
      </c>
      <c r="L6636">
        <v>14.892849999999999</v>
      </c>
      <c r="M6636">
        <v>0.97541900000000004</v>
      </c>
      <c r="N6636">
        <v>0</v>
      </c>
      <c r="O6636">
        <v>-0.21911729999999999</v>
      </c>
      <c r="P6636">
        <v>0.80286969999999902</v>
      </c>
      <c r="Q6636">
        <v>9.6979170000000003E-2</v>
      </c>
      <c r="R6636">
        <v>-0.58821389999999996</v>
      </c>
      <c r="S6636">
        <v>2.0585629999999999</v>
      </c>
      <c r="T6636">
        <v>-0.13955100000000001</v>
      </c>
      <c r="U6636">
        <v>-2.3175349999999999</v>
      </c>
      <c r="V6636">
        <v>0.39945760000000002</v>
      </c>
      <c r="W6636">
        <v>0.113028</v>
      </c>
      <c r="X6636">
        <v>0.90975729999999999</v>
      </c>
      <c r="Y6636">
        <v>0.58355840000000003</v>
      </c>
      <c r="Z6636">
        <v>-4.2765700000000004E-3</v>
      </c>
      <c r="AA6636">
        <v>0.81205989999999995</v>
      </c>
      <c r="AB6636">
        <v>24</v>
      </c>
      <c r="AC6636">
        <v>15.764799999999999</v>
      </c>
      <c r="AD6636">
        <v>-1.074854212285</v>
      </c>
      <c r="AE6636">
        <v>-17.840695</v>
      </c>
      <c r="AF6636">
        <v>13.9232386262926</v>
      </c>
      <c r="AG6636">
        <v>-1.074854212285</v>
      </c>
      <c r="AH6636">
        <v>19.252510625018601</v>
      </c>
      <c r="AI6636">
        <v>92.590228998680402</v>
      </c>
      <c r="AJ6636">
        <v>54.125892048054197</v>
      </c>
      <c r="AK6636">
        <v>23.7838401186353</v>
      </c>
      <c r="AL6636">
        <v>83.510104013722298</v>
      </c>
      <c r="AM6636">
        <v>66.294610720542806</v>
      </c>
      <c r="AN6636">
        <v>1.00000002394252</v>
      </c>
    </row>
    <row r="6637" spans="1:40" x14ac:dyDescent="0.25">
      <c r="A6637" t="str">
        <f>"20190312172244122"</f>
        <v>20190312172244122</v>
      </c>
      <c r="B6637" t="str">
        <f>"1552382564117281"</f>
        <v>1552382564117281</v>
      </c>
      <c r="C6637" t="s">
        <v>40</v>
      </c>
      <c r="D6637">
        <v>3.2457319999999998</v>
      </c>
      <c r="E6637">
        <v>0.58238330000000005</v>
      </c>
      <c r="F6637" t="s">
        <v>42</v>
      </c>
      <c r="G6637">
        <v>-300.25389999999999</v>
      </c>
      <c r="H6637" s="1">
        <v>-2.9927530000000001E-6</v>
      </c>
      <c r="I6637">
        <v>-3.2744870000000001</v>
      </c>
      <c r="J6637">
        <v>-316.16730000000001</v>
      </c>
      <c r="K6637">
        <v>1.0739179999999999</v>
      </c>
      <c r="L6637">
        <v>14.868499999999999</v>
      </c>
      <c r="M6637">
        <v>0.97483339999999996</v>
      </c>
      <c r="N6637">
        <v>0</v>
      </c>
      <c r="O6637">
        <v>-0.22173570000000001</v>
      </c>
      <c r="P6637">
        <v>0.8004656</v>
      </c>
      <c r="Q6637">
        <v>9.8050330000000005E-2</v>
      </c>
      <c r="R6637">
        <v>-0.59130450000000001</v>
      </c>
      <c r="S6637">
        <v>2.0494080000000001</v>
      </c>
      <c r="T6637">
        <v>-0.1375933</v>
      </c>
      <c r="U6637">
        <v>-2.3256230000000002</v>
      </c>
      <c r="V6637">
        <v>0.4005592</v>
      </c>
      <c r="W6637">
        <v>0.11385240000000001</v>
      </c>
      <c r="X6637">
        <v>0.90917000000000003</v>
      </c>
      <c r="Y6637">
        <v>0.58458980000000005</v>
      </c>
      <c r="Z6637">
        <v>-4.1223759999999996E-3</v>
      </c>
      <c r="AA6637">
        <v>0.81131850000000005</v>
      </c>
      <c r="AB6637">
        <v>24</v>
      </c>
      <c r="AC6637">
        <v>15.913399999999999</v>
      </c>
      <c r="AD6637">
        <v>-1.073920992753</v>
      </c>
      <c r="AE6637">
        <v>-18.142987000000002</v>
      </c>
      <c r="AF6637">
        <v>14.133608161466499</v>
      </c>
      <c r="AG6637">
        <v>-1.073920992753</v>
      </c>
      <c r="AH6637">
        <v>19.502451590585</v>
      </c>
      <c r="AI6637">
        <v>92.553020420628201</v>
      </c>
      <c r="AJ6637">
        <v>54.0688068200757</v>
      </c>
      <c r="AK6637">
        <v>24.109288749435599</v>
      </c>
      <c r="AL6637">
        <v>83.462562755496506</v>
      </c>
      <c r="AM6637">
        <v>66.222824043887599</v>
      </c>
      <c r="AN6637">
        <v>1.0000000652951899</v>
      </c>
    </row>
    <row r="6638" spans="1:40" x14ac:dyDescent="0.25">
      <c r="A6638" t="str">
        <f>"20190312172244132"</f>
        <v>20190312172244132</v>
      </c>
      <c r="B6638" t="str">
        <f>"1552382564127041"</f>
        <v>1552382564127041</v>
      </c>
      <c r="C6638" t="s">
        <v>40</v>
      </c>
      <c r="D6638">
        <v>3.2126790000000001</v>
      </c>
      <c r="E6638">
        <v>0.58226769999999906</v>
      </c>
      <c r="F6638" t="s">
        <v>42</v>
      </c>
      <c r="G6638">
        <v>-299.9631</v>
      </c>
      <c r="H6638" s="1">
        <v>-2.7347080000000001E-6</v>
      </c>
      <c r="I6638">
        <v>-3.6567120000000002</v>
      </c>
      <c r="J6638">
        <v>-316.0514</v>
      </c>
      <c r="K6638">
        <v>1.0728139999999999</v>
      </c>
      <c r="L6638">
        <v>14.83853</v>
      </c>
      <c r="M6638">
        <v>0.97409520000000005</v>
      </c>
      <c r="N6638">
        <v>0</v>
      </c>
      <c r="O6638">
        <v>-0.22499079999999999</v>
      </c>
      <c r="P6638">
        <v>0.79769820000000002</v>
      </c>
      <c r="Q6638">
        <v>9.8834500000000006E-2</v>
      </c>
      <c r="R6638">
        <v>-0.59490279999999995</v>
      </c>
      <c r="S6638">
        <v>2.0408629999999999</v>
      </c>
      <c r="T6638">
        <v>-0.13525680000000001</v>
      </c>
      <c r="U6638">
        <v>-2.3331909999999998</v>
      </c>
      <c r="V6638">
        <v>0.401646</v>
      </c>
      <c r="W6638">
        <v>0.1143091</v>
      </c>
      <c r="X6638">
        <v>0.90863300000000002</v>
      </c>
      <c r="Y6638">
        <v>0.58488300000000004</v>
      </c>
      <c r="Z6638">
        <v>-3.9083959999999997E-3</v>
      </c>
      <c r="AA6638">
        <v>0.8111083</v>
      </c>
      <c r="AB6638">
        <v>24</v>
      </c>
      <c r="AC6638">
        <v>16.0883</v>
      </c>
      <c r="AD6638">
        <v>-1.072816734708</v>
      </c>
      <c r="AE6638">
        <v>-18.495242000000001</v>
      </c>
      <c r="AF6638">
        <v>14.372606509545699</v>
      </c>
      <c r="AG6638">
        <v>-1.072816734708</v>
      </c>
      <c r="AH6638">
        <v>19.800007085191801</v>
      </c>
      <c r="AI6638">
        <v>92.510714454496096</v>
      </c>
      <c r="AJ6638">
        <v>54.024516872464901</v>
      </c>
      <c r="AK6638">
        <v>24.490059905973101</v>
      </c>
      <c r="AL6638">
        <v>83.436223417280104</v>
      </c>
      <c r="AM6638">
        <v>66.152977522244996</v>
      </c>
      <c r="AN6638">
        <v>1.0000000041738999</v>
      </c>
    </row>
    <row r="6639" spans="1:40" x14ac:dyDescent="0.25">
      <c r="A6639" t="str">
        <f>"20190312172244144"</f>
        <v>20190312172244144</v>
      </c>
      <c r="B6639" t="str">
        <f>"1552382564136800"</f>
        <v>1552382564136800</v>
      </c>
      <c r="C6639" t="s">
        <v>40</v>
      </c>
      <c r="D6639">
        <v>3.2227869999999998</v>
      </c>
      <c r="E6639">
        <v>0.58212969999999997</v>
      </c>
      <c r="F6639" t="s">
        <v>42</v>
      </c>
      <c r="G6639">
        <v>-299.8433</v>
      </c>
      <c r="H6639" s="1">
        <v>-2.6622180000000002E-6</v>
      </c>
      <c r="I6639">
        <v>-3.8499829999999999</v>
      </c>
      <c r="J6639">
        <v>-315.9282</v>
      </c>
      <c r="K6639">
        <v>1.0716509999999999</v>
      </c>
      <c r="L6639">
        <v>14.8063</v>
      </c>
      <c r="M6639">
        <v>0.97329350000000003</v>
      </c>
      <c r="N6639">
        <v>0</v>
      </c>
      <c r="O6639">
        <v>-0.22847029999999999</v>
      </c>
      <c r="P6639">
        <v>0.79478369999999998</v>
      </c>
      <c r="Q6639">
        <v>0.10028670000000001</v>
      </c>
      <c r="R6639">
        <v>-0.59854969999999996</v>
      </c>
      <c r="S6639">
        <v>2.0310060000000001</v>
      </c>
      <c r="T6639">
        <v>-0.13443289999999999</v>
      </c>
      <c r="U6639">
        <v>-2.3418269999999999</v>
      </c>
      <c r="V6639">
        <v>0.40262130000000002</v>
      </c>
      <c r="W6639">
        <v>0.1153981</v>
      </c>
      <c r="X6639">
        <v>0.90806350000000002</v>
      </c>
      <c r="Y6639">
        <v>0.58542169999999905</v>
      </c>
      <c r="Z6639">
        <v>-3.7378950000000002E-3</v>
      </c>
      <c r="AA6639">
        <v>0.81072040000000001</v>
      </c>
      <c r="AB6639">
        <v>24</v>
      </c>
      <c r="AC6639">
        <v>16.084900000000001</v>
      </c>
      <c r="AD6639">
        <v>-1.071653662218</v>
      </c>
      <c r="AE6639">
        <v>-18.656282999999998</v>
      </c>
      <c r="AF6639">
        <v>14.4593800819272</v>
      </c>
      <c r="AG6639">
        <v>-1.071653662218</v>
      </c>
      <c r="AH6639">
        <v>19.885091208394101</v>
      </c>
      <c r="AI6639">
        <v>92.495787071078496</v>
      </c>
      <c r="AJ6639">
        <v>53.9773466384869</v>
      </c>
      <c r="AK6639">
        <v>24.609733161729601</v>
      </c>
      <c r="AL6639">
        <v>83.373412470634904</v>
      </c>
      <c r="AM6639">
        <v>66.088242930223302</v>
      </c>
      <c r="AN6639">
        <v>0.999999976364774</v>
      </c>
    </row>
    <row r="6640" spans="1:40" x14ac:dyDescent="0.25">
      <c r="A6640" t="str">
        <f>"20190312172244154"</f>
        <v>20190312172244154</v>
      </c>
      <c r="B6640" t="str">
        <f>"1552382564147537"</f>
        <v>1552382564147537</v>
      </c>
      <c r="C6640" t="s">
        <v>40</v>
      </c>
      <c r="D6640">
        <v>3.2187130000000002</v>
      </c>
      <c r="E6640">
        <v>0.58202730000000003</v>
      </c>
      <c r="F6640" t="s">
        <v>42</v>
      </c>
      <c r="G6640">
        <v>-299.46480000000003</v>
      </c>
      <c r="H6640" s="1">
        <v>-2.4962809999999998E-6</v>
      </c>
      <c r="I6640">
        <v>-4.3430809999999997</v>
      </c>
      <c r="J6640">
        <v>-315.81299999999999</v>
      </c>
      <c r="K6640">
        <v>1.0705750000000001</v>
      </c>
      <c r="L6640">
        <v>14.77563</v>
      </c>
      <c r="M6640">
        <v>0.9725241</v>
      </c>
      <c r="N6640">
        <v>0</v>
      </c>
      <c r="O6640">
        <v>-0.23175770000000001</v>
      </c>
      <c r="P6640">
        <v>0.79181959999999996</v>
      </c>
      <c r="Q6640">
        <v>0.10153860000000001</v>
      </c>
      <c r="R6640">
        <v>-0.60225580000000001</v>
      </c>
      <c r="S6640">
        <v>2.020966</v>
      </c>
      <c r="T6640">
        <v>-0.13155059999999999</v>
      </c>
      <c r="U6640">
        <v>-2.3506770000000001</v>
      </c>
      <c r="V6640">
        <v>0.4038544</v>
      </c>
      <c r="W6640">
        <v>0.11627709999999999</v>
      </c>
      <c r="X6640">
        <v>0.90740359999999998</v>
      </c>
      <c r="Y6640">
        <v>0.58619949999999998</v>
      </c>
      <c r="Z6640">
        <v>-3.5294530000000001E-3</v>
      </c>
      <c r="AA6640">
        <v>0.81015909999999902</v>
      </c>
      <c r="AB6640">
        <v>24</v>
      </c>
      <c r="AC6640">
        <v>16.348199999999899</v>
      </c>
      <c r="AD6640">
        <v>-1.070577496281</v>
      </c>
      <c r="AE6640">
        <v>-19.118711000000001</v>
      </c>
      <c r="AF6640">
        <v>14.7814064338564</v>
      </c>
      <c r="AG6640">
        <v>-1.070577496281</v>
      </c>
      <c r="AH6640">
        <v>20.298096408913501</v>
      </c>
      <c r="AI6640">
        <v>92.441374032781496</v>
      </c>
      <c r="AJ6640">
        <v>53.937279267370698</v>
      </c>
      <c r="AK6640">
        <v>25.132624816440199</v>
      </c>
      <c r="AL6640">
        <v>83.322708415924495</v>
      </c>
      <c r="AM6640">
        <v>66.007784381815</v>
      </c>
      <c r="AN6640">
        <v>1.00000001683836</v>
      </c>
    </row>
    <row r="6641" spans="1:40" x14ac:dyDescent="0.25">
      <c r="A6641" t="str">
        <f>"20190312172244166"</f>
        <v>20190312172244166</v>
      </c>
      <c r="B6641" t="str">
        <f>"1552382564157297"</f>
        <v>1552382564157297</v>
      </c>
      <c r="C6641" t="s">
        <v>40</v>
      </c>
      <c r="D6641">
        <v>3.1880190000000002</v>
      </c>
      <c r="E6641">
        <v>0.5819088</v>
      </c>
      <c r="F6641" t="s">
        <v>42</v>
      </c>
      <c r="G6641">
        <v>-299.16359999999997</v>
      </c>
      <c r="H6641" s="1">
        <v>-2.3492150000000001E-6</v>
      </c>
      <c r="I6641">
        <v>-4.7671869999999998</v>
      </c>
      <c r="J6641">
        <v>-315.69889999999998</v>
      </c>
      <c r="K6641">
        <v>1.0695520000000001</v>
      </c>
      <c r="L6641">
        <v>14.74475</v>
      </c>
      <c r="M6641">
        <v>0.97174559999999999</v>
      </c>
      <c r="N6641">
        <v>0</v>
      </c>
      <c r="O6641">
        <v>-0.23503270000000001</v>
      </c>
      <c r="P6641">
        <v>0.78867949999999998</v>
      </c>
      <c r="Q6641">
        <v>0.10263369999999999</v>
      </c>
      <c r="R6641">
        <v>-0.60617769999999904</v>
      </c>
      <c r="S6641">
        <v>2.010437</v>
      </c>
      <c r="T6641">
        <v>-0.12927420000000001</v>
      </c>
      <c r="U6641">
        <v>-2.3598330000000001</v>
      </c>
      <c r="V6641">
        <v>0.40535670000000001</v>
      </c>
      <c r="W6641">
        <v>0.1169861</v>
      </c>
      <c r="X6641">
        <v>0.90664230000000001</v>
      </c>
      <c r="Y6641">
        <v>0.58712969999999998</v>
      </c>
      <c r="Z6641">
        <v>-3.3469210000000001E-3</v>
      </c>
      <c r="AA6641">
        <v>0.80948599999999904</v>
      </c>
      <c r="AB6641">
        <v>24</v>
      </c>
      <c r="AC6641">
        <v>16.535299999999999</v>
      </c>
      <c r="AD6641">
        <v>-1.0695543492149999</v>
      </c>
      <c r="AE6641">
        <v>-19.511937</v>
      </c>
      <c r="AF6641">
        <v>15.0515252046557</v>
      </c>
      <c r="AG6641">
        <v>-1.0695543492149999</v>
      </c>
      <c r="AH6641">
        <v>20.622839649889102</v>
      </c>
      <c r="AI6641">
        <v>92.398820888674607</v>
      </c>
      <c r="AJ6641">
        <v>53.876261317625598</v>
      </c>
      <c r="AK6641">
        <v>25.553744788530501</v>
      </c>
      <c r="AL6641">
        <v>83.281806658475702</v>
      </c>
      <c r="AM6641">
        <v>65.910743275043899</v>
      </c>
      <c r="AN6641">
        <v>1.0000000309886901</v>
      </c>
    </row>
    <row r="6642" spans="1:40" x14ac:dyDescent="0.25">
      <c r="A6642" t="str">
        <f>"20190312172244176"</f>
        <v>20190312172244176</v>
      </c>
      <c r="B6642" t="str">
        <f>"1552382564167057"</f>
        <v>1552382564167057</v>
      </c>
      <c r="C6642" t="s">
        <v>40</v>
      </c>
      <c r="D6642">
        <v>3.2528790000000001</v>
      </c>
      <c r="E6642">
        <v>0.58199480000000003</v>
      </c>
      <c r="F6642" t="s">
        <v>42</v>
      </c>
      <c r="G6642">
        <v>-298.88920000000002</v>
      </c>
      <c r="H6642" s="1">
        <v>-2.2023929999999999E-6</v>
      </c>
      <c r="I6642">
        <v>-5.1807550000000004</v>
      </c>
      <c r="J6642">
        <v>-315.58249999999998</v>
      </c>
      <c r="K6642">
        <v>1.068532</v>
      </c>
      <c r="L6642">
        <v>14.71283</v>
      </c>
      <c r="M6642">
        <v>0.97093430000000003</v>
      </c>
      <c r="N6642">
        <v>0</v>
      </c>
      <c r="O6642">
        <v>-0.2383952</v>
      </c>
      <c r="P6642">
        <v>0.78568450000000001</v>
      </c>
      <c r="Q6642">
        <v>0.1037568</v>
      </c>
      <c r="R6642">
        <v>-0.60986439999999997</v>
      </c>
      <c r="S6642">
        <v>1.9990840000000001</v>
      </c>
      <c r="T6642">
        <v>-0.12719610000000001</v>
      </c>
      <c r="U6642">
        <v>-2.3696290000000002</v>
      </c>
      <c r="V6642">
        <v>0.40652379999999999</v>
      </c>
      <c r="W6642">
        <v>0.1177163</v>
      </c>
      <c r="X6642">
        <v>0.90602499999999997</v>
      </c>
      <c r="Y6642">
        <v>0.58825469999999902</v>
      </c>
      <c r="Z6642">
        <v>-3.1748610000000002E-3</v>
      </c>
      <c r="AA6642">
        <v>0.80866939999999998</v>
      </c>
      <c r="AB6642">
        <v>24</v>
      </c>
      <c r="AC6642">
        <v>16.693299999999901</v>
      </c>
      <c r="AD6642">
        <v>-1.068534202393</v>
      </c>
      <c r="AE6642">
        <v>-19.893585000000002</v>
      </c>
      <c r="AF6642">
        <v>15.313321459169901</v>
      </c>
      <c r="AG6642">
        <v>-1.068534202393</v>
      </c>
      <c r="AH6642">
        <v>20.919976817908999</v>
      </c>
      <c r="AI6642">
        <v>92.360121771628499</v>
      </c>
      <c r="AJ6642">
        <v>53.796053410257898</v>
      </c>
      <c r="AK6642">
        <v>25.947736115418799</v>
      </c>
      <c r="AL6642">
        <v>83.239678077212005</v>
      </c>
      <c r="AM6642">
        <v>65.834732460896404</v>
      </c>
      <c r="AN6642">
        <v>1.0000000139385601</v>
      </c>
    </row>
    <row r="6643" spans="1:40" x14ac:dyDescent="0.25">
      <c r="A6643" t="str">
        <f>"20190312172244188"</f>
        <v>20190312172244188</v>
      </c>
      <c r="B6643" t="str">
        <f>"1552382564176817"</f>
        <v>1552382564176817</v>
      </c>
      <c r="C6643" t="s">
        <v>40</v>
      </c>
      <c r="D6643">
        <v>3.190607</v>
      </c>
      <c r="E6643">
        <v>0.58199480000000003</v>
      </c>
      <c r="F6643" t="s">
        <v>42</v>
      </c>
      <c r="G6643">
        <v>-298.4871</v>
      </c>
      <c r="H6643" s="1">
        <v>-2.0002660000000001E-6</v>
      </c>
      <c r="I6643">
        <v>-5.7592650000000001</v>
      </c>
      <c r="J6643">
        <v>-315.46449999999999</v>
      </c>
      <c r="K6643">
        <v>1.0675699999999999</v>
      </c>
      <c r="L6643">
        <v>14.679779999999999</v>
      </c>
      <c r="M6643">
        <v>0.97008680000000003</v>
      </c>
      <c r="N6643">
        <v>0</v>
      </c>
      <c r="O6643">
        <v>-0.24185280000000001</v>
      </c>
      <c r="P6643">
        <v>0.78234309999999996</v>
      </c>
      <c r="Q6643">
        <v>0.1048732</v>
      </c>
      <c r="R6643">
        <v>-0.61395549999999999</v>
      </c>
      <c r="S6643">
        <v>1.9873959999999999</v>
      </c>
      <c r="T6643">
        <v>-0.12422039999999999</v>
      </c>
      <c r="U6643">
        <v>-2.3799440000000001</v>
      </c>
      <c r="V6643">
        <v>0.408084</v>
      </c>
      <c r="W6643">
        <v>0.1184317</v>
      </c>
      <c r="X6643">
        <v>0.90522999999999998</v>
      </c>
      <c r="Y6643">
        <v>0.58945400000000003</v>
      </c>
      <c r="Z6643">
        <v>-2.98256E-3</v>
      </c>
      <c r="AA6643">
        <v>0.80779650000000003</v>
      </c>
      <c r="AB6643">
        <v>24</v>
      </c>
      <c r="AC6643">
        <v>16.9773999999999</v>
      </c>
      <c r="AD6643">
        <v>-1.0675720002660001</v>
      </c>
      <c r="AE6643">
        <v>-20.439045</v>
      </c>
      <c r="AF6643">
        <v>15.69972182149</v>
      </c>
      <c r="AG6643">
        <v>-1.0675720002660001</v>
      </c>
      <c r="AH6643">
        <v>21.382972054082199</v>
      </c>
      <c r="AI6643">
        <v>92.304558848320795</v>
      </c>
      <c r="AJ6643">
        <v>53.713286182106998</v>
      </c>
      <c r="AK6643">
        <v>26.5490577820302</v>
      </c>
      <c r="AL6643">
        <v>83.198399734679597</v>
      </c>
      <c r="AM6643">
        <v>65.733816075765901</v>
      </c>
      <c r="AN6643">
        <v>0.99999998576044502</v>
      </c>
    </row>
    <row r="6644" spans="1:40" x14ac:dyDescent="0.25">
      <c r="A6644" t="str">
        <f>"20190312172244199"</f>
        <v>20190312172244199</v>
      </c>
      <c r="B6644" t="str">
        <f>"1552382564186577"</f>
        <v>1552382564186577</v>
      </c>
      <c r="C6644" t="s">
        <v>40</v>
      </c>
      <c r="D6644">
        <v>3.2146219999999999</v>
      </c>
      <c r="E6644">
        <v>0.59431899999999904</v>
      </c>
      <c r="F6644" t="s">
        <v>42</v>
      </c>
      <c r="G6644">
        <v>-297.9907</v>
      </c>
      <c r="H6644" s="1">
        <v>-1.7506490000000001E-6</v>
      </c>
      <c r="I6644">
        <v>-6.4735760000000004</v>
      </c>
      <c r="J6644">
        <v>-315.3494</v>
      </c>
      <c r="K6644">
        <v>1.0666469999999999</v>
      </c>
      <c r="L6644">
        <v>14.64728</v>
      </c>
      <c r="M6644">
        <v>0.96924259999999995</v>
      </c>
      <c r="N6644">
        <v>0</v>
      </c>
      <c r="O6644">
        <v>-0.24524409999999999</v>
      </c>
      <c r="P6644">
        <v>0.77903330000000004</v>
      </c>
      <c r="Q6644">
        <v>0.10595930000000001</v>
      </c>
      <c r="R6644">
        <v>-0.61796459999999998</v>
      </c>
      <c r="S6644">
        <v>1.9747619999999999</v>
      </c>
      <c r="T6644">
        <v>-0.12064900000000001</v>
      </c>
      <c r="U6644">
        <v>-2.3905940000000001</v>
      </c>
      <c r="V6644">
        <v>0.4096264</v>
      </c>
      <c r="W6644">
        <v>0.1191277</v>
      </c>
      <c r="X6644">
        <v>0.90444170000000002</v>
      </c>
      <c r="Y6644">
        <v>0.59095039999999999</v>
      </c>
      <c r="Z6644">
        <v>-2.7927550000000001E-3</v>
      </c>
      <c r="AA6644">
        <v>0.80670310000000001</v>
      </c>
      <c r="AB6644">
        <v>24</v>
      </c>
      <c r="AC6644">
        <v>17.358699999999999</v>
      </c>
      <c r="AD6644">
        <v>-1.0666487506490001</v>
      </c>
      <c r="AE6644">
        <v>-21.120856</v>
      </c>
      <c r="AF6644">
        <v>16.1929046653377</v>
      </c>
      <c r="AG6644">
        <v>-1.0666487506490001</v>
      </c>
      <c r="AH6644">
        <v>21.975772305768999</v>
      </c>
      <c r="AI6644">
        <v>92.237705108137803</v>
      </c>
      <c r="AJ6644">
        <v>53.615258970729698</v>
      </c>
      <c r="AK6644">
        <v>27.3181710495593</v>
      </c>
      <c r="AL6644">
        <v>83.158237594799701</v>
      </c>
      <c r="AM6644">
        <v>65.633977903409303</v>
      </c>
      <c r="AN6644">
        <v>0.99999999259157002</v>
      </c>
    </row>
    <row r="6645" spans="1:40" x14ac:dyDescent="0.25">
      <c r="A6645" t="str">
        <f>"20190312172244211"</f>
        <v>20190312172244211</v>
      </c>
      <c r="B6645" t="str">
        <f>"1552382564207073"</f>
        <v>1552382564207073</v>
      </c>
      <c r="C6645" t="s">
        <v>40</v>
      </c>
      <c r="D6645">
        <v>3.1979600000000001</v>
      </c>
      <c r="E6645">
        <v>0.59424779999999999</v>
      </c>
      <c r="F6645" t="s">
        <v>42</v>
      </c>
      <c r="G6645">
        <v>-296.61849999999998</v>
      </c>
      <c r="H6645" s="1">
        <v>-6.7721529999999997E-7</v>
      </c>
      <c r="I6645">
        <v>-9.7708549999999992</v>
      </c>
      <c r="J6645">
        <v>-315.22359999999998</v>
      </c>
      <c r="K6645">
        <v>1.065728</v>
      </c>
      <c r="L6645">
        <v>14.610810000000001</v>
      </c>
      <c r="M6645">
        <v>0.96827810000000003</v>
      </c>
      <c r="N6645">
        <v>0</v>
      </c>
      <c r="O6645">
        <v>-0.24905530000000001</v>
      </c>
      <c r="P6645">
        <v>0.77538600000000002</v>
      </c>
      <c r="Q6645">
        <v>0.10717359999999999</v>
      </c>
      <c r="R6645">
        <v>-0.62232699999999996</v>
      </c>
      <c r="S6645">
        <v>1.9004209999999999</v>
      </c>
      <c r="T6645">
        <v>-0.1082214</v>
      </c>
      <c r="U6645">
        <v>-2.4774479999999999</v>
      </c>
      <c r="V6645">
        <v>0.41120980000000001</v>
      </c>
      <c r="W6645">
        <v>0.11994150000000001</v>
      </c>
      <c r="X6645">
        <v>0.90361530000000001</v>
      </c>
      <c r="Y6645">
        <v>0.61660760000000003</v>
      </c>
      <c r="Z6645">
        <v>-2.945993E-3</v>
      </c>
      <c r="AA6645">
        <v>0.78726509999999905</v>
      </c>
      <c r="AB6645">
        <v>24</v>
      </c>
      <c r="AC6645">
        <v>18.6051</v>
      </c>
      <c r="AD6645">
        <v>-1.0657286772153001</v>
      </c>
      <c r="AE6645">
        <v>-24.381664999999899</v>
      </c>
      <c r="AF6645">
        <v>18.955526291062601</v>
      </c>
      <c r="AG6645">
        <v>-1.0657286772153001</v>
      </c>
      <c r="AH6645">
        <v>24.063164996916701</v>
      </c>
      <c r="AI6645">
        <v>91.992563693430498</v>
      </c>
      <c r="AJ6645">
        <v>51.771068712550402</v>
      </c>
      <c r="AK6645">
        <v>30.6509977692969</v>
      </c>
      <c r="AL6645">
        <v>83.111273862673201</v>
      </c>
      <c r="AM6645">
        <v>65.531058894361095</v>
      </c>
      <c r="AN6645">
        <v>1.0000000367161801</v>
      </c>
    </row>
    <row r="6646" spans="1:40" x14ac:dyDescent="0.25">
      <c r="A6646" t="str">
        <f>"20190312172244222"</f>
        <v>20190312172244222</v>
      </c>
      <c r="B6646" t="str">
        <f>"1552382564216833"</f>
        <v>1552382564216833</v>
      </c>
      <c r="C6646" t="s">
        <v>40</v>
      </c>
      <c r="D6646">
        <v>3.195106</v>
      </c>
      <c r="E6646">
        <v>0.59431699999999998</v>
      </c>
      <c r="F6646" t="s">
        <v>42</v>
      </c>
      <c r="G6646">
        <v>-296.92540000000002</v>
      </c>
      <c r="H6646" s="1">
        <v>-6.9401469999999895E-7</v>
      </c>
      <c r="I6646">
        <v>-9.5145060000000008</v>
      </c>
      <c r="J6646">
        <v>-315.108</v>
      </c>
      <c r="K6646">
        <v>1.064908</v>
      </c>
      <c r="L6646">
        <v>14.577059999999999</v>
      </c>
      <c r="M6646">
        <v>0.96737019999999996</v>
      </c>
      <c r="N6646">
        <v>0</v>
      </c>
      <c r="O6646">
        <v>-0.25258580000000003</v>
      </c>
      <c r="P6646">
        <v>0.77169469999999996</v>
      </c>
      <c r="Q6646">
        <v>0.1080928</v>
      </c>
      <c r="R6646">
        <v>-0.62674079999999999</v>
      </c>
      <c r="S6646">
        <v>1.8872070000000001</v>
      </c>
      <c r="T6646">
        <v>-0.1099151</v>
      </c>
      <c r="U6646">
        <v>-2.4881899999999999</v>
      </c>
      <c r="V6646">
        <v>0.41312120000000002</v>
      </c>
      <c r="W6646">
        <v>0.12049020000000001</v>
      </c>
      <c r="X6646">
        <v>0.90266999999999997</v>
      </c>
      <c r="Y6646">
        <v>0.61802209999999902</v>
      </c>
      <c r="Z6646">
        <v>-2.890536E-3</v>
      </c>
      <c r="AA6646">
        <v>0.7861553</v>
      </c>
      <c r="AB6646">
        <v>24</v>
      </c>
      <c r="AC6646">
        <v>18.182599999999901</v>
      </c>
      <c r="AD6646">
        <v>-1.0649086940146999</v>
      </c>
      <c r="AE6646">
        <v>-24.091566</v>
      </c>
      <c r="AF6646">
        <v>18.693226801039</v>
      </c>
      <c r="AG6646">
        <v>-1.0649086940146999</v>
      </c>
      <c r="AH6646">
        <v>23.649734326776699</v>
      </c>
      <c r="AI6646">
        <v>92.023173069528099</v>
      </c>
      <c r="AJ6646">
        <v>51.676444839776003</v>
      </c>
      <c r="AK6646">
        <v>30.164228690433799</v>
      </c>
      <c r="AL6646">
        <v>83.0796062490586</v>
      </c>
      <c r="AM6646">
        <v>65.408049704812399</v>
      </c>
      <c r="AN6646">
        <v>1.00000007154273</v>
      </c>
    </row>
    <row r="6647" spans="1:40" x14ac:dyDescent="0.25">
      <c r="A6647" t="str">
        <f>"20190312172244233"</f>
        <v>20190312172244233</v>
      </c>
      <c r="B6647" t="str">
        <f>"1552382564226593"</f>
        <v>1552382564226593</v>
      </c>
      <c r="C6647" t="s">
        <v>40</v>
      </c>
      <c r="D6647">
        <v>3.162372</v>
      </c>
      <c r="E6647">
        <v>0.59424759999999999</v>
      </c>
      <c r="F6647" t="s">
        <v>42</v>
      </c>
      <c r="G6647">
        <v>-296.87240000000003</v>
      </c>
      <c r="H6647" s="1">
        <v>-6.1365949999999999E-7</v>
      </c>
      <c r="I6647">
        <v>-9.7604649999999999</v>
      </c>
      <c r="J6647">
        <v>-314.9846</v>
      </c>
      <c r="K6647">
        <v>1.064109</v>
      </c>
      <c r="L6647">
        <v>14.54025</v>
      </c>
      <c r="M6647">
        <v>0.96635899999999997</v>
      </c>
      <c r="N6647">
        <v>0</v>
      </c>
      <c r="O6647">
        <v>-0.2564533</v>
      </c>
      <c r="P6647">
        <v>0.76807809999999999</v>
      </c>
      <c r="Q6647">
        <v>0.108464</v>
      </c>
      <c r="R6647">
        <v>-0.63110330000000003</v>
      </c>
      <c r="S6647">
        <v>1.872833</v>
      </c>
      <c r="T6647">
        <v>-0.1093682</v>
      </c>
      <c r="U6647">
        <v>-2.4995120000000002</v>
      </c>
      <c r="V6647">
        <v>0.41464970000000001</v>
      </c>
      <c r="W6647">
        <v>0.1205006</v>
      </c>
      <c r="X6647">
        <v>0.90196739999999997</v>
      </c>
      <c r="Y6647">
        <v>0.61948619999999899</v>
      </c>
      <c r="Z6647">
        <v>-2.7634230000000001E-3</v>
      </c>
      <c r="AA6647">
        <v>0.7850028</v>
      </c>
      <c r="AB6647">
        <v>24</v>
      </c>
      <c r="AC6647">
        <v>18.112199999999898</v>
      </c>
      <c r="AD6647">
        <v>-1.0641096136595001</v>
      </c>
      <c r="AE6647">
        <v>-24.300715</v>
      </c>
      <c r="AF6647">
        <v>18.8186824273483</v>
      </c>
      <c r="AG6647">
        <v>-1.0641096136595001</v>
      </c>
      <c r="AH6647">
        <v>23.7101930001614</v>
      </c>
      <c r="AI6647">
        <v>92.013295643798699</v>
      </c>
      <c r="AJ6647">
        <v>51.561113713113699</v>
      </c>
      <c r="AK6647">
        <v>30.289410520447099</v>
      </c>
      <c r="AL6647">
        <v>83.079005359271093</v>
      </c>
      <c r="AM6647">
        <v>65.310956573362105</v>
      </c>
      <c r="AN6647">
        <v>0.99999997948660402</v>
      </c>
    </row>
    <row r="6648" spans="1:40" x14ac:dyDescent="0.25">
      <c r="A6648" t="str">
        <f>"20190312172244245"</f>
        <v>20190312172244245</v>
      </c>
      <c r="B6648" t="str">
        <f>"1552382564237329"</f>
        <v>1552382564237329</v>
      </c>
      <c r="C6648" t="s">
        <v>40</v>
      </c>
      <c r="D6648">
        <v>3.1630419999999999</v>
      </c>
      <c r="E6648">
        <v>0.59413649999999996</v>
      </c>
      <c r="F6648" t="s">
        <v>42</v>
      </c>
      <c r="G6648">
        <v>-296.80439999999999</v>
      </c>
      <c r="H6648" s="1">
        <v>-5.3901199999999996E-7</v>
      </c>
      <c r="I6648">
        <v>-10.00193</v>
      </c>
      <c r="J6648">
        <v>-314.8689</v>
      </c>
      <c r="K6648">
        <v>1.063391</v>
      </c>
      <c r="L6648">
        <v>14.50522</v>
      </c>
      <c r="M6648">
        <v>0.96538120000000005</v>
      </c>
      <c r="N6648">
        <v>0</v>
      </c>
      <c r="O6648">
        <v>-0.260132899999999</v>
      </c>
      <c r="P6648">
        <v>0.76446099999999995</v>
      </c>
      <c r="Q6648">
        <v>0.1086014</v>
      </c>
      <c r="R6648">
        <v>-0.63545680000000004</v>
      </c>
      <c r="S6648">
        <v>1.8591</v>
      </c>
      <c r="T6648">
        <v>-0.10881540000000001</v>
      </c>
      <c r="U6648">
        <v>-2.509674</v>
      </c>
      <c r="V6648">
        <v>0.4163501</v>
      </c>
      <c r="W6648">
        <v>0.1203051</v>
      </c>
      <c r="X6648">
        <v>0.90120990000000001</v>
      </c>
      <c r="Y6648">
        <v>0.62079319999999905</v>
      </c>
      <c r="Z6648">
        <v>-2.6408809999999999E-3</v>
      </c>
      <c r="AA6648">
        <v>0.7839699</v>
      </c>
      <c r="AB6648">
        <v>24</v>
      </c>
      <c r="AC6648">
        <v>18.064499999999999</v>
      </c>
      <c r="AD6648">
        <v>-1.0633915390119999</v>
      </c>
      <c r="AE6648">
        <v>-24.507149999999999</v>
      </c>
      <c r="AF6648">
        <v>18.939973951080301</v>
      </c>
      <c r="AG6648">
        <v>-1.0633915390119999</v>
      </c>
      <c r="AH6648">
        <v>23.7896296063618</v>
      </c>
      <c r="AI6648">
        <v>92.002837525869893</v>
      </c>
      <c r="AJ6648">
        <v>51.475155787205303</v>
      </c>
      <c r="AK6648">
        <v>30.4269599474008</v>
      </c>
      <c r="AL6648">
        <v>83.090288935676199</v>
      </c>
      <c r="AM6648">
        <v>65.203527845203695</v>
      </c>
      <c r="AN6648">
        <v>1.00000000335701</v>
      </c>
    </row>
    <row r="6649" spans="1:40" x14ac:dyDescent="0.25">
      <c r="A6649" t="str">
        <f>"20190312172244257"</f>
        <v>20190312172244257</v>
      </c>
      <c r="B6649" t="str">
        <f>"1552382564247089"</f>
        <v>1552382564247089</v>
      </c>
      <c r="C6649" t="s">
        <v>40</v>
      </c>
      <c r="D6649">
        <v>3.201371</v>
      </c>
      <c r="E6649">
        <v>0.59386859999999997</v>
      </c>
      <c r="F6649" t="s">
        <v>42</v>
      </c>
      <c r="G6649">
        <v>-297.24149999999997</v>
      </c>
      <c r="H6649" s="1">
        <v>-5.9629849999999997E-7</v>
      </c>
      <c r="I6649">
        <v>-9.5499620000000007</v>
      </c>
      <c r="J6649">
        <v>-314.74009999999998</v>
      </c>
      <c r="K6649">
        <v>1.0626420000000001</v>
      </c>
      <c r="L6649">
        <v>14.4657</v>
      </c>
      <c r="M6649">
        <v>0.96425689999999997</v>
      </c>
      <c r="N6649">
        <v>0</v>
      </c>
      <c r="O6649">
        <v>-0.26429409999999998</v>
      </c>
      <c r="P6649">
        <v>0.76064659999999995</v>
      </c>
      <c r="Q6649">
        <v>0.1083853</v>
      </c>
      <c r="R6649">
        <v>-0.64005480000000003</v>
      </c>
      <c r="S6649">
        <v>1.846069</v>
      </c>
      <c r="T6649">
        <v>-0.1113658</v>
      </c>
      <c r="U6649">
        <v>-2.5192260000000002</v>
      </c>
      <c r="V6649">
        <v>0.41789100000000001</v>
      </c>
      <c r="W6649">
        <v>0.11974219999999999</v>
      </c>
      <c r="X6649">
        <v>0.90057149999999997</v>
      </c>
      <c r="Y6649">
        <v>0.62146119999999905</v>
      </c>
      <c r="Z6649">
        <v>-2.5568700000000001E-3</v>
      </c>
      <c r="AA6649">
        <v>0.78344080000000005</v>
      </c>
      <c r="AB6649">
        <v>24</v>
      </c>
      <c r="AC6649">
        <v>17.4986</v>
      </c>
      <c r="AD6649">
        <v>-1.0626425962985</v>
      </c>
      <c r="AE6649">
        <v>-24.015661999999999</v>
      </c>
      <c r="AF6649">
        <v>18.512127221436899</v>
      </c>
      <c r="AG6649">
        <v>-1.0626425962985</v>
      </c>
      <c r="AH6649">
        <v>23.194828636672</v>
      </c>
      <c r="AI6649">
        <v>92.050740026976001</v>
      </c>
      <c r="AJ6649">
        <v>51.406127811881802</v>
      </c>
      <c r="AK6649">
        <v>29.695591239015801</v>
      </c>
      <c r="AL6649">
        <v>83.122775928420594</v>
      </c>
      <c r="AM6649">
        <v>65.107347985857203</v>
      </c>
      <c r="AN6649">
        <v>1.00000005447704</v>
      </c>
    </row>
    <row r="6650" spans="1:40" x14ac:dyDescent="0.25">
      <c r="A6650" t="str">
        <f>"20190312172244269"</f>
        <v>20190312172244269</v>
      </c>
      <c r="B6650" t="str">
        <f>"1552382564267586"</f>
        <v>1552382564267586</v>
      </c>
      <c r="C6650" t="s">
        <v>40</v>
      </c>
      <c r="D6650">
        <v>3.18974</v>
      </c>
      <c r="E6650">
        <v>0.59376969999999996</v>
      </c>
      <c r="F6650" t="s">
        <v>42</v>
      </c>
      <c r="G6650">
        <v>-297.66629999999998</v>
      </c>
      <c r="H6650" s="1">
        <v>-6.5590459999999905E-7</v>
      </c>
      <c r="I6650">
        <v>-9.1003550000000004</v>
      </c>
      <c r="J6650">
        <v>-314.61689999999999</v>
      </c>
      <c r="K6650">
        <v>1.06199</v>
      </c>
      <c r="L6650">
        <v>14.42709</v>
      </c>
      <c r="M6650">
        <v>0.96313910000000003</v>
      </c>
      <c r="N6650">
        <v>0</v>
      </c>
      <c r="O6650">
        <v>-0.26835930000000002</v>
      </c>
      <c r="P6650">
        <v>0.75694349999999999</v>
      </c>
      <c r="Q6650">
        <v>0.10852150000000001</v>
      </c>
      <c r="R6650">
        <v>-0.64440649999999999</v>
      </c>
      <c r="S6650">
        <v>1.8322449999999999</v>
      </c>
      <c r="T6650">
        <v>-0.1140362</v>
      </c>
      <c r="U6650">
        <v>-2.5289609999999998</v>
      </c>
      <c r="V6650">
        <v>0.41927019999999998</v>
      </c>
      <c r="W6650">
        <v>0.1195618</v>
      </c>
      <c r="X6650">
        <v>0.89995409999999998</v>
      </c>
      <c r="Y6650">
        <v>0.62238950000000004</v>
      </c>
      <c r="Z6650">
        <v>-2.4790929999999999E-3</v>
      </c>
      <c r="AA6650">
        <v>0.78270379999999995</v>
      </c>
      <c r="AB6650">
        <v>24</v>
      </c>
      <c r="AC6650">
        <v>16.950600000000001</v>
      </c>
      <c r="AD6650">
        <v>-1.0619906559046</v>
      </c>
      <c r="AE6650">
        <v>-23.527445</v>
      </c>
      <c r="AF6650">
        <v>18.0902245349222</v>
      </c>
      <c r="AG6650">
        <v>-1.0619906559046</v>
      </c>
      <c r="AH6650">
        <v>22.6131856800876</v>
      </c>
      <c r="AI6650">
        <v>92.100236076205206</v>
      </c>
      <c r="AJ6650">
        <v>51.340692330346499</v>
      </c>
      <c r="AK6650">
        <v>28.978271419794002</v>
      </c>
      <c r="AL6650">
        <v>83.133186182222701</v>
      </c>
      <c r="AM6650">
        <v>65.020151682121096</v>
      </c>
      <c r="AN6650">
        <v>0.99999995336704395</v>
      </c>
    </row>
    <row r="6651" spans="1:40" x14ac:dyDescent="0.25">
      <c r="A6651" t="str">
        <f>"20190312172244282"</f>
        <v>20190312172244282</v>
      </c>
      <c r="B6651" t="str">
        <f>"1552382564277345"</f>
        <v>1552382564277345</v>
      </c>
      <c r="C6651" t="s">
        <v>40</v>
      </c>
      <c r="D6651">
        <v>3.1915849999999999</v>
      </c>
      <c r="E6651">
        <v>0.59366300000000005</v>
      </c>
      <c r="F6651" t="s">
        <v>42</v>
      </c>
      <c r="G6651">
        <v>-298.15010000000001</v>
      </c>
      <c r="H6651" s="1">
        <v>-7.3552049999999897E-7</v>
      </c>
      <c r="I6651">
        <v>-8.5612429999999993</v>
      </c>
      <c r="J6651">
        <v>-314.49029999999999</v>
      </c>
      <c r="K6651">
        <v>1.061337</v>
      </c>
      <c r="L6651">
        <v>14.38705</v>
      </c>
      <c r="M6651">
        <v>0.96196130000000002</v>
      </c>
      <c r="N6651">
        <v>0</v>
      </c>
      <c r="O6651">
        <v>-0.27257110000000001</v>
      </c>
      <c r="P6651">
        <v>0.75327829999999996</v>
      </c>
      <c r="Q6651">
        <v>0.1088084</v>
      </c>
      <c r="R6651">
        <v>-0.64863899999999997</v>
      </c>
      <c r="S6651">
        <v>1.818665</v>
      </c>
      <c r="T6651">
        <v>-0.1172912</v>
      </c>
      <c r="U6651">
        <v>-2.5389400000000002</v>
      </c>
      <c r="V6651">
        <v>0.42039840000000001</v>
      </c>
      <c r="W6651">
        <v>0.1195349</v>
      </c>
      <c r="X6651">
        <v>0.89943119999999999</v>
      </c>
      <c r="Y6651">
        <v>0.62317849999999997</v>
      </c>
      <c r="Z6651">
        <v>-2.3965029999999999E-3</v>
      </c>
      <c r="AA6651">
        <v>0.78207590000000005</v>
      </c>
      <c r="AB6651">
        <v>24</v>
      </c>
      <c r="AC6651">
        <v>16.3401999999999</v>
      </c>
      <c r="AD6651">
        <v>-1.0613377355205</v>
      </c>
      <c r="AE6651">
        <v>-22.948293</v>
      </c>
      <c r="AF6651">
        <v>17.599479895985201</v>
      </c>
      <c r="AG6651">
        <v>-1.0613377355205</v>
      </c>
      <c r="AH6651">
        <v>21.946218509181001</v>
      </c>
      <c r="AI6651">
        <v>92.160619381238206</v>
      </c>
      <c r="AJ6651">
        <v>51.272591279219903</v>
      </c>
      <c r="AK6651">
        <v>28.1514588831688</v>
      </c>
      <c r="AL6651">
        <v>83.134738516175005</v>
      </c>
      <c r="AM6651">
        <v>64.948390721167002</v>
      </c>
      <c r="AN6651">
        <v>0.99999994528700298</v>
      </c>
    </row>
    <row r="6652" spans="1:40" x14ac:dyDescent="0.25">
      <c r="A6652" t="str">
        <f>"20190312172244293"</f>
        <v>20190312172244293</v>
      </c>
      <c r="B6652" t="str">
        <f>"1552382564287105"</f>
        <v>1552382564287105</v>
      </c>
      <c r="C6652" t="s">
        <v>40</v>
      </c>
      <c r="D6652">
        <v>3.2061109999999999</v>
      </c>
      <c r="E6652">
        <v>0.59344710000000001</v>
      </c>
      <c r="F6652" t="s">
        <v>42</v>
      </c>
      <c r="G6652">
        <v>-298.25639999999999</v>
      </c>
      <c r="H6652" s="1">
        <v>-7.2951090000000001E-7</v>
      </c>
      <c r="I6652">
        <v>-8.5340559999999996</v>
      </c>
      <c r="J6652">
        <v>-314.3621</v>
      </c>
      <c r="K6652">
        <v>1.060745</v>
      </c>
      <c r="L6652">
        <v>14.345549999999999</v>
      </c>
      <c r="M6652">
        <v>0.96071839999999997</v>
      </c>
      <c r="N6652">
        <v>0</v>
      </c>
      <c r="O6652">
        <v>-0.27693759999999901</v>
      </c>
      <c r="P6652">
        <v>0.74936819999999904</v>
      </c>
      <c r="Q6652">
        <v>0.10878210000000001</v>
      </c>
      <c r="R6652">
        <v>-0.65315690000000004</v>
      </c>
      <c r="S6652">
        <v>1.8050539999999999</v>
      </c>
      <c r="T6652">
        <v>-0.1180109</v>
      </c>
      <c r="U6652">
        <v>-2.5486149999999999</v>
      </c>
      <c r="V6652">
        <v>0.42172999999999999</v>
      </c>
      <c r="W6652">
        <v>0.11919829999999999</v>
      </c>
      <c r="X6652">
        <v>0.89885230000000005</v>
      </c>
      <c r="Y6652">
        <v>0.62380849999999999</v>
      </c>
      <c r="Z6652">
        <v>-2.2462150000000002E-3</v>
      </c>
      <c r="AA6652">
        <v>0.78157399999999999</v>
      </c>
      <c r="AB6652">
        <v>24</v>
      </c>
      <c r="AC6652">
        <v>16.105699999999999</v>
      </c>
      <c r="AD6652">
        <v>-1.0607457295109</v>
      </c>
      <c r="AE6652">
        <v>-22.879605999999999</v>
      </c>
      <c r="AF6652">
        <v>17.498289224702901</v>
      </c>
      <c r="AG6652">
        <v>-1.0607457295109</v>
      </c>
      <c r="AH6652">
        <v>21.781512726086198</v>
      </c>
      <c r="AI6652">
        <v>92.174224200282595</v>
      </c>
      <c r="AJ6652">
        <v>51.223168322307998</v>
      </c>
      <c r="AK6652">
        <v>27.959785477193599</v>
      </c>
      <c r="AL6652">
        <v>83.154163138372596</v>
      </c>
      <c r="AM6652">
        <v>64.864631087436607</v>
      </c>
      <c r="AN6652">
        <v>0.99999994241908796</v>
      </c>
    </row>
    <row r="6653" spans="1:40" x14ac:dyDescent="0.25">
      <c r="A6653" t="str">
        <f>"20190312172244304"</f>
        <v>20190312172244304</v>
      </c>
      <c r="B6653" t="str">
        <f>"1552382564296865"</f>
        <v>1552382564296865</v>
      </c>
      <c r="C6653" t="s">
        <v>40</v>
      </c>
      <c r="D6653">
        <v>3.1973720000000001</v>
      </c>
      <c r="E6653">
        <v>0.59323099999999995</v>
      </c>
      <c r="F6653" t="s">
        <v>42</v>
      </c>
      <c r="G6653">
        <v>-298.38499999999999</v>
      </c>
      <c r="H6653" s="1">
        <v>-7.3416960000000005E-7</v>
      </c>
      <c r="I6653">
        <v>-8.4759449999999994</v>
      </c>
      <c r="J6653">
        <v>-314.25200000000001</v>
      </c>
      <c r="K6653">
        <v>1.060254</v>
      </c>
      <c r="L6653">
        <v>14.30945</v>
      </c>
      <c r="M6653">
        <v>0.95962239999999999</v>
      </c>
      <c r="N6653">
        <v>0</v>
      </c>
      <c r="O6653">
        <v>-0.28072609999999998</v>
      </c>
      <c r="P6653">
        <v>0.74602069999999998</v>
      </c>
      <c r="Q6653">
        <v>0.1088727</v>
      </c>
      <c r="R6653">
        <v>-0.65696259999999995</v>
      </c>
      <c r="S6653">
        <v>1.790924</v>
      </c>
      <c r="T6653">
        <v>-0.11890240000000001</v>
      </c>
      <c r="U6653">
        <v>-2.5581360000000002</v>
      </c>
      <c r="V6653">
        <v>0.42277300000000001</v>
      </c>
      <c r="W6653">
        <v>0.1190288</v>
      </c>
      <c r="X6653">
        <v>0.89838469999999904</v>
      </c>
      <c r="Y6653">
        <v>0.62498640000000005</v>
      </c>
      <c r="Z6653">
        <v>-2.1355039999999999E-3</v>
      </c>
      <c r="AA6653">
        <v>0.78063269999999996</v>
      </c>
      <c r="AB6653">
        <v>24</v>
      </c>
      <c r="AC6653">
        <v>15.867000000000001</v>
      </c>
      <c r="AD6653">
        <v>-1.0602547341696</v>
      </c>
      <c r="AE6653">
        <v>-22.785395000000001</v>
      </c>
      <c r="AF6653">
        <v>17.388505824188499</v>
      </c>
      <c r="AG6653">
        <v>-1.0602547341696</v>
      </c>
      <c r="AH6653">
        <v>21.5947310068116</v>
      </c>
      <c r="AI6653">
        <v>92.190004202082605</v>
      </c>
      <c r="AJ6653">
        <v>51.158292872483102</v>
      </c>
      <c r="AK6653">
        <v>27.74557049613</v>
      </c>
      <c r="AL6653">
        <v>83.163944578664001</v>
      </c>
      <c r="AM6653">
        <v>64.798681628918601</v>
      </c>
      <c r="AN6653">
        <v>0.99999996697626403</v>
      </c>
    </row>
    <row r="6654" spans="1:40" x14ac:dyDescent="0.25">
      <c r="A6654" t="str">
        <f>"20190312172244314"</f>
        <v>20190312172244314</v>
      </c>
      <c r="B6654" t="str">
        <f>"1552382564306625"</f>
        <v>1552382564306625</v>
      </c>
      <c r="C6654" t="s">
        <v>40</v>
      </c>
      <c r="D6654">
        <v>3.2106439999999998</v>
      </c>
      <c r="E6654">
        <v>0.59305959999999902</v>
      </c>
      <c r="F6654" t="s">
        <v>42</v>
      </c>
      <c r="G6654">
        <v>-298.45069999999998</v>
      </c>
      <c r="H6654" s="1">
        <v>-7.2239870000000001E-7</v>
      </c>
      <c r="I6654">
        <v>-8.4762170000000001</v>
      </c>
      <c r="J6654">
        <v>-314.14350000000002</v>
      </c>
      <c r="K6654">
        <v>1.0597970000000001</v>
      </c>
      <c r="L6654">
        <v>14.27332</v>
      </c>
      <c r="M6654">
        <v>0.95851220000000004</v>
      </c>
      <c r="N6654">
        <v>0</v>
      </c>
      <c r="O6654">
        <v>-0.28450690000000001</v>
      </c>
      <c r="P6654">
        <v>0.74246590000000001</v>
      </c>
      <c r="Q6654">
        <v>0.1091816</v>
      </c>
      <c r="R6654">
        <v>-0.66092669999999998</v>
      </c>
      <c r="S6654">
        <v>1.7792969999999999</v>
      </c>
      <c r="T6654">
        <v>-0.11938940000000001</v>
      </c>
      <c r="U6654">
        <v>-2.5657649999999999</v>
      </c>
      <c r="V6654">
        <v>0.42404429999999999</v>
      </c>
      <c r="W6654">
        <v>0.1190828</v>
      </c>
      <c r="X6654">
        <v>0.89777819999999997</v>
      </c>
      <c r="Y6654">
        <v>0.62538559999999999</v>
      </c>
      <c r="Z6654">
        <v>-1.9955799999999998E-3</v>
      </c>
      <c r="AA6654">
        <v>0.78031340000000005</v>
      </c>
      <c r="AB6654">
        <v>24</v>
      </c>
      <c r="AC6654">
        <v>15.6928</v>
      </c>
      <c r="AD6654">
        <v>-1.0597977223986901</v>
      </c>
      <c r="AE6654">
        <v>-22.749537</v>
      </c>
      <c r="AF6654">
        <v>17.318222633284901</v>
      </c>
      <c r="AG6654">
        <v>-1.0597977223986901</v>
      </c>
      <c r="AH6654">
        <v>21.485883112079701</v>
      </c>
      <c r="AI6654">
        <v>92.199272494793107</v>
      </c>
      <c r="AJ6654">
        <v>51.1302144300954</v>
      </c>
      <c r="AK6654">
        <v>27.616791622025399</v>
      </c>
      <c r="AL6654">
        <v>83.160828594544796</v>
      </c>
      <c r="AM6654">
        <v>64.717399716781998</v>
      </c>
      <c r="AN6654">
        <v>0.999999989006784</v>
      </c>
    </row>
    <row r="6655" spans="1:40" x14ac:dyDescent="0.25">
      <c r="A6655" t="str">
        <f>"20190312172244324"</f>
        <v>20190312172244324</v>
      </c>
      <c r="B6655" t="str">
        <f>"1552382564317361"</f>
        <v>1552382564317361</v>
      </c>
      <c r="C6655" t="s">
        <v>40</v>
      </c>
      <c r="D6655">
        <v>3.2065800000000002</v>
      </c>
      <c r="E6655">
        <v>0.59288640000000004</v>
      </c>
      <c r="F6655" t="s">
        <v>42</v>
      </c>
      <c r="G6655">
        <v>-298.39389999999997</v>
      </c>
      <c r="H6655" s="1">
        <v>-6.3466539999999999E-7</v>
      </c>
      <c r="I6655">
        <v>-8.6831289999999992</v>
      </c>
      <c r="J6655">
        <v>-314.04899999999998</v>
      </c>
      <c r="K6655">
        <v>1.0594140000000001</v>
      </c>
      <c r="L6655">
        <v>14.24146</v>
      </c>
      <c r="M6655">
        <v>0.95752150000000003</v>
      </c>
      <c r="N6655">
        <v>0</v>
      </c>
      <c r="O6655">
        <v>-0.2878349</v>
      </c>
      <c r="P6655">
        <v>0.73919840000000003</v>
      </c>
      <c r="Q6655">
        <v>0.1097839</v>
      </c>
      <c r="R6655">
        <v>-0.66447999999999996</v>
      </c>
      <c r="S6655">
        <v>1.7662960000000001</v>
      </c>
      <c r="T6655">
        <v>-0.1188544</v>
      </c>
      <c r="U6655">
        <v>-2.5745239999999998</v>
      </c>
      <c r="V6655">
        <v>0.42527619999999999</v>
      </c>
      <c r="W6655">
        <v>0.1194643</v>
      </c>
      <c r="X6655">
        <v>0.89714459999999996</v>
      </c>
      <c r="Y6655">
        <v>0.62659569999999998</v>
      </c>
      <c r="Z6655">
        <v>-1.878603E-3</v>
      </c>
      <c r="AA6655">
        <v>0.77934230000000004</v>
      </c>
      <c r="AB6655">
        <v>24</v>
      </c>
      <c r="AC6655">
        <v>15.655099999999999</v>
      </c>
      <c r="AD6655">
        <v>-1.0594146346654001</v>
      </c>
      <c r="AE6655">
        <v>-22.924589000000001</v>
      </c>
      <c r="AF6655">
        <v>17.421977780112201</v>
      </c>
      <c r="AG6655">
        <v>-1.0594146346654001</v>
      </c>
      <c r="AH6655">
        <v>21.560468519017899</v>
      </c>
      <c r="AI6655">
        <v>92.1887164553698</v>
      </c>
      <c r="AJ6655">
        <v>51.059989377209497</v>
      </c>
      <c r="AK6655">
        <v>27.7398895437316</v>
      </c>
      <c r="AL6655">
        <v>83.138813165964905</v>
      </c>
      <c r="AM6655">
        <v>64.637501545349295</v>
      </c>
      <c r="AN6655">
        <v>0.99999999928504402</v>
      </c>
    </row>
    <row r="6656" spans="1:40" x14ac:dyDescent="0.25">
      <c r="A6656" t="str">
        <f>"20190312172244333"</f>
        <v>20190312172244333</v>
      </c>
      <c r="B6656" t="str">
        <f>"1552382564327121"</f>
        <v>1552382564327121</v>
      </c>
      <c r="C6656" t="s">
        <v>40</v>
      </c>
      <c r="D6656">
        <v>3.1968380000000001</v>
      </c>
      <c r="E6656">
        <v>0.59271600000000002</v>
      </c>
      <c r="F6656" t="s">
        <v>42</v>
      </c>
      <c r="G6656">
        <v>-298.28370000000001</v>
      </c>
      <c r="H6656" s="1">
        <v>-5.4901330000000002E-7</v>
      </c>
      <c r="I6656">
        <v>-8.9509369999999997</v>
      </c>
      <c r="J6656">
        <v>-313.94600000000003</v>
      </c>
      <c r="K6656">
        <v>1.0590280000000001</v>
      </c>
      <c r="L6656">
        <v>14.2061799999999</v>
      </c>
      <c r="M6656">
        <v>0.95641160000000003</v>
      </c>
      <c r="N6656">
        <v>0</v>
      </c>
      <c r="O6656">
        <v>-0.29151250000000001</v>
      </c>
      <c r="P6656">
        <v>0.735882699999999</v>
      </c>
      <c r="Q6656">
        <v>0.11018849999999999</v>
      </c>
      <c r="R6656">
        <v>-0.668083599999999</v>
      </c>
      <c r="S6656">
        <v>1.755066</v>
      </c>
      <c r="T6656">
        <v>-0.1179386</v>
      </c>
      <c r="U6656">
        <v>-2.5818789999999998</v>
      </c>
      <c r="V6656">
        <v>0.42624669999999998</v>
      </c>
      <c r="W6656">
        <v>0.11964229999999999</v>
      </c>
      <c r="X6656">
        <v>0.89666009999999996</v>
      </c>
      <c r="Y6656">
        <v>0.62695780000000001</v>
      </c>
      <c r="Z6656">
        <v>-1.7200449999999999E-3</v>
      </c>
      <c r="AA6656">
        <v>0.77905139999999995</v>
      </c>
      <c r="AB6656">
        <v>24</v>
      </c>
      <c r="AC6656">
        <v>15.662299999999901</v>
      </c>
      <c r="AD6656">
        <v>-1.0590285490133</v>
      </c>
      <c r="AE6656">
        <v>-23.157117</v>
      </c>
      <c r="AF6656">
        <v>17.559395551025901</v>
      </c>
      <c r="AG6656">
        <v>-1.0590285490133</v>
      </c>
      <c r="AH6656">
        <v>21.702282668366198</v>
      </c>
      <c r="AI6656">
        <v>92.172519992494699</v>
      </c>
      <c r="AJ6656">
        <v>51.0235528064403</v>
      </c>
      <c r="AK6656">
        <v>27.936409694208798</v>
      </c>
      <c r="AL6656">
        <v>83.128540377776403</v>
      </c>
      <c r="AM6656">
        <v>64.574915174836207</v>
      </c>
      <c r="AN6656">
        <v>0.99999993207109195</v>
      </c>
    </row>
    <row r="6657" spans="1:40" x14ac:dyDescent="0.25">
      <c r="A6657" t="str">
        <f>"20190312172244345"</f>
        <v>20190312172244345</v>
      </c>
      <c r="B6657" t="str">
        <f>"1552382564336881"</f>
        <v>1552382564336881</v>
      </c>
      <c r="C6657" t="s">
        <v>40</v>
      </c>
      <c r="D6657">
        <v>3.171036</v>
      </c>
      <c r="E6657">
        <v>0.59271600000000002</v>
      </c>
      <c r="F6657" t="s">
        <v>42</v>
      </c>
      <c r="G6657">
        <v>-298.35489999999999</v>
      </c>
      <c r="H6657" s="1">
        <v>-5.3129869999999899E-7</v>
      </c>
      <c r="I6657">
        <v>-8.9477119999999992</v>
      </c>
      <c r="J6657">
        <v>-313.83199999999999</v>
      </c>
      <c r="K6657">
        <v>1.05862099999999</v>
      </c>
      <c r="L6657">
        <v>14.166689999999999</v>
      </c>
      <c r="M6657">
        <v>0.95515280000000002</v>
      </c>
      <c r="N6657">
        <v>0</v>
      </c>
      <c r="O6657">
        <v>-0.295622099999999</v>
      </c>
      <c r="P6657">
        <v>0.73190480000000002</v>
      </c>
      <c r="Q6657">
        <v>0.1107128</v>
      </c>
      <c r="R6657">
        <v>-0.67235330000000004</v>
      </c>
      <c r="S6657">
        <v>1.743622</v>
      </c>
      <c r="T6657">
        <v>-0.1184365</v>
      </c>
      <c r="U6657">
        <v>-2.5894170000000001</v>
      </c>
      <c r="V6657">
        <v>0.42765249999999999</v>
      </c>
      <c r="W6657">
        <v>0.11991499999999999</v>
      </c>
      <c r="X6657">
        <v>0.89595409999999998</v>
      </c>
      <c r="Y6657">
        <v>0.62702899999999995</v>
      </c>
      <c r="Z6657">
        <v>-1.5565310000000001E-3</v>
      </c>
      <c r="AA6657">
        <v>0.77899439999999998</v>
      </c>
      <c r="AB6657">
        <v>24</v>
      </c>
      <c r="AC6657">
        <v>15.4771</v>
      </c>
      <c r="AD6657">
        <v>-1.05862153129869</v>
      </c>
      <c r="AE6657">
        <v>-23.114401999999998</v>
      </c>
      <c r="AF6657">
        <v>17.479642642749301</v>
      </c>
      <c r="AG6657">
        <v>-1.05862153129869</v>
      </c>
      <c r="AH6657">
        <v>21.5880012484849</v>
      </c>
      <c r="AI6657">
        <v>92.182543087389107</v>
      </c>
      <c r="AJ6657">
        <v>51.003167660751203</v>
      </c>
      <c r="AK6657">
        <v>27.797488814087799</v>
      </c>
      <c r="AL6657">
        <v>83.112803044677605</v>
      </c>
      <c r="AM6657">
        <v>64.484148124340507</v>
      </c>
      <c r="AN6657">
        <v>1.0000000086440299</v>
      </c>
    </row>
    <row r="6658" spans="1:40" x14ac:dyDescent="0.25">
      <c r="A6658" t="str">
        <f>"20190312172244355"</f>
        <v>20190312172244355</v>
      </c>
      <c r="B6658" t="str">
        <f>"1552382564346641"</f>
        <v>1552382564346641</v>
      </c>
      <c r="C6658" t="s">
        <v>40</v>
      </c>
      <c r="D6658">
        <v>3.2112270000000001</v>
      </c>
      <c r="E6658">
        <v>0.58861989999999997</v>
      </c>
      <c r="F6658" t="s">
        <v>42</v>
      </c>
      <c r="G6658">
        <v>-298.2885</v>
      </c>
      <c r="H6658" s="1">
        <v>-4.5133600000000001E-7</v>
      </c>
      <c r="I6658">
        <v>-9.2019420000000007</v>
      </c>
      <c r="J6658">
        <v>-313.72089999999997</v>
      </c>
      <c r="K6658">
        <v>1.058244</v>
      </c>
      <c r="L6658">
        <v>14.12762</v>
      </c>
      <c r="M6658">
        <v>0.95389170000000001</v>
      </c>
      <c r="N6658">
        <v>0</v>
      </c>
      <c r="O6658">
        <v>-0.2996759</v>
      </c>
      <c r="P6658">
        <v>0.727908</v>
      </c>
      <c r="Q6658">
        <v>0.1112776</v>
      </c>
      <c r="R6658">
        <v>-0.6765854</v>
      </c>
      <c r="S6658">
        <v>1.728882</v>
      </c>
      <c r="T6658">
        <v>-0.1177496</v>
      </c>
      <c r="U6658">
        <v>-2.5992739999999999</v>
      </c>
      <c r="V6658">
        <v>0.429091</v>
      </c>
      <c r="W6658">
        <v>0.12023929999999999</v>
      </c>
      <c r="X6658">
        <v>0.89522250000000003</v>
      </c>
      <c r="Y6658">
        <v>0.62814999999999999</v>
      </c>
      <c r="Z6658">
        <v>-1.406984E-3</v>
      </c>
      <c r="AA6658">
        <v>0.77809099999999998</v>
      </c>
      <c r="AB6658">
        <v>24</v>
      </c>
      <c r="AC6658">
        <v>15.4323999999999</v>
      </c>
      <c r="AD6658">
        <v>-1.0582444513360001</v>
      </c>
      <c r="AE6658">
        <v>-23.329561999999999</v>
      </c>
      <c r="AF6658">
        <v>17.606469728526299</v>
      </c>
      <c r="AG6658">
        <v>-1.0582444513360001</v>
      </c>
      <c r="AH6658">
        <v>21.6842037760319</v>
      </c>
      <c r="AI6658">
        <v>92.169702004945407</v>
      </c>
      <c r="AJ6658">
        <v>50.925159074938797</v>
      </c>
      <c r="AK6658">
        <v>27.951965065461401</v>
      </c>
      <c r="AL6658">
        <v>83.094086195036098</v>
      </c>
      <c r="AM6658">
        <v>64.391034840558703</v>
      </c>
      <c r="AN6658">
        <v>0.99999995002586795</v>
      </c>
    </row>
    <row r="6659" spans="1:40" x14ac:dyDescent="0.25">
      <c r="A6659" t="str">
        <f>"20190312172244367"</f>
        <v>20190312172244367</v>
      </c>
      <c r="B6659" t="str">
        <f>"1552382564357377"</f>
        <v>1552382564357377</v>
      </c>
      <c r="C6659" t="s">
        <v>40</v>
      </c>
      <c r="D6659">
        <v>3.2211530000000002</v>
      </c>
      <c r="E6659">
        <v>0.58848679999999998</v>
      </c>
      <c r="F6659" t="s">
        <v>42</v>
      </c>
      <c r="G6659">
        <v>-299.00720000000001</v>
      </c>
      <c r="H6659" s="1">
        <v>-9.5291909999999995E-7</v>
      </c>
      <c r="I6659">
        <v>-7.7797130000000001</v>
      </c>
      <c r="J6659">
        <v>-313.6096</v>
      </c>
      <c r="K6659">
        <v>1.0578959999999999</v>
      </c>
      <c r="L6659">
        <v>14.08774</v>
      </c>
      <c r="M6659">
        <v>0.95258960000000004</v>
      </c>
      <c r="N6659">
        <v>0</v>
      </c>
      <c r="O6659">
        <v>-0.30379889999999998</v>
      </c>
      <c r="P6659">
        <v>0.72393289999999999</v>
      </c>
      <c r="Q6659">
        <v>0.11150889999999999</v>
      </c>
      <c r="R6659">
        <v>-0.68079940000000005</v>
      </c>
      <c r="S6659">
        <v>1.736847</v>
      </c>
      <c r="T6659">
        <v>-0.124918</v>
      </c>
      <c r="U6659">
        <v>-2.5859990000000002</v>
      </c>
      <c r="V6659">
        <v>0.43044500000000002</v>
      </c>
      <c r="W6659">
        <v>0.12024120000000001</v>
      </c>
      <c r="X6659">
        <v>0.89457209999999998</v>
      </c>
      <c r="Y6659">
        <v>0.6212493</v>
      </c>
      <c r="Z6659">
        <v>-1.1224659999999999E-3</v>
      </c>
      <c r="AA6659">
        <v>0.78361230000000004</v>
      </c>
      <c r="AB6659">
        <v>24</v>
      </c>
      <c r="AC6659">
        <v>14.6023999999999</v>
      </c>
      <c r="AD6659">
        <v>-1.0578969529191</v>
      </c>
      <c r="AE6659">
        <v>-21.867453000000001</v>
      </c>
      <c r="AF6659">
        <v>16.370307607912199</v>
      </c>
      <c r="AG6659">
        <v>-1.0578969529191</v>
      </c>
      <c r="AH6659">
        <v>20.523054015136299</v>
      </c>
      <c r="AI6659">
        <v>92.307617878338206</v>
      </c>
      <c r="AJ6659">
        <v>51.4222269183213</v>
      </c>
      <c r="AK6659">
        <v>26.273596313578199</v>
      </c>
      <c r="AL6659">
        <v>83.0939771837173</v>
      </c>
      <c r="AM6659">
        <v>64.304341259132698</v>
      </c>
      <c r="AN6659">
        <v>1.0000000431504199</v>
      </c>
    </row>
    <row r="6660" spans="1:40" x14ac:dyDescent="0.25">
      <c r="A6660" t="str">
        <f>"20190312172244377"</f>
        <v>20190312172244377</v>
      </c>
      <c r="B6660" t="str">
        <f>"1552382564367137"</f>
        <v>1552382564367137</v>
      </c>
      <c r="C6660" t="s">
        <v>40</v>
      </c>
      <c r="D6660">
        <v>3.1963330000000001</v>
      </c>
      <c r="E6660">
        <v>0.58868450000000005</v>
      </c>
      <c r="F6660" t="s">
        <v>42</v>
      </c>
      <c r="G6660">
        <v>-299.18439999999998</v>
      </c>
      <c r="H6660" s="1">
        <v>-9.8730940000000006E-7</v>
      </c>
      <c r="I6660">
        <v>-7.6404899999999998</v>
      </c>
      <c r="J6660">
        <v>-313.49610000000001</v>
      </c>
      <c r="K6660">
        <v>1.057553</v>
      </c>
      <c r="L6660">
        <v>14.04669</v>
      </c>
      <c r="M6660">
        <v>0.95123179999999996</v>
      </c>
      <c r="N6660">
        <v>0</v>
      </c>
      <c r="O6660">
        <v>-0.30803259999999899</v>
      </c>
      <c r="P6660">
        <v>0.71994769999999997</v>
      </c>
      <c r="Q6660">
        <v>0.11152280000000001</v>
      </c>
      <c r="R6660">
        <v>-0.6850098</v>
      </c>
      <c r="S6660">
        <v>1.722931</v>
      </c>
      <c r="T6660">
        <v>-0.12635350000000001</v>
      </c>
      <c r="U6660">
        <v>-2.5951840000000002</v>
      </c>
      <c r="V6660">
        <v>0.43170009999999998</v>
      </c>
      <c r="W6660">
        <v>0.1200296</v>
      </c>
      <c r="X6660">
        <v>0.89399549999999905</v>
      </c>
      <c r="Y6660">
        <v>0.62195599999999995</v>
      </c>
      <c r="Z6660">
        <v>-9.6403060000000004E-4</v>
      </c>
      <c r="AA6660">
        <v>0.78305159999999996</v>
      </c>
      <c r="AB6660">
        <v>24</v>
      </c>
      <c r="AC6660">
        <v>14.3117</v>
      </c>
      <c r="AD6660">
        <v>-1.0575539873094</v>
      </c>
      <c r="AE6660">
        <v>-21.687180000000001</v>
      </c>
      <c r="AF6660">
        <v>16.196457767490099</v>
      </c>
      <c r="AG6660">
        <v>-1.0575539873094</v>
      </c>
      <c r="AH6660">
        <v>20.2633164609523</v>
      </c>
      <c r="AI6660">
        <v>92.334536649494595</v>
      </c>
      <c r="AJ6660">
        <v>51.364674729490197</v>
      </c>
      <c r="AK6660">
        <v>25.962389309284799</v>
      </c>
      <c r="AL6660">
        <v>83.106189240190901</v>
      </c>
      <c r="AM6660">
        <v>64.2246400375695</v>
      </c>
      <c r="AN6660">
        <v>1.0000000176182</v>
      </c>
    </row>
    <row r="6661" spans="1:40" x14ac:dyDescent="0.25">
      <c r="A6661" t="str">
        <f>"20190312172244389"</f>
        <v>20190312172244389</v>
      </c>
      <c r="B6661" t="str">
        <f>"1552382564376897"</f>
        <v>1552382564376897</v>
      </c>
      <c r="C6661" t="s">
        <v>40</v>
      </c>
      <c r="D6661">
        <v>3.2427079999999999</v>
      </c>
      <c r="E6661">
        <v>0.58887480000000003</v>
      </c>
      <c r="F6661" t="s">
        <v>42</v>
      </c>
      <c r="G6661">
        <v>-299.62490000000003</v>
      </c>
      <c r="H6661" s="1">
        <v>-1.1499969999999999E-6</v>
      </c>
      <c r="I6661">
        <v>-7.1310279999999997</v>
      </c>
      <c r="J6661">
        <v>-313.3809</v>
      </c>
      <c r="K6661">
        <v>1.0572440000000001</v>
      </c>
      <c r="L6661">
        <v>14.00412</v>
      </c>
      <c r="M6661">
        <v>0.94980500000000001</v>
      </c>
      <c r="N6661">
        <v>0</v>
      </c>
      <c r="O6661">
        <v>-0.31241190000000002</v>
      </c>
      <c r="P6661">
        <v>0.71580730000000004</v>
      </c>
      <c r="Q6661">
        <v>0.1112861</v>
      </c>
      <c r="R6661">
        <v>-0.68937309999999996</v>
      </c>
      <c r="S6661">
        <v>1.707184</v>
      </c>
      <c r="T6661">
        <v>-0.13015689999999999</v>
      </c>
      <c r="U6661">
        <v>-2.6064150000000001</v>
      </c>
      <c r="V6661">
        <v>0.43301640000000002</v>
      </c>
      <c r="W6661">
        <v>0.1195751</v>
      </c>
      <c r="X6661">
        <v>0.89341959999999998</v>
      </c>
      <c r="Y6661">
        <v>0.62319399999999903</v>
      </c>
      <c r="Z6661">
        <v>-8.2432109999999996E-4</v>
      </c>
      <c r="AA6661">
        <v>0.78206679999999995</v>
      </c>
      <c r="AB6661">
        <v>24</v>
      </c>
      <c r="AC6661">
        <v>13.755999999999901</v>
      </c>
      <c r="AD6661">
        <v>-1.0572451499969999</v>
      </c>
      <c r="AE6661">
        <v>-21.135148000000001</v>
      </c>
      <c r="AF6661">
        <v>15.751169644390901</v>
      </c>
      <c r="AG6661">
        <v>-1.0572451499969999</v>
      </c>
      <c r="AH6661">
        <v>19.636522542305499</v>
      </c>
      <c r="AI6661">
        <v>92.4049383196066</v>
      </c>
      <c r="AJ6661">
        <v>51.265631001944399</v>
      </c>
      <c r="AK6661">
        <v>25.195438675046798</v>
      </c>
      <c r="AL6661">
        <v>83.132418925360895</v>
      </c>
      <c r="AM6661">
        <v>64.141782389096207</v>
      </c>
      <c r="AN6661">
        <v>0.99999999443656495</v>
      </c>
    </row>
    <row r="6662" spans="1:40" x14ac:dyDescent="0.25">
      <c r="A6662" t="str">
        <f>"20190312172244401"</f>
        <v>20190312172244401</v>
      </c>
      <c r="B6662" t="str">
        <f>"1552382564397393"</f>
        <v>1552382564397393</v>
      </c>
      <c r="C6662" t="s">
        <v>40</v>
      </c>
      <c r="D6662">
        <v>3.2250800000000002</v>
      </c>
      <c r="E6662">
        <v>0.58844949999999996</v>
      </c>
      <c r="F6662" t="s">
        <v>42</v>
      </c>
      <c r="G6662">
        <v>-300.08150000000001</v>
      </c>
      <c r="H6662" s="1">
        <v>-1.3806740000000001E-6</v>
      </c>
      <c r="I6662">
        <v>-6.5877480000000004</v>
      </c>
      <c r="J6662">
        <v>-313.26749999999998</v>
      </c>
      <c r="K6662">
        <v>1.056943</v>
      </c>
      <c r="L6662">
        <v>13.96191</v>
      </c>
      <c r="M6662">
        <v>0.94837419999999995</v>
      </c>
      <c r="N6662">
        <v>0</v>
      </c>
      <c r="O6662">
        <v>-0.31673649999999998</v>
      </c>
      <c r="P6662">
        <v>0.71171119999999899</v>
      </c>
      <c r="Q6662">
        <v>0.1110483</v>
      </c>
      <c r="R6662">
        <v>-0.69363989999999998</v>
      </c>
      <c r="S6662">
        <v>1.6907650000000001</v>
      </c>
      <c r="T6662">
        <v>-0.13440839999999901</v>
      </c>
      <c r="U6662">
        <v>-2.6178590000000002</v>
      </c>
      <c r="V6662">
        <v>0.43428650000000002</v>
      </c>
      <c r="W6662">
        <v>0.1191268</v>
      </c>
      <c r="X6662">
        <v>0.89286290000000001</v>
      </c>
      <c r="Y6662">
        <v>0.62463610000000003</v>
      </c>
      <c r="Z6662">
        <v>-6.853594E-4</v>
      </c>
      <c r="AA6662">
        <v>0.78091569999999899</v>
      </c>
      <c r="AB6662">
        <v>24</v>
      </c>
      <c r="AC6662">
        <v>13.1859999999999</v>
      </c>
      <c r="AD6662">
        <v>-1.056944380674</v>
      </c>
      <c r="AE6662">
        <v>-20.549657999999901</v>
      </c>
      <c r="AF6662">
        <v>15.2856588897605</v>
      </c>
      <c r="AG6662">
        <v>-1.056944380674</v>
      </c>
      <c r="AH6662">
        <v>18.981034582888199</v>
      </c>
      <c r="AI6662">
        <v>92.483331437241105</v>
      </c>
      <c r="AJ6662">
        <v>51.155082339287397</v>
      </c>
      <c r="AK6662">
        <v>24.393609264615801</v>
      </c>
      <c r="AL6662">
        <v>83.158289983084799</v>
      </c>
      <c r="AM6662">
        <v>64.061816171203304</v>
      </c>
      <c r="AN6662">
        <v>1.0000000583784401</v>
      </c>
    </row>
    <row r="6663" spans="1:40" x14ac:dyDescent="0.25">
      <c r="A6663" t="str">
        <f>"20190312172244412"</f>
        <v>20190312172244412</v>
      </c>
      <c r="B6663" t="str">
        <f>"1552382564407153"</f>
        <v>1552382564407153</v>
      </c>
      <c r="C6663" t="s">
        <v>40</v>
      </c>
      <c r="D6663">
        <v>3.219252</v>
      </c>
      <c r="E6663">
        <v>0.58844949999999996</v>
      </c>
      <c r="F6663" t="s">
        <v>42</v>
      </c>
      <c r="G6663">
        <v>-300.06889999999999</v>
      </c>
      <c r="H6663" s="1">
        <v>-1.3254729999999999E-6</v>
      </c>
      <c r="I6663">
        <v>-6.6974640000000001</v>
      </c>
      <c r="J6663">
        <v>-313.14600000000002</v>
      </c>
      <c r="K6663">
        <v>1.056654</v>
      </c>
      <c r="L6663">
        <v>13.91553</v>
      </c>
      <c r="M6663">
        <v>0.94678280000000004</v>
      </c>
      <c r="N6663">
        <v>0</v>
      </c>
      <c r="O6663">
        <v>-0.3214689</v>
      </c>
      <c r="P6663">
        <v>0.7073064</v>
      </c>
      <c r="Q6663">
        <v>0.1111041</v>
      </c>
      <c r="R6663">
        <v>-0.69812200000000002</v>
      </c>
      <c r="S6663">
        <v>1.677338</v>
      </c>
      <c r="T6663">
        <v>-0.1343213</v>
      </c>
      <c r="U6663">
        <v>-2.6254879999999998</v>
      </c>
      <c r="V6663">
        <v>0.43548829999999999</v>
      </c>
      <c r="W6663">
        <v>0.11897340000000001</v>
      </c>
      <c r="X6663">
        <v>0.89229769999999897</v>
      </c>
      <c r="Y6663">
        <v>0.62460579999999999</v>
      </c>
      <c r="Z6663">
        <v>-4.561748E-4</v>
      </c>
      <c r="AA6663">
        <v>0.78094010000000003</v>
      </c>
      <c r="AB6663">
        <v>24</v>
      </c>
      <c r="AC6663">
        <v>13.0770999999999</v>
      </c>
      <c r="AD6663">
        <v>-1.056655325473</v>
      </c>
      <c r="AE6663">
        <v>-20.612994</v>
      </c>
      <c r="AF6663">
        <v>15.285499069721</v>
      </c>
      <c r="AG6663">
        <v>-1.056655325473</v>
      </c>
      <c r="AH6663">
        <v>18.974530391022899</v>
      </c>
      <c r="AI6663">
        <v>92.483178824281097</v>
      </c>
      <c r="AJ6663">
        <v>51.1457820056687</v>
      </c>
      <c r="AK6663">
        <v>24.388435904074399</v>
      </c>
      <c r="AL6663">
        <v>83.167141415908901</v>
      </c>
      <c r="AM6663">
        <v>63.985185505260603</v>
      </c>
      <c r="AN6663">
        <v>0.99999995738486802</v>
      </c>
    </row>
    <row r="6664" spans="1:40" x14ac:dyDescent="0.25">
      <c r="A6664" t="str">
        <f>"20190312172244423"</f>
        <v>20190312172244423</v>
      </c>
      <c r="B6664" t="str">
        <f>"1552382564416913"</f>
        <v>1552382564416913</v>
      </c>
      <c r="C6664" t="s">
        <v>40</v>
      </c>
      <c r="D6664">
        <v>3.2531119999999998</v>
      </c>
      <c r="E6664">
        <v>0.60372780000000004</v>
      </c>
      <c r="F6664" t="s">
        <v>42</v>
      </c>
      <c r="G6664">
        <v>-300.07029999999997</v>
      </c>
      <c r="H6664" s="1">
        <v>-1.2574739999999999E-6</v>
      </c>
      <c r="I6664">
        <v>-6.8421000000000003</v>
      </c>
      <c r="J6664">
        <v>-313.03489999999999</v>
      </c>
      <c r="K6664">
        <v>1.0564009999999999</v>
      </c>
      <c r="L6664">
        <v>13.87274</v>
      </c>
      <c r="M6664">
        <v>0.94529589999999997</v>
      </c>
      <c r="N6664">
        <v>0</v>
      </c>
      <c r="O6664">
        <v>-0.32582149999999999</v>
      </c>
      <c r="P6664">
        <v>0.70337349999999998</v>
      </c>
      <c r="Q6664">
        <v>0.11112039999999999</v>
      </c>
      <c r="R6664">
        <v>-0.70208169999999903</v>
      </c>
      <c r="S6664">
        <v>1.6605829999999999</v>
      </c>
      <c r="T6664">
        <v>-0.1341927</v>
      </c>
      <c r="U6664">
        <v>-2.6361690000000002</v>
      </c>
      <c r="V6664">
        <v>0.43640839999999997</v>
      </c>
      <c r="W6664">
        <v>0.1188067</v>
      </c>
      <c r="X6664">
        <v>0.8918703</v>
      </c>
      <c r="Y6664">
        <v>0.62599550000000004</v>
      </c>
      <c r="Z6664">
        <v>-2.8656889999999999E-4</v>
      </c>
      <c r="AA6664">
        <v>0.77982659999999904</v>
      </c>
      <c r="AB6664">
        <v>24</v>
      </c>
      <c r="AC6664">
        <v>12.964600000000001</v>
      </c>
      <c r="AD6664">
        <v>-1.056402257474</v>
      </c>
      <c r="AE6664">
        <v>-20.714839999999999</v>
      </c>
      <c r="AF6664">
        <v>15.330824768498999</v>
      </c>
      <c r="AG6664">
        <v>-1.056402257474</v>
      </c>
      <c r="AH6664">
        <v>18.971703422747002</v>
      </c>
      <c r="AI6664">
        <v>92.479915320718206</v>
      </c>
      <c r="AJ6664">
        <v>51.058703922152297</v>
      </c>
      <c r="AK6664">
        <v>24.414661672296202</v>
      </c>
      <c r="AL6664">
        <v>83.176760989207096</v>
      </c>
      <c r="AM6664">
        <v>63.926653809611302</v>
      </c>
      <c r="AN6664">
        <v>0.99999997778876903</v>
      </c>
    </row>
    <row r="6665" spans="1:40" x14ac:dyDescent="0.25">
      <c r="A6665" t="str">
        <f>"20190312172244434"</f>
        <v>20190312172244434</v>
      </c>
      <c r="B6665" t="str">
        <f>"1552382564426673"</f>
        <v>1552382564426673</v>
      </c>
      <c r="C6665" t="s">
        <v>40</v>
      </c>
      <c r="D6665">
        <v>3.2787039999999998</v>
      </c>
      <c r="E6665">
        <v>0.60864799999999997</v>
      </c>
      <c r="F6665" t="s">
        <v>42</v>
      </c>
      <c r="G6665">
        <v>-302.61130000000003</v>
      </c>
      <c r="H6665" s="1">
        <v>-3.098243E-6</v>
      </c>
      <c r="I6665">
        <v>-4.3782759999999996</v>
      </c>
      <c r="J6665">
        <v>-312.91849999999999</v>
      </c>
      <c r="K6665">
        <v>1.0561609999999999</v>
      </c>
      <c r="L6665">
        <v>13.827059999999999</v>
      </c>
      <c r="M6665">
        <v>0.94369259999999999</v>
      </c>
      <c r="N6665">
        <v>0</v>
      </c>
      <c r="O6665">
        <v>-0.33044200000000001</v>
      </c>
      <c r="P6665">
        <v>0.69924770000000003</v>
      </c>
      <c r="Q6665">
        <v>0.1115207</v>
      </c>
      <c r="R6665">
        <v>-0.70612750000000002</v>
      </c>
      <c r="S6665">
        <v>1.56134</v>
      </c>
      <c r="T6665">
        <v>-0.15823899999999999</v>
      </c>
      <c r="U6665">
        <v>-2.7338260000000001</v>
      </c>
      <c r="V6665">
        <v>0.43723240000000002</v>
      </c>
      <c r="W6665">
        <v>0.1190288</v>
      </c>
      <c r="X6665">
        <v>0.89143700000000003</v>
      </c>
      <c r="Y6665">
        <v>0.65528980000000003</v>
      </c>
      <c r="Z6665">
        <v>-1.0974069999999999E-3</v>
      </c>
      <c r="AA6665">
        <v>0.75537679999999996</v>
      </c>
      <c r="AB6665">
        <v>24</v>
      </c>
      <c r="AC6665">
        <v>10.3071999999999</v>
      </c>
      <c r="AD6665">
        <v>-1.0561640982430001</v>
      </c>
      <c r="AE6665">
        <v>-18.205335999999999</v>
      </c>
      <c r="AF6665">
        <v>13.741026136558</v>
      </c>
      <c r="AG6665">
        <v>-1.0561640982430001</v>
      </c>
      <c r="AH6665">
        <v>15.7045969804521</v>
      </c>
      <c r="AI6665">
        <v>92.897439479011396</v>
      </c>
      <c r="AJ6665">
        <v>48.815100201919599</v>
      </c>
      <c r="AK6665">
        <v>20.8941534455553</v>
      </c>
      <c r="AL6665">
        <v>83.163944639986497</v>
      </c>
      <c r="AM6665">
        <v>63.872953274360498</v>
      </c>
      <c r="AN6665">
        <v>0.99999997590409895</v>
      </c>
    </row>
    <row r="6666" spans="1:40" x14ac:dyDescent="0.25">
      <c r="A6666" t="str">
        <f>"20190312172244445"</f>
        <v>20190312172244445</v>
      </c>
      <c r="B6666" t="str">
        <f>"1552382564437409"</f>
        <v>1552382564437409</v>
      </c>
      <c r="C6666" t="s">
        <v>40</v>
      </c>
      <c r="D6666">
        <v>3.238632</v>
      </c>
      <c r="E6666">
        <v>0.61303529999999995</v>
      </c>
      <c r="F6666" t="s">
        <v>42</v>
      </c>
      <c r="G6666">
        <v>-302.81439999999998</v>
      </c>
      <c r="H6666" s="1">
        <v>-3.0416159999999998E-6</v>
      </c>
      <c r="I6666">
        <v>-4.6123390000000004</v>
      </c>
      <c r="J6666">
        <v>-312.8107</v>
      </c>
      <c r="K6666">
        <v>1.0559480000000001</v>
      </c>
      <c r="L6666">
        <v>13.78415</v>
      </c>
      <c r="M6666">
        <v>0.94217050000000002</v>
      </c>
      <c r="N6666">
        <v>0</v>
      </c>
      <c r="O6666">
        <v>-0.3347618</v>
      </c>
      <c r="P6666">
        <v>0.69513269999999905</v>
      </c>
      <c r="Q6666">
        <v>0.1122948</v>
      </c>
      <c r="R6666">
        <v>-0.71005689999999999</v>
      </c>
      <c r="S6666">
        <v>1.5180359999999999</v>
      </c>
      <c r="T6666">
        <v>-0.1586775</v>
      </c>
      <c r="U6666">
        <v>-2.7703250000000001</v>
      </c>
      <c r="V6666">
        <v>0.43823970000000001</v>
      </c>
      <c r="W6666">
        <v>0.1196376</v>
      </c>
      <c r="X6666">
        <v>0.89086069999999995</v>
      </c>
      <c r="Y6666">
        <v>0.66508559999999906</v>
      </c>
      <c r="Z6666">
        <v>-1.2036429999999999E-3</v>
      </c>
      <c r="AA6666">
        <v>0.74676609999999999</v>
      </c>
      <c r="AB6666">
        <v>24</v>
      </c>
      <c r="AC6666">
        <v>9.9963000000000193</v>
      </c>
      <c r="AD6666">
        <v>-1.0559510416159901</v>
      </c>
      <c r="AE6666">
        <v>-18.396488999999999</v>
      </c>
      <c r="AF6666">
        <v>13.952502989583699</v>
      </c>
      <c r="AG6666">
        <v>-1.0559510416159901</v>
      </c>
      <c r="AH6666">
        <v>15.539076432578799</v>
      </c>
      <c r="AI6666">
        <v>92.894583806672401</v>
      </c>
      <c r="AJ6666">
        <v>48.079401601984202</v>
      </c>
      <c r="AK6666">
        <v>20.910530090223901</v>
      </c>
      <c r="AL6666">
        <v>83.128812005063395</v>
      </c>
      <c r="AM6666">
        <v>63.806115807559301</v>
      </c>
      <c r="AN6666">
        <v>0.99999998839716897</v>
      </c>
    </row>
    <row r="6667" spans="1:40" x14ac:dyDescent="0.25">
      <c r="A6667" t="str">
        <f>"20190312172244456"</f>
        <v>20190312172244456</v>
      </c>
      <c r="B6667" t="str">
        <f>"1552382564447169"</f>
        <v>1552382564447169</v>
      </c>
      <c r="C6667" t="s">
        <v>40</v>
      </c>
      <c r="D6667">
        <v>3.1730209999999999</v>
      </c>
      <c r="E6667">
        <v>0.61504550000000002</v>
      </c>
      <c r="F6667" t="s">
        <v>42</v>
      </c>
      <c r="G6667">
        <v>-303.3451</v>
      </c>
      <c r="H6667" s="1">
        <v>-3.387809E-6</v>
      </c>
      <c r="I6667">
        <v>-4.1786989999999999</v>
      </c>
      <c r="J6667">
        <v>-312.69279999999998</v>
      </c>
      <c r="K6667">
        <v>1.055736</v>
      </c>
      <c r="L6667">
        <v>13.736599999999999</v>
      </c>
      <c r="M6667">
        <v>0.94046660000000004</v>
      </c>
      <c r="N6667">
        <v>0</v>
      </c>
      <c r="O6667">
        <v>-0.33952470000000001</v>
      </c>
      <c r="P6667">
        <v>0.69099370000000004</v>
      </c>
      <c r="Q6667">
        <v>0.1127302</v>
      </c>
      <c r="R6667">
        <v>-0.71401689999999995</v>
      </c>
      <c r="S6667">
        <v>1.4777830000000001</v>
      </c>
      <c r="T6667">
        <v>-0.16485639999999999</v>
      </c>
      <c r="U6667">
        <v>-2.8043819999999999</v>
      </c>
      <c r="V6667">
        <v>0.43886750000000002</v>
      </c>
      <c r="W6667">
        <v>0.1199098</v>
      </c>
      <c r="X6667">
        <v>0.89051499999999995</v>
      </c>
      <c r="Y6667">
        <v>0.67340310000000003</v>
      </c>
      <c r="Z6667">
        <v>-1.278808E-3</v>
      </c>
      <c r="AA6667">
        <v>0.7392744</v>
      </c>
      <c r="AB6667">
        <v>24</v>
      </c>
      <c r="AC6667">
        <v>9.3476999999999695</v>
      </c>
      <c r="AD6667">
        <v>-1.055739387809</v>
      </c>
      <c r="AE6667">
        <v>-17.915298999999901</v>
      </c>
      <c r="AF6667">
        <v>13.639414830598801</v>
      </c>
      <c r="AG6667">
        <v>-1.055739387809</v>
      </c>
      <c r="AH6667">
        <v>14.835218880529601</v>
      </c>
      <c r="AI6667">
        <v>92.998863841580203</v>
      </c>
      <c r="AJ6667">
        <v>47.404747000528602</v>
      </c>
      <c r="AK6667">
        <v>20.179988647403999</v>
      </c>
      <c r="AL6667">
        <v>83.113103115708</v>
      </c>
      <c r="AM6667">
        <v>63.7647982744027</v>
      </c>
      <c r="AN6667">
        <v>1.0000000039586401</v>
      </c>
    </row>
    <row r="6668" spans="1:40" x14ac:dyDescent="0.25">
      <c r="A6668" t="str">
        <f>"20190312172244473"</f>
        <v>20190312172244473</v>
      </c>
      <c r="B6668" t="str">
        <f>"1552382564466690"</f>
        <v>1552382564466690</v>
      </c>
      <c r="C6668" t="s">
        <v>40</v>
      </c>
      <c r="D6668">
        <v>3.2741389999999999</v>
      </c>
      <c r="E6668">
        <v>0.61751780000000001</v>
      </c>
      <c r="F6668" t="s">
        <v>42</v>
      </c>
      <c r="G6668">
        <v>-303.37549999999999</v>
      </c>
      <c r="H6668" s="1">
        <v>-3.2889489999999998E-6</v>
      </c>
      <c r="I6668">
        <v>-4.4049519999999998</v>
      </c>
      <c r="J6668">
        <v>-312.55180000000001</v>
      </c>
      <c r="K6668">
        <v>1.055499</v>
      </c>
      <c r="L6668">
        <v>13.67853</v>
      </c>
      <c r="M6668">
        <v>0.9383589</v>
      </c>
      <c r="N6668">
        <v>0</v>
      </c>
      <c r="O6668">
        <v>-0.3453119</v>
      </c>
      <c r="P6668">
        <v>0.6860311</v>
      </c>
      <c r="Q6668">
        <v>0.1131257</v>
      </c>
      <c r="R6668">
        <v>-0.71872400000000003</v>
      </c>
      <c r="S6668">
        <v>1.450348</v>
      </c>
      <c r="T6668">
        <v>-0.16433809999999999</v>
      </c>
      <c r="U6668">
        <v>-2.823944</v>
      </c>
      <c r="V6668">
        <v>0.43951560000000001</v>
      </c>
      <c r="W6668">
        <v>0.1201224</v>
      </c>
      <c r="X6668">
        <v>0.89016659999999903</v>
      </c>
      <c r="Y6668">
        <v>0.67662469999999997</v>
      </c>
      <c r="Z6668">
        <v>-1.0532250000000001E-3</v>
      </c>
      <c r="AA6668">
        <v>0.73632730000000002</v>
      </c>
      <c r="AB6668">
        <v>24</v>
      </c>
      <c r="AC6668">
        <v>9.1763000000000208</v>
      </c>
      <c r="AD6668">
        <v>-1.055502288949</v>
      </c>
      <c r="AE6668">
        <v>-18.083482</v>
      </c>
      <c r="AF6668">
        <v>13.764491332973</v>
      </c>
      <c r="AG6668">
        <v>-1.055502288949</v>
      </c>
      <c r="AH6668">
        <v>14.816761909675501</v>
      </c>
      <c r="AI6668">
        <v>92.987634987863302</v>
      </c>
      <c r="AJ6668">
        <v>47.108495512533999</v>
      </c>
      <c r="AK6668">
        <v>20.251215771540199</v>
      </c>
      <c r="AL6668">
        <v>83.100833074211394</v>
      </c>
      <c r="AM6668">
        <v>63.722358520291202</v>
      </c>
      <c r="AN6668">
        <v>0.99999996469033903</v>
      </c>
    </row>
    <row r="6669" spans="1:40" x14ac:dyDescent="0.25">
      <c r="A6669" t="str">
        <f>"20190312172244485"</f>
        <v>20190312172244485</v>
      </c>
      <c r="B6669" t="str">
        <f>"1552382564477425"</f>
        <v>1552382564477425</v>
      </c>
      <c r="C6669" t="s">
        <v>40</v>
      </c>
      <c r="D6669">
        <v>3.2488039999999998</v>
      </c>
      <c r="E6669">
        <v>0.61821130000000002</v>
      </c>
      <c r="F6669" t="s">
        <v>42</v>
      </c>
      <c r="G6669">
        <v>-303.76729999999998</v>
      </c>
      <c r="H6669" s="1">
        <v>-3.5763399999999998E-6</v>
      </c>
      <c r="I6669">
        <v>-3.9769760000000001</v>
      </c>
      <c r="J6669">
        <v>-312.41989999999998</v>
      </c>
      <c r="K6669">
        <v>1.055288</v>
      </c>
      <c r="L6669">
        <v>13.623379999999999</v>
      </c>
      <c r="M6669">
        <v>0.93633169999999999</v>
      </c>
      <c r="N6669">
        <v>0</v>
      </c>
      <c r="O6669">
        <v>-0.35077599999999998</v>
      </c>
      <c r="P6669">
        <v>0.68134240000000001</v>
      </c>
      <c r="Q6669">
        <v>0.1133913</v>
      </c>
      <c r="R6669">
        <v>-0.72312889999999996</v>
      </c>
      <c r="S6669">
        <v>1.417114</v>
      </c>
      <c r="T6669">
        <v>-0.17027490000000001</v>
      </c>
      <c r="U6669">
        <v>-2.8482059999999998</v>
      </c>
      <c r="V6669">
        <v>0.44009809999999999</v>
      </c>
      <c r="W6669">
        <v>0.1202232</v>
      </c>
      <c r="X6669">
        <v>0.88986520000000002</v>
      </c>
      <c r="Y6669">
        <v>0.68169569999999902</v>
      </c>
      <c r="Z6669">
        <v>-9.5395560000000003E-4</v>
      </c>
      <c r="AA6669">
        <v>0.73163520000000004</v>
      </c>
      <c r="AB6669">
        <v>24</v>
      </c>
      <c r="AC6669">
        <v>8.6525999999999996</v>
      </c>
      <c r="AD6669">
        <v>-1.0552915763399999</v>
      </c>
      <c r="AE6669">
        <v>-17.600355999999898</v>
      </c>
      <c r="AF6669">
        <v>13.4074364633379</v>
      </c>
      <c r="AG6669">
        <v>-1.0552915763399999</v>
      </c>
      <c r="AH6669">
        <v>14.235976279807799</v>
      </c>
      <c r="AI6669">
        <v>93.088889864506598</v>
      </c>
      <c r="AJ6669">
        <v>46.716778871301102</v>
      </c>
      <c r="AK6669">
        <v>19.584075507125402</v>
      </c>
      <c r="AL6669">
        <v>83.095015847137304</v>
      </c>
      <c r="AM6669">
        <v>63.684512871951299</v>
      </c>
      <c r="AN6669">
        <v>1.0000000148064401</v>
      </c>
    </row>
    <row r="6670" spans="1:40" x14ac:dyDescent="0.25">
      <c r="A6670" t="str">
        <f>"20190312172244495"</f>
        <v>20190312172244495</v>
      </c>
      <c r="B6670" t="str">
        <f>"1552382564487185"</f>
        <v>1552382564487185</v>
      </c>
      <c r="C6670" t="s">
        <v>40</v>
      </c>
      <c r="D6670">
        <v>3.1691199999999999</v>
      </c>
      <c r="E6670">
        <v>0.618309</v>
      </c>
      <c r="F6670" t="s">
        <v>42</v>
      </c>
      <c r="G6670">
        <v>-303.84879999999998</v>
      </c>
      <c r="H6670" s="1">
        <v>-3.5982390000000001E-6</v>
      </c>
      <c r="I6670">
        <v>-3.9575939999999998</v>
      </c>
      <c r="J6670">
        <v>-312.29829999999998</v>
      </c>
      <c r="K6670">
        <v>1.0551060000000001</v>
      </c>
      <c r="L6670">
        <v>13.571719999999999</v>
      </c>
      <c r="M6670">
        <v>0.9344074</v>
      </c>
      <c r="N6670">
        <v>0</v>
      </c>
      <c r="O6670">
        <v>-0.35587419999999997</v>
      </c>
      <c r="P6670">
        <v>0.67681899999999995</v>
      </c>
      <c r="Q6670">
        <v>0.1133179</v>
      </c>
      <c r="R6670">
        <v>-0.72737549999999995</v>
      </c>
      <c r="S6670">
        <v>1.3949279999999999</v>
      </c>
      <c r="T6670">
        <v>-0.1717465</v>
      </c>
      <c r="U6670">
        <v>-2.8612669999999998</v>
      </c>
      <c r="V6670">
        <v>0.44082379999999999</v>
      </c>
      <c r="W6670">
        <v>0.1199983</v>
      </c>
      <c r="X6670">
        <v>0.88953629999999995</v>
      </c>
      <c r="Y6670">
        <v>0.68360540000000003</v>
      </c>
      <c r="Z6670">
        <v>-7.2189979999999997E-4</v>
      </c>
      <c r="AA6670">
        <v>0.72985140000000004</v>
      </c>
      <c r="AB6670">
        <v>24</v>
      </c>
      <c r="AC6670">
        <v>8.4495000000000005</v>
      </c>
      <c r="AD6670">
        <v>-1.055109598239</v>
      </c>
      <c r="AE6670">
        <v>-17.529313999999999</v>
      </c>
      <c r="AF6670">
        <v>13.3349388996659</v>
      </c>
      <c r="AG6670">
        <v>-1.055109598239</v>
      </c>
      <c r="AH6670">
        <v>14.093742293252101</v>
      </c>
      <c r="AI6670">
        <v>93.1126952175306</v>
      </c>
      <c r="AJ6670">
        <v>46.584660432534598</v>
      </c>
      <c r="AK6670">
        <v>19.4310942448109</v>
      </c>
      <c r="AL6670">
        <v>83.107995683641704</v>
      </c>
      <c r="AM6670">
        <v>63.6385562134463</v>
      </c>
      <c r="AN6670">
        <v>1.0000000218334999</v>
      </c>
    </row>
    <row r="6671" spans="1:40" x14ac:dyDescent="0.25">
      <c r="A6671" t="str">
        <f>"20190312172244507"</f>
        <v>20190312172244507</v>
      </c>
      <c r="B6671" t="str">
        <f>"1552382564496945"</f>
        <v>1552382564496945</v>
      </c>
      <c r="C6671" t="s">
        <v>40</v>
      </c>
      <c r="D6671">
        <v>3.2176969999999998</v>
      </c>
      <c r="E6671">
        <v>0.61869759999999996</v>
      </c>
      <c r="F6671" t="s">
        <v>42</v>
      </c>
      <c r="G6671">
        <v>-303.83330000000001</v>
      </c>
      <c r="H6671" s="1">
        <v>-3.547649E-6</v>
      </c>
      <c r="I6671">
        <v>-4.0821500000000004</v>
      </c>
      <c r="J6671">
        <v>-312.19139999999999</v>
      </c>
      <c r="K6671">
        <v>1.0549569999999999</v>
      </c>
      <c r="L6671">
        <v>13.52533</v>
      </c>
      <c r="M6671">
        <v>0.93266550000000004</v>
      </c>
      <c r="N6671">
        <v>0</v>
      </c>
      <c r="O6671">
        <v>-0.36041770000000001</v>
      </c>
      <c r="P6671">
        <v>0.67296080000000003</v>
      </c>
      <c r="Q6671">
        <v>0.113208</v>
      </c>
      <c r="R6671">
        <v>-0.73096419999999995</v>
      </c>
      <c r="S6671">
        <v>1.3763729999999901</v>
      </c>
      <c r="T6671">
        <v>-0.17155500000000001</v>
      </c>
      <c r="U6671">
        <v>-2.870422</v>
      </c>
      <c r="V6671">
        <v>0.44123010000000001</v>
      </c>
      <c r="W6671">
        <v>0.11976539999999999</v>
      </c>
      <c r="X6671">
        <v>0.8893662</v>
      </c>
      <c r="Y6671">
        <v>0.6848014</v>
      </c>
      <c r="Z6671">
        <v>-4.8688429999999998E-4</v>
      </c>
      <c r="AA6671">
        <v>0.72872950000000003</v>
      </c>
      <c r="AB6671">
        <v>24</v>
      </c>
      <c r="AC6671">
        <v>8.3580999999999701</v>
      </c>
      <c r="AD6671">
        <v>-1.0549605476489901</v>
      </c>
      <c r="AE6671">
        <v>-17.607479999999999</v>
      </c>
      <c r="AF6671">
        <v>13.371876406318201</v>
      </c>
      <c r="AG6671">
        <v>-1.0549605476489901</v>
      </c>
      <c r="AH6671">
        <v>14.101700930722799</v>
      </c>
      <c r="AI6671">
        <v>93.107272849945105</v>
      </c>
      <c r="AJ6671">
        <v>46.521681450755402</v>
      </c>
      <c r="AK6671">
        <v>19.462219542552099</v>
      </c>
      <c r="AL6671">
        <v>83.121436619706898</v>
      </c>
      <c r="AM6671">
        <v>63.613187589079402</v>
      </c>
      <c r="AN6671">
        <v>0.999999994942805</v>
      </c>
    </row>
    <row r="6672" spans="1:40" x14ac:dyDescent="0.25">
      <c r="A6672" t="str">
        <f>"20190312172244518"</f>
        <v>20190312172244518</v>
      </c>
      <c r="B6672" t="str">
        <f>"1552382564506705"</f>
        <v>1552382564506705</v>
      </c>
      <c r="C6672" t="s">
        <v>40</v>
      </c>
      <c r="D6672">
        <v>3.231128</v>
      </c>
      <c r="E6672">
        <v>0.61897489999999999</v>
      </c>
      <c r="F6672" t="s">
        <v>42</v>
      </c>
      <c r="G6672">
        <v>-303.8827</v>
      </c>
      <c r="H6672" s="1">
        <v>-3.5564400000000002E-6</v>
      </c>
      <c r="I6672">
        <v>-4.0820699999999999</v>
      </c>
      <c r="J6672">
        <v>-312.08420000000001</v>
      </c>
      <c r="K6672">
        <v>1.0548109999999999</v>
      </c>
      <c r="L6672">
        <v>13.478490000000001</v>
      </c>
      <c r="M6672">
        <v>0.93088579999999999</v>
      </c>
      <c r="N6672">
        <v>0</v>
      </c>
      <c r="O6672">
        <v>-0.36499239999999999</v>
      </c>
      <c r="P6672">
        <v>0.66881020000000002</v>
      </c>
      <c r="Q6672">
        <v>0.11315550000000001</v>
      </c>
      <c r="R6672">
        <v>-0.73477150000000002</v>
      </c>
      <c r="S6672">
        <v>1.358948</v>
      </c>
      <c r="T6672">
        <v>-0.172544899999999</v>
      </c>
      <c r="U6672">
        <v>-2.879791</v>
      </c>
      <c r="V6672">
        <v>0.44192219999999999</v>
      </c>
      <c r="W6672">
        <v>0.119585999999999</v>
      </c>
      <c r="X6672">
        <v>0.88904669999999897</v>
      </c>
      <c r="Y6672">
        <v>0.68574609999999903</v>
      </c>
      <c r="Z6672">
        <v>-2.4143419999999999E-4</v>
      </c>
      <c r="AA6672">
        <v>0.72784090000000001</v>
      </c>
      <c r="AB6672">
        <v>24</v>
      </c>
      <c r="AC6672">
        <v>8.20150000000001</v>
      </c>
      <c r="AD6672">
        <v>-1.05481455644</v>
      </c>
      <c r="AE6672">
        <v>-17.560559999999999</v>
      </c>
      <c r="AF6672">
        <v>13.3155008948193</v>
      </c>
      <c r="AG6672">
        <v>-1.05481455644</v>
      </c>
      <c r="AH6672">
        <v>14.0042809918315</v>
      </c>
      <c r="AI6672">
        <v>93.124408103109602</v>
      </c>
      <c r="AJ6672">
        <v>46.444222151408503</v>
      </c>
      <c r="AK6672">
        <v>19.3529089267372</v>
      </c>
      <c r="AL6672">
        <v>83.131790191899796</v>
      </c>
      <c r="AM6672">
        <v>63.569213324559399</v>
      </c>
      <c r="AN6672">
        <v>1.00000003851486</v>
      </c>
    </row>
    <row r="6673" spans="1:40" x14ac:dyDescent="0.25">
      <c r="A6673" t="str">
        <f>"20190312172244530"</f>
        <v>20190312172244530</v>
      </c>
      <c r="B6673" t="str">
        <f>"1552382564527202"</f>
        <v>1552382564527202</v>
      </c>
      <c r="C6673" t="s">
        <v>40</v>
      </c>
      <c r="D6673">
        <v>3.291998</v>
      </c>
      <c r="E6673">
        <v>0.61924889999999999</v>
      </c>
      <c r="F6673" t="s">
        <v>42</v>
      </c>
      <c r="G6673">
        <v>-303.96080000000001</v>
      </c>
      <c r="H6673" s="1">
        <v>-3.5938300000000002E-6</v>
      </c>
      <c r="I6673">
        <v>-4.0208190000000004</v>
      </c>
      <c r="J6673">
        <v>-311.97149999999999</v>
      </c>
      <c r="K6673">
        <v>1.0546679999999999</v>
      </c>
      <c r="L6673">
        <v>13.428129999999999</v>
      </c>
      <c r="M6673">
        <v>0.92895510000000003</v>
      </c>
      <c r="N6673">
        <v>0</v>
      </c>
      <c r="O6673">
        <v>-0.36988149999999997</v>
      </c>
      <c r="P6673">
        <v>0.66447069999999997</v>
      </c>
      <c r="Q6673">
        <v>0.1130319</v>
      </c>
      <c r="R6673">
        <v>-0.73871699999999996</v>
      </c>
      <c r="S6673">
        <v>1.3411249999999999</v>
      </c>
      <c r="T6673">
        <v>-0.17414399999999999</v>
      </c>
      <c r="U6673">
        <v>-2.8890380000000002</v>
      </c>
      <c r="V6673">
        <v>0.44251620000000003</v>
      </c>
      <c r="W6673">
        <v>0.1193356</v>
      </c>
      <c r="X6673">
        <v>0.88878480000000004</v>
      </c>
      <c r="Y6673">
        <v>0.68650180000000005</v>
      </c>
      <c r="Z6673" s="1">
        <v>3.4917150000000002E-5</v>
      </c>
      <c r="AA6673">
        <v>0.72712809999999894</v>
      </c>
      <c r="AB6673">
        <v>24</v>
      </c>
      <c r="AC6673">
        <v>8.0106999999999804</v>
      </c>
      <c r="AD6673">
        <v>-1.05467159382999</v>
      </c>
      <c r="AE6673">
        <v>-17.448948999999999</v>
      </c>
      <c r="AF6673">
        <v>13.207950763723</v>
      </c>
      <c r="AG6673">
        <v>-1.05467159382999</v>
      </c>
      <c r="AH6673">
        <v>13.855415429711099</v>
      </c>
      <c r="AI6673">
        <v>93.153624171168602</v>
      </c>
      <c r="AJ6673">
        <v>46.370484266819901</v>
      </c>
      <c r="AK6673">
        <v>19.171197987544701</v>
      </c>
      <c r="AL6673">
        <v>83.146240246696195</v>
      </c>
      <c r="AM6673">
        <v>63.531790340628902</v>
      </c>
      <c r="AN6673">
        <v>0.99999999670041995</v>
      </c>
    </row>
    <row r="6674" spans="1:40" x14ac:dyDescent="0.25">
      <c r="A6674" t="str">
        <f>"20190312172244541"</f>
        <v>20190312172244541</v>
      </c>
      <c r="B6674" t="str">
        <f>"1552382564536961"</f>
        <v>1552382564536961</v>
      </c>
      <c r="C6674" t="s">
        <v>40</v>
      </c>
      <c r="D6674">
        <v>3.2444480000000002</v>
      </c>
      <c r="E6674">
        <v>0.61915900000000001</v>
      </c>
      <c r="F6674" t="s">
        <v>42</v>
      </c>
      <c r="G6674">
        <v>-304.07709999999997</v>
      </c>
      <c r="H6674" s="1">
        <v>-3.67144E-6</v>
      </c>
      <c r="I6674">
        <v>-3.87242</v>
      </c>
      <c r="J6674">
        <v>-311.85640000000001</v>
      </c>
      <c r="K6674">
        <v>1.054527</v>
      </c>
      <c r="L6674">
        <v>13.37631</v>
      </c>
      <c r="M6674">
        <v>0.92694529999999997</v>
      </c>
      <c r="N6674">
        <v>0</v>
      </c>
      <c r="O6674">
        <v>-0.374892</v>
      </c>
      <c r="P6674">
        <v>0.66017349999999997</v>
      </c>
      <c r="Q6674">
        <v>0.1133004</v>
      </c>
      <c r="R6674">
        <v>-0.74251929999999999</v>
      </c>
      <c r="S6674">
        <v>1.3226009999999999</v>
      </c>
      <c r="T6674">
        <v>-0.17669560000000001</v>
      </c>
      <c r="U6674">
        <v>-2.8984679999999998</v>
      </c>
      <c r="V6674">
        <v>0.4428571</v>
      </c>
      <c r="W6674">
        <v>0.1194814</v>
      </c>
      <c r="X6674">
        <v>0.88859539999999904</v>
      </c>
      <c r="Y6674">
        <v>0.68730930000000001</v>
      </c>
      <c r="Z6674">
        <v>3.243629E-4</v>
      </c>
      <c r="AA6674">
        <v>0.72636469999999997</v>
      </c>
      <c r="AB6674">
        <v>24</v>
      </c>
      <c r="AC6674">
        <v>7.7793000000000303</v>
      </c>
      <c r="AD6674">
        <v>-1.05453067144</v>
      </c>
      <c r="AE6674">
        <v>-17.248729999999998</v>
      </c>
      <c r="AF6674">
        <v>13.033244637784801</v>
      </c>
      <c r="AG6674">
        <v>-1.05453067144</v>
      </c>
      <c r="AH6674">
        <v>13.6366043574017</v>
      </c>
      <c r="AI6674">
        <v>93.199730226549406</v>
      </c>
      <c r="AJ6674">
        <v>46.295997944732598</v>
      </c>
      <c r="AK6674">
        <v>18.892709681929201</v>
      </c>
      <c r="AL6674">
        <v>83.137826347882395</v>
      </c>
      <c r="AM6674">
        <v>63.509307807361402</v>
      </c>
      <c r="AN6674">
        <v>1.0000000004337599</v>
      </c>
    </row>
    <row r="6675" spans="1:40" x14ac:dyDescent="0.25">
      <c r="A6675" t="str">
        <f>"20190312172244554"</f>
        <v>20190312172244554</v>
      </c>
      <c r="B6675" t="str">
        <f>"1552382564546721"</f>
        <v>1552382564546721</v>
      </c>
      <c r="C6675" t="s">
        <v>40</v>
      </c>
      <c r="D6675">
        <v>3.2451249999999998</v>
      </c>
      <c r="E6675">
        <v>0.61903640000000004</v>
      </c>
      <c r="F6675" t="s">
        <v>42</v>
      </c>
      <c r="G6675">
        <v>-303.99639999999999</v>
      </c>
      <c r="H6675" s="1">
        <v>-3.5662569999999999E-6</v>
      </c>
      <c r="I6675">
        <v>-4.1090600000000004</v>
      </c>
      <c r="J6675">
        <v>-311.7278</v>
      </c>
      <c r="K6675">
        <v>1.054379</v>
      </c>
      <c r="L6675">
        <v>13.316990000000001</v>
      </c>
      <c r="M6675">
        <v>0.92462069999999996</v>
      </c>
      <c r="N6675">
        <v>0</v>
      </c>
      <c r="O6675">
        <v>-0.38059100000000001</v>
      </c>
      <c r="P6675">
        <v>0.65531609999999996</v>
      </c>
      <c r="Q6675">
        <v>0.11332349999999999</v>
      </c>
      <c r="R6675">
        <v>-0.74680579999999996</v>
      </c>
      <c r="S6675">
        <v>1.3061830000000001</v>
      </c>
      <c r="T6675">
        <v>-0.1752427</v>
      </c>
      <c r="U6675">
        <v>-2.9057309999999998</v>
      </c>
      <c r="V6675">
        <v>0.44319890000000001</v>
      </c>
      <c r="W6675">
        <v>0.11937440000000001</v>
      </c>
      <c r="X6675">
        <v>0.88843939999999999</v>
      </c>
      <c r="Y6675">
        <v>0.68694669999999902</v>
      </c>
      <c r="Z6675">
        <v>7.0061530000000002E-4</v>
      </c>
      <c r="AA6675">
        <v>0.72670749999999995</v>
      </c>
      <c r="AB6675">
        <v>24</v>
      </c>
      <c r="AC6675">
        <v>7.7313999999999998</v>
      </c>
      <c r="AD6675">
        <v>-1.0543825662569899</v>
      </c>
      <c r="AE6675">
        <v>-17.426049999999901</v>
      </c>
      <c r="AF6675">
        <v>13.131313646203299</v>
      </c>
      <c r="AG6675">
        <v>-1.0543825662569899</v>
      </c>
      <c r="AH6675">
        <v>13.7403450358442</v>
      </c>
      <c r="AI6675">
        <v>93.175301142434407</v>
      </c>
      <c r="AJ6675">
        <v>46.298355101923498</v>
      </c>
      <c r="AK6675">
        <v>19.035235810859898</v>
      </c>
      <c r="AL6675">
        <v>83.144001462313497</v>
      </c>
      <c r="AM6675">
        <v>63.487638433956498</v>
      </c>
      <c r="AN6675">
        <v>1.00000003990446</v>
      </c>
    </row>
    <row r="6676" spans="1:40" x14ac:dyDescent="0.25">
      <c r="A6676" t="str">
        <f>"20190312172244569"</f>
        <v>20190312172244569</v>
      </c>
      <c r="B6676" t="str">
        <f>"1552382564557457"</f>
        <v>1552382564557457</v>
      </c>
      <c r="C6676" t="s">
        <v>40</v>
      </c>
      <c r="D6676">
        <v>3.2593200000000002</v>
      </c>
      <c r="E6676">
        <v>0.61892780000000003</v>
      </c>
      <c r="F6676" t="s">
        <v>42</v>
      </c>
      <c r="G6676">
        <v>-303.95060000000001</v>
      </c>
      <c r="H6676" s="1">
        <v>-3.4949109999999999E-6</v>
      </c>
      <c r="I6676">
        <v>-4.273676</v>
      </c>
      <c r="J6676">
        <v>-311.59300000000002</v>
      </c>
      <c r="K6676">
        <v>1.054235</v>
      </c>
      <c r="L6676">
        <v>13.25385</v>
      </c>
      <c r="M6676">
        <v>0.92211560000000004</v>
      </c>
      <c r="N6676">
        <v>0</v>
      </c>
      <c r="O6676">
        <v>-0.38662380000000002</v>
      </c>
      <c r="P6676">
        <v>0.65015880000000004</v>
      </c>
      <c r="Q6676">
        <v>0.1134665</v>
      </c>
      <c r="R6676">
        <v>-0.75127849999999996</v>
      </c>
      <c r="S6676">
        <v>1.2880549999999999</v>
      </c>
      <c r="T6676">
        <v>-0.17462659999999999</v>
      </c>
      <c r="U6676">
        <v>-2.9133610000000001</v>
      </c>
      <c r="V6676">
        <v>0.4435133</v>
      </c>
      <c r="W6676">
        <v>0.1193871</v>
      </c>
      <c r="X6676">
        <v>0.88828069999999903</v>
      </c>
      <c r="Y6676">
        <v>0.68669590000000003</v>
      </c>
      <c r="Z6676">
        <v>1.0934810000000001E-3</v>
      </c>
      <c r="AA6676">
        <v>0.72694399999999904</v>
      </c>
      <c r="AB6676">
        <v>24</v>
      </c>
      <c r="AC6676">
        <v>7.6424000000000003</v>
      </c>
      <c r="AD6676">
        <v>-1.054238494911</v>
      </c>
      <c r="AE6676">
        <v>-17.527526000000002</v>
      </c>
      <c r="AF6676">
        <v>13.169124883614399</v>
      </c>
      <c r="AG6676">
        <v>-1.054238494911</v>
      </c>
      <c r="AH6676">
        <v>13.783390447665299</v>
      </c>
      <c r="AI6676">
        <v>93.165353997413803</v>
      </c>
      <c r="AJ6676">
        <v>46.305582511446602</v>
      </c>
      <c r="AK6676">
        <v>19.092383854227698</v>
      </c>
      <c r="AL6676">
        <v>83.143268044858999</v>
      </c>
      <c r="AM6676">
        <v>63.4673146840546</v>
      </c>
      <c r="AN6676">
        <v>0.99999996445789396</v>
      </c>
    </row>
    <row r="6677" spans="1:40" x14ac:dyDescent="0.25">
      <c r="A6677" t="str">
        <f>"20190312172244578"</f>
        <v>20190312172244578</v>
      </c>
      <c r="B6677" t="str">
        <f>"1552382564567219"</f>
        <v>1552382564567219</v>
      </c>
      <c r="C6677" t="s">
        <v>40</v>
      </c>
      <c r="D6677">
        <v>3.2236739999999999</v>
      </c>
      <c r="E6677">
        <v>0.61886470000000005</v>
      </c>
      <c r="F6677" t="s">
        <v>42</v>
      </c>
      <c r="G6677">
        <v>-303.94529999999997</v>
      </c>
      <c r="H6677" s="1">
        <v>-3.4622800000000002E-6</v>
      </c>
      <c r="I6677">
        <v>-4.3561740000000002</v>
      </c>
      <c r="J6677">
        <v>-311.48579999999998</v>
      </c>
      <c r="K6677">
        <v>1.0541259999999999</v>
      </c>
      <c r="L6677">
        <v>13.2031299999999</v>
      </c>
      <c r="M6677">
        <v>0.92008080000000003</v>
      </c>
      <c r="N6677">
        <v>0</v>
      </c>
      <c r="O6677">
        <v>-0.39144269999999998</v>
      </c>
      <c r="P6677">
        <v>0.64616479999999998</v>
      </c>
      <c r="Q6677">
        <v>0.1132667</v>
      </c>
      <c r="R6677">
        <v>-0.75474629999999998</v>
      </c>
      <c r="S6677">
        <v>1.268799</v>
      </c>
      <c r="T6677">
        <v>-0.174904</v>
      </c>
      <c r="U6677">
        <v>-2.9216000000000002</v>
      </c>
      <c r="V6677">
        <v>0.44361679999999998</v>
      </c>
      <c r="W6677">
        <v>0.1190908</v>
      </c>
      <c r="X6677">
        <v>0.88826879999999997</v>
      </c>
      <c r="Y6677">
        <v>0.6876757</v>
      </c>
      <c r="Z6677">
        <v>1.364699E-3</v>
      </c>
      <c r="AA6677">
        <v>0.72601680000000002</v>
      </c>
      <c r="AB6677">
        <v>24</v>
      </c>
      <c r="AC6677">
        <v>7.5404999999999998</v>
      </c>
      <c r="AD6677">
        <v>-1.0541294622799999</v>
      </c>
      <c r="AE6677">
        <v>-17.559303999999901</v>
      </c>
      <c r="AF6677">
        <v>13.1657230429698</v>
      </c>
      <c r="AG6677">
        <v>-1.0541294622799999</v>
      </c>
      <c r="AH6677">
        <v>13.7709752178167</v>
      </c>
      <c r="AI6677">
        <v>93.166904958891493</v>
      </c>
      <c r="AJ6677">
        <v>46.287186740734697</v>
      </c>
      <c r="AK6677">
        <v>19.081069430646501</v>
      </c>
      <c r="AL6677">
        <v>83.1603668294768</v>
      </c>
      <c r="AM6677">
        <v>63.461664346244802</v>
      </c>
      <c r="AN6677">
        <v>0.99999997247015904</v>
      </c>
    </row>
    <row r="6678" spans="1:40" x14ac:dyDescent="0.25">
      <c r="A6678" t="str">
        <f>"20190312172244590"</f>
        <v>20190312172244590</v>
      </c>
      <c r="B6678" t="str">
        <f>"1552382564586737"</f>
        <v>1552382564586737</v>
      </c>
      <c r="C6678" t="s">
        <v>40</v>
      </c>
      <c r="D6678">
        <v>3.2260369999999998</v>
      </c>
      <c r="E6678">
        <v>0.61851259999999997</v>
      </c>
      <c r="F6678" t="s">
        <v>42</v>
      </c>
      <c r="G6678">
        <v>-303.9821</v>
      </c>
      <c r="H6678" s="1">
        <v>-3.4827990000000001E-6</v>
      </c>
      <c r="I6678">
        <v>-4.31975</v>
      </c>
      <c r="J6678">
        <v>-311.3784</v>
      </c>
      <c r="K6678">
        <v>1.0540229999999999</v>
      </c>
      <c r="L6678">
        <v>13.150969999999999</v>
      </c>
      <c r="M6678">
        <v>0.91797269999999997</v>
      </c>
      <c r="N6678">
        <v>0</v>
      </c>
      <c r="O6678">
        <v>-0.39636270000000001</v>
      </c>
      <c r="P6678">
        <v>0.64179240000000004</v>
      </c>
      <c r="Q6678">
        <v>0.113526</v>
      </c>
      <c r="R6678">
        <v>-0.75842909999999997</v>
      </c>
      <c r="S6678">
        <v>1.253784</v>
      </c>
      <c r="T6678">
        <v>-0.17613210000000001</v>
      </c>
      <c r="U6678">
        <v>-2.9278559999999998</v>
      </c>
      <c r="V6678">
        <v>0.44397910000000002</v>
      </c>
      <c r="W6678">
        <v>0.11925180000000001</v>
      </c>
      <c r="X6678">
        <v>0.88806620000000003</v>
      </c>
      <c r="Y6678">
        <v>0.68749759999999904</v>
      </c>
      <c r="Z6678">
        <v>1.6999039999999999E-3</v>
      </c>
      <c r="AA6678">
        <v>0.72618470000000002</v>
      </c>
      <c r="AB6678">
        <v>24</v>
      </c>
      <c r="AC6678">
        <v>7.3962999999999903</v>
      </c>
      <c r="AD6678">
        <v>-1.054026482799</v>
      </c>
      <c r="AE6678">
        <v>-17.47072</v>
      </c>
      <c r="AF6678">
        <v>13.0671530224161</v>
      </c>
      <c r="AG6678">
        <v>-1.054026482799</v>
      </c>
      <c r="AH6678">
        <v>13.673665365168301</v>
      </c>
      <c r="AI6678">
        <v>93.189728995829697</v>
      </c>
      <c r="AJ6678">
        <v>46.299311031964997</v>
      </c>
      <c r="AK6678">
        <v>18.942824088722499</v>
      </c>
      <c r="AL6678">
        <v>83.151076218667498</v>
      </c>
      <c r="AM6678">
        <v>63.437736045177502</v>
      </c>
      <c r="AN6678">
        <v>1.00000000431124</v>
      </c>
    </row>
    <row r="6679" spans="1:40" x14ac:dyDescent="0.25">
      <c r="A6679" t="str">
        <f>"20190312172244602"</f>
        <v>20190312172244602</v>
      </c>
      <c r="B6679" t="str">
        <f>"1552382564597476"</f>
        <v>1552382564597476</v>
      </c>
      <c r="C6679" t="s">
        <v>40</v>
      </c>
      <c r="D6679">
        <v>3.2440530000000001</v>
      </c>
      <c r="E6679">
        <v>0.61841210000000002</v>
      </c>
      <c r="F6679" t="s">
        <v>42</v>
      </c>
      <c r="G6679">
        <v>-303.99040000000002</v>
      </c>
      <c r="H6679" s="1">
        <v>-3.477786E-6</v>
      </c>
      <c r="I6679">
        <v>-4.3366389999999999</v>
      </c>
      <c r="J6679">
        <v>-311.26799999999997</v>
      </c>
      <c r="K6679">
        <v>1.0539190000000001</v>
      </c>
      <c r="L6679">
        <v>13.097049999999999</v>
      </c>
      <c r="M6679">
        <v>0.91576630000000003</v>
      </c>
      <c r="N6679">
        <v>0</v>
      </c>
      <c r="O6679">
        <v>-0.40143529999999999</v>
      </c>
      <c r="P6679">
        <v>0.63727319999999998</v>
      </c>
      <c r="Q6679">
        <v>0.11364730000000001</v>
      </c>
      <c r="R6679">
        <v>-0.76221219999999901</v>
      </c>
      <c r="S6679">
        <v>1.239258</v>
      </c>
      <c r="T6679">
        <v>-0.17680109999999999</v>
      </c>
      <c r="U6679">
        <v>-2.9333499999999999</v>
      </c>
      <c r="V6679">
        <v>0.44434570000000001</v>
      </c>
      <c r="W6679">
        <v>0.11927210000000001</v>
      </c>
      <c r="X6679">
        <v>0.88788009999999995</v>
      </c>
      <c r="Y6679">
        <v>0.68702240000000003</v>
      </c>
      <c r="Z6679">
        <v>2.0561609999999999E-3</v>
      </c>
      <c r="AA6679">
        <v>0.72663330000000004</v>
      </c>
      <c r="AB6679">
        <v>24</v>
      </c>
      <c r="AC6679">
        <v>7.2775999999999499</v>
      </c>
      <c r="AD6679">
        <v>-1.0539224777859999</v>
      </c>
      <c r="AE6679">
        <v>-17.433689000000001</v>
      </c>
      <c r="AF6679">
        <v>13.0046722217098</v>
      </c>
      <c r="AG6679">
        <v>-1.0539224777859999</v>
      </c>
      <c r="AH6679">
        <v>13.622198687681401</v>
      </c>
      <c r="AI6679">
        <v>93.202997957244804</v>
      </c>
      <c r="AJ6679">
        <v>46.328557115130003</v>
      </c>
      <c r="AK6679">
        <v>18.8625700600412</v>
      </c>
      <c r="AL6679">
        <v>83.149904747545605</v>
      </c>
      <c r="AM6679">
        <v>63.414011054210199</v>
      </c>
      <c r="AN6679">
        <v>1.00000000346145</v>
      </c>
    </row>
    <row r="6680" spans="1:40" x14ac:dyDescent="0.25">
      <c r="A6680" t="str">
        <f>"20190312172244613"</f>
        <v>20190312172244613</v>
      </c>
      <c r="B6680" t="str">
        <f>"1552382564607234"</f>
        <v>1552382564607234</v>
      </c>
      <c r="C6680" t="s">
        <v>40</v>
      </c>
      <c r="D6680">
        <v>3.2363979999999999</v>
      </c>
      <c r="E6680">
        <v>0.61820799999999998</v>
      </c>
      <c r="F6680" t="s">
        <v>42</v>
      </c>
      <c r="G6680">
        <v>-304.01330000000002</v>
      </c>
      <c r="H6680" s="1">
        <v>-3.4763399999999999E-6</v>
      </c>
      <c r="I6680">
        <v>-4.3509890000000002</v>
      </c>
      <c r="J6680">
        <v>-311.15890000000002</v>
      </c>
      <c r="K6680">
        <v>1.0538179999999999</v>
      </c>
      <c r="L6680">
        <v>13.04266</v>
      </c>
      <c r="M6680">
        <v>0.91351919999999998</v>
      </c>
      <c r="N6680">
        <v>0</v>
      </c>
      <c r="O6680">
        <v>-0.40652460000000001</v>
      </c>
      <c r="P6680">
        <v>0.63267700000000004</v>
      </c>
      <c r="Q6680">
        <v>0.1136104</v>
      </c>
      <c r="R6680">
        <v>-0.76603710000000003</v>
      </c>
      <c r="S6680">
        <v>1.222534</v>
      </c>
      <c r="T6680">
        <v>-0.17760300000000001</v>
      </c>
      <c r="U6680">
        <v>-2.940277</v>
      </c>
      <c r="V6680">
        <v>0.44476700000000002</v>
      </c>
      <c r="W6680">
        <v>0.1191377</v>
      </c>
      <c r="X6680">
        <v>0.88768709999999995</v>
      </c>
      <c r="Y6680">
        <v>0.68711299999999997</v>
      </c>
      <c r="Z6680">
        <v>2.3953500000000001E-3</v>
      </c>
      <c r="AA6680">
        <v>0.72654649999999998</v>
      </c>
      <c r="AB6680">
        <v>24</v>
      </c>
      <c r="AC6680">
        <v>7.1456</v>
      </c>
      <c r="AD6680">
        <v>-1.05382147634</v>
      </c>
      <c r="AE6680">
        <v>-17.393649</v>
      </c>
      <c r="AF6680">
        <v>12.945344241072601</v>
      </c>
      <c r="AG6680">
        <v>-1.05382147634</v>
      </c>
      <c r="AH6680">
        <v>13.5575081732363</v>
      </c>
      <c r="AI6680">
        <v>93.217653993467493</v>
      </c>
      <c r="AJ6680">
        <v>46.323184897404197</v>
      </c>
      <c r="AK6680">
        <v>18.774943544288899</v>
      </c>
      <c r="AL6680">
        <v>83.157660108540796</v>
      </c>
      <c r="AM6680">
        <v>63.387285390176103</v>
      </c>
      <c r="AN6680">
        <v>0.999999931678347</v>
      </c>
    </row>
    <row r="6681" spans="1:40" x14ac:dyDescent="0.25">
      <c r="A6681" t="str">
        <f>"20190312172244624"</f>
        <v>20190312172244624</v>
      </c>
      <c r="B6681" t="str">
        <f>"1552382564616993"</f>
        <v>1552382564616993</v>
      </c>
      <c r="C6681" t="s">
        <v>40</v>
      </c>
      <c r="D6681">
        <v>3.2622629999999999</v>
      </c>
      <c r="E6681">
        <v>0.61802209999999902</v>
      </c>
      <c r="F6681" t="s">
        <v>42</v>
      </c>
      <c r="G6681">
        <v>-304.02010000000001</v>
      </c>
      <c r="H6681" s="1">
        <v>-3.459298E-6</v>
      </c>
      <c r="I6681">
        <v>-4.3985209999999997</v>
      </c>
      <c r="J6681">
        <v>-311.05099999999999</v>
      </c>
      <c r="K6681">
        <v>1.0537160000000001</v>
      </c>
      <c r="L6681">
        <v>12.98822</v>
      </c>
      <c r="M6681">
        <v>0.91124689999999997</v>
      </c>
      <c r="N6681">
        <v>0</v>
      </c>
      <c r="O6681">
        <v>-0.41159370000000001</v>
      </c>
      <c r="P6681">
        <v>0.62784059999999997</v>
      </c>
      <c r="Q6681">
        <v>0.1132428</v>
      </c>
      <c r="R6681">
        <v>-0.77006019999999997</v>
      </c>
      <c r="S6681">
        <v>1.2060550000000001</v>
      </c>
      <c r="T6681">
        <v>-0.17803559999999999</v>
      </c>
      <c r="U6681">
        <v>-2.946564</v>
      </c>
      <c r="V6681">
        <v>0.44548480000000001</v>
      </c>
      <c r="W6681">
        <v>0.1186685</v>
      </c>
      <c r="X6681">
        <v>0.88739000000000001</v>
      </c>
      <c r="Y6681">
        <v>0.68710450000000001</v>
      </c>
      <c r="Z6681">
        <v>2.7356889999999999E-3</v>
      </c>
      <c r="AA6681">
        <v>0.72655360000000002</v>
      </c>
      <c r="AB6681">
        <v>24</v>
      </c>
      <c r="AC6681">
        <v>7.0308999999999697</v>
      </c>
      <c r="AD6681">
        <v>-1.0537194592979999</v>
      </c>
      <c r="AE6681">
        <v>-17.386741000000001</v>
      </c>
      <c r="AF6681">
        <v>12.9104078429728</v>
      </c>
      <c r="AG6681">
        <v>-1.0537194592979999</v>
      </c>
      <c r="AH6681">
        <v>13.521963919892499</v>
      </c>
      <c r="AI6681">
        <v>93.225901083494605</v>
      </c>
      <c r="AJ6681">
        <v>46.325394943413102</v>
      </c>
      <c r="AK6681">
        <v>18.725182605829801</v>
      </c>
      <c r="AL6681">
        <v>83.184735601097898</v>
      </c>
      <c r="AM6681">
        <v>63.342574348200699</v>
      </c>
      <c r="AN6681">
        <v>0.99999996601164398</v>
      </c>
    </row>
    <row r="6682" spans="1:40" x14ac:dyDescent="0.25">
      <c r="A6682" t="str">
        <f>"20190312172244635"</f>
        <v>20190312172244635</v>
      </c>
      <c r="B6682" t="str">
        <f>"1552382564626753"</f>
        <v>1552382564626753</v>
      </c>
      <c r="C6682" t="s">
        <v>40</v>
      </c>
      <c r="D6682">
        <v>3.2409490000000001</v>
      </c>
      <c r="E6682">
        <v>0.61783180000000004</v>
      </c>
      <c r="F6682" t="s">
        <v>42</v>
      </c>
      <c r="G6682">
        <v>-304.0736</v>
      </c>
      <c r="H6682" s="1">
        <v>-3.489552E-6</v>
      </c>
      <c r="I6682">
        <v>-4.3444529999999997</v>
      </c>
      <c r="J6682">
        <v>-310.9427</v>
      </c>
      <c r="K6682">
        <v>1.053625</v>
      </c>
      <c r="L6682">
        <v>12.932650000000001</v>
      </c>
      <c r="M6682">
        <v>0.90890769999999999</v>
      </c>
      <c r="N6682">
        <v>0</v>
      </c>
      <c r="O6682">
        <v>-0.41673480000000002</v>
      </c>
      <c r="P6682">
        <v>0.62300409999999995</v>
      </c>
      <c r="Q6682">
        <v>0.1132963</v>
      </c>
      <c r="R6682">
        <v>-0.77397050000000001</v>
      </c>
      <c r="S6682">
        <v>1.1887509999999999</v>
      </c>
      <c r="T6682">
        <v>-0.1795244</v>
      </c>
      <c r="U6682">
        <v>-2.9530029999999998</v>
      </c>
      <c r="V6682">
        <v>0.44604129999999997</v>
      </c>
      <c r="W6682">
        <v>0.1186263</v>
      </c>
      <c r="X6682">
        <v>0.88711609999999996</v>
      </c>
      <c r="Y6682">
        <v>0.68721189999999999</v>
      </c>
      <c r="Z6682">
        <v>3.0968150000000002E-3</v>
      </c>
      <c r="AA6682">
        <v>0.72645039999999905</v>
      </c>
      <c r="AB6682">
        <v>24</v>
      </c>
      <c r="AC6682">
        <v>6.8691000000000004</v>
      </c>
      <c r="AD6682">
        <v>-1.0536284895520001</v>
      </c>
      <c r="AE6682">
        <v>-17.277103</v>
      </c>
      <c r="AF6682">
        <v>12.800995195084701</v>
      </c>
      <c r="AG6682">
        <v>-1.0536284895520001</v>
      </c>
      <c r="AH6682">
        <v>13.401780799931</v>
      </c>
      <c r="AI6682">
        <v>93.253842053463998</v>
      </c>
      <c r="AJ6682">
        <v>46.313465771831197</v>
      </c>
      <c r="AK6682">
        <v>18.562956111244201</v>
      </c>
      <c r="AL6682">
        <v>83.1871709682041</v>
      </c>
      <c r="AM6682">
        <v>63.3067848763001</v>
      </c>
      <c r="AN6682">
        <v>1.00000000761829</v>
      </c>
    </row>
    <row r="6683" spans="1:40" x14ac:dyDescent="0.25">
      <c r="A6683" t="str">
        <f>"20190312172244646"</f>
        <v>20190312172244646</v>
      </c>
      <c r="B6683" t="str">
        <f>"1552382564636513"</f>
        <v>1552382564636513</v>
      </c>
      <c r="C6683" t="s">
        <v>40</v>
      </c>
      <c r="D6683">
        <v>3.2336429999999998</v>
      </c>
      <c r="E6683">
        <v>0.61761860000000002</v>
      </c>
      <c r="F6683" t="s">
        <v>42</v>
      </c>
      <c r="G6683">
        <v>-304.06880000000001</v>
      </c>
      <c r="H6683" s="1">
        <v>-3.4528689999999998E-6</v>
      </c>
      <c r="I6683">
        <v>-4.4377649999999997</v>
      </c>
      <c r="J6683">
        <v>-310.84179999999998</v>
      </c>
      <c r="K6683">
        <v>1.053544</v>
      </c>
      <c r="L6683">
        <v>12.88016</v>
      </c>
      <c r="M6683">
        <v>0.90667540000000002</v>
      </c>
      <c r="N6683">
        <v>0</v>
      </c>
      <c r="O6683">
        <v>-0.42156979999999999</v>
      </c>
      <c r="P6683">
        <v>0.6183478</v>
      </c>
      <c r="Q6683">
        <v>0.11328390000000001</v>
      </c>
      <c r="R6683">
        <v>-0.77769730000000004</v>
      </c>
      <c r="S6683">
        <v>1.1712039999999999</v>
      </c>
      <c r="T6683">
        <v>-0.1795223</v>
      </c>
      <c r="U6683">
        <v>-2.9596559999999998</v>
      </c>
      <c r="V6683">
        <v>0.44665719999999998</v>
      </c>
      <c r="W6683">
        <v>0.11852500000000001</v>
      </c>
      <c r="X6683">
        <v>0.88681969999999999</v>
      </c>
      <c r="Y6683">
        <v>0.68763050000000003</v>
      </c>
      <c r="Z6683">
        <v>3.4026239999999999E-3</v>
      </c>
      <c r="AA6683">
        <v>0.7260529</v>
      </c>
      <c r="AB6683">
        <v>24</v>
      </c>
      <c r="AC6683">
        <v>6.7729999999999597</v>
      </c>
      <c r="AD6683">
        <v>-1.0535474528690001</v>
      </c>
      <c r="AE6683">
        <v>-17.317924999999999</v>
      </c>
      <c r="AF6683">
        <v>12.8067393504056</v>
      </c>
      <c r="AG6683">
        <v>-1.0535474528690001</v>
      </c>
      <c r="AH6683">
        <v>13.4000821405055</v>
      </c>
      <c r="AI6683">
        <v>93.253112415642406</v>
      </c>
      <c r="AJ6683">
        <v>46.2969993568788</v>
      </c>
      <c r="AK6683">
        <v>18.5656870704256</v>
      </c>
      <c r="AL6683">
        <v>83.193016252030702</v>
      </c>
      <c r="AM6683">
        <v>63.267350566966499</v>
      </c>
      <c r="AN6683">
        <v>1.00000000512246</v>
      </c>
    </row>
    <row r="6684" spans="1:40" x14ac:dyDescent="0.25">
      <c r="A6684" t="str">
        <f>"20190312172244657"</f>
        <v>20190312172244657</v>
      </c>
      <c r="B6684" t="str">
        <f>"1552382564647249"</f>
        <v>1552382564647249</v>
      </c>
      <c r="C6684" t="s">
        <v>40</v>
      </c>
      <c r="D6684">
        <v>3.2933460000000001</v>
      </c>
      <c r="E6684">
        <v>0.61761860000000002</v>
      </c>
      <c r="F6684" t="s">
        <v>42</v>
      </c>
      <c r="G6684">
        <v>-304.09019999999998</v>
      </c>
      <c r="H6684" s="1">
        <v>-3.4500469999999998E-6</v>
      </c>
      <c r="I6684">
        <v>-4.4549909999999997</v>
      </c>
      <c r="J6684">
        <v>-310.73320000000001</v>
      </c>
      <c r="K6684">
        <v>1.053455</v>
      </c>
      <c r="L6684">
        <v>12.823</v>
      </c>
      <c r="M6684">
        <v>0.90422190000000002</v>
      </c>
      <c r="N6684">
        <v>0</v>
      </c>
      <c r="O6684">
        <v>-0.42680790000000002</v>
      </c>
      <c r="P6684">
        <v>0.61319119999999905</v>
      </c>
      <c r="Q6684">
        <v>0.1130702</v>
      </c>
      <c r="R6684">
        <v>-0.78180059999999996</v>
      </c>
      <c r="S6684">
        <v>1.154968</v>
      </c>
      <c r="T6684">
        <v>-0.1802261</v>
      </c>
      <c r="U6684">
        <v>-2.9654539999999998</v>
      </c>
      <c r="V6684">
        <v>0.44743290000000002</v>
      </c>
      <c r="W6684">
        <v>0.118213899999999</v>
      </c>
      <c r="X6684">
        <v>0.88647009999999904</v>
      </c>
      <c r="Y6684">
        <v>0.68736540000000002</v>
      </c>
      <c r="Z6684">
        <v>3.7790800000000002E-3</v>
      </c>
      <c r="AA6684">
        <v>0.726302</v>
      </c>
      <c r="AB6684">
        <v>24</v>
      </c>
      <c r="AC6684">
        <v>6.6430000000000202</v>
      </c>
      <c r="AD6684">
        <v>-1.0534584500469999</v>
      </c>
      <c r="AE6684">
        <v>-17.277991</v>
      </c>
      <c r="AF6684">
        <v>12.7479585473897</v>
      </c>
      <c r="AG6684">
        <v>-1.0534584500469999</v>
      </c>
      <c r="AH6684">
        <v>13.339383862520799</v>
      </c>
      <c r="AI6684">
        <v>93.267701626216393</v>
      </c>
      <c r="AJ6684">
        <v>46.298728332975998</v>
      </c>
      <c r="AK6684">
        <v>18.481325268054299</v>
      </c>
      <c r="AL6684">
        <v>83.210967014210993</v>
      </c>
      <c r="AM6684">
        <v>63.218302402768401</v>
      </c>
      <c r="AN6684">
        <v>0.99999998217481401</v>
      </c>
    </row>
    <row r="6685" spans="1:40" x14ac:dyDescent="0.25">
      <c r="A6685" t="str">
        <f>"20190312172244669"</f>
        <v>20190312172244669</v>
      </c>
      <c r="B6685" t="str">
        <f>"1552382564657010"</f>
        <v>1552382564657010</v>
      </c>
      <c r="C6685" t="s">
        <v>40</v>
      </c>
      <c r="D6685">
        <v>3.2194880000000001</v>
      </c>
      <c r="E6685">
        <v>0.61731380000000002</v>
      </c>
      <c r="F6685" t="s">
        <v>42</v>
      </c>
      <c r="G6685">
        <v>-304.12389999999999</v>
      </c>
      <c r="H6685" s="1">
        <v>-3.444009E-6</v>
      </c>
      <c r="I6685">
        <v>-4.4862989999999998</v>
      </c>
      <c r="J6685">
        <v>-310.62400000000002</v>
      </c>
      <c r="K6685">
        <v>1.0533729999999999</v>
      </c>
      <c r="L6685">
        <v>12.764279999999999</v>
      </c>
      <c r="M6685">
        <v>0.9016788</v>
      </c>
      <c r="N6685">
        <v>0</v>
      </c>
      <c r="O6685">
        <v>-0.43215550000000003</v>
      </c>
      <c r="P6685">
        <v>0.60813130000000004</v>
      </c>
      <c r="Q6685">
        <v>0.1130867</v>
      </c>
      <c r="R6685">
        <v>-0.78574060000000001</v>
      </c>
      <c r="S6685">
        <v>1.1352230000000001</v>
      </c>
      <c r="T6685">
        <v>-0.18094440000000001</v>
      </c>
      <c r="U6685">
        <v>-2.9730829999999999</v>
      </c>
      <c r="V6685">
        <v>0.44792090000000001</v>
      </c>
      <c r="W6685">
        <v>0.118142</v>
      </c>
      <c r="X6685">
        <v>0.8862333</v>
      </c>
      <c r="Y6685">
        <v>0.68789789999999995</v>
      </c>
      <c r="Z6685">
        <v>4.1336940000000003E-3</v>
      </c>
      <c r="AA6685">
        <v>0.72579569999999904</v>
      </c>
      <c r="AB6685">
        <v>24</v>
      </c>
      <c r="AC6685">
        <v>6.50010000000003</v>
      </c>
      <c r="AD6685">
        <v>-1.0533764440090001</v>
      </c>
      <c r="AE6685">
        <v>-17.250578999999998</v>
      </c>
      <c r="AF6685">
        <v>12.7053257321919</v>
      </c>
      <c r="AG6685">
        <v>-1.0533764440090001</v>
      </c>
      <c r="AH6685">
        <v>13.274038265766499</v>
      </c>
      <c r="AI6685">
        <v>93.281055608781202</v>
      </c>
      <c r="AJ6685">
        <v>46.254057813137102</v>
      </c>
      <c r="AK6685">
        <v>18.404754705643999</v>
      </c>
      <c r="AL6685">
        <v>83.215116206558704</v>
      </c>
      <c r="AM6685">
        <v>63.187008739924998</v>
      </c>
      <c r="AN6685">
        <v>1.00000006342484</v>
      </c>
    </row>
    <row r="6686" spans="1:40" x14ac:dyDescent="0.25">
      <c r="A6686" t="str">
        <f>"20190312172244682"</f>
        <v>20190312172244682</v>
      </c>
      <c r="B6686" t="str">
        <f>"1552382564677506"</f>
        <v>1552382564677506</v>
      </c>
      <c r="C6686" t="s">
        <v>40</v>
      </c>
      <c r="D6686">
        <v>3.2397</v>
      </c>
      <c r="E6686">
        <v>0.6167456</v>
      </c>
      <c r="F6686" t="s">
        <v>42</v>
      </c>
      <c r="G6686">
        <v>-304.12740000000002</v>
      </c>
      <c r="H6686" s="1">
        <v>-3.4215289999999999E-6</v>
      </c>
      <c r="I6686">
        <v>-4.5464320000000003</v>
      </c>
      <c r="J6686">
        <v>-310.50729999999999</v>
      </c>
      <c r="K6686">
        <v>1.053283</v>
      </c>
      <c r="L6686">
        <v>12.70102</v>
      </c>
      <c r="M6686">
        <v>0.89890890000000001</v>
      </c>
      <c r="N6686">
        <v>0</v>
      </c>
      <c r="O6686">
        <v>-0.43788850000000001</v>
      </c>
      <c r="P6686">
        <v>0.60249869999999905</v>
      </c>
      <c r="Q6686">
        <v>0.113230399999999</v>
      </c>
      <c r="R6686">
        <v>-0.79004730000000001</v>
      </c>
      <c r="S6686">
        <v>1.11795</v>
      </c>
      <c r="T6686">
        <v>-0.18126819999999999</v>
      </c>
      <c r="U6686">
        <v>-2.978882</v>
      </c>
      <c r="V6686">
        <v>0.44861519999999999</v>
      </c>
      <c r="W6686">
        <v>0.118187</v>
      </c>
      <c r="X6686">
        <v>0.885876</v>
      </c>
      <c r="Y6686">
        <v>0.68743540000000003</v>
      </c>
      <c r="Z6686">
        <v>4.5500810000000001E-3</v>
      </c>
      <c r="AA6686">
        <v>0.72623130000000002</v>
      </c>
      <c r="AB6686">
        <v>24</v>
      </c>
      <c r="AC6686">
        <v>6.3798999999999602</v>
      </c>
      <c r="AD6686">
        <v>-1.0532864215290001</v>
      </c>
      <c r="AE6686">
        <v>-17.247451999999999</v>
      </c>
      <c r="AF6686">
        <v>12.6700143148271</v>
      </c>
      <c r="AG6686">
        <v>-1.0532864215290001</v>
      </c>
      <c r="AH6686">
        <v>13.24539573248</v>
      </c>
      <c r="AI6686">
        <v>93.288831839489603</v>
      </c>
      <c r="AJ6686">
        <v>46.271888481010002</v>
      </c>
      <c r="AK6686">
        <v>18.359716314085599</v>
      </c>
      <c r="AL6686">
        <v>83.212519450487605</v>
      </c>
      <c r="AM6686">
        <v>63.141955155841998</v>
      </c>
      <c r="AN6686">
        <v>1.00000002600801</v>
      </c>
    </row>
    <row r="6687" spans="1:40" x14ac:dyDescent="0.25">
      <c r="A6687" t="str">
        <f>"20190312172244702"</f>
        <v>20190312172244702</v>
      </c>
      <c r="B6687" t="str">
        <f>"1552382564697025"</f>
        <v>1552382564697025</v>
      </c>
      <c r="C6687" t="s">
        <v>40</v>
      </c>
      <c r="D6687">
        <v>3.7024650000000001</v>
      </c>
      <c r="E6687">
        <v>0.61615379999999997</v>
      </c>
      <c r="F6687" t="s">
        <v>42</v>
      </c>
      <c r="G6687">
        <v>-304.11720000000003</v>
      </c>
      <c r="H6687" s="1">
        <v>-3.3783540000000001E-6</v>
      </c>
      <c r="I6687">
        <v>-4.6333500000000001</v>
      </c>
      <c r="J6687">
        <v>-310.31110000000001</v>
      </c>
      <c r="K6687">
        <v>1.0531429999999999</v>
      </c>
      <c r="L6687">
        <v>12.591799999999999</v>
      </c>
      <c r="M6687">
        <v>0.89406390000000002</v>
      </c>
      <c r="N6687">
        <v>0</v>
      </c>
      <c r="O6687">
        <v>-0.44769829999999999</v>
      </c>
      <c r="P6687">
        <v>0.59259150000000005</v>
      </c>
      <c r="Q6687">
        <v>0.1134556</v>
      </c>
      <c r="R6687">
        <v>-0.7974734</v>
      </c>
      <c r="S6687">
        <v>1.100098</v>
      </c>
      <c r="T6687">
        <v>-0.18133189999999999</v>
      </c>
      <c r="U6687">
        <v>-2.9842529999999998</v>
      </c>
      <c r="V6687">
        <v>0.44998490000000002</v>
      </c>
      <c r="W6687">
        <v>0.11824560000000001</v>
      </c>
      <c r="X6687">
        <v>0.88517319999999999</v>
      </c>
      <c r="Y6687">
        <v>0.68374550000000001</v>
      </c>
      <c r="Z6687">
        <v>5.3715169999999897E-3</v>
      </c>
      <c r="AA6687">
        <v>0.72970069999999998</v>
      </c>
      <c r="AB6687">
        <v>24</v>
      </c>
      <c r="AC6687">
        <v>6.1938999999999798</v>
      </c>
      <c r="AD6687">
        <v>-1.053146378354</v>
      </c>
      <c r="AE6687">
        <v>-17.225149999999999</v>
      </c>
      <c r="AF6687">
        <v>12.587085540176499</v>
      </c>
      <c r="AG6687">
        <v>-1.053146378354</v>
      </c>
      <c r="AH6687">
        <v>13.207126796586801</v>
      </c>
      <c r="AI6687">
        <v>93.303672529182705</v>
      </c>
      <c r="AJ6687">
        <v>46.377010721014202</v>
      </c>
      <c r="AK6687">
        <v>18.2749018577688</v>
      </c>
      <c r="AL6687">
        <v>83.209138119924603</v>
      </c>
      <c r="AM6687">
        <v>63.053127343735603</v>
      </c>
      <c r="AN6687">
        <v>1.0000000130728</v>
      </c>
    </row>
    <row r="6688" spans="1:40" x14ac:dyDescent="0.25">
      <c r="A6688" t="str">
        <f>"20190312172244713"</f>
        <v>20190312172244713</v>
      </c>
      <c r="B6688" t="str">
        <f>"1552382564706786"</f>
        <v>1552382564706786</v>
      </c>
      <c r="C6688" t="s">
        <v>40</v>
      </c>
      <c r="D6688">
        <v>3.2543319999999998</v>
      </c>
      <c r="E6688">
        <v>0.61589329999999998</v>
      </c>
      <c r="F6688" t="s">
        <v>42</v>
      </c>
      <c r="G6688">
        <v>-304.12700000000001</v>
      </c>
      <c r="H6688" s="1">
        <v>-3.316021E-6</v>
      </c>
      <c r="I6688">
        <v>-4.7706660000000003</v>
      </c>
      <c r="J6688">
        <v>-310.20589999999999</v>
      </c>
      <c r="K6688">
        <v>1.0530710000000001</v>
      </c>
      <c r="L6688">
        <v>12.531890000000001</v>
      </c>
      <c r="M6688">
        <v>0.89137230000000001</v>
      </c>
      <c r="N6688">
        <v>0</v>
      </c>
      <c r="O6688">
        <v>-0.45303389999999999</v>
      </c>
      <c r="P6688">
        <v>0.58717730000000001</v>
      </c>
      <c r="Q6688">
        <v>0.1134563</v>
      </c>
      <c r="R6688">
        <v>-0.80146809999999902</v>
      </c>
      <c r="S6688">
        <v>1.0667719999999901</v>
      </c>
      <c r="T6688">
        <v>-0.18166769999999999</v>
      </c>
      <c r="U6688">
        <v>-2.9950260000000002</v>
      </c>
      <c r="V6688">
        <v>0.45070529999999998</v>
      </c>
      <c r="W6688">
        <v>0.1181614</v>
      </c>
      <c r="X6688">
        <v>0.88481779999999999</v>
      </c>
      <c r="Y6688">
        <v>0.68740649999999903</v>
      </c>
      <c r="Z6688">
        <v>5.6007899999999996E-3</v>
      </c>
      <c r="AA6688">
        <v>0.72625119999999999</v>
      </c>
      <c r="AB6688">
        <v>24</v>
      </c>
      <c r="AC6688">
        <v>6.0788999999999698</v>
      </c>
      <c r="AD6688">
        <v>-1.0530743160210001</v>
      </c>
      <c r="AE6688">
        <v>-17.302555999999999</v>
      </c>
      <c r="AF6688">
        <v>12.6287978204401</v>
      </c>
      <c r="AG6688">
        <v>-1.0530743160210001</v>
      </c>
      <c r="AH6688">
        <v>13.2150643385288</v>
      </c>
      <c r="AI6688">
        <v>93.297218520514704</v>
      </c>
      <c r="AJ6688">
        <v>46.2995285591279</v>
      </c>
      <c r="AK6688">
        <v>18.309380802639701</v>
      </c>
      <c r="AL6688">
        <v>83.213996133292</v>
      </c>
      <c r="AM6688">
        <v>63.006780466871902</v>
      </c>
      <c r="AN6688">
        <v>0.99999996154744397</v>
      </c>
    </row>
    <row r="6689" spans="1:40" x14ac:dyDescent="0.25">
      <c r="A6689" t="str">
        <f>"20190312172244725"</f>
        <v>20190312172244725</v>
      </c>
      <c r="B6689" t="str">
        <f>"1552382564716547"</f>
        <v>1552382564716547</v>
      </c>
      <c r="C6689" t="s">
        <v>40</v>
      </c>
      <c r="D6689">
        <v>3.7480720000000001</v>
      </c>
      <c r="E6689">
        <v>0.61562450000000002</v>
      </c>
      <c r="F6689" t="s">
        <v>42</v>
      </c>
      <c r="G6689">
        <v>-304.14280000000002</v>
      </c>
      <c r="H6689" s="1">
        <v>-3.2967050000000001E-6</v>
      </c>
      <c r="I6689">
        <v>-4.8204770000000003</v>
      </c>
      <c r="J6689">
        <v>-310.1001</v>
      </c>
      <c r="K6689">
        <v>1.0529999999999999</v>
      </c>
      <c r="L6689">
        <v>12.47086</v>
      </c>
      <c r="M6689">
        <v>0.88860859999999997</v>
      </c>
      <c r="N6689">
        <v>0</v>
      </c>
      <c r="O6689">
        <v>-0.45843119999999998</v>
      </c>
      <c r="P6689">
        <v>0.58184619999999998</v>
      </c>
      <c r="Q6689">
        <v>0.1135584</v>
      </c>
      <c r="R6689">
        <v>-0.80533239999999995</v>
      </c>
      <c r="S6689">
        <v>1.048492</v>
      </c>
      <c r="T6689">
        <v>-0.1821092</v>
      </c>
      <c r="U6689">
        <v>-3.0007630000000001</v>
      </c>
      <c r="V6689">
        <v>0.45121529999999999</v>
      </c>
      <c r="W6689">
        <v>0.1181869</v>
      </c>
      <c r="X6689">
        <v>0.88455450000000002</v>
      </c>
      <c r="Y6689">
        <v>0.68738140000000003</v>
      </c>
      <c r="Z6689">
        <v>5.9885399999999997E-3</v>
      </c>
      <c r="AA6689">
        <v>0.72627200000000003</v>
      </c>
      <c r="AB6689">
        <v>24</v>
      </c>
      <c r="AC6689">
        <v>5.9572999999999698</v>
      </c>
      <c r="AD6689">
        <v>-1.053003296705</v>
      </c>
      <c r="AE6689">
        <v>-17.291336999999999</v>
      </c>
      <c r="AF6689">
        <v>12.5938315704002</v>
      </c>
      <c r="AG6689">
        <v>-1.053003296705</v>
      </c>
      <c r="AH6689">
        <v>13.1783349409948</v>
      </c>
      <c r="AI6689">
        <v>93.306148647936197</v>
      </c>
      <c r="AJ6689">
        <v>46.2992247290249</v>
      </c>
      <c r="AK6689">
        <v>18.258749173575001</v>
      </c>
      <c r="AL6689">
        <v>83.212525226437904</v>
      </c>
      <c r="AM6689">
        <v>62.973663525663397</v>
      </c>
      <c r="AN6689">
        <v>1.0000000268779701</v>
      </c>
    </row>
    <row r="6690" spans="1:40" x14ac:dyDescent="0.25">
      <c r="A6690" t="str">
        <f>"20190312172244736"</f>
        <v>20190312172244736</v>
      </c>
      <c r="B6690" t="str">
        <f>"1552382564727281"</f>
        <v>1552382564727281</v>
      </c>
      <c r="C6690" t="s">
        <v>40</v>
      </c>
      <c r="D6690">
        <v>3.2550940000000002</v>
      </c>
      <c r="E6690">
        <v>0.61538329999999997</v>
      </c>
      <c r="F6690" t="s">
        <v>42</v>
      </c>
      <c r="G6690">
        <v>-304.1644</v>
      </c>
      <c r="H6690" s="1">
        <v>-3.2905480000000001E-6</v>
      </c>
      <c r="I6690">
        <v>-4.8456519999999896</v>
      </c>
      <c r="J6690">
        <v>-309.99180000000001</v>
      </c>
      <c r="K6690">
        <v>1.052934</v>
      </c>
      <c r="L6690">
        <v>12.40753</v>
      </c>
      <c r="M6690">
        <v>0.88571610000000001</v>
      </c>
      <c r="N6690">
        <v>0</v>
      </c>
      <c r="O6690">
        <v>-0.4639953</v>
      </c>
      <c r="P6690">
        <v>0.57622640000000003</v>
      </c>
      <c r="Q6690">
        <v>0.1137639</v>
      </c>
      <c r="R6690">
        <v>-0.80933359999999999</v>
      </c>
      <c r="S6690">
        <v>1.030518</v>
      </c>
      <c r="T6690">
        <v>-0.18281729999999999</v>
      </c>
      <c r="U6690">
        <v>-3.0064090000000001</v>
      </c>
      <c r="V6690">
        <v>0.45181840000000001</v>
      </c>
      <c r="W6690">
        <v>0.1183152</v>
      </c>
      <c r="X6690">
        <v>0.88422939999999906</v>
      </c>
      <c r="Y6690">
        <v>0.68713409999999997</v>
      </c>
      <c r="Z6690">
        <v>6.4088369999999997E-3</v>
      </c>
      <c r="AA6690">
        <v>0.72650230000000005</v>
      </c>
      <c r="AB6690">
        <v>23</v>
      </c>
      <c r="AC6690">
        <v>5.8274000000000097</v>
      </c>
      <c r="AD6690">
        <v>-1.0529372905479999</v>
      </c>
      <c r="AE6690">
        <v>-17.253181999999999</v>
      </c>
      <c r="AF6690">
        <v>12.5369769449117</v>
      </c>
      <c r="AG6690">
        <v>-1.0529372905479999</v>
      </c>
      <c r="AH6690">
        <v>13.1243592226727</v>
      </c>
      <c r="AI6690">
        <v>93.320172376758507</v>
      </c>
      <c r="AJ6690">
        <v>46.31125867459</v>
      </c>
      <c r="AK6690">
        <v>18.1805740520157</v>
      </c>
      <c r="AL6690">
        <v>83.205122001898602</v>
      </c>
      <c r="AM6690">
        <v>62.934140278432899</v>
      </c>
      <c r="AN6690">
        <v>0.99999999247697902</v>
      </c>
    </row>
    <row r="6691" spans="1:40" x14ac:dyDescent="0.25">
      <c r="A6691" t="str">
        <f>"20190312172244747"</f>
        <v>20190312172244747</v>
      </c>
      <c r="B6691" t="str">
        <f>"1552382564737041"</f>
        <v>1552382564737041</v>
      </c>
      <c r="C6691" t="s">
        <v>40</v>
      </c>
      <c r="D6691">
        <v>3.233098</v>
      </c>
      <c r="E6691">
        <v>0.6151411</v>
      </c>
      <c r="F6691" t="s">
        <v>42</v>
      </c>
      <c r="G6691">
        <v>-304.16120000000001</v>
      </c>
      <c r="H6691" s="1">
        <v>-3.2347020000000002E-6</v>
      </c>
      <c r="I6691">
        <v>-4.9619600000000004</v>
      </c>
      <c r="J6691">
        <v>-309.89600000000002</v>
      </c>
      <c r="K6691">
        <v>1.052878</v>
      </c>
      <c r="L6691">
        <v>12.350490000000001</v>
      </c>
      <c r="M6691">
        <v>0.88309159999999998</v>
      </c>
      <c r="N6691">
        <v>0</v>
      </c>
      <c r="O6691">
        <v>-0.46897100000000003</v>
      </c>
      <c r="P6691">
        <v>0.57108040000000004</v>
      </c>
      <c r="Q6691">
        <v>0.11425</v>
      </c>
      <c r="R6691">
        <v>-0.81290479999999998</v>
      </c>
      <c r="S6691">
        <v>1.0112300000000001</v>
      </c>
      <c r="T6691">
        <v>-0.18261459999999999</v>
      </c>
      <c r="U6691">
        <v>-3.012451</v>
      </c>
      <c r="V6691">
        <v>0.45241569999999998</v>
      </c>
      <c r="W6691">
        <v>0.1187333</v>
      </c>
      <c r="X6691">
        <v>0.88386790000000004</v>
      </c>
      <c r="Y6691">
        <v>0.68767180000000006</v>
      </c>
      <c r="Z6691">
        <v>6.7266230000000002E-3</v>
      </c>
      <c r="AA6691">
        <v>0.72599049999999998</v>
      </c>
      <c r="AB6691">
        <v>23</v>
      </c>
      <c r="AC6691">
        <v>5.7347999999999502</v>
      </c>
      <c r="AD6691">
        <v>-1.052881234702</v>
      </c>
      <c r="AE6691">
        <v>-17.312449999999998</v>
      </c>
      <c r="AF6691">
        <v>12.5585250187622</v>
      </c>
      <c r="AG6691">
        <v>-1.052881234702</v>
      </c>
      <c r="AH6691">
        <v>13.1410130039639</v>
      </c>
      <c r="AI6691">
        <v>93.315088823432703</v>
      </c>
      <c r="AJ6691">
        <v>46.298404273286899</v>
      </c>
      <c r="AK6691">
        <v>18.2074526585026</v>
      </c>
      <c r="AL6691">
        <v>83.180996723131301</v>
      </c>
      <c r="AM6691">
        <v>62.893956742392298</v>
      </c>
      <c r="AN6691">
        <v>1.0000000133928899</v>
      </c>
    </row>
    <row r="6692" spans="1:40" x14ac:dyDescent="0.25">
      <c r="A6692" t="str">
        <f>"20190312172244757"</f>
        <v>20190312172244757</v>
      </c>
      <c r="B6692" t="str">
        <f>"1552382564746801"</f>
        <v>1552382564746801</v>
      </c>
      <c r="C6692" t="s">
        <v>40</v>
      </c>
      <c r="D6692">
        <v>3.7090809999999999</v>
      </c>
      <c r="E6692">
        <v>0.61488750000000003</v>
      </c>
      <c r="F6692" t="s">
        <v>42</v>
      </c>
      <c r="G6692">
        <v>-304.14120000000003</v>
      </c>
      <c r="H6692" s="1">
        <v>-3.154215E-6</v>
      </c>
      <c r="I6692">
        <v>-5.1209980000000002</v>
      </c>
      <c r="J6692">
        <v>-309.79340000000002</v>
      </c>
      <c r="K6692">
        <v>1.052821</v>
      </c>
      <c r="L6692">
        <v>12.288880000000001</v>
      </c>
      <c r="M6692">
        <v>0.88022889999999998</v>
      </c>
      <c r="N6692">
        <v>0</v>
      </c>
      <c r="O6692">
        <v>-0.47432249999999998</v>
      </c>
      <c r="P6692">
        <v>0.56566830000000001</v>
      </c>
      <c r="Q6692">
        <v>0.1146474</v>
      </c>
      <c r="R6692">
        <v>-0.81662469999999998</v>
      </c>
      <c r="S6692">
        <v>0.99398799999999998</v>
      </c>
      <c r="T6692">
        <v>-0.18185680000000001</v>
      </c>
      <c r="U6692">
        <v>-3.0177309999999999</v>
      </c>
      <c r="V6692">
        <v>0.45289469999999998</v>
      </c>
      <c r="W6692">
        <v>0.1190624</v>
      </c>
      <c r="X6692">
        <v>0.88357819999999898</v>
      </c>
      <c r="Y6692">
        <v>0.68739380000000005</v>
      </c>
      <c r="Z6692">
        <v>7.0820859999999996E-3</v>
      </c>
      <c r="AA6692">
        <v>0.72625039999999996</v>
      </c>
      <c r="AB6692">
        <v>23</v>
      </c>
      <c r="AC6692">
        <v>5.6521999999999899</v>
      </c>
      <c r="AD6692">
        <v>-1.0528241542149901</v>
      </c>
      <c r="AE6692">
        <v>-17.409877999999999</v>
      </c>
      <c r="AF6692">
        <v>12.6033777913664</v>
      </c>
      <c r="AG6692">
        <v>-1.0528241542149901</v>
      </c>
      <c r="AH6692">
        <v>13.190912037055901</v>
      </c>
      <c r="AI6692">
        <v>93.302751229299403</v>
      </c>
      <c r="AJ6692">
        <v>46.304839671097298</v>
      </c>
      <c r="AK6692">
        <v>18.274400970235799</v>
      </c>
      <c r="AL6692">
        <v>83.162005535299599</v>
      </c>
      <c r="AM6692">
        <v>62.861734287749698</v>
      </c>
      <c r="AN6692">
        <v>0.99999994994854302</v>
      </c>
    </row>
    <row r="6693" spans="1:40" x14ac:dyDescent="0.25">
      <c r="A6693" t="str">
        <f>"20190312172244769"</f>
        <v>20190312172244769</v>
      </c>
      <c r="B6693" t="str">
        <f>"1552382564756562"</f>
        <v>1552382564756562</v>
      </c>
      <c r="C6693" t="s">
        <v>40</v>
      </c>
      <c r="D6693">
        <v>3.269409</v>
      </c>
      <c r="E6693">
        <v>0.61459730000000001</v>
      </c>
      <c r="F6693" t="s">
        <v>42</v>
      </c>
      <c r="G6693">
        <v>-304.11829999999998</v>
      </c>
      <c r="H6693" s="1">
        <v>-3.064905E-6</v>
      </c>
      <c r="I6693">
        <v>-5.2970550000000003</v>
      </c>
      <c r="J6693">
        <v>-309.69580000000002</v>
      </c>
      <c r="K6693">
        <v>1.052767</v>
      </c>
      <c r="L6693">
        <v>12.22894</v>
      </c>
      <c r="M6693">
        <v>0.87742809999999904</v>
      </c>
      <c r="N6693">
        <v>0</v>
      </c>
      <c r="O6693">
        <v>-0.47948410000000002</v>
      </c>
      <c r="P6693">
        <v>0.56024499999999999</v>
      </c>
      <c r="Q6693">
        <v>0.1151363</v>
      </c>
      <c r="R6693">
        <v>-0.82028650000000003</v>
      </c>
      <c r="S6693">
        <v>0.9756165</v>
      </c>
      <c r="T6693">
        <v>-0.1809944</v>
      </c>
      <c r="U6693">
        <v>-3.0232540000000001</v>
      </c>
      <c r="V6693">
        <v>0.45352320000000002</v>
      </c>
      <c r="W6693">
        <v>0.1194828</v>
      </c>
      <c r="X6693">
        <v>0.88319910000000001</v>
      </c>
      <c r="Y6693">
        <v>0.68752150000000001</v>
      </c>
      <c r="Z6693">
        <v>7.4017609999999998E-3</v>
      </c>
      <c r="AA6693">
        <v>0.72612639999999995</v>
      </c>
      <c r="AB6693">
        <v>23</v>
      </c>
      <c r="AC6693">
        <v>5.5775000000000396</v>
      </c>
      <c r="AD6693">
        <v>-1.052770064905</v>
      </c>
      <c r="AE6693">
        <v>-17.525995000000002</v>
      </c>
      <c r="AF6693">
        <v>12.6633523420067</v>
      </c>
      <c r="AG6693">
        <v>-1.052770064905</v>
      </c>
      <c r="AH6693">
        <v>13.2552899470385</v>
      </c>
      <c r="AI6693">
        <v>93.286767088050993</v>
      </c>
      <c r="AJ6693">
        <v>46.308310494396203</v>
      </c>
      <c r="AK6693">
        <v>18.362231044386402</v>
      </c>
      <c r="AL6693">
        <v>83.137745837061004</v>
      </c>
      <c r="AM6693">
        <v>62.8194778932681</v>
      </c>
      <c r="AN6693">
        <v>1.0000000413374399</v>
      </c>
    </row>
    <row r="6694" spans="1:40" x14ac:dyDescent="0.25">
      <c r="A6694" t="str">
        <f>"20190312172244780"</f>
        <v>20190312172244780</v>
      </c>
      <c r="B6694" t="str">
        <f>"1552382564777058"</f>
        <v>1552382564777058</v>
      </c>
      <c r="C6694" t="s">
        <v>40</v>
      </c>
      <c r="D6694">
        <v>3.3144520000000002</v>
      </c>
      <c r="E6694">
        <v>0.61431499999999895</v>
      </c>
      <c r="F6694" t="s">
        <v>42</v>
      </c>
      <c r="G6694">
        <v>-304.0933</v>
      </c>
      <c r="H6694" s="1">
        <v>-2.9677789999999998E-6</v>
      </c>
      <c r="I6694">
        <v>-5.4884309999999896</v>
      </c>
      <c r="J6694">
        <v>-309.59379999999999</v>
      </c>
      <c r="K6694">
        <v>1.052711</v>
      </c>
      <c r="L6694">
        <v>12.16605</v>
      </c>
      <c r="M6694">
        <v>0.87445810000000002</v>
      </c>
      <c r="N6694">
        <v>0</v>
      </c>
      <c r="O6694">
        <v>-0.48487940000000002</v>
      </c>
      <c r="P6694">
        <v>0.55480949999999996</v>
      </c>
      <c r="Q6694">
        <v>0.11510280000000001</v>
      </c>
      <c r="R6694">
        <v>-0.82397719999999897</v>
      </c>
      <c r="S6694">
        <v>0.95764159999999998</v>
      </c>
      <c r="T6694">
        <v>-0.17995249999999999</v>
      </c>
      <c r="U6694">
        <v>-3.028473</v>
      </c>
      <c r="V6694">
        <v>0.45394020000000002</v>
      </c>
      <c r="W6694">
        <v>0.1193853</v>
      </c>
      <c r="X6694">
        <v>0.88299799999999995</v>
      </c>
      <c r="Y6694">
        <v>0.68733599999999995</v>
      </c>
      <c r="Z6694">
        <v>7.7400489999999997E-3</v>
      </c>
      <c r="AA6694">
        <v>0.72629829999999995</v>
      </c>
      <c r="AB6694">
        <v>23</v>
      </c>
      <c r="AC6694">
        <v>5.5004999999999802</v>
      </c>
      <c r="AD6694">
        <v>-1.0527139677790001</v>
      </c>
      <c r="AE6694">
        <v>-17.654481000000001</v>
      </c>
      <c r="AF6694">
        <v>12.7311365747314</v>
      </c>
      <c r="AG6694">
        <v>-1.0527139677790001</v>
      </c>
      <c r="AH6694">
        <v>13.328491151877</v>
      </c>
      <c r="AI6694">
        <v>93.268843885952407</v>
      </c>
      <c r="AJ6694">
        <v>46.313138613220197</v>
      </c>
      <c r="AK6694">
        <v>18.461817937789501</v>
      </c>
      <c r="AL6694">
        <v>83.143372244416895</v>
      </c>
      <c r="AM6694">
        <v>62.792769644298097</v>
      </c>
      <c r="AN6694">
        <v>1.0000000115180601</v>
      </c>
    </row>
    <row r="6695" spans="1:40" x14ac:dyDescent="0.25">
      <c r="A6695" t="str">
        <f>"20190312172244790"</f>
        <v>20190312172244790</v>
      </c>
      <c r="B6695" t="str">
        <f>"1552382564786817"</f>
        <v>1552382564786817</v>
      </c>
      <c r="C6695" t="s">
        <v>40</v>
      </c>
      <c r="D6695">
        <v>3.2877239999999999</v>
      </c>
      <c r="E6695">
        <v>0.60196190000000005</v>
      </c>
      <c r="F6695" t="s">
        <v>42</v>
      </c>
      <c r="G6695">
        <v>-304.12049999999999</v>
      </c>
      <c r="H6695" s="1">
        <v>-2.9630959999999999E-6</v>
      </c>
      <c r="I6695">
        <v>-5.5136589999999996</v>
      </c>
      <c r="J6695">
        <v>-309.49310000000003</v>
      </c>
      <c r="K6695">
        <v>1.0526470000000001</v>
      </c>
      <c r="L6695">
        <v>12.10233</v>
      </c>
      <c r="M6695">
        <v>0.87143269999999995</v>
      </c>
      <c r="N6695">
        <v>0</v>
      </c>
      <c r="O6695">
        <v>-0.4902958</v>
      </c>
      <c r="P6695">
        <v>0.54916290000000001</v>
      </c>
      <c r="Q6695">
        <v>0.11511929999999999</v>
      </c>
      <c r="R6695">
        <v>-0.82774899999999996</v>
      </c>
      <c r="S6695">
        <v>0.93917850000000003</v>
      </c>
      <c r="T6695">
        <v>-0.18064060000000001</v>
      </c>
      <c r="U6695">
        <v>-3.0337519999999998</v>
      </c>
      <c r="V6695">
        <v>0.45451130000000001</v>
      </c>
      <c r="W6695">
        <v>0.1193365</v>
      </c>
      <c r="X6695">
        <v>0.88271080000000002</v>
      </c>
      <c r="Y6695">
        <v>0.68722329999999998</v>
      </c>
      <c r="Z6695">
        <v>8.1514569999999904E-3</v>
      </c>
      <c r="AA6695">
        <v>0.7264005</v>
      </c>
      <c r="AB6695">
        <v>23</v>
      </c>
      <c r="AC6695">
        <v>5.3726000000000296</v>
      </c>
      <c r="AD6695">
        <v>-1.05264996309599</v>
      </c>
      <c r="AE6695">
        <v>-17.615988999999999</v>
      </c>
      <c r="AF6695">
        <v>12.6769399240531</v>
      </c>
      <c r="AG6695">
        <v>-1.05264996309599</v>
      </c>
      <c r="AH6695">
        <v>13.276963585298001</v>
      </c>
      <c r="AI6695">
        <v>93.281916693706805</v>
      </c>
      <c r="AJ6695">
        <v>46.324374979597302</v>
      </c>
      <c r="AK6695">
        <v>18.387241223962601</v>
      </c>
      <c r="AL6695">
        <v>83.146188602359999</v>
      </c>
      <c r="AM6695">
        <v>62.755881224781199</v>
      </c>
      <c r="AN6695">
        <v>1.00000003924828</v>
      </c>
    </row>
    <row r="6696" spans="1:40" x14ac:dyDescent="0.25">
      <c r="A6696" t="str">
        <f>"20190312172244803"</f>
        <v>20190312172244803</v>
      </c>
      <c r="B6696" t="str">
        <f>"1552382564797553"</f>
        <v>1552382564797553</v>
      </c>
      <c r="C6696" t="s">
        <v>40</v>
      </c>
      <c r="D6696">
        <v>3.302813</v>
      </c>
      <c r="E6696">
        <v>0.60181909999999905</v>
      </c>
      <c r="F6696" t="s">
        <v>42</v>
      </c>
      <c r="G6696">
        <v>-304.2285</v>
      </c>
      <c r="H6696" s="1">
        <v>-3.802728E-6</v>
      </c>
      <c r="I6696">
        <v>-3.6004450000000001</v>
      </c>
      <c r="J6696">
        <v>-309.39010000000002</v>
      </c>
      <c r="K6696">
        <v>1.052592</v>
      </c>
      <c r="L6696">
        <v>12.036770000000001</v>
      </c>
      <c r="M6696">
        <v>0.86829080000000003</v>
      </c>
      <c r="N6696">
        <v>0</v>
      </c>
      <c r="O6696">
        <v>-0.49583880000000002</v>
      </c>
      <c r="P6696">
        <v>0.5434409</v>
      </c>
      <c r="Q6696">
        <v>0.1153115</v>
      </c>
      <c r="R6696">
        <v>-0.83149010000000001</v>
      </c>
      <c r="S6696">
        <v>1.0016480000000001</v>
      </c>
      <c r="T6696">
        <v>-0.20027739999999999</v>
      </c>
      <c r="U6696">
        <v>-2.9876100000000001</v>
      </c>
      <c r="V6696">
        <v>0.45496950000000003</v>
      </c>
      <c r="W6696">
        <v>0.11946619999999999</v>
      </c>
      <c r="X6696">
        <v>0.88245709999999999</v>
      </c>
      <c r="Y6696">
        <v>0.66536209999999996</v>
      </c>
      <c r="Z6696">
        <v>1.048002E-2</v>
      </c>
      <c r="AA6696">
        <v>0.74644719999999998</v>
      </c>
      <c r="AB6696">
        <v>23</v>
      </c>
      <c r="AC6696">
        <v>5.1616000000000204</v>
      </c>
      <c r="AD6696">
        <v>-1.052595802728</v>
      </c>
      <c r="AE6696">
        <v>-15.6372149999999</v>
      </c>
      <c r="AF6696">
        <v>10.9746712035478</v>
      </c>
      <c r="AG6696">
        <v>-1.052595802728</v>
      </c>
      <c r="AH6696">
        <v>12.1868285917615</v>
      </c>
      <c r="AI6696">
        <v>93.672344058228205</v>
      </c>
      <c r="AJ6696">
        <v>47.995842191416202</v>
      </c>
      <c r="AK6696">
        <v>16.4338113982995</v>
      </c>
      <c r="AL6696">
        <v>83.1387033589331</v>
      </c>
      <c r="AM6696">
        <v>62.725670022098001</v>
      </c>
      <c r="AN6696">
        <v>0.999999976106549</v>
      </c>
    </row>
    <row r="6697" spans="1:40" x14ac:dyDescent="0.25">
      <c r="A6697" t="str">
        <f>"20190312172244814"</f>
        <v>20190312172244814</v>
      </c>
      <c r="B6697" t="str">
        <f>"1552382564807313"</f>
        <v>1552382564807313</v>
      </c>
      <c r="C6697" t="s">
        <v>40</v>
      </c>
      <c r="D6697">
        <v>3.330101</v>
      </c>
      <c r="E6697">
        <v>0.60145249999999995</v>
      </c>
      <c r="F6697" t="s">
        <v>42</v>
      </c>
      <c r="G6697">
        <v>-304.3023</v>
      </c>
      <c r="H6697" s="1">
        <v>-3.8649890000000002E-6</v>
      </c>
      <c r="I6697">
        <v>-3.472432</v>
      </c>
      <c r="J6697">
        <v>-309.28820000000002</v>
      </c>
      <c r="K6697">
        <v>1.052535</v>
      </c>
      <c r="L6697">
        <v>11.97058</v>
      </c>
      <c r="M6697">
        <v>0.86510010000000004</v>
      </c>
      <c r="N6697">
        <v>0</v>
      </c>
      <c r="O6697">
        <v>-0.50138439999999995</v>
      </c>
      <c r="P6697">
        <v>0.53759829999999997</v>
      </c>
      <c r="Q6697">
        <v>0.1158082</v>
      </c>
      <c r="R6697">
        <v>-0.83521080000000003</v>
      </c>
      <c r="S6697">
        <v>0.98223879999999997</v>
      </c>
      <c r="T6697">
        <v>-0.2032117</v>
      </c>
      <c r="U6697">
        <v>-2.9941710000000001</v>
      </c>
      <c r="V6697">
        <v>0.45547369999999998</v>
      </c>
      <c r="W6697">
        <v>0.1199027</v>
      </c>
      <c r="X6697">
        <v>0.88213779999999997</v>
      </c>
      <c r="Y6697">
        <v>0.66543640000000004</v>
      </c>
      <c r="Z6697">
        <v>1.106509E-2</v>
      </c>
      <c r="AA6697">
        <v>0.74637259999999905</v>
      </c>
      <c r="AB6697">
        <v>23</v>
      </c>
      <c r="AC6697">
        <v>4.9859000000000098</v>
      </c>
      <c r="AD6697">
        <v>-1.052538864989</v>
      </c>
      <c r="AE6697">
        <v>-15.443012</v>
      </c>
      <c r="AF6697">
        <v>10.815570360215901</v>
      </c>
      <c r="AG6697">
        <v>-1.052538864989</v>
      </c>
      <c r="AH6697">
        <v>12.006976446390301</v>
      </c>
      <c r="AI6697">
        <v>93.726556474665699</v>
      </c>
      <c r="AJ6697">
        <v>47.988300714100298</v>
      </c>
      <c r="AK6697">
        <v>16.1941928994089</v>
      </c>
      <c r="AL6697">
        <v>83.113513007431607</v>
      </c>
      <c r="AM6697">
        <v>62.691362231980001</v>
      </c>
      <c r="AN6697">
        <v>1.0000000235238999</v>
      </c>
    </row>
    <row r="6698" spans="1:40" x14ac:dyDescent="0.25">
      <c r="A6698" t="str">
        <f>"20190312172244824"</f>
        <v>20190312172244824</v>
      </c>
      <c r="B6698" t="str">
        <f>"1552382564817074"</f>
        <v>1552382564817074</v>
      </c>
      <c r="C6698" t="s">
        <v>40</v>
      </c>
      <c r="D6698">
        <v>3.2846860000000002</v>
      </c>
      <c r="E6698">
        <v>0.60071830000000004</v>
      </c>
      <c r="F6698" t="s">
        <v>42</v>
      </c>
      <c r="G6698">
        <v>-304.30619999999999</v>
      </c>
      <c r="H6698" s="1">
        <v>-3.839039E-6</v>
      </c>
      <c r="I6698">
        <v>-3.5418249999999998</v>
      </c>
      <c r="J6698">
        <v>-309.1902</v>
      </c>
      <c r="K6698">
        <v>1.0524899999999999</v>
      </c>
      <c r="L6698">
        <v>11.90616</v>
      </c>
      <c r="M6698">
        <v>0.86197099999999904</v>
      </c>
      <c r="N6698">
        <v>0</v>
      </c>
      <c r="O6698">
        <v>-0.50674520000000001</v>
      </c>
      <c r="P6698">
        <v>0.53181029999999996</v>
      </c>
      <c r="Q6698">
        <v>0.1157719</v>
      </c>
      <c r="R6698">
        <v>-0.83891299999999902</v>
      </c>
      <c r="S6698">
        <v>0.96347050000000001</v>
      </c>
      <c r="T6698">
        <v>-0.20355219999999999</v>
      </c>
      <c r="U6698">
        <v>-2.9999690000000001</v>
      </c>
      <c r="V6698">
        <v>0.45611380000000001</v>
      </c>
      <c r="W6698">
        <v>0.1198061</v>
      </c>
      <c r="X6698">
        <v>0.881820099999999</v>
      </c>
      <c r="Y6698">
        <v>0.66546149999999904</v>
      </c>
      <c r="Z6698">
        <v>1.1506280000000001E-2</v>
      </c>
      <c r="AA6698">
        <v>0.74634350000000005</v>
      </c>
      <c r="AB6698">
        <v>23</v>
      </c>
      <c r="AC6698">
        <v>4.8840000000000101</v>
      </c>
      <c r="AD6698">
        <v>-1.052493839039</v>
      </c>
      <c r="AE6698">
        <v>-15.447984999999999</v>
      </c>
      <c r="AF6698">
        <v>10.7963771758448</v>
      </c>
      <c r="AG6698">
        <v>-1.052493839039</v>
      </c>
      <c r="AH6698">
        <v>11.9887612228758</v>
      </c>
      <c r="AI6698">
        <v>93.732473234527504</v>
      </c>
      <c r="AJ6698">
        <v>47.9956504426222</v>
      </c>
      <c r="AK6698">
        <v>16.167866249553398</v>
      </c>
      <c r="AL6698">
        <v>83.119087765826805</v>
      </c>
      <c r="AM6698">
        <v>62.650126517807202</v>
      </c>
      <c r="AN6698">
        <v>0.99999999445582899</v>
      </c>
    </row>
    <row r="6699" spans="1:40" x14ac:dyDescent="0.25">
      <c r="A6699" t="str">
        <f>"20190312172244835"</f>
        <v>20190312172244835</v>
      </c>
      <c r="B6699" t="str">
        <f>"1552382564826833"</f>
        <v>1552382564826833</v>
      </c>
      <c r="C6699" t="s">
        <v>40</v>
      </c>
      <c r="D6699">
        <v>3.2228789999999998</v>
      </c>
      <c r="E6699">
        <v>0.60023509999999902</v>
      </c>
      <c r="F6699" t="s">
        <v>42</v>
      </c>
      <c r="G6699">
        <v>-304.30549999999999</v>
      </c>
      <c r="H6699" s="1">
        <v>-3.8232629999999999E-6</v>
      </c>
      <c r="I6699">
        <v>-3.582551</v>
      </c>
      <c r="J6699">
        <v>-309.09120000000001</v>
      </c>
      <c r="K6699">
        <v>1.052443</v>
      </c>
      <c r="L6699">
        <v>11.84018</v>
      </c>
      <c r="M6699">
        <v>0.85874569999999995</v>
      </c>
      <c r="N6699">
        <v>0</v>
      </c>
      <c r="O6699">
        <v>-0.51219190000000003</v>
      </c>
      <c r="P6699">
        <v>0.52598630000000002</v>
      </c>
      <c r="Q6699">
        <v>0.1159533</v>
      </c>
      <c r="R6699">
        <v>-0.84255190000000002</v>
      </c>
      <c r="S6699">
        <v>0.94729609999999997</v>
      </c>
      <c r="T6699">
        <v>-0.20410980000000001</v>
      </c>
      <c r="U6699">
        <v>-3.0037229999999999</v>
      </c>
      <c r="V6699">
        <v>0.4566346</v>
      </c>
      <c r="W6699">
        <v>0.1199321</v>
      </c>
      <c r="X6699">
        <v>0.88153340000000002</v>
      </c>
      <c r="Y6699">
        <v>0.66466389999999997</v>
      </c>
      <c r="Z6699">
        <v>1.200859E-2</v>
      </c>
      <c r="AA6699">
        <v>0.74704589999999904</v>
      </c>
      <c r="AB6699">
        <v>23</v>
      </c>
      <c r="AC6699">
        <v>4.7857000000000198</v>
      </c>
      <c r="AD6699">
        <v>-1.052446823263</v>
      </c>
      <c r="AE6699">
        <v>-15.422731000000001</v>
      </c>
      <c r="AF6699">
        <v>10.748512686797801</v>
      </c>
      <c r="AG6699">
        <v>-1.052446823263</v>
      </c>
      <c r="AH6699">
        <v>11.959589360394901</v>
      </c>
      <c r="AI6699">
        <v>93.744735835787196</v>
      </c>
      <c r="AJ6699">
        <v>48.052826905829598</v>
      </c>
      <c r="AK6699">
        <v>16.114277736321998</v>
      </c>
      <c r="AL6699">
        <v>83.111816111219795</v>
      </c>
      <c r="AM6699">
        <v>62.615828053923799</v>
      </c>
      <c r="AN6699">
        <v>1.0000000009215599</v>
      </c>
    </row>
    <row r="6700" spans="1:40" x14ac:dyDescent="0.25">
      <c r="A6700" t="str">
        <f>"20190312172244848"</f>
        <v>20190312172244848</v>
      </c>
      <c r="B6700" t="str">
        <f>"1552382564836593"</f>
        <v>1552382564836593</v>
      </c>
      <c r="C6700" t="s">
        <v>40</v>
      </c>
      <c r="D6700">
        <v>3.2394790000000002</v>
      </c>
      <c r="E6700">
        <v>0.59973900000000002</v>
      </c>
      <c r="F6700" t="s">
        <v>42</v>
      </c>
      <c r="G6700">
        <v>-304.09390000000002</v>
      </c>
      <c r="H6700" s="1">
        <v>-3.4926019999999999E-6</v>
      </c>
      <c r="I6700">
        <v>-4.3459029999999998</v>
      </c>
      <c r="J6700">
        <v>-308.99059999999997</v>
      </c>
      <c r="K6700">
        <v>1.0523940000000001</v>
      </c>
      <c r="L6700">
        <v>11.77197</v>
      </c>
      <c r="M6700">
        <v>0.85538979999999998</v>
      </c>
      <c r="N6700">
        <v>0</v>
      </c>
      <c r="O6700">
        <v>-0.51777669999999998</v>
      </c>
      <c r="P6700">
        <v>0.51973000000000003</v>
      </c>
      <c r="Q6700">
        <v>0.1161041</v>
      </c>
      <c r="R6700">
        <v>-0.84640509999999902</v>
      </c>
      <c r="S6700">
        <v>0.92861939999999998</v>
      </c>
      <c r="T6700">
        <v>-0.19557099999999999</v>
      </c>
      <c r="U6700">
        <v>-3.0077820000000002</v>
      </c>
      <c r="V6700">
        <v>0.45741900000000002</v>
      </c>
      <c r="W6700">
        <v>0.1200215</v>
      </c>
      <c r="X6700">
        <v>0.88111450000000002</v>
      </c>
      <c r="Y6700">
        <v>0.66434749999999998</v>
      </c>
      <c r="Z6700">
        <v>1.195211E-2</v>
      </c>
      <c r="AA6700">
        <v>0.74732829999999995</v>
      </c>
      <c r="AB6700">
        <v>23</v>
      </c>
      <c r="AC6700">
        <v>4.8966999999999503</v>
      </c>
      <c r="AD6700">
        <v>-1.0523974926019899</v>
      </c>
      <c r="AE6700">
        <v>-16.117872999999999</v>
      </c>
      <c r="AF6700">
        <v>11.2091303112672</v>
      </c>
      <c r="AG6700">
        <v>-1.0523974926019899</v>
      </c>
      <c r="AH6700">
        <v>12.4866616355513</v>
      </c>
      <c r="AI6700">
        <v>93.588785206420496</v>
      </c>
      <c r="AJ6700">
        <v>48.086048184322799</v>
      </c>
      <c r="AK6700">
        <v>16.812758893713799</v>
      </c>
      <c r="AL6700">
        <v>83.106656815549599</v>
      </c>
      <c r="AM6700">
        <v>62.564511001994703</v>
      </c>
      <c r="AN6700">
        <v>1.0000000320667399</v>
      </c>
    </row>
    <row r="6701" spans="1:40" x14ac:dyDescent="0.25">
      <c r="A6701" t="str">
        <f>"20190312172244861"</f>
        <v>20190312172244861</v>
      </c>
      <c r="B6701" t="str">
        <f>"1552382564857090"</f>
        <v>1552382564857090</v>
      </c>
      <c r="C6701" t="s">
        <v>40</v>
      </c>
      <c r="D6701">
        <v>3.2307350000000001</v>
      </c>
      <c r="E6701">
        <v>0.59928289999999995</v>
      </c>
      <c r="F6701" t="s">
        <v>42</v>
      </c>
      <c r="G6701">
        <v>-303.98090000000002</v>
      </c>
      <c r="H6701" s="1">
        <v>-3.2541980000000001E-6</v>
      </c>
      <c r="I6701">
        <v>-4.8192329999999997</v>
      </c>
      <c r="J6701">
        <v>-308.87520000000001</v>
      </c>
      <c r="K6701">
        <v>1.052341</v>
      </c>
      <c r="L6701">
        <v>11.69284</v>
      </c>
      <c r="M6701">
        <v>0.85146559999999905</v>
      </c>
      <c r="N6701">
        <v>0</v>
      </c>
      <c r="O6701">
        <v>-0.52420459999999902</v>
      </c>
      <c r="P6701">
        <v>0.51287590000000005</v>
      </c>
      <c r="Q6701">
        <v>0.1159601</v>
      </c>
      <c r="R6701">
        <v>-0.850595199999999</v>
      </c>
      <c r="S6701">
        <v>0.90951539999999997</v>
      </c>
      <c r="T6701">
        <v>-0.1910615</v>
      </c>
      <c r="U6701">
        <v>-3.0121150000000001</v>
      </c>
      <c r="V6701">
        <v>0.45792739999999998</v>
      </c>
      <c r="W6701">
        <v>0.1198198</v>
      </c>
      <c r="X6701">
        <v>0.88087780000000004</v>
      </c>
      <c r="Y6701">
        <v>0.66337969999999902</v>
      </c>
      <c r="Z6701">
        <v>1.220098E-2</v>
      </c>
      <c r="AA6701">
        <v>0.7481835</v>
      </c>
      <c r="AB6701">
        <v>23</v>
      </c>
      <c r="AC6701">
        <v>4.8942999999999799</v>
      </c>
      <c r="AD6701">
        <v>-1.0523442541979999</v>
      </c>
      <c r="AE6701">
        <v>-16.512073000000001</v>
      </c>
      <c r="AF6701">
        <v>11.4523286872714</v>
      </c>
      <c r="AG6701">
        <v>-1.0523442541979999</v>
      </c>
      <c r="AH6701">
        <v>12.776712449206</v>
      </c>
      <c r="AI6701">
        <v>93.509681757930807</v>
      </c>
      <c r="AJ6701">
        <v>48.128731389654703</v>
      </c>
      <c r="AK6701">
        <v>17.190335709355399</v>
      </c>
      <c r="AL6701">
        <v>83.118297110468504</v>
      </c>
      <c r="AM6701">
        <v>62.5321763842419</v>
      </c>
      <c r="AN6701">
        <v>0.99999999333781997</v>
      </c>
    </row>
    <row r="6702" spans="1:40" x14ac:dyDescent="0.25">
      <c r="A6702" t="str">
        <f>"20190312172244875"</f>
        <v>20190312172244875</v>
      </c>
      <c r="B6702" t="str">
        <f>"1552382564866849"</f>
        <v>1552382564866849</v>
      </c>
      <c r="C6702" t="s">
        <v>40</v>
      </c>
      <c r="D6702">
        <v>3.2575310000000002</v>
      </c>
      <c r="E6702">
        <v>0.59909349999999995</v>
      </c>
      <c r="F6702" t="s">
        <v>42</v>
      </c>
      <c r="G6702">
        <v>-303.90300000000002</v>
      </c>
      <c r="H6702" s="1">
        <v>-3.048418E-6</v>
      </c>
      <c r="I6702">
        <v>-5.2107049999999999</v>
      </c>
      <c r="J6702">
        <v>-308.7491</v>
      </c>
      <c r="K6702">
        <v>1.0522899999999999</v>
      </c>
      <c r="L6702">
        <v>11.60431</v>
      </c>
      <c r="M6702">
        <v>0.84704659999999998</v>
      </c>
      <c r="N6702">
        <v>0</v>
      </c>
      <c r="O6702">
        <v>-0.53131530000000005</v>
      </c>
      <c r="P6702">
        <v>0.50511949999999906</v>
      </c>
      <c r="Q6702">
        <v>0.11567620000000001</v>
      </c>
      <c r="R6702">
        <v>-0.85526199999999997</v>
      </c>
      <c r="S6702">
        <v>0.88757319999999995</v>
      </c>
      <c r="T6702">
        <v>-0.1878504</v>
      </c>
      <c r="U6702">
        <v>-3.017395</v>
      </c>
      <c r="V6702">
        <v>0.4586037</v>
      </c>
      <c r="W6702">
        <v>0.1194747</v>
      </c>
      <c r="X6702">
        <v>0.88057280000000004</v>
      </c>
      <c r="Y6702">
        <v>0.66249259999999999</v>
      </c>
      <c r="Z6702">
        <v>1.255938E-2</v>
      </c>
      <c r="AA6702">
        <v>0.74896319999999905</v>
      </c>
      <c r="AB6702">
        <v>23</v>
      </c>
      <c r="AC6702">
        <v>4.8460999999999697</v>
      </c>
      <c r="AD6702">
        <v>-1.052293048418</v>
      </c>
      <c r="AE6702">
        <v>-16.815014999999999</v>
      </c>
      <c r="AF6702">
        <v>11.627510336689401</v>
      </c>
      <c r="AG6702">
        <v>-1.052293048418</v>
      </c>
      <c r="AH6702">
        <v>12.9933725883041</v>
      </c>
      <c r="AI6702">
        <v>93.453639649639797</v>
      </c>
      <c r="AJ6702">
        <v>48.175272356698798</v>
      </c>
      <c r="AK6702">
        <v>17.468086572606001</v>
      </c>
      <c r="AL6702">
        <v>83.138213043466195</v>
      </c>
      <c r="AM6702">
        <v>62.489428795308498</v>
      </c>
      <c r="AN6702">
        <v>1.00000000684681</v>
      </c>
    </row>
    <row r="6703" spans="1:40" x14ac:dyDescent="0.25">
      <c r="A6703" t="str">
        <f>"20190312172244893"</f>
        <v>20190312172244893</v>
      </c>
      <c r="B6703" t="str">
        <f>"1552382564887345"</f>
        <v>1552382564887345</v>
      </c>
      <c r="C6703" t="s">
        <v>40</v>
      </c>
      <c r="D6703">
        <v>3.3075700000000001</v>
      </c>
      <c r="E6703">
        <v>0.59862399999999905</v>
      </c>
      <c r="F6703" t="s">
        <v>42</v>
      </c>
      <c r="G6703">
        <v>-303.91489999999999</v>
      </c>
      <c r="H6703" s="1">
        <v>-2.9748159999999999E-6</v>
      </c>
      <c r="I6703">
        <v>-5.373113</v>
      </c>
      <c r="J6703">
        <v>-308.5951</v>
      </c>
      <c r="K6703">
        <v>1.0522339999999999</v>
      </c>
      <c r="L6703">
        <v>11.49417</v>
      </c>
      <c r="M6703">
        <v>0.84149979999999902</v>
      </c>
      <c r="N6703">
        <v>0</v>
      </c>
      <c r="O6703">
        <v>-0.54005709999999996</v>
      </c>
      <c r="P6703">
        <v>0.49543779999999998</v>
      </c>
      <c r="Q6703">
        <v>0.115564899999999</v>
      </c>
      <c r="R6703">
        <v>-0.86092209999999902</v>
      </c>
      <c r="S6703">
        <v>0.86117549999999898</v>
      </c>
      <c r="T6703">
        <v>-0.18745890000000001</v>
      </c>
      <c r="U6703">
        <v>-3.0244140000000002</v>
      </c>
      <c r="V6703">
        <v>0.45944819999999997</v>
      </c>
      <c r="W6703">
        <v>0.1192925</v>
      </c>
      <c r="X6703">
        <v>0.88015719999999997</v>
      </c>
      <c r="Y6703">
        <v>0.6612519</v>
      </c>
      <c r="Z6703">
        <v>1.32286E-2</v>
      </c>
      <c r="AA6703">
        <v>0.75004729999999997</v>
      </c>
      <c r="AB6703">
        <v>23</v>
      </c>
      <c r="AC6703">
        <v>4.6802000000000099</v>
      </c>
      <c r="AD6703">
        <v>-1.0522369748160001</v>
      </c>
      <c r="AE6703">
        <v>-16.867283</v>
      </c>
      <c r="AF6703">
        <v>11.6254941974529</v>
      </c>
      <c r="AG6703">
        <v>-1.0522369748160001</v>
      </c>
      <c r="AH6703">
        <v>13.0021126044753</v>
      </c>
      <c r="AI6703">
        <v>93.452434862093995</v>
      </c>
      <c r="AJ6703">
        <v>48.199353915664503</v>
      </c>
      <c r="AK6703">
        <v>17.4732438363813</v>
      </c>
      <c r="AL6703">
        <v>83.148727642257896</v>
      </c>
      <c r="AM6703">
        <v>62.435126877160499</v>
      </c>
      <c r="AN6703">
        <v>1.00000002287566</v>
      </c>
    </row>
    <row r="6704" spans="1:40" x14ac:dyDescent="0.25">
      <c r="A6704" t="str">
        <f>"20190312172244908"</f>
        <v>20190312172244908</v>
      </c>
      <c r="B6704" t="str">
        <f>"1552382564897105"</f>
        <v>1552382564897105</v>
      </c>
      <c r="C6704" t="s">
        <v>40</v>
      </c>
      <c r="D6704">
        <v>3.260453</v>
      </c>
      <c r="E6704">
        <v>0.59829209999999899</v>
      </c>
      <c r="F6704" t="s">
        <v>42</v>
      </c>
      <c r="G6704">
        <v>-303.9178</v>
      </c>
      <c r="H6704" s="1">
        <v>-2.8659680000000001E-6</v>
      </c>
      <c r="I6704">
        <v>-5.6050149999999999</v>
      </c>
      <c r="J6704">
        <v>-308.4676</v>
      </c>
      <c r="K6704">
        <v>1.052189</v>
      </c>
      <c r="L6704">
        <v>11.40103</v>
      </c>
      <c r="M6704">
        <v>0.83676930000000005</v>
      </c>
      <c r="N6704">
        <v>0</v>
      </c>
      <c r="O6704">
        <v>-0.54735769999999995</v>
      </c>
      <c r="P6704">
        <v>0.48754799999999998</v>
      </c>
      <c r="Q6704">
        <v>0.1155799</v>
      </c>
      <c r="R6704">
        <v>-0.86541219999999996</v>
      </c>
      <c r="S6704">
        <v>0.82946779999999998</v>
      </c>
      <c r="T6704">
        <v>-0.1866024</v>
      </c>
      <c r="U6704">
        <v>-3.032349</v>
      </c>
      <c r="V6704">
        <v>0.4598468</v>
      </c>
      <c r="W6704">
        <v>0.1192589</v>
      </c>
      <c r="X6704">
        <v>0.8799536</v>
      </c>
      <c r="Y6704">
        <v>0.66252730000000004</v>
      </c>
      <c r="Z6704">
        <v>1.3662489999999999E-2</v>
      </c>
      <c r="AA6704">
        <v>0.74891319999999995</v>
      </c>
      <c r="AB6704">
        <v>23</v>
      </c>
      <c r="AC6704">
        <v>4.5498000000000003</v>
      </c>
      <c r="AD6704">
        <v>-1.0521918659680001</v>
      </c>
      <c r="AE6704">
        <v>-17.006045</v>
      </c>
      <c r="AF6704">
        <v>11.699246104555799</v>
      </c>
      <c r="AG6704">
        <v>-1.0521918659680001</v>
      </c>
      <c r="AH6704">
        <v>13.0702517396355</v>
      </c>
      <c r="AI6704">
        <v>93.432662187039099</v>
      </c>
      <c r="AJ6704">
        <v>48.168120881434298</v>
      </c>
      <c r="AK6704">
        <v>17.573017602996298</v>
      </c>
      <c r="AL6704">
        <v>83.150666818939499</v>
      </c>
      <c r="AM6704">
        <v>62.409298655353297</v>
      </c>
      <c r="AN6704">
        <v>1.0000000514262</v>
      </c>
    </row>
    <row r="6705" spans="1:40" x14ac:dyDescent="0.25">
      <c r="A6705" t="str">
        <f>"20190312172244926"</f>
        <v>20190312172244926</v>
      </c>
      <c r="B6705" t="str">
        <f>"1552382564916625"</f>
        <v>1552382564916625</v>
      </c>
      <c r="C6705" t="s">
        <v>40</v>
      </c>
      <c r="D6705">
        <v>3.4040550000000001</v>
      </c>
      <c r="E6705">
        <v>0.59764849999999903</v>
      </c>
      <c r="F6705" t="s">
        <v>42</v>
      </c>
      <c r="G6705">
        <v>-303.92320000000001</v>
      </c>
      <c r="H6705" s="1">
        <v>-2.7861420000000002E-6</v>
      </c>
      <c r="I6705">
        <v>-5.7769500000000003</v>
      </c>
      <c r="J6705">
        <v>-308.31330000000003</v>
      </c>
      <c r="K6705">
        <v>1.0521339999999999</v>
      </c>
      <c r="L6705">
        <v>11.28607</v>
      </c>
      <c r="M6705">
        <v>0.83087749999999905</v>
      </c>
      <c r="N6705">
        <v>0</v>
      </c>
      <c r="O6705">
        <v>-0.55626019999999998</v>
      </c>
      <c r="P6705">
        <v>0.47752430000000001</v>
      </c>
      <c r="Q6705">
        <v>0.115714</v>
      </c>
      <c r="R6705">
        <v>-0.87096569999999995</v>
      </c>
      <c r="S6705">
        <v>0.80383300000000002</v>
      </c>
      <c r="T6705">
        <v>-0.18611800000000001</v>
      </c>
      <c r="U6705">
        <v>-3.0385439999999999</v>
      </c>
      <c r="V6705">
        <v>0.46061439999999998</v>
      </c>
      <c r="W6705">
        <v>0.1193275</v>
      </c>
      <c r="X6705">
        <v>0.87954270000000001</v>
      </c>
      <c r="Y6705">
        <v>0.66082269999999999</v>
      </c>
      <c r="Z6705">
        <v>1.435237E-2</v>
      </c>
      <c r="AA6705">
        <v>0.75040490000000004</v>
      </c>
      <c r="AB6705">
        <v>23</v>
      </c>
      <c r="AC6705">
        <v>4.3901000000000101</v>
      </c>
      <c r="AD6705">
        <v>-1.0521367861419999</v>
      </c>
      <c r="AE6705">
        <v>-17.063020000000002</v>
      </c>
      <c r="AF6705">
        <v>11.6948109440027</v>
      </c>
      <c r="AG6705">
        <v>-1.0521367861419999</v>
      </c>
      <c r="AH6705">
        <v>13.093847020529401</v>
      </c>
      <c r="AI6705">
        <v>93.429628734679895</v>
      </c>
      <c r="AJ6705">
        <v>48.2302642073237</v>
      </c>
      <c r="AK6705">
        <v>17.5876213465536</v>
      </c>
      <c r="AL6705">
        <v>83.146707839136496</v>
      </c>
      <c r="AM6705">
        <v>62.359057001650399</v>
      </c>
      <c r="AN6705">
        <v>1.00000001943344</v>
      </c>
    </row>
    <row r="6706" spans="1:40" x14ac:dyDescent="0.25">
      <c r="A6706" t="str">
        <f>"20190312172244939"</f>
        <v>20190312172244939</v>
      </c>
      <c r="B6706" t="str">
        <f>"1552382564927362"</f>
        <v>1552382564927362</v>
      </c>
      <c r="C6706" t="s">
        <v>40</v>
      </c>
      <c r="D6706">
        <v>3.2460879999999999</v>
      </c>
      <c r="E6706">
        <v>0.59736929999999999</v>
      </c>
      <c r="F6706" t="s">
        <v>42</v>
      </c>
      <c r="G6706">
        <v>-303.95749999999998</v>
      </c>
      <c r="H6706" s="1">
        <v>-2.7501379999999999E-6</v>
      </c>
      <c r="I6706">
        <v>-5.8723839999999896</v>
      </c>
      <c r="J6706">
        <v>-308.20269999999999</v>
      </c>
      <c r="K6706">
        <v>1.0520969999999901</v>
      </c>
      <c r="L6706">
        <v>11.20218</v>
      </c>
      <c r="M6706">
        <v>0.82654119999999998</v>
      </c>
      <c r="N6706">
        <v>0</v>
      </c>
      <c r="O6706">
        <v>-0.56268319999999905</v>
      </c>
      <c r="P6706">
        <v>0.47059279999999998</v>
      </c>
      <c r="Q6706">
        <v>0.1159013</v>
      </c>
      <c r="R6706">
        <v>-0.87470539999999997</v>
      </c>
      <c r="S6706">
        <v>0.77310179999999995</v>
      </c>
      <c r="T6706">
        <v>-0.18673909999999999</v>
      </c>
      <c r="U6706">
        <v>-3.0453800000000002</v>
      </c>
      <c r="V6706">
        <v>0.46077580000000001</v>
      </c>
      <c r="W6706">
        <v>0.1194795</v>
      </c>
      <c r="X6706">
        <v>0.87943749999999998</v>
      </c>
      <c r="Y6706">
        <v>0.66251990000000005</v>
      </c>
      <c r="Z6706">
        <v>1.4820099999999999E-2</v>
      </c>
      <c r="AA6706">
        <v>0.7488977</v>
      </c>
      <c r="AB6706">
        <v>23</v>
      </c>
      <c r="AC6706">
        <v>4.2452000000000103</v>
      </c>
      <c r="AD6706">
        <v>-1.0520997501379901</v>
      </c>
      <c r="AE6706">
        <v>-17.074563999999999</v>
      </c>
      <c r="AF6706">
        <v>11.6836241385571</v>
      </c>
      <c r="AG6706">
        <v>-1.0520997501379901</v>
      </c>
      <c r="AH6706">
        <v>13.071089311498801</v>
      </c>
      <c r="AI6706">
        <v>93.434274628474697</v>
      </c>
      <c r="AJ6706">
        <v>48.207987503208003</v>
      </c>
      <c r="AK6706">
        <v>17.5632389576779</v>
      </c>
      <c r="AL6706">
        <v>83.137936010226198</v>
      </c>
      <c r="AM6706">
        <v>62.347989240599702</v>
      </c>
      <c r="AN6706">
        <v>1.00000000259606</v>
      </c>
    </row>
    <row r="6707" spans="1:40" x14ac:dyDescent="0.25">
      <c r="A6707" t="str">
        <f>"20190312172244950"</f>
        <v>20190312172244950</v>
      </c>
      <c r="B6707" t="str">
        <f>"1552382564946881"</f>
        <v>1552382564946881</v>
      </c>
      <c r="C6707" t="s">
        <v>40</v>
      </c>
      <c r="D6707">
        <v>3.2492589999999999</v>
      </c>
      <c r="E6707">
        <v>0.5968059</v>
      </c>
      <c r="F6707" t="s">
        <v>42</v>
      </c>
      <c r="G6707">
        <v>-303.96510000000001</v>
      </c>
      <c r="H6707" s="1">
        <v>-2.6853750000000001E-6</v>
      </c>
      <c r="I6707">
        <v>-6.0136989999999999</v>
      </c>
      <c r="J6707">
        <v>-308.11200000000002</v>
      </c>
      <c r="K6707">
        <v>1.0520670000000001</v>
      </c>
      <c r="L6707">
        <v>11.131769999999999</v>
      </c>
      <c r="M6707">
        <v>0.8228898</v>
      </c>
      <c r="N6707">
        <v>0</v>
      </c>
      <c r="O6707">
        <v>-0.56800980000000001</v>
      </c>
      <c r="P6707">
        <v>0.4643562</v>
      </c>
      <c r="Q6707">
        <v>0.1162917</v>
      </c>
      <c r="R6707">
        <v>-0.87798099999999901</v>
      </c>
      <c r="S6707">
        <v>0.75085449999999998</v>
      </c>
      <c r="T6707">
        <v>-0.18642120000000001</v>
      </c>
      <c r="U6707">
        <v>-3.0504760000000002</v>
      </c>
      <c r="V6707">
        <v>0.46132899999999999</v>
      </c>
      <c r="W6707">
        <v>0.1198303</v>
      </c>
      <c r="X6707">
        <v>0.87909969999999904</v>
      </c>
      <c r="Y6707">
        <v>0.66312680000000002</v>
      </c>
      <c r="Z6707">
        <v>1.5172069999999999E-2</v>
      </c>
      <c r="AA6707">
        <v>0.74835339999999995</v>
      </c>
      <c r="AB6707">
        <v>23</v>
      </c>
      <c r="AC6707">
        <v>4.1469000000000102</v>
      </c>
      <c r="AD6707">
        <v>-1.052069685375</v>
      </c>
      <c r="AE6707">
        <v>-17.145468999999999</v>
      </c>
      <c r="AF6707">
        <v>11.7129640539205</v>
      </c>
      <c r="AG6707">
        <v>-1.052069685375</v>
      </c>
      <c r="AH6707">
        <v>13.1060449613967</v>
      </c>
      <c r="AI6707">
        <v>93.425285945015005</v>
      </c>
      <c r="AJ6707">
        <v>48.2126178724018</v>
      </c>
      <c r="AK6707">
        <v>17.608770317130901</v>
      </c>
      <c r="AL6707">
        <v>83.1176912871192</v>
      </c>
      <c r="AM6707">
        <v>62.310662048028803</v>
      </c>
      <c r="AN6707">
        <v>1.00000001478958</v>
      </c>
    </row>
    <row r="6708" spans="1:40" x14ac:dyDescent="0.25">
      <c r="A6708" t="str">
        <f>"20190312172244963"</f>
        <v>20190312172244963</v>
      </c>
      <c r="B6708" t="str">
        <f>"1552382564956641"</f>
        <v>1552382564956641</v>
      </c>
      <c r="C6708" t="s">
        <v>40</v>
      </c>
      <c r="D6708">
        <v>3.255598</v>
      </c>
      <c r="E6708">
        <v>0.59635369999999999</v>
      </c>
      <c r="F6708" t="s">
        <v>42</v>
      </c>
      <c r="G6708">
        <v>-304.01159999999999</v>
      </c>
      <c r="H6708" s="1">
        <v>-2.7342430000000001E-6</v>
      </c>
      <c r="I6708">
        <v>-5.9364879999999998</v>
      </c>
      <c r="J6708">
        <v>-308.00299999999999</v>
      </c>
      <c r="K6708">
        <v>1.05203</v>
      </c>
      <c r="L6708">
        <v>11.046480000000001</v>
      </c>
      <c r="M6708">
        <v>0.81842950000000003</v>
      </c>
      <c r="N6708">
        <v>0</v>
      </c>
      <c r="O6708">
        <v>-0.57441759999999997</v>
      </c>
      <c r="P6708">
        <v>0.45725880000000002</v>
      </c>
      <c r="Q6708">
        <v>0.1162759</v>
      </c>
      <c r="R6708">
        <v>-0.88170020000000005</v>
      </c>
      <c r="S6708">
        <v>0.73364259999999903</v>
      </c>
      <c r="T6708">
        <v>-0.18823690000000001</v>
      </c>
      <c r="U6708">
        <v>-3.0538639999999999</v>
      </c>
      <c r="V6708">
        <v>0.46156779999999997</v>
      </c>
      <c r="W6708">
        <v>0.1197787</v>
      </c>
      <c r="X6708">
        <v>0.87898140000000002</v>
      </c>
      <c r="Y6708">
        <v>0.6614603</v>
      </c>
      <c r="Z6708">
        <v>1.587034E-2</v>
      </c>
      <c r="AA6708">
        <v>0.74981219999999904</v>
      </c>
      <c r="AB6708">
        <v>23</v>
      </c>
      <c r="AC6708">
        <v>3.9913999999999898</v>
      </c>
      <c r="AD6708">
        <v>-1.052032734243</v>
      </c>
      <c r="AE6708">
        <v>-16.982968</v>
      </c>
      <c r="AF6708">
        <v>11.5658354844656</v>
      </c>
      <c r="AG6708">
        <v>-1.052032734243</v>
      </c>
      <c r="AH6708">
        <v>12.976224252595699</v>
      </c>
      <c r="AI6708">
        <v>93.463462385322003</v>
      </c>
      <c r="AJ6708">
        <v>48.289069474588302</v>
      </c>
      <c r="AK6708">
        <v>17.414296402131601</v>
      </c>
      <c r="AL6708">
        <v>83.120669346094104</v>
      </c>
      <c r="AM6708">
        <v>62.2952863839079</v>
      </c>
      <c r="AN6708">
        <v>1.00000003625824</v>
      </c>
    </row>
    <row r="6709" spans="1:40" x14ac:dyDescent="0.25">
      <c r="A6709" t="str">
        <f>"20190312172244975"</f>
        <v>20190312172244975</v>
      </c>
      <c r="B6709" t="str">
        <f>"1552382564967378"</f>
        <v>1552382564967378</v>
      </c>
      <c r="C6709" t="s">
        <v>40</v>
      </c>
      <c r="D6709">
        <v>3.4393880000000001</v>
      </c>
      <c r="E6709">
        <v>0.59595969999999998</v>
      </c>
      <c r="F6709" t="s">
        <v>42</v>
      </c>
      <c r="G6709">
        <v>-304.01409999999998</v>
      </c>
      <c r="H6709" s="1">
        <v>-2.667888E-6</v>
      </c>
      <c r="I6709">
        <v>-6.0782780000000001</v>
      </c>
      <c r="J6709">
        <v>-307.89789999999999</v>
      </c>
      <c r="K6709">
        <v>1.051995</v>
      </c>
      <c r="L6709">
        <v>10.962619999999999</v>
      </c>
      <c r="M6709">
        <v>0.81402240000000003</v>
      </c>
      <c r="N6709">
        <v>0</v>
      </c>
      <c r="O6709">
        <v>-0.58064559999999998</v>
      </c>
      <c r="P6709">
        <v>0.45016780000000001</v>
      </c>
      <c r="Q6709">
        <v>0.1166746</v>
      </c>
      <c r="R6709">
        <v>-0.88528859999999998</v>
      </c>
      <c r="S6709">
        <v>0.71228029999999998</v>
      </c>
      <c r="T6709">
        <v>-0.18785859999999999</v>
      </c>
      <c r="U6709">
        <v>-3.057922</v>
      </c>
      <c r="V6709">
        <v>0.4618913</v>
      </c>
      <c r="W6709">
        <v>0.12013890000000001</v>
      </c>
      <c r="X6709">
        <v>0.87876219999999905</v>
      </c>
      <c r="Y6709">
        <v>0.66093230000000003</v>
      </c>
      <c r="Z6709">
        <v>1.6334609999999999E-2</v>
      </c>
      <c r="AA6709">
        <v>0.75026769999999998</v>
      </c>
      <c r="AB6709">
        <v>23</v>
      </c>
      <c r="AC6709">
        <v>3.8837999999999999</v>
      </c>
      <c r="AD6709">
        <v>-1.0519976678880001</v>
      </c>
      <c r="AE6709">
        <v>-17.040897999999999</v>
      </c>
      <c r="AF6709">
        <v>11.575891088712201</v>
      </c>
      <c r="AG6709">
        <v>-1.0519976678880001</v>
      </c>
      <c r="AH6709">
        <v>13.0105120894723</v>
      </c>
      <c r="AI6709">
        <v>93.456940433166494</v>
      </c>
      <c r="AJ6709">
        <v>48.339432395672198</v>
      </c>
      <c r="AK6709">
        <v>17.446529122472299</v>
      </c>
      <c r="AL6709">
        <v>83.099880808181894</v>
      </c>
      <c r="AM6709">
        <v>62.2728748572545</v>
      </c>
      <c r="AN6709">
        <v>0.999999966228869</v>
      </c>
    </row>
    <row r="6710" spans="1:40" x14ac:dyDescent="0.25">
      <c r="A6710" t="str">
        <f>"20190312172244988"</f>
        <v>20190312172244988</v>
      </c>
      <c r="B6710" t="str">
        <f>"1552382564977138"</f>
        <v>1552382564977138</v>
      </c>
      <c r="C6710" t="s">
        <v>40</v>
      </c>
      <c r="D6710">
        <v>3.2896230000000002</v>
      </c>
      <c r="E6710">
        <v>0.59566980000000003</v>
      </c>
      <c r="F6710" t="s">
        <v>42</v>
      </c>
      <c r="G6710">
        <v>-304.00740000000002</v>
      </c>
      <c r="H6710" s="1">
        <v>-2.5603049999999998E-6</v>
      </c>
      <c r="I6710">
        <v>-6.3021079999999996</v>
      </c>
      <c r="J6710">
        <v>-307.78800000000001</v>
      </c>
      <c r="K6710">
        <v>1.0519579999999999</v>
      </c>
      <c r="L6710">
        <v>10.87326</v>
      </c>
      <c r="M6710">
        <v>0.80929819999999997</v>
      </c>
      <c r="N6710">
        <v>0</v>
      </c>
      <c r="O6710">
        <v>-0.58721230000000002</v>
      </c>
      <c r="P6710">
        <v>0.4428858</v>
      </c>
      <c r="Q6710">
        <v>0.1166002</v>
      </c>
      <c r="R6710">
        <v>-0.88896419999999998</v>
      </c>
      <c r="S6710">
        <v>0.69009399999999999</v>
      </c>
      <c r="T6710">
        <v>-0.18660289999999999</v>
      </c>
      <c r="U6710">
        <v>-3.062408</v>
      </c>
      <c r="V6710">
        <v>0.46201219999999998</v>
      </c>
      <c r="W6710">
        <v>0.1200319</v>
      </c>
      <c r="X6710">
        <v>0.87871330000000003</v>
      </c>
      <c r="Y6710">
        <v>0.66027829999999998</v>
      </c>
      <c r="Z6710">
        <v>1.6748249999999999E-2</v>
      </c>
      <c r="AA6710">
        <v>0.75083420000000001</v>
      </c>
      <c r="AB6710">
        <v>23</v>
      </c>
      <c r="AC6710">
        <v>3.78059999999999</v>
      </c>
      <c r="AD6710">
        <v>-1.051960560305</v>
      </c>
      <c r="AE6710">
        <v>-17.175367999999999</v>
      </c>
      <c r="AF6710">
        <v>11.639607392055799</v>
      </c>
      <c r="AG6710">
        <v>-1.051960560305</v>
      </c>
      <c r="AH6710">
        <v>13.0997832811937</v>
      </c>
      <c r="AI6710">
        <v>93.435358586905394</v>
      </c>
      <c r="AJ6710">
        <v>48.3778103239096</v>
      </c>
      <c r="AK6710">
        <v>17.555381034767699</v>
      </c>
      <c r="AL6710">
        <v>83.106056355870294</v>
      </c>
      <c r="AM6710">
        <v>62.265385508253097</v>
      </c>
      <c r="AN6710">
        <v>0.99999999678166995</v>
      </c>
    </row>
    <row r="6711" spans="1:40" x14ac:dyDescent="0.25">
      <c r="A6711" t="str">
        <f>"20190312172245004"</f>
        <v>20190312172245004</v>
      </c>
      <c r="B6711" t="str">
        <f>"1552382564996657"</f>
        <v>1552382564996657</v>
      </c>
      <c r="C6711" t="s">
        <v>40</v>
      </c>
      <c r="D6711">
        <v>3.2672319999999999</v>
      </c>
      <c r="E6711">
        <v>0.59498200000000001</v>
      </c>
      <c r="F6711" t="s">
        <v>42</v>
      </c>
      <c r="G6711">
        <v>-304.04180000000002</v>
      </c>
      <c r="H6711" s="1">
        <v>-2.5492609999999999E-6</v>
      </c>
      <c r="I6711">
        <v>-6.3448250000000002</v>
      </c>
      <c r="J6711">
        <v>-307.66059999999999</v>
      </c>
      <c r="K6711">
        <v>1.051919</v>
      </c>
      <c r="L6711">
        <v>10.768129999999999</v>
      </c>
      <c r="M6711">
        <v>0.80369399999999902</v>
      </c>
      <c r="N6711">
        <v>0</v>
      </c>
      <c r="O6711">
        <v>-0.59485889999999997</v>
      </c>
      <c r="P6711">
        <v>0.43425950000000002</v>
      </c>
      <c r="Q6711">
        <v>0.1166268</v>
      </c>
      <c r="R6711">
        <v>-0.8932061</v>
      </c>
      <c r="S6711">
        <v>0.66726680000000005</v>
      </c>
      <c r="T6711">
        <v>-0.18737570000000001</v>
      </c>
      <c r="U6711">
        <v>-3.0668950000000001</v>
      </c>
      <c r="V6711">
        <v>0.46219729999999998</v>
      </c>
      <c r="W6711">
        <v>0.12001920000000001</v>
      </c>
      <c r="X6711">
        <v>0.87861769999999995</v>
      </c>
      <c r="Y6711">
        <v>0.65872719999999996</v>
      </c>
      <c r="Z6711">
        <v>1.7458709999999999E-2</v>
      </c>
      <c r="AA6711">
        <v>0.7521793</v>
      </c>
      <c r="AB6711">
        <v>23</v>
      </c>
      <c r="AC6711">
        <v>3.6187999999999598</v>
      </c>
      <c r="AD6711">
        <v>-1.0519215492609999</v>
      </c>
      <c r="AE6711">
        <v>-17.112954999999999</v>
      </c>
      <c r="AF6711">
        <v>11.560362597809499</v>
      </c>
      <c r="AG6711">
        <v>-1.0519215492609999</v>
      </c>
      <c r="AH6711">
        <v>13.042462557127401</v>
      </c>
      <c r="AI6711">
        <v>93.454004219913898</v>
      </c>
      <c r="AJ6711">
        <v>48.447391628236197</v>
      </c>
      <c r="AK6711">
        <v>17.460078805455101</v>
      </c>
      <c r="AL6711">
        <v>83.106789386054501</v>
      </c>
      <c r="AM6711">
        <v>62.253362493188199</v>
      </c>
      <c r="AN6711">
        <v>1.0000000076246101</v>
      </c>
    </row>
    <row r="6712" spans="1:40" x14ac:dyDescent="0.25">
      <c r="A6712" t="str">
        <f>"20190312172245019"</f>
        <v>20190312172245019</v>
      </c>
      <c r="B6712" t="str">
        <f>"1552382565017153"</f>
        <v>1552382565017153</v>
      </c>
      <c r="C6712" t="s">
        <v>40</v>
      </c>
      <c r="D6712">
        <v>3.2800989999999999</v>
      </c>
      <c r="E6712">
        <v>0.59419759999999999</v>
      </c>
      <c r="F6712" t="s">
        <v>42</v>
      </c>
      <c r="G6712">
        <v>-304.06659999999999</v>
      </c>
      <c r="H6712" s="1">
        <v>-2.5166190000000001E-6</v>
      </c>
      <c r="I6712">
        <v>-6.4277899999999999</v>
      </c>
      <c r="J6712">
        <v>-307.53609999999998</v>
      </c>
      <c r="K6712">
        <v>1.051879</v>
      </c>
      <c r="L6712">
        <v>10.663539999999999</v>
      </c>
      <c r="M6712">
        <v>0.79807659999999903</v>
      </c>
      <c r="N6712">
        <v>0</v>
      </c>
      <c r="O6712">
        <v>-0.60237430000000003</v>
      </c>
      <c r="P6712">
        <v>0.42570259999999999</v>
      </c>
      <c r="Q6712">
        <v>0.1168344</v>
      </c>
      <c r="R6712">
        <v>-0.89728859999999999</v>
      </c>
      <c r="S6712">
        <v>0.64187620000000001</v>
      </c>
      <c r="T6712">
        <v>-0.18786990000000001</v>
      </c>
      <c r="U6712">
        <v>-3.0711360000000001</v>
      </c>
      <c r="V6712">
        <v>0.46234540000000002</v>
      </c>
      <c r="W6712">
        <v>0.12018909999999999</v>
      </c>
      <c r="X6712">
        <v>0.87851659999999998</v>
      </c>
      <c r="Y6712">
        <v>0.65783800000000003</v>
      </c>
      <c r="Z6712">
        <v>1.8118800000000001E-2</v>
      </c>
      <c r="AA6712">
        <v>0.75294150000000004</v>
      </c>
      <c r="AB6712">
        <v>23</v>
      </c>
      <c r="AC6712">
        <v>3.46949999999998</v>
      </c>
      <c r="AD6712">
        <v>-1.0518815166190001</v>
      </c>
      <c r="AE6712">
        <v>-17.091329999999999</v>
      </c>
      <c r="AF6712">
        <v>11.5096472007698</v>
      </c>
      <c r="AG6712">
        <v>-1.0518815166190001</v>
      </c>
      <c r="AH6712">
        <v>13.018376254948301</v>
      </c>
      <c r="AI6712">
        <v>93.464114494432295</v>
      </c>
      <c r="AJ6712">
        <v>48.519852842804603</v>
      </c>
      <c r="AK6712">
        <v>17.408519573088199</v>
      </c>
      <c r="AL6712">
        <v>83.096984165597505</v>
      </c>
      <c r="AM6712">
        <v>62.243081347633101</v>
      </c>
      <c r="AN6712">
        <v>1.0000000525677599</v>
      </c>
    </row>
    <row r="6713" spans="1:40" x14ac:dyDescent="0.25">
      <c r="A6713" t="str">
        <f>"20190312172245031"</f>
        <v>20190312172245031</v>
      </c>
      <c r="B6713" t="str">
        <f>"1552382565026914"</f>
        <v>1552382565026914</v>
      </c>
      <c r="C6713" t="s">
        <v>40</v>
      </c>
      <c r="D6713">
        <v>3.292068</v>
      </c>
      <c r="E6713">
        <v>0.5939238</v>
      </c>
      <c r="F6713" t="s">
        <v>42</v>
      </c>
      <c r="G6713">
        <v>-304.07060000000001</v>
      </c>
      <c r="H6713" s="1">
        <v>-2.448824E-6</v>
      </c>
      <c r="I6713">
        <v>-6.5735159999999997</v>
      </c>
      <c r="J6713">
        <v>-307.44619999999998</v>
      </c>
      <c r="K6713">
        <v>1.0518510000000001</v>
      </c>
      <c r="L6713">
        <v>10.58597</v>
      </c>
      <c r="M6713">
        <v>0.7938925</v>
      </c>
      <c r="N6713">
        <v>0</v>
      </c>
      <c r="O6713">
        <v>-0.60787769999999997</v>
      </c>
      <c r="P6713">
        <v>0.4195815</v>
      </c>
      <c r="Q6713">
        <v>0.11750240000000001</v>
      </c>
      <c r="R6713">
        <v>-0.90008060000000001</v>
      </c>
      <c r="S6713">
        <v>0.6181335</v>
      </c>
      <c r="T6713">
        <v>-0.18762280000000001</v>
      </c>
      <c r="U6713">
        <v>-3.074554</v>
      </c>
      <c r="V6713">
        <v>0.46220810000000001</v>
      </c>
      <c r="W6713">
        <v>0.12083670000000001</v>
      </c>
      <c r="X6713">
        <v>0.8784999</v>
      </c>
      <c r="Y6713">
        <v>0.65838299999999905</v>
      </c>
      <c r="Z6713">
        <v>1.8506180000000001E-2</v>
      </c>
      <c r="AA6713">
        <v>0.75245550000000005</v>
      </c>
      <c r="AB6713">
        <v>23</v>
      </c>
      <c r="AC6713">
        <v>3.37559999999996</v>
      </c>
      <c r="AD6713">
        <v>-1.0518534488239999</v>
      </c>
      <c r="AE6713">
        <v>-17.159485999999902</v>
      </c>
      <c r="AF6713">
        <v>11.530393233866899</v>
      </c>
      <c r="AG6713">
        <v>-1.0518534488239999</v>
      </c>
      <c r="AH6713">
        <v>13.0649081616823</v>
      </c>
      <c r="AI6713">
        <v>93.454382600682706</v>
      </c>
      <c r="AJ6713">
        <v>48.570088978024103</v>
      </c>
      <c r="AK6713">
        <v>17.4570383822285</v>
      </c>
      <c r="AL6713">
        <v>83.059606326180003</v>
      </c>
      <c r="AM6713">
        <v>62.249645324738196</v>
      </c>
      <c r="AN6713">
        <v>0.99999995503625305</v>
      </c>
    </row>
    <row r="6714" spans="1:40" x14ac:dyDescent="0.25">
      <c r="A6714" t="str">
        <f>"20190312172245044"</f>
        <v>20190312172245044</v>
      </c>
      <c r="B6714" t="str">
        <f>"1552382565036675"</f>
        <v>1552382565036675</v>
      </c>
      <c r="C6714" t="s">
        <v>40</v>
      </c>
      <c r="D6714">
        <v>3.3125460000000002</v>
      </c>
      <c r="E6714">
        <v>0.59359209999999996</v>
      </c>
      <c r="F6714" t="s">
        <v>42</v>
      </c>
      <c r="G6714">
        <v>-304.0609</v>
      </c>
      <c r="H6714" s="1">
        <v>-2.3414810000000001E-6</v>
      </c>
      <c r="I6714">
        <v>-6.7951079999999999</v>
      </c>
      <c r="J6714">
        <v>-307.3365</v>
      </c>
      <c r="K6714">
        <v>1.0518160000000001</v>
      </c>
      <c r="L6714">
        <v>10.490449999999999</v>
      </c>
      <c r="M6714">
        <v>0.78870249999999997</v>
      </c>
      <c r="N6714">
        <v>0</v>
      </c>
      <c r="O6714">
        <v>-0.61459629999999998</v>
      </c>
      <c r="P6714">
        <v>0.41170849999999998</v>
      </c>
      <c r="Q6714">
        <v>0.1180002</v>
      </c>
      <c r="R6714">
        <v>-0.90364429999999996</v>
      </c>
      <c r="S6714">
        <v>0.59948729999999995</v>
      </c>
      <c r="T6714">
        <v>-0.1862664</v>
      </c>
      <c r="U6714">
        <v>-3.0779109999999998</v>
      </c>
      <c r="V6714">
        <v>0.46238839999999998</v>
      </c>
      <c r="W6714">
        <v>0.12130000000000001</v>
      </c>
      <c r="X6714">
        <v>0.87834120000000004</v>
      </c>
      <c r="Y6714">
        <v>0.65654679999999999</v>
      </c>
      <c r="Z6714">
        <v>1.895376E-2</v>
      </c>
      <c r="AA6714">
        <v>0.75404709999999997</v>
      </c>
      <c r="AB6714">
        <v>23</v>
      </c>
      <c r="AC6714">
        <v>3.2755999999999901</v>
      </c>
      <c r="AD6714">
        <v>-1.0518183414810001</v>
      </c>
      <c r="AE6714">
        <v>-17.285557999999899</v>
      </c>
      <c r="AF6714">
        <v>11.5798780349879</v>
      </c>
      <c r="AG6714">
        <v>-1.0518183414810001</v>
      </c>
      <c r="AH6714">
        <v>13.1615218921748</v>
      </c>
      <c r="AI6714">
        <v>93.433587916717102</v>
      </c>
      <c r="AJ6714">
        <v>48.657770911992998</v>
      </c>
      <c r="AK6714">
        <v>17.562048731479798</v>
      </c>
      <c r="AL6714">
        <v>83.0328647477548</v>
      </c>
      <c r="AM6714">
        <v>62.236169738879802</v>
      </c>
      <c r="AN6714">
        <v>0.99999999303599996</v>
      </c>
    </row>
    <row r="6715" spans="1:40" x14ac:dyDescent="0.25">
      <c r="A6715" t="str">
        <f>"20190312172245056"</f>
        <v>20190312172245056</v>
      </c>
      <c r="B6715" t="str">
        <f>"1552382565047410"</f>
        <v>1552382565047410</v>
      </c>
      <c r="C6715" t="s">
        <v>40</v>
      </c>
      <c r="D6715">
        <v>3.2816390000000002</v>
      </c>
      <c r="E6715">
        <v>0.59319730000000004</v>
      </c>
      <c r="F6715" t="s">
        <v>42</v>
      </c>
      <c r="G6715">
        <v>-304.08069999999998</v>
      </c>
      <c r="H6715" s="1">
        <v>-2.265388E-6</v>
      </c>
      <c r="I6715">
        <v>-6.9672340000000004</v>
      </c>
      <c r="J6715">
        <v>-307.23950000000002</v>
      </c>
      <c r="K6715">
        <v>1.0517829999999999</v>
      </c>
      <c r="L6715">
        <v>10.40457</v>
      </c>
      <c r="M6715">
        <v>0.78400389999999998</v>
      </c>
      <c r="N6715">
        <v>0</v>
      </c>
      <c r="O6715">
        <v>-0.62057859999999998</v>
      </c>
      <c r="P6715">
        <v>0.4049837</v>
      </c>
      <c r="Q6715">
        <v>0.11820219999999999</v>
      </c>
      <c r="R6715">
        <v>-0.9066514</v>
      </c>
      <c r="S6715">
        <v>0.57482909999999998</v>
      </c>
      <c r="T6715">
        <v>-0.18570410000000001</v>
      </c>
      <c r="U6715">
        <v>-3.0822449999999999</v>
      </c>
      <c r="V6715">
        <v>0.46222479999999999</v>
      </c>
      <c r="W6715">
        <v>0.1214804</v>
      </c>
      <c r="X6715">
        <v>0.87840239999999903</v>
      </c>
      <c r="Y6715">
        <v>0.65683469999999999</v>
      </c>
      <c r="Z6715">
        <v>1.9346539999999999E-2</v>
      </c>
      <c r="AA6715">
        <v>0.75378639999999997</v>
      </c>
      <c r="AB6715">
        <v>23</v>
      </c>
      <c r="AC6715">
        <v>3.1588000000000398</v>
      </c>
      <c r="AD6715">
        <v>-1.051785265388</v>
      </c>
      <c r="AE6715">
        <v>-17.371803999999901</v>
      </c>
      <c r="AF6715">
        <v>11.619331170892201</v>
      </c>
      <c r="AG6715">
        <v>-1.051785265388</v>
      </c>
      <c r="AH6715">
        <v>13.2116596699853</v>
      </c>
      <c r="AI6715">
        <v>93.421078135357803</v>
      </c>
      <c r="AJ6715">
        <v>48.669162978372903</v>
      </c>
      <c r="AK6715">
        <v>17.6256364520227</v>
      </c>
      <c r="AL6715">
        <v>83.022451735057402</v>
      </c>
      <c r="AM6715">
        <v>62.246171699216397</v>
      </c>
      <c r="AN6715">
        <v>1.0000000148224799</v>
      </c>
    </row>
    <row r="6716" spans="1:40" x14ac:dyDescent="0.25">
      <c r="A6716" t="str">
        <f>"20190312172245071"</f>
        <v>20190312172245071</v>
      </c>
      <c r="B6716" t="str">
        <f>"1552382565066929"</f>
        <v>1552382565066929</v>
      </c>
      <c r="C6716" t="s">
        <v>40</v>
      </c>
      <c r="D6716">
        <v>3.291042</v>
      </c>
      <c r="E6716">
        <v>0.59248880000000004</v>
      </c>
      <c r="F6716" t="s">
        <v>42</v>
      </c>
      <c r="G6716">
        <v>-304.0924</v>
      </c>
      <c r="H6716" s="1">
        <v>-2.2133519999999998E-6</v>
      </c>
      <c r="I6716">
        <v>-7.0838899999999896</v>
      </c>
      <c r="J6716">
        <v>-307.12830000000002</v>
      </c>
      <c r="K6716">
        <v>1.051744</v>
      </c>
      <c r="L6716">
        <v>10.30402</v>
      </c>
      <c r="M6716">
        <v>0.77847219999999995</v>
      </c>
      <c r="N6716">
        <v>0</v>
      </c>
      <c r="O6716">
        <v>-0.62750329999999999</v>
      </c>
      <c r="P6716">
        <v>0.3977329</v>
      </c>
      <c r="Q6716">
        <v>0.11802550000000001</v>
      </c>
      <c r="R6716">
        <v>-0.90987839999999998</v>
      </c>
      <c r="S6716">
        <v>0.5551758</v>
      </c>
      <c r="T6716">
        <v>-0.18554200000000001</v>
      </c>
      <c r="U6716">
        <v>-3.085083</v>
      </c>
      <c r="V6716">
        <v>0.46147519999999997</v>
      </c>
      <c r="W6716">
        <v>0.1212963</v>
      </c>
      <c r="X6716">
        <v>0.87882179999999999</v>
      </c>
      <c r="Y6716">
        <v>0.65492839999999997</v>
      </c>
      <c r="Z6716">
        <v>1.993222E-2</v>
      </c>
      <c r="AA6716">
        <v>0.75542799999999999</v>
      </c>
      <c r="AB6716">
        <v>23</v>
      </c>
      <c r="AC6716">
        <v>3.0359000000000198</v>
      </c>
      <c r="AD6716">
        <v>-1.0517462133519999</v>
      </c>
      <c r="AE6716">
        <v>-17.387909999999899</v>
      </c>
      <c r="AF6716">
        <v>11.5910968138722</v>
      </c>
      <c r="AG6716">
        <v>-1.0517462133519999</v>
      </c>
      <c r="AH6716">
        <v>13.228830793785001</v>
      </c>
      <c r="AI6716">
        <v>93.422061711803295</v>
      </c>
      <c r="AJ6716">
        <v>48.775168719138101</v>
      </c>
      <c r="AK6716">
        <v>17.6199222363906</v>
      </c>
      <c r="AL6716">
        <v>83.033078048491504</v>
      </c>
      <c r="AM6716">
        <v>62.295735662536202</v>
      </c>
      <c r="AN6716">
        <v>0.99999995438198397</v>
      </c>
    </row>
    <row r="6717" spans="1:40" x14ac:dyDescent="0.25">
      <c r="A6717" t="str">
        <f>"20190312172245094"</f>
        <v>20190312172245094</v>
      </c>
      <c r="B6717" t="str">
        <f>"1552382565087426"</f>
        <v>1552382565087426</v>
      </c>
      <c r="C6717" t="s">
        <v>40</v>
      </c>
      <c r="D6717">
        <v>3.301304</v>
      </c>
      <c r="E6717">
        <v>0.59184740000000002</v>
      </c>
      <c r="F6717" t="s">
        <v>42</v>
      </c>
      <c r="G6717">
        <v>-304.12479999999999</v>
      </c>
      <c r="H6717" s="1">
        <v>-2.2546929999999998E-6</v>
      </c>
      <c r="I6717">
        <v>-7.0146920000000001</v>
      </c>
      <c r="J6717">
        <v>-306.95589999999999</v>
      </c>
      <c r="K6717">
        <v>1.0516810000000001</v>
      </c>
      <c r="L6717">
        <v>10.14484</v>
      </c>
      <c r="M6717">
        <v>0.76963149999999902</v>
      </c>
      <c r="N6717">
        <v>0</v>
      </c>
      <c r="O6717">
        <v>-0.63831510000000002</v>
      </c>
      <c r="P6717">
        <v>0.3866327</v>
      </c>
      <c r="Q6717">
        <v>0.1179047</v>
      </c>
      <c r="R6717">
        <v>-0.91466610000000004</v>
      </c>
      <c r="S6717">
        <v>0.53543090000000004</v>
      </c>
      <c r="T6717">
        <v>-0.18749450000000001</v>
      </c>
      <c r="U6717">
        <v>-3.087402</v>
      </c>
      <c r="V6717">
        <v>0.45991720000000003</v>
      </c>
      <c r="W6717">
        <v>0.12117509999999999</v>
      </c>
      <c r="X6717">
        <v>0.87965490000000002</v>
      </c>
      <c r="Y6717">
        <v>0.64915019999999901</v>
      </c>
      <c r="Z6717">
        <v>2.1191100000000001E-2</v>
      </c>
      <c r="AA6717">
        <v>0.76036499999999996</v>
      </c>
      <c r="AB6717">
        <v>23</v>
      </c>
      <c r="AC6717">
        <v>2.83109999999999</v>
      </c>
      <c r="AD6717">
        <v>-1.0516832546929999</v>
      </c>
      <c r="AE6717">
        <v>-17.159531999999999</v>
      </c>
      <c r="AF6717">
        <v>11.3591059706187</v>
      </c>
      <c r="AG6717">
        <v>-1.0516832546929999</v>
      </c>
      <c r="AH6717">
        <v>13.0856935811941</v>
      </c>
      <c r="AI6717">
        <v>93.473146315037894</v>
      </c>
      <c r="AJ6717">
        <v>49.040211611307903</v>
      </c>
      <c r="AK6717">
        <v>17.360031757483998</v>
      </c>
      <c r="AL6717">
        <v>83.040074145424995</v>
      </c>
      <c r="AM6717">
        <v>62.397711857154199</v>
      </c>
      <c r="AN6717">
        <v>0.99999998940492996</v>
      </c>
    </row>
    <row r="6718" spans="1:40" x14ac:dyDescent="0.25">
      <c r="A6718" t="str">
        <f>"20190312172245115"</f>
        <v>20190312172245115</v>
      </c>
      <c r="B6718" t="str">
        <f>"1552382565106945"</f>
        <v>1552382565106945</v>
      </c>
      <c r="C6718" t="s">
        <v>40</v>
      </c>
      <c r="D6718">
        <v>3.3031320000000002</v>
      </c>
      <c r="E6718">
        <v>0.59115419999999996</v>
      </c>
      <c r="F6718" t="s">
        <v>42</v>
      </c>
      <c r="G6718">
        <v>-304.16539999999998</v>
      </c>
      <c r="H6718" s="1">
        <v>-2.2521890000000001E-6</v>
      </c>
      <c r="I6718">
        <v>-7.042821</v>
      </c>
      <c r="J6718">
        <v>-306.78840000000002</v>
      </c>
      <c r="K6718">
        <v>1.0516190000000001</v>
      </c>
      <c r="L6718">
        <v>9.9855959999999993</v>
      </c>
      <c r="M6718">
        <v>0.76069399999999998</v>
      </c>
      <c r="N6718">
        <v>0</v>
      </c>
      <c r="O6718">
        <v>-0.64893959999999995</v>
      </c>
      <c r="P6718">
        <v>0.37643100000000002</v>
      </c>
      <c r="Q6718">
        <v>0.1178956</v>
      </c>
      <c r="R6718">
        <v>-0.91891299999999998</v>
      </c>
      <c r="S6718">
        <v>0.50201419999999997</v>
      </c>
      <c r="T6718">
        <v>-0.18919859999999999</v>
      </c>
      <c r="U6718">
        <v>-3.0920719999999999</v>
      </c>
      <c r="V6718">
        <v>0.45750370000000001</v>
      </c>
      <c r="W6718">
        <v>0.1211926</v>
      </c>
      <c r="X6718">
        <v>0.88091019999999898</v>
      </c>
      <c r="Y6718">
        <v>0.64677929999999995</v>
      </c>
      <c r="Z6718">
        <v>2.230992E-2</v>
      </c>
      <c r="AA6718">
        <v>0.76235090000000005</v>
      </c>
      <c r="AB6718">
        <v>23</v>
      </c>
      <c r="AC6718">
        <v>2.6230000000000402</v>
      </c>
      <c r="AD6718">
        <v>-1.051621252189</v>
      </c>
      <c r="AE6718">
        <v>-17.028417000000001</v>
      </c>
      <c r="AF6718">
        <v>11.2107296585386</v>
      </c>
      <c r="AG6718">
        <v>-1.051621252189</v>
      </c>
      <c r="AH6718">
        <v>12.998736078166999</v>
      </c>
      <c r="AI6718">
        <v>93.505807501442504</v>
      </c>
      <c r="AJ6718">
        <v>49.2239495071181</v>
      </c>
      <c r="AK6718">
        <v>17.197485466332999</v>
      </c>
      <c r="AL6718">
        <v>83.0390643166903</v>
      </c>
      <c r="AM6718">
        <v>62.554738510222002</v>
      </c>
      <c r="AN6718">
        <v>1.00000003113624</v>
      </c>
    </row>
    <row r="6719" spans="1:40" x14ac:dyDescent="0.25">
      <c r="A6719" t="str">
        <f>"20190312172245128"</f>
        <v>20190312172245128</v>
      </c>
      <c r="B6719" t="str">
        <f>"1552382565116706"</f>
        <v>1552382565116706</v>
      </c>
      <c r="C6719" t="s">
        <v>40</v>
      </c>
      <c r="D6719">
        <v>3.3025899999999999</v>
      </c>
      <c r="E6719">
        <v>0.59082789999999996</v>
      </c>
      <c r="F6719" t="s">
        <v>42</v>
      </c>
      <c r="G6719">
        <v>-304.1814</v>
      </c>
      <c r="H6719" s="1">
        <v>-2.2305259999999999E-6</v>
      </c>
      <c r="I6719">
        <v>-7.0976649999999903</v>
      </c>
      <c r="J6719">
        <v>-306.6918</v>
      </c>
      <c r="K6719">
        <v>1.051585</v>
      </c>
      <c r="L6719">
        <v>9.8914489999999997</v>
      </c>
      <c r="M6719">
        <v>0.75537049999999994</v>
      </c>
      <c r="N6719">
        <v>0</v>
      </c>
      <c r="O6719">
        <v>-0.65512819999999905</v>
      </c>
      <c r="P6719">
        <v>0.3701141</v>
      </c>
      <c r="Q6719">
        <v>0.1175684</v>
      </c>
      <c r="R6719">
        <v>-0.92151709999999998</v>
      </c>
      <c r="S6719">
        <v>0.4724121</v>
      </c>
      <c r="T6719">
        <v>-0.19056519999999999</v>
      </c>
      <c r="U6719">
        <v>-3.0956730000000001</v>
      </c>
      <c r="V6719">
        <v>0.4563914</v>
      </c>
      <c r="W6719">
        <v>0.1208741</v>
      </c>
      <c r="X6719">
        <v>0.881530699999999</v>
      </c>
      <c r="Y6719">
        <v>0.64780769999999999</v>
      </c>
      <c r="Z6719">
        <v>2.2937630000000001E-2</v>
      </c>
      <c r="AA6719">
        <v>0.76145850000000004</v>
      </c>
      <c r="AB6719">
        <v>23</v>
      </c>
      <c r="AC6719">
        <v>2.5104000000000002</v>
      </c>
      <c r="AD6719">
        <v>-1.0515872305259999</v>
      </c>
      <c r="AE6719">
        <v>-16.989114000000001</v>
      </c>
      <c r="AF6719">
        <v>11.147887798020299</v>
      </c>
      <c r="AG6719">
        <v>-1.0515872305259999</v>
      </c>
      <c r="AH6719">
        <v>12.979114217129201</v>
      </c>
      <c r="AI6719">
        <v>93.517112516875599</v>
      </c>
      <c r="AJ6719">
        <v>49.340396862687797</v>
      </c>
      <c r="AK6719">
        <v>17.141722314923399</v>
      </c>
      <c r="AL6719">
        <v>83.057448070151196</v>
      </c>
      <c r="AM6719">
        <v>62.628220650668702</v>
      </c>
      <c r="AN6719">
        <v>1.00000001654362</v>
      </c>
    </row>
    <row r="6720" spans="1:40" x14ac:dyDescent="0.25">
      <c r="A6720" t="str">
        <f>"20190312172245143"</f>
        <v>20190312172245143</v>
      </c>
      <c r="B6720" t="str">
        <f>"1552382565137202"</f>
        <v>1552382565137202</v>
      </c>
      <c r="C6720" t="s">
        <v>40</v>
      </c>
      <c r="D6720">
        <v>3.230626</v>
      </c>
      <c r="E6720">
        <v>0.59050789999999997</v>
      </c>
      <c r="F6720" t="s">
        <v>42</v>
      </c>
      <c r="G6720">
        <v>-304.21510000000001</v>
      </c>
      <c r="H6720" s="1">
        <v>-2.2729080000000001E-6</v>
      </c>
      <c r="I6720">
        <v>-7.0270029999999997</v>
      </c>
      <c r="J6720">
        <v>-306.58629999999999</v>
      </c>
      <c r="K6720">
        <v>1.0515460000000001</v>
      </c>
      <c r="L6720">
        <v>9.7872310000000002</v>
      </c>
      <c r="M6720">
        <v>0.74943309999999996</v>
      </c>
      <c r="N6720">
        <v>0</v>
      </c>
      <c r="O6720">
        <v>-0.66191180000000005</v>
      </c>
      <c r="P6720">
        <v>0.36341509999999999</v>
      </c>
      <c r="Q6720">
        <v>0.1172135</v>
      </c>
      <c r="R6720">
        <v>-0.92422459999999995</v>
      </c>
      <c r="S6720">
        <v>0.45349119999999998</v>
      </c>
      <c r="T6720">
        <v>-0.1925557</v>
      </c>
      <c r="U6720">
        <v>-3.097931</v>
      </c>
      <c r="V6720">
        <v>0.45487630000000001</v>
      </c>
      <c r="W6720">
        <v>0.12053750000000001</v>
      </c>
      <c r="X6720">
        <v>0.88235949999999996</v>
      </c>
      <c r="Y6720">
        <v>0.64557310000000001</v>
      </c>
      <c r="Z6720">
        <v>2.3807700000000001E-2</v>
      </c>
      <c r="AA6720">
        <v>0.76332730000000004</v>
      </c>
      <c r="AB6720">
        <v>23</v>
      </c>
      <c r="AC6720">
        <v>2.37119999999998</v>
      </c>
      <c r="AD6720">
        <v>-1.0515482729079999</v>
      </c>
      <c r="AE6720">
        <v>-16.814233999999999</v>
      </c>
      <c r="AF6720">
        <v>10.990699335896601</v>
      </c>
      <c r="AG6720">
        <v>-1.0515482729079999</v>
      </c>
      <c r="AH6720">
        <v>12.8587220042373</v>
      </c>
      <c r="AI6720">
        <v>93.557151815233297</v>
      </c>
      <c r="AJ6720">
        <v>49.478588498808001</v>
      </c>
      <c r="AK6720">
        <v>16.948390992793101</v>
      </c>
      <c r="AL6720">
        <v>83.076875849089504</v>
      </c>
      <c r="AM6720">
        <v>62.727869771203601</v>
      </c>
      <c r="AN6720">
        <v>1.00000001222409</v>
      </c>
    </row>
    <row r="6721" spans="1:40" x14ac:dyDescent="0.25">
      <c r="A6721" t="str">
        <f>"20190312172245154"</f>
        <v>20190312172245154</v>
      </c>
      <c r="B6721" t="str">
        <f>"1552382565146962"</f>
        <v>1552382565146962</v>
      </c>
      <c r="C6721" t="s">
        <v>40</v>
      </c>
      <c r="D6721">
        <v>3.3423919999999998</v>
      </c>
      <c r="E6721">
        <v>0.57763050000000005</v>
      </c>
      <c r="F6721" t="s">
        <v>42</v>
      </c>
      <c r="G6721">
        <v>-304.24430000000001</v>
      </c>
      <c r="H6721" s="1">
        <v>-2.3127980000000001E-6</v>
      </c>
      <c r="I6721">
        <v>-6.9590319999999997</v>
      </c>
      <c r="J6721">
        <v>-306.49059999999997</v>
      </c>
      <c r="K6721">
        <v>1.051512</v>
      </c>
      <c r="L6721">
        <v>9.6904599999999999</v>
      </c>
      <c r="M6721">
        <v>0.74389300000000003</v>
      </c>
      <c r="N6721">
        <v>0</v>
      </c>
      <c r="O6721">
        <v>-0.66813149999999999</v>
      </c>
      <c r="P6721">
        <v>0.35717169999999998</v>
      </c>
      <c r="Q6721">
        <v>0.1166229</v>
      </c>
      <c r="R6721">
        <v>-0.92672969999999999</v>
      </c>
      <c r="S6721">
        <v>0.43356319999999998</v>
      </c>
      <c r="T6721">
        <v>-0.19467029999999999</v>
      </c>
      <c r="U6721">
        <v>-3.1001889999999999</v>
      </c>
      <c r="V6721">
        <v>0.4535283</v>
      </c>
      <c r="W6721">
        <v>0.11996419999999999</v>
      </c>
      <c r="X6721">
        <v>0.88313120000000001</v>
      </c>
      <c r="Y6721">
        <v>0.64410140000000005</v>
      </c>
      <c r="Z6721">
        <v>2.4635310000000001E-2</v>
      </c>
      <c r="AA6721">
        <v>0.76454339999999998</v>
      </c>
      <c r="AB6721">
        <v>23</v>
      </c>
      <c r="AC6721">
        <v>2.2462999999999602</v>
      </c>
      <c r="AD6721">
        <v>-1.051514312798</v>
      </c>
      <c r="AE6721">
        <v>-16.649491999999999</v>
      </c>
      <c r="AF6721">
        <v>10.8433559427656</v>
      </c>
      <c r="AG6721">
        <v>-1.051514312798</v>
      </c>
      <c r="AH6721">
        <v>12.746554094968999</v>
      </c>
      <c r="AI6721">
        <v>93.595399269268697</v>
      </c>
      <c r="AJ6721">
        <v>49.612546161405099</v>
      </c>
      <c r="AK6721">
        <v>16.767787324137299</v>
      </c>
      <c r="AL6721">
        <v>83.109963689435602</v>
      </c>
      <c r="AM6721">
        <v>62.817426024973102</v>
      </c>
      <c r="AN6721">
        <v>1.0000000222979799</v>
      </c>
    </row>
    <row r="6722" spans="1:40" x14ac:dyDescent="0.25">
      <c r="A6722" t="str">
        <f>"20190312172245167"</f>
        <v>20190312172245167</v>
      </c>
      <c r="B6722" t="str">
        <f>"1552382565156721"</f>
        <v>1552382565156721</v>
      </c>
      <c r="C6722" t="s">
        <v>40</v>
      </c>
      <c r="D6722">
        <v>3.2928120000000001</v>
      </c>
      <c r="E6722">
        <v>0.57792239999999995</v>
      </c>
      <c r="F6722" t="s">
        <v>42</v>
      </c>
      <c r="G6722">
        <v>-304.48649999999998</v>
      </c>
      <c r="H6722" s="1">
        <v>-4.3125160000000002E-6</v>
      </c>
      <c r="I6722">
        <v>-2.392147</v>
      </c>
      <c r="J6722">
        <v>-306.40269999999998</v>
      </c>
      <c r="K6722">
        <v>1.05148</v>
      </c>
      <c r="L6722">
        <v>9.6002810000000007</v>
      </c>
      <c r="M6722">
        <v>0.73869980000000002</v>
      </c>
      <c r="N6722">
        <v>0</v>
      </c>
      <c r="O6722">
        <v>-0.67386880000000005</v>
      </c>
      <c r="P6722">
        <v>0.35174250000000001</v>
      </c>
      <c r="Q6722">
        <v>0.1162593</v>
      </c>
      <c r="R6722">
        <v>-0.92884960000000005</v>
      </c>
      <c r="S6722">
        <v>0.50991819999999999</v>
      </c>
      <c r="T6722">
        <v>-0.26755139999999999</v>
      </c>
      <c r="U6722">
        <v>-3.074341</v>
      </c>
      <c r="V6722">
        <v>0.45189220000000002</v>
      </c>
      <c r="W6722">
        <v>0.11963</v>
      </c>
      <c r="X6722">
        <v>0.88401469999999904</v>
      </c>
      <c r="Y6722">
        <v>0.61832600000000004</v>
      </c>
      <c r="Z6722">
        <v>3.5804290000000003E-2</v>
      </c>
      <c r="AA6722">
        <v>0.78510579999999996</v>
      </c>
      <c r="AB6722">
        <v>23</v>
      </c>
      <c r="AC6722">
        <v>1.9161999999999999</v>
      </c>
      <c r="AD6722">
        <v>-1.0514843125160001</v>
      </c>
      <c r="AE6722">
        <v>-11.992428</v>
      </c>
      <c r="AF6722">
        <v>7.5120702163883797</v>
      </c>
      <c r="AG6722">
        <v>-1.0514843125160001</v>
      </c>
      <c r="AH6722">
        <v>9.4272123145776394</v>
      </c>
      <c r="AI6722">
        <v>94.985278683563294</v>
      </c>
      <c r="AJ6722">
        <v>51.450425350350102</v>
      </c>
      <c r="AK6722">
        <v>12.099964885054</v>
      </c>
      <c r="AL6722">
        <v>83.129250293473007</v>
      </c>
      <c r="AM6722">
        <v>62.924709889923101</v>
      </c>
      <c r="AN6722">
        <v>0.999999943568463</v>
      </c>
    </row>
    <row r="6723" spans="1:40" x14ac:dyDescent="0.25">
      <c r="A6723" t="str">
        <f>"20190312172245181"</f>
        <v>20190312172245181</v>
      </c>
      <c r="B6723" t="str">
        <f>"1552382565177218"</f>
        <v>1552382565177218</v>
      </c>
      <c r="C6723" t="s">
        <v>40</v>
      </c>
      <c r="D6723">
        <v>3.336992</v>
      </c>
      <c r="E6723">
        <v>0.57793430000000001</v>
      </c>
      <c r="F6723" t="s">
        <v>42</v>
      </c>
      <c r="G6723">
        <v>-304.42840000000001</v>
      </c>
      <c r="H6723" s="1">
        <v>-4.1402060000000004E-6</v>
      </c>
      <c r="I6723">
        <v>-2.8139829999999999</v>
      </c>
      <c r="J6723">
        <v>-306.30689999999998</v>
      </c>
      <c r="K6723">
        <v>1.05145</v>
      </c>
      <c r="L6723">
        <v>9.5006710000000005</v>
      </c>
      <c r="M6723">
        <v>0.73292899999999905</v>
      </c>
      <c r="N6723">
        <v>0</v>
      </c>
      <c r="O6723">
        <v>-0.68014019999999897</v>
      </c>
      <c r="P6723">
        <v>0.34571590000000002</v>
      </c>
      <c r="Q6723">
        <v>0.1159954</v>
      </c>
      <c r="R6723">
        <v>-0.93114229999999998</v>
      </c>
      <c r="S6723">
        <v>0.48937989999999998</v>
      </c>
      <c r="T6723">
        <v>-0.26062829999999998</v>
      </c>
      <c r="U6723">
        <v>-3.0770870000000001</v>
      </c>
      <c r="V6723">
        <v>0.45010939999999999</v>
      </c>
      <c r="W6723">
        <v>0.1193985</v>
      </c>
      <c r="X6723">
        <v>0.88495509999999999</v>
      </c>
      <c r="Y6723">
        <v>0.61686850000000004</v>
      </c>
      <c r="Z6723">
        <v>3.5641770000000003E-2</v>
      </c>
      <c r="AA6723">
        <v>0.78625880000000004</v>
      </c>
      <c r="AB6723">
        <v>23</v>
      </c>
      <c r="AC6723">
        <v>1.8784999999999701</v>
      </c>
      <c r="AD6723">
        <v>-1.051454140206</v>
      </c>
      <c r="AE6723">
        <v>-12.3146539999999</v>
      </c>
      <c r="AF6723">
        <v>7.6941769625921799</v>
      </c>
      <c r="AG6723">
        <v>-1.051454140206</v>
      </c>
      <c r="AH6723">
        <v>9.6845960849310107</v>
      </c>
      <c r="AI6723">
        <v>94.858879202764399</v>
      </c>
      <c r="AJ6723">
        <v>51.533709371533902</v>
      </c>
      <c r="AK6723">
        <v>12.413594010958301</v>
      </c>
      <c r="AL6723">
        <v>83.142610421711396</v>
      </c>
      <c r="AM6723">
        <v>63.0410190533049</v>
      </c>
      <c r="AN6723">
        <v>1.0000000013933099</v>
      </c>
    </row>
    <row r="6724" spans="1:40" x14ac:dyDescent="0.25">
      <c r="A6724" t="str">
        <f>"20190312172245193"</f>
        <v>20190312172245193</v>
      </c>
      <c r="B6724" t="str">
        <f>"1552382565186978"</f>
        <v>1552382565186978</v>
      </c>
      <c r="C6724" t="s">
        <v>40</v>
      </c>
      <c r="D6724">
        <v>3.3186580000000001</v>
      </c>
      <c r="E6724">
        <v>0.57754559999999999</v>
      </c>
      <c r="F6724" t="s">
        <v>42</v>
      </c>
      <c r="G6724">
        <v>-304.3492</v>
      </c>
      <c r="H6724" s="1">
        <v>-3.9205580000000003E-6</v>
      </c>
      <c r="I6724">
        <v>-3.3493979999999999</v>
      </c>
      <c r="J6724">
        <v>-306.20760000000001</v>
      </c>
      <c r="K6724">
        <v>1.051417</v>
      </c>
      <c r="L6724">
        <v>9.3948359999999997</v>
      </c>
      <c r="M6724">
        <v>0.72676790000000002</v>
      </c>
      <c r="N6724">
        <v>0</v>
      </c>
      <c r="O6724">
        <v>-0.68671969999999904</v>
      </c>
      <c r="P6724">
        <v>0.34092860000000003</v>
      </c>
      <c r="Q6724">
        <v>0.11538320000000001</v>
      </c>
      <c r="R6724">
        <v>-0.93298159999999997</v>
      </c>
      <c r="S6724">
        <v>0.46908569999999999</v>
      </c>
      <c r="T6724">
        <v>-0.25194440000000001</v>
      </c>
      <c r="U6724">
        <v>-3.0790709999999999</v>
      </c>
      <c r="V6724">
        <v>0.44671909999999998</v>
      </c>
      <c r="W6724">
        <v>0.1188678</v>
      </c>
      <c r="X6724">
        <v>0.88674269999999999</v>
      </c>
      <c r="Y6724">
        <v>0.61493560000000003</v>
      </c>
      <c r="Z6724">
        <v>3.5255199999999903E-2</v>
      </c>
      <c r="AA6724">
        <v>0.78778890000000001</v>
      </c>
      <c r="AB6724">
        <v>23</v>
      </c>
      <c r="AC6724">
        <v>1.85840000000001</v>
      </c>
      <c r="AD6724">
        <v>-1.0514209205580001</v>
      </c>
      <c r="AE6724">
        <v>-12.744234000000001</v>
      </c>
      <c r="AF6724">
        <v>7.9339187113349601</v>
      </c>
      <c r="AG6724">
        <v>-1.0514209205580001</v>
      </c>
      <c r="AH6724">
        <v>10.036584156948599</v>
      </c>
      <c r="AI6724">
        <v>94.698145238418604</v>
      </c>
      <c r="AJ6724">
        <v>51.673633222793796</v>
      </c>
      <c r="AK6724">
        <v>12.8368833292886</v>
      </c>
      <c r="AL6724">
        <v>83.173235810854806</v>
      </c>
      <c r="AM6724">
        <v>63.262161708592203</v>
      </c>
      <c r="AN6724">
        <v>1.0000000620924601</v>
      </c>
    </row>
    <row r="6725" spans="1:40" x14ac:dyDescent="0.25">
      <c r="A6725" t="str">
        <f>"20190312172245216"</f>
        <v>20190312172245216</v>
      </c>
      <c r="B6725" t="str">
        <f>"1552382565207477"</f>
        <v>1552382565207477</v>
      </c>
      <c r="C6725" t="s">
        <v>40</v>
      </c>
      <c r="D6725">
        <v>3.332849</v>
      </c>
      <c r="E6725">
        <v>0.57695819999999998</v>
      </c>
      <c r="F6725" t="s">
        <v>42</v>
      </c>
      <c r="G6725">
        <v>-304.30549999999999</v>
      </c>
      <c r="H6725" s="1">
        <v>-3.8700509999999997E-6</v>
      </c>
      <c r="I6725">
        <v>-3.460696</v>
      </c>
      <c r="J6725">
        <v>-306.05270000000002</v>
      </c>
      <c r="K6725">
        <v>1.0513699999999999</v>
      </c>
      <c r="L6725">
        <v>9.2262880000000003</v>
      </c>
      <c r="M6725">
        <v>0.7168812</v>
      </c>
      <c r="N6725">
        <v>0</v>
      </c>
      <c r="O6725">
        <v>-0.69703349999999997</v>
      </c>
      <c r="P6725">
        <v>0.33074910000000002</v>
      </c>
      <c r="Q6725">
        <v>0.11493979999999999</v>
      </c>
      <c r="R6725">
        <v>-0.936693</v>
      </c>
      <c r="S6725">
        <v>0.45574949999999997</v>
      </c>
      <c r="T6725">
        <v>-0.25191409999999997</v>
      </c>
      <c r="U6725">
        <v>-3.0801090000000002</v>
      </c>
      <c r="V6725">
        <v>0.44373960000000001</v>
      </c>
      <c r="W6725">
        <v>0.1184857</v>
      </c>
      <c r="X6725">
        <v>0.88828839999999998</v>
      </c>
      <c r="Y6725">
        <v>0.60703890000000005</v>
      </c>
      <c r="Z6725">
        <v>3.6689520000000003E-2</v>
      </c>
      <c r="AA6725">
        <v>0.79382469999999905</v>
      </c>
      <c r="AB6725">
        <v>23</v>
      </c>
      <c r="AC6725">
        <v>1.7472000000000201</v>
      </c>
      <c r="AD6725">
        <v>-1.051373870051</v>
      </c>
      <c r="AE6725">
        <v>-12.686983999999899</v>
      </c>
      <c r="AF6725">
        <v>7.8253520435220896</v>
      </c>
      <c r="AG6725">
        <v>-1.051373870051</v>
      </c>
      <c r="AH6725">
        <v>10.0293326228471</v>
      </c>
      <c r="AI6725">
        <v>94.724685144145894</v>
      </c>
      <c r="AJ6725">
        <v>52.036987839916797</v>
      </c>
      <c r="AK6725">
        <v>12.7643658079588</v>
      </c>
      <c r="AL6725">
        <v>83.195283836222401</v>
      </c>
      <c r="AM6725">
        <v>63.455830415621598</v>
      </c>
      <c r="AN6725">
        <v>0.99999998764360498</v>
      </c>
    </row>
    <row r="6726" spans="1:40" x14ac:dyDescent="0.25">
      <c r="A6726" t="str">
        <f>"20190312172245231"</f>
        <v>20190312172245231</v>
      </c>
      <c r="B6726" t="str">
        <f>"1552382565226994"</f>
        <v>1552382565226994</v>
      </c>
      <c r="C6726" t="s">
        <v>40</v>
      </c>
      <c r="D6726">
        <v>3.2780589999999998</v>
      </c>
      <c r="E6726">
        <v>0.57669599999999999</v>
      </c>
      <c r="F6726" t="s">
        <v>42</v>
      </c>
      <c r="G6726">
        <v>-304.26909999999998</v>
      </c>
      <c r="H6726" s="1">
        <v>-3.779109E-6</v>
      </c>
      <c r="I6726">
        <v>-3.6807259999999999</v>
      </c>
      <c r="J6726">
        <v>-305.94959999999998</v>
      </c>
      <c r="K6726">
        <v>1.0513429999999999</v>
      </c>
      <c r="L6726">
        <v>9.1110229999999994</v>
      </c>
      <c r="M6726">
        <v>0.71007349999999902</v>
      </c>
      <c r="N6726">
        <v>0</v>
      </c>
      <c r="O6726">
        <v>-0.70396719999999902</v>
      </c>
      <c r="P6726">
        <v>0.32316220000000001</v>
      </c>
      <c r="Q6726">
        <v>0.11475109999999999</v>
      </c>
      <c r="R6726">
        <v>-0.93936070000000005</v>
      </c>
      <c r="S6726">
        <v>0.42605589999999999</v>
      </c>
      <c r="T6726">
        <v>-0.25114429999999999</v>
      </c>
      <c r="U6726">
        <v>-3.0831300000000001</v>
      </c>
      <c r="V6726">
        <v>0.44230960000000002</v>
      </c>
      <c r="W6726">
        <v>0.11832330000000001</v>
      </c>
      <c r="X6726">
        <v>0.88902300000000001</v>
      </c>
      <c r="Y6726">
        <v>0.60693069999999905</v>
      </c>
      <c r="Z6726">
        <v>3.733918E-2</v>
      </c>
      <c r="AA6726">
        <v>0.7938771</v>
      </c>
      <c r="AB6726">
        <v>23</v>
      </c>
      <c r="AC6726">
        <v>1.6804999999999899</v>
      </c>
      <c r="AD6726">
        <v>-1.0513467791089901</v>
      </c>
      <c r="AE6726">
        <v>-12.791748999999999</v>
      </c>
      <c r="AF6726">
        <v>7.84883702104894</v>
      </c>
      <c r="AG6726">
        <v>-1.0513467791089901</v>
      </c>
      <c r="AH6726">
        <v>10.132119546729699</v>
      </c>
      <c r="AI6726">
        <v>94.689494328953998</v>
      </c>
      <c r="AJ6726">
        <v>52.236879545701299</v>
      </c>
      <c r="AK6726">
        <v>12.8596041596214</v>
      </c>
      <c r="AL6726">
        <v>83.204654947841107</v>
      </c>
      <c r="AM6726">
        <v>63.548587747680003</v>
      </c>
      <c r="AN6726">
        <v>1.0000000400520199</v>
      </c>
    </row>
    <row r="6727" spans="1:40" x14ac:dyDescent="0.25">
      <c r="A6727" t="str">
        <f>"20190312172245244"</f>
        <v>20190312172245244</v>
      </c>
      <c r="B6727" t="str">
        <f>"1552382565236754"</f>
        <v>1552382565236754</v>
      </c>
      <c r="C6727" t="s">
        <v>40</v>
      </c>
      <c r="D6727">
        <v>3.2883040000000001</v>
      </c>
      <c r="E6727">
        <v>0.57665509999999998</v>
      </c>
      <c r="F6727" t="s">
        <v>42</v>
      </c>
      <c r="G6727">
        <v>-304.25510000000003</v>
      </c>
      <c r="H6727" s="1">
        <v>-3.7050830000000001E-6</v>
      </c>
      <c r="I6727">
        <v>-3.8670490000000002</v>
      </c>
      <c r="J6727">
        <v>-305.85969999999998</v>
      </c>
      <c r="K6727">
        <v>1.051318</v>
      </c>
      <c r="L6727">
        <v>9.0090330000000005</v>
      </c>
      <c r="M6727">
        <v>0.70401250000000004</v>
      </c>
      <c r="N6727">
        <v>0</v>
      </c>
      <c r="O6727">
        <v>-0.71002849999999995</v>
      </c>
      <c r="P6727">
        <v>0.31635340000000001</v>
      </c>
      <c r="Q6727">
        <v>0.1147595</v>
      </c>
      <c r="R6727">
        <v>-0.94167489999999998</v>
      </c>
      <c r="S6727">
        <v>0.40286250000000001</v>
      </c>
      <c r="T6727">
        <v>-0.24996299999999999</v>
      </c>
      <c r="U6727">
        <v>-3.0856020000000002</v>
      </c>
      <c r="V6727">
        <v>0.44112849999999998</v>
      </c>
      <c r="W6727">
        <v>0.1183536</v>
      </c>
      <c r="X6727">
        <v>0.8896056</v>
      </c>
      <c r="Y6727">
        <v>0.60607509999999998</v>
      </c>
      <c r="Z6727">
        <v>3.7855109999999997E-2</v>
      </c>
      <c r="AA6727">
        <v>0.79450609999999999</v>
      </c>
      <c r="AB6727">
        <v>23</v>
      </c>
      <c r="AC6727">
        <v>1.6045999999999401</v>
      </c>
      <c r="AD6727">
        <v>-1.0513217050829999</v>
      </c>
      <c r="AE6727">
        <v>-12.876082</v>
      </c>
      <c r="AF6727">
        <v>7.8748110883796398</v>
      </c>
      <c r="AG6727">
        <v>-1.0513217050829999</v>
      </c>
      <c r="AH6727">
        <v>10.2062041316491</v>
      </c>
      <c r="AI6727">
        <v>94.662402671569694</v>
      </c>
      <c r="AJ6727">
        <v>52.3472638431492</v>
      </c>
      <c r="AK6727">
        <v>12.933852085985</v>
      </c>
      <c r="AL6727">
        <v>83.202906503714303</v>
      </c>
      <c r="AM6727">
        <v>63.624578467420598</v>
      </c>
      <c r="AN6727">
        <v>1.00000002584828</v>
      </c>
    </row>
    <row r="6728" spans="1:40" x14ac:dyDescent="0.25">
      <c r="A6728" t="str">
        <f>"20190312172245256"</f>
        <v>20190312172245256</v>
      </c>
      <c r="B6728" t="str">
        <f>"1552382565247490"</f>
        <v>1552382565247490</v>
      </c>
      <c r="C6728" t="s">
        <v>40</v>
      </c>
      <c r="D6728">
        <v>3.2794020000000002</v>
      </c>
      <c r="E6728">
        <v>0.57655919999999905</v>
      </c>
      <c r="F6728" t="s">
        <v>42</v>
      </c>
      <c r="G6728">
        <v>-304.25529999999998</v>
      </c>
      <c r="H6728" s="1">
        <v>-3.6504400000000001E-6</v>
      </c>
      <c r="I6728">
        <v>-4.0094240000000001</v>
      </c>
      <c r="J6728">
        <v>-305.7697</v>
      </c>
      <c r="K6728">
        <v>1.051294</v>
      </c>
      <c r="L6728">
        <v>8.9048459999999992</v>
      </c>
      <c r="M6728">
        <v>0.69779069999999899</v>
      </c>
      <c r="N6728">
        <v>0</v>
      </c>
      <c r="O6728">
        <v>-0.71614350000000004</v>
      </c>
      <c r="P6728">
        <v>0.30925520000000001</v>
      </c>
      <c r="Q6728">
        <v>0.1147596</v>
      </c>
      <c r="R6728">
        <v>-0.94402969999999997</v>
      </c>
      <c r="S6728">
        <v>0.38061519999999999</v>
      </c>
      <c r="T6728">
        <v>-0.2494034</v>
      </c>
      <c r="U6728">
        <v>-3.0883479999999999</v>
      </c>
      <c r="V6728">
        <v>0.44006919999999999</v>
      </c>
      <c r="W6728">
        <v>0.11837209999999999</v>
      </c>
      <c r="X6728">
        <v>0.89012760000000002</v>
      </c>
      <c r="Y6728">
        <v>0.60486779999999996</v>
      </c>
      <c r="Z6728">
        <v>3.8474990000000001E-2</v>
      </c>
      <c r="AA6728">
        <v>0.79539589999999905</v>
      </c>
      <c r="AB6728">
        <v>23</v>
      </c>
      <c r="AC6728">
        <v>1.51440000000002</v>
      </c>
      <c r="AD6728">
        <v>-1.05129765044</v>
      </c>
      <c r="AE6728">
        <v>-12.91427</v>
      </c>
      <c r="AF6728">
        <v>7.8763403170538302</v>
      </c>
      <c r="AG6728">
        <v>-1.05129765044</v>
      </c>
      <c r="AH6728">
        <v>10.239437191975099</v>
      </c>
      <c r="AI6728">
        <v>94.652501471888002</v>
      </c>
      <c r="AJ6728">
        <v>52.431934697003001</v>
      </c>
      <c r="AK6728">
        <v>12.961019927006999</v>
      </c>
      <c r="AL6728">
        <v>83.201838848378898</v>
      </c>
      <c r="AM6728">
        <v>63.692719777120402</v>
      </c>
      <c r="AN6728">
        <v>0.999999999564405</v>
      </c>
    </row>
    <row r="6729" spans="1:40" x14ac:dyDescent="0.25">
      <c r="A6729" t="str">
        <f>"20190312172245269"</f>
        <v>20190312172245269</v>
      </c>
      <c r="B6729" t="str">
        <f>"1552382565267011"</f>
        <v>1552382565267011</v>
      </c>
      <c r="C6729" t="s">
        <v>40</v>
      </c>
      <c r="D6729">
        <v>3.322778</v>
      </c>
      <c r="E6729">
        <v>0.57630490000000001</v>
      </c>
      <c r="F6729" t="s">
        <v>42</v>
      </c>
      <c r="G6729">
        <v>-304.26229999999998</v>
      </c>
      <c r="H6729" s="1">
        <v>-3.6104070000000002E-6</v>
      </c>
      <c r="I6729">
        <v>-4.1168779999999998</v>
      </c>
      <c r="J6729">
        <v>-305.6857</v>
      </c>
      <c r="K6729">
        <v>1.0512709999999901</v>
      </c>
      <c r="L6729">
        <v>8.8055419999999902</v>
      </c>
      <c r="M6729">
        <v>0.69183950000000005</v>
      </c>
      <c r="N6729">
        <v>0</v>
      </c>
      <c r="O6729">
        <v>-0.72189429999999999</v>
      </c>
      <c r="P6729">
        <v>0.30233359999999998</v>
      </c>
      <c r="Q6729">
        <v>0.1148988</v>
      </c>
      <c r="R6729">
        <v>-0.94625239999999999</v>
      </c>
      <c r="S6729">
        <v>0.35781859999999999</v>
      </c>
      <c r="T6729">
        <v>-0.24954689999999999</v>
      </c>
      <c r="U6729">
        <v>-3.090973</v>
      </c>
      <c r="V6729">
        <v>0.43921660000000001</v>
      </c>
      <c r="W6729">
        <v>0.11852550000000001</v>
      </c>
      <c r="X6729">
        <v>0.89052819999999899</v>
      </c>
      <c r="Y6729">
        <v>0.60414990000000002</v>
      </c>
      <c r="Z6729">
        <v>3.9145720000000002E-2</v>
      </c>
      <c r="AA6729">
        <v>0.79590859999999997</v>
      </c>
      <c r="AB6729">
        <v>23</v>
      </c>
      <c r="AC6729">
        <v>1.42340000000001</v>
      </c>
      <c r="AD6729">
        <v>-1.0512746104070001</v>
      </c>
      <c r="AE6729">
        <v>-12.922420000000001</v>
      </c>
      <c r="AF6729">
        <v>7.8621830920323497</v>
      </c>
      <c r="AG6729">
        <v>-1.0512746104070001</v>
      </c>
      <c r="AH6729">
        <v>10.2475469852487</v>
      </c>
      <c r="AI6729">
        <v>94.653186598820795</v>
      </c>
      <c r="AJ6729">
        <v>52.503646954107403</v>
      </c>
      <c r="AK6729">
        <v>12.9588317565283</v>
      </c>
      <c r="AL6729">
        <v>83.1929873344843</v>
      </c>
      <c r="AM6729">
        <v>63.747066115863902</v>
      </c>
      <c r="AN6729">
        <v>0.99999999543052398</v>
      </c>
    </row>
    <row r="6730" spans="1:40" x14ac:dyDescent="0.25">
      <c r="A6730" t="str">
        <f>"20190312172245283"</f>
        <v>20190312172245283</v>
      </c>
      <c r="B6730" t="str">
        <f>"1552382565276770"</f>
        <v>1552382565276770</v>
      </c>
      <c r="C6730" t="s">
        <v>40</v>
      </c>
      <c r="D6730">
        <v>3.2904</v>
      </c>
      <c r="E6730">
        <v>0.57618429999999998</v>
      </c>
      <c r="F6730" t="s">
        <v>42</v>
      </c>
      <c r="G6730">
        <v>-304.27050000000003</v>
      </c>
      <c r="H6730" s="1">
        <v>-3.5858130000000002E-6</v>
      </c>
      <c r="I6730">
        <v>-4.1847329999999996</v>
      </c>
      <c r="J6730">
        <v>-305.59359999999998</v>
      </c>
      <c r="K6730">
        <v>1.0512440000000001</v>
      </c>
      <c r="L6730">
        <v>8.6951599999999996</v>
      </c>
      <c r="M6730">
        <v>0.68518650000000003</v>
      </c>
      <c r="N6730">
        <v>0</v>
      </c>
      <c r="O6730">
        <v>-0.72821150000000001</v>
      </c>
      <c r="P6730">
        <v>0.29525620000000002</v>
      </c>
      <c r="Q6730">
        <v>0.11445379999999999</v>
      </c>
      <c r="R6730">
        <v>-0.9485382</v>
      </c>
      <c r="S6730">
        <v>0.33697510000000003</v>
      </c>
      <c r="T6730">
        <v>-0.25032100000000002</v>
      </c>
      <c r="U6730">
        <v>-3.09314</v>
      </c>
      <c r="V6730">
        <v>0.43772889999999998</v>
      </c>
      <c r="W6730">
        <v>0.1181135</v>
      </c>
      <c r="X6730">
        <v>0.89131510000000003</v>
      </c>
      <c r="Y6730">
        <v>0.60220549999999995</v>
      </c>
      <c r="Z6730">
        <v>4.0029019999999998E-2</v>
      </c>
      <c r="AA6730">
        <v>0.79733699999999996</v>
      </c>
      <c r="AB6730">
        <v>23</v>
      </c>
      <c r="AC6730">
        <v>1.32309999999995</v>
      </c>
      <c r="AD6730">
        <v>-1.0512475858129999</v>
      </c>
      <c r="AE6730">
        <v>-12.879892999999999</v>
      </c>
      <c r="AF6730">
        <v>7.8110350160712798</v>
      </c>
      <c r="AG6730">
        <v>-1.0512475858129999</v>
      </c>
      <c r="AH6730">
        <v>10.219657094663701</v>
      </c>
      <c r="AI6730">
        <v>94.672241786212695</v>
      </c>
      <c r="AJ6730">
        <v>52.608785723241901</v>
      </c>
      <c r="AK6730">
        <v>12.905765403163</v>
      </c>
      <c r="AL6730">
        <v>83.216760204921201</v>
      </c>
      <c r="AM6730">
        <v>63.844135300009398</v>
      </c>
      <c r="AN6730">
        <v>0.99999999813273499</v>
      </c>
    </row>
    <row r="6731" spans="1:40" x14ac:dyDescent="0.25">
      <c r="A6731" t="str">
        <f>"20190312172245307"</f>
        <v>20190312172245307</v>
      </c>
      <c r="B6731" t="str">
        <f>"1552382565297266"</f>
        <v>1552382565297266</v>
      </c>
      <c r="C6731" t="s">
        <v>40</v>
      </c>
      <c r="D6731">
        <v>3.3233009999999998</v>
      </c>
      <c r="E6731">
        <v>0.5758529</v>
      </c>
      <c r="F6731" t="s">
        <v>42</v>
      </c>
      <c r="G6731">
        <v>-304.27929999999998</v>
      </c>
      <c r="H6731" s="1">
        <v>-3.5666170000000001E-6</v>
      </c>
      <c r="I6731">
        <v>-4.2387899999999998</v>
      </c>
      <c r="J6731">
        <v>-305.44310000000002</v>
      </c>
      <c r="K6731">
        <v>1.0512140000000001</v>
      </c>
      <c r="L6731">
        <v>8.5096439999999998</v>
      </c>
      <c r="M6731">
        <v>0.67393819999999904</v>
      </c>
      <c r="N6731">
        <v>0</v>
      </c>
      <c r="O6731">
        <v>-0.73863330000000005</v>
      </c>
      <c r="P6731">
        <v>0.28213529999999998</v>
      </c>
      <c r="Q6731">
        <v>0.1140724</v>
      </c>
      <c r="R6731">
        <v>-0.95256879999999999</v>
      </c>
      <c r="S6731">
        <v>0.31451420000000002</v>
      </c>
      <c r="T6731">
        <v>-0.2515734</v>
      </c>
      <c r="U6731">
        <v>-3.095215</v>
      </c>
      <c r="V6731">
        <v>0.43639280000000003</v>
      </c>
      <c r="W6731">
        <v>0.117756</v>
      </c>
      <c r="X6731">
        <v>0.89201730000000001</v>
      </c>
      <c r="Y6731">
        <v>0.59574130000000003</v>
      </c>
      <c r="Z6731">
        <v>4.1618759999999998E-2</v>
      </c>
      <c r="AA6731">
        <v>0.80209739999999996</v>
      </c>
      <c r="AB6731">
        <v>23</v>
      </c>
      <c r="AC6731">
        <v>1.1638000000000299</v>
      </c>
      <c r="AD6731">
        <v>-1.0512175666169901</v>
      </c>
      <c r="AE6731">
        <v>-12.748434</v>
      </c>
      <c r="AF6731">
        <v>7.6811219324609601</v>
      </c>
      <c r="AG6731">
        <v>-1.0512175666169901</v>
      </c>
      <c r="AH6731">
        <v>10.133578077053</v>
      </c>
      <c r="AI6731">
        <v>94.725943008017097</v>
      </c>
      <c r="AJ6731">
        <v>52.838340382111497</v>
      </c>
      <c r="AK6731">
        <v>12.7590790089812</v>
      </c>
      <c r="AL6731">
        <v>83.237387459666294</v>
      </c>
      <c r="AM6731">
        <v>63.931190082743399</v>
      </c>
      <c r="AN6731">
        <v>1.00000000746356</v>
      </c>
    </row>
    <row r="6732" spans="1:40" x14ac:dyDescent="0.25">
      <c r="A6732" t="str">
        <f>"20190312172245327"</f>
        <v>20190312172245327</v>
      </c>
      <c r="B6732" t="str">
        <f>"1552382565316786"</f>
        <v>1552382565316786</v>
      </c>
      <c r="C6732" t="s">
        <v>40</v>
      </c>
      <c r="D6732">
        <v>3.29542</v>
      </c>
      <c r="E6732">
        <v>0.575453199999999</v>
      </c>
      <c r="F6732" t="s">
        <v>42</v>
      </c>
      <c r="G6732">
        <v>-304.30520000000001</v>
      </c>
      <c r="H6732" s="1">
        <v>-3.514785E-6</v>
      </c>
      <c r="I6732">
        <v>-4.3857179999999998</v>
      </c>
      <c r="J6732">
        <v>-305.30720000000002</v>
      </c>
      <c r="K6732">
        <v>1.0511870000000001</v>
      </c>
      <c r="L6732">
        <v>8.3368529999999996</v>
      </c>
      <c r="M6732">
        <v>0.66339029999999999</v>
      </c>
      <c r="N6732">
        <v>0</v>
      </c>
      <c r="O6732">
        <v>-0.74812069999999997</v>
      </c>
      <c r="P6732">
        <v>0.2700283</v>
      </c>
      <c r="Q6732">
        <v>0.1138535</v>
      </c>
      <c r="R6732">
        <v>-0.95609750000000004</v>
      </c>
      <c r="S6732">
        <v>0.2734375</v>
      </c>
      <c r="T6732">
        <v>-0.25259759999999998</v>
      </c>
      <c r="U6732">
        <v>-3.098633</v>
      </c>
      <c r="V6732">
        <v>0.43507059999999997</v>
      </c>
      <c r="W6732">
        <v>0.1175662</v>
      </c>
      <c r="X6732">
        <v>0.89268789999999998</v>
      </c>
      <c r="Y6732">
        <v>0.5949816</v>
      </c>
      <c r="Z6732">
        <v>4.2871300000000001E-2</v>
      </c>
      <c r="AA6732">
        <v>0.80259519999999995</v>
      </c>
      <c r="AB6732">
        <v>23</v>
      </c>
      <c r="AC6732">
        <v>1.002</v>
      </c>
      <c r="AD6732">
        <v>-1.051190514785</v>
      </c>
      <c r="AE6732">
        <v>-12.722571</v>
      </c>
      <c r="AF6732">
        <v>7.6394618170342499</v>
      </c>
      <c r="AG6732">
        <v>-1.051190514785</v>
      </c>
      <c r="AH6732">
        <v>10.115271939205201</v>
      </c>
      <c r="AI6732">
        <v>94.740568402088201</v>
      </c>
      <c r="AJ6732">
        <v>52.938424176620799</v>
      </c>
      <c r="AK6732">
        <v>12.719477377485701</v>
      </c>
      <c r="AL6732">
        <v>83.248337960544802</v>
      </c>
      <c r="AM6732">
        <v>64.016717586196705</v>
      </c>
      <c r="AN6732">
        <v>0.99999996258660395</v>
      </c>
    </row>
    <row r="6733" spans="1:40" x14ac:dyDescent="0.25">
      <c r="A6733" t="str">
        <f>"20190312172245349"</f>
        <v>20190312172245349</v>
      </c>
      <c r="B6733" t="str">
        <f>"1552382565347042"</f>
        <v>1552382565347042</v>
      </c>
      <c r="C6733" t="s">
        <v>40</v>
      </c>
      <c r="D6733">
        <v>3.2691150000000002</v>
      </c>
      <c r="E6733">
        <v>0.569938099999999</v>
      </c>
      <c r="F6733" t="s">
        <v>42</v>
      </c>
      <c r="G6733">
        <v>-304.32170000000002</v>
      </c>
      <c r="H6733" s="1">
        <v>-3.4466659999999999E-6</v>
      </c>
      <c r="I6733">
        <v>-4.5707449999999996</v>
      </c>
      <c r="J6733">
        <v>-305.16430000000003</v>
      </c>
      <c r="K6733">
        <v>1.051172</v>
      </c>
      <c r="L6733">
        <v>8.1494450000000001</v>
      </c>
      <c r="M6733">
        <v>0.65188069999999998</v>
      </c>
      <c r="N6733">
        <v>0</v>
      </c>
      <c r="O6733">
        <v>-0.75817040000000002</v>
      </c>
      <c r="P6733">
        <v>0.25666889999999998</v>
      </c>
      <c r="Q6733">
        <v>0.1144713</v>
      </c>
      <c r="R6733">
        <v>-0.95969689999999996</v>
      </c>
      <c r="S6733">
        <v>0.2367554</v>
      </c>
      <c r="T6733">
        <v>-0.2525406</v>
      </c>
      <c r="U6733">
        <v>-3.1009519999999999</v>
      </c>
      <c r="V6733">
        <v>0.43384840000000002</v>
      </c>
      <c r="W6733">
        <v>0.1182144</v>
      </c>
      <c r="X6733">
        <v>0.89319699999999902</v>
      </c>
      <c r="Y6733">
        <v>0.59219189999999999</v>
      </c>
      <c r="Z6733">
        <v>4.409271E-2</v>
      </c>
      <c r="AA6733">
        <v>0.80458969999999996</v>
      </c>
      <c r="AB6733">
        <v>23</v>
      </c>
      <c r="AC6733">
        <v>0.84260000000000401</v>
      </c>
      <c r="AD6733">
        <v>-1.0511754466659999</v>
      </c>
      <c r="AE6733">
        <v>-12.720190000000001</v>
      </c>
      <c r="AF6733">
        <v>7.6023984855317401</v>
      </c>
      <c r="AG6733">
        <v>-1.0511754466659999</v>
      </c>
      <c r="AH6733">
        <v>10.125667501567801</v>
      </c>
      <c r="AI6733">
        <v>94.745714847532795</v>
      </c>
      <c r="AJ6733">
        <v>53.1006069250626</v>
      </c>
      <c r="AK6733">
        <v>12.705533239687201</v>
      </c>
      <c r="AL6733">
        <v>83.210938147006004</v>
      </c>
      <c r="AM6733">
        <v>64.092980395512498</v>
      </c>
      <c r="AN6733">
        <v>0.99999997967945897</v>
      </c>
    </row>
    <row r="6734" spans="1:40" x14ac:dyDescent="0.25">
      <c r="A6734" t="str">
        <f>"20190312172245372"</f>
        <v>20190312172245372</v>
      </c>
      <c r="B6734" t="str">
        <f>"1552382565367537"</f>
        <v>1552382565367537</v>
      </c>
      <c r="C6734" t="s">
        <v>40</v>
      </c>
      <c r="D6734">
        <v>3.260224</v>
      </c>
      <c r="E6734">
        <v>0.569218</v>
      </c>
      <c r="F6734" t="s">
        <v>42</v>
      </c>
      <c r="G6734">
        <v>-304.19029999999998</v>
      </c>
      <c r="H6734" s="1">
        <v>-3.3888820000000002E-6</v>
      </c>
      <c r="I6734">
        <v>-4.6522160000000001</v>
      </c>
      <c r="J6734">
        <v>-305.02760000000001</v>
      </c>
      <c r="K6734">
        <v>1.0511600000000001</v>
      </c>
      <c r="L6734">
        <v>7.9642330000000001</v>
      </c>
      <c r="M6734">
        <v>0.64044000000000001</v>
      </c>
      <c r="N6734">
        <v>0</v>
      </c>
      <c r="O6734">
        <v>-0.76785859999999995</v>
      </c>
      <c r="P6734">
        <v>0.24399970000000001</v>
      </c>
      <c r="Q6734">
        <v>0.1150765</v>
      </c>
      <c r="R6734">
        <v>-0.96292370000000005</v>
      </c>
      <c r="S6734">
        <v>0.23535159999999999</v>
      </c>
      <c r="T6734">
        <v>-0.25400020000000001</v>
      </c>
      <c r="U6734">
        <v>-3.0933229999999998</v>
      </c>
      <c r="V6734">
        <v>0.43219550000000001</v>
      </c>
      <c r="W6734">
        <v>0.11886869999999999</v>
      </c>
      <c r="X6734">
        <v>0.89391119999999902</v>
      </c>
      <c r="Y6734">
        <v>0.58028019999999902</v>
      </c>
      <c r="Z6734">
        <v>4.5976780000000002E-2</v>
      </c>
      <c r="AA6734">
        <v>0.81311800000000001</v>
      </c>
      <c r="AB6734">
        <v>23</v>
      </c>
      <c r="AC6734">
        <v>0.83730000000002702</v>
      </c>
      <c r="AD6734">
        <v>-1.051163388882</v>
      </c>
      <c r="AE6734">
        <v>-12.616448999999999</v>
      </c>
      <c r="AF6734">
        <v>7.38695199596095</v>
      </c>
      <c r="AG6734">
        <v>-1.051163388882</v>
      </c>
      <c r="AH6734">
        <v>10.154881009522899</v>
      </c>
      <c r="AI6734">
        <v>94.784992900461702</v>
      </c>
      <c r="AJ6734">
        <v>53.966781657060999</v>
      </c>
      <c r="AK6734">
        <v>12.6013337618812</v>
      </c>
      <c r="AL6734">
        <v>83.173183284349506</v>
      </c>
      <c r="AM6734">
        <v>64.196781955965506</v>
      </c>
      <c r="AN6734">
        <v>0.99999997577268895</v>
      </c>
    </row>
    <row r="6735" spans="1:40" x14ac:dyDescent="0.25">
      <c r="A6735" t="str">
        <f>"20190312172245388"</f>
        <v>20190312172245388</v>
      </c>
      <c r="B6735" t="str">
        <f>"1552382565377298"</f>
        <v>1552382565377298</v>
      </c>
      <c r="C6735" t="s">
        <v>40</v>
      </c>
      <c r="D6735">
        <v>3.2792330000000001</v>
      </c>
      <c r="E6735">
        <v>0.56876150000000003</v>
      </c>
      <c r="F6735" t="s">
        <v>42</v>
      </c>
      <c r="G6735">
        <v>-304.18340000000001</v>
      </c>
      <c r="H6735" s="1">
        <v>-3.1880580000000001E-6</v>
      </c>
      <c r="I6735">
        <v>-5.0731419999999998</v>
      </c>
      <c r="J6735">
        <v>-304.9314</v>
      </c>
      <c r="K6735">
        <v>1.0511539999999999</v>
      </c>
      <c r="L6735">
        <v>7.830292</v>
      </c>
      <c r="M6735">
        <v>0.63213009999999903</v>
      </c>
      <c r="N6735">
        <v>0</v>
      </c>
      <c r="O6735">
        <v>-0.77471389999999996</v>
      </c>
      <c r="P6735">
        <v>0.2346686</v>
      </c>
      <c r="Q6735">
        <v>0.1153449</v>
      </c>
      <c r="R6735">
        <v>-0.96520839999999997</v>
      </c>
      <c r="S6735">
        <v>0.20037840000000001</v>
      </c>
      <c r="T6735">
        <v>-0.24950339999999999</v>
      </c>
      <c r="U6735">
        <v>-3.0945429999999998</v>
      </c>
      <c r="V6735">
        <v>0.43120269999999999</v>
      </c>
      <c r="W6735">
        <v>0.11916939999999999</v>
      </c>
      <c r="X6735">
        <v>0.8943506</v>
      </c>
      <c r="Y6735">
        <v>0.58068469999999905</v>
      </c>
      <c r="Z6735">
        <v>4.5933670000000003E-2</v>
      </c>
      <c r="AA6735">
        <v>0.81283169999999905</v>
      </c>
      <c r="AB6735">
        <v>23</v>
      </c>
      <c r="AC6735">
        <v>0.74799999999999001</v>
      </c>
      <c r="AD6735">
        <v>-1.051157188058</v>
      </c>
      <c r="AE6735">
        <v>-12.903433999999899</v>
      </c>
      <c r="AF6735">
        <v>7.5282420083026196</v>
      </c>
      <c r="AG6735">
        <v>-1.051157188058</v>
      </c>
      <c r="AH6735">
        <v>10.401709227823099</v>
      </c>
      <c r="AI6735">
        <v>94.680067499669306</v>
      </c>
      <c r="AJ6735">
        <v>54.104842624548802</v>
      </c>
      <c r="AK6735">
        <v>12.883125165493</v>
      </c>
      <c r="AL6735">
        <v>83.155831648344304</v>
      </c>
      <c r="AM6735">
        <v>64.259398389761898</v>
      </c>
      <c r="AN6735">
        <v>1.0000000550520001</v>
      </c>
    </row>
    <row r="6736" spans="1:40" x14ac:dyDescent="0.25">
      <c r="A6736" t="str">
        <f>"20190312172245405"</f>
        <v>20190312172245405</v>
      </c>
      <c r="B6736" t="str">
        <f>"1552382565396818"</f>
        <v>1552382565396818</v>
      </c>
      <c r="C6736" t="s">
        <v>40</v>
      </c>
      <c r="D6736">
        <v>3.2928809999999999</v>
      </c>
      <c r="E6736">
        <v>0.56486930000000002</v>
      </c>
      <c r="F6736" t="s">
        <v>42</v>
      </c>
      <c r="G6736">
        <v>-304.19639999999998</v>
      </c>
      <c r="H6736" s="1">
        <v>-3.1063039999999999E-6</v>
      </c>
      <c r="I6736">
        <v>-5.2533830000000004</v>
      </c>
      <c r="J6736">
        <v>-304.8261</v>
      </c>
      <c r="K6736">
        <v>1.0511600000000001</v>
      </c>
      <c r="L6736">
        <v>7.6801449999999898</v>
      </c>
      <c r="M6736">
        <v>0.62277649999999996</v>
      </c>
      <c r="N6736">
        <v>0</v>
      </c>
      <c r="O6736">
        <v>-0.78225259999999996</v>
      </c>
      <c r="P6736">
        <v>0.22544910000000001</v>
      </c>
      <c r="Q6736">
        <v>0.11606180000000001</v>
      </c>
      <c r="R6736">
        <v>-0.9673176</v>
      </c>
      <c r="S6736">
        <v>0.17391970000000001</v>
      </c>
      <c r="T6736">
        <v>-0.24870249999999999</v>
      </c>
      <c r="U6736">
        <v>-3.0955810000000001</v>
      </c>
      <c r="V6736">
        <v>0.42894919999999997</v>
      </c>
      <c r="W6736">
        <v>0.119959</v>
      </c>
      <c r="X6736">
        <v>0.89532809999999896</v>
      </c>
      <c r="Y6736">
        <v>0.57784959999999996</v>
      </c>
      <c r="Z6736">
        <v>4.6732360000000001E-2</v>
      </c>
      <c r="AA6736">
        <v>0.81480430000000004</v>
      </c>
      <c r="AB6736">
        <v>23</v>
      </c>
      <c r="AC6736">
        <v>0.62970000000001303</v>
      </c>
      <c r="AD6736">
        <v>-1.0511631063039999</v>
      </c>
      <c r="AE6736">
        <v>-12.933528000000001</v>
      </c>
      <c r="AF6736">
        <v>7.5134708481414298</v>
      </c>
      <c r="AG6736">
        <v>-1.0511631063039999</v>
      </c>
      <c r="AH6736">
        <v>10.4418480488943</v>
      </c>
      <c r="AI6736">
        <v>94.671435462362794</v>
      </c>
      <c r="AJ6736">
        <v>54.262955507445398</v>
      </c>
      <c r="AK6736">
        <v>12.9069507916519</v>
      </c>
      <c r="AL6736">
        <v>83.110263586695197</v>
      </c>
      <c r="AM6736">
        <v>64.401048739214801</v>
      </c>
      <c r="AN6736">
        <v>0.99999999225562397</v>
      </c>
    </row>
    <row r="6737" spans="1:40" x14ac:dyDescent="0.25">
      <c r="A6737" t="str">
        <f>"20190312172245421"</f>
        <v>20190312172245421</v>
      </c>
      <c r="B6737" t="str">
        <f>"1552382565417317"</f>
        <v>1552382565417317</v>
      </c>
      <c r="C6737" t="s">
        <v>40</v>
      </c>
      <c r="D6737">
        <v>3.24803</v>
      </c>
      <c r="E6737">
        <v>0.56405070000000002</v>
      </c>
      <c r="F6737" t="s">
        <v>42</v>
      </c>
      <c r="G6737">
        <v>-304.11840000000001</v>
      </c>
      <c r="H6737" s="1">
        <v>-3.2754750000000002E-6</v>
      </c>
      <c r="I6737">
        <v>-4.8516620000000001</v>
      </c>
      <c r="J6737">
        <v>-304.7373</v>
      </c>
      <c r="K6737">
        <v>1.051164</v>
      </c>
      <c r="L6737">
        <v>7.5506589999999996</v>
      </c>
      <c r="M6737">
        <v>0.61467950000000005</v>
      </c>
      <c r="N6737">
        <v>0</v>
      </c>
      <c r="O6737">
        <v>-0.78863059999999996</v>
      </c>
      <c r="P6737">
        <v>0.2165707</v>
      </c>
      <c r="Q6737">
        <v>0.11663220000000001</v>
      </c>
      <c r="R6737">
        <v>-0.96927509999999995</v>
      </c>
      <c r="S6737">
        <v>0.1745911</v>
      </c>
      <c r="T6737">
        <v>-0.25933889999999998</v>
      </c>
      <c r="U6737">
        <v>-3.0917970000000001</v>
      </c>
      <c r="V6737">
        <v>0.42789779999999999</v>
      </c>
      <c r="W6737">
        <v>0.1205673</v>
      </c>
      <c r="X6737">
        <v>0.89574940000000003</v>
      </c>
      <c r="Y6737">
        <v>0.5691754</v>
      </c>
      <c r="Z6737">
        <v>4.9823539999999999E-2</v>
      </c>
      <c r="AA6737">
        <v>0.82070519999999902</v>
      </c>
      <c r="AB6737">
        <v>23</v>
      </c>
      <c r="AC6737">
        <v>0.61889999999999601</v>
      </c>
      <c r="AD6737">
        <v>-1.0511672754750001</v>
      </c>
      <c r="AE6737">
        <v>-12.402321000000001</v>
      </c>
      <c r="AF6737">
        <v>7.0854209939370003</v>
      </c>
      <c r="AG6737">
        <v>-1.0511672754750001</v>
      </c>
      <c r="AH6737">
        <v>10.090145476951999</v>
      </c>
      <c r="AI6737">
        <v>94.873078290445093</v>
      </c>
      <c r="AJ6737">
        <v>54.923009846600202</v>
      </c>
      <c r="AK6737">
        <v>12.3741334665667</v>
      </c>
      <c r="AL6737">
        <v>83.075155766697904</v>
      </c>
      <c r="AM6737">
        <v>64.466281787026702</v>
      </c>
      <c r="AN6737">
        <v>0.99999999433724496</v>
      </c>
    </row>
    <row r="6738" spans="1:40" x14ac:dyDescent="0.25">
      <c r="A6738" t="str">
        <f>"20190312172245439"</f>
        <v>20190312172245439</v>
      </c>
      <c r="B6738" t="str">
        <f>"1552382565436834"</f>
        <v>1552382565436834</v>
      </c>
      <c r="C6738" t="s">
        <v>40</v>
      </c>
      <c r="D6738">
        <v>3.2782110000000002</v>
      </c>
      <c r="E6738">
        <v>0.56354579999999999</v>
      </c>
      <c r="F6738" t="s">
        <v>42</v>
      </c>
      <c r="G6738">
        <v>-304.11020000000002</v>
      </c>
      <c r="H6738" s="1">
        <v>-3.128522E-6</v>
      </c>
      <c r="I6738">
        <v>-5.1579069999999998</v>
      </c>
      <c r="J6738">
        <v>-304.62819999999999</v>
      </c>
      <c r="K6738">
        <v>1.0511699999999999</v>
      </c>
      <c r="L6738">
        <v>7.3871149999999997</v>
      </c>
      <c r="M6738">
        <v>0.60442790000000002</v>
      </c>
      <c r="N6738">
        <v>0</v>
      </c>
      <c r="O6738">
        <v>-0.79651490000000003</v>
      </c>
      <c r="P6738">
        <v>0.20633299999999999</v>
      </c>
      <c r="Q6738">
        <v>0.1181989</v>
      </c>
      <c r="R6738">
        <v>-0.97131699999999999</v>
      </c>
      <c r="S6738">
        <v>0.15255739999999901</v>
      </c>
      <c r="T6738">
        <v>-0.25573010000000002</v>
      </c>
      <c r="U6738">
        <v>-3.0917659999999998</v>
      </c>
      <c r="V6738">
        <v>0.42567820000000001</v>
      </c>
      <c r="W6738">
        <v>0.12220880000000001</v>
      </c>
      <c r="X6738">
        <v>0.89658419999999905</v>
      </c>
      <c r="Y6738">
        <v>0.5643783</v>
      </c>
      <c r="Z6738">
        <v>5.0224159999999997E-2</v>
      </c>
      <c r="AA6738">
        <v>0.82398709999999997</v>
      </c>
      <c r="AB6738">
        <v>22</v>
      </c>
      <c r="AC6738">
        <v>0.51799999999997204</v>
      </c>
      <c r="AD6738">
        <v>-1.0511731285220001</v>
      </c>
      <c r="AE6738">
        <v>-12.545021999999999</v>
      </c>
      <c r="AF6738">
        <v>7.12088320854805</v>
      </c>
      <c r="AG6738">
        <v>-1.0511731285220001</v>
      </c>
      <c r="AH6738">
        <v>10.2348430757313</v>
      </c>
      <c r="AI6738">
        <v>94.819069206819293</v>
      </c>
      <c r="AJ6738">
        <v>55.171767300518503</v>
      </c>
      <c r="AK6738">
        <v>12.5125519140083</v>
      </c>
      <c r="AL6738">
        <v>82.980404619749393</v>
      </c>
      <c r="AM6738">
        <v>64.602674097203106</v>
      </c>
      <c r="AN6738">
        <v>1.0000000742211499</v>
      </c>
    </row>
    <row r="6739" spans="1:40" x14ac:dyDescent="0.25">
      <c r="A6739" t="str">
        <f>"20190312172245455"</f>
        <v>20190312172245455</v>
      </c>
      <c r="B6739" t="str">
        <f>"1552382565447571"</f>
        <v>1552382565447571</v>
      </c>
      <c r="C6739" t="s">
        <v>40</v>
      </c>
      <c r="D6739">
        <v>3.2525689999999998</v>
      </c>
      <c r="E6739">
        <v>0.56319609999999998</v>
      </c>
      <c r="F6739" t="s">
        <v>42</v>
      </c>
      <c r="G6739">
        <v>-304.11520000000002</v>
      </c>
      <c r="H6739" s="1">
        <v>-3.004448E-6</v>
      </c>
      <c r="I6739">
        <v>-5.4231619999999996</v>
      </c>
      <c r="J6739">
        <v>-304.54399999999998</v>
      </c>
      <c r="K6739">
        <v>1.0511779999999999</v>
      </c>
      <c r="L6739">
        <v>7.2570800000000002</v>
      </c>
      <c r="M6739">
        <v>0.59626319999999999</v>
      </c>
      <c r="N6739">
        <v>0</v>
      </c>
      <c r="O6739">
        <v>-0.8026451</v>
      </c>
      <c r="P6739">
        <v>0.1974611</v>
      </c>
      <c r="Q6739">
        <v>0.1188043</v>
      </c>
      <c r="R6739">
        <v>-0.97308530000000004</v>
      </c>
      <c r="S6739">
        <v>0.1238708</v>
      </c>
      <c r="T6739">
        <v>-0.25381629999999999</v>
      </c>
      <c r="U6739">
        <v>-3.0931700000000002</v>
      </c>
      <c r="V6739">
        <v>0.42467109999999902</v>
      </c>
      <c r="W6739">
        <v>0.1228543</v>
      </c>
      <c r="X6739">
        <v>0.89697340000000003</v>
      </c>
      <c r="Y6739">
        <v>0.56360129999999997</v>
      </c>
      <c r="Z6739">
        <v>5.0580260000000002E-2</v>
      </c>
      <c r="AA6739">
        <v>0.82449689999999998</v>
      </c>
      <c r="AB6739">
        <v>22</v>
      </c>
      <c r="AC6739">
        <v>0.428800000000023</v>
      </c>
      <c r="AD6739">
        <v>-1.0511810044479999</v>
      </c>
      <c r="AE6739">
        <v>-12.680242</v>
      </c>
      <c r="AF6739">
        <v>7.1682156451384103</v>
      </c>
      <c r="AG6739">
        <v>-1.0511810044479999</v>
      </c>
      <c r="AH6739">
        <v>10.3634780231683</v>
      </c>
      <c r="AI6739">
        <v>94.768601380176307</v>
      </c>
      <c r="AJ6739">
        <v>55.329146037619701</v>
      </c>
      <c r="AK6739">
        <v>12.644760724347901</v>
      </c>
      <c r="AL6739">
        <v>82.943138870922496</v>
      </c>
      <c r="AM6739">
        <v>64.664835033844994</v>
      </c>
      <c r="AN6739">
        <v>1.0000000012556201</v>
      </c>
    </row>
    <row r="6740" spans="1:40" x14ac:dyDescent="0.25">
      <c r="A6740" t="str">
        <f>"20190312172245472"</f>
        <v>20190312172245472</v>
      </c>
      <c r="B6740" t="str">
        <f>"1552382565467090"</f>
        <v>1552382565467090</v>
      </c>
      <c r="C6740" t="s">
        <v>40</v>
      </c>
      <c r="D6740">
        <v>3.275766</v>
      </c>
      <c r="E6740">
        <v>0.55995569999999995</v>
      </c>
      <c r="F6740" t="s">
        <v>42</v>
      </c>
      <c r="G6740">
        <v>-304.13409999999999</v>
      </c>
      <c r="H6740" s="1">
        <v>-2.9435669999999998E-6</v>
      </c>
      <c r="I6740">
        <v>-5.5625869999999997</v>
      </c>
      <c r="J6740">
        <v>-304.44409999999999</v>
      </c>
      <c r="K6740">
        <v>1.0511969999999999</v>
      </c>
      <c r="L6740">
        <v>7.0993649999999997</v>
      </c>
      <c r="M6740">
        <v>0.58633040000000003</v>
      </c>
      <c r="N6740">
        <v>0</v>
      </c>
      <c r="O6740">
        <v>-0.80992900000000001</v>
      </c>
      <c r="P6740">
        <v>0.18782280000000001</v>
      </c>
      <c r="Q6740">
        <v>0.1203279</v>
      </c>
      <c r="R6740">
        <v>-0.97480460000000002</v>
      </c>
      <c r="S6740">
        <v>9.8937990000000003E-2</v>
      </c>
      <c r="T6740">
        <v>-0.25368980000000002</v>
      </c>
      <c r="U6740">
        <v>-3.0938720000000002</v>
      </c>
      <c r="V6740">
        <v>0.42241450000000003</v>
      </c>
      <c r="W6740">
        <v>0.124457399999999</v>
      </c>
      <c r="X6740">
        <v>0.89781759999999999</v>
      </c>
      <c r="Y6740">
        <v>0.56007240000000003</v>
      </c>
      <c r="Z6740">
        <v>5.1514940000000002E-2</v>
      </c>
      <c r="AA6740">
        <v>0.82684040000000003</v>
      </c>
      <c r="AB6740">
        <v>22</v>
      </c>
      <c r="AC6740">
        <v>0.310000000000002</v>
      </c>
      <c r="AD6740">
        <v>-1.0511999435670001</v>
      </c>
      <c r="AE6740">
        <v>-12.661951999999999</v>
      </c>
      <c r="AF6740">
        <v>7.1247632738892204</v>
      </c>
      <c r="AG6740">
        <v>-1.0511999435670001</v>
      </c>
      <c r="AH6740">
        <v>10.3668443204583</v>
      </c>
      <c r="AI6740">
        <v>94.776948251243496</v>
      </c>
      <c r="AJ6740">
        <v>55.500643501377397</v>
      </c>
      <c r="AK6740">
        <v>12.6229447513222</v>
      </c>
      <c r="AL6740">
        <v>82.850577943762602</v>
      </c>
      <c r="AM6740">
        <v>64.803468999885098</v>
      </c>
      <c r="AN6740">
        <v>1.0000000485473799</v>
      </c>
    </row>
    <row r="6741" spans="1:40" x14ac:dyDescent="0.25">
      <c r="A6741" t="str">
        <f>"20190312172245496"</f>
        <v>20190312172245496</v>
      </c>
      <c r="B6741" t="str">
        <f>"1552382565487270"</f>
        <v>1552382565487270</v>
      </c>
      <c r="C6741" t="s">
        <v>40</v>
      </c>
      <c r="D6741">
        <v>3.2671220000000001</v>
      </c>
      <c r="E6741">
        <v>0.55968669999999998</v>
      </c>
      <c r="F6741" t="s">
        <v>42</v>
      </c>
      <c r="G6741">
        <v>-304.07470000000001</v>
      </c>
      <c r="H6741" s="1">
        <v>-3.1579560000000001E-6</v>
      </c>
      <c r="I6741">
        <v>-5.0756550000000002</v>
      </c>
      <c r="J6741">
        <v>-304.32220000000001</v>
      </c>
      <c r="K6741">
        <v>1.051218</v>
      </c>
      <c r="L6741">
        <v>6.9012149999999997</v>
      </c>
      <c r="M6741">
        <v>0.57381890000000002</v>
      </c>
      <c r="N6741">
        <v>0</v>
      </c>
      <c r="O6741">
        <v>-0.81884069999999998</v>
      </c>
      <c r="P6741">
        <v>0.175119</v>
      </c>
      <c r="Q6741">
        <v>0.1215743</v>
      </c>
      <c r="R6741">
        <v>-0.97701249999999995</v>
      </c>
      <c r="S6741">
        <v>9.3811039999999998E-2</v>
      </c>
      <c r="T6741">
        <v>-0.26700069999999998</v>
      </c>
      <c r="U6741">
        <v>-3.0924070000000001</v>
      </c>
      <c r="V6741">
        <v>0.4202381</v>
      </c>
      <c r="W6741">
        <v>0.1257877</v>
      </c>
      <c r="X6741">
        <v>0.89865309999999898</v>
      </c>
      <c r="Y6741">
        <v>0.54865319999999995</v>
      </c>
      <c r="Z6741">
        <v>5.5693729999999997E-2</v>
      </c>
      <c r="AA6741">
        <v>0.83419290000000001</v>
      </c>
      <c r="AB6741">
        <v>22</v>
      </c>
      <c r="AC6741">
        <v>0.247500000000002</v>
      </c>
      <c r="AD6741">
        <v>-1.051221157956</v>
      </c>
      <c r="AE6741">
        <v>-11.97687</v>
      </c>
      <c r="AF6741">
        <v>6.6196898078178004</v>
      </c>
      <c r="AG6741">
        <v>-1.051221157956</v>
      </c>
      <c r="AH6741">
        <v>9.8742855516331804</v>
      </c>
      <c r="AI6741">
        <v>95.053403323231706</v>
      </c>
      <c r="AJ6741">
        <v>56.162224983338</v>
      </c>
      <c r="AK6741">
        <v>11.934273091808</v>
      </c>
      <c r="AL6741">
        <v>82.773753274749197</v>
      </c>
      <c r="AM6741">
        <v>64.937749204476304</v>
      </c>
      <c r="AN6741">
        <v>1.0000000001512499</v>
      </c>
    </row>
    <row r="6742" spans="1:40" x14ac:dyDescent="0.25">
      <c r="A6742" t="str">
        <f>"20190312172245517"</f>
        <v>20190312172245517</v>
      </c>
      <c r="B6742" t="str">
        <f>"1552382565506790"</f>
        <v>1552382565506790</v>
      </c>
      <c r="C6742" t="s">
        <v>40</v>
      </c>
      <c r="D6742">
        <v>3.2525149999999998</v>
      </c>
      <c r="E6742">
        <v>0.55895530000000004</v>
      </c>
      <c r="F6742" t="s">
        <v>42</v>
      </c>
      <c r="G6742">
        <v>-304.10019999999997</v>
      </c>
      <c r="H6742" s="1">
        <v>-3.0460839999999999E-6</v>
      </c>
      <c r="I6742">
        <v>-5.3266369999999998</v>
      </c>
      <c r="J6742">
        <v>-304.20490000000001</v>
      </c>
      <c r="K6742">
        <v>1.0512440000000001</v>
      </c>
      <c r="L6742">
        <v>6.7036129999999998</v>
      </c>
      <c r="M6742">
        <v>0.56131719999999996</v>
      </c>
      <c r="N6742">
        <v>0</v>
      </c>
      <c r="O6742">
        <v>-0.82746070000000005</v>
      </c>
      <c r="P6742">
        <v>0.16265929999999901</v>
      </c>
      <c r="Q6742">
        <v>0.1225228</v>
      </c>
      <c r="R6742">
        <v>-0.97904590000000002</v>
      </c>
      <c r="S6742">
        <v>5.6182860000000001E-2</v>
      </c>
      <c r="T6742">
        <v>-0.26595469999999999</v>
      </c>
      <c r="U6742">
        <v>-3.0935969999999999</v>
      </c>
      <c r="V6742">
        <v>0.4179812</v>
      </c>
      <c r="W6742">
        <v>0.12682650000000001</v>
      </c>
      <c r="X6742">
        <v>0.899559199999999</v>
      </c>
      <c r="Y6742">
        <v>0.54611330000000002</v>
      </c>
      <c r="Z6742">
        <v>5.6608539999999999E-2</v>
      </c>
      <c r="AA6742">
        <v>0.83579650000000005</v>
      </c>
      <c r="AB6742">
        <v>22</v>
      </c>
      <c r="AC6742">
        <v>0.104700000000036</v>
      </c>
      <c r="AD6742">
        <v>-1.051247046084</v>
      </c>
      <c r="AE6742">
        <v>-12.030250000000001</v>
      </c>
      <c r="AF6742">
        <v>6.6164054326177402</v>
      </c>
      <c r="AG6742">
        <v>-1.051247046084</v>
      </c>
      <c r="AH6742">
        <v>9.9386052432795609</v>
      </c>
      <c r="AI6742">
        <v>95.0317747033438</v>
      </c>
      <c r="AJ6742">
        <v>56.347191470752698</v>
      </c>
      <c r="AK6742">
        <v>11.985733827447399</v>
      </c>
      <c r="AL6742">
        <v>82.713753887440802</v>
      </c>
      <c r="AM6742">
        <v>65.078009572010501</v>
      </c>
      <c r="AN6742">
        <v>0.99999999948016405</v>
      </c>
    </row>
    <row r="6743" spans="1:40" x14ac:dyDescent="0.25">
      <c r="A6743" t="str">
        <f>"20190312172245539"</f>
        <v>20190312172245539</v>
      </c>
      <c r="B6743" t="str">
        <f>"1552382565537046"</f>
        <v>1552382565537046</v>
      </c>
      <c r="C6743" t="s">
        <v>40</v>
      </c>
      <c r="D6743">
        <v>3.2803819999999999</v>
      </c>
      <c r="E6743">
        <v>0.55806299999999998</v>
      </c>
      <c r="F6743" t="s">
        <v>42</v>
      </c>
      <c r="G6743">
        <v>-304.11320000000001</v>
      </c>
      <c r="H6743" s="1">
        <v>-2.8963729999999998E-6</v>
      </c>
      <c r="I6743">
        <v>-5.65069</v>
      </c>
      <c r="J6743">
        <v>-304.09129999999999</v>
      </c>
      <c r="K6743">
        <v>1.051275</v>
      </c>
      <c r="L6743">
        <v>6.5056760000000002</v>
      </c>
      <c r="M6743">
        <v>0.54876639999999999</v>
      </c>
      <c r="N6743">
        <v>0</v>
      </c>
      <c r="O6743">
        <v>-0.835837099999999</v>
      </c>
      <c r="P6743">
        <v>0.1504973</v>
      </c>
      <c r="Q6743">
        <v>0.1228622</v>
      </c>
      <c r="R6743">
        <v>-0.98094650000000005</v>
      </c>
      <c r="S6743">
        <v>2.2949219999999999E-2</v>
      </c>
      <c r="T6743">
        <v>-0.2632157</v>
      </c>
      <c r="U6743">
        <v>-3.0933229999999998</v>
      </c>
      <c r="V6743">
        <v>0.41554020000000003</v>
      </c>
      <c r="W6743">
        <v>0.1272645</v>
      </c>
      <c r="X6743">
        <v>0.90062759999999997</v>
      </c>
      <c r="Y6743">
        <v>0.54245480000000001</v>
      </c>
      <c r="Z6743">
        <v>5.7177609999999997E-2</v>
      </c>
      <c r="AA6743">
        <v>0.83813700000000002</v>
      </c>
      <c r="AB6743">
        <v>22</v>
      </c>
      <c r="AC6743">
        <v>-2.1900000000016399E-2</v>
      </c>
      <c r="AD6743">
        <v>-1.0512778963730001</v>
      </c>
      <c r="AE6743">
        <v>-12.156366</v>
      </c>
      <c r="AF6743">
        <v>6.6404236623544497</v>
      </c>
      <c r="AG6743">
        <v>-1.0512778963730001</v>
      </c>
      <c r="AH6743">
        <v>10.0745554825415</v>
      </c>
      <c r="AI6743">
        <v>94.979391320669507</v>
      </c>
      <c r="AJ6743">
        <v>56.6099967355158</v>
      </c>
      <c r="AK6743">
        <v>12.111856992293401</v>
      </c>
      <c r="AL6743">
        <v>82.688453269961698</v>
      </c>
      <c r="AM6743">
        <v>65.231891593010502</v>
      </c>
      <c r="AN6743">
        <v>0.99999999232902403</v>
      </c>
    </row>
    <row r="6744" spans="1:40" x14ac:dyDescent="0.25">
      <c r="A6744" t="str">
        <f>"20190312172245562"</f>
        <v>20190312172245562</v>
      </c>
      <c r="B6744" t="str">
        <f>"1552382565557547"</f>
        <v>1552382565557547</v>
      </c>
      <c r="C6744" t="s">
        <v>40</v>
      </c>
      <c r="D6744">
        <v>3.2973789999999998</v>
      </c>
      <c r="E6744">
        <v>0.55376259999999999</v>
      </c>
      <c r="F6744" t="s">
        <v>42</v>
      </c>
      <c r="G6744">
        <v>-304.12599999999998</v>
      </c>
      <c r="H6744" s="1">
        <v>-2.8678689999999999E-6</v>
      </c>
      <c r="I6744">
        <v>-5.7182139999999997</v>
      </c>
      <c r="J6744">
        <v>-303.98090000000002</v>
      </c>
      <c r="K6744">
        <v>1.051299</v>
      </c>
      <c r="L6744">
        <v>6.3059079999999996</v>
      </c>
      <c r="M6744">
        <v>0.5360916</v>
      </c>
      <c r="N6744">
        <v>0</v>
      </c>
      <c r="O6744">
        <v>-0.8440223</v>
      </c>
      <c r="P6744">
        <v>0.13849310000000001</v>
      </c>
      <c r="Q6744">
        <v>0.123679</v>
      </c>
      <c r="R6744">
        <v>-0.98261030000000005</v>
      </c>
      <c r="S6744">
        <v>-8.7890629999999997E-3</v>
      </c>
      <c r="T6744">
        <v>-0.26600000000000001</v>
      </c>
      <c r="U6744">
        <v>-3.0929570000000002</v>
      </c>
      <c r="V6744">
        <v>0.41290969999999999</v>
      </c>
      <c r="W6744">
        <v>0.1281852</v>
      </c>
      <c r="X6744">
        <v>0.90170620000000001</v>
      </c>
      <c r="Y6744">
        <v>0.53837609999999902</v>
      </c>
      <c r="Z6744">
        <v>5.8928080000000001E-2</v>
      </c>
      <c r="AA6744">
        <v>0.84064189999999905</v>
      </c>
      <c r="AB6744">
        <v>22</v>
      </c>
      <c r="AC6744">
        <v>-0.14509999999995599</v>
      </c>
      <c r="AD6744">
        <v>-1.051301867869</v>
      </c>
      <c r="AE6744">
        <v>-12.024122</v>
      </c>
      <c r="AF6744">
        <v>6.5194305995689597</v>
      </c>
      <c r="AG6744">
        <v>-1.051301867869</v>
      </c>
      <c r="AH6744">
        <v>9.9956092684124407</v>
      </c>
      <c r="AI6744">
        <v>95.0344521421341</v>
      </c>
      <c r="AJ6744">
        <v>56.886426155701898</v>
      </c>
      <c r="AK6744">
        <v>11.980000651367</v>
      </c>
      <c r="AL6744">
        <v>82.635265239136302</v>
      </c>
      <c r="AM6744">
        <v>65.395988418530393</v>
      </c>
      <c r="AN6744">
        <v>0.99999996848578399</v>
      </c>
    </row>
    <row r="6745" spans="1:40" x14ac:dyDescent="0.25">
      <c r="A6745" t="str">
        <f>"20190312172245584"</f>
        <v>20190312172245584</v>
      </c>
      <c r="B6745" t="str">
        <f>"1552382565577061"</f>
        <v>1552382565577061</v>
      </c>
      <c r="C6745" t="s">
        <v>40</v>
      </c>
      <c r="D6745">
        <v>3.2732899999999998</v>
      </c>
      <c r="E6745">
        <v>0.5529982</v>
      </c>
      <c r="F6745" t="s">
        <v>42</v>
      </c>
      <c r="G6745">
        <v>-304.02980000000002</v>
      </c>
      <c r="H6745" s="1">
        <v>-3.0594700000000001E-6</v>
      </c>
      <c r="I6745">
        <v>-5.258718</v>
      </c>
      <c r="J6745">
        <v>-303.8741</v>
      </c>
      <c r="K6745">
        <v>1.051337</v>
      </c>
      <c r="L6745">
        <v>6.1055910000000004</v>
      </c>
      <c r="M6745">
        <v>0.52336159999999998</v>
      </c>
      <c r="N6745">
        <v>0</v>
      </c>
      <c r="O6745">
        <v>-0.85197469999999997</v>
      </c>
      <c r="P6745">
        <v>0.126442</v>
      </c>
      <c r="Q6745">
        <v>0.1249487</v>
      </c>
      <c r="R6745">
        <v>-0.98407359999999999</v>
      </c>
      <c r="S6745">
        <v>-1.306152E-2</v>
      </c>
      <c r="T6745">
        <v>-0.28092919999999999</v>
      </c>
      <c r="U6745">
        <v>-3.0903019999999999</v>
      </c>
      <c r="V6745">
        <v>0.41035290000000002</v>
      </c>
      <c r="W6745">
        <v>0.12955559999999999</v>
      </c>
      <c r="X6745">
        <v>0.90267710000000001</v>
      </c>
      <c r="Y6745">
        <v>0.52683459999999904</v>
      </c>
      <c r="Z6745">
        <v>6.3670080000000004E-2</v>
      </c>
      <c r="AA6745">
        <v>0.84757979999999999</v>
      </c>
      <c r="AB6745">
        <v>22</v>
      </c>
      <c r="AC6745">
        <v>-0.15570000000002401</v>
      </c>
      <c r="AD6745">
        <v>-1.05134005947</v>
      </c>
      <c r="AE6745">
        <v>-11.364309</v>
      </c>
      <c r="AF6745">
        <v>6.0294067529188302</v>
      </c>
      <c r="AG6745">
        <v>-1.05134005947</v>
      </c>
      <c r="AH6745">
        <v>9.5202645966381105</v>
      </c>
      <c r="AI6745">
        <v>95.329999535610199</v>
      </c>
      <c r="AJ6745">
        <v>57.652960947465402</v>
      </c>
      <c r="AK6745">
        <v>11.317884064735299</v>
      </c>
      <c r="AL6745">
        <v>82.556087481541098</v>
      </c>
      <c r="AM6745">
        <v>65.553671367630102</v>
      </c>
      <c r="AN6745">
        <v>1.0000000514470799</v>
      </c>
    </row>
    <row r="6746" spans="1:40" x14ac:dyDescent="0.25">
      <c r="A6746" t="str">
        <f>"20190312172245601"</f>
        <v>20190312172245601</v>
      </c>
      <c r="B6746" t="str">
        <f>"1552382565597553"</f>
        <v>1552382565597553</v>
      </c>
      <c r="C6746" t="s">
        <v>40</v>
      </c>
      <c r="D6746">
        <v>3.2855210000000001</v>
      </c>
      <c r="E6746">
        <v>0.5522456</v>
      </c>
      <c r="F6746" t="s">
        <v>42</v>
      </c>
      <c r="G6746">
        <v>-304.04360000000003</v>
      </c>
      <c r="H6746" s="1">
        <v>-2.89835E-6</v>
      </c>
      <c r="I6746">
        <v>-5.6073500000000003</v>
      </c>
      <c r="J6746">
        <v>-303.79559999999998</v>
      </c>
      <c r="K6746">
        <v>1.051361</v>
      </c>
      <c r="L6746">
        <v>5.9538880000000001</v>
      </c>
      <c r="M6746">
        <v>0.51370490000000002</v>
      </c>
      <c r="N6746">
        <v>0</v>
      </c>
      <c r="O6746">
        <v>-0.85783189999999998</v>
      </c>
      <c r="P6746">
        <v>0.1167028</v>
      </c>
      <c r="Q6746">
        <v>0.12522179999999999</v>
      </c>
      <c r="R6746">
        <v>-0.98524149999999999</v>
      </c>
      <c r="S6746">
        <v>-4.4708249999999998E-2</v>
      </c>
      <c r="T6746">
        <v>-0.27731060000000002</v>
      </c>
      <c r="U6746">
        <v>-3.0895079999999999</v>
      </c>
      <c r="V6746">
        <v>0.40906360000000003</v>
      </c>
      <c r="W6746">
        <v>0.1298861</v>
      </c>
      <c r="X6746">
        <v>0.90321459999999998</v>
      </c>
      <c r="Y6746">
        <v>0.52592510000000003</v>
      </c>
      <c r="Z6746">
        <v>6.3660960000000003E-2</v>
      </c>
      <c r="AA6746">
        <v>0.84814509999999899</v>
      </c>
      <c r="AB6746">
        <v>22</v>
      </c>
      <c r="AC6746">
        <v>-0.24800000000004699</v>
      </c>
      <c r="AD6746">
        <v>-1.05136389835</v>
      </c>
      <c r="AE6746">
        <v>-11.561237999999999</v>
      </c>
      <c r="AF6746">
        <v>6.1020797028893998</v>
      </c>
      <c r="AG6746">
        <v>-1.05136389835</v>
      </c>
      <c r="AH6746">
        <v>9.7110623152671796</v>
      </c>
      <c r="AI6746">
        <v>95.237626265372697</v>
      </c>
      <c r="AJ6746">
        <v>57.856234138734699</v>
      </c>
      <c r="AK6746">
        <v>11.5171816881636</v>
      </c>
      <c r="AL6746">
        <v>82.536989632508906</v>
      </c>
      <c r="AM6746">
        <v>65.634348474644696</v>
      </c>
      <c r="AN6746">
        <v>1.0000000207356601</v>
      </c>
    </row>
    <row r="6747" spans="1:40" x14ac:dyDescent="0.25">
      <c r="A6747" t="str">
        <f>"20190312172245617"</f>
        <v>20190312172245617</v>
      </c>
      <c r="B6747" t="str">
        <f>"1552382565607313"</f>
        <v>1552382565607313</v>
      </c>
      <c r="C6747" t="s">
        <v>40</v>
      </c>
      <c r="D6747">
        <v>3.302082</v>
      </c>
      <c r="E6747">
        <v>0.55179650000000002</v>
      </c>
      <c r="F6747" t="s">
        <v>42</v>
      </c>
      <c r="G6747">
        <v>-304.0564</v>
      </c>
      <c r="H6747" s="1">
        <v>-2.8626700000000002E-6</v>
      </c>
      <c r="I6747">
        <v>-5.6900190000000004</v>
      </c>
      <c r="J6747">
        <v>-303.7183</v>
      </c>
      <c r="K6747">
        <v>1.051385</v>
      </c>
      <c r="L6747">
        <v>5.7999269999999896</v>
      </c>
      <c r="M6747">
        <v>0.50390230000000003</v>
      </c>
      <c r="N6747">
        <v>0</v>
      </c>
      <c r="O6747">
        <v>-0.86362640000000002</v>
      </c>
      <c r="P6747">
        <v>0.10792069999999999</v>
      </c>
      <c r="Q6747">
        <v>0.1262433</v>
      </c>
      <c r="R6747">
        <v>-0.98611159999999998</v>
      </c>
      <c r="S6747">
        <v>-6.9183350000000005E-2</v>
      </c>
      <c r="T6747">
        <v>-0.27887849999999997</v>
      </c>
      <c r="U6747">
        <v>-3.0885929999999999</v>
      </c>
      <c r="V6747">
        <v>0.4067692</v>
      </c>
      <c r="W6747">
        <v>0.13099189999999999</v>
      </c>
      <c r="X6747">
        <v>0.90409070000000002</v>
      </c>
      <c r="Y6747">
        <v>0.52296109999999996</v>
      </c>
      <c r="Z6747">
        <v>6.4883460000000004E-2</v>
      </c>
      <c r="AA6747">
        <v>0.84988339999999996</v>
      </c>
      <c r="AB6747">
        <v>22</v>
      </c>
      <c r="AC6747">
        <v>-0.33809999999999701</v>
      </c>
      <c r="AD6747">
        <v>-1.05138786267</v>
      </c>
      <c r="AE6747">
        <v>-11.489946</v>
      </c>
      <c r="AF6747">
        <v>6.0320440113249001</v>
      </c>
      <c r="AG6747">
        <v>-1.05138786267</v>
      </c>
      <c r="AH6747">
        <v>9.6728599751669702</v>
      </c>
      <c r="AI6747">
        <v>95.269518102139102</v>
      </c>
      <c r="AJ6747">
        <v>58.052128156502</v>
      </c>
      <c r="AK6747">
        <v>11.4479339398652</v>
      </c>
      <c r="AL6747">
        <v>82.473086032676207</v>
      </c>
      <c r="AM6747">
        <v>65.776029034172296</v>
      </c>
      <c r="AN6747">
        <v>1.0000000268803599</v>
      </c>
    </row>
    <row r="6748" spans="1:40" x14ac:dyDescent="0.25">
      <c r="A6748" t="str">
        <f>"20190312172245641"</f>
        <v>20190312172245641</v>
      </c>
      <c r="B6748" t="str">
        <f>"1552382565637569"</f>
        <v>1552382565637569</v>
      </c>
      <c r="C6748" t="s">
        <v>40</v>
      </c>
      <c r="D6748">
        <v>3.2997299999999998</v>
      </c>
      <c r="E6748">
        <v>0.54715519999999995</v>
      </c>
      <c r="F6748" t="s">
        <v>42</v>
      </c>
      <c r="G6748">
        <v>-304.07429999999999</v>
      </c>
      <c r="H6748" s="1">
        <v>-2.7365960000000001E-6</v>
      </c>
      <c r="I6748">
        <v>-5.9667909999999997</v>
      </c>
      <c r="J6748">
        <v>-303.61750000000001</v>
      </c>
      <c r="K6748">
        <v>1.051426</v>
      </c>
      <c r="L6748">
        <v>5.592651</v>
      </c>
      <c r="M6748">
        <v>0.49068640000000002</v>
      </c>
      <c r="N6748">
        <v>0</v>
      </c>
      <c r="O6748">
        <v>-0.87120319999999996</v>
      </c>
      <c r="P6748">
        <v>9.858567E-2</v>
      </c>
      <c r="Q6748">
        <v>0.12704089999999901</v>
      </c>
      <c r="R6748">
        <v>-0.98698629999999998</v>
      </c>
      <c r="S6748">
        <v>-9.341431E-2</v>
      </c>
      <c r="T6748">
        <v>-0.27590300000000001</v>
      </c>
      <c r="U6748">
        <v>-3.087799</v>
      </c>
      <c r="V6748">
        <v>0.4014913</v>
      </c>
      <c r="W6748">
        <v>0.13196569999999999</v>
      </c>
      <c r="X6748">
        <v>0.90630560000000004</v>
      </c>
      <c r="Y6748">
        <v>0.51664339999999997</v>
      </c>
      <c r="Z6748">
        <v>6.5378350000000002E-2</v>
      </c>
      <c r="AA6748">
        <v>0.85370089999999998</v>
      </c>
      <c r="AB6748">
        <v>22</v>
      </c>
      <c r="AC6748">
        <v>-0.45679999999998699</v>
      </c>
      <c r="AD6748">
        <v>-1.051428736596</v>
      </c>
      <c r="AE6748">
        <v>-11.559442000000001</v>
      </c>
      <c r="AF6748">
        <v>6.0209937263977</v>
      </c>
      <c r="AG6748">
        <v>-1.051428736596</v>
      </c>
      <c r="AH6748">
        <v>9.7669387647183399</v>
      </c>
      <c r="AI6748">
        <v>95.235862856153503</v>
      </c>
      <c r="AJ6748">
        <v>58.347545153003303</v>
      </c>
      <c r="AK6748">
        <v>11.5217603114809</v>
      </c>
      <c r="AL6748">
        <v>82.416802793808102</v>
      </c>
      <c r="AM6748">
        <v>66.106767367991694</v>
      </c>
      <c r="AN6748">
        <v>1.00000002527176</v>
      </c>
    </row>
    <row r="6749" spans="1:40" x14ac:dyDescent="0.25">
      <c r="A6749" t="str">
        <f>"20190312172245662"</f>
        <v>20190312172245662</v>
      </c>
      <c r="B6749" t="str">
        <f>"1552382565657088"</f>
        <v>1552382565657088</v>
      </c>
      <c r="C6749" t="s">
        <v>40</v>
      </c>
      <c r="D6749">
        <v>3.318368</v>
      </c>
      <c r="E6749">
        <v>0.54629669999999997</v>
      </c>
      <c r="F6749" t="s">
        <v>42</v>
      </c>
      <c r="G6749">
        <v>-303.94409999999999</v>
      </c>
      <c r="H6749" s="1">
        <v>-2.689738E-6</v>
      </c>
      <c r="I6749">
        <v>-5.9926389999999996</v>
      </c>
      <c r="J6749">
        <v>-303.5206</v>
      </c>
      <c r="K6749">
        <v>1.0514520000000001</v>
      </c>
      <c r="L6749">
        <v>5.3849179999999999</v>
      </c>
      <c r="M6749">
        <v>0.47743380000000002</v>
      </c>
      <c r="N6749">
        <v>0</v>
      </c>
      <c r="O6749">
        <v>-0.87853619999999899</v>
      </c>
      <c r="P6749">
        <v>8.7299409999999994E-2</v>
      </c>
      <c r="Q6749">
        <v>0.12668979999999999</v>
      </c>
      <c r="R6749">
        <v>-0.98809369999999996</v>
      </c>
      <c r="S6749">
        <v>-8.6944579999999994E-2</v>
      </c>
      <c r="T6749">
        <v>-0.27991339999999998</v>
      </c>
      <c r="U6749">
        <v>-3.0842589999999999</v>
      </c>
      <c r="V6749">
        <v>0.39811639999999998</v>
      </c>
      <c r="W6749">
        <v>0.13173589999999999</v>
      </c>
      <c r="X6749">
        <v>0.90782649999999998</v>
      </c>
      <c r="Y6749">
        <v>0.50184479999999998</v>
      </c>
      <c r="Z6749">
        <v>6.779462E-2</v>
      </c>
      <c r="AA6749">
        <v>0.86229679999999997</v>
      </c>
      <c r="AB6749">
        <v>22</v>
      </c>
      <c r="AC6749">
        <v>-0.42349999999999</v>
      </c>
      <c r="AD6749">
        <v>-1.0514546897379999</v>
      </c>
      <c r="AE6749">
        <v>-11.377556999999999</v>
      </c>
      <c r="AF6749">
        <v>5.7556728793557603</v>
      </c>
      <c r="AG6749">
        <v>-1.0514546897379999</v>
      </c>
      <c r="AH6749">
        <v>9.7117063313365595</v>
      </c>
      <c r="AI6749">
        <v>95.321090800231403</v>
      </c>
      <c r="AJ6749">
        <v>59.346766243977797</v>
      </c>
      <c r="AK6749">
        <v>11.338014249631399</v>
      </c>
      <c r="AL6749">
        <v>82.430085016882998</v>
      </c>
      <c r="AM6749">
        <v>66.320723899213206</v>
      </c>
      <c r="AN6749">
        <v>0.99999998470000895</v>
      </c>
    </row>
    <row r="6750" spans="1:40" x14ac:dyDescent="0.25">
      <c r="A6750" t="str">
        <f>"20190312172245685"</f>
        <v>20190312172245685</v>
      </c>
      <c r="B6750" t="str">
        <f>"1552382565677588"</f>
        <v>1552382565677588</v>
      </c>
      <c r="C6750" t="s">
        <v>40</v>
      </c>
      <c r="D6750">
        <v>3.281857</v>
      </c>
      <c r="E6750">
        <v>0.54567359999999998</v>
      </c>
      <c r="F6750" t="s">
        <v>42</v>
      </c>
      <c r="G6750">
        <v>-303.95639999999997</v>
      </c>
      <c r="H6750" s="1">
        <v>-2.6028439999999998E-6</v>
      </c>
      <c r="I6750">
        <v>-6.1833830000000001</v>
      </c>
      <c r="J6750">
        <v>-303.42540000000002</v>
      </c>
      <c r="K6750">
        <v>1.051488</v>
      </c>
      <c r="L6750">
        <v>5.172485</v>
      </c>
      <c r="M6750">
        <v>0.4638697</v>
      </c>
      <c r="N6750">
        <v>0</v>
      </c>
      <c r="O6750">
        <v>-0.88577280000000003</v>
      </c>
      <c r="P6750">
        <v>7.6312080000000004E-2</v>
      </c>
      <c r="Q6750">
        <v>0.12771540000000001</v>
      </c>
      <c r="R6750">
        <v>-0.9888709</v>
      </c>
      <c r="S6750">
        <v>-0.1161194</v>
      </c>
      <c r="T6750">
        <v>-0.28015659999999998</v>
      </c>
      <c r="U6750">
        <v>-3.0823360000000002</v>
      </c>
      <c r="V6750">
        <v>0.39418880000000001</v>
      </c>
      <c r="W6750">
        <v>0.13289670000000001</v>
      </c>
      <c r="X6750">
        <v>0.90936989999999995</v>
      </c>
      <c r="Y6750">
        <v>0.4967106</v>
      </c>
      <c r="Z6750">
        <v>6.8990800000000005E-2</v>
      </c>
      <c r="AA6750">
        <v>0.86516979999999999</v>
      </c>
      <c r="AB6750">
        <v>22</v>
      </c>
      <c r="AC6750">
        <v>-0.53099999999994896</v>
      </c>
      <c r="AD6750">
        <v>-1.0514906028440001</v>
      </c>
      <c r="AE6750">
        <v>-11.355867999999999</v>
      </c>
      <c r="AF6750">
        <v>5.6899746698363396</v>
      </c>
      <c r="AG6750">
        <v>-1.0514906028440001</v>
      </c>
      <c r="AH6750">
        <v>9.7302969236130501</v>
      </c>
      <c r="AI6750">
        <v>95.329396057664198</v>
      </c>
      <c r="AJ6750">
        <v>59.682233452887303</v>
      </c>
      <c r="AK6750">
        <v>11.320782766793201</v>
      </c>
      <c r="AL6750">
        <v>82.362986062808005</v>
      </c>
      <c r="AM6750">
        <v>66.5644906919768</v>
      </c>
      <c r="AN6750">
        <v>0.99999997897116899</v>
      </c>
    </row>
    <row r="6751" spans="1:40" x14ac:dyDescent="0.25">
      <c r="A6751" t="str">
        <f>"20190312172245707"</f>
        <v>20190312172245707</v>
      </c>
      <c r="B6751" t="str">
        <f>"1552382565697104"</f>
        <v>1552382565697104</v>
      </c>
      <c r="C6751" t="s">
        <v>40</v>
      </c>
      <c r="D6751">
        <v>3.3004030000000002</v>
      </c>
      <c r="E6751">
        <v>0.54243999999999903</v>
      </c>
      <c r="F6751" t="s">
        <v>42</v>
      </c>
      <c r="G6751">
        <v>-303.9735</v>
      </c>
      <c r="H6751" s="1">
        <v>-2.4809179999999999E-6</v>
      </c>
      <c r="I6751">
        <v>-6.4509220000000003</v>
      </c>
      <c r="J6751">
        <v>-303.3374</v>
      </c>
      <c r="K6751">
        <v>1.051539</v>
      </c>
      <c r="L6751">
        <v>4.9681089999999903</v>
      </c>
      <c r="M6751">
        <v>0.4508141</v>
      </c>
      <c r="N6751">
        <v>0</v>
      </c>
      <c r="O6751">
        <v>-0.89248830000000001</v>
      </c>
      <c r="P6751">
        <v>6.6251550000000006E-2</v>
      </c>
      <c r="Q6751">
        <v>0.12921759999999999</v>
      </c>
      <c r="R6751">
        <v>-0.98940099999999997</v>
      </c>
      <c r="S6751">
        <v>-0.1452637</v>
      </c>
      <c r="T6751">
        <v>-0.27871380000000001</v>
      </c>
      <c r="U6751">
        <v>-3.0809630000000001</v>
      </c>
      <c r="V6751">
        <v>0.3900071</v>
      </c>
      <c r="W6751">
        <v>0.1345412</v>
      </c>
      <c r="X6751">
        <v>0.91092980000000001</v>
      </c>
      <c r="Y6751">
        <v>0.49215170000000003</v>
      </c>
      <c r="Z6751">
        <v>6.9670670000000004E-2</v>
      </c>
      <c r="AA6751">
        <v>0.86771699999999996</v>
      </c>
      <c r="AB6751">
        <v>22</v>
      </c>
      <c r="AC6751">
        <v>-0.636099999999999</v>
      </c>
      <c r="AD6751">
        <v>-1.0515414809179999</v>
      </c>
      <c r="AE6751">
        <v>-11.419031</v>
      </c>
      <c r="AF6751">
        <v>5.6683146155380699</v>
      </c>
      <c r="AG6751">
        <v>-1.0515414809179999</v>
      </c>
      <c r="AH6751">
        <v>9.8226957983399199</v>
      </c>
      <c r="AI6751">
        <v>95.297403063296699</v>
      </c>
      <c r="AJ6751">
        <v>60.012344662882299</v>
      </c>
      <c r="AK6751">
        <v>11.3895075755512</v>
      </c>
      <c r="AL6751">
        <v>82.267909342305899</v>
      </c>
      <c r="AM6751">
        <v>66.822210204339498</v>
      </c>
      <c r="AN6751">
        <v>0.99999998653794497</v>
      </c>
    </row>
    <row r="6752" spans="1:40" x14ac:dyDescent="0.25">
      <c r="A6752" t="str">
        <f>"20190312172245729"</f>
        <v>20190312172245729</v>
      </c>
      <c r="B6752" t="str">
        <f>"1552382565727361"</f>
        <v>1552382565727361</v>
      </c>
      <c r="C6752" t="s">
        <v>40</v>
      </c>
      <c r="D6752">
        <v>3.2782830000000001</v>
      </c>
      <c r="E6752">
        <v>0.54052849999999997</v>
      </c>
      <c r="F6752" t="s">
        <v>42</v>
      </c>
      <c r="G6752">
        <v>-303.89170000000001</v>
      </c>
      <c r="H6752" s="1">
        <v>-2.5191869999999998E-6</v>
      </c>
      <c r="I6752">
        <v>-6.3239070000000002</v>
      </c>
      <c r="J6752">
        <v>-303.25200000000001</v>
      </c>
      <c r="K6752">
        <v>1.0515909999999999</v>
      </c>
      <c r="L6752">
        <v>4.7613830000000004</v>
      </c>
      <c r="M6752">
        <v>0.43762020000000001</v>
      </c>
      <c r="N6752">
        <v>0</v>
      </c>
      <c r="O6752">
        <v>-0.89903159999999904</v>
      </c>
      <c r="P6752">
        <v>5.5844299999999999E-2</v>
      </c>
      <c r="Q6752">
        <v>0.13070190000000001</v>
      </c>
      <c r="R6752">
        <v>-0.98984799999999995</v>
      </c>
      <c r="S6752">
        <v>-0.1511536</v>
      </c>
      <c r="T6752">
        <v>-0.2867905</v>
      </c>
      <c r="U6752">
        <v>-3.0797119999999998</v>
      </c>
      <c r="V6752">
        <v>0.38609110000000002</v>
      </c>
      <c r="W6752">
        <v>0.13616600000000001</v>
      </c>
      <c r="X6752">
        <v>0.91235549999999999</v>
      </c>
      <c r="Y6752">
        <v>0.48095549999999998</v>
      </c>
      <c r="Z6752">
        <v>7.2899539999999999E-2</v>
      </c>
      <c r="AA6752">
        <v>0.87370899999999996</v>
      </c>
      <c r="AB6752">
        <v>22</v>
      </c>
      <c r="AC6752">
        <v>-0.63970000000000404</v>
      </c>
      <c r="AD6752">
        <v>-1.0515935191869901</v>
      </c>
      <c r="AE6752">
        <v>-11.085289999999899</v>
      </c>
      <c r="AF6752">
        <v>5.3786409196337504</v>
      </c>
      <c r="AG6752">
        <v>-1.0515935191869901</v>
      </c>
      <c r="AH6752">
        <v>9.6010831987683201</v>
      </c>
      <c r="AI6752">
        <v>95.458368659574901</v>
      </c>
      <c r="AJ6752">
        <v>60.7419326186888</v>
      </c>
      <c r="AK6752">
        <v>11.055153805426</v>
      </c>
      <c r="AL6752">
        <v>82.173950880633001</v>
      </c>
      <c r="AM6752">
        <v>67.062863895897806</v>
      </c>
      <c r="AN6752">
        <v>1.0000000377177201</v>
      </c>
    </row>
    <row r="6753" spans="1:40" x14ac:dyDescent="0.25">
      <c r="A6753" t="str">
        <f>"20190312172245752"</f>
        <v>20190312172245752</v>
      </c>
      <c r="B6753" t="str">
        <f>"1552382565746881"</f>
        <v>1552382565746881</v>
      </c>
      <c r="C6753" t="s">
        <v>40</v>
      </c>
      <c r="D6753">
        <v>3.265857</v>
      </c>
      <c r="E6753">
        <v>0.53976659999999999</v>
      </c>
      <c r="F6753" t="s">
        <v>42</v>
      </c>
      <c r="G6753">
        <v>-303.88510000000002</v>
      </c>
      <c r="H6753" s="1">
        <v>-2.3416659999999999E-6</v>
      </c>
      <c r="I6753">
        <v>-6.6957869999999904</v>
      </c>
      <c r="J6753">
        <v>-303.1669</v>
      </c>
      <c r="K6753">
        <v>1.0516570000000001</v>
      </c>
      <c r="L6753">
        <v>4.5465390000000001</v>
      </c>
      <c r="M6753">
        <v>0.42394029999999999</v>
      </c>
      <c r="N6753">
        <v>0</v>
      </c>
      <c r="O6753">
        <v>-0.9055628</v>
      </c>
      <c r="P6753">
        <v>4.5357729999999999E-2</v>
      </c>
      <c r="Q6753">
        <v>0.13213349999999999</v>
      </c>
      <c r="R6753">
        <v>-0.99019380000000001</v>
      </c>
      <c r="S6753">
        <v>-0.17007449999999999</v>
      </c>
      <c r="T6753">
        <v>-0.28248289999999998</v>
      </c>
      <c r="U6753">
        <v>-3.0776669999999999</v>
      </c>
      <c r="V6753">
        <v>0.38184069999999998</v>
      </c>
      <c r="W6753">
        <v>0.13775780000000001</v>
      </c>
      <c r="X6753">
        <v>0.91390400000000005</v>
      </c>
      <c r="Y6753">
        <v>0.47304350000000001</v>
      </c>
      <c r="Z6753">
        <v>7.2937879999999997E-2</v>
      </c>
      <c r="AA6753">
        <v>0.87801469999999904</v>
      </c>
      <c r="AB6753">
        <v>22</v>
      </c>
      <c r="AC6753">
        <v>-0.71820000000002404</v>
      </c>
      <c r="AD6753">
        <v>-1.0516593416660001</v>
      </c>
      <c r="AE6753">
        <v>-11.242325999999901</v>
      </c>
      <c r="AF6753">
        <v>5.3702728820613999</v>
      </c>
      <c r="AG6753">
        <v>-1.0516593416660001</v>
      </c>
      <c r="AH6753">
        <v>9.7919601369984797</v>
      </c>
      <c r="AI6753">
        <v>95.379560871204404</v>
      </c>
      <c r="AJ6753">
        <v>61.258008185160499</v>
      </c>
      <c r="AK6753">
        <v>11.2173214950488</v>
      </c>
      <c r="AL6753">
        <v>82.081879713223202</v>
      </c>
      <c r="AM6753">
        <v>67.324208276074302</v>
      </c>
      <c r="AN6753">
        <v>1.00000002642666</v>
      </c>
    </row>
    <row r="6754" spans="1:40" x14ac:dyDescent="0.25">
      <c r="A6754" t="str">
        <f>"20190312172245774"</f>
        <v>20190312172245774</v>
      </c>
      <c r="B6754" t="str">
        <f>"1552382565767377"</f>
        <v>1552382565767377</v>
      </c>
      <c r="C6754" t="s">
        <v>40</v>
      </c>
      <c r="D6754">
        <v>3.2732999999999999</v>
      </c>
      <c r="E6754">
        <v>0.53920299999999999</v>
      </c>
      <c r="F6754" t="s">
        <v>42</v>
      </c>
      <c r="G6754">
        <v>-303.90809999999999</v>
      </c>
      <c r="H6754" s="1">
        <v>-2.2032770000000001E-6</v>
      </c>
      <c r="I6754">
        <v>-7.0014380000000003</v>
      </c>
      <c r="J6754">
        <v>-303.08699999999999</v>
      </c>
      <c r="K6754">
        <v>1.0517479999999999</v>
      </c>
      <c r="L6754">
        <v>4.3360599999999998</v>
      </c>
      <c r="M6754">
        <v>0.41059230000000002</v>
      </c>
      <c r="N6754">
        <v>0</v>
      </c>
      <c r="O6754">
        <v>-0.91169299999999998</v>
      </c>
      <c r="P6754">
        <v>3.5376560000000001E-2</v>
      </c>
      <c r="Q6754">
        <v>0.13264429999999999</v>
      </c>
      <c r="R6754">
        <v>-0.99053259999999999</v>
      </c>
      <c r="S6754">
        <v>-0.19741819999999999</v>
      </c>
      <c r="T6754">
        <v>-0.28014020000000001</v>
      </c>
      <c r="U6754">
        <v>-3.0761409999999998</v>
      </c>
      <c r="V6754">
        <v>0.37756980000000001</v>
      </c>
      <c r="W6754">
        <v>0.13844210000000001</v>
      </c>
      <c r="X6754">
        <v>0.91557350000000004</v>
      </c>
      <c r="Y6754">
        <v>0.4679027</v>
      </c>
      <c r="Z6754">
        <v>7.3307750000000005E-2</v>
      </c>
      <c r="AA6754">
        <v>0.88073440000000003</v>
      </c>
      <c r="AB6754">
        <v>22</v>
      </c>
      <c r="AC6754">
        <v>-0.82110000000000105</v>
      </c>
      <c r="AD6754">
        <v>-1.0517502032770001</v>
      </c>
      <c r="AE6754">
        <v>-11.337498</v>
      </c>
      <c r="AF6754">
        <v>5.3584286882695302</v>
      </c>
      <c r="AG6754">
        <v>-1.0517502032770001</v>
      </c>
      <c r="AH6754">
        <v>9.9154445126522806</v>
      </c>
      <c r="AI6754">
        <v>95.331240187698398</v>
      </c>
      <c r="AJ6754">
        <v>61.612664805450599</v>
      </c>
      <c r="AK6754">
        <v>11.319672096878399</v>
      </c>
      <c r="AL6754">
        <v>82.042292702147293</v>
      </c>
      <c r="AM6754">
        <v>67.589428962314997</v>
      </c>
      <c r="AN6754">
        <v>1.0000000014133399</v>
      </c>
    </row>
    <row r="6755" spans="1:40" x14ac:dyDescent="0.25">
      <c r="A6755" t="str">
        <f>"20190312172245796"</f>
        <v>20190312172245796</v>
      </c>
      <c r="B6755" t="str">
        <f>"1552382565786897"</f>
        <v>1552382565786897</v>
      </c>
      <c r="C6755" t="s">
        <v>40</v>
      </c>
      <c r="D6755">
        <v>3.2809219999999999</v>
      </c>
      <c r="E6755">
        <v>0.53859190000000001</v>
      </c>
      <c r="F6755" t="s">
        <v>42</v>
      </c>
      <c r="G6755">
        <v>-303.9282</v>
      </c>
      <c r="H6755" s="1">
        <v>-2.1202940000000001E-6</v>
      </c>
      <c r="I6755">
        <v>-7.1883270000000001</v>
      </c>
      <c r="J6755">
        <v>-303.0102</v>
      </c>
      <c r="K6755">
        <v>1.051857</v>
      </c>
      <c r="L6755">
        <v>4.124695</v>
      </c>
      <c r="M6755">
        <v>0.39727970000000001</v>
      </c>
      <c r="N6755">
        <v>0</v>
      </c>
      <c r="O6755">
        <v>-0.91757270000000002</v>
      </c>
      <c r="P6755">
        <v>2.5708410000000001E-2</v>
      </c>
      <c r="Q6755">
        <v>0.13448280000000001</v>
      </c>
      <c r="R6755">
        <v>-0.99058290000000004</v>
      </c>
      <c r="S6755">
        <v>-0.22439580000000001</v>
      </c>
      <c r="T6755">
        <v>-0.28056520000000001</v>
      </c>
      <c r="U6755">
        <v>-3.074249</v>
      </c>
      <c r="V6755">
        <v>0.37307230000000002</v>
      </c>
      <c r="W6755">
        <v>0.1404715</v>
      </c>
      <c r="X6755">
        <v>0.9171068</v>
      </c>
      <c r="Y6755">
        <v>0.46276139999999999</v>
      </c>
      <c r="Z6755">
        <v>7.4361629999999998E-2</v>
      </c>
      <c r="AA6755">
        <v>0.88335849999999905</v>
      </c>
      <c r="AB6755">
        <v>22</v>
      </c>
      <c r="AC6755">
        <v>-0.91800000000000603</v>
      </c>
      <c r="AD6755">
        <v>-1.051859120294</v>
      </c>
      <c r="AE6755">
        <v>-11.313022</v>
      </c>
      <c r="AF6755">
        <v>5.2919286565933401</v>
      </c>
      <c r="AG6755">
        <v>-1.051859120294</v>
      </c>
      <c r="AH6755">
        <v>9.9316690538319996</v>
      </c>
      <c r="AI6755">
        <v>95.339866516359805</v>
      </c>
      <c r="AJ6755">
        <v>61.949801963077</v>
      </c>
      <c r="AK6755">
        <v>11.302608845318099</v>
      </c>
      <c r="AL6755">
        <v>81.924869438033497</v>
      </c>
      <c r="AM6755">
        <v>67.863869867108804</v>
      </c>
      <c r="AN6755">
        <v>1.00000003297288</v>
      </c>
    </row>
    <row r="6756" spans="1:40" x14ac:dyDescent="0.25">
      <c r="A6756" t="str">
        <f>"20190312172245819"</f>
        <v>20190312172245819</v>
      </c>
      <c r="B6756" t="str">
        <f>"1552382565807392"</f>
        <v>1552382565807392</v>
      </c>
      <c r="C6756" t="s">
        <v>40</v>
      </c>
      <c r="D6756">
        <v>3.2594099999999999</v>
      </c>
      <c r="E6756">
        <v>0.53803900000000004</v>
      </c>
      <c r="F6756" t="s">
        <v>42</v>
      </c>
      <c r="G6756">
        <v>-303.964</v>
      </c>
      <c r="H6756" s="1">
        <v>-1.9291790000000002E-6</v>
      </c>
      <c r="I6756">
        <v>-7.6127539999999998</v>
      </c>
      <c r="J6756">
        <v>-302.93549999999999</v>
      </c>
      <c r="K6756">
        <v>1.0519940000000001</v>
      </c>
      <c r="L6756">
        <v>3.9102480000000002</v>
      </c>
      <c r="M6756">
        <v>0.38389200000000001</v>
      </c>
      <c r="N6756">
        <v>0</v>
      </c>
      <c r="O6756">
        <v>-0.92325440000000003</v>
      </c>
      <c r="P6756">
        <v>1.5794260000000001E-2</v>
      </c>
      <c r="Q6756">
        <v>0.13682259999999999</v>
      </c>
      <c r="R6756">
        <v>-0.99047010000000002</v>
      </c>
      <c r="S6756">
        <v>-0.24966430000000001</v>
      </c>
      <c r="T6756">
        <v>-0.27533410000000003</v>
      </c>
      <c r="U6756">
        <v>-3.0723880000000001</v>
      </c>
      <c r="V6756">
        <v>0.36878040000000001</v>
      </c>
      <c r="W6756">
        <v>0.143011</v>
      </c>
      <c r="X6756">
        <v>0.91844919999999997</v>
      </c>
      <c r="Y6756">
        <v>0.45713480000000001</v>
      </c>
      <c r="Z6756">
        <v>7.3895009999999997E-2</v>
      </c>
      <c r="AA6756">
        <v>0.88632239999999995</v>
      </c>
      <c r="AB6756">
        <v>22</v>
      </c>
      <c r="AC6756">
        <v>-1.0285</v>
      </c>
      <c r="AD6756">
        <v>-1.051995929179</v>
      </c>
      <c r="AE6756">
        <v>-11.523002</v>
      </c>
      <c r="AF6756">
        <v>5.3296977031633599</v>
      </c>
      <c r="AG6756">
        <v>-1.051995929179</v>
      </c>
      <c r="AH6756">
        <v>10.1609779512369</v>
      </c>
      <c r="AI6756">
        <v>95.238559003963402</v>
      </c>
      <c r="AJ6756">
        <v>62.3218188822824</v>
      </c>
      <c r="AK6756">
        <v>11.5220591027661</v>
      </c>
      <c r="AL6756">
        <v>81.7778827388222</v>
      </c>
      <c r="AM6756">
        <v>68.123301388639902</v>
      </c>
      <c r="AN6756">
        <v>1.0000000312628901</v>
      </c>
    </row>
    <row r="6757" spans="1:40" x14ac:dyDescent="0.25">
      <c r="A6757" t="str">
        <f>"20190312172245842"</f>
        <v>20190312172245842</v>
      </c>
      <c r="B6757" t="str">
        <f>"1552382565837649"</f>
        <v>1552382565837649</v>
      </c>
      <c r="C6757" t="s">
        <v>40</v>
      </c>
      <c r="D6757">
        <v>3.264154</v>
      </c>
      <c r="E6757">
        <v>0.53321079999999998</v>
      </c>
      <c r="F6757" t="s">
        <v>42</v>
      </c>
      <c r="G6757">
        <v>-304.01909999999998</v>
      </c>
      <c r="H6757" s="1">
        <v>-1.707922E-6</v>
      </c>
      <c r="I6757">
        <v>-8.111834</v>
      </c>
      <c r="J6757">
        <v>-302.863</v>
      </c>
      <c r="K6757">
        <v>1.0521560000000001</v>
      </c>
      <c r="L6757">
        <v>3.6916199999999999</v>
      </c>
      <c r="M6757">
        <v>0.37042209999999998</v>
      </c>
      <c r="N6757">
        <v>0</v>
      </c>
      <c r="O6757">
        <v>-0.92874120000000004</v>
      </c>
      <c r="P6757">
        <v>6.3496459999999996E-3</v>
      </c>
      <c r="Q6757">
        <v>0.1381685</v>
      </c>
      <c r="R6757">
        <v>-0.99038859999999995</v>
      </c>
      <c r="S6757">
        <v>-0.27673340000000002</v>
      </c>
      <c r="T6757">
        <v>-0.26867659999999999</v>
      </c>
      <c r="U6757">
        <v>-3.0704039999999999</v>
      </c>
      <c r="V6757">
        <v>0.36406719999999998</v>
      </c>
      <c r="W6757">
        <v>0.144584299999999</v>
      </c>
      <c r="X6757">
        <v>0.92008179999999995</v>
      </c>
      <c r="Y6757">
        <v>0.45201229999999998</v>
      </c>
      <c r="Z6757">
        <v>7.2969850000000003E-2</v>
      </c>
      <c r="AA6757">
        <v>0.88902209999999904</v>
      </c>
      <c r="AB6757">
        <v>22</v>
      </c>
      <c r="AC6757">
        <v>-1.1560999999999799</v>
      </c>
      <c r="AD6757">
        <v>-1.0521577079219999</v>
      </c>
      <c r="AE6757">
        <v>-11.803453999999901</v>
      </c>
      <c r="AF6757">
        <v>5.4040646621675403</v>
      </c>
      <c r="AG6757">
        <v>-1.0521577079219999</v>
      </c>
      <c r="AH6757">
        <v>10.4530365834992</v>
      </c>
      <c r="AI6757">
        <v>95.109429716446499</v>
      </c>
      <c r="AJ6757">
        <v>62.661707712223397</v>
      </c>
      <c r="AK6757">
        <v>11.814267837289</v>
      </c>
      <c r="AL6757">
        <v>81.686792600730499</v>
      </c>
      <c r="AM6757">
        <v>68.411788093072303</v>
      </c>
      <c r="AN6757">
        <v>1.0000000323067799</v>
      </c>
    </row>
    <row r="6758" spans="1:40" x14ac:dyDescent="0.25">
      <c r="A6758" t="str">
        <f>"20190312172245864"</f>
        <v>20190312172245864</v>
      </c>
      <c r="B6758" t="str">
        <f>"1552382565857169"</f>
        <v>1552382565857169</v>
      </c>
      <c r="C6758" t="s">
        <v>40</v>
      </c>
      <c r="D6758">
        <v>3.2567560000000002</v>
      </c>
      <c r="E6758">
        <v>0.53287439999999997</v>
      </c>
      <c r="F6758" t="s">
        <v>42</v>
      </c>
      <c r="G6758">
        <v>-303.86579999999998</v>
      </c>
      <c r="H6758" s="1">
        <v>-1.8267049999999999E-6</v>
      </c>
      <c r="I6758">
        <v>-7.7743019999999996</v>
      </c>
      <c r="J6758">
        <v>-302.79419999999999</v>
      </c>
      <c r="K6758">
        <v>1.05233</v>
      </c>
      <c r="L6758">
        <v>3.4744259999999998</v>
      </c>
      <c r="M6758">
        <v>0.35724689999999998</v>
      </c>
      <c r="N6758">
        <v>0</v>
      </c>
      <c r="O6758">
        <v>-0.93388879999999996</v>
      </c>
      <c r="P6758">
        <v>-2.2107810000000002E-3</v>
      </c>
      <c r="Q6758">
        <v>0.13774939999999999</v>
      </c>
      <c r="R6758">
        <v>-0.99046469999999998</v>
      </c>
      <c r="S6758">
        <v>-0.26852419999999999</v>
      </c>
      <c r="T6758">
        <v>-0.28172700000000001</v>
      </c>
      <c r="U6758">
        <v>-3.0701290000000001</v>
      </c>
      <c r="V6758">
        <v>0.35893770000000003</v>
      </c>
      <c r="W6758">
        <v>0.14441389999999901</v>
      </c>
      <c r="X6758">
        <v>0.92212159999999999</v>
      </c>
      <c r="Y6758">
        <v>0.43695129999999999</v>
      </c>
      <c r="Z6758">
        <v>7.755397E-2</v>
      </c>
      <c r="AA6758">
        <v>0.89613549999999997</v>
      </c>
      <c r="AB6758">
        <v>22</v>
      </c>
      <c r="AC6758">
        <v>-1.0715999999999799</v>
      </c>
      <c r="AD6758">
        <v>-1.0523318267049999</v>
      </c>
      <c r="AE6758">
        <v>-11.248728</v>
      </c>
      <c r="AF6758">
        <v>4.9767328646777704</v>
      </c>
      <c r="AG6758">
        <v>-1.0523318267049999</v>
      </c>
      <c r="AH6758">
        <v>10.036334882235799</v>
      </c>
      <c r="AI6758">
        <v>95.366461438276104</v>
      </c>
      <c r="AJ6758">
        <v>63.624495674029802</v>
      </c>
      <c r="AK6758">
        <v>11.2518127494304</v>
      </c>
      <c r="AL6758">
        <v>81.696658632556094</v>
      </c>
      <c r="AM6758">
        <v>68.731423798561394</v>
      </c>
      <c r="AN6758">
        <v>0.999999946090528</v>
      </c>
    </row>
    <row r="6759" spans="1:40" x14ac:dyDescent="0.25">
      <c r="A6759" t="str">
        <f>"20190312172245886"</f>
        <v>20190312172245886</v>
      </c>
      <c r="B6759" t="str">
        <f>"1552382565877394"</f>
        <v>1552382565877394</v>
      </c>
      <c r="C6759" t="s">
        <v>40</v>
      </c>
      <c r="D6759">
        <v>3.2756210000000001</v>
      </c>
      <c r="E6759">
        <v>0.53235449999999995</v>
      </c>
      <c r="F6759" t="s">
        <v>42</v>
      </c>
      <c r="G6759">
        <v>-303.87369999999999</v>
      </c>
      <c r="H6759" s="1">
        <v>-1.778409E-6</v>
      </c>
      <c r="I6759">
        <v>-7.8809119999999897</v>
      </c>
      <c r="J6759">
        <v>-302.72969999999998</v>
      </c>
      <c r="K6759">
        <v>1.052494</v>
      </c>
      <c r="L6759">
        <v>3.2617189999999998</v>
      </c>
      <c r="M6759">
        <v>0.34451999999999999</v>
      </c>
      <c r="N6759">
        <v>0</v>
      </c>
      <c r="O6759">
        <v>-0.93865929999999997</v>
      </c>
      <c r="P6759">
        <v>-1.044545E-2</v>
      </c>
      <c r="Q6759">
        <v>0.1368065</v>
      </c>
      <c r="R6759">
        <v>-0.99054310000000001</v>
      </c>
      <c r="S6759">
        <v>-0.29165649999999999</v>
      </c>
      <c r="T6759">
        <v>-0.28429979999999999</v>
      </c>
      <c r="U6759">
        <v>-3.06778</v>
      </c>
      <c r="V6759">
        <v>0.35402070000000002</v>
      </c>
      <c r="W6759">
        <v>0.14370429999999901</v>
      </c>
      <c r="X6759">
        <v>0.92413120000000004</v>
      </c>
      <c r="Y6759">
        <v>0.43147259999999998</v>
      </c>
      <c r="Z6759">
        <v>7.9069899999999999E-2</v>
      </c>
      <c r="AA6759">
        <v>0.89865419999999996</v>
      </c>
      <c r="AB6759">
        <v>22</v>
      </c>
      <c r="AC6759">
        <v>-1.1439999999999999</v>
      </c>
      <c r="AD6759">
        <v>-1.0524957784090001</v>
      </c>
      <c r="AE6759">
        <v>-11.142631</v>
      </c>
      <c r="AF6759">
        <v>4.8702381597663198</v>
      </c>
      <c r="AG6759">
        <v>-1.0524957784090001</v>
      </c>
      <c r="AH6759">
        <v>9.9780382042781692</v>
      </c>
      <c r="AI6759">
        <v>95.415020453062596</v>
      </c>
      <c r="AJ6759">
        <v>63.983192820860502</v>
      </c>
      <c r="AK6759">
        <v>11.152946404535699</v>
      </c>
      <c r="AL6759">
        <v>81.737744966059793</v>
      </c>
      <c r="AM6759">
        <v>69.038918583826103</v>
      </c>
      <c r="AN6759">
        <v>1.0000000283402</v>
      </c>
    </row>
    <row r="6760" spans="1:40" x14ac:dyDescent="0.25">
      <c r="A6760" t="str">
        <f>"20190312172245911"</f>
        <v>20190312172245911</v>
      </c>
      <c r="B6760" t="str">
        <f>"1552382565906673"</f>
        <v>1552382565906673</v>
      </c>
      <c r="C6760" t="s">
        <v>40</v>
      </c>
      <c r="D6760">
        <v>3.2754470000000002</v>
      </c>
      <c r="E6760">
        <v>0.53172050000000004</v>
      </c>
      <c r="F6760" t="s">
        <v>42</v>
      </c>
      <c r="G6760">
        <v>-303.86900000000003</v>
      </c>
      <c r="H6760" s="1">
        <v>-1.7647579999999999E-6</v>
      </c>
      <c r="I6760">
        <v>-7.9071059999999997</v>
      </c>
      <c r="J6760">
        <v>-302.66180000000003</v>
      </c>
      <c r="K6760">
        <v>1.0526679999999999</v>
      </c>
      <c r="L6760">
        <v>3.0263369999999998</v>
      </c>
      <c r="M6760">
        <v>0.33066109999999999</v>
      </c>
      <c r="N6760">
        <v>0</v>
      </c>
      <c r="O6760">
        <v>-0.94363129999999995</v>
      </c>
      <c r="P6760">
        <v>-1.9571740000000001E-2</v>
      </c>
      <c r="Q6760">
        <v>0.1355459</v>
      </c>
      <c r="R6760">
        <v>-0.99057790000000001</v>
      </c>
      <c r="S6760">
        <v>-0.3126526</v>
      </c>
      <c r="T6760">
        <v>-0.2888539</v>
      </c>
      <c r="U6760">
        <v>-3.0652469999999998</v>
      </c>
      <c r="V6760">
        <v>0.34887960000000001</v>
      </c>
      <c r="W6760">
        <v>0.1426839</v>
      </c>
      <c r="X6760">
        <v>0.92624209999999996</v>
      </c>
      <c r="Y6760">
        <v>0.42433019999999999</v>
      </c>
      <c r="Z6760">
        <v>8.1222370000000002E-2</v>
      </c>
      <c r="AA6760">
        <v>0.90185740000000003</v>
      </c>
      <c r="AB6760">
        <v>22</v>
      </c>
      <c r="AC6760">
        <v>-1.2072000000000001</v>
      </c>
      <c r="AD6760">
        <v>-1.0526697647579999</v>
      </c>
      <c r="AE6760">
        <v>-10.933442999999899</v>
      </c>
      <c r="AF6760">
        <v>4.7117953512831203</v>
      </c>
      <c r="AG6760">
        <v>-1.0526697647579999</v>
      </c>
      <c r="AH6760">
        <v>9.8290560201601096</v>
      </c>
      <c r="AI6760">
        <v>95.516213350980394</v>
      </c>
      <c r="AJ6760">
        <v>64.3881452288595</v>
      </c>
      <c r="AK6760">
        <v>10.9507749183998</v>
      </c>
      <c r="AL6760">
        <v>81.796818526391505</v>
      </c>
      <c r="AM6760">
        <v>69.360547591878401</v>
      </c>
      <c r="AN6760">
        <v>1.0000000492138801</v>
      </c>
    </row>
    <row r="6761" spans="1:40" x14ac:dyDescent="0.25">
      <c r="A6761" t="str">
        <f>"20190312172245931"</f>
        <v>20190312172245931</v>
      </c>
      <c r="B6761" t="str">
        <f>"1552382565927169"</f>
        <v>1552382565927169</v>
      </c>
      <c r="C6761" t="s">
        <v>40</v>
      </c>
      <c r="D6761">
        <v>3.2780200000000002</v>
      </c>
      <c r="E6761">
        <v>0.53119890000000003</v>
      </c>
      <c r="F6761" t="s">
        <v>42</v>
      </c>
      <c r="G6761">
        <v>-303.86970000000002</v>
      </c>
      <c r="H6761" s="1">
        <v>-1.7183060000000001E-6</v>
      </c>
      <c r="I6761">
        <v>-8.00578099999999</v>
      </c>
      <c r="J6761">
        <v>-302.60770000000002</v>
      </c>
      <c r="K6761">
        <v>1.0528169999999999</v>
      </c>
      <c r="L6761">
        <v>2.8300779999999999</v>
      </c>
      <c r="M6761">
        <v>0.31930890000000001</v>
      </c>
      <c r="N6761">
        <v>0</v>
      </c>
      <c r="O6761">
        <v>-0.94753350000000003</v>
      </c>
      <c r="P6761">
        <v>-2.616127E-2</v>
      </c>
      <c r="Q6761">
        <v>0.13502169999999999</v>
      </c>
      <c r="R6761">
        <v>-0.99049730000000002</v>
      </c>
      <c r="S6761">
        <v>-0.33523560000000002</v>
      </c>
      <c r="T6761">
        <v>-0.29216120000000001</v>
      </c>
      <c r="U6761">
        <v>-3.06189</v>
      </c>
      <c r="V6761">
        <v>0.34386549999999999</v>
      </c>
      <c r="W6761">
        <v>0.142372</v>
      </c>
      <c r="X6761">
        <v>0.92816310000000002</v>
      </c>
      <c r="Y6761">
        <v>0.42012319999999997</v>
      </c>
      <c r="Z6761">
        <v>8.2849469999999995E-2</v>
      </c>
      <c r="AA6761">
        <v>0.90367719999999896</v>
      </c>
      <c r="AB6761">
        <v>22</v>
      </c>
      <c r="AC6761">
        <v>-1.262</v>
      </c>
      <c r="AD6761">
        <v>-1.052818718306</v>
      </c>
      <c r="AE6761">
        <v>-10.835858999999999</v>
      </c>
      <c r="AF6761">
        <v>4.6133227881229102</v>
      </c>
      <c r="AG6761">
        <v>-1.052818718306</v>
      </c>
      <c r="AH6761">
        <v>9.7744295795096594</v>
      </c>
      <c r="AI6761">
        <v>95.563467623732606</v>
      </c>
      <c r="AJ6761">
        <v>64.733686494323905</v>
      </c>
      <c r="AK6761">
        <v>10.8595878377507</v>
      </c>
      <c r="AL6761">
        <v>81.814873035643302</v>
      </c>
      <c r="AM6761">
        <v>69.671359578180301</v>
      </c>
      <c r="AN6761">
        <v>1.00000000433793</v>
      </c>
    </row>
    <row r="6762" spans="1:40" x14ac:dyDescent="0.25">
      <c r="A6762" t="str">
        <f>"20190312172245953"</f>
        <v>20190312172245953</v>
      </c>
      <c r="B6762" t="str">
        <f>"1552382565947665"</f>
        <v>1552382565947665</v>
      </c>
      <c r="C6762" t="s">
        <v>40</v>
      </c>
      <c r="D6762">
        <v>3.2707989999999998</v>
      </c>
      <c r="E6762">
        <v>0.52934009999999998</v>
      </c>
      <c r="F6762" t="s">
        <v>42</v>
      </c>
      <c r="G6762">
        <v>-303.86329999999998</v>
      </c>
      <c r="H6762" s="1">
        <v>-1.669512E-6</v>
      </c>
      <c r="I6762">
        <v>-8.1053920000000002</v>
      </c>
      <c r="J6762">
        <v>-302.55059999999997</v>
      </c>
      <c r="K6762">
        <v>1.0529930000000001</v>
      </c>
      <c r="L6762">
        <v>2.6131289999999998</v>
      </c>
      <c r="M6762">
        <v>0.30699460000000001</v>
      </c>
      <c r="N6762">
        <v>0</v>
      </c>
      <c r="O6762">
        <v>-0.95159539999999998</v>
      </c>
      <c r="P6762">
        <v>-3.3311899999999998E-2</v>
      </c>
      <c r="Q6762">
        <v>0.13442789999999999</v>
      </c>
      <c r="R6762">
        <v>-0.99036329999999995</v>
      </c>
      <c r="S6762">
        <v>-0.35128779999999998</v>
      </c>
      <c r="T6762">
        <v>-0.29457070000000002</v>
      </c>
      <c r="U6762">
        <v>-3.0596619999999999</v>
      </c>
      <c r="V6762">
        <v>0.33846379999999998</v>
      </c>
      <c r="W6762">
        <v>0.14200860000000001</v>
      </c>
      <c r="X6762">
        <v>0.93020199999999997</v>
      </c>
      <c r="Y6762">
        <v>0.41308929999999999</v>
      </c>
      <c r="Z6762">
        <v>8.4300669999999994E-2</v>
      </c>
      <c r="AA6762">
        <v>0.90678040000000004</v>
      </c>
      <c r="AB6762">
        <v>22</v>
      </c>
      <c r="AC6762">
        <v>-1.3127</v>
      </c>
      <c r="AD6762">
        <v>-1.0529946695119901</v>
      </c>
      <c r="AE6762">
        <v>-10.718521000000001</v>
      </c>
      <c r="AF6762">
        <v>4.4974237085897002</v>
      </c>
      <c r="AG6762">
        <v>-1.0529946695119901</v>
      </c>
      <c r="AH6762">
        <v>9.7054979903728196</v>
      </c>
      <c r="AI6762">
        <v>95.622043628514007</v>
      </c>
      <c r="AJ6762">
        <v>65.137499392436396</v>
      </c>
      <c r="AK6762">
        <v>10.748595677098301</v>
      </c>
      <c r="AL6762">
        <v>81.835907798892805</v>
      </c>
      <c r="AM6762">
        <v>70.005550117007104</v>
      </c>
      <c r="AN6762">
        <v>0.99999997359419901</v>
      </c>
    </row>
    <row r="6763" spans="1:40" x14ac:dyDescent="0.25">
      <c r="A6763" t="str">
        <f>"20190312172245975"</f>
        <v>20190312172245975</v>
      </c>
      <c r="B6763" t="str">
        <f>"1552382565967185"</f>
        <v>1552382565967185</v>
      </c>
      <c r="C6763" t="s">
        <v>40</v>
      </c>
      <c r="D6763">
        <v>3.2538909999999999</v>
      </c>
      <c r="E6763">
        <v>0.49876969999999998</v>
      </c>
      <c r="F6763" t="s">
        <v>42</v>
      </c>
      <c r="G6763">
        <v>-303.83159999999998</v>
      </c>
      <c r="H6763" s="1">
        <v>-1.566464E-6</v>
      </c>
      <c r="I6763">
        <v>-8.3055729999999901</v>
      </c>
      <c r="J6763">
        <v>-302.49650000000003</v>
      </c>
      <c r="K6763">
        <v>1.053194</v>
      </c>
      <c r="L6763">
        <v>2.3977050000000002</v>
      </c>
      <c r="M6763">
        <v>0.29502790000000001</v>
      </c>
      <c r="N6763">
        <v>0</v>
      </c>
      <c r="O6763">
        <v>-0.95537419999999995</v>
      </c>
      <c r="P6763">
        <v>-4.0254419999999999E-2</v>
      </c>
      <c r="Q6763">
        <v>0.13321920000000001</v>
      </c>
      <c r="R6763">
        <v>-0.99026879999999995</v>
      </c>
      <c r="S6763">
        <v>-0.35867310000000002</v>
      </c>
      <c r="T6763">
        <v>-0.29483120000000002</v>
      </c>
      <c r="U6763">
        <v>-3.057159</v>
      </c>
      <c r="V6763">
        <v>0.33325270000000001</v>
      </c>
      <c r="W6763">
        <v>0.1410305</v>
      </c>
      <c r="X6763">
        <v>0.93223020000000001</v>
      </c>
      <c r="Y6763">
        <v>0.40388479999999999</v>
      </c>
      <c r="Z6763">
        <v>8.5173470000000001E-2</v>
      </c>
      <c r="AA6763">
        <v>0.91083619999999998</v>
      </c>
      <c r="AB6763">
        <v>22</v>
      </c>
      <c r="AC6763">
        <v>-1.33509999999995</v>
      </c>
      <c r="AD6763">
        <v>-1.053195566464</v>
      </c>
      <c r="AE6763">
        <v>-10.703277999999999</v>
      </c>
      <c r="AF6763">
        <v>4.3918977991348704</v>
      </c>
      <c r="AG6763">
        <v>-1.053195566464</v>
      </c>
      <c r="AH6763">
        <v>9.7399574713312802</v>
      </c>
      <c r="AI6763">
        <v>95.6296631077916</v>
      </c>
      <c r="AJ6763">
        <v>65.728648572689295</v>
      </c>
      <c r="AK6763">
        <v>10.7361426370278</v>
      </c>
      <c r="AL6763">
        <v>81.892519229574006</v>
      </c>
      <c r="AM6763">
        <v>70.329097949618301</v>
      </c>
      <c r="AN6763">
        <v>1.0000000548897801</v>
      </c>
    </row>
    <row r="6764" spans="1:40" x14ac:dyDescent="0.25">
      <c r="A6764" t="str">
        <f>"20190312172245997"</f>
        <v>20190312172245997</v>
      </c>
      <c r="B6764" t="str">
        <f>"1552382565986706"</f>
        <v>1552382565986706</v>
      </c>
      <c r="C6764" t="s">
        <v>40</v>
      </c>
      <c r="D6764">
        <v>3.218159</v>
      </c>
      <c r="E6764">
        <v>0.4966313</v>
      </c>
      <c r="F6764" t="s">
        <v>42</v>
      </c>
      <c r="G6764">
        <v>-303.1737</v>
      </c>
      <c r="H6764" s="1">
        <v>-3.9243759999999901E-6</v>
      </c>
      <c r="I6764">
        <v>-13.13555</v>
      </c>
      <c r="J6764">
        <v>-302.4452</v>
      </c>
      <c r="K6764">
        <v>1.0534019999999999</v>
      </c>
      <c r="L6764">
        <v>2.1832579999999999</v>
      </c>
      <c r="M6764">
        <v>0.28338099999999999</v>
      </c>
      <c r="N6764">
        <v>0</v>
      </c>
      <c r="O6764">
        <v>-0.95889440000000004</v>
      </c>
      <c r="P6764">
        <v>-4.5614259999999997E-2</v>
      </c>
      <c r="Q6764">
        <v>0.13270760000000001</v>
      </c>
      <c r="R6764">
        <v>-0.99010560000000003</v>
      </c>
      <c r="S6764">
        <v>-0.1330566</v>
      </c>
      <c r="T6764">
        <v>-0.206928</v>
      </c>
      <c r="U6764">
        <v>-3.0519099999999999</v>
      </c>
      <c r="V6764">
        <v>0.32687139999999998</v>
      </c>
      <c r="W6764">
        <v>0.14077879999999901</v>
      </c>
      <c r="X6764">
        <v>0.93452469999999999</v>
      </c>
      <c r="Y6764">
        <v>0.32480920000000002</v>
      </c>
      <c r="Z6764">
        <v>6.1617819999999997E-2</v>
      </c>
      <c r="AA6764">
        <v>0.9437702</v>
      </c>
      <c r="AB6764">
        <v>22</v>
      </c>
      <c r="AC6764">
        <v>-0.72849999999999604</v>
      </c>
      <c r="AD6764">
        <v>-1.0534059243759999</v>
      </c>
      <c r="AE6764">
        <v>-15.318807999999899</v>
      </c>
      <c r="AF6764">
        <v>5.0164919798101497</v>
      </c>
      <c r="AG6764">
        <v>-1.0534059243759999</v>
      </c>
      <c r="AH6764">
        <v>14.4162297074318</v>
      </c>
      <c r="AI6764">
        <v>93.947835308350093</v>
      </c>
      <c r="AJ6764">
        <v>70.813365303048101</v>
      </c>
      <c r="AK6764">
        <v>15.300409628583401</v>
      </c>
      <c r="AL6764">
        <v>81.907085448680107</v>
      </c>
      <c r="AM6764">
        <v>70.721547258117397</v>
      </c>
      <c r="AN6764">
        <v>0.99999999878874402</v>
      </c>
    </row>
    <row r="6765" spans="1:40" x14ac:dyDescent="0.25">
      <c r="A6765" t="str">
        <f>"20190312172246020"</f>
        <v>20190312172246020</v>
      </c>
      <c r="B6765" t="str">
        <f>"1552382566016962"</f>
        <v>1552382566016962</v>
      </c>
      <c r="C6765" t="s">
        <v>40</v>
      </c>
      <c r="D6765">
        <v>3.2339829999999998</v>
      </c>
      <c r="E6765">
        <v>0.49496580000000001</v>
      </c>
      <c r="F6765" t="s">
        <v>42</v>
      </c>
      <c r="G6765">
        <v>-303.15879999999999</v>
      </c>
      <c r="H6765" s="1">
        <v>-3.4618270000000002E-6</v>
      </c>
      <c r="I6765">
        <v>-14.300459999999999</v>
      </c>
      <c r="J6765">
        <v>-302.3954</v>
      </c>
      <c r="K6765">
        <v>1.053633</v>
      </c>
      <c r="L6765">
        <v>1.9654240000000001</v>
      </c>
      <c r="M6765">
        <v>0.27183669999999999</v>
      </c>
      <c r="N6765">
        <v>0</v>
      </c>
      <c r="O6765">
        <v>-0.96223190000000003</v>
      </c>
      <c r="P6765">
        <v>-4.9453629999999998E-2</v>
      </c>
      <c r="Q6765">
        <v>0.13169690000000001</v>
      </c>
      <c r="R6765">
        <v>-0.99005620000000005</v>
      </c>
      <c r="S6765">
        <v>-0.13204959999999999</v>
      </c>
      <c r="T6765">
        <v>-0.194914</v>
      </c>
      <c r="U6765">
        <v>-3.0500180000000001</v>
      </c>
      <c r="V6765">
        <v>0.31917800000000002</v>
      </c>
      <c r="W6765">
        <v>0.1400612</v>
      </c>
      <c r="X6765">
        <v>0.93728769999999995</v>
      </c>
      <c r="Y6765">
        <v>0.31314530000000002</v>
      </c>
      <c r="Z6765">
        <v>5.8536329999999998E-2</v>
      </c>
      <c r="AA6765">
        <v>0.94789950000000001</v>
      </c>
      <c r="AB6765">
        <v>22</v>
      </c>
      <c r="AC6765">
        <v>-0.76339999999998998</v>
      </c>
      <c r="AD6765">
        <v>-1.053636461827</v>
      </c>
      <c r="AE6765">
        <v>-16.265884</v>
      </c>
      <c r="AF6765">
        <v>5.1352855179542702</v>
      </c>
      <c r="AG6765">
        <v>-1.053636461827</v>
      </c>
      <c r="AH6765">
        <v>15.3812928925805</v>
      </c>
      <c r="AI6765">
        <v>93.717597609701798</v>
      </c>
      <c r="AJ6765">
        <v>71.537605448675507</v>
      </c>
      <c r="AK6765">
        <v>16.250091636417</v>
      </c>
      <c r="AL6765">
        <v>81.948612228573197</v>
      </c>
      <c r="AM6765">
        <v>71.194563746238302</v>
      </c>
      <c r="AN6765">
        <v>0.99999998400036405</v>
      </c>
    </row>
    <row r="6766" spans="1:40" x14ac:dyDescent="0.25">
      <c r="A6766" t="str">
        <f>"20190312172246043"</f>
        <v>20190312172246043</v>
      </c>
      <c r="B6766" t="str">
        <f>"1552382566037461"</f>
        <v>1552382566037461</v>
      </c>
      <c r="C6766" t="s">
        <v>40</v>
      </c>
      <c r="D6766">
        <v>3.2230219999999998</v>
      </c>
      <c r="E6766">
        <v>0.49422470000000002</v>
      </c>
      <c r="F6766" t="s">
        <v>42</v>
      </c>
      <c r="G6766">
        <v>-303.11130000000003</v>
      </c>
      <c r="H6766" s="1">
        <v>-3.1940619999999998E-6</v>
      </c>
      <c r="I6766">
        <v>-14.895129999999901</v>
      </c>
      <c r="J6766">
        <v>-302.34730000000002</v>
      </c>
      <c r="K6766">
        <v>1.053874</v>
      </c>
      <c r="L6766">
        <v>1.7435909999999999</v>
      </c>
      <c r="M6766">
        <v>0.26042460000000001</v>
      </c>
      <c r="N6766">
        <v>0</v>
      </c>
      <c r="O6766">
        <v>-0.96538380000000001</v>
      </c>
      <c r="P6766">
        <v>-5.3440189999999999E-2</v>
      </c>
      <c r="Q6766">
        <v>0.1318783</v>
      </c>
      <c r="R6766">
        <v>-0.98982440000000005</v>
      </c>
      <c r="S6766">
        <v>-0.1294556</v>
      </c>
      <c r="T6766">
        <v>-0.19053639999999999</v>
      </c>
      <c r="U6766">
        <v>-3.0490110000000001</v>
      </c>
      <c r="V6766">
        <v>0.31174469999999999</v>
      </c>
      <c r="W6766">
        <v>0.14052110000000001</v>
      </c>
      <c r="X6766">
        <v>0.93971749999999998</v>
      </c>
      <c r="Y6766">
        <v>0.30108889999999999</v>
      </c>
      <c r="Z6766">
        <v>5.7663390000000002E-2</v>
      </c>
      <c r="AA6766">
        <v>0.95185109999999995</v>
      </c>
      <c r="AB6766">
        <v>22</v>
      </c>
      <c r="AC6766">
        <v>-0.76400000000001</v>
      </c>
      <c r="AD6766">
        <v>-1.053877194062</v>
      </c>
      <c r="AE6766">
        <v>-16.638720999999901</v>
      </c>
      <c r="AF6766">
        <v>5.0510049414148002</v>
      </c>
      <c r="AG6766">
        <v>-1.053877194062</v>
      </c>
      <c r="AH6766">
        <v>15.802216160265999</v>
      </c>
      <c r="AI6766">
        <v>93.634857141406599</v>
      </c>
      <c r="AJ6766">
        <v>72.2740916196028</v>
      </c>
      <c r="AK6766">
        <v>16.6232771628862</v>
      </c>
      <c r="AL6766">
        <v>81.9219984928678</v>
      </c>
      <c r="AM6766">
        <v>71.647097857590097</v>
      </c>
      <c r="AN6766">
        <v>0.99999995866477398</v>
      </c>
    </row>
    <row r="6767" spans="1:40" x14ac:dyDescent="0.25">
      <c r="A6767" t="str">
        <f>"20190312172246064"</f>
        <v>20190312172246064</v>
      </c>
      <c r="B6767" t="str">
        <f>"1552382566056977"</f>
        <v>1552382566056977</v>
      </c>
      <c r="C6767" t="s">
        <v>40</v>
      </c>
      <c r="D6767">
        <v>3.2286630000000001</v>
      </c>
      <c r="E6767">
        <v>0.4937994</v>
      </c>
      <c r="F6767" t="s">
        <v>42</v>
      </c>
      <c r="G6767">
        <v>-303.10480000000001</v>
      </c>
      <c r="H6767" s="1">
        <v>-3.0379830000000001E-6</v>
      </c>
      <c r="I6767">
        <v>-15.254960000000001</v>
      </c>
      <c r="J6767">
        <v>-302.30329999999998</v>
      </c>
      <c r="K6767">
        <v>1.054082</v>
      </c>
      <c r="L6767">
        <v>1.5306090000000001</v>
      </c>
      <c r="M6767">
        <v>0.24971930000000001</v>
      </c>
      <c r="N6767">
        <v>0</v>
      </c>
      <c r="O6767">
        <v>-0.96820919999999999</v>
      </c>
      <c r="P6767">
        <v>-5.7606879999999999E-2</v>
      </c>
      <c r="Q6767">
        <v>0.131955399999999</v>
      </c>
      <c r="R6767">
        <v>-0.98958049999999997</v>
      </c>
      <c r="S6767">
        <v>-0.13586429999999999</v>
      </c>
      <c r="T6767">
        <v>-0.18901180000000001</v>
      </c>
      <c r="U6767">
        <v>-3.0486759999999999</v>
      </c>
      <c r="V6767">
        <v>0.30520330000000001</v>
      </c>
      <c r="W6767">
        <v>0.14082800000000001</v>
      </c>
      <c r="X6767">
        <v>0.9418166</v>
      </c>
      <c r="Y6767">
        <v>0.29252129999999998</v>
      </c>
      <c r="Z6767">
        <v>5.755213E-2</v>
      </c>
      <c r="AA6767">
        <v>0.95452550000000003</v>
      </c>
      <c r="AB6767">
        <v>22</v>
      </c>
      <c r="AC6767">
        <v>-0.80150000000003196</v>
      </c>
      <c r="AD6767">
        <v>-1.054085037983</v>
      </c>
      <c r="AE6767">
        <v>-16.785568999999999</v>
      </c>
      <c r="AF6767">
        <v>4.9487540298760404</v>
      </c>
      <c r="AG6767">
        <v>-1.054085037983</v>
      </c>
      <c r="AH6767">
        <v>15.990572794205599</v>
      </c>
      <c r="AI6767">
        <v>93.603296317197902</v>
      </c>
      <c r="AJ6767">
        <v>72.803777046900393</v>
      </c>
      <c r="AK6767">
        <v>16.771990937342601</v>
      </c>
      <c r="AL6767">
        <v>81.9042384984036</v>
      </c>
      <c r="AM6767">
        <v>72.044662997945906</v>
      </c>
      <c r="AN6767">
        <v>1.0000000439752199</v>
      </c>
    </row>
    <row r="6768" spans="1:40" x14ac:dyDescent="0.25">
      <c r="A6768" t="str">
        <f>"20190312172246087"</f>
        <v>20190312172246087</v>
      </c>
      <c r="B6768" t="str">
        <f>"1552382566077474"</f>
        <v>1552382566077474</v>
      </c>
      <c r="C6768" t="s">
        <v>40</v>
      </c>
      <c r="D6768">
        <v>3.2190150000000002</v>
      </c>
      <c r="E6768">
        <v>0.49328949999999999</v>
      </c>
      <c r="F6768" t="s">
        <v>42</v>
      </c>
      <c r="G6768">
        <v>-303.11939999999998</v>
      </c>
      <c r="H6768" s="1">
        <v>-2.9277860000000002E-6</v>
      </c>
      <c r="I6768">
        <v>-15.52084</v>
      </c>
      <c r="J6768">
        <v>-302.26069999999999</v>
      </c>
      <c r="K6768">
        <v>1.054268</v>
      </c>
      <c r="L6768">
        <v>1.3133539999999999</v>
      </c>
      <c r="M6768">
        <v>0.23906230000000001</v>
      </c>
      <c r="N6768">
        <v>0</v>
      </c>
      <c r="O6768">
        <v>-0.97089650000000005</v>
      </c>
      <c r="P6768">
        <v>-6.2048989999999998E-2</v>
      </c>
      <c r="Q6768">
        <v>0.13202759999999999</v>
      </c>
      <c r="R6768">
        <v>-0.98930240000000003</v>
      </c>
      <c r="S6768">
        <v>-0.145874</v>
      </c>
      <c r="T6768">
        <v>-0.1884344</v>
      </c>
      <c r="U6768">
        <v>-3.0482179999999999</v>
      </c>
      <c r="V6768">
        <v>0.29899540000000002</v>
      </c>
      <c r="W6768">
        <v>0.14110410000000001</v>
      </c>
      <c r="X6768">
        <v>0.94376439999999995</v>
      </c>
      <c r="Y6768">
        <v>0.28513709999999998</v>
      </c>
      <c r="Z6768">
        <v>5.7698569999999998E-2</v>
      </c>
      <c r="AA6768">
        <v>0.9567485</v>
      </c>
      <c r="AB6768">
        <v>22</v>
      </c>
      <c r="AC6768">
        <v>-0.85869999999999802</v>
      </c>
      <c r="AD6768">
        <v>-1.0542709277860001</v>
      </c>
      <c r="AE6768">
        <v>-16.834194</v>
      </c>
      <c r="AF6768">
        <v>4.8397056105223601</v>
      </c>
      <c r="AG6768">
        <v>-1.0542709277860001</v>
      </c>
      <c r="AH6768">
        <v>16.077770524065201</v>
      </c>
      <c r="AI6768">
        <v>93.5928915050537</v>
      </c>
      <c r="AJ6768">
        <v>73.247235868604605</v>
      </c>
      <c r="AK6768">
        <v>16.8234640490654</v>
      </c>
      <c r="AL6768">
        <v>81.888258640704095</v>
      </c>
      <c r="AM6768">
        <v>72.421200335545294</v>
      </c>
      <c r="AN6768">
        <v>0.99999992948266203</v>
      </c>
    </row>
    <row r="6769" spans="1:40" x14ac:dyDescent="0.25">
      <c r="A6769" t="str">
        <f>"20190312172246109"</f>
        <v>20190312172246109</v>
      </c>
      <c r="B6769" t="str">
        <f>"1552382566106753"</f>
        <v>1552382566106753</v>
      </c>
      <c r="C6769" t="s">
        <v>40</v>
      </c>
      <c r="D6769">
        <v>3.215967</v>
      </c>
      <c r="E6769">
        <v>0.4925756</v>
      </c>
      <c r="F6769" t="s">
        <v>42</v>
      </c>
      <c r="G6769">
        <v>-303.1397</v>
      </c>
      <c r="H6769" s="1">
        <v>-2.7836879999999998E-6</v>
      </c>
      <c r="I6769">
        <v>-15.869389999999999</v>
      </c>
      <c r="J6769">
        <v>-302.21980000000002</v>
      </c>
      <c r="K6769">
        <v>1.0545899999999999</v>
      </c>
      <c r="L6769">
        <v>1.094635</v>
      </c>
      <c r="M6769">
        <v>0.22824030000000001</v>
      </c>
      <c r="N6769">
        <v>0</v>
      </c>
      <c r="O6769">
        <v>-0.97349529999999995</v>
      </c>
      <c r="P6769">
        <v>-6.5875660000000003E-2</v>
      </c>
      <c r="Q6769">
        <v>0.13175429999999999</v>
      </c>
      <c r="R6769">
        <v>-0.98909170000000002</v>
      </c>
      <c r="S6769">
        <v>-0.15591429999999901</v>
      </c>
      <c r="T6769">
        <v>-0.1869903</v>
      </c>
      <c r="U6769">
        <v>-3.0476070000000002</v>
      </c>
      <c r="V6769">
        <v>0.29203620000000002</v>
      </c>
      <c r="W6769">
        <v>0.14128209999999999</v>
      </c>
      <c r="X6769">
        <v>0.94591449999999999</v>
      </c>
      <c r="Y6769">
        <v>0.27761469999999999</v>
      </c>
      <c r="Z6769">
        <v>5.7571280000000002E-2</v>
      </c>
      <c r="AA6769">
        <v>0.95896590000000004</v>
      </c>
      <c r="AB6769">
        <v>22</v>
      </c>
      <c r="AC6769">
        <v>-0.91989999999998395</v>
      </c>
      <c r="AD6769">
        <v>-1.054592783688</v>
      </c>
      <c r="AE6769">
        <v>-16.964024999999999</v>
      </c>
      <c r="AF6769">
        <v>4.7495991353195803</v>
      </c>
      <c r="AG6769">
        <v>-1.054592783688</v>
      </c>
      <c r="AH6769">
        <v>16.243587266574</v>
      </c>
      <c r="AI6769">
        <v>93.565742773846793</v>
      </c>
      <c r="AJ6769">
        <v>73.701163925342499</v>
      </c>
      <c r="AK6769">
        <v>16.956561714346499</v>
      </c>
      <c r="AL6769">
        <v>81.877957426774302</v>
      </c>
      <c r="AM6769">
        <v>72.842751471532495</v>
      </c>
      <c r="AN6769">
        <v>1.00000000760055</v>
      </c>
    </row>
    <row r="6770" spans="1:40" x14ac:dyDescent="0.25">
      <c r="A6770" t="str">
        <f>"20190312172246133"</f>
        <v>20190312172246133</v>
      </c>
      <c r="B6770" t="str">
        <f>"1552382566127249"</f>
        <v>1552382566127249</v>
      </c>
      <c r="C6770" t="s">
        <v>40</v>
      </c>
      <c r="D6770">
        <v>3.2205460000000001</v>
      </c>
      <c r="E6770">
        <v>0.4923575</v>
      </c>
      <c r="F6770" t="s">
        <v>42</v>
      </c>
      <c r="G6770">
        <v>-303.13310000000001</v>
      </c>
      <c r="H6770" s="1">
        <v>-2.7055650000000001E-6</v>
      </c>
      <c r="I6770">
        <v>-16.047350000000002</v>
      </c>
      <c r="J6770">
        <v>-302.18009999999998</v>
      </c>
      <c r="K6770">
        <v>1.055078</v>
      </c>
      <c r="L6770">
        <v>0.87445069999999903</v>
      </c>
      <c r="M6770">
        <v>0.21642739999999999</v>
      </c>
      <c r="N6770">
        <v>0</v>
      </c>
      <c r="O6770">
        <v>-0.9761841</v>
      </c>
      <c r="P6770">
        <v>-7.1122249999999998E-2</v>
      </c>
      <c r="Q6770">
        <v>0.1311254</v>
      </c>
      <c r="R6770">
        <v>-0.98881160000000001</v>
      </c>
      <c r="S6770">
        <v>-0.16235350000000001</v>
      </c>
      <c r="T6770">
        <v>-0.18746940000000001</v>
      </c>
      <c r="U6770">
        <v>-3.0472410000000001</v>
      </c>
      <c r="V6770">
        <v>0.28549150000000001</v>
      </c>
      <c r="W6770">
        <v>0.141312299999999</v>
      </c>
      <c r="X6770">
        <v>0.94790580000000002</v>
      </c>
      <c r="Y6770">
        <v>0.2679877</v>
      </c>
      <c r="Z6770">
        <v>5.8054099999999997E-2</v>
      </c>
      <c r="AA6770">
        <v>0.96167159999999996</v>
      </c>
      <c r="AB6770">
        <v>22</v>
      </c>
      <c r="AC6770">
        <v>-0.95300000000003104</v>
      </c>
      <c r="AD6770">
        <v>-1.055080705565</v>
      </c>
      <c r="AE6770">
        <v>-16.921800699999999</v>
      </c>
      <c r="AF6770">
        <v>4.5754276840280799</v>
      </c>
      <c r="AG6770">
        <v>-1.055080705565</v>
      </c>
      <c r="AH6770">
        <v>16.2513843756672</v>
      </c>
      <c r="AI6770">
        <v>93.575933668514395</v>
      </c>
      <c r="AJ6770">
        <v>74.275923320224393</v>
      </c>
      <c r="AK6770">
        <v>16.9161233121748</v>
      </c>
      <c r="AL6770">
        <v>81.876209366791599</v>
      </c>
      <c r="AM6770">
        <v>73.238681076612806</v>
      </c>
      <c r="AN6770">
        <v>0.99999998418858904</v>
      </c>
    </row>
    <row r="6771" spans="1:40" x14ac:dyDescent="0.25">
      <c r="A6771" t="str">
        <f>"20190312172246154"</f>
        <v>20190312172246154</v>
      </c>
      <c r="B6771" t="str">
        <f>"1552382566146770"</f>
        <v>1552382566146770</v>
      </c>
      <c r="C6771" t="s">
        <v>40</v>
      </c>
      <c r="D6771">
        <v>3.2302970000000002</v>
      </c>
      <c r="E6771">
        <v>0.49185669999999998</v>
      </c>
      <c r="F6771" t="s">
        <v>42</v>
      </c>
      <c r="G6771">
        <v>-303.16120000000001</v>
      </c>
      <c r="H6771" s="1">
        <v>-2.7038479999999999E-6</v>
      </c>
      <c r="I6771">
        <v>-16.06879</v>
      </c>
      <c r="J6771">
        <v>-302.14319999999998</v>
      </c>
      <c r="K6771">
        <v>1.0551790000000001</v>
      </c>
      <c r="L6771">
        <v>0.65997309999999998</v>
      </c>
      <c r="M6771">
        <v>0.20621110000000001</v>
      </c>
      <c r="N6771">
        <v>0</v>
      </c>
      <c r="O6771">
        <v>-0.97838919999999996</v>
      </c>
      <c r="P6771">
        <v>-7.3971720000000005E-2</v>
      </c>
      <c r="Q6771">
        <v>0.131301799999999</v>
      </c>
      <c r="R6771">
        <v>-0.98857910000000004</v>
      </c>
      <c r="S6771">
        <v>-0.17639160000000001</v>
      </c>
      <c r="T6771">
        <v>-0.18970490000000001</v>
      </c>
      <c r="U6771">
        <v>-3.0464169999999999</v>
      </c>
      <c r="V6771">
        <v>0.27838970000000002</v>
      </c>
      <c r="W6771">
        <v>0.1416734</v>
      </c>
      <c r="X6771">
        <v>0.94996199999999997</v>
      </c>
      <c r="Y6771">
        <v>0.26234210000000002</v>
      </c>
      <c r="Z6771">
        <v>5.9006210000000003E-2</v>
      </c>
      <c r="AA6771">
        <v>0.96316919999999995</v>
      </c>
      <c r="AB6771">
        <v>22</v>
      </c>
      <c r="AC6771">
        <v>-1.01800000000002</v>
      </c>
      <c r="AD6771">
        <v>-1.055181703848</v>
      </c>
      <c r="AE6771">
        <v>-16.728763099999998</v>
      </c>
      <c r="AF6771">
        <v>4.4286170938270102</v>
      </c>
      <c r="AG6771">
        <v>-1.055181703848</v>
      </c>
      <c r="AH6771">
        <v>16.095388882795799</v>
      </c>
      <c r="AI6771">
        <v>93.616796866164606</v>
      </c>
      <c r="AJ6771">
        <v>74.615855431287798</v>
      </c>
      <c r="AK6771">
        <v>16.726852695002101</v>
      </c>
      <c r="AL6771">
        <v>81.855309636179499</v>
      </c>
      <c r="AM6771">
        <v>73.666591950639798</v>
      </c>
      <c r="AN6771">
        <v>0.99999998938882395</v>
      </c>
    </row>
    <row r="6772" spans="1:40" x14ac:dyDescent="0.25">
      <c r="A6772" t="str">
        <f>"20190312172246176"</f>
        <v>20190312172246176</v>
      </c>
      <c r="B6772" t="str">
        <f>"1552382566167266"</f>
        <v>1552382566167266</v>
      </c>
      <c r="C6772" t="s">
        <v>40</v>
      </c>
      <c r="D6772">
        <v>3.2199209999999998</v>
      </c>
      <c r="E6772">
        <v>0.49135180000000001</v>
      </c>
      <c r="F6772" t="s">
        <v>42</v>
      </c>
      <c r="G6772">
        <v>-303.16019999999997</v>
      </c>
      <c r="H6772" s="1">
        <v>-2.5761900000000001E-6</v>
      </c>
      <c r="I6772">
        <v>-16.365760000000002</v>
      </c>
      <c r="J6772">
        <v>-302.10969999999998</v>
      </c>
      <c r="K6772">
        <v>1.0550330000000001</v>
      </c>
      <c r="L6772">
        <v>0.45181270000000001</v>
      </c>
      <c r="M6772">
        <v>0.19946459999999999</v>
      </c>
      <c r="N6772">
        <v>0</v>
      </c>
      <c r="O6772">
        <v>-0.97979269999999996</v>
      </c>
      <c r="P6772">
        <v>-7.3246710000000007E-2</v>
      </c>
      <c r="Q6772">
        <v>0.1312371</v>
      </c>
      <c r="R6772">
        <v>-0.98864160000000001</v>
      </c>
      <c r="S6772">
        <v>-0.18194579999999999</v>
      </c>
      <c r="T6772">
        <v>-0.18878490000000001</v>
      </c>
      <c r="U6772">
        <v>-3.0461119999999999</v>
      </c>
      <c r="V6772">
        <v>0.2713583</v>
      </c>
      <c r="W6772">
        <v>0.140929</v>
      </c>
      <c r="X6772">
        <v>0.95210490000000003</v>
      </c>
      <c r="Y6772">
        <v>0.25744549999999999</v>
      </c>
      <c r="Z6772">
        <v>5.8894380000000003E-2</v>
      </c>
      <c r="AA6772">
        <v>0.96449640000000003</v>
      </c>
      <c r="AB6772">
        <v>21</v>
      </c>
      <c r="AC6772">
        <v>-1.05049999999999</v>
      </c>
      <c r="AD6772">
        <v>-1.0550355761900001</v>
      </c>
      <c r="AE6772">
        <v>-16.817572699999999</v>
      </c>
      <c r="AF6772">
        <v>4.3671448406069402</v>
      </c>
      <c r="AG6772">
        <v>-1.0550355761900001</v>
      </c>
      <c r="AH6772">
        <v>16.206454592328601</v>
      </c>
      <c r="AI6772">
        <v>93.5967398865305</v>
      </c>
      <c r="AJ6772">
        <v>74.918760038110605</v>
      </c>
      <c r="AK6772">
        <v>16.8176759565367</v>
      </c>
      <c r="AL6772">
        <v>81.898393178224097</v>
      </c>
      <c r="AM6772">
        <v>74.091980354852097</v>
      </c>
      <c r="AN6772">
        <v>1.0000000253119401</v>
      </c>
    </row>
    <row r="6773" spans="1:40" x14ac:dyDescent="0.25">
      <c r="A6773" t="str">
        <f>"20190312172246198"</f>
        <v>20190312172246198</v>
      </c>
      <c r="B6773" t="str">
        <f>"1552382566186786"</f>
        <v>1552382566186786</v>
      </c>
      <c r="C6773" t="s">
        <v>40</v>
      </c>
      <c r="D6773">
        <v>3.2125020000000002</v>
      </c>
      <c r="E6773">
        <v>0.49089430000000001</v>
      </c>
      <c r="F6773" t="s">
        <v>42</v>
      </c>
      <c r="G6773">
        <v>-303.09960000000001</v>
      </c>
      <c r="H6773" s="1">
        <v>-2.4986379999999999E-6</v>
      </c>
      <c r="I6773">
        <v>-16.508949999999999</v>
      </c>
      <c r="J6773">
        <v>-302.07819999999998</v>
      </c>
      <c r="K6773">
        <v>1.0553220000000001</v>
      </c>
      <c r="L6773">
        <v>0.24014279999999999</v>
      </c>
      <c r="M6773">
        <v>0.1934497</v>
      </c>
      <c r="N6773">
        <v>0</v>
      </c>
      <c r="O6773">
        <v>-0.98102</v>
      </c>
      <c r="P6773">
        <v>-7.1203619999999995E-2</v>
      </c>
      <c r="Q6773">
        <v>0.1324477</v>
      </c>
      <c r="R6773">
        <v>-0.98862939999999999</v>
      </c>
      <c r="S6773">
        <v>-0.17779539999999999</v>
      </c>
      <c r="T6773">
        <v>-0.1895027</v>
      </c>
      <c r="U6773">
        <v>-3.0464479999999998</v>
      </c>
      <c r="V6773">
        <v>0.26361600000000002</v>
      </c>
      <c r="W6773">
        <v>0.1405962</v>
      </c>
      <c r="X6773">
        <v>0.95432660000000002</v>
      </c>
      <c r="Y6773">
        <v>0.25018939999999901</v>
      </c>
      <c r="Z6773">
        <v>5.9284999999999997E-2</v>
      </c>
      <c r="AA6773">
        <v>0.96638009999999996</v>
      </c>
      <c r="AB6773">
        <v>21</v>
      </c>
      <c r="AC6773">
        <v>-1.0214000000000201</v>
      </c>
      <c r="AD6773">
        <v>-1.0553244986379999</v>
      </c>
      <c r="AE6773">
        <v>-16.7490928</v>
      </c>
      <c r="AF6773">
        <v>4.2257820690774501</v>
      </c>
      <c r="AG6773">
        <v>-1.0553244986379999</v>
      </c>
      <c r="AH6773">
        <v>16.171080967266398</v>
      </c>
      <c r="AI6773">
        <v>93.612846931632504</v>
      </c>
      <c r="AJ6773">
        <v>75.355113678544797</v>
      </c>
      <c r="AK6773">
        <v>16.7473819907067</v>
      </c>
      <c r="AL6773">
        <v>81.917652551679197</v>
      </c>
      <c r="AM6773">
        <v>74.558118610231404</v>
      </c>
      <c r="AN6773">
        <v>0.99999997318899903</v>
      </c>
    </row>
    <row r="6774" spans="1:40" x14ac:dyDescent="0.25">
      <c r="A6774" t="str">
        <f>"20190312172246221"</f>
        <v>20190312172246221</v>
      </c>
      <c r="B6774" t="str">
        <f>"1552382566217041"</f>
        <v>1552382566217041</v>
      </c>
      <c r="C6774" t="s">
        <v>40</v>
      </c>
      <c r="D6774">
        <v>3.2207849999999998</v>
      </c>
      <c r="E6774">
        <v>0.48423549999999899</v>
      </c>
      <c r="F6774" t="s">
        <v>42</v>
      </c>
      <c r="G6774">
        <v>-303.03449999999998</v>
      </c>
      <c r="H6774" s="1">
        <v>-2.262387E-6</v>
      </c>
      <c r="I6774">
        <v>-17.019289999999899</v>
      </c>
      <c r="J6774">
        <v>-302.0471</v>
      </c>
      <c r="K6774">
        <v>1.056829</v>
      </c>
      <c r="L6774">
        <v>2.1514889999999998E-2</v>
      </c>
      <c r="M6774">
        <v>0.18569069999999999</v>
      </c>
      <c r="N6774">
        <v>0</v>
      </c>
      <c r="O6774">
        <v>-0.98254269999999999</v>
      </c>
      <c r="P6774">
        <v>-7.1245829999999996E-2</v>
      </c>
      <c r="Q6774">
        <v>0.1339832</v>
      </c>
      <c r="R6774">
        <v>-0.98841950000000001</v>
      </c>
      <c r="S6774">
        <v>-0.168853799999999</v>
      </c>
      <c r="T6774">
        <v>-0.18632660000000001</v>
      </c>
      <c r="U6774">
        <v>-3.0473020000000002</v>
      </c>
      <c r="V6774">
        <v>0.2558782</v>
      </c>
      <c r="W6774">
        <v>0.14071839999999999</v>
      </c>
      <c r="X6774">
        <v>0.95641240000000005</v>
      </c>
      <c r="Y6774">
        <v>0.23968039999999999</v>
      </c>
      <c r="Z6774">
        <v>5.8502220000000001E-2</v>
      </c>
      <c r="AA6774">
        <v>0.96908760000000005</v>
      </c>
      <c r="AB6774">
        <v>21</v>
      </c>
      <c r="AC6774">
        <v>-0.98739999999997896</v>
      </c>
      <c r="AD6774">
        <v>-1.056831262387</v>
      </c>
      <c r="AE6774">
        <v>-17.040804889999901</v>
      </c>
      <c r="AF6774">
        <v>4.1189586511810896</v>
      </c>
      <c r="AG6774">
        <v>-1.056831262387</v>
      </c>
      <c r="AH6774">
        <v>16.4977926992375</v>
      </c>
      <c r="AI6774">
        <v>93.556425335412001</v>
      </c>
      <c r="AJ6774">
        <v>75.981701244350006</v>
      </c>
      <c r="AK6774">
        <v>17.037014897989401</v>
      </c>
      <c r="AL6774">
        <v>81.910580920504103</v>
      </c>
      <c r="AM6774">
        <v>75.021897599484504</v>
      </c>
      <c r="AN6774">
        <v>1.0000000001037801</v>
      </c>
    </row>
    <row r="6775" spans="1:40" x14ac:dyDescent="0.25">
      <c r="A6775" t="str">
        <f>"20190312172246243"</f>
        <v>20190312172246243</v>
      </c>
      <c r="B6775" t="str">
        <f>"1552382566237541"</f>
        <v>1552382566237541</v>
      </c>
      <c r="C6775" t="s">
        <v>40</v>
      </c>
      <c r="D6775">
        <v>3.2347589999999999</v>
      </c>
      <c r="E6775">
        <v>0.48355799999999999</v>
      </c>
      <c r="F6775" t="s">
        <v>42</v>
      </c>
      <c r="G6775">
        <v>-302.7226</v>
      </c>
      <c r="H6775" s="1">
        <v>-1.84317E-6</v>
      </c>
      <c r="I6775">
        <v>-17.80301</v>
      </c>
      <c r="J6775">
        <v>-302.01710000000003</v>
      </c>
      <c r="K6775">
        <v>1.059253</v>
      </c>
      <c r="L6775">
        <v>-0.1963501</v>
      </c>
      <c r="M6775">
        <v>0.17636660000000001</v>
      </c>
      <c r="N6775">
        <v>0</v>
      </c>
      <c r="O6775">
        <v>-0.98427469999999995</v>
      </c>
      <c r="P6775">
        <v>-7.3019280000000006E-2</v>
      </c>
      <c r="Q6775">
        <v>0.1348975</v>
      </c>
      <c r="R6775">
        <v>-0.98816590000000004</v>
      </c>
      <c r="S6775">
        <v>-0.1156311</v>
      </c>
      <c r="T6775">
        <v>-0.18091599999999999</v>
      </c>
      <c r="U6775">
        <v>-3.0513309999999998</v>
      </c>
      <c r="V6775">
        <v>0.24815509999999999</v>
      </c>
      <c r="W6775">
        <v>0.1409398</v>
      </c>
      <c r="X6775">
        <v>0.95841279999999995</v>
      </c>
      <c r="Y6775">
        <v>0.2134569</v>
      </c>
      <c r="Z6775">
        <v>5.7091699999999898E-2</v>
      </c>
      <c r="AA6775">
        <v>0.97528280000000001</v>
      </c>
      <c r="AB6775">
        <v>22</v>
      </c>
      <c r="AC6775">
        <v>-0.70549999999997204</v>
      </c>
      <c r="AD6775">
        <v>-1.05925484317</v>
      </c>
      <c r="AE6775">
        <v>-17.6066599</v>
      </c>
      <c r="AF6775">
        <v>3.7861370969488699</v>
      </c>
      <c r="AG6775">
        <v>-1.05925484317</v>
      </c>
      <c r="AH6775">
        <v>17.1442536397523</v>
      </c>
      <c r="AI6775">
        <v>93.452536056469896</v>
      </c>
      <c r="AJ6775">
        <v>77.546682603976905</v>
      </c>
      <c r="AK6775">
        <v>17.5892662667842</v>
      </c>
      <c r="AL6775">
        <v>81.897768249162795</v>
      </c>
      <c r="AM6775">
        <v>75.483600179511299</v>
      </c>
      <c r="AN6775">
        <v>1.00000003804194</v>
      </c>
    </row>
    <row r="6776" spans="1:40" x14ac:dyDescent="0.25">
      <c r="A6776" t="str">
        <f>"20190312172246265"</f>
        <v>20190312172246265</v>
      </c>
      <c r="B6776" t="str">
        <f>"1552382566257057"</f>
        <v>1552382566257057</v>
      </c>
      <c r="C6776" t="s">
        <v>40</v>
      </c>
      <c r="D6776">
        <v>3.2184590000000002</v>
      </c>
      <c r="E6776">
        <v>0.48374889999999998</v>
      </c>
      <c r="F6776" t="s">
        <v>42</v>
      </c>
      <c r="G6776">
        <v>-302.6977</v>
      </c>
      <c r="H6776" s="1">
        <v>-1.454608E-6</v>
      </c>
      <c r="I6776">
        <v>-18.69333</v>
      </c>
      <c r="J6776">
        <v>-301.98860000000002</v>
      </c>
      <c r="K6776">
        <v>1.061617</v>
      </c>
      <c r="L6776">
        <v>-0.41018680000000002</v>
      </c>
      <c r="M6776">
        <v>0.16676070000000001</v>
      </c>
      <c r="N6776">
        <v>0</v>
      </c>
      <c r="O6776">
        <v>-0.98596090000000003</v>
      </c>
      <c r="P6776">
        <v>-7.4953740000000005E-2</v>
      </c>
      <c r="Q6776">
        <v>0.1355662</v>
      </c>
      <c r="R6776">
        <v>-0.98792939999999996</v>
      </c>
      <c r="S6776">
        <v>-0.1122742</v>
      </c>
      <c r="T6776">
        <v>-0.17474729999999999</v>
      </c>
      <c r="U6776">
        <v>-3.0514830000000002</v>
      </c>
      <c r="V6776">
        <v>0.24038409999999999</v>
      </c>
      <c r="W6776">
        <v>0.14083219999999999</v>
      </c>
      <c r="X6776">
        <v>0.96040709999999996</v>
      </c>
      <c r="Y6776">
        <v>0.20284749999999999</v>
      </c>
      <c r="Z6776">
        <v>5.5358060000000001E-2</v>
      </c>
      <c r="AA6776">
        <v>0.97764430000000002</v>
      </c>
      <c r="AB6776">
        <v>21</v>
      </c>
      <c r="AC6776">
        <v>-0.70909999999997797</v>
      </c>
      <c r="AD6776">
        <v>-1.0616184546080001</v>
      </c>
      <c r="AE6776">
        <v>-18.283143200000001</v>
      </c>
      <c r="AF6776">
        <v>3.73561346579443</v>
      </c>
      <c r="AG6776">
        <v>-1.0616184546080001</v>
      </c>
      <c r="AH6776">
        <v>17.8487703869855</v>
      </c>
      <c r="AI6776">
        <v>93.331835295760499</v>
      </c>
      <c r="AJ6776">
        <v>78.179051952463496</v>
      </c>
      <c r="AK6776">
        <v>18.266374737104201</v>
      </c>
      <c r="AL6776">
        <v>81.903995164212006</v>
      </c>
      <c r="AM6776">
        <v>75.947905497282804</v>
      </c>
      <c r="AN6776">
        <v>1.00000001091003</v>
      </c>
    </row>
    <row r="6777" spans="1:40" x14ac:dyDescent="0.25">
      <c r="A6777" t="str">
        <f>"20190312172246288"</f>
        <v>20190312172246288</v>
      </c>
      <c r="B6777" t="str">
        <f>"1552382566277554"</f>
        <v>1552382566277554</v>
      </c>
      <c r="C6777" t="s">
        <v>40</v>
      </c>
      <c r="D6777">
        <v>3.2434349999999998</v>
      </c>
      <c r="E6777">
        <v>0.48400379999999898</v>
      </c>
      <c r="F6777" t="s">
        <v>42</v>
      </c>
      <c r="G6777">
        <v>-302.7131</v>
      </c>
      <c r="H6777" s="1">
        <v>-1.2441319999999999E-6</v>
      </c>
      <c r="I6777">
        <v>-19.193549999999998</v>
      </c>
      <c r="J6777">
        <v>-301.9615</v>
      </c>
      <c r="K6777">
        <v>1.0635779999999999</v>
      </c>
      <c r="L6777">
        <v>-0.62332149999999997</v>
      </c>
      <c r="M6777">
        <v>0.15795439999999999</v>
      </c>
      <c r="N6777">
        <v>0</v>
      </c>
      <c r="O6777">
        <v>-0.98742200000000002</v>
      </c>
      <c r="P6777">
        <v>-7.4932799999999994E-2</v>
      </c>
      <c r="Q6777">
        <v>0.13644600000000001</v>
      </c>
      <c r="R6777">
        <v>-0.98780990000000002</v>
      </c>
      <c r="S6777">
        <v>-0.1177063</v>
      </c>
      <c r="T6777">
        <v>-0.1724618</v>
      </c>
      <c r="U6777">
        <v>-3.0513919999999999</v>
      </c>
      <c r="V6777">
        <v>0.23162289999999999</v>
      </c>
      <c r="W6777">
        <v>0.140539</v>
      </c>
      <c r="X6777">
        <v>0.96260049999999997</v>
      </c>
      <c r="Y6777">
        <v>0.19584180000000001</v>
      </c>
      <c r="Z6777">
        <v>5.4799059999999997E-2</v>
      </c>
      <c r="AA6777">
        <v>0.97910319999999995</v>
      </c>
      <c r="AB6777">
        <v>21</v>
      </c>
      <c r="AC6777">
        <v>-0.75159999999999605</v>
      </c>
      <c r="AD6777">
        <v>-1.063579244132</v>
      </c>
      <c r="AE6777">
        <v>-18.570228499999999</v>
      </c>
      <c r="AF6777">
        <v>3.6634868069634599</v>
      </c>
      <c r="AG6777">
        <v>-1.063579244132</v>
      </c>
      <c r="AH6777">
        <v>18.1589046251536</v>
      </c>
      <c r="AI6777">
        <v>93.285967323556505</v>
      </c>
      <c r="AJ6777">
        <v>78.593907787056693</v>
      </c>
      <c r="AK6777">
        <v>18.555272931939601</v>
      </c>
      <c r="AL6777">
        <v>81.920963365380004</v>
      </c>
      <c r="AM6777">
        <v>76.470572061982395</v>
      </c>
      <c r="AN6777">
        <v>1.0000000504628199</v>
      </c>
    </row>
    <row r="6778" spans="1:40" x14ac:dyDescent="0.25">
      <c r="A6778" t="str">
        <f>"20190312172246311"</f>
        <v>20190312172246311</v>
      </c>
      <c r="B6778" t="str">
        <f>"1552382566306833"</f>
        <v>1552382566306833</v>
      </c>
      <c r="C6778" t="s">
        <v>40</v>
      </c>
      <c r="D6778">
        <v>3.2276590000000001</v>
      </c>
      <c r="E6778">
        <v>0.48411709999999902</v>
      </c>
      <c r="F6778" t="s">
        <v>42</v>
      </c>
      <c r="G6778">
        <v>-302.70740000000001</v>
      </c>
      <c r="H6778" s="1">
        <v>-1.063189E-6</v>
      </c>
      <c r="I6778">
        <v>-19.61178</v>
      </c>
      <c r="J6778">
        <v>-301.93520000000001</v>
      </c>
      <c r="K6778">
        <v>1.065401</v>
      </c>
      <c r="L6778">
        <v>-0.84506229999999904</v>
      </c>
      <c r="M6778">
        <v>0.14997260000000001</v>
      </c>
      <c r="N6778">
        <v>0</v>
      </c>
      <c r="O6778">
        <v>-0.98867519999999998</v>
      </c>
      <c r="P6778">
        <v>-7.3900110000000005E-2</v>
      </c>
      <c r="Q6778">
        <v>0.13689609999999999</v>
      </c>
      <c r="R6778">
        <v>-0.98782539999999996</v>
      </c>
      <c r="S6778">
        <v>-0.11987299999999999</v>
      </c>
      <c r="T6778">
        <v>-0.17092260000000001</v>
      </c>
      <c r="U6778">
        <v>-3.0515439999999998</v>
      </c>
      <c r="V6778">
        <v>0.22275400000000001</v>
      </c>
      <c r="W6778">
        <v>0.1397312</v>
      </c>
      <c r="X6778">
        <v>0.96480869999999996</v>
      </c>
      <c r="Y6778">
        <v>0.18860679999999999</v>
      </c>
      <c r="Z6778">
        <v>5.445208E-2</v>
      </c>
      <c r="AA6778">
        <v>0.98054189999999997</v>
      </c>
      <c r="AB6778">
        <v>21</v>
      </c>
      <c r="AC6778">
        <v>-0.772199999999997</v>
      </c>
      <c r="AD6778">
        <v>-1.065402063189</v>
      </c>
      <c r="AE6778">
        <v>-18.766717700000001</v>
      </c>
      <c r="AF6778">
        <v>3.5665261107975201</v>
      </c>
      <c r="AG6778">
        <v>-1.065402063189</v>
      </c>
      <c r="AH6778">
        <v>18.379516423176199</v>
      </c>
      <c r="AI6778">
        <v>93.256922843616493</v>
      </c>
      <c r="AJ6778">
        <v>79.018294647062106</v>
      </c>
      <c r="AK6778">
        <v>18.752648186457598</v>
      </c>
      <c r="AL6778">
        <v>81.967707666914905</v>
      </c>
      <c r="AM6778">
        <v>76.999415862325904</v>
      </c>
      <c r="AN6778">
        <v>0.99999999018256502</v>
      </c>
    </row>
    <row r="6779" spans="1:40" x14ac:dyDescent="0.25">
      <c r="A6779" t="str">
        <f>"20190312172246333"</f>
        <v>20190312172246333</v>
      </c>
      <c r="B6779" t="str">
        <f>"1552382566327330"</f>
        <v>1552382566327330</v>
      </c>
      <c r="C6779" t="s">
        <v>40</v>
      </c>
      <c r="D6779">
        <v>3.2241780000000002</v>
      </c>
      <c r="E6779">
        <v>0.48410199999999998</v>
      </c>
      <c r="F6779" t="s">
        <v>42</v>
      </c>
      <c r="G6779">
        <v>-302.67189999999999</v>
      </c>
      <c r="H6779" s="1">
        <v>-1.0051210000000001E-6</v>
      </c>
      <c r="I6779">
        <v>-19.725079999999998</v>
      </c>
      <c r="J6779">
        <v>-301.9117</v>
      </c>
      <c r="K6779">
        <v>1.0670409999999999</v>
      </c>
      <c r="L6779">
        <v>-1.057129</v>
      </c>
      <c r="M6779">
        <v>0.14296</v>
      </c>
      <c r="N6779">
        <v>0</v>
      </c>
      <c r="O6779">
        <v>-0.9897203</v>
      </c>
      <c r="P6779">
        <v>-7.2563749999999996E-2</v>
      </c>
      <c r="Q6779">
        <v>0.13813839999999999</v>
      </c>
      <c r="R6779">
        <v>-0.98775119999999905</v>
      </c>
      <c r="S6779">
        <v>-0.11907959999999999</v>
      </c>
      <c r="T6779">
        <v>-0.1722214</v>
      </c>
      <c r="U6779">
        <v>-3.0519409999999998</v>
      </c>
      <c r="V6779">
        <v>0.2145328</v>
      </c>
      <c r="W6779">
        <v>0.1397496</v>
      </c>
      <c r="X6779">
        <v>0.96666739999999995</v>
      </c>
      <c r="Y6779">
        <v>0.1813785</v>
      </c>
      <c r="Z6779">
        <v>5.4983839999999999E-2</v>
      </c>
      <c r="AA6779">
        <v>0.9818751</v>
      </c>
      <c r="AB6779">
        <v>21</v>
      </c>
      <c r="AC6779">
        <v>-0.76019999999999699</v>
      </c>
      <c r="AD6779">
        <v>-1.0670420051209999</v>
      </c>
      <c r="AE6779">
        <v>-18.667950999999999</v>
      </c>
      <c r="AF6779">
        <v>3.4100605495782301</v>
      </c>
      <c r="AG6779">
        <v>-1.0670420051209999</v>
      </c>
      <c r="AH6779">
        <v>18.3078049299091</v>
      </c>
      <c r="AI6779">
        <v>93.279346870531398</v>
      </c>
      <c r="AJ6779">
        <v>79.448846354557105</v>
      </c>
      <c r="AK6779">
        <v>18.653225269215099</v>
      </c>
      <c r="AL6779">
        <v>81.966643604043995</v>
      </c>
      <c r="AM6779">
        <v>77.487131299184696</v>
      </c>
      <c r="AN6779">
        <v>1.0000000675993701</v>
      </c>
    </row>
    <row r="6780" spans="1:40" x14ac:dyDescent="0.25">
      <c r="A6780" t="str">
        <f>"20190312172246354"</f>
        <v>20190312172246354</v>
      </c>
      <c r="B6780" t="str">
        <f>"1552382566346850"</f>
        <v>1552382566346850</v>
      </c>
      <c r="C6780" t="s">
        <v>40</v>
      </c>
      <c r="D6780">
        <v>3.22444</v>
      </c>
      <c r="E6780">
        <v>0.48425099999999999</v>
      </c>
      <c r="F6780" t="s">
        <v>42</v>
      </c>
      <c r="G6780">
        <v>-302.6361</v>
      </c>
      <c r="H6780" s="1">
        <v>-4.7525959999999999E-6</v>
      </c>
      <c r="I6780">
        <v>-20.421559999999999</v>
      </c>
      <c r="J6780">
        <v>-301.88940000000002</v>
      </c>
      <c r="K6780">
        <v>1.06863</v>
      </c>
      <c r="L6780">
        <v>-1.2693179999999999</v>
      </c>
      <c r="M6780">
        <v>0.13622979999999901</v>
      </c>
      <c r="N6780">
        <v>0</v>
      </c>
      <c r="O6780">
        <v>-0.99067400000000005</v>
      </c>
      <c r="P6780">
        <v>-7.0055909999999999E-2</v>
      </c>
      <c r="Q6780">
        <v>0.1396075</v>
      </c>
      <c r="R6780">
        <v>-0.98772599999999999</v>
      </c>
      <c r="S6780">
        <v>-0.1141968</v>
      </c>
      <c r="T6780">
        <v>-0.16819410000000001</v>
      </c>
      <c r="U6780">
        <v>-3.0523380000000002</v>
      </c>
      <c r="V6780">
        <v>0.20540729999999999</v>
      </c>
      <c r="W6780">
        <v>0.1400216</v>
      </c>
      <c r="X6780">
        <v>0.96860820000000003</v>
      </c>
      <c r="Y6780">
        <v>0.17311699999999999</v>
      </c>
      <c r="Z6780">
        <v>5.3816000000000003E-2</v>
      </c>
      <c r="AA6780">
        <v>0.98342989999999997</v>
      </c>
      <c r="AB6780">
        <v>21</v>
      </c>
      <c r="AC6780">
        <v>-0.74669999999997505</v>
      </c>
      <c r="AD6780">
        <v>-1.068634752596</v>
      </c>
      <c r="AE6780">
        <v>-19.152242000000001</v>
      </c>
      <c r="AF6780">
        <v>3.33847534040149</v>
      </c>
      <c r="AG6780">
        <v>-1.068634752596</v>
      </c>
      <c r="AH6780">
        <v>18.813483522005399</v>
      </c>
      <c r="AI6780">
        <v>93.201092490841305</v>
      </c>
      <c r="AJ6780">
        <v>79.937540967841201</v>
      </c>
      <c r="AK6780">
        <v>19.1372558133525</v>
      </c>
      <c r="AL6780">
        <v>81.950904064859202</v>
      </c>
      <c r="AM6780">
        <v>78.026983477818007</v>
      </c>
      <c r="AN6780">
        <v>1.00000002623354</v>
      </c>
    </row>
    <row r="6781" spans="1:40" x14ac:dyDescent="0.25">
      <c r="A6781" t="str">
        <f>"20190312172246377"</f>
        <v>20190312172246377</v>
      </c>
      <c r="B6781" t="str">
        <f>"1552382566367345"</f>
        <v>1552382566367345</v>
      </c>
      <c r="C6781" t="s">
        <v>40</v>
      </c>
      <c r="D6781">
        <v>3.2528090000000001</v>
      </c>
      <c r="E6781">
        <v>0.48442940000000001</v>
      </c>
      <c r="F6781" t="s">
        <v>42</v>
      </c>
      <c r="G6781">
        <v>-302.58100000000002</v>
      </c>
      <c r="H6781" s="1">
        <v>-4.483803E-6</v>
      </c>
      <c r="I6781">
        <v>-21.182659999999998</v>
      </c>
      <c r="J6781">
        <v>-301.86829999999998</v>
      </c>
      <c r="K6781">
        <v>1.070228</v>
      </c>
      <c r="L6781">
        <v>-1.481598</v>
      </c>
      <c r="M6781">
        <v>0.1297837</v>
      </c>
      <c r="N6781">
        <v>0</v>
      </c>
      <c r="O6781">
        <v>-0.99154160000000002</v>
      </c>
      <c r="P6781">
        <v>-6.7612110000000003E-2</v>
      </c>
      <c r="Q6781">
        <v>0.14046029999999901</v>
      </c>
      <c r="R6781">
        <v>-0.98777510000000002</v>
      </c>
      <c r="S6781">
        <v>-0.1060181</v>
      </c>
      <c r="T6781">
        <v>-0.16383239999999999</v>
      </c>
      <c r="U6781">
        <v>-3.0529169999999999</v>
      </c>
      <c r="V6781">
        <v>0.1965848</v>
      </c>
      <c r="W6781">
        <v>0.1398181</v>
      </c>
      <c r="X6781">
        <v>0.97046659999999996</v>
      </c>
      <c r="Y6781">
        <v>0.1640684</v>
      </c>
      <c r="Z6781">
        <v>5.2528140000000001E-2</v>
      </c>
      <c r="AA6781">
        <v>0.98504939999999996</v>
      </c>
      <c r="AB6781">
        <v>21</v>
      </c>
      <c r="AC6781">
        <v>-0.71269999999998301</v>
      </c>
      <c r="AD6781">
        <v>-1.070232483803</v>
      </c>
      <c r="AE6781">
        <v>-19.701062</v>
      </c>
      <c r="AF6781">
        <v>3.25396071968337</v>
      </c>
      <c r="AG6781">
        <v>-1.070232483803</v>
      </c>
      <c r="AH6781">
        <v>19.3848089285745</v>
      </c>
      <c r="AI6781">
        <v>93.116567821151094</v>
      </c>
      <c r="AJ6781">
        <v>80.471088912956503</v>
      </c>
      <c r="AK6781">
        <v>19.6851333531671</v>
      </c>
      <c r="AL6781">
        <v>81.962679811691203</v>
      </c>
      <c r="AM6781">
        <v>78.548699608419994</v>
      </c>
      <c r="AN6781">
        <v>1.0000000531971001</v>
      </c>
    </row>
    <row r="6782" spans="1:40" x14ac:dyDescent="0.25">
      <c r="A6782" t="str">
        <f>"20190312172246399"</f>
        <v>20190312172246399</v>
      </c>
      <c r="B6782" t="str">
        <f>"1552382566397602"</f>
        <v>1552382566397602</v>
      </c>
      <c r="C6782" t="s">
        <v>40</v>
      </c>
      <c r="D6782">
        <v>3.2766259999999998</v>
      </c>
      <c r="E6782">
        <v>0.48454639999999999</v>
      </c>
      <c r="F6782" t="s">
        <v>42</v>
      </c>
      <c r="G6782">
        <v>-302.5215</v>
      </c>
      <c r="H6782" s="1">
        <v>-4.3280930000000001E-6</v>
      </c>
      <c r="I6782">
        <v>-21.60923</v>
      </c>
      <c r="J6782">
        <v>-301.84769999999997</v>
      </c>
      <c r="K6782">
        <v>1.0719959999999999</v>
      </c>
      <c r="L6782">
        <v>-1.6961059999999999</v>
      </c>
      <c r="M6782">
        <v>0.1229022</v>
      </c>
      <c r="N6782">
        <v>0</v>
      </c>
      <c r="O6782">
        <v>-0.99241900000000005</v>
      </c>
      <c r="P6782">
        <v>-6.5634970000000001E-2</v>
      </c>
      <c r="Q6782">
        <v>0.14026179999999999</v>
      </c>
      <c r="R6782">
        <v>-0.98793690000000001</v>
      </c>
      <c r="S6782">
        <v>-9.9090579999999998E-2</v>
      </c>
      <c r="T6782">
        <v>-0.16235820000000001</v>
      </c>
      <c r="U6782">
        <v>-3.053436</v>
      </c>
      <c r="V6782">
        <v>0.18774070000000001</v>
      </c>
      <c r="W6782">
        <v>0.13904140000000001</v>
      </c>
      <c r="X6782">
        <v>0.97232759999999996</v>
      </c>
      <c r="Y6782">
        <v>0.15498120000000001</v>
      </c>
      <c r="Z6782">
        <v>5.2158799999999998E-2</v>
      </c>
      <c r="AA6782">
        <v>0.98653950000000001</v>
      </c>
      <c r="AB6782">
        <v>21</v>
      </c>
      <c r="AC6782">
        <v>-0.67380000000002804</v>
      </c>
      <c r="AD6782">
        <v>-1.0720003280929999</v>
      </c>
      <c r="AE6782">
        <v>-19.913124</v>
      </c>
      <c r="AF6782">
        <v>3.1070637772544401</v>
      </c>
      <c r="AG6782">
        <v>-1.0720003280929999</v>
      </c>
      <c r="AH6782">
        <v>19.622544194188599</v>
      </c>
      <c r="AI6782">
        <v>93.088617165394894</v>
      </c>
      <c r="AJ6782">
        <v>81.002398125705497</v>
      </c>
      <c r="AK6782">
        <v>19.895910903304799</v>
      </c>
      <c r="AL6782">
        <v>82.007620169198503</v>
      </c>
      <c r="AM6782">
        <v>79.071597741723096</v>
      </c>
      <c r="AN6782">
        <v>1.0000000215361</v>
      </c>
    </row>
    <row r="6783" spans="1:40" x14ac:dyDescent="0.25">
      <c r="A6783" t="str">
        <f>"20190312172246422"</f>
        <v>20190312172246422</v>
      </c>
      <c r="B6783" t="str">
        <f>"1552382566417121"</f>
        <v>1552382566417121</v>
      </c>
      <c r="C6783" t="s">
        <v>40</v>
      </c>
      <c r="D6783">
        <v>3.2033870000000002</v>
      </c>
      <c r="E6783">
        <v>0.48308780000000001</v>
      </c>
      <c r="F6783" t="s">
        <v>42</v>
      </c>
      <c r="G6783">
        <v>-302.46260000000001</v>
      </c>
      <c r="H6783" s="1">
        <v>-4.3043149999999998E-6</v>
      </c>
      <c r="I6783">
        <v>-21.648420000000002</v>
      </c>
      <c r="J6783">
        <v>-301.82729999999998</v>
      </c>
      <c r="K6783">
        <v>1.073958</v>
      </c>
      <c r="L6783">
        <v>-1.9130860000000001</v>
      </c>
      <c r="M6783">
        <v>0.1163092</v>
      </c>
      <c r="N6783">
        <v>0</v>
      </c>
      <c r="O6783">
        <v>-0.99321289999999995</v>
      </c>
      <c r="P6783">
        <v>-6.3763479999999997E-2</v>
      </c>
      <c r="Q6783">
        <v>0.14006879999999999</v>
      </c>
      <c r="R6783">
        <v>-0.98808680000000004</v>
      </c>
      <c r="S6783">
        <v>-9.4116210000000006E-2</v>
      </c>
      <c r="T6783">
        <v>-0.16406850000000001</v>
      </c>
      <c r="U6783">
        <v>-3.0536799999999999</v>
      </c>
      <c r="V6783">
        <v>0.17933869999999999</v>
      </c>
      <c r="W6783">
        <v>0.1391627</v>
      </c>
      <c r="X6783">
        <v>0.97389499999999996</v>
      </c>
      <c r="Y6783">
        <v>0.14680670000000001</v>
      </c>
      <c r="Z6783">
        <v>5.2801260000000003E-2</v>
      </c>
      <c r="AA6783">
        <v>0.98775489999999999</v>
      </c>
      <c r="AB6783">
        <v>21</v>
      </c>
      <c r="AC6783">
        <v>-0.63530000000002895</v>
      </c>
      <c r="AD6783">
        <v>-1.0739623043149999</v>
      </c>
      <c r="AE6783">
        <v>-19.735333999999899</v>
      </c>
      <c r="AF6783">
        <v>2.9177579657163699</v>
      </c>
      <c r="AG6783">
        <v>-1.0739623043149999</v>
      </c>
      <c r="AH6783">
        <v>19.4699026331228</v>
      </c>
      <c r="AI6783">
        <v>93.122445849147496</v>
      </c>
      <c r="AJ6783">
        <v>81.477084178494593</v>
      </c>
      <c r="AK6783">
        <v>19.716587309188998</v>
      </c>
      <c r="AL6783">
        <v>82.000602179404794</v>
      </c>
      <c r="AM6783">
        <v>79.5661100355115</v>
      </c>
      <c r="AN6783">
        <v>1.00000004870698</v>
      </c>
    </row>
    <row r="6784" spans="1:40" x14ac:dyDescent="0.25">
      <c r="A6784" t="str">
        <f>"20190312172246444"</f>
        <v>20190312172246444</v>
      </c>
      <c r="B6784" t="str">
        <f>"1552382566436642"</f>
        <v>1552382566436642</v>
      </c>
      <c r="C6784" t="s">
        <v>40</v>
      </c>
      <c r="D6784">
        <v>3.163297</v>
      </c>
      <c r="E6784">
        <v>0.45122050000000002</v>
      </c>
      <c r="F6784" t="s">
        <v>42</v>
      </c>
      <c r="G6784">
        <v>-302.32940000000002</v>
      </c>
      <c r="H6784" s="1">
        <v>-4.1827459999999998E-6</v>
      </c>
      <c r="I6784">
        <v>-21.936209999999999</v>
      </c>
      <c r="J6784">
        <v>-301.80829999999997</v>
      </c>
      <c r="K6784">
        <v>1.0759019999999999</v>
      </c>
      <c r="L6784">
        <v>-2.1207280000000002</v>
      </c>
      <c r="M6784">
        <v>0.11119279999999999</v>
      </c>
      <c r="N6784">
        <v>0</v>
      </c>
      <c r="O6784">
        <v>-0.99379830000000002</v>
      </c>
      <c r="P6784">
        <v>-6.0190699999999903E-2</v>
      </c>
      <c r="Q6784">
        <v>0.13941909999999999</v>
      </c>
      <c r="R6784">
        <v>-0.98840249999999996</v>
      </c>
      <c r="S6784">
        <v>-7.6599120000000007E-2</v>
      </c>
      <c r="T6784">
        <v>-0.16382840000000001</v>
      </c>
      <c r="U6784">
        <v>-3.054443</v>
      </c>
      <c r="V6784">
        <v>0.17081399999999999</v>
      </c>
      <c r="W6784">
        <v>0.139101799999999</v>
      </c>
      <c r="X6784">
        <v>0.97543489999999999</v>
      </c>
      <c r="Y6784">
        <v>0.1360365</v>
      </c>
      <c r="Z6784">
        <v>5.2803660000000002E-2</v>
      </c>
      <c r="AA6784">
        <v>0.98929560000000005</v>
      </c>
      <c r="AB6784">
        <v>21</v>
      </c>
      <c r="AC6784">
        <v>-0.52110000000004597</v>
      </c>
      <c r="AD6784">
        <v>-1.0759061827459999</v>
      </c>
      <c r="AE6784">
        <v>-19.815481999999999</v>
      </c>
      <c r="AF6784">
        <v>2.7132154647312099</v>
      </c>
      <c r="AG6784">
        <v>-1.0759061827459999</v>
      </c>
      <c r="AH6784">
        <v>19.576985888297301</v>
      </c>
      <c r="AI6784">
        <v>93.115956563411203</v>
      </c>
      <c r="AJ6784">
        <v>82.109521254156405</v>
      </c>
      <c r="AK6784">
        <v>19.793369817762699</v>
      </c>
      <c r="AL6784">
        <v>82.004125280697295</v>
      </c>
      <c r="AM6784">
        <v>80.067320505690901</v>
      </c>
      <c r="AN6784">
        <v>0.99999998874862395</v>
      </c>
    </row>
    <row r="6785" spans="1:40" x14ac:dyDescent="0.25">
      <c r="A6785" t="str">
        <f>"20190312172246466"</f>
        <v>20190312172246466</v>
      </c>
      <c r="B6785" t="str">
        <f>"1552382566457138"</f>
        <v>1552382566457138</v>
      </c>
      <c r="C6785" t="s">
        <v>40</v>
      </c>
      <c r="D6785">
        <v>3.156647</v>
      </c>
      <c r="E6785">
        <v>0.45124330000000001</v>
      </c>
      <c r="F6785" t="s">
        <v>42</v>
      </c>
      <c r="G6785">
        <v>-299.6807</v>
      </c>
      <c r="H6785" s="1">
        <v>-1.9207530000000001E-6</v>
      </c>
      <c r="I6785">
        <v>-36.021909999999998</v>
      </c>
      <c r="J6785">
        <v>-301.7901</v>
      </c>
      <c r="K6785">
        <v>1.078028</v>
      </c>
      <c r="L6785">
        <v>-2.3306879999999999</v>
      </c>
      <c r="M6785">
        <v>0.1072323</v>
      </c>
      <c r="N6785">
        <v>0</v>
      </c>
      <c r="O6785">
        <v>-0.99423329999999999</v>
      </c>
      <c r="P6785">
        <v>-5.5401980000000003E-2</v>
      </c>
      <c r="Q6785">
        <v>0.13853789999999999</v>
      </c>
      <c r="R6785">
        <v>-0.98880659999999998</v>
      </c>
      <c r="S6785">
        <v>0.19207759999999999</v>
      </c>
      <c r="T6785">
        <v>-9.7132919999999998E-2</v>
      </c>
      <c r="U6785">
        <v>-3.0606080000000002</v>
      </c>
      <c r="V6785">
        <v>0.16221099999999999</v>
      </c>
      <c r="W6785">
        <v>0.13855399999999901</v>
      </c>
      <c r="X6785">
        <v>0.97698019999999997</v>
      </c>
      <c r="Y6785">
        <v>4.4779289999999999E-2</v>
      </c>
      <c r="Z6785">
        <v>3.1399780000000002E-2</v>
      </c>
      <c r="AA6785">
        <v>0.99850329999999998</v>
      </c>
      <c r="AB6785">
        <v>21</v>
      </c>
      <c r="AC6785">
        <v>2.1093999999999902</v>
      </c>
      <c r="AD6785">
        <v>-1.078029920753</v>
      </c>
      <c r="AE6785">
        <v>-33.691222000000003</v>
      </c>
      <c r="AF6785">
        <v>1.5140085111927399</v>
      </c>
      <c r="AG6785">
        <v>-1.078029920753</v>
      </c>
      <c r="AH6785">
        <v>33.6887969536509</v>
      </c>
      <c r="AI6785">
        <v>91.8309730182214</v>
      </c>
      <c r="AJ6785">
        <v>87.426801310443395</v>
      </c>
      <c r="AK6785">
        <v>33.740026829662099</v>
      </c>
      <c r="AL6785">
        <v>82.035818625270494</v>
      </c>
      <c r="AM6785">
        <v>80.573003937430997</v>
      </c>
      <c r="AN6785">
        <v>0.99999996531451896</v>
      </c>
    </row>
    <row r="6786" spans="1:40" x14ac:dyDescent="0.25">
      <c r="A6786" t="str">
        <f>"20190312172246489"</f>
        <v>20190312172246489</v>
      </c>
      <c r="B6786" t="str">
        <f>"1552382566477633"</f>
        <v>1552382566477633</v>
      </c>
      <c r="C6786" t="s">
        <v>40</v>
      </c>
      <c r="D6786">
        <v>3.2129620000000001</v>
      </c>
      <c r="E6786">
        <v>0.45107449999999999</v>
      </c>
      <c r="F6786" t="s">
        <v>42</v>
      </c>
      <c r="G6786">
        <v>-299.71289999999999</v>
      </c>
      <c r="H6786" s="1">
        <v>-3.2369630000000001E-6</v>
      </c>
      <c r="I6786">
        <v>-32.940480000000001</v>
      </c>
      <c r="J6786">
        <v>-301.77260000000001</v>
      </c>
      <c r="K6786">
        <v>1.080508</v>
      </c>
      <c r="L6786">
        <v>-2.5422359999999999</v>
      </c>
      <c r="M6786">
        <v>0.1034817</v>
      </c>
      <c r="N6786">
        <v>0</v>
      </c>
      <c r="O6786">
        <v>-0.99463029999999997</v>
      </c>
      <c r="P6786">
        <v>-4.9958290000000002E-2</v>
      </c>
      <c r="Q6786">
        <v>0.1371463</v>
      </c>
      <c r="R6786">
        <v>-0.98929029999999996</v>
      </c>
      <c r="S6786">
        <v>0.20770259999999999</v>
      </c>
      <c r="T6786">
        <v>-0.10779329999999999</v>
      </c>
      <c r="U6786">
        <v>-3.0606990000000001</v>
      </c>
      <c r="V6786">
        <v>0.1530879</v>
      </c>
      <c r="W6786">
        <v>0.13741819999999999</v>
      </c>
      <c r="X6786">
        <v>0.97861140000000002</v>
      </c>
      <c r="Y6786">
        <v>3.5943780000000002E-2</v>
      </c>
      <c r="Z6786">
        <v>3.4862259999999999E-2</v>
      </c>
      <c r="AA6786">
        <v>0.99874560000000001</v>
      </c>
      <c r="AB6786">
        <v>21</v>
      </c>
      <c r="AC6786">
        <v>2.0597000000000198</v>
      </c>
      <c r="AD6786">
        <v>-1.0805112369630001</v>
      </c>
      <c r="AE6786">
        <v>-30.398243999999998</v>
      </c>
      <c r="AF6786">
        <v>1.09564511364369</v>
      </c>
      <c r="AG6786">
        <v>-1.0805112369630001</v>
      </c>
      <c r="AH6786">
        <v>30.409941676689201</v>
      </c>
      <c r="AI6786">
        <v>92.033631261180204</v>
      </c>
      <c r="AJ6786">
        <v>87.936572864134803</v>
      </c>
      <c r="AK6786">
        <v>30.448850479581299</v>
      </c>
      <c r="AL6786">
        <v>82.1015237349811</v>
      </c>
      <c r="AM6786">
        <v>81.109061151216594</v>
      </c>
      <c r="AN6786">
        <v>0.99999996951380399</v>
      </c>
    </row>
    <row r="6787" spans="1:40" x14ac:dyDescent="0.25">
      <c r="A6787" t="str">
        <f>"20190312172246511"</f>
        <v>20190312172246511</v>
      </c>
      <c r="B6787" t="str">
        <f>"1552382566506913"</f>
        <v>1552382566506913</v>
      </c>
      <c r="C6787" t="s">
        <v>40</v>
      </c>
      <c r="D6787">
        <v>3.2066569999999999</v>
      </c>
      <c r="E6787">
        <v>0.45183990000000002</v>
      </c>
      <c r="F6787" t="s">
        <v>42</v>
      </c>
      <c r="G6787">
        <v>-299.66390000000001</v>
      </c>
      <c r="H6787" s="1">
        <v>-4.0273780000000004E-6</v>
      </c>
      <c r="I6787">
        <v>-31.118279999999999</v>
      </c>
      <c r="J6787">
        <v>-301.755</v>
      </c>
      <c r="K6787">
        <v>1.0833759999999999</v>
      </c>
      <c r="L6787">
        <v>-2.7601619999999998</v>
      </c>
      <c r="M6787">
        <v>9.9542919999999993E-2</v>
      </c>
      <c r="N6787">
        <v>0</v>
      </c>
      <c r="O6787">
        <v>-0.99503189999999997</v>
      </c>
      <c r="P6787">
        <v>-4.465065E-2</v>
      </c>
      <c r="Q6787">
        <v>0.13561479999999901</v>
      </c>
      <c r="R6787">
        <v>-0.98975550000000001</v>
      </c>
      <c r="S6787">
        <v>0.22579959999999999</v>
      </c>
      <c r="T6787">
        <v>-0.1157006</v>
      </c>
      <c r="U6787">
        <v>-3.0599059999999998</v>
      </c>
      <c r="V6787">
        <v>0.14384930000000001</v>
      </c>
      <c r="W6787">
        <v>0.13639039999999999</v>
      </c>
      <c r="X6787">
        <v>0.98015560000000002</v>
      </c>
      <c r="Y6787">
        <v>2.609763E-2</v>
      </c>
      <c r="Z6787">
        <v>3.7446510000000002E-2</v>
      </c>
      <c r="AA6787">
        <v>0.99895780000000001</v>
      </c>
      <c r="AB6787">
        <v>21</v>
      </c>
      <c r="AC6787">
        <v>2.09109999999998</v>
      </c>
      <c r="AD6787">
        <v>-1.0833800273780001</v>
      </c>
      <c r="AE6787">
        <v>-28.358118000000001</v>
      </c>
      <c r="AF6787">
        <v>0.74106393616254596</v>
      </c>
      <c r="AG6787">
        <v>-1.0833800273780001</v>
      </c>
      <c r="AH6787">
        <v>28.384221970154801</v>
      </c>
      <c r="AI6787">
        <v>92.185082685015701</v>
      </c>
      <c r="AJ6787">
        <v>88.504444039793995</v>
      </c>
      <c r="AK6787">
        <v>28.414555159147199</v>
      </c>
      <c r="AL6787">
        <v>82.160972183668505</v>
      </c>
      <c r="AM6787">
        <v>81.650778262833697</v>
      </c>
      <c r="AN6787">
        <v>0.99999998126700396</v>
      </c>
    </row>
    <row r="6788" spans="1:40" x14ac:dyDescent="0.25">
      <c r="A6788" t="str">
        <f>"20190312172246535"</f>
        <v>20190312172246535</v>
      </c>
      <c r="B6788" t="str">
        <f>"1552382566527409"</f>
        <v>1552382566527409</v>
      </c>
      <c r="C6788" t="s">
        <v>40</v>
      </c>
      <c r="D6788">
        <v>3.206979</v>
      </c>
      <c r="E6788">
        <v>0.45239309999999999</v>
      </c>
      <c r="F6788" t="s">
        <v>42</v>
      </c>
      <c r="G6788">
        <v>-299.70670000000001</v>
      </c>
      <c r="H6788" s="1">
        <v>-4.7514730000000002E-7</v>
      </c>
      <c r="I6788">
        <v>-29.38091</v>
      </c>
      <c r="J6788">
        <v>-301.73750000000001</v>
      </c>
      <c r="K6788">
        <v>1.0864609999999999</v>
      </c>
      <c r="L6788">
        <v>-2.9834900000000002</v>
      </c>
      <c r="M6788">
        <v>9.550852E-2</v>
      </c>
      <c r="N6788">
        <v>0</v>
      </c>
      <c r="O6788">
        <v>-0.99542580000000003</v>
      </c>
      <c r="P6788">
        <v>-3.9588739999999997E-2</v>
      </c>
      <c r="Q6788">
        <v>0.13461229999999999</v>
      </c>
      <c r="R6788">
        <v>-0.99010739999999997</v>
      </c>
      <c r="S6788">
        <v>0.23535159999999999</v>
      </c>
      <c r="T6788">
        <v>-0.1244797</v>
      </c>
      <c r="U6788">
        <v>-3.058716</v>
      </c>
      <c r="V6788">
        <v>0.1347266</v>
      </c>
      <c r="W6788">
        <v>0.13623209999999999</v>
      </c>
      <c r="X6788">
        <v>0.98147309999999999</v>
      </c>
      <c r="Y6788">
        <v>1.8922899999999999E-2</v>
      </c>
      <c r="Z6788">
        <v>4.0321559999999999E-2</v>
      </c>
      <c r="AA6788">
        <v>0.9990076</v>
      </c>
      <c r="AB6788">
        <v>21</v>
      </c>
      <c r="AC6788">
        <v>2.0308000000000002</v>
      </c>
      <c r="AD6788">
        <v>-1.0864614751473001</v>
      </c>
      <c r="AE6788">
        <v>-26.39742</v>
      </c>
      <c r="AF6788">
        <v>0.49882917037641999</v>
      </c>
      <c r="AG6788">
        <v>-1.0864614751473001</v>
      </c>
      <c r="AH6788">
        <v>26.426203921565499</v>
      </c>
      <c r="AI6788">
        <v>92.3538587348134</v>
      </c>
      <c r="AJ6788">
        <v>88.918595634059102</v>
      </c>
      <c r="AK6788">
        <v>26.453231991239999</v>
      </c>
      <c r="AL6788">
        <v>82.170127267242705</v>
      </c>
      <c r="AM6788">
        <v>82.183869568515803</v>
      </c>
      <c r="AN6788">
        <v>0.99999994392078795</v>
      </c>
    </row>
    <row r="6789" spans="1:40" x14ac:dyDescent="0.25">
      <c r="A6789" t="str">
        <f>"20190312172246557"</f>
        <v>20190312172246557</v>
      </c>
      <c r="B6789" t="str">
        <f>"1552382566546930"</f>
        <v>1552382566546930</v>
      </c>
      <c r="C6789" t="s">
        <v>40</v>
      </c>
      <c r="D6789">
        <v>3.190296</v>
      </c>
      <c r="E6789">
        <v>0.45308150000000003</v>
      </c>
      <c r="F6789" t="s">
        <v>42</v>
      </c>
      <c r="G6789">
        <v>-299.68680000000001</v>
      </c>
      <c r="H6789" s="1">
        <v>-9.1866329999999995E-7</v>
      </c>
      <c r="I6789">
        <v>-28.35529</v>
      </c>
      <c r="J6789">
        <v>-301.72050000000002</v>
      </c>
      <c r="K6789">
        <v>1.089429</v>
      </c>
      <c r="L6789">
        <v>-3.2028500000000002</v>
      </c>
      <c r="M6789">
        <v>9.1911670000000001E-2</v>
      </c>
      <c r="N6789">
        <v>0</v>
      </c>
      <c r="O6789">
        <v>-0.99576200000000004</v>
      </c>
      <c r="P6789">
        <v>-3.3335879999999998E-2</v>
      </c>
      <c r="Q6789">
        <v>0.13359499999999999</v>
      </c>
      <c r="R6789">
        <v>-0.99047529999999995</v>
      </c>
      <c r="S6789">
        <v>0.2471313</v>
      </c>
      <c r="T6789">
        <v>-0.13093350000000001</v>
      </c>
      <c r="U6789">
        <v>-3.0576479999999999</v>
      </c>
      <c r="V6789">
        <v>0.124858399999999</v>
      </c>
      <c r="W6789">
        <v>0.13620279999999901</v>
      </c>
      <c r="X6789">
        <v>0.98278140000000003</v>
      </c>
      <c r="Y6789">
        <v>1.1465990000000001E-2</v>
      </c>
      <c r="Z6789">
        <v>4.2440819999999997E-2</v>
      </c>
      <c r="AA6789">
        <v>0.99903319999999995</v>
      </c>
      <c r="AB6789">
        <v>21</v>
      </c>
      <c r="AC6789">
        <v>2.0337000000000098</v>
      </c>
      <c r="AD6789">
        <v>-1.0894299186633001</v>
      </c>
      <c r="AE6789">
        <v>-25.152439999999999</v>
      </c>
      <c r="AF6789">
        <v>0.28618964853664902</v>
      </c>
      <c r="AG6789">
        <v>-1.0894299186633001</v>
      </c>
      <c r="AH6789">
        <v>25.185951915969198</v>
      </c>
      <c r="AI6789">
        <v>92.476651609386295</v>
      </c>
      <c r="AJ6789">
        <v>89.348972261674007</v>
      </c>
      <c r="AK6789">
        <v>25.211127225416199</v>
      </c>
      <c r="AL6789">
        <v>82.171822676038602</v>
      </c>
      <c r="AM6789">
        <v>82.759591819739995</v>
      </c>
      <c r="AN6789">
        <v>1.0000000514821701</v>
      </c>
    </row>
    <row r="6790" spans="1:40" x14ac:dyDescent="0.25">
      <c r="A6790" t="str">
        <f>"20190312172246589"</f>
        <v>20190312172246589</v>
      </c>
      <c r="B6790" t="str">
        <f>"1552382566586946"</f>
        <v>1552382566586946</v>
      </c>
      <c r="C6790" t="s">
        <v>40</v>
      </c>
      <c r="D6790">
        <v>3.217581</v>
      </c>
      <c r="E6790">
        <v>0.46091919999999997</v>
      </c>
      <c r="F6790" t="s">
        <v>42</v>
      </c>
      <c r="G6790">
        <v>-299.64640000000003</v>
      </c>
      <c r="H6790" s="1">
        <v>-1.2956980000000001E-6</v>
      </c>
      <c r="I6790">
        <v>-27.493130000000001</v>
      </c>
      <c r="J6790">
        <v>-301.6977</v>
      </c>
      <c r="K6790">
        <v>1.0932200000000001</v>
      </c>
      <c r="L6790">
        <v>-3.5037539999999998</v>
      </c>
      <c r="M6790">
        <v>8.8032589999999994E-2</v>
      </c>
      <c r="N6790">
        <v>0</v>
      </c>
      <c r="O6790">
        <v>-0.99610589999999999</v>
      </c>
      <c r="P6790">
        <v>-2.2276379999999998E-2</v>
      </c>
      <c r="Q6790">
        <v>0.1315711</v>
      </c>
      <c r="R6790">
        <v>-0.99105639999999995</v>
      </c>
      <c r="S6790">
        <v>0.26095580000000002</v>
      </c>
      <c r="T6790">
        <v>-0.13706849999999901</v>
      </c>
      <c r="U6790">
        <v>-3.0561219999999998</v>
      </c>
      <c r="V6790">
        <v>0.1099313</v>
      </c>
      <c r="W6790">
        <v>0.1359137</v>
      </c>
      <c r="X6790">
        <v>0.98460270000000005</v>
      </c>
      <c r="Y6790">
        <v>3.0509140000000001E-3</v>
      </c>
      <c r="Z6790">
        <v>4.4464160000000003E-2</v>
      </c>
      <c r="AA6790">
        <v>0.99900630000000001</v>
      </c>
      <c r="AB6790">
        <v>21</v>
      </c>
      <c r="AC6790">
        <v>2.0512999999999599</v>
      </c>
      <c r="AD6790">
        <v>-1.0932212956980001</v>
      </c>
      <c r="AE6790">
        <v>-23.989376</v>
      </c>
      <c r="AF6790">
        <v>6.8394661837692203E-2</v>
      </c>
      <c r="AG6790">
        <v>-1.0932212956980001</v>
      </c>
      <c r="AH6790">
        <v>24.027284921249901</v>
      </c>
      <c r="AI6790">
        <v>92.605102647161203</v>
      </c>
      <c r="AJ6790">
        <v>89.836905630694204</v>
      </c>
      <c r="AK6790">
        <v>24.052239632060498</v>
      </c>
      <c r="AL6790">
        <v>82.188541572046603</v>
      </c>
      <c r="AM6790">
        <v>83.629287057896093</v>
      </c>
      <c r="AN6790">
        <v>0.99999995070733305</v>
      </c>
    </row>
    <row r="6791" spans="1:40" x14ac:dyDescent="0.25">
      <c r="A6791" t="str">
        <f>"20190312172246612"</f>
        <v>20190312172246612</v>
      </c>
      <c r="B6791" t="str">
        <f>"1552382566607442"</f>
        <v>1552382566607442</v>
      </c>
      <c r="C6791" t="s">
        <v>40</v>
      </c>
      <c r="D6791">
        <v>3.2253759999999998</v>
      </c>
      <c r="E6791">
        <v>0.46148909999999999</v>
      </c>
      <c r="F6791" t="s">
        <v>42</v>
      </c>
      <c r="G6791">
        <v>-300.24790000000002</v>
      </c>
      <c r="H6791" s="1">
        <v>-3.3951919999999999E-6</v>
      </c>
      <c r="I6791">
        <v>-22.650379999999998</v>
      </c>
      <c r="J6791">
        <v>-301.68209999999999</v>
      </c>
      <c r="K6791">
        <v>1.095901</v>
      </c>
      <c r="L6791">
        <v>-3.714264</v>
      </c>
      <c r="M6791">
        <v>8.5828459999999995E-2</v>
      </c>
      <c r="N6791">
        <v>0</v>
      </c>
      <c r="O6791">
        <v>-0.996286</v>
      </c>
      <c r="P6791">
        <v>-1.479103E-2</v>
      </c>
      <c r="Q6791">
        <v>0.1295384</v>
      </c>
      <c r="R6791">
        <v>-0.99146409999999996</v>
      </c>
      <c r="S6791">
        <v>0.2313538</v>
      </c>
      <c r="T6791">
        <v>-0.17445669999999999</v>
      </c>
      <c r="U6791">
        <v>-3.0554199999999998</v>
      </c>
      <c r="V6791">
        <v>0.1002556</v>
      </c>
      <c r="W6791">
        <v>0.13603090000000001</v>
      </c>
      <c r="X6791">
        <v>0.98561880000000002</v>
      </c>
      <c r="Y6791">
        <v>1.048264E-2</v>
      </c>
      <c r="Z6791">
        <v>5.6607409999999997E-2</v>
      </c>
      <c r="AA6791">
        <v>0.99834149999999999</v>
      </c>
      <c r="AB6791">
        <v>21</v>
      </c>
      <c r="AC6791">
        <v>1.4341999999999699</v>
      </c>
      <c r="AD6791">
        <v>-1.095904395192</v>
      </c>
      <c r="AE6791">
        <v>-18.936115999999998</v>
      </c>
      <c r="AF6791">
        <v>0.195737118255569</v>
      </c>
      <c r="AG6791">
        <v>-1.095904395192</v>
      </c>
      <c r="AH6791">
        <v>18.926305473208</v>
      </c>
      <c r="AI6791">
        <v>93.313764282302301</v>
      </c>
      <c r="AJ6791">
        <v>89.407464337461306</v>
      </c>
      <c r="AK6791">
        <v>18.959017862960302</v>
      </c>
      <c r="AL6791">
        <v>82.181763983596397</v>
      </c>
      <c r="AM6791">
        <v>84.191939415320604</v>
      </c>
      <c r="AN6791">
        <v>1.0000000049997999</v>
      </c>
    </row>
    <row r="6792" spans="1:40" x14ac:dyDescent="0.25">
      <c r="A6792" t="str">
        <f>"20190312172246634"</f>
        <v>20190312172246634</v>
      </c>
      <c r="B6792" t="str">
        <f>"1552382566626961"</f>
        <v>1552382566626961</v>
      </c>
      <c r="C6792" t="s">
        <v>40</v>
      </c>
      <c r="D6792">
        <v>3.1778529999999998</v>
      </c>
      <c r="E6792">
        <v>0.46227040000000003</v>
      </c>
      <c r="F6792" t="s">
        <v>42</v>
      </c>
      <c r="G6792">
        <v>-300.20580000000001</v>
      </c>
      <c r="H6792" s="1">
        <v>-3.7552399999999999E-6</v>
      </c>
      <c r="I6792">
        <v>-21.784949999999998</v>
      </c>
      <c r="J6792">
        <v>-301.6671</v>
      </c>
      <c r="K6792">
        <v>1.0983959999999999</v>
      </c>
      <c r="L6792">
        <v>-3.9202270000000001</v>
      </c>
      <c r="M6792">
        <v>8.3989620000000001E-2</v>
      </c>
      <c r="N6792">
        <v>0</v>
      </c>
      <c r="O6792">
        <v>-0.99642339999999996</v>
      </c>
      <c r="P6792">
        <v>-7.6043169999999898E-3</v>
      </c>
      <c r="Q6792">
        <v>0.1280925</v>
      </c>
      <c r="R6792">
        <v>-0.99173359999999999</v>
      </c>
      <c r="S6792">
        <v>0.24948119999999999</v>
      </c>
      <c r="T6792">
        <v>-0.18519550000000001</v>
      </c>
      <c r="U6792">
        <v>-3.053741</v>
      </c>
      <c r="V6792">
        <v>9.1229009999999999E-2</v>
      </c>
      <c r="W6792">
        <v>0.13702329999999999</v>
      </c>
      <c r="X6792">
        <v>0.98635790000000001</v>
      </c>
      <c r="Y6792">
        <v>2.7242210000000002E-3</v>
      </c>
      <c r="Z6792">
        <v>6.0114229999999998E-2</v>
      </c>
      <c r="AA6792">
        <v>0.99818779999999996</v>
      </c>
      <c r="AB6792">
        <v>21</v>
      </c>
      <c r="AC6792">
        <v>1.4612999999999901</v>
      </c>
      <c r="AD6792">
        <v>-1.09839975524</v>
      </c>
      <c r="AE6792">
        <v>-17.864722999999898</v>
      </c>
      <c r="AF6792">
        <v>4.4213662703581999E-2</v>
      </c>
      <c r="AG6792">
        <v>-1.09839975524</v>
      </c>
      <c r="AH6792">
        <v>17.8572766860961</v>
      </c>
      <c r="AI6792">
        <v>93.519813775481296</v>
      </c>
      <c r="AJ6792">
        <v>89.858139001946896</v>
      </c>
      <c r="AK6792">
        <v>17.891080669262902</v>
      </c>
      <c r="AL6792">
        <v>82.124366251298895</v>
      </c>
      <c r="AM6792">
        <v>84.715702781512206</v>
      </c>
      <c r="AN6792">
        <v>1.00000001195044</v>
      </c>
    </row>
    <row r="6793" spans="1:40" x14ac:dyDescent="0.25">
      <c r="A6793" t="str">
        <f>"20190312172246656"</f>
        <v>20190312172246656</v>
      </c>
      <c r="B6793" t="str">
        <f>"1552382566647458"</f>
        <v>1552382566647458</v>
      </c>
      <c r="C6793" t="s">
        <v>40</v>
      </c>
      <c r="D6793">
        <v>3.2566989999999998</v>
      </c>
      <c r="E6793">
        <v>0.46294649999999998</v>
      </c>
      <c r="F6793" t="s">
        <v>42</v>
      </c>
      <c r="G6793">
        <v>-300.14139999999998</v>
      </c>
      <c r="H6793" s="1">
        <v>-3.8517199999999996E-6</v>
      </c>
      <c r="I6793">
        <v>-21.520160000000001</v>
      </c>
      <c r="J6793">
        <v>-301.65289999999999</v>
      </c>
      <c r="K6793">
        <v>1.100589</v>
      </c>
      <c r="L6793">
        <v>-4.1161190000000003</v>
      </c>
      <c r="M6793">
        <v>8.2527799999999998E-2</v>
      </c>
      <c r="N6793">
        <v>0</v>
      </c>
      <c r="O6793">
        <v>-0.99652079999999998</v>
      </c>
      <c r="P6793">
        <v>-9.7471250000000004E-4</v>
      </c>
      <c r="Q6793">
        <v>0.1261796</v>
      </c>
      <c r="R6793">
        <v>-0.99200699999999997</v>
      </c>
      <c r="S6793">
        <v>0.26452639999999999</v>
      </c>
      <c r="T6793">
        <v>-0.19045049999999999</v>
      </c>
      <c r="U6793">
        <v>-3.0516359999999998</v>
      </c>
      <c r="V6793">
        <v>8.3130910000000002E-2</v>
      </c>
      <c r="W6793">
        <v>0.1375065</v>
      </c>
      <c r="X6793">
        <v>0.98700619999999994</v>
      </c>
      <c r="Y6793">
        <v>-3.6740050000000002E-3</v>
      </c>
      <c r="Z6793">
        <v>6.1854439999999997E-2</v>
      </c>
      <c r="AA6793">
        <v>0.99807840000000003</v>
      </c>
      <c r="AB6793">
        <v>21</v>
      </c>
      <c r="AC6793">
        <v>1.5115000000000101</v>
      </c>
      <c r="AD6793">
        <v>-1.1005928517200001</v>
      </c>
      <c r="AE6793">
        <v>-17.404040999999999</v>
      </c>
      <c r="AF6793">
        <v>-6.96522553610541E-2</v>
      </c>
      <c r="AG6793">
        <v>-1.1005928517200001</v>
      </c>
      <c r="AH6793">
        <v>17.400349480195</v>
      </c>
      <c r="AI6793">
        <v>93.619176122684607</v>
      </c>
      <c r="AJ6793">
        <v>90.229349356185395</v>
      </c>
      <c r="AK6793">
        <v>17.435260769339202</v>
      </c>
      <c r="AL6793">
        <v>82.096416370248406</v>
      </c>
      <c r="AM6793">
        <v>85.185607635188902</v>
      </c>
      <c r="AN6793">
        <v>1.00000001228905</v>
      </c>
    </row>
    <row r="6794" spans="1:40" x14ac:dyDescent="0.25">
      <c r="A6794" t="str">
        <f>"20190312172246678"</f>
        <v>20190312172246678</v>
      </c>
      <c r="B6794" t="str">
        <f>"1552382566666978"</f>
        <v>1552382566666978</v>
      </c>
      <c r="C6794" t="s">
        <v>40</v>
      </c>
      <c r="D6794">
        <v>3.2584610000000001</v>
      </c>
      <c r="E6794">
        <v>0.46360489999999999</v>
      </c>
      <c r="F6794" t="s">
        <v>42</v>
      </c>
      <c r="G6794">
        <v>-300.09190000000001</v>
      </c>
      <c r="H6794" s="1">
        <v>-3.9540650000000001E-6</v>
      </c>
      <c r="I6794">
        <v>-21.250869999999999</v>
      </c>
      <c r="J6794">
        <v>-301.63850000000002</v>
      </c>
      <c r="K6794">
        <v>1.102557</v>
      </c>
      <c r="L6794">
        <v>-4.31311</v>
      </c>
      <c r="M6794">
        <v>8.1207710000000002E-2</v>
      </c>
      <c r="N6794">
        <v>0</v>
      </c>
      <c r="O6794">
        <v>-0.99660309999999996</v>
      </c>
      <c r="P6794">
        <v>5.4146649999999999E-3</v>
      </c>
      <c r="Q6794">
        <v>0.12589040000000001</v>
      </c>
      <c r="R6794">
        <v>-0.99202950000000001</v>
      </c>
      <c r="S6794">
        <v>0.27780149999999998</v>
      </c>
      <c r="T6794">
        <v>-0.1958646</v>
      </c>
      <c r="U6794">
        <v>-3.049347</v>
      </c>
      <c r="V6794">
        <v>7.5370859999999998E-2</v>
      </c>
      <c r="W6794">
        <v>0.13932610000000001</v>
      </c>
      <c r="X6794">
        <v>0.98737399999999997</v>
      </c>
      <c r="Y6794">
        <v>-9.3615869999999993E-3</v>
      </c>
      <c r="Z6794">
        <v>6.3650150000000003E-2</v>
      </c>
      <c r="AA6794">
        <v>0.99792840000000005</v>
      </c>
      <c r="AB6794">
        <v>20</v>
      </c>
      <c r="AC6794">
        <v>1.54660000000001</v>
      </c>
      <c r="AD6794">
        <v>-1.1025609540649901</v>
      </c>
      <c r="AE6794">
        <v>-16.937760000000001</v>
      </c>
      <c r="AF6794">
        <v>-0.165191027894354</v>
      </c>
      <c r="AG6794">
        <v>-1.1025609540649901</v>
      </c>
      <c r="AH6794">
        <v>16.936243858494599</v>
      </c>
      <c r="AI6794">
        <v>93.724561413522196</v>
      </c>
      <c r="AJ6794">
        <v>90.558828077000797</v>
      </c>
      <c r="AK6794">
        <v>16.9728985375958</v>
      </c>
      <c r="AL6794">
        <v>81.991147330650804</v>
      </c>
      <c r="AM6794">
        <v>85.634811557351398</v>
      </c>
      <c r="AN6794">
        <v>0.99999997227717397</v>
      </c>
    </row>
    <row r="6795" spans="1:40" x14ac:dyDescent="0.25">
      <c r="A6795" t="str">
        <f>"20190312172246702"</f>
        <v>20190312172246702</v>
      </c>
      <c r="B6795" t="str">
        <f>"1552382566697233"</f>
        <v>1552382566697233</v>
      </c>
      <c r="C6795" t="s">
        <v>40</v>
      </c>
      <c r="D6795">
        <v>3.2542249999999999</v>
      </c>
      <c r="E6795">
        <v>0.46987200000000001</v>
      </c>
      <c r="F6795" t="s">
        <v>42</v>
      </c>
      <c r="G6795">
        <v>-300.0068</v>
      </c>
      <c r="H6795" s="1">
        <v>-3.8742589999999998E-6</v>
      </c>
      <c r="I6795">
        <v>-21.384129999999999</v>
      </c>
      <c r="J6795">
        <v>-301.62360000000001</v>
      </c>
      <c r="K6795">
        <v>1.1039079999999999</v>
      </c>
      <c r="L6795">
        <v>-4.5152590000000004</v>
      </c>
      <c r="M6795">
        <v>7.9987240000000001E-2</v>
      </c>
      <c r="N6795">
        <v>0</v>
      </c>
      <c r="O6795">
        <v>-0.99669560000000001</v>
      </c>
      <c r="P6795">
        <v>1.1822030000000001E-2</v>
      </c>
      <c r="Q6795">
        <v>0.12725629999999999</v>
      </c>
      <c r="R6795">
        <v>-0.9917996</v>
      </c>
      <c r="S6795">
        <v>0.2912903</v>
      </c>
      <c r="T6795">
        <v>-0.1968271</v>
      </c>
      <c r="U6795">
        <v>-3.047485</v>
      </c>
      <c r="V6795">
        <v>6.7665359999999994E-2</v>
      </c>
      <c r="W6795">
        <v>0.14119329999999999</v>
      </c>
      <c r="X6795">
        <v>0.98766679999999996</v>
      </c>
      <c r="Y6795">
        <v>-1.5017279999999999E-2</v>
      </c>
      <c r="Z6795">
        <v>6.3994579999999995E-2</v>
      </c>
      <c r="AA6795">
        <v>0.99783719999999998</v>
      </c>
      <c r="AB6795">
        <v>20</v>
      </c>
      <c r="AC6795">
        <v>1.61680000000001</v>
      </c>
      <c r="AD6795">
        <v>-1.1039118742589999</v>
      </c>
      <c r="AE6795">
        <v>-16.868870999999999</v>
      </c>
      <c r="AF6795">
        <v>-0.26108132122306699</v>
      </c>
      <c r="AG6795">
        <v>-1.1039118742589999</v>
      </c>
      <c r="AH6795">
        <v>16.8725478555052</v>
      </c>
      <c r="AI6795">
        <v>93.742880761577297</v>
      </c>
      <c r="AJ6795">
        <v>90.886508914762402</v>
      </c>
      <c r="AK6795">
        <v>16.9106373628771</v>
      </c>
      <c r="AL6795">
        <v>81.883096163136301</v>
      </c>
      <c r="AM6795">
        <v>86.080772493245902</v>
      </c>
      <c r="AN6795">
        <v>0.99999992836552698</v>
      </c>
    </row>
    <row r="6796" spans="1:40" x14ac:dyDescent="0.25">
      <c r="A6796" t="str">
        <f>"20190312172246724"</f>
        <v>20190312172246724</v>
      </c>
      <c r="B6796" t="str">
        <f>"1552382566716754"</f>
        <v>1552382566716754</v>
      </c>
      <c r="C6796" t="s">
        <v>40</v>
      </c>
      <c r="D6796">
        <v>3.2479990000000001</v>
      </c>
      <c r="E6796">
        <v>0.47028530000000002</v>
      </c>
      <c r="F6796" t="s">
        <v>42</v>
      </c>
      <c r="G6796">
        <v>-300.17230000000001</v>
      </c>
      <c r="H6796" s="1">
        <v>-3.8762689999999998E-6</v>
      </c>
      <c r="I6796">
        <v>-21.482050000000001</v>
      </c>
      <c r="J6796">
        <v>-301.60860000000002</v>
      </c>
      <c r="K6796">
        <v>1.1047469999999999</v>
      </c>
      <c r="L6796">
        <v>-4.7170719999999999</v>
      </c>
      <c r="M6796">
        <v>7.9162129999999997E-2</v>
      </c>
      <c r="N6796">
        <v>0</v>
      </c>
      <c r="O6796">
        <v>-0.9967684</v>
      </c>
      <c r="P6796">
        <v>1.9231890000000001E-2</v>
      </c>
      <c r="Q6796">
        <v>0.12853419999999999</v>
      </c>
      <c r="R6796">
        <v>-0.99151860000000003</v>
      </c>
      <c r="S6796">
        <v>0.26065060000000001</v>
      </c>
      <c r="T6796">
        <v>-0.19825699999999999</v>
      </c>
      <c r="U6796">
        <v>-3.0471499999999998</v>
      </c>
      <c r="V6796">
        <v>5.9395070000000001E-2</v>
      </c>
      <c r="W6796">
        <v>0.1420062</v>
      </c>
      <c r="X6796">
        <v>0.98808220000000002</v>
      </c>
      <c r="Y6796">
        <v>-5.9009359999999999E-3</v>
      </c>
      <c r="Z6796">
        <v>6.4503069999999996E-2</v>
      </c>
      <c r="AA6796">
        <v>0.99790009999999996</v>
      </c>
      <c r="AB6796">
        <v>20</v>
      </c>
      <c r="AC6796">
        <v>1.4363000000000099</v>
      </c>
      <c r="AD6796">
        <v>-1.1047508762689999</v>
      </c>
      <c r="AE6796">
        <v>-16.764977999999999</v>
      </c>
      <c r="AF6796">
        <v>-0.104068205787178</v>
      </c>
      <c r="AG6796">
        <v>-1.1047508762689999</v>
      </c>
      <c r="AH6796">
        <v>16.753846091933202</v>
      </c>
      <c r="AI6796">
        <v>93.772557277569902</v>
      </c>
      <c r="AJ6796">
        <v>90.355893939476005</v>
      </c>
      <c r="AK6796">
        <v>16.790552806928599</v>
      </c>
      <c r="AL6796">
        <v>81.836046806814807</v>
      </c>
      <c r="AM6796">
        <v>86.560006032848094</v>
      </c>
      <c r="AN6796">
        <v>0.99999998456779204</v>
      </c>
    </row>
    <row r="6797" spans="1:40" x14ac:dyDescent="0.25">
      <c r="A6797" t="str">
        <f>"20190312172246747"</f>
        <v>20190312172246747</v>
      </c>
      <c r="B6797" t="str">
        <f>"1552382566737251"</f>
        <v>1552382566737251</v>
      </c>
      <c r="C6797" t="s">
        <v>40</v>
      </c>
      <c r="D6797">
        <v>3.2079979999999999</v>
      </c>
      <c r="E6797">
        <v>0.47023359999999897</v>
      </c>
      <c r="F6797" t="s">
        <v>42</v>
      </c>
      <c r="G6797">
        <v>-300.02339999999998</v>
      </c>
      <c r="H6797" s="1">
        <v>-3.615173E-6</v>
      </c>
      <c r="I6797">
        <v>-21.99831</v>
      </c>
      <c r="J6797">
        <v>-301.59359999999998</v>
      </c>
      <c r="K6797">
        <v>1.105615</v>
      </c>
      <c r="L6797">
        <v>-4.9160769999999996</v>
      </c>
      <c r="M6797">
        <v>7.8544069999999994E-2</v>
      </c>
      <c r="N6797">
        <v>0</v>
      </c>
      <c r="O6797">
        <v>-0.99681889999999995</v>
      </c>
      <c r="P6797">
        <v>2.7002600000000002E-2</v>
      </c>
      <c r="Q6797">
        <v>0.12858929999999999</v>
      </c>
      <c r="R6797">
        <v>-0.99133009999999999</v>
      </c>
      <c r="S6797">
        <v>0.27935789999999999</v>
      </c>
      <c r="T6797">
        <v>-0.1946901</v>
      </c>
      <c r="U6797">
        <v>-3.045471</v>
      </c>
      <c r="V6797">
        <v>5.0979539999999997E-2</v>
      </c>
      <c r="W6797">
        <v>0.14195239999999901</v>
      </c>
      <c r="X6797">
        <v>0.98855979999999999</v>
      </c>
      <c r="Y6797">
        <v>-1.2656219999999999E-2</v>
      </c>
      <c r="Z6797">
        <v>6.3367580000000007E-2</v>
      </c>
      <c r="AA6797">
        <v>0.99790999999999996</v>
      </c>
      <c r="AB6797">
        <v>20</v>
      </c>
      <c r="AC6797">
        <v>1.57019999999999</v>
      </c>
      <c r="AD6797">
        <v>-1.1056186151729901</v>
      </c>
      <c r="AE6797">
        <v>-17.082232999999999</v>
      </c>
      <c r="AF6797">
        <v>-0.222592722988498</v>
      </c>
      <c r="AG6797">
        <v>-1.1056186151729901</v>
      </c>
      <c r="AH6797">
        <v>17.0818333117153</v>
      </c>
      <c r="AI6797">
        <v>93.702979965443006</v>
      </c>
      <c r="AJ6797">
        <v>90.746576877194201</v>
      </c>
      <c r="AK6797">
        <v>17.119023609183198</v>
      </c>
      <c r="AL6797">
        <v>81.839160481875396</v>
      </c>
      <c r="AM6797">
        <v>87.047900084317703</v>
      </c>
      <c r="AN6797">
        <v>0.99999993777020302</v>
      </c>
    </row>
    <row r="6798" spans="1:40" x14ac:dyDescent="0.25">
      <c r="A6798" t="str">
        <f>"20190312172246768"</f>
        <v>20190312172246768</v>
      </c>
      <c r="B6798" t="str">
        <f>"1552382566756770"</f>
        <v>1552382566756770</v>
      </c>
      <c r="C6798" t="s">
        <v>40</v>
      </c>
      <c r="D6798">
        <v>3.300891</v>
      </c>
      <c r="E6798">
        <v>0.47453380000000001</v>
      </c>
      <c r="F6798" t="s">
        <v>42</v>
      </c>
      <c r="G6798">
        <v>-299.84320000000002</v>
      </c>
      <c r="H6798" s="1">
        <v>-3.3891509999999998E-6</v>
      </c>
      <c r="I6798">
        <v>-22.531839999999999</v>
      </c>
      <c r="J6798">
        <v>-301.5788</v>
      </c>
      <c r="K6798">
        <v>1.1064929999999999</v>
      </c>
      <c r="L6798">
        <v>-5.1112669999999998</v>
      </c>
      <c r="M6798">
        <v>7.8101779999999996E-2</v>
      </c>
      <c r="N6798">
        <v>0</v>
      </c>
      <c r="O6798">
        <v>-0.99684969999999995</v>
      </c>
      <c r="P6798">
        <v>3.3594319999999997E-2</v>
      </c>
      <c r="Q6798">
        <v>0.12926119999999999</v>
      </c>
      <c r="R6798">
        <v>-0.99104130000000001</v>
      </c>
      <c r="S6798">
        <v>0.30233759999999998</v>
      </c>
      <c r="T6798">
        <v>-0.19097439999999999</v>
      </c>
      <c r="U6798">
        <v>-3.042786</v>
      </c>
      <c r="V6798">
        <v>4.3915709999999997E-2</v>
      </c>
      <c r="W6798">
        <v>0.14293169999999999</v>
      </c>
      <c r="X6798">
        <v>0.98875780000000002</v>
      </c>
      <c r="Y6798">
        <v>-2.0654680000000002E-2</v>
      </c>
      <c r="Z6798">
        <v>6.2194270000000003E-2</v>
      </c>
      <c r="AA6798">
        <v>0.99785029999999997</v>
      </c>
      <c r="AB6798">
        <v>20</v>
      </c>
      <c r="AC6798">
        <v>1.7355999999999701</v>
      </c>
      <c r="AD6798">
        <v>-1.106496389151</v>
      </c>
      <c r="AE6798">
        <v>-17.420572999999901</v>
      </c>
      <c r="AF6798">
        <v>-0.36811930669854698</v>
      </c>
      <c r="AG6798">
        <v>-1.106496389151</v>
      </c>
      <c r="AH6798">
        <v>17.433275237190902</v>
      </c>
      <c r="AI6798">
        <v>93.630905430095893</v>
      </c>
      <c r="AJ6798">
        <v>91.209672215188604</v>
      </c>
      <c r="AK6798">
        <v>17.4722331594682</v>
      </c>
      <c r="AL6798">
        <v>81.782473393094605</v>
      </c>
      <c r="AM6798">
        <v>87.456877470159895</v>
      </c>
      <c r="AN6798">
        <v>1.00000002375526</v>
      </c>
    </row>
    <row r="6799" spans="1:40" x14ac:dyDescent="0.25">
      <c r="A6799" t="str">
        <f>"20190312172246790"</f>
        <v>20190312172246790</v>
      </c>
      <c r="B6799" t="str">
        <f>"1552382566787025"</f>
        <v>1552382566787025</v>
      </c>
      <c r="C6799" t="s">
        <v>40</v>
      </c>
      <c r="D6799">
        <v>3.3216640000000002</v>
      </c>
      <c r="E6799">
        <v>0.4751669</v>
      </c>
      <c r="F6799" t="s">
        <v>42</v>
      </c>
      <c r="G6799">
        <v>-300.10989999999998</v>
      </c>
      <c r="H6799" s="1">
        <v>-4.2032169999999997E-6</v>
      </c>
      <c r="I6799">
        <v>-20.681239999999999</v>
      </c>
      <c r="J6799">
        <v>-301.56360000000001</v>
      </c>
      <c r="K6799">
        <v>1.1072379999999999</v>
      </c>
      <c r="L6799">
        <v>-5.3099980000000002</v>
      </c>
      <c r="M6799">
        <v>7.781573E-2</v>
      </c>
      <c r="N6799">
        <v>0</v>
      </c>
      <c r="O6799">
        <v>-0.99686870000000005</v>
      </c>
      <c r="P6799">
        <v>3.9650699999999997E-2</v>
      </c>
      <c r="Q6799">
        <v>0.1297903</v>
      </c>
      <c r="R6799">
        <v>-0.99074830000000003</v>
      </c>
      <c r="S6799">
        <v>0.287323</v>
      </c>
      <c r="T6799">
        <v>-0.21644060000000001</v>
      </c>
      <c r="U6799">
        <v>-3.0456240000000001</v>
      </c>
      <c r="V6799">
        <v>3.7553309999999999E-2</v>
      </c>
      <c r="W6799">
        <v>0.1437071</v>
      </c>
      <c r="X6799">
        <v>0.98890750000000005</v>
      </c>
      <c r="Y6799">
        <v>-1.5924560000000001E-2</v>
      </c>
      <c r="Z6799">
        <v>7.0405800000000004E-2</v>
      </c>
      <c r="AA6799">
        <v>0.99739129999999998</v>
      </c>
      <c r="AB6799">
        <v>20</v>
      </c>
      <c r="AC6799">
        <v>1.45370000000002</v>
      </c>
      <c r="AD6799">
        <v>-1.107242203217</v>
      </c>
      <c r="AE6799">
        <v>-15.371242000000001</v>
      </c>
      <c r="AF6799">
        <v>-0.251753880855423</v>
      </c>
      <c r="AG6799">
        <v>-1.107242203217</v>
      </c>
      <c r="AH6799">
        <v>15.3587681748721</v>
      </c>
      <c r="AI6799">
        <v>94.122873932983794</v>
      </c>
      <c r="AJ6799">
        <v>90.939082029760797</v>
      </c>
      <c r="AK6799">
        <v>15.400685866628599</v>
      </c>
      <c r="AL6799">
        <v>81.737582724446895</v>
      </c>
      <c r="AM6799">
        <v>87.825263948477101</v>
      </c>
      <c r="AN6799">
        <v>1.0000000126193</v>
      </c>
    </row>
    <row r="6800" spans="1:40" x14ac:dyDescent="0.25">
      <c r="A6800" t="str">
        <f>"20190312172246813"</f>
        <v>20190312172246813</v>
      </c>
      <c r="B6800" t="str">
        <f>"1552382566807525"</f>
        <v>1552382566807525</v>
      </c>
      <c r="C6800" t="s">
        <v>40</v>
      </c>
      <c r="D6800">
        <v>3.3108629999999999</v>
      </c>
      <c r="E6800">
        <v>0.47918509999999997</v>
      </c>
      <c r="F6800" t="s">
        <v>42</v>
      </c>
      <c r="G6800">
        <v>-299.99619999999999</v>
      </c>
      <c r="H6800" s="1">
        <v>-3.9921069999999901E-6</v>
      </c>
      <c r="I6800">
        <v>-21.10285</v>
      </c>
      <c r="J6800">
        <v>-301.54840000000002</v>
      </c>
      <c r="K6800">
        <v>1.1077840000000001</v>
      </c>
      <c r="L6800">
        <v>-5.5090329999999996</v>
      </c>
      <c r="M6800">
        <v>7.7651020000000001E-2</v>
      </c>
      <c r="N6800">
        <v>0</v>
      </c>
      <c r="O6800">
        <v>-0.9968823</v>
      </c>
      <c r="P6800">
        <v>4.6013020000000002E-2</v>
      </c>
      <c r="Q6800">
        <v>0.13016359999999999</v>
      </c>
      <c r="R6800">
        <v>-0.99042430000000004</v>
      </c>
      <c r="S6800">
        <v>0.30209350000000001</v>
      </c>
      <c r="T6800">
        <v>-0.21340780000000001</v>
      </c>
      <c r="U6800">
        <v>-3.0438839999999998</v>
      </c>
      <c r="V6800">
        <v>3.1014119999999999E-2</v>
      </c>
      <c r="W6800">
        <v>0.14403360000000001</v>
      </c>
      <c r="X6800">
        <v>0.98908669999999999</v>
      </c>
      <c r="Y6800">
        <v>-2.094449E-2</v>
      </c>
      <c r="Z6800">
        <v>6.9445399999999893E-2</v>
      </c>
      <c r="AA6800">
        <v>0.99736590000000003</v>
      </c>
      <c r="AB6800">
        <v>20</v>
      </c>
      <c r="AC6800">
        <v>1.55220000000002</v>
      </c>
      <c r="AD6800">
        <v>-1.107787992107</v>
      </c>
      <c r="AE6800">
        <v>-15.593817</v>
      </c>
      <c r="AF6800">
        <v>-0.334844605630918</v>
      </c>
      <c r="AG6800">
        <v>-1.107787992107</v>
      </c>
      <c r="AH6800">
        <v>15.5893623944888</v>
      </c>
      <c r="AI6800">
        <v>94.063700585994894</v>
      </c>
      <c r="AJ6800">
        <v>91.230469384778701</v>
      </c>
      <c r="AK6800">
        <v>15.632259434006301</v>
      </c>
      <c r="AL6800">
        <v>81.718679107039506</v>
      </c>
      <c r="AM6800">
        <v>88.204003614158793</v>
      </c>
      <c r="AN6800">
        <v>1.0000000268426099</v>
      </c>
    </row>
    <row r="6801" spans="1:40" x14ac:dyDescent="0.25">
      <c r="A6801" t="str">
        <f>"20190312172246834"</f>
        <v>20190312172246834</v>
      </c>
      <c r="B6801" t="str">
        <f>"1552382566827042"</f>
        <v>1552382566827042</v>
      </c>
      <c r="C6801" t="s">
        <v>40</v>
      </c>
      <c r="D6801">
        <v>3.2633230000000002</v>
      </c>
      <c r="E6801">
        <v>0.47969000000000001</v>
      </c>
      <c r="F6801" t="s">
        <v>42</v>
      </c>
      <c r="G6801">
        <v>-300.10590000000002</v>
      </c>
      <c r="H6801" s="1">
        <v>-4.199655E-6</v>
      </c>
      <c r="I6801">
        <v>-20.687069999999999</v>
      </c>
      <c r="J6801">
        <v>-301.53339999999997</v>
      </c>
      <c r="K6801">
        <v>1.108204</v>
      </c>
      <c r="L6801">
        <v>-5.7038880000000001</v>
      </c>
      <c r="M6801">
        <v>7.7532139999999999E-2</v>
      </c>
      <c r="N6801">
        <v>0</v>
      </c>
      <c r="O6801">
        <v>-0.99689369999999999</v>
      </c>
      <c r="P6801">
        <v>5.2204430000000003E-2</v>
      </c>
      <c r="Q6801">
        <v>0.12942480000000001</v>
      </c>
      <c r="R6801">
        <v>-0.99021400000000004</v>
      </c>
      <c r="S6801">
        <v>0.28936770000000001</v>
      </c>
      <c r="T6801">
        <v>-0.22222629999999999</v>
      </c>
      <c r="U6801">
        <v>-3.0447690000000001</v>
      </c>
      <c r="V6801">
        <v>2.4705089999999999E-2</v>
      </c>
      <c r="W6801">
        <v>0.1431375</v>
      </c>
      <c r="X6801">
        <v>0.98939440000000001</v>
      </c>
      <c r="Y6801">
        <v>-1.6886399999999999E-2</v>
      </c>
      <c r="Z6801">
        <v>7.2297710000000001E-2</v>
      </c>
      <c r="AA6801">
        <v>0.99724009999999996</v>
      </c>
      <c r="AB6801">
        <v>20</v>
      </c>
      <c r="AC6801">
        <v>1.42749999999995</v>
      </c>
      <c r="AD6801">
        <v>-1.1082081996549999</v>
      </c>
      <c r="AE6801">
        <v>-14.983181999999999</v>
      </c>
      <c r="AF6801">
        <v>-0.26000307537163803</v>
      </c>
      <c r="AG6801">
        <v>-1.1082081996549999</v>
      </c>
      <c r="AH6801">
        <v>14.967614294830099</v>
      </c>
      <c r="AI6801">
        <v>94.233839715979002</v>
      </c>
      <c r="AJ6801">
        <v>90.995187372120597</v>
      </c>
      <c r="AK6801">
        <v>15.010836242254699</v>
      </c>
      <c r="AL6801">
        <v>81.770559073271798</v>
      </c>
      <c r="AM6801">
        <v>88.569626719505806</v>
      </c>
      <c r="AN6801">
        <v>0.99999998206475804</v>
      </c>
    </row>
    <row r="6802" spans="1:40" x14ac:dyDescent="0.25">
      <c r="A6802" t="str">
        <f>"20190312172246969"</f>
        <v>20190312172246969</v>
      </c>
      <c r="B6802" t="str">
        <f>"1552382566967587"</f>
        <v>1552382566967587</v>
      </c>
      <c r="C6802" t="s">
        <v>40</v>
      </c>
      <c r="D6802">
        <v>3.2604090000000001</v>
      </c>
      <c r="E6802">
        <v>0.48471219999999998</v>
      </c>
      <c r="F6802" t="s">
        <v>42</v>
      </c>
      <c r="G6802">
        <v>-300.00740000000002</v>
      </c>
      <c r="H6802" s="1">
        <v>-4.0440359999999999E-6</v>
      </c>
      <c r="I6802">
        <v>-20.988689999999998</v>
      </c>
      <c r="J6802">
        <v>-301.44299999999998</v>
      </c>
      <c r="K6802">
        <v>1.1097589999999999</v>
      </c>
      <c r="L6802">
        <v>-6.8818359999999998</v>
      </c>
      <c r="M6802">
        <v>7.6672870000000004E-2</v>
      </c>
      <c r="N6802">
        <v>0</v>
      </c>
      <c r="O6802">
        <v>-0.99696399999999996</v>
      </c>
      <c r="P6802">
        <v>6.5147269999999993E-2</v>
      </c>
      <c r="Q6802">
        <v>0.12890789999999999</v>
      </c>
      <c r="R6802">
        <v>-0.98951449999999996</v>
      </c>
      <c r="S6802">
        <v>0.30377199999999999</v>
      </c>
      <c r="T6802">
        <v>-0.22058949999999999</v>
      </c>
      <c r="U6802">
        <v>-3.0424500000000001</v>
      </c>
      <c r="V6802">
        <v>1.0939630000000001E-2</v>
      </c>
      <c r="W6802">
        <v>0.14236299999999999</v>
      </c>
      <c r="X6802">
        <v>0.98975409999999997</v>
      </c>
      <c r="Y6802">
        <v>-2.2500260000000001E-2</v>
      </c>
      <c r="Z6802">
        <v>7.1809020000000001E-2</v>
      </c>
      <c r="AA6802">
        <v>0.99716459999999996</v>
      </c>
      <c r="AB6802">
        <v>20</v>
      </c>
      <c r="AC6802">
        <v>1.43559999999996</v>
      </c>
      <c r="AD6802">
        <v>-1.109763044036</v>
      </c>
      <c r="AE6802">
        <v>-14.106853999999901</v>
      </c>
      <c r="AF6802">
        <v>-0.34753198617796499</v>
      </c>
      <c r="AG6802">
        <v>-1.109763044036</v>
      </c>
      <c r="AH6802">
        <v>14.0891021144795</v>
      </c>
      <c r="AI6802">
        <v>94.502381317727796</v>
      </c>
      <c r="AJ6802">
        <v>91.413012616061707</v>
      </c>
      <c r="AK6802">
        <v>14.137013506662401</v>
      </c>
      <c r="AL6802">
        <v>81.815394288882899</v>
      </c>
      <c r="AM6802">
        <v>89.366742602069195</v>
      </c>
      <c r="AN6802">
        <v>1.00000003887017</v>
      </c>
    </row>
    <row r="6803" spans="1:40" x14ac:dyDescent="0.25">
      <c r="A6803" t="str">
        <f>"20190312172246992"</f>
        <v>20190312172246992</v>
      </c>
      <c r="B6803" t="str">
        <f>"1552382566987108"</f>
        <v>1552382566987108</v>
      </c>
      <c r="C6803" t="s">
        <v>40</v>
      </c>
      <c r="D6803">
        <v>3.3052739999999998</v>
      </c>
      <c r="E6803">
        <v>0.48969089999999998</v>
      </c>
      <c r="F6803" t="s">
        <v>42</v>
      </c>
      <c r="G6803">
        <v>-299.74270000000001</v>
      </c>
      <c r="H6803" s="1">
        <v>-2.8847160000000001E-6</v>
      </c>
      <c r="I6803">
        <v>-23.749269999999999</v>
      </c>
      <c r="J6803">
        <v>-301.428</v>
      </c>
      <c r="K6803">
        <v>1.109901</v>
      </c>
      <c r="L6803">
        <v>-7.0793759999999999</v>
      </c>
      <c r="M6803">
        <v>7.6482510000000004E-2</v>
      </c>
      <c r="N6803">
        <v>0</v>
      </c>
      <c r="O6803">
        <v>-0.99697899999999995</v>
      </c>
      <c r="P6803">
        <v>6.440158E-2</v>
      </c>
      <c r="Q6803">
        <v>0.13047400000000001</v>
      </c>
      <c r="R6803">
        <v>-0.98935799999999996</v>
      </c>
      <c r="S6803">
        <v>0.30621340000000002</v>
      </c>
      <c r="T6803">
        <v>-0.19985720000000001</v>
      </c>
      <c r="U6803">
        <v>-3.0376590000000001</v>
      </c>
      <c r="V6803">
        <v>1.148976E-2</v>
      </c>
      <c r="W6803">
        <v>0.14390240000000001</v>
      </c>
      <c r="X6803">
        <v>0.98952519999999999</v>
      </c>
      <c r="Y6803">
        <v>-2.36858E-2</v>
      </c>
      <c r="Z6803">
        <v>6.5189910000000004E-2</v>
      </c>
      <c r="AA6803">
        <v>0.99759169999999997</v>
      </c>
      <c r="AB6803">
        <v>20</v>
      </c>
      <c r="AC6803">
        <v>1.68529999999998</v>
      </c>
      <c r="AD6803">
        <v>-1.1099038847159901</v>
      </c>
      <c r="AE6803">
        <v>-16.669893999999999</v>
      </c>
      <c r="AF6803">
        <v>-0.403519785633979</v>
      </c>
      <c r="AG6803">
        <v>-1.1099038847159901</v>
      </c>
      <c r="AH6803">
        <v>16.676783970196801</v>
      </c>
      <c r="AI6803">
        <v>93.806527597712801</v>
      </c>
      <c r="AJ6803">
        <v>91.386086806053797</v>
      </c>
      <c r="AK6803">
        <v>16.718547737148601</v>
      </c>
      <c r="AL6803">
        <v>81.726275378625203</v>
      </c>
      <c r="AM6803">
        <v>89.334746429498594</v>
      </c>
      <c r="AN6803">
        <v>1.0000000183728199</v>
      </c>
    </row>
    <row r="6804" spans="1:40" x14ac:dyDescent="0.25">
      <c r="A6804" t="str">
        <f>"20190312172247014"</f>
        <v>20190312172247014</v>
      </c>
      <c r="B6804" t="str">
        <f>"1552382567006626"</f>
        <v>1552382567006626</v>
      </c>
      <c r="C6804" t="s">
        <v>40</v>
      </c>
      <c r="D6804">
        <v>3.3580220000000001</v>
      </c>
      <c r="E6804">
        <v>0.49302750000000001</v>
      </c>
      <c r="F6804" t="s">
        <v>42</v>
      </c>
      <c r="G6804">
        <v>-300.01209999999998</v>
      </c>
      <c r="H6804" s="1">
        <v>-3.0487020000000002E-6</v>
      </c>
      <c r="I6804">
        <v>-23.311810000000001</v>
      </c>
      <c r="J6804">
        <v>-301.41329999999999</v>
      </c>
      <c r="K6804">
        <v>1.110015</v>
      </c>
      <c r="L6804">
        <v>-7.2738649999999998</v>
      </c>
      <c r="M6804">
        <v>7.6280009999999995E-2</v>
      </c>
      <c r="N6804">
        <v>0</v>
      </c>
      <c r="O6804">
        <v>-0.99699470000000001</v>
      </c>
      <c r="P6804">
        <v>6.4254950000000005E-2</v>
      </c>
      <c r="Q6804">
        <v>0.1308484</v>
      </c>
      <c r="R6804">
        <v>-0.98931809999999998</v>
      </c>
      <c r="S6804">
        <v>0.26538089999999998</v>
      </c>
      <c r="T6804">
        <v>-0.2080275</v>
      </c>
      <c r="U6804">
        <v>-3.0424190000000002</v>
      </c>
      <c r="V6804">
        <v>1.1437660000000001E-2</v>
      </c>
      <c r="W6804">
        <v>0.14425160000000001</v>
      </c>
      <c r="X6804">
        <v>0.98947499999999999</v>
      </c>
      <c r="Y6804">
        <v>-1.044484E-2</v>
      </c>
      <c r="Z6804">
        <v>6.7789089999999996E-2</v>
      </c>
      <c r="AA6804">
        <v>0.997645</v>
      </c>
      <c r="AB6804">
        <v>20</v>
      </c>
      <c r="AC6804">
        <v>1.40120000000001</v>
      </c>
      <c r="AD6804">
        <v>-1.1100180487019999</v>
      </c>
      <c r="AE6804">
        <v>-16.037945000000001</v>
      </c>
      <c r="AF6804">
        <v>-0.172808715753036</v>
      </c>
      <c r="AG6804">
        <v>-1.1100180487019999</v>
      </c>
      <c r="AH6804">
        <v>16.021933727445099</v>
      </c>
      <c r="AI6804">
        <v>93.962955082684999</v>
      </c>
      <c r="AJ6804">
        <v>90.617954507018496</v>
      </c>
      <c r="AK6804">
        <v>16.0612690434887</v>
      </c>
      <c r="AL6804">
        <v>81.706057087947002</v>
      </c>
      <c r="AM6804">
        <v>89.337729139273904</v>
      </c>
      <c r="AN6804">
        <v>1.0000000598969101</v>
      </c>
    </row>
    <row r="6805" spans="1:40" x14ac:dyDescent="0.25">
      <c r="A6805" t="str">
        <f>"20190312172247035"</f>
        <v>20190312172247035</v>
      </c>
      <c r="B6805" t="str">
        <f>"1552382567027122"</f>
        <v>1552382567027122</v>
      </c>
      <c r="C6805" t="s">
        <v>40</v>
      </c>
      <c r="D6805">
        <v>3.3479770000000002</v>
      </c>
      <c r="E6805">
        <v>0.495309</v>
      </c>
      <c r="F6805" t="s">
        <v>42</v>
      </c>
      <c r="G6805">
        <v>-300.11130000000003</v>
      </c>
      <c r="H6805" s="1">
        <v>-2.8168319999999999E-6</v>
      </c>
      <c r="I6805">
        <v>-23.913830000000001</v>
      </c>
      <c r="J6805">
        <v>-301.399</v>
      </c>
      <c r="K6805">
        <v>1.1101049999999999</v>
      </c>
      <c r="L6805">
        <v>-7.4641419999999998</v>
      </c>
      <c r="M6805">
        <v>7.6070109999999996E-2</v>
      </c>
      <c r="N6805">
        <v>0</v>
      </c>
      <c r="O6805">
        <v>-0.99701110000000004</v>
      </c>
      <c r="P6805">
        <v>6.4546850000000003E-2</v>
      </c>
      <c r="Q6805">
        <v>0.13045799999999999</v>
      </c>
      <c r="R6805">
        <v>-0.98935090000000003</v>
      </c>
      <c r="S6805">
        <v>0.23815919999999999</v>
      </c>
      <c r="T6805">
        <v>-0.2030431</v>
      </c>
      <c r="U6805">
        <v>-3.0437620000000001</v>
      </c>
      <c r="V6805">
        <v>1.094578E-2</v>
      </c>
      <c r="W6805">
        <v>0.14383969999999999</v>
      </c>
      <c r="X6805">
        <v>0.98954050000000005</v>
      </c>
      <c r="Y6805">
        <v>-1.7638210000000001E-3</v>
      </c>
      <c r="Z6805">
        <v>6.6170660000000006E-2</v>
      </c>
      <c r="AA6805">
        <v>0.99780679999999999</v>
      </c>
      <c r="AB6805">
        <v>20</v>
      </c>
      <c r="AC6805">
        <v>1.2876999999999701</v>
      </c>
      <c r="AD6805">
        <v>-1.110107816832</v>
      </c>
      <c r="AE6805">
        <v>-16.449687999999998</v>
      </c>
      <c r="AF6805">
        <v>-3.2378022179742498E-2</v>
      </c>
      <c r="AG6805">
        <v>-1.110107816832</v>
      </c>
      <c r="AH6805">
        <v>16.425629778338401</v>
      </c>
      <c r="AI6805">
        <v>93.866384152704697</v>
      </c>
      <c r="AJ6805">
        <v>90.112940669074604</v>
      </c>
      <c r="AK6805">
        <v>16.463131576840102</v>
      </c>
      <c r="AL6805">
        <v>81.729905731757796</v>
      </c>
      <c r="AM6805">
        <v>89.366249869613796</v>
      </c>
      <c r="AN6805">
        <v>1.00000003526807</v>
      </c>
    </row>
    <row r="6806" spans="1:40" x14ac:dyDescent="0.25">
      <c r="A6806" t="str">
        <f>"20190312172247059"</f>
        <v>20190312172247059</v>
      </c>
      <c r="B6806" t="str">
        <f>"1552382567046643"</f>
        <v>1552382567046643</v>
      </c>
      <c r="C6806" t="s">
        <v>40</v>
      </c>
      <c r="D6806">
        <v>3.3533689999999998</v>
      </c>
      <c r="E6806">
        <v>0.49670789999999998</v>
      </c>
      <c r="F6806" t="s">
        <v>42</v>
      </c>
      <c r="G6806">
        <v>-300.21879999999999</v>
      </c>
      <c r="H6806" s="1">
        <v>-2.903945E-6</v>
      </c>
      <c r="I6806">
        <v>-23.777429999999999</v>
      </c>
      <c r="J6806">
        <v>-301.38420000000002</v>
      </c>
      <c r="K6806">
        <v>1.110177</v>
      </c>
      <c r="L6806">
        <v>-7.6601259999999902</v>
      </c>
      <c r="M6806">
        <v>7.5839249999999997E-2</v>
      </c>
      <c r="N6806">
        <v>0</v>
      </c>
      <c r="O6806">
        <v>-0.99702880000000005</v>
      </c>
      <c r="P6806">
        <v>6.4820429999999998E-2</v>
      </c>
      <c r="Q6806">
        <v>0.13023660000000001</v>
      </c>
      <c r="R6806">
        <v>-0.98936210000000002</v>
      </c>
      <c r="S6806">
        <v>0.22030640000000001</v>
      </c>
      <c r="T6806">
        <v>-0.20722769999999999</v>
      </c>
      <c r="U6806">
        <v>-3.045258</v>
      </c>
      <c r="V6806">
        <v>1.0450569999999999E-2</v>
      </c>
      <c r="W6806">
        <v>0.14360139999999999</v>
      </c>
      <c r="X6806">
        <v>0.98958049999999997</v>
      </c>
      <c r="Y6806">
        <v>3.8658709999999999E-3</v>
      </c>
      <c r="Z6806">
        <v>6.7511600000000005E-2</v>
      </c>
      <c r="AA6806">
        <v>0.99771100000000001</v>
      </c>
      <c r="AB6806">
        <v>20</v>
      </c>
      <c r="AC6806">
        <v>1.16540000000003</v>
      </c>
      <c r="AD6806">
        <v>-1.110179903945</v>
      </c>
      <c r="AE6806">
        <v>-16.117304000000001</v>
      </c>
      <c r="AF6806">
        <v>6.0108669435596701E-2</v>
      </c>
      <c r="AG6806">
        <v>-1.110179903945</v>
      </c>
      <c r="AH6806">
        <v>16.083357121917999</v>
      </c>
      <c r="AI6806">
        <v>93.9486435211182</v>
      </c>
      <c r="AJ6806">
        <v>89.785868273010905</v>
      </c>
      <c r="AK6806">
        <v>16.121739632633201</v>
      </c>
      <c r="AL6806">
        <v>81.743702848868494</v>
      </c>
      <c r="AM6806">
        <v>89.394944326097402</v>
      </c>
      <c r="AN6806">
        <v>1.0000000712377599</v>
      </c>
    </row>
    <row r="6807" spans="1:40" x14ac:dyDescent="0.25">
      <c r="A6807" t="str">
        <f>"20190312172247081"</f>
        <v>20190312172247081</v>
      </c>
      <c r="B6807" t="str">
        <f>"1552382567076912"</f>
        <v>1552382567076912</v>
      </c>
      <c r="C6807" t="s">
        <v>40</v>
      </c>
      <c r="D6807">
        <v>3.3812600000000002</v>
      </c>
      <c r="E6807">
        <v>0.49778800000000001</v>
      </c>
      <c r="F6807" t="s">
        <v>42</v>
      </c>
      <c r="G6807">
        <v>-300.28629999999998</v>
      </c>
      <c r="H6807" s="1">
        <v>-3.00012E-6</v>
      </c>
      <c r="I6807">
        <v>-23.595109999999998</v>
      </c>
      <c r="J6807">
        <v>-301.3698</v>
      </c>
      <c r="K6807">
        <v>1.1102270000000001</v>
      </c>
      <c r="L6807">
        <v>-7.8538209999999999</v>
      </c>
      <c r="M6807">
        <v>7.5584949999999998E-2</v>
      </c>
      <c r="N6807">
        <v>0</v>
      </c>
      <c r="O6807">
        <v>-0.99704809999999999</v>
      </c>
      <c r="P6807">
        <v>6.5044110000000002E-2</v>
      </c>
      <c r="Q6807">
        <v>0.13085519999999901</v>
      </c>
      <c r="R6807">
        <v>-0.98926550000000002</v>
      </c>
      <c r="S6807">
        <v>0.2098999</v>
      </c>
      <c r="T6807">
        <v>-0.21224390000000001</v>
      </c>
      <c r="U6807">
        <v>-3.0464479999999998</v>
      </c>
      <c r="V6807">
        <v>9.9756180000000003E-3</v>
      </c>
      <c r="W6807">
        <v>0.1442068</v>
      </c>
      <c r="X6807">
        <v>0.98949730000000002</v>
      </c>
      <c r="Y6807">
        <v>7.0376500000000003E-3</v>
      </c>
      <c r="Z6807">
        <v>6.9120870000000001E-2</v>
      </c>
      <c r="AA6807">
        <v>0.99758340000000001</v>
      </c>
      <c r="AB6807">
        <v>20</v>
      </c>
      <c r="AC6807">
        <v>1.0835000000000099</v>
      </c>
      <c r="AD6807">
        <v>-1.1102300001200001</v>
      </c>
      <c r="AE6807">
        <v>-15.741289</v>
      </c>
      <c r="AF6807">
        <v>0.10897336515500899</v>
      </c>
      <c r="AG6807">
        <v>-1.1102300001200001</v>
      </c>
      <c r="AH6807">
        <v>15.7004217449528</v>
      </c>
      <c r="AI6807">
        <v>94.044748572508198</v>
      </c>
      <c r="AJ6807">
        <v>89.602328284918499</v>
      </c>
      <c r="AK6807">
        <v>15.740004092022</v>
      </c>
      <c r="AL6807">
        <v>81.708650647321704</v>
      </c>
      <c r="AM6807">
        <v>89.422392110851405</v>
      </c>
      <c r="AN6807">
        <v>1.0000000104140001</v>
      </c>
    </row>
    <row r="6808" spans="1:40" x14ac:dyDescent="0.25">
      <c r="A6808" t="str">
        <f>"20190312172247104"</f>
        <v>20190312172247104</v>
      </c>
      <c r="B6808" t="str">
        <f>"1552382567097398"</f>
        <v>1552382567097398</v>
      </c>
      <c r="C6808" t="s">
        <v>40</v>
      </c>
      <c r="D6808">
        <v>3.3374100000000002</v>
      </c>
      <c r="E6808">
        <v>0.4981254</v>
      </c>
      <c r="F6808" t="s">
        <v>42</v>
      </c>
      <c r="G6808">
        <v>-300.3451</v>
      </c>
      <c r="H6808" s="1">
        <v>-3.1294029999999999E-6</v>
      </c>
      <c r="I6808">
        <v>-23.33023</v>
      </c>
      <c r="J6808">
        <v>-301.35500000000002</v>
      </c>
      <c r="K6808">
        <v>1.110263</v>
      </c>
      <c r="L6808">
        <v>-8.0536189999999994</v>
      </c>
      <c r="M6808">
        <v>7.5276739999999995E-2</v>
      </c>
      <c r="N6808">
        <v>0</v>
      </c>
      <c r="O6808">
        <v>-0.99707190000000001</v>
      </c>
      <c r="P6808">
        <v>6.5143149999999997E-2</v>
      </c>
      <c r="Q6808">
        <v>0.1312275</v>
      </c>
      <c r="R6808">
        <v>-0.98920989999999998</v>
      </c>
      <c r="S6808">
        <v>0.20181270000000001</v>
      </c>
      <c r="T6808">
        <v>-0.2186699</v>
      </c>
      <c r="U6808">
        <v>-3.0482179999999999</v>
      </c>
      <c r="V6808">
        <v>9.5774899999999993E-3</v>
      </c>
      <c r="W6808">
        <v>0.14456769999999999</v>
      </c>
      <c r="X6808">
        <v>0.98944849999999995</v>
      </c>
      <c r="Y6808">
        <v>9.4123980000000006E-3</v>
      </c>
      <c r="Z6808">
        <v>7.1170170000000005E-2</v>
      </c>
      <c r="AA6808">
        <v>0.99741979999999997</v>
      </c>
      <c r="AB6808">
        <v>19</v>
      </c>
      <c r="AC6808">
        <v>1.00990000000001</v>
      </c>
      <c r="AD6808">
        <v>-1.1102661294030001</v>
      </c>
      <c r="AE6808">
        <v>-15.2766109999999</v>
      </c>
      <c r="AF6808">
        <v>0.14229517555548701</v>
      </c>
      <c r="AG6808">
        <v>-1.1102661294030001</v>
      </c>
      <c r="AH6808">
        <v>15.2291964596099</v>
      </c>
      <c r="AI6808">
        <v>94.169521246855297</v>
      </c>
      <c r="AJ6808">
        <v>89.464668028805207</v>
      </c>
      <c r="AK6808">
        <v>15.2702771291316</v>
      </c>
      <c r="AL6808">
        <v>81.687753046518097</v>
      </c>
      <c r="AM6808">
        <v>89.445415685709094</v>
      </c>
      <c r="AN6808">
        <v>0.99999994117511803</v>
      </c>
    </row>
    <row r="6809" spans="1:40" x14ac:dyDescent="0.25">
      <c r="A6809" t="str">
        <f>"20190312172247125"</f>
        <v>20190312172247125</v>
      </c>
      <c r="B6809" t="str">
        <f>"1552382567116914"</f>
        <v>1552382567116914</v>
      </c>
      <c r="C6809" t="s">
        <v>40</v>
      </c>
      <c r="D6809">
        <v>3.3606240000000001</v>
      </c>
      <c r="E6809">
        <v>0.49822820000000001</v>
      </c>
      <c r="F6809" t="s">
        <v>42</v>
      </c>
      <c r="G6809">
        <v>-300.34350000000001</v>
      </c>
      <c r="H6809" s="1">
        <v>-3.0564940000000001E-6</v>
      </c>
      <c r="I6809">
        <v>-23.499179999999999</v>
      </c>
      <c r="J6809">
        <v>-301.34129999999999</v>
      </c>
      <c r="K6809">
        <v>1.110279</v>
      </c>
      <c r="L6809">
        <v>-8.2398679999999995</v>
      </c>
      <c r="M6809">
        <v>7.4946899999999997E-2</v>
      </c>
      <c r="N6809">
        <v>0</v>
      </c>
      <c r="O6809">
        <v>-0.99709669999999895</v>
      </c>
      <c r="P6809">
        <v>6.4528299999999997E-2</v>
      </c>
      <c r="Q6809">
        <v>0.13119829999999999</v>
      </c>
      <c r="R6809">
        <v>-0.98925379999999996</v>
      </c>
      <c r="S6809">
        <v>0.19964599999999999</v>
      </c>
      <c r="T6809">
        <v>-0.21914429999999999</v>
      </c>
      <c r="U6809">
        <v>-3.048645</v>
      </c>
      <c r="V6809">
        <v>9.8771689999999999E-3</v>
      </c>
      <c r="W6809">
        <v>0.14452999999999999</v>
      </c>
      <c r="X6809">
        <v>0.98945110000000003</v>
      </c>
      <c r="Y6809">
        <v>9.7973379999999992E-3</v>
      </c>
      <c r="Z6809">
        <v>7.1318030000000004E-2</v>
      </c>
      <c r="AA6809">
        <v>0.99740549999999994</v>
      </c>
      <c r="AB6809">
        <v>19</v>
      </c>
      <c r="AC6809">
        <v>0.99779999999998303</v>
      </c>
      <c r="AD6809">
        <v>-1.1102820564939999</v>
      </c>
      <c r="AE6809">
        <v>-15.259312</v>
      </c>
      <c r="AF6809">
        <v>0.147968482546702</v>
      </c>
      <c r="AG6809">
        <v>-1.1102820564939999</v>
      </c>
      <c r="AH6809">
        <v>15.210990093886</v>
      </c>
      <c r="AI6809">
        <v>94.174538641555799</v>
      </c>
      <c r="AJ6809">
        <v>89.442659413120197</v>
      </c>
      <c r="AK6809">
        <v>15.2521749450069</v>
      </c>
      <c r="AL6809">
        <v>81.689936343200401</v>
      </c>
      <c r="AM6809">
        <v>89.428065418871498</v>
      </c>
      <c r="AN6809">
        <v>0.99999997932933204</v>
      </c>
    </row>
    <row r="6810" spans="1:40" x14ac:dyDescent="0.25">
      <c r="A6810" t="str">
        <f>"20190312172247148"</f>
        <v>20190312172247148</v>
      </c>
      <c r="B6810" t="str">
        <f>"1552382567137411"</f>
        <v>1552382567137411</v>
      </c>
      <c r="C6810" t="s">
        <v>40</v>
      </c>
      <c r="D6810">
        <v>3.3455379999999999</v>
      </c>
      <c r="E6810">
        <v>0.49837490000000001</v>
      </c>
      <c r="F6810" t="s">
        <v>42</v>
      </c>
      <c r="G6810">
        <v>-300.34879999999998</v>
      </c>
      <c r="H6810" s="1">
        <v>-2.996484E-6</v>
      </c>
      <c r="I6810">
        <v>-23.642320000000002</v>
      </c>
      <c r="J6810">
        <v>-301.32709999999997</v>
      </c>
      <c r="K6810">
        <v>1.1102879999999999</v>
      </c>
      <c r="L6810">
        <v>-8.435333</v>
      </c>
      <c r="M6810">
        <v>7.4543209999999999E-2</v>
      </c>
      <c r="N6810">
        <v>0</v>
      </c>
      <c r="O6810">
        <v>-0.99712730000000005</v>
      </c>
      <c r="P6810">
        <v>6.3749109999999998E-2</v>
      </c>
      <c r="Q6810">
        <v>0.13148260000000001</v>
      </c>
      <c r="R6810">
        <v>-0.98926709999999995</v>
      </c>
      <c r="S6810">
        <v>0.19647220000000001</v>
      </c>
      <c r="T6810">
        <v>-0.21978059999999999</v>
      </c>
      <c r="U6810">
        <v>-3.0489199999999999</v>
      </c>
      <c r="V6810">
        <v>1.026703E-2</v>
      </c>
      <c r="W6810">
        <v>0.14480509999999999</v>
      </c>
      <c r="X6810">
        <v>0.98940689999999998</v>
      </c>
      <c r="Y6810">
        <v>1.043317E-2</v>
      </c>
      <c r="Z6810">
        <v>7.1523039999999996E-2</v>
      </c>
      <c r="AA6810">
        <v>0.99738439999999995</v>
      </c>
      <c r="AB6810">
        <v>19</v>
      </c>
      <c r="AC6810">
        <v>0.97829999999998996</v>
      </c>
      <c r="AD6810">
        <v>-1.110290996484</v>
      </c>
      <c r="AE6810">
        <v>-15.206987</v>
      </c>
      <c r="AF6810">
        <v>0.15726735817547199</v>
      </c>
      <c r="AG6810">
        <v>-1.110290996484</v>
      </c>
      <c r="AH6810">
        <v>15.1571367454967</v>
      </c>
      <c r="AI6810">
        <v>94.189324497140504</v>
      </c>
      <c r="AJ6810">
        <v>89.405532014825795</v>
      </c>
      <c r="AK6810">
        <v>15.1985615582695</v>
      </c>
      <c r="AL6810">
        <v>81.6740066320003</v>
      </c>
      <c r="AM6810">
        <v>89.405465664586004</v>
      </c>
      <c r="AN6810">
        <v>0.99999997132931995</v>
      </c>
    </row>
    <row r="6811" spans="1:40" x14ac:dyDescent="0.25">
      <c r="A6811" t="str">
        <f>"20190312172247171"</f>
        <v>20190312172247171</v>
      </c>
      <c r="B6811" t="str">
        <f>"1552382567166690"</f>
        <v>1552382567166690</v>
      </c>
      <c r="C6811" t="s">
        <v>40</v>
      </c>
      <c r="D6811">
        <v>3.349011</v>
      </c>
      <c r="E6811">
        <v>0.49833250000000001</v>
      </c>
      <c r="F6811" t="s">
        <v>42</v>
      </c>
      <c r="G6811">
        <v>-300.3526</v>
      </c>
      <c r="H6811" s="1">
        <v>-2.9075370000000001E-6</v>
      </c>
      <c r="I6811">
        <v>-23.85201</v>
      </c>
      <c r="J6811">
        <v>-301.31279999999998</v>
      </c>
      <c r="K6811">
        <v>1.1102749999999999</v>
      </c>
      <c r="L6811">
        <v>-8.6325380000000003</v>
      </c>
      <c r="M6811">
        <v>7.4058059999999995E-2</v>
      </c>
      <c r="N6811">
        <v>0</v>
      </c>
      <c r="O6811">
        <v>-0.99716340000000003</v>
      </c>
      <c r="P6811">
        <v>6.2680109999999997E-2</v>
      </c>
      <c r="Q6811">
        <v>0.13273209999999999</v>
      </c>
      <c r="R6811">
        <v>-0.9891683</v>
      </c>
      <c r="S6811">
        <v>0.192749</v>
      </c>
      <c r="T6811">
        <v>-0.2196082</v>
      </c>
      <c r="U6811">
        <v>-3.0493160000000001</v>
      </c>
      <c r="V6811">
        <v>1.086032E-2</v>
      </c>
      <c r="W6811">
        <v>0.14604529999999999</v>
      </c>
      <c r="X6811">
        <v>0.98921829999999999</v>
      </c>
      <c r="Y6811">
        <v>1.116756E-2</v>
      </c>
      <c r="Z6811">
        <v>7.1464369999999999E-2</v>
      </c>
      <c r="AA6811">
        <v>0.99738059999999995</v>
      </c>
      <c r="AB6811">
        <v>19</v>
      </c>
      <c r="AC6811">
        <v>0.96019999999998595</v>
      </c>
      <c r="AD6811">
        <v>-1.110277907537</v>
      </c>
      <c r="AE6811">
        <v>-15.219472</v>
      </c>
      <c r="AF6811">
        <v>0.16876898591007999</v>
      </c>
      <c r="AG6811">
        <v>-1.110277907537</v>
      </c>
      <c r="AH6811">
        <v>15.168383578294</v>
      </c>
      <c r="AI6811">
        <v>94.186146473566694</v>
      </c>
      <c r="AJ6811">
        <v>89.362532496654197</v>
      </c>
      <c r="AK6811">
        <v>15.2099000779371</v>
      </c>
      <c r="AL6811">
        <v>81.602185212477096</v>
      </c>
      <c r="AM6811">
        <v>89.3709927306395</v>
      </c>
      <c r="AN6811">
        <v>1.0000000106287401</v>
      </c>
    </row>
    <row r="6812" spans="1:40" x14ac:dyDescent="0.25">
      <c r="A6812" t="str">
        <f>"20190312172247193"</f>
        <v>20190312172247193</v>
      </c>
      <c r="B6812" t="str">
        <f>"1552382567187186"</f>
        <v>1552382567187186</v>
      </c>
      <c r="C6812" t="s">
        <v>40</v>
      </c>
      <c r="D6812">
        <v>3.3183500000000001</v>
      </c>
      <c r="E6812">
        <v>0.49830140000000001</v>
      </c>
      <c r="F6812" t="s">
        <v>42</v>
      </c>
      <c r="G6812">
        <v>-300.3381</v>
      </c>
      <c r="H6812" s="1">
        <v>-2.7300959999999998E-6</v>
      </c>
      <c r="I6812">
        <v>-24.256640000000001</v>
      </c>
      <c r="J6812">
        <v>-301.29939999999999</v>
      </c>
      <c r="K6812">
        <v>1.110247</v>
      </c>
      <c r="L6812">
        <v>-8.8212589999999995</v>
      </c>
      <c r="M6812">
        <v>7.3503609999999997E-2</v>
      </c>
      <c r="N6812">
        <v>0</v>
      </c>
      <c r="O6812">
        <v>-0.99720419999999999</v>
      </c>
      <c r="P6812">
        <v>6.1518209999999997E-2</v>
      </c>
      <c r="Q6812">
        <v>0.13375899999999999</v>
      </c>
      <c r="R6812">
        <v>-0.98910260000000005</v>
      </c>
      <c r="S6812">
        <v>0.1902771</v>
      </c>
      <c r="T6812">
        <v>-0.21673129999999999</v>
      </c>
      <c r="U6812">
        <v>-3.0498959999999999</v>
      </c>
      <c r="V6812">
        <v>1.148297E-2</v>
      </c>
      <c r="W6812">
        <v>0.1470651</v>
      </c>
      <c r="X6812">
        <v>0.98906019999999994</v>
      </c>
      <c r="Y6812">
        <v>1.142455E-2</v>
      </c>
      <c r="Z6812">
        <v>7.0525589999999999E-2</v>
      </c>
      <c r="AA6812">
        <v>0.99744460000000001</v>
      </c>
      <c r="AB6812">
        <v>19</v>
      </c>
      <c r="AC6812">
        <v>0.96129999999999405</v>
      </c>
      <c r="AD6812">
        <v>-1.1102497300959999</v>
      </c>
      <c r="AE6812">
        <v>-15.435381</v>
      </c>
      <c r="AF6812">
        <v>0.175057545966087</v>
      </c>
      <c r="AG6812">
        <v>-1.1102497300959999</v>
      </c>
      <c r="AH6812">
        <v>15.384994591434101</v>
      </c>
      <c r="AI6812">
        <v>94.127297255686003</v>
      </c>
      <c r="AJ6812">
        <v>89.348090396258399</v>
      </c>
      <c r="AK6812">
        <v>15.425996181317901</v>
      </c>
      <c r="AL6812">
        <v>81.543117443460304</v>
      </c>
      <c r="AM6812">
        <v>89.334826981512094</v>
      </c>
      <c r="AN6812">
        <v>1.0000000407310301</v>
      </c>
    </row>
    <row r="6813" spans="1:40" x14ac:dyDescent="0.25">
      <c r="A6813" t="str">
        <f>"20190312172247215"</f>
        <v>20190312172247215</v>
      </c>
      <c r="B6813" t="str">
        <f>"1552382567206706"</f>
        <v>1552382567206706</v>
      </c>
      <c r="C6813" t="s">
        <v>40</v>
      </c>
      <c r="D6813">
        <v>3.3140540000000001</v>
      </c>
      <c r="E6813">
        <v>0.49826029999999999</v>
      </c>
      <c r="F6813" t="s">
        <v>42</v>
      </c>
      <c r="G6813">
        <v>-300.32490000000001</v>
      </c>
      <c r="H6813" s="1">
        <v>-2.5538430000000001E-6</v>
      </c>
      <c r="I6813">
        <v>-24.65934</v>
      </c>
      <c r="J6813">
        <v>-301.286</v>
      </c>
      <c r="K6813">
        <v>1.1102069999999999</v>
      </c>
      <c r="L6813">
        <v>-9.0132750000000001</v>
      </c>
      <c r="M6813">
        <v>7.2839189999999998E-2</v>
      </c>
      <c r="N6813">
        <v>0</v>
      </c>
      <c r="O6813">
        <v>-0.9972531</v>
      </c>
      <c r="P6813">
        <v>6.061602E-2</v>
      </c>
      <c r="Q6813">
        <v>0.13439019999999999</v>
      </c>
      <c r="R6813">
        <v>-0.98907310000000004</v>
      </c>
      <c r="S6813">
        <v>0.18768309999999999</v>
      </c>
      <c r="T6813">
        <v>-0.2138256</v>
      </c>
      <c r="U6813">
        <v>-3.0502929999999999</v>
      </c>
      <c r="V6813">
        <v>1.174414E-2</v>
      </c>
      <c r="W6813">
        <v>0.1476905</v>
      </c>
      <c r="X6813">
        <v>0.98896390000000001</v>
      </c>
      <c r="Y6813">
        <v>1.1607279999999999E-2</v>
      </c>
      <c r="Z6813">
        <v>6.9582530000000004E-2</v>
      </c>
      <c r="AA6813">
        <v>0.99750859999999997</v>
      </c>
      <c r="AB6813">
        <v>19</v>
      </c>
      <c r="AC6813">
        <v>0.96109999999998696</v>
      </c>
      <c r="AD6813">
        <v>-1.1102095538429999</v>
      </c>
      <c r="AE6813">
        <v>-15.646065</v>
      </c>
      <c r="AF6813">
        <v>0.18029872805007199</v>
      </c>
      <c r="AG6813">
        <v>-1.1102095538429999</v>
      </c>
      <c r="AH6813">
        <v>15.596276789579299</v>
      </c>
      <c r="AI6813">
        <v>94.071418929896595</v>
      </c>
      <c r="AJ6813">
        <v>89.337669101749597</v>
      </c>
      <c r="AK6813">
        <v>15.6367810812185</v>
      </c>
      <c r="AL6813">
        <v>81.506888728830702</v>
      </c>
      <c r="AM6813">
        <v>89.319633377593405</v>
      </c>
      <c r="AN6813">
        <v>1.0000000020588899</v>
      </c>
    </row>
    <row r="6814" spans="1:40" x14ac:dyDescent="0.25">
      <c r="A6814" t="str">
        <f>"20190312172247236"</f>
        <v>20190312172247236</v>
      </c>
      <c r="B6814" t="str">
        <f>"1552382567227203"</f>
        <v>1552382567227203</v>
      </c>
      <c r="C6814" t="s">
        <v>40</v>
      </c>
      <c r="D6814">
        <v>3.3047689999999998</v>
      </c>
      <c r="E6814">
        <v>0.4982316</v>
      </c>
      <c r="F6814" t="s">
        <v>42</v>
      </c>
      <c r="G6814">
        <v>-300.32249999999999</v>
      </c>
      <c r="H6814" s="1">
        <v>-2.4521650000000001E-6</v>
      </c>
      <c r="I6814">
        <v>-24.894839999999999</v>
      </c>
      <c r="J6814">
        <v>-301.27289999999999</v>
      </c>
      <c r="K6814">
        <v>1.1101570000000001</v>
      </c>
      <c r="L6814">
        <v>-9.2039790000000004</v>
      </c>
      <c r="M6814">
        <v>7.2072129999999998E-2</v>
      </c>
      <c r="N6814">
        <v>0</v>
      </c>
      <c r="O6814">
        <v>-0.99730909999999995</v>
      </c>
      <c r="P6814">
        <v>5.9751409999999998E-2</v>
      </c>
      <c r="Q6814">
        <v>0.13460250000000001</v>
      </c>
      <c r="R6814">
        <v>-0.9890968</v>
      </c>
      <c r="S6814">
        <v>0.18508910000000001</v>
      </c>
      <c r="T6814">
        <v>-0.2132666</v>
      </c>
      <c r="U6814">
        <v>-3.0507810000000002</v>
      </c>
      <c r="V6814">
        <v>1.187188E-2</v>
      </c>
      <c r="W6814">
        <v>0.147898</v>
      </c>
      <c r="X6814">
        <v>0.98893140000000002</v>
      </c>
      <c r="Y6814">
        <v>1.169215E-2</v>
      </c>
      <c r="Z6814">
        <v>6.9398050000000003E-2</v>
      </c>
      <c r="AA6814">
        <v>0.99752050000000003</v>
      </c>
      <c r="AB6814">
        <v>19</v>
      </c>
      <c r="AC6814">
        <v>0.95040000000000202</v>
      </c>
      <c r="AD6814">
        <v>-1.110159452165</v>
      </c>
      <c r="AE6814">
        <v>-15.6908609999999</v>
      </c>
      <c r="AF6814">
        <v>0.18213926783141399</v>
      </c>
      <c r="AG6814">
        <v>-1.110159452165</v>
      </c>
      <c r="AH6814">
        <v>15.640543955844301</v>
      </c>
      <c r="AI6814">
        <v>94.059747657466204</v>
      </c>
      <c r="AJ6814">
        <v>89.332802001518402</v>
      </c>
      <c r="AK6814">
        <v>15.680951627908801</v>
      </c>
      <c r="AL6814">
        <v>81.494868141479998</v>
      </c>
      <c r="AM6814">
        <v>89.312211195020794</v>
      </c>
      <c r="AN6814">
        <v>1.0000000369223401</v>
      </c>
    </row>
    <row r="6815" spans="1:40" x14ac:dyDescent="0.25">
      <c r="A6815" t="str">
        <f>"20190312172247260"</f>
        <v>20190312172247260</v>
      </c>
      <c r="B6815" t="str">
        <f>"1552382567257459"</f>
        <v>1552382567257459</v>
      </c>
      <c r="C6815" t="s">
        <v>40</v>
      </c>
      <c r="D6815">
        <v>3.3081619999999998</v>
      </c>
      <c r="E6815">
        <v>0.49821480000000001</v>
      </c>
      <c r="F6815" t="s">
        <v>42</v>
      </c>
      <c r="G6815">
        <v>-300.32740000000001</v>
      </c>
      <c r="H6815" s="1">
        <v>-2.4070699999999998E-6</v>
      </c>
      <c r="I6815">
        <v>-25.002980000000001</v>
      </c>
      <c r="J6815">
        <v>-301.25990000000002</v>
      </c>
      <c r="K6815">
        <v>1.1100989999999999</v>
      </c>
      <c r="L6815">
        <v>-9.3976749999999996</v>
      </c>
      <c r="M6815">
        <v>7.1180869999999993E-2</v>
      </c>
      <c r="N6815">
        <v>0</v>
      </c>
      <c r="O6815">
        <v>-0.9973727</v>
      </c>
      <c r="P6815">
        <v>5.8554479999999999E-2</v>
      </c>
      <c r="Q6815">
        <v>0.1343365</v>
      </c>
      <c r="R6815">
        <v>-0.98920419999999998</v>
      </c>
      <c r="S6815">
        <v>0.18261720000000001</v>
      </c>
      <c r="T6815">
        <v>-0.21440149999999999</v>
      </c>
      <c r="U6815">
        <v>-3.0512079999999999</v>
      </c>
      <c r="V6815">
        <v>1.2214050000000001E-2</v>
      </c>
      <c r="W6815">
        <v>0.14762919999999999</v>
      </c>
      <c r="X6815">
        <v>0.98896740000000005</v>
      </c>
      <c r="Y6815">
        <v>1.1613780000000001E-2</v>
      </c>
      <c r="Z6815">
        <v>6.9764240000000005E-2</v>
      </c>
      <c r="AA6815">
        <v>0.99749589999999999</v>
      </c>
      <c r="AB6815">
        <v>19</v>
      </c>
      <c r="AC6815">
        <v>0.93250000000000399</v>
      </c>
      <c r="AD6815">
        <v>-1.1101014070699999</v>
      </c>
      <c r="AE6815">
        <v>-15.6053049999999</v>
      </c>
      <c r="AF6815">
        <v>0.179858592464475</v>
      </c>
      <c r="AG6815">
        <v>-1.1101014070699999</v>
      </c>
      <c r="AH6815">
        <v>15.5536689531604</v>
      </c>
      <c r="AI6815">
        <v>94.082138045626493</v>
      </c>
      <c r="AJ6815">
        <v>89.337476000642098</v>
      </c>
      <c r="AK6815">
        <v>15.594271132430899</v>
      </c>
      <c r="AL6815">
        <v>81.510440220099198</v>
      </c>
      <c r="AM6815">
        <v>89.292415565819098</v>
      </c>
      <c r="AN6815">
        <v>1.0000000409864001</v>
      </c>
    </row>
    <row r="6816" spans="1:40" x14ac:dyDescent="0.25">
      <c r="A6816" t="str">
        <f>"20190312172247282"</f>
        <v>20190312172247282</v>
      </c>
      <c r="B6816" t="str">
        <f>"1552382567276978"</f>
        <v>1552382567276978</v>
      </c>
      <c r="C6816" t="s">
        <v>40</v>
      </c>
      <c r="D6816">
        <v>3.3186559999999998</v>
      </c>
      <c r="E6816">
        <v>0.49818230000000002</v>
      </c>
      <c r="F6816" t="s">
        <v>42</v>
      </c>
      <c r="G6816">
        <v>-300.34269999999998</v>
      </c>
      <c r="H6816" s="1">
        <v>-2.4154659999999999E-6</v>
      </c>
      <c r="I6816">
        <v>-24.99295</v>
      </c>
      <c r="J6816">
        <v>-301.2475</v>
      </c>
      <c r="K6816">
        <v>1.1100380000000001</v>
      </c>
      <c r="L6816">
        <v>-9.5889279999999992</v>
      </c>
      <c r="M6816">
        <v>7.0177610000000001E-2</v>
      </c>
      <c r="N6816">
        <v>0</v>
      </c>
      <c r="O6816">
        <v>-0.99744390000000005</v>
      </c>
      <c r="P6816">
        <v>5.7073260000000001E-2</v>
      </c>
      <c r="Q6816">
        <v>0.1339719</v>
      </c>
      <c r="R6816">
        <v>-0.98934009999999994</v>
      </c>
      <c r="S6816">
        <v>0.17947389999999999</v>
      </c>
      <c r="T6816">
        <v>-0.2172191</v>
      </c>
      <c r="U6816">
        <v>-3.0516049999999999</v>
      </c>
      <c r="V6816">
        <v>1.2727830000000001E-2</v>
      </c>
      <c r="W6816">
        <v>0.14726229999999901</v>
      </c>
      <c r="X6816">
        <v>0.98901559999999999</v>
      </c>
      <c r="Y6816">
        <v>1.164336E-2</v>
      </c>
      <c r="Z6816">
        <v>7.0677050000000005E-2</v>
      </c>
      <c r="AA6816">
        <v>0.99743130000000002</v>
      </c>
      <c r="AB6816">
        <v>19</v>
      </c>
      <c r="AC6816">
        <v>0.90480000000002203</v>
      </c>
      <c r="AD6816">
        <v>-1.110040415466</v>
      </c>
      <c r="AE6816">
        <v>-15.404021999999999</v>
      </c>
      <c r="AF6816">
        <v>0.17762711916523599</v>
      </c>
      <c r="AG6816">
        <v>-1.110040415466</v>
      </c>
      <c r="AH6816">
        <v>15.350101781798701</v>
      </c>
      <c r="AI6816">
        <v>94.135860304164197</v>
      </c>
      <c r="AJ6816">
        <v>89.337018726382794</v>
      </c>
      <c r="AK6816">
        <v>15.391210668073199</v>
      </c>
      <c r="AL6816">
        <v>81.531694165068302</v>
      </c>
      <c r="AM6816">
        <v>89.2626904097325</v>
      </c>
      <c r="AN6816">
        <v>1.0000000198505701</v>
      </c>
    </row>
    <row r="6817" spans="1:40" x14ac:dyDescent="0.25">
      <c r="A6817" t="str">
        <f>"20190312172247304"</f>
        <v>20190312172247304</v>
      </c>
      <c r="B6817" t="str">
        <f>"1552382567297055"</f>
        <v>1552382567297055</v>
      </c>
      <c r="C6817" t="s">
        <v>40</v>
      </c>
      <c r="D6817">
        <v>3.3197130000000001</v>
      </c>
      <c r="E6817">
        <v>0.49813590000000002</v>
      </c>
      <c r="F6817" t="s">
        <v>42</v>
      </c>
      <c r="G6817">
        <v>-300.35930000000002</v>
      </c>
      <c r="H6817" s="1">
        <v>-2.4114380000000001E-6</v>
      </c>
      <c r="I6817">
        <v>-25.012589999999999</v>
      </c>
      <c r="J6817">
        <v>-301.23509999999999</v>
      </c>
      <c r="K6817">
        <v>1.1099859999999999</v>
      </c>
      <c r="L6817">
        <v>-9.7833559999999995</v>
      </c>
      <c r="M6817">
        <v>6.9050810000000004E-2</v>
      </c>
      <c r="N6817">
        <v>0</v>
      </c>
      <c r="O6817">
        <v>-0.99752249999999998</v>
      </c>
      <c r="P6817">
        <v>5.5928730000000003E-2</v>
      </c>
      <c r="Q6817">
        <v>0.1331599</v>
      </c>
      <c r="R6817">
        <v>-0.98951540000000004</v>
      </c>
      <c r="S6817">
        <v>0.17575070000000001</v>
      </c>
      <c r="T6817">
        <v>-0.21964810000000001</v>
      </c>
      <c r="U6817">
        <v>-3.0519409999999998</v>
      </c>
      <c r="V6817">
        <v>1.2781499999999999E-2</v>
      </c>
      <c r="W6817">
        <v>0.14644960000000001</v>
      </c>
      <c r="X6817">
        <v>0.9891356</v>
      </c>
      <c r="Y6817">
        <v>1.1736150000000001E-2</v>
      </c>
      <c r="Z6817">
        <v>7.1466479999999999E-2</v>
      </c>
      <c r="AA6817">
        <v>0.99737390000000004</v>
      </c>
      <c r="AB6817">
        <v>19</v>
      </c>
      <c r="AC6817">
        <v>0.87579999999996905</v>
      </c>
      <c r="AD6817">
        <v>-1.1099884114380001</v>
      </c>
      <c r="AE6817">
        <v>-15.229234</v>
      </c>
      <c r="AF6817">
        <v>0.17703944929694701</v>
      </c>
      <c r="AG6817">
        <v>-1.1099884114380001</v>
      </c>
      <c r="AH6817">
        <v>15.173019993994499</v>
      </c>
      <c r="AI6817">
        <v>94.183758828457499</v>
      </c>
      <c r="AJ6817">
        <v>89.331500718672402</v>
      </c>
      <c r="AK6817">
        <v>15.214596707710999</v>
      </c>
      <c r="AL6817">
        <v>81.578769036053501</v>
      </c>
      <c r="AM6817">
        <v>89.259671525486695</v>
      </c>
      <c r="AN6817">
        <v>1.0000000436348799</v>
      </c>
    </row>
    <row r="6818" spans="1:40" x14ac:dyDescent="0.25">
      <c r="A6818" t="str">
        <f>"20190312172247326"</f>
        <v>20190312172247326</v>
      </c>
      <c r="B6818" t="str">
        <f>"1552382567317551"</f>
        <v>1552382567317551</v>
      </c>
      <c r="C6818" t="s">
        <v>40</v>
      </c>
      <c r="D6818">
        <v>3.343197</v>
      </c>
      <c r="E6818">
        <v>0.4980774</v>
      </c>
      <c r="F6818" t="s">
        <v>42</v>
      </c>
      <c r="G6818">
        <v>-300.37540000000001</v>
      </c>
      <c r="H6818" s="1">
        <v>-2.4406559999999998E-6</v>
      </c>
      <c r="I6818">
        <v>-24.95449</v>
      </c>
      <c r="J6818">
        <v>-301.2235</v>
      </c>
      <c r="K6818">
        <v>1.109945</v>
      </c>
      <c r="L6818">
        <v>-9.9703979999999994</v>
      </c>
      <c r="M6818">
        <v>6.7889560000000002E-2</v>
      </c>
      <c r="N6818">
        <v>0</v>
      </c>
      <c r="O6818">
        <v>-0.99760230000000005</v>
      </c>
      <c r="P6818">
        <v>5.4275259999999999E-2</v>
      </c>
      <c r="Q6818">
        <v>0.13278679999999901</v>
      </c>
      <c r="R6818">
        <v>-0.98965760000000003</v>
      </c>
      <c r="S6818">
        <v>0.17294309999999999</v>
      </c>
      <c r="T6818">
        <v>-0.22330259999999999</v>
      </c>
      <c r="U6818">
        <v>-3.052063</v>
      </c>
      <c r="V6818">
        <v>1.330069E-2</v>
      </c>
      <c r="W6818">
        <v>0.1460755</v>
      </c>
      <c r="X6818">
        <v>0.98918399999999995</v>
      </c>
      <c r="Y6818">
        <v>1.149379E-2</v>
      </c>
      <c r="Z6818">
        <v>7.2657059999999996E-2</v>
      </c>
      <c r="AA6818">
        <v>0.99729069999999997</v>
      </c>
      <c r="AB6818">
        <v>19</v>
      </c>
      <c r="AC6818">
        <v>0.84809999999998797</v>
      </c>
      <c r="AD6818">
        <v>-1.1099474406559999</v>
      </c>
      <c r="AE6818">
        <v>-14.984092</v>
      </c>
      <c r="AF6818">
        <v>0.170281000914488</v>
      </c>
      <c r="AG6818">
        <v>-1.1099474406559999</v>
      </c>
      <c r="AH6818">
        <v>14.925461243299999</v>
      </c>
      <c r="AI6818">
        <v>94.252755796820296</v>
      </c>
      <c r="AJ6818">
        <v>89.346354577495504</v>
      </c>
      <c r="AK6818">
        <v>14.9676441788794</v>
      </c>
      <c r="AL6818">
        <v>81.600435803413404</v>
      </c>
      <c r="AM6818">
        <v>89.229640310175796</v>
      </c>
      <c r="AN6818">
        <v>0.99999997295536203</v>
      </c>
    </row>
    <row r="6819" spans="1:40" x14ac:dyDescent="0.25">
      <c r="A6819" t="str">
        <f>"20190312172247349"</f>
        <v>20190312172247349</v>
      </c>
      <c r="B6819" t="str">
        <f>"1552382567337072"</f>
        <v>1552382567337072</v>
      </c>
      <c r="C6819" t="s">
        <v>40</v>
      </c>
      <c r="D6819">
        <v>3.301142</v>
      </c>
      <c r="E6819">
        <v>0.49798920000000002</v>
      </c>
      <c r="F6819" t="s">
        <v>42</v>
      </c>
      <c r="G6819">
        <v>-300.39080000000001</v>
      </c>
      <c r="H6819" s="1">
        <v>-2.4175990000000001E-6</v>
      </c>
      <c r="I6819">
        <v>-25.017769999999999</v>
      </c>
      <c r="J6819">
        <v>-301.21170000000001</v>
      </c>
      <c r="K6819">
        <v>1.1099190000000001</v>
      </c>
      <c r="L6819">
        <v>-10.16464</v>
      </c>
      <c r="M6819">
        <v>6.6616649999999999E-2</v>
      </c>
      <c r="N6819">
        <v>0</v>
      </c>
      <c r="O6819">
        <v>-0.99768820000000003</v>
      </c>
      <c r="P6819">
        <v>5.2550649999999997E-2</v>
      </c>
      <c r="Q6819">
        <v>0.13233130000000001</v>
      </c>
      <c r="R6819">
        <v>-0.98981200000000003</v>
      </c>
      <c r="S6819">
        <v>0.1689148</v>
      </c>
      <c r="T6819">
        <v>-0.22514890000000001</v>
      </c>
      <c r="U6819">
        <v>-3.0523069999999999</v>
      </c>
      <c r="V6819">
        <v>1.377635E-2</v>
      </c>
      <c r="W6819">
        <v>0.1456189</v>
      </c>
      <c r="X6819">
        <v>0.98924480000000004</v>
      </c>
      <c r="Y6819">
        <v>1.1536940000000001E-2</v>
      </c>
      <c r="Z6819">
        <v>7.3260839999999994E-2</v>
      </c>
      <c r="AA6819">
        <v>0.99724610000000002</v>
      </c>
      <c r="AB6819">
        <v>19</v>
      </c>
      <c r="AC6819">
        <v>0.82089999999999397</v>
      </c>
      <c r="AD6819">
        <v>-1.109921417599</v>
      </c>
      <c r="AE6819">
        <v>-14.85313</v>
      </c>
      <c r="AF6819">
        <v>0.169535095913524</v>
      </c>
      <c r="AG6819">
        <v>-1.109921417599</v>
      </c>
      <c r="AH6819">
        <v>14.792470287507101</v>
      </c>
      <c r="AI6819">
        <v>94.290745046529693</v>
      </c>
      <c r="AJ6819">
        <v>89.343367266145606</v>
      </c>
      <c r="AK6819">
        <v>14.835020893438999</v>
      </c>
      <c r="AL6819">
        <v>81.626879736599705</v>
      </c>
      <c r="AM6819">
        <v>89.202143199067294</v>
      </c>
      <c r="AN6819">
        <v>0.99999996309178496</v>
      </c>
    </row>
    <row r="6820" spans="1:40" x14ac:dyDescent="0.25">
      <c r="A6820" t="str">
        <f>"20190312172247372"</f>
        <v>20190312172247372</v>
      </c>
      <c r="B6820" t="str">
        <f>"1552382567367327"</f>
        <v>1552382567367327</v>
      </c>
      <c r="C6820" t="s">
        <v>40</v>
      </c>
      <c r="D6820">
        <v>3.3097159999999999</v>
      </c>
      <c r="E6820">
        <v>0.49792690000000001</v>
      </c>
      <c r="F6820" t="s">
        <v>42</v>
      </c>
      <c r="G6820">
        <v>-300.40530000000001</v>
      </c>
      <c r="H6820" s="1">
        <v>-2.3948790000000002E-6</v>
      </c>
      <c r="I6820">
        <v>-25.079750000000001</v>
      </c>
      <c r="J6820">
        <v>-301.20049999999998</v>
      </c>
      <c r="K6820">
        <v>1.1098939999999999</v>
      </c>
      <c r="L6820">
        <v>-10.355829999999999</v>
      </c>
      <c r="M6820">
        <v>6.5307740000000003E-2</v>
      </c>
      <c r="N6820">
        <v>0</v>
      </c>
      <c r="O6820">
        <v>-0.99777479999999996</v>
      </c>
      <c r="P6820">
        <v>5.0974989999999998E-2</v>
      </c>
      <c r="Q6820">
        <v>0.131356</v>
      </c>
      <c r="R6820">
        <v>-0.99002409999999996</v>
      </c>
      <c r="S6820">
        <v>0.16503909999999999</v>
      </c>
      <c r="T6820">
        <v>-0.22715389999999999</v>
      </c>
      <c r="U6820">
        <v>-3.0524900000000001</v>
      </c>
      <c r="V6820">
        <v>1.406756E-2</v>
      </c>
      <c r="W6820">
        <v>0.1446442</v>
      </c>
      <c r="X6820">
        <v>0.98938380000000004</v>
      </c>
      <c r="Y6820">
        <v>1.149348E-2</v>
      </c>
      <c r="Z6820">
        <v>7.3917460000000004E-2</v>
      </c>
      <c r="AA6820">
        <v>0.99719809999999998</v>
      </c>
      <c r="AB6820">
        <v>19</v>
      </c>
      <c r="AC6820">
        <v>0.79519999999996505</v>
      </c>
      <c r="AD6820">
        <v>-1.1098963948789999</v>
      </c>
      <c r="AE6820">
        <v>-14.72392</v>
      </c>
      <c r="AF6820">
        <v>0.16722314833305699</v>
      </c>
      <c r="AG6820">
        <v>-1.1098963948789999</v>
      </c>
      <c r="AH6820">
        <v>14.6613519412179</v>
      </c>
      <c r="AI6820">
        <v>94.328878000311207</v>
      </c>
      <c r="AJ6820">
        <v>89.346529212689205</v>
      </c>
      <c r="AK6820">
        <v>14.704253613596199</v>
      </c>
      <c r="AL6820">
        <v>81.683324458113105</v>
      </c>
      <c r="AM6820">
        <v>89.185394478267597</v>
      </c>
      <c r="AN6820">
        <v>1.00000007227021</v>
      </c>
    </row>
    <row r="6821" spans="1:40" x14ac:dyDescent="0.25">
      <c r="A6821" t="str">
        <f>"20190312172247394"</f>
        <v>20190312172247394</v>
      </c>
      <c r="B6821" t="str">
        <f>"1552382567386848"</f>
        <v>1552382567386848</v>
      </c>
      <c r="C6821" t="s">
        <v>40</v>
      </c>
      <c r="D6821">
        <v>3.3154840000000001</v>
      </c>
      <c r="E6821">
        <v>0.49785740000000001</v>
      </c>
      <c r="F6821" t="s">
        <v>42</v>
      </c>
      <c r="G6821">
        <v>-300.42669999999998</v>
      </c>
      <c r="H6821" s="1">
        <v>-2.4095029999999998E-6</v>
      </c>
      <c r="I6821">
        <v>-25.05893</v>
      </c>
      <c r="J6821">
        <v>-301.18950000000001</v>
      </c>
      <c r="K6821">
        <v>1.1098709999999901</v>
      </c>
      <c r="L6821">
        <v>-10.547790000000001</v>
      </c>
      <c r="M6821">
        <v>6.3945689999999999E-2</v>
      </c>
      <c r="N6821">
        <v>0</v>
      </c>
      <c r="O6821">
        <v>-0.9978631</v>
      </c>
      <c r="P6821">
        <v>4.9530159999999997E-2</v>
      </c>
      <c r="Q6821">
        <v>0.13128280000000001</v>
      </c>
      <c r="R6821">
        <v>-0.99010710000000002</v>
      </c>
      <c r="S6821">
        <v>0.1606445</v>
      </c>
      <c r="T6821">
        <v>-0.2304264</v>
      </c>
      <c r="U6821">
        <v>-3.052521</v>
      </c>
      <c r="V6821">
        <v>1.416802E-2</v>
      </c>
      <c r="W6821">
        <v>0.14457059999999999</v>
      </c>
      <c r="X6821">
        <v>0.98939310000000003</v>
      </c>
      <c r="Y6821">
        <v>1.156481E-2</v>
      </c>
      <c r="Z6821">
        <v>7.4988379999999993E-2</v>
      </c>
      <c r="AA6821">
        <v>0.99711729999999998</v>
      </c>
      <c r="AB6821">
        <v>19</v>
      </c>
      <c r="AC6821">
        <v>0.76280000000002701</v>
      </c>
      <c r="AD6821">
        <v>-1.1098734095029901</v>
      </c>
      <c r="AE6821">
        <v>-14.511139999999999</v>
      </c>
      <c r="AF6821">
        <v>0.165802666498815</v>
      </c>
      <c r="AG6821">
        <v>-1.1098734095029901</v>
      </c>
      <c r="AH6821">
        <v>14.4459444560229</v>
      </c>
      <c r="AI6821">
        <v>94.393082033109906</v>
      </c>
      <c r="AJ6821">
        <v>89.342419186078303</v>
      </c>
      <c r="AK6821">
        <v>14.4894658540554</v>
      </c>
      <c r="AL6821">
        <v>81.687586025223396</v>
      </c>
      <c r="AM6821">
        <v>89.1795856774214</v>
      </c>
      <c r="AN6821">
        <v>1.0000000487513401</v>
      </c>
    </row>
    <row r="6822" spans="1:40" x14ac:dyDescent="0.25">
      <c r="A6822" t="str">
        <f>"20190312172247416"</f>
        <v>20190312172247416</v>
      </c>
      <c r="B6822" t="str">
        <f>"1552382567406954"</f>
        <v>1552382567406954</v>
      </c>
      <c r="C6822" t="s">
        <v>40</v>
      </c>
      <c r="D6822">
        <v>3.3149259999999998</v>
      </c>
      <c r="E6822">
        <v>0.49776999999999999</v>
      </c>
      <c r="F6822" t="s">
        <v>42</v>
      </c>
      <c r="G6822">
        <v>-300.43520000000001</v>
      </c>
      <c r="H6822" s="1">
        <v>-2.3515400000000001E-6</v>
      </c>
      <c r="I6822">
        <v>-25.199310000000001</v>
      </c>
      <c r="J6822">
        <v>-301.17899999999997</v>
      </c>
      <c r="K6822">
        <v>1.109856</v>
      </c>
      <c r="L6822">
        <v>-10.73672</v>
      </c>
      <c r="M6822">
        <v>6.2560829999999998E-2</v>
      </c>
      <c r="N6822">
        <v>0</v>
      </c>
      <c r="O6822">
        <v>-0.99795080000000003</v>
      </c>
      <c r="P6822">
        <v>4.825554E-2</v>
      </c>
      <c r="Q6822">
        <v>0.13127620000000001</v>
      </c>
      <c r="R6822">
        <v>-0.99017080000000002</v>
      </c>
      <c r="S6822">
        <v>0.15716550000000001</v>
      </c>
      <c r="T6822">
        <v>-0.23125129999999999</v>
      </c>
      <c r="U6822">
        <v>-3.052765</v>
      </c>
      <c r="V6822">
        <v>1.4075600000000001E-2</v>
      </c>
      <c r="W6822">
        <v>0.14456350000000001</v>
      </c>
      <c r="X6822">
        <v>0.98939540000000004</v>
      </c>
      <c r="Y6822">
        <v>1.131564E-2</v>
      </c>
      <c r="Z6822">
        <v>7.5261560000000005E-2</v>
      </c>
      <c r="AA6822">
        <v>0.99709959999999997</v>
      </c>
      <c r="AB6822">
        <v>19</v>
      </c>
      <c r="AC6822">
        <v>0.743800000000021</v>
      </c>
      <c r="AD6822">
        <v>-1.10985835154</v>
      </c>
      <c r="AE6822">
        <v>-14.462589999999899</v>
      </c>
      <c r="AF6822">
        <v>0.16158143963270899</v>
      </c>
      <c r="AG6822">
        <v>-1.10985835154</v>
      </c>
      <c r="AH6822">
        <v>14.3962357631082</v>
      </c>
      <c r="AI6822">
        <v>94.408144263064898</v>
      </c>
      <c r="AJ6822">
        <v>89.356946776670696</v>
      </c>
      <c r="AK6822">
        <v>14.439857972608699</v>
      </c>
      <c r="AL6822">
        <v>81.687996675633201</v>
      </c>
      <c r="AM6822">
        <v>89.1849385263247</v>
      </c>
      <c r="AN6822">
        <v>0.99999999279438401</v>
      </c>
    </row>
    <row r="6823" spans="1:40" x14ac:dyDescent="0.25">
      <c r="A6823" t="str">
        <f>"20190312172247438"</f>
        <v>20190312172247438</v>
      </c>
      <c r="B6823" t="str">
        <f>"1552382567427450"</f>
        <v>1552382567427450</v>
      </c>
      <c r="C6823" t="s">
        <v>40</v>
      </c>
      <c r="D6823">
        <v>3.3050220000000001</v>
      </c>
      <c r="E6823">
        <v>0.4977105</v>
      </c>
      <c r="F6823" t="s">
        <v>42</v>
      </c>
      <c r="G6823">
        <v>-300.44560000000001</v>
      </c>
      <c r="H6823" s="1">
        <v>-2.2842550000000001E-6</v>
      </c>
      <c r="I6823">
        <v>-25.362559999999998</v>
      </c>
      <c r="J6823">
        <v>-301.16890000000001</v>
      </c>
      <c r="K6823">
        <v>1.109839</v>
      </c>
      <c r="L6823">
        <v>-10.924160000000001</v>
      </c>
      <c r="M6823">
        <v>6.1142950000000001E-2</v>
      </c>
      <c r="N6823">
        <v>0</v>
      </c>
      <c r="O6823">
        <v>-0.9980386</v>
      </c>
      <c r="P6823">
        <v>4.720034E-2</v>
      </c>
      <c r="Q6823">
        <v>0.13199439999999901</v>
      </c>
      <c r="R6823">
        <v>-0.99012630000000001</v>
      </c>
      <c r="S6823">
        <v>0.15310670000000001</v>
      </c>
      <c r="T6823">
        <v>-0.23167499999999999</v>
      </c>
      <c r="U6823">
        <v>-3.0530400000000002</v>
      </c>
      <c r="V6823">
        <v>1.372782E-2</v>
      </c>
      <c r="W6823">
        <v>0.14528060000000001</v>
      </c>
      <c r="X6823">
        <v>0.98929520000000004</v>
      </c>
      <c r="Y6823">
        <v>1.1222309999999999E-2</v>
      </c>
      <c r="Z6823">
        <v>7.5404449999999998E-2</v>
      </c>
      <c r="AA6823">
        <v>0.99708989999999997</v>
      </c>
      <c r="AB6823">
        <v>19</v>
      </c>
      <c r="AC6823">
        <v>0.72329999999999395</v>
      </c>
      <c r="AD6823">
        <v>-1.1098412842550001</v>
      </c>
      <c r="AE6823">
        <v>-14.4384</v>
      </c>
      <c r="AF6823">
        <v>0.159996587534005</v>
      </c>
      <c r="AG6823">
        <v>-1.1098412842550001</v>
      </c>
      <c r="AH6823">
        <v>14.3709106288174</v>
      </c>
      <c r="AI6823">
        <v>94.415818626118806</v>
      </c>
      <c r="AJ6823">
        <v>89.362131551271702</v>
      </c>
      <c r="AK6823">
        <v>14.4145904862302</v>
      </c>
      <c r="AL6823">
        <v>81.646471126399504</v>
      </c>
      <c r="AM6823">
        <v>89.204993949547301</v>
      </c>
      <c r="AN6823">
        <v>0.99999994926067504</v>
      </c>
    </row>
    <row r="6824" spans="1:40" x14ac:dyDescent="0.25">
      <c r="A6824" t="str">
        <f>"20190312172247461"</f>
        <v>20190312172247461</v>
      </c>
      <c r="B6824" t="str">
        <f>"1552382567456733"</f>
        <v>1552382567456733</v>
      </c>
      <c r="C6824" t="s">
        <v>40</v>
      </c>
      <c r="D6824">
        <v>3.2796050000000001</v>
      </c>
      <c r="E6824">
        <v>0.49765229999999999</v>
      </c>
      <c r="F6824" t="s">
        <v>42</v>
      </c>
      <c r="G6824">
        <v>-300.44420000000002</v>
      </c>
      <c r="H6824" s="1">
        <v>-2.1499060000000001E-6</v>
      </c>
      <c r="I6824">
        <v>-25.674869999999999</v>
      </c>
      <c r="J6824">
        <v>-301.15910000000002</v>
      </c>
      <c r="K6824">
        <v>1.109815</v>
      </c>
      <c r="L6824">
        <v>-11.113709999999999</v>
      </c>
      <c r="M6824">
        <v>5.9654440000000003E-2</v>
      </c>
      <c r="N6824">
        <v>0</v>
      </c>
      <c r="O6824">
        <v>-0.99812889999999999</v>
      </c>
      <c r="P6824">
        <v>4.6017179999999998E-2</v>
      </c>
      <c r="Q6824">
        <v>0.13336979999999901</v>
      </c>
      <c r="R6824">
        <v>-0.98999789999999999</v>
      </c>
      <c r="S6824">
        <v>0.1500244</v>
      </c>
      <c r="T6824">
        <v>-0.22973540000000001</v>
      </c>
      <c r="U6824">
        <v>-3.053375</v>
      </c>
      <c r="V6824">
        <v>1.343595E-2</v>
      </c>
      <c r="W6824">
        <v>0.1466529</v>
      </c>
      <c r="X6824">
        <v>0.9890968</v>
      </c>
      <c r="Y6824">
        <v>1.073823E-2</v>
      </c>
      <c r="Z6824">
        <v>7.4780719999999995E-2</v>
      </c>
      <c r="AA6824">
        <v>0.99714219999999998</v>
      </c>
      <c r="AB6824">
        <v>19</v>
      </c>
      <c r="AC6824">
        <v>0.71489999999999998</v>
      </c>
      <c r="AD6824">
        <v>-1.1098171499059999</v>
      </c>
      <c r="AE6824">
        <v>-14.561159999999999</v>
      </c>
      <c r="AF6824">
        <v>0.15419586773291299</v>
      </c>
      <c r="AG6824">
        <v>-1.1098171499059999</v>
      </c>
      <c r="AH6824">
        <v>14.4938796495569</v>
      </c>
      <c r="AI6824">
        <v>94.378428872629101</v>
      </c>
      <c r="AJ6824">
        <v>89.390471056459404</v>
      </c>
      <c r="AK6824">
        <v>14.5371254987942</v>
      </c>
      <c r="AL6824">
        <v>81.566993625777599</v>
      </c>
      <c r="AM6824">
        <v>89.221738577037002</v>
      </c>
      <c r="AN6824">
        <v>1.0000000388005199</v>
      </c>
    </row>
    <row r="6825" spans="1:40" x14ac:dyDescent="0.25">
      <c r="A6825" t="str">
        <f>"20190312172247484"</f>
        <v>20190312172247484</v>
      </c>
      <c r="B6825" t="str">
        <f>"1552382567477225"</f>
        <v>1552382567477225</v>
      </c>
      <c r="C6825" t="s">
        <v>40</v>
      </c>
      <c r="D6825">
        <v>3.2569180000000002</v>
      </c>
      <c r="E6825">
        <v>0.49759560000000003</v>
      </c>
      <c r="F6825" t="s">
        <v>41</v>
      </c>
      <c r="G6825">
        <v>-301.11610000000002</v>
      </c>
      <c r="H6825">
        <v>1.0432629999999901</v>
      </c>
      <c r="I6825">
        <v>-12.012280000000001</v>
      </c>
      <c r="J6825">
        <v>-301.14940000000001</v>
      </c>
      <c r="K6825">
        <v>1.1097870000000001</v>
      </c>
      <c r="L6825">
        <v>-11.306240000000001</v>
      </c>
      <c r="M6825">
        <v>5.807354E-2</v>
      </c>
      <c r="N6825">
        <v>0</v>
      </c>
      <c r="O6825">
        <v>-0.9982219</v>
      </c>
      <c r="P6825">
        <v>4.5022949999999999E-2</v>
      </c>
      <c r="Q6825">
        <v>0.13447870000000001</v>
      </c>
      <c r="R6825">
        <v>-0.98989329999999998</v>
      </c>
      <c r="S6825">
        <v>0.14672850000000001</v>
      </c>
      <c r="T6825">
        <v>-0.2260017</v>
      </c>
      <c r="U6825">
        <v>-3.053925</v>
      </c>
      <c r="V6825">
        <v>1.286665E-2</v>
      </c>
      <c r="W6825">
        <v>0.14776029999999901</v>
      </c>
      <c r="X6825">
        <v>0.98893949999999997</v>
      </c>
      <c r="Y6825">
        <v>1.023261E-2</v>
      </c>
      <c r="Z6825">
        <v>7.3571310000000001E-2</v>
      </c>
      <c r="AA6825">
        <v>0.99723740000000005</v>
      </c>
      <c r="AB6825">
        <v>19</v>
      </c>
      <c r="AC6825">
        <v>3.3299999999996999E-2</v>
      </c>
      <c r="AD6825">
        <v>-6.6524000000000194E-2</v>
      </c>
      <c r="AE6825">
        <v>-0.706040000000001</v>
      </c>
      <c r="AF6825">
        <v>7.6940004368363799E-3</v>
      </c>
      <c r="AG6825">
        <v>-6.6524000000000194E-2</v>
      </c>
      <c r="AH6825">
        <v>0.70057655976668198</v>
      </c>
      <c r="AI6825">
        <v>95.423993112187404</v>
      </c>
      <c r="AJ6825">
        <v>89.370781074031498</v>
      </c>
      <c r="AK6825">
        <v>0.70376995979740498</v>
      </c>
      <c r="AL6825">
        <v>81.502845065033696</v>
      </c>
      <c r="AM6825">
        <v>89.254592268745697</v>
      </c>
      <c r="AN6825">
        <v>0.99999999579928101</v>
      </c>
    </row>
    <row r="6826" spans="1:40" x14ac:dyDescent="0.25">
      <c r="A6826" t="str">
        <f>"20190312172247505"</f>
        <v>20190312172247505</v>
      </c>
      <c r="B6826" t="str">
        <f>"1552382567497284"</f>
        <v>1552382567497284</v>
      </c>
      <c r="C6826" t="s">
        <v>40</v>
      </c>
      <c r="D6826">
        <v>3.2634129999999999</v>
      </c>
      <c r="E6826">
        <v>0.49751960000000001</v>
      </c>
      <c r="F6826" t="s">
        <v>42</v>
      </c>
      <c r="G6826">
        <v>-300.43099999999998</v>
      </c>
      <c r="H6826" s="1">
        <v>-1.7905780000000001E-6</v>
      </c>
      <c r="I6826">
        <v>-26.504339999999999</v>
      </c>
      <c r="J6826">
        <v>-301.1404</v>
      </c>
      <c r="K6826">
        <v>1.109766</v>
      </c>
      <c r="L6826">
        <v>-11.494289999999999</v>
      </c>
      <c r="M6826">
        <v>5.6472109999999999E-2</v>
      </c>
      <c r="N6826">
        <v>0</v>
      </c>
      <c r="O6826">
        <v>-0.99831369999999997</v>
      </c>
      <c r="P6826">
        <v>4.376174E-2</v>
      </c>
      <c r="Q6826">
        <v>0.1353917</v>
      </c>
      <c r="R6826">
        <v>-0.98982519999999996</v>
      </c>
      <c r="S6826">
        <v>0.1443787</v>
      </c>
      <c r="T6826">
        <v>-0.2230336</v>
      </c>
      <c r="U6826">
        <v>-3.0543520000000002</v>
      </c>
      <c r="V6826">
        <v>1.254423E-2</v>
      </c>
      <c r="W6826">
        <v>0.14867230000000001</v>
      </c>
      <c r="X6826">
        <v>0.98880699999999999</v>
      </c>
      <c r="Y6826">
        <v>9.3973189999999995E-3</v>
      </c>
      <c r="Z6826">
        <v>7.2611750000000003E-2</v>
      </c>
      <c r="AA6826">
        <v>0.99731599999999998</v>
      </c>
      <c r="AB6826">
        <v>19</v>
      </c>
      <c r="AC6826">
        <v>0.70940000000001602</v>
      </c>
      <c r="AD6826">
        <v>-1.1097677905779999</v>
      </c>
      <c r="AE6826">
        <v>-15.01005</v>
      </c>
      <c r="AF6826">
        <v>0.13870154772248</v>
      </c>
      <c r="AG6826">
        <v>-1.1097677905779999</v>
      </c>
      <c r="AH6826">
        <v>14.9446461486634</v>
      </c>
      <c r="AI6826">
        <v>94.246724583617095</v>
      </c>
      <c r="AJ6826">
        <v>89.468252038152201</v>
      </c>
      <c r="AK6826">
        <v>14.986436240050701</v>
      </c>
      <c r="AL6826">
        <v>81.450008161696999</v>
      </c>
      <c r="AM6826">
        <v>89.273171728827094</v>
      </c>
      <c r="AN6826">
        <v>1.00000004687129</v>
      </c>
    </row>
    <row r="6827" spans="1:40" x14ac:dyDescent="0.25">
      <c r="A6827" t="str">
        <f>"20190312172247527"</f>
        <v>20190312172247527</v>
      </c>
      <c r="B6827" t="str">
        <f>"1552382567516805"</f>
        <v>1552382567516805</v>
      </c>
      <c r="C6827" t="s">
        <v>40</v>
      </c>
      <c r="D6827">
        <v>3.2813769999999902</v>
      </c>
      <c r="E6827">
        <v>0.49741560000000001</v>
      </c>
      <c r="F6827" t="s">
        <v>42</v>
      </c>
      <c r="G6827">
        <v>-300.4325</v>
      </c>
      <c r="H6827" s="1">
        <v>-1.635896E-6</v>
      </c>
      <c r="I6827">
        <v>-26.86581</v>
      </c>
      <c r="J6827">
        <v>-301.1318</v>
      </c>
      <c r="K6827">
        <v>1.1097509999999999</v>
      </c>
      <c r="L6827">
        <v>-11.68182</v>
      </c>
      <c r="M6827">
        <v>5.4815919999999997E-2</v>
      </c>
      <c r="N6827">
        <v>0</v>
      </c>
      <c r="O6827">
        <v>-0.99840609999999996</v>
      </c>
      <c r="P6827">
        <v>4.2718140000000002E-2</v>
      </c>
      <c r="Q6827">
        <v>0.1356937</v>
      </c>
      <c r="R6827">
        <v>-0.98982939999999997</v>
      </c>
      <c r="S6827">
        <v>0.14068599999999901</v>
      </c>
      <c r="T6827">
        <v>-0.22054389999999999</v>
      </c>
      <c r="U6827">
        <v>-3.0547789999999999</v>
      </c>
      <c r="V6827">
        <v>1.195221E-2</v>
      </c>
      <c r="W6827">
        <v>0.14897460000000001</v>
      </c>
      <c r="X6827">
        <v>0.9887688</v>
      </c>
      <c r="Y6827">
        <v>8.9453069999999996E-3</v>
      </c>
      <c r="Z6827">
        <v>7.1807540000000003E-2</v>
      </c>
      <c r="AA6827">
        <v>0.9973784</v>
      </c>
      <c r="AB6827">
        <v>19</v>
      </c>
      <c r="AC6827">
        <v>0.69929999999999304</v>
      </c>
      <c r="AD6827">
        <v>-1.1097526358959999</v>
      </c>
      <c r="AE6827">
        <v>-15.1839899999999</v>
      </c>
      <c r="AF6827">
        <v>0.13343981286399201</v>
      </c>
      <c r="AG6827">
        <v>-1.1097526358959999</v>
      </c>
      <c r="AH6827">
        <v>15.1189027300347</v>
      </c>
      <c r="AI6827">
        <v>94.197914034315204</v>
      </c>
      <c r="AJ6827">
        <v>89.494319150268396</v>
      </c>
      <c r="AK6827">
        <v>15.160164143464399</v>
      </c>
      <c r="AL6827">
        <v>81.432492301419799</v>
      </c>
      <c r="AM6827">
        <v>89.307443927115898</v>
      </c>
      <c r="AN6827">
        <v>1.0000000133112401</v>
      </c>
    </row>
    <row r="6828" spans="1:40" x14ac:dyDescent="0.25">
      <c r="A6828" t="str">
        <f>"20190312172247550"</f>
        <v>20190312172247550</v>
      </c>
      <c r="B6828" t="str">
        <f>"1552382567537300"</f>
        <v>1552382567537300</v>
      </c>
      <c r="C6828" t="s">
        <v>40</v>
      </c>
      <c r="D6828">
        <v>3.2662019999999998</v>
      </c>
      <c r="E6828">
        <v>0.49732539999999997</v>
      </c>
      <c r="F6828" t="s">
        <v>42</v>
      </c>
      <c r="G6828">
        <v>-300.43439999999998</v>
      </c>
      <c r="H6828" s="1">
        <v>-1.5312379999999901E-6</v>
      </c>
      <c r="I6828">
        <v>-27.11092</v>
      </c>
      <c r="J6828">
        <v>-301.1234</v>
      </c>
      <c r="K6828">
        <v>1.109729</v>
      </c>
      <c r="L6828">
        <v>-11.87332</v>
      </c>
      <c r="M6828">
        <v>5.305841E-2</v>
      </c>
      <c r="N6828">
        <v>0</v>
      </c>
      <c r="O6828">
        <v>-0.99850090000000002</v>
      </c>
      <c r="P6828">
        <v>4.16727E-2</v>
      </c>
      <c r="Q6828">
        <v>0.13572210000000001</v>
      </c>
      <c r="R6828">
        <v>-0.98987029999999998</v>
      </c>
      <c r="S6828">
        <v>0.13809199999999999</v>
      </c>
      <c r="T6828">
        <v>-0.2197334</v>
      </c>
      <c r="U6828">
        <v>-3.0549930000000001</v>
      </c>
      <c r="V6828">
        <v>1.1263250000000001E-2</v>
      </c>
      <c r="W6828">
        <v>0.14900429999999901</v>
      </c>
      <c r="X6828">
        <v>0.9887724</v>
      </c>
      <c r="Y6828">
        <v>8.0326159999999994E-3</v>
      </c>
      <c r="Z6828">
        <v>7.155185E-2</v>
      </c>
      <c r="AA6828">
        <v>0.99740450000000003</v>
      </c>
      <c r="AB6828">
        <v>19</v>
      </c>
      <c r="AC6828">
        <v>0.68900000000002104</v>
      </c>
      <c r="AD6828">
        <v>-1.1097305312379999</v>
      </c>
      <c r="AE6828">
        <v>-15.2376</v>
      </c>
      <c r="AF6828">
        <v>0.119891994361393</v>
      </c>
      <c r="AG6828">
        <v>-1.1097305312379999</v>
      </c>
      <c r="AH6828">
        <v>15.1723833151398</v>
      </c>
      <c r="AI6828">
        <v>94.183118764765993</v>
      </c>
      <c r="AJ6828">
        <v>89.547258847828502</v>
      </c>
      <c r="AK6828">
        <v>15.2133852709976</v>
      </c>
      <c r="AL6828">
        <v>81.430771299892896</v>
      </c>
      <c r="AM6828">
        <v>89.347363682278896</v>
      </c>
      <c r="AN6828">
        <v>1.0000000006104</v>
      </c>
    </row>
    <row r="6829" spans="1:40" x14ac:dyDescent="0.25">
      <c r="A6829" t="str">
        <f>"20190312172247574"</f>
        <v>20190312172247574</v>
      </c>
      <c r="B6829" t="str">
        <f>"1552382567567557"</f>
        <v>1552382567567557</v>
      </c>
      <c r="C6829" t="s">
        <v>40</v>
      </c>
      <c r="D6829">
        <v>3.2653859999999999</v>
      </c>
      <c r="E6829">
        <v>0.49721749999999998</v>
      </c>
      <c r="F6829" t="s">
        <v>42</v>
      </c>
      <c r="G6829">
        <v>-300.43920000000003</v>
      </c>
      <c r="H6829" s="1">
        <v>-1.456264E-6</v>
      </c>
      <c r="I6829">
        <v>-27.288720000000001</v>
      </c>
      <c r="J6829">
        <v>-301.11500000000001</v>
      </c>
      <c r="K6829">
        <v>1.109701</v>
      </c>
      <c r="L6829">
        <v>-12.07263</v>
      </c>
      <c r="M6829">
        <v>5.1159780000000002E-2</v>
      </c>
      <c r="N6829">
        <v>0</v>
      </c>
      <c r="O6829">
        <v>-0.99860000000000004</v>
      </c>
      <c r="P6829">
        <v>4.029874E-2</v>
      </c>
      <c r="Q6829">
        <v>0.13575690000000001</v>
      </c>
      <c r="R6829">
        <v>-0.98992259999999999</v>
      </c>
      <c r="S6829">
        <v>0.1355896</v>
      </c>
      <c r="T6829">
        <v>-0.21993509999999999</v>
      </c>
      <c r="U6829">
        <v>-3.055145</v>
      </c>
      <c r="V6829">
        <v>1.076423E-2</v>
      </c>
      <c r="W6829">
        <v>0.14903920000000001</v>
      </c>
      <c r="X6829">
        <v>0.98877269999999995</v>
      </c>
      <c r="Y6829">
        <v>6.9490929999999999E-3</v>
      </c>
      <c r="Z6829">
        <v>7.1625899999999895E-2</v>
      </c>
      <c r="AA6829">
        <v>0.99740740000000006</v>
      </c>
      <c r="AB6829">
        <v>19</v>
      </c>
      <c r="AC6829">
        <v>0.67579999999998097</v>
      </c>
      <c r="AD6829">
        <v>-1.1097024562639899</v>
      </c>
      <c r="AE6829">
        <v>-15.216089999999999</v>
      </c>
      <c r="AF6829">
        <v>0.103060229913885</v>
      </c>
      <c r="AG6829">
        <v>-1.1097024562639899</v>
      </c>
      <c r="AH6829">
        <v>15.150315921126101</v>
      </c>
      <c r="AI6829">
        <v>94.189118202257106</v>
      </c>
      <c r="AJ6829">
        <v>89.610250693038793</v>
      </c>
      <c r="AK6829">
        <v>15.191251872783701</v>
      </c>
      <c r="AL6829">
        <v>81.428749109321203</v>
      </c>
      <c r="AM6829">
        <v>89.376276685279507</v>
      </c>
      <c r="AN6829">
        <v>1.00000000202471</v>
      </c>
    </row>
    <row r="6830" spans="1:40" x14ac:dyDescent="0.25">
      <c r="A6830" t="str">
        <f>"20190312172247595"</f>
        <v>20190312172247595</v>
      </c>
      <c r="B6830" t="str">
        <f>"1552382567587077"</f>
        <v>1552382567587077</v>
      </c>
      <c r="C6830" t="s">
        <v>40</v>
      </c>
      <c r="D6830">
        <v>3.268446</v>
      </c>
      <c r="E6830">
        <v>0.49713180000000001</v>
      </c>
      <c r="F6830" t="s">
        <v>42</v>
      </c>
      <c r="G6830">
        <v>-300.45179999999999</v>
      </c>
      <c r="H6830" s="1">
        <v>-1.3884680000000001E-6</v>
      </c>
      <c r="I6830">
        <v>-27.454509999999999</v>
      </c>
      <c r="J6830">
        <v>-301.10759999999999</v>
      </c>
      <c r="K6830">
        <v>1.109672</v>
      </c>
      <c r="L6830">
        <v>-12.25812</v>
      </c>
      <c r="M6830">
        <v>4.933775E-2</v>
      </c>
      <c r="N6830">
        <v>0</v>
      </c>
      <c r="O6830">
        <v>-0.99869169999999996</v>
      </c>
      <c r="P6830">
        <v>3.9079669999999997E-2</v>
      </c>
      <c r="Q6830">
        <v>0.13552800000000001</v>
      </c>
      <c r="R6830">
        <v>-0.99000259999999995</v>
      </c>
      <c r="S6830">
        <v>0.13174439999999901</v>
      </c>
      <c r="T6830">
        <v>-0.2204285</v>
      </c>
      <c r="U6830">
        <v>-3.0554199999999998</v>
      </c>
      <c r="V6830">
        <v>1.018704E-2</v>
      </c>
      <c r="W6830">
        <v>0.1488119</v>
      </c>
      <c r="X6830">
        <v>0.98881300000000005</v>
      </c>
      <c r="Y6830">
        <v>6.3819280000000003E-3</v>
      </c>
      <c r="Z6830">
        <v>7.1791320000000006E-2</v>
      </c>
      <c r="AA6830">
        <v>0.99739929999999999</v>
      </c>
      <c r="AB6830">
        <v>19</v>
      </c>
      <c r="AC6830">
        <v>0.65579999999999905</v>
      </c>
      <c r="AD6830">
        <v>-1.1096733884679999</v>
      </c>
      <c r="AE6830">
        <v>-15.196389999999999</v>
      </c>
      <c r="AF6830">
        <v>9.4320237248227801E-2</v>
      </c>
      <c r="AG6830">
        <v>-1.1096733884679999</v>
      </c>
      <c r="AH6830">
        <v>15.129713118218</v>
      </c>
      <c r="AI6830">
        <v>94.194708359701806</v>
      </c>
      <c r="AJ6830">
        <v>89.642816657045699</v>
      </c>
      <c r="AK6830">
        <v>15.170645680913101</v>
      </c>
      <c r="AL6830">
        <v>81.441918887390699</v>
      </c>
      <c r="AM6830">
        <v>89.409743046271103</v>
      </c>
      <c r="AN6830">
        <v>0.99999995316728396</v>
      </c>
    </row>
    <row r="6831" spans="1:40" x14ac:dyDescent="0.25">
      <c r="A6831" t="str">
        <f>"20190312172247617"</f>
        <v>20190312172247617</v>
      </c>
      <c r="B6831" t="str">
        <f>"1552382567607420"</f>
        <v>1552382567607420</v>
      </c>
      <c r="C6831" t="s">
        <v>40</v>
      </c>
      <c r="D6831">
        <v>3.2528359999999998</v>
      </c>
      <c r="E6831">
        <v>0.49703900000000001</v>
      </c>
      <c r="F6831" t="s">
        <v>42</v>
      </c>
      <c r="G6831">
        <v>-300.46429999999998</v>
      </c>
      <c r="H6831" s="1">
        <v>-1.3454780000000001E-6</v>
      </c>
      <c r="I6831">
        <v>-27.56249</v>
      </c>
      <c r="J6831">
        <v>-301.101</v>
      </c>
      <c r="K6831">
        <v>1.1096459999999999</v>
      </c>
      <c r="L6831">
        <v>-12.435879999999999</v>
      </c>
      <c r="M6831">
        <v>4.7551049999999997E-2</v>
      </c>
      <c r="N6831">
        <v>0</v>
      </c>
      <c r="O6831">
        <v>-0.99877839999999996</v>
      </c>
      <c r="P6831">
        <v>3.6928089999999997E-2</v>
      </c>
      <c r="Q6831">
        <v>0.1358588</v>
      </c>
      <c r="R6831">
        <v>-0.99004000000000003</v>
      </c>
      <c r="S6831">
        <v>0.12844849999999999</v>
      </c>
      <c r="T6831">
        <v>-0.22154799999999999</v>
      </c>
      <c r="U6831">
        <v>-3.055542</v>
      </c>
      <c r="V6831">
        <v>1.0574109999999999E-2</v>
      </c>
      <c r="W6831">
        <v>0.14914050000000001</v>
      </c>
      <c r="X6831">
        <v>0.98875950000000001</v>
      </c>
      <c r="Y6831">
        <v>5.6697459999999998E-3</v>
      </c>
      <c r="Z6831">
        <v>7.2162320000000002E-2</v>
      </c>
      <c r="AA6831">
        <v>0.99737679999999995</v>
      </c>
      <c r="AB6831">
        <v>19</v>
      </c>
      <c r="AC6831">
        <v>0.63670000000001803</v>
      </c>
      <c r="AD6831">
        <v>-1.10964734547799</v>
      </c>
      <c r="AE6831">
        <v>-15.126609999999999</v>
      </c>
      <c r="AF6831">
        <v>8.2926049912659602E-2</v>
      </c>
      <c r="AG6831">
        <v>-1.10964734547799</v>
      </c>
      <c r="AH6831">
        <v>15.058881356182599</v>
      </c>
      <c r="AI6831">
        <v>94.214287269809702</v>
      </c>
      <c r="AJ6831">
        <v>89.684487543742307</v>
      </c>
      <c r="AK6831">
        <v>15.0999371409508</v>
      </c>
      <c r="AL6831">
        <v>81.422879641345801</v>
      </c>
      <c r="AM6831">
        <v>89.387283985733603</v>
      </c>
      <c r="AN6831">
        <v>1.00000002469139</v>
      </c>
    </row>
    <row r="6832" spans="1:40" x14ac:dyDescent="0.25">
      <c r="A6832" t="str">
        <f>"20190312172247639"</f>
        <v>20190312172247639</v>
      </c>
      <c r="B6832" t="str">
        <f>"1552382567626939"</f>
        <v>1552382567626939</v>
      </c>
      <c r="C6832" t="s">
        <v>40</v>
      </c>
      <c r="D6832">
        <v>3.2474720000000001</v>
      </c>
      <c r="E6832">
        <v>0.49694339999999998</v>
      </c>
      <c r="F6832" t="s">
        <v>42</v>
      </c>
      <c r="G6832">
        <v>-300.48239999999998</v>
      </c>
      <c r="H6832" s="1">
        <v>-1.2570800000000001E-6</v>
      </c>
      <c r="I6832">
        <v>-27.779769999999999</v>
      </c>
      <c r="J6832">
        <v>-301.09429999999998</v>
      </c>
      <c r="K6832">
        <v>1.109632</v>
      </c>
      <c r="L6832">
        <v>-12.62369</v>
      </c>
      <c r="M6832">
        <v>4.5632470000000001E-2</v>
      </c>
      <c r="N6832">
        <v>0</v>
      </c>
      <c r="O6832">
        <v>-0.99886799999999998</v>
      </c>
      <c r="P6832">
        <v>3.484806E-2</v>
      </c>
      <c r="Q6832">
        <v>0.13564289999999901</v>
      </c>
      <c r="R6832">
        <v>-0.99014530000000001</v>
      </c>
      <c r="S6832">
        <v>0.1231995</v>
      </c>
      <c r="T6832">
        <v>-0.2209988</v>
      </c>
      <c r="U6832">
        <v>-3.0559080000000001</v>
      </c>
      <c r="V6832">
        <v>1.075825E-2</v>
      </c>
      <c r="W6832">
        <v>0.1489241</v>
      </c>
      <c r="X6832">
        <v>0.98879010000000001</v>
      </c>
      <c r="Y6832">
        <v>5.4636869999999896E-3</v>
      </c>
      <c r="Z6832">
        <v>7.198802E-2</v>
      </c>
      <c r="AA6832">
        <v>0.99739049999999996</v>
      </c>
      <c r="AB6832">
        <v>19</v>
      </c>
      <c r="AC6832">
        <v>0.61189999999999101</v>
      </c>
      <c r="AD6832">
        <v>-1.1096332570799901</v>
      </c>
      <c r="AE6832">
        <v>-15.156079999999999</v>
      </c>
      <c r="AF6832">
        <v>7.9981267792289895E-2</v>
      </c>
      <c r="AG6832">
        <v>-1.1096332570799901</v>
      </c>
      <c r="AH6832">
        <v>15.087472993015</v>
      </c>
      <c r="AI6832">
        <v>94.206281086517706</v>
      </c>
      <c r="AJ6832">
        <v>89.696268145090599</v>
      </c>
      <c r="AK6832">
        <v>15.1284342971562</v>
      </c>
      <c r="AL6832">
        <v>81.435418218390694</v>
      </c>
      <c r="AM6832">
        <v>89.376634132337202</v>
      </c>
      <c r="AN6832">
        <v>0.99999999468094103</v>
      </c>
    </row>
    <row r="6833" spans="1:40" x14ac:dyDescent="0.25">
      <c r="A6833" t="str">
        <f>"20190312172247663"</f>
        <v>20190312172247663</v>
      </c>
      <c r="B6833" t="str">
        <f>"1552382567657199"</f>
        <v>1552382567657199</v>
      </c>
      <c r="C6833" t="s">
        <v>40</v>
      </c>
      <c r="D6833">
        <v>3.2313749999999999</v>
      </c>
      <c r="E6833">
        <v>0.49684430000000002</v>
      </c>
      <c r="F6833" t="s">
        <v>42</v>
      </c>
      <c r="G6833">
        <v>-300.5016</v>
      </c>
      <c r="H6833" s="1">
        <v>-1.214224E-6</v>
      </c>
      <c r="I6833">
        <v>-27.891580000000001</v>
      </c>
      <c r="J6833">
        <v>-301.08789999999999</v>
      </c>
      <c r="K6833">
        <v>1.109634</v>
      </c>
      <c r="L6833">
        <v>-12.815770000000001</v>
      </c>
      <c r="M6833">
        <v>4.3649210000000001E-2</v>
      </c>
      <c r="N6833">
        <v>0</v>
      </c>
      <c r="O6833">
        <v>-0.99895659999999997</v>
      </c>
      <c r="P6833">
        <v>3.352815E-2</v>
      </c>
      <c r="Q6833">
        <v>0.135687</v>
      </c>
      <c r="R6833">
        <v>-0.99018470000000003</v>
      </c>
      <c r="S6833">
        <v>0.1186523</v>
      </c>
      <c r="T6833">
        <v>-0.22211159999999999</v>
      </c>
      <c r="U6833">
        <v>-3.0561219999999998</v>
      </c>
      <c r="V6833">
        <v>1.0112350000000001E-2</v>
      </c>
      <c r="W6833">
        <v>0.14896889999999999</v>
      </c>
      <c r="X6833">
        <v>0.98879019999999995</v>
      </c>
      <c r="Y6833">
        <v>4.9637930000000002E-3</v>
      </c>
      <c r="Z6833">
        <v>7.23554E-2</v>
      </c>
      <c r="AA6833">
        <v>0.99736650000000004</v>
      </c>
      <c r="AB6833">
        <v>19</v>
      </c>
      <c r="AC6833">
        <v>0.58629999999999405</v>
      </c>
      <c r="AD6833">
        <v>-1.109635214224</v>
      </c>
      <c r="AE6833">
        <v>-15.075809999999899</v>
      </c>
      <c r="AF6833">
        <v>7.1976129748139703E-2</v>
      </c>
      <c r="AG6833">
        <v>-1.109635214224</v>
      </c>
      <c r="AH6833">
        <v>15.0058612500422</v>
      </c>
      <c r="AI6833">
        <v>94.229093001835693</v>
      </c>
      <c r="AJ6833">
        <v>89.725180929909897</v>
      </c>
      <c r="AK6833">
        <v>15.047004443656499</v>
      </c>
      <c r="AL6833">
        <v>81.432822683981996</v>
      </c>
      <c r="AM6833">
        <v>89.414056917917804</v>
      </c>
      <c r="AN6833">
        <v>1.0000000262028801</v>
      </c>
    </row>
    <row r="6834" spans="1:40" x14ac:dyDescent="0.25">
      <c r="A6834" t="str">
        <f>"20190312172247684"</f>
        <v>20190312172247684</v>
      </c>
      <c r="B6834" t="str">
        <f>"1552382567677691"</f>
        <v>1552382567677691</v>
      </c>
      <c r="C6834" t="s">
        <v>40</v>
      </c>
      <c r="D6834">
        <v>3.2679860000000001</v>
      </c>
      <c r="E6834">
        <v>0.49675190000000002</v>
      </c>
      <c r="F6834" t="s">
        <v>42</v>
      </c>
      <c r="G6834">
        <v>-300.51389999999998</v>
      </c>
      <c r="H6834" s="1">
        <v>-1.1451000000000001E-6</v>
      </c>
      <c r="I6834">
        <v>-28.06034</v>
      </c>
      <c r="J6834">
        <v>-301.08210000000003</v>
      </c>
      <c r="K6834">
        <v>1.109648</v>
      </c>
      <c r="L6834">
        <v>-13.000310000000001</v>
      </c>
      <c r="M6834">
        <v>4.1734500000000001E-2</v>
      </c>
      <c r="N6834">
        <v>0</v>
      </c>
      <c r="O6834">
        <v>-0.99903850000000005</v>
      </c>
      <c r="P6834">
        <v>3.1903269999999997E-2</v>
      </c>
      <c r="Q6834">
        <v>0.13643820000000001</v>
      </c>
      <c r="R6834">
        <v>-0.99013510000000005</v>
      </c>
      <c r="S6834">
        <v>0.1150818</v>
      </c>
      <c r="T6834">
        <v>-0.222467</v>
      </c>
      <c r="U6834">
        <v>-3.0563349999999998</v>
      </c>
      <c r="V6834">
        <v>9.8335320000000007E-3</v>
      </c>
      <c r="W6834">
        <v>0.14971809999999999</v>
      </c>
      <c r="X6834">
        <v>0.9886798</v>
      </c>
      <c r="Y6834">
        <v>4.2136730000000002E-3</v>
      </c>
      <c r="Z6834">
        <v>7.2476170000000006E-2</v>
      </c>
      <c r="AA6834">
        <v>0.99736119999999995</v>
      </c>
      <c r="AB6834">
        <v>19</v>
      </c>
      <c r="AC6834">
        <v>0.568200000000047</v>
      </c>
      <c r="AD6834">
        <v>-1.1096491450999999</v>
      </c>
      <c r="AE6834">
        <v>-15.060029999999999</v>
      </c>
      <c r="AF6834">
        <v>6.0546395617236001E-2</v>
      </c>
      <c r="AG6834">
        <v>-1.1096491450999999</v>
      </c>
      <c r="AH6834">
        <v>14.989360518673999</v>
      </c>
      <c r="AI6834">
        <v>94.2337986648878</v>
      </c>
      <c r="AJ6834">
        <v>89.768566907001698</v>
      </c>
      <c r="AK6834">
        <v>15.030499520974899</v>
      </c>
      <c r="AL6834">
        <v>81.389409403497794</v>
      </c>
      <c r="AM6834">
        <v>89.430147856195006</v>
      </c>
      <c r="AN6834">
        <v>0.99999997737362201</v>
      </c>
    </row>
    <row r="6835" spans="1:40" x14ac:dyDescent="0.25">
      <c r="A6835" t="str">
        <f>"20190312172247706"</f>
        <v>20190312172247706</v>
      </c>
      <c r="B6835" t="str">
        <f>"1552382567697212"</f>
        <v>1552382567697212</v>
      </c>
      <c r="C6835" t="s">
        <v>40</v>
      </c>
      <c r="D6835">
        <v>3.309294</v>
      </c>
      <c r="E6835">
        <v>0.49197930000000001</v>
      </c>
      <c r="F6835" t="s">
        <v>42</v>
      </c>
      <c r="G6835">
        <v>-300.52600000000001</v>
      </c>
      <c r="H6835" s="1">
        <v>-9.8385759999999995E-7</v>
      </c>
      <c r="I6835">
        <v>-28.4437</v>
      </c>
      <c r="J6835">
        <v>-301.07670000000002</v>
      </c>
      <c r="K6835">
        <v>1.109675</v>
      </c>
      <c r="L6835">
        <v>-13.186979999999901</v>
      </c>
      <c r="M6835">
        <v>3.980057E-2</v>
      </c>
      <c r="N6835">
        <v>0</v>
      </c>
      <c r="O6835">
        <v>-0.99911729999999999</v>
      </c>
      <c r="P6835">
        <v>3.0267760000000001E-2</v>
      </c>
      <c r="Q6835">
        <v>0.13866010000000001</v>
      </c>
      <c r="R6835">
        <v>-0.98987740000000002</v>
      </c>
      <c r="S6835">
        <v>0.11007690000000001</v>
      </c>
      <c r="T6835">
        <v>-0.2196256</v>
      </c>
      <c r="U6835">
        <v>-3.05661</v>
      </c>
      <c r="V6835">
        <v>9.5399009999999999E-3</v>
      </c>
      <c r="W6835">
        <v>0.1519355</v>
      </c>
      <c r="X6835">
        <v>0.98834440000000001</v>
      </c>
      <c r="Y6835">
        <v>3.9098240000000001E-3</v>
      </c>
      <c r="Z6835">
        <v>7.1559529999999996E-2</v>
      </c>
      <c r="AA6835">
        <v>0.99742869999999995</v>
      </c>
      <c r="AB6835">
        <v>19</v>
      </c>
      <c r="AC6835">
        <v>0.55070000000000596</v>
      </c>
      <c r="AD6835">
        <v>-1.1096759838576</v>
      </c>
      <c r="AE6835">
        <v>-15.25672</v>
      </c>
      <c r="AF6835">
        <v>5.6717745913831601E-2</v>
      </c>
      <c r="AG6835">
        <v>-1.1096759838576</v>
      </c>
      <c r="AH6835">
        <v>15.186315478507099</v>
      </c>
      <c r="AI6835">
        <v>94.179190976426895</v>
      </c>
      <c r="AJ6835">
        <v>89.786013114275903</v>
      </c>
      <c r="AK6835">
        <v>15.226909584830301</v>
      </c>
      <c r="AL6835">
        <v>81.260891950431002</v>
      </c>
      <c r="AM6835">
        <v>89.446975072693206</v>
      </c>
      <c r="AN6835">
        <v>1.00000002944134</v>
      </c>
    </row>
    <row r="6836" spans="1:40" x14ac:dyDescent="0.25">
      <c r="A6836" t="str">
        <f>"20190312172247729"</f>
        <v>20190312172247729</v>
      </c>
      <c r="B6836" t="str">
        <f>"1552382567717707"</f>
        <v>1552382567717707</v>
      </c>
      <c r="C6836" t="s">
        <v>40</v>
      </c>
      <c r="D6836">
        <v>3.2805399999999998</v>
      </c>
      <c r="E6836">
        <v>0.49240859999999897</v>
      </c>
      <c r="F6836" t="s">
        <v>42</v>
      </c>
      <c r="G6836">
        <v>-300.20370000000003</v>
      </c>
      <c r="H6836" s="1">
        <v>-3.7966600000000002E-6</v>
      </c>
      <c r="I6836">
        <v>-31.687100000000001</v>
      </c>
      <c r="J6836">
        <v>-301.07150000000001</v>
      </c>
      <c r="K6836">
        <v>1.1097030000000001</v>
      </c>
      <c r="L6836">
        <v>-13.375209999999999</v>
      </c>
      <c r="M6836">
        <v>3.7860409999999997E-2</v>
      </c>
      <c r="N6836">
        <v>0</v>
      </c>
      <c r="O6836">
        <v>-0.99919270000000004</v>
      </c>
      <c r="P6836">
        <v>2.850726E-2</v>
      </c>
      <c r="Q6836">
        <v>0.1410024</v>
      </c>
      <c r="R6836">
        <v>-0.98959870000000005</v>
      </c>
      <c r="S6836">
        <v>0.14401249999999999</v>
      </c>
      <c r="T6836">
        <v>-0.18306040000000001</v>
      </c>
      <c r="U6836">
        <v>-3.0519099999999999</v>
      </c>
      <c r="V6836">
        <v>9.3648110000000007E-3</v>
      </c>
      <c r="W6836">
        <v>0.15427270000000001</v>
      </c>
      <c r="X6836">
        <v>0.98798390000000003</v>
      </c>
      <c r="Y6836">
        <v>-9.1953060000000003E-3</v>
      </c>
      <c r="Z6836">
        <v>5.9775920000000003E-2</v>
      </c>
      <c r="AA6836">
        <v>0.99816950000000004</v>
      </c>
      <c r="AB6836">
        <v>19</v>
      </c>
      <c r="AC6836">
        <v>0.86779999999998803</v>
      </c>
      <c r="AD6836">
        <v>-1.10970679666</v>
      </c>
      <c r="AE6836">
        <v>-18.311889999999998</v>
      </c>
      <c r="AF6836">
        <v>-0.17318487373132699</v>
      </c>
      <c r="AG6836">
        <v>-1.10970679666</v>
      </c>
      <c r="AH6836">
        <v>18.264691942538999</v>
      </c>
      <c r="AI6836">
        <v>93.4766864062249</v>
      </c>
      <c r="AJ6836">
        <v>90.543259366822895</v>
      </c>
      <c r="AK6836">
        <v>18.299191619601402</v>
      </c>
      <c r="AL6836">
        <v>81.125382101866705</v>
      </c>
      <c r="AM6836">
        <v>89.456926294305205</v>
      </c>
      <c r="AN6836">
        <v>0.99999997615478198</v>
      </c>
    </row>
    <row r="6837" spans="1:40" x14ac:dyDescent="0.25">
      <c r="A6837" t="str">
        <f>"20190312172247751"</f>
        <v>20190312172247751</v>
      </c>
      <c r="B6837" t="str">
        <f>"1552382567746988"</f>
        <v>1552382567746988</v>
      </c>
      <c r="C6837" t="s">
        <v>40</v>
      </c>
      <c r="D6837">
        <v>3.2797700000000001</v>
      </c>
      <c r="E6837">
        <v>0.492147</v>
      </c>
      <c r="F6837" t="s">
        <v>42</v>
      </c>
      <c r="G6837">
        <v>-300.23869999999999</v>
      </c>
      <c r="H6837" s="1">
        <v>-3.6556729999999999E-6</v>
      </c>
      <c r="I6837">
        <v>-32.03745</v>
      </c>
      <c r="J6837">
        <v>-301.06670000000003</v>
      </c>
      <c r="K6837">
        <v>1.109726</v>
      </c>
      <c r="L6837">
        <v>-13.56232</v>
      </c>
      <c r="M6837">
        <v>3.5947840000000002E-2</v>
      </c>
      <c r="N6837">
        <v>0</v>
      </c>
      <c r="O6837">
        <v>-0.99926360000000003</v>
      </c>
      <c r="P6837">
        <v>2.692085E-2</v>
      </c>
      <c r="Q6837">
        <v>0.14270679999999999</v>
      </c>
      <c r="R6837">
        <v>-0.98939929999999998</v>
      </c>
      <c r="S6837">
        <v>0.13626099999999999</v>
      </c>
      <c r="T6837">
        <v>-0.18156729999999999</v>
      </c>
      <c r="U6837">
        <v>-3.0534669999999999</v>
      </c>
      <c r="V6837">
        <v>9.0461029999999998E-3</v>
      </c>
      <c r="W6837">
        <v>0.15597329999999901</v>
      </c>
      <c r="X6837">
        <v>0.98771980000000004</v>
      </c>
      <c r="Y6837">
        <v>-8.5580659999999996E-3</v>
      </c>
      <c r="Z6837">
        <v>5.9269889999999999E-2</v>
      </c>
      <c r="AA6837">
        <v>0.99820529999999996</v>
      </c>
      <c r="AB6837">
        <v>19</v>
      </c>
      <c r="AC6837">
        <v>0.82800000000003104</v>
      </c>
      <c r="AD6837">
        <v>-1.1097296556730001</v>
      </c>
      <c r="AE6837">
        <v>-18.47513</v>
      </c>
      <c r="AF6837">
        <v>-0.162678182167727</v>
      </c>
      <c r="AG6837">
        <v>-1.1097296556730001</v>
      </c>
      <c r="AH6837">
        <v>18.426605431948001</v>
      </c>
      <c r="AI6837">
        <v>93.446302306472802</v>
      </c>
      <c r="AJ6837">
        <v>90.505819215857201</v>
      </c>
      <c r="AK6837">
        <v>18.460708324555998</v>
      </c>
      <c r="AL6837">
        <v>81.026750758964596</v>
      </c>
      <c r="AM6837">
        <v>89.475267143576801</v>
      </c>
      <c r="AN6837">
        <v>0.99999995280220699</v>
      </c>
    </row>
    <row r="6838" spans="1:40" x14ac:dyDescent="0.25">
      <c r="A6838" t="str">
        <f>"20190312172247774"</f>
        <v>20190312172247774</v>
      </c>
      <c r="B6838" t="str">
        <f>"1552382567767484"</f>
        <v>1552382567767484</v>
      </c>
      <c r="C6838" t="s">
        <v>40</v>
      </c>
      <c r="D6838">
        <v>3.2838440000000002</v>
      </c>
      <c r="E6838">
        <v>0.49202839999999998</v>
      </c>
      <c r="F6838" t="s">
        <v>42</v>
      </c>
      <c r="G6838">
        <v>-300.24209999999999</v>
      </c>
      <c r="H6838" s="1">
        <v>-3.534531E-6</v>
      </c>
      <c r="I6838">
        <v>-32.321930000000002</v>
      </c>
      <c r="J6838">
        <v>-301.06220000000002</v>
      </c>
      <c r="K6838">
        <v>1.1097429999999999</v>
      </c>
      <c r="L6838">
        <v>-13.754239999999999</v>
      </c>
      <c r="M6838">
        <v>3.4001869999999997E-2</v>
      </c>
      <c r="N6838">
        <v>0</v>
      </c>
      <c r="O6838">
        <v>-0.99933159999999999</v>
      </c>
      <c r="P6838">
        <v>2.5855380000000001E-2</v>
      </c>
      <c r="Q6838">
        <v>0.1425949</v>
      </c>
      <c r="R6838">
        <v>-0.98944370000000004</v>
      </c>
      <c r="S6838">
        <v>0.13427729999999999</v>
      </c>
      <c r="T6838">
        <v>-0.18069370000000001</v>
      </c>
      <c r="U6838">
        <v>-3.0545650000000002</v>
      </c>
      <c r="V6838">
        <v>8.1794499999999996E-3</v>
      </c>
      <c r="W6838">
        <v>0.15586159999999999</v>
      </c>
      <c r="X6838">
        <v>0.98774499999999998</v>
      </c>
      <c r="Y6838">
        <v>-9.8431479999999995E-3</v>
      </c>
      <c r="Z6838">
        <v>5.8971099999999999E-2</v>
      </c>
      <c r="AA6838">
        <v>0.99821110000000002</v>
      </c>
      <c r="AB6838">
        <v>19</v>
      </c>
      <c r="AC6838">
        <v>0.82010000000002403</v>
      </c>
      <c r="AD6838">
        <v>-1.109746534531</v>
      </c>
      <c r="AE6838">
        <v>-18.567689999999999</v>
      </c>
      <c r="AF6838">
        <v>-0.187563921298537</v>
      </c>
      <c r="AG6838">
        <v>-1.109746534531</v>
      </c>
      <c r="AH6838">
        <v>18.5188155863246</v>
      </c>
      <c r="AI6838">
        <v>93.429193182231998</v>
      </c>
      <c r="AJ6838">
        <v>90.580288387290096</v>
      </c>
      <c r="AK6838">
        <v>18.5529848896552</v>
      </c>
      <c r="AL6838">
        <v>81.0332300333571</v>
      </c>
      <c r="AM6838">
        <v>89.5255483430971</v>
      </c>
      <c r="AN6838">
        <v>0.99999996339093</v>
      </c>
    </row>
    <row r="6839" spans="1:40" x14ac:dyDescent="0.25">
      <c r="A6839" t="str">
        <f>"20190312172247796"</f>
        <v>20190312172247796</v>
      </c>
      <c r="B6839" t="str">
        <f>"1552382567787004"</f>
        <v>1552382567787004</v>
      </c>
      <c r="C6839" t="s">
        <v>40</v>
      </c>
      <c r="D6839">
        <v>3.2873079999999999</v>
      </c>
      <c r="E6839">
        <v>0.4920427</v>
      </c>
      <c r="F6839" t="s">
        <v>42</v>
      </c>
      <c r="G6839">
        <v>-300.26740000000001</v>
      </c>
      <c r="H6839" s="1">
        <v>-3.6201310000000001E-6</v>
      </c>
      <c r="I6839">
        <v>-32.138129999999997</v>
      </c>
      <c r="J6839">
        <v>-301.05810000000002</v>
      </c>
      <c r="K6839">
        <v>1.109742</v>
      </c>
      <c r="L6839">
        <v>-13.94211</v>
      </c>
      <c r="M6839">
        <v>3.2109070000000003E-2</v>
      </c>
      <c r="N6839">
        <v>0</v>
      </c>
      <c r="O6839">
        <v>-0.99939420000000001</v>
      </c>
      <c r="P6839">
        <v>2.4791190000000001E-2</v>
      </c>
      <c r="Q6839">
        <v>0.14243329999999901</v>
      </c>
      <c r="R6839">
        <v>-0.98949410000000004</v>
      </c>
      <c r="S6839">
        <v>0.13208010000000001</v>
      </c>
      <c r="T6839">
        <v>-0.18442449999999999</v>
      </c>
      <c r="U6839">
        <v>-3.055145</v>
      </c>
      <c r="V6839">
        <v>7.3654419999999998E-3</v>
      </c>
      <c r="W6839">
        <v>0.15570100000000001</v>
      </c>
      <c r="X6839">
        <v>0.98777680000000001</v>
      </c>
      <c r="Y6839">
        <v>-1.1009069999999999E-2</v>
      </c>
      <c r="Z6839">
        <v>6.0179150000000001E-2</v>
      </c>
      <c r="AA6839">
        <v>0.99812690000000004</v>
      </c>
      <c r="AB6839">
        <v>19</v>
      </c>
      <c r="AC6839">
        <v>0.79070000000001495</v>
      </c>
      <c r="AD6839">
        <v>-1.1097456201310001</v>
      </c>
      <c r="AE6839">
        <v>-18.196020000000001</v>
      </c>
      <c r="AF6839">
        <v>-0.20522038282806701</v>
      </c>
      <c r="AG6839">
        <v>-1.1097456201310001</v>
      </c>
      <c r="AH6839">
        <v>18.1446634894372</v>
      </c>
      <c r="AI6839">
        <v>93.499683787912105</v>
      </c>
      <c r="AJ6839">
        <v>90.648001021001093</v>
      </c>
      <c r="AK6839">
        <v>18.179726727644798</v>
      </c>
      <c r="AL6839">
        <v>81.042546054085506</v>
      </c>
      <c r="AM6839">
        <v>89.572777048633696</v>
      </c>
      <c r="AN6839">
        <v>1.0000000288775399</v>
      </c>
    </row>
    <row r="6840" spans="1:40" x14ac:dyDescent="0.25">
      <c r="A6840" t="str">
        <f>"20190312172247818"</f>
        <v>20190312172247818</v>
      </c>
      <c r="B6840" t="str">
        <f>"1552382567807500"</f>
        <v>1552382567807500</v>
      </c>
      <c r="C6840" t="s">
        <v>40</v>
      </c>
      <c r="D6840">
        <v>3.330174</v>
      </c>
      <c r="E6840">
        <v>0.4918746</v>
      </c>
      <c r="F6840" t="s">
        <v>42</v>
      </c>
      <c r="G6840">
        <v>-300.29570000000001</v>
      </c>
      <c r="H6840" s="1">
        <v>-3.6365249999999999E-6</v>
      </c>
      <c r="I6840">
        <v>-32.117420000000003</v>
      </c>
      <c r="J6840">
        <v>-301.05459999999999</v>
      </c>
      <c r="K6840">
        <v>1.10975</v>
      </c>
      <c r="L6840">
        <v>-14.11679</v>
      </c>
      <c r="M6840">
        <v>3.0354389999999998E-2</v>
      </c>
      <c r="N6840">
        <v>0</v>
      </c>
      <c r="O6840">
        <v>-0.99944900000000003</v>
      </c>
      <c r="P6840">
        <v>2.3932740000000001E-2</v>
      </c>
      <c r="Q6840">
        <v>0.1426703</v>
      </c>
      <c r="R6840">
        <v>-0.98948100000000005</v>
      </c>
      <c r="S6840">
        <v>0.1281738</v>
      </c>
      <c r="T6840">
        <v>-0.18656300000000001</v>
      </c>
      <c r="U6840">
        <v>-3.0555110000000001</v>
      </c>
      <c r="V6840">
        <v>6.4825129999999996E-3</v>
      </c>
      <c r="W6840">
        <v>0.15593789999999999</v>
      </c>
      <c r="X6840">
        <v>0.9877456</v>
      </c>
      <c r="Y6840">
        <v>-1.1484019999999999E-2</v>
      </c>
      <c r="Z6840">
        <v>6.087364E-2</v>
      </c>
      <c r="AA6840">
        <v>0.99807939999999995</v>
      </c>
      <c r="AB6840">
        <v>19</v>
      </c>
      <c r="AC6840">
        <v>0.75889999999998203</v>
      </c>
      <c r="AD6840">
        <v>-1.109753636525</v>
      </c>
      <c r="AE6840">
        <v>-18.000629999999902</v>
      </c>
      <c r="AF6840">
        <v>-0.211301132125439</v>
      </c>
      <c r="AG6840">
        <v>-1.109753636525</v>
      </c>
      <c r="AH6840">
        <v>17.947278412797001</v>
      </c>
      <c r="AI6840">
        <v>93.538082873848595</v>
      </c>
      <c r="AJ6840">
        <v>90.674537022366195</v>
      </c>
      <c r="AK6840">
        <v>17.982797438904399</v>
      </c>
      <c r="AL6840">
        <v>81.028804681062795</v>
      </c>
      <c r="AM6840">
        <v>89.623976757732294</v>
      </c>
      <c r="AN6840">
        <v>1.00000001097528</v>
      </c>
    </row>
    <row r="6841" spans="1:40" x14ac:dyDescent="0.25">
      <c r="A6841" t="str">
        <f>"20190312172247841"</f>
        <v>20190312172247841</v>
      </c>
      <c r="B6841" t="str">
        <f>"1552382567837756"</f>
        <v>1552382567837756</v>
      </c>
      <c r="C6841" t="s">
        <v>40</v>
      </c>
      <c r="D6841">
        <v>3.2507380000000001</v>
      </c>
      <c r="E6841">
        <v>0.49153760000000002</v>
      </c>
      <c r="F6841" t="s">
        <v>42</v>
      </c>
      <c r="G6841">
        <v>-300.29090000000002</v>
      </c>
      <c r="H6841" s="1">
        <v>-3.5394809999999998E-6</v>
      </c>
      <c r="I6841">
        <v>-32.340679999999999</v>
      </c>
      <c r="J6841">
        <v>-301.05110000000002</v>
      </c>
      <c r="K6841">
        <v>1.1097589999999999</v>
      </c>
      <c r="L6841">
        <v>-14.30392</v>
      </c>
      <c r="M6841">
        <v>2.8476850000000001E-2</v>
      </c>
      <c r="N6841">
        <v>0</v>
      </c>
      <c r="O6841">
        <v>-0.99950410000000001</v>
      </c>
      <c r="P6841">
        <v>2.3108940000000001E-2</v>
      </c>
      <c r="Q6841">
        <v>0.14264109999999999</v>
      </c>
      <c r="R6841">
        <v>-0.98950450000000001</v>
      </c>
      <c r="S6841">
        <v>0.12805179999999999</v>
      </c>
      <c r="T6841">
        <v>-0.1860744</v>
      </c>
      <c r="U6841">
        <v>-3.055634</v>
      </c>
      <c r="V6841">
        <v>5.4444050000000003E-3</v>
      </c>
      <c r="W6841">
        <v>0.15590970000000001</v>
      </c>
      <c r="X6841">
        <v>0.98775630000000003</v>
      </c>
      <c r="Y6841">
        <v>-1.3321319999999999E-2</v>
      </c>
      <c r="Z6841">
        <v>6.0716770000000003E-2</v>
      </c>
      <c r="AA6841">
        <v>0.99806609999999996</v>
      </c>
      <c r="AB6841">
        <v>19</v>
      </c>
      <c r="AC6841">
        <v>0.76019999999999699</v>
      </c>
      <c r="AD6841">
        <v>-1.109762539481</v>
      </c>
      <c r="AE6841">
        <v>-18.036760000000001</v>
      </c>
      <c r="AF6841">
        <v>-0.24528821059296099</v>
      </c>
      <c r="AG6841">
        <v>-1.109762539481</v>
      </c>
      <c r="AH6841">
        <v>17.983136417697001</v>
      </c>
      <c r="AI6841">
        <v>93.530990614099906</v>
      </c>
      <c r="AJ6841">
        <v>90.781460332372802</v>
      </c>
      <c r="AK6841">
        <v>18.0190159170192</v>
      </c>
      <c r="AL6841">
        <v>81.0304402584201</v>
      </c>
      <c r="AM6841">
        <v>89.684195110177697</v>
      </c>
      <c r="AN6841">
        <v>0.99999999214479196</v>
      </c>
    </row>
    <row r="6842" spans="1:40" x14ac:dyDescent="0.25">
      <c r="A6842" t="str">
        <f>"20190312172247863"</f>
        <v>20190312172247863</v>
      </c>
      <c r="B6842" t="str">
        <f>"1552382567857275"</f>
        <v>1552382567857275</v>
      </c>
      <c r="C6842" t="s">
        <v>40</v>
      </c>
      <c r="D6842">
        <v>3.267258</v>
      </c>
      <c r="E6842">
        <v>0.49134699999999998</v>
      </c>
      <c r="F6842" t="s">
        <v>42</v>
      </c>
      <c r="G6842">
        <v>-300.29820000000001</v>
      </c>
      <c r="H6842" s="1">
        <v>-3.5721890000000002E-6</v>
      </c>
      <c r="I6842">
        <v>-32.268979999999999</v>
      </c>
      <c r="J6842">
        <v>-301.04809999999998</v>
      </c>
      <c r="K6842">
        <v>1.109766</v>
      </c>
      <c r="L6842">
        <v>-14.49136</v>
      </c>
      <c r="M6842">
        <v>2.6594019999999999E-2</v>
      </c>
      <c r="N6842">
        <v>0</v>
      </c>
      <c r="O6842">
        <v>-0.99955629999999995</v>
      </c>
      <c r="P6842">
        <v>2.2494699999999999E-2</v>
      </c>
      <c r="Q6842">
        <v>0.14253650000000001</v>
      </c>
      <c r="R6842">
        <v>-0.98953429999999998</v>
      </c>
      <c r="S6842">
        <v>0.12808230000000001</v>
      </c>
      <c r="T6842">
        <v>-0.18878149999999999</v>
      </c>
      <c r="U6842">
        <v>-3.0560299999999998</v>
      </c>
      <c r="V6842">
        <v>4.192131E-3</v>
      </c>
      <c r="W6842">
        <v>0.1558061</v>
      </c>
      <c r="X6842">
        <v>0.98777879999999996</v>
      </c>
      <c r="Y6842">
        <v>-1.5207139999999999E-2</v>
      </c>
      <c r="Z6842">
        <v>6.1592760000000003E-2</v>
      </c>
      <c r="AA6842">
        <v>0.99798549999999997</v>
      </c>
      <c r="AB6842">
        <v>18</v>
      </c>
      <c r="AC6842">
        <v>0.74989999999996804</v>
      </c>
      <c r="AD6842">
        <v>-1.109769572189</v>
      </c>
      <c r="AE6842">
        <v>-17.777619999999999</v>
      </c>
      <c r="AF6842">
        <v>-0.27574117148928601</v>
      </c>
      <c r="AG6842">
        <v>-1.109769572189</v>
      </c>
      <c r="AH6842">
        <v>17.7223364999934</v>
      </c>
      <c r="AI6842">
        <v>93.582740453025806</v>
      </c>
      <c r="AJ6842">
        <v>90.891390967791693</v>
      </c>
      <c r="AK6842">
        <v>17.759190091780901</v>
      </c>
      <c r="AL6842">
        <v>81.036449936250307</v>
      </c>
      <c r="AM6842">
        <v>89.756838300831106</v>
      </c>
      <c r="AN6842">
        <v>1.0000000362444801</v>
      </c>
    </row>
    <row r="6843" spans="1:40" x14ac:dyDescent="0.25">
      <c r="A6843" t="str">
        <f>"20190312172247885"</f>
        <v>20190312172247885</v>
      </c>
      <c r="B6843" t="str">
        <f>"1552382567877771"</f>
        <v>1552382567877771</v>
      </c>
      <c r="C6843" t="s">
        <v>40</v>
      </c>
      <c r="D6843">
        <v>3.2624749999999998</v>
      </c>
      <c r="E6843">
        <v>0.49111260000000001</v>
      </c>
      <c r="F6843" t="s">
        <v>42</v>
      </c>
      <c r="G6843">
        <v>-300.30130000000003</v>
      </c>
      <c r="H6843" s="1">
        <v>-3.5514119999999999E-6</v>
      </c>
      <c r="I6843">
        <v>-32.319330000000001</v>
      </c>
      <c r="J6843">
        <v>-301.04539999999997</v>
      </c>
      <c r="K6843">
        <v>1.1097729999999999</v>
      </c>
      <c r="L6843">
        <v>-14.67886</v>
      </c>
      <c r="M6843">
        <v>2.470814E-2</v>
      </c>
      <c r="N6843">
        <v>0</v>
      </c>
      <c r="O6843">
        <v>-0.99960459999999995</v>
      </c>
      <c r="P6843">
        <v>2.1548270000000001E-2</v>
      </c>
      <c r="Q6843">
        <v>0.14279310000000001</v>
      </c>
      <c r="R6843">
        <v>-0.98951800000000001</v>
      </c>
      <c r="S6843">
        <v>0.1280212</v>
      </c>
      <c r="T6843">
        <v>-0.19024559999999999</v>
      </c>
      <c r="U6843">
        <v>-3.0562130000000001</v>
      </c>
      <c r="V6843">
        <v>3.2694009999999999E-3</v>
      </c>
      <c r="W6843">
        <v>0.1560618</v>
      </c>
      <c r="X6843">
        <v>0.98774189999999995</v>
      </c>
      <c r="Y6843">
        <v>-1.7069930000000001E-2</v>
      </c>
      <c r="Z6843">
        <v>6.206851E-2</v>
      </c>
      <c r="AA6843">
        <v>0.99792590000000003</v>
      </c>
      <c r="AB6843">
        <v>18</v>
      </c>
      <c r="AC6843">
        <v>0.74409999999994603</v>
      </c>
      <c r="AD6843">
        <v>-1.1097765514119999</v>
      </c>
      <c r="AE6843">
        <v>-17.640470000000001</v>
      </c>
      <c r="AF6843">
        <v>-0.30675839884110301</v>
      </c>
      <c r="AG6843">
        <v>-1.1097765514119999</v>
      </c>
      <c r="AH6843">
        <v>17.584000644435498</v>
      </c>
      <c r="AI6843">
        <v>93.610762680546401</v>
      </c>
      <c r="AJ6843">
        <v>90.999441438161995</v>
      </c>
      <c r="AK6843">
        <v>17.621656658011201</v>
      </c>
      <c r="AL6843">
        <v>81.021617805920499</v>
      </c>
      <c r="AM6843">
        <v>89.810353094526704</v>
      </c>
      <c r="AN6843">
        <v>1.0000000177088699</v>
      </c>
    </row>
    <row r="6844" spans="1:40" x14ac:dyDescent="0.25">
      <c r="A6844" t="str">
        <f>"20190312172247908"</f>
        <v>20190312172247908</v>
      </c>
      <c r="B6844" t="str">
        <f>"1552382567897292"</f>
        <v>1552382567897292</v>
      </c>
      <c r="C6844" t="s">
        <v>40</v>
      </c>
      <c r="D6844">
        <v>3.2760899999999999</v>
      </c>
      <c r="E6844">
        <v>0.49097600000000002</v>
      </c>
      <c r="F6844" t="s">
        <v>42</v>
      </c>
      <c r="G6844">
        <v>-300.31060000000002</v>
      </c>
      <c r="H6844" s="1">
        <v>-3.5006469999999998E-6</v>
      </c>
      <c r="I6844">
        <v>-32.443420000000003</v>
      </c>
      <c r="J6844">
        <v>-301.04309999999998</v>
      </c>
      <c r="K6844">
        <v>1.1097809999999999</v>
      </c>
      <c r="L6844">
        <v>-14.859279999999901</v>
      </c>
      <c r="M6844">
        <v>2.2890790000000001E-2</v>
      </c>
      <c r="N6844">
        <v>0</v>
      </c>
      <c r="O6844">
        <v>-0.99964770000000003</v>
      </c>
      <c r="P6844">
        <v>2.0813390000000001E-2</v>
      </c>
      <c r="Q6844">
        <v>0.14331529999999901</v>
      </c>
      <c r="R6844">
        <v>-0.98945830000000001</v>
      </c>
      <c r="S6844">
        <v>0.1264343</v>
      </c>
      <c r="T6844">
        <v>-0.1909488</v>
      </c>
      <c r="U6844">
        <v>-3.0565799999999999</v>
      </c>
      <c r="V6844">
        <v>2.2033180000000001E-3</v>
      </c>
      <c r="W6844">
        <v>0.15658420000000001</v>
      </c>
      <c r="X6844">
        <v>0.98766209999999999</v>
      </c>
      <c r="Y6844">
        <v>-1.8364889999999998E-2</v>
      </c>
      <c r="Z6844">
        <v>6.2293599999999998E-2</v>
      </c>
      <c r="AA6844">
        <v>0.99788889999999997</v>
      </c>
      <c r="AB6844">
        <v>18</v>
      </c>
      <c r="AC6844">
        <v>0.73249999999995896</v>
      </c>
      <c r="AD6844">
        <v>-1.109784500647</v>
      </c>
      <c r="AE6844">
        <v>-17.584140000000001</v>
      </c>
      <c r="AF6844">
        <v>-0.32845081625586803</v>
      </c>
      <c r="AG6844">
        <v>-1.109784500647</v>
      </c>
      <c r="AH6844">
        <v>17.526609114636901</v>
      </c>
      <c r="AI6844">
        <v>93.622496092066797</v>
      </c>
      <c r="AJ6844">
        <v>91.073604305280895</v>
      </c>
      <c r="AK6844">
        <v>17.564780916192799</v>
      </c>
      <c r="AL6844">
        <v>80.991313274612693</v>
      </c>
      <c r="AM6844">
        <v>89.872182386155302</v>
      </c>
      <c r="AN6844">
        <v>0.99999994503812795</v>
      </c>
    </row>
    <row r="6845" spans="1:40" x14ac:dyDescent="0.25">
      <c r="A6845" t="str">
        <f>"20190312172247929"</f>
        <v>20190312172247929</v>
      </c>
      <c r="B6845" t="str">
        <f>"1552382567927548"</f>
        <v>1552382567927548</v>
      </c>
      <c r="C6845" t="s">
        <v>40</v>
      </c>
      <c r="D6845">
        <v>3.2515679999999998</v>
      </c>
      <c r="E6845">
        <v>0.49073509999999998</v>
      </c>
      <c r="F6845" t="s">
        <v>42</v>
      </c>
      <c r="G6845">
        <v>-300.3075</v>
      </c>
      <c r="H6845" s="1">
        <v>-3.3798050000000002E-6</v>
      </c>
      <c r="I6845">
        <v>-32.72316</v>
      </c>
      <c r="J6845">
        <v>-301.04109999999997</v>
      </c>
      <c r="K6845">
        <v>1.10978</v>
      </c>
      <c r="L6845">
        <v>-15.04205</v>
      </c>
      <c r="M6845">
        <v>2.1046430000000001E-2</v>
      </c>
      <c r="N6845">
        <v>0</v>
      </c>
      <c r="O6845">
        <v>-0.99968849999999998</v>
      </c>
      <c r="P6845">
        <v>1.9651430000000001E-2</v>
      </c>
      <c r="Q6845">
        <v>0.1442947</v>
      </c>
      <c r="R6845">
        <v>-0.98933979999999999</v>
      </c>
      <c r="S6845">
        <v>0.125885</v>
      </c>
      <c r="T6845">
        <v>-0.18990360000000001</v>
      </c>
      <c r="U6845">
        <v>-3.0568240000000002</v>
      </c>
      <c r="V6845">
        <v>1.5379969999999999E-3</v>
      </c>
      <c r="W6845">
        <v>0.1575608</v>
      </c>
      <c r="X6845">
        <v>0.9875081</v>
      </c>
      <c r="Y6845">
        <v>-2.00281E-2</v>
      </c>
      <c r="Z6845">
        <v>6.1952019999999997E-2</v>
      </c>
      <c r="AA6845">
        <v>0.99787809999999999</v>
      </c>
      <c r="AB6845">
        <v>18</v>
      </c>
      <c r="AC6845">
        <v>0.73359999999996695</v>
      </c>
      <c r="AD6845">
        <v>-1.1097833798050001</v>
      </c>
      <c r="AE6845">
        <v>-17.68111</v>
      </c>
      <c r="AF6845">
        <v>-0.35986444469658202</v>
      </c>
      <c r="AG6845">
        <v>-1.1097833798050001</v>
      </c>
      <c r="AH6845">
        <v>17.623323598766699</v>
      </c>
      <c r="AI6845">
        <v>93.602547058189401</v>
      </c>
      <c r="AJ6845">
        <v>91.1698048158174</v>
      </c>
      <c r="AK6845">
        <v>17.661898432373999</v>
      </c>
      <c r="AL6845">
        <v>80.934655502644603</v>
      </c>
      <c r="AM6845">
        <v>89.910764614737204</v>
      </c>
      <c r="AN6845">
        <v>1.00000000934851</v>
      </c>
    </row>
    <row r="6846" spans="1:40" x14ac:dyDescent="0.25">
      <c r="A6846" t="str">
        <f>"20190312172247952"</f>
        <v>20190312172247952</v>
      </c>
      <c r="B6846" t="str">
        <f>"1552382567947068"</f>
        <v>1552382567947068</v>
      </c>
      <c r="C6846" t="s">
        <v>40</v>
      </c>
      <c r="D6846">
        <v>3.2696649999999998</v>
      </c>
      <c r="E6846">
        <v>0.4869426</v>
      </c>
      <c r="F6846" t="s">
        <v>42</v>
      </c>
      <c r="G6846">
        <v>-300.30169999999998</v>
      </c>
      <c r="H6846" s="1">
        <v>-3.2035540000000001E-6</v>
      </c>
      <c r="I6846">
        <v>-33.130459999999999</v>
      </c>
      <c r="J6846">
        <v>-301.03949999999998</v>
      </c>
      <c r="K6846">
        <v>1.1097939999999999</v>
      </c>
      <c r="L6846">
        <v>-15.227329999999901</v>
      </c>
      <c r="M6846">
        <v>1.917468E-2</v>
      </c>
      <c r="N6846">
        <v>0</v>
      </c>
      <c r="O6846">
        <v>-0.99972609999999995</v>
      </c>
      <c r="P6846">
        <v>1.8890569999999999E-2</v>
      </c>
      <c r="Q6846">
        <v>0.1448731</v>
      </c>
      <c r="R6846">
        <v>-0.98927019999999999</v>
      </c>
      <c r="S6846">
        <v>0.1249695</v>
      </c>
      <c r="T6846">
        <v>-0.1875687</v>
      </c>
      <c r="U6846">
        <v>-3.0571899999999999</v>
      </c>
      <c r="V6846">
        <v>4.4538889999999999E-4</v>
      </c>
      <c r="W6846">
        <v>0.15813849999999999</v>
      </c>
      <c r="X6846">
        <v>0.98741679999999998</v>
      </c>
      <c r="Y6846">
        <v>-2.159867E-2</v>
      </c>
      <c r="Z6846">
        <v>6.1188689999999997E-2</v>
      </c>
      <c r="AA6846">
        <v>0.99789249999999996</v>
      </c>
      <c r="AB6846">
        <v>18</v>
      </c>
      <c r="AC6846">
        <v>0.73779999999999202</v>
      </c>
      <c r="AD6846">
        <v>-1.109797203554</v>
      </c>
      <c r="AE6846">
        <v>-17.903129999999901</v>
      </c>
      <c r="AF6846">
        <v>-0.392839651081209</v>
      </c>
      <c r="AG6846">
        <v>-1.109797203554</v>
      </c>
      <c r="AH6846">
        <v>17.845528630511801</v>
      </c>
      <c r="AI6846">
        <v>93.557729875716902</v>
      </c>
      <c r="AJ6846">
        <v>91.261067679822105</v>
      </c>
      <c r="AK6846">
        <v>17.8843189673774</v>
      </c>
      <c r="AL6846">
        <v>80.901135044944098</v>
      </c>
      <c r="AM6846">
        <v>89.974155895989099</v>
      </c>
      <c r="AN6846">
        <v>0.99999996023787996</v>
      </c>
    </row>
    <row r="6847" spans="1:40" x14ac:dyDescent="0.25">
      <c r="A6847" t="str">
        <f>"20190312172247975"</f>
        <v>20190312172247975</v>
      </c>
      <c r="B6847" t="str">
        <f>"1552382567967565"</f>
        <v>1552382567967565</v>
      </c>
      <c r="C6847" t="s">
        <v>40</v>
      </c>
      <c r="D6847">
        <v>3.2741470000000001</v>
      </c>
      <c r="E6847">
        <v>0.48784270000000002</v>
      </c>
      <c r="F6847" t="s">
        <v>42</v>
      </c>
      <c r="G6847">
        <v>-300.10669999999999</v>
      </c>
      <c r="H6847" s="1">
        <v>-2.8580220000000002E-6</v>
      </c>
      <c r="I6847">
        <v>-33.814909999999998</v>
      </c>
      <c r="J6847">
        <v>-301.03820000000002</v>
      </c>
      <c r="K6847">
        <v>1.1097969999999999</v>
      </c>
      <c r="L6847">
        <v>-15.412140000000001</v>
      </c>
      <c r="M6847">
        <v>1.730518E-2</v>
      </c>
      <c r="N6847">
        <v>0</v>
      </c>
      <c r="O6847">
        <v>-0.99976019999999999</v>
      </c>
      <c r="P6847">
        <v>1.7941120000000001E-2</v>
      </c>
      <c r="Q6847">
        <v>0.14628239999999901</v>
      </c>
      <c r="R6847">
        <v>-0.98907990000000001</v>
      </c>
      <c r="S6847">
        <v>0.1533813</v>
      </c>
      <c r="T6847">
        <v>-0.1824827</v>
      </c>
      <c r="U6847">
        <v>-3.0563349999999998</v>
      </c>
      <c r="V6847">
        <v>-4.564347E-4</v>
      </c>
      <c r="W6847">
        <v>0.15954479999999999</v>
      </c>
      <c r="X6847">
        <v>0.98719060000000003</v>
      </c>
      <c r="Y6847">
        <v>-3.2740249999999999E-2</v>
      </c>
      <c r="Z6847">
        <v>5.9533580000000003E-2</v>
      </c>
      <c r="AA6847">
        <v>0.99768920000000005</v>
      </c>
      <c r="AB6847">
        <v>18</v>
      </c>
      <c r="AC6847">
        <v>0.93150000000002797</v>
      </c>
      <c r="AD6847">
        <v>-1.1097998580220001</v>
      </c>
      <c r="AE6847">
        <v>-18.40277</v>
      </c>
      <c r="AF6847">
        <v>-0.61065339532903695</v>
      </c>
      <c r="AG6847">
        <v>-1.1097998580220001</v>
      </c>
      <c r="AH6847">
        <v>18.349571275395999</v>
      </c>
      <c r="AI6847">
        <v>93.459177924559597</v>
      </c>
      <c r="AJ6847">
        <v>91.906036613901506</v>
      </c>
      <c r="AK6847">
        <v>18.3932411305058</v>
      </c>
      <c r="AL6847">
        <v>80.819524367304197</v>
      </c>
      <c r="AM6847">
        <v>90.026491115362901</v>
      </c>
      <c r="AN6847">
        <v>1.0000000161340099</v>
      </c>
    </row>
    <row r="6848" spans="1:40" x14ac:dyDescent="0.25">
      <c r="A6848" t="str">
        <f>"20190312172248000"</f>
        <v>20190312172248000</v>
      </c>
      <c r="B6848" t="str">
        <f>"1552382567997819"</f>
        <v>1552382567997819</v>
      </c>
      <c r="C6848" t="s">
        <v>40</v>
      </c>
      <c r="D6848">
        <v>3.2730380000000001</v>
      </c>
      <c r="E6848">
        <v>0.48814350000000001</v>
      </c>
      <c r="F6848" t="s">
        <v>42</v>
      </c>
      <c r="G6848">
        <v>-300.19589999999999</v>
      </c>
      <c r="H6848" s="1">
        <v>-3.0581899999999999E-6</v>
      </c>
      <c r="I6848">
        <v>-33.403640000000003</v>
      </c>
      <c r="J6848">
        <v>-301.03710000000001</v>
      </c>
      <c r="K6848">
        <v>1.109802</v>
      </c>
      <c r="L6848">
        <v>-15.61908</v>
      </c>
      <c r="M6848">
        <v>1.520965E-2</v>
      </c>
      <c r="N6848">
        <v>0</v>
      </c>
      <c r="O6848">
        <v>-0.99979450000000003</v>
      </c>
      <c r="P6848">
        <v>1.7641259999999999E-2</v>
      </c>
      <c r="Q6848">
        <v>0.14771500000000001</v>
      </c>
      <c r="R6848">
        <v>-0.98887290000000005</v>
      </c>
      <c r="S6848">
        <v>0.1431885</v>
      </c>
      <c r="T6848">
        <v>-0.1886572</v>
      </c>
      <c r="U6848">
        <v>-3.058411</v>
      </c>
      <c r="V6848">
        <v>-2.2305570000000002E-3</v>
      </c>
      <c r="W6848">
        <v>0.1609766</v>
      </c>
      <c r="X6848">
        <v>0.98695569999999999</v>
      </c>
      <c r="Y6848">
        <v>-3.1478359999999997E-2</v>
      </c>
      <c r="Z6848">
        <v>6.1508210000000001E-2</v>
      </c>
      <c r="AA6848">
        <v>0.99761010000000006</v>
      </c>
      <c r="AB6848">
        <v>18</v>
      </c>
      <c r="AC6848">
        <v>0.84120000000001405</v>
      </c>
      <c r="AD6848">
        <v>-1.1098050581900001</v>
      </c>
      <c r="AE6848">
        <v>-17.784559999999999</v>
      </c>
      <c r="AF6848">
        <v>-0.56837308658887697</v>
      </c>
      <c r="AG6848">
        <v>-1.1098050581900001</v>
      </c>
      <c r="AH6848">
        <v>17.7264235509403</v>
      </c>
      <c r="AI6848">
        <v>93.580627897962401</v>
      </c>
      <c r="AJ6848">
        <v>91.836480210036896</v>
      </c>
      <c r="AK6848">
        <v>17.7702224842593</v>
      </c>
      <c r="AL6848">
        <v>80.736413865127901</v>
      </c>
      <c r="AM6848">
        <v>90.129490396043494</v>
      </c>
      <c r="AN6848">
        <v>0.99999999744728996</v>
      </c>
    </row>
    <row r="6849" spans="1:40" x14ac:dyDescent="0.25">
      <c r="A6849" t="str">
        <f>"20190312172248021"</f>
        <v>20190312172248021</v>
      </c>
      <c r="B6849" t="str">
        <f>"1552382568017341"</f>
        <v>1552382568017341</v>
      </c>
      <c r="C6849" t="s">
        <v>40</v>
      </c>
      <c r="D6849">
        <v>3.3101880000000001</v>
      </c>
      <c r="E6849">
        <v>0.48808570000000001</v>
      </c>
      <c r="F6849" t="s">
        <v>42</v>
      </c>
      <c r="G6849">
        <v>-300.22989999999999</v>
      </c>
      <c r="H6849" s="1">
        <v>-3.12406E-6</v>
      </c>
      <c r="I6849">
        <v>-33.271230000000003</v>
      </c>
      <c r="J6849">
        <v>-301.03660000000002</v>
      </c>
      <c r="K6849">
        <v>1.1098110000000001</v>
      </c>
      <c r="L6849">
        <v>-15.785</v>
      </c>
      <c r="M6849">
        <v>1.352978E-2</v>
      </c>
      <c r="N6849">
        <v>0</v>
      </c>
      <c r="O6849">
        <v>-0.99981850000000005</v>
      </c>
      <c r="P6849">
        <v>1.7671280000000001E-2</v>
      </c>
      <c r="Q6849">
        <v>0.1492465</v>
      </c>
      <c r="R6849">
        <v>-0.98864249999999998</v>
      </c>
      <c r="S6849">
        <v>0.13992309999999999</v>
      </c>
      <c r="T6849">
        <v>-0.19238450000000001</v>
      </c>
      <c r="U6849">
        <v>-3.0599980000000002</v>
      </c>
      <c r="V6849">
        <v>-3.9228359999999999E-3</v>
      </c>
      <c r="W6849">
        <v>0.16250680000000001</v>
      </c>
      <c r="X6849">
        <v>0.98669960000000001</v>
      </c>
      <c r="Y6849">
        <v>-3.2067909999999998E-2</v>
      </c>
      <c r="Z6849">
        <v>6.268957E-2</v>
      </c>
      <c r="AA6849">
        <v>0.99751780000000001</v>
      </c>
      <c r="AB6849">
        <v>18</v>
      </c>
      <c r="AC6849">
        <v>0.80670000000003395</v>
      </c>
      <c r="AD6849">
        <v>-1.1098141240599999</v>
      </c>
      <c r="AE6849">
        <v>-17.4862299999999</v>
      </c>
      <c r="AF6849">
        <v>-0.56773792840185899</v>
      </c>
      <c r="AG6849">
        <v>-1.1098141240599999</v>
      </c>
      <c r="AH6849">
        <v>17.425500764726799</v>
      </c>
      <c r="AI6849">
        <v>93.642266092616296</v>
      </c>
      <c r="AJ6849">
        <v>91.866086085628595</v>
      </c>
      <c r="AK6849">
        <v>17.470034076864401</v>
      </c>
      <c r="AL6849">
        <v>80.647569843576306</v>
      </c>
      <c r="AM6849">
        <v>90.227790466636904</v>
      </c>
      <c r="AN6849">
        <v>0.99999997466434098</v>
      </c>
    </row>
    <row r="6850" spans="1:40" x14ac:dyDescent="0.25">
      <c r="A6850" t="str">
        <f>"20190312172248042"</f>
        <v>20190312172248042</v>
      </c>
      <c r="B6850" t="str">
        <f>"1552382568037836"</f>
        <v>1552382568037836</v>
      </c>
      <c r="C6850" t="s">
        <v>40</v>
      </c>
      <c r="D6850">
        <v>3.2631969999999999</v>
      </c>
      <c r="E6850">
        <v>0.48788720000000002</v>
      </c>
      <c r="F6850" t="s">
        <v>42</v>
      </c>
      <c r="G6850">
        <v>-300.21300000000002</v>
      </c>
      <c r="H6850" s="1">
        <v>-2.9369190000000001E-6</v>
      </c>
      <c r="I6850">
        <v>-33.69697</v>
      </c>
      <c r="J6850">
        <v>-301.03629999999998</v>
      </c>
      <c r="K6850">
        <v>1.10982</v>
      </c>
      <c r="L6850">
        <v>-15.96442</v>
      </c>
      <c r="M6850">
        <v>1.1713919999999999E-2</v>
      </c>
      <c r="N6850">
        <v>0</v>
      </c>
      <c r="O6850">
        <v>-0.9998416</v>
      </c>
      <c r="P6850">
        <v>1.8920429999999998E-2</v>
      </c>
      <c r="Q6850">
        <v>0.15063879999999999</v>
      </c>
      <c r="R6850">
        <v>-0.98840790000000001</v>
      </c>
      <c r="S6850">
        <v>0.1407166</v>
      </c>
      <c r="T6850">
        <v>-0.18963140000000001</v>
      </c>
      <c r="U6850">
        <v>-3.0605769999999999</v>
      </c>
      <c r="V6850">
        <v>-6.9681090000000001E-3</v>
      </c>
      <c r="W6850">
        <v>0.16390080000000001</v>
      </c>
      <c r="X6850">
        <v>0.9864522</v>
      </c>
      <c r="Y6850">
        <v>-3.4135100000000002E-2</v>
      </c>
      <c r="Z6850">
        <v>6.1783890000000001E-2</v>
      </c>
      <c r="AA6850">
        <v>0.99750570000000005</v>
      </c>
      <c r="AB6850">
        <v>18</v>
      </c>
      <c r="AC6850">
        <v>0.82330000000001702</v>
      </c>
      <c r="AD6850">
        <v>-1.109822936919</v>
      </c>
      <c r="AE6850">
        <v>-17.73255</v>
      </c>
      <c r="AF6850">
        <v>-0.61311072749557705</v>
      </c>
      <c r="AG6850">
        <v>-1.109822936919</v>
      </c>
      <c r="AH6850">
        <v>17.671904307587301</v>
      </c>
      <c r="AI6850">
        <v>93.591389088877804</v>
      </c>
      <c r="AJ6850">
        <v>91.987028226403496</v>
      </c>
      <c r="AK6850">
        <v>17.7173308817102</v>
      </c>
      <c r="AL6850">
        <v>80.566614190357598</v>
      </c>
      <c r="AM6850">
        <v>90.404719657666305</v>
      </c>
      <c r="AN6850">
        <v>0.99999998483425701</v>
      </c>
    </row>
    <row r="6851" spans="1:40" x14ac:dyDescent="0.25">
      <c r="A6851" t="str">
        <f>"20190312172248064"</f>
        <v>20190312172248064</v>
      </c>
      <c r="B6851" t="str">
        <f>"1552382568057355"</f>
        <v>1552382568057355</v>
      </c>
      <c r="C6851" t="s">
        <v>40</v>
      </c>
      <c r="D6851">
        <v>3.2977889999999999</v>
      </c>
      <c r="E6851">
        <v>0.48775109999999999</v>
      </c>
      <c r="F6851" t="s">
        <v>42</v>
      </c>
      <c r="G6851">
        <v>-300.16460000000001</v>
      </c>
      <c r="H6851" s="1">
        <v>-2.715082E-6</v>
      </c>
      <c r="I6851">
        <v>-34.184010000000001</v>
      </c>
      <c r="J6851">
        <v>-301.03640000000001</v>
      </c>
      <c r="K6851">
        <v>1.109828</v>
      </c>
      <c r="L6851">
        <v>-16.143709999999999</v>
      </c>
      <c r="M6851">
        <v>9.9011499999999992E-3</v>
      </c>
      <c r="N6851">
        <v>0</v>
      </c>
      <c r="O6851">
        <v>-0.99986129999999995</v>
      </c>
      <c r="P6851">
        <v>1.999273E-2</v>
      </c>
      <c r="Q6851">
        <v>0.15145229999999901</v>
      </c>
      <c r="R6851">
        <v>-0.9882628</v>
      </c>
      <c r="S6851">
        <v>0.1464539</v>
      </c>
      <c r="T6851">
        <v>-0.1864442</v>
      </c>
      <c r="U6851">
        <v>-3.060791</v>
      </c>
      <c r="V6851">
        <v>-9.8341399999999999E-3</v>
      </c>
      <c r="W6851">
        <v>0.1647168</v>
      </c>
      <c r="X6851">
        <v>0.9862919</v>
      </c>
      <c r="Y6851">
        <v>-3.781238E-2</v>
      </c>
      <c r="Z6851">
        <v>6.0740210000000003E-2</v>
      </c>
      <c r="AA6851">
        <v>0.99743709999999997</v>
      </c>
      <c r="AB6851">
        <v>18</v>
      </c>
      <c r="AC6851">
        <v>0.87180000000000701</v>
      </c>
      <c r="AD6851">
        <v>-1.1098307150819999</v>
      </c>
      <c r="AE6851">
        <v>-18.040299999999998</v>
      </c>
      <c r="AF6851">
        <v>-0.69051425529968202</v>
      </c>
      <c r="AG6851">
        <v>-1.1098307150819999</v>
      </c>
      <c r="AH6851">
        <v>17.980158047371901</v>
      </c>
      <c r="AI6851">
        <v>93.529522853821405</v>
      </c>
      <c r="AJ6851">
        <v>92.199319886023403</v>
      </c>
      <c r="AK6851">
        <v>18.027607094714099</v>
      </c>
      <c r="AL6851">
        <v>80.519217017452405</v>
      </c>
      <c r="AM6851">
        <v>90.571267031471706</v>
      </c>
      <c r="AN6851">
        <v>1.0000000232586901</v>
      </c>
    </row>
    <row r="6852" spans="1:40" x14ac:dyDescent="0.25">
      <c r="A6852" t="str">
        <f>"20190312172248086"</f>
        <v>20190312172248086</v>
      </c>
      <c r="B6852" t="str">
        <f>"1552382568076876"</f>
        <v>1552382568076876</v>
      </c>
      <c r="C6852" t="s">
        <v>40</v>
      </c>
      <c r="D6852">
        <v>3.2676020000000001</v>
      </c>
      <c r="E6852">
        <v>0.4877396</v>
      </c>
      <c r="F6852" t="s">
        <v>42</v>
      </c>
      <c r="G6852">
        <v>-300.13319999999999</v>
      </c>
      <c r="H6852" s="1">
        <v>-2.5826059999999998E-6</v>
      </c>
      <c r="I6852">
        <v>-34.473410000000001</v>
      </c>
      <c r="J6852">
        <v>-301.03680000000003</v>
      </c>
      <c r="K6852">
        <v>1.1098380000000001</v>
      </c>
      <c r="L6852">
        <v>-16.328579999999999</v>
      </c>
      <c r="M6852">
        <v>8.0338909999999996E-3</v>
      </c>
      <c r="N6852">
        <v>0</v>
      </c>
      <c r="O6852">
        <v>-0.99987800000000004</v>
      </c>
      <c r="P6852">
        <v>2.2067349999999999E-2</v>
      </c>
      <c r="Q6852">
        <v>0.15229089999999901</v>
      </c>
      <c r="R6852">
        <v>-0.98808960000000001</v>
      </c>
      <c r="S6852">
        <v>0.15081789999999901</v>
      </c>
      <c r="T6852">
        <v>-0.18533659999999999</v>
      </c>
      <c r="U6852">
        <v>-3.0609739999999999</v>
      </c>
      <c r="V6852">
        <v>-1.375533E-2</v>
      </c>
      <c r="W6852">
        <v>0.16555909999999999</v>
      </c>
      <c r="X6852">
        <v>0.98610399999999998</v>
      </c>
      <c r="Y6852">
        <v>-4.1095279999999998E-2</v>
      </c>
      <c r="Z6852">
        <v>6.0372639999999998E-2</v>
      </c>
      <c r="AA6852">
        <v>0.99732960000000004</v>
      </c>
      <c r="AB6852">
        <v>18</v>
      </c>
      <c r="AC6852">
        <v>0.90360000000004004</v>
      </c>
      <c r="AD6852">
        <v>-1.1098405826059901</v>
      </c>
      <c r="AE6852">
        <v>-18.144829999999999</v>
      </c>
      <c r="AF6852">
        <v>-0.75496664356088705</v>
      </c>
      <c r="AG6852">
        <v>-1.1098405826059901</v>
      </c>
      <c r="AH6852">
        <v>18.084015153813301</v>
      </c>
      <c r="AI6852">
        <v>93.508866341472995</v>
      </c>
      <c r="AJ6852">
        <v>92.390580746914296</v>
      </c>
      <c r="AK6852">
        <v>18.1337620155068</v>
      </c>
      <c r="AL6852">
        <v>80.470285338619902</v>
      </c>
      <c r="AM6852">
        <v>90.799176601403602</v>
      </c>
      <c r="AN6852">
        <v>1.0000000617561</v>
      </c>
    </row>
    <row r="6853" spans="1:40" x14ac:dyDescent="0.25">
      <c r="A6853" t="str">
        <f>"20190312172248108"</f>
        <v>20190312172248108</v>
      </c>
      <c r="B6853" t="str">
        <f>"1552382568097372"</f>
        <v>1552382568097372</v>
      </c>
      <c r="C6853" t="s">
        <v>40</v>
      </c>
      <c r="D6853">
        <v>3.2569340000000002</v>
      </c>
      <c r="E6853">
        <v>0.48770380000000002</v>
      </c>
      <c r="F6853" t="s">
        <v>42</v>
      </c>
      <c r="G6853">
        <v>-300.09059999999999</v>
      </c>
      <c r="H6853" s="1">
        <v>-2.469009E-6</v>
      </c>
      <c r="I6853">
        <v>-34.711739999999999</v>
      </c>
      <c r="J6853">
        <v>-301.03750000000002</v>
      </c>
      <c r="K6853">
        <v>1.109847</v>
      </c>
      <c r="L6853">
        <v>-16.50629</v>
      </c>
      <c r="M6853">
        <v>6.2429989999999999E-3</v>
      </c>
      <c r="N6853">
        <v>0</v>
      </c>
      <c r="O6853">
        <v>-0.99989079999999997</v>
      </c>
      <c r="P6853">
        <v>2.4409509999999999E-2</v>
      </c>
      <c r="Q6853">
        <v>0.15420420000000001</v>
      </c>
      <c r="R6853">
        <v>-0.98773770000000005</v>
      </c>
      <c r="S6853">
        <v>0.15756229999999999</v>
      </c>
      <c r="T6853">
        <v>-0.18480849999999999</v>
      </c>
      <c r="U6853">
        <v>-3.0611269999999999</v>
      </c>
      <c r="V6853">
        <v>-1.786745E-2</v>
      </c>
      <c r="W6853">
        <v>0.1674746</v>
      </c>
      <c r="X6853">
        <v>0.98571439999999999</v>
      </c>
      <c r="Y6853">
        <v>-4.5074429999999999E-2</v>
      </c>
      <c r="Z6853">
        <v>6.0190899999999999E-2</v>
      </c>
      <c r="AA6853">
        <v>0.99716870000000002</v>
      </c>
      <c r="AB6853">
        <v>18</v>
      </c>
      <c r="AC6853">
        <v>0.94690000000002705</v>
      </c>
      <c r="AD6853">
        <v>-1.1098494690089999</v>
      </c>
      <c r="AE6853">
        <v>-18.205449999999999</v>
      </c>
      <c r="AF6853">
        <v>-0.83013791910971002</v>
      </c>
      <c r="AG6853">
        <v>-1.1098494690089999</v>
      </c>
      <c r="AH6853">
        <v>18.143759189598899</v>
      </c>
      <c r="AI6853">
        <v>93.496758790530706</v>
      </c>
      <c r="AJ6853">
        <v>92.619647397481899</v>
      </c>
      <c r="AK6853">
        <v>18.196617607092701</v>
      </c>
      <c r="AL6853">
        <v>80.358980047787298</v>
      </c>
      <c r="AM6853">
        <v>91.0384522908207</v>
      </c>
      <c r="AN6853">
        <v>0.99999993289100897</v>
      </c>
    </row>
    <row r="6854" spans="1:40" x14ac:dyDescent="0.25">
      <c r="A6854" t="str">
        <f>"20190312172248131"</f>
        <v>20190312172248131</v>
      </c>
      <c r="B6854" t="str">
        <f>"1552382568127628"</f>
        <v>1552382568127628</v>
      </c>
      <c r="C6854" t="s">
        <v>40</v>
      </c>
      <c r="D6854">
        <v>3.3028430000000002</v>
      </c>
      <c r="E6854">
        <v>0.48770619999999998</v>
      </c>
      <c r="F6854" t="s">
        <v>42</v>
      </c>
      <c r="G6854">
        <v>-300.0154</v>
      </c>
      <c r="H6854" s="1">
        <v>-2.1718149999999999E-6</v>
      </c>
      <c r="I6854">
        <v>-35.357869999999998</v>
      </c>
      <c r="J6854">
        <v>-301.03859999999997</v>
      </c>
      <c r="K6854">
        <v>1.109861</v>
      </c>
      <c r="L6854">
        <v>-16.688600000000001</v>
      </c>
      <c r="M6854">
        <v>4.4102350000000002E-3</v>
      </c>
      <c r="N6854">
        <v>0</v>
      </c>
      <c r="O6854">
        <v>-0.99990080000000003</v>
      </c>
      <c r="P6854">
        <v>2.685239E-2</v>
      </c>
      <c r="Q6854">
        <v>0.1554294</v>
      </c>
      <c r="R6854">
        <v>-0.98748250000000004</v>
      </c>
      <c r="S6854">
        <v>0.1659851</v>
      </c>
      <c r="T6854">
        <v>-0.18022669999999999</v>
      </c>
      <c r="U6854">
        <v>-3.0612789999999999</v>
      </c>
      <c r="V6854">
        <v>-2.2121930000000001E-2</v>
      </c>
      <c r="W6854">
        <v>0.1687033</v>
      </c>
      <c r="X6854">
        <v>0.98541860000000003</v>
      </c>
      <c r="Y6854">
        <v>-4.9643300000000001E-2</v>
      </c>
      <c r="Z6854">
        <v>5.8691210000000001E-2</v>
      </c>
      <c r="AA6854">
        <v>0.99704099999999996</v>
      </c>
      <c r="AB6854">
        <v>18</v>
      </c>
      <c r="AC6854">
        <v>1.0231999999999699</v>
      </c>
      <c r="AD6854">
        <v>-1.109863171815</v>
      </c>
      <c r="AE6854">
        <v>-18.669270000000001</v>
      </c>
      <c r="AF6854">
        <v>-0.93754332196930801</v>
      </c>
      <c r="AG6854">
        <v>-1.109863171815</v>
      </c>
      <c r="AH6854">
        <v>18.608034839559199</v>
      </c>
      <c r="AI6854">
        <v>93.409008834049203</v>
      </c>
      <c r="AJ6854">
        <v>92.8843395226898</v>
      </c>
      <c r="AK6854">
        <v>18.664665663519699</v>
      </c>
      <c r="AL6854">
        <v>80.287565263020895</v>
      </c>
      <c r="AM6854">
        <v>91.286032516477206</v>
      </c>
      <c r="AN6854">
        <v>1.0000000002218801</v>
      </c>
    </row>
    <row r="6855" spans="1:40" x14ac:dyDescent="0.25">
      <c r="A6855" t="str">
        <f>"20190312172248153"</f>
        <v>20190312172248153</v>
      </c>
      <c r="B6855" t="str">
        <f>"1552382568147158"</f>
        <v>1552382568147158</v>
      </c>
      <c r="C6855" t="s">
        <v>40</v>
      </c>
      <c r="D6855">
        <v>3.2785540000000002</v>
      </c>
      <c r="E6855">
        <v>0.48775170000000001</v>
      </c>
      <c r="F6855" t="s">
        <v>42</v>
      </c>
      <c r="G6855">
        <v>-299.94490000000002</v>
      </c>
      <c r="H6855" s="1">
        <v>-1.9455740000000002E-6</v>
      </c>
      <c r="I6855">
        <v>-35.854819999999997</v>
      </c>
      <c r="J6855">
        <v>-301.04000000000002</v>
      </c>
      <c r="K6855">
        <v>1.1098779999999999</v>
      </c>
      <c r="L6855">
        <v>-16.872989999999898</v>
      </c>
      <c r="M6855">
        <v>2.5626440000000002E-3</v>
      </c>
      <c r="N6855">
        <v>0</v>
      </c>
      <c r="O6855">
        <v>-0.99990710000000005</v>
      </c>
      <c r="P6855">
        <v>2.9514490000000001E-2</v>
      </c>
      <c r="Q6855">
        <v>0.15681489999999901</v>
      </c>
      <c r="R6855">
        <v>-0.98718700000000004</v>
      </c>
      <c r="S6855">
        <v>0.17468259999999999</v>
      </c>
      <c r="T6855">
        <v>-0.177264899999999</v>
      </c>
      <c r="U6855">
        <v>-3.061188</v>
      </c>
      <c r="V6855">
        <v>-2.6609219999999999E-2</v>
      </c>
      <c r="W6855">
        <v>0.17009160000000001</v>
      </c>
      <c r="X6855">
        <v>0.98506890000000003</v>
      </c>
      <c r="Y6855">
        <v>-5.4317120000000003E-2</v>
      </c>
      <c r="Z6855">
        <v>5.772066E-2</v>
      </c>
      <c r="AA6855">
        <v>0.99685409999999997</v>
      </c>
      <c r="AB6855">
        <v>18</v>
      </c>
      <c r="AC6855">
        <v>1.0951</v>
      </c>
      <c r="AD6855">
        <v>-1.109879945574</v>
      </c>
      <c r="AE6855">
        <v>-18.981829999999999</v>
      </c>
      <c r="AF6855">
        <v>-1.0428947327248801</v>
      </c>
      <c r="AG6855">
        <v>-1.109879945574</v>
      </c>
      <c r="AH6855">
        <v>18.9201044687373</v>
      </c>
      <c r="AI6855">
        <v>93.352126738052405</v>
      </c>
      <c r="AJ6855">
        <v>93.155006890849293</v>
      </c>
      <c r="AK6855">
        <v>18.981301747379302</v>
      </c>
      <c r="AL6855">
        <v>80.206854791837401</v>
      </c>
      <c r="AM6855">
        <v>91.547328662152395</v>
      </c>
      <c r="AN6855">
        <v>0.99999997036338795</v>
      </c>
    </row>
    <row r="6856" spans="1:40" x14ac:dyDescent="0.25">
      <c r="A6856" t="str">
        <f>"20190312172248176"</f>
        <v>20190312172248176</v>
      </c>
      <c r="B6856" t="str">
        <f>"1552382568167644"</f>
        <v>1552382568167644</v>
      </c>
      <c r="C6856" t="s">
        <v>40</v>
      </c>
      <c r="D6856">
        <v>3.282143</v>
      </c>
      <c r="E6856">
        <v>0.48787000000000003</v>
      </c>
      <c r="F6856" t="s">
        <v>42</v>
      </c>
      <c r="G6856">
        <v>-299.87430000000001</v>
      </c>
      <c r="H6856" s="1">
        <v>-1.757121E-6</v>
      </c>
      <c r="I6856">
        <v>-36.323309999999999</v>
      </c>
      <c r="J6856">
        <v>-301.04169999999999</v>
      </c>
      <c r="K6856">
        <v>1.1098870000000001</v>
      </c>
      <c r="L6856">
        <v>-17.05594</v>
      </c>
      <c r="M6856">
        <v>7.3564979999999995E-4</v>
      </c>
      <c r="N6856">
        <v>0</v>
      </c>
      <c r="O6856">
        <v>-0.99990990000000002</v>
      </c>
      <c r="P6856">
        <v>3.2893760000000001E-2</v>
      </c>
      <c r="Q6856">
        <v>0.15846379999999999</v>
      </c>
      <c r="R6856">
        <v>-0.98681649999999999</v>
      </c>
      <c r="S6856">
        <v>0.18347169999999999</v>
      </c>
      <c r="T6856">
        <v>-0.17467829999999901</v>
      </c>
      <c r="U6856">
        <v>-3.061188</v>
      </c>
      <c r="V6856">
        <v>-3.1792309999999997E-2</v>
      </c>
      <c r="W6856">
        <v>0.17174349999999999</v>
      </c>
      <c r="X6856">
        <v>0.98462859999999996</v>
      </c>
      <c r="Y6856">
        <v>-5.899621E-2</v>
      </c>
      <c r="Z6856">
        <v>5.6869099999999999E-2</v>
      </c>
      <c r="AA6856">
        <v>0.996637</v>
      </c>
      <c r="AB6856">
        <v>18</v>
      </c>
      <c r="AC6856">
        <v>1.16739999999998</v>
      </c>
      <c r="AD6856">
        <v>-1.1098887571210001</v>
      </c>
      <c r="AE6856">
        <v>-19.26737</v>
      </c>
      <c r="AF6856">
        <v>-1.14942420442538</v>
      </c>
      <c r="AG6856">
        <v>-1.1098887571210001</v>
      </c>
      <c r="AH6856">
        <v>19.204729933156599</v>
      </c>
      <c r="AI6856">
        <v>93.301690228197302</v>
      </c>
      <c r="AJ6856">
        <v>93.4251295262968</v>
      </c>
      <c r="AK6856">
        <v>19.271084060332001</v>
      </c>
      <c r="AL6856">
        <v>80.110794981128393</v>
      </c>
      <c r="AM6856">
        <v>91.8493598011693</v>
      </c>
      <c r="AN6856">
        <v>1.0000000303526699</v>
      </c>
    </row>
    <row r="6857" spans="1:40" x14ac:dyDescent="0.25">
      <c r="A6857" t="str">
        <f>"20190312172248199"</f>
        <v>20190312172248199</v>
      </c>
      <c r="B6857" t="str">
        <f>"1552382568187164"</f>
        <v>1552382568187164</v>
      </c>
      <c r="C6857" t="s">
        <v>40</v>
      </c>
      <c r="D6857">
        <v>3.258883</v>
      </c>
      <c r="E6857">
        <v>0.49911230000000001</v>
      </c>
      <c r="F6857" t="s">
        <v>42</v>
      </c>
      <c r="G6857">
        <v>-299.78149999999999</v>
      </c>
      <c r="H6857" s="1">
        <v>-1.4970860000000001E-6</v>
      </c>
      <c r="I6857">
        <v>-36.967799999999997</v>
      </c>
      <c r="J6857">
        <v>-301.0437</v>
      </c>
      <c r="K6857">
        <v>1.1099000000000001</v>
      </c>
      <c r="L6857">
        <v>-17.24042</v>
      </c>
      <c r="M6857">
        <v>-1.0991880000000001E-3</v>
      </c>
      <c r="N6857">
        <v>0</v>
      </c>
      <c r="O6857">
        <v>-0.99990979999999996</v>
      </c>
      <c r="P6857">
        <v>3.6961540000000001E-2</v>
      </c>
      <c r="Q6857">
        <v>0.15951899999999999</v>
      </c>
      <c r="R6857">
        <v>-0.98650289999999996</v>
      </c>
      <c r="S6857">
        <v>0.1937256</v>
      </c>
      <c r="T6857">
        <v>-0.17062049999999901</v>
      </c>
      <c r="U6857">
        <v>-3.0610050000000002</v>
      </c>
      <c r="V6857">
        <v>-3.7671759999999999E-2</v>
      </c>
      <c r="W6857">
        <v>0.1728036</v>
      </c>
      <c r="X6857">
        <v>0.98423559999999999</v>
      </c>
      <c r="Y6857">
        <v>-6.4161419999999997E-2</v>
      </c>
      <c r="Z6857">
        <v>5.5540869999999999E-2</v>
      </c>
      <c r="AA6857">
        <v>0.99639270000000002</v>
      </c>
      <c r="AB6857">
        <v>18</v>
      </c>
      <c r="AC6857">
        <v>1.2622</v>
      </c>
      <c r="AD6857">
        <v>-1.1099014970859999</v>
      </c>
      <c r="AE6857">
        <v>-19.72738</v>
      </c>
      <c r="AF6857">
        <v>-1.2798505442669701</v>
      </c>
      <c r="AG6857">
        <v>-1.1099014970859999</v>
      </c>
      <c r="AH6857">
        <v>19.663989731997699</v>
      </c>
      <c r="AI6857">
        <v>93.223731578613993</v>
      </c>
      <c r="AJ6857">
        <v>93.723900967048493</v>
      </c>
      <c r="AK6857">
        <v>19.736828289494898</v>
      </c>
      <c r="AL6857">
        <v>80.049133341140006</v>
      </c>
      <c r="AM6857">
        <v>92.191934284025606</v>
      </c>
      <c r="AN6857">
        <v>0.99999998099090803</v>
      </c>
    </row>
    <row r="6858" spans="1:40" x14ac:dyDescent="0.25">
      <c r="A6858" t="str">
        <f>"20190312172248222"</f>
        <v>20190312172248222</v>
      </c>
      <c r="B6858" t="str">
        <f>"1552382568217420"</f>
        <v>1552382568217420</v>
      </c>
      <c r="C6858" t="s">
        <v>40</v>
      </c>
      <c r="D6858">
        <v>3.262175</v>
      </c>
      <c r="E6858">
        <v>0.50069649999999999</v>
      </c>
      <c r="F6858" t="s">
        <v>64</v>
      </c>
      <c r="G6858">
        <v>-300.13749999999999</v>
      </c>
      <c r="H6858" s="1">
        <v>-2.9118349999999998E-7</v>
      </c>
      <c r="I6858">
        <v>-40.804879999999997</v>
      </c>
      <c r="J6858">
        <v>-301.04610000000002</v>
      </c>
      <c r="K6858">
        <v>1.109915</v>
      </c>
      <c r="L6858">
        <v>-17.420349999999999</v>
      </c>
      <c r="M6858">
        <v>-2.8792760000000001E-3</v>
      </c>
      <c r="N6858">
        <v>0</v>
      </c>
      <c r="O6858">
        <v>-0.99990639999999997</v>
      </c>
      <c r="P6858">
        <v>4.0251410000000001E-2</v>
      </c>
      <c r="Q6858">
        <v>0.16082959999999999</v>
      </c>
      <c r="R6858">
        <v>-0.98616159999999997</v>
      </c>
      <c r="S6858">
        <v>0.1176758</v>
      </c>
      <c r="T6858">
        <v>-0.144124799999999</v>
      </c>
      <c r="U6858">
        <v>-3.0599370000000001</v>
      </c>
      <c r="V6858">
        <v>-4.2716730000000001E-2</v>
      </c>
      <c r="W6858">
        <v>0.1741161</v>
      </c>
      <c r="X6858">
        <v>0.98379819999999996</v>
      </c>
      <c r="Y6858">
        <v>-4.1263290000000001E-2</v>
      </c>
      <c r="Z6858">
        <v>4.701077E-2</v>
      </c>
      <c r="AA6858">
        <v>0.99804170000000003</v>
      </c>
      <c r="AB6858">
        <v>18</v>
      </c>
      <c r="AC6858">
        <v>0.90860000000003505</v>
      </c>
      <c r="AD6858">
        <v>-1.1099152911835</v>
      </c>
      <c r="AE6858">
        <v>-23.384530000000002</v>
      </c>
      <c r="AF6858">
        <v>-0.97374243371433999</v>
      </c>
      <c r="AG6858">
        <v>-1.1099152911835</v>
      </c>
      <c r="AH6858">
        <v>23.3293396259266</v>
      </c>
      <c r="AI6858">
        <v>92.7214807600825</v>
      </c>
      <c r="AJ6858">
        <v>92.390079089839702</v>
      </c>
      <c r="AK6858">
        <v>23.3760170615665</v>
      </c>
      <c r="AL6858">
        <v>79.972775466903698</v>
      </c>
      <c r="AM6858">
        <v>92.486233442527194</v>
      </c>
      <c r="AN6858">
        <v>1.0000000168121701</v>
      </c>
    </row>
    <row r="6859" spans="1:40" x14ac:dyDescent="0.25">
      <c r="A6859" t="str">
        <f>"20190312172248242"</f>
        <v>20190312172248242</v>
      </c>
      <c r="B6859" t="str">
        <f>"1552382568236940"</f>
        <v>1552382568236940</v>
      </c>
      <c r="C6859" t="s">
        <v>40</v>
      </c>
      <c r="D6859">
        <v>3.2753779999999999</v>
      </c>
      <c r="E6859">
        <v>0.50153139999999996</v>
      </c>
      <c r="F6859" t="s">
        <v>64</v>
      </c>
      <c r="G6859">
        <v>-300.13670000000002</v>
      </c>
      <c r="H6859" s="1">
        <v>-6.3440470000000002E-7</v>
      </c>
      <c r="I6859">
        <v>-41.345030000000001</v>
      </c>
      <c r="J6859">
        <v>-301.04860000000002</v>
      </c>
      <c r="K6859">
        <v>1.1099300000000001</v>
      </c>
      <c r="L6859">
        <v>-17.59384</v>
      </c>
      <c r="M6859">
        <v>-4.5875070000000002E-3</v>
      </c>
      <c r="N6859">
        <v>0</v>
      </c>
      <c r="O6859">
        <v>-0.99989989999999995</v>
      </c>
      <c r="P6859">
        <v>4.3444360000000001E-2</v>
      </c>
      <c r="Q6859">
        <v>0.16221729999999901</v>
      </c>
      <c r="R6859">
        <v>-0.98579839999999996</v>
      </c>
      <c r="S6859">
        <v>0.11633300000000001</v>
      </c>
      <c r="T6859">
        <v>-0.14198369999999999</v>
      </c>
      <c r="U6859">
        <v>-3.0605159999999998</v>
      </c>
      <c r="V6859">
        <v>-4.7592870000000002E-2</v>
      </c>
      <c r="W6859">
        <v>0.17550539999999901</v>
      </c>
      <c r="X6859">
        <v>0.98332739999999996</v>
      </c>
      <c r="Y6859">
        <v>-4.2526950000000001E-2</v>
      </c>
      <c r="Z6859">
        <v>4.6303860000000002E-2</v>
      </c>
      <c r="AA6859">
        <v>0.99802170000000001</v>
      </c>
      <c r="AB6859">
        <v>18</v>
      </c>
      <c r="AC6859">
        <v>0.91190000000000204</v>
      </c>
      <c r="AD6859">
        <v>-1.1099306344047</v>
      </c>
      <c r="AE6859">
        <v>-23.751190000000001</v>
      </c>
      <c r="AF6859">
        <v>-1.01863764618523</v>
      </c>
      <c r="AG6859">
        <v>-1.1099306344047</v>
      </c>
      <c r="AH6859">
        <v>23.695086182960701</v>
      </c>
      <c r="AI6859">
        <v>92.679430429588606</v>
      </c>
      <c r="AJ6859">
        <v>92.461595776163705</v>
      </c>
      <c r="AK6859">
        <v>23.742929008135199</v>
      </c>
      <c r="AL6859">
        <v>79.891929413751896</v>
      </c>
      <c r="AM6859">
        <v>92.770943129862999</v>
      </c>
      <c r="AN6859">
        <v>1.00000000114737</v>
      </c>
    </row>
    <row r="6860" spans="1:40" x14ac:dyDescent="0.25">
      <c r="A6860" t="str">
        <f>"20190312172248265"</f>
        <v>20190312172248265</v>
      </c>
      <c r="B6860" t="str">
        <f>"1552382568257436"</f>
        <v>1552382568257436</v>
      </c>
      <c r="C6860" t="s">
        <v>40</v>
      </c>
      <c r="D6860">
        <v>3.2925810000000002</v>
      </c>
      <c r="E6860">
        <v>0.50215619999999905</v>
      </c>
      <c r="F6860" t="s">
        <v>64</v>
      </c>
      <c r="G6860">
        <v>-300.09969999999998</v>
      </c>
      <c r="H6860" s="1">
        <v>-7.9726399999999898E-7</v>
      </c>
      <c r="I6860">
        <v>-41.609340000000003</v>
      </c>
      <c r="J6860">
        <v>-301.05149999999998</v>
      </c>
      <c r="K6860">
        <v>1.1099399999999999</v>
      </c>
      <c r="L6860">
        <v>-17.77618</v>
      </c>
      <c r="M6860">
        <v>-6.3754689999999999E-3</v>
      </c>
      <c r="N6860">
        <v>0</v>
      </c>
      <c r="O6860">
        <v>-0.99989030000000001</v>
      </c>
      <c r="P6860">
        <v>4.5704069999999999E-2</v>
      </c>
      <c r="Q6860">
        <v>0.1630096</v>
      </c>
      <c r="R6860">
        <v>-0.98556569999999999</v>
      </c>
      <c r="S6860">
        <v>0.1209412</v>
      </c>
      <c r="T6860">
        <v>-0.1414783</v>
      </c>
      <c r="U6860">
        <v>-3.0611570000000001</v>
      </c>
      <c r="V6860">
        <v>-5.1614170000000001E-2</v>
      </c>
      <c r="W6860">
        <v>0.1762987</v>
      </c>
      <c r="X6860">
        <v>0.98298260000000004</v>
      </c>
      <c r="Y6860">
        <v>-4.5805760000000001E-2</v>
      </c>
      <c r="Z6860">
        <v>4.612438E-2</v>
      </c>
      <c r="AA6860">
        <v>0.99788489999999996</v>
      </c>
      <c r="AB6860">
        <v>18</v>
      </c>
      <c r="AC6860">
        <v>0.95179999999999099</v>
      </c>
      <c r="AD6860">
        <v>-1.1099407972640001</v>
      </c>
      <c r="AE6860">
        <v>-23.833159999999999</v>
      </c>
      <c r="AF6860">
        <v>-1.10135689489795</v>
      </c>
      <c r="AG6860">
        <v>-1.1099407972640001</v>
      </c>
      <c r="AH6860">
        <v>23.775123445555501</v>
      </c>
      <c r="AI6860">
        <v>92.670051556994096</v>
      </c>
      <c r="AJ6860">
        <v>92.6522689660721</v>
      </c>
      <c r="AK6860">
        <v>23.826486321628899</v>
      </c>
      <c r="AL6860">
        <v>79.845756955658203</v>
      </c>
      <c r="AM6860">
        <v>93.005710169184496</v>
      </c>
      <c r="AN6860">
        <v>1.00000002303461</v>
      </c>
    </row>
    <row r="6861" spans="1:40" x14ac:dyDescent="0.25">
      <c r="A6861" t="str">
        <f>"20190312172248286"</f>
        <v>20190312172248286</v>
      </c>
      <c r="B6861" t="str">
        <f>"1552382568276956"</f>
        <v>1552382568276956</v>
      </c>
      <c r="C6861" t="s">
        <v>40</v>
      </c>
      <c r="D6861">
        <v>3.2686329999999999</v>
      </c>
      <c r="E6861">
        <v>0.50602550000000002</v>
      </c>
      <c r="F6861" t="s">
        <v>64</v>
      </c>
      <c r="G6861">
        <v>-300.08139999999997</v>
      </c>
      <c r="H6861" s="1">
        <v>-8.9893419999999995E-7</v>
      </c>
      <c r="I6861">
        <v>-41.773319999999998</v>
      </c>
      <c r="J6861">
        <v>-301.05470000000003</v>
      </c>
      <c r="K6861">
        <v>1.109952</v>
      </c>
      <c r="L6861">
        <v>-17.952579999999902</v>
      </c>
      <c r="M6861">
        <v>-8.0958260000000004E-3</v>
      </c>
      <c r="N6861">
        <v>0</v>
      </c>
      <c r="O6861">
        <v>-0.99987789999999999</v>
      </c>
      <c r="P6861">
        <v>4.8084590000000003E-2</v>
      </c>
      <c r="Q6861">
        <v>0.1631283</v>
      </c>
      <c r="R6861">
        <v>-0.98543259999999999</v>
      </c>
      <c r="S6861">
        <v>0.12377929999999999</v>
      </c>
      <c r="T6861">
        <v>-0.14160909999999999</v>
      </c>
      <c r="U6861">
        <v>-3.0616150000000002</v>
      </c>
      <c r="V6861">
        <v>-5.569226E-2</v>
      </c>
      <c r="W6861">
        <v>0.17641979999999999</v>
      </c>
      <c r="X6861">
        <v>0.98273829999999995</v>
      </c>
      <c r="Y6861">
        <v>-4.8441980000000003E-2</v>
      </c>
      <c r="Z6861">
        <v>4.6155460000000002E-2</v>
      </c>
      <c r="AA6861">
        <v>0.99775899999999995</v>
      </c>
      <c r="AB6861">
        <v>18</v>
      </c>
      <c r="AC6861">
        <v>0.97330000000005101</v>
      </c>
      <c r="AD6861">
        <v>-1.1099528989342</v>
      </c>
      <c r="AE6861">
        <v>-23.820740000000001</v>
      </c>
      <c r="AF6861">
        <v>-1.16361167588401</v>
      </c>
      <c r="AG6861">
        <v>-1.1099528989342</v>
      </c>
      <c r="AH6861">
        <v>23.7605760087303</v>
      </c>
      <c r="AI6861">
        <v>92.671377137486203</v>
      </c>
      <c r="AJ6861">
        <v>92.803670099061193</v>
      </c>
      <c r="AK6861">
        <v>23.814931447240301</v>
      </c>
      <c r="AL6861">
        <v>79.838708431876597</v>
      </c>
      <c r="AM6861">
        <v>93.243510584139102</v>
      </c>
      <c r="AN6861">
        <v>1.00000006997141</v>
      </c>
    </row>
    <row r="6862" spans="1:40" x14ac:dyDescent="0.25">
      <c r="A6862" t="str">
        <f>"20190312172248310"</f>
        <v>20190312172248310</v>
      </c>
      <c r="B6862" t="str">
        <f>"1552382568307212"</f>
        <v>1552382568307212</v>
      </c>
      <c r="C6862" t="s">
        <v>40</v>
      </c>
      <c r="D6862">
        <v>3.2603680000000002</v>
      </c>
      <c r="E6862">
        <v>0.50732699999999997</v>
      </c>
      <c r="F6862" t="s">
        <v>42</v>
      </c>
      <c r="G6862">
        <v>-300.34870000000001</v>
      </c>
      <c r="H6862" s="1">
        <v>-5.2097690000000003E-7</v>
      </c>
      <c r="I6862">
        <v>-39.412750000000003</v>
      </c>
      <c r="J6862">
        <v>-301.05829999999997</v>
      </c>
      <c r="K6862">
        <v>1.1099669999999999</v>
      </c>
      <c r="L6862">
        <v>-18.132629999999999</v>
      </c>
      <c r="M6862">
        <v>-9.840115E-3</v>
      </c>
      <c r="N6862">
        <v>0</v>
      </c>
      <c r="O6862">
        <v>-0.99986209999999998</v>
      </c>
      <c r="P6862">
        <v>4.9930099999999998E-2</v>
      </c>
      <c r="Q6862">
        <v>0.163853</v>
      </c>
      <c r="R6862">
        <v>-0.98522069999999995</v>
      </c>
      <c r="S6862">
        <v>0.10086059999999999</v>
      </c>
      <c r="T6862">
        <v>-0.15856120000000001</v>
      </c>
      <c r="U6862">
        <v>-3.065674</v>
      </c>
      <c r="V6862">
        <v>-5.925623E-2</v>
      </c>
      <c r="W6862">
        <v>0.17714389999999999</v>
      </c>
      <c r="X6862">
        <v>0.98239949999999998</v>
      </c>
      <c r="Y6862">
        <v>-4.2672439999999999E-2</v>
      </c>
      <c r="Z6862">
        <v>5.1611259999999999E-2</v>
      </c>
      <c r="AA6862">
        <v>0.99775519999999995</v>
      </c>
      <c r="AB6862">
        <v>18</v>
      </c>
      <c r="AC6862">
        <v>0.70959999999996604</v>
      </c>
      <c r="AD6862">
        <v>-1.10996752097689</v>
      </c>
      <c r="AE6862">
        <v>-21.28012</v>
      </c>
      <c r="AF6862">
        <v>-0.91649252100795697</v>
      </c>
      <c r="AG6862">
        <v>-1.10996752097689</v>
      </c>
      <c r="AH6862">
        <v>21.214453406570101</v>
      </c>
      <c r="AI6862">
        <v>92.992272011647998</v>
      </c>
      <c r="AJ6862">
        <v>92.473715480333098</v>
      </c>
      <c r="AK6862">
        <v>21.263231640045198</v>
      </c>
      <c r="AL6862">
        <v>79.796556155268405</v>
      </c>
      <c r="AM6862">
        <v>93.451776405426699</v>
      </c>
      <c r="AN6862">
        <v>1.00000001985063</v>
      </c>
    </row>
    <row r="6863" spans="1:40" x14ac:dyDescent="0.25">
      <c r="A6863" t="str">
        <f>"20190312172248332"</f>
        <v>20190312172248332</v>
      </c>
      <c r="B6863" t="str">
        <f>"1552382568327711"</f>
        <v>1552382568327711</v>
      </c>
      <c r="C6863" t="s">
        <v>40</v>
      </c>
      <c r="D6863">
        <v>3.312643</v>
      </c>
      <c r="E6863">
        <v>0.50781209999999999</v>
      </c>
      <c r="F6863" t="s">
        <v>42</v>
      </c>
      <c r="G6863">
        <v>-300.36110000000002</v>
      </c>
      <c r="H6863" s="1">
        <v>-1.455984E-7</v>
      </c>
      <c r="I6863">
        <v>-40.295459999999999</v>
      </c>
      <c r="J6863">
        <v>-301.06220000000002</v>
      </c>
      <c r="K6863">
        <v>1.10998</v>
      </c>
      <c r="L6863">
        <v>-18.313600000000001</v>
      </c>
      <c r="M6863">
        <v>-1.157584E-2</v>
      </c>
      <c r="N6863">
        <v>0</v>
      </c>
      <c r="O6863">
        <v>-0.99984360000000005</v>
      </c>
      <c r="P6863">
        <v>5.0966909999999997E-2</v>
      </c>
      <c r="Q6863">
        <v>0.16553689999999999</v>
      </c>
      <c r="R6863">
        <v>-0.98488600000000004</v>
      </c>
      <c r="S6863">
        <v>9.6435549999999995E-2</v>
      </c>
      <c r="T6863">
        <v>-0.1535347</v>
      </c>
      <c r="U6863">
        <v>-3.0656430000000001</v>
      </c>
      <c r="V6863">
        <v>-6.200021E-2</v>
      </c>
      <c r="W6863">
        <v>0.17882239999999999</v>
      </c>
      <c r="X6863">
        <v>0.98192599999999997</v>
      </c>
      <c r="Y6863">
        <v>-4.2971059999999998E-2</v>
      </c>
      <c r="Z6863">
        <v>4.9979219999999998E-2</v>
      </c>
      <c r="AA6863">
        <v>0.99782539999999997</v>
      </c>
      <c r="AB6863">
        <v>18</v>
      </c>
      <c r="AC6863">
        <v>0.70109999999999595</v>
      </c>
      <c r="AD6863">
        <v>-1.1099801455984</v>
      </c>
      <c r="AE6863">
        <v>-21.981860000000001</v>
      </c>
      <c r="AF6863">
        <v>-0.95310652327956902</v>
      </c>
      <c r="AG6863">
        <v>-1.1099801455984</v>
      </c>
      <c r="AH6863">
        <v>21.916445179733099</v>
      </c>
      <c r="AI6863">
        <v>92.896591359190893</v>
      </c>
      <c r="AJ6863">
        <v>92.490120722613796</v>
      </c>
      <c r="AK6863">
        <v>21.9652233606806</v>
      </c>
      <c r="AL6863">
        <v>79.698825308354103</v>
      </c>
      <c r="AM6863">
        <v>93.612941034859602</v>
      </c>
      <c r="AN6863">
        <v>1.0000000731288901</v>
      </c>
    </row>
    <row r="6864" spans="1:40" x14ac:dyDescent="0.25">
      <c r="A6864" t="str">
        <f>"20190312172248355"</f>
        <v>20190312172248355</v>
      </c>
      <c r="B6864" t="str">
        <f>"1552382568347228"</f>
        <v>1552382568347228</v>
      </c>
      <c r="C6864" t="s">
        <v>40</v>
      </c>
      <c r="D6864">
        <v>3.27529</v>
      </c>
      <c r="E6864">
        <v>0.50837140000000003</v>
      </c>
      <c r="F6864" t="s">
        <v>64</v>
      </c>
      <c r="G6864">
        <v>-300.34469999999999</v>
      </c>
      <c r="H6864" s="1">
        <v>-5.2344539999999998E-7</v>
      </c>
      <c r="I6864">
        <v>-41.124890000000001</v>
      </c>
      <c r="J6864">
        <v>-301.06630000000001</v>
      </c>
      <c r="K6864">
        <v>1.109998</v>
      </c>
      <c r="L6864">
        <v>-18.49362</v>
      </c>
      <c r="M6864">
        <v>-1.328066E-2</v>
      </c>
      <c r="N6864">
        <v>0</v>
      </c>
      <c r="O6864">
        <v>-0.99982260000000001</v>
      </c>
      <c r="P6864">
        <v>5.1386510000000003E-2</v>
      </c>
      <c r="Q6864">
        <v>0.16633199999999901</v>
      </c>
      <c r="R6864">
        <v>-0.98473010000000005</v>
      </c>
      <c r="S6864">
        <v>9.6435549999999995E-2</v>
      </c>
      <c r="T6864">
        <v>-0.14919569999999999</v>
      </c>
      <c r="U6864">
        <v>-3.0661320000000001</v>
      </c>
      <c r="V6864">
        <v>-6.410188E-2</v>
      </c>
      <c r="W6864">
        <v>0.179613299999999</v>
      </c>
      <c r="X6864">
        <v>0.98164660000000004</v>
      </c>
      <c r="Y6864">
        <v>-4.467173E-2</v>
      </c>
      <c r="Z6864">
        <v>4.8559100000000001E-2</v>
      </c>
      <c r="AA6864">
        <v>0.99782090000000001</v>
      </c>
      <c r="AB6864">
        <v>18</v>
      </c>
      <c r="AC6864">
        <v>0.721600000000023</v>
      </c>
      <c r="AD6864">
        <v>-1.1099985234454</v>
      </c>
      <c r="AE6864">
        <v>-22.631270000000001</v>
      </c>
      <c r="AF6864">
        <v>-1.0196709148589</v>
      </c>
      <c r="AG6864">
        <v>-1.1099985234454</v>
      </c>
      <c r="AH6864">
        <v>22.565460788867799</v>
      </c>
      <c r="AI6864">
        <v>92.813252314904105</v>
      </c>
      <c r="AJ6864">
        <v>92.587278178418202</v>
      </c>
      <c r="AK6864">
        <v>22.615743324299402</v>
      </c>
      <c r="AL6864">
        <v>79.6527637465623</v>
      </c>
      <c r="AM6864">
        <v>93.736130806993302</v>
      </c>
      <c r="AN6864">
        <v>1.0000000179239901</v>
      </c>
    </row>
    <row r="6865" spans="1:40" x14ac:dyDescent="0.25">
      <c r="A6865" t="str">
        <f>"20190312172248377"</f>
        <v>20190312172248377</v>
      </c>
      <c r="B6865" t="str">
        <f>"1552382568367724"</f>
        <v>1552382568367724</v>
      </c>
      <c r="C6865" t="s">
        <v>40</v>
      </c>
      <c r="D6865">
        <v>3.2974399999999999</v>
      </c>
      <c r="E6865">
        <v>0.50889070000000003</v>
      </c>
      <c r="F6865" t="s">
        <v>64</v>
      </c>
      <c r="G6865">
        <v>-300.36959999999999</v>
      </c>
      <c r="H6865" s="1">
        <v>-6.0580669999999898E-7</v>
      </c>
      <c r="I6865">
        <v>-41.249020000000002</v>
      </c>
      <c r="J6865">
        <v>-301.07060000000001</v>
      </c>
      <c r="K6865">
        <v>1.1100219999999901</v>
      </c>
      <c r="L6865">
        <v>-18.670259999999999</v>
      </c>
      <c r="M6865">
        <v>-1.492715E-2</v>
      </c>
      <c r="N6865">
        <v>0</v>
      </c>
      <c r="O6865">
        <v>-0.99979929999999995</v>
      </c>
      <c r="P6865">
        <v>5.239481E-2</v>
      </c>
      <c r="Q6865">
        <v>0.1665576</v>
      </c>
      <c r="R6865">
        <v>-0.98463909999999999</v>
      </c>
      <c r="S6865">
        <v>9.3902589999999994E-2</v>
      </c>
      <c r="T6865">
        <v>-0.14960179999999901</v>
      </c>
      <c r="U6865">
        <v>-3.0668950000000001</v>
      </c>
      <c r="V6865">
        <v>-6.6737030000000003E-2</v>
      </c>
      <c r="W6865">
        <v>0.1798352</v>
      </c>
      <c r="X6865">
        <v>0.98143040000000004</v>
      </c>
      <c r="Y6865">
        <v>-4.5485579999999998E-2</v>
      </c>
      <c r="Z6865">
        <v>4.867689E-2</v>
      </c>
      <c r="AA6865">
        <v>0.99777839999999995</v>
      </c>
      <c r="AB6865">
        <v>18</v>
      </c>
      <c r="AC6865">
        <v>0.70100000000002105</v>
      </c>
      <c r="AD6865">
        <v>-1.11002260580669</v>
      </c>
      <c r="AE6865">
        <v>-22.578759999999999</v>
      </c>
      <c r="AF6865">
        <v>-1.03548822291781</v>
      </c>
      <c r="AG6865">
        <v>-1.11002260580669</v>
      </c>
      <c r="AH6865">
        <v>22.5114229826745</v>
      </c>
      <c r="AI6865">
        <v>92.819951713863006</v>
      </c>
      <c r="AJ6865">
        <v>92.633654665420295</v>
      </c>
      <c r="AK6865">
        <v>22.562547523497599</v>
      </c>
      <c r="AL6865">
        <v>79.639840018176102</v>
      </c>
      <c r="AM6865">
        <v>93.890110620093395</v>
      </c>
      <c r="AN6865">
        <v>1.0000000801882001</v>
      </c>
    </row>
    <row r="6866" spans="1:40" x14ac:dyDescent="0.25">
      <c r="A6866" t="str">
        <f>"20190312172248399"</f>
        <v>20190312172248399</v>
      </c>
      <c r="B6866" t="str">
        <f>"1552382568387244"</f>
        <v>1552382568387244</v>
      </c>
      <c r="C6866" t="s">
        <v>40</v>
      </c>
      <c r="D6866">
        <v>3.2747259999999998</v>
      </c>
      <c r="E6866">
        <v>0.5090962</v>
      </c>
      <c r="F6866" t="s">
        <v>64</v>
      </c>
      <c r="G6866">
        <v>-300.38420000000002</v>
      </c>
      <c r="H6866" s="1">
        <v>-6.4482579999999899E-7</v>
      </c>
      <c r="I6866">
        <v>-41.307220000000001</v>
      </c>
      <c r="J6866">
        <v>-301.0754</v>
      </c>
      <c r="K6866">
        <v>1.1100429999999999</v>
      </c>
      <c r="L6866">
        <v>-18.852509999999999</v>
      </c>
      <c r="M6866">
        <v>-1.6593690000000001E-2</v>
      </c>
      <c r="N6866">
        <v>0</v>
      </c>
      <c r="O6866">
        <v>-0.99977320000000003</v>
      </c>
      <c r="P6866">
        <v>5.308624E-2</v>
      </c>
      <c r="Q6866">
        <v>0.16685459999999999</v>
      </c>
      <c r="R6866">
        <v>-0.98455199999999998</v>
      </c>
      <c r="S6866">
        <v>9.3017580000000002E-2</v>
      </c>
      <c r="T6866">
        <v>-0.15040719999999999</v>
      </c>
      <c r="U6866">
        <v>-3.067291</v>
      </c>
      <c r="V6866">
        <v>-6.9075800000000007E-2</v>
      </c>
      <c r="W6866">
        <v>0.18012739999999999</v>
      </c>
      <c r="X6866">
        <v>0.9812149</v>
      </c>
      <c r="Y6866">
        <v>-4.6858759999999999E-2</v>
      </c>
      <c r="Z6866">
        <v>4.892875E-2</v>
      </c>
      <c r="AA6866">
        <v>0.99770250000000005</v>
      </c>
      <c r="AB6866">
        <v>18</v>
      </c>
      <c r="AC6866">
        <v>0.69119999999998005</v>
      </c>
      <c r="AD6866">
        <v>-1.1100436448258</v>
      </c>
      <c r="AE6866">
        <v>-22.454709999999999</v>
      </c>
      <c r="AF6866">
        <v>-1.06115372549655</v>
      </c>
      <c r="AG6866">
        <v>-1.1100436448258</v>
      </c>
      <c r="AH6866">
        <v>22.3854933714913</v>
      </c>
      <c r="AI6866">
        <v>92.835657796208807</v>
      </c>
      <c r="AJ6866">
        <v>92.713996477094895</v>
      </c>
      <c r="AK6866">
        <v>22.438105036023799</v>
      </c>
      <c r="AL6866">
        <v>79.622819557555204</v>
      </c>
      <c r="AM6866">
        <v>94.026878402973793</v>
      </c>
      <c r="AN6866">
        <v>1.0000000131792</v>
      </c>
    </row>
    <row r="6867" spans="1:40" x14ac:dyDescent="0.25">
      <c r="A6867" t="str">
        <f>"20190312172248422"</f>
        <v>20190312172248422</v>
      </c>
      <c r="B6867" t="str">
        <f>"1552382568417500"</f>
        <v>1552382568417500</v>
      </c>
      <c r="C6867" t="s">
        <v>40</v>
      </c>
      <c r="D6867">
        <v>3.2838620000000001</v>
      </c>
      <c r="E6867">
        <v>0.5120441</v>
      </c>
      <c r="F6867" t="s">
        <v>64</v>
      </c>
      <c r="G6867">
        <v>-300.37979999999999</v>
      </c>
      <c r="H6867" s="1">
        <v>-8.2360869999999899E-7</v>
      </c>
      <c r="I6867">
        <v>-41.589440000000003</v>
      </c>
      <c r="J6867">
        <v>-301.08030000000002</v>
      </c>
      <c r="K6867">
        <v>1.110074</v>
      </c>
      <c r="L6867">
        <v>-19.031040000000001</v>
      </c>
      <c r="M6867">
        <v>-1.8185840000000002E-2</v>
      </c>
      <c r="N6867">
        <v>0</v>
      </c>
      <c r="O6867">
        <v>-0.9997452</v>
      </c>
      <c r="P6867">
        <v>5.3978930000000001E-2</v>
      </c>
      <c r="Q6867">
        <v>0.16770079999999901</v>
      </c>
      <c r="R6867">
        <v>-0.98435899999999998</v>
      </c>
      <c r="S6867">
        <v>9.3841549999999996E-2</v>
      </c>
      <c r="T6867">
        <v>-0.1497532</v>
      </c>
      <c r="U6867">
        <v>-3.067383</v>
      </c>
      <c r="V6867">
        <v>-7.1540850000000003E-2</v>
      </c>
      <c r="W6867">
        <v>0.18096690000000001</v>
      </c>
      <c r="X6867">
        <v>0.98088370000000003</v>
      </c>
      <c r="Y6867">
        <v>-4.8716639999999999E-2</v>
      </c>
      <c r="Z6867">
        <v>4.8710650000000001E-2</v>
      </c>
      <c r="AA6867">
        <v>0.99762419999999996</v>
      </c>
      <c r="AB6867">
        <v>18</v>
      </c>
      <c r="AC6867">
        <v>0.70050000000003299</v>
      </c>
      <c r="AD6867">
        <v>-1.1100748236086999</v>
      </c>
      <c r="AE6867">
        <v>-22.558399999999999</v>
      </c>
      <c r="AF6867">
        <v>-1.10798384967321</v>
      </c>
      <c r="AG6867">
        <v>-1.1100748236086999</v>
      </c>
      <c r="AH6867">
        <v>22.487526872805599</v>
      </c>
      <c r="AI6867">
        <v>92.822637682427199</v>
      </c>
      <c r="AJ6867">
        <v>92.820741577313797</v>
      </c>
      <c r="AK6867">
        <v>22.542155158287301</v>
      </c>
      <c r="AL6867">
        <v>79.573915657561599</v>
      </c>
      <c r="AM6867">
        <v>94.171487046491706</v>
      </c>
      <c r="AN6867">
        <v>0.99999997252001005</v>
      </c>
    </row>
    <row r="6868" spans="1:40" x14ac:dyDescent="0.25">
      <c r="A6868" t="str">
        <f>"20190312172248443"</f>
        <v>20190312172248443</v>
      </c>
      <c r="B6868" t="str">
        <f>"1552382568437020"</f>
        <v>1552382568437020</v>
      </c>
      <c r="C6868" t="s">
        <v>40</v>
      </c>
      <c r="D6868">
        <v>3.2567149999999998</v>
      </c>
      <c r="E6868">
        <v>0.51237679999999997</v>
      </c>
      <c r="F6868" t="s">
        <v>64</v>
      </c>
      <c r="G6868">
        <v>-300.55680000000001</v>
      </c>
      <c r="H6868" s="1">
        <v>-3.92686E-7</v>
      </c>
      <c r="I6868">
        <v>-40.872709999999998</v>
      </c>
      <c r="J6868">
        <v>-301.08530000000002</v>
      </c>
      <c r="K6868">
        <v>1.1101000000000001</v>
      </c>
      <c r="L6868">
        <v>-19.205929999999999</v>
      </c>
      <c r="M6868">
        <v>-1.9706250000000002E-2</v>
      </c>
      <c r="N6868">
        <v>0</v>
      </c>
      <c r="O6868">
        <v>-0.99971650000000001</v>
      </c>
      <c r="P6868">
        <v>5.5525150000000002E-2</v>
      </c>
      <c r="Q6868">
        <v>0.168782399999999</v>
      </c>
      <c r="R6868">
        <v>-0.98408839999999997</v>
      </c>
      <c r="S6868">
        <v>7.3577879999999998E-2</v>
      </c>
      <c r="T6868">
        <v>-0.15604000000000001</v>
      </c>
      <c r="U6868">
        <v>-3.0702210000000001</v>
      </c>
      <c r="V6868">
        <v>-7.4585780000000004E-2</v>
      </c>
      <c r="W6868">
        <v>0.1820407</v>
      </c>
      <c r="X6868">
        <v>0.9804581</v>
      </c>
      <c r="Y6868">
        <v>-4.3624999999999997E-2</v>
      </c>
      <c r="Z6868">
        <v>5.0711970000000002E-2</v>
      </c>
      <c r="AA6868">
        <v>0.99776010000000004</v>
      </c>
      <c r="AB6868">
        <v>18</v>
      </c>
      <c r="AC6868">
        <v>0.52850000000000796</v>
      </c>
      <c r="AD6868">
        <v>-1.110100392686</v>
      </c>
      <c r="AE6868">
        <v>-21.666779999999999</v>
      </c>
      <c r="AF6868">
        <v>-0.95290653782111101</v>
      </c>
      <c r="AG6868">
        <v>-1.110100392686</v>
      </c>
      <c r="AH6868">
        <v>21.595500834331698</v>
      </c>
      <c r="AI6868">
        <v>92.939800629811003</v>
      </c>
      <c r="AJ6868">
        <v>92.526550793642798</v>
      </c>
      <c r="AK6868">
        <v>21.644999654360898</v>
      </c>
      <c r="AL6868">
        <v>79.511352259946193</v>
      </c>
      <c r="AM6868">
        <v>94.350247517418595</v>
      </c>
      <c r="AN6868">
        <v>0.99999997044515299</v>
      </c>
    </row>
    <row r="6869" spans="1:40" x14ac:dyDescent="0.25">
      <c r="A6869" t="str">
        <f>"20190312172248466"</f>
        <v>20190312172248466</v>
      </c>
      <c r="B6869" t="str">
        <f>"1552382568457516"</f>
        <v>1552382568457516</v>
      </c>
      <c r="C6869" t="s">
        <v>40</v>
      </c>
      <c r="D6869">
        <v>3.2626279999999999</v>
      </c>
      <c r="E6869">
        <v>0.51264829999999995</v>
      </c>
      <c r="F6869" t="s">
        <v>64</v>
      </c>
      <c r="G6869">
        <v>-300.53050000000002</v>
      </c>
      <c r="H6869" s="1">
        <v>-8.2041069999999902E-7</v>
      </c>
      <c r="I6869">
        <v>-41.551389999999998</v>
      </c>
      <c r="J6869">
        <v>-301.09059999999999</v>
      </c>
      <c r="K6869">
        <v>1.1101209999999999</v>
      </c>
      <c r="L6869">
        <v>-19.38156</v>
      </c>
      <c r="M6869">
        <v>-2.1199579999999999E-2</v>
      </c>
      <c r="N6869">
        <v>0</v>
      </c>
      <c r="O6869">
        <v>-0.99968579999999996</v>
      </c>
      <c r="P6869">
        <v>5.7573390000000002E-2</v>
      </c>
      <c r="Q6869">
        <v>0.16952979999999901</v>
      </c>
      <c r="R6869">
        <v>-0.98384229999999995</v>
      </c>
      <c r="S6869">
        <v>7.6232910000000001E-2</v>
      </c>
      <c r="T6869">
        <v>-0.15253320000000001</v>
      </c>
      <c r="U6869">
        <v>-3.0703740000000002</v>
      </c>
      <c r="V6869">
        <v>-7.8104580000000007E-2</v>
      </c>
      <c r="W6869">
        <v>0.18278240000000001</v>
      </c>
      <c r="X6869">
        <v>0.98004599999999997</v>
      </c>
      <c r="Y6869">
        <v>-4.5979730000000003E-2</v>
      </c>
      <c r="Z6869">
        <v>4.956725E-2</v>
      </c>
      <c r="AA6869">
        <v>0.99771180000000004</v>
      </c>
      <c r="AB6869">
        <v>18</v>
      </c>
      <c r="AC6869">
        <v>0.56009999999997695</v>
      </c>
      <c r="AD6869">
        <v>-1.1101218204107</v>
      </c>
      <c r="AE6869">
        <v>-22.169830000000001</v>
      </c>
      <c r="AF6869">
        <v>-1.0274327290882099</v>
      </c>
      <c r="AG6869">
        <v>-1.1101218204107</v>
      </c>
      <c r="AH6869">
        <v>22.0976005152643</v>
      </c>
      <c r="AI6869">
        <v>92.872863961277901</v>
      </c>
      <c r="AJ6869">
        <v>92.662062514082393</v>
      </c>
      <c r="AK6869">
        <v>22.149310079574999</v>
      </c>
      <c r="AL6869">
        <v>79.468130566534398</v>
      </c>
      <c r="AM6869">
        <v>94.556545953186301</v>
      </c>
      <c r="AN6869">
        <v>0.99999994664136604</v>
      </c>
    </row>
    <row r="6870" spans="1:40" x14ac:dyDescent="0.25">
      <c r="A6870" t="str">
        <f>"20190312172248488"</f>
        <v>20190312172248488</v>
      </c>
      <c r="B6870" t="str">
        <f>"1552382568477036"</f>
        <v>1552382568477036</v>
      </c>
      <c r="C6870" t="s">
        <v>40</v>
      </c>
      <c r="D6870">
        <v>3.243827</v>
      </c>
      <c r="E6870">
        <v>0.5144415</v>
      </c>
      <c r="F6870" t="s">
        <v>64</v>
      </c>
      <c r="G6870">
        <v>-300.49790000000002</v>
      </c>
      <c r="H6870" s="1">
        <v>-1.082355E-6</v>
      </c>
      <c r="I6870">
        <v>-41.970649999999999</v>
      </c>
      <c r="J6870">
        <v>-301.09609999999998</v>
      </c>
      <c r="K6870">
        <v>1.110152</v>
      </c>
      <c r="L6870">
        <v>-19.55734</v>
      </c>
      <c r="M6870">
        <v>-2.2659820000000001E-2</v>
      </c>
      <c r="N6870">
        <v>0</v>
      </c>
      <c r="O6870">
        <v>-0.99965400000000004</v>
      </c>
      <c r="P6870">
        <v>6.05353E-2</v>
      </c>
      <c r="Q6870">
        <v>0.16985710000000001</v>
      </c>
      <c r="R6870">
        <v>-0.98360789999999998</v>
      </c>
      <c r="S6870">
        <v>8.0566410000000005E-2</v>
      </c>
      <c r="T6870">
        <v>-0.15090000000000001</v>
      </c>
      <c r="U6870">
        <v>-3.070557</v>
      </c>
      <c r="V6870">
        <v>-8.2504209999999994E-2</v>
      </c>
      <c r="W6870">
        <v>0.18310489999999999</v>
      </c>
      <c r="X6870">
        <v>0.97962530000000003</v>
      </c>
      <c r="Y6870">
        <v>-4.8845090000000001E-2</v>
      </c>
      <c r="Z6870">
        <v>4.9028330000000002E-2</v>
      </c>
      <c r="AA6870">
        <v>0.99760230000000005</v>
      </c>
      <c r="AB6870">
        <v>18</v>
      </c>
      <c r="AC6870">
        <v>0.59819999999996298</v>
      </c>
      <c r="AD6870">
        <v>-1.1101530823549901</v>
      </c>
      <c r="AE6870">
        <v>-22.413309999999999</v>
      </c>
      <c r="AF6870">
        <v>-1.10326851611946</v>
      </c>
      <c r="AG6870">
        <v>-1.1101530823549901</v>
      </c>
      <c r="AH6870">
        <v>22.3392314538448</v>
      </c>
      <c r="AI6870">
        <v>92.841528496471199</v>
      </c>
      <c r="AJ6870">
        <v>92.827371716311802</v>
      </c>
      <c r="AK6870">
        <v>22.3939925701821</v>
      </c>
      <c r="AL6870">
        <v>79.449336462166599</v>
      </c>
      <c r="AM6870">
        <v>94.814099585471894</v>
      </c>
      <c r="AN6870">
        <v>1.00000003873591</v>
      </c>
    </row>
    <row r="6871" spans="1:40" x14ac:dyDescent="0.25">
      <c r="A6871" t="str">
        <f>"20190312172248511"</f>
        <v>20190312172248511</v>
      </c>
      <c r="B6871" t="str">
        <f>"1552382568507292"</f>
        <v>1552382568507292</v>
      </c>
      <c r="C6871" t="s">
        <v>40</v>
      </c>
      <c r="D6871">
        <v>3.2782960000000001</v>
      </c>
      <c r="E6871">
        <v>0.51477510000000004</v>
      </c>
      <c r="F6871" t="s">
        <v>64</v>
      </c>
      <c r="G6871">
        <v>-300.55619999999999</v>
      </c>
      <c r="H6871" s="1">
        <v>-7.6926649999999896E-7</v>
      </c>
      <c r="I6871">
        <v>-41.465310000000002</v>
      </c>
      <c r="J6871">
        <v>-301.1019</v>
      </c>
      <c r="K6871">
        <v>1.110171</v>
      </c>
      <c r="L6871">
        <v>-19.737300000000001</v>
      </c>
      <c r="M6871">
        <v>-2.4117010000000001E-2</v>
      </c>
      <c r="N6871">
        <v>0</v>
      </c>
      <c r="O6871">
        <v>-0.99962010000000001</v>
      </c>
      <c r="P6871">
        <v>6.3873050000000001E-2</v>
      </c>
      <c r="Q6871">
        <v>0.17085239999999999</v>
      </c>
      <c r="R6871">
        <v>-0.98322430000000005</v>
      </c>
      <c r="S6871">
        <v>7.5714110000000001E-2</v>
      </c>
      <c r="T6871">
        <v>-0.15568080000000001</v>
      </c>
      <c r="U6871">
        <v>-3.072235</v>
      </c>
      <c r="V6871">
        <v>-8.7270139999999996E-2</v>
      </c>
      <c r="W6871">
        <v>0.18409349999999999</v>
      </c>
      <c r="X6871">
        <v>0.97902679999999997</v>
      </c>
      <c r="Y6871">
        <v>-4.8710299999999998E-2</v>
      </c>
      <c r="Z6871">
        <v>5.0548750000000003E-2</v>
      </c>
      <c r="AA6871">
        <v>0.997533</v>
      </c>
      <c r="AB6871">
        <v>18</v>
      </c>
      <c r="AC6871">
        <v>0.54570000000000995</v>
      </c>
      <c r="AD6871">
        <v>-1.1101717692665001</v>
      </c>
      <c r="AE6871">
        <v>-21.728009999999902</v>
      </c>
      <c r="AF6871">
        <v>-1.0668192520131199</v>
      </c>
      <c r="AG6871">
        <v>-1.1101717692665001</v>
      </c>
      <c r="AH6871">
        <v>21.6520381035462</v>
      </c>
      <c r="AI6871">
        <v>92.931624114266697</v>
      </c>
      <c r="AJ6871">
        <v>92.820743698169693</v>
      </c>
      <c r="AK6871">
        <v>21.7067118355397</v>
      </c>
      <c r="AL6871">
        <v>79.3917137656465</v>
      </c>
      <c r="AM6871">
        <v>95.0938644234419</v>
      </c>
      <c r="AN6871">
        <v>0.99999998459805395</v>
      </c>
    </row>
    <row r="6872" spans="1:40" x14ac:dyDescent="0.25">
      <c r="A6872" t="str">
        <f>"20190312172248533"</f>
        <v>20190312172248533</v>
      </c>
      <c r="B6872" t="str">
        <f>"1552382568527791"</f>
        <v>1552382568527791</v>
      </c>
      <c r="C6872" t="s">
        <v>40</v>
      </c>
      <c r="D6872">
        <v>3.260564</v>
      </c>
      <c r="E6872">
        <v>0.51493990000000001</v>
      </c>
      <c r="F6872" t="s">
        <v>64</v>
      </c>
      <c r="G6872">
        <v>-300.49990000000003</v>
      </c>
      <c r="H6872" s="1">
        <v>-1.006682E-6</v>
      </c>
      <c r="I6872">
        <v>-41.851149999999997</v>
      </c>
      <c r="J6872">
        <v>-301.10789999999997</v>
      </c>
      <c r="K6872">
        <v>1.1102000000000001</v>
      </c>
      <c r="L6872">
        <v>-19.91403</v>
      </c>
      <c r="M6872">
        <v>-2.5508610000000001E-2</v>
      </c>
      <c r="N6872">
        <v>0</v>
      </c>
      <c r="O6872">
        <v>-0.99958539999999996</v>
      </c>
      <c r="P6872">
        <v>6.7395579999999997E-2</v>
      </c>
      <c r="Q6872">
        <v>0.17159849999999999</v>
      </c>
      <c r="R6872">
        <v>-0.98285909999999999</v>
      </c>
      <c r="S6872">
        <v>8.3648680000000003E-2</v>
      </c>
      <c r="T6872">
        <v>-0.15424939999999901</v>
      </c>
      <c r="U6872">
        <v>-3.07254</v>
      </c>
      <c r="V6872">
        <v>-9.2157329999999996E-2</v>
      </c>
      <c r="W6872">
        <v>0.1848321</v>
      </c>
      <c r="X6872">
        <v>0.97843959999999996</v>
      </c>
      <c r="Y6872">
        <v>-5.2672919999999998E-2</v>
      </c>
      <c r="Z6872">
        <v>5.007089E-2</v>
      </c>
      <c r="AA6872">
        <v>0.99735580000000001</v>
      </c>
      <c r="AB6872">
        <v>18</v>
      </c>
      <c r="AC6872">
        <v>0.60799999999994703</v>
      </c>
      <c r="AD6872">
        <v>-1.1102010066820001</v>
      </c>
      <c r="AE6872">
        <v>-21.93712</v>
      </c>
      <c r="AF6872">
        <v>-1.164457343696</v>
      </c>
      <c r="AG6872">
        <v>-1.1102010066820001</v>
      </c>
      <c r="AH6872">
        <v>21.858528664691502</v>
      </c>
      <c r="AI6872">
        <v>92.903460826063295</v>
      </c>
      <c r="AJ6872">
        <v>93.049403957016096</v>
      </c>
      <c r="AK6872">
        <v>21.9176591488614</v>
      </c>
      <c r="AL6872">
        <v>79.348655997991699</v>
      </c>
      <c r="AM6872">
        <v>95.380704473510605</v>
      </c>
      <c r="AN6872">
        <v>0.99999996475564801</v>
      </c>
    </row>
    <row r="6873" spans="1:40" x14ac:dyDescent="0.25">
      <c r="A6873" t="str">
        <f>"20190312172248555"</f>
        <v>20190312172248555</v>
      </c>
      <c r="B6873" t="str">
        <f>"1552382568547308"</f>
        <v>1552382568547308</v>
      </c>
      <c r="C6873" t="s">
        <v>40</v>
      </c>
      <c r="D6873">
        <v>3.2651629999999998</v>
      </c>
      <c r="E6873">
        <v>0.51722539999999995</v>
      </c>
      <c r="F6873" t="s">
        <v>64</v>
      </c>
      <c r="G6873">
        <v>-300.4248</v>
      </c>
      <c r="H6873" s="1">
        <v>-1.273469E-6</v>
      </c>
      <c r="I6873">
        <v>-42.287329999999997</v>
      </c>
      <c r="J6873">
        <v>-301.11399999999998</v>
      </c>
      <c r="K6873">
        <v>1.1102350000000001</v>
      </c>
      <c r="L6873">
        <v>-20.08878</v>
      </c>
      <c r="M6873">
        <v>-2.6843100000000002E-2</v>
      </c>
      <c r="N6873">
        <v>0</v>
      </c>
      <c r="O6873">
        <v>-0.9995503</v>
      </c>
      <c r="P6873">
        <v>7.0766609999999994E-2</v>
      </c>
      <c r="Q6873">
        <v>0.17337759999999999</v>
      </c>
      <c r="R6873">
        <v>-0.98230980000000001</v>
      </c>
      <c r="S6873">
        <v>9.3811039999999998E-2</v>
      </c>
      <c r="T6873">
        <v>-0.15246319999999999</v>
      </c>
      <c r="U6873">
        <v>-3.0725099999999999</v>
      </c>
      <c r="V6873">
        <v>-9.6830410000000006E-2</v>
      </c>
      <c r="W6873">
        <v>0.1865994</v>
      </c>
      <c r="X6873">
        <v>0.97765250000000004</v>
      </c>
      <c r="Y6873">
        <v>-5.7302720000000001E-2</v>
      </c>
      <c r="Z6873">
        <v>4.948172E-2</v>
      </c>
      <c r="AA6873">
        <v>0.99712990000000001</v>
      </c>
      <c r="AB6873">
        <v>18</v>
      </c>
      <c r="AC6873">
        <v>0.68920000000002801</v>
      </c>
      <c r="AD6873">
        <v>-1.1102362734689999</v>
      </c>
      <c r="AE6873">
        <v>-22.198550000000001</v>
      </c>
      <c r="AF6873">
        <v>-1.2816798435250001</v>
      </c>
      <c r="AG6873">
        <v>-1.1102362734689999</v>
      </c>
      <c r="AH6873">
        <v>22.116778169115999</v>
      </c>
      <c r="AI6873">
        <v>92.868963254687003</v>
      </c>
      <c r="AJ6873">
        <v>93.316613557623</v>
      </c>
      <c r="AK6873">
        <v>22.1816862385642</v>
      </c>
      <c r="AL6873">
        <v>79.245604116431196</v>
      </c>
      <c r="AM6873">
        <v>95.656343727557598</v>
      </c>
      <c r="AN6873">
        <v>0.99999993756868699</v>
      </c>
    </row>
    <row r="6874" spans="1:40" x14ac:dyDescent="0.25">
      <c r="A6874" t="str">
        <f>"20190312172248577"</f>
        <v>20190312172248577</v>
      </c>
      <c r="B6874" t="str">
        <f>"1552382568567805"</f>
        <v>1552382568567805</v>
      </c>
      <c r="C6874" t="s">
        <v>40</v>
      </c>
      <c r="D6874">
        <v>3.2973870000000001</v>
      </c>
      <c r="E6874">
        <v>0.51345739999999995</v>
      </c>
      <c r="F6874" t="s">
        <v>64</v>
      </c>
      <c r="G6874">
        <v>-300.47719999999998</v>
      </c>
      <c r="H6874" s="1">
        <v>-1.280895E-6</v>
      </c>
      <c r="I6874">
        <v>-42.287529999999997</v>
      </c>
      <c r="J6874">
        <v>-301.12020000000001</v>
      </c>
      <c r="K6874">
        <v>1.1102719999999999</v>
      </c>
      <c r="L6874">
        <v>-20.264220000000002</v>
      </c>
      <c r="M6874">
        <v>-2.813742E-2</v>
      </c>
      <c r="N6874">
        <v>0</v>
      </c>
      <c r="O6874">
        <v>-0.99951489999999998</v>
      </c>
      <c r="P6874">
        <v>7.4416609999999994E-2</v>
      </c>
      <c r="Q6874">
        <v>0.1761606</v>
      </c>
      <c r="R6874">
        <v>-0.98154490000000005</v>
      </c>
      <c r="S6874">
        <v>8.8195800000000005E-2</v>
      </c>
      <c r="T6874">
        <v>-0.15378129999999901</v>
      </c>
      <c r="U6874">
        <v>-3.0747990000000001</v>
      </c>
      <c r="V6874">
        <v>-0.1017358</v>
      </c>
      <c r="W6874">
        <v>0.18936639999999999</v>
      </c>
      <c r="X6874">
        <v>0.97662179999999998</v>
      </c>
      <c r="Y6874">
        <v>-5.675293E-2</v>
      </c>
      <c r="Z6874">
        <v>4.9870860000000003E-2</v>
      </c>
      <c r="AA6874">
        <v>0.99714190000000003</v>
      </c>
      <c r="AB6874">
        <v>18</v>
      </c>
      <c r="AC6874">
        <v>0.64300000000002899</v>
      </c>
      <c r="AD6874">
        <v>-1.110273280895</v>
      </c>
      <c r="AE6874">
        <v>-22.023309999999899</v>
      </c>
      <c r="AF6874">
        <v>-1.2592819554205801</v>
      </c>
      <c r="AG6874">
        <v>-1.110273280895</v>
      </c>
      <c r="AH6874">
        <v>21.940779087484302</v>
      </c>
      <c r="AI6874">
        <v>92.892126381582202</v>
      </c>
      <c r="AJ6874">
        <v>93.284863835953502</v>
      </c>
      <c r="AK6874">
        <v>22.004915013862401</v>
      </c>
      <c r="AL6874">
        <v>79.084189360677996</v>
      </c>
      <c r="AM6874">
        <v>95.947116242746603</v>
      </c>
      <c r="AN6874">
        <v>0.99999997334291901</v>
      </c>
    </row>
    <row r="6875" spans="1:40" x14ac:dyDescent="0.25">
      <c r="A6875" t="str">
        <f>"20190312172248601"</f>
        <v>20190312172248601</v>
      </c>
      <c r="B6875" t="str">
        <f>"1552382568598060"</f>
        <v>1552382568598060</v>
      </c>
      <c r="C6875" t="s">
        <v>40</v>
      </c>
      <c r="D6875">
        <v>3.2357239999999998</v>
      </c>
      <c r="E6875">
        <v>0.4838537</v>
      </c>
      <c r="F6875" t="s">
        <v>64</v>
      </c>
      <c r="G6875">
        <v>-300.16640000000001</v>
      </c>
      <c r="H6875" s="1">
        <v>-1.497237E-6</v>
      </c>
      <c r="I6875">
        <v>-42.695979999999999</v>
      </c>
      <c r="J6875">
        <v>-301.12709999999998</v>
      </c>
      <c r="K6875">
        <v>1.110314</v>
      </c>
      <c r="L6875">
        <v>-20.448910000000001</v>
      </c>
      <c r="M6875">
        <v>-2.9442200000000002E-2</v>
      </c>
      <c r="N6875">
        <v>0</v>
      </c>
      <c r="O6875">
        <v>-0.99947730000000001</v>
      </c>
      <c r="P6875">
        <v>7.9482299999999895E-2</v>
      </c>
      <c r="Q6875">
        <v>0.17840220000000001</v>
      </c>
      <c r="R6875">
        <v>-0.98074240000000001</v>
      </c>
      <c r="S6875">
        <v>0.13070680000000001</v>
      </c>
      <c r="T6875">
        <v>-0.1521392</v>
      </c>
      <c r="U6875">
        <v>-3.0737920000000001</v>
      </c>
      <c r="V6875">
        <v>-0.108067</v>
      </c>
      <c r="W6875">
        <v>0.19158939999999999</v>
      </c>
      <c r="X6875">
        <v>0.97550760000000003</v>
      </c>
      <c r="Y6875">
        <v>-7.1832629999999995E-2</v>
      </c>
      <c r="Z6875">
        <v>4.9316850000000002E-2</v>
      </c>
      <c r="AA6875">
        <v>0.99619669999999905</v>
      </c>
      <c r="AB6875">
        <v>18</v>
      </c>
      <c r="AC6875">
        <v>0.96069999999997402</v>
      </c>
      <c r="AD6875">
        <v>-1.110315497237</v>
      </c>
      <c r="AE6875">
        <v>-22.247070000000001</v>
      </c>
      <c r="AF6875">
        <v>-1.61133839980158</v>
      </c>
      <c r="AG6875">
        <v>-1.110315497237</v>
      </c>
      <c r="AH6875">
        <v>22.154056519083198</v>
      </c>
      <c r="AI6875">
        <v>92.861598811394401</v>
      </c>
      <c r="AJ6875">
        <v>94.159987771098898</v>
      </c>
      <c r="AK6875">
        <v>22.2403109733837</v>
      </c>
      <c r="AL6875">
        <v>78.954445980264495</v>
      </c>
      <c r="AM6875">
        <v>96.321466707386307</v>
      </c>
      <c r="AN6875">
        <v>1.0000000261695501</v>
      </c>
    </row>
    <row r="6876" spans="1:40" x14ac:dyDescent="0.25">
      <c r="A6876" t="str">
        <f>"20190312172248625"</f>
        <v>20190312172248625</v>
      </c>
      <c r="B6876" t="str">
        <f>"1552382568617580"</f>
        <v>1552382568617580</v>
      </c>
      <c r="C6876" t="s">
        <v>40</v>
      </c>
      <c r="D6876">
        <v>3.2084419999999998</v>
      </c>
      <c r="E6876">
        <v>0.48380800000000002</v>
      </c>
      <c r="F6876" t="s">
        <v>64</v>
      </c>
      <c r="G6876">
        <v>-298.01429999999999</v>
      </c>
      <c r="H6876" s="1">
        <v>-3.5419380000000001E-6</v>
      </c>
      <c r="I6876">
        <v>-45.263809999999999</v>
      </c>
      <c r="J6876">
        <v>-301.13400000000001</v>
      </c>
      <c r="K6876">
        <v>1.1103540000000001</v>
      </c>
      <c r="L6876">
        <v>-20.633089999999999</v>
      </c>
      <c r="M6876">
        <v>-3.0674750000000001E-2</v>
      </c>
      <c r="N6876">
        <v>0</v>
      </c>
      <c r="O6876">
        <v>-0.99944029999999995</v>
      </c>
      <c r="P6876">
        <v>8.4045560000000005E-2</v>
      </c>
      <c r="Q6876">
        <v>0.18012909999999999</v>
      </c>
      <c r="R6876">
        <v>-0.98004559999999996</v>
      </c>
      <c r="S6876">
        <v>0.38293460000000001</v>
      </c>
      <c r="T6876">
        <v>-0.13659009999999999</v>
      </c>
      <c r="U6876">
        <v>-3.0527039999999999</v>
      </c>
      <c r="V6876">
        <v>-0.1138286</v>
      </c>
      <c r="W6876">
        <v>0.19329779999999999</v>
      </c>
      <c r="X6876">
        <v>0.97451480000000001</v>
      </c>
      <c r="Y6876">
        <v>-0.154724</v>
      </c>
      <c r="Z6876">
        <v>4.4225559999999997E-2</v>
      </c>
      <c r="AA6876">
        <v>0.98696740000000005</v>
      </c>
      <c r="AB6876">
        <v>18</v>
      </c>
      <c r="AC6876">
        <v>3.1197000000000199</v>
      </c>
      <c r="AD6876">
        <v>-1.1103575419380001</v>
      </c>
      <c r="AE6876">
        <v>-24.63072</v>
      </c>
      <c r="AF6876">
        <v>-3.8661074108619502</v>
      </c>
      <c r="AG6876">
        <v>-1.1103575419380001</v>
      </c>
      <c r="AH6876">
        <v>24.474470366938501</v>
      </c>
      <c r="AI6876">
        <v>92.565841138467803</v>
      </c>
      <c r="AJ6876">
        <v>98.976549175539404</v>
      </c>
      <c r="AK6876">
        <v>24.802809923986601</v>
      </c>
      <c r="AL6876">
        <v>78.854697546596299</v>
      </c>
      <c r="AM6876">
        <v>96.662267536458501</v>
      </c>
      <c r="AN6876">
        <v>1.0000000425409099</v>
      </c>
    </row>
    <row r="6877" spans="1:40" x14ac:dyDescent="0.25">
      <c r="A6877" t="str">
        <f>"20190312172248647"</f>
        <v>20190312172248647</v>
      </c>
      <c r="B6877" t="str">
        <f>"1552382568637101"</f>
        <v>1552382568637101</v>
      </c>
      <c r="C6877" t="s">
        <v>40</v>
      </c>
      <c r="D6877">
        <v>3.2359149999999999</v>
      </c>
      <c r="E6877">
        <v>0.48416239999999999</v>
      </c>
      <c r="F6877" t="s">
        <v>64</v>
      </c>
      <c r="G6877">
        <v>-297.66469999999998</v>
      </c>
      <c r="H6877" s="1">
        <v>-4.5965339999999996E-6</v>
      </c>
      <c r="I6877">
        <v>-47.172629999999998</v>
      </c>
      <c r="J6877">
        <v>-301.14080000000001</v>
      </c>
      <c r="K6877">
        <v>1.1103940000000001</v>
      </c>
      <c r="L6877">
        <v>-20.81073</v>
      </c>
      <c r="M6877">
        <v>-3.18091E-2</v>
      </c>
      <c r="N6877">
        <v>0</v>
      </c>
      <c r="O6877">
        <v>-0.99940490000000004</v>
      </c>
      <c r="P6877">
        <v>8.9416960000000004E-2</v>
      </c>
      <c r="Q6877">
        <v>0.18295919999999999</v>
      </c>
      <c r="R6877">
        <v>-0.97904579999999997</v>
      </c>
      <c r="S6877">
        <v>0.39874270000000001</v>
      </c>
      <c r="T6877">
        <v>-0.12762029999999999</v>
      </c>
      <c r="U6877">
        <v>-3.050354</v>
      </c>
      <c r="V6877">
        <v>-0.1202864</v>
      </c>
      <c r="W6877">
        <v>0.1961059</v>
      </c>
      <c r="X6877">
        <v>0.97317710000000002</v>
      </c>
      <c r="Y6877">
        <v>-0.1609844</v>
      </c>
      <c r="Z6877">
        <v>4.1321450000000003E-2</v>
      </c>
      <c r="AA6877">
        <v>0.98609159999999996</v>
      </c>
      <c r="AB6877">
        <v>18</v>
      </c>
      <c r="AC6877">
        <v>3.4761000000000299</v>
      </c>
      <c r="AD6877">
        <v>-1.110398596534</v>
      </c>
      <c r="AE6877">
        <v>-26.361899999999999</v>
      </c>
      <c r="AF6877">
        <v>-4.3054553917907699</v>
      </c>
      <c r="AG6877">
        <v>-1.110398596534</v>
      </c>
      <c r="AH6877">
        <v>26.192299673625499</v>
      </c>
      <c r="AI6877">
        <v>92.395439678161097</v>
      </c>
      <c r="AJ6877">
        <v>99.334725581903996</v>
      </c>
      <c r="AK6877">
        <v>26.567018902520601</v>
      </c>
      <c r="AL6877">
        <v>78.690665626499893</v>
      </c>
      <c r="AM6877">
        <v>97.046121946186901</v>
      </c>
      <c r="AN6877">
        <v>1.0000000050020801</v>
      </c>
    </row>
    <row r="6878" spans="1:40" x14ac:dyDescent="0.25">
      <c r="A6878" t="str">
        <f>"20190312172248668"</f>
        <v>20190312172248668</v>
      </c>
      <c r="B6878" t="str">
        <f>"1552382568657597"</f>
        <v>1552382568657597</v>
      </c>
      <c r="C6878" t="s">
        <v>40</v>
      </c>
      <c r="D6878">
        <v>3.2355550000000002</v>
      </c>
      <c r="E6878">
        <v>0.48466239999999999</v>
      </c>
      <c r="F6878" t="s">
        <v>64</v>
      </c>
      <c r="G6878">
        <v>-297.48899999999998</v>
      </c>
      <c r="H6878" s="1">
        <v>-4.8839589999999997E-6</v>
      </c>
      <c r="I6878">
        <v>-47.660240000000002</v>
      </c>
      <c r="J6878">
        <v>-301.14710000000002</v>
      </c>
      <c r="K6878">
        <v>1.110433</v>
      </c>
      <c r="L6878">
        <v>-20.970400000000001</v>
      </c>
      <c r="M6878">
        <v>-3.2780419999999998E-2</v>
      </c>
      <c r="N6878">
        <v>0</v>
      </c>
      <c r="O6878">
        <v>-0.99937339999999997</v>
      </c>
      <c r="P6878">
        <v>9.4473719999999997E-2</v>
      </c>
      <c r="Q6878">
        <v>0.1851237</v>
      </c>
      <c r="R6878">
        <v>-0.97816380000000003</v>
      </c>
      <c r="S6878">
        <v>0.41482540000000001</v>
      </c>
      <c r="T6878">
        <v>-0.12613269999999999</v>
      </c>
      <c r="U6878">
        <v>-3.0498959999999999</v>
      </c>
      <c r="V6878">
        <v>-0.12626950000000001</v>
      </c>
      <c r="W6878">
        <v>0.1982507</v>
      </c>
      <c r="X6878">
        <v>0.97198390000000001</v>
      </c>
      <c r="Y6878">
        <v>-0.16707139999999901</v>
      </c>
      <c r="Z6878">
        <v>4.080976E-2</v>
      </c>
      <c r="AA6878">
        <v>0.98509990000000003</v>
      </c>
      <c r="AB6878">
        <v>17</v>
      </c>
      <c r="AC6878">
        <v>3.6580999999999899</v>
      </c>
      <c r="AD6878">
        <v>-1.1104378839589999</v>
      </c>
      <c r="AE6878">
        <v>-26.68984</v>
      </c>
      <c r="AF6878">
        <v>-4.5234301852229999</v>
      </c>
      <c r="AG6878">
        <v>-1.1104378839589999</v>
      </c>
      <c r="AH6878">
        <v>26.510525469417502</v>
      </c>
      <c r="AI6878">
        <v>92.364396134737405</v>
      </c>
      <c r="AJ6878">
        <v>99.682996483248999</v>
      </c>
      <c r="AK6878">
        <v>26.916583245266299</v>
      </c>
      <c r="AL6878">
        <v>78.565316824794493</v>
      </c>
      <c r="AM6878">
        <v>97.401787327378401</v>
      </c>
      <c r="AN6878">
        <v>1.0000000142699701</v>
      </c>
    </row>
    <row r="6879" spans="1:40" x14ac:dyDescent="0.25">
      <c r="A6879" t="str">
        <f>"20190312172248689"</f>
        <v>20190312172248689</v>
      </c>
      <c r="B6879" t="str">
        <f>"1552382568686877"</f>
        <v>1552382568686877</v>
      </c>
      <c r="C6879" t="s">
        <v>40</v>
      </c>
      <c r="D6879">
        <v>3.2559399999999998</v>
      </c>
      <c r="E6879">
        <v>0.48547439999999997</v>
      </c>
      <c r="F6879" t="s">
        <v>64</v>
      </c>
      <c r="G6879">
        <v>-297.32459999999998</v>
      </c>
      <c r="H6879" s="1">
        <v>-5.1659190000000003E-6</v>
      </c>
      <c r="I6879">
        <v>-48.142060000000001</v>
      </c>
      <c r="J6879">
        <v>-301.15379999999999</v>
      </c>
      <c r="K6879">
        <v>1.1104689999999999</v>
      </c>
      <c r="L6879">
        <v>-21.140229999999999</v>
      </c>
      <c r="M6879">
        <v>-3.3757309999999999E-2</v>
      </c>
      <c r="N6879">
        <v>0</v>
      </c>
      <c r="O6879">
        <v>-0.99934109999999998</v>
      </c>
      <c r="P6879">
        <v>9.9119399999999996E-2</v>
      </c>
      <c r="Q6879">
        <v>0.1868068</v>
      </c>
      <c r="R6879">
        <v>-0.97738400000000003</v>
      </c>
      <c r="S6879">
        <v>0.42895509999999898</v>
      </c>
      <c r="T6879">
        <v>-0.1246104</v>
      </c>
      <c r="U6879">
        <v>-3.0491329999999999</v>
      </c>
      <c r="V6879">
        <v>-0.13185079999999999</v>
      </c>
      <c r="W6879">
        <v>0.19991429999999999</v>
      </c>
      <c r="X6879">
        <v>0.97090149999999997</v>
      </c>
      <c r="Y6879">
        <v>-0.17254749999999999</v>
      </c>
      <c r="Z6879">
        <v>4.0294150000000001E-2</v>
      </c>
      <c r="AA6879">
        <v>0.98417670000000002</v>
      </c>
      <c r="AB6879">
        <v>17</v>
      </c>
      <c r="AC6879">
        <v>3.8292000000000099</v>
      </c>
      <c r="AD6879">
        <v>-1.1104741659190001</v>
      </c>
      <c r="AE6879">
        <v>-27.001829999999899</v>
      </c>
      <c r="AF6879">
        <v>-4.7307638084265999</v>
      </c>
      <c r="AG6879">
        <v>-1.1104741659190001</v>
      </c>
      <c r="AH6879">
        <v>26.812707513103099</v>
      </c>
      <c r="AI6879">
        <v>92.335570796568206</v>
      </c>
      <c r="AJ6879">
        <v>100.006134447243</v>
      </c>
      <c r="AK6879">
        <v>27.249487394582498</v>
      </c>
      <c r="AL6879">
        <v>78.468052911753801</v>
      </c>
      <c r="AM6879">
        <v>97.733596882906994</v>
      </c>
      <c r="AN6879">
        <v>1.0000000417536801</v>
      </c>
    </row>
    <row r="6880" spans="1:40" x14ac:dyDescent="0.25">
      <c r="A6880" t="str">
        <f>"20190312172248712"</f>
        <v>20190312172248712</v>
      </c>
      <c r="B6880" t="str">
        <f>"1552382568707372"</f>
        <v>1552382568707372</v>
      </c>
      <c r="C6880" t="s">
        <v>40</v>
      </c>
      <c r="D6880">
        <v>3.2468219999999999</v>
      </c>
      <c r="E6880">
        <v>0.48615049999999999</v>
      </c>
      <c r="F6880" t="s">
        <v>64</v>
      </c>
      <c r="G6880">
        <v>-297.32499999999999</v>
      </c>
      <c r="H6880" s="1">
        <v>-4.986162E-6</v>
      </c>
      <c r="I6880">
        <v>-47.789459999999998</v>
      </c>
      <c r="J6880">
        <v>-301.16090000000003</v>
      </c>
      <c r="K6880">
        <v>1.1105039999999999</v>
      </c>
      <c r="L6880">
        <v>-21.315339999999999</v>
      </c>
      <c r="M6880">
        <v>-3.4703789999999998E-2</v>
      </c>
      <c r="N6880">
        <v>0</v>
      </c>
      <c r="O6880">
        <v>-0.9993088</v>
      </c>
      <c r="P6880">
        <v>0.1043698</v>
      </c>
      <c r="Q6880">
        <v>0.18841659999999999</v>
      </c>
      <c r="R6880">
        <v>-0.97652749999999999</v>
      </c>
      <c r="S6880">
        <v>0.43811040000000001</v>
      </c>
      <c r="T6880">
        <v>-0.1270638</v>
      </c>
      <c r="U6880">
        <v>-3.0492859999999999</v>
      </c>
      <c r="V6880">
        <v>-0.13800309999999999</v>
      </c>
      <c r="W6880">
        <v>0.20150199999999999</v>
      </c>
      <c r="X6880">
        <v>0.96971750000000001</v>
      </c>
      <c r="Y6880">
        <v>-0.1763642</v>
      </c>
      <c r="Z6880">
        <v>4.1059430000000001E-2</v>
      </c>
      <c r="AA6880">
        <v>0.98346820000000001</v>
      </c>
      <c r="AB6880">
        <v>17</v>
      </c>
      <c r="AC6880">
        <v>3.8359000000000298</v>
      </c>
      <c r="AD6880">
        <v>-1.1105089861619999</v>
      </c>
      <c r="AE6880">
        <v>-26.474119999999999</v>
      </c>
      <c r="AF6880">
        <v>-4.74424680535195</v>
      </c>
      <c r="AG6880">
        <v>-1.1105089861619999</v>
      </c>
      <c r="AH6880">
        <v>26.2797485095662</v>
      </c>
      <c r="AI6880">
        <v>92.381273441715095</v>
      </c>
      <c r="AJ6880">
        <v>100.23330834025801</v>
      </c>
      <c r="AK6880">
        <v>26.727631576413302</v>
      </c>
      <c r="AL6880">
        <v>78.375193996375899</v>
      </c>
      <c r="AM6880">
        <v>98.099528727366803</v>
      </c>
      <c r="AN6880">
        <v>0.99999997070992896</v>
      </c>
    </row>
    <row r="6881" spans="1:40" x14ac:dyDescent="0.25">
      <c r="A6881" t="str">
        <f>"20190312172248735"</f>
        <v>20190312172248735</v>
      </c>
      <c r="B6881" t="str">
        <f>"1552382568726892"</f>
        <v>1552382568726892</v>
      </c>
      <c r="C6881" t="s">
        <v>40</v>
      </c>
      <c r="D6881">
        <v>3.2887219999999999</v>
      </c>
      <c r="E6881">
        <v>0.4867129</v>
      </c>
      <c r="F6881" t="s">
        <v>64</v>
      </c>
      <c r="G6881">
        <v>-297.24329999999998</v>
      </c>
      <c r="H6881" s="1">
        <v>-5.064739E-6</v>
      </c>
      <c r="I6881">
        <v>-47.908149999999999</v>
      </c>
      <c r="J6881">
        <v>-301.16829999999999</v>
      </c>
      <c r="K6881">
        <v>1.1105430000000001</v>
      </c>
      <c r="L6881">
        <v>-21.49417</v>
      </c>
      <c r="M6881">
        <v>-3.561197E-2</v>
      </c>
      <c r="N6881">
        <v>0</v>
      </c>
      <c r="O6881">
        <v>-0.99927699999999997</v>
      </c>
      <c r="P6881">
        <v>0.1088184</v>
      </c>
      <c r="Q6881">
        <v>0.1900297</v>
      </c>
      <c r="R6881">
        <v>-0.97572930000000002</v>
      </c>
      <c r="S6881">
        <v>0.4491272</v>
      </c>
      <c r="T6881">
        <v>-0.12731189999999901</v>
      </c>
      <c r="U6881">
        <v>-3.0486759999999999</v>
      </c>
      <c r="V6881">
        <v>-0.1433181</v>
      </c>
      <c r="W6881">
        <v>0.2030921</v>
      </c>
      <c r="X6881">
        <v>0.96861419999999998</v>
      </c>
      <c r="Y6881">
        <v>-0.18076449999999999</v>
      </c>
      <c r="Z6881">
        <v>4.1118420000000003E-2</v>
      </c>
      <c r="AA6881">
        <v>0.9826665</v>
      </c>
      <c r="AB6881">
        <v>17</v>
      </c>
      <c r="AC6881">
        <v>3.92500000000001</v>
      </c>
      <c r="AD6881">
        <v>-1.110548064739</v>
      </c>
      <c r="AE6881">
        <v>-26.413979999999999</v>
      </c>
      <c r="AF6881">
        <v>-4.85485065947696</v>
      </c>
      <c r="AG6881">
        <v>-1.110548064739</v>
      </c>
      <c r="AH6881">
        <v>26.2120991121723</v>
      </c>
      <c r="AI6881">
        <v>92.385519565118102</v>
      </c>
      <c r="AJ6881">
        <v>100.493079432751</v>
      </c>
      <c r="AK6881">
        <v>26.681023814619</v>
      </c>
      <c r="AL6881">
        <v>78.282164539854705</v>
      </c>
      <c r="AM6881">
        <v>98.416532626730501</v>
      </c>
      <c r="AN6881">
        <v>0.99999997365582904</v>
      </c>
    </row>
    <row r="6882" spans="1:40" x14ac:dyDescent="0.25">
      <c r="A6882" t="str">
        <f>"20190312172248756"</f>
        <v>20190312172248756</v>
      </c>
      <c r="B6882" t="str">
        <f>"1552382568747389"</f>
        <v>1552382568747389</v>
      </c>
      <c r="C6882" t="s">
        <v>40</v>
      </c>
      <c r="D6882">
        <v>3.1957100000000001</v>
      </c>
      <c r="E6882">
        <v>0.49358039999999997</v>
      </c>
      <c r="F6882" t="s">
        <v>64</v>
      </c>
      <c r="G6882">
        <v>-297.19540000000001</v>
      </c>
      <c r="H6882" s="1">
        <v>-5.0766550000000003E-6</v>
      </c>
      <c r="I6882">
        <v>-47.910679999999999</v>
      </c>
      <c r="J6882">
        <v>-301.17520000000002</v>
      </c>
      <c r="K6882">
        <v>1.1105830000000001</v>
      </c>
      <c r="L6882">
        <v>-21.66058</v>
      </c>
      <c r="M6882">
        <v>-3.6408290000000003E-2</v>
      </c>
      <c r="N6882">
        <v>0</v>
      </c>
      <c r="O6882">
        <v>-0.99924829999999998</v>
      </c>
      <c r="P6882">
        <v>0.1127234</v>
      </c>
      <c r="Q6882">
        <v>0.19186349999999999</v>
      </c>
      <c r="R6882">
        <v>-0.97492690000000004</v>
      </c>
      <c r="S6882">
        <v>0.45846559999999997</v>
      </c>
      <c r="T6882">
        <v>-0.1281571</v>
      </c>
      <c r="U6882">
        <v>-3.0484619999999998</v>
      </c>
      <c r="V6882">
        <v>-0.14797869999999999</v>
      </c>
      <c r="W6882">
        <v>0.20490240000000001</v>
      </c>
      <c r="X6882">
        <v>0.96753160000000005</v>
      </c>
      <c r="Y6882">
        <v>-0.18450030000000001</v>
      </c>
      <c r="Z6882">
        <v>4.1368219999999997E-2</v>
      </c>
      <c r="AA6882">
        <v>0.98196150000000004</v>
      </c>
      <c r="AB6882">
        <v>17</v>
      </c>
      <c r="AC6882">
        <v>3.9798000000000102</v>
      </c>
      <c r="AD6882">
        <v>-1.110588076655</v>
      </c>
      <c r="AE6882">
        <v>-26.2501</v>
      </c>
      <c r="AF6882">
        <v>-4.9243505421333902</v>
      </c>
      <c r="AG6882">
        <v>-1.110588076655</v>
      </c>
      <c r="AH6882">
        <v>26.042215293580099</v>
      </c>
      <c r="AI6882">
        <v>92.399468804933306</v>
      </c>
      <c r="AJ6882">
        <v>100.707695773372</v>
      </c>
      <c r="AK6882">
        <v>26.526960088464602</v>
      </c>
      <c r="AL6882">
        <v>78.176214818127406</v>
      </c>
      <c r="AM6882">
        <v>98.695692606418106</v>
      </c>
      <c r="AN6882">
        <v>1.0000000430889999</v>
      </c>
    </row>
    <row r="6883" spans="1:40" x14ac:dyDescent="0.25">
      <c r="A6883" t="str">
        <f>"20190312172248778"</f>
        <v>20190312172248778</v>
      </c>
      <c r="B6883" t="str">
        <f>"1552382568767885"</f>
        <v>1552382568767885</v>
      </c>
      <c r="C6883" t="s">
        <v>40</v>
      </c>
      <c r="D6883">
        <v>3.292424</v>
      </c>
      <c r="E6883">
        <v>0.49387229999999999</v>
      </c>
      <c r="F6883" t="s">
        <v>64</v>
      </c>
      <c r="G6883">
        <v>-298.55270000000002</v>
      </c>
      <c r="H6883" s="1">
        <v>-6.8336989999999997E-7</v>
      </c>
      <c r="I6883">
        <v>-40.873100000000001</v>
      </c>
      <c r="J6883">
        <v>-301.1825</v>
      </c>
      <c r="K6883">
        <v>1.110619</v>
      </c>
      <c r="L6883">
        <v>-21.834379999999999</v>
      </c>
      <c r="M6883">
        <v>-3.7195060000000002E-2</v>
      </c>
      <c r="N6883">
        <v>0</v>
      </c>
      <c r="O6883">
        <v>-0.99921919999999997</v>
      </c>
      <c r="P6883">
        <v>0.116171</v>
      </c>
      <c r="Q6883">
        <v>0.19416220000000001</v>
      </c>
      <c r="R6883">
        <v>-0.97406669999999995</v>
      </c>
      <c r="S6883">
        <v>0.41818240000000001</v>
      </c>
      <c r="T6883">
        <v>-0.17709549999999999</v>
      </c>
      <c r="U6883">
        <v>-3.06366</v>
      </c>
      <c r="V6883">
        <v>-0.1521671</v>
      </c>
      <c r="W6883">
        <v>0.2071771</v>
      </c>
      <c r="X6883">
        <v>0.96639679999999994</v>
      </c>
      <c r="Y6883">
        <v>-0.17178650000000001</v>
      </c>
      <c r="Z6883">
        <v>5.6956689999999997E-2</v>
      </c>
      <c r="AA6883">
        <v>0.98348630000000004</v>
      </c>
      <c r="AB6883">
        <v>17</v>
      </c>
      <c r="AC6883">
        <v>2.6297999999999799</v>
      </c>
      <c r="AD6883">
        <v>-1.11061968336989</v>
      </c>
      <c r="AE6883">
        <v>-19.038720000000001</v>
      </c>
      <c r="AF6883">
        <v>-3.3250858680673501</v>
      </c>
      <c r="AG6883">
        <v>-1.11061968336989</v>
      </c>
      <c r="AH6883">
        <v>18.864725306846001</v>
      </c>
      <c r="AI6883">
        <v>93.318242007162794</v>
      </c>
      <c r="AJ6883">
        <v>99.996246699706802</v>
      </c>
      <c r="AK6883">
        <v>19.1876922274115</v>
      </c>
      <c r="AL6883">
        <v>78.043025525613501</v>
      </c>
      <c r="AM6883">
        <v>98.948221614125302</v>
      </c>
      <c r="AN6883">
        <v>0.99999997606852897</v>
      </c>
    </row>
    <row r="6884" spans="1:40" x14ac:dyDescent="0.25">
      <c r="A6884" t="str">
        <f>"20190312172248802"</f>
        <v>20190312172248802</v>
      </c>
      <c r="B6884" t="str">
        <f>"1552382568797164"</f>
        <v>1552382568797164</v>
      </c>
      <c r="C6884" t="s">
        <v>40</v>
      </c>
      <c r="D6884">
        <v>3.2322099999999998</v>
      </c>
      <c r="E6884">
        <v>0.4947916</v>
      </c>
      <c r="F6884" t="s">
        <v>64</v>
      </c>
      <c r="G6884">
        <v>-298.57299999999998</v>
      </c>
      <c r="H6884" s="1">
        <v>-4.7672219999999998E-7</v>
      </c>
      <c r="I6884">
        <v>-40.5565</v>
      </c>
      <c r="J6884">
        <v>-301.18990000000002</v>
      </c>
      <c r="K6884">
        <v>1.110641</v>
      </c>
      <c r="L6884">
        <v>-22.010649999999998</v>
      </c>
      <c r="M6884">
        <v>-3.7947630000000003E-2</v>
      </c>
      <c r="N6884">
        <v>0</v>
      </c>
      <c r="O6884">
        <v>-0.99919100000000005</v>
      </c>
      <c r="P6884">
        <v>0.11872240000000001</v>
      </c>
      <c r="Q6884">
        <v>0.1965036</v>
      </c>
      <c r="R6884">
        <v>-0.97328930000000002</v>
      </c>
      <c r="S6884">
        <v>0.42721559999999997</v>
      </c>
      <c r="T6884">
        <v>-0.18182889999999999</v>
      </c>
      <c r="U6884">
        <v>-3.0651549999999999</v>
      </c>
      <c r="V6884">
        <v>-0.155425799999999</v>
      </c>
      <c r="W6884">
        <v>0.20949690000000001</v>
      </c>
      <c r="X6884">
        <v>0.96537759999999995</v>
      </c>
      <c r="Y6884">
        <v>-0.1752956</v>
      </c>
      <c r="Z6884">
        <v>5.841321E-2</v>
      </c>
      <c r="AA6884">
        <v>0.98278140000000003</v>
      </c>
      <c r="AB6884">
        <v>17</v>
      </c>
      <c r="AC6884">
        <v>2.6169000000000402</v>
      </c>
      <c r="AD6884">
        <v>-1.1106414767221999</v>
      </c>
      <c r="AE6884">
        <v>-18.545850000000002</v>
      </c>
      <c r="AF6884">
        <v>-3.3072189052233298</v>
      </c>
      <c r="AG6884">
        <v>-1.1106414767221999</v>
      </c>
      <c r="AH6884">
        <v>18.368585240576898</v>
      </c>
      <c r="AI6884">
        <v>93.405503788880495</v>
      </c>
      <c r="AJ6884">
        <v>100.206613023332</v>
      </c>
      <c r="AK6884">
        <v>18.696955503964301</v>
      </c>
      <c r="AL6884">
        <v>77.907129314290998</v>
      </c>
      <c r="AM6884">
        <v>99.146134178997897</v>
      </c>
      <c r="AN6884">
        <v>1.0000000204985</v>
      </c>
    </row>
    <row r="6885" spans="1:40" x14ac:dyDescent="0.25">
      <c r="A6885" t="str">
        <f>"20190312172248824"</f>
        <v>20190312172248824</v>
      </c>
      <c r="B6885" t="str">
        <f>"1552382568817660"</f>
        <v>1552382568817660</v>
      </c>
      <c r="C6885" t="s">
        <v>40</v>
      </c>
      <c r="D6885">
        <v>3.229692</v>
      </c>
      <c r="E6885">
        <v>0.49557329999999999</v>
      </c>
      <c r="F6885" t="s">
        <v>64</v>
      </c>
      <c r="G6885">
        <v>-298.5693</v>
      </c>
      <c r="H6885" s="1">
        <v>-6.1953680000000004E-7</v>
      </c>
      <c r="I6885">
        <v>-40.779629999999997</v>
      </c>
      <c r="J6885">
        <v>-301.19740000000002</v>
      </c>
      <c r="K6885">
        <v>1.1106590000000001</v>
      </c>
      <c r="L6885">
        <v>-22.184840000000001</v>
      </c>
      <c r="M6885">
        <v>-3.8653090000000001E-2</v>
      </c>
      <c r="N6885">
        <v>0</v>
      </c>
      <c r="O6885">
        <v>-0.99916400000000005</v>
      </c>
      <c r="P6885">
        <v>0.1213881</v>
      </c>
      <c r="Q6885">
        <v>0.1981907</v>
      </c>
      <c r="R6885">
        <v>-0.97261810000000004</v>
      </c>
      <c r="S6885">
        <v>0.42819210000000002</v>
      </c>
      <c r="T6885">
        <v>-0.18147240000000001</v>
      </c>
      <c r="U6885">
        <v>-3.0667420000000001</v>
      </c>
      <c r="V6885">
        <v>-0.15875259999999999</v>
      </c>
      <c r="W6885">
        <v>0.21116670000000001</v>
      </c>
      <c r="X6885">
        <v>0.964472</v>
      </c>
      <c r="Y6885">
        <v>-0.1762292</v>
      </c>
      <c r="Z6885">
        <v>5.8260760000000002E-2</v>
      </c>
      <c r="AA6885">
        <v>0.98262349999999998</v>
      </c>
      <c r="AB6885">
        <v>17</v>
      </c>
      <c r="AC6885">
        <v>2.6281000000000101</v>
      </c>
      <c r="AD6885">
        <v>-1.1106596195367999</v>
      </c>
      <c r="AE6885">
        <v>-18.59479</v>
      </c>
      <c r="AF6885">
        <v>-3.3332864166146798</v>
      </c>
      <c r="AG6885">
        <v>-1.1106596195367999</v>
      </c>
      <c r="AH6885">
        <v>18.414887478944198</v>
      </c>
      <c r="AI6885">
        <v>93.396445998715507</v>
      </c>
      <c r="AJ6885">
        <v>100.26003946597299</v>
      </c>
      <c r="AK6885">
        <v>18.747064943287398</v>
      </c>
      <c r="AL6885">
        <v>77.809267409434199</v>
      </c>
      <c r="AM6885">
        <v>99.347102195056294</v>
      </c>
      <c r="AN6885">
        <v>1.00000000098982</v>
      </c>
    </row>
    <row r="6886" spans="1:40" x14ac:dyDescent="0.25">
      <c r="A6886" t="str">
        <f>"20190312172248845"</f>
        <v>20190312172248845</v>
      </c>
      <c r="B6886" t="str">
        <f>"1552382568837181"</f>
        <v>1552382568837181</v>
      </c>
      <c r="C6886" t="s">
        <v>40</v>
      </c>
      <c r="D6886">
        <v>3.2182089999999999</v>
      </c>
      <c r="E6886">
        <v>0.49630819999999998</v>
      </c>
      <c r="F6886" t="s">
        <v>64</v>
      </c>
      <c r="G6886">
        <v>-298.52190000000002</v>
      </c>
      <c r="H6886" s="1">
        <v>-9.1669819999999998E-7</v>
      </c>
      <c r="I6886">
        <v>-41.2273</v>
      </c>
      <c r="J6886">
        <v>-301.2047</v>
      </c>
      <c r="K6886">
        <v>1.1106689999999999</v>
      </c>
      <c r="L6886">
        <v>-22.35284</v>
      </c>
      <c r="M6886">
        <v>-3.9310060000000001E-2</v>
      </c>
      <c r="N6886">
        <v>0</v>
      </c>
      <c r="O6886">
        <v>-0.99913830000000003</v>
      </c>
      <c r="P6886">
        <v>0.1231452</v>
      </c>
      <c r="Q6886">
        <v>0.20012630000000001</v>
      </c>
      <c r="R6886">
        <v>-0.97200019999999998</v>
      </c>
      <c r="S6886">
        <v>0.43093870000000001</v>
      </c>
      <c r="T6886">
        <v>-0.178892299999999</v>
      </c>
      <c r="U6886">
        <v>-3.0671390000000001</v>
      </c>
      <c r="V6886">
        <v>-0.16112219999999999</v>
      </c>
      <c r="W6886">
        <v>0.21308840000000001</v>
      </c>
      <c r="X6886">
        <v>0.96365610000000002</v>
      </c>
      <c r="Y6886">
        <v>-0.17772869999999999</v>
      </c>
      <c r="Z6886">
        <v>5.7414310000000003E-2</v>
      </c>
      <c r="AA6886">
        <v>0.98240320000000003</v>
      </c>
      <c r="AB6886">
        <v>17</v>
      </c>
      <c r="AC6886">
        <v>2.6827999999999799</v>
      </c>
      <c r="AD6886">
        <v>-1.1106699166981999</v>
      </c>
      <c r="AE6886">
        <v>-18.874459999999999</v>
      </c>
      <c r="AF6886">
        <v>-3.4111698530696901</v>
      </c>
      <c r="AG6886">
        <v>-1.1106699166981999</v>
      </c>
      <c r="AH6886">
        <v>18.6909578530862</v>
      </c>
      <c r="AI6886">
        <v>93.345548270044105</v>
      </c>
      <c r="AJ6886">
        <v>100.34286493693</v>
      </c>
      <c r="AK6886">
        <v>19.0321195061452</v>
      </c>
      <c r="AL6886">
        <v>77.696598623285198</v>
      </c>
      <c r="AM6886">
        <v>99.4919878790745</v>
      </c>
      <c r="AN6886">
        <v>1.0000000543073</v>
      </c>
    </row>
    <row r="6887" spans="1:40" x14ac:dyDescent="0.25">
      <c r="A6887" t="str">
        <f>"20190312172248870"</f>
        <v>20190312172248870</v>
      </c>
      <c r="B6887" t="str">
        <f>"1552382568867437"</f>
        <v>1552382568867437</v>
      </c>
      <c r="C6887" t="s">
        <v>40</v>
      </c>
      <c r="D6887">
        <v>3.2115849999999999</v>
      </c>
      <c r="E6887">
        <v>0.49748409999999899</v>
      </c>
      <c r="F6887" t="s">
        <v>64</v>
      </c>
      <c r="G6887">
        <v>-298.46390000000002</v>
      </c>
      <c r="H6887" s="1">
        <v>-1.3178039999999901E-6</v>
      </c>
      <c r="I6887">
        <v>-41.834029999999998</v>
      </c>
      <c r="J6887">
        <v>-301.21289999999999</v>
      </c>
      <c r="K6887">
        <v>1.1106720000000001</v>
      </c>
      <c r="L6887">
        <v>-22.537990000000001</v>
      </c>
      <c r="M6887">
        <v>-4.0012300000000001E-2</v>
      </c>
      <c r="N6887">
        <v>0</v>
      </c>
      <c r="O6887">
        <v>-0.99911059999999996</v>
      </c>
      <c r="P6887">
        <v>0.12405529999999999</v>
      </c>
      <c r="Q6887">
        <v>0.20160159999999999</v>
      </c>
      <c r="R6887">
        <v>-0.97157979999999999</v>
      </c>
      <c r="S6887">
        <v>0.4316101</v>
      </c>
      <c r="T6887">
        <v>-0.17489979999999999</v>
      </c>
      <c r="U6887">
        <v>-3.0677490000000001</v>
      </c>
      <c r="V6887">
        <v>-0.1626947</v>
      </c>
      <c r="W6887">
        <v>0.21455340000000001</v>
      </c>
      <c r="X6887">
        <v>0.96306659999999999</v>
      </c>
      <c r="Y6887">
        <v>-0.17861440000000001</v>
      </c>
      <c r="Z6887">
        <v>5.6118340000000003E-2</v>
      </c>
      <c r="AA6887">
        <v>0.98231740000000001</v>
      </c>
      <c r="AB6887">
        <v>17</v>
      </c>
      <c r="AC6887">
        <v>2.7489999999999601</v>
      </c>
      <c r="AD6887">
        <v>-1.11067331780399</v>
      </c>
      <c r="AE6887">
        <v>-19.296040000000001</v>
      </c>
      <c r="AF6887">
        <v>-3.5075557031571498</v>
      </c>
      <c r="AG6887">
        <v>-1.11067331780399</v>
      </c>
      <c r="AH6887">
        <v>19.1085318282964</v>
      </c>
      <c r="AI6887">
        <v>93.271998916370606</v>
      </c>
      <c r="AJ6887">
        <v>100.401403476684</v>
      </c>
      <c r="AK6887">
        <v>19.459510036551499</v>
      </c>
      <c r="AL6887">
        <v>77.610672426665204</v>
      </c>
      <c r="AM6887">
        <v>99.5886735382864</v>
      </c>
      <c r="AN6887">
        <v>1.0000000014476</v>
      </c>
    </row>
    <row r="6888" spans="1:40" x14ac:dyDescent="0.25">
      <c r="A6888" t="str">
        <f>"20190312172248892"</f>
        <v>20190312172248892</v>
      </c>
      <c r="B6888" t="str">
        <f>"1552382568886957"</f>
        <v>1552382568886957</v>
      </c>
      <c r="C6888" t="s">
        <v>40</v>
      </c>
      <c r="D6888">
        <v>3.2014300000000002</v>
      </c>
      <c r="E6888">
        <v>0.50319950000000002</v>
      </c>
      <c r="F6888" t="s">
        <v>64</v>
      </c>
      <c r="G6888">
        <v>-298.48930000000001</v>
      </c>
      <c r="H6888" s="1">
        <v>-1.4845750000000001E-6</v>
      </c>
      <c r="I6888">
        <v>-42.10707</v>
      </c>
      <c r="J6888">
        <v>-301.22059999999999</v>
      </c>
      <c r="K6888">
        <v>1.11069</v>
      </c>
      <c r="L6888">
        <v>-22.711580000000001</v>
      </c>
      <c r="M6888">
        <v>-4.0649530000000003E-2</v>
      </c>
      <c r="N6888">
        <v>0</v>
      </c>
      <c r="O6888">
        <v>-0.99908470000000005</v>
      </c>
      <c r="P6888">
        <v>0.12343850000000001</v>
      </c>
      <c r="Q6888">
        <v>0.20226820000000001</v>
      </c>
      <c r="R6888">
        <v>-0.97151960000000004</v>
      </c>
      <c r="S6888">
        <v>0.42718509999999998</v>
      </c>
      <c r="T6888">
        <v>-0.17420669999999999</v>
      </c>
      <c r="U6888">
        <v>-3.069366</v>
      </c>
      <c r="V6888">
        <v>-0.16269439999999999</v>
      </c>
      <c r="W6888">
        <v>0.21521370000000001</v>
      </c>
      <c r="X6888">
        <v>0.96291930000000003</v>
      </c>
      <c r="Y6888">
        <v>-0.17778329999999901</v>
      </c>
      <c r="Z6888">
        <v>5.5875189999999998E-2</v>
      </c>
      <c r="AA6888">
        <v>0.98248210000000002</v>
      </c>
      <c r="AB6888">
        <v>17</v>
      </c>
      <c r="AC6888">
        <v>2.7312999999999699</v>
      </c>
      <c r="AD6888">
        <v>-1.110691484575</v>
      </c>
      <c r="AE6888">
        <v>-19.395489999999999</v>
      </c>
      <c r="AF6888">
        <v>-3.5062549824976101</v>
      </c>
      <c r="AG6888">
        <v>-1.110691484575</v>
      </c>
      <c r="AH6888">
        <v>19.2066599534717</v>
      </c>
      <c r="AI6888">
        <v>93.255949823464306</v>
      </c>
      <c r="AJ6888">
        <v>100.345658231686</v>
      </c>
      <c r="AK6888">
        <v>19.555644866495399</v>
      </c>
      <c r="AL6888">
        <v>77.5719349793481</v>
      </c>
      <c r="AM6888">
        <v>99.590095744147405</v>
      </c>
      <c r="AN6888">
        <v>0.99999999138577</v>
      </c>
    </row>
    <row r="6889" spans="1:40" x14ac:dyDescent="0.25">
      <c r="A6889" t="str">
        <f>"20190312172248913"</f>
        <v>20190312172248913</v>
      </c>
      <c r="B6889" t="str">
        <f>"1552382568907454"</f>
        <v>1552382568907454</v>
      </c>
      <c r="C6889" t="s">
        <v>40</v>
      </c>
      <c r="D6889">
        <v>3.2113900000000002</v>
      </c>
      <c r="E6889">
        <v>0.50266350000000004</v>
      </c>
      <c r="F6889" t="s">
        <v>42</v>
      </c>
      <c r="G6889">
        <v>-299.1628</v>
      </c>
      <c r="H6889" s="1">
        <v>-6.1111029999999995E-7</v>
      </c>
      <c r="I6889">
        <v>-39.288870000000003</v>
      </c>
      <c r="J6889">
        <v>-301.2278</v>
      </c>
      <c r="K6889">
        <v>1.110697</v>
      </c>
      <c r="L6889">
        <v>-22.870539999999998</v>
      </c>
      <c r="M6889">
        <v>-4.1208040000000001E-2</v>
      </c>
      <c r="N6889">
        <v>0</v>
      </c>
      <c r="O6889">
        <v>-0.9990618</v>
      </c>
      <c r="P6889">
        <v>0.1228255</v>
      </c>
      <c r="Q6889">
        <v>0.20285800000000001</v>
      </c>
      <c r="R6889">
        <v>-0.97147419999999995</v>
      </c>
      <c r="S6889">
        <v>0.38262940000000001</v>
      </c>
      <c r="T6889">
        <v>-0.2065187</v>
      </c>
      <c r="U6889">
        <v>-3.0823360000000002</v>
      </c>
      <c r="V6889">
        <v>-0.16262480000000001</v>
      </c>
      <c r="W6889">
        <v>0.21579580000000001</v>
      </c>
      <c r="X6889">
        <v>0.96280080000000001</v>
      </c>
      <c r="Y6889">
        <v>-0.16371379999999999</v>
      </c>
      <c r="Z6889">
        <v>6.6062040000000002E-2</v>
      </c>
      <c r="AA6889">
        <v>0.98429350000000004</v>
      </c>
      <c r="AB6889">
        <v>17</v>
      </c>
      <c r="AC6889">
        <v>2.0649999999999902</v>
      </c>
      <c r="AD6889">
        <v>-1.1106976111103</v>
      </c>
      <c r="AE6889">
        <v>-16.418330000000001</v>
      </c>
      <c r="AF6889">
        <v>-2.7275844717001498</v>
      </c>
      <c r="AG6889">
        <v>-1.1106976111103</v>
      </c>
      <c r="AH6889">
        <v>16.246087024537701</v>
      </c>
      <c r="AI6889">
        <v>93.857240400996005</v>
      </c>
      <c r="AJ6889">
        <v>99.530605313841093</v>
      </c>
      <c r="AK6889">
        <v>16.510866417073299</v>
      </c>
      <c r="AL6889">
        <v>77.537780892258795</v>
      </c>
      <c r="AM6889">
        <v>99.587227228857301</v>
      </c>
      <c r="AN6889">
        <v>1.0000000166766501</v>
      </c>
    </row>
    <row r="6890" spans="1:40" x14ac:dyDescent="0.25">
      <c r="A6890" t="str">
        <f>"20190312172248937"</f>
        <v>20190312172248937</v>
      </c>
      <c r="B6890" t="str">
        <f>"1552382568926973"</f>
        <v>1552382568926973</v>
      </c>
      <c r="C6890" t="s">
        <v>40</v>
      </c>
      <c r="D6890">
        <v>3.174582</v>
      </c>
      <c r="E6890">
        <v>0.50255379999999905</v>
      </c>
      <c r="F6890" t="s">
        <v>42</v>
      </c>
      <c r="G6890">
        <v>-299.14229999999998</v>
      </c>
      <c r="H6890" s="1">
        <v>-4.8209359999999998E-7</v>
      </c>
      <c r="I6890">
        <v>-39.605840000000001</v>
      </c>
      <c r="J6890">
        <v>-301.23630000000003</v>
      </c>
      <c r="K6890">
        <v>1.110711</v>
      </c>
      <c r="L6890">
        <v>-23.058199999999999</v>
      </c>
      <c r="M6890">
        <v>-4.1826929999999998E-2</v>
      </c>
      <c r="N6890">
        <v>0</v>
      </c>
      <c r="O6890">
        <v>-0.99903629999999999</v>
      </c>
      <c r="P6890">
        <v>0.12232079999999999</v>
      </c>
      <c r="Q6890">
        <v>0.203766</v>
      </c>
      <c r="R6890">
        <v>-0.97134819999999999</v>
      </c>
      <c r="S6890">
        <v>0.3840942</v>
      </c>
      <c r="T6890">
        <v>-0.2045641</v>
      </c>
      <c r="U6890">
        <v>-3.0822449999999999</v>
      </c>
      <c r="V6890">
        <v>-0.16272400000000001</v>
      </c>
      <c r="W6890">
        <v>0.2166901</v>
      </c>
      <c r="X6890">
        <v>0.96258310000000002</v>
      </c>
      <c r="Y6890">
        <v>-0.1647942</v>
      </c>
      <c r="Z6890">
        <v>6.5431089999999997E-2</v>
      </c>
      <c r="AA6890">
        <v>0.98415529999999996</v>
      </c>
      <c r="AB6890">
        <v>17</v>
      </c>
      <c r="AC6890">
        <v>2.09400000000005</v>
      </c>
      <c r="AD6890">
        <v>-1.1107114820935999</v>
      </c>
      <c r="AE6890">
        <v>-16.547639999999902</v>
      </c>
      <c r="AF6890">
        <v>-2.7720730193809402</v>
      </c>
      <c r="AG6890">
        <v>-1.1107114820935999</v>
      </c>
      <c r="AH6890">
        <v>16.372959170482101</v>
      </c>
      <c r="AI6890">
        <v>93.826602034396501</v>
      </c>
      <c r="AJ6890">
        <v>99.609506061843206</v>
      </c>
      <c r="AK6890">
        <v>16.6430724573171</v>
      </c>
      <c r="AL6890">
        <v>77.485298849832603</v>
      </c>
      <c r="AM6890">
        <v>99.595095957695193</v>
      </c>
      <c r="AN6890">
        <v>0.99999996200980901</v>
      </c>
    </row>
    <row r="6891" spans="1:40" x14ac:dyDescent="0.25">
      <c r="A6891" t="str">
        <f>"20190312172248957"</f>
        <v>20190312172248957</v>
      </c>
      <c r="B6891" t="str">
        <f>"1552382568947469"</f>
        <v>1552382568947469</v>
      </c>
      <c r="C6891" t="s">
        <v>40</v>
      </c>
      <c r="D6891">
        <v>3.1694810000000002</v>
      </c>
      <c r="E6891">
        <v>0.50261659999999997</v>
      </c>
      <c r="F6891" t="s">
        <v>42</v>
      </c>
      <c r="G6891">
        <v>-299.13549999999998</v>
      </c>
      <c r="H6891" s="1">
        <v>-3.6855689999999999E-7</v>
      </c>
      <c r="I6891">
        <v>-39.94482</v>
      </c>
      <c r="J6891">
        <v>-301.2432</v>
      </c>
      <c r="K6891">
        <v>1.1107400000000001</v>
      </c>
      <c r="L6891">
        <v>-23.208860000000001</v>
      </c>
      <c r="M6891">
        <v>-4.2278709999999997E-2</v>
      </c>
      <c r="N6891">
        <v>0</v>
      </c>
      <c r="O6891">
        <v>-0.99901740000000006</v>
      </c>
      <c r="P6891">
        <v>0.1216926</v>
      </c>
      <c r="Q6891">
        <v>0.204292</v>
      </c>
      <c r="R6891">
        <v>-0.97131690000000004</v>
      </c>
      <c r="S6891">
        <v>0.38351439999999998</v>
      </c>
      <c r="T6891">
        <v>-0.20276559999999999</v>
      </c>
      <c r="U6891">
        <v>-3.0827330000000002</v>
      </c>
      <c r="V6891">
        <v>-0.1625453</v>
      </c>
      <c r="W6891">
        <v>0.2172026</v>
      </c>
      <c r="X6891">
        <v>0.96249779999999996</v>
      </c>
      <c r="Y6891">
        <v>-0.16504349999999901</v>
      </c>
      <c r="Z6891">
        <v>6.4845650000000005E-2</v>
      </c>
      <c r="AA6891">
        <v>0.98415229999999998</v>
      </c>
      <c r="AB6891">
        <v>17</v>
      </c>
      <c r="AC6891">
        <v>2.1077000000000199</v>
      </c>
      <c r="AD6891">
        <v>-1.1107403685568999</v>
      </c>
      <c r="AE6891">
        <v>-16.735959999999999</v>
      </c>
      <c r="AF6891">
        <v>-2.8013059395000499</v>
      </c>
      <c r="AG6891">
        <v>-1.1107403685568999</v>
      </c>
      <c r="AH6891">
        <v>16.5600697279163</v>
      </c>
      <c r="AI6891">
        <v>93.783681742823006</v>
      </c>
      <c r="AJ6891">
        <v>99.601277508181198</v>
      </c>
      <c r="AK6891">
        <v>16.832022116384898</v>
      </c>
      <c r="AL6891">
        <v>77.455218572912301</v>
      </c>
      <c r="AM6891">
        <v>99.585588094588999</v>
      </c>
      <c r="AN6891">
        <v>0.99999997950184405</v>
      </c>
    </row>
    <row r="6892" spans="1:40" x14ac:dyDescent="0.25">
      <c r="A6892" t="str">
        <f>"20190312172248980"</f>
        <v>20190312172248980</v>
      </c>
      <c r="B6892" t="str">
        <f>"1552382568976748"</f>
        <v>1552382568976748</v>
      </c>
      <c r="C6892" t="s">
        <v>40</v>
      </c>
      <c r="D6892">
        <v>3.191789</v>
      </c>
      <c r="E6892">
        <v>0.50266959999999905</v>
      </c>
      <c r="F6892" t="s">
        <v>42</v>
      </c>
      <c r="G6892">
        <v>-299.12060000000002</v>
      </c>
      <c r="H6892" s="1">
        <v>-2.5617969999999998E-7</v>
      </c>
      <c r="I6892">
        <v>-40.286670000000001</v>
      </c>
      <c r="J6892">
        <v>-301.25110000000001</v>
      </c>
      <c r="K6892">
        <v>1.110776</v>
      </c>
      <c r="L6892">
        <v>-23.382079999999998</v>
      </c>
      <c r="M6892">
        <v>-4.2740069999999998E-2</v>
      </c>
      <c r="N6892">
        <v>0</v>
      </c>
      <c r="O6892">
        <v>-0.99899780000000005</v>
      </c>
      <c r="P6892">
        <v>0.12111420000000001</v>
      </c>
      <c r="Q6892">
        <v>0.20472270000000001</v>
      </c>
      <c r="R6892">
        <v>-0.97129869999999996</v>
      </c>
      <c r="S6892">
        <v>0.38314819999999999</v>
      </c>
      <c r="T6892">
        <v>-0.20050280000000001</v>
      </c>
      <c r="U6892">
        <v>-3.0827640000000001</v>
      </c>
      <c r="V6892">
        <v>-0.1624313</v>
      </c>
      <c r="W6892">
        <v>0.21761539999999999</v>
      </c>
      <c r="X6892">
        <v>0.96242380000000005</v>
      </c>
      <c r="Y6892">
        <v>-0.16538839999999999</v>
      </c>
      <c r="Z6892">
        <v>6.4121109999999995E-2</v>
      </c>
      <c r="AA6892">
        <v>0.98414179999999996</v>
      </c>
      <c r="AB6892">
        <v>17</v>
      </c>
      <c r="AC6892">
        <v>2.1304999999999801</v>
      </c>
      <c r="AD6892">
        <v>-1.1107762561797001</v>
      </c>
      <c r="AE6892">
        <v>-16.904589999999999</v>
      </c>
      <c r="AF6892">
        <v>-2.8390537723795402</v>
      </c>
      <c r="AG6892">
        <v>-1.1107762561797001</v>
      </c>
      <c r="AH6892">
        <v>16.726983056927999</v>
      </c>
      <c r="AI6892">
        <v>93.745804394378695</v>
      </c>
      <c r="AJ6892">
        <v>99.632952500099293</v>
      </c>
      <c r="AK6892">
        <v>17.0025295882851</v>
      </c>
      <c r="AL6892">
        <v>77.430987284759695</v>
      </c>
      <c r="AM6892">
        <v>99.579712797077505</v>
      </c>
      <c r="AN6892">
        <v>0.99999998017164404</v>
      </c>
    </row>
    <row r="6893" spans="1:40" x14ac:dyDescent="0.25">
      <c r="A6893" t="str">
        <f>"20190312172249005"</f>
        <v>20190312172249005</v>
      </c>
      <c r="B6893" t="str">
        <f>"1552382568997244"</f>
        <v>1552382568997244</v>
      </c>
      <c r="C6893" t="s">
        <v>40</v>
      </c>
      <c r="D6893">
        <v>3.1853509999999998</v>
      </c>
      <c r="E6893">
        <v>0.50279620000000003</v>
      </c>
      <c r="F6893" t="s">
        <v>42</v>
      </c>
      <c r="G6893">
        <v>-299.13979999999998</v>
      </c>
      <c r="H6893" s="1">
        <v>-2.2086710000000001E-7</v>
      </c>
      <c r="I6893">
        <v>-40.375439999999998</v>
      </c>
      <c r="J6893">
        <v>-301.25940000000003</v>
      </c>
      <c r="K6893">
        <v>1.110825</v>
      </c>
      <c r="L6893">
        <v>-23.564209999999999</v>
      </c>
      <c r="M6893">
        <v>-4.3132110000000001E-2</v>
      </c>
      <c r="N6893">
        <v>0</v>
      </c>
      <c r="O6893">
        <v>-0.99898109999999996</v>
      </c>
      <c r="P6893">
        <v>0.12102209999999999</v>
      </c>
      <c r="Q6893">
        <v>0.20442850000000001</v>
      </c>
      <c r="R6893">
        <v>-0.97137189999999995</v>
      </c>
      <c r="S6893">
        <v>0.38308720000000002</v>
      </c>
      <c r="T6893">
        <v>-0.2015458</v>
      </c>
      <c r="U6893">
        <v>-3.0833740000000001</v>
      </c>
      <c r="V6893">
        <v>-0.1627458</v>
      </c>
      <c r="W6893">
        <v>0.2173012</v>
      </c>
      <c r="X6893">
        <v>0.96244169999999996</v>
      </c>
      <c r="Y6893">
        <v>-0.16572979999999901</v>
      </c>
      <c r="Z6893">
        <v>6.4437209999999995E-2</v>
      </c>
      <c r="AA6893">
        <v>0.98406369999999999</v>
      </c>
      <c r="AB6893">
        <v>17</v>
      </c>
      <c r="AC6893">
        <v>2.1196000000000401</v>
      </c>
      <c r="AD6893">
        <v>-1.1108252208670999</v>
      </c>
      <c r="AE6893">
        <v>-16.811229999999998</v>
      </c>
      <c r="AF6893">
        <v>-2.8306294953601299</v>
      </c>
      <c r="AG6893">
        <v>-1.1108252208670999</v>
      </c>
      <c r="AH6893">
        <v>16.632668107592899</v>
      </c>
      <c r="AI6893">
        <v>93.7668665341902</v>
      </c>
      <c r="AJ6893">
        <v>99.658343221338896</v>
      </c>
      <c r="AK6893">
        <v>16.908342449473199</v>
      </c>
      <c r="AL6893">
        <v>77.449431446366702</v>
      </c>
      <c r="AM6893">
        <v>99.5977411536918</v>
      </c>
      <c r="AN6893">
        <v>1.00000001641898</v>
      </c>
    </row>
    <row r="6894" spans="1:40" x14ac:dyDescent="0.25">
      <c r="A6894" t="str">
        <f>"20190312172249026"</f>
        <v>20190312172249026</v>
      </c>
      <c r="B6894" t="str">
        <f>"1552382569016765"</f>
        <v>1552382569016765</v>
      </c>
      <c r="C6894" t="s">
        <v>40</v>
      </c>
      <c r="D6894">
        <v>3.1835819999999999</v>
      </c>
      <c r="E6894">
        <v>0.50281209999999998</v>
      </c>
      <c r="F6894" t="s">
        <v>42</v>
      </c>
      <c r="G6894">
        <v>-299.17250000000001</v>
      </c>
      <c r="H6894" s="1">
        <v>-2.1888680000000001E-7</v>
      </c>
      <c r="I6894">
        <v>-40.355719999999998</v>
      </c>
      <c r="J6894">
        <v>-301.267</v>
      </c>
      <c r="K6894">
        <v>1.1108559999999901</v>
      </c>
      <c r="L6894">
        <v>-23.732299999999999</v>
      </c>
      <c r="M6894">
        <v>-4.3413779999999999E-2</v>
      </c>
      <c r="N6894">
        <v>0</v>
      </c>
      <c r="O6894">
        <v>-0.998969</v>
      </c>
      <c r="P6894">
        <v>0.12136280000000001</v>
      </c>
      <c r="Q6894">
        <v>0.20497380000000001</v>
      </c>
      <c r="R6894">
        <v>-0.97121440000000003</v>
      </c>
      <c r="S6894">
        <v>0.38323970000000002</v>
      </c>
      <c r="T6894">
        <v>-0.20399149999999999</v>
      </c>
      <c r="U6894">
        <v>-3.0835880000000002</v>
      </c>
      <c r="V6894">
        <v>-0.1633743</v>
      </c>
      <c r="W6894">
        <v>0.2178244</v>
      </c>
      <c r="X6894">
        <v>0.96221690000000004</v>
      </c>
      <c r="Y6894">
        <v>-0.166041299999999</v>
      </c>
      <c r="Z6894">
        <v>6.5208199999999994E-2</v>
      </c>
      <c r="AA6894">
        <v>0.98396039999999996</v>
      </c>
      <c r="AB6894">
        <v>17</v>
      </c>
      <c r="AC6894">
        <v>2.09449999999998</v>
      </c>
      <c r="AD6894">
        <v>-1.1108562188868001</v>
      </c>
      <c r="AE6894">
        <v>-16.623419999999999</v>
      </c>
      <c r="AF6894">
        <v>-2.8019572419281098</v>
      </c>
      <c r="AG6894">
        <v>-1.1108562188868001</v>
      </c>
      <c r="AH6894">
        <v>16.4445198644774</v>
      </c>
      <c r="AI6894">
        <v>93.809816555542696</v>
      </c>
      <c r="AJ6894">
        <v>99.669678681144106</v>
      </c>
      <c r="AK6894">
        <v>16.7184688143928</v>
      </c>
      <c r="AL6894">
        <v>77.4187183595877</v>
      </c>
      <c r="AM6894">
        <v>99.636321388022196</v>
      </c>
      <c r="AN6894">
        <v>0.99999999689073005</v>
      </c>
    </row>
    <row r="6895" spans="1:40" x14ac:dyDescent="0.25">
      <c r="A6895" t="str">
        <f>"20190312172249048"</f>
        <v>20190312172249048</v>
      </c>
      <c r="B6895" t="str">
        <f>"1552382569037263"</f>
        <v>1552382569037263</v>
      </c>
      <c r="C6895" t="s">
        <v>40</v>
      </c>
      <c r="D6895">
        <v>3.177187</v>
      </c>
      <c r="E6895">
        <v>0.50286920000000002</v>
      </c>
      <c r="F6895" t="s">
        <v>64</v>
      </c>
      <c r="G6895">
        <v>-299.1635</v>
      </c>
      <c r="H6895" s="1">
        <v>-3.330714E-7</v>
      </c>
      <c r="I6895">
        <v>-40.577669999999998</v>
      </c>
      <c r="J6895">
        <v>-301.27480000000003</v>
      </c>
      <c r="K6895">
        <v>1.1108960000000001</v>
      </c>
      <c r="L6895">
        <v>-23.9039</v>
      </c>
      <c r="M6895">
        <v>-4.3627819999999998E-2</v>
      </c>
      <c r="N6895">
        <v>0</v>
      </c>
      <c r="O6895">
        <v>-0.99895940000000005</v>
      </c>
      <c r="P6895">
        <v>0.1213692</v>
      </c>
      <c r="Q6895">
        <v>0.20588989999999999</v>
      </c>
      <c r="R6895">
        <v>-0.97101959999999998</v>
      </c>
      <c r="S6895">
        <v>0.38507079999999999</v>
      </c>
      <c r="T6895">
        <v>-0.20335300000000001</v>
      </c>
      <c r="U6895">
        <v>-3.08371</v>
      </c>
      <c r="V6895">
        <v>-0.1636</v>
      </c>
      <c r="W6895">
        <v>0.21871879999999999</v>
      </c>
      <c r="X6895">
        <v>0.96197560000000004</v>
      </c>
      <c r="Y6895">
        <v>-0.1668248</v>
      </c>
      <c r="Z6895">
        <v>6.4994830000000003E-2</v>
      </c>
      <c r="AA6895">
        <v>0.98384199999999999</v>
      </c>
      <c r="AB6895">
        <v>17</v>
      </c>
      <c r="AC6895">
        <v>2.1113000000000199</v>
      </c>
      <c r="AD6895">
        <v>-1.1108963330713999</v>
      </c>
      <c r="AE6895">
        <v>-16.673769999999902</v>
      </c>
      <c r="AF6895">
        <v>-2.8244541657784201</v>
      </c>
      <c r="AG6895">
        <v>-1.1108963330713999</v>
      </c>
      <c r="AH6895">
        <v>16.493712503908402</v>
      </c>
      <c r="AI6895">
        <v>93.798085895418197</v>
      </c>
      <c r="AJ6895">
        <v>99.717321387391294</v>
      </c>
      <c r="AK6895">
        <v>16.770634578303799</v>
      </c>
      <c r="AL6895">
        <v>77.366206438674894</v>
      </c>
      <c r="AM6895">
        <v>99.651758647785698</v>
      </c>
      <c r="AN6895">
        <v>0.99999996423439896</v>
      </c>
    </row>
    <row r="6896" spans="1:40" x14ac:dyDescent="0.25">
      <c r="A6896" t="str">
        <f>"20190312172249069"</f>
        <v>20190312172249069</v>
      </c>
      <c r="B6896" t="str">
        <f>"1552382569056781"</f>
        <v>1552382569056781</v>
      </c>
      <c r="C6896" t="s">
        <v>40</v>
      </c>
      <c r="D6896">
        <v>3.2025090000000001</v>
      </c>
      <c r="E6896">
        <v>0.50291589999999997</v>
      </c>
      <c r="F6896" t="s">
        <v>64</v>
      </c>
      <c r="G6896">
        <v>-299.15600000000001</v>
      </c>
      <c r="H6896" s="1">
        <v>-5.0843899999999999E-7</v>
      </c>
      <c r="I6896">
        <v>-40.850430000000003</v>
      </c>
      <c r="J6896">
        <v>-301.28179999999998</v>
      </c>
      <c r="K6896">
        <v>1.1109209999999901</v>
      </c>
      <c r="L6896">
        <v>-24.059170000000002</v>
      </c>
      <c r="M6896">
        <v>-4.3756980000000001E-2</v>
      </c>
      <c r="N6896">
        <v>0</v>
      </c>
      <c r="O6896">
        <v>-0.9989538</v>
      </c>
      <c r="P6896">
        <v>0.1217536</v>
      </c>
      <c r="Q6896">
        <v>0.2061856</v>
      </c>
      <c r="R6896">
        <v>-0.97090849999999995</v>
      </c>
      <c r="S6896">
        <v>0.38562010000000002</v>
      </c>
      <c r="T6896">
        <v>-0.20217850000000001</v>
      </c>
      <c r="U6896">
        <v>-3.0841980000000002</v>
      </c>
      <c r="V6896">
        <v>-0.16412199999999999</v>
      </c>
      <c r="W6896">
        <v>0.21899750000000001</v>
      </c>
      <c r="X6896">
        <v>0.96182330000000005</v>
      </c>
      <c r="Y6896">
        <v>-0.1671088</v>
      </c>
      <c r="Z6896">
        <v>6.4608100000000002E-2</v>
      </c>
      <c r="AA6896">
        <v>0.98381929999999995</v>
      </c>
      <c r="AB6896">
        <v>17</v>
      </c>
      <c r="AC6896">
        <v>2.1257999999999599</v>
      </c>
      <c r="AD6896">
        <v>-1.1109215084389901</v>
      </c>
      <c r="AE6896">
        <v>-16.791259999999902</v>
      </c>
      <c r="AF6896">
        <v>-2.8463008885873999</v>
      </c>
      <c r="AG6896">
        <v>-1.1109215084389901</v>
      </c>
      <c r="AH6896">
        <v>16.6105862554843</v>
      </c>
      <c r="AI6896">
        <v>93.771455750340493</v>
      </c>
      <c r="AJ6896">
        <v>99.723463006172906</v>
      </c>
      <c r="AK6896">
        <v>16.8892614136075</v>
      </c>
      <c r="AL6896">
        <v>77.349841796765801</v>
      </c>
      <c r="AM6896">
        <v>99.683476654239001</v>
      </c>
      <c r="AN6896">
        <v>0.99999999815657004</v>
      </c>
    </row>
    <row r="6897" spans="1:40" x14ac:dyDescent="0.25">
      <c r="A6897" t="str">
        <f>"20190312172249091"</f>
        <v>20190312172249091</v>
      </c>
      <c r="B6897" t="str">
        <f>"1552382569087036"</f>
        <v>1552382569087036</v>
      </c>
      <c r="C6897" t="s">
        <v>40</v>
      </c>
      <c r="D6897">
        <v>3.1833619999999998</v>
      </c>
      <c r="E6897">
        <v>0.50293900000000002</v>
      </c>
      <c r="F6897" t="s">
        <v>64</v>
      </c>
      <c r="G6897">
        <v>-299.16660000000002</v>
      </c>
      <c r="H6897" s="1">
        <v>-5.5159930000000004E-7</v>
      </c>
      <c r="I6897">
        <v>-40.922759999999997</v>
      </c>
      <c r="J6897">
        <v>-301.28949999999998</v>
      </c>
      <c r="K6897">
        <v>1.1109629999999999</v>
      </c>
      <c r="L6897">
        <v>-24.230160000000001</v>
      </c>
      <c r="M6897">
        <v>-4.3826070000000002E-2</v>
      </c>
      <c r="N6897">
        <v>0</v>
      </c>
      <c r="O6897">
        <v>-0.99895089999999997</v>
      </c>
      <c r="P6897">
        <v>0.1225807</v>
      </c>
      <c r="Q6897">
        <v>0.20545150000000001</v>
      </c>
      <c r="R6897">
        <v>-0.97096059999999995</v>
      </c>
      <c r="S6897">
        <v>0.38690190000000002</v>
      </c>
      <c r="T6897">
        <v>-0.20319960000000001</v>
      </c>
      <c r="U6897">
        <v>-3.0845340000000001</v>
      </c>
      <c r="V6897">
        <v>-0.1650356</v>
      </c>
      <c r="W6897">
        <v>0.218247</v>
      </c>
      <c r="X6897">
        <v>0.96183759999999996</v>
      </c>
      <c r="Y6897">
        <v>-0.16756370000000001</v>
      </c>
      <c r="Z6897">
        <v>6.4921530000000005E-2</v>
      </c>
      <c r="AA6897">
        <v>0.98372130000000002</v>
      </c>
      <c r="AB6897">
        <v>17</v>
      </c>
      <c r="AC6897">
        <v>2.1228999999999498</v>
      </c>
      <c r="AD6897">
        <v>-1.1109635515992999</v>
      </c>
      <c r="AE6897">
        <v>-16.692599999999899</v>
      </c>
      <c r="AF6897">
        <v>-2.8401155148441601</v>
      </c>
      <c r="AG6897">
        <v>-1.1109635515992999</v>
      </c>
      <c r="AH6897">
        <v>16.511538685034999</v>
      </c>
      <c r="AI6897">
        <v>93.793744690097498</v>
      </c>
      <c r="AJ6897">
        <v>99.759822312789694</v>
      </c>
      <c r="AK6897">
        <v>16.790813139870501</v>
      </c>
      <c r="AL6897">
        <v>77.393908746407703</v>
      </c>
      <c r="AM6897">
        <v>99.736209656442099</v>
      </c>
      <c r="AN6897">
        <v>1.00000003552505</v>
      </c>
    </row>
    <row r="6898" spans="1:40" x14ac:dyDescent="0.25">
      <c r="A6898" t="str">
        <f>"20190312172249114"</f>
        <v>20190312172249114</v>
      </c>
      <c r="B6898" t="str">
        <f>"1552382569107532"</f>
        <v>1552382569107532</v>
      </c>
      <c r="C6898" t="s">
        <v>40</v>
      </c>
      <c r="D6898">
        <v>3.1878099999999998</v>
      </c>
      <c r="E6898">
        <v>0.50291509999999995</v>
      </c>
      <c r="F6898" t="s">
        <v>64</v>
      </c>
      <c r="G6898">
        <v>-299.20519999999999</v>
      </c>
      <c r="H6898" s="1">
        <v>-4.4070999999999998E-7</v>
      </c>
      <c r="I6898">
        <v>-40.76446</v>
      </c>
      <c r="J6898">
        <v>-301.2971</v>
      </c>
      <c r="K6898">
        <v>1.110995</v>
      </c>
      <c r="L6898">
        <v>-24.402339999999999</v>
      </c>
      <c r="M6898">
        <v>-4.3829640000000003E-2</v>
      </c>
      <c r="N6898">
        <v>0</v>
      </c>
      <c r="O6898">
        <v>-0.99895069999999997</v>
      </c>
      <c r="P6898">
        <v>0.12317259999999999</v>
      </c>
      <c r="Q6898">
        <v>0.20594750000000001</v>
      </c>
      <c r="R6898">
        <v>-0.97078010000000003</v>
      </c>
      <c r="S6898">
        <v>0.38882450000000002</v>
      </c>
      <c r="T6898">
        <v>-0.2072522</v>
      </c>
      <c r="U6898">
        <v>-3.0845030000000002</v>
      </c>
      <c r="V6898">
        <v>-0.16564019999999999</v>
      </c>
      <c r="W6898">
        <v>0.2187248</v>
      </c>
      <c r="X6898">
        <v>0.96162510000000001</v>
      </c>
      <c r="Y6898">
        <v>-0.16816139999999999</v>
      </c>
      <c r="Z6898">
        <v>6.6205260000000002E-2</v>
      </c>
      <c r="AA6898">
        <v>0.98353369999999996</v>
      </c>
      <c r="AB6898">
        <v>17</v>
      </c>
      <c r="AC6898">
        <v>2.0918999999999999</v>
      </c>
      <c r="AD6898">
        <v>-1.11099544071</v>
      </c>
      <c r="AE6898">
        <v>-16.362120000000001</v>
      </c>
      <c r="AF6898">
        <v>-2.79442208104469</v>
      </c>
      <c r="AG6898">
        <v>-1.11099544071</v>
      </c>
      <c r="AH6898">
        <v>16.181294653713</v>
      </c>
      <c r="AI6898">
        <v>93.870605412305494</v>
      </c>
      <c r="AJ6898">
        <v>99.798030446866804</v>
      </c>
      <c r="AK6898">
        <v>16.4583535721709</v>
      </c>
      <c r="AL6898">
        <v>77.365854894484698</v>
      </c>
      <c r="AM6898">
        <v>99.773309049173704</v>
      </c>
      <c r="AN6898">
        <v>1.00000002347054</v>
      </c>
    </row>
    <row r="6899" spans="1:40" x14ac:dyDescent="0.25">
      <c r="A6899" t="str">
        <f>"20190312172249136"</f>
        <v>20190312172249136</v>
      </c>
      <c r="B6899" t="str">
        <f>"1552382569127053"</f>
        <v>1552382569127053</v>
      </c>
      <c r="C6899" t="s">
        <v>40</v>
      </c>
      <c r="D6899">
        <v>3.1537649999999999</v>
      </c>
      <c r="E6899">
        <v>0.50227460000000002</v>
      </c>
      <c r="F6899" t="s">
        <v>64</v>
      </c>
      <c r="G6899">
        <v>-299.19659999999999</v>
      </c>
      <c r="H6899" s="1">
        <v>-5.8238569999999898E-7</v>
      </c>
      <c r="I6899">
        <v>-40.983750000000001</v>
      </c>
      <c r="J6899">
        <v>-301.30439999999999</v>
      </c>
      <c r="K6899">
        <v>1.1110279999999999</v>
      </c>
      <c r="L6899">
        <v>-24.569269999999999</v>
      </c>
      <c r="M6899">
        <v>-4.3781279999999999E-2</v>
      </c>
      <c r="N6899">
        <v>0</v>
      </c>
      <c r="O6899">
        <v>-0.99895290000000003</v>
      </c>
      <c r="P6899">
        <v>0.12373389999999999</v>
      </c>
      <c r="Q6899">
        <v>0.20673939999999999</v>
      </c>
      <c r="R6899">
        <v>-0.97054079999999998</v>
      </c>
      <c r="S6899">
        <v>0.39074710000000001</v>
      </c>
      <c r="T6899">
        <v>-0.20667340000000001</v>
      </c>
      <c r="U6899">
        <v>-3.0845639999999999</v>
      </c>
      <c r="V6899">
        <v>-0.16615940000000001</v>
      </c>
      <c r="W6899">
        <v>0.2194999</v>
      </c>
      <c r="X6899">
        <v>0.96135879999999996</v>
      </c>
      <c r="Y6899">
        <v>-0.16871630000000001</v>
      </c>
      <c r="Z6899">
        <v>6.6014409999999996E-2</v>
      </c>
      <c r="AA6899">
        <v>0.98345150000000003</v>
      </c>
      <c r="AB6899">
        <v>17</v>
      </c>
      <c r="AC6899">
        <v>2.1077999999999899</v>
      </c>
      <c r="AD6899">
        <v>-1.1110285823857</v>
      </c>
      <c r="AE6899">
        <v>-16.414479999999902</v>
      </c>
      <c r="AF6899">
        <v>-2.81181583842893</v>
      </c>
      <c r="AG6899">
        <v>-1.1110285823857</v>
      </c>
      <c r="AH6899">
        <v>16.233283333266201</v>
      </c>
      <c r="AI6899">
        <v>93.858026793475602</v>
      </c>
      <c r="AJ6899">
        <v>99.826870792526606</v>
      </c>
      <c r="AK6899">
        <v>16.512425036868901</v>
      </c>
      <c r="AL6899">
        <v>77.320337898168205</v>
      </c>
      <c r="AM6899">
        <v>99.806012885032501</v>
      </c>
      <c r="AN6899">
        <v>0.99999994732290298</v>
      </c>
    </row>
    <row r="6900" spans="1:40" x14ac:dyDescent="0.25">
      <c r="A6900" t="str">
        <f>"20190312172249158"</f>
        <v>20190312172249158</v>
      </c>
      <c r="B6900" t="str">
        <f>"1552382569147549"</f>
        <v>1552382569147549</v>
      </c>
      <c r="C6900" t="s">
        <v>40</v>
      </c>
      <c r="D6900">
        <v>3.1831659999999999</v>
      </c>
      <c r="E6900">
        <v>0.50206640000000002</v>
      </c>
      <c r="F6900" t="s">
        <v>42</v>
      </c>
      <c r="G6900">
        <v>-299.31349999999998</v>
      </c>
      <c r="H6900" s="1">
        <v>-3.1373609999999999E-7</v>
      </c>
      <c r="I6900">
        <v>-39.966740000000001</v>
      </c>
      <c r="J6900">
        <v>-301.3116</v>
      </c>
      <c r="K6900">
        <v>1.111057</v>
      </c>
      <c r="L6900">
        <v>-24.73499</v>
      </c>
      <c r="M6900">
        <v>-4.3684540000000001E-2</v>
      </c>
      <c r="N6900">
        <v>0</v>
      </c>
      <c r="O6900">
        <v>-0.99895719999999999</v>
      </c>
      <c r="P6900">
        <v>0.12429659999999999</v>
      </c>
      <c r="Q6900">
        <v>0.20796010000000001</v>
      </c>
      <c r="R6900">
        <v>-0.97020790000000001</v>
      </c>
      <c r="S6900">
        <v>0.399231</v>
      </c>
      <c r="T6900">
        <v>-0.22279189999999999</v>
      </c>
      <c r="U6900">
        <v>-3.0876160000000001</v>
      </c>
      <c r="V6900">
        <v>-0.16662679999999999</v>
      </c>
      <c r="W6900">
        <v>0.22070419999999999</v>
      </c>
      <c r="X6900">
        <v>0.96100220000000003</v>
      </c>
      <c r="Y6900">
        <v>-0.1711134</v>
      </c>
      <c r="Z6900">
        <v>7.1041240000000005E-2</v>
      </c>
      <c r="AA6900">
        <v>0.98268679999999997</v>
      </c>
      <c r="AB6900">
        <v>17</v>
      </c>
      <c r="AC6900">
        <v>1.99810000000002</v>
      </c>
      <c r="AD6900">
        <v>-1.1110573137360999</v>
      </c>
      <c r="AE6900">
        <v>-15.23175</v>
      </c>
      <c r="AF6900">
        <v>-2.6477929120522501</v>
      </c>
      <c r="AG6900">
        <v>-1.1110573137360999</v>
      </c>
      <c r="AH6900">
        <v>15.051184162234</v>
      </c>
      <c r="AI6900">
        <v>94.158212793209799</v>
      </c>
      <c r="AJ6900">
        <v>99.977341166951604</v>
      </c>
      <c r="AK6900">
        <v>15.322643386341801</v>
      </c>
      <c r="AL6900">
        <v>77.249603002896805</v>
      </c>
      <c r="AM6900">
        <v>99.836636612115498</v>
      </c>
      <c r="AN6900">
        <v>1.0000000313903501</v>
      </c>
    </row>
    <row r="6901" spans="1:40" x14ac:dyDescent="0.25">
      <c r="A6901" t="str">
        <f>"20190312172249181"</f>
        <v>20190312172249181</v>
      </c>
      <c r="B6901" t="str">
        <f>"1552382569176832"</f>
        <v>1552382569176832</v>
      </c>
      <c r="C6901" t="s">
        <v>40</v>
      </c>
      <c r="D6901">
        <v>3.15639</v>
      </c>
      <c r="E6901">
        <v>0.50220019999999999</v>
      </c>
      <c r="F6901" t="s">
        <v>42</v>
      </c>
      <c r="G6901">
        <v>-299.29579999999999</v>
      </c>
      <c r="H6901" s="1">
        <v>-2.5200809999999998E-7</v>
      </c>
      <c r="I6901">
        <v>-40.161949999999997</v>
      </c>
      <c r="J6901">
        <v>-301.31880000000001</v>
      </c>
      <c r="K6901">
        <v>1.1110880000000001</v>
      </c>
      <c r="L6901">
        <v>-24.903590000000001</v>
      </c>
      <c r="M6901">
        <v>-4.3529850000000002E-2</v>
      </c>
      <c r="N6901">
        <v>0</v>
      </c>
      <c r="O6901">
        <v>-0.99896390000000002</v>
      </c>
      <c r="P6901">
        <v>0.12511069999999999</v>
      </c>
      <c r="Q6901">
        <v>0.2089522</v>
      </c>
      <c r="R6901">
        <v>-0.96989000000000003</v>
      </c>
      <c r="S6901">
        <v>0.40350340000000001</v>
      </c>
      <c r="T6901">
        <v>-0.22240689999999999</v>
      </c>
      <c r="U6901">
        <v>-3.088104</v>
      </c>
      <c r="V6901">
        <v>-0.16729079999999999</v>
      </c>
      <c r="W6901">
        <v>0.22167980000000001</v>
      </c>
      <c r="X6901">
        <v>0.96066220000000002</v>
      </c>
      <c r="Y6901">
        <v>-0.17227919999999999</v>
      </c>
      <c r="Z6901">
        <v>7.0895239999999998E-2</v>
      </c>
      <c r="AA6901">
        <v>0.98249359999999997</v>
      </c>
      <c r="AB6901">
        <v>17</v>
      </c>
      <c r="AC6901">
        <v>2.0230000000000201</v>
      </c>
      <c r="AD6901">
        <v>-1.11108825200809</v>
      </c>
      <c r="AE6901">
        <v>-15.25836</v>
      </c>
      <c r="AF6901">
        <v>-2.6714142863105299</v>
      </c>
      <c r="AG6901">
        <v>-1.11108825200809</v>
      </c>
      <c r="AH6901">
        <v>15.077259566888699</v>
      </c>
      <c r="AI6901">
        <v>94.150267674570799</v>
      </c>
      <c r="AJ6901">
        <v>100.047487456547</v>
      </c>
      <c r="AK6901">
        <v>15.352352505078599</v>
      </c>
      <c r="AL6901">
        <v>77.192285144330199</v>
      </c>
      <c r="AM6901">
        <v>99.878491129109804</v>
      </c>
      <c r="AN6901">
        <v>1.0000000040007599</v>
      </c>
    </row>
    <row r="6902" spans="1:40" x14ac:dyDescent="0.25">
      <c r="A6902" t="str">
        <f>"20190312172249204"</f>
        <v>20190312172249204</v>
      </c>
      <c r="B6902" t="str">
        <f>"1552382569197324"</f>
        <v>1552382569197324</v>
      </c>
      <c r="C6902" t="s">
        <v>40</v>
      </c>
      <c r="D6902">
        <v>3.1684009999999998</v>
      </c>
      <c r="E6902">
        <v>0.50185779999999902</v>
      </c>
      <c r="F6902" t="s">
        <v>42</v>
      </c>
      <c r="G6902">
        <v>-299.29410000000001</v>
      </c>
      <c r="H6902" s="1">
        <v>-2.0195770000000001E-7</v>
      </c>
      <c r="I6902">
        <v>-40.310360000000003</v>
      </c>
      <c r="J6902">
        <v>-301.3261</v>
      </c>
      <c r="K6902">
        <v>1.1111040000000001</v>
      </c>
      <c r="L6902">
        <v>-25.075009999999999</v>
      </c>
      <c r="M6902">
        <v>-4.3311839999999997E-2</v>
      </c>
      <c r="N6902">
        <v>0</v>
      </c>
      <c r="O6902">
        <v>-0.99897349999999996</v>
      </c>
      <c r="P6902">
        <v>0.12522749999999999</v>
      </c>
      <c r="Q6902">
        <v>0.21064749999999999</v>
      </c>
      <c r="R6902">
        <v>-0.96950829999999999</v>
      </c>
      <c r="S6902">
        <v>0.40591430000000001</v>
      </c>
      <c r="T6902">
        <v>-0.2227528</v>
      </c>
      <c r="U6902">
        <v>-3.0887760000000002</v>
      </c>
      <c r="V6902">
        <v>-0.16719439999999999</v>
      </c>
      <c r="W6902">
        <v>0.22335849999999999</v>
      </c>
      <c r="X6902">
        <v>0.96029010000000004</v>
      </c>
      <c r="Y6902">
        <v>-0.1727899</v>
      </c>
      <c r="Z6902">
        <v>7.0983969999999993E-2</v>
      </c>
      <c r="AA6902">
        <v>0.98239759999999998</v>
      </c>
      <c r="AB6902">
        <v>17</v>
      </c>
      <c r="AC6902">
        <v>2.03199999999998</v>
      </c>
      <c r="AD6902">
        <v>-1.1111042019577</v>
      </c>
      <c r="AE6902">
        <v>-15.235349999999899</v>
      </c>
      <c r="AF6902">
        <v>-2.6760377120863401</v>
      </c>
      <c r="AG6902">
        <v>-1.1111042019577</v>
      </c>
      <c r="AH6902">
        <v>15.05436318924</v>
      </c>
      <c r="AI6902">
        <v>94.156206337761105</v>
      </c>
      <c r="AJ6902">
        <v>100.079515087697</v>
      </c>
      <c r="AK6902">
        <v>15.3306745258538</v>
      </c>
      <c r="AL6902">
        <v>77.093629598026098</v>
      </c>
      <c r="AM6902">
        <v>99.876661074488297</v>
      </c>
      <c r="AN6902">
        <v>1.0000000315358</v>
      </c>
    </row>
    <row r="6903" spans="1:40" x14ac:dyDescent="0.25">
      <c r="A6903" t="str">
        <f>"20190312172249226"</f>
        <v>20190312172249226</v>
      </c>
      <c r="B6903" t="str">
        <f>"1552382569216845"</f>
        <v>1552382569216845</v>
      </c>
      <c r="C6903" t="s">
        <v>40</v>
      </c>
      <c r="D6903">
        <v>3.1553239999999998</v>
      </c>
      <c r="E6903">
        <v>0.50147520000000001</v>
      </c>
      <c r="F6903" t="s">
        <v>64</v>
      </c>
      <c r="G6903">
        <v>-299.22539999999998</v>
      </c>
      <c r="H6903" s="1">
        <v>-5.3814269999999997E-7</v>
      </c>
      <c r="I6903">
        <v>-40.926220000000001</v>
      </c>
      <c r="J6903">
        <v>-301.3331</v>
      </c>
      <c r="K6903">
        <v>1.11113</v>
      </c>
      <c r="L6903">
        <v>-25.24371</v>
      </c>
      <c r="M6903">
        <v>-4.3052680000000003E-2</v>
      </c>
      <c r="N6903">
        <v>0</v>
      </c>
      <c r="O6903">
        <v>-0.99898480000000001</v>
      </c>
      <c r="P6903">
        <v>0.1246878</v>
      </c>
      <c r="Q6903">
        <v>0.21217549999999999</v>
      </c>
      <c r="R6903">
        <v>-0.96924460000000001</v>
      </c>
      <c r="S6903">
        <v>0.40930179999999999</v>
      </c>
      <c r="T6903">
        <v>-0.2164933</v>
      </c>
      <c r="U6903">
        <v>-3.0885310000000001</v>
      </c>
      <c r="V6903">
        <v>-0.16640579999999999</v>
      </c>
      <c r="W6903">
        <v>0.2248744</v>
      </c>
      <c r="X6903">
        <v>0.96007319999999996</v>
      </c>
      <c r="Y6903">
        <v>-0.17362179999999999</v>
      </c>
      <c r="Z6903">
        <v>6.8995639999999997E-2</v>
      </c>
      <c r="AA6903">
        <v>0.9823925</v>
      </c>
      <c r="AB6903">
        <v>17</v>
      </c>
      <c r="AC6903">
        <v>2.1077000000000199</v>
      </c>
      <c r="AD6903">
        <v>-1.1111305381426999</v>
      </c>
      <c r="AE6903">
        <v>-15.682510000000001</v>
      </c>
      <c r="AF6903">
        <v>-2.7673334675029202</v>
      </c>
      <c r="AG6903">
        <v>-1.1111305381426999</v>
      </c>
      <c r="AH6903">
        <v>15.500784055832501</v>
      </c>
      <c r="AI6903">
        <v>94.036469862047198</v>
      </c>
      <c r="AJ6903">
        <v>100.122294257143</v>
      </c>
      <c r="AK6903">
        <v>15.7850261937922</v>
      </c>
      <c r="AL6903">
        <v>77.004507029262896</v>
      </c>
      <c r="AM6903">
        <v>99.833164887863603</v>
      </c>
      <c r="AN6903">
        <v>0.99999996770361899</v>
      </c>
    </row>
    <row r="6904" spans="1:40" x14ac:dyDescent="0.25">
      <c r="A6904" t="str">
        <f>"20190312172249249"</f>
        <v>20190312172249249</v>
      </c>
      <c r="B6904" t="str">
        <f>"1552382569237341"</f>
        <v>1552382569237341</v>
      </c>
      <c r="C6904" t="s">
        <v>40</v>
      </c>
      <c r="D6904">
        <v>3.1694740000000001</v>
      </c>
      <c r="E6904">
        <v>0.50111490000000003</v>
      </c>
      <c r="F6904" t="s">
        <v>64</v>
      </c>
      <c r="G6904">
        <v>-299.17020000000002</v>
      </c>
      <c r="H6904" s="1">
        <v>-8.8032310000000001E-7</v>
      </c>
      <c r="I6904">
        <v>-41.441450000000003</v>
      </c>
      <c r="J6904">
        <v>-301.33999999999997</v>
      </c>
      <c r="K6904">
        <v>1.1111519999999999</v>
      </c>
      <c r="L6904">
        <v>-25.41019</v>
      </c>
      <c r="M6904">
        <v>-4.2752119999999998E-2</v>
      </c>
      <c r="N6904">
        <v>0</v>
      </c>
      <c r="O6904">
        <v>-0.99899760000000004</v>
      </c>
      <c r="P6904">
        <v>0.1233317</v>
      </c>
      <c r="Q6904">
        <v>0.21313499999999999</v>
      </c>
      <c r="R6904">
        <v>-0.9692075</v>
      </c>
      <c r="S6904">
        <v>0.41241460000000002</v>
      </c>
      <c r="T6904">
        <v>-0.21186669999999999</v>
      </c>
      <c r="U6904">
        <v>-3.0885310000000001</v>
      </c>
      <c r="V6904">
        <v>-0.16476969999999999</v>
      </c>
      <c r="W6904">
        <v>0.22582669999999999</v>
      </c>
      <c r="X6904">
        <v>0.96013190000000004</v>
      </c>
      <c r="Y6904">
        <v>-0.17431179999999999</v>
      </c>
      <c r="Z6904">
        <v>6.7520810000000001E-2</v>
      </c>
      <c r="AA6904">
        <v>0.98237280000000005</v>
      </c>
      <c r="AB6904">
        <v>17</v>
      </c>
      <c r="AC6904">
        <v>2.1697999999999502</v>
      </c>
      <c r="AD6904">
        <v>-1.1111528803230999</v>
      </c>
      <c r="AE6904">
        <v>-16.03126</v>
      </c>
      <c r="AF6904">
        <v>-2.83984901653402</v>
      </c>
      <c r="AG6904">
        <v>-1.1111528803230999</v>
      </c>
      <c r="AH6904">
        <v>15.849057709283001</v>
      </c>
      <c r="AI6904">
        <v>93.947688680765197</v>
      </c>
      <c r="AJ6904">
        <v>100.158511182504</v>
      </c>
      <c r="AK6904">
        <v>16.139765594095302</v>
      </c>
      <c r="AL6904">
        <v>76.9485042705045</v>
      </c>
      <c r="AM6904">
        <v>99.737761472466104</v>
      </c>
      <c r="AN6904">
        <v>1.00000000893429</v>
      </c>
    </row>
    <row r="6905" spans="1:40" x14ac:dyDescent="0.25">
      <c r="A6905" t="str">
        <f>"20190312172249270"</f>
        <v>20190312172249270</v>
      </c>
      <c r="B6905" t="str">
        <f>"1552382569267597"</f>
        <v>1552382569267597</v>
      </c>
      <c r="C6905" t="s">
        <v>40</v>
      </c>
      <c r="D6905">
        <v>3.1550609999999999</v>
      </c>
      <c r="E6905">
        <v>0.5027587</v>
      </c>
      <c r="F6905" t="s">
        <v>64</v>
      </c>
      <c r="G6905">
        <v>-299.15039999999999</v>
      </c>
      <c r="H6905" s="1">
        <v>-1.12598E-6</v>
      </c>
      <c r="I6905">
        <v>-41.819609999999997</v>
      </c>
      <c r="J6905">
        <v>-301.34660000000002</v>
      </c>
      <c r="K6905">
        <v>1.111165</v>
      </c>
      <c r="L6905">
        <v>-25.57358</v>
      </c>
      <c r="M6905">
        <v>-4.240675E-2</v>
      </c>
      <c r="N6905">
        <v>0</v>
      </c>
      <c r="O6905">
        <v>-0.99901220000000002</v>
      </c>
      <c r="P6905">
        <v>0.12254429999999999</v>
      </c>
      <c r="Q6905">
        <v>0.2133263</v>
      </c>
      <c r="R6905">
        <v>-0.9692653</v>
      </c>
      <c r="S6905">
        <v>0.41217039999999999</v>
      </c>
      <c r="T6905">
        <v>-0.2091605</v>
      </c>
      <c r="U6905">
        <v>-3.088867</v>
      </c>
      <c r="V6905">
        <v>-0.16366269999999999</v>
      </c>
      <c r="W6905">
        <v>0.22601109999999999</v>
      </c>
      <c r="X6905">
        <v>0.96027779999999996</v>
      </c>
      <c r="Y6905">
        <v>-0.17388879999999901</v>
      </c>
      <c r="Z6905">
        <v>6.6659499999999997E-2</v>
      </c>
      <c r="AA6905">
        <v>0.98250660000000001</v>
      </c>
      <c r="AB6905">
        <v>17</v>
      </c>
      <c r="AC6905">
        <v>2.1962000000000299</v>
      </c>
      <c r="AD6905">
        <v>-1.1111661259800001</v>
      </c>
      <c r="AE6905">
        <v>-16.246029999999902</v>
      </c>
      <c r="AF6905">
        <v>-2.8700408848129002</v>
      </c>
      <c r="AG6905">
        <v>-1.1111661259800001</v>
      </c>
      <c r="AH6905">
        <v>16.064469594643398</v>
      </c>
      <c r="AI6905">
        <v>93.895315870939399</v>
      </c>
      <c r="AJ6905">
        <v>100.129460769575</v>
      </c>
      <c r="AK6905">
        <v>16.356619705710798</v>
      </c>
      <c r="AL6905">
        <v>76.937658072163302</v>
      </c>
      <c r="AM6905">
        <v>99.672136900185194</v>
      </c>
      <c r="AN6905">
        <v>0.99999997493366899</v>
      </c>
    </row>
    <row r="6906" spans="1:40" x14ac:dyDescent="0.25">
      <c r="A6906" t="str">
        <f>"20190312172249292"</f>
        <v>20190312172249292</v>
      </c>
      <c r="B6906" t="str">
        <f>"1552382569287117"</f>
        <v>1552382569287117</v>
      </c>
      <c r="C6906" t="s">
        <v>40</v>
      </c>
      <c r="D6906">
        <v>3.1521340000000002</v>
      </c>
      <c r="E6906">
        <v>0.5260011</v>
      </c>
      <c r="F6906" t="s">
        <v>64</v>
      </c>
      <c r="G6906">
        <v>-299.21159999999998</v>
      </c>
      <c r="H6906" s="1">
        <v>-1.3509690000000001E-6</v>
      </c>
      <c r="I6906">
        <v>-42.19923</v>
      </c>
      <c r="J6906">
        <v>-301.35340000000002</v>
      </c>
      <c r="K6906">
        <v>1.1111899999999999</v>
      </c>
      <c r="L6906">
        <v>-25.743839999999999</v>
      </c>
      <c r="M6906">
        <v>-4.1988209999999998E-2</v>
      </c>
      <c r="N6906">
        <v>0</v>
      </c>
      <c r="O6906">
        <v>-0.99902990000000003</v>
      </c>
      <c r="P6906">
        <v>0.12128609999999999</v>
      </c>
      <c r="Q6906">
        <v>0.2125312</v>
      </c>
      <c r="R6906">
        <v>-0.96959790000000001</v>
      </c>
      <c r="S6906">
        <v>0.3968506</v>
      </c>
      <c r="T6906">
        <v>-0.2065468</v>
      </c>
      <c r="U6906">
        <v>-3.0904240000000001</v>
      </c>
      <c r="V6906">
        <v>-0.162028799999999</v>
      </c>
      <c r="W6906">
        <v>0.22521260000000001</v>
      </c>
      <c r="X6906">
        <v>0.9607424</v>
      </c>
      <c r="Y6906">
        <v>-0.16862739999999901</v>
      </c>
      <c r="Z6906">
        <v>6.5850629999999993E-2</v>
      </c>
      <c r="AA6906">
        <v>0.98347779999999996</v>
      </c>
      <c r="AB6906">
        <v>17</v>
      </c>
      <c r="AC6906">
        <v>2.1418000000000399</v>
      </c>
      <c r="AD6906">
        <v>-1.1111913509689999</v>
      </c>
      <c r="AE6906">
        <v>-16.455389999999898</v>
      </c>
      <c r="AF6906">
        <v>-2.81826698641984</v>
      </c>
      <c r="AG6906">
        <v>-1.1111913509689999</v>
      </c>
      <c r="AH6906">
        <v>16.277946955975601</v>
      </c>
      <c r="AI6906">
        <v>93.848085829645896</v>
      </c>
      <c r="AJ6906">
        <v>99.822478899084004</v>
      </c>
      <c r="AK6906">
        <v>16.557443405512998</v>
      </c>
      <c r="AL6906">
        <v>76.984619924067701</v>
      </c>
      <c r="AM6906">
        <v>99.5728283621781</v>
      </c>
      <c r="AN6906">
        <v>1.0000000031929701</v>
      </c>
    </row>
    <row r="6907" spans="1:40" x14ac:dyDescent="0.25">
      <c r="A6907" t="str">
        <f>"20190312172249314"</f>
        <v>20190312172249314</v>
      </c>
      <c r="B6907" t="str">
        <f>"1552382569306989"</f>
        <v>1552382569306989</v>
      </c>
      <c r="C6907" t="s">
        <v>40</v>
      </c>
      <c r="D6907">
        <v>3.2624919999999999</v>
      </c>
      <c r="E6907">
        <v>0.52681109999999998</v>
      </c>
      <c r="F6907" t="s">
        <v>42</v>
      </c>
      <c r="G6907">
        <v>-300.42270000000002</v>
      </c>
      <c r="H6907" s="1">
        <v>-5.4837769999999895E-7</v>
      </c>
      <c r="I6907">
        <v>-39.394779999999997</v>
      </c>
      <c r="J6907">
        <v>-301.35969999999998</v>
      </c>
      <c r="K6907">
        <v>1.1112109999999999</v>
      </c>
      <c r="L6907">
        <v>-25.907869999999999</v>
      </c>
      <c r="M6907">
        <v>-4.1526750000000001E-2</v>
      </c>
      <c r="N6907">
        <v>0</v>
      </c>
      <c r="O6907">
        <v>-0.99904919999999997</v>
      </c>
      <c r="P6907">
        <v>0.1192023</v>
      </c>
      <c r="Q6907">
        <v>0.21253659999999999</v>
      </c>
      <c r="R6907">
        <v>-0.96985520000000003</v>
      </c>
      <c r="S6907">
        <v>0.2129211</v>
      </c>
      <c r="T6907">
        <v>-0.25422689999999998</v>
      </c>
      <c r="U6907">
        <v>-3.1231689999999999</v>
      </c>
      <c r="V6907">
        <v>-0.1595269</v>
      </c>
      <c r="W6907">
        <v>0.2252131</v>
      </c>
      <c r="X6907">
        <v>0.96116089999999998</v>
      </c>
      <c r="Y6907">
        <v>-0.10917</v>
      </c>
      <c r="Z6907">
        <v>8.069134E-2</v>
      </c>
      <c r="AA6907">
        <v>0.99074260000000003</v>
      </c>
      <c r="AB6907">
        <v>17</v>
      </c>
      <c r="AC6907">
        <v>0.93699999999995498</v>
      </c>
      <c r="AD6907">
        <v>-1.1112115483777001</v>
      </c>
      <c r="AE6907">
        <v>-13.4869099999999</v>
      </c>
      <c r="AF6907">
        <v>-1.4862675492714801</v>
      </c>
      <c r="AG6907">
        <v>-1.1112115483777001</v>
      </c>
      <c r="AH6907">
        <v>13.3461956905254</v>
      </c>
      <c r="AI6907">
        <v>94.730392061443496</v>
      </c>
      <c r="AJ6907">
        <v>96.354426989875407</v>
      </c>
      <c r="AK6907">
        <v>13.4745954203851</v>
      </c>
      <c r="AL6907">
        <v>76.984590795860996</v>
      </c>
      <c r="AM6907">
        <v>99.4236560925942</v>
      </c>
      <c r="AN6907">
        <v>1.0000000239620099</v>
      </c>
    </row>
    <row r="6908" spans="1:40" x14ac:dyDescent="0.25">
      <c r="A6908" t="str">
        <f>"20190312172249337"</f>
        <v>20190312172249337</v>
      </c>
      <c r="B6908" t="str">
        <f>"1552382569327485"</f>
        <v>1552382569327485</v>
      </c>
      <c r="C6908" t="s">
        <v>40</v>
      </c>
      <c r="D6908">
        <v>3.159278</v>
      </c>
      <c r="E6908">
        <v>0.5270859</v>
      </c>
      <c r="F6908" t="s">
        <v>64</v>
      </c>
      <c r="G6908">
        <v>-300.41300000000001</v>
      </c>
      <c r="H6908" s="1">
        <v>-2.5258769999999998E-7</v>
      </c>
      <c r="I6908">
        <v>-40.683819999999997</v>
      </c>
      <c r="J6908">
        <v>-301.36599999999999</v>
      </c>
      <c r="K6908">
        <v>1.111226</v>
      </c>
      <c r="L6908">
        <v>-26.072140000000001</v>
      </c>
      <c r="M6908">
        <v>-4.1005270000000003E-2</v>
      </c>
      <c r="N6908">
        <v>0</v>
      </c>
      <c r="O6908">
        <v>-0.99907080000000004</v>
      </c>
      <c r="P6908">
        <v>0.117702399999999</v>
      </c>
      <c r="Q6908">
        <v>0.2122685</v>
      </c>
      <c r="R6908">
        <v>-0.97009719999999999</v>
      </c>
      <c r="S6908">
        <v>0.19992070000000001</v>
      </c>
      <c r="T6908">
        <v>-0.2346432</v>
      </c>
      <c r="U6908">
        <v>-3.1200869999999998</v>
      </c>
      <c r="V6908">
        <v>-0.15755139999999901</v>
      </c>
      <c r="W6908">
        <v>0.22493850000000001</v>
      </c>
      <c r="X6908">
        <v>0.96155100000000004</v>
      </c>
      <c r="Y6908">
        <v>-0.1046367</v>
      </c>
      <c r="Z6908">
        <v>7.4615680000000004E-2</v>
      </c>
      <c r="AA6908">
        <v>0.99170740000000002</v>
      </c>
      <c r="AB6908">
        <v>17</v>
      </c>
      <c r="AC6908">
        <v>0.95299999999997398</v>
      </c>
      <c r="AD6908">
        <v>-1.1112262525876999</v>
      </c>
      <c r="AE6908">
        <v>-14.61168</v>
      </c>
      <c r="AF6908">
        <v>-1.54252328709838</v>
      </c>
      <c r="AG6908">
        <v>-1.1112262525876999</v>
      </c>
      <c r="AH6908">
        <v>14.476931575725301</v>
      </c>
      <c r="AI6908">
        <v>94.364715936965197</v>
      </c>
      <c r="AJ6908">
        <v>96.081943135421497</v>
      </c>
      <c r="AK6908">
        <v>14.6012242542848</v>
      </c>
      <c r="AL6908">
        <v>77.000738878941405</v>
      </c>
      <c r="AM6908">
        <v>99.305303060150095</v>
      </c>
      <c r="AN6908">
        <v>1.0000000490126</v>
      </c>
    </row>
    <row r="6909" spans="1:40" x14ac:dyDescent="0.25">
      <c r="A6909" t="str">
        <f>"20190312172249359"</f>
        <v>20190312172249359</v>
      </c>
      <c r="B6909" t="str">
        <f>"1552382569357741"</f>
        <v>1552382569357741</v>
      </c>
      <c r="C6909" t="s">
        <v>40</v>
      </c>
      <c r="D6909">
        <v>3.167138</v>
      </c>
      <c r="E6909">
        <v>0.5266653</v>
      </c>
      <c r="F6909" t="s">
        <v>64</v>
      </c>
      <c r="G6909">
        <v>-300.41489999999999</v>
      </c>
      <c r="H6909" s="1">
        <v>-7.0920869999999897E-7</v>
      </c>
      <c r="I6909">
        <v>-41.401769999999999</v>
      </c>
      <c r="J6909">
        <v>-301.37220000000002</v>
      </c>
      <c r="K6909">
        <v>1.111259</v>
      </c>
      <c r="L6909">
        <v>-26.239840000000001</v>
      </c>
      <c r="M6909">
        <v>-4.041206E-2</v>
      </c>
      <c r="N6909">
        <v>0</v>
      </c>
      <c r="O6909">
        <v>-0.99909499999999996</v>
      </c>
      <c r="P6909">
        <v>0.1166895</v>
      </c>
      <c r="Q6909">
        <v>0.21156420000000001</v>
      </c>
      <c r="R6909">
        <v>-0.97037320000000005</v>
      </c>
      <c r="S6909">
        <v>0.1934814</v>
      </c>
      <c r="T6909">
        <v>-0.22605420000000001</v>
      </c>
      <c r="U6909">
        <v>-3.1184690000000002</v>
      </c>
      <c r="V6909">
        <v>-0.15599469999999999</v>
      </c>
      <c r="W6909">
        <v>0.2242275</v>
      </c>
      <c r="X6909">
        <v>0.96197069999999996</v>
      </c>
      <c r="Y6909">
        <v>-0.10205119999999999</v>
      </c>
      <c r="Z6909">
        <v>7.1952890000000005E-2</v>
      </c>
      <c r="AA6909">
        <v>0.99217359999999999</v>
      </c>
      <c r="AB6909">
        <v>17</v>
      </c>
      <c r="AC6909">
        <v>0.95730000000003201</v>
      </c>
      <c r="AD6909">
        <v>-1.1112597092087</v>
      </c>
      <c r="AE6909">
        <v>-15.1619299999999</v>
      </c>
      <c r="AF6909">
        <v>-1.5609447750991801</v>
      </c>
      <c r="AG6909">
        <v>-1.1112597092087</v>
      </c>
      <c r="AH6909">
        <v>15.0304318379735</v>
      </c>
      <c r="AI6909">
        <v>94.205873805704201</v>
      </c>
      <c r="AJ6909">
        <v>95.929043404843398</v>
      </c>
      <c r="AK6909">
        <v>15.152073388424</v>
      </c>
      <c r="AL6909">
        <v>77.042543089722301</v>
      </c>
      <c r="AM6909">
        <v>99.210994700141697</v>
      </c>
      <c r="AN6909">
        <v>0.99999997292141396</v>
      </c>
    </row>
    <row r="6910" spans="1:40" x14ac:dyDescent="0.25">
      <c r="A6910" t="str">
        <f>"20190312172249382"</f>
        <v>20190312172249382</v>
      </c>
      <c r="B6910" t="str">
        <f>"1552382569377264"</f>
        <v>1552382569377264</v>
      </c>
      <c r="C6910" t="s">
        <v>40</v>
      </c>
      <c r="D6910">
        <v>3.1574490000000002</v>
      </c>
      <c r="E6910">
        <v>0.52647359999999999</v>
      </c>
      <c r="F6910" t="s">
        <v>64</v>
      </c>
      <c r="G6910">
        <v>-300.4332</v>
      </c>
      <c r="H6910" s="1">
        <v>-6.4314749999999997E-7</v>
      </c>
      <c r="I6910">
        <v>-41.29383</v>
      </c>
      <c r="J6910">
        <v>-301.37810000000002</v>
      </c>
      <c r="K6910">
        <v>1.111283</v>
      </c>
      <c r="L6910">
        <v>-26.40344</v>
      </c>
      <c r="M6910">
        <v>-3.9765559999999998E-2</v>
      </c>
      <c r="N6910">
        <v>0</v>
      </c>
      <c r="O6910">
        <v>-0.99912100000000004</v>
      </c>
      <c r="P6910">
        <v>0.1158653</v>
      </c>
      <c r="Q6910">
        <v>0.21145710000000001</v>
      </c>
      <c r="R6910">
        <v>-0.97049549999999996</v>
      </c>
      <c r="S6910">
        <v>0.194519</v>
      </c>
      <c r="T6910">
        <v>-0.23019319999999999</v>
      </c>
      <c r="U6910">
        <v>-3.1183779999999999</v>
      </c>
      <c r="V6910">
        <v>-0.15456710000000001</v>
      </c>
      <c r="W6910">
        <v>0.2241128</v>
      </c>
      <c r="X6910">
        <v>0.96222790000000002</v>
      </c>
      <c r="Y6910">
        <v>-0.10173219999999999</v>
      </c>
      <c r="Z6910">
        <v>7.3268739999999999E-2</v>
      </c>
      <c r="AA6910">
        <v>0.99211000000000005</v>
      </c>
      <c r="AB6910">
        <v>17</v>
      </c>
      <c r="AC6910">
        <v>0.94490000000001795</v>
      </c>
      <c r="AD6910">
        <v>-1.1112836431474999</v>
      </c>
      <c r="AE6910">
        <v>-14.890389999999901</v>
      </c>
      <c r="AF6910">
        <v>-1.5278536052271801</v>
      </c>
      <c r="AG6910">
        <v>-1.1112836431474999</v>
      </c>
      <c r="AH6910">
        <v>14.7591569043195</v>
      </c>
      <c r="AI6910">
        <v>94.283130945718</v>
      </c>
      <c r="AJ6910">
        <v>95.910152070089694</v>
      </c>
      <c r="AK6910">
        <v>14.879583344329699</v>
      </c>
      <c r="AL6910">
        <v>77.0492873350005</v>
      </c>
      <c r="AM6910">
        <v>99.125726087462397</v>
      </c>
      <c r="AN6910">
        <v>1.00000003353232</v>
      </c>
    </row>
    <row r="6911" spans="1:40" x14ac:dyDescent="0.25">
      <c r="A6911" t="str">
        <f>"20190312172249404"</f>
        <v>20190312172249404</v>
      </c>
      <c r="B6911" t="str">
        <f>"1552382569397757"</f>
        <v>1552382569397757</v>
      </c>
      <c r="C6911" t="s">
        <v>40</v>
      </c>
      <c r="D6911">
        <v>3.1462189999999999</v>
      </c>
      <c r="E6911">
        <v>0.52649709999999905</v>
      </c>
      <c r="F6911" t="s">
        <v>64</v>
      </c>
      <c r="G6911">
        <v>-300.4366</v>
      </c>
      <c r="H6911" s="1">
        <v>-7.7926639999999998E-7</v>
      </c>
      <c r="I6911">
        <v>-41.507240000000003</v>
      </c>
      <c r="J6911">
        <v>-301.38389999999998</v>
      </c>
      <c r="K6911">
        <v>1.1113109999999999</v>
      </c>
      <c r="L6911">
        <v>-26.56793</v>
      </c>
      <c r="M6911">
        <v>-3.9056729999999998E-2</v>
      </c>
      <c r="N6911">
        <v>0</v>
      </c>
      <c r="O6911">
        <v>-0.9991487</v>
      </c>
      <c r="P6911">
        <v>0.114909999999999</v>
      </c>
      <c r="Q6911">
        <v>0.211592</v>
      </c>
      <c r="R6911">
        <v>-0.97057930000000003</v>
      </c>
      <c r="S6911">
        <v>0.1943665</v>
      </c>
      <c r="T6911">
        <v>-0.2294099</v>
      </c>
      <c r="U6911">
        <v>-3.1179809999999999</v>
      </c>
      <c r="V6911">
        <v>-0.15294479999999999</v>
      </c>
      <c r="W6911">
        <v>0.224242</v>
      </c>
      <c r="X6911">
        <v>0.96245689999999995</v>
      </c>
      <c r="Y6911">
        <v>-0.10098699999999999</v>
      </c>
      <c r="Z6911">
        <v>7.3035939999999994E-2</v>
      </c>
      <c r="AA6911">
        <v>0.99220330000000001</v>
      </c>
      <c r="AB6911">
        <v>17</v>
      </c>
      <c r="AC6911">
        <v>0.94729999999998404</v>
      </c>
      <c r="AD6911">
        <v>-1.1113117792664</v>
      </c>
      <c r="AE6911">
        <v>-14.939310000000001</v>
      </c>
      <c r="AF6911">
        <v>-1.52172222039149</v>
      </c>
      <c r="AG6911">
        <v>-1.1113117792664</v>
      </c>
      <c r="AH6911">
        <v>14.809286462492601</v>
      </c>
      <c r="AI6911">
        <v>94.269125668023804</v>
      </c>
      <c r="AJ6911">
        <v>95.866814124163398</v>
      </c>
      <c r="AK6911">
        <v>14.9286844000044</v>
      </c>
      <c r="AL6911">
        <v>77.041690097297504</v>
      </c>
      <c r="AM6911">
        <v>99.029418004954493</v>
      </c>
      <c r="AN6911">
        <v>0.99999993538432297</v>
      </c>
    </row>
    <row r="6912" spans="1:40" x14ac:dyDescent="0.25">
      <c r="A6912" t="str">
        <f>"20190312172249426"</f>
        <v>20190312172249426</v>
      </c>
      <c r="B6912" t="str">
        <f>"1552382569417785"</f>
        <v>1552382569417785</v>
      </c>
      <c r="C6912" t="s">
        <v>40</v>
      </c>
      <c r="D6912">
        <v>3.1416770000000001</v>
      </c>
      <c r="E6912">
        <v>0.52619490000000002</v>
      </c>
      <c r="F6912" t="s">
        <v>64</v>
      </c>
      <c r="G6912">
        <v>-300.46080000000001</v>
      </c>
      <c r="H6912" s="1">
        <v>-7.9219860000000002E-7</v>
      </c>
      <c r="I6912">
        <v>-41.522289999999998</v>
      </c>
      <c r="J6912">
        <v>-301.3895</v>
      </c>
      <c r="K6912">
        <v>1.111327</v>
      </c>
      <c r="L6912">
        <v>-26.735779999999998</v>
      </c>
      <c r="M6912">
        <v>-3.8285529999999998E-2</v>
      </c>
      <c r="N6912">
        <v>0</v>
      </c>
      <c r="O6912">
        <v>-0.99917909999999999</v>
      </c>
      <c r="P6912">
        <v>0.1143889</v>
      </c>
      <c r="Q6912">
        <v>0.21205969999999999</v>
      </c>
      <c r="R6912">
        <v>-0.9705395</v>
      </c>
      <c r="S6912">
        <v>0.19250490000000001</v>
      </c>
      <c r="T6912">
        <v>-0.2317582</v>
      </c>
      <c r="U6912">
        <v>-3.118652</v>
      </c>
      <c r="V6912">
        <v>-0.15168760000000001</v>
      </c>
      <c r="W6912">
        <v>0.22470480000000001</v>
      </c>
      <c r="X6912">
        <v>0.96254799999999996</v>
      </c>
      <c r="Y6912">
        <v>-9.9612389999999995E-2</v>
      </c>
      <c r="Z6912">
        <v>7.3773530000000004E-2</v>
      </c>
      <c r="AA6912">
        <v>0.99228769999999999</v>
      </c>
      <c r="AB6912">
        <v>17</v>
      </c>
      <c r="AC6912">
        <v>0.92869999999999198</v>
      </c>
      <c r="AD6912">
        <v>-1.1113277921986</v>
      </c>
      <c r="AE6912">
        <v>-14.78651</v>
      </c>
      <c r="AF6912">
        <v>-1.4858179577900399</v>
      </c>
      <c r="AG6912">
        <v>-1.1113277921986</v>
      </c>
      <c r="AH6912">
        <v>14.657636224440999</v>
      </c>
      <c r="AI6912">
        <v>94.313792589635398</v>
      </c>
      <c r="AJ6912">
        <v>95.788197565047994</v>
      </c>
      <c r="AK6912">
        <v>14.7746067343076</v>
      </c>
      <c r="AL6912">
        <v>77.014480227056694</v>
      </c>
      <c r="AM6912">
        <v>98.9555706780789</v>
      </c>
      <c r="AN6912">
        <v>1.0000000137203999</v>
      </c>
    </row>
    <row r="6913" spans="1:40" x14ac:dyDescent="0.25">
      <c r="A6913" t="str">
        <f>"20190312172249451"</f>
        <v>20190312172249451</v>
      </c>
      <c r="B6913" t="str">
        <f>"1552382569447065"</f>
        <v>1552382569447065</v>
      </c>
      <c r="C6913" t="s">
        <v>40</v>
      </c>
      <c r="D6913">
        <v>3.147548</v>
      </c>
      <c r="E6913">
        <v>0.52573230000000004</v>
      </c>
      <c r="F6913" t="s">
        <v>64</v>
      </c>
      <c r="G6913">
        <v>-300.44810000000001</v>
      </c>
      <c r="H6913" s="1">
        <v>-9.6805389999999995E-7</v>
      </c>
      <c r="I6913">
        <v>-41.801729999999999</v>
      </c>
      <c r="J6913">
        <v>-301.3954</v>
      </c>
      <c r="K6913">
        <v>1.1113420000000001</v>
      </c>
      <c r="L6913">
        <v>-26.917660000000001</v>
      </c>
      <c r="M6913">
        <v>-3.7406330000000002E-2</v>
      </c>
      <c r="N6913">
        <v>0</v>
      </c>
      <c r="O6913">
        <v>-0.99921219999999999</v>
      </c>
      <c r="P6913">
        <v>0.114311999999999</v>
      </c>
      <c r="Q6913">
        <v>0.21221409999999999</v>
      </c>
      <c r="R6913">
        <v>-0.97051449999999995</v>
      </c>
      <c r="S6913">
        <v>0.19485469999999999</v>
      </c>
      <c r="T6913">
        <v>-0.23002230000000001</v>
      </c>
      <c r="U6913">
        <v>-3.118347</v>
      </c>
      <c r="V6913">
        <v>-0.1507665</v>
      </c>
      <c r="W6913">
        <v>0.22485579999999999</v>
      </c>
      <c r="X6913">
        <v>0.96265750000000005</v>
      </c>
      <c r="Y6913">
        <v>-9.9490220000000004E-2</v>
      </c>
      <c r="Z6913">
        <v>7.323346E-2</v>
      </c>
      <c r="AA6913">
        <v>0.99234</v>
      </c>
      <c r="AB6913">
        <v>17</v>
      </c>
      <c r="AC6913">
        <v>0.94729999999998404</v>
      </c>
      <c r="AD6913">
        <v>-1.11134296805389</v>
      </c>
      <c r="AE6913">
        <v>-14.884069999999999</v>
      </c>
      <c r="AF6913">
        <v>-1.4951423271497</v>
      </c>
      <c r="AG6913">
        <v>-1.11134296805389</v>
      </c>
      <c r="AH6913">
        <v>14.7562773973895</v>
      </c>
      <c r="AI6913">
        <v>94.285141858911203</v>
      </c>
      <c r="AJ6913">
        <v>95.785604440925496</v>
      </c>
      <c r="AK6913">
        <v>14.8734076929191</v>
      </c>
      <c r="AL6913">
        <v>77.005602031409296</v>
      </c>
      <c r="AM6913">
        <v>98.901066507671004</v>
      </c>
      <c r="AN6913">
        <v>1.0000000653110599</v>
      </c>
    </row>
    <row r="6914" spans="1:40" x14ac:dyDescent="0.25">
      <c r="A6914" t="str">
        <f>"20190312172249472"</f>
        <v>20190312172249472</v>
      </c>
      <c r="B6914" t="str">
        <f>"1552382569467561"</f>
        <v>1552382569467561</v>
      </c>
      <c r="C6914" t="s">
        <v>40</v>
      </c>
      <c r="D6914">
        <v>3.1521180000000002</v>
      </c>
      <c r="E6914">
        <v>0.52546700000000002</v>
      </c>
      <c r="F6914" t="s">
        <v>64</v>
      </c>
      <c r="G6914">
        <v>-300.4264</v>
      </c>
      <c r="H6914" s="1">
        <v>-1.1422959999999999E-6</v>
      </c>
      <c r="I6914">
        <v>-42.08061</v>
      </c>
      <c r="J6914">
        <v>-301.39999999999998</v>
      </c>
      <c r="K6914">
        <v>1.1113500000000001</v>
      </c>
      <c r="L6914">
        <v>-27.063389999999998</v>
      </c>
      <c r="M6914">
        <v>-3.6672730000000001E-2</v>
      </c>
      <c r="N6914">
        <v>0</v>
      </c>
      <c r="O6914">
        <v>-0.9992394</v>
      </c>
      <c r="P6914">
        <v>0.1147198</v>
      </c>
      <c r="Q6914">
        <v>0.2127666</v>
      </c>
      <c r="R6914">
        <v>-0.97034520000000002</v>
      </c>
      <c r="S6914">
        <v>0.19924929999999999</v>
      </c>
      <c r="T6914">
        <v>-0.22850280000000001</v>
      </c>
      <c r="U6914">
        <v>-3.117645</v>
      </c>
      <c r="V6914">
        <v>-0.15046279999999901</v>
      </c>
      <c r="W6914">
        <v>0.22540399999999999</v>
      </c>
      <c r="X6914">
        <v>0.96257669999999995</v>
      </c>
      <c r="Y6914">
        <v>-0.10016899999999999</v>
      </c>
      <c r="Z6914">
        <v>7.2765819999999995E-2</v>
      </c>
      <c r="AA6914">
        <v>0.99230609999999997</v>
      </c>
      <c r="AB6914">
        <v>17</v>
      </c>
      <c r="AC6914">
        <v>0.97359999999997604</v>
      </c>
      <c r="AD6914">
        <v>-1.1113511422960001</v>
      </c>
      <c r="AE6914">
        <v>-15.017219999999901</v>
      </c>
      <c r="AF6914">
        <v>-1.51545080628503</v>
      </c>
      <c r="AG6914">
        <v>-1.1113511422960001</v>
      </c>
      <c r="AH6914">
        <v>14.8902001926919</v>
      </c>
      <c r="AI6914">
        <v>94.2465814775246</v>
      </c>
      <c r="AJ6914">
        <v>95.811271014906794</v>
      </c>
      <c r="AK6914">
        <v>15.0083228338877</v>
      </c>
      <c r="AL6914">
        <v>76.973363529266905</v>
      </c>
      <c r="AM6914">
        <v>98.884156479335402</v>
      </c>
      <c r="AN6914">
        <v>0.99999996039136396</v>
      </c>
    </row>
    <row r="6915" spans="1:40" x14ac:dyDescent="0.25">
      <c r="A6915" t="str">
        <f>"20190312172249494"</f>
        <v>20190312172249494</v>
      </c>
      <c r="B6915" t="str">
        <f>"1552382569487081"</f>
        <v>1552382569487081</v>
      </c>
      <c r="C6915" t="s">
        <v>40</v>
      </c>
      <c r="D6915">
        <v>3.2208559999999999</v>
      </c>
      <c r="E6915">
        <v>0.52509430000000001</v>
      </c>
      <c r="F6915" t="s">
        <v>64</v>
      </c>
      <c r="G6915">
        <v>-300.4006</v>
      </c>
      <c r="H6915" s="1">
        <v>-1.332425E-6</v>
      </c>
      <c r="I6915">
        <v>-42.385390000000001</v>
      </c>
      <c r="J6915">
        <v>-301.4051</v>
      </c>
      <c r="K6915">
        <v>1.1113519999999999</v>
      </c>
      <c r="L6915">
        <v>-27.230039999999999</v>
      </c>
      <c r="M6915">
        <v>-3.5806959999999999E-2</v>
      </c>
      <c r="N6915">
        <v>0</v>
      </c>
      <c r="O6915">
        <v>-0.99927069999999996</v>
      </c>
      <c r="P6915">
        <v>0.1164708</v>
      </c>
      <c r="Q6915">
        <v>0.21288979999999999</v>
      </c>
      <c r="R6915">
        <v>-0.97010949999999996</v>
      </c>
      <c r="S6915">
        <v>0.20333860000000001</v>
      </c>
      <c r="T6915">
        <v>-0.22610140000000001</v>
      </c>
      <c r="U6915">
        <v>-3.1172179999999998</v>
      </c>
      <c r="V6915">
        <v>-0.15137049999999999</v>
      </c>
      <c r="W6915">
        <v>0.2255211</v>
      </c>
      <c r="X6915">
        <v>0.96240700000000001</v>
      </c>
      <c r="Y6915">
        <v>-0.1006155</v>
      </c>
      <c r="Z6915">
        <v>7.2013670000000002E-2</v>
      </c>
      <c r="AA6915">
        <v>0.99231579999999997</v>
      </c>
      <c r="AB6915">
        <v>17</v>
      </c>
      <c r="AC6915">
        <v>1.0044999999999999</v>
      </c>
      <c r="AD6915">
        <v>-1.111353332425</v>
      </c>
      <c r="AE6915">
        <v>-15.15535</v>
      </c>
      <c r="AF6915">
        <v>-1.53833442075092</v>
      </c>
      <c r="AG6915">
        <v>-1.111353332425</v>
      </c>
      <c r="AH6915">
        <v>15.0291937836221</v>
      </c>
      <c r="AI6915">
        <v>94.2072118318397</v>
      </c>
      <c r="AJ6915">
        <v>95.844237683478298</v>
      </c>
      <c r="AK6915">
        <v>15.148539362104399</v>
      </c>
      <c r="AL6915">
        <v>76.9664775885756</v>
      </c>
      <c r="AM6915">
        <v>98.938439955418005</v>
      </c>
      <c r="AN6915">
        <v>1.0000000142322301</v>
      </c>
    </row>
    <row r="6916" spans="1:40" x14ac:dyDescent="0.25">
      <c r="A6916" t="str">
        <f>"20190312172249515"</f>
        <v>20190312172249515</v>
      </c>
      <c r="B6916" t="str">
        <f>"1552382569506939"</f>
        <v>1552382569506939</v>
      </c>
      <c r="C6916" t="s">
        <v>40</v>
      </c>
      <c r="D6916">
        <v>3.1506219999999998</v>
      </c>
      <c r="E6916">
        <v>0.52479209999999998</v>
      </c>
      <c r="F6916" t="s">
        <v>64</v>
      </c>
      <c r="G6916">
        <v>-300.35980000000001</v>
      </c>
      <c r="H6916" s="1">
        <v>-1.438557E-6</v>
      </c>
      <c r="I6916">
        <v>-42.56129</v>
      </c>
      <c r="J6916">
        <v>-301.40989999999999</v>
      </c>
      <c r="K6916">
        <v>1.1113569999999999</v>
      </c>
      <c r="L6916">
        <v>-27.390689999999999</v>
      </c>
      <c r="M6916">
        <v>-3.4952539999999997E-2</v>
      </c>
      <c r="N6916">
        <v>0</v>
      </c>
      <c r="O6916">
        <v>-0.9993012</v>
      </c>
      <c r="P6916">
        <v>0.1188274</v>
      </c>
      <c r="Q6916">
        <v>0.2127368</v>
      </c>
      <c r="R6916">
        <v>-0.96985759999999999</v>
      </c>
      <c r="S6916">
        <v>0.21249390000000001</v>
      </c>
      <c r="T6916">
        <v>-0.22591230000000001</v>
      </c>
      <c r="U6916">
        <v>-3.1164860000000001</v>
      </c>
      <c r="V6916">
        <v>-0.15289420000000001</v>
      </c>
      <c r="W6916">
        <v>0.22536039999999999</v>
      </c>
      <c r="X6916">
        <v>0.9622037</v>
      </c>
      <c r="Y6916">
        <v>-0.1026822</v>
      </c>
      <c r="Z6916">
        <v>7.1959220000000004E-2</v>
      </c>
      <c r="AA6916">
        <v>0.99210799999999999</v>
      </c>
      <c r="AB6916">
        <v>16</v>
      </c>
      <c r="AC6916">
        <v>1.05009999999998</v>
      </c>
      <c r="AD6916">
        <v>-1.1113584385569999</v>
      </c>
      <c r="AE6916">
        <v>-15.170599999999901</v>
      </c>
      <c r="AF6916">
        <v>-1.5713630353933401</v>
      </c>
      <c r="AG6916">
        <v>-1.1113584385569999</v>
      </c>
      <c r="AH6916">
        <v>15.044269603684899</v>
      </c>
      <c r="AI6916">
        <v>94.202133530924897</v>
      </c>
      <c r="AJ6916">
        <v>95.962880974119699</v>
      </c>
      <c r="AK6916">
        <v>15.166883241995</v>
      </c>
      <c r="AL6916">
        <v>76.975927503601397</v>
      </c>
      <c r="AM6916">
        <v>99.028816077980693</v>
      </c>
      <c r="AN6916">
        <v>0.99999995328774305</v>
      </c>
    </row>
    <row r="6917" spans="1:40" x14ac:dyDescent="0.25">
      <c r="A6917" t="str">
        <f>"20190312172249538"</f>
        <v>20190312172249538</v>
      </c>
      <c r="B6917" t="str">
        <f>"1552382569527435"</f>
        <v>1552382569527435</v>
      </c>
      <c r="C6917" t="s">
        <v>40</v>
      </c>
      <c r="D6917">
        <v>3.1485919999999998</v>
      </c>
      <c r="E6917">
        <v>0.52466199999999996</v>
      </c>
      <c r="F6917" t="s">
        <v>64</v>
      </c>
      <c r="G6917">
        <v>-300.31470000000002</v>
      </c>
      <c r="H6917" s="1">
        <v>-1.553598E-6</v>
      </c>
      <c r="I6917">
        <v>-42.75215</v>
      </c>
      <c r="J6917">
        <v>-301.41449999999998</v>
      </c>
      <c r="K6917">
        <v>1.111361</v>
      </c>
      <c r="L6917">
        <v>-27.553380000000001</v>
      </c>
      <c r="M6917">
        <v>-3.4075969999999997E-2</v>
      </c>
      <c r="N6917">
        <v>0</v>
      </c>
      <c r="O6917">
        <v>-0.99933139999999998</v>
      </c>
      <c r="P6917">
        <v>0.12204470000000001</v>
      </c>
      <c r="Q6917">
        <v>0.21348729999999999</v>
      </c>
      <c r="R6917">
        <v>-0.96929290000000001</v>
      </c>
      <c r="S6917">
        <v>0.2221069</v>
      </c>
      <c r="T6917">
        <v>-0.22539619999999999</v>
      </c>
      <c r="U6917">
        <v>-3.1154790000000001</v>
      </c>
      <c r="V6917">
        <v>-0.15524499999999999</v>
      </c>
      <c r="W6917">
        <v>0.22609940000000001</v>
      </c>
      <c r="X6917">
        <v>0.9616538</v>
      </c>
      <c r="Y6917">
        <v>-0.104878399999999</v>
      </c>
      <c r="Z6917">
        <v>7.1806040000000002E-2</v>
      </c>
      <c r="AA6917">
        <v>0.99188929999999997</v>
      </c>
      <c r="AB6917">
        <v>16</v>
      </c>
      <c r="AC6917">
        <v>1.0997999999999499</v>
      </c>
      <c r="AD6917">
        <v>-1.1113625535980001</v>
      </c>
      <c r="AE6917">
        <v>-15.19877</v>
      </c>
      <c r="AF6917">
        <v>-1.60856359657839</v>
      </c>
      <c r="AG6917">
        <v>-1.1113625535980001</v>
      </c>
      <c r="AH6917">
        <v>15.072292764151401</v>
      </c>
      <c r="AI6917">
        <v>94.193371817724497</v>
      </c>
      <c r="AJ6917">
        <v>96.091731874953595</v>
      </c>
      <c r="AK6917">
        <v>15.1985727204256</v>
      </c>
      <c r="AL6917">
        <v>76.932464612937807</v>
      </c>
      <c r="AM6917">
        <v>99.170450408169202</v>
      </c>
      <c r="AN6917">
        <v>0.99999998987990002</v>
      </c>
    </row>
    <row r="6918" spans="1:40" x14ac:dyDescent="0.25">
      <c r="A6918" t="str">
        <f>"20190312172249560"</f>
        <v>20190312172249560</v>
      </c>
      <c r="B6918" t="str">
        <f>"1552382569557690"</f>
        <v>1552382569557690</v>
      </c>
      <c r="C6918" t="s">
        <v>40</v>
      </c>
      <c r="D6918">
        <v>3.1625920000000001</v>
      </c>
      <c r="E6918">
        <v>0.52480059999999995</v>
      </c>
      <c r="F6918" t="s">
        <v>64</v>
      </c>
      <c r="G6918">
        <v>-300.2577</v>
      </c>
      <c r="H6918" s="1">
        <v>-1.7637029999999901E-6</v>
      </c>
      <c r="I6918">
        <v>-43.095179999999999</v>
      </c>
      <c r="J6918">
        <v>-301.41899999999998</v>
      </c>
      <c r="K6918">
        <v>1.111361</v>
      </c>
      <c r="L6918">
        <v>-27.717500000000001</v>
      </c>
      <c r="M6918">
        <v>-3.3186710000000001E-2</v>
      </c>
      <c r="N6918">
        <v>0</v>
      </c>
      <c r="O6918">
        <v>-0.9993611</v>
      </c>
      <c r="P6918">
        <v>0.12465370000000001</v>
      </c>
      <c r="Q6918">
        <v>0.21380579999999999</v>
      </c>
      <c r="R6918">
        <v>-0.96889029999999998</v>
      </c>
      <c r="S6918">
        <v>0.23184199999999999</v>
      </c>
      <c r="T6918">
        <v>-0.22273989999999999</v>
      </c>
      <c r="U6918">
        <v>-3.1148989999999999</v>
      </c>
      <c r="V6918">
        <v>-0.1569787</v>
      </c>
      <c r="W6918">
        <v>0.226412</v>
      </c>
      <c r="X6918">
        <v>0.96129880000000001</v>
      </c>
      <c r="Y6918">
        <v>-0.1070945</v>
      </c>
      <c r="Z6918">
        <v>7.0964020000000003E-2</v>
      </c>
      <c r="AA6918">
        <v>0.99171310000000001</v>
      </c>
      <c r="AB6918">
        <v>16</v>
      </c>
      <c r="AC6918">
        <v>1.16130000000003</v>
      </c>
      <c r="AD6918">
        <v>-1.1113627637029999</v>
      </c>
      <c r="AE6918">
        <v>-15.3776799999999</v>
      </c>
      <c r="AF6918">
        <v>-1.6624060299860799</v>
      </c>
      <c r="AG6918">
        <v>-1.1113627637029999</v>
      </c>
      <c r="AH6918">
        <v>15.251456428365101</v>
      </c>
      <c r="AI6918">
        <v>94.143282057941505</v>
      </c>
      <c r="AJ6918">
        <v>96.220671464672705</v>
      </c>
      <c r="AK6918">
        <v>15.3819909045415</v>
      </c>
      <c r="AL6918">
        <v>76.914077853287395</v>
      </c>
      <c r="AM6918">
        <v>99.2744570386335</v>
      </c>
      <c r="AN6918">
        <v>1.00000004443956</v>
      </c>
    </row>
    <row r="6919" spans="1:40" x14ac:dyDescent="0.25">
      <c r="A6919" t="str">
        <f>"20190312172249583"</f>
        <v>20190312172249583</v>
      </c>
      <c r="B6919" t="str">
        <f>"1552382569577210"</f>
        <v>1552382569577210</v>
      </c>
      <c r="C6919" t="s">
        <v>40</v>
      </c>
      <c r="D6919">
        <v>3.182652</v>
      </c>
      <c r="E6919">
        <v>0.52491889999999997</v>
      </c>
      <c r="F6919" t="s">
        <v>64</v>
      </c>
      <c r="G6919">
        <v>-300.23480000000001</v>
      </c>
      <c r="H6919" s="1">
        <v>-1.7675490000000001E-6</v>
      </c>
      <c r="I6919">
        <v>-43.106250000000003</v>
      </c>
      <c r="J6919">
        <v>-301.42329999999998</v>
      </c>
      <c r="K6919">
        <v>1.111348</v>
      </c>
      <c r="L6919">
        <v>-27.880739999999999</v>
      </c>
      <c r="M6919">
        <v>-3.2300929999999999E-2</v>
      </c>
      <c r="N6919">
        <v>0</v>
      </c>
      <c r="O6919">
        <v>-0.99939040000000001</v>
      </c>
      <c r="P6919">
        <v>0.12666269999999999</v>
      </c>
      <c r="Q6919">
        <v>0.21449009999999999</v>
      </c>
      <c r="R6919">
        <v>-0.96847870000000003</v>
      </c>
      <c r="S6919">
        <v>0.2397156</v>
      </c>
      <c r="T6919">
        <v>-0.2249708</v>
      </c>
      <c r="U6919">
        <v>-3.1151119999999999</v>
      </c>
      <c r="V6919">
        <v>-0.158114</v>
      </c>
      <c r="W6919">
        <v>0.2270924</v>
      </c>
      <c r="X6919">
        <v>0.96095220000000003</v>
      </c>
      <c r="Y6919">
        <v>-0.1086965</v>
      </c>
      <c r="Z6919">
        <v>7.1656319999999996E-2</v>
      </c>
      <c r="AA6919">
        <v>0.99148899999999995</v>
      </c>
      <c r="AB6919">
        <v>16</v>
      </c>
      <c r="AC6919">
        <v>1.1884999999999699</v>
      </c>
      <c r="AD6919">
        <v>-1.1113497675489901</v>
      </c>
      <c r="AE6919">
        <v>-15.22551</v>
      </c>
      <c r="AF6919">
        <v>-1.6708726443728701</v>
      </c>
      <c r="AG6919">
        <v>-1.1113497675489901</v>
      </c>
      <c r="AH6919">
        <v>15.0992105530663</v>
      </c>
      <c r="AI6919">
        <v>94.184111430505993</v>
      </c>
      <c r="AJ6919">
        <v>96.314636449919604</v>
      </c>
      <c r="AK6919">
        <v>15.231975348764699</v>
      </c>
      <c r="AL6919">
        <v>76.874051457948994</v>
      </c>
      <c r="AM6919">
        <v>99.343663264481904</v>
      </c>
      <c r="AN6919">
        <v>1.00000006290929</v>
      </c>
    </row>
    <row r="6920" spans="1:40" x14ac:dyDescent="0.25">
      <c r="A6920" t="str">
        <f>"20190312172249606"</f>
        <v>20190312172249606</v>
      </c>
      <c r="B6920" t="str">
        <f>"1552382569597706"</f>
        <v>1552382569597706</v>
      </c>
      <c r="C6920" t="s">
        <v>40</v>
      </c>
      <c r="D6920">
        <v>3.207484</v>
      </c>
      <c r="E6920">
        <v>0.52495999999999998</v>
      </c>
      <c r="F6920" t="s">
        <v>64</v>
      </c>
      <c r="G6920">
        <v>-300.20409999999998</v>
      </c>
      <c r="H6920" s="1">
        <v>-1.895237E-6</v>
      </c>
      <c r="I6920">
        <v>-43.313859999999998</v>
      </c>
      <c r="J6920">
        <v>-301.42759999999998</v>
      </c>
      <c r="K6920">
        <v>1.111327</v>
      </c>
      <c r="L6920">
        <v>-28.045870000000001</v>
      </c>
      <c r="M6920">
        <v>-3.1406860000000002E-2</v>
      </c>
      <c r="N6920">
        <v>0</v>
      </c>
      <c r="O6920">
        <v>-0.99941869999999999</v>
      </c>
      <c r="P6920">
        <v>0.1286262</v>
      </c>
      <c r="Q6920">
        <v>0.2139163</v>
      </c>
      <c r="R6920">
        <v>-0.96834679999999995</v>
      </c>
      <c r="S6920">
        <v>0.2460938</v>
      </c>
      <c r="T6920">
        <v>-0.22432369999999999</v>
      </c>
      <c r="U6920">
        <v>-3.1151430000000002</v>
      </c>
      <c r="V6920">
        <v>-0.15920190000000001</v>
      </c>
      <c r="W6920">
        <v>0.22652069999999999</v>
      </c>
      <c r="X6920">
        <v>0.96090750000000003</v>
      </c>
      <c r="Y6920">
        <v>-0.1098254</v>
      </c>
      <c r="Z6920">
        <v>7.144354E-2</v>
      </c>
      <c r="AA6920">
        <v>0.99137989999999998</v>
      </c>
      <c r="AB6920">
        <v>16</v>
      </c>
      <c r="AC6920">
        <v>1.2235</v>
      </c>
      <c r="AD6920">
        <v>-1.111328895237</v>
      </c>
      <c r="AE6920">
        <v>-15.2679899999999</v>
      </c>
      <c r="AF6920">
        <v>-1.6935427815495401</v>
      </c>
      <c r="AG6920">
        <v>-1.111328895237</v>
      </c>
      <c r="AH6920">
        <v>15.142313198098</v>
      </c>
      <c r="AI6920">
        <v>94.171625336222107</v>
      </c>
      <c r="AJ6920">
        <v>96.381540333410896</v>
      </c>
      <c r="AK6920">
        <v>15.2771983051743</v>
      </c>
      <c r="AL6920">
        <v>76.907683722898895</v>
      </c>
      <c r="AM6920">
        <v>99.407236665437694</v>
      </c>
      <c r="AN6920">
        <v>1.00000004802417</v>
      </c>
    </row>
    <row r="6921" spans="1:40" x14ac:dyDescent="0.25">
      <c r="A6921" t="str">
        <f>"20190312172249628"</f>
        <v>20190312172249628</v>
      </c>
      <c r="B6921" t="str">
        <f>"1552382569617734"</f>
        <v>1552382569617734</v>
      </c>
      <c r="C6921" t="s">
        <v>40</v>
      </c>
      <c r="D6921">
        <v>3.2405110000000001</v>
      </c>
      <c r="E6921">
        <v>0.52497579999999999</v>
      </c>
      <c r="F6921" t="s">
        <v>64</v>
      </c>
      <c r="G6921">
        <v>-300.19099999999997</v>
      </c>
      <c r="H6921" s="1">
        <v>-1.8849759999999999E-6</v>
      </c>
      <c r="I6921">
        <v>-43.300579999999997</v>
      </c>
      <c r="J6921">
        <v>-301.4316</v>
      </c>
      <c r="K6921">
        <v>1.1113120000000001</v>
      </c>
      <c r="L6921">
        <v>-28.209810000000001</v>
      </c>
      <c r="M6921">
        <v>-3.052473E-2</v>
      </c>
      <c r="N6921">
        <v>0</v>
      </c>
      <c r="O6921">
        <v>-0.9994461</v>
      </c>
      <c r="P6921">
        <v>0.130435199999999</v>
      </c>
      <c r="Q6921">
        <v>0.21303159999999999</v>
      </c>
      <c r="R6921">
        <v>-0.96829989999999999</v>
      </c>
      <c r="S6921">
        <v>0.25247190000000003</v>
      </c>
      <c r="T6921">
        <v>-0.22690730000000001</v>
      </c>
      <c r="U6921">
        <v>-3.114655</v>
      </c>
      <c r="V6921">
        <v>-0.1601496</v>
      </c>
      <c r="W6921">
        <v>0.22563910000000001</v>
      </c>
      <c r="X6921">
        <v>0.96095739999999996</v>
      </c>
      <c r="Y6921">
        <v>-0.11097269999999899</v>
      </c>
      <c r="Z6921">
        <v>7.2265769999999993E-2</v>
      </c>
      <c r="AA6921">
        <v>0.99119259999999998</v>
      </c>
      <c r="AB6921">
        <v>16</v>
      </c>
      <c r="AC6921">
        <v>1.2406000000000199</v>
      </c>
      <c r="AD6921">
        <v>-1.111313884976</v>
      </c>
      <c r="AE6921">
        <v>-15.090769999999999</v>
      </c>
      <c r="AF6921">
        <v>-1.6915918005925401</v>
      </c>
      <c r="AG6921">
        <v>-1.111313884976</v>
      </c>
      <c r="AH6921">
        <v>14.9652505287987</v>
      </c>
      <c r="AI6921">
        <v>94.220191153573097</v>
      </c>
      <c r="AJ6921">
        <v>96.449035055251898</v>
      </c>
      <c r="AK6921">
        <v>15.101497434376601</v>
      </c>
      <c r="AL6921">
        <v>76.959537771374499</v>
      </c>
      <c r="AM6921">
        <v>99.461744018875606</v>
      </c>
      <c r="AN6921">
        <v>1.0000000112218601</v>
      </c>
    </row>
    <row r="6922" spans="1:40" x14ac:dyDescent="0.25">
      <c r="A6922" t="str">
        <f>"20190312172249650"</f>
        <v>20190312172249650</v>
      </c>
      <c r="B6922" t="str">
        <f>"1552382569647014"</f>
        <v>1552382569647014</v>
      </c>
      <c r="C6922" t="s">
        <v>40</v>
      </c>
      <c r="D6922">
        <v>3.180345</v>
      </c>
      <c r="E6922">
        <v>0.52515230000000002</v>
      </c>
      <c r="F6922" t="s">
        <v>64</v>
      </c>
      <c r="G6922">
        <v>-300.18970000000002</v>
      </c>
      <c r="H6922" s="1">
        <v>-1.794356E-6</v>
      </c>
      <c r="I6922">
        <v>-43.158299999999997</v>
      </c>
      <c r="J6922">
        <v>-301.43549999999999</v>
      </c>
      <c r="K6922">
        <v>1.1112959999999901</v>
      </c>
      <c r="L6922">
        <v>-28.369450000000001</v>
      </c>
      <c r="M6922">
        <v>-2.9673189999999999E-2</v>
      </c>
      <c r="N6922">
        <v>0</v>
      </c>
      <c r="O6922">
        <v>-0.99947209999999997</v>
      </c>
      <c r="P6922">
        <v>0.13265850000000001</v>
      </c>
      <c r="Q6922">
        <v>0.21273400000000001</v>
      </c>
      <c r="R6922">
        <v>-0.96806320000000001</v>
      </c>
      <c r="S6922">
        <v>0.25872800000000001</v>
      </c>
      <c r="T6922">
        <v>-0.23152510000000001</v>
      </c>
      <c r="U6922">
        <v>-3.1142880000000002</v>
      </c>
      <c r="V6922">
        <v>-0.16153689999999901</v>
      </c>
      <c r="W6922">
        <v>0.22534080000000001</v>
      </c>
      <c r="X6922">
        <v>0.96079519999999996</v>
      </c>
      <c r="Y6922">
        <v>-0.1121043</v>
      </c>
      <c r="Z6922">
        <v>7.3729219999999998E-2</v>
      </c>
      <c r="AA6922">
        <v>0.99095739999999999</v>
      </c>
      <c r="AB6922">
        <v>16</v>
      </c>
      <c r="AC6922">
        <v>1.24579999999997</v>
      </c>
      <c r="AD6922">
        <v>-1.1112977943559901</v>
      </c>
      <c r="AE6922">
        <v>-14.788849999999901</v>
      </c>
      <c r="AF6922">
        <v>-1.67473206592195</v>
      </c>
      <c r="AG6922">
        <v>-1.1112977943559901</v>
      </c>
      <c r="AH6922">
        <v>14.6631520442529</v>
      </c>
      <c r="AI6922">
        <v>94.3061845039785</v>
      </c>
      <c r="AJ6922">
        <v>96.515725782177498</v>
      </c>
      <c r="AK6922">
        <v>14.800261421787299</v>
      </c>
      <c r="AL6922">
        <v>76.977081183075597</v>
      </c>
      <c r="AM6922">
        <v>99.5437869857344</v>
      </c>
      <c r="AN6922">
        <v>1.00000003127464</v>
      </c>
    </row>
    <row r="6923" spans="1:40" x14ac:dyDescent="0.25">
      <c r="A6923" t="str">
        <f>"20190312172249672"</f>
        <v>20190312172249672</v>
      </c>
      <c r="B6923" t="str">
        <f>"1552382569667509"</f>
        <v>1552382569667509</v>
      </c>
      <c r="C6923" t="s">
        <v>40</v>
      </c>
      <c r="D6923">
        <v>3.162128</v>
      </c>
      <c r="E6923">
        <v>0.52532219999999996</v>
      </c>
      <c r="F6923" t="s">
        <v>64</v>
      </c>
      <c r="G6923">
        <v>-300.17829999999998</v>
      </c>
      <c r="H6923" s="1">
        <v>-1.783563E-6</v>
      </c>
      <c r="I6923">
        <v>-43.143830000000001</v>
      </c>
      <c r="J6923">
        <v>-301.43920000000003</v>
      </c>
      <c r="K6923">
        <v>1.111291</v>
      </c>
      <c r="L6923">
        <v>-28.53247</v>
      </c>
      <c r="M6923">
        <v>-2.8811730000000001E-2</v>
      </c>
      <c r="N6923">
        <v>0</v>
      </c>
      <c r="O6923">
        <v>-0.99949730000000003</v>
      </c>
      <c r="P6923">
        <v>0.1349475</v>
      </c>
      <c r="Q6923">
        <v>0.21164269999999999</v>
      </c>
      <c r="R6923">
        <v>-0.96798620000000002</v>
      </c>
      <c r="S6923">
        <v>0.2649841</v>
      </c>
      <c r="T6923">
        <v>-0.23423859999999999</v>
      </c>
      <c r="U6923">
        <v>-3.1141359999999998</v>
      </c>
      <c r="V6923">
        <v>-0.16298570000000001</v>
      </c>
      <c r="W6923">
        <v>0.22425030000000001</v>
      </c>
      <c r="X6923">
        <v>0.96080560000000004</v>
      </c>
      <c r="Y6923">
        <v>-0.1132232</v>
      </c>
      <c r="Z6923">
        <v>7.4583990000000003E-2</v>
      </c>
      <c r="AA6923">
        <v>0.99076620000000004</v>
      </c>
      <c r="AB6923">
        <v>16</v>
      </c>
      <c r="AC6923">
        <v>1.2609000000000401</v>
      </c>
      <c r="AD6923">
        <v>-1.111292783563</v>
      </c>
      <c r="AE6923">
        <v>-14.611359999999999</v>
      </c>
      <c r="AF6923">
        <v>-1.67179264016235</v>
      </c>
      <c r="AG6923">
        <v>-1.111292783563</v>
      </c>
      <c r="AH6923">
        <v>14.485785700855899</v>
      </c>
      <c r="AI6923">
        <v>94.358100413118507</v>
      </c>
      <c r="AJ6923">
        <v>96.5833335720273</v>
      </c>
      <c r="AK6923">
        <v>14.6242213349505</v>
      </c>
      <c r="AL6923">
        <v>77.041202547571203</v>
      </c>
      <c r="AM6923">
        <v>99.627686198051293</v>
      </c>
      <c r="AN6923">
        <v>0.99999996822296899</v>
      </c>
    </row>
    <row r="6924" spans="1:40" x14ac:dyDescent="0.25">
      <c r="A6924" t="str">
        <f>"20190312172249694"</f>
        <v>20190312172249694</v>
      </c>
      <c r="B6924" t="str">
        <f>"1552382569687030"</f>
        <v>1552382569687030</v>
      </c>
      <c r="C6924" t="s">
        <v>40</v>
      </c>
      <c r="D6924">
        <v>3.1279340000000002</v>
      </c>
      <c r="E6924">
        <v>0.52547869999999997</v>
      </c>
      <c r="F6924" t="s">
        <v>64</v>
      </c>
      <c r="G6924">
        <v>-300.18299999999999</v>
      </c>
      <c r="H6924" s="1">
        <v>-1.6861029999999999E-6</v>
      </c>
      <c r="I6924">
        <v>-42.989460000000001</v>
      </c>
      <c r="J6924">
        <v>-301.44290000000001</v>
      </c>
      <c r="K6924">
        <v>1.111278</v>
      </c>
      <c r="L6924">
        <v>-28.694030000000001</v>
      </c>
      <c r="M6924">
        <v>-2.79638E-2</v>
      </c>
      <c r="N6924">
        <v>0</v>
      </c>
      <c r="O6924">
        <v>-0.99952110000000005</v>
      </c>
      <c r="P6924">
        <v>0.137185</v>
      </c>
      <c r="Q6924">
        <v>0.21127380000000001</v>
      </c>
      <c r="R6924">
        <v>-0.96775199999999995</v>
      </c>
      <c r="S6924">
        <v>0.2705688</v>
      </c>
      <c r="T6924">
        <v>-0.2393566</v>
      </c>
      <c r="U6924">
        <v>-3.1138309999999998</v>
      </c>
      <c r="V6924">
        <v>-0.1643946</v>
      </c>
      <c r="W6924">
        <v>0.22387850000000001</v>
      </c>
      <c r="X6924">
        <v>0.96065230000000001</v>
      </c>
      <c r="Y6924">
        <v>-0.1141418</v>
      </c>
      <c r="Z6924">
        <v>7.6204519999999998E-2</v>
      </c>
      <c r="AA6924">
        <v>0.99053749999999996</v>
      </c>
      <c r="AB6924">
        <v>16</v>
      </c>
      <c r="AC6924">
        <v>1.25990000000001</v>
      </c>
      <c r="AD6924">
        <v>-1.1112796861030001</v>
      </c>
      <c r="AE6924">
        <v>-14.29543</v>
      </c>
      <c r="AF6924">
        <v>-1.6493069246817</v>
      </c>
      <c r="AG6924">
        <v>-1.1112796861030001</v>
      </c>
      <c r="AH6924">
        <v>14.169636829618501</v>
      </c>
      <c r="AI6924">
        <v>94.454396253773098</v>
      </c>
      <c r="AJ6924">
        <v>96.639196076988299</v>
      </c>
      <c r="AK6924">
        <v>14.308520669720799</v>
      </c>
      <c r="AL6924">
        <v>77.063061357746307</v>
      </c>
      <c r="AM6924">
        <v>99.710853292897994</v>
      </c>
      <c r="AN6924">
        <v>1.0000000043833499</v>
      </c>
    </row>
    <row r="6925" spans="1:40" x14ac:dyDescent="0.25">
      <c r="A6925" t="str">
        <f>"20190312172249717"</f>
        <v>20190312172249717</v>
      </c>
      <c r="B6925" t="str">
        <f>"1552382569707526"</f>
        <v>1552382569707526</v>
      </c>
      <c r="C6925" t="s">
        <v>40</v>
      </c>
      <c r="D6925">
        <v>3.188021</v>
      </c>
      <c r="E6925">
        <v>0.52564160000000004</v>
      </c>
      <c r="F6925" t="s">
        <v>64</v>
      </c>
      <c r="G6925">
        <v>-300.17090000000002</v>
      </c>
      <c r="H6925" s="1">
        <v>-1.7166330000000001E-6</v>
      </c>
      <c r="I6925">
        <v>-43.04016</v>
      </c>
      <c r="J6925">
        <v>-301.44630000000001</v>
      </c>
      <c r="K6925">
        <v>1.1112740000000001</v>
      </c>
      <c r="L6925">
        <v>-28.853670000000001</v>
      </c>
      <c r="M6925">
        <v>-2.712877E-2</v>
      </c>
      <c r="N6925">
        <v>0</v>
      </c>
      <c r="O6925">
        <v>-0.99954419999999999</v>
      </c>
      <c r="P6925">
        <v>0.13956060000000001</v>
      </c>
      <c r="Q6925">
        <v>0.21096110000000001</v>
      </c>
      <c r="R6925">
        <v>-0.96748049999999997</v>
      </c>
      <c r="S6925">
        <v>0.27606199999999997</v>
      </c>
      <c r="T6925">
        <v>-0.24117759999999999</v>
      </c>
      <c r="U6925">
        <v>-3.1134949999999999</v>
      </c>
      <c r="V6925">
        <v>-0.16595409999999999</v>
      </c>
      <c r="W6925">
        <v>0.22356210000000001</v>
      </c>
      <c r="X6925">
        <v>0.96045780000000003</v>
      </c>
      <c r="Y6925">
        <v>-0.1150513</v>
      </c>
      <c r="Z6925">
        <v>7.6781779999999994E-2</v>
      </c>
      <c r="AA6925">
        <v>0.99038769999999998</v>
      </c>
      <c r="AB6925">
        <v>16</v>
      </c>
      <c r="AC6925">
        <v>1.2753999999999901</v>
      </c>
      <c r="AD6925">
        <v>-1.1112757166329901</v>
      </c>
      <c r="AE6925">
        <v>-14.186489999999999</v>
      </c>
      <c r="AF6925">
        <v>-1.64978418208183</v>
      </c>
      <c r="AG6925">
        <v>-1.1112757166329901</v>
      </c>
      <c r="AH6925">
        <v>14.061075975579399</v>
      </c>
      <c r="AI6925">
        <v>94.488150563065403</v>
      </c>
      <c r="AJ6925">
        <v>96.691910533695903</v>
      </c>
      <c r="AK6925">
        <v>14.201076690055601</v>
      </c>
      <c r="AL6925">
        <v>77.081660874039201</v>
      </c>
      <c r="AM6925">
        <v>99.803141385518899</v>
      </c>
      <c r="AN6925">
        <v>0.999999980722029</v>
      </c>
    </row>
    <row r="6926" spans="1:40" x14ac:dyDescent="0.25">
      <c r="A6926" t="str">
        <f>"20190312172249738"</f>
        <v>20190312172249738</v>
      </c>
      <c r="B6926" t="str">
        <f>"1552382569727046"</f>
        <v>1552382569727046</v>
      </c>
      <c r="C6926" t="s">
        <v>40</v>
      </c>
      <c r="D6926">
        <v>3.2834590000000001</v>
      </c>
      <c r="E6926">
        <v>0.52571459999999903</v>
      </c>
      <c r="F6926" t="s">
        <v>64</v>
      </c>
      <c r="G6926">
        <v>-300.15679999999998</v>
      </c>
      <c r="H6926" s="1">
        <v>-1.743658E-6</v>
      </c>
      <c r="I6926">
        <v>-43.085760000000001</v>
      </c>
      <c r="J6926">
        <v>-301.44959999999998</v>
      </c>
      <c r="K6926">
        <v>1.111264</v>
      </c>
      <c r="L6926">
        <v>-29.013760000000001</v>
      </c>
      <c r="M6926">
        <v>-2.6291390000000001E-2</v>
      </c>
      <c r="N6926">
        <v>0</v>
      </c>
      <c r="O6926">
        <v>-0.99956659999999997</v>
      </c>
      <c r="P6926">
        <v>0.14174819999999999</v>
      </c>
      <c r="Q6926">
        <v>0.21063129999999999</v>
      </c>
      <c r="R6926">
        <v>-0.96723440000000005</v>
      </c>
      <c r="S6926">
        <v>0.28207399999999999</v>
      </c>
      <c r="T6926">
        <v>-0.24308279999999999</v>
      </c>
      <c r="U6926">
        <v>-3.113159</v>
      </c>
      <c r="V6926">
        <v>-0.167325</v>
      </c>
      <c r="W6926">
        <v>0.2232288</v>
      </c>
      <c r="X6926">
        <v>0.96029750000000003</v>
      </c>
      <c r="Y6926">
        <v>-0.11612160000000001</v>
      </c>
      <c r="Z6926">
        <v>7.7384049999999996E-2</v>
      </c>
      <c r="AA6926">
        <v>0.99021590000000004</v>
      </c>
      <c r="AB6926">
        <v>16</v>
      </c>
      <c r="AC6926">
        <v>1.29279999999999</v>
      </c>
      <c r="AD6926">
        <v>-1.111265743658</v>
      </c>
      <c r="AE6926">
        <v>-14.071999999999999</v>
      </c>
      <c r="AF6926">
        <v>-1.65214096735473</v>
      </c>
      <c r="AG6926">
        <v>-1.111265743658</v>
      </c>
      <c r="AH6926">
        <v>13.9468937696951</v>
      </c>
      <c r="AI6926">
        <v>94.524110542143006</v>
      </c>
      <c r="AJ6926">
        <v>96.755741996074406</v>
      </c>
      <c r="AK6926">
        <v>14.088304623062299</v>
      </c>
      <c r="AL6926">
        <v>77.101253207865199</v>
      </c>
      <c r="AM6926">
        <v>99.884149231962795</v>
      </c>
      <c r="AN6926">
        <v>1.0000000206403401</v>
      </c>
    </row>
    <row r="6927" spans="1:40" x14ac:dyDescent="0.25">
      <c r="A6927" t="str">
        <f>"20190312172249763"</f>
        <v>20190312172249763</v>
      </c>
      <c r="B6927" t="str">
        <f>"1552382569757305"</f>
        <v>1552382569757305</v>
      </c>
      <c r="C6927" t="s">
        <v>40</v>
      </c>
      <c r="D6927">
        <v>3.1991800000000001</v>
      </c>
      <c r="E6927">
        <v>0.49360359999999998</v>
      </c>
      <c r="F6927" t="s">
        <v>64</v>
      </c>
      <c r="G6927">
        <v>-300.14240000000001</v>
      </c>
      <c r="H6927" s="1">
        <v>-1.775637E-6</v>
      </c>
      <c r="I6927">
        <v>-43.139209999999999</v>
      </c>
      <c r="J6927">
        <v>-301.4529</v>
      </c>
      <c r="K6927">
        <v>1.111264</v>
      </c>
      <c r="L6927">
        <v>-29.179749999999999</v>
      </c>
      <c r="M6927">
        <v>-2.542198E-2</v>
      </c>
      <c r="N6927">
        <v>0</v>
      </c>
      <c r="O6927">
        <v>-0.99958930000000001</v>
      </c>
      <c r="P6927">
        <v>0.14410599999999901</v>
      </c>
      <c r="Q6927">
        <v>0.21047250000000001</v>
      </c>
      <c r="R6927">
        <v>-0.96692060000000002</v>
      </c>
      <c r="S6927">
        <v>0.28805540000000002</v>
      </c>
      <c r="T6927">
        <v>-0.2448823</v>
      </c>
      <c r="U6927">
        <v>-3.1127319999999998</v>
      </c>
      <c r="V6927">
        <v>-0.16883509999999999</v>
      </c>
      <c r="W6927">
        <v>0.22306429999999999</v>
      </c>
      <c r="X6927">
        <v>0.96007140000000002</v>
      </c>
      <c r="Y6927">
        <v>-0.1171528</v>
      </c>
      <c r="Z6927">
        <v>7.7955179999999999E-2</v>
      </c>
      <c r="AA6927">
        <v>0.99004959999999997</v>
      </c>
      <c r="AB6927">
        <v>16</v>
      </c>
      <c r="AC6927">
        <v>1.31049999999999</v>
      </c>
      <c r="AD6927">
        <v>-1.1112657756369999</v>
      </c>
      <c r="AE6927">
        <v>-13.95946</v>
      </c>
      <c r="AF6927">
        <v>-1.6545906476903101</v>
      </c>
      <c r="AG6927">
        <v>-1.1112657756369999</v>
      </c>
      <c r="AH6927">
        <v>13.8347215179387</v>
      </c>
      <c r="AI6927">
        <v>94.560031871684103</v>
      </c>
      <c r="AJ6927">
        <v>96.820007696573199</v>
      </c>
      <c r="AK6927">
        <v>13.9775570581716</v>
      </c>
      <c r="AL6927">
        <v>77.110922329305794</v>
      </c>
      <c r="AM6927">
        <v>99.973871768138494</v>
      </c>
      <c r="AN6927">
        <v>1.0000000330122201</v>
      </c>
    </row>
    <row r="6928" spans="1:40" x14ac:dyDescent="0.25">
      <c r="A6928" t="str">
        <f>"20190312172249783"</f>
        <v>20190312172249783</v>
      </c>
      <c r="B6928" t="str">
        <f>"1552382569777798"</f>
        <v>1552382569777798</v>
      </c>
      <c r="C6928" t="s">
        <v>40</v>
      </c>
      <c r="D6928">
        <v>3.3192089999999999</v>
      </c>
      <c r="E6928">
        <v>0.49236730000000001</v>
      </c>
      <c r="F6928" t="s">
        <v>64</v>
      </c>
      <c r="G6928">
        <v>-298.52429999999998</v>
      </c>
      <c r="H6928" s="1">
        <v>-3.6203910000000001E-6</v>
      </c>
      <c r="I6928">
        <v>-45.630929999999999</v>
      </c>
      <c r="J6928">
        <v>-301.45589999999999</v>
      </c>
      <c r="K6928">
        <v>1.1112660000000001</v>
      </c>
      <c r="L6928">
        <v>-29.336670000000002</v>
      </c>
      <c r="M6928">
        <v>-2.4597279999999999E-2</v>
      </c>
      <c r="N6928">
        <v>0</v>
      </c>
      <c r="O6928">
        <v>-0.99960979999999999</v>
      </c>
      <c r="P6928">
        <v>0.14571389999999901</v>
      </c>
      <c r="Q6928">
        <v>0.21085709999999999</v>
      </c>
      <c r="R6928">
        <v>-0.96659539999999999</v>
      </c>
      <c r="S6928">
        <v>0.54586789999999996</v>
      </c>
      <c r="T6928">
        <v>-0.20713190000000001</v>
      </c>
      <c r="U6928">
        <v>-3.066376</v>
      </c>
      <c r="V6928">
        <v>-0.16963979999999901</v>
      </c>
      <c r="W6928">
        <v>0.223444</v>
      </c>
      <c r="X6928">
        <v>0.95984119999999995</v>
      </c>
      <c r="Y6928">
        <v>-0.19904279999999999</v>
      </c>
      <c r="Z6928">
        <v>6.6173010000000004E-2</v>
      </c>
      <c r="AA6928">
        <v>0.97775409999999996</v>
      </c>
      <c r="AB6928">
        <v>16</v>
      </c>
      <c r="AC6928">
        <v>2.9316</v>
      </c>
      <c r="AD6928">
        <v>-1.111269620391</v>
      </c>
      <c r="AE6928">
        <v>-16.294259999999898</v>
      </c>
      <c r="AF6928">
        <v>-3.3165998156270899</v>
      </c>
      <c r="AG6928">
        <v>-1.111269620391</v>
      </c>
      <c r="AH6928">
        <v>16.144475977532899</v>
      </c>
      <c r="AI6928">
        <v>93.857316209846402</v>
      </c>
      <c r="AJ6928">
        <v>101.608904390774</v>
      </c>
      <c r="AK6928">
        <v>16.519045344551799</v>
      </c>
      <c r="AL6928">
        <v>77.088603454849604</v>
      </c>
      <c r="AM6928">
        <v>100.02280241315199</v>
      </c>
      <c r="AN6928">
        <v>1.00000000604874</v>
      </c>
    </row>
    <row r="6929" spans="1:40" x14ac:dyDescent="0.25">
      <c r="A6929" t="str">
        <f>"20190312172249806"</f>
        <v>20190312172249806</v>
      </c>
      <c r="B6929" t="str">
        <f>"1552382569797318"</f>
        <v>1552382569797318</v>
      </c>
      <c r="C6929" t="s">
        <v>40</v>
      </c>
      <c r="D6929">
        <v>3.3859490000000001</v>
      </c>
      <c r="E6929">
        <v>0.49202570000000001</v>
      </c>
      <c r="F6929" t="s">
        <v>64</v>
      </c>
      <c r="G6929">
        <v>-298.21359999999999</v>
      </c>
      <c r="H6929" s="1">
        <v>-4.4166000000000002E-6</v>
      </c>
      <c r="I6929">
        <v>-47.058349999999997</v>
      </c>
      <c r="J6929">
        <v>-301.4588</v>
      </c>
      <c r="K6929">
        <v>1.111262</v>
      </c>
      <c r="L6929">
        <v>-29.496919999999999</v>
      </c>
      <c r="M6929">
        <v>-2.3753779999999999E-2</v>
      </c>
      <c r="N6929">
        <v>0</v>
      </c>
      <c r="O6929">
        <v>-0.99963049999999998</v>
      </c>
      <c r="P6929">
        <v>0.1476267</v>
      </c>
      <c r="Q6929">
        <v>0.21106920000000001</v>
      </c>
      <c r="R6929">
        <v>-0.96625910000000004</v>
      </c>
      <c r="S6929">
        <v>0.56005859999999996</v>
      </c>
      <c r="T6929">
        <v>-0.1919536</v>
      </c>
      <c r="U6929">
        <v>-3.0611269999999999</v>
      </c>
      <c r="V6929">
        <v>-0.17073160000000001</v>
      </c>
      <c r="W6929">
        <v>0.22365080000000001</v>
      </c>
      <c r="X6929">
        <v>0.95959939999999999</v>
      </c>
      <c r="Y6929">
        <v>-0.20294809999999999</v>
      </c>
      <c r="Z6929">
        <v>6.1398510000000003E-2</v>
      </c>
      <c r="AA6929">
        <v>0.97726270000000004</v>
      </c>
      <c r="AB6929">
        <v>16</v>
      </c>
      <c r="AC6929">
        <v>3.2452000000000099</v>
      </c>
      <c r="AD6929">
        <v>-1.1112664165999999</v>
      </c>
      <c r="AE6929">
        <v>-17.561429999999898</v>
      </c>
      <c r="AF6929">
        <v>-3.6473484535577998</v>
      </c>
      <c r="AG6929">
        <v>-1.1112664165999999</v>
      </c>
      <c r="AH6929">
        <v>17.411962578967099</v>
      </c>
      <c r="AI6929">
        <v>93.574407342444303</v>
      </c>
      <c r="AJ6929">
        <v>101.830895672477</v>
      </c>
      <c r="AK6929">
        <v>17.824547810300398</v>
      </c>
      <c r="AL6929">
        <v>77.076446756694097</v>
      </c>
      <c r="AM6929">
        <v>100.088478052919</v>
      </c>
      <c r="AN6929">
        <v>0.99999998402977897</v>
      </c>
    </row>
    <row r="6930" spans="1:40" x14ac:dyDescent="0.25">
      <c r="A6930" t="str">
        <f>"20190312172249829"</f>
        <v>20190312172249829</v>
      </c>
      <c r="B6930" t="str">
        <f>"1552382569817813"</f>
        <v>1552382569817813</v>
      </c>
      <c r="C6930" t="s">
        <v>40</v>
      </c>
      <c r="D6930">
        <v>3.1969500000000002</v>
      </c>
      <c r="E6930">
        <v>0.49190200000000001</v>
      </c>
      <c r="F6930" t="s">
        <v>64</v>
      </c>
      <c r="G6930">
        <v>-298.0693</v>
      </c>
      <c r="H6930" s="1">
        <v>-4.7882479999999998E-6</v>
      </c>
      <c r="I6930">
        <v>-47.724919999999997</v>
      </c>
      <c r="J6930">
        <v>-301.46170000000001</v>
      </c>
      <c r="K6930">
        <v>1.111253</v>
      </c>
      <c r="L6930">
        <v>-29.658840000000001</v>
      </c>
      <c r="M6930">
        <v>-2.2899470000000002E-2</v>
      </c>
      <c r="N6930">
        <v>0</v>
      </c>
      <c r="O6930">
        <v>-0.99965029999999999</v>
      </c>
      <c r="P6930">
        <v>0.1491362</v>
      </c>
      <c r="Q6930">
        <v>0.2107945</v>
      </c>
      <c r="R6930">
        <v>-0.96608729999999998</v>
      </c>
      <c r="S6930">
        <v>0.56875609999999999</v>
      </c>
      <c r="T6930">
        <v>-0.18646660000000001</v>
      </c>
      <c r="U6930">
        <v>-3.0585939999999998</v>
      </c>
      <c r="V6930">
        <v>-0.17141310000000001</v>
      </c>
      <c r="W6930">
        <v>0.22337380000000001</v>
      </c>
      <c r="X6930">
        <v>0.95954249999999996</v>
      </c>
      <c r="Y6930">
        <v>-0.2049608</v>
      </c>
      <c r="Z6930">
        <v>5.9672240000000001E-2</v>
      </c>
      <c r="AA6930">
        <v>0.97694950000000003</v>
      </c>
      <c r="AB6930">
        <v>16</v>
      </c>
      <c r="AC6930">
        <v>3.3923999999999999</v>
      </c>
      <c r="AD6930">
        <v>-1.1112577882479999</v>
      </c>
      <c r="AE6930">
        <v>-18.066079999999999</v>
      </c>
      <c r="AF6930">
        <v>-3.7913936814534002</v>
      </c>
      <c r="AG6930">
        <v>-1.1112577882479999</v>
      </c>
      <c r="AH6930">
        <v>17.918165206637301</v>
      </c>
      <c r="AI6930">
        <v>93.472169858508494</v>
      </c>
      <c r="AJ6930">
        <v>101.947276332244</v>
      </c>
      <c r="AK6930">
        <v>18.348574993499</v>
      </c>
      <c r="AL6930">
        <v>77.092730589098693</v>
      </c>
      <c r="AM6930">
        <v>100.128503807492</v>
      </c>
      <c r="AN6930">
        <v>1.0000000573421399</v>
      </c>
    </row>
    <row r="6931" spans="1:40" x14ac:dyDescent="0.25">
      <c r="A6931" t="str">
        <f>"20190312172249853"</f>
        <v>20190312172249853</v>
      </c>
      <c r="B6931" t="str">
        <f>"1552382569847094"</f>
        <v>1552382569847094</v>
      </c>
      <c r="C6931" t="s">
        <v>40</v>
      </c>
      <c r="D6931">
        <v>3.3255620000000001</v>
      </c>
      <c r="E6931">
        <v>0.491587</v>
      </c>
      <c r="F6931" t="s">
        <v>64</v>
      </c>
      <c r="G6931">
        <v>-298.02999999999997</v>
      </c>
      <c r="H6931" s="1">
        <v>-4.8947799999999996E-6</v>
      </c>
      <c r="I6931">
        <v>-47.916910000000001</v>
      </c>
      <c r="J6931">
        <v>-301.46460000000002</v>
      </c>
      <c r="K6931">
        <v>1.111253</v>
      </c>
      <c r="L6931">
        <v>-29.838650000000001</v>
      </c>
      <c r="M6931">
        <v>-2.1948949999999998E-2</v>
      </c>
      <c r="N6931">
        <v>0</v>
      </c>
      <c r="O6931">
        <v>-0.99967150000000005</v>
      </c>
      <c r="P6931">
        <v>0.15024000000000001</v>
      </c>
      <c r="Q6931">
        <v>0.21095549999999999</v>
      </c>
      <c r="R6931">
        <v>-0.96588099999999999</v>
      </c>
      <c r="S6931">
        <v>0.57461549999999995</v>
      </c>
      <c r="T6931">
        <v>-0.1860744</v>
      </c>
      <c r="U6931">
        <v>-3.05722</v>
      </c>
      <c r="V6931">
        <v>-0.1715971</v>
      </c>
      <c r="W6931">
        <v>0.22353229999999999</v>
      </c>
      <c r="X6931">
        <v>0.95947269999999896</v>
      </c>
      <c r="Y6931">
        <v>-0.2059194</v>
      </c>
      <c r="Z6931">
        <v>5.955891E-2</v>
      </c>
      <c r="AA6931">
        <v>0.97675480000000003</v>
      </c>
      <c r="AB6931">
        <v>16</v>
      </c>
      <c r="AC6931">
        <v>3.4346000000000401</v>
      </c>
      <c r="AD6931">
        <v>-1.11125789477999</v>
      </c>
      <c r="AE6931">
        <v>-18.07826</v>
      </c>
      <c r="AF6931">
        <v>-3.8166871494393502</v>
      </c>
      <c r="AG6931">
        <v>-1.11125789477999</v>
      </c>
      <c r="AH6931">
        <v>17.933112328195399</v>
      </c>
      <c r="AI6931">
        <v>93.468416064870695</v>
      </c>
      <c r="AJ6931">
        <v>102.014936381399</v>
      </c>
      <c r="AK6931">
        <v>18.3684107282334</v>
      </c>
      <c r="AL6931">
        <v>77.083413634425298</v>
      </c>
      <c r="AM6931">
        <v>100.13987290620599</v>
      </c>
      <c r="AN6931">
        <v>1.00000005795849</v>
      </c>
    </row>
    <row r="6932" spans="1:40" x14ac:dyDescent="0.25">
      <c r="A6932" t="str">
        <f>"20190312172249876"</f>
        <v>20190312172249876</v>
      </c>
      <c r="B6932" t="str">
        <f>"1552382569867591"</f>
        <v>1552382569867591</v>
      </c>
      <c r="C6932" t="s">
        <v>40</v>
      </c>
      <c r="D6932">
        <v>3.2190120000000002</v>
      </c>
      <c r="E6932">
        <v>0.49172769999999999</v>
      </c>
      <c r="F6932" t="s">
        <v>64</v>
      </c>
      <c r="G6932">
        <v>-298.00580000000002</v>
      </c>
      <c r="H6932" s="1">
        <v>-4.9638440000000002E-6</v>
      </c>
      <c r="I6932">
        <v>-48.041930000000001</v>
      </c>
      <c r="J6932">
        <v>-301.46710000000002</v>
      </c>
      <c r="K6932">
        <v>1.1112550000000001</v>
      </c>
      <c r="L6932">
        <v>-29.995570000000001</v>
      </c>
      <c r="M6932">
        <v>-2.1119269999999999E-2</v>
      </c>
      <c r="N6932">
        <v>0</v>
      </c>
      <c r="O6932">
        <v>-0.9996893</v>
      </c>
      <c r="P6932">
        <v>0.15074360000000001</v>
      </c>
      <c r="Q6932">
        <v>0.2106296</v>
      </c>
      <c r="R6932">
        <v>-0.96587350000000005</v>
      </c>
      <c r="S6932">
        <v>0.58074950000000003</v>
      </c>
      <c r="T6932">
        <v>-0.18658440000000001</v>
      </c>
      <c r="U6932">
        <v>-3.0563959999999999</v>
      </c>
      <c r="V6932">
        <v>-0.17130090000000001</v>
      </c>
      <c r="W6932">
        <v>0.22320699999999999</v>
      </c>
      <c r="X6932">
        <v>0.95960129999999999</v>
      </c>
      <c r="Y6932">
        <v>-0.2070458</v>
      </c>
      <c r="Z6932">
        <v>5.9720759999999998E-2</v>
      </c>
      <c r="AA6932">
        <v>0.97650680000000001</v>
      </c>
      <c r="AB6932">
        <v>16</v>
      </c>
      <c r="AC6932">
        <v>3.4612999999999898</v>
      </c>
      <c r="AD6932">
        <v>-1.1112599638439999</v>
      </c>
      <c r="AE6932">
        <v>-18.04636</v>
      </c>
      <c r="AF6932">
        <v>-3.8276881615302298</v>
      </c>
      <c r="AG6932">
        <v>-1.1112599638439999</v>
      </c>
      <c r="AH6932">
        <v>17.903748108522802</v>
      </c>
      <c r="AI6932">
        <v>93.473415988253294</v>
      </c>
      <c r="AJ6932">
        <v>102.06773924299399</v>
      </c>
      <c r="AK6932">
        <v>18.342036192925601</v>
      </c>
      <c r="AL6932">
        <v>77.102534435127694</v>
      </c>
      <c r="AM6932">
        <v>100.121403821239</v>
      </c>
      <c r="AN6932">
        <v>1.0000000090757499</v>
      </c>
    </row>
    <row r="6933" spans="1:40" x14ac:dyDescent="0.25">
      <c r="A6933" t="str">
        <f>"20190312172249896"</f>
        <v>20190312172249896</v>
      </c>
      <c r="B6933" t="str">
        <f>"1552382569887111"</f>
        <v>1552382569887111</v>
      </c>
      <c r="C6933" t="s">
        <v>40</v>
      </c>
      <c r="D6933">
        <v>3.1798229999999998</v>
      </c>
      <c r="E6933">
        <v>0.49184679999999997</v>
      </c>
      <c r="F6933" t="s">
        <v>64</v>
      </c>
      <c r="G6933">
        <v>-298.00279999999998</v>
      </c>
      <c r="H6933" s="1">
        <v>-5.0439430000000002E-6</v>
      </c>
      <c r="I6933">
        <v>-48.197809999999997</v>
      </c>
      <c r="J6933">
        <v>-301.46929999999998</v>
      </c>
      <c r="K6933">
        <v>1.111253</v>
      </c>
      <c r="L6933">
        <v>-30.14526</v>
      </c>
      <c r="M6933">
        <v>-2.0327379999999999E-2</v>
      </c>
      <c r="N6933">
        <v>0</v>
      </c>
      <c r="O6933">
        <v>-0.99970579999999998</v>
      </c>
      <c r="P6933">
        <v>0.15113080000000001</v>
      </c>
      <c r="Q6933">
        <v>0.2098033</v>
      </c>
      <c r="R6933">
        <v>-0.96599279999999998</v>
      </c>
      <c r="S6933">
        <v>0.58160400000000001</v>
      </c>
      <c r="T6933">
        <v>-0.18656539999999999</v>
      </c>
      <c r="U6933">
        <v>-3.0559080000000001</v>
      </c>
      <c r="V6933">
        <v>-0.1709271</v>
      </c>
      <c r="W6933">
        <v>0.22238279999999999</v>
      </c>
      <c r="X6933">
        <v>0.95985929999999997</v>
      </c>
      <c r="Y6933">
        <v>-0.20656289999999999</v>
      </c>
      <c r="Z6933">
        <v>5.9727080000000002E-2</v>
      </c>
      <c r="AA6933">
        <v>0.97660860000000005</v>
      </c>
      <c r="AB6933">
        <v>16</v>
      </c>
      <c r="AC6933">
        <v>3.4664999999999901</v>
      </c>
      <c r="AD6933">
        <v>-1.111258043943</v>
      </c>
      <c r="AE6933">
        <v>-18.05255</v>
      </c>
      <c r="AF6933">
        <v>-3.8188209363053298</v>
      </c>
      <c r="AG6933">
        <v>-1.111258043943</v>
      </c>
      <c r="AH6933">
        <v>17.912885713985901</v>
      </c>
      <c r="AI6933">
        <v>93.472069685229002</v>
      </c>
      <c r="AJ6933">
        <v>102.03463687938201</v>
      </c>
      <c r="AK6933">
        <v>18.349107945241201</v>
      </c>
      <c r="AL6933">
        <v>77.150975426091506</v>
      </c>
      <c r="AM6933">
        <v>100.09711396761899</v>
      </c>
      <c r="AN6933">
        <v>1.00000002952336</v>
      </c>
    </row>
    <row r="6934" spans="1:40" x14ac:dyDescent="0.25">
      <c r="A6934" t="str">
        <f>"20190312172249919"</f>
        <v>20190312172249919</v>
      </c>
      <c r="B6934" t="str">
        <f>"1552382569907606"</f>
        <v>1552382569907606</v>
      </c>
      <c r="C6934" t="s">
        <v>40</v>
      </c>
      <c r="D6934">
        <v>3.2237260000000001</v>
      </c>
      <c r="E6934">
        <v>0.49191829999999998</v>
      </c>
      <c r="F6934" t="s">
        <v>64</v>
      </c>
      <c r="G6934">
        <v>-298.06110000000001</v>
      </c>
      <c r="H6934" s="1">
        <v>-4.9670860000000003E-6</v>
      </c>
      <c r="I6934">
        <v>-48.072330000000001</v>
      </c>
      <c r="J6934">
        <v>-301.47149999999999</v>
      </c>
      <c r="K6934">
        <v>1.111246</v>
      </c>
      <c r="L6934">
        <v>-30.304500000000001</v>
      </c>
      <c r="M6934">
        <v>-1.9484560000000001E-2</v>
      </c>
      <c r="N6934">
        <v>0</v>
      </c>
      <c r="O6934">
        <v>-0.99972249999999996</v>
      </c>
      <c r="P6934">
        <v>0.15095210000000001</v>
      </c>
      <c r="Q6934">
        <v>0.20948130000000001</v>
      </c>
      <c r="R6934">
        <v>-0.96609080000000003</v>
      </c>
      <c r="S6934">
        <v>0.58096309999999995</v>
      </c>
      <c r="T6934">
        <v>-0.18942500000000001</v>
      </c>
      <c r="U6934">
        <v>-3.055847</v>
      </c>
      <c r="V6934">
        <v>-0.1699378</v>
      </c>
      <c r="W6934">
        <v>0.22206380000000001</v>
      </c>
      <c r="X6934">
        <v>0.96010879999999998</v>
      </c>
      <c r="Y6934">
        <v>-0.20553360000000001</v>
      </c>
      <c r="Z6934">
        <v>6.0649700000000001E-2</v>
      </c>
      <c r="AA6934">
        <v>0.97676890000000005</v>
      </c>
      <c r="AB6934">
        <v>16</v>
      </c>
      <c r="AC6934">
        <v>3.4103999999999801</v>
      </c>
      <c r="AD6934">
        <v>-1.111250967086</v>
      </c>
      <c r="AE6934">
        <v>-17.76783</v>
      </c>
      <c r="AF6934">
        <v>-3.7418645122450802</v>
      </c>
      <c r="AG6934">
        <v>-1.111250967086</v>
      </c>
      <c r="AH6934">
        <v>17.6314834834408</v>
      </c>
      <c r="AI6934">
        <v>93.528012420119794</v>
      </c>
      <c r="AJ6934">
        <v>101.98189418517499</v>
      </c>
      <c r="AK6934">
        <v>18.058395237858001</v>
      </c>
      <c r="AL6934">
        <v>77.169721744594497</v>
      </c>
      <c r="AM6934">
        <v>100.037309752517</v>
      </c>
      <c r="AN6934">
        <v>1.0000000474883499</v>
      </c>
    </row>
    <row r="6935" spans="1:40" x14ac:dyDescent="0.25">
      <c r="A6935" t="str">
        <f>"20190312172249940"</f>
        <v>20190312172249940</v>
      </c>
      <c r="B6935" t="str">
        <f>"1552382569937862"</f>
        <v>1552382569937862</v>
      </c>
      <c r="C6935" t="s">
        <v>40</v>
      </c>
      <c r="D6935">
        <v>3.1202079999999999</v>
      </c>
      <c r="E6935">
        <v>0.49183359999999898</v>
      </c>
      <c r="F6935" t="s">
        <v>64</v>
      </c>
      <c r="G6935">
        <v>-298.08760000000001</v>
      </c>
      <c r="H6935" s="1">
        <v>-5.003063E-6</v>
      </c>
      <c r="I6935">
        <v>-48.154490000000003</v>
      </c>
      <c r="J6935">
        <v>-301.4735</v>
      </c>
      <c r="K6935">
        <v>1.111246</v>
      </c>
      <c r="L6935">
        <v>-30.455469999999998</v>
      </c>
      <c r="M6935">
        <v>-1.868682E-2</v>
      </c>
      <c r="N6935">
        <v>0</v>
      </c>
      <c r="O6935">
        <v>-0.99973800000000002</v>
      </c>
      <c r="P6935">
        <v>0.15066869999999999</v>
      </c>
      <c r="Q6935">
        <v>0.20955199999999999</v>
      </c>
      <c r="R6935">
        <v>-0.96611959999999997</v>
      </c>
      <c r="S6935">
        <v>0.57934569999999996</v>
      </c>
      <c r="T6935">
        <v>-0.19025329999999999</v>
      </c>
      <c r="U6935">
        <v>-3.0560299999999998</v>
      </c>
      <c r="V6935">
        <v>-0.16888590000000001</v>
      </c>
      <c r="W6935">
        <v>0.2221369</v>
      </c>
      <c r="X6935">
        <v>0.96027739999999995</v>
      </c>
      <c r="Y6935">
        <v>-0.2042397</v>
      </c>
      <c r="Z6935">
        <v>6.0923020000000001E-2</v>
      </c>
      <c r="AA6935">
        <v>0.97702330000000004</v>
      </c>
      <c r="AB6935">
        <v>16</v>
      </c>
      <c r="AC6935">
        <v>3.3858999999999901</v>
      </c>
      <c r="AD6935">
        <v>-1.1112510030630001</v>
      </c>
      <c r="AE6935">
        <v>-17.699020000000001</v>
      </c>
      <c r="AF6935">
        <v>-3.7019976164639599</v>
      </c>
      <c r="AG6935">
        <v>-1.1112510030630001</v>
      </c>
      <c r="AH6935">
        <v>17.565850424250101</v>
      </c>
      <c r="AI6935">
        <v>93.542217089984703</v>
      </c>
      <c r="AJ6935">
        <v>101.900912984331</v>
      </c>
      <c r="AK6935">
        <v>17.986071451855199</v>
      </c>
      <c r="AL6935">
        <v>77.165425088047897</v>
      </c>
      <c r="AM6935">
        <v>99.974715221761201</v>
      </c>
      <c r="AN6935">
        <v>0.99999996725558904</v>
      </c>
    </row>
    <row r="6936" spans="1:40" x14ac:dyDescent="0.25">
      <c r="A6936" t="str">
        <f>"20190312172249963"</f>
        <v>20190312172249963</v>
      </c>
      <c r="B6936" t="str">
        <f>"1552382569957382"</f>
        <v>1552382569957382</v>
      </c>
      <c r="C6936" t="s">
        <v>40</v>
      </c>
      <c r="D6936">
        <v>3.2025070000000002</v>
      </c>
      <c r="E6936">
        <v>0.49188209999999999</v>
      </c>
      <c r="F6936" t="s">
        <v>64</v>
      </c>
      <c r="G6936">
        <v>-298.15929999999997</v>
      </c>
      <c r="H6936" s="1">
        <v>-4.8867250000000002E-6</v>
      </c>
      <c r="I6936">
        <v>-47.957369999999997</v>
      </c>
      <c r="J6936">
        <v>-301.47539999999998</v>
      </c>
      <c r="K6936">
        <v>1.1112359999999999</v>
      </c>
      <c r="L6936">
        <v>-30.616060000000001</v>
      </c>
      <c r="M6936">
        <v>-1.7838409999999999E-2</v>
      </c>
      <c r="N6936">
        <v>0</v>
      </c>
      <c r="O6936">
        <v>-0.99975349999999996</v>
      </c>
      <c r="P6936">
        <v>0.1505205</v>
      </c>
      <c r="Q6936">
        <v>0.2096449</v>
      </c>
      <c r="R6936">
        <v>-0.9661227</v>
      </c>
      <c r="S6936">
        <v>0.57888790000000001</v>
      </c>
      <c r="T6936">
        <v>-0.194101</v>
      </c>
      <c r="U6936">
        <v>-3.0570369999999998</v>
      </c>
      <c r="V6936">
        <v>-0.16791919999999999</v>
      </c>
      <c r="W6936">
        <v>0.2222317</v>
      </c>
      <c r="X6936">
        <v>0.96042499999999997</v>
      </c>
      <c r="Y6936">
        <v>-0.20319490000000001</v>
      </c>
      <c r="Z6936">
        <v>6.2139439999999997E-2</v>
      </c>
      <c r="AA6936">
        <v>0.97716460000000005</v>
      </c>
      <c r="AB6936">
        <v>16</v>
      </c>
      <c r="AC6936">
        <v>3.3161</v>
      </c>
      <c r="AD6936">
        <v>-1.1112408867250001</v>
      </c>
      <c r="AE6936">
        <v>-17.34131</v>
      </c>
      <c r="AF6936">
        <v>-3.6106372948143699</v>
      </c>
      <c r="AG6936">
        <v>-1.1112408867250001</v>
      </c>
      <c r="AH6936">
        <v>17.211209597224201</v>
      </c>
      <c r="AI6936">
        <v>93.615681962229303</v>
      </c>
      <c r="AJ6936">
        <v>101.847928314217</v>
      </c>
      <c r="AK6936">
        <v>17.620933397031301</v>
      </c>
      <c r="AL6936">
        <v>77.159854412999294</v>
      </c>
      <c r="AM6936">
        <v>99.9172631112543</v>
      </c>
      <c r="AN6936">
        <v>0.99999998341926399</v>
      </c>
    </row>
    <row r="6937" spans="1:40" x14ac:dyDescent="0.25">
      <c r="A6937" t="str">
        <f>"20190312172249985"</f>
        <v>20190312172249985</v>
      </c>
      <c r="B6937" t="str">
        <f>"1552382569977878"</f>
        <v>1552382569977878</v>
      </c>
      <c r="C6937" t="s">
        <v>40</v>
      </c>
      <c r="D6937">
        <v>3.1405430000000001</v>
      </c>
      <c r="E6937">
        <v>0.49165439999999999</v>
      </c>
      <c r="F6937" t="s">
        <v>64</v>
      </c>
      <c r="G6937">
        <v>-298.14980000000003</v>
      </c>
      <c r="H6937" s="1">
        <v>-5.0141309999999998E-6</v>
      </c>
      <c r="I6937">
        <v>-48.203290000000003</v>
      </c>
      <c r="J6937">
        <v>-301.47730000000001</v>
      </c>
      <c r="K6937">
        <v>1.1112340000000001</v>
      </c>
      <c r="L6937">
        <v>-30.776859999999999</v>
      </c>
      <c r="M6937">
        <v>-1.6989239999999999E-2</v>
      </c>
      <c r="N6937">
        <v>0</v>
      </c>
      <c r="O6937">
        <v>-0.99976849999999995</v>
      </c>
      <c r="P6937">
        <v>0.151529</v>
      </c>
      <c r="Q6937">
        <v>0.20967959999999999</v>
      </c>
      <c r="R6937">
        <v>-0.96595759999999997</v>
      </c>
      <c r="S6937">
        <v>0.57806400000000002</v>
      </c>
      <c r="T6937">
        <v>-0.19315750000000001</v>
      </c>
      <c r="U6937">
        <v>-3.0570369999999998</v>
      </c>
      <c r="V6937">
        <v>-0.16810610000000001</v>
      </c>
      <c r="W6937">
        <v>0.22226470000000001</v>
      </c>
      <c r="X6937">
        <v>0.96038469999999998</v>
      </c>
      <c r="Y6937">
        <v>-0.20211229999999999</v>
      </c>
      <c r="Z6937">
        <v>6.1848500000000001E-2</v>
      </c>
      <c r="AA6937">
        <v>0.97740749999999998</v>
      </c>
      <c r="AB6937">
        <v>16</v>
      </c>
      <c r="AC6937">
        <v>3.3274999999999801</v>
      </c>
      <c r="AD6937">
        <v>-1.111239014131</v>
      </c>
      <c r="AE6937">
        <v>-17.42643</v>
      </c>
      <c r="AF6937">
        <v>-3.6089484844717901</v>
      </c>
      <c r="AG6937">
        <v>-1.111239014131</v>
      </c>
      <c r="AH6937">
        <v>17.299507610524799</v>
      </c>
      <c r="AI6937">
        <v>93.598110058891393</v>
      </c>
      <c r="AJ6937">
        <v>101.783792210115</v>
      </c>
      <c r="AK6937">
        <v>17.706844012322001</v>
      </c>
      <c r="AL6937">
        <v>77.157915562197203</v>
      </c>
      <c r="AM6937">
        <v>99.9284901820957</v>
      </c>
      <c r="AN6937">
        <v>1.0000000148586901</v>
      </c>
    </row>
    <row r="6938" spans="1:40" x14ac:dyDescent="0.25">
      <c r="A6938" t="str">
        <f>"20190312172250007"</f>
        <v>20190312172250007</v>
      </c>
      <c r="B6938" t="str">
        <f>"1552382569997398"</f>
        <v>1552382569997398</v>
      </c>
      <c r="C6938" t="s">
        <v>40</v>
      </c>
      <c r="D6938">
        <v>3.1908460000000001</v>
      </c>
      <c r="E6938">
        <v>0.49154199999999998</v>
      </c>
      <c r="F6938" t="s">
        <v>64</v>
      </c>
      <c r="G6938">
        <v>-298.13290000000001</v>
      </c>
      <c r="H6938" s="1">
        <v>-5.0857310000000001E-6</v>
      </c>
      <c r="I6938">
        <v>-48.336440000000003</v>
      </c>
      <c r="J6938">
        <v>-301.47890000000001</v>
      </c>
      <c r="K6938">
        <v>1.111224</v>
      </c>
      <c r="L6938">
        <v>-30.931180000000001</v>
      </c>
      <c r="M6938">
        <v>-1.617414E-2</v>
      </c>
      <c r="N6938">
        <v>0</v>
      </c>
      <c r="O6938">
        <v>-0.99978180000000005</v>
      </c>
      <c r="P6938">
        <v>0.15280369999999999</v>
      </c>
      <c r="Q6938">
        <v>0.20914289999999999</v>
      </c>
      <c r="R6938">
        <v>-0.96587270000000003</v>
      </c>
      <c r="S6938">
        <v>0.58212280000000005</v>
      </c>
      <c r="T6938">
        <v>-0.1934208</v>
      </c>
      <c r="U6938">
        <v>-3.0563959999999999</v>
      </c>
      <c r="V6938">
        <v>-0.16859299999999999</v>
      </c>
      <c r="W6938">
        <v>0.22172720000000001</v>
      </c>
      <c r="X6938">
        <v>0.96042360000000004</v>
      </c>
      <c r="Y6938">
        <v>-0.20260310000000001</v>
      </c>
      <c r="Z6938">
        <v>6.1935709999999998E-2</v>
      </c>
      <c r="AA6938">
        <v>0.97730030000000001</v>
      </c>
      <c r="AB6938">
        <v>16</v>
      </c>
      <c r="AC6938">
        <v>3.3460000000000001</v>
      </c>
      <c r="AD6938">
        <v>-1.1112290857310001</v>
      </c>
      <c r="AE6938">
        <v>-17.405259999999998</v>
      </c>
      <c r="AF6938">
        <v>-3.61290020459899</v>
      </c>
      <c r="AG6938">
        <v>-1.1112290857310001</v>
      </c>
      <c r="AH6938">
        <v>17.280930803570499</v>
      </c>
      <c r="AI6938">
        <v>93.601610111666503</v>
      </c>
      <c r="AJ6938">
        <v>101.808658895204</v>
      </c>
      <c r="AK6938">
        <v>17.689501050260201</v>
      </c>
      <c r="AL6938">
        <v>77.189500237452407</v>
      </c>
      <c r="AM6938">
        <v>99.956277061636598</v>
      </c>
      <c r="AN6938">
        <v>1.0000000211528901</v>
      </c>
    </row>
    <row r="6939" spans="1:40" x14ac:dyDescent="0.25">
      <c r="A6939" t="str">
        <f>"20190312172250030"</f>
        <v>20190312172250030</v>
      </c>
      <c r="B6939" t="str">
        <f>"1552382570027654"</f>
        <v>1552382570027654</v>
      </c>
      <c r="C6939" t="s">
        <v>40</v>
      </c>
      <c r="D6939">
        <v>3.1255480000000002</v>
      </c>
      <c r="E6939">
        <v>0.4914211</v>
      </c>
      <c r="F6939" t="s">
        <v>64</v>
      </c>
      <c r="G6939">
        <v>-298.1377</v>
      </c>
      <c r="H6939" s="1">
        <v>-5.0981600000000003E-6</v>
      </c>
      <c r="I6939">
        <v>-48.362929999999999</v>
      </c>
      <c r="J6939">
        <v>-301.48039999999997</v>
      </c>
      <c r="K6939">
        <v>1.111226</v>
      </c>
      <c r="L6939">
        <v>-31.091090000000001</v>
      </c>
      <c r="M6939">
        <v>-1.532972E-2</v>
      </c>
      <c r="N6939">
        <v>0</v>
      </c>
      <c r="O6939">
        <v>-0.99979510000000005</v>
      </c>
      <c r="P6939">
        <v>0.154666</v>
      </c>
      <c r="Q6939">
        <v>0.20924190000000001</v>
      </c>
      <c r="R6939">
        <v>-0.96555519999999995</v>
      </c>
      <c r="S6939">
        <v>0.58566280000000004</v>
      </c>
      <c r="T6939">
        <v>-0.19478110000000001</v>
      </c>
      <c r="U6939">
        <v>-3.0555110000000001</v>
      </c>
      <c r="V6939">
        <v>-0.1696356</v>
      </c>
      <c r="W6939">
        <v>0.22182160000000001</v>
      </c>
      <c r="X6939">
        <v>0.96021820000000002</v>
      </c>
      <c r="Y6939">
        <v>-0.20291529999999999</v>
      </c>
      <c r="Z6939">
        <v>6.2379759999999999E-2</v>
      </c>
      <c r="AA6939">
        <v>0.9772073</v>
      </c>
      <c r="AB6939">
        <v>16</v>
      </c>
      <c r="AC6939">
        <v>3.3426999999999798</v>
      </c>
      <c r="AD6939">
        <v>-1.11123109816</v>
      </c>
      <c r="AE6939">
        <v>-17.271839999999901</v>
      </c>
      <c r="AF6939">
        <v>-3.5927679651851498</v>
      </c>
      <c r="AG6939">
        <v>-1.11123109816</v>
      </c>
      <c r="AH6939">
        <v>17.150135622657999</v>
      </c>
      <c r="AI6939">
        <v>93.628705967303006</v>
      </c>
      <c r="AJ6939">
        <v>101.83174498139699</v>
      </c>
      <c r="AK6939">
        <v>17.557618519626701</v>
      </c>
      <c r="AL6939">
        <v>77.183953442583004</v>
      </c>
      <c r="AM6939">
        <v>100.01870398588601</v>
      </c>
      <c r="AN6939">
        <v>1.00000002531257</v>
      </c>
    </row>
    <row r="6940" spans="1:40" x14ac:dyDescent="0.25">
      <c r="A6940" t="str">
        <f>"20190312172250054"</f>
        <v>20190312172250054</v>
      </c>
      <c r="B6940" t="str">
        <f>"1552382570047173"</f>
        <v>1552382570047173</v>
      </c>
      <c r="C6940" t="s">
        <v>40</v>
      </c>
      <c r="D6940">
        <v>3.3166009999999999</v>
      </c>
      <c r="E6940">
        <v>0.49137350000000002</v>
      </c>
      <c r="F6940" t="s">
        <v>64</v>
      </c>
      <c r="G6940">
        <v>-298.09109999999998</v>
      </c>
      <c r="H6940" s="1">
        <v>-5.2163000000000004E-6</v>
      </c>
      <c r="I6940">
        <v>-48.5745</v>
      </c>
      <c r="J6940">
        <v>-301.48200000000003</v>
      </c>
      <c r="K6940">
        <v>1.111224</v>
      </c>
      <c r="L6940">
        <v>-31.263339999999999</v>
      </c>
      <c r="M6940">
        <v>-1.4421E-2</v>
      </c>
      <c r="N6940">
        <v>0</v>
      </c>
      <c r="O6940">
        <v>-0.99980849999999999</v>
      </c>
      <c r="P6940">
        <v>0.15682260000000001</v>
      </c>
      <c r="Q6940">
        <v>0.20954600000000001</v>
      </c>
      <c r="R6940">
        <v>-0.96514109999999997</v>
      </c>
      <c r="S6940">
        <v>0.59210209999999996</v>
      </c>
      <c r="T6940">
        <v>-0.1941263</v>
      </c>
      <c r="U6940">
        <v>-3.0542600000000002</v>
      </c>
      <c r="V6940">
        <v>-0.17091010000000001</v>
      </c>
      <c r="W6940">
        <v>0.2221197</v>
      </c>
      <c r="X6940">
        <v>0.95992319999999998</v>
      </c>
      <c r="Y6940">
        <v>-0.20408799999999999</v>
      </c>
      <c r="Z6940">
        <v>6.2177200000000002E-2</v>
      </c>
      <c r="AA6940">
        <v>0.97697599999999996</v>
      </c>
      <c r="AB6940">
        <v>16</v>
      </c>
      <c r="AC6940">
        <v>3.3909000000000402</v>
      </c>
      <c r="AD6940">
        <v>-1.1112292162999999</v>
      </c>
      <c r="AE6940">
        <v>-17.311159999999902</v>
      </c>
      <c r="AF6940">
        <v>-3.6258250863370001</v>
      </c>
      <c r="AG6940">
        <v>-1.1112292162999999</v>
      </c>
      <c r="AH6940">
        <v>17.192231331414</v>
      </c>
      <c r="AI6940">
        <v>93.618814059456795</v>
      </c>
      <c r="AJ6940">
        <v>101.909105701144</v>
      </c>
      <c r="AK6940">
        <v>17.605517773718599</v>
      </c>
      <c r="AL6940">
        <v>77.166436079515194</v>
      </c>
      <c r="AM6940">
        <v>100.095472140102</v>
      </c>
      <c r="AN6940">
        <v>0.999999986654169</v>
      </c>
    </row>
    <row r="6941" spans="1:40" x14ac:dyDescent="0.25">
      <c r="A6941" t="str">
        <f>"20190312172250075"</f>
        <v>20190312172250075</v>
      </c>
      <c r="B6941" t="str">
        <f>"1552382570067670"</f>
        <v>1552382570067670</v>
      </c>
      <c r="C6941" t="s">
        <v>40</v>
      </c>
      <c r="D6941">
        <v>3.2652640000000002</v>
      </c>
      <c r="E6941">
        <v>0.49135250000000003</v>
      </c>
      <c r="F6941" t="s">
        <v>64</v>
      </c>
      <c r="G6941">
        <v>-298.02670000000001</v>
      </c>
      <c r="H6941" s="1">
        <v>-5.3783279999999997E-6</v>
      </c>
      <c r="I6941">
        <v>-48.864460000000001</v>
      </c>
      <c r="J6941">
        <v>-301.48320000000001</v>
      </c>
      <c r="K6941">
        <v>1.1112219999999999</v>
      </c>
      <c r="L6941">
        <v>-31.41394</v>
      </c>
      <c r="M6941">
        <v>-1.362878E-2</v>
      </c>
      <c r="N6941">
        <v>0</v>
      </c>
      <c r="O6941">
        <v>-0.99981969999999998</v>
      </c>
      <c r="P6941">
        <v>0.1586622</v>
      </c>
      <c r="Q6941">
        <v>0.20936640000000001</v>
      </c>
      <c r="R6941">
        <v>-0.9648793</v>
      </c>
      <c r="S6941">
        <v>0.59930419999999995</v>
      </c>
      <c r="T6941">
        <v>-0.1927372</v>
      </c>
      <c r="U6941">
        <v>-3.052826</v>
      </c>
      <c r="V6941">
        <v>-0.17198160000000001</v>
      </c>
      <c r="W6941">
        <v>0.22193689999999999</v>
      </c>
      <c r="X6941">
        <v>0.95977409999999996</v>
      </c>
      <c r="Y6941">
        <v>-0.20562349999999999</v>
      </c>
      <c r="Z6941">
        <v>6.173961E-2</v>
      </c>
      <c r="AA6941">
        <v>0.97668169999999999</v>
      </c>
      <c r="AB6941">
        <v>16</v>
      </c>
      <c r="AC6941">
        <v>3.4565000000000001</v>
      </c>
      <c r="AD6941">
        <v>-1.111227378328</v>
      </c>
      <c r="AE6941">
        <v>-17.450519999999901</v>
      </c>
      <c r="AF6941">
        <v>-3.6796713020552398</v>
      </c>
      <c r="AG6941">
        <v>-1.111227378328</v>
      </c>
      <c r="AH6941">
        <v>17.334150879793199</v>
      </c>
      <c r="AI6941">
        <v>93.588257534532204</v>
      </c>
      <c r="AJ6941">
        <v>101.984767939672</v>
      </c>
      <c r="AK6941">
        <v>17.755213147156301</v>
      </c>
      <c r="AL6941">
        <v>77.177177913093502</v>
      </c>
      <c r="AM6941">
        <v>100.15899571524</v>
      </c>
      <c r="AN6941">
        <v>0.99999999067548995</v>
      </c>
    </row>
    <row r="6942" spans="1:40" x14ac:dyDescent="0.25">
      <c r="A6942" t="str">
        <f>"20190312172250096"</f>
        <v>20190312172250096</v>
      </c>
      <c r="B6942" t="str">
        <f>"1552382570087190"</f>
        <v>1552382570087190</v>
      </c>
      <c r="C6942" t="s">
        <v>40</v>
      </c>
      <c r="D6942">
        <v>3.3895580000000001</v>
      </c>
      <c r="E6942">
        <v>0.49044779999999999</v>
      </c>
      <c r="F6942" t="s">
        <v>64</v>
      </c>
      <c r="G6942">
        <v>-298.00360000000001</v>
      </c>
      <c r="H6942" s="1">
        <v>-5.4318659999999999E-6</v>
      </c>
      <c r="I6942">
        <v>-48.959490000000002</v>
      </c>
      <c r="J6942">
        <v>-301.48430000000002</v>
      </c>
      <c r="K6942">
        <v>1.111229</v>
      </c>
      <c r="L6942">
        <v>-31.56241</v>
      </c>
      <c r="M6942">
        <v>-1.2852189999999999E-2</v>
      </c>
      <c r="N6942">
        <v>0</v>
      </c>
      <c r="O6942">
        <v>-0.9998302</v>
      </c>
      <c r="P6942">
        <v>0.160921799999999</v>
      </c>
      <c r="Q6942">
        <v>0.20885300000000001</v>
      </c>
      <c r="R6942">
        <v>-0.96461669999999999</v>
      </c>
      <c r="S6942">
        <v>0.60519409999999996</v>
      </c>
      <c r="T6942">
        <v>-0.19326989999999999</v>
      </c>
      <c r="U6942">
        <v>-3.0516049999999999</v>
      </c>
      <c r="V6942">
        <v>-0.1734926</v>
      </c>
      <c r="W6942">
        <v>0.22141569999999999</v>
      </c>
      <c r="X6942">
        <v>0.95962250000000004</v>
      </c>
      <c r="Y6942">
        <v>-0.2067495</v>
      </c>
      <c r="Z6942">
        <v>6.1915940000000003E-2</v>
      </c>
      <c r="AA6942">
        <v>0.97643290000000005</v>
      </c>
      <c r="AB6942">
        <v>16</v>
      </c>
      <c r="AC6942">
        <v>3.4807000000000099</v>
      </c>
      <c r="AD6942">
        <v>-1.1112344318659999</v>
      </c>
      <c r="AE6942">
        <v>-17.397079999999999</v>
      </c>
      <c r="AF6942">
        <v>-3.6895486235192201</v>
      </c>
      <c r="AG6942">
        <v>-1.1112344318659999</v>
      </c>
      <c r="AH6942">
        <v>17.283103571967501</v>
      </c>
      <c r="AI6942">
        <v>93.597974809110497</v>
      </c>
      <c r="AJ6942">
        <v>102.050459256579</v>
      </c>
      <c r="AK6942">
        <v>17.7074357287336</v>
      </c>
      <c r="AL6942">
        <v>77.207802113187498</v>
      </c>
      <c r="AM6942">
        <v>100.247952371561</v>
      </c>
      <c r="AN6942">
        <v>0.99999996848374895</v>
      </c>
    </row>
    <row r="6943" spans="1:40" x14ac:dyDescent="0.25">
      <c r="A6943" t="str">
        <f>"20190312172250119"</f>
        <v>20190312172250119</v>
      </c>
      <c r="B6943" t="str">
        <f>"1552382570107687"</f>
        <v>1552382570107687</v>
      </c>
      <c r="C6943" t="s">
        <v>40</v>
      </c>
      <c r="D6943">
        <v>3.2510560000000002</v>
      </c>
      <c r="E6943">
        <v>0.49034820000000001</v>
      </c>
      <c r="F6943" t="s">
        <v>64</v>
      </c>
      <c r="G6943">
        <v>-297.97309999999999</v>
      </c>
      <c r="H6943" s="1">
        <v>-5.3908979999999999E-6</v>
      </c>
      <c r="I6943">
        <v>-48.865819999999999</v>
      </c>
      <c r="J6943">
        <v>-301.4853</v>
      </c>
      <c r="K6943">
        <v>1.111175</v>
      </c>
      <c r="L6943">
        <v>-31.719059999999999</v>
      </c>
      <c r="M6943">
        <v>-1.203272E-2</v>
      </c>
      <c r="N6943">
        <v>0</v>
      </c>
      <c r="O6943">
        <v>-0.99984340000000005</v>
      </c>
      <c r="P6943">
        <v>0.1627683</v>
      </c>
      <c r="Q6943">
        <v>0.2081085</v>
      </c>
      <c r="R6943">
        <v>-0.96446739999999997</v>
      </c>
      <c r="S6943">
        <v>0.61874390000000001</v>
      </c>
      <c r="T6943">
        <v>-0.19582269999999999</v>
      </c>
      <c r="U6943">
        <v>-3.0492249999999999</v>
      </c>
      <c r="V6943">
        <v>-0.17455570000000001</v>
      </c>
      <c r="W6943">
        <v>0.22043769999999999</v>
      </c>
      <c r="X6943">
        <v>0.95965489999999998</v>
      </c>
      <c r="Y6943">
        <v>-0.21025260000000001</v>
      </c>
      <c r="Z6943">
        <v>6.2728539999999999E-2</v>
      </c>
      <c r="AA6943">
        <v>0.97563259999999996</v>
      </c>
      <c r="AB6943">
        <v>16</v>
      </c>
      <c r="AC6943">
        <v>3.5122</v>
      </c>
      <c r="AD6943">
        <v>-1.111180390898</v>
      </c>
      <c r="AE6943">
        <v>-17.14676</v>
      </c>
      <c r="AF6943">
        <v>-3.7033589497907</v>
      </c>
      <c r="AG6943">
        <v>-1.111180390898</v>
      </c>
      <c r="AH6943">
        <v>17.034596144357099</v>
      </c>
      <c r="AI6943">
        <v>93.647205040125399</v>
      </c>
      <c r="AJ6943">
        <v>102.265370703427</v>
      </c>
      <c r="AK6943">
        <v>17.4678863968557</v>
      </c>
      <c r="AL6943">
        <v>77.265257480599303</v>
      </c>
      <c r="AM6943">
        <v>100.309064850355</v>
      </c>
      <c r="AN6943">
        <v>0.99999999953889496</v>
      </c>
    </row>
    <row r="6944" spans="1:40" x14ac:dyDescent="0.25">
      <c r="A6944" t="str">
        <f>"20190312172250142"</f>
        <v>20190312172250142</v>
      </c>
      <c r="B6944" t="str">
        <f>"1552382570136966"</f>
        <v>1552382570136966</v>
      </c>
      <c r="C6944" t="s">
        <v>40</v>
      </c>
      <c r="D6944">
        <v>3.2757670000000001</v>
      </c>
      <c r="E6944">
        <v>0.49033450000000001</v>
      </c>
      <c r="F6944" t="s">
        <v>64</v>
      </c>
      <c r="G6944">
        <v>-297.99259999999998</v>
      </c>
      <c r="H6944" s="1">
        <v>-5.3377509999999899E-6</v>
      </c>
      <c r="I6944">
        <v>-48.76999</v>
      </c>
      <c r="J6944">
        <v>-301.48630000000003</v>
      </c>
      <c r="K6944">
        <v>1.1110990000000001</v>
      </c>
      <c r="L6944">
        <v>-31.883240000000001</v>
      </c>
      <c r="M6944">
        <v>-1.118362E-2</v>
      </c>
      <c r="N6944">
        <v>0</v>
      </c>
      <c r="O6944">
        <v>-0.99985769999999996</v>
      </c>
      <c r="P6944">
        <v>0.16414020000000001</v>
      </c>
      <c r="Q6944">
        <v>0.20751649999999999</v>
      </c>
      <c r="R6944">
        <v>-0.96436259999999996</v>
      </c>
      <c r="S6944">
        <v>0.62435909999999994</v>
      </c>
      <c r="T6944">
        <v>-0.19863330000000001</v>
      </c>
      <c r="U6944">
        <v>-3.0480040000000002</v>
      </c>
      <c r="V6944">
        <v>-0.1751144</v>
      </c>
      <c r="W6944">
        <v>0.21952269999999999</v>
      </c>
      <c r="X6944">
        <v>0.95976289999999997</v>
      </c>
      <c r="Y6944">
        <v>-0.2112126</v>
      </c>
      <c r="Z6944">
        <v>6.3632789999999995E-2</v>
      </c>
      <c r="AA6944">
        <v>0.97536670000000003</v>
      </c>
      <c r="AB6944">
        <v>16</v>
      </c>
      <c r="AC6944">
        <v>3.49370000000004</v>
      </c>
      <c r="AD6944">
        <v>-1.1111043377509999</v>
      </c>
      <c r="AE6944">
        <v>-16.886749999999999</v>
      </c>
      <c r="AF6944">
        <v>-3.6671271029638501</v>
      </c>
      <c r="AG6944">
        <v>-1.1111043377509999</v>
      </c>
      <c r="AH6944">
        <v>16.776967240344302</v>
      </c>
      <c r="AI6944">
        <v>93.701898776938407</v>
      </c>
      <c r="AJ6944">
        <v>102.329848846598</v>
      </c>
      <c r="AK6944">
        <v>17.208980324883999</v>
      </c>
      <c r="AL6944">
        <v>77.319000175381603</v>
      </c>
      <c r="AM6944">
        <v>100.340211607211</v>
      </c>
      <c r="AN6944">
        <v>1.00000004655952</v>
      </c>
    </row>
    <row r="6945" spans="1:40" x14ac:dyDescent="0.25">
      <c r="A6945" t="str">
        <f>"20190312172250164"</f>
        <v>20190312172250164</v>
      </c>
      <c r="B6945" t="str">
        <f>"1552382570157463"</f>
        <v>1552382570157463</v>
      </c>
      <c r="C6945" t="s">
        <v>40</v>
      </c>
      <c r="D6945">
        <v>3.207379</v>
      </c>
      <c r="E6945">
        <v>0.49036180000000001</v>
      </c>
      <c r="F6945" t="s">
        <v>64</v>
      </c>
      <c r="G6945">
        <v>-298.0068</v>
      </c>
      <c r="H6945" s="1">
        <v>-5.3275829999999998E-6</v>
      </c>
      <c r="I6945">
        <v>-48.756219999999999</v>
      </c>
      <c r="J6945">
        <v>-301.4871</v>
      </c>
      <c r="K6945">
        <v>1.1110949999999999</v>
      </c>
      <c r="L6945">
        <v>-32.039490000000001</v>
      </c>
      <c r="M6945">
        <v>-1.038704E-2</v>
      </c>
      <c r="N6945">
        <v>0</v>
      </c>
      <c r="O6945">
        <v>-0.99986770000000003</v>
      </c>
      <c r="P6945">
        <v>0.16503119999999999</v>
      </c>
      <c r="Q6945">
        <v>0.2074086</v>
      </c>
      <c r="R6945">
        <v>-0.96423380000000003</v>
      </c>
      <c r="S6945">
        <v>0.6283569</v>
      </c>
      <c r="T6945">
        <v>-0.2006541</v>
      </c>
      <c r="U6945">
        <v>-3.0470890000000002</v>
      </c>
      <c r="V6945">
        <v>-0.1752406</v>
      </c>
      <c r="W6945">
        <v>0.21928819999999999</v>
      </c>
      <c r="X6945">
        <v>0.95979340000000002</v>
      </c>
      <c r="Y6945">
        <v>-0.2117108</v>
      </c>
      <c r="Z6945">
        <v>6.4285259999999997E-2</v>
      </c>
      <c r="AA6945">
        <v>0.97521590000000002</v>
      </c>
      <c r="AB6945">
        <v>16</v>
      </c>
      <c r="AC6945">
        <v>3.4803000000000002</v>
      </c>
      <c r="AD6945">
        <v>-1.111100327583</v>
      </c>
      <c r="AE6945">
        <v>-16.716729999999998</v>
      </c>
      <c r="AF6945">
        <v>-3.6383574600953001</v>
      </c>
      <c r="AG6945">
        <v>-1.111100327583</v>
      </c>
      <c r="AH6945">
        <v>16.609347101132599</v>
      </c>
      <c r="AI6945">
        <v>93.738770264660005</v>
      </c>
      <c r="AJ6945">
        <v>102.355753296942</v>
      </c>
      <c r="AK6945">
        <v>17.0394424812342</v>
      </c>
      <c r="AL6945">
        <v>77.332770691890602</v>
      </c>
      <c r="AM6945">
        <v>100.347180866339</v>
      </c>
      <c r="AN6945">
        <v>0.99999997661557904</v>
      </c>
    </row>
    <row r="6946" spans="1:40" x14ac:dyDescent="0.25">
      <c r="A6946" t="str">
        <f>"20190312172250185"</f>
        <v>20190312172250185</v>
      </c>
      <c r="B6946" t="str">
        <f>"1552382570176982"</f>
        <v>1552382570176982</v>
      </c>
      <c r="C6946" t="s">
        <v>40</v>
      </c>
      <c r="D6946">
        <v>3.119386</v>
      </c>
      <c r="E6946">
        <v>0.49039149999999998</v>
      </c>
      <c r="F6946" t="s">
        <v>64</v>
      </c>
      <c r="G6946">
        <v>-297.99790000000002</v>
      </c>
      <c r="H6946" s="1">
        <v>-5.3930389999999999E-6</v>
      </c>
      <c r="I6946">
        <v>-48.880809999999997</v>
      </c>
      <c r="J6946">
        <v>-301.48779999999999</v>
      </c>
      <c r="K6946">
        <v>1.1111230000000001</v>
      </c>
      <c r="L6946">
        <v>-32.193629999999999</v>
      </c>
      <c r="M6946">
        <v>-9.6148770000000008E-3</v>
      </c>
      <c r="N6946">
        <v>0</v>
      </c>
      <c r="O6946">
        <v>-0.99987530000000002</v>
      </c>
      <c r="P6946">
        <v>0.16552030000000001</v>
      </c>
      <c r="Q6946">
        <v>0.20775170000000001</v>
      </c>
      <c r="R6946">
        <v>-0.96407589999999999</v>
      </c>
      <c r="S6946">
        <v>0.63116459999999996</v>
      </c>
      <c r="T6946">
        <v>-0.20099030000000001</v>
      </c>
      <c r="U6946">
        <v>-3.046478</v>
      </c>
      <c r="V6946">
        <v>-0.17498449999999999</v>
      </c>
      <c r="W6946">
        <v>0.21963489999999999</v>
      </c>
      <c r="X6946">
        <v>0.95976090000000003</v>
      </c>
      <c r="Y6946">
        <v>-0.21185519999999999</v>
      </c>
      <c r="Z6946">
        <v>6.439889E-2</v>
      </c>
      <c r="AA6946">
        <v>0.97517699999999996</v>
      </c>
      <c r="AB6946">
        <v>16</v>
      </c>
      <c r="AC6946">
        <v>3.4898999999999698</v>
      </c>
      <c r="AD6946">
        <v>-1.1111283930389999</v>
      </c>
      <c r="AE6946">
        <v>-16.687179999999898</v>
      </c>
      <c r="AF6946">
        <v>-3.6347564653591098</v>
      </c>
      <c r="AG6946">
        <v>-1.1111283930389999</v>
      </c>
      <c r="AH6946">
        <v>16.5824110395105</v>
      </c>
      <c r="AI6946">
        <v>93.744812217428503</v>
      </c>
      <c r="AJ6946">
        <v>102.363334476658</v>
      </c>
      <c r="AK6946">
        <v>17.012419485527801</v>
      </c>
      <c r="AL6946">
        <v>77.312410493354307</v>
      </c>
      <c r="AM6946">
        <v>100.332727585114</v>
      </c>
      <c r="AN6946">
        <v>1.0000000248535299</v>
      </c>
    </row>
    <row r="6947" spans="1:40" x14ac:dyDescent="0.25">
      <c r="A6947" t="str">
        <f>"20190312172250208"</f>
        <v>20190312172250208</v>
      </c>
      <c r="B6947" t="str">
        <f>"1552382570197478"</f>
        <v>1552382570197478</v>
      </c>
      <c r="C6947" t="s">
        <v>40</v>
      </c>
      <c r="D6947">
        <v>3.1313420000000001</v>
      </c>
      <c r="E6947">
        <v>0.49028480000000002</v>
      </c>
      <c r="F6947" t="s">
        <v>64</v>
      </c>
      <c r="G6947">
        <v>-297.97039999999998</v>
      </c>
      <c r="H6947" s="1">
        <v>-5.5303539999999996E-6</v>
      </c>
      <c r="I6947">
        <v>-49.13832</v>
      </c>
      <c r="J6947">
        <v>-301.48840000000001</v>
      </c>
      <c r="K6947">
        <v>1.1111329999999999</v>
      </c>
      <c r="L6947">
        <v>-32.350830000000002</v>
      </c>
      <c r="M6947">
        <v>-8.8316060000000005E-3</v>
      </c>
      <c r="N6947">
        <v>0</v>
      </c>
      <c r="O6947">
        <v>-0.99988270000000001</v>
      </c>
      <c r="P6947">
        <v>0.16597429999999999</v>
      </c>
      <c r="Q6947">
        <v>0.20811360000000001</v>
      </c>
      <c r="R6947">
        <v>-0.96391979999999999</v>
      </c>
      <c r="S6947">
        <v>0.63235469999999905</v>
      </c>
      <c r="T6947">
        <v>-0.1997554</v>
      </c>
      <c r="U6947">
        <v>-3.046265</v>
      </c>
      <c r="V6947">
        <v>-0.17468410000000001</v>
      </c>
      <c r="W6947">
        <v>0.21997949999999999</v>
      </c>
      <c r="X6947">
        <v>0.95973660000000005</v>
      </c>
      <c r="Y6947">
        <v>-0.21147369999999999</v>
      </c>
      <c r="Z6947">
        <v>6.4010150000000002E-2</v>
      </c>
      <c r="AA6947">
        <v>0.97528539999999997</v>
      </c>
      <c r="AB6947">
        <v>16</v>
      </c>
      <c r="AC6947">
        <v>3.5180000000000202</v>
      </c>
      <c r="AD6947">
        <v>-1.111138530354</v>
      </c>
      <c r="AE6947">
        <v>-16.787489999999998</v>
      </c>
      <c r="AF6947">
        <v>-3.6508138144559199</v>
      </c>
      <c r="AG6947">
        <v>-1.111138530354</v>
      </c>
      <c r="AH6947">
        <v>16.685739498162299</v>
      </c>
      <c r="AI6947">
        <v>93.722027641646605</v>
      </c>
      <c r="AJ6947">
        <v>102.34173605401899</v>
      </c>
      <c r="AK6947">
        <v>17.116570127861301</v>
      </c>
      <c r="AL6947">
        <v>77.292170139494004</v>
      </c>
      <c r="AM6947">
        <v>100.315625868514</v>
      </c>
      <c r="AN6947">
        <v>0.99999992829630702</v>
      </c>
    </row>
    <row r="6948" spans="1:40" x14ac:dyDescent="0.25">
      <c r="A6948" t="str">
        <f>"20190312172250320"</f>
        <v>20190312172250320</v>
      </c>
      <c r="B6948" t="str">
        <f>"1552382570317527"</f>
        <v>1552382570317527</v>
      </c>
      <c r="C6948" t="s">
        <v>40</v>
      </c>
      <c r="D6948">
        <v>3.1256569999999999</v>
      </c>
      <c r="E6948">
        <v>0.49158550000000001</v>
      </c>
      <c r="F6948" t="s">
        <v>64</v>
      </c>
      <c r="G6948">
        <v>-297.94810000000001</v>
      </c>
      <c r="H6948" s="1">
        <v>-5.6483840000000004E-6</v>
      </c>
      <c r="I6948">
        <v>-49.36027</v>
      </c>
      <c r="J6948">
        <v>-301.48970000000003</v>
      </c>
      <c r="K6948">
        <v>1.1111180000000001</v>
      </c>
      <c r="L6948">
        <v>-33.141019999999997</v>
      </c>
      <c r="M6948">
        <v>-5.1511179999999997E-3</v>
      </c>
      <c r="N6948">
        <v>0</v>
      </c>
      <c r="O6948">
        <v>-0.99991149999999995</v>
      </c>
      <c r="P6948">
        <v>0.16788349999999999</v>
      </c>
      <c r="Q6948">
        <v>0.2070225</v>
      </c>
      <c r="R6948">
        <v>-0.96382400000000001</v>
      </c>
      <c r="S6948">
        <v>0.63400269999999903</v>
      </c>
      <c r="T6948">
        <v>-0.19898479999999999</v>
      </c>
      <c r="U6948">
        <v>-3.0460820000000002</v>
      </c>
      <c r="V6948">
        <v>-0.173045</v>
      </c>
      <c r="W6948">
        <v>0.21867229999999999</v>
      </c>
      <c r="X6948">
        <v>0.96033219999999997</v>
      </c>
      <c r="Y6948">
        <v>-0.20839579999999999</v>
      </c>
      <c r="Z6948">
        <v>6.3788339999999999E-2</v>
      </c>
      <c r="AA6948">
        <v>0.9759622</v>
      </c>
      <c r="AB6948">
        <v>16</v>
      </c>
      <c r="AC6948">
        <v>3.5416000000000101</v>
      </c>
      <c r="AD6948">
        <v>-1.1111236483839999</v>
      </c>
      <c r="AE6948">
        <v>-16.219249999999899</v>
      </c>
      <c r="AF6948">
        <v>-3.60894012943767</v>
      </c>
      <c r="AG6948">
        <v>-1.1111236483839999</v>
      </c>
      <c r="AH6948">
        <v>16.128541580163098</v>
      </c>
      <c r="AI6948">
        <v>93.8461655562582</v>
      </c>
      <c r="AJ6948">
        <v>102.612801988752</v>
      </c>
      <c r="AK6948">
        <v>16.5646882893375</v>
      </c>
      <c r="AL6948">
        <v>77.368937765959899</v>
      </c>
      <c r="AM6948">
        <v>100.214676312015</v>
      </c>
      <c r="AN6948">
        <v>1.0000000405845599</v>
      </c>
    </row>
    <row r="6949" spans="1:40" x14ac:dyDescent="0.25">
      <c r="A6949" t="str">
        <f>"20190312172250342"</f>
        <v>20190312172250342</v>
      </c>
      <c r="B6949" t="str">
        <f>"1552382570337046"</f>
        <v>1552382570337046</v>
      </c>
      <c r="C6949" t="s">
        <v>40</v>
      </c>
      <c r="D6949">
        <v>3.3271470000000001</v>
      </c>
      <c r="E6949">
        <v>0.49295440000000001</v>
      </c>
      <c r="F6949" t="s">
        <v>64</v>
      </c>
      <c r="G6949">
        <v>-298.16140000000001</v>
      </c>
      <c r="H6949" s="1">
        <v>-5.5349299999999997E-6</v>
      </c>
      <c r="I6949">
        <v>-49.230440000000002</v>
      </c>
      <c r="J6949">
        <v>-301.48970000000003</v>
      </c>
      <c r="K6949">
        <v>1.11111</v>
      </c>
      <c r="L6949">
        <v>-33.299500000000002</v>
      </c>
      <c r="M6949">
        <v>-4.4729310000000003E-3</v>
      </c>
      <c r="N6949">
        <v>0</v>
      </c>
      <c r="O6949">
        <v>-0.99991509999999995</v>
      </c>
      <c r="P6949">
        <v>0.16864019999999999</v>
      </c>
      <c r="Q6949">
        <v>0.20654069999999999</v>
      </c>
      <c r="R6949">
        <v>-0.96379559999999997</v>
      </c>
      <c r="S6949">
        <v>0.63052369999999902</v>
      </c>
      <c r="T6949">
        <v>-0.21049300000000001</v>
      </c>
      <c r="U6949">
        <v>-3.0480040000000002</v>
      </c>
      <c r="V6949">
        <v>-0.17314370000000001</v>
      </c>
      <c r="W6949">
        <v>0.2181688</v>
      </c>
      <c r="X6949">
        <v>0.96042890000000003</v>
      </c>
      <c r="Y6949">
        <v>-0.2064926</v>
      </c>
      <c r="Z6949">
        <v>6.7441139999999997E-2</v>
      </c>
      <c r="AA6949">
        <v>0.97612109999999996</v>
      </c>
      <c r="AB6949">
        <v>16</v>
      </c>
      <c r="AC6949">
        <v>3.3283000000000098</v>
      </c>
      <c r="AD6949">
        <v>-1.1111155349299999</v>
      </c>
      <c r="AE6949">
        <v>-15.93094</v>
      </c>
      <c r="AF6949">
        <v>-3.3837582418397698</v>
      </c>
      <c r="AG6949">
        <v>-1.1111155349299999</v>
      </c>
      <c r="AH6949">
        <v>15.8420519949076</v>
      </c>
      <c r="AI6949">
        <v>93.923768320601596</v>
      </c>
      <c r="AJ6949">
        <v>102.056828186269</v>
      </c>
      <c r="AK6949">
        <v>16.237456973939501</v>
      </c>
      <c r="AL6949">
        <v>77.398499701682496</v>
      </c>
      <c r="AM6949">
        <v>100.21937236118001</v>
      </c>
      <c r="AN6949">
        <v>1.00000001904916</v>
      </c>
    </row>
    <row r="6950" spans="1:40" x14ac:dyDescent="0.25">
      <c r="A6950" t="str">
        <f>"20190312172250365"</f>
        <v>20190312172250365</v>
      </c>
      <c r="B6950" t="str">
        <f>"1552382570357542"</f>
        <v>1552382570357542</v>
      </c>
      <c r="C6950" t="s">
        <v>40</v>
      </c>
      <c r="D6950">
        <v>3.1456499999999998</v>
      </c>
      <c r="E6950">
        <v>0.49428270000000002</v>
      </c>
      <c r="F6950" t="s">
        <v>64</v>
      </c>
      <c r="G6950">
        <v>-298.18450000000001</v>
      </c>
      <c r="H6950" s="1">
        <v>-5.6689379999999998E-6</v>
      </c>
      <c r="I6950">
        <v>-49.50573</v>
      </c>
      <c r="J6950">
        <v>-301.4896</v>
      </c>
      <c r="K6950">
        <v>1.111097</v>
      </c>
      <c r="L6950">
        <v>-33.456330000000001</v>
      </c>
      <c r="M6950">
        <v>-3.824282E-3</v>
      </c>
      <c r="N6950">
        <v>0</v>
      </c>
      <c r="O6950">
        <v>-0.99991790000000003</v>
      </c>
      <c r="P6950">
        <v>0.1694754</v>
      </c>
      <c r="Q6950">
        <v>0.20637349999999999</v>
      </c>
      <c r="R6950">
        <v>-0.9636846</v>
      </c>
      <c r="S6950">
        <v>0.62176509999999996</v>
      </c>
      <c r="T6950">
        <v>-0.20902229999999999</v>
      </c>
      <c r="U6950">
        <v>-3.0487060000000001</v>
      </c>
      <c r="V6950">
        <v>-0.17334749999999999</v>
      </c>
      <c r="W6950">
        <v>0.2179845</v>
      </c>
      <c r="X6950">
        <v>0.96043400000000001</v>
      </c>
      <c r="Y6950">
        <v>-0.20312730000000001</v>
      </c>
      <c r="Z6950">
        <v>6.7000260000000006E-2</v>
      </c>
      <c r="AA6950">
        <v>0.97685730000000004</v>
      </c>
      <c r="AB6950">
        <v>16</v>
      </c>
      <c r="AC6950">
        <v>3.3050999999999799</v>
      </c>
      <c r="AD6950">
        <v>-1.1111026689379999</v>
      </c>
      <c r="AE6950">
        <v>-16.049399999999999</v>
      </c>
      <c r="AF6950">
        <v>-3.3510502908269402</v>
      </c>
      <c r="AG6950">
        <v>-1.1111026689379999</v>
      </c>
      <c r="AH6950">
        <v>15.963245753289801</v>
      </c>
      <c r="AI6950">
        <v>93.896914886293104</v>
      </c>
      <c r="AJ6950">
        <v>101.855546239766</v>
      </c>
      <c r="AK6950">
        <v>16.348984744396098</v>
      </c>
      <c r="AL6950">
        <v>77.409319914827904</v>
      </c>
      <c r="AM6950">
        <v>100.23109403207</v>
      </c>
      <c r="AN6950">
        <v>1.00000003317624</v>
      </c>
    </row>
    <row r="6951" spans="1:40" x14ac:dyDescent="0.25">
      <c r="A6951" t="str">
        <f>"20190312172250387"</f>
        <v>20190312172250387</v>
      </c>
      <c r="B6951" t="str">
        <f>"1552382570377062"</f>
        <v>1552382570377062</v>
      </c>
      <c r="C6951" t="s">
        <v>40</v>
      </c>
      <c r="D6951">
        <v>3.1480709999999998</v>
      </c>
      <c r="E6951">
        <v>0.49540519999999999</v>
      </c>
      <c r="F6951" t="s">
        <v>64</v>
      </c>
      <c r="G6951">
        <v>-298.21109999999999</v>
      </c>
      <c r="H6951" s="1">
        <v>-5.7582969999999997E-6</v>
      </c>
      <c r="I6951">
        <v>-49.752809999999997</v>
      </c>
      <c r="J6951">
        <v>-301.48939999999999</v>
      </c>
      <c r="K6951">
        <v>1.111081</v>
      </c>
      <c r="L6951">
        <v>-33.614069999999998</v>
      </c>
      <c r="M6951">
        <v>-3.190207E-3</v>
      </c>
      <c r="N6951">
        <v>0</v>
      </c>
      <c r="O6951">
        <v>-0.9999207</v>
      </c>
      <c r="P6951">
        <v>0.17014870000000001</v>
      </c>
      <c r="Q6951">
        <v>0.20668259999999999</v>
      </c>
      <c r="R6951">
        <v>-0.96349989999999996</v>
      </c>
      <c r="S6951">
        <v>0.6135254</v>
      </c>
      <c r="T6951">
        <v>-0.20792910000000001</v>
      </c>
      <c r="U6951">
        <v>-3.0496829999999999</v>
      </c>
      <c r="V6951">
        <v>-0.1733992</v>
      </c>
      <c r="W6951">
        <v>0.21828700000000001</v>
      </c>
      <c r="X6951">
        <v>0.96035590000000004</v>
      </c>
      <c r="Y6951">
        <v>-0.19991320000000001</v>
      </c>
      <c r="Z6951">
        <v>6.6670709999999994E-2</v>
      </c>
      <c r="AA6951">
        <v>0.97754269999999999</v>
      </c>
      <c r="AB6951">
        <v>16</v>
      </c>
      <c r="AC6951">
        <v>3.2783000000000002</v>
      </c>
      <c r="AD6951">
        <v>-1.1110867582970001</v>
      </c>
      <c r="AE6951">
        <v>-16.138739999999999</v>
      </c>
      <c r="AF6951">
        <v>-3.3146848169573802</v>
      </c>
      <c r="AG6951">
        <v>-1.1110867582970001</v>
      </c>
      <c r="AH6951">
        <v>16.055116730384899</v>
      </c>
      <c r="AI6951">
        <v>93.8773013486054</v>
      </c>
      <c r="AJ6951">
        <v>101.665194442491</v>
      </c>
      <c r="AK6951">
        <v>16.4313244276447</v>
      </c>
      <c r="AL6951">
        <v>77.391559526468001</v>
      </c>
      <c r="AM6951">
        <v>100.23489560850599</v>
      </c>
      <c r="AN6951">
        <v>0.99999997579722399</v>
      </c>
    </row>
    <row r="6952" spans="1:40" x14ac:dyDescent="0.25">
      <c r="A6952" t="str">
        <f>"20190312172250409"</f>
        <v>20190312172250409</v>
      </c>
      <c r="B6952" t="str">
        <f>"1552382570407318"</f>
        <v>1552382570407318</v>
      </c>
      <c r="C6952" t="s">
        <v>40</v>
      </c>
      <c r="D6952">
        <v>3.1216370000000002</v>
      </c>
      <c r="E6952">
        <v>0.497056</v>
      </c>
      <c r="F6952" t="s">
        <v>64</v>
      </c>
      <c r="G6952">
        <v>-298.20490000000001</v>
      </c>
      <c r="H6952" s="1">
        <v>-5.902568E-6</v>
      </c>
      <c r="I6952">
        <v>-50.13147</v>
      </c>
      <c r="J6952">
        <v>-301.48910000000001</v>
      </c>
      <c r="K6952">
        <v>1.1111709999999999</v>
      </c>
      <c r="L6952">
        <v>-33.7684</v>
      </c>
      <c r="M6952">
        <v>-2.60158E-3</v>
      </c>
      <c r="N6952">
        <v>0</v>
      </c>
      <c r="O6952">
        <v>-0.9999169</v>
      </c>
      <c r="P6952">
        <v>0.170993799999999</v>
      </c>
      <c r="Q6952">
        <v>0.20644319999999999</v>
      </c>
      <c r="R6952">
        <v>-0.96340179999999997</v>
      </c>
      <c r="S6952">
        <v>0.60659790000000002</v>
      </c>
      <c r="T6952">
        <v>-0.20520260000000001</v>
      </c>
      <c r="U6952">
        <v>-3.0505369999999998</v>
      </c>
      <c r="V6952">
        <v>-0.17365649999999999</v>
      </c>
      <c r="W6952">
        <v>0.21849399999999999</v>
      </c>
      <c r="X6952">
        <v>0.96026239999999996</v>
      </c>
      <c r="Y6952">
        <v>-0.19715930000000001</v>
      </c>
      <c r="Z6952">
        <v>6.5815540000000006E-2</v>
      </c>
      <c r="AA6952">
        <v>0.97815980000000002</v>
      </c>
      <c r="AB6952">
        <v>16</v>
      </c>
      <c r="AC6952">
        <v>3.28419999999999</v>
      </c>
      <c r="AD6952">
        <v>-1.1111769025679901</v>
      </c>
      <c r="AE6952">
        <v>-16.36307</v>
      </c>
      <c r="AF6952">
        <v>-3.31208009185492</v>
      </c>
      <c r="AG6952">
        <v>-1.1111769025679901</v>
      </c>
      <c r="AH6952">
        <v>16.282292534525698</v>
      </c>
      <c r="AI6952">
        <v>93.825955283687904</v>
      </c>
      <c r="AJ6952">
        <v>101.498007152987</v>
      </c>
      <c r="AK6952">
        <v>16.6528567766474</v>
      </c>
      <c r="AL6952">
        <v>77.379406784658798</v>
      </c>
      <c r="AM6952">
        <v>100.25073788578599</v>
      </c>
      <c r="AN6952">
        <v>1.000000042441</v>
      </c>
    </row>
    <row r="6953" spans="1:40" x14ac:dyDescent="0.25">
      <c r="A6953" t="str">
        <f>"20190312172250432"</f>
        <v>20190312172250432</v>
      </c>
      <c r="B6953" t="str">
        <f>"1552382570427814"</f>
        <v>1552382570427814</v>
      </c>
      <c r="C6953" t="s">
        <v>40</v>
      </c>
      <c r="D6953">
        <v>3.2413940000000001</v>
      </c>
      <c r="E6953">
        <v>0.49806600000000001</v>
      </c>
      <c r="F6953" t="s">
        <v>64</v>
      </c>
      <c r="G6953">
        <v>-298.24950000000001</v>
      </c>
      <c r="H6953" s="1">
        <v>-5.9880400000000004E-6</v>
      </c>
      <c r="I6953">
        <v>-50.375709999999998</v>
      </c>
      <c r="J6953">
        <v>-301.48880000000003</v>
      </c>
      <c r="K6953">
        <v>1.111453</v>
      </c>
      <c r="L6953">
        <v>-33.921169999999996</v>
      </c>
      <c r="M6953">
        <v>-2.06434E-3</v>
      </c>
      <c r="N6953">
        <v>0</v>
      </c>
      <c r="O6953">
        <v>-0.99989980000000001</v>
      </c>
      <c r="P6953">
        <v>0.17199389999999901</v>
      </c>
      <c r="Q6953">
        <v>0.20504919999999999</v>
      </c>
      <c r="R6953">
        <v>-0.96352130000000002</v>
      </c>
      <c r="S6953">
        <v>0.59536739999999999</v>
      </c>
      <c r="T6953">
        <v>-0.20421020000000001</v>
      </c>
      <c r="U6953">
        <v>-3.052063</v>
      </c>
      <c r="V6953">
        <v>-0.17410809999999999</v>
      </c>
      <c r="W6953">
        <v>0.21843399999999999</v>
      </c>
      <c r="X6953">
        <v>0.9601942</v>
      </c>
      <c r="Y6953">
        <v>-0.19307630000000001</v>
      </c>
      <c r="Z6953">
        <v>6.5516610000000003E-2</v>
      </c>
      <c r="AA6953">
        <v>0.97899400000000003</v>
      </c>
      <c r="AB6953">
        <v>16</v>
      </c>
      <c r="AC6953">
        <v>3.2393000000000098</v>
      </c>
      <c r="AD6953">
        <v>-1.1114589880399901</v>
      </c>
      <c r="AE6953">
        <v>-16.454539999999898</v>
      </c>
      <c r="AF6953">
        <v>-3.2589495742138701</v>
      </c>
      <c r="AG6953">
        <v>-1.1114589880399901</v>
      </c>
      <c r="AH6953">
        <v>16.375887766548701</v>
      </c>
      <c r="AI6953">
        <v>93.808350318546005</v>
      </c>
      <c r="AJ6953">
        <v>101.255327586136</v>
      </c>
      <c r="AK6953">
        <v>16.733971242713501</v>
      </c>
      <c r="AL6953">
        <v>77.382928725617901</v>
      </c>
      <c r="AM6953">
        <v>100.277542316438</v>
      </c>
      <c r="AN6953">
        <v>0.99999997227762405</v>
      </c>
    </row>
    <row r="6954" spans="1:40" x14ac:dyDescent="0.25">
      <c r="A6954" t="str">
        <f>"20190312172250455"</f>
        <v>20190312172250455</v>
      </c>
      <c r="B6954" t="str">
        <f>"1552382570447335"</f>
        <v>1552382570447335</v>
      </c>
      <c r="C6954" t="s">
        <v>40</v>
      </c>
      <c r="D6954">
        <v>3.1453139999999999</v>
      </c>
      <c r="E6954">
        <v>0.49904019999999999</v>
      </c>
      <c r="F6954" t="s">
        <v>64</v>
      </c>
      <c r="G6954">
        <v>-298.3279</v>
      </c>
      <c r="H6954" s="1">
        <v>-5.9386420000000001E-6</v>
      </c>
      <c r="I6954">
        <v>-50.277569999999997</v>
      </c>
      <c r="J6954">
        <v>-301.48840000000001</v>
      </c>
      <c r="K6954">
        <v>1.1117779999999999</v>
      </c>
      <c r="L6954">
        <v>-34.070619999999998</v>
      </c>
      <c r="M6954">
        <v>-1.57687E-3</v>
      </c>
      <c r="N6954">
        <v>0</v>
      </c>
      <c r="O6954">
        <v>-0.99987470000000001</v>
      </c>
      <c r="P6954">
        <v>0.17274400000000001</v>
      </c>
      <c r="Q6954">
        <v>0.203127</v>
      </c>
      <c r="R6954">
        <v>-0.96379400000000004</v>
      </c>
      <c r="S6954">
        <v>0.58987429999999996</v>
      </c>
      <c r="T6954">
        <v>-0.20742050000000001</v>
      </c>
      <c r="U6954">
        <v>-3.0524290000000001</v>
      </c>
      <c r="V6954">
        <v>-0.17435719999999999</v>
      </c>
      <c r="W6954">
        <v>0.2182037</v>
      </c>
      <c r="X6954">
        <v>0.96020139999999998</v>
      </c>
      <c r="Y6954">
        <v>-0.1908646</v>
      </c>
      <c r="Z6954">
        <v>6.6560019999999998E-2</v>
      </c>
      <c r="AA6954">
        <v>0.97935720000000004</v>
      </c>
      <c r="AB6954">
        <v>15</v>
      </c>
      <c r="AC6954">
        <v>3.1605000000000101</v>
      </c>
      <c r="AD6954">
        <v>-1.1117839386419901</v>
      </c>
      <c r="AE6954">
        <v>-16.206949999999999</v>
      </c>
      <c r="AF6954">
        <v>-3.1716768518273399</v>
      </c>
      <c r="AG6954">
        <v>-1.1117839386419901</v>
      </c>
      <c r="AH6954">
        <v>16.128826284198201</v>
      </c>
      <c r="AI6954">
        <v>93.869372714576301</v>
      </c>
      <c r="AJ6954">
        <v>101.125061228551</v>
      </c>
      <c r="AK6954">
        <v>16.475273438838101</v>
      </c>
      <c r="AL6954">
        <v>77.396450574352897</v>
      </c>
      <c r="AM6954">
        <v>100.29185703153399</v>
      </c>
      <c r="AN6954">
        <v>1.0000000082237399</v>
      </c>
    </row>
    <row r="6955" spans="1:40" x14ac:dyDescent="0.25">
      <c r="A6955" t="str">
        <f>"20190312172250477"</f>
        <v>20190312172250477</v>
      </c>
      <c r="B6955" t="str">
        <f>"1552382570467830"</f>
        <v>1552382570467830</v>
      </c>
      <c r="C6955" t="s">
        <v>40</v>
      </c>
      <c r="D6955">
        <v>3.134989</v>
      </c>
      <c r="E6955">
        <v>0.49994569999999999</v>
      </c>
      <c r="F6955" t="s">
        <v>64</v>
      </c>
      <c r="G6955">
        <v>-298.4264</v>
      </c>
      <c r="H6955" s="1">
        <v>-5.8380309999999996E-6</v>
      </c>
      <c r="I6955">
        <v>-50.052340000000001</v>
      </c>
      <c r="J6955">
        <v>-301.48809999999997</v>
      </c>
      <c r="K6955">
        <v>1.112079</v>
      </c>
      <c r="L6955">
        <v>-34.214199999999998</v>
      </c>
      <c r="M6955">
        <v>-1.165162E-3</v>
      </c>
      <c r="N6955">
        <v>0</v>
      </c>
      <c r="O6955">
        <v>-0.99984530000000005</v>
      </c>
      <c r="P6955">
        <v>0.1735642</v>
      </c>
      <c r="Q6955">
        <v>0.2010498</v>
      </c>
      <c r="R6955">
        <v>-0.96408249999999995</v>
      </c>
      <c r="S6955">
        <v>0.58486939999999998</v>
      </c>
      <c r="T6955">
        <v>-0.21235799999999999</v>
      </c>
      <c r="U6955">
        <v>-3.0526119999999999</v>
      </c>
      <c r="V6955">
        <v>-0.17475829999999901</v>
      </c>
      <c r="W6955">
        <v>0.21788260000000001</v>
      </c>
      <c r="X6955">
        <v>0.96020139999999998</v>
      </c>
      <c r="Y6955">
        <v>-0.1888804</v>
      </c>
      <c r="Z6955">
        <v>6.8156709999999995E-2</v>
      </c>
      <c r="AA6955">
        <v>0.97963199999999995</v>
      </c>
      <c r="AB6955">
        <v>15</v>
      </c>
      <c r="AC6955">
        <v>3.0616999999999699</v>
      </c>
      <c r="AD6955">
        <v>-1.112084838031</v>
      </c>
      <c r="AE6955">
        <v>-15.838139999999999</v>
      </c>
      <c r="AF6955">
        <v>-3.06558517005644</v>
      </c>
      <c r="AG6955">
        <v>-1.112084838031</v>
      </c>
      <c r="AH6955">
        <v>15.759661476738099</v>
      </c>
      <c r="AI6955">
        <v>93.962375834824599</v>
      </c>
      <c r="AJ6955">
        <v>101.00776751266</v>
      </c>
      <c r="AK6955">
        <v>16.093522764865099</v>
      </c>
      <c r="AL6955">
        <v>77.415301845278606</v>
      </c>
      <c r="AM6955">
        <v>100.31502522566799</v>
      </c>
      <c r="AN6955">
        <v>1.0000000096818</v>
      </c>
    </row>
    <row r="6956" spans="1:40" x14ac:dyDescent="0.25">
      <c r="A6956" t="str">
        <f>"20190312172250499"</f>
        <v>20190312172250499</v>
      </c>
      <c r="B6956" t="str">
        <f>"1552382570487351"</f>
        <v>1552382570487351</v>
      </c>
      <c r="C6956" t="s">
        <v>40</v>
      </c>
      <c r="D6956">
        <v>3.137753</v>
      </c>
      <c r="E6956">
        <v>0.50078929999999999</v>
      </c>
      <c r="F6956" t="s">
        <v>64</v>
      </c>
      <c r="G6956">
        <v>-298.53210000000001</v>
      </c>
      <c r="H6956" s="1">
        <v>-5.719121E-6</v>
      </c>
      <c r="I6956">
        <v>-49.781779999999998</v>
      </c>
      <c r="J6956">
        <v>-301.48770000000002</v>
      </c>
      <c r="K6956">
        <v>1.1123320000000001</v>
      </c>
      <c r="L6956">
        <v>-34.34995</v>
      </c>
      <c r="M6956">
        <v>-8.2235139999999995E-4</v>
      </c>
      <c r="N6956">
        <v>0</v>
      </c>
      <c r="O6956">
        <v>-0.99981339999999996</v>
      </c>
      <c r="P6956">
        <v>0.17456060000000001</v>
      </c>
      <c r="Q6956">
        <v>0.19870189999999999</v>
      </c>
      <c r="R6956">
        <v>-0.96438919999999995</v>
      </c>
      <c r="S6956">
        <v>0.57968140000000001</v>
      </c>
      <c r="T6956">
        <v>-0.2180859</v>
      </c>
      <c r="U6956">
        <v>-3.0528870000000001</v>
      </c>
      <c r="V6956">
        <v>-0.17540910000000001</v>
      </c>
      <c r="W6956">
        <v>0.21723609999999999</v>
      </c>
      <c r="X6956">
        <v>0.9602292</v>
      </c>
      <c r="Y6956">
        <v>-0.18689700000000001</v>
      </c>
      <c r="Z6956">
        <v>7.000431E-2</v>
      </c>
      <c r="AA6956">
        <v>0.97988209999999998</v>
      </c>
      <c r="AB6956">
        <v>15</v>
      </c>
      <c r="AC6956">
        <v>2.9556</v>
      </c>
      <c r="AD6956">
        <v>-1.11233771912099</v>
      </c>
      <c r="AE6956">
        <v>-15.4318299999999</v>
      </c>
      <c r="AF6956">
        <v>-2.9534894849981002</v>
      </c>
      <c r="AG6956">
        <v>-1.11233771912099</v>
      </c>
      <c r="AH6956">
        <v>15.352450541084499</v>
      </c>
      <c r="AI6956">
        <v>94.069667834822496</v>
      </c>
      <c r="AJ6956">
        <v>100.889468373179</v>
      </c>
      <c r="AK6956">
        <v>15.6734850290489</v>
      </c>
      <c r="AL6956">
        <v>77.453252423742995</v>
      </c>
      <c r="AM6956">
        <v>100.352316002343</v>
      </c>
      <c r="AN6956">
        <v>0.99999999601932998</v>
      </c>
    </row>
    <row r="6957" spans="1:40" x14ac:dyDescent="0.25">
      <c r="A6957" t="str">
        <f>"20190312172250521"</f>
        <v>20190312172250521</v>
      </c>
      <c r="B6957" t="str">
        <f>"1552382570517606"</f>
        <v>1552382570517606</v>
      </c>
      <c r="C6957" t="s">
        <v>40</v>
      </c>
      <c r="D6957">
        <v>3.2192080000000001</v>
      </c>
      <c r="E6957">
        <v>0.50187159999999997</v>
      </c>
      <c r="F6957" t="s">
        <v>64</v>
      </c>
      <c r="G6957">
        <v>-298.64190000000002</v>
      </c>
      <c r="H6957" s="1">
        <v>-5.5406940000000004E-6</v>
      </c>
      <c r="I6957">
        <v>-49.450839999999999</v>
      </c>
      <c r="J6957">
        <v>-301.48739999999998</v>
      </c>
      <c r="K6957">
        <v>1.112522</v>
      </c>
      <c r="L6957">
        <v>-34.487759999999902</v>
      </c>
      <c r="M6957">
        <v>-4.9033970000000003E-4</v>
      </c>
      <c r="N6957">
        <v>0</v>
      </c>
      <c r="O6957">
        <v>-0.99977899999999997</v>
      </c>
      <c r="P6957">
        <v>0.17540700000000001</v>
      </c>
      <c r="Q6957">
        <v>0.19643659999999999</v>
      </c>
      <c r="R6957">
        <v>-0.96469959999999999</v>
      </c>
      <c r="S6957">
        <v>0.57534790000000002</v>
      </c>
      <c r="T6957">
        <v>-0.22488340000000001</v>
      </c>
      <c r="U6957">
        <v>-3.0529790000000001</v>
      </c>
      <c r="V6957">
        <v>-0.1759213</v>
      </c>
      <c r="W6957">
        <v>0.2166333</v>
      </c>
      <c r="X6957">
        <v>0.96027169999999895</v>
      </c>
      <c r="Y6957">
        <v>-0.18519340000000001</v>
      </c>
      <c r="Z6957">
        <v>7.2193939999999998E-2</v>
      </c>
      <c r="AA6957">
        <v>0.98004659999999999</v>
      </c>
      <c r="AB6957">
        <v>14</v>
      </c>
      <c r="AC6957">
        <v>2.8454999999999502</v>
      </c>
      <c r="AD6957">
        <v>-1.1125275406940001</v>
      </c>
      <c r="AE6957">
        <v>-14.96308</v>
      </c>
      <c r="AF6957">
        <v>-2.8376985680045399</v>
      </c>
      <c r="AG6957">
        <v>-1.1125275406940001</v>
      </c>
      <c r="AH6957">
        <v>14.8822826056858</v>
      </c>
      <c r="AI6957">
        <v>94.199816095116404</v>
      </c>
      <c r="AJ6957">
        <v>100.795361421122</v>
      </c>
      <c r="AK6957">
        <v>15.1912009481527</v>
      </c>
      <c r="AL6957">
        <v>77.488633096516196</v>
      </c>
      <c r="AM6957">
        <v>100.38143917719501</v>
      </c>
      <c r="AN6957">
        <v>1.00000001414173</v>
      </c>
    </row>
    <row r="6958" spans="1:40" x14ac:dyDescent="0.25">
      <c r="A6958" t="str">
        <f>"20190312172250544"</f>
        <v>20190312172250544</v>
      </c>
      <c r="B6958" t="str">
        <f>"1552382570537126"</f>
        <v>1552382570537126</v>
      </c>
      <c r="C6958" t="s">
        <v>40</v>
      </c>
      <c r="D6958">
        <v>3.1107840000000002</v>
      </c>
      <c r="E6958">
        <v>0.50248459999999995</v>
      </c>
      <c r="F6958" t="s">
        <v>64</v>
      </c>
      <c r="G6958">
        <v>-298.74419999999998</v>
      </c>
      <c r="H6958" s="1">
        <v>-5.3912850000000002E-6</v>
      </c>
      <c r="I6958">
        <v>-49.20214</v>
      </c>
      <c r="J6958">
        <v>-301.48700000000002</v>
      </c>
      <c r="K6958">
        <v>1.112493</v>
      </c>
      <c r="L6958">
        <v>-34.62585</v>
      </c>
      <c r="M6958">
        <v>-1.248427E-4</v>
      </c>
      <c r="N6958">
        <v>0</v>
      </c>
      <c r="O6958">
        <v>-0.99975849999999999</v>
      </c>
      <c r="P6958">
        <v>0.17657979999999901</v>
      </c>
      <c r="Q6958">
        <v>0.195155</v>
      </c>
      <c r="R6958">
        <v>-0.96474590000000005</v>
      </c>
      <c r="S6958">
        <v>0.56921390000000005</v>
      </c>
      <c r="T6958">
        <v>-0.23085339999999999</v>
      </c>
      <c r="U6958">
        <v>-3.0532840000000001</v>
      </c>
      <c r="V6958">
        <v>-0.1767311</v>
      </c>
      <c r="W6958">
        <v>0.21628459999999999</v>
      </c>
      <c r="X6958">
        <v>0.96020159999999999</v>
      </c>
      <c r="Y6958">
        <v>-0.18288789999999999</v>
      </c>
      <c r="Z6958">
        <v>7.4122320000000005E-2</v>
      </c>
      <c r="AA6958">
        <v>0.98033559999999997</v>
      </c>
      <c r="AB6958">
        <v>13</v>
      </c>
      <c r="AC6958">
        <v>2.7428000000000399</v>
      </c>
      <c r="AD6958">
        <v>-1.1124983912849999</v>
      </c>
      <c r="AE6958">
        <v>-14.57629</v>
      </c>
      <c r="AF6958">
        <v>-2.7292655335141101</v>
      </c>
      <c r="AG6958">
        <v>-1.1124983912849999</v>
      </c>
      <c r="AH6958">
        <v>14.494403041038201</v>
      </c>
      <c r="AI6958">
        <v>94.313544121131002</v>
      </c>
      <c r="AJ6958">
        <v>100.663812097478</v>
      </c>
      <c r="AK6958">
        <v>14.791019658532599</v>
      </c>
      <c r="AL6958">
        <v>77.509097269452596</v>
      </c>
      <c r="AM6958">
        <v>100.428925510095</v>
      </c>
      <c r="AN6958">
        <v>1.0000000112734599</v>
      </c>
    </row>
    <row r="6959" spans="1:40" x14ac:dyDescent="0.25">
      <c r="A6959" t="str">
        <f>"20190312172250565"</f>
        <v>20190312172250565</v>
      </c>
      <c r="B6959" t="str">
        <f>"1552382570557623"</f>
        <v>1552382570557623</v>
      </c>
      <c r="C6959" t="s">
        <v>40</v>
      </c>
      <c r="D6959">
        <v>3.1170149999999999</v>
      </c>
      <c r="E6959">
        <v>0.5030907</v>
      </c>
      <c r="F6959" t="s">
        <v>64</v>
      </c>
      <c r="G6959">
        <v>-298.7826</v>
      </c>
      <c r="H6959" s="1">
        <v>-5.3597429999999998E-6</v>
      </c>
      <c r="I6959">
        <v>-49.156950000000002</v>
      </c>
      <c r="J6959">
        <v>-301.48660000000001</v>
      </c>
      <c r="K6959">
        <v>1.1121379999999901</v>
      </c>
      <c r="L6959">
        <v>-34.755130000000001</v>
      </c>
      <c r="M6959">
        <v>2.240744E-4</v>
      </c>
      <c r="N6959">
        <v>0</v>
      </c>
      <c r="O6959">
        <v>-0.99976900000000002</v>
      </c>
      <c r="P6959">
        <v>0.17787520000000001</v>
      </c>
      <c r="Q6959">
        <v>0.1949311</v>
      </c>
      <c r="R6959">
        <v>-0.96455299999999999</v>
      </c>
      <c r="S6959">
        <v>0.56817629999999997</v>
      </c>
      <c r="T6959">
        <v>-0.23373099999999999</v>
      </c>
      <c r="U6959">
        <v>-3.0529169999999999</v>
      </c>
      <c r="V6959">
        <v>-0.17769070000000001</v>
      </c>
      <c r="W6959">
        <v>0.21560070000000001</v>
      </c>
      <c r="X6959">
        <v>0.96017830000000004</v>
      </c>
      <c r="Y6959">
        <v>-0.18223110000000001</v>
      </c>
      <c r="Z6959">
        <v>7.5056709999999999E-2</v>
      </c>
      <c r="AA6959">
        <v>0.9803868</v>
      </c>
      <c r="AB6959">
        <v>13</v>
      </c>
      <c r="AC6959">
        <v>2.7040000000000002</v>
      </c>
      <c r="AD6959">
        <v>-1.1121433597429999</v>
      </c>
      <c r="AE6959">
        <v>-14.401820000000001</v>
      </c>
      <c r="AF6959">
        <v>-2.6853041003246201</v>
      </c>
      <c r="AG6959">
        <v>-1.1121433597429999</v>
      </c>
      <c r="AH6959">
        <v>14.3199393297283</v>
      </c>
      <c r="AI6959">
        <v>94.365119598472006</v>
      </c>
      <c r="AJ6959">
        <v>100.62087465916299</v>
      </c>
      <c r="AK6959">
        <v>14.6119260664343</v>
      </c>
      <c r="AL6959">
        <v>77.549228661925696</v>
      </c>
      <c r="AM6959">
        <v>100.484548080859</v>
      </c>
      <c r="AN6959">
        <v>1.0000000072489299</v>
      </c>
    </row>
    <row r="6960" spans="1:40" x14ac:dyDescent="0.25">
      <c r="A6960" t="str">
        <f>"20190312172250587"</f>
        <v>20190312172250587</v>
      </c>
      <c r="B6960" t="str">
        <f>"1552382570577143"</f>
        <v>1552382570577143</v>
      </c>
      <c r="C6960" t="s">
        <v>40</v>
      </c>
      <c r="D6960">
        <v>3.1192510000000002</v>
      </c>
      <c r="E6960">
        <v>0.50369039999999998</v>
      </c>
      <c r="F6960" t="s">
        <v>64</v>
      </c>
      <c r="G6960">
        <v>-298.7842</v>
      </c>
      <c r="H6960" s="1">
        <v>-5.4307210000000003E-6</v>
      </c>
      <c r="I6960">
        <v>-49.296939999999999</v>
      </c>
      <c r="J6960">
        <v>-301.4862</v>
      </c>
      <c r="K6960">
        <v>1.111677</v>
      </c>
      <c r="L6960">
        <v>-34.892240000000001</v>
      </c>
      <c r="M6960">
        <v>5.4009010000000005E-4</v>
      </c>
      <c r="N6960">
        <v>0</v>
      </c>
      <c r="O6960">
        <v>-0.99979470000000004</v>
      </c>
      <c r="P6960">
        <v>0.17921500000000001</v>
      </c>
      <c r="Q6960">
        <v>0.19588949999999999</v>
      </c>
      <c r="R6960">
        <v>-0.96411100000000005</v>
      </c>
      <c r="S6960">
        <v>0.56732179999999999</v>
      </c>
      <c r="T6960">
        <v>-0.23347709999999999</v>
      </c>
      <c r="U6960">
        <v>-3.052826</v>
      </c>
      <c r="V6960">
        <v>-0.17873439999999999</v>
      </c>
      <c r="W6960">
        <v>0.2153544</v>
      </c>
      <c r="X6960">
        <v>0.96003989999999995</v>
      </c>
      <c r="Y6960">
        <v>-0.1816614</v>
      </c>
      <c r="Z6960">
        <v>7.4983720000000004E-2</v>
      </c>
      <c r="AA6960">
        <v>0.98049810000000004</v>
      </c>
      <c r="AB6960">
        <v>14</v>
      </c>
      <c r="AC6960">
        <v>2.7019999999999902</v>
      </c>
      <c r="AD6960">
        <v>-1.111682430721</v>
      </c>
      <c r="AE6960">
        <v>-14.404699999999901</v>
      </c>
      <c r="AF6960">
        <v>-2.6788055662749799</v>
      </c>
      <c r="AG6960">
        <v>-1.111682430721</v>
      </c>
      <c r="AH6960">
        <v>14.323745320936499</v>
      </c>
      <c r="AI6960">
        <v>94.362558419407904</v>
      </c>
      <c r="AJ6960">
        <v>100.59300276442001</v>
      </c>
      <c r="AK6960">
        <v>14.614428387991399</v>
      </c>
      <c r="AL6960">
        <v>77.563680715809397</v>
      </c>
      <c r="AM6960">
        <v>100.546239794496</v>
      </c>
      <c r="AN6960">
        <v>1.0000000564673599</v>
      </c>
    </row>
    <row r="6961" spans="1:40" x14ac:dyDescent="0.25">
      <c r="A6961" t="str">
        <f>"20190312172250610"</f>
        <v>20190312172250610</v>
      </c>
      <c r="B6961" t="str">
        <f>"1552382570607398"</f>
        <v>1552382570607398</v>
      </c>
      <c r="C6961" t="s">
        <v>40</v>
      </c>
      <c r="D6961">
        <v>3.1065339999999999</v>
      </c>
      <c r="E6961">
        <v>0.50454679999999996</v>
      </c>
      <c r="F6961" t="s">
        <v>64</v>
      </c>
      <c r="G6961">
        <v>-298.74720000000002</v>
      </c>
      <c r="H6961" s="1">
        <v>-5.6237949999999999E-6</v>
      </c>
      <c r="I6961">
        <v>-49.659739999999999</v>
      </c>
      <c r="J6961">
        <v>-301.48570000000001</v>
      </c>
      <c r="K6961">
        <v>1.111337</v>
      </c>
      <c r="L6961">
        <v>-35.029449999999997</v>
      </c>
      <c r="M6961">
        <v>8.1198419999999895E-4</v>
      </c>
      <c r="N6961">
        <v>0</v>
      </c>
      <c r="O6961">
        <v>-0.99981620000000004</v>
      </c>
      <c r="P6961">
        <v>0.18027090000000001</v>
      </c>
      <c r="Q6961">
        <v>0.19639000000000001</v>
      </c>
      <c r="R6961">
        <v>-0.96381209999999995</v>
      </c>
      <c r="S6961">
        <v>0.56628420000000002</v>
      </c>
      <c r="T6961">
        <v>-0.2298346</v>
      </c>
      <c r="U6961">
        <v>-3.0531009999999998</v>
      </c>
      <c r="V6961">
        <v>-0.1795244</v>
      </c>
      <c r="W6961">
        <v>0.2148021</v>
      </c>
      <c r="X6961">
        <v>0.96001619999999999</v>
      </c>
      <c r="Y6961">
        <v>-0.18107190000000001</v>
      </c>
      <c r="Z6961">
        <v>7.3820209999999997E-2</v>
      </c>
      <c r="AA6961">
        <v>0.98069539999999999</v>
      </c>
      <c r="AB6961">
        <v>14</v>
      </c>
      <c r="AC6961">
        <v>2.7384999999999802</v>
      </c>
      <c r="AD6961">
        <v>-1.1113426237949999</v>
      </c>
      <c r="AE6961">
        <v>-14.63029</v>
      </c>
      <c r="AF6961">
        <v>-2.7115010969338602</v>
      </c>
      <c r="AG6961">
        <v>-1.1113426237949999</v>
      </c>
      <c r="AH6961">
        <v>14.5513871661728</v>
      </c>
      <c r="AI6961">
        <v>94.293783901963494</v>
      </c>
      <c r="AJ6961">
        <v>100.55541924659499</v>
      </c>
      <c r="AK6961">
        <v>14.843523472747201</v>
      </c>
      <c r="AL6961">
        <v>77.596083146907603</v>
      </c>
      <c r="AM6961">
        <v>100.592056865549</v>
      </c>
      <c r="AN6961">
        <v>1.0000000283110999</v>
      </c>
    </row>
    <row r="6962" spans="1:40" x14ac:dyDescent="0.25">
      <c r="A6962" t="str">
        <f>"20190312172250633"</f>
        <v>20190312172250633</v>
      </c>
      <c r="B6962" t="str">
        <f>"1552382570627894"</f>
        <v>1552382570627894</v>
      </c>
      <c r="C6962" t="s">
        <v>40</v>
      </c>
      <c r="D6962">
        <v>3.1037759999999999</v>
      </c>
      <c r="E6962">
        <v>0.50512139999999905</v>
      </c>
      <c r="F6962" t="s">
        <v>64</v>
      </c>
      <c r="G6962">
        <v>-298.73759999999999</v>
      </c>
      <c r="H6962" s="1">
        <v>-5.7543649999999996E-6</v>
      </c>
      <c r="I6962">
        <v>-49.959710000000001</v>
      </c>
      <c r="J6962">
        <v>-301.4853</v>
      </c>
      <c r="K6962">
        <v>1.111135</v>
      </c>
      <c r="L6962">
        <v>-35.168370000000003</v>
      </c>
      <c r="M6962">
        <v>1.036735E-3</v>
      </c>
      <c r="N6962">
        <v>0</v>
      </c>
      <c r="O6962">
        <v>-0.9998302</v>
      </c>
      <c r="P6962">
        <v>0.18183079999999999</v>
      </c>
      <c r="Q6962">
        <v>0.19711919999999999</v>
      </c>
      <c r="R6962">
        <v>-0.96336999999999995</v>
      </c>
      <c r="S6962">
        <v>0.56210329999999997</v>
      </c>
      <c r="T6962">
        <v>-0.22731390000000001</v>
      </c>
      <c r="U6962">
        <v>-3.053833</v>
      </c>
      <c r="V6962">
        <v>-0.18085129999999999</v>
      </c>
      <c r="W6962">
        <v>0.21480299999999999</v>
      </c>
      <c r="X6962">
        <v>0.95976689999999998</v>
      </c>
      <c r="Y6962">
        <v>-0.17952079999999901</v>
      </c>
      <c r="Z6962">
        <v>7.3017280000000004E-2</v>
      </c>
      <c r="AA6962">
        <v>0.98104069999999999</v>
      </c>
      <c r="AB6962">
        <v>14</v>
      </c>
      <c r="AC6962">
        <v>2.7477</v>
      </c>
      <c r="AD6962">
        <v>-1.111140754365</v>
      </c>
      <c r="AE6962">
        <v>-14.7913399999999</v>
      </c>
      <c r="AF6962">
        <v>-2.7175372531173201</v>
      </c>
      <c r="AG6962">
        <v>-1.111140754365</v>
      </c>
      <c r="AH6962">
        <v>14.7139177847</v>
      </c>
      <c r="AI6962">
        <v>94.247011015250905</v>
      </c>
      <c r="AJ6962">
        <v>100.464132812817</v>
      </c>
      <c r="AK6962">
        <v>15.0039667779225</v>
      </c>
      <c r="AL6962">
        <v>77.596030141805699</v>
      </c>
      <c r="AM6962">
        <v>100.67126167514699</v>
      </c>
      <c r="AN6962">
        <v>1.00000001192815</v>
      </c>
    </row>
    <row r="6963" spans="1:40" x14ac:dyDescent="0.25">
      <c r="A6963" t="str">
        <f>"20190312172250656"</f>
        <v>20190312172250656</v>
      </c>
      <c r="B6963" t="str">
        <f>"1552382570647414"</f>
        <v>1552382570647414</v>
      </c>
      <c r="C6963" t="s">
        <v>40</v>
      </c>
      <c r="D6963">
        <v>3.1248019999999999</v>
      </c>
      <c r="E6963">
        <v>0.50565170000000004</v>
      </c>
      <c r="F6963" t="s">
        <v>64</v>
      </c>
      <c r="G6963">
        <v>-298.70499999999998</v>
      </c>
      <c r="H6963" s="1">
        <v>-5.8885450000000002E-6</v>
      </c>
      <c r="I6963">
        <v>-50.300789999999999</v>
      </c>
      <c r="J6963">
        <v>-301.48480000000001</v>
      </c>
      <c r="K6963">
        <v>1.1109789999999999</v>
      </c>
      <c r="L6963">
        <v>-35.307040000000001</v>
      </c>
      <c r="M6963">
        <v>1.207011E-3</v>
      </c>
      <c r="N6963">
        <v>0</v>
      </c>
      <c r="O6963">
        <v>-0.99984189999999995</v>
      </c>
      <c r="P6963">
        <v>0.1832068</v>
      </c>
      <c r="Q6963">
        <v>0.19746730000000001</v>
      </c>
      <c r="R6963">
        <v>-0.96303819999999996</v>
      </c>
      <c r="S6963">
        <v>0.56112669999999998</v>
      </c>
      <c r="T6963">
        <v>-0.22425200000000001</v>
      </c>
      <c r="U6963">
        <v>-3.0540470000000002</v>
      </c>
      <c r="V6963">
        <v>-0.1820397</v>
      </c>
      <c r="W6963">
        <v>0.21453330000000001</v>
      </c>
      <c r="X6963">
        <v>0.95960250000000002</v>
      </c>
      <c r="Y6963">
        <v>-0.1790505</v>
      </c>
      <c r="Z6963">
        <v>7.2039190000000003E-2</v>
      </c>
      <c r="AA6963">
        <v>0.98119889999999998</v>
      </c>
      <c r="AB6963">
        <v>14</v>
      </c>
      <c r="AC6963">
        <v>2.7798000000000198</v>
      </c>
      <c r="AD6963">
        <v>-1.110984888545</v>
      </c>
      <c r="AE6963">
        <v>-14.99375</v>
      </c>
      <c r="AF6963">
        <v>-2.7471162133317701</v>
      </c>
      <c r="AG6963">
        <v>-1.110984888545</v>
      </c>
      <c r="AH6963">
        <v>14.917912750811</v>
      </c>
      <c r="AI6963">
        <v>94.188961965109002</v>
      </c>
      <c r="AJ6963">
        <v>100.43405651824899</v>
      </c>
      <c r="AK6963">
        <v>15.2093739434907</v>
      </c>
      <c r="AL6963">
        <v>77.611851177316495</v>
      </c>
      <c r="AM6963">
        <v>100.741555331624</v>
      </c>
      <c r="AN6963">
        <v>0.99999997359561399</v>
      </c>
    </row>
    <row r="6964" spans="1:40" x14ac:dyDescent="0.25">
      <c r="A6964" t="str">
        <f>"20190312172250681"</f>
        <v>20190312172250681</v>
      </c>
      <c r="B6964" t="str">
        <f>"1552382570677672"</f>
        <v>1552382570677672</v>
      </c>
      <c r="C6964" t="s">
        <v>40</v>
      </c>
      <c r="D6964">
        <v>3.100787</v>
      </c>
      <c r="E6964">
        <v>0.5064438</v>
      </c>
      <c r="F6964" t="s">
        <v>64</v>
      </c>
      <c r="G6964">
        <v>-298.68540000000002</v>
      </c>
      <c r="H6964" s="1">
        <v>-7.7124930000000003E-6</v>
      </c>
      <c r="I6964">
        <v>-50.570959999999999</v>
      </c>
      <c r="J6964">
        <v>-301.48450000000003</v>
      </c>
      <c r="K6964">
        <v>1.1108049999999901</v>
      </c>
      <c r="L6964">
        <v>-35.46161</v>
      </c>
      <c r="M6964">
        <v>1.3336559999999999E-3</v>
      </c>
      <c r="N6964">
        <v>0</v>
      </c>
      <c r="O6964">
        <v>-0.99985650000000004</v>
      </c>
      <c r="P6964">
        <v>0.1849759</v>
      </c>
      <c r="Q6964">
        <v>0.19832459999999999</v>
      </c>
      <c r="R6964">
        <v>-0.96252349999999998</v>
      </c>
      <c r="S6964">
        <v>0.56015009999999998</v>
      </c>
      <c r="T6964">
        <v>-0.222298</v>
      </c>
      <c r="U6964">
        <v>-3.0541689999999999</v>
      </c>
      <c r="V6964">
        <v>-0.1836593</v>
      </c>
      <c r="W6964">
        <v>0.21459810000000001</v>
      </c>
      <c r="X6964">
        <v>0.9592794</v>
      </c>
      <c r="Y6964">
        <v>-0.17862339999999999</v>
      </c>
      <c r="Z6964">
        <v>7.1416770000000004E-2</v>
      </c>
      <c r="AA6964">
        <v>0.98132220000000003</v>
      </c>
      <c r="AB6964">
        <v>14</v>
      </c>
      <c r="AC6964">
        <v>2.7991000000000001</v>
      </c>
      <c r="AD6964">
        <v>-1.1108127124929901</v>
      </c>
      <c r="AE6964">
        <v>-15.109349999999999</v>
      </c>
      <c r="AF6964">
        <v>-2.7644978306461798</v>
      </c>
      <c r="AG6964">
        <v>-1.1108127124929901</v>
      </c>
      <c r="AH6964">
        <v>15.034505976299</v>
      </c>
      <c r="AI6964">
        <v>94.156149251015293</v>
      </c>
      <c r="AJ6964">
        <v>100.418984314664</v>
      </c>
      <c r="AK6964">
        <v>15.326862793450401</v>
      </c>
      <c r="AL6964">
        <v>77.608050525516006</v>
      </c>
      <c r="AM6964">
        <v>100.838432945707</v>
      </c>
      <c r="AN6964">
        <v>1.0000000251322201</v>
      </c>
    </row>
    <row r="6965" spans="1:40" x14ac:dyDescent="0.25">
      <c r="A6965" t="str">
        <f>"20190312172250701"</f>
        <v>20190312172250701</v>
      </c>
      <c r="B6965" t="str">
        <f>"1552382570697190"</f>
        <v>1552382570697190</v>
      </c>
      <c r="C6965" t="s">
        <v>40</v>
      </c>
      <c r="D6965">
        <v>3.0892909999999998</v>
      </c>
      <c r="E6965">
        <v>0.50696600000000003</v>
      </c>
      <c r="F6965" t="s">
        <v>64</v>
      </c>
      <c r="G6965">
        <v>-298.64499999999998</v>
      </c>
      <c r="H6965" s="1">
        <v>-7.6779580000000001E-6</v>
      </c>
      <c r="I6965">
        <v>-51.003889999999998</v>
      </c>
      <c r="J6965">
        <v>-301.48430000000002</v>
      </c>
      <c r="K6965">
        <v>1.1106849999999999</v>
      </c>
      <c r="L6965">
        <v>-35.584809999999997</v>
      </c>
      <c r="M6965">
        <v>1.383163E-3</v>
      </c>
      <c r="N6965">
        <v>0</v>
      </c>
      <c r="O6965">
        <v>-0.99986790000000003</v>
      </c>
      <c r="P6965">
        <v>0.18649379999999999</v>
      </c>
      <c r="Q6965">
        <v>0.1992091</v>
      </c>
      <c r="R6965">
        <v>-0.96204789999999996</v>
      </c>
      <c r="S6965">
        <v>0.5580444</v>
      </c>
      <c r="T6965">
        <v>-0.21830859999999999</v>
      </c>
      <c r="U6965">
        <v>-3.054535</v>
      </c>
      <c r="V6965">
        <v>-0.18511320000000001</v>
      </c>
      <c r="W6965">
        <v>0.21480859999999999</v>
      </c>
      <c r="X6965">
        <v>0.95895280000000005</v>
      </c>
      <c r="Y6965">
        <v>-0.1779155</v>
      </c>
      <c r="Z6965">
        <v>7.0142179999999998E-2</v>
      </c>
      <c r="AA6965">
        <v>0.98154269999999999</v>
      </c>
      <c r="AB6965">
        <v>14</v>
      </c>
      <c r="AC6965">
        <v>2.8393000000000299</v>
      </c>
      <c r="AD6965">
        <v>-1.110692677958</v>
      </c>
      <c r="AE6965">
        <v>-15.419079999999999</v>
      </c>
      <c r="AF6965">
        <v>-2.8038955506518</v>
      </c>
      <c r="AG6965">
        <v>-1.110692677958</v>
      </c>
      <c r="AH6965">
        <v>15.3459765409597</v>
      </c>
      <c r="AI6965">
        <v>94.072480135831398</v>
      </c>
      <c r="AJ6965">
        <v>100.354417249257</v>
      </c>
      <c r="AK6965">
        <v>15.6395161203766</v>
      </c>
      <c r="AL6965">
        <v>77.595702122065404</v>
      </c>
      <c r="AM6965">
        <v>100.925807726645</v>
      </c>
      <c r="AN6965">
        <v>1.0000000520380099</v>
      </c>
    </row>
    <row r="6966" spans="1:40" x14ac:dyDescent="0.25">
      <c r="A6966" t="str">
        <f>"20190312172250722"</f>
        <v>20190312172250722</v>
      </c>
      <c r="B6966" t="str">
        <f>"1552382570717686"</f>
        <v>1552382570717686</v>
      </c>
      <c r="C6966" t="s">
        <v>40</v>
      </c>
      <c r="D6966">
        <v>3.1151610000000001</v>
      </c>
      <c r="E6966">
        <v>0.50744889999999998</v>
      </c>
      <c r="F6966" t="s">
        <v>64</v>
      </c>
      <c r="G6966">
        <v>-298.59750000000003</v>
      </c>
      <c r="H6966" s="1">
        <v>-7.6526780000000003E-6</v>
      </c>
      <c r="I6966">
        <v>-51.377029999999998</v>
      </c>
      <c r="J6966">
        <v>-301.48410000000001</v>
      </c>
      <c r="K6966">
        <v>1.1106149999999999</v>
      </c>
      <c r="L6966">
        <v>-35.714449999999999</v>
      </c>
      <c r="M6966">
        <v>1.3900539999999999E-3</v>
      </c>
      <c r="N6966">
        <v>0</v>
      </c>
      <c r="O6966">
        <v>-0.99987870000000001</v>
      </c>
      <c r="P6966">
        <v>0.1879334</v>
      </c>
      <c r="Q6966">
        <v>0.19982710000000001</v>
      </c>
      <c r="R6966">
        <v>-0.96163960000000004</v>
      </c>
      <c r="S6966">
        <v>0.55838009999999905</v>
      </c>
      <c r="T6966">
        <v>-0.21483469999999999</v>
      </c>
      <c r="U6966">
        <v>-3.0545960000000001</v>
      </c>
      <c r="V6966">
        <v>-0.18653829999999999</v>
      </c>
      <c r="W6966">
        <v>0.2147965</v>
      </c>
      <c r="X6966">
        <v>0.95867930000000001</v>
      </c>
      <c r="Y6966">
        <v>-0.1780236</v>
      </c>
      <c r="Z6966">
        <v>6.9028740000000005E-2</v>
      </c>
      <c r="AA6966">
        <v>0.98160210000000003</v>
      </c>
      <c r="AB6966">
        <v>14</v>
      </c>
      <c r="AC6966">
        <v>2.8865999999999801</v>
      </c>
      <c r="AD6966">
        <v>-1.1106226526780001</v>
      </c>
      <c r="AE6966">
        <v>-15.662579999999901</v>
      </c>
      <c r="AF6966">
        <v>-2.8509586787583099</v>
      </c>
      <c r="AG6966">
        <v>-1.1106226526780001</v>
      </c>
      <c r="AH6966">
        <v>15.590760732174701</v>
      </c>
      <c r="AI6966">
        <v>94.008392005961099</v>
      </c>
      <c r="AJ6966">
        <v>100.362731907449</v>
      </c>
      <c r="AK6966">
        <v>15.8881486735413</v>
      </c>
      <c r="AL6966">
        <v>77.596411781281205</v>
      </c>
      <c r="AM6966">
        <v>101.010937044882</v>
      </c>
      <c r="AN6966">
        <v>1.00000003701381</v>
      </c>
    </row>
    <row r="6967" spans="1:40" x14ac:dyDescent="0.25">
      <c r="A6967" t="str">
        <f>"20190312172250745"</f>
        <v>20190312172250745</v>
      </c>
      <c r="B6967" t="str">
        <f>"1552382570737207"</f>
        <v>1552382570737207</v>
      </c>
      <c r="C6967" t="s">
        <v>40</v>
      </c>
      <c r="D6967">
        <v>3.1111010000000001</v>
      </c>
      <c r="E6967">
        <v>0.50791379999999997</v>
      </c>
      <c r="F6967" t="s">
        <v>64</v>
      </c>
      <c r="G6967">
        <v>-298.5591</v>
      </c>
      <c r="H6967" s="1">
        <v>-7.6274899999999902E-6</v>
      </c>
      <c r="I6967">
        <v>-51.720550000000003</v>
      </c>
      <c r="J6967">
        <v>-301.48390000000001</v>
      </c>
      <c r="K6967">
        <v>1.1105879999999999</v>
      </c>
      <c r="L6967">
        <v>-35.853520000000003</v>
      </c>
      <c r="M6967">
        <v>1.364311E-3</v>
      </c>
      <c r="N6967">
        <v>0</v>
      </c>
      <c r="O6967">
        <v>-0.99988730000000003</v>
      </c>
      <c r="P6967">
        <v>0.18939700000000001</v>
      </c>
      <c r="Q6967">
        <v>0.20031869999999999</v>
      </c>
      <c r="R6967">
        <v>-0.96124980000000004</v>
      </c>
      <c r="S6967">
        <v>0.55819700000000005</v>
      </c>
      <c r="T6967">
        <v>-0.21195259999999999</v>
      </c>
      <c r="U6967">
        <v>-3.0546259999999998</v>
      </c>
      <c r="V6967">
        <v>-0.188027</v>
      </c>
      <c r="W6967">
        <v>0.21471960000000001</v>
      </c>
      <c r="X6967">
        <v>0.95840559999999997</v>
      </c>
      <c r="Y6967">
        <v>-0.17800170000000001</v>
      </c>
      <c r="Z6967">
        <v>6.8106920000000001E-2</v>
      </c>
      <c r="AA6967">
        <v>0.98167040000000005</v>
      </c>
      <c r="AB6967">
        <v>14</v>
      </c>
      <c r="AC6967">
        <v>2.9247999999999998</v>
      </c>
      <c r="AD6967">
        <v>-1.11059562749</v>
      </c>
      <c r="AE6967">
        <v>-15.8670299999999</v>
      </c>
      <c r="AF6967">
        <v>-2.8894566018838699</v>
      </c>
      <c r="AG6967">
        <v>-1.11059562749</v>
      </c>
      <c r="AH6967">
        <v>15.7961613578469</v>
      </c>
      <c r="AI6967">
        <v>93.956299293838796</v>
      </c>
      <c r="AJ6967">
        <v>100.366023888439</v>
      </c>
      <c r="AK6967">
        <v>16.096617524968</v>
      </c>
      <c r="AL6967">
        <v>77.600922328267401</v>
      </c>
      <c r="AM6967">
        <v>101.09972925888999</v>
      </c>
      <c r="AN6967">
        <v>0.99999997673225904</v>
      </c>
    </row>
    <row r="6968" spans="1:40" x14ac:dyDescent="0.25">
      <c r="A6968" t="str">
        <f>"20190312172250766"</f>
        <v>20190312172250766</v>
      </c>
      <c r="B6968" t="str">
        <f>"1552382570757703"</f>
        <v>1552382570757703</v>
      </c>
      <c r="C6968" t="s">
        <v>40</v>
      </c>
      <c r="D6968">
        <v>3.1253760000000002</v>
      </c>
      <c r="E6968">
        <v>0.50841700000000001</v>
      </c>
      <c r="F6968" t="s">
        <v>64</v>
      </c>
      <c r="G6968">
        <v>-298.52089999999998</v>
      </c>
      <c r="H6968" s="1">
        <v>-7.6041779999999998E-6</v>
      </c>
      <c r="I6968">
        <v>-52.047280000000001</v>
      </c>
      <c r="J6968">
        <v>-301.48379999999997</v>
      </c>
      <c r="K6968">
        <v>1.110582</v>
      </c>
      <c r="L6968">
        <v>-35.990659999999998</v>
      </c>
      <c r="M6968">
        <v>1.3183789999999999E-3</v>
      </c>
      <c r="N6968">
        <v>0</v>
      </c>
      <c r="O6968">
        <v>-0.99989539999999999</v>
      </c>
      <c r="P6968">
        <v>0.19046199999999999</v>
      </c>
      <c r="Q6968">
        <v>0.20053960000000001</v>
      </c>
      <c r="R6968">
        <v>-0.96099389999999996</v>
      </c>
      <c r="S6968">
        <v>0.55889889999999998</v>
      </c>
      <c r="T6968">
        <v>-0.209481</v>
      </c>
      <c r="U6968">
        <v>-3.0544739999999999</v>
      </c>
      <c r="V6968">
        <v>-0.1891428</v>
      </c>
      <c r="W6968">
        <v>0.21443129999999999</v>
      </c>
      <c r="X6968">
        <v>0.95825059999999995</v>
      </c>
      <c r="Y6968">
        <v>-0.17828350000000001</v>
      </c>
      <c r="Z6968">
        <v>6.7316609999999999E-2</v>
      </c>
      <c r="AA6968">
        <v>0.98167380000000004</v>
      </c>
      <c r="AB6968">
        <v>14</v>
      </c>
      <c r="AC6968">
        <v>2.9628999999999901</v>
      </c>
      <c r="AD6968">
        <v>-1.1105896041779999</v>
      </c>
      <c r="AE6968">
        <v>-16.056619999999999</v>
      </c>
      <c r="AF6968">
        <v>-2.92817915472527</v>
      </c>
      <c r="AG6968">
        <v>-1.1105896041779999</v>
      </c>
      <c r="AH6968">
        <v>15.9865501225624</v>
      </c>
      <c r="AI6968">
        <v>93.909140114961005</v>
      </c>
      <c r="AJ6968">
        <v>100.379535745982</v>
      </c>
      <c r="AK6968">
        <v>16.290409057242201</v>
      </c>
      <c r="AL6968">
        <v>77.617834885757901</v>
      </c>
      <c r="AM6968">
        <v>101.165708444204</v>
      </c>
      <c r="AN6968">
        <v>0.99999999680594398</v>
      </c>
    </row>
    <row r="6969" spans="1:40" x14ac:dyDescent="0.25">
      <c r="A6969" t="str">
        <f>"20190312172250788"</f>
        <v>20190312172250788</v>
      </c>
      <c r="B6969" t="str">
        <f>"1552382570777223"</f>
        <v>1552382570777223</v>
      </c>
      <c r="C6969" t="s">
        <v>40</v>
      </c>
      <c r="D6969">
        <v>3.1030989999999998</v>
      </c>
      <c r="E6969">
        <v>0.50890649999999904</v>
      </c>
      <c r="F6969" t="s">
        <v>64</v>
      </c>
      <c r="G6969">
        <v>-298.51</v>
      </c>
      <c r="H6969" s="1">
        <v>-7.58143999999999E-6</v>
      </c>
      <c r="I6969">
        <v>-52.283270000000002</v>
      </c>
      <c r="J6969">
        <v>-301.4837</v>
      </c>
      <c r="K6969">
        <v>1.1105769999999999</v>
      </c>
      <c r="L6969">
        <v>-36.127380000000002</v>
      </c>
      <c r="M6969">
        <v>1.2654649999999999E-3</v>
      </c>
      <c r="N6969">
        <v>0</v>
      </c>
      <c r="O6969">
        <v>-0.99990219999999996</v>
      </c>
      <c r="P6969">
        <v>0.1913444</v>
      </c>
      <c r="Q6969">
        <v>0.2006211</v>
      </c>
      <c r="R6969">
        <v>-0.96080080000000001</v>
      </c>
      <c r="S6969">
        <v>0.55755619999999995</v>
      </c>
      <c r="T6969">
        <v>-0.20822550000000001</v>
      </c>
      <c r="U6969">
        <v>-3.0547179999999998</v>
      </c>
      <c r="V6969">
        <v>-0.190086</v>
      </c>
      <c r="W6969">
        <v>0.2140215</v>
      </c>
      <c r="X6969">
        <v>0.9581556</v>
      </c>
      <c r="Y6969">
        <v>-0.17790899999999901</v>
      </c>
      <c r="Z6969">
        <v>6.6914660000000001E-2</v>
      </c>
      <c r="AA6969">
        <v>0.98176929999999996</v>
      </c>
      <c r="AB6969">
        <v>14</v>
      </c>
      <c r="AC6969">
        <v>2.9737</v>
      </c>
      <c r="AD6969">
        <v>-1.1105845814399999</v>
      </c>
      <c r="AE6969">
        <v>-16.155889999999999</v>
      </c>
      <c r="AF6969">
        <v>-2.9398142528787101</v>
      </c>
      <c r="AG6969">
        <v>-1.1105845814399999</v>
      </c>
      <c r="AH6969">
        <v>16.086117582796302</v>
      </c>
      <c r="AI6969">
        <v>93.885282138418901</v>
      </c>
      <c r="AJ6969">
        <v>100.35678163496</v>
      </c>
      <c r="AK6969">
        <v>16.3902130810282</v>
      </c>
      <c r="AL6969">
        <v>77.641873073115605</v>
      </c>
      <c r="AM6969">
        <v>101.221063571107</v>
      </c>
      <c r="AN6969">
        <v>1.0000000218348</v>
      </c>
    </row>
    <row r="6970" spans="1:40" x14ac:dyDescent="0.25">
      <c r="A6970" t="str">
        <f>"20190312172250812"</f>
        <v>20190312172250812</v>
      </c>
      <c r="B6970" t="str">
        <f>"1552382570807478"</f>
        <v>1552382570807478</v>
      </c>
      <c r="C6970" t="s">
        <v>40</v>
      </c>
      <c r="D6970">
        <v>3.1146419999999999</v>
      </c>
      <c r="E6970">
        <v>0.50961020000000001</v>
      </c>
      <c r="F6970" t="s">
        <v>64</v>
      </c>
      <c r="G6970">
        <v>-298.50049999999999</v>
      </c>
      <c r="H6970" s="1">
        <v>-7.5589949999999996E-6</v>
      </c>
      <c r="I6970">
        <v>-52.512360000000001</v>
      </c>
      <c r="J6970">
        <v>-301.48360000000002</v>
      </c>
      <c r="K6970">
        <v>1.1105780000000001</v>
      </c>
      <c r="L6970">
        <v>-36.267240000000001</v>
      </c>
      <c r="M6970">
        <v>1.216289E-3</v>
      </c>
      <c r="N6970">
        <v>0</v>
      </c>
      <c r="O6970">
        <v>-0.99990919999999905</v>
      </c>
      <c r="P6970">
        <v>0.19281190000000001</v>
      </c>
      <c r="Q6970">
        <v>0.200709</v>
      </c>
      <c r="R6970">
        <v>-0.96048940000000005</v>
      </c>
      <c r="S6970">
        <v>0.55618290000000004</v>
      </c>
      <c r="T6970">
        <v>-0.2070611</v>
      </c>
      <c r="U6970">
        <v>-3.0548709999999999</v>
      </c>
      <c r="V6970">
        <v>-0.19161149999999999</v>
      </c>
      <c r="W6970">
        <v>0.2136334</v>
      </c>
      <c r="X6970">
        <v>0.95793830000000002</v>
      </c>
      <c r="Y6970">
        <v>-0.17752599999999999</v>
      </c>
      <c r="Z6970">
        <v>6.654388E-2</v>
      </c>
      <c r="AA6970">
        <v>0.98186370000000001</v>
      </c>
      <c r="AB6970">
        <v>14</v>
      </c>
      <c r="AC6970">
        <v>2.9831000000000301</v>
      </c>
      <c r="AD6970">
        <v>-1.110585558995</v>
      </c>
      <c r="AE6970">
        <v>-16.24512</v>
      </c>
      <c r="AF6970">
        <v>-2.9499996685096699</v>
      </c>
      <c r="AG6970">
        <v>-1.110585558995</v>
      </c>
      <c r="AH6970">
        <v>16.175603232493799</v>
      </c>
      <c r="AI6970">
        <v>93.864116449710906</v>
      </c>
      <c r="AJ6970">
        <v>100.335636833736</v>
      </c>
      <c r="AK6970">
        <v>16.479867665218698</v>
      </c>
      <c r="AL6970">
        <v>77.664635660062601</v>
      </c>
      <c r="AM6970">
        <v>101.311303532339</v>
      </c>
      <c r="AN6970">
        <v>0.99999999156734998</v>
      </c>
    </row>
    <row r="6971" spans="1:40" x14ac:dyDescent="0.25">
      <c r="A6971" t="str">
        <f>"20190312172250834"</f>
        <v>20190312172250834</v>
      </c>
      <c r="B6971" t="str">
        <f>"1552382570827975"</f>
        <v>1552382570827975</v>
      </c>
      <c r="C6971" t="s">
        <v>40</v>
      </c>
      <c r="D6971">
        <v>3.2080470000000001</v>
      </c>
      <c r="E6971">
        <v>0.51005519999999904</v>
      </c>
      <c r="F6971" t="s">
        <v>64</v>
      </c>
      <c r="G6971">
        <v>-298.48950000000002</v>
      </c>
      <c r="H6971" s="1">
        <v>-7.5362369999999902E-6</v>
      </c>
      <c r="I6971">
        <v>-52.749079999999999</v>
      </c>
      <c r="J6971">
        <v>-301.48340000000002</v>
      </c>
      <c r="K6971">
        <v>1.1105830000000001</v>
      </c>
      <c r="L6971">
        <v>-36.408540000000002</v>
      </c>
      <c r="M6971">
        <v>1.1805299999999999E-3</v>
      </c>
      <c r="N6971">
        <v>0</v>
      </c>
      <c r="O6971">
        <v>-0.99991459999999999</v>
      </c>
      <c r="P6971">
        <v>0.1939437</v>
      </c>
      <c r="Q6971">
        <v>0.20085810000000001</v>
      </c>
      <c r="R6971">
        <v>-0.96023040000000004</v>
      </c>
      <c r="S6971">
        <v>0.55496219999999996</v>
      </c>
      <c r="T6971">
        <v>-0.2058548</v>
      </c>
      <c r="U6971">
        <v>-3.0550229999999998</v>
      </c>
      <c r="V6971">
        <v>-0.1927866</v>
      </c>
      <c r="W6971">
        <v>0.21335860000000001</v>
      </c>
      <c r="X6971">
        <v>0.95776380000000005</v>
      </c>
      <c r="Y6971">
        <v>-0.17717729999999901</v>
      </c>
      <c r="Z6971">
        <v>6.6159129999999997E-2</v>
      </c>
      <c r="AA6971">
        <v>0.98195270000000001</v>
      </c>
      <c r="AB6971">
        <v>14</v>
      </c>
      <c r="AC6971">
        <v>2.9938999999999898</v>
      </c>
      <c r="AD6971">
        <v>-1.1105905362369899</v>
      </c>
      <c r="AE6971">
        <v>-16.340540000000001</v>
      </c>
      <c r="AF6971">
        <v>-2.9613706485916902</v>
      </c>
      <c r="AG6971">
        <v>-1.1105905362369899</v>
      </c>
      <c r="AH6971">
        <v>16.271342452651101</v>
      </c>
      <c r="AI6971">
        <v>93.841718498072396</v>
      </c>
      <c r="AJ6971">
        <v>100.31488358419099</v>
      </c>
      <c r="AK6971">
        <v>16.575877432853002</v>
      </c>
      <c r="AL6971">
        <v>77.680752615563307</v>
      </c>
      <c r="AM6971">
        <v>101.380887296753</v>
      </c>
      <c r="AN6971">
        <v>1.0000000309619701</v>
      </c>
    </row>
    <row r="6972" spans="1:40" x14ac:dyDescent="0.25">
      <c r="A6972" t="str">
        <f>"20190312172250857"</f>
        <v>20190312172250857</v>
      </c>
      <c r="B6972" t="str">
        <f>"1552382570847495"</f>
        <v>1552382570847495</v>
      </c>
      <c r="C6972" t="s">
        <v>40</v>
      </c>
      <c r="D6972">
        <v>3.083218</v>
      </c>
      <c r="E6972">
        <v>0.51046659999999999</v>
      </c>
      <c r="F6972" t="s">
        <v>64</v>
      </c>
      <c r="G6972">
        <v>-298.47239999999999</v>
      </c>
      <c r="H6972" s="1">
        <v>-7.5156309999999901E-6</v>
      </c>
      <c r="I6972">
        <v>-52.98583</v>
      </c>
      <c r="J6972">
        <v>-301.48329999999999</v>
      </c>
      <c r="K6972">
        <v>1.1105910000000001</v>
      </c>
      <c r="L6972">
        <v>-36.548160000000003</v>
      </c>
      <c r="M6972">
        <v>1.1609750000000001E-3</v>
      </c>
      <c r="N6972">
        <v>0</v>
      </c>
      <c r="O6972">
        <v>-0.99991940000000001</v>
      </c>
      <c r="P6972">
        <v>0.19493559999999999</v>
      </c>
      <c r="Q6972">
        <v>0.20086889999999999</v>
      </c>
      <c r="R6972">
        <v>-0.96002719999999997</v>
      </c>
      <c r="S6972">
        <v>0.55490109999999904</v>
      </c>
      <c r="T6972">
        <v>-0.2046683</v>
      </c>
      <c r="U6972">
        <v>-3.0549930000000001</v>
      </c>
      <c r="V6972">
        <v>-0.1938038</v>
      </c>
      <c r="W6972">
        <v>0.2130167</v>
      </c>
      <c r="X6972">
        <v>0.9576346</v>
      </c>
      <c r="Y6972">
        <v>-0.1771838</v>
      </c>
      <c r="Z6972">
        <v>6.5780199999999997E-2</v>
      </c>
      <c r="AA6972">
        <v>0.98197699999999999</v>
      </c>
      <c r="AB6972">
        <v>14</v>
      </c>
      <c r="AC6972">
        <v>3.0108999999999901</v>
      </c>
      <c r="AD6972">
        <v>-1.1105985156310001</v>
      </c>
      <c r="AE6972">
        <v>-16.437670000000001</v>
      </c>
      <c r="AF6972">
        <v>-2.9786567777542499</v>
      </c>
      <c r="AG6972">
        <v>-1.1105985156310001</v>
      </c>
      <c r="AH6972">
        <v>16.3688578401886</v>
      </c>
      <c r="AI6972">
        <v>93.818946144405302</v>
      </c>
      <c r="AJ6972">
        <v>100.313319680821</v>
      </c>
      <c r="AK6972">
        <v>16.674691369104401</v>
      </c>
      <c r="AL6972">
        <v>77.700802927870001</v>
      </c>
      <c r="AM6972">
        <v>101.44085980731199</v>
      </c>
      <c r="AN6972">
        <v>1.0000000272452401</v>
      </c>
    </row>
    <row r="6973" spans="1:40" x14ac:dyDescent="0.25">
      <c r="A6973" t="str">
        <f>"20190312172250881"</f>
        <v>20190312172250881</v>
      </c>
      <c r="B6973" t="str">
        <f>"1552382570877751"</f>
        <v>1552382570877751</v>
      </c>
      <c r="C6973" t="s">
        <v>40</v>
      </c>
      <c r="D6973">
        <v>3.0889700000000002</v>
      </c>
      <c r="E6973">
        <v>0.51106339999999995</v>
      </c>
      <c r="F6973" t="s">
        <v>64</v>
      </c>
      <c r="G6973">
        <v>-298.4572</v>
      </c>
      <c r="H6973" s="1">
        <v>-7.4959559999999902E-6</v>
      </c>
      <c r="I6973">
        <v>-53.207949999999997</v>
      </c>
      <c r="J6973">
        <v>-301.48309999999998</v>
      </c>
      <c r="K6973">
        <v>1.1105959999999999</v>
      </c>
      <c r="L6973">
        <v>-36.699829999999999</v>
      </c>
      <c r="M6973">
        <v>1.1559459999999999E-3</v>
      </c>
      <c r="N6973">
        <v>0</v>
      </c>
      <c r="O6973">
        <v>-0.99992369999999997</v>
      </c>
      <c r="P6973">
        <v>0.19607430000000001</v>
      </c>
      <c r="Q6973">
        <v>0.20168249999999999</v>
      </c>
      <c r="R6973">
        <v>-0.95962479999999994</v>
      </c>
      <c r="S6973">
        <v>0.55487059999999999</v>
      </c>
      <c r="T6973">
        <v>-0.20364589999999999</v>
      </c>
      <c r="U6973">
        <v>-3.05484</v>
      </c>
      <c r="V6973">
        <v>-0.19495090000000001</v>
      </c>
      <c r="W6973">
        <v>0.2135049</v>
      </c>
      <c r="X6973">
        <v>0.95729299999999995</v>
      </c>
      <c r="Y6973">
        <v>-0.17719170000000001</v>
      </c>
      <c r="Z6973">
        <v>6.5456280000000006E-2</v>
      </c>
      <c r="AA6973">
        <v>0.98199729999999996</v>
      </c>
      <c r="AB6973">
        <v>14</v>
      </c>
      <c r="AC6973">
        <v>3.0258999999999698</v>
      </c>
      <c r="AD6973">
        <v>-1.1106034959559901</v>
      </c>
      <c r="AE6973">
        <v>-16.508119999999899</v>
      </c>
      <c r="AF6973">
        <v>-2.9937047206604399</v>
      </c>
      <c r="AG6973">
        <v>-1.1106034959559901</v>
      </c>
      <c r="AH6973">
        <v>16.4396185481896</v>
      </c>
      <c r="AI6973">
        <v>93.802485423045695</v>
      </c>
      <c r="AJ6973">
        <v>100.32064526733301</v>
      </c>
      <c r="AK6973">
        <v>16.746843466447999</v>
      </c>
      <c r="AL6973">
        <v>77.672172676613599</v>
      </c>
      <c r="AM6973">
        <v>101.51077219035299</v>
      </c>
      <c r="AN6973">
        <v>1.0000000417918999</v>
      </c>
    </row>
    <row r="6974" spans="1:40" x14ac:dyDescent="0.25">
      <c r="A6974" t="str">
        <f>"20190312172250904"</f>
        <v>20190312172250904</v>
      </c>
      <c r="B6974" t="str">
        <f>"1552382570897271"</f>
        <v>1552382570897271</v>
      </c>
      <c r="C6974" t="s">
        <v>40</v>
      </c>
      <c r="D6974">
        <v>3.093121</v>
      </c>
      <c r="E6974">
        <v>0.51144529999999999</v>
      </c>
      <c r="F6974" t="s">
        <v>64</v>
      </c>
      <c r="G6974">
        <v>-298.39830000000001</v>
      </c>
      <c r="H6974" s="1">
        <v>-7.462687E-6</v>
      </c>
      <c r="I6974">
        <v>-53.687759999999997</v>
      </c>
      <c r="J6974">
        <v>-301.48289999999997</v>
      </c>
      <c r="K6974">
        <v>1.110595</v>
      </c>
      <c r="L6974">
        <v>-36.839779999999998</v>
      </c>
      <c r="M6974">
        <v>1.16081E-3</v>
      </c>
      <c r="N6974">
        <v>0</v>
      </c>
      <c r="O6974">
        <v>-0.9999268</v>
      </c>
      <c r="P6974">
        <v>0.19740650000000001</v>
      </c>
      <c r="Q6974">
        <v>0.20177020000000001</v>
      </c>
      <c r="R6974">
        <v>-0.95933279999999999</v>
      </c>
      <c r="S6974">
        <v>0.55471800000000004</v>
      </c>
      <c r="T6974">
        <v>-0.19971320000000001</v>
      </c>
      <c r="U6974">
        <v>-3.05484</v>
      </c>
      <c r="V6974">
        <v>-0.19628100000000001</v>
      </c>
      <c r="W6974">
        <v>0.21333530000000001</v>
      </c>
      <c r="X6974">
        <v>0.95705899999999999</v>
      </c>
      <c r="Y6974">
        <v>-0.17715400000000001</v>
      </c>
      <c r="Z6974">
        <v>6.4198050000000006E-2</v>
      </c>
      <c r="AA6974">
        <v>0.98208709999999999</v>
      </c>
      <c r="AB6974">
        <v>14</v>
      </c>
      <c r="AC6974">
        <v>3.08459999999996</v>
      </c>
      <c r="AD6974">
        <v>-1.1106024626869999</v>
      </c>
      <c r="AE6974">
        <v>-16.84798</v>
      </c>
      <c r="AF6974">
        <v>-3.0522065393752298</v>
      </c>
      <c r="AG6974">
        <v>-1.1106024626869999</v>
      </c>
      <c r="AH6974">
        <v>16.780995727809099</v>
      </c>
      <c r="AI6974">
        <v>93.725490659868896</v>
      </c>
      <c r="AJ6974">
        <v>100.308536225602</v>
      </c>
      <c r="AK6974">
        <v>17.092431664508101</v>
      </c>
      <c r="AL6974">
        <v>77.682119372619795</v>
      </c>
      <c r="AM6974">
        <v>101.58994665876</v>
      </c>
      <c r="AN6974">
        <v>1.00000005533404</v>
      </c>
    </row>
    <row r="6975" spans="1:40" x14ac:dyDescent="0.25">
      <c r="A6975" t="str">
        <f>"20190312172250925"</f>
        <v>20190312172250925</v>
      </c>
      <c r="B6975" t="str">
        <f>"1552382570917767"</f>
        <v>1552382570917767</v>
      </c>
      <c r="C6975" t="s">
        <v>40</v>
      </c>
      <c r="D6975">
        <v>3.120962</v>
      </c>
      <c r="E6975">
        <v>0.51183339999999999</v>
      </c>
      <c r="F6975" t="s">
        <v>64</v>
      </c>
      <c r="G6975">
        <v>-298.36950000000002</v>
      </c>
      <c r="H6975" s="1">
        <v>-7.4467969999999997E-6</v>
      </c>
      <c r="I6975">
        <v>-53.918759999999999</v>
      </c>
      <c r="J6975">
        <v>-301.4828</v>
      </c>
      <c r="K6975">
        <v>1.1105969999999901</v>
      </c>
      <c r="L6975">
        <v>-36.97766</v>
      </c>
      <c r="M6975">
        <v>1.1694979999999999E-3</v>
      </c>
      <c r="N6975">
        <v>0</v>
      </c>
      <c r="O6975">
        <v>-0.99992970000000003</v>
      </c>
      <c r="P6975">
        <v>0.19831480000000001</v>
      </c>
      <c r="Q6975">
        <v>0.20169429999999999</v>
      </c>
      <c r="R6975">
        <v>-0.95916179999999995</v>
      </c>
      <c r="S6975">
        <v>0.55679319999999999</v>
      </c>
      <c r="T6975">
        <v>-0.19861870000000001</v>
      </c>
      <c r="U6975">
        <v>-3.0543819999999999</v>
      </c>
      <c r="V6975">
        <v>-0.19718260000000001</v>
      </c>
      <c r="W6975">
        <v>0.21303710000000001</v>
      </c>
      <c r="X6975">
        <v>0.95694009999999996</v>
      </c>
      <c r="Y6975">
        <v>-0.17782120000000001</v>
      </c>
      <c r="Z6975">
        <v>6.3849329999999996E-2</v>
      </c>
      <c r="AA6975">
        <v>0.98198929999999995</v>
      </c>
      <c r="AB6975">
        <v>14</v>
      </c>
      <c r="AC6975">
        <v>3.1132999999999802</v>
      </c>
      <c r="AD6975">
        <v>-1.11060444679699</v>
      </c>
      <c r="AE6975">
        <v>-16.941099999999999</v>
      </c>
      <c r="AF6975">
        <v>-3.0806766291431198</v>
      </c>
      <c r="AG6975">
        <v>-1.11060444679699</v>
      </c>
      <c r="AH6975">
        <v>16.874577080614898</v>
      </c>
      <c r="AI6975">
        <v>93.704452432892893</v>
      </c>
      <c r="AJ6975">
        <v>100.346160946862</v>
      </c>
      <c r="AK6975">
        <v>17.1893968009412</v>
      </c>
      <c r="AL6975">
        <v>77.699607160743597</v>
      </c>
      <c r="AM6975">
        <v>101.64314105043501</v>
      </c>
      <c r="AN6975">
        <v>1.00000006935358</v>
      </c>
    </row>
    <row r="6976" spans="1:40" x14ac:dyDescent="0.25">
      <c r="A6976" t="str">
        <f>"20190312172250946"</f>
        <v>20190312172250946</v>
      </c>
      <c r="B6976" t="str">
        <f>"1552382570937287"</f>
        <v>1552382570937287</v>
      </c>
      <c r="C6976" t="s">
        <v>40</v>
      </c>
      <c r="D6976">
        <v>3.2242199999999999</v>
      </c>
      <c r="E6976">
        <v>0.51221530000000004</v>
      </c>
      <c r="F6976" t="s">
        <v>64</v>
      </c>
      <c r="G6976">
        <v>-298.35969999999998</v>
      </c>
      <c r="H6976" s="1">
        <v>-7.4289519999999999E-6</v>
      </c>
      <c r="I6976">
        <v>-54.108040000000003</v>
      </c>
      <c r="J6976">
        <v>-301.48259999999999</v>
      </c>
      <c r="K6976">
        <v>1.110595</v>
      </c>
      <c r="L6976">
        <v>-37.107149999999997</v>
      </c>
      <c r="M6976">
        <v>1.1784639999999999E-3</v>
      </c>
      <c r="N6976">
        <v>0</v>
      </c>
      <c r="O6976">
        <v>-0.99993160000000003</v>
      </c>
      <c r="P6976">
        <v>0.19923650000000001</v>
      </c>
      <c r="Q6976">
        <v>0.20154559999999999</v>
      </c>
      <c r="R6976">
        <v>-0.95900189999999996</v>
      </c>
      <c r="S6976">
        <v>0.55682369999999903</v>
      </c>
      <c r="T6976">
        <v>-0.1980152</v>
      </c>
      <c r="U6976">
        <v>-3.0542600000000002</v>
      </c>
      <c r="V6976">
        <v>-0.19809660000000001</v>
      </c>
      <c r="W6976">
        <v>0.21270449999999999</v>
      </c>
      <c r="X6976">
        <v>0.95682529999999999</v>
      </c>
      <c r="Y6976">
        <v>-0.17783099999999999</v>
      </c>
      <c r="Z6976">
        <v>6.3658530000000005E-2</v>
      </c>
      <c r="AA6976">
        <v>0.98199990000000004</v>
      </c>
      <c r="AB6976">
        <v>14</v>
      </c>
      <c r="AC6976">
        <v>3.1229000000000098</v>
      </c>
      <c r="AD6976">
        <v>-1.110602428952</v>
      </c>
      <c r="AE6976">
        <v>-17.000889999999998</v>
      </c>
      <c r="AF6976">
        <v>-3.0901049382135399</v>
      </c>
      <c r="AG6976">
        <v>-1.110602428952</v>
      </c>
      <c r="AH6976">
        <v>16.934648894498899</v>
      </c>
      <c r="AI6976">
        <v>93.691400514415193</v>
      </c>
      <c r="AJ6976">
        <v>100.34112317628301</v>
      </c>
      <c r="AK6976">
        <v>17.2500585350984</v>
      </c>
      <c r="AL6976">
        <v>77.719110646707904</v>
      </c>
      <c r="AM6976">
        <v>101.69699158071001</v>
      </c>
      <c r="AN6976">
        <v>1.0000000609859401</v>
      </c>
    </row>
    <row r="6977" spans="1:40" x14ac:dyDescent="0.25">
      <c r="A6977" t="str">
        <f>"20190312172250967"</f>
        <v>20190312172250967</v>
      </c>
      <c r="B6977" t="str">
        <f>"1552382570957783"</f>
        <v>1552382570957783</v>
      </c>
      <c r="C6977" t="s">
        <v>40</v>
      </c>
      <c r="D6977">
        <v>3.1338659999999998</v>
      </c>
      <c r="E6977">
        <v>0.51255689999999998</v>
      </c>
      <c r="F6977" t="s">
        <v>64</v>
      </c>
      <c r="G6977">
        <v>-298.35809999999998</v>
      </c>
      <c r="H6977" s="1">
        <v>-7.412278E-6</v>
      </c>
      <c r="I6977">
        <v>-54.26126</v>
      </c>
      <c r="J6977">
        <v>-301.48239999999998</v>
      </c>
      <c r="K6977">
        <v>1.1105940000000001</v>
      </c>
      <c r="L6977">
        <v>-37.245060000000002</v>
      </c>
      <c r="M6977">
        <v>1.187125E-3</v>
      </c>
      <c r="N6977">
        <v>0</v>
      </c>
      <c r="O6977">
        <v>-0.99993399999999999</v>
      </c>
      <c r="P6977">
        <v>0.20010720000000001</v>
      </c>
      <c r="Q6977">
        <v>0.2017091</v>
      </c>
      <c r="R6977">
        <v>-0.95878609999999997</v>
      </c>
      <c r="S6977">
        <v>0.55630489999999999</v>
      </c>
      <c r="T6977">
        <v>-0.19773879999999999</v>
      </c>
      <c r="U6977">
        <v>-3.05423</v>
      </c>
      <c r="V6977">
        <v>-0.1989601</v>
      </c>
      <c r="W6977">
        <v>0.21269750000000001</v>
      </c>
      <c r="X6977">
        <v>0.95664760000000004</v>
      </c>
      <c r="Y6977">
        <v>-0.17766370000000001</v>
      </c>
      <c r="Z6977">
        <v>6.3572580000000004E-2</v>
      </c>
      <c r="AA6977">
        <v>0.98203569999999996</v>
      </c>
      <c r="AB6977">
        <v>14</v>
      </c>
      <c r="AC6977">
        <v>3.1242999999999999</v>
      </c>
      <c r="AD6977">
        <v>-1.1106014122779999</v>
      </c>
      <c r="AE6977">
        <v>-17.016200000000001</v>
      </c>
      <c r="AF6977">
        <v>-3.0913569561818801</v>
      </c>
      <c r="AG6977">
        <v>-1.1106014122779999</v>
      </c>
      <c r="AH6977">
        <v>16.950047767974802</v>
      </c>
      <c r="AI6977">
        <v>93.688112502907003</v>
      </c>
      <c r="AJ6977">
        <v>100.336026820925</v>
      </c>
      <c r="AK6977">
        <v>17.265400159397299</v>
      </c>
      <c r="AL6977">
        <v>77.719520214830496</v>
      </c>
      <c r="AM6977">
        <v>101.74868608696499</v>
      </c>
      <c r="AN6977">
        <v>0.99999998924200995</v>
      </c>
    </row>
    <row r="6978" spans="1:40" x14ac:dyDescent="0.25">
      <c r="A6978" t="str">
        <f>"20190312172250990"</f>
        <v>20190312172250990</v>
      </c>
      <c r="B6978" t="str">
        <f>"1552382570987063"</f>
        <v>1552382570987063</v>
      </c>
      <c r="C6978" t="s">
        <v>40</v>
      </c>
      <c r="D6978">
        <v>3.1364350000000001</v>
      </c>
      <c r="E6978">
        <v>0.51271429999999996</v>
      </c>
      <c r="F6978" t="s">
        <v>64</v>
      </c>
      <c r="G6978">
        <v>-298.34399999999999</v>
      </c>
      <c r="H6978" s="1">
        <v>-7.3911289999999996E-6</v>
      </c>
      <c r="I6978">
        <v>-54.493299999999998</v>
      </c>
      <c r="J6978">
        <v>-301.48230000000001</v>
      </c>
      <c r="K6978">
        <v>1.1105969999999901</v>
      </c>
      <c r="L6978">
        <v>-37.388150000000003</v>
      </c>
      <c r="M6978">
        <v>1.1946610000000001E-3</v>
      </c>
      <c r="N6978">
        <v>0</v>
      </c>
      <c r="O6978">
        <v>-0.99993560000000004</v>
      </c>
      <c r="P6978">
        <v>0.20101359999999999</v>
      </c>
      <c r="Q6978">
        <v>0.20267309999999999</v>
      </c>
      <c r="R6978">
        <v>-0.95839339999999995</v>
      </c>
      <c r="S6978">
        <v>0.55575559999999902</v>
      </c>
      <c r="T6978">
        <v>-0.19666739999999999</v>
      </c>
      <c r="U6978">
        <v>-3.0543520000000002</v>
      </c>
      <c r="V6978">
        <v>-0.19986029999999999</v>
      </c>
      <c r="W6978">
        <v>0.21350720000000001</v>
      </c>
      <c r="X6978">
        <v>0.95627949999999995</v>
      </c>
      <c r="Y6978">
        <v>-0.17748229999999901</v>
      </c>
      <c r="Z6978">
        <v>6.3229079999999993E-2</v>
      </c>
      <c r="AA6978">
        <v>0.98209069999999998</v>
      </c>
      <c r="AB6978">
        <v>14</v>
      </c>
      <c r="AC6978">
        <v>3.1383000000000099</v>
      </c>
      <c r="AD6978">
        <v>-1.11060439112899</v>
      </c>
      <c r="AE6978">
        <v>-17.105149999999899</v>
      </c>
      <c r="AF6978">
        <v>-3.1051974595191498</v>
      </c>
      <c r="AG6978">
        <v>-1.11060439112899</v>
      </c>
      <c r="AH6978">
        <v>17.0393942842577</v>
      </c>
      <c r="AI6978">
        <v>93.668929555711102</v>
      </c>
      <c r="AJ6978">
        <v>100.328038764482</v>
      </c>
      <c r="AK6978">
        <v>17.355594226375299</v>
      </c>
      <c r="AL6978">
        <v>77.672036925137405</v>
      </c>
      <c r="AM6978">
        <v>101.804770893781</v>
      </c>
      <c r="AN6978">
        <v>0.99999997304408905</v>
      </c>
    </row>
    <row r="6979" spans="1:40" x14ac:dyDescent="0.25">
      <c r="A6979" t="str">
        <f>"20190312172251013"</f>
        <v>20190312172251013</v>
      </c>
      <c r="B6979" t="str">
        <f>"1552382571007559"</f>
        <v>1552382571007559</v>
      </c>
      <c r="C6979" t="s">
        <v>40</v>
      </c>
      <c r="D6979">
        <v>3.1197590000000002</v>
      </c>
      <c r="E6979">
        <v>0.51260439999999996</v>
      </c>
      <c r="F6979" t="s">
        <v>64</v>
      </c>
      <c r="G6979">
        <v>-298.28440000000001</v>
      </c>
      <c r="H6979" s="1">
        <v>-7.3655430000000002E-6</v>
      </c>
      <c r="I6979">
        <v>-54.906750000000002</v>
      </c>
      <c r="J6979">
        <v>-301.4821</v>
      </c>
      <c r="K6979">
        <v>1.1106</v>
      </c>
      <c r="L6979">
        <v>-37.532809999999998</v>
      </c>
      <c r="M6979">
        <v>1.200011E-3</v>
      </c>
      <c r="N6979">
        <v>0</v>
      </c>
      <c r="O6979">
        <v>-0.99993710000000002</v>
      </c>
      <c r="P6979">
        <v>0.2018066</v>
      </c>
      <c r="Q6979">
        <v>0.20339879999999999</v>
      </c>
      <c r="R6979">
        <v>-0.95807299999999995</v>
      </c>
      <c r="S6979">
        <v>0.55752559999999995</v>
      </c>
      <c r="T6979">
        <v>-0.19362699999999999</v>
      </c>
      <c r="U6979">
        <v>-3.0542600000000002</v>
      </c>
      <c r="V6979">
        <v>-0.20064899999999999</v>
      </c>
      <c r="W6979">
        <v>0.21409829999999999</v>
      </c>
      <c r="X6979">
        <v>0.95598209999999995</v>
      </c>
      <c r="Y6979">
        <v>-0.17804410000000001</v>
      </c>
      <c r="Z6979">
        <v>6.2250920000000001E-2</v>
      </c>
      <c r="AA6979">
        <v>0.98205149999999997</v>
      </c>
      <c r="AB6979">
        <v>14</v>
      </c>
      <c r="AC6979">
        <v>3.19769999999999</v>
      </c>
      <c r="AD6979">
        <v>-1.110607365543</v>
      </c>
      <c r="AE6979">
        <v>-17.373940000000001</v>
      </c>
      <c r="AF6979">
        <v>-3.1643408688713999</v>
      </c>
      <c r="AG6979">
        <v>-1.110607365543</v>
      </c>
      <c r="AH6979">
        <v>17.309352219085198</v>
      </c>
      <c r="AI6979">
        <v>93.611505322762397</v>
      </c>
      <c r="AJ6979">
        <v>100.359903645958</v>
      </c>
      <c r="AK6979">
        <v>17.631227299855102</v>
      </c>
      <c r="AL6979">
        <v>77.637367304724506</v>
      </c>
      <c r="AM6979">
        <v>101.85362308101401</v>
      </c>
      <c r="AN6979">
        <v>0.99999993939214804</v>
      </c>
    </row>
    <row r="6980" spans="1:40" x14ac:dyDescent="0.25">
      <c r="A6980" t="str">
        <f>"20190312172251034"</f>
        <v>20190312172251034</v>
      </c>
      <c r="B6980" t="str">
        <f>"1552382571027079"</f>
        <v>1552382571027079</v>
      </c>
      <c r="C6980" t="s">
        <v>40</v>
      </c>
      <c r="D6980">
        <v>3.1543420000000002</v>
      </c>
      <c r="E6980">
        <v>0.51250039999999997</v>
      </c>
      <c r="F6980" t="s">
        <v>64</v>
      </c>
      <c r="G6980">
        <v>-298.2303</v>
      </c>
      <c r="H6980" s="1">
        <v>-7.3470589999999999E-6</v>
      </c>
      <c r="I6980">
        <v>-55.240099999999998</v>
      </c>
      <c r="J6980">
        <v>-301.4819</v>
      </c>
      <c r="K6980">
        <v>1.110595</v>
      </c>
      <c r="L6980">
        <v>-37.67062</v>
      </c>
      <c r="M6980">
        <v>1.202998E-3</v>
      </c>
      <c r="N6980">
        <v>0</v>
      </c>
      <c r="O6980">
        <v>-0.99993799999999999</v>
      </c>
      <c r="P6980">
        <v>0.20264180000000001</v>
      </c>
      <c r="Q6980">
        <v>0.2043035</v>
      </c>
      <c r="R6980">
        <v>-0.95770359999999999</v>
      </c>
      <c r="S6980">
        <v>0.56082149999999997</v>
      </c>
      <c r="T6980">
        <v>-0.1915374</v>
      </c>
      <c r="U6980">
        <v>-3.053833</v>
      </c>
      <c r="V6980">
        <v>-0.20148179999999999</v>
      </c>
      <c r="W6980">
        <v>0.214892</v>
      </c>
      <c r="X6980">
        <v>0.9556289</v>
      </c>
      <c r="Y6980">
        <v>-0.17909839999999999</v>
      </c>
      <c r="Z6980">
        <v>6.1578319999999999E-2</v>
      </c>
      <c r="AA6980">
        <v>0.98190219999999995</v>
      </c>
      <c r="AB6980">
        <v>14</v>
      </c>
      <c r="AC6980">
        <v>3.2515999999999901</v>
      </c>
      <c r="AD6980">
        <v>-1.1106023470590001</v>
      </c>
      <c r="AE6980">
        <v>-17.569479999999999</v>
      </c>
      <c r="AF6980">
        <v>-3.2180276703534898</v>
      </c>
      <c r="AG6980">
        <v>-1.1106023470590001</v>
      </c>
      <c r="AH6980">
        <v>17.505746925411401</v>
      </c>
      <c r="AI6980">
        <v>93.5704359645772</v>
      </c>
      <c r="AJ6980">
        <v>100.41621663792</v>
      </c>
      <c r="AK6980">
        <v>17.8336848429315</v>
      </c>
      <c r="AL6980">
        <v>77.590809254689006</v>
      </c>
      <c r="AM6980">
        <v>101.905694905118</v>
      </c>
      <c r="AN6980">
        <v>1.0000000409552201</v>
      </c>
    </row>
    <row r="6981" spans="1:40" x14ac:dyDescent="0.25">
      <c r="A6981" t="str">
        <f>"20190312172251057"</f>
        <v>20190312172251057</v>
      </c>
      <c r="B6981" t="str">
        <f>"1552382571047576"</f>
        <v>1552382571047576</v>
      </c>
      <c r="C6981" t="s">
        <v>40</v>
      </c>
      <c r="D6981">
        <v>3.119815</v>
      </c>
      <c r="E6981">
        <v>0.51244860000000003</v>
      </c>
      <c r="F6981" t="s">
        <v>64</v>
      </c>
      <c r="G6981">
        <v>-298.16579999999999</v>
      </c>
      <c r="H6981" s="1">
        <v>-7.326737E-6</v>
      </c>
      <c r="I6981">
        <v>-55.621810000000004</v>
      </c>
      <c r="J6981">
        <v>-301.48180000000002</v>
      </c>
      <c r="K6981">
        <v>1.110584</v>
      </c>
      <c r="L6981">
        <v>-37.811129999999999</v>
      </c>
      <c r="M6981">
        <v>1.2042579999999999E-3</v>
      </c>
      <c r="N6981">
        <v>0</v>
      </c>
      <c r="O6981">
        <v>-0.99993920000000003</v>
      </c>
      <c r="P6981">
        <v>0.20352239999999999</v>
      </c>
      <c r="Q6981">
        <v>0.204067</v>
      </c>
      <c r="R6981">
        <v>-0.95756750000000002</v>
      </c>
      <c r="S6981">
        <v>0.56405640000000001</v>
      </c>
      <c r="T6981">
        <v>-0.18890970000000001</v>
      </c>
      <c r="U6981">
        <v>-3.053436</v>
      </c>
      <c r="V6981">
        <v>-0.20236119999999999</v>
      </c>
      <c r="W6981">
        <v>0.21455940000000001</v>
      </c>
      <c r="X6981">
        <v>0.95551779999999997</v>
      </c>
      <c r="Y6981">
        <v>-0.180135299999999</v>
      </c>
      <c r="Z6981">
        <v>6.0732899999999999E-2</v>
      </c>
      <c r="AA6981">
        <v>0.9817652</v>
      </c>
      <c r="AB6981">
        <v>14</v>
      </c>
      <c r="AC6981">
        <v>3.31600000000003</v>
      </c>
      <c r="AD6981">
        <v>-1.110591326737</v>
      </c>
      <c r="AE6981">
        <v>-17.810679999999898</v>
      </c>
      <c r="AF6981">
        <v>-3.2822133280775798</v>
      </c>
      <c r="AG6981">
        <v>-1.110591326737</v>
      </c>
      <c r="AH6981">
        <v>17.747965050407799</v>
      </c>
      <c r="AI6981">
        <v>93.521102694644</v>
      </c>
      <c r="AJ6981">
        <v>100.47759655386901</v>
      </c>
      <c r="AK6981">
        <v>18.083047333249201</v>
      </c>
      <c r="AL6981">
        <v>77.610320798843006</v>
      </c>
      <c r="AM6981">
        <v>101.95751705526401</v>
      </c>
      <c r="AN6981">
        <v>1.0000000287553099</v>
      </c>
    </row>
    <row r="6982" spans="1:40" x14ac:dyDescent="0.25">
      <c r="A6982" t="str">
        <f>"20190312172251079"</f>
        <v>20190312172251079</v>
      </c>
      <c r="B6982" t="str">
        <f>"1552382571067096"</f>
        <v>1552382571067096</v>
      </c>
      <c r="C6982" t="s">
        <v>40</v>
      </c>
      <c r="D6982">
        <v>3.1556709999999999</v>
      </c>
      <c r="E6982">
        <v>0.51240039999999998</v>
      </c>
      <c r="F6982" t="s">
        <v>64</v>
      </c>
      <c r="G6982">
        <v>-298.173</v>
      </c>
      <c r="H6982" s="1">
        <v>-7.3227089999999998E-6</v>
      </c>
      <c r="I6982">
        <v>-55.635170000000002</v>
      </c>
      <c r="J6982">
        <v>-301.48160000000001</v>
      </c>
      <c r="K6982">
        <v>1.1105769999999999</v>
      </c>
      <c r="L6982">
        <v>-37.955689999999997</v>
      </c>
      <c r="M6982">
        <v>1.2041689999999999E-3</v>
      </c>
      <c r="N6982">
        <v>0</v>
      </c>
      <c r="O6982">
        <v>-0.99994039999999995</v>
      </c>
      <c r="P6982">
        <v>0.20399129999999999</v>
      </c>
      <c r="Q6982">
        <v>0.20468059999999999</v>
      </c>
      <c r="R6982">
        <v>-0.95733699999999999</v>
      </c>
      <c r="S6982">
        <v>0.56674190000000002</v>
      </c>
      <c r="T6982">
        <v>-0.19022890000000001</v>
      </c>
      <c r="U6982">
        <v>-3.0530089999999999</v>
      </c>
      <c r="V6982">
        <v>-0.20283010000000001</v>
      </c>
      <c r="W6982">
        <v>0.21508749999999999</v>
      </c>
      <c r="X6982">
        <v>0.95529960000000003</v>
      </c>
      <c r="Y6982">
        <v>-0.18099009999999999</v>
      </c>
      <c r="Z6982">
        <v>6.1154100000000003E-2</v>
      </c>
      <c r="AA6982">
        <v>0.9815817</v>
      </c>
      <c r="AB6982">
        <v>14</v>
      </c>
      <c r="AC6982">
        <v>3.30860000000001</v>
      </c>
      <c r="AD6982">
        <v>-1.110584322709</v>
      </c>
      <c r="AE6982">
        <v>-17.679479999999899</v>
      </c>
      <c r="AF6982">
        <v>-3.2748218814394598</v>
      </c>
      <c r="AG6982">
        <v>-1.110584322709</v>
      </c>
      <c r="AH6982">
        <v>17.6162887508791</v>
      </c>
      <c r="AI6982">
        <v>93.546722004436305</v>
      </c>
      <c r="AJ6982">
        <v>100.53092462281499</v>
      </c>
      <c r="AK6982">
        <v>17.952478526580901</v>
      </c>
      <c r="AL6982">
        <v>77.5793392633189</v>
      </c>
      <c r="AM6982">
        <v>101.98708230807701</v>
      </c>
      <c r="AN6982">
        <v>1.00000000394121</v>
      </c>
    </row>
    <row r="6983" spans="1:40" x14ac:dyDescent="0.25">
      <c r="A6983" t="str">
        <f>"20190312172251104"</f>
        <v>20190312172251104</v>
      </c>
      <c r="B6983" t="str">
        <f>"1552382571097351"</f>
        <v>1552382571097351</v>
      </c>
      <c r="C6983" t="s">
        <v>40</v>
      </c>
      <c r="D6983">
        <v>3.1384560000000001</v>
      </c>
      <c r="E6983">
        <v>0.51233830000000002</v>
      </c>
      <c r="F6983" t="s">
        <v>64</v>
      </c>
      <c r="G6983">
        <v>-298.13760000000002</v>
      </c>
      <c r="H6983" s="1">
        <v>-7.3063379999999996E-6</v>
      </c>
      <c r="I6983">
        <v>-55.891309999999997</v>
      </c>
      <c r="J6983">
        <v>-301.48140000000001</v>
      </c>
      <c r="K6983">
        <v>1.1105609999999999</v>
      </c>
      <c r="L6983">
        <v>-38.103879999999997</v>
      </c>
      <c r="M6983">
        <v>1.203122E-3</v>
      </c>
      <c r="N6983">
        <v>0</v>
      </c>
      <c r="O6983">
        <v>-0.99994090000000002</v>
      </c>
      <c r="P6983">
        <v>0.20466200000000001</v>
      </c>
      <c r="Q6983">
        <v>0.20515459999999999</v>
      </c>
      <c r="R6983">
        <v>-0.9570919</v>
      </c>
      <c r="S6983">
        <v>0.56918329999999995</v>
      </c>
      <c r="T6983">
        <v>-0.1890328</v>
      </c>
      <c r="U6983">
        <v>-3.052826</v>
      </c>
      <c r="V6983">
        <v>-0.20350180000000001</v>
      </c>
      <c r="W6983">
        <v>0.21548700000000001</v>
      </c>
      <c r="X6983">
        <v>0.95506670000000005</v>
      </c>
      <c r="Y6983">
        <v>-0.1817647</v>
      </c>
      <c r="Z6983">
        <v>6.076583E-2</v>
      </c>
      <c r="AA6983">
        <v>0.98146270000000002</v>
      </c>
      <c r="AB6983">
        <v>14</v>
      </c>
      <c r="AC6983">
        <v>3.3437999999999799</v>
      </c>
      <c r="AD6983">
        <v>-1.1105683063380001</v>
      </c>
      <c r="AE6983">
        <v>-17.787430000000001</v>
      </c>
      <c r="AF6983">
        <v>-3.3099335061970501</v>
      </c>
      <c r="AG6983">
        <v>-1.1105683063380001</v>
      </c>
      <c r="AH6983">
        <v>17.724704297915402</v>
      </c>
      <c r="AI6983">
        <v>93.524497905768996</v>
      </c>
      <c r="AJ6983">
        <v>100.577653003569</v>
      </c>
      <c r="AK6983">
        <v>18.065275094142098</v>
      </c>
      <c r="AL6983">
        <v>77.555900113300694</v>
      </c>
      <c r="AM6983">
        <v>102.028472549551</v>
      </c>
      <c r="AN6983">
        <v>1.00000001561056</v>
      </c>
    </row>
    <row r="6984" spans="1:40" x14ac:dyDescent="0.25">
      <c r="A6984" t="str">
        <f>"20190312172251127"</f>
        <v>20190312172251127</v>
      </c>
      <c r="B6984" t="str">
        <f>"1552382571117495"</f>
        <v>1552382571117495</v>
      </c>
      <c r="C6984" t="s">
        <v>40</v>
      </c>
      <c r="D6984">
        <v>3.1443150000000002</v>
      </c>
      <c r="E6984">
        <v>0.51228679999999904</v>
      </c>
      <c r="F6984" t="s">
        <v>64</v>
      </c>
      <c r="G6984">
        <v>-298.10570000000001</v>
      </c>
      <c r="H6984" s="1">
        <v>-7.2960159999999997E-6</v>
      </c>
      <c r="I6984">
        <v>-56.082740000000001</v>
      </c>
      <c r="J6984">
        <v>-301.4812</v>
      </c>
      <c r="K6984">
        <v>1.1105579999999999</v>
      </c>
      <c r="L6984">
        <v>-38.254939999999998</v>
      </c>
      <c r="M6984">
        <v>1.201698E-3</v>
      </c>
      <c r="N6984">
        <v>0</v>
      </c>
      <c r="O6984">
        <v>-0.99994179999999999</v>
      </c>
      <c r="P6984">
        <v>0.2053249</v>
      </c>
      <c r="Q6984">
        <v>0.20504459999999999</v>
      </c>
      <c r="R6984">
        <v>-0.95697370000000004</v>
      </c>
      <c r="S6984">
        <v>0.57312010000000002</v>
      </c>
      <c r="T6984">
        <v>-0.1885473</v>
      </c>
      <c r="U6984">
        <v>-3.052368</v>
      </c>
      <c r="V6984">
        <v>-0.20416599999999999</v>
      </c>
      <c r="W6984">
        <v>0.2153139</v>
      </c>
      <c r="X6984">
        <v>0.95496400000000004</v>
      </c>
      <c r="Y6984">
        <v>-0.18301729999999999</v>
      </c>
      <c r="Z6984">
        <v>6.0605039999999999E-2</v>
      </c>
      <c r="AA6984">
        <v>0.98123990000000005</v>
      </c>
      <c r="AB6984">
        <v>14</v>
      </c>
      <c r="AC6984">
        <v>3.3754999999999802</v>
      </c>
      <c r="AD6984">
        <v>-1.110565296016</v>
      </c>
      <c r="AE6984">
        <v>-17.8277999999999</v>
      </c>
      <c r="AF6984">
        <v>-3.3415544197511</v>
      </c>
      <c r="AG6984">
        <v>-1.110565296016</v>
      </c>
      <c r="AH6984">
        <v>17.7652905698972</v>
      </c>
      <c r="AI6984">
        <v>93.515597262534598</v>
      </c>
      <c r="AJ6984">
        <v>100.65256026601401</v>
      </c>
      <c r="AK6984">
        <v>18.110905285207402</v>
      </c>
      <c r="AL6984">
        <v>77.566056683819596</v>
      </c>
      <c r="AM6984">
        <v>102.067842557369</v>
      </c>
      <c r="AN6984">
        <v>1.0000000361926</v>
      </c>
    </row>
    <row r="6985" spans="1:40" x14ac:dyDescent="0.25">
      <c r="A6985" t="str">
        <f>"20190312172251146"</f>
        <v>20190312172251146</v>
      </c>
      <c r="B6985" t="str">
        <f>"1552382571137014"</f>
        <v>1552382571137014</v>
      </c>
      <c r="C6985" t="s">
        <v>40</v>
      </c>
      <c r="D6985">
        <v>3.1368860000000001</v>
      </c>
      <c r="E6985">
        <v>0.51221419999999995</v>
      </c>
      <c r="F6985" t="s">
        <v>64</v>
      </c>
      <c r="G6985">
        <v>-298.10419999999999</v>
      </c>
      <c r="H6985" s="1">
        <v>-7.2891600000000002E-6</v>
      </c>
      <c r="I6985">
        <v>-56.148400000000002</v>
      </c>
      <c r="J6985">
        <v>-301.48110000000003</v>
      </c>
      <c r="K6985">
        <v>1.1105449999999999</v>
      </c>
      <c r="L6985">
        <v>-38.381320000000002</v>
      </c>
      <c r="M6985">
        <v>1.200493E-3</v>
      </c>
      <c r="N6985">
        <v>0</v>
      </c>
      <c r="O6985">
        <v>-0.99994209999999994</v>
      </c>
      <c r="P6985">
        <v>0.20641570000000001</v>
      </c>
      <c r="Q6985">
        <v>0.20474419999999999</v>
      </c>
      <c r="R6985">
        <v>-0.95680319999999996</v>
      </c>
      <c r="S6985">
        <v>0.57598879999999997</v>
      </c>
      <c r="T6985">
        <v>-0.18941630000000001</v>
      </c>
      <c r="U6985">
        <v>-3.0518800000000001</v>
      </c>
      <c r="V6985">
        <v>-0.20525840000000001</v>
      </c>
      <c r="W6985">
        <v>0.2149665</v>
      </c>
      <c r="X6985">
        <v>0.95480810000000005</v>
      </c>
      <c r="Y6985">
        <v>-0.1839345</v>
      </c>
      <c r="Z6985">
        <v>6.0882369999999998E-2</v>
      </c>
      <c r="AA6985">
        <v>0.98105120000000001</v>
      </c>
      <c r="AB6985">
        <v>14</v>
      </c>
      <c r="AC6985">
        <v>3.3769000000000302</v>
      </c>
      <c r="AD6985">
        <v>-1.1105522891599999</v>
      </c>
      <c r="AE6985">
        <v>-17.76708</v>
      </c>
      <c r="AF6985">
        <v>-3.3429614414570099</v>
      </c>
      <c r="AG6985">
        <v>-1.1105522891599999</v>
      </c>
      <c r="AH6985">
        <v>17.7043617066461</v>
      </c>
      <c r="AI6985">
        <v>93.527158942497394</v>
      </c>
      <c r="AJ6985">
        <v>100.69277419167599</v>
      </c>
      <c r="AK6985">
        <v>18.051402743991499</v>
      </c>
      <c r="AL6985">
        <v>77.586438781734202</v>
      </c>
      <c r="AM6985">
        <v>102.132426666969</v>
      </c>
      <c r="AN6985">
        <v>1.0000000573592001</v>
      </c>
    </row>
    <row r="6986" spans="1:40" x14ac:dyDescent="0.25">
      <c r="A6986" t="str">
        <f>"20190312172251169"</f>
        <v>20190312172251169</v>
      </c>
      <c r="B6986" t="str">
        <f>"1552382571157511"</f>
        <v>1552382571157511</v>
      </c>
      <c r="C6986" t="s">
        <v>40</v>
      </c>
      <c r="D6986">
        <v>3.1382180000000002</v>
      </c>
      <c r="E6986">
        <v>0.51215710000000003</v>
      </c>
      <c r="F6986" t="s">
        <v>64</v>
      </c>
      <c r="G6986">
        <v>-298.1053</v>
      </c>
      <c r="H6986" s="1">
        <v>-7.2882449999999997E-6</v>
      </c>
      <c r="I6986">
        <v>-56.152839999999998</v>
      </c>
      <c r="J6986">
        <v>-301.48090000000002</v>
      </c>
      <c r="K6986">
        <v>1.110528</v>
      </c>
      <c r="L6986">
        <v>-38.527189999999997</v>
      </c>
      <c r="M6986">
        <v>1.1992929999999999E-3</v>
      </c>
      <c r="N6986">
        <v>0</v>
      </c>
      <c r="O6986">
        <v>-0.99994280000000002</v>
      </c>
      <c r="P6986">
        <v>0.2068845</v>
      </c>
      <c r="Q6986">
        <v>0.20437839999999999</v>
      </c>
      <c r="R6986">
        <v>-0.95678019999999997</v>
      </c>
      <c r="S6986">
        <v>0.57958980000000004</v>
      </c>
      <c r="T6986">
        <v>-0.1906717</v>
      </c>
      <c r="U6986">
        <v>-3.0512079999999999</v>
      </c>
      <c r="V6986">
        <v>-0.20572770000000001</v>
      </c>
      <c r="W6986">
        <v>0.21455469999999999</v>
      </c>
      <c r="X6986">
        <v>0.95479970000000003</v>
      </c>
      <c r="Y6986">
        <v>-0.185088</v>
      </c>
      <c r="Z6986">
        <v>6.1284209999999999E-2</v>
      </c>
      <c r="AA6986">
        <v>0.98080919999999905</v>
      </c>
      <c r="AB6986">
        <v>14</v>
      </c>
      <c r="AC6986">
        <v>3.3756000000000199</v>
      </c>
      <c r="AD6986">
        <v>-1.1105352882449999</v>
      </c>
      <c r="AE6986">
        <v>-17.62565</v>
      </c>
      <c r="AF6986">
        <v>-3.3416615122855098</v>
      </c>
      <c r="AG6986">
        <v>-1.1105352882449999</v>
      </c>
      <c r="AH6986">
        <v>17.562432366397601</v>
      </c>
      <c r="AI6986">
        <v>93.554594230760898</v>
      </c>
      <c r="AJ6986">
        <v>100.773078258333</v>
      </c>
      <c r="AK6986">
        <v>17.911979815570898</v>
      </c>
      <c r="AL6986">
        <v>77.610596607128201</v>
      </c>
      <c r="AM6986">
        <v>102.15944536214</v>
      </c>
      <c r="AN6986">
        <v>1.0000000364797299</v>
      </c>
    </row>
    <row r="6987" spans="1:40" x14ac:dyDescent="0.25">
      <c r="A6987" t="str">
        <f>"20190312172251191"</f>
        <v>20190312172251191</v>
      </c>
      <c r="B6987" t="str">
        <f>"1552382571187770"</f>
        <v>1552382571187770</v>
      </c>
      <c r="C6987" t="s">
        <v>40</v>
      </c>
      <c r="D6987">
        <v>3.133454</v>
      </c>
      <c r="E6987">
        <v>0.51206229999999997</v>
      </c>
      <c r="F6987" t="s">
        <v>64</v>
      </c>
      <c r="G6987">
        <v>-298.12569999999999</v>
      </c>
      <c r="H6987" s="1">
        <v>-7.28217099999999E-6</v>
      </c>
      <c r="I6987">
        <v>-56.143230000000003</v>
      </c>
      <c r="J6987">
        <v>-301.48079999999999</v>
      </c>
      <c r="K6987">
        <v>1.110514</v>
      </c>
      <c r="L6987">
        <v>-38.668759999999999</v>
      </c>
      <c r="M6987">
        <v>1.1984330000000001E-3</v>
      </c>
      <c r="N6987">
        <v>0</v>
      </c>
      <c r="O6987">
        <v>-0.99994329999999998</v>
      </c>
      <c r="P6987">
        <v>0.20693130000000001</v>
      </c>
      <c r="Q6987">
        <v>0.2046664</v>
      </c>
      <c r="R6987">
        <v>-0.95670869999999997</v>
      </c>
      <c r="S6987">
        <v>0.58108519999999997</v>
      </c>
      <c r="T6987">
        <v>-0.19233439999999999</v>
      </c>
      <c r="U6987">
        <v>-3.0509339999999998</v>
      </c>
      <c r="V6987">
        <v>-0.20577580000000001</v>
      </c>
      <c r="W6987">
        <v>0.21480389999999999</v>
      </c>
      <c r="X6987">
        <v>0.95473330000000001</v>
      </c>
      <c r="Y6987">
        <v>-0.1855628</v>
      </c>
      <c r="Z6987">
        <v>6.1816400000000001E-2</v>
      </c>
      <c r="AA6987">
        <v>0.98068610000000001</v>
      </c>
      <c r="AB6987">
        <v>14</v>
      </c>
      <c r="AC6987">
        <v>3.35509999999999</v>
      </c>
      <c r="AD6987">
        <v>-1.110521282171</v>
      </c>
      <c r="AE6987">
        <v>-17.47447</v>
      </c>
      <c r="AF6987">
        <v>-3.3212178024112702</v>
      </c>
      <c r="AG6987">
        <v>-1.110521282171</v>
      </c>
      <c r="AH6987">
        <v>17.4106614389617</v>
      </c>
      <c r="AI6987">
        <v>93.585136019633794</v>
      </c>
      <c r="AJ6987">
        <v>100.799861892151</v>
      </c>
      <c r="AK6987">
        <v>17.759360263009398</v>
      </c>
      <c r="AL6987">
        <v>77.595977630414396</v>
      </c>
      <c r="AM6987">
        <v>102.16302434412199</v>
      </c>
      <c r="AN6987">
        <v>1.0000000347248601</v>
      </c>
    </row>
    <row r="6988" spans="1:40" x14ac:dyDescent="0.25">
      <c r="A6988" t="str">
        <f>"20190312172251214"</f>
        <v>20190312172251214</v>
      </c>
      <c r="B6988" t="str">
        <f>"1552382571207286"</f>
        <v>1552382571207286</v>
      </c>
      <c r="C6988" t="s">
        <v>40</v>
      </c>
      <c r="D6988">
        <v>3.151586</v>
      </c>
      <c r="E6988">
        <v>0.5119901</v>
      </c>
      <c r="F6988" t="s">
        <v>64</v>
      </c>
      <c r="G6988">
        <v>-298.1155</v>
      </c>
      <c r="H6988" s="1">
        <v>-7.2708139999999999E-6</v>
      </c>
      <c r="I6988">
        <v>-56.2761</v>
      </c>
      <c r="J6988">
        <v>-301.48059999999998</v>
      </c>
      <c r="K6988">
        <v>1.1105080000000001</v>
      </c>
      <c r="L6988">
        <v>-38.817050000000002</v>
      </c>
      <c r="M6988">
        <v>1.1978900000000001E-3</v>
      </c>
      <c r="N6988">
        <v>0</v>
      </c>
      <c r="O6988">
        <v>-0.99994349999999999</v>
      </c>
      <c r="P6988">
        <v>0.20679790000000001</v>
      </c>
      <c r="Q6988">
        <v>0.20518320000000001</v>
      </c>
      <c r="R6988">
        <v>-0.95662659999999999</v>
      </c>
      <c r="S6988">
        <v>0.58309940000000005</v>
      </c>
      <c r="T6988">
        <v>-0.19241929999999999</v>
      </c>
      <c r="U6988">
        <v>-3.0508120000000001</v>
      </c>
      <c r="V6988">
        <v>-0.2056433</v>
      </c>
      <c r="W6988">
        <v>0.21528630000000001</v>
      </c>
      <c r="X6988">
        <v>0.95465310000000003</v>
      </c>
      <c r="Y6988">
        <v>-0.186195</v>
      </c>
      <c r="Z6988">
        <v>6.1838499999999998E-2</v>
      </c>
      <c r="AA6988">
        <v>0.98056480000000001</v>
      </c>
      <c r="AB6988">
        <v>14</v>
      </c>
      <c r="AC6988">
        <v>3.36509999999998</v>
      </c>
      <c r="AD6988">
        <v>-1.110515270814</v>
      </c>
      <c r="AE6988">
        <v>-17.459049999999898</v>
      </c>
      <c r="AF6988">
        <v>-3.3311877189227501</v>
      </c>
      <c r="AG6988">
        <v>-1.110515270814</v>
      </c>
      <c r="AH6988">
        <v>17.3952114847432</v>
      </c>
      <c r="AI6988">
        <v>93.587802543731001</v>
      </c>
      <c r="AJ6988">
        <v>100.840908418297</v>
      </c>
      <c r="AK6988">
        <v>17.7460823390504</v>
      </c>
      <c r="AL6988">
        <v>77.567674930018498</v>
      </c>
      <c r="AM6988">
        <v>102.156416282585</v>
      </c>
      <c r="AN6988">
        <v>0.99999994957109295</v>
      </c>
    </row>
    <row r="6989" spans="1:40" x14ac:dyDescent="0.25">
      <c r="A6989" t="str">
        <f>"20190312172251236"</f>
        <v>20190312172251236</v>
      </c>
      <c r="B6989" t="str">
        <f>"1552382571226842"</f>
        <v>1552382571226842</v>
      </c>
      <c r="C6989" t="s">
        <v>40</v>
      </c>
      <c r="D6989">
        <v>3.144037</v>
      </c>
      <c r="E6989">
        <v>0.51190869999999999</v>
      </c>
      <c r="F6989" t="s">
        <v>64</v>
      </c>
      <c r="G6989">
        <v>-298.09160000000003</v>
      </c>
      <c r="H6989" s="1">
        <v>-7.2507239999999997E-6</v>
      </c>
      <c r="I6989">
        <v>-56.529449999999997</v>
      </c>
      <c r="J6989">
        <v>-301.48039999999997</v>
      </c>
      <c r="K6989">
        <v>1.1105100000000001</v>
      </c>
      <c r="L6989">
        <v>-38.957090000000001</v>
      </c>
      <c r="M6989">
        <v>1.197696E-3</v>
      </c>
      <c r="N6989">
        <v>0</v>
      </c>
      <c r="O6989">
        <v>-0.99994400000000006</v>
      </c>
      <c r="P6989">
        <v>0.20660619999999999</v>
      </c>
      <c r="Q6989">
        <v>0.20478180000000001</v>
      </c>
      <c r="R6989">
        <v>-0.9567542</v>
      </c>
      <c r="S6989">
        <v>0.58374019999999904</v>
      </c>
      <c r="T6989">
        <v>-0.1912808</v>
      </c>
      <c r="U6989">
        <v>-3.0508730000000002</v>
      </c>
      <c r="V6989">
        <v>-0.20545150000000001</v>
      </c>
      <c r="W6989">
        <v>0.2148584</v>
      </c>
      <c r="X6989">
        <v>0.95479080000000005</v>
      </c>
      <c r="Y6989">
        <v>-0.18639459999999999</v>
      </c>
      <c r="Z6989">
        <v>6.1470480000000001E-2</v>
      </c>
      <c r="AA6989">
        <v>0.98055009999999998</v>
      </c>
      <c r="AB6989">
        <v>14</v>
      </c>
      <c r="AC6989">
        <v>3.3887999999999399</v>
      </c>
      <c r="AD6989">
        <v>-1.110517250724</v>
      </c>
      <c r="AE6989">
        <v>-17.5723599999999</v>
      </c>
      <c r="AF6989">
        <v>-3.35483184043406</v>
      </c>
      <c r="AG6989">
        <v>-1.110517250724</v>
      </c>
      <c r="AH6989">
        <v>17.508985726384601</v>
      </c>
      <c r="AI6989">
        <v>93.564485824267393</v>
      </c>
      <c r="AJ6989">
        <v>100.846767981616</v>
      </c>
      <c r="AK6989">
        <v>17.862047094565799</v>
      </c>
      <c r="AL6989">
        <v>77.592779433003997</v>
      </c>
      <c r="AM6989">
        <v>102.143715336537</v>
      </c>
      <c r="AN6989">
        <v>0.99999996133372404</v>
      </c>
    </row>
    <row r="6990" spans="1:40" x14ac:dyDescent="0.25">
      <c r="A6990" t="str">
        <f>"20190312172251259"</f>
        <v>20190312172251259</v>
      </c>
      <c r="B6990" t="str">
        <f>"1552382571247338"</f>
        <v>1552382571247338</v>
      </c>
      <c r="C6990" t="s">
        <v>40</v>
      </c>
      <c r="D6990">
        <v>3.1422840000000001</v>
      </c>
      <c r="E6990">
        <v>0.51184879999999999</v>
      </c>
      <c r="F6990" t="s">
        <v>64</v>
      </c>
      <c r="G6990">
        <v>-298.12200000000001</v>
      </c>
      <c r="H6990" s="1">
        <v>-7.2419780000000001E-6</v>
      </c>
      <c r="I6990">
        <v>-56.512050000000002</v>
      </c>
      <c r="J6990">
        <v>-301.4803</v>
      </c>
      <c r="K6990">
        <v>1.1105039999999999</v>
      </c>
      <c r="L6990">
        <v>-39.10107</v>
      </c>
      <c r="M6990">
        <v>1.197762E-3</v>
      </c>
      <c r="N6990">
        <v>0</v>
      </c>
      <c r="O6990">
        <v>-0.99994419999999995</v>
      </c>
      <c r="P6990">
        <v>0.20682829999999999</v>
      </c>
      <c r="Q6990">
        <v>0.20415150000000001</v>
      </c>
      <c r="R6990">
        <v>-0.9568411</v>
      </c>
      <c r="S6990">
        <v>0.58364869999999902</v>
      </c>
      <c r="T6990">
        <v>-0.19299659999999999</v>
      </c>
      <c r="U6990">
        <v>-3.0508730000000002</v>
      </c>
      <c r="V6990">
        <v>-0.2056733</v>
      </c>
      <c r="W6990">
        <v>0.21420500000000001</v>
      </c>
      <c r="X6990">
        <v>0.95488989999999996</v>
      </c>
      <c r="Y6990">
        <v>-0.18635969999999999</v>
      </c>
      <c r="Z6990">
        <v>6.202009E-2</v>
      </c>
      <c r="AA6990">
        <v>0.98052209999999995</v>
      </c>
      <c r="AB6990">
        <v>14</v>
      </c>
      <c r="AC6990">
        <v>3.3582999999999799</v>
      </c>
      <c r="AD6990">
        <v>-1.1105112419779899</v>
      </c>
      <c r="AE6990">
        <v>-17.410979999999999</v>
      </c>
      <c r="AF6990">
        <v>-3.3244030939465099</v>
      </c>
      <c r="AG6990">
        <v>-1.1105112419779899</v>
      </c>
      <c r="AH6990">
        <v>17.346951107674599</v>
      </c>
      <c r="AI6990">
        <v>93.597650925447596</v>
      </c>
      <c r="AJ6990">
        <v>100.84873723267</v>
      </c>
      <c r="AK6990">
        <v>17.697502758345699</v>
      </c>
      <c r="AL6990">
        <v>77.631109467522805</v>
      </c>
      <c r="AM6990">
        <v>102.155211558896</v>
      </c>
      <c r="AN6990">
        <v>1.00000000473995</v>
      </c>
    </row>
    <row r="6991" spans="1:40" x14ac:dyDescent="0.25">
      <c r="A6991" t="str">
        <f>"20190312172251282"</f>
        <v>20190312172251282</v>
      </c>
      <c r="B6991" t="str">
        <f>"1552382571277594"</f>
        <v>1552382571277594</v>
      </c>
      <c r="C6991" t="s">
        <v>40</v>
      </c>
      <c r="D6991">
        <v>3.1447669999999999</v>
      </c>
      <c r="E6991">
        <v>0.51176639999999995</v>
      </c>
      <c r="F6991" t="s">
        <v>64</v>
      </c>
      <c r="G6991">
        <v>-298.15910000000002</v>
      </c>
      <c r="H6991" s="1">
        <v>-7.2392099999999999E-6</v>
      </c>
      <c r="I6991">
        <v>-56.420960000000001</v>
      </c>
      <c r="J6991">
        <v>-301.48</v>
      </c>
      <c r="K6991">
        <v>1.110495</v>
      </c>
      <c r="L6991">
        <v>-39.250639999999997</v>
      </c>
      <c r="M6991">
        <v>1.1980510000000001E-3</v>
      </c>
      <c r="N6991">
        <v>0</v>
      </c>
      <c r="O6991">
        <v>-0.99994439999999996</v>
      </c>
      <c r="P6991">
        <v>0.20672789999999999</v>
      </c>
      <c r="Q6991">
        <v>0.2046856</v>
      </c>
      <c r="R6991">
        <v>-0.9567485</v>
      </c>
      <c r="S6991">
        <v>0.58496090000000001</v>
      </c>
      <c r="T6991">
        <v>-0.1955974</v>
      </c>
      <c r="U6991">
        <v>-3.0505979999999999</v>
      </c>
      <c r="V6991">
        <v>-0.2055727</v>
      </c>
      <c r="W6991">
        <v>0.2147173</v>
      </c>
      <c r="X6991">
        <v>0.95479650000000005</v>
      </c>
      <c r="Y6991">
        <v>-0.18677279999999999</v>
      </c>
      <c r="Z6991">
        <v>6.2853080000000006E-2</v>
      </c>
      <c r="AA6991">
        <v>0.9803904</v>
      </c>
      <c r="AB6991">
        <v>14</v>
      </c>
      <c r="AC6991">
        <v>3.3208999999999902</v>
      </c>
      <c r="AD6991">
        <v>-1.1105022392099999</v>
      </c>
      <c r="AE6991">
        <v>-17.170319999999901</v>
      </c>
      <c r="AF6991">
        <v>-3.2870717188620202</v>
      </c>
      <c r="AG6991">
        <v>-1.1105022392099999</v>
      </c>
      <c r="AH6991">
        <v>17.105315909969399</v>
      </c>
      <c r="AI6991">
        <v>93.647953324630805</v>
      </c>
      <c r="AJ6991">
        <v>100.87773541838</v>
      </c>
      <c r="AK6991">
        <v>17.4536497068116</v>
      </c>
      <c r="AL6991">
        <v>77.6010576136715</v>
      </c>
      <c r="AM6991">
        <v>102.150595973896</v>
      </c>
      <c r="AN6991">
        <v>1.0000000051584099</v>
      </c>
    </row>
    <row r="6992" spans="1:40" x14ac:dyDescent="0.25">
      <c r="A6992" t="str">
        <f>"20190312172251303"</f>
        <v>20190312172251303</v>
      </c>
      <c r="B6992" t="str">
        <f>"1552382571297115"</f>
        <v>1552382571297115</v>
      </c>
      <c r="C6992" t="s">
        <v>40</v>
      </c>
      <c r="D6992">
        <v>3.1666669999999999</v>
      </c>
      <c r="E6992">
        <v>0.51170190000000004</v>
      </c>
      <c r="F6992" t="s">
        <v>64</v>
      </c>
      <c r="G6992">
        <v>-298.14359999999999</v>
      </c>
      <c r="H6992" s="1">
        <v>-7.220041E-6</v>
      </c>
      <c r="I6992">
        <v>-56.639890000000001</v>
      </c>
      <c r="J6992">
        <v>-301.47989999999999</v>
      </c>
      <c r="K6992">
        <v>1.1104860000000001</v>
      </c>
      <c r="L6992">
        <v>-39.392969999999998</v>
      </c>
      <c r="M6992">
        <v>1.198443E-3</v>
      </c>
      <c r="N6992">
        <v>0</v>
      </c>
      <c r="O6992">
        <v>-0.99994470000000002</v>
      </c>
      <c r="P6992">
        <v>0.20643529999999999</v>
      </c>
      <c r="Q6992">
        <v>0.205292</v>
      </c>
      <c r="R6992">
        <v>-0.95668200000000003</v>
      </c>
      <c r="S6992">
        <v>0.58535769999999998</v>
      </c>
      <c r="T6992">
        <v>-0.19482930000000001</v>
      </c>
      <c r="U6992">
        <v>-3.0508120000000001</v>
      </c>
      <c r="V6992">
        <v>-0.2052803</v>
      </c>
      <c r="W6992">
        <v>0.2153012</v>
      </c>
      <c r="X6992">
        <v>0.95472789999999996</v>
      </c>
      <c r="Y6992">
        <v>-0.18688569999999999</v>
      </c>
      <c r="Z6992">
        <v>6.2601519999999994E-2</v>
      </c>
      <c r="AA6992">
        <v>0.98038499999999995</v>
      </c>
      <c r="AB6992">
        <v>14</v>
      </c>
      <c r="AC6992">
        <v>3.3362999999999898</v>
      </c>
      <c r="AD6992">
        <v>-1.110493220041</v>
      </c>
      <c r="AE6992">
        <v>-17.246919999999999</v>
      </c>
      <c r="AF6992">
        <v>-3.30242964984068</v>
      </c>
      <c r="AG6992">
        <v>-1.110493220041</v>
      </c>
      <c r="AH6992">
        <v>17.1822414524352</v>
      </c>
      <c r="AI6992">
        <v>93.631613210178003</v>
      </c>
      <c r="AJ6992">
        <v>100.87958581663899</v>
      </c>
      <c r="AK6992">
        <v>17.531932526498199</v>
      </c>
      <c r="AL6992">
        <v>77.566801178029394</v>
      </c>
      <c r="AM6992">
        <v>102.13467183832999</v>
      </c>
      <c r="AN6992">
        <v>0.99999998566396897</v>
      </c>
    </row>
    <row r="6993" spans="1:40" x14ac:dyDescent="0.25">
      <c r="A6993" t="str">
        <f>"20190312172251325"</f>
        <v>20190312172251325</v>
      </c>
      <c r="B6993" t="str">
        <f>"1552382571317140"</f>
        <v>1552382571317140</v>
      </c>
      <c r="C6993" t="s">
        <v>40</v>
      </c>
      <c r="D6993">
        <v>3.236078</v>
      </c>
      <c r="E6993">
        <v>0.5116233</v>
      </c>
      <c r="F6993" t="s">
        <v>64</v>
      </c>
      <c r="G6993">
        <v>-298.11770000000001</v>
      </c>
      <c r="H6993" s="1">
        <v>-7.1976969999999998E-6</v>
      </c>
      <c r="I6993">
        <v>-56.919220000000003</v>
      </c>
      <c r="J6993">
        <v>-301.47969999999998</v>
      </c>
      <c r="K6993">
        <v>1.1104810000000001</v>
      </c>
      <c r="L6993">
        <v>-39.538510000000002</v>
      </c>
      <c r="M6993">
        <v>1.199018E-3</v>
      </c>
      <c r="N6993">
        <v>0</v>
      </c>
      <c r="O6993">
        <v>-0.99994490000000003</v>
      </c>
      <c r="P6993">
        <v>0.2067235</v>
      </c>
      <c r="Q6993">
        <v>0.20517550000000001</v>
      </c>
      <c r="R6993">
        <v>-0.95664459999999996</v>
      </c>
      <c r="S6993">
        <v>0.58529659999999994</v>
      </c>
      <c r="T6993">
        <v>-0.1933183</v>
      </c>
      <c r="U6993">
        <v>-3.0510250000000001</v>
      </c>
      <c r="V6993">
        <v>-0.2055681</v>
      </c>
      <c r="W6993">
        <v>0.2151602</v>
      </c>
      <c r="X6993">
        <v>0.95469780000000004</v>
      </c>
      <c r="Y6993">
        <v>-0.1868592</v>
      </c>
      <c r="Z6993">
        <v>6.2113939999999999E-2</v>
      </c>
      <c r="AA6993">
        <v>0.98042110000000005</v>
      </c>
      <c r="AB6993">
        <v>15</v>
      </c>
      <c r="AC6993">
        <v>3.3619999999999601</v>
      </c>
      <c r="AD6993">
        <v>-1.110488197697</v>
      </c>
      <c r="AE6993">
        <v>-17.380710000000001</v>
      </c>
      <c r="AF6993">
        <v>-3.3280608943077499</v>
      </c>
      <c r="AG6993">
        <v>-1.110488197697</v>
      </c>
      <c r="AH6993">
        <v>17.316588817723598</v>
      </c>
      <c r="AI6993">
        <v>93.603503646656193</v>
      </c>
      <c r="AJ6993">
        <v>100.878978464797</v>
      </c>
      <c r="AK6993">
        <v>17.668430084066699</v>
      </c>
      <c r="AL6993">
        <v>77.575074229062395</v>
      </c>
      <c r="AM6993">
        <v>102.15155098003299</v>
      </c>
      <c r="AN6993">
        <v>1.0000000223632399</v>
      </c>
    </row>
    <row r="6994" spans="1:40" x14ac:dyDescent="0.25">
      <c r="A6994" t="str">
        <f>"20190312172251347"</f>
        <v>20190312172251347</v>
      </c>
      <c r="B6994" t="str">
        <f>"1552382571337636"</f>
        <v>1552382571337636</v>
      </c>
      <c r="C6994" t="s">
        <v>40</v>
      </c>
      <c r="D6994">
        <v>3.1650459999999998</v>
      </c>
      <c r="E6994">
        <v>0.51154540000000004</v>
      </c>
      <c r="F6994" t="s">
        <v>64</v>
      </c>
      <c r="G6994">
        <v>-298.12270000000001</v>
      </c>
      <c r="H6994" s="1">
        <v>-7.1869919999999997E-6</v>
      </c>
      <c r="I6994">
        <v>-56.999049999999997</v>
      </c>
      <c r="J6994">
        <v>-301.4796</v>
      </c>
      <c r="K6994">
        <v>1.1104750000000001</v>
      </c>
      <c r="L6994">
        <v>-39.680660000000003</v>
      </c>
      <c r="M6994">
        <v>1.2006790000000001E-3</v>
      </c>
      <c r="N6994">
        <v>0</v>
      </c>
      <c r="O6994">
        <v>-0.99994519999999998</v>
      </c>
      <c r="P6994">
        <v>0.2075244</v>
      </c>
      <c r="Q6994">
        <v>0.20484840000000001</v>
      </c>
      <c r="R6994">
        <v>-0.95654130000000004</v>
      </c>
      <c r="S6994">
        <v>0.58657840000000006</v>
      </c>
      <c r="T6994">
        <v>-0.19403309999999999</v>
      </c>
      <c r="U6994">
        <v>-3.0508419999999998</v>
      </c>
      <c r="V6994">
        <v>-0.20636750000000001</v>
      </c>
      <c r="W6994">
        <v>0.21480669999999999</v>
      </c>
      <c r="X6994">
        <v>0.95460489999999998</v>
      </c>
      <c r="Y6994">
        <v>-0.18726300000000001</v>
      </c>
      <c r="Z6994">
        <v>6.2341500000000001E-2</v>
      </c>
      <c r="AA6994">
        <v>0.98032960000000002</v>
      </c>
      <c r="AB6994">
        <v>15</v>
      </c>
      <c r="AC6994">
        <v>3.3568999999999898</v>
      </c>
      <c r="AD6994">
        <v>-1.1104821869920001</v>
      </c>
      <c r="AE6994">
        <v>-17.318390000000001</v>
      </c>
      <c r="AF6994">
        <v>-3.3229348701711801</v>
      </c>
      <c r="AG6994">
        <v>-1.1104821869920001</v>
      </c>
      <c r="AH6994">
        <v>17.254035910949298</v>
      </c>
      <c r="AI6994">
        <v>93.616246245402806</v>
      </c>
      <c r="AJ6994">
        <v>100.901060683238</v>
      </c>
      <c r="AK6994">
        <v>17.606158639957599</v>
      </c>
      <c r="AL6994">
        <v>77.595812794937004</v>
      </c>
      <c r="AM6994">
        <v>102.198544420461</v>
      </c>
      <c r="AN6994">
        <v>0.99999998926257405</v>
      </c>
    </row>
    <row r="6995" spans="1:40" x14ac:dyDescent="0.25">
      <c r="A6995" t="str">
        <f>"20190312172251369"</f>
        <v>20190312172251369</v>
      </c>
      <c r="B6995" t="str">
        <f>"1552382571357156"</f>
        <v>1552382571357156</v>
      </c>
      <c r="C6995" t="s">
        <v>40</v>
      </c>
      <c r="D6995">
        <v>3.1679879999999998</v>
      </c>
      <c r="E6995">
        <v>0.51147419999999999</v>
      </c>
      <c r="F6995" t="s">
        <v>64</v>
      </c>
      <c r="G6995">
        <v>-298.13290000000001</v>
      </c>
      <c r="H6995" s="1">
        <v>-7.1809969999999996E-6</v>
      </c>
      <c r="I6995">
        <v>-57.020220000000002</v>
      </c>
      <c r="J6995">
        <v>-301.4794</v>
      </c>
      <c r="K6995">
        <v>1.1104670000000001</v>
      </c>
      <c r="L6995">
        <v>-39.826450000000001</v>
      </c>
      <c r="M6995">
        <v>1.205575E-3</v>
      </c>
      <c r="N6995">
        <v>0</v>
      </c>
      <c r="O6995">
        <v>-0.99994539999999998</v>
      </c>
      <c r="P6995">
        <v>0.20755889999999999</v>
      </c>
      <c r="Q6995">
        <v>0.20507220000000001</v>
      </c>
      <c r="R6995">
        <v>-0.95648569999999999</v>
      </c>
      <c r="S6995">
        <v>0.58874510000000002</v>
      </c>
      <c r="T6995">
        <v>-0.1953588</v>
      </c>
      <c r="U6995">
        <v>-3.0504150000000001</v>
      </c>
      <c r="V6995">
        <v>-0.20639859999999999</v>
      </c>
      <c r="W6995">
        <v>0.214999</v>
      </c>
      <c r="X6995">
        <v>0.95455489999999998</v>
      </c>
      <c r="Y6995">
        <v>-0.18795000000000001</v>
      </c>
      <c r="Z6995">
        <v>6.2766000000000002E-2</v>
      </c>
      <c r="AA6995">
        <v>0.98017100000000001</v>
      </c>
      <c r="AB6995">
        <v>15</v>
      </c>
      <c r="AC6995">
        <v>3.34649999999999</v>
      </c>
      <c r="AD6995">
        <v>-1.110474180997</v>
      </c>
      <c r="AE6995">
        <v>-17.193769999999901</v>
      </c>
      <c r="AF6995">
        <v>-3.3124550549585101</v>
      </c>
      <c r="AG6995">
        <v>-1.110474180997</v>
      </c>
      <c r="AH6995">
        <v>17.128949585287099</v>
      </c>
      <c r="AI6995">
        <v>93.642020289395404</v>
      </c>
      <c r="AJ6995">
        <v>100.944952392641</v>
      </c>
      <c r="AK6995">
        <v>17.481602480696399</v>
      </c>
      <c r="AL6995">
        <v>77.584531420869297</v>
      </c>
      <c r="AM6995">
        <v>102.20094761647699</v>
      </c>
      <c r="AN6995">
        <v>1.00000000459848</v>
      </c>
    </row>
    <row r="6996" spans="1:40" x14ac:dyDescent="0.25">
      <c r="A6996" t="str">
        <f>"20190312172251393"</f>
        <v>20190312172251393</v>
      </c>
      <c r="B6996" t="str">
        <f>"1552382571387412"</f>
        <v>1552382571387412</v>
      </c>
      <c r="C6996" t="s">
        <v>40</v>
      </c>
      <c r="D6996">
        <v>3.1157810000000001</v>
      </c>
      <c r="E6996">
        <v>0.51135529999999996</v>
      </c>
      <c r="F6996" t="s">
        <v>64</v>
      </c>
      <c r="G6996">
        <v>-298.1302</v>
      </c>
      <c r="H6996" s="1">
        <v>-7.1656210000000004E-6</v>
      </c>
      <c r="I6996">
        <v>-57.165599999999998</v>
      </c>
      <c r="J6996">
        <v>-301.47919999999999</v>
      </c>
      <c r="K6996">
        <v>1.1104609999999999</v>
      </c>
      <c r="L6996">
        <v>-39.974550000000001</v>
      </c>
      <c r="M6996">
        <v>1.2160179999999999E-3</v>
      </c>
      <c r="N6996">
        <v>0</v>
      </c>
      <c r="O6996">
        <v>-0.99994559999999999</v>
      </c>
      <c r="P6996">
        <v>0.20835719999999999</v>
      </c>
      <c r="Q6996">
        <v>0.2055903</v>
      </c>
      <c r="R6996">
        <v>-0.95620050000000001</v>
      </c>
      <c r="S6996">
        <v>0.58923340000000002</v>
      </c>
      <c r="T6996">
        <v>-0.1953675</v>
      </c>
      <c r="U6996">
        <v>-3.0505070000000001</v>
      </c>
      <c r="V6996">
        <v>-0.20718880000000001</v>
      </c>
      <c r="W6996">
        <v>0.2154749</v>
      </c>
      <c r="X6996">
        <v>0.95427640000000002</v>
      </c>
      <c r="Y6996">
        <v>-0.18808549999999999</v>
      </c>
      <c r="Z6996">
        <v>6.2765199999999993E-2</v>
      </c>
      <c r="AA6996">
        <v>0.98014509999999999</v>
      </c>
      <c r="AB6996">
        <v>15</v>
      </c>
      <c r="AC6996">
        <v>3.3489999999999802</v>
      </c>
      <c r="AD6996">
        <v>-1.110468165621</v>
      </c>
      <c r="AE6996">
        <v>-17.191049999999901</v>
      </c>
      <c r="AF6996">
        <v>-3.3147662791864798</v>
      </c>
      <c r="AG6996">
        <v>-1.110468165621</v>
      </c>
      <c r="AH6996">
        <v>17.126261676814799</v>
      </c>
      <c r="AI6996">
        <v>93.642458690280193</v>
      </c>
      <c r="AJ6996">
        <v>100.95408184528399</v>
      </c>
      <c r="AK6996">
        <v>17.479406570453801</v>
      </c>
      <c r="AL6996">
        <v>77.556610372359501</v>
      </c>
      <c r="AM6996">
        <v>102.249718078431</v>
      </c>
      <c r="AN6996">
        <v>1.0000000394862001</v>
      </c>
    </row>
    <row r="6997" spans="1:40" x14ac:dyDescent="0.25">
      <c r="A6997" t="str">
        <f>"20190312172251414"</f>
        <v>20190312172251414</v>
      </c>
      <c r="B6997" t="str">
        <f>"1552382571406932"</f>
        <v>1552382571406932</v>
      </c>
      <c r="C6997" t="s">
        <v>40</v>
      </c>
      <c r="D6997">
        <v>3.1507960000000002</v>
      </c>
      <c r="E6997">
        <v>0.51127489999999998</v>
      </c>
      <c r="F6997" t="s">
        <v>64</v>
      </c>
      <c r="G6997">
        <v>-298.09679999999997</v>
      </c>
      <c r="H6997" s="1">
        <v>-7.1533029999999996E-6</v>
      </c>
      <c r="I6997">
        <v>-57.379060000000003</v>
      </c>
      <c r="J6997">
        <v>-301.47899999999998</v>
      </c>
      <c r="K6997">
        <v>1.1104579999999999</v>
      </c>
      <c r="L6997">
        <v>-40.119660000000003</v>
      </c>
      <c r="M6997">
        <v>1.233533E-3</v>
      </c>
      <c r="N6997">
        <v>0</v>
      </c>
      <c r="O6997">
        <v>-0.99994640000000001</v>
      </c>
      <c r="P6997">
        <v>0.2090717</v>
      </c>
      <c r="Q6997">
        <v>0.2059425</v>
      </c>
      <c r="R6997">
        <v>-0.95596930000000002</v>
      </c>
      <c r="S6997">
        <v>0.59274289999999996</v>
      </c>
      <c r="T6997">
        <v>-0.19460559999999999</v>
      </c>
      <c r="U6997">
        <v>-3.0500790000000002</v>
      </c>
      <c r="V6997">
        <v>-0.20788970000000001</v>
      </c>
      <c r="W6997">
        <v>0.21578040000000001</v>
      </c>
      <c r="X6997">
        <v>0.95405490000000004</v>
      </c>
      <c r="Y6997">
        <v>-0.18918370000000001</v>
      </c>
      <c r="Z6997">
        <v>6.2516569999999994E-2</v>
      </c>
      <c r="AA6997">
        <v>0.97994959999999998</v>
      </c>
      <c r="AB6997">
        <v>15</v>
      </c>
      <c r="AC6997">
        <v>3.38220000000006</v>
      </c>
      <c r="AD6997">
        <v>-1.1104651533030001</v>
      </c>
      <c r="AE6997">
        <v>-17.259399999999999</v>
      </c>
      <c r="AF6997">
        <v>-3.3475611651297599</v>
      </c>
      <c r="AG6997">
        <v>-1.1104651533030001</v>
      </c>
      <c r="AH6997">
        <v>17.195011004163099</v>
      </c>
      <c r="AI6997">
        <v>93.627157469246697</v>
      </c>
      <c r="AJ6997">
        <v>101.01666186187499</v>
      </c>
      <c r="AK6997">
        <v>17.552996953348899</v>
      </c>
      <c r="AL6997">
        <v>77.538684709440801</v>
      </c>
      <c r="AM6997">
        <v>102.292666847308</v>
      </c>
      <c r="AN6997">
        <v>1.0000000303021199</v>
      </c>
    </row>
    <row r="6998" spans="1:40" x14ac:dyDescent="0.25">
      <c r="A6998" t="str">
        <f>"20190312172251437"</f>
        <v>20190312172251437</v>
      </c>
      <c r="B6998" t="str">
        <f>"1552382571427428"</f>
        <v>1552382571427428</v>
      </c>
      <c r="C6998" t="s">
        <v>40</v>
      </c>
      <c r="D6998">
        <v>3.1610999999999998</v>
      </c>
      <c r="E6998">
        <v>0.51118220000000003</v>
      </c>
      <c r="F6998" t="s">
        <v>64</v>
      </c>
      <c r="G6998">
        <v>-298.06950000000001</v>
      </c>
      <c r="H6998" s="1">
        <v>-7.1393520000000001E-6</v>
      </c>
      <c r="I6998">
        <v>-57.5884</v>
      </c>
      <c r="J6998">
        <v>-301.47879999999998</v>
      </c>
      <c r="K6998">
        <v>1.110455</v>
      </c>
      <c r="L6998">
        <v>-40.266779999999997</v>
      </c>
      <c r="M6998">
        <v>1.261821E-3</v>
      </c>
      <c r="N6998">
        <v>0</v>
      </c>
      <c r="O6998">
        <v>-0.99994660000000002</v>
      </c>
      <c r="P6998">
        <v>0.20972679999999999</v>
      </c>
      <c r="Q6998">
        <v>0.20630009999999999</v>
      </c>
      <c r="R6998">
        <v>-0.9557483</v>
      </c>
      <c r="S6998">
        <v>0.59524540000000004</v>
      </c>
      <c r="T6998">
        <v>-0.19387019999999999</v>
      </c>
      <c r="U6998">
        <v>-3.0497740000000002</v>
      </c>
      <c r="V6998">
        <v>-0.20852209999999999</v>
      </c>
      <c r="W6998">
        <v>0.21608540000000001</v>
      </c>
      <c r="X6998">
        <v>0.95384780000000002</v>
      </c>
      <c r="Y6998">
        <v>-0.1899518</v>
      </c>
      <c r="Z6998">
        <v>6.2277859999999997E-2</v>
      </c>
      <c r="AA6998">
        <v>0.97981620000000003</v>
      </c>
      <c r="AB6998">
        <v>15</v>
      </c>
      <c r="AC6998">
        <v>3.4092999999999698</v>
      </c>
      <c r="AD6998">
        <v>-1.110462139352</v>
      </c>
      <c r="AE6998">
        <v>-17.321619999999999</v>
      </c>
      <c r="AF6998">
        <v>-3.3740893767881901</v>
      </c>
      <c r="AG6998">
        <v>-1.110462139352</v>
      </c>
      <c r="AH6998">
        <v>17.2576265647333</v>
      </c>
      <c r="AI6998">
        <v>93.613459488492296</v>
      </c>
      <c r="AJ6998">
        <v>101.06251920236799</v>
      </c>
      <c r="AK6998">
        <v>17.619400668958001</v>
      </c>
      <c r="AL6998">
        <v>77.5207868283686</v>
      </c>
      <c r="AM6998">
        <v>102.331514073484</v>
      </c>
      <c r="AN6998">
        <v>0.99999999592320499</v>
      </c>
    </row>
    <row r="6999" spans="1:40" x14ac:dyDescent="0.25">
      <c r="A6999" t="str">
        <f>"20190312172251459"</f>
        <v>20190312172251459</v>
      </c>
      <c r="B6999" t="str">
        <f>"1552382571446948"</f>
        <v>1552382571446948</v>
      </c>
      <c r="C6999" t="s">
        <v>40</v>
      </c>
      <c r="D6999">
        <v>3.1492830000000001</v>
      </c>
      <c r="E6999">
        <v>0.51109830000000001</v>
      </c>
      <c r="F6999" t="s">
        <v>64</v>
      </c>
      <c r="G6999">
        <v>-298.0367</v>
      </c>
      <c r="H6999" s="1">
        <v>-7.1265969999999998E-6</v>
      </c>
      <c r="I6999">
        <v>-57.804160000000003</v>
      </c>
      <c r="J6999">
        <v>-301.4785</v>
      </c>
      <c r="K6999">
        <v>1.1104540000000001</v>
      </c>
      <c r="L6999">
        <v>-40.413150000000002</v>
      </c>
      <c r="M6999">
        <v>1.306104E-3</v>
      </c>
      <c r="N6999">
        <v>0</v>
      </c>
      <c r="O6999">
        <v>-0.99994729999999998</v>
      </c>
      <c r="P6999">
        <v>0.2107435</v>
      </c>
      <c r="Q6999">
        <v>0.2059646</v>
      </c>
      <c r="R6999">
        <v>-0.95559749999999999</v>
      </c>
      <c r="S6999">
        <v>0.59848020000000002</v>
      </c>
      <c r="T6999">
        <v>-0.193078</v>
      </c>
      <c r="U6999">
        <v>-3.049255</v>
      </c>
      <c r="V6999">
        <v>-0.20950150000000001</v>
      </c>
      <c r="W6999">
        <v>0.2156971</v>
      </c>
      <c r="X6999">
        <v>0.95372109999999999</v>
      </c>
      <c r="Y6999">
        <v>-0.19094369999999999</v>
      </c>
      <c r="Z6999">
        <v>6.2022420000000002E-2</v>
      </c>
      <c r="AA6999">
        <v>0.97963960000000005</v>
      </c>
      <c r="AB6999">
        <v>15</v>
      </c>
      <c r="AC6999">
        <v>3.4418000000000002</v>
      </c>
      <c r="AD6999">
        <v>-1.1104611265969999</v>
      </c>
      <c r="AE6999">
        <v>-17.391009999999898</v>
      </c>
      <c r="AF6999">
        <v>-3.4057191393019002</v>
      </c>
      <c r="AG6999">
        <v>-1.1104611265969999</v>
      </c>
      <c r="AH6999">
        <v>17.327506578795301</v>
      </c>
      <c r="AI6999">
        <v>93.598219330107</v>
      </c>
      <c r="AJ6999">
        <v>101.119732001374</v>
      </c>
      <c r="AK6999">
        <v>17.693912258392299</v>
      </c>
      <c r="AL6999">
        <v>77.543572509345196</v>
      </c>
      <c r="AM6999">
        <v>102.389244202771</v>
      </c>
      <c r="AN6999">
        <v>1.0000000270179299</v>
      </c>
    </row>
    <row r="7000" spans="1:40" x14ac:dyDescent="0.25">
      <c r="A7000" t="str">
        <f>"20190312172251484"</f>
        <v>20190312172251484</v>
      </c>
      <c r="B7000" t="str">
        <f>"1552382571477204"</f>
        <v>1552382571477204</v>
      </c>
      <c r="C7000" t="s">
        <v>40</v>
      </c>
      <c r="D7000">
        <v>3.274823</v>
      </c>
      <c r="E7000">
        <v>0.51096529999999996</v>
      </c>
      <c r="F7000" t="s">
        <v>64</v>
      </c>
      <c r="G7000">
        <v>-298.04149999999998</v>
      </c>
      <c r="H7000" s="1">
        <v>-7.1245920000000001E-6</v>
      </c>
      <c r="I7000">
        <v>-57.807130000000001</v>
      </c>
      <c r="J7000">
        <v>-301.47820000000002</v>
      </c>
      <c r="K7000">
        <v>1.11046</v>
      </c>
      <c r="L7000">
        <v>-40.56955</v>
      </c>
      <c r="M7000">
        <v>1.3823640000000001E-3</v>
      </c>
      <c r="N7000">
        <v>0</v>
      </c>
      <c r="O7000">
        <v>-0.99994780000000005</v>
      </c>
      <c r="P7000">
        <v>0.21153720000000001</v>
      </c>
      <c r="Q7000">
        <v>0.2056162</v>
      </c>
      <c r="R7000">
        <v>-0.95549700000000004</v>
      </c>
      <c r="S7000">
        <v>0.60238649999999905</v>
      </c>
      <c r="T7000">
        <v>-0.19462090000000001</v>
      </c>
      <c r="U7000">
        <v>-3.048492</v>
      </c>
      <c r="V7000">
        <v>-0.21023040000000001</v>
      </c>
      <c r="W7000">
        <v>0.21529519999999999</v>
      </c>
      <c r="X7000">
        <v>0.95365149999999999</v>
      </c>
      <c r="Y7000">
        <v>-0.1921175</v>
      </c>
      <c r="Z7000">
        <v>6.2516500000000003E-2</v>
      </c>
      <c r="AA7000">
        <v>0.97937859999999999</v>
      </c>
      <c r="AB7000">
        <v>15</v>
      </c>
      <c r="AC7000">
        <v>3.4367000000000298</v>
      </c>
      <c r="AD7000">
        <v>-1.1104671245919999</v>
      </c>
      <c r="AE7000">
        <v>-17.237580000000001</v>
      </c>
      <c r="AF7000">
        <v>-3.3992987710170901</v>
      </c>
      <c r="AG7000">
        <v>-1.1104671245919999</v>
      </c>
      <c r="AH7000">
        <v>17.173766399566102</v>
      </c>
      <c r="AI7000">
        <v>93.629412119670107</v>
      </c>
      <c r="AJ7000">
        <v>101.196152167619</v>
      </c>
      <c r="AK7000">
        <v>17.542138459044999</v>
      </c>
      <c r="AL7000">
        <v>77.567153564312505</v>
      </c>
      <c r="AM7000">
        <v>102.431890228095</v>
      </c>
      <c r="AN7000">
        <v>1.00000001383972</v>
      </c>
    </row>
    <row r="7001" spans="1:40" x14ac:dyDescent="0.25">
      <c r="A7001" t="str">
        <f>"20190312172251505"</f>
        <v>20190312172251505</v>
      </c>
      <c r="B7001" t="str">
        <f>"1552382571497700"</f>
        <v>1552382571497700</v>
      </c>
      <c r="C7001" t="s">
        <v>40</v>
      </c>
      <c r="D7001">
        <v>3.109413</v>
      </c>
      <c r="E7001">
        <v>0.51088859999999903</v>
      </c>
      <c r="F7001" t="s">
        <v>64</v>
      </c>
      <c r="G7001">
        <v>-298.05309999999997</v>
      </c>
      <c r="H7001" s="1">
        <v>-7.1224039999999999E-6</v>
      </c>
      <c r="I7001">
        <v>-57.790329999999997</v>
      </c>
      <c r="J7001">
        <v>-301.47789999999998</v>
      </c>
      <c r="K7001">
        <v>1.110465</v>
      </c>
      <c r="L7001">
        <v>-40.71613</v>
      </c>
      <c r="M7001">
        <v>1.484415E-3</v>
      </c>
      <c r="N7001">
        <v>0</v>
      </c>
      <c r="O7001">
        <v>-0.99994780000000005</v>
      </c>
      <c r="P7001">
        <v>0.21233170000000001</v>
      </c>
      <c r="Q7001">
        <v>0.20642089999999999</v>
      </c>
      <c r="R7001">
        <v>-0.95514699999999997</v>
      </c>
      <c r="S7001">
        <v>0.6062012</v>
      </c>
      <c r="T7001">
        <v>-0.19653619999999999</v>
      </c>
      <c r="U7001">
        <v>-3.0478209999999999</v>
      </c>
      <c r="V7001">
        <v>-0.21093790000000001</v>
      </c>
      <c r="W7001">
        <v>0.21604899999999999</v>
      </c>
      <c r="X7001">
        <v>0.95332470000000002</v>
      </c>
      <c r="Y7001">
        <v>-0.19323019999999999</v>
      </c>
      <c r="Z7001">
        <v>6.312827E-2</v>
      </c>
      <c r="AA7001">
        <v>0.97912049999999995</v>
      </c>
      <c r="AB7001">
        <v>15</v>
      </c>
      <c r="AC7001">
        <v>3.4247999999999998</v>
      </c>
      <c r="AD7001">
        <v>-1.110472122404</v>
      </c>
      <c r="AE7001">
        <v>-17.074200000000001</v>
      </c>
      <c r="AF7001">
        <v>-3.3856823970118199</v>
      </c>
      <c r="AG7001">
        <v>-1.110472122404</v>
      </c>
      <c r="AH7001">
        <v>17.010096436229801</v>
      </c>
      <c r="AI7001">
        <v>93.663485472951095</v>
      </c>
      <c r="AJ7001">
        <v>101.257010991103</v>
      </c>
      <c r="AK7001">
        <v>17.379280031057402</v>
      </c>
      <c r="AL7001">
        <v>77.522922596247497</v>
      </c>
      <c r="AM7001">
        <v>102.476562500871</v>
      </c>
      <c r="AN7001">
        <v>0.999999975843749</v>
      </c>
    </row>
    <row r="7002" spans="1:40" x14ac:dyDescent="0.25">
      <c r="A7002" t="str">
        <f>"20190312172251526"</f>
        <v>20190312172251526</v>
      </c>
      <c r="B7002" t="str">
        <f>"1552382571517221"</f>
        <v>1552382571517221</v>
      </c>
      <c r="C7002" t="s">
        <v>40</v>
      </c>
      <c r="D7002">
        <v>3.0941589999999999</v>
      </c>
      <c r="E7002">
        <v>0.51080809999999999</v>
      </c>
      <c r="F7002" t="s">
        <v>64</v>
      </c>
      <c r="G7002">
        <v>-297.99759999999998</v>
      </c>
      <c r="H7002" s="1">
        <v>-7.1082360000000001E-6</v>
      </c>
      <c r="I7002">
        <v>-58.089379999999998</v>
      </c>
      <c r="J7002">
        <v>-301.4776</v>
      </c>
      <c r="K7002">
        <v>1.1104799999999999</v>
      </c>
      <c r="L7002">
        <v>-40.858089999999997</v>
      </c>
      <c r="M7002">
        <v>1.611566E-3</v>
      </c>
      <c r="N7002">
        <v>0</v>
      </c>
      <c r="O7002">
        <v>-0.99994799999999995</v>
      </c>
      <c r="P7002">
        <v>0.21270320000000001</v>
      </c>
      <c r="Q7002">
        <v>0.20700389999999999</v>
      </c>
      <c r="R7002">
        <v>-0.95493819999999996</v>
      </c>
      <c r="S7002">
        <v>0.61044309999999902</v>
      </c>
      <c r="T7002">
        <v>-0.19477700000000001</v>
      </c>
      <c r="U7002">
        <v>-3.047272</v>
      </c>
      <c r="V7002">
        <v>-0.21119840000000001</v>
      </c>
      <c r="W7002">
        <v>0.21658720000000001</v>
      </c>
      <c r="X7002">
        <v>0.95314489999999996</v>
      </c>
      <c r="Y7002">
        <v>-0.19445680000000001</v>
      </c>
      <c r="Z7002">
        <v>6.2560420000000005E-2</v>
      </c>
      <c r="AA7002">
        <v>0.97891410000000001</v>
      </c>
      <c r="AB7002">
        <v>15</v>
      </c>
      <c r="AC7002">
        <v>3.4800000000000102</v>
      </c>
      <c r="AD7002">
        <v>-1.1104871082359999</v>
      </c>
      <c r="AE7002">
        <v>-17.231289999999898</v>
      </c>
      <c r="AF7002">
        <v>-3.4385032932214501</v>
      </c>
      <c r="AG7002">
        <v>-1.1104871082359999</v>
      </c>
      <c r="AH7002">
        <v>17.1683654399984</v>
      </c>
      <c r="AI7002">
        <v>93.628989637910493</v>
      </c>
      <c r="AJ7002">
        <v>101.325431429115</v>
      </c>
      <c r="AK7002">
        <v>17.544493677401601</v>
      </c>
      <c r="AL7002">
        <v>77.491338358749204</v>
      </c>
      <c r="AM7002">
        <v>102.49376961669699</v>
      </c>
      <c r="AN7002">
        <v>0.99999998988120398</v>
      </c>
    </row>
    <row r="7003" spans="1:40" x14ac:dyDescent="0.25">
      <c r="A7003" t="str">
        <f>"20190312172251548"</f>
        <v>20190312172251548</v>
      </c>
      <c r="B7003" t="str">
        <f>"1552382571537716"</f>
        <v>1552382571537716</v>
      </c>
      <c r="C7003" t="s">
        <v>40</v>
      </c>
      <c r="D7003">
        <v>3.1278280000000001</v>
      </c>
      <c r="E7003">
        <v>0.51071789999999995</v>
      </c>
      <c r="F7003" t="s">
        <v>64</v>
      </c>
      <c r="G7003">
        <v>-297.95639999999997</v>
      </c>
      <c r="H7003" s="1">
        <v>-7.0931760000000003E-6</v>
      </c>
      <c r="I7003">
        <v>-58.351819999999996</v>
      </c>
      <c r="J7003">
        <v>-301.47719999999998</v>
      </c>
      <c r="K7003">
        <v>1.110498</v>
      </c>
      <c r="L7003">
        <v>-41.005249999999997</v>
      </c>
      <c r="M7003">
        <v>1.781414E-3</v>
      </c>
      <c r="N7003">
        <v>0</v>
      </c>
      <c r="O7003">
        <v>-0.99994799999999995</v>
      </c>
      <c r="P7003">
        <v>0.21357899999999999</v>
      </c>
      <c r="Q7003">
        <v>0.20679149999999999</v>
      </c>
      <c r="R7003">
        <v>-0.95478870000000005</v>
      </c>
      <c r="S7003">
        <v>0.61328130000000003</v>
      </c>
      <c r="T7003">
        <v>-0.1934131</v>
      </c>
      <c r="U7003">
        <v>-3.046875</v>
      </c>
      <c r="V7003">
        <v>-0.21192469999999999</v>
      </c>
      <c r="W7003">
        <v>0.2163312</v>
      </c>
      <c r="X7003">
        <v>0.9530419</v>
      </c>
      <c r="Y7003">
        <v>-0.1951966</v>
      </c>
      <c r="Z7003">
        <v>6.2121740000000002E-2</v>
      </c>
      <c r="AA7003">
        <v>0.97879479999999996</v>
      </c>
      <c r="AB7003">
        <v>15</v>
      </c>
      <c r="AC7003">
        <v>3.5207999999999999</v>
      </c>
      <c r="AD7003">
        <v>-1.1105050931760001</v>
      </c>
      <c r="AE7003">
        <v>-17.34657</v>
      </c>
      <c r="AF7003">
        <v>-3.47620824853874</v>
      </c>
      <c r="AG7003">
        <v>-1.1105050931760001</v>
      </c>
      <c r="AH7003">
        <v>17.284777788552098</v>
      </c>
      <c r="AI7003">
        <v>93.604094022581805</v>
      </c>
      <c r="AJ7003">
        <v>101.371283770715</v>
      </c>
      <c r="AK7003">
        <v>17.665808460095999</v>
      </c>
      <c r="AL7003">
        <v>77.506363222330407</v>
      </c>
      <c r="AM7003">
        <v>102.53669117064101</v>
      </c>
      <c r="AN7003">
        <v>1.0000000648595599</v>
      </c>
    </row>
    <row r="7004" spans="1:40" x14ac:dyDescent="0.25">
      <c r="A7004" t="str">
        <f>"20190312172251571"</f>
        <v>20190312172251571</v>
      </c>
      <c r="B7004" t="str">
        <f>"1552382571566996"</f>
        <v>1552382571566996</v>
      </c>
      <c r="C7004" t="s">
        <v>40</v>
      </c>
      <c r="D7004">
        <v>3.1397879999999998</v>
      </c>
      <c r="E7004">
        <v>0.5106001</v>
      </c>
      <c r="F7004" t="s">
        <v>64</v>
      </c>
      <c r="G7004">
        <v>-297.95650000000001</v>
      </c>
      <c r="H7004" s="1">
        <v>-7.0880800000000002E-6</v>
      </c>
      <c r="I7004">
        <v>-58.398539999999997</v>
      </c>
      <c r="J7004">
        <v>-301.47669999999999</v>
      </c>
      <c r="K7004">
        <v>1.1105130000000001</v>
      </c>
      <c r="L7004">
        <v>-41.15549</v>
      </c>
      <c r="M7004">
        <v>2.0075649999999998E-3</v>
      </c>
      <c r="N7004">
        <v>0</v>
      </c>
      <c r="O7004">
        <v>-0.99994780000000005</v>
      </c>
      <c r="P7004">
        <v>0.21478990000000001</v>
      </c>
      <c r="Q7004">
        <v>0.20580879999999999</v>
      </c>
      <c r="R7004">
        <v>-0.95472939999999995</v>
      </c>
      <c r="S7004">
        <v>0.61660769999999998</v>
      </c>
      <c r="T7004">
        <v>-0.19449420000000001</v>
      </c>
      <c r="U7004">
        <v>-3.046265</v>
      </c>
      <c r="V7004">
        <v>-0.21293409999999999</v>
      </c>
      <c r="W7004">
        <v>0.2153004</v>
      </c>
      <c r="X7004">
        <v>0.95305030000000002</v>
      </c>
      <c r="Y7004">
        <v>-0.1960354</v>
      </c>
      <c r="Z7004">
        <v>6.2467830000000002E-2</v>
      </c>
      <c r="AA7004">
        <v>0.97860510000000001</v>
      </c>
      <c r="AB7004">
        <v>15</v>
      </c>
      <c r="AC7004">
        <v>3.52019999999998</v>
      </c>
      <c r="AD7004">
        <v>-1.1105200880799999</v>
      </c>
      <c r="AE7004">
        <v>-17.24305</v>
      </c>
      <c r="AF7004">
        <v>-3.47175043486232</v>
      </c>
      <c r="AG7004">
        <v>-1.1105200880799999</v>
      </c>
      <c r="AH7004">
        <v>17.181666823129401</v>
      </c>
      <c r="AI7004">
        <v>93.625050656953604</v>
      </c>
      <c r="AJ7004">
        <v>101.423450267288</v>
      </c>
      <c r="AK7004">
        <v>17.564053654239999</v>
      </c>
      <c r="AL7004">
        <v>77.566848722947995</v>
      </c>
      <c r="AM7004">
        <v>102.59439542295399</v>
      </c>
      <c r="AN7004">
        <v>1.00000003375652</v>
      </c>
    </row>
    <row r="7005" spans="1:40" x14ac:dyDescent="0.25">
      <c r="A7005" t="str">
        <f>"20190312172251593"</f>
        <v>20190312172251593</v>
      </c>
      <c r="B7005" t="str">
        <f>"1552382571587492"</f>
        <v>1552382571587492</v>
      </c>
      <c r="C7005" t="s">
        <v>40</v>
      </c>
      <c r="D7005">
        <v>3.1522570000000001</v>
      </c>
      <c r="E7005">
        <v>0.51052140000000001</v>
      </c>
      <c r="F7005" t="s">
        <v>64</v>
      </c>
      <c r="G7005">
        <v>-297.99950000000001</v>
      </c>
      <c r="H7005" s="1">
        <v>-7.0919069999999998E-6</v>
      </c>
      <c r="I7005">
        <v>-58.228740000000002</v>
      </c>
      <c r="J7005">
        <v>-301.47609999999997</v>
      </c>
      <c r="K7005">
        <v>1.1105389999999999</v>
      </c>
      <c r="L7005">
        <v>-41.305019999999999</v>
      </c>
      <c r="M7005">
        <v>2.3013310000000002E-3</v>
      </c>
      <c r="N7005">
        <v>0</v>
      </c>
      <c r="O7005">
        <v>-0.99994780000000005</v>
      </c>
      <c r="P7005">
        <v>0.2160591</v>
      </c>
      <c r="Q7005">
        <v>0.2059086</v>
      </c>
      <c r="R7005">
        <v>-0.95442179999999999</v>
      </c>
      <c r="S7005">
        <v>0.62023930000000005</v>
      </c>
      <c r="T7005">
        <v>-0.19808700000000001</v>
      </c>
      <c r="U7005">
        <v>-3.04541</v>
      </c>
      <c r="V7005">
        <v>-0.21394299999999999</v>
      </c>
      <c r="W7005">
        <v>0.21534410000000001</v>
      </c>
      <c r="X7005">
        <v>0.95281439999999995</v>
      </c>
      <c r="Y7005">
        <v>-0.19690679999999999</v>
      </c>
      <c r="Z7005">
        <v>6.3621360000000002E-2</v>
      </c>
      <c r="AA7005">
        <v>0.9783558</v>
      </c>
      <c r="AB7005">
        <v>15</v>
      </c>
      <c r="AC7005">
        <v>3.4765999999999599</v>
      </c>
      <c r="AD7005">
        <v>-1.110546091907</v>
      </c>
      <c r="AE7005">
        <v>-16.923719999999999</v>
      </c>
      <c r="AF7005">
        <v>-3.4234968721575898</v>
      </c>
      <c r="AG7005">
        <v>-1.110546091907</v>
      </c>
      <c r="AH7005">
        <v>16.862007395962099</v>
      </c>
      <c r="AI7005">
        <v>93.692975587272798</v>
      </c>
      <c r="AJ7005">
        <v>101.47677529718101</v>
      </c>
      <c r="AK7005">
        <v>17.241836818547</v>
      </c>
      <c r="AL7005">
        <v>77.564284135416997</v>
      </c>
      <c r="AM7005">
        <v>102.65518357908</v>
      </c>
      <c r="AN7005">
        <v>0.99999998475058405</v>
      </c>
    </row>
    <row r="7006" spans="1:40" x14ac:dyDescent="0.25">
      <c r="A7006" t="str">
        <f>"20190312172251615"</f>
        <v>20190312172251615</v>
      </c>
      <c r="B7006" t="str">
        <f>"1552382571607012"</f>
        <v>1552382571607012</v>
      </c>
      <c r="C7006" t="s">
        <v>40</v>
      </c>
      <c r="D7006">
        <v>3.1244190000000001</v>
      </c>
      <c r="E7006">
        <v>0.51044460000000003</v>
      </c>
      <c r="F7006" t="s">
        <v>64</v>
      </c>
      <c r="G7006">
        <v>-297.97579999999999</v>
      </c>
      <c r="H7006" s="1">
        <v>-7.0846449999999997E-6</v>
      </c>
      <c r="I7006">
        <v>-58.367240000000002</v>
      </c>
      <c r="J7006">
        <v>-301.47539999999998</v>
      </c>
      <c r="K7006">
        <v>1.110581</v>
      </c>
      <c r="L7006">
        <v>-41.454830000000001</v>
      </c>
      <c r="M7006">
        <v>2.6806239999999999E-3</v>
      </c>
      <c r="N7006">
        <v>0</v>
      </c>
      <c r="O7006">
        <v>-0.99994700000000003</v>
      </c>
      <c r="P7006">
        <v>0.21726760000000001</v>
      </c>
      <c r="Q7006">
        <v>0.20754110000000001</v>
      </c>
      <c r="R7006">
        <v>-0.95379329999999996</v>
      </c>
      <c r="S7006">
        <v>0.62460329999999997</v>
      </c>
      <c r="T7006">
        <v>-0.19817009999999999</v>
      </c>
      <c r="U7006">
        <v>-3.0446469999999999</v>
      </c>
      <c r="V7006">
        <v>-0.2148178</v>
      </c>
      <c r="W7006">
        <v>0.21691350000000001</v>
      </c>
      <c r="X7006">
        <v>0.95226140000000004</v>
      </c>
      <c r="Y7006">
        <v>-0.19792850000000001</v>
      </c>
      <c r="Z7006">
        <v>6.3647780000000001E-2</v>
      </c>
      <c r="AA7006">
        <v>0.97814789999999996</v>
      </c>
      <c r="AB7006">
        <v>15</v>
      </c>
      <c r="AC7006">
        <v>3.4995999999999801</v>
      </c>
      <c r="AD7006">
        <v>-1.110588084645</v>
      </c>
      <c r="AE7006">
        <v>-16.912410000000001</v>
      </c>
      <c r="AF7006">
        <v>-3.4400245109077199</v>
      </c>
      <c r="AG7006">
        <v>-1.110588084645</v>
      </c>
      <c r="AH7006">
        <v>16.852045828517301</v>
      </c>
      <c r="AI7006">
        <v>93.694499014755806</v>
      </c>
      <c r="AJ7006">
        <v>101.537334582898</v>
      </c>
      <c r="AK7006">
        <v>17.235388685372001</v>
      </c>
      <c r="AL7006">
        <v>77.472187140871696</v>
      </c>
      <c r="AM7006">
        <v>102.71239191182499</v>
      </c>
      <c r="AN7006">
        <v>0.99999996380452405</v>
      </c>
    </row>
    <row r="7007" spans="1:40" x14ac:dyDescent="0.25">
      <c r="A7007" t="str">
        <f>"20190312172251638"</f>
        <v>20190312172251638</v>
      </c>
      <c r="B7007" t="str">
        <f>"1552382571627508"</f>
        <v>1552382571627508</v>
      </c>
      <c r="C7007" t="s">
        <v>40</v>
      </c>
      <c r="D7007">
        <v>3.2343000000000002</v>
      </c>
      <c r="E7007">
        <v>0.51036369999999998</v>
      </c>
      <c r="F7007" t="s">
        <v>64</v>
      </c>
      <c r="G7007">
        <v>-297.85449999999997</v>
      </c>
      <c r="H7007" s="1">
        <v>-7.07351E-6</v>
      </c>
      <c r="I7007">
        <v>-58.915979999999998</v>
      </c>
      <c r="J7007">
        <v>-301.4744</v>
      </c>
      <c r="K7007">
        <v>1.1106480000000001</v>
      </c>
      <c r="L7007">
        <v>-41.604680000000002</v>
      </c>
      <c r="M7007">
        <v>3.1610929999999998E-3</v>
      </c>
      <c r="N7007">
        <v>0</v>
      </c>
      <c r="O7007">
        <v>-0.99994609999999995</v>
      </c>
      <c r="P7007">
        <v>0.2178235</v>
      </c>
      <c r="Q7007">
        <v>0.2088855</v>
      </c>
      <c r="R7007">
        <v>-0.95337309999999997</v>
      </c>
      <c r="S7007">
        <v>0.63116459999999996</v>
      </c>
      <c r="T7007">
        <v>-0.1935878</v>
      </c>
      <c r="U7007">
        <v>-3.0436709999999998</v>
      </c>
      <c r="V7007">
        <v>-0.2149499</v>
      </c>
      <c r="W7007">
        <v>0.2181911</v>
      </c>
      <c r="X7007">
        <v>0.95193970000000006</v>
      </c>
      <c r="Y7007">
        <v>-0.1995605</v>
      </c>
      <c r="Z7007">
        <v>6.2177530000000002E-2</v>
      </c>
      <c r="AA7007">
        <v>0.97791079999999997</v>
      </c>
      <c r="AB7007">
        <v>15</v>
      </c>
      <c r="AC7007">
        <v>3.6199000000000199</v>
      </c>
      <c r="AD7007">
        <v>-1.11065507350999</v>
      </c>
      <c r="AE7007">
        <v>-17.311299999999999</v>
      </c>
      <c r="AF7007">
        <v>-3.5511516423001002</v>
      </c>
      <c r="AG7007">
        <v>-1.11065507350999</v>
      </c>
      <c r="AH7007">
        <v>17.254608502371799</v>
      </c>
      <c r="AI7007">
        <v>93.607563450266994</v>
      </c>
      <c r="AJ7007">
        <v>101.629595406498</v>
      </c>
      <c r="AK7007">
        <v>17.651225092016801</v>
      </c>
      <c r="AL7007">
        <v>77.397190272045506</v>
      </c>
      <c r="AM7007">
        <v>102.724113679929</v>
      </c>
      <c r="AN7007">
        <v>1.00000000403265</v>
      </c>
    </row>
    <row r="7008" spans="1:40" x14ac:dyDescent="0.25">
      <c r="A7008" t="str">
        <f>"20190312172251660"</f>
        <v>20190312172251660</v>
      </c>
      <c r="B7008" t="str">
        <f>"1552382571657765"</f>
        <v>1552382571657765</v>
      </c>
      <c r="C7008" t="s">
        <v>40</v>
      </c>
      <c r="D7008">
        <v>3.1389490000000002</v>
      </c>
      <c r="E7008">
        <v>0.51022650000000003</v>
      </c>
      <c r="F7008" t="s">
        <v>64</v>
      </c>
      <c r="G7008">
        <v>-297.75839999999999</v>
      </c>
      <c r="H7008" s="1">
        <v>-7.0593749999999996E-6</v>
      </c>
      <c r="I7008">
        <v>-59.407049999999998</v>
      </c>
      <c r="J7008">
        <v>-301.47329999999999</v>
      </c>
      <c r="K7008">
        <v>1.1107119999999999</v>
      </c>
      <c r="L7008">
        <v>-41.753270000000001</v>
      </c>
      <c r="M7008">
        <v>3.7596140000000001E-3</v>
      </c>
      <c r="N7008">
        <v>0</v>
      </c>
      <c r="O7008">
        <v>-0.99994430000000001</v>
      </c>
      <c r="P7008">
        <v>0.21944640000000001</v>
      </c>
      <c r="Q7008">
        <v>0.20904880000000001</v>
      </c>
      <c r="R7008">
        <v>-0.95296499999999995</v>
      </c>
      <c r="S7008">
        <v>0.63522339999999999</v>
      </c>
      <c r="T7008">
        <v>-0.1898581</v>
      </c>
      <c r="U7008">
        <v>-3.0431819999999998</v>
      </c>
      <c r="V7008">
        <v>-0.21604219999999999</v>
      </c>
      <c r="W7008">
        <v>0.21827759999999999</v>
      </c>
      <c r="X7008">
        <v>0.95167259999999998</v>
      </c>
      <c r="Y7008">
        <v>-0.20027039999999999</v>
      </c>
      <c r="Z7008">
        <v>6.0980920000000001E-2</v>
      </c>
      <c r="AA7008">
        <v>0.97784099999999996</v>
      </c>
      <c r="AB7008">
        <v>15</v>
      </c>
      <c r="AC7008">
        <v>3.7149000000000001</v>
      </c>
      <c r="AD7008">
        <v>-1.110719059375</v>
      </c>
      <c r="AE7008">
        <v>-17.653779999999902</v>
      </c>
      <c r="AF7008">
        <v>-3.6347211004952098</v>
      </c>
      <c r="AG7008">
        <v>-1.110719059375</v>
      </c>
      <c r="AH7008">
        <v>17.6009033344382</v>
      </c>
      <c r="AI7008">
        <v>93.536482970637294</v>
      </c>
      <c r="AJ7008">
        <v>101.667999506879</v>
      </c>
      <c r="AK7008">
        <v>18.006573591205001</v>
      </c>
      <c r="AL7008">
        <v>77.392112240799506</v>
      </c>
      <c r="AM7008">
        <v>102.790123379132</v>
      </c>
      <c r="AN7008">
        <v>1.00000004021667</v>
      </c>
    </row>
    <row r="7009" spans="1:40" x14ac:dyDescent="0.25">
      <c r="A7009" t="str">
        <f>"20190312172251684"</f>
        <v>20190312172251684</v>
      </c>
      <c r="B7009" t="str">
        <f>"1552382571677285"</f>
        <v>1552382571677285</v>
      </c>
      <c r="C7009" t="s">
        <v>40</v>
      </c>
      <c r="D7009">
        <v>3.1004890000000001</v>
      </c>
      <c r="E7009">
        <v>0.51014729999999997</v>
      </c>
      <c r="F7009" t="s">
        <v>64</v>
      </c>
      <c r="G7009">
        <v>-297.71749999999997</v>
      </c>
      <c r="H7009" s="1">
        <v>-7.0610520000000004E-6</v>
      </c>
      <c r="I7009">
        <v>-59.539189999999998</v>
      </c>
      <c r="J7009">
        <v>-301.47190000000001</v>
      </c>
      <c r="K7009">
        <v>1.110787</v>
      </c>
      <c r="L7009">
        <v>-41.90936</v>
      </c>
      <c r="M7009">
        <v>4.5475109999999997E-3</v>
      </c>
      <c r="N7009">
        <v>0</v>
      </c>
      <c r="O7009">
        <v>-0.99994139999999998</v>
      </c>
      <c r="P7009">
        <v>0.22140650000000001</v>
      </c>
      <c r="Q7009">
        <v>0.20967359999999999</v>
      </c>
      <c r="R7009">
        <v>-0.95237400000000005</v>
      </c>
      <c r="S7009">
        <v>0.64233399999999996</v>
      </c>
      <c r="T7009">
        <v>-0.18995890000000001</v>
      </c>
      <c r="U7009">
        <v>-3.0418090000000002</v>
      </c>
      <c r="V7009">
        <v>-0.21730060000000001</v>
      </c>
      <c r="W7009">
        <v>0.21880810000000001</v>
      </c>
      <c r="X7009">
        <v>0.95126409999999995</v>
      </c>
      <c r="Y7009">
        <v>-0.20177539999999999</v>
      </c>
      <c r="Z7009">
        <v>6.101579E-2</v>
      </c>
      <c r="AA7009">
        <v>0.97752939999999999</v>
      </c>
      <c r="AB7009">
        <v>15</v>
      </c>
      <c r="AC7009">
        <v>3.7544000000000302</v>
      </c>
      <c r="AD7009">
        <v>-1.110794061052</v>
      </c>
      <c r="AE7009">
        <v>-17.629829999999998</v>
      </c>
      <c r="AF7009">
        <v>-3.6602851752037102</v>
      </c>
      <c r="AG7009">
        <v>-1.110794061052</v>
      </c>
      <c r="AH7009">
        <v>17.5799600977174</v>
      </c>
      <c r="AI7009">
        <v>93.539730170528699</v>
      </c>
      <c r="AJ7009">
        <v>101.761396541141</v>
      </c>
      <c r="AK7009">
        <v>17.991290894408301</v>
      </c>
      <c r="AL7009">
        <v>77.3609628833822</v>
      </c>
      <c r="AM7009">
        <v>102.867491686062</v>
      </c>
      <c r="AN7009">
        <v>0.99999996166738903</v>
      </c>
    </row>
    <row r="7010" spans="1:40" x14ac:dyDescent="0.25">
      <c r="A7010" t="str">
        <f>"20190312172251707"</f>
        <v>20190312172251707</v>
      </c>
      <c r="B7010" t="str">
        <f>"1552382571697781"</f>
        <v>1552382571697781</v>
      </c>
      <c r="C7010" t="s">
        <v>40</v>
      </c>
      <c r="D7010">
        <v>3.229311</v>
      </c>
      <c r="E7010">
        <v>0.51006779999999996</v>
      </c>
      <c r="F7010" t="s">
        <v>64</v>
      </c>
      <c r="G7010">
        <v>-297.64569999999998</v>
      </c>
      <c r="H7010" s="1">
        <v>-7.0571899999999899E-6</v>
      </c>
      <c r="I7010">
        <v>-59.8392699999999</v>
      </c>
      <c r="J7010">
        <v>-301.4701</v>
      </c>
      <c r="K7010">
        <v>1.1108659999999999</v>
      </c>
      <c r="L7010">
        <v>-42.069949999999999</v>
      </c>
      <c r="M7010">
        <v>5.4997750000000001E-3</v>
      </c>
      <c r="N7010">
        <v>0</v>
      </c>
      <c r="O7010">
        <v>-0.99993730000000003</v>
      </c>
      <c r="P7010">
        <v>0.2229228</v>
      </c>
      <c r="Q7010">
        <v>0.21079229999999999</v>
      </c>
      <c r="R7010">
        <v>-0.95177330000000004</v>
      </c>
      <c r="S7010">
        <v>0.64886469999999996</v>
      </c>
      <c r="T7010">
        <v>-0.1883745</v>
      </c>
      <c r="U7010">
        <v>-3.0406490000000002</v>
      </c>
      <c r="V7010">
        <v>-0.21795800000000001</v>
      </c>
      <c r="W7010">
        <v>0.2198339</v>
      </c>
      <c r="X7010">
        <v>0.95087710000000003</v>
      </c>
      <c r="Y7010">
        <v>-0.20293340000000001</v>
      </c>
      <c r="Z7010">
        <v>6.05102E-2</v>
      </c>
      <c r="AA7010">
        <v>0.97732110000000005</v>
      </c>
      <c r="AB7010">
        <v>15</v>
      </c>
      <c r="AC7010">
        <v>3.8244000000000198</v>
      </c>
      <c r="AD7010">
        <v>-1.1108730571899901</v>
      </c>
      <c r="AE7010">
        <v>-17.769319999999901</v>
      </c>
      <c r="AF7010">
        <v>-3.7127421489802201</v>
      </c>
      <c r="AG7010">
        <v>-1.1108730571899901</v>
      </c>
      <c r="AH7010">
        <v>17.7238820892813</v>
      </c>
      <c r="AI7010">
        <v>93.510418693059293</v>
      </c>
      <c r="AJ7010">
        <v>101.831065245269</v>
      </c>
      <c r="AK7010">
        <v>18.142615289112801</v>
      </c>
      <c r="AL7010">
        <v>77.300721973889196</v>
      </c>
      <c r="AM7010">
        <v>102.910194645819</v>
      </c>
      <c r="AN7010">
        <v>0.99999994632880795</v>
      </c>
    </row>
    <row r="7011" spans="1:40" x14ac:dyDescent="0.25">
      <c r="A7011" t="str">
        <f>"20190312172251728"</f>
        <v>20190312172251728</v>
      </c>
      <c r="B7011" t="str">
        <f>"1552382571717301"</f>
        <v>1552382571717301</v>
      </c>
      <c r="C7011" t="s">
        <v>40</v>
      </c>
      <c r="D7011">
        <v>3.1132710000000001</v>
      </c>
      <c r="E7011">
        <v>0.50998679999999996</v>
      </c>
      <c r="F7011" t="s">
        <v>64</v>
      </c>
      <c r="G7011">
        <v>-297.53840000000002</v>
      </c>
      <c r="H7011" s="1">
        <v>-7.0516299999999999E-6</v>
      </c>
      <c r="I7011">
        <v>-60.285339999999998</v>
      </c>
      <c r="J7011">
        <v>-301.46820000000002</v>
      </c>
      <c r="K7011">
        <v>1.110932</v>
      </c>
      <c r="L7011">
        <v>-42.209960000000002</v>
      </c>
      <c r="M7011">
        <v>6.4549459999999996E-3</v>
      </c>
      <c r="N7011">
        <v>0</v>
      </c>
      <c r="O7011">
        <v>-0.99993180000000004</v>
      </c>
      <c r="P7011">
        <v>0.2240328</v>
      </c>
      <c r="Q7011">
        <v>0.2126258</v>
      </c>
      <c r="R7011">
        <v>-0.95110459999999997</v>
      </c>
      <c r="S7011">
        <v>0.65603639999999996</v>
      </c>
      <c r="T7011">
        <v>-0.18536069999999999</v>
      </c>
      <c r="U7011">
        <v>-3.0394290000000002</v>
      </c>
      <c r="V7011">
        <v>-0.21820020000000001</v>
      </c>
      <c r="W7011">
        <v>0.2215877</v>
      </c>
      <c r="X7011">
        <v>0.95041439999999999</v>
      </c>
      <c r="Y7011">
        <v>-0.2042948</v>
      </c>
      <c r="Z7011">
        <v>5.954541E-2</v>
      </c>
      <c r="AA7011">
        <v>0.97709669999999904</v>
      </c>
      <c r="AB7011">
        <v>15</v>
      </c>
      <c r="AC7011">
        <v>3.9298000000000002</v>
      </c>
      <c r="AD7011">
        <v>-1.11093905163</v>
      </c>
      <c r="AE7011">
        <v>-18.075379999999999</v>
      </c>
      <c r="AF7011">
        <v>-3.79933274672476</v>
      </c>
      <c r="AG7011">
        <v>-1.11093905163</v>
      </c>
      <c r="AH7011">
        <v>18.035317600290998</v>
      </c>
      <c r="AI7011">
        <v>93.449332904358798</v>
      </c>
      <c r="AJ7011">
        <v>101.896031066283</v>
      </c>
      <c r="AK7011">
        <v>18.4646092793792</v>
      </c>
      <c r="AL7011">
        <v>77.197696408641207</v>
      </c>
      <c r="AM7011">
        <v>102.930139849406</v>
      </c>
      <c r="AN7011">
        <v>0.99999998389934397</v>
      </c>
    </row>
    <row r="7012" spans="1:40" x14ac:dyDescent="0.25">
      <c r="A7012" t="str">
        <f>"20190312172251749"</f>
        <v>20190312172251749</v>
      </c>
      <c r="B7012" t="str">
        <f>"1552382571737797"</f>
        <v>1552382571737797</v>
      </c>
      <c r="C7012" t="s">
        <v>40</v>
      </c>
      <c r="D7012">
        <v>3.2340840000000002</v>
      </c>
      <c r="E7012">
        <v>0.50990040000000003</v>
      </c>
      <c r="F7012" t="s">
        <v>64</v>
      </c>
      <c r="G7012">
        <v>-297.38290000000001</v>
      </c>
      <c r="H7012" s="1">
        <v>-1.220787E-5</v>
      </c>
      <c r="I7012">
        <v>-60.95158</v>
      </c>
      <c r="J7012">
        <v>-301.46589999999998</v>
      </c>
      <c r="K7012">
        <v>1.111003</v>
      </c>
      <c r="L7012">
        <v>-42.35904</v>
      </c>
      <c r="M7012">
        <v>7.6218419999999898E-3</v>
      </c>
      <c r="N7012">
        <v>0</v>
      </c>
      <c r="O7012">
        <v>-0.99992420000000004</v>
      </c>
      <c r="P7012">
        <v>0.2264253</v>
      </c>
      <c r="Q7012">
        <v>0.2129993</v>
      </c>
      <c r="R7012">
        <v>-0.95045420000000003</v>
      </c>
      <c r="S7012">
        <v>0.662323</v>
      </c>
      <c r="T7012">
        <v>-0.18011170000000001</v>
      </c>
      <c r="U7012">
        <v>-3.0384829999999998</v>
      </c>
      <c r="V7012">
        <v>-0.21952630000000001</v>
      </c>
      <c r="W7012">
        <v>0.22187370000000001</v>
      </c>
      <c r="X7012">
        <v>0.95004219999999895</v>
      </c>
      <c r="Y7012">
        <v>-0.20516699999999999</v>
      </c>
      <c r="Z7012">
        <v>5.786405E-2</v>
      </c>
      <c r="AA7012">
        <v>0.97701499999999997</v>
      </c>
      <c r="AB7012">
        <v>15</v>
      </c>
      <c r="AC7012">
        <v>4.08299999999997</v>
      </c>
      <c r="AD7012">
        <v>-1.11101520787</v>
      </c>
      <c r="AE7012">
        <v>-18.59254</v>
      </c>
      <c r="AF7012">
        <v>-3.9277853863055801</v>
      </c>
      <c r="AG7012">
        <v>-1.11101520787</v>
      </c>
      <c r="AH7012">
        <v>18.5598971559977</v>
      </c>
      <c r="AI7012">
        <v>93.351641691399905</v>
      </c>
      <c r="AJ7012">
        <v>101.949062339325</v>
      </c>
      <c r="AK7012">
        <v>19.003463770434202</v>
      </c>
      <c r="AL7012">
        <v>77.180891175111498</v>
      </c>
      <c r="AM7012">
        <v>103.010979995662</v>
      </c>
      <c r="AN7012">
        <v>0.99999995846210898</v>
      </c>
    </row>
    <row r="7013" spans="1:40" x14ac:dyDescent="0.25">
      <c r="A7013" t="str">
        <f>"20190312172251772"</f>
        <v>20190312172251772</v>
      </c>
      <c r="B7013" t="str">
        <f>"1552382571767076"</f>
        <v>1552382571767076</v>
      </c>
      <c r="C7013" t="s">
        <v>40</v>
      </c>
      <c r="D7013">
        <v>3.2617409999999998</v>
      </c>
      <c r="E7013">
        <v>0.48152089999999997</v>
      </c>
      <c r="F7013" t="s">
        <v>64</v>
      </c>
      <c r="G7013">
        <v>-297.3098</v>
      </c>
      <c r="H7013" s="1">
        <v>-1.223371E-5</v>
      </c>
      <c r="I7013">
        <v>-61.170110000000001</v>
      </c>
      <c r="J7013">
        <v>-301.46319999999997</v>
      </c>
      <c r="K7013">
        <v>1.111078</v>
      </c>
      <c r="L7013">
        <v>-42.512540000000001</v>
      </c>
      <c r="M7013">
        <v>8.9943439999999996E-3</v>
      </c>
      <c r="N7013">
        <v>0</v>
      </c>
      <c r="O7013">
        <v>-0.99991300000000005</v>
      </c>
      <c r="P7013">
        <v>0.22993820000000001</v>
      </c>
      <c r="Q7013">
        <v>0.21163470000000001</v>
      </c>
      <c r="R7013">
        <v>-0.94991539999999997</v>
      </c>
      <c r="S7013">
        <v>0.670929</v>
      </c>
      <c r="T7013">
        <v>-0.1793554</v>
      </c>
      <c r="U7013">
        <v>-3.036743</v>
      </c>
      <c r="V7013">
        <v>-0.22177820000000001</v>
      </c>
      <c r="W7013">
        <v>0.22041350000000001</v>
      </c>
      <c r="X7013">
        <v>0.94985909999999996</v>
      </c>
      <c r="Y7013">
        <v>-0.2065843</v>
      </c>
      <c r="Z7013">
        <v>5.7627119999999997E-2</v>
      </c>
      <c r="AA7013">
        <v>0.97673030000000005</v>
      </c>
      <c r="AB7013">
        <v>15</v>
      </c>
      <c r="AC7013">
        <v>4.1533999999999702</v>
      </c>
      <c r="AD7013">
        <v>-1.1110902337099999</v>
      </c>
      <c r="AE7013">
        <v>-18.65757</v>
      </c>
      <c r="AF7013">
        <v>-3.9719903752318002</v>
      </c>
      <c r="AG7013">
        <v>-1.1110902337099999</v>
      </c>
      <c r="AH7013">
        <v>18.631219964254701</v>
      </c>
      <c r="AI7013">
        <v>93.338007414111502</v>
      </c>
      <c r="AJ7013">
        <v>102.034721742405</v>
      </c>
      <c r="AK7013">
        <v>19.0822846222569</v>
      </c>
      <c r="AL7013">
        <v>77.266678949124</v>
      </c>
      <c r="AM7013">
        <v>103.14228311188</v>
      </c>
      <c r="AN7013">
        <v>0.99999999541514994</v>
      </c>
    </row>
    <row r="7014" spans="1:40" x14ac:dyDescent="0.25">
      <c r="A7014" t="str">
        <f>"20190312172251795"</f>
        <v>20190312172251795</v>
      </c>
      <c r="B7014" t="str">
        <f>"1552382571787573"</f>
        <v>1552382571787573</v>
      </c>
      <c r="C7014" t="s">
        <v>40</v>
      </c>
      <c r="D7014">
        <v>3.0225050000000002</v>
      </c>
      <c r="E7014">
        <v>0.47310489999999999</v>
      </c>
      <c r="F7014" t="s">
        <v>64</v>
      </c>
      <c r="G7014">
        <v>-295.89330000000001</v>
      </c>
      <c r="H7014" s="1">
        <v>-1.1750260000000001E-5</v>
      </c>
      <c r="I7014">
        <v>-60.953069999999997</v>
      </c>
      <c r="J7014">
        <v>-301.46010000000001</v>
      </c>
      <c r="K7014">
        <v>1.1111420000000001</v>
      </c>
      <c r="L7014">
        <v>-42.666719999999998</v>
      </c>
      <c r="M7014">
        <v>1.0541460000000001E-2</v>
      </c>
      <c r="N7014">
        <v>0</v>
      </c>
      <c r="O7014">
        <v>-0.99989870000000003</v>
      </c>
      <c r="P7014">
        <v>0.23415659999999999</v>
      </c>
      <c r="Q7014">
        <v>0.21045</v>
      </c>
      <c r="R7014">
        <v>-0.9491482</v>
      </c>
      <c r="S7014">
        <v>0.900177</v>
      </c>
      <c r="T7014">
        <v>-0.179569799999999</v>
      </c>
      <c r="U7014">
        <v>-2.980286</v>
      </c>
      <c r="V7014">
        <v>-0.22457479999999999</v>
      </c>
      <c r="W7014">
        <v>0.21912400000000001</v>
      </c>
      <c r="X7014">
        <v>0.94950029999999996</v>
      </c>
      <c r="Y7014">
        <v>-0.27855390000000002</v>
      </c>
      <c r="Z7014">
        <v>5.7666380000000003E-2</v>
      </c>
      <c r="AA7014">
        <v>0.95868779999999998</v>
      </c>
      <c r="AB7014">
        <v>15</v>
      </c>
      <c r="AC7014">
        <v>5.5667999999999997</v>
      </c>
      <c r="AD7014">
        <v>-1.11115375026</v>
      </c>
      <c r="AE7014">
        <v>-18.286349999999999</v>
      </c>
      <c r="AF7014">
        <v>-5.3556197358565196</v>
      </c>
      <c r="AG7014">
        <v>-1.11115375026</v>
      </c>
      <c r="AH7014">
        <v>18.282240851766201</v>
      </c>
      <c r="AI7014">
        <v>93.338088002204103</v>
      </c>
      <c r="AJ7014">
        <v>106.327476514775</v>
      </c>
      <c r="AK7014">
        <v>19.082915290222299</v>
      </c>
      <c r="AL7014">
        <v>77.342413400982906</v>
      </c>
      <c r="AM7014">
        <v>103.30699720278</v>
      </c>
      <c r="AN7014">
        <v>0.99999999393556405</v>
      </c>
    </row>
    <row r="7015" spans="1:40" x14ac:dyDescent="0.25">
      <c r="A7015" t="str">
        <f>"20190312172251816"</f>
        <v>20190312172251816</v>
      </c>
      <c r="B7015" t="str">
        <f>"1552382571808069"</f>
        <v>1552382571808069</v>
      </c>
      <c r="C7015" t="s">
        <v>40</v>
      </c>
      <c r="D7015">
        <v>3.0358619999999998</v>
      </c>
      <c r="E7015">
        <v>0.47003159999999999</v>
      </c>
      <c r="F7015" t="s">
        <v>64</v>
      </c>
      <c r="G7015">
        <v>-294.43549999999999</v>
      </c>
      <c r="H7015" s="1">
        <v>-1.1964650000000001E-5</v>
      </c>
      <c r="I7015">
        <v>-63.949849999999998</v>
      </c>
      <c r="J7015">
        <v>-301.45659999999998</v>
      </c>
      <c r="K7015">
        <v>1.111216</v>
      </c>
      <c r="L7015">
        <v>-42.817050000000002</v>
      </c>
      <c r="M7015">
        <v>1.220098E-2</v>
      </c>
      <c r="N7015">
        <v>0</v>
      </c>
      <c r="O7015">
        <v>-0.9998802</v>
      </c>
      <c r="P7015">
        <v>0.23786750000000001</v>
      </c>
      <c r="Q7015">
        <v>0.21077969999999999</v>
      </c>
      <c r="R7015">
        <v>-0.94815150000000004</v>
      </c>
      <c r="S7015">
        <v>0.97509769999999896</v>
      </c>
      <c r="T7015">
        <v>-0.15424260000000001</v>
      </c>
      <c r="U7015">
        <v>-2.9543759999999999</v>
      </c>
      <c r="V7015">
        <v>-0.22676379999999999</v>
      </c>
      <c r="W7015">
        <v>0.21934970000000001</v>
      </c>
      <c r="X7015">
        <v>0.94892779999999999</v>
      </c>
      <c r="Y7015">
        <v>-0.30142639999999998</v>
      </c>
      <c r="Z7015">
        <v>4.9606419999999998E-2</v>
      </c>
      <c r="AA7015">
        <v>0.95219819999999999</v>
      </c>
      <c r="AB7015">
        <v>15</v>
      </c>
      <c r="AC7015">
        <v>7.0210999999999899</v>
      </c>
      <c r="AD7015">
        <v>-1.1112279646500001</v>
      </c>
      <c r="AE7015">
        <v>-21.1328</v>
      </c>
      <c r="AF7015">
        <v>-6.7459266149630901</v>
      </c>
      <c r="AG7015">
        <v>-1.1112279646500001</v>
      </c>
      <c r="AH7015">
        <v>21.164193678142698</v>
      </c>
      <c r="AI7015">
        <v>92.863853906507899</v>
      </c>
      <c r="AJ7015">
        <v>107.679287479243</v>
      </c>
      <c r="AK7015">
        <v>22.241075682840101</v>
      </c>
      <c r="AL7015">
        <v>77.329159896091795</v>
      </c>
      <c r="AM7015">
        <v>103.43983538441699</v>
      </c>
      <c r="AN7015">
        <v>1.00000004074668</v>
      </c>
    </row>
    <row r="7016" spans="1:40" x14ac:dyDescent="0.25">
      <c r="A7016" t="str">
        <f>"20190312172251839"</f>
        <v>20190312172251839</v>
      </c>
      <c r="B7016" t="str">
        <f>"1552382571827589"</f>
        <v>1552382571827589</v>
      </c>
      <c r="C7016" t="s">
        <v>40</v>
      </c>
      <c r="D7016">
        <v>3.0195029999999998</v>
      </c>
      <c r="E7016">
        <v>0.46820070000000003</v>
      </c>
      <c r="F7016" t="s">
        <v>64</v>
      </c>
      <c r="G7016">
        <v>-293.67919999999998</v>
      </c>
      <c r="H7016" s="1">
        <v>-1.2026089999999999E-5</v>
      </c>
      <c r="I7016">
        <v>-65.491140000000001</v>
      </c>
      <c r="J7016">
        <v>-301.45260000000002</v>
      </c>
      <c r="K7016">
        <v>1.111278</v>
      </c>
      <c r="L7016">
        <v>-42.970089999999999</v>
      </c>
      <c r="M7016">
        <v>1.403152E-2</v>
      </c>
      <c r="N7016">
        <v>0</v>
      </c>
      <c r="O7016">
        <v>-0.99985679999999999</v>
      </c>
      <c r="P7016">
        <v>0.24150340000000001</v>
      </c>
      <c r="Q7016">
        <v>0.21091470000000001</v>
      </c>
      <c r="R7016">
        <v>-0.94720210000000005</v>
      </c>
      <c r="S7016">
        <v>1.0094299999999901</v>
      </c>
      <c r="T7016">
        <v>-0.1442263</v>
      </c>
      <c r="U7016">
        <v>-2.9428709999999998</v>
      </c>
      <c r="V7016">
        <v>-0.22871230000000001</v>
      </c>
      <c r="W7016">
        <v>0.2193813</v>
      </c>
      <c r="X7016">
        <v>0.94845270000000004</v>
      </c>
      <c r="Y7016">
        <v>-0.31079830000000003</v>
      </c>
      <c r="Z7016">
        <v>4.6406759999999998E-2</v>
      </c>
      <c r="AA7016">
        <v>0.94934229999999997</v>
      </c>
      <c r="AB7016">
        <v>15</v>
      </c>
      <c r="AC7016">
        <v>7.7734000000000298</v>
      </c>
      <c r="AD7016">
        <v>-1.11129002609</v>
      </c>
      <c r="AE7016">
        <v>-22.521049999999999</v>
      </c>
      <c r="AF7016">
        <v>-7.4404279900936103</v>
      </c>
      <c r="AG7016">
        <v>-1.11129002609</v>
      </c>
      <c r="AH7016">
        <v>22.578786023228002</v>
      </c>
      <c r="AI7016">
        <v>92.676379606072899</v>
      </c>
      <c r="AJ7016">
        <v>108.238695113186</v>
      </c>
      <c r="AK7016">
        <v>23.7990863791149</v>
      </c>
      <c r="AL7016">
        <v>77.327303592099</v>
      </c>
      <c r="AM7016">
        <v>103.557615031674</v>
      </c>
      <c r="AN7016">
        <v>0.99999999754913504</v>
      </c>
    </row>
    <row r="7017" spans="1:40" x14ac:dyDescent="0.25">
      <c r="A7017" t="str">
        <f>"20190312172251862"</f>
        <v>20190312172251862</v>
      </c>
      <c r="B7017" t="str">
        <f>"1552382571857844"</f>
        <v>1552382571857844</v>
      </c>
      <c r="C7017" t="s">
        <v>40</v>
      </c>
      <c r="D7017">
        <v>3.0436390000000002</v>
      </c>
      <c r="E7017">
        <v>0.46708169999999999</v>
      </c>
      <c r="F7017" t="s">
        <v>64</v>
      </c>
      <c r="G7017">
        <v>-293.51859999999999</v>
      </c>
      <c r="H7017" s="1">
        <v>-1.196788E-5</v>
      </c>
      <c r="I7017">
        <v>-65.472949999999997</v>
      </c>
      <c r="J7017">
        <v>-301.44810000000001</v>
      </c>
      <c r="K7017">
        <v>1.11134</v>
      </c>
      <c r="L7017">
        <v>-43.127749999999999</v>
      </c>
      <c r="M7017">
        <v>1.6061849999999999E-2</v>
      </c>
      <c r="N7017">
        <v>0</v>
      </c>
      <c r="O7017">
        <v>-0.99982660000000001</v>
      </c>
      <c r="P7017">
        <v>0.24468280000000001</v>
      </c>
      <c r="Q7017">
        <v>0.2111394</v>
      </c>
      <c r="R7017">
        <v>-0.94633529999999999</v>
      </c>
      <c r="S7017">
        <v>1.035034</v>
      </c>
      <c r="T7017">
        <v>-0.1449733</v>
      </c>
      <c r="U7017">
        <v>-2.9356080000000002</v>
      </c>
      <c r="V7017">
        <v>-0.23000960000000001</v>
      </c>
      <c r="W7017">
        <v>0.21951019999999999</v>
      </c>
      <c r="X7017">
        <v>0.94810910000000004</v>
      </c>
      <c r="Y7017">
        <v>-0.31696360000000001</v>
      </c>
      <c r="Z7017">
        <v>4.6639550000000002E-2</v>
      </c>
      <c r="AA7017">
        <v>0.94729019999999997</v>
      </c>
      <c r="AB7017">
        <v>15</v>
      </c>
      <c r="AC7017">
        <v>7.9295000000000098</v>
      </c>
      <c r="AD7017">
        <v>-1.1113519678799999</v>
      </c>
      <c r="AE7017">
        <v>-22.345199999999998</v>
      </c>
      <c r="AF7017">
        <v>-7.5529621920922896</v>
      </c>
      <c r="AG7017">
        <v>-1.1113519678799999</v>
      </c>
      <c r="AH7017">
        <v>22.4204283120059</v>
      </c>
      <c r="AI7017">
        <v>92.689481748931996</v>
      </c>
      <c r="AJ7017">
        <v>108.617569197926</v>
      </c>
      <c r="AK7017">
        <v>23.684550803540301</v>
      </c>
      <c r="AL7017">
        <v>77.319733739250196</v>
      </c>
      <c r="AM7017">
        <v>103.636410498057</v>
      </c>
      <c r="AN7017">
        <v>1.0000000047494999</v>
      </c>
    </row>
    <row r="7018" spans="1:40" x14ac:dyDescent="0.25">
      <c r="A7018" t="str">
        <f>"20190312172251885"</f>
        <v>20190312172251885</v>
      </c>
      <c r="B7018" t="str">
        <f>"1552382571877364"</f>
        <v>1552382571877364</v>
      </c>
      <c r="C7018" t="s">
        <v>40</v>
      </c>
      <c r="D7018">
        <v>3.034697</v>
      </c>
      <c r="E7018">
        <v>0.46668929999999997</v>
      </c>
      <c r="F7018" t="s">
        <v>64</v>
      </c>
      <c r="G7018">
        <v>-293.3614</v>
      </c>
      <c r="H7018" s="1">
        <v>-1.194405E-5</v>
      </c>
      <c r="I7018">
        <v>-65.632059999999996</v>
      </c>
      <c r="J7018">
        <v>-301.44310000000002</v>
      </c>
      <c r="K7018">
        <v>1.1113820000000001</v>
      </c>
      <c r="L7018">
        <v>-43.283969999999997</v>
      </c>
      <c r="M7018">
        <v>1.818964E-2</v>
      </c>
      <c r="N7018">
        <v>0</v>
      </c>
      <c r="O7018">
        <v>-0.99979059999999997</v>
      </c>
      <c r="P7018">
        <v>0.24780369999999999</v>
      </c>
      <c r="Q7018">
        <v>0.2122723</v>
      </c>
      <c r="R7018">
        <v>-0.94526929999999998</v>
      </c>
      <c r="S7018">
        <v>1.0529170000000001</v>
      </c>
      <c r="T7018">
        <v>-0.1447021</v>
      </c>
      <c r="U7018">
        <v>-2.930145</v>
      </c>
      <c r="V7018">
        <v>-0.2311522</v>
      </c>
      <c r="W7018">
        <v>0.22056000000000001</v>
      </c>
      <c r="X7018">
        <v>0.94758739999999997</v>
      </c>
      <c r="Y7018">
        <v>-0.32062839999999998</v>
      </c>
      <c r="Z7018">
        <v>4.6555869999999999E-2</v>
      </c>
      <c r="AA7018">
        <v>0.94606020000000002</v>
      </c>
      <c r="AB7018">
        <v>16</v>
      </c>
      <c r="AC7018">
        <v>8.0817000000000103</v>
      </c>
      <c r="AD7018">
        <v>-1.11139394404999</v>
      </c>
      <c r="AE7018">
        <v>-22.3480899999999</v>
      </c>
      <c r="AF7018">
        <v>-7.6570939952960897</v>
      </c>
      <c r="AG7018">
        <v>-1.11139394404999</v>
      </c>
      <c r="AH7018">
        <v>22.4423171977847</v>
      </c>
      <c r="AI7018">
        <v>92.683448578477694</v>
      </c>
      <c r="AJ7018">
        <v>108.83912743059599</v>
      </c>
      <c r="AK7018">
        <v>23.738658053008201</v>
      </c>
      <c r="AL7018">
        <v>77.258072963474703</v>
      </c>
      <c r="AM7018">
        <v>103.70886266927199</v>
      </c>
      <c r="AN7018">
        <v>0.99999996690179904</v>
      </c>
    </row>
    <row r="7019" spans="1:40" x14ac:dyDescent="0.25">
      <c r="A7019" t="str">
        <f>"20190312172251910"</f>
        <v>20190312172251910</v>
      </c>
      <c r="B7019" t="str">
        <f>"1552382571907621"</f>
        <v>1552382571907621</v>
      </c>
      <c r="C7019" t="s">
        <v>40</v>
      </c>
      <c r="D7019">
        <v>3.0505789999999999</v>
      </c>
      <c r="E7019">
        <v>0.46628720000000001</v>
      </c>
      <c r="F7019" t="s">
        <v>64</v>
      </c>
      <c r="G7019">
        <v>-293.13080000000002</v>
      </c>
      <c r="H7019" s="1">
        <v>-1.19591899999999E-5</v>
      </c>
      <c r="I7019">
        <v>-66.132859999999994</v>
      </c>
      <c r="J7019">
        <v>-301.43669999999997</v>
      </c>
      <c r="K7019">
        <v>1.111407</v>
      </c>
      <c r="L7019">
        <v>-43.465420000000002</v>
      </c>
      <c r="M7019">
        <v>2.0756E-2</v>
      </c>
      <c r="N7019">
        <v>0</v>
      </c>
      <c r="O7019">
        <v>-0.99974110000000005</v>
      </c>
      <c r="P7019">
        <v>0.25117610000000001</v>
      </c>
      <c r="Q7019">
        <v>0.2121895</v>
      </c>
      <c r="R7019">
        <v>-0.9443975</v>
      </c>
      <c r="S7019">
        <v>1.064667</v>
      </c>
      <c r="T7019">
        <v>-0.1423517</v>
      </c>
      <c r="U7019">
        <v>-2.9265750000000001</v>
      </c>
      <c r="V7019">
        <v>-0.23211419999999999</v>
      </c>
      <c r="W7019">
        <v>0.22040699999999999</v>
      </c>
      <c r="X7019">
        <v>0.94738789999999995</v>
      </c>
      <c r="Y7019">
        <v>-0.32193460000000002</v>
      </c>
      <c r="Z7019">
        <v>4.5809570000000001E-2</v>
      </c>
      <c r="AA7019">
        <v>0.94565299999999997</v>
      </c>
      <c r="AB7019">
        <v>16</v>
      </c>
      <c r="AC7019">
        <v>8.3058999999999497</v>
      </c>
      <c r="AD7019">
        <v>-1.1114189591899899</v>
      </c>
      <c r="AE7019">
        <v>-22.6674399999999</v>
      </c>
      <c r="AF7019">
        <v>-7.8170363931121898</v>
      </c>
      <c r="AG7019">
        <v>-1.1114189591899899</v>
      </c>
      <c r="AH7019">
        <v>22.786664543894801</v>
      </c>
      <c r="AI7019">
        <v>92.641508595958399</v>
      </c>
      <c r="AJ7019">
        <v>108.934691434478</v>
      </c>
      <c r="AK7019">
        <v>24.115832789063699</v>
      </c>
      <c r="AL7019">
        <v>77.267061342341606</v>
      </c>
      <c r="AM7019">
        <v>103.766538282555</v>
      </c>
      <c r="AN7019">
        <v>1.0000000402785201</v>
      </c>
    </row>
    <row r="7020" spans="1:40" x14ac:dyDescent="0.25">
      <c r="A7020" t="str">
        <f>"20190312172251934"</f>
        <v>20190312172251934</v>
      </c>
      <c r="B7020" t="str">
        <f>"1552382571927141"</f>
        <v>1552382571927141</v>
      </c>
      <c r="C7020" t="s">
        <v>40</v>
      </c>
      <c r="D7020">
        <v>3.0764149999999999</v>
      </c>
      <c r="E7020">
        <v>0.4661363</v>
      </c>
      <c r="F7020" t="s">
        <v>64</v>
      </c>
      <c r="G7020">
        <v>-293.09359999999998</v>
      </c>
      <c r="H7020" s="1">
        <v>-1.1940360000000001E-5</v>
      </c>
      <c r="I7020">
        <v>-66.100119999999905</v>
      </c>
      <c r="J7020">
        <v>-301.43060000000003</v>
      </c>
      <c r="K7020">
        <v>1.1114040000000001</v>
      </c>
      <c r="L7020">
        <v>-43.629429999999999</v>
      </c>
      <c r="M7020">
        <v>2.3133330000000001E-2</v>
      </c>
      <c r="N7020">
        <v>0</v>
      </c>
      <c r="O7020">
        <v>-0.9996893</v>
      </c>
      <c r="P7020">
        <v>0.25468049999999998</v>
      </c>
      <c r="Q7020">
        <v>0.21236160000000001</v>
      </c>
      <c r="R7020">
        <v>-0.94341969999999997</v>
      </c>
      <c r="S7020">
        <v>1.0771790000000001</v>
      </c>
      <c r="T7020">
        <v>-0.14349519999999999</v>
      </c>
      <c r="U7020">
        <v>-2.9223629999999998</v>
      </c>
      <c r="V7020">
        <v>-0.23338229999999999</v>
      </c>
      <c r="W7020">
        <v>0.22052749999999999</v>
      </c>
      <c r="X7020">
        <v>0.94704820000000001</v>
      </c>
      <c r="Y7020">
        <v>-0.32368429999999998</v>
      </c>
      <c r="Z7020">
        <v>4.6188369999999999E-2</v>
      </c>
      <c r="AA7020">
        <v>0.94503709999999996</v>
      </c>
      <c r="AB7020">
        <v>16</v>
      </c>
      <c r="AC7020">
        <v>8.3370000000000406</v>
      </c>
      <c r="AD7020">
        <v>-1.1114159403599999</v>
      </c>
      <c r="AE7020">
        <v>-22.470689999999902</v>
      </c>
      <c r="AF7020">
        <v>-7.7981556368889997</v>
      </c>
      <c r="AG7020">
        <v>-1.1114159403599999</v>
      </c>
      <c r="AH7020">
        <v>22.608929692093501</v>
      </c>
      <c r="AI7020">
        <v>92.660715328236606</v>
      </c>
      <c r="AJ7020">
        <v>109.030074529537</v>
      </c>
      <c r="AK7020">
        <v>23.941808172142199</v>
      </c>
      <c r="AL7020">
        <v>77.259982314628502</v>
      </c>
      <c r="AM7020">
        <v>103.84363765893799</v>
      </c>
      <c r="AN7020">
        <v>0.99999998466638895</v>
      </c>
    </row>
    <row r="7021" spans="1:40" x14ac:dyDescent="0.25">
      <c r="A7021" t="str">
        <f>"20190312172251952"</f>
        <v>20190312172251952</v>
      </c>
      <c r="B7021" t="str">
        <f>"1552382571947636"</f>
        <v>1552382571947636</v>
      </c>
      <c r="C7021" t="s">
        <v>40</v>
      </c>
      <c r="D7021">
        <v>3.0860750000000001</v>
      </c>
      <c r="E7021">
        <v>0.46616449999999998</v>
      </c>
      <c r="F7021" t="s">
        <v>64</v>
      </c>
      <c r="G7021">
        <v>-292.91550000000001</v>
      </c>
      <c r="H7021" s="1">
        <v>-1.194778E-5</v>
      </c>
      <c r="I7021">
        <v>-66.464179999999999</v>
      </c>
      <c r="J7021">
        <v>-301.4255</v>
      </c>
      <c r="K7021">
        <v>1.111397</v>
      </c>
      <c r="L7021">
        <v>-43.757019999999997</v>
      </c>
      <c r="M7021">
        <v>2.50114E-2</v>
      </c>
      <c r="N7021">
        <v>0</v>
      </c>
      <c r="O7021">
        <v>-0.99964470000000005</v>
      </c>
      <c r="P7021">
        <v>0.25732519999999998</v>
      </c>
      <c r="Q7021">
        <v>0.21226130000000001</v>
      </c>
      <c r="R7021">
        <v>-0.94272469999999997</v>
      </c>
      <c r="S7021">
        <v>1.088165</v>
      </c>
      <c r="T7021">
        <v>-0.14203109999999999</v>
      </c>
      <c r="U7021">
        <v>-2.9181210000000002</v>
      </c>
      <c r="V7021">
        <v>-0.23425609999999999</v>
      </c>
      <c r="W7021">
        <v>0.22039159999999999</v>
      </c>
      <c r="X7021">
        <v>0.94686409999999999</v>
      </c>
      <c r="Y7021">
        <v>-0.32548680000000002</v>
      </c>
      <c r="Z7021">
        <v>4.5733709999999997E-2</v>
      </c>
      <c r="AA7021">
        <v>0.9444399</v>
      </c>
      <c r="AB7021">
        <v>16</v>
      </c>
      <c r="AC7021">
        <v>8.5099999999999891</v>
      </c>
      <c r="AD7021">
        <v>-1.11140894778</v>
      </c>
      <c r="AE7021">
        <v>-22.707159999999899</v>
      </c>
      <c r="AF7021">
        <v>-7.9227330489549699</v>
      </c>
      <c r="AG7021">
        <v>-1.11140894778</v>
      </c>
      <c r="AH7021">
        <v>22.8648817851332</v>
      </c>
      <c r="AI7021">
        <v>92.629668985391405</v>
      </c>
      <c r="AJ7021">
        <v>109.11131632652599</v>
      </c>
      <c r="AK7021">
        <v>24.2241150067929</v>
      </c>
      <c r="AL7021">
        <v>77.267965430607006</v>
      </c>
      <c r="AM7021">
        <v>103.89606135477101</v>
      </c>
      <c r="AN7021">
        <v>1.0000000008032801</v>
      </c>
    </row>
    <row r="7022" spans="1:40" x14ac:dyDescent="0.25">
      <c r="A7022" t="str">
        <f>"20190312172251973"</f>
        <v>20190312172251973</v>
      </c>
      <c r="B7022" t="str">
        <f>"1552382571967157"</f>
        <v>1552382571967157</v>
      </c>
      <c r="C7022" t="s">
        <v>40</v>
      </c>
      <c r="D7022">
        <v>3.392976</v>
      </c>
      <c r="E7022">
        <v>0.46614410000000001</v>
      </c>
      <c r="F7022" t="s">
        <v>64</v>
      </c>
      <c r="G7022">
        <v>-292.96159999999998</v>
      </c>
      <c r="H7022" s="1">
        <v>-1.192866E-5</v>
      </c>
      <c r="I7022">
        <v>-66.278120000000001</v>
      </c>
      <c r="J7022">
        <v>-301.41919999999999</v>
      </c>
      <c r="K7022">
        <v>1.111381</v>
      </c>
      <c r="L7022">
        <v>-43.905000000000001</v>
      </c>
      <c r="M7022">
        <v>2.7211570000000001E-2</v>
      </c>
      <c r="N7022">
        <v>0</v>
      </c>
      <c r="O7022">
        <v>-0.99958740000000001</v>
      </c>
      <c r="P7022">
        <v>0.26015070000000001</v>
      </c>
      <c r="Q7022">
        <v>0.21241019999999999</v>
      </c>
      <c r="R7022">
        <v>-0.94191519999999995</v>
      </c>
      <c r="S7022">
        <v>1.095734</v>
      </c>
      <c r="T7022">
        <v>-0.14388339999999999</v>
      </c>
      <c r="U7022">
        <v>-2.9155880000000001</v>
      </c>
      <c r="V7022">
        <v>-0.2350102</v>
      </c>
      <c r="W7022">
        <v>0.2204981</v>
      </c>
      <c r="X7022">
        <v>0.94665239999999995</v>
      </c>
      <c r="Y7022">
        <v>-0.32581480000000002</v>
      </c>
      <c r="Z7022">
        <v>4.6339270000000002E-2</v>
      </c>
      <c r="AA7022">
        <v>0.94429730000000001</v>
      </c>
      <c r="AB7022">
        <v>16</v>
      </c>
      <c r="AC7022">
        <v>8.45760000000001</v>
      </c>
      <c r="AD7022">
        <v>-1.1113929286599999</v>
      </c>
      <c r="AE7022">
        <v>-22.37312</v>
      </c>
      <c r="AF7022">
        <v>-7.82873137885686</v>
      </c>
      <c r="AG7022">
        <v>-1.1113929286599999</v>
      </c>
      <c r="AH7022">
        <v>22.546309023038798</v>
      </c>
      <c r="AI7022">
        <v>92.666134715664299</v>
      </c>
      <c r="AJ7022">
        <v>109.14848184324499</v>
      </c>
      <c r="AK7022">
        <v>23.892682557773501</v>
      </c>
      <c r="AL7022">
        <v>77.261709343834198</v>
      </c>
      <c r="AM7022">
        <v>103.94204847849799</v>
      </c>
      <c r="AN7022">
        <v>0.99999998631670495</v>
      </c>
    </row>
    <row r="7023" spans="1:40" x14ac:dyDescent="0.25">
      <c r="A7023" t="str">
        <f>"20190312172251996"</f>
        <v>20190312172251996</v>
      </c>
      <c r="B7023" t="str">
        <f>"1552382571987653"</f>
        <v>1552382571987653</v>
      </c>
      <c r="C7023" t="s">
        <v>40</v>
      </c>
      <c r="D7023">
        <v>3.0902250000000002</v>
      </c>
      <c r="E7023">
        <v>0.46647840000000002</v>
      </c>
      <c r="F7023" t="s">
        <v>64</v>
      </c>
      <c r="G7023">
        <v>-292.80770000000001</v>
      </c>
      <c r="H7023" s="1">
        <v>-1.193854E-5</v>
      </c>
      <c r="I7023">
        <v>-66.611279999999994</v>
      </c>
      <c r="J7023">
        <v>-301.41210000000001</v>
      </c>
      <c r="K7023">
        <v>1.1113580000000001</v>
      </c>
      <c r="L7023">
        <v>-44.065089999999998</v>
      </c>
      <c r="M7023">
        <v>2.9609670000000001E-2</v>
      </c>
      <c r="N7023">
        <v>0</v>
      </c>
      <c r="O7023">
        <v>-0.99951959999999995</v>
      </c>
      <c r="P7023">
        <v>0.26285199999999997</v>
      </c>
      <c r="Q7023">
        <v>0.21239910000000001</v>
      </c>
      <c r="R7023">
        <v>-0.94116690000000003</v>
      </c>
      <c r="S7023">
        <v>1.1044309999999999</v>
      </c>
      <c r="T7023">
        <v>-0.142536</v>
      </c>
      <c r="U7023">
        <v>-2.9120789999999999</v>
      </c>
      <c r="V7023">
        <v>-0.235454</v>
      </c>
      <c r="W7023">
        <v>0.2204382</v>
      </c>
      <c r="X7023">
        <v>0.94655610000000001</v>
      </c>
      <c r="Y7023">
        <v>-0.32639639999999998</v>
      </c>
      <c r="Z7023">
        <v>4.592504E-2</v>
      </c>
      <c r="AA7023">
        <v>0.94411670000000003</v>
      </c>
      <c r="AB7023">
        <v>16</v>
      </c>
      <c r="AC7023">
        <v>8.6043999999999894</v>
      </c>
      <c r="AD7023">
        <v>-1.11136993854</v>
      </c>
      <c r="AE7023">
        <v>-22.546189999999999</v>
      </c>
      <c r="AF7023">
        <v>-7.9162241953614201</v>
      </c>
      <c r="AG7023">
        <v>-1.11136993854</v>
      </c>
      <c r="AH7023">
        <v>22.742852234910401</v>
      </c>
      <c r="AI7023">
        <v>92.642379544806104</v>
      </c>
      <c r="AJ7023">
        <v>109.19174277396399</v>
      </c>
      <c r="AK7023">
        <v>24.1068263450519</v>
      </c>
      <c r="AL7023">
        <v>77.265228353046098</v>
      </c>
      <c r="AM7023">
        <v>103.968712558764</v>
      </c>
      <c r="AN7023">
        <v>1.0000000182912201</v>
      </c>
    </row>
    <row r="7024" spans="1:40" x14ac:dyDescent="0.25">
      <c r="A7024" t="str">
        <f>"20190312172252017"</f>
        <v>20190312172252017</v>
      </c>
      <c r="B7024" t="str">
        <f>"1552382572007173"</f>
        <v>1552382572007173</v>
      </c>
      <c r="C7024" t="s">
        <v>40</v>
      </c>
      <c r="D7024">
        <v>3.219357</v>
      </c>
      <c r="E7024">
        <v>0.4667077</v>
      </c>
      <c r="F7024" t="s">
        <v>64</v>
      </c>
      <c r="G7024">
        <v>-292.7722</v>
      </c>
      <c r="H7024" s="1">
        <v>-1.1941599999999999E-5</v>
      </c>
      <c r="I7024">
        <v>-66.692169999999905</v>
      </c>
      <c r="J7024">
        <v>-301.40480000000002</v>
      </c>
      <c r="K7024">
        <v>1.1113489999999999</v>
      </c>
      <c r="L7024">
        <v>-44.218719999999998</v>
      </c>
      <c r="M7024">
        <v>3.1923489999999999E-2</v>
      </c>
      <c r="N7024">
        <v>0</v>
      </c>
      <c r="O7024">
        <v>-0.99944909999999998</v>
      </c>
      <c r="P7024">
        <v>0.26545410000000003</v>
      </c>
      <c r="Q7024">
        <v>0.21173349999999999</v>
      </c>
      <c r="R7024">
        <v>-0.9405867</v>
      </c>
      <c r="S7024">
        <v>1.110962</v>
      </c>
      <c r="T7024">
        <v>-0.14290620000000001</v>
      </c>
      <c r="U7024">
        <v>-2.9095149999999999</v>
      </c>
      <c r="V7024">
        <v>-0.23587649999999999</v>
      </c>
      <c r="W7024">
        <v>0.21972549999999999</v>
      </c>
      <c r="X7024">
        <v>0.94661660000000003</v>
      </c>
      <c r="Y7024">
        <v>-0.32633299999999998</v>
      </c>
      <c r="Z7024">
        <v>4.6059620000000003E-2</v>
      </c>
      <c r="AA7024">
        <v>0.94413199999999997</v>
      </c>
      <c r="AB7024">
        <v>16</v>
      </c>
      <c r="AC7024">
        <v>8.6326000000000196</v>
      </c>
      <c r="AD7024">
        <v>-1.1113609416000001</v>
      </c>
      <c r="AE7024">
        <v>-22.4734499999999</v>
      </c>
      <c r="AF7024">
        <v>-7.8939167013048399</v>
      </c>
      <c r="AG7024">
        <v>-1.1113609416000001</v>
      </c>
      <c r="AH7024">
        <v>22.689236314381901</v>
      </c>
      <c r="AI7024">
        <v>92.648725236350003</v>
      </c>
      <c r="AJ7024">
        <v>109.183532268752</v>
      </c>
      <c r="AK7024">
        <v>24.048918656761298</v>
      </c>
      <c r="AL7024">
        <v>77.307089232650299</v>
      </c>
      <c r="AM7024">
        <v>103.99193490929299</v>
      </c>
      <c r="AN7024">
        <v>1.0000000029990299</v>
      </c>
    </row>
    <row r="7025" spans="1:40" x14ac:dyDescent="0.25">
      <c r="A7025" t="str">
        <f>"20190312172252040"</f>
        <v>20190312172252040</v>
      </c>
      <c r="B7025" t="str">
        <f>"1552382572027669"</f>
        <v>1552382572027669</v>
      </c>
      <c r="C7025" t="s">
        <v>40</v>
      </c>
      <c r="D7025">
        <v>3.3730039999999999</v>
      </c>
      <c r="E7025">
        <v>0.466949</v>
      </c>
      <c r="F7025" t="s">
        <v>64</v>
      </c>
      <c r="G7025">
        <v>-292.86149999999998</v>
      </c>
      <c r="H7025" s="1">
        <v>-1.1924189999999999E-5</v>
      </c>
      <c r="I7025">
        <v>-66.436539999999994</v>
      </c>
      <c r="J7025">
        <v>-301.39710000000002</v>
      </c>
      <c r="K7025">
        <v>1.1113519999999999</v>
      </c>
      <c r="L7025">
        <v>-44.37567</v>
      </c>
      <c r="M7025">
        <v>3.4304649999999999E-2</v>
      </c>
      <c r="N7025">
        <v>0</v>
      </c>
      <c r="O7025">
        <v>-0.99937069999999995</v>
      </c>
      <c r="P7025">
        <v>0.26812849999999999</v>
      </c>
      <c r="Q7025">
        <v>0.21111060000000001</v>
      </c>
      <c r="R7025">
        <v>-0.93996820000000003</v>
      </c>
      <c r="S7025">
        <v>1.117737</v>
      </c>
      <c r="T7025">
        <v>-0.14540149999999999</v>
      </c>
      <c r="U7025">
        <v>-2.9067989999999999</v>
      </c>
      <c r="V7025">
        <v>-0.23631250000000001</v>
      </c>
      <c r="W7025">
        <v>0.21905430000000001</v>
      </c>
      <c r="X7025">
        <v>0.94666340000000004</v>
      </c>
      <c r="Y7025">
        <v>-0.32628010000000002</v>
      </c>
      <c r="Z7025">
        <v>4.6878740000000002E-2</v>
      </c>
      <c r="AA7025">
        <v>0.94411</v>
      </c>
      <c r="AB7025">
        <v>16</v>
      </c>
      <c r="AC7025">
        <v>8.5356000000000396</v>
      </c>
      <c r="AD7025">
        <v>-1.11136392419</v>
      </c>
      <c r="AE7025">
        <v>-22.060870000000001</v>
      </c>
      <c r="AF7025">
        <v>-7.75663244744932</v>
      </c>
      <c r="AG7025">
        <v>-1.11136392419</v>
      </c>
      <c r="AH7025">
        <v>22.291500652663601</v>
      </c>
      <c r="AI7025">
        <v>92.695882180261805</v>
      </c>
      <c r="AJ7025">
        <v>109.18604004374799</v>
      </c>
      <c r="AK7025">
        <v>23.628615660772802</v>
      </c>
      <c r="AL7025">
        <v>77.346506285279006</v>
      </c>
      <c r="AM7025">
        <v>104.016113581315</v>
      </c>
      <c r="AN7025">
        <v>0.99999998845214999</v>
      </c>
    </row>
    <row r="7026" spans="1:40" x14ac:dyDescent="0.25">
      <c r="A7026" t="str">
        <f>"20190312172252062"</f>
        <v>20190312172252062</v>
      </c>
      <c r="B7026" t="str">
        <f>"1552382572057925"</f>
        <v>1552382572057925</v>
      </c>
      <c r="C7026" t="s">
        <v>40</v>
      </c>
      <c r="D7026">
        <v>3.1964260000000002</v>
      </c>
      <c r="E7026">
        <v>0.46728239999999999</v>
      </c>
      <c r="F7026" t="s">
        <v>64</v>
      </c>
      <c r="G7026">
        <v>-292.96280000000002</v>
      </c>
      <c r="H7026" s="1">
        <v>-1.1905419999999999E-5</v>
      </c>
      <c r="I7026">
        <v>-66.151919999999905</v>
      </c>
      <c r="J7026">
        <v>-301.3886</v>
      </c>
      <c r="K7026">
        <v>1.111361</v>
      </c>
      <c r="L7026">
        <v>-44.537410000000001</v>
      </c>
      <c r="M7026">
        <v>3.6786850000000003E-2</v>
      </c>
      <c r="N7026">
        <v>0</v>
      </c>
      <c r="O7026">
        <v>-0.99928289999999997</v>
      </c>
      <c r="P7026">
        <v>0.2705574</v>
      </c>
      <c r="Q7026">
        <v>0.21061949999999999</v>
      </c>
      <c r="R7026">
        <v>-0.93938200000000005</v>
      </c>
      <c r="S7026">
        <v>1.1247860000000001</v>
      </c>
      <c r="T7026">
        <v>-0.14821019999999999</v>
      </c>
      <c r="U7026">
        <v>-2.9040530000000002</v>
      </c>
      <c r="V7026">
        <v>-0.23641090000000001</v>
      </c>
      <c r="W7026">
        <v>0.21851309999999999</v>
      </c>
      <c r="X7026">
        <v>0.94676389999999999</v>
      </c>
      <c r="Y7026">
        <v>-0.32621040000000001</v>
      </c>
      <c r="Z7026">
        <v>4.7798189999999997E-2</v>
      </c>
      <c r="AA7026">
        <v>0.94408800000000004</v>
      </c>
      <c r="AB7026">
        <v>16</v>
      </c>
      <c r="AC7026">
        <v>8.4257999999999793</v>
      </c>
      <c r="AD7026">
        <v>-1.1113729054199999</v>
      </c>
      <c r="AE7026">
        <v>-21.614509999999999</v>
      </c>
      <c r="AF7026">
        <v>-7.6074752065348399</v>
      </c>
      <c r="AG7026">
        <v>-1.1113729054199999</v>
      </c>
      <c r="AH7026">
        <v>21.859680874033799</v>
      </c>
      <c r="AI7026">
        <v>92.749035475902602</v>
      </c>
      <c r="AJ7026">
        <v>109.188612623821</v>
      </c>
      <c r="AK7026">
        <v>23.172278193296901</v>
      </c>
      <c r="AL7026">
        <v>77.378284605337896</v>
      </c>
      <c r="AM7026">
        <v>104.020289946223</v>
      </c>
      <c r="AN7026">
        <v>0.99999998542681501</v>
      </c>
    </row>
    <row r="7027" spans="1:40" x14ac:dyDescent="0.25">
      <c r="A7027" t="str">
        <f>"20190312172252085"</f>
        <v>20190312172252085</v>
      </c>
      <c r="B7027" t="str">
        <f>"1552382572077445"</f>
        <v>1552382572077445</v>
      </c>
      <c r="C7027" t="s">
        <v>40</v>
      </c>
      <c r="D7027">
        <v>3.2117230000000001</v>
      </c>
      <c r="E7027">
        <v>0.46750510000000001</v>
      </c>
      <c r="F7027" t="s">
        <v>64</v>
      </c>
      <c r="G7027">
        <v>-293.0573</v>
      </c>
      <c r="H7027" s="1">
        <v>-1.189611E-5</v>
      </c>
      <c r="I7027">
        <v>-65.929959999999994</v>
      </c>
      <c r="J7027">
        <v>-301.37970000000001</v>
      </c>
      <c r="K7027">
        <v>1.1113679999999999</v>
      </c>
      <c r="L7027">
        <v>-44.697569999999999</v>
      </c>
      <c r="M7027">
        <v>3.9276289999999998E-2</v>
      </c>
      <c r="N7027">
        <v>0</v>
      </c>
      <c r="O7027">
        <v>-0.99918830000000003</v>
      </c>
      <c r="P7027">
        <v>0.27288279999999998</v>
      </c>
      <c r="Q7027">
        <v>0.21063589999999999</v>
      </c>
      <c r="R7027">
        <v>-0.93870560000000003</v>
      </c>
      <c r="S7027">
        <v>1.1301270000000001</v>
      </c>
      <c r="T7027">
        <v>-0.150757</v>
      </c>
      <c r="U7027">
        <v>-2.9018860000000002</v>
      </c>
      <c r="V7027">
        <v>-0.23640700000000001</v>
      </c>
      <c r="W7027">
        <v>0.2184768</v>
      </c>
      <c r="X7027">
        <v>0.94677330000000004</v>
      </c>
      <c r="Y7027">
        <v>-0.32558799999999999</v>
      </c>
      <c r="Z7027">
        <v>4.8633990000000002E-2</v>
      </c>
      <c r="AA7027">
        <v>0.94426010000000005</v>
      </c>
      <c r="AB7027">
        <v>16</v>
      </c>
      <c r="AC7027">
        <v>8.3224000000000107</v>
      </c>
      <c r="AD7027">
        <v>-1.1113798961100001</v>
      </c>
      <c r="AE7027">
        <v>-21.232389999999899</v>
      </c>
      <c r="AF7027">
        <v>-7.4642874752190096</v>
      </c>
      <c r="AG7027">
        <v>-1.1113798961100001</v>
      </c>
      <c r="AH7027">
        <v>21.4918491865884</v>
      </c>
      <c r="AI7027">
        <v>92.796640104877099</v>
      </c>
      <c r="AJ7027">
        <v>109.15251450517199</v>
      </c>
      <c r="AK7027">
        <v>22.7782864642021</v>
      </c>
      <c r="AL7027">
        <v>77.380416532738806</v>
      </c>
      <c r="AM7027">
        <v>104.01993407281201</v>
      </c>
      <c r="AN7027">
        <v>1.0000000316900599</v>
      </c>
    </row>
    <row r="7028" spans="1:40" x14ac:dyDescent="0.25">
      <c r="A7028" t="str">
        <f>"20190312172252108"</f>
        <v>20190312172252108</v>
      </c>
      <c r="B7028" t="str">
        <f>"1552382572097941"</f>
        <v>1552382572097941</v>
      </c>
      <c r="C7028" t="s">
        <v>40</v>
      </c>
      <c r="D7028">
        <v>3.150118</v>
      </c>
      <c r="E7028">
        <v>0.4677171</v>
      </c>
      <c r="F7028" t="s">
        <v>64</v>
      </c>
      <c r="G7028">
        <v>-293.0324</v>
      </c>
      <c r="H7028" s="1">
        <v>-1.1900649999999999E-5</v>
      </c>
      <c r="I7028">
        <v>-65.999629999999996</v>
      </c>
      <c r="J7028">
        <v>-301.37</v>
      </c>
      <c r="K7028">
        <v>1.111378</v>
      </c>
      <c r="L7028">
        <v>-44.865690000000001</v>
      </c>
      <c r="M7028">
        <v>4.1923540000000002E-2</v>
      </c>
      <c r="N7028">
        <v>0</v>
      </c>
      <c r="O7028">
        <v>-0.99908110000000006</v>
      </c>
      <c r="P7028">
        <v>0.27524310000000002</v>
      </c>
      <c r="Q7028">
        <v>0.21058940000000001</v>
      </c>
      <c r="R7028">
        <v>-0.93802660000000004</v>
      </c>
      <c r="S7028">
        <v>1.1362000000000001</v>
      </c>
      <c r="T7028">
        <v>-0.15127579999999999</v>
      </c>
      <c r="U7028">
        <v>-2.8995359999999999</v>
      </c>
      <c r="V7028">
        <v>-0.2362892</v>
      </c>
      <c r="W7028">
        <v>0.21837819999999999</v>
      </c>
      <c r="X7028">
        <v>0.94682540000000004</v>
      </c>
      <c r="Y7028">
        <v>-0.32505450000000002</v>
      </c>
      <c r="Z7028">
        <v>4.8816329999999998E-2</v>
      </c>
      <c r="AA7028">
        <v>0.94443449999999995</v>
      </c>
      <c r="AB7028">
        <v>16</v>
      </c>
      <c r="AC7028">
        <v>8.3376000000000001</v>
      </c>
      <c r="AD7028">
        <v>-1.1113899006500001</v>
      </c>
      <c r="AE7028">
        <v>-21.133939999999999</v>
      </c>
      <c r="AF7028">
        <v>-7.4264526641545299</v>
      </c>
      <c r="AG7028">
        <v>-1.1113899006500001</v>
      </c>
      <c r="AH7028">
        <v>21.413669905612501</v>
      </c>
      <c r="AI7028">
        <v>92.807292365745994</v>
      </c>
      <c r="AJ7028">
        <v>109.12700432422299</v>
      </c>
      <c r="AK7028">
        <v>22.692127390589199</v>
      </c>
      <c r="AL7028">
        <v>77.386205038422503</v>
      </c>
      <c r="AM7028">
        <v>104.012482668936</v>
      </c>
      <c r="AN7028">
        <v>0.99999998117851896</v>
      </c>
    </row>
    <row r="7029" spans="1:40" x14ac:dyDescent="0.25">
      <c r="A7029" t="str">
        <f>"20190312172252132"</f>
        <v>20190312172252132</v>
      </c>
      <c r="B7029" t="str">
        <f>"1552382572127222"</f>
        <v>1552382572127222</v>
      </c>
      <c r="C7029" t="s">
        <v>40</v>
      </c>
      <c r="D7029">
        <v>3.2113309999999999</v>
      </c>
      <c r="E7029">
        <v>0.46813460000000001</v>
      </c>
      <c r="F7029" t="s">
        <v>64</v>
      </c>
      <c r="G7029">
        <v>-293.017</v>
      </c>
      <c r="H7029" s="1">
        <v>-1.190381E-5</v>
      </c>
      <c r="I7029">
        <v>-66.044460000000001</v>
      </c>
      <c r="J7029">
        <v>-301.36</v>
      </c>
      <c r="K7029">
        <v>1.111389</v>
      </c>
      <c r="L7029">
        <v>-45.029690000000002</v>
      </c>
      <c r="M7029">
        <v>4.4544239999999999E-2</v>
      </c>
      <c r="N7029">
        <v>0</v>
      </c>
      <c r="O7029">
        <v>-0.99896790000000002</v>
      </c>
      <c r="P7029">
        <v>0.27776830000000002</v>
      </c>
      <c r="Q7029">
        <v>0.2098101</v>
      </c>
      <c r="R7029">
        <v>-0.93745639999999997</v>
      </c>
      <c r="S7029">
        <v>1.142609</v>
      </c>
      <c r="T7029">
        <v>-0.1520281</v>
      </c>
      <c r="U7029">
        <v>-2.8970639999999999</v>
      </c>
      <c r="V7029">
        <v>-0.23635539999999999</v>
      </c>
      <c r="W7029">
        <v>0.21755350000000001</v>
      </c>
      <c r="X7029">
        <v>0.94699869999999997</v>
      </c>
      <c r="Y7029">
        <v>-0.32465250000000001</v>
      </c>
      <c r="Z7029">
        <v>4.9073190000000003E-2</v>
      </c>
      <c r="AA7029">
        <v>0.9445595</v>
      </c>
      <c r="AB7029">
        <v>16</v>
      </c>
      <c r="AC7029">
        <v>8.3430000000000106</v>
      </c>
      <c r="AD7029">
        <v>-1.1114009038099999</v>
      </c>
      <c r="AE7029">
        <v>-21.014769999999999</v>
      </c>
      <c r="AF7029">
        <v>-7.3807610695228298</v>
      </c>
      <c r="AG7029">
        <v>-1.1114009038099999</v>
      </c>
      <c r="AH7029">
        <v>21.3140581297172</v>
      </c>
      <c r="AI7029">
        <v>92.820874656851203</v>
      </c>
      <c r="AJ7029">
        <v>109.10025610992599</v>
      </c>
      <c r="AK7029">
        <v>22.583177807636801</v>
      </c>
      <c r="AL7029">
        <v>77.434620809851396</v>
      </c>
      <c r="AM7029">
        <v>104.013789863057</v>
      </c>
      <c r="AN7029">
        <v>0.99999996913654898</v>
      </c>
    </row>
    <row r="7030" spans="1:40" x14ac:dyDescent="0.25">
      <c r="A7030" t="str">
        <f>"20190312172252153"</f>
        <v>20190312172252153</v>
      </c>
      <c r="B7030" t="str">
        <f>"1552382572147717"</f>
        <v>1552382572147717</v>
      </c>
      <c r="C7030" t="s">
        <v>40</v>
      </c>
      <c r="D7030">
        <v>3.2104650000000001</v>
      </c>
      <c r="E7030">
        <v>0.46839330000000001</v>
      </c>
      <c r="F7030" t="s">
        <v>64</v>
      </c>
      <c r="G7030">
        <v>-293.1499</v>
      </c>
      <c r="H7030" s="1">
        <v>-1.1891159999999999E-5</v>
      </c>
      <c r="I7030">
        <v>-65.734889999999993</v>
      </c>
      <c r="J7030">
        <v>-301.35019999999997</v>
      </c>
      <c r="K7030">
        <v>1.111405</v>
      </c>
      <c r="L7030">
        <v>-45.184719999999999</v>
      </c>
      <c r="M7030">
        <v>4.706395E-2</v>
      </c>
      <c r="N7030">
        <v>0</v>
      </c>
      <c r="O7030">
        <v>-0.99885270000000004</v>
      </c>
      <c r="P7030">
        <v>0.28007680000000001</v>
      </c>
      <c r="Q7030">
        <v>0.20991309999999999</v>
      </c>
      <c r="R7030">
        <v>-0.93674630000000003</v>
      </c>
      <c r="S7030">
        <v>1.147858</v>
      </c>
      <c r="T7030">
        <v>-0.15538560000000001</v>
      </c>
      <c r="U7030">
        <v>-2.894806</v>
      </c>
      <c r="V7030">
        <v>-0.2363123</v>
      </c>
      <c r="W7030">
        <v>0.217615</v>
      </c>
      <c r="X7030">
        <v>0.94699540000000004</v>
      </c>
      <c r="Y7030">
        <v>-0.32397939999999997</v>
      </c>
      <c r="Z7030">
        <v>5.0171380000000002E-2</v>
      </c>
      <c r="AA7030">
        <v>0.94473280000000004</v>
      </c>
      <c r="AB7030">
        <v>16</v>
      </c>
      <c r="AC7030">
        <v>8.2002999999999702</v>
      </c>
      <c r="AD7030">
        <v>-1.11141689116</v>
      </c>
      <c r="AE7030">
        <v>-20.550170000000001</v>
      </c>
      <c r="AF7030">
        <v>-7.20582055048152</v>
      </c>
      <c r="AG7030">
        <v>-1.11141689116</v>
      </c>
      <c r="AH7030">
        <v>20.860713825309201</v>
      </c>
      <c r="AI7030">
        <v>92.882881979612094</v>
      </c>
      <c r="AJ7030">
        <v>109.056212950157</v>
      </c>
      <c r="AK7030">
        <v>22.098155547763401</v>
      </c>
      <c r="AL7030">
        <v>77.431011523553494</v>
      </c>
      <c r="AM7030">
        <v>104.011381992499</v>
      </c>
      <c r="AN7030">
        <v>1.0000000394887201</v>
      </c>
    </row>
    <row r="7031" spans="1:40" x14ac:dyDescent="0.25">
      <c r="A7031" t="str">
        <f>"20190312172252175"</f>
        <v>20190312172252175</v>
      </c>
      <c r="B7031" t="str">
        <f>"1552382572167237"</f>
        <v>1552382572167237</v>
      </c>
      <c r="C7031" t="s">
        <v>40</v>
      </c>
      <c r="D7031">
        <v>3.6242860000000001</v>
      </c>
      <c r="E7031">
        <v>0.46865390000000001</v>
      </c>
      <c r="F7031" t="s">
        <v>64</v>
      </c>
      <c r="G7031">
        <v>-293.12119999999999</v>
      </c>
      <c r="H7031" s="1">
        <v>-1.18986999999999E-5</v>
      </c>
      <c r="I7031">
        <v>-65.827590000000001</v>
      </c>
      <c r="J7031">
        <v>-301.33980000000003</v>
      </c>
      <c r="K7031">
        <v>1.111423</v>
      </c>
      <c r="L7031">
        <v>-45.340760000000003</v>
      </c>
      <c r="M7031">
        <v>4.9645120000000001E-2</v>
      </c>
      <c r="N7031">
        <v>0</v>
      </c>
      <c r="O7031">
        <v>-0.99872799999999995</v>
      </c>
      <c r="P7031">
        <v>0.28216619999999998</v>
      </c>
      <c r="Q7031">
        <v>0.20985239999999999</v>
      </c>
      <c r="R7031">
        <v>-0.93613279999999999</v>
      </c>
      <c r="S7031">
        <v>1.1531370000000001</v>
      </c>
      <c r="T7031">
        <v>-0.15574370000000001</v>
      </c>
      <c r="U7031">
        <v>-2.8927</v>
      </c>
      <c r="V7031">
        <v>-0.2359899</v>
      </c>
      <c r="W7031">
        <v>0.21751400000000001</v>
      </c>
      <c r="X7031">
        <v>0.94709900000000002</v>
      </c>
      <c r="Y7031">
        <v>-0.32325680000000001</v>
      </c>
      <c r="Z7031">
        <v>5.0301110000000003E-2</v>
      </c>
      <c r="AA7031">
        <v>0.94497350000000002</v>
      </c>
      <c r="AB7031">
        <v>16</v>
      </c>
      <c r="AC7031">
        <v>8.2186000000000305</v>
      </c>
      <c r="AD7031">
        <v>-1.1114348987</v>
      </c>
      <c r="AE7031">
        <v>-20.486830000000001</v>
      </c>
      <c r="AF7031">
        <v>-7.1731689788228001</v>
      </c>
      <c r="AG7031">
        <v>-1.1114348987</v>
      </c>
      <c r="AH7031">
        <v>20.816820712248099</v>
      </c>
      <c r="AI7031">
        <v>92.889744268042094</v>
      </c>
      <c r="AJ7031">
        <v>109.01319484939501</v>
      </c>
      <c r="AK7031">
        <v>22.046080497418899</v>
      </c>
      <c r="AL7031">
        <v>77.436940481449895</v>
      </c>
      <c r="AM7031">
        <v>103.991547373122</v>
      </c>
      <c r="AN7031">
        <v>1.0000000444495001</v>
      </c>
    </row>
    <row r="7032" spans="1:40" x14ac:dyDescent="0.25">
      <c r="A7032" t="str">
        <f>"20190312172252196"</f>
        <v>20190312172252196</v>
      </c>
      <c r="B7032" t="str">
        <f>"1552382572187733"</f>
        <v>1552382572187733</v>
      </c>
      <c r="C7032" t="s">
        <v>40</v>
      </c>
      <c r="D7032">
        <v>3.0950470000000001</v>
      </c>
      <c r="E7032">
        <v>0.46891090000000002</v>
      </c>
      <c r="F7032" t="s">
        <v>64</v>
      </c>
      <c r="G7032">
        <v>-293.14589999999998</v>
      </c>
      <c r="H7032" s="1">
        <v>-1.190301E-5</v>
      </c>
      <c r="I7032">
        <v>-65.805539999999993</v>
      </c>
      <c r="J7032">
        <v>-301.32870000000003</v>
      </c>
      <c r="K7032">
        <v>1.1114580000000001</v>
      </c>
      <c r="L7032">
        <v>-45.502200000000002</v>
      </c>
      <c r="M7032">
        <v>5.236495E-2</v>
      </c>
      <c r="N7032">
        <v>0</v>
      </c>
      <c r="O7032">
        <v>-0.99858950000000002</v>
      </c>
      <c r="P7032">
        <v>0.28535100000000002</v>
      </c>
      <c r="Q7032">
        <v>0.2097011</v>
      </c>
      <c r="R7032">
        <v>-0.93520099999999995</v>
      </c>
      <c r="S7032">
        <v>1.157532</v>
      </c>
      <c r="T7032">
        <v>-0.1570087</v>
      </c>
      <c r="U7032">
        <v>-2.8909910000000001</v>
      </c>
      <c r="V7032">
        <v>-0.2366502</v>
      </c>
      <c r="W7032">
        <v>0.2173129</v>
      </c>
      <c r="X7032">
        <v>0.94698040000000006</v>
      </c>
      <c r="Y7032">
        <v>-0.32210260000000002</v>
      </c>
      <c r="Z7032">
        <v>5.0722070000000001E-2</v>
      </c>
      <c r="AA7032">
        <v>0.94534499999999999</v>
      </c>
      <c r="AB7032">
        <v>16</v>
      </c>
      <c r="AC7032">
        <v>8.1828000000000394</v>
      </c>
      <c r="AD7032">
        <v>-1.1114699030099999</v>
      </c>
      <c r="AE7032">
        <v>-20.303339999999999</v>
      </c>
      <c r="AF7032">
        <v>-7.0900695431679503</v>
      </c>
      <c r="AG7032">
        <v>-1.1114699030099999</v>
      </c>
      <c r="AH7032">
        <v>20.6507514629327</v>
      </c>
      <c r="AI7032">
        <v>92.914155620863099</v>
      </c>
      <c r="AJ7032">
        <v>108.94900059423</v>
      </c>
      <c r="AK7032">
        <v>21.862250283446802</v>
      </c>
      <c r="AL7032">
        <v>77.448745049272105</v>
      </c>
      <c r="AM7032">
        <v>104.030839296024</v>
      </c>
      <c r="AN7032">
        <v>1.0000000458253</v>
      </c>
    </row>
    <row r="7033" spans="1:40" x14ac:dyDescent="0.25">
      <c r="A7033" t="str">
        <f>"20190312172252218"</f>
        <v>20190312172252218</v>
      </c>
      <c r="B7033" t="str">
        <f>"1552382572207253"</f>
        <v>1552382572207253</v>
      </c>
      <c r="C7033" t="s">
        <v>40</v>
      </c>
      <c r="D7033">
        <v>3.0708259999999998</v>
      </c>
      <c r="E7033">
        <v>0.45326109999999997</v>
      </c>
      <c r="F7033" t="s">
        <v>64</v>
      </c>
      <c r="G7033">
        <v>-293.15010000000001</v>
      </c>
      <c r="H7033" s="1">
        <v>-1.189666E-5</v>
      </c>
      <c r="I7033">
        <v>-65.763990000000007</v>
      </c>
      <c r="J7033">
        <v>-301.31700000000001</v>
      </c>
      <c r="K7033">
        <v>1.1114869999999999</v>
      </c>
      <c r="L7033">
        <v>-45.6633</v>
      </c>
      <c r="M7033">
        <v>5.5128820000000002E-2</v>
      </c>
      <c r="N7033">
        <v>0</v>
      </c>
      <c r="O7033">
        <v>-0.99844100000000002</v>
      </c>
      <c r="P7033">
        <v>0.28825689999999998</v>
      </c>
      <c r="Q7033">
        <v>0.2097067</v>
      </c>
      <c r="R7033">
        <v>-0.93430789999999997</v>
      </c>
      <c r="S7033">
        <v>1.165619</v>
      </c>
      <c r="T7033">
        <v>-0.15840760000000001</v>
      </c>
      <c r="U7033">
        <v>-2.8877259999999998</v>
      </c>
      <c r="V7033">
        <v>-0.23699129999999999</v>
      </c>
      <c r="W7033">
        <v>0.21726780000000001</v>
      </c>
      <c r="X7033">
        <v>0.94690540000000001</v>
      </c>
      <c r="Y7033">
        <v>-0.3221214</v>
      </c>
      <c r="Z7033">
        <v>5.1188770000000001E-2</v>
      </c>
      <c r="AA7033">
        <v>0.94531350000000003</v>
      </c>
      <c r="AB7033">
        <v>16</v>
      </c>
      <c r="AC7033">
        <v>8.1668999999999894</v>
      </c>
      <c r="AD7033">
        <v>-1.1114988966599999</v>
      </c>
      <c r="AE7033">
        <v>-20.10069</v>
      </c>
      <c r="AF7033">
        <v>-7.0278652141632998</v>
      </c>
      <c r="AG7033">
        <v>-1.1114988966599999</v>
      </c>
      <c r="AH7033">
        <v>20.4666542971943</v>
      </c>
      <c r="AI7033">
        <v>92.940355023195295</v>
      </c>
      <c r="AJ7033">
        <v>108.951510264866</v>
      </c>
      <c r="AK7033">
        <v>21.668185373643599</v>
      </c>
      <c r="AL7033">
        <v>77.451391818195503</v>
      </c>
      <c r="AM7033">
        <v>104.051331146476</v>
      </c>
      <c r="AN7033">
        <v>1.00000000487084</v>
      </c>
    </row>
    <row r="7034" spans="1:40" x14ac:dyDescent="0.25">
      <c r="A7034" t="str">
        <f>"20190312172252242"</f>
        <v>20190312172252242</v>
      </c>
      <c r="B7034" t="str">
        <f>"1552382572237512"</f>
        <v>1552382572237512</v>
      </c>
      <c r="C7034" t="s">
        <v>40</v>
      </c>
      <c r="D7034">
        <v>3.1621519999999999</v>
      </c>
      <c r="E7034">
        <v>0.44266759999999999</v>
      </c>
      <c r="F7034" t="s">
        <v>64</v>
      </c>
      <c r="G7034">
        <v>-291.20159999999998</v>
      </c>
      <c r="H7034" s="1">
        <v>-1.1636499999999999E-5</v>
      </c>
      <c r="I7034">
        <v>-67.924350000000004</v>
      </c>
      <c r="J7034">
        <v>-301.30450000000002</v>
      </c>
      <c r="K7034">
        <v>1.111515</v>
      </c>
      <c r="L7034">
        <v>-45.82846</v>
      </c>
      <c r="M7034">
        <v>5.8016749999999999E-2</v>
      </c>
      <c r="N7034">
        <v>0</v>
      </c>
      <c r="O7034">
        <v>-0.99827770000000005</v>
      </c>
      <c r="P7034">
        <v>0.29144629999999999</v>
      </c>
      <c r="Q7034">
        <v>0.20960999999999999</v>
      </c>
      <c r="R7034">
        <v>-0.93333969999999999</v>
      </c>
      <c r="S7034">
        <v>1.2923579999999999</v>
      </c>
      <c r="T7034">
        <v>-0.14200570000000001</v>
      </c>
      <c r="U7034">
        <v>-2.8440859999999999</v>
      </c>
      <c r="V7034">
        <v>-0.23750540000000001</v>
      </c>
      <c r="W7034">
        <v>0.2171207</v>
      </c>
      <c r="X7034">
        <v>0.94681040000000005</v>
      </c>
      <c r="Y7034">
        <v>-0.35974319999999999</v>
      </c>
      <c r="Z7034">
        <v>4.5824520000000001E-2</v>
      </c>
      <c r="AA7034">
        <v>0.93192540000000001</v>
      </c>
      <c r="AB7034">
        <v>16</v>
      </c>
      <c r="AC7034">
        <v>10.1029</v>
      </c>
      <c r="AD7034">
        <v>-1.1115266365000001</v>
      </c>
      <c r="AE7034">
        <v>-22.095890000000001</v>
      </c>
      <c r="AF7034">
        <v>-8.7855131624169704</v>
      </c>
      <c r="AG7034">
        <v>-1.1115266365000001</v>
      </c>
      <c r="AH7034">
        <v>22.597532053433099</v>
      </c>
      <c r="AI7034">
        <v>92.624891052594506</v>
      </c>
      <c r="AJ7034">
        <v>111.24518436418499</v>
      </c>
      <c r="AK7034">
        <v>24.270747575972798</v>
      </c>
      <c r="AL7034">
        <v>77.460027016715202</v>
      </c>
      <c r="AM7034">
        <v>104.08195768751099</v>
      </c>
      <c r="AN7034">
        <v>1.0000000734729</v>
      </c>
    </row>
    <row r="7035" spans="1:40" x14ac:dyDescent="0.25">
      <c r="A7035" t="str">
        <f>"20190312172252264"</f>
        <v>20190312172252264</v>
      </c>
      <c r="B7035" t="str">
        <f>"1552382572258005"</f>
        <v>1552382572258005</v>
      </c>
      <c r="C7035" t="s">
        <v>40</v>
      </c>
      <c r="D7035">
        <v>3.2438959999999999</v>
      </c>
      <c r="E7035">
        <v>0.44026470000000001</v>
      </c>
      <c r="F7035" t="s">
        <v>64</v>
      </c>
      <c r="G7035">
        <v>-290.36309999999997</v>
      </c>
      <c r="H7035" s="1">
        <v>-1.1384309999999999E-5</v>
      </c>
      <c r="I7035">
        <v>-68.105289999999997</v>
      </c>
      <c r="J7035">
        <v>-301.2912</v>
      </c>
      <c r="K7035">
        <v>1.111545</v>
      </c>
      <c r="L7035">
        <v>-45.997280000000003</v>
      </c>
      <c r="M7035">
        <v>6.1025999999999997E-2</v>
      </c>
      <c r="N7035">
        <v>0</v>
      </c>
      <c r="O7035">
        <v>-0.99809829999999999</v>
      </c>
      <c r="P7035">
        <v>0.2945662</v>
      </c>
      <c r="Q7035">
        <v>0.209759</v>
      </c>
      <c r="R7035">
        <v>-0.93232610000000005</v>
      </c>
      <c r="S7035">
        <v>1.3822019999999999</v>
      </c>
      <c r="T7035">
        <v>-0.1404164</v>
      </c>
      <c r="U7035">
        <v>-2.8141780000000001</v>
      </c>
      <c r="V7035">
        <v>-0.2378392</v>
      </c>
      <c r="W7035">
        <v>0.21722449999999999</v>
      </c>
      <c r="X7035">
        <v>0.94670270000000001</v>
      </c>
      <c r="Y7035">
        <v>-0.38480340000000002</v>
      </c>
      <c r="Z7035">
        <v>4.5204229999999998E-2</v>
      </c>
      <c r="AA7035">
        <v>0.92189089999999996</v>
      </c>
      <c r="AB7035">
        <v>17</v>
      </c>
      <c r="AC7035">
        <v>10.928100000000001</v>
      </c>
      <c r="AD7035">
        <v>-1.11155638431</v>
      </c>
      <c r="AE7035">
        <v>-22.10801</v>
      </c>
      <c r="AF7035">
        <v>-9.5391368401111993</v>
      </c>
      <c r="AG7035">
        <v>-1.11155638431</v>
      </c>
      <c r="AH7035">
        <v>22.687634051076699</v>
      </c>
      <c r="AI7035">
        <v>92.585959711112295</v>
      </c>
      <c r="AJ7035">
        <v>112.80457905219301</v>
      </c>
      <c r="AK7035">
        <v>24.636546594144299</v>
      </c>
      <c r="AL7035">
        <v>77.453933177797893</v>
      </c>
      <c r="AM7035">
        <v>104.102500202938</v>
      </c>
      <c r="AN7035">
        <v>0.999999985322089</v>
      </c>
    </row>
    <row r="7036" spans="1:40" x14ac:dyDescent="0.25">
      <c r="A7036" t="str">
        <f>"20190312172252286"</f>
        <v>20190312172252286</v>
      </c>
      <c r="B7036" t="str">
        <f>"1552382572277525"</f>
        <v>1552382572277525</v>
      </c>
      <c r="C7036" t="s">
        <v>40</v>
      </c>
      <c r="D7036">
        <v>3.1694840000000002</v>
      </c>
      <c r="E7036">
        <v>0.43928270000000003</v>
      </c>
      <c r="F7036" t="s">
        <v>64</v>
      </c>
      <c r="G7036">
        <v>-290.36829999999998</v>
      </c>
      <c r="H7036" s="1">
        <v>-1.1309699999999999E-5</v>
      </c>
      <c r="I7036">
        <v>-67.697479999999999</v>
      </c>
      <c r="J7036">
        <v>-301.27780000000001</v>
      </c>
      <c r="K7036">
        <v>1.1115710000000001</v>
      </c>
      <c r="L7036">
        <v>-46.159970000000001</v>
      </c>
      <c r="M7036">
        <v>6.3967880000000005E-2</v>
      </c>
      <c r="N7036">
        <v>0</v>
      </c>
      <c r="O7036">
        <v>-0.99791430000000003</v>
      </c>
      <c r="P7036">
        <v>0.29713810000000002</v>
      </c>
      <c r="Q7036">
        <v>0.2092994</v>
      </c>
      <c r="R7036">
        <v>-0.93161300000000002</v>
      </c>
      <c r="S7036">
        <v>1.4114690000000001</v>
      </c>
      <c r="T7036">
        <v>-0.1436373</v>
      </c>
      <c r="U7036">
        <v>-2.804138</v>
      </c>
      <c r="V7036">
        <v>-0.23766909999999999</v>
      </c>
      <c r="W7036">
        <v>0.21673010000000001</v>
      </c>
      <c r="X7036">
        <v>0.94685870000000005</v>
      </c>
      <c r="Y7036">
        <v>-0.39106780000000002</v>
      </c>
      <c r="Z7036">
        <v>4.6208489999999998E-2</v>
      </c>
      <c r="AA7036">
        <v>0.91920109999999999</v>
      </c>
      <c r="AB7036">
        <v>17</v>
      </c>
      <c r="AC7036">
        <v>10.9095</v>
      </c>
      <c r="AD7036">
        <v>-1.1115823096999999</v>
      </c>
      <c r="AE7036">
        <v>-21.537510000000001</v>
      </c>
      <c r="AF7036">
        <v>-9.4892788241103698</v>
      </c>
      <c r="AG7036">
        <v>-1.1115823096999999</v>
      </c>
      <c r="AH7036">
        <v>22.144338327260201</v>
      </c>
      <c r="AI7036">
        <v>92.641714478821996</v>
      </c>
      <c r="AJ7036">
        <v>113.196072568397</v>
      </c>
      <c r="AK7036">
        <v>24.117498787915601</v>
      </c>
      <c r="AL7036">
        <v>77.482951300235001</v>
      </c>
      <c r="AM7036">
        <v>104.09058691775699</v>
      </c>
      <c r="AN7036">
        <v>0.99999996755325404</v>
      </c>
    </row>
    <row r="7037" spans="1:40" x14ac:dyDescent="0.25">
      <c r="A7037" t="str">
        <f>"20190312172252310"</f>
        <v>20190312172252310</v>
      </c>
      <c r="B7037" t="str">
        <f>"1552382572307781"</f>
        <v>1552382572307781</v>
      </c>
      <c r="C7037" t="s">
        <v>40</v>
      </c>
      <c r="D7037">
        <v>3.161467</v>
      </c>
      <c r="E7037">
        <v>0.43830469999999999</v>
      </c>
      <c r="F7037" t="s">
        <v>64</v>
      </c>
      <c r="G7037">
        <v>-290.49720000000002</v>
      </c>
      <c r="H7037" s="1">
        <v>-1.127593E-5</v>
      </c>
      <c r="I7037">
        <v>-67.282430000000005</v>
      </c>
      <c r="J7037">
        <v>-301.26249999999999</v>
      </c>
      <c r="K7037">
        <v>1.1115999999999999</v>
      </c>
      <c r="L7037">
        <v>-46.338230000000003</v>
      </c>
      <c r="M7037">
        <v>6.7238160000000005E-2</v>
      </c>
      <c r="N7037">
        <v>0</v>
      </c>
      <c r="O7037">
        <v>-0.99769949999999996</v>
      </c>
      <c r="P7037">
        <v>0.30036499999999999</v>
      </c>
      <c r="Q7037">
        <v>0.2086761</v>
      </c>
      <c r="R7037">
        <v>-0.93071760000000003</v>
      </c>
      <c r="S7037">
        <v>1.4279790000000001</v>
      </c>
      <c r="T7037">
        <v>-0.1472386</v>
      </c>
      <c r="U7037">
        <v>-2.7978519999999998</v>
      </c>
      <c r="V7037">
        <v>-0.2378508</v>
      </c>
      <c r="W7037">
        <v>0.21607370000000001</v>
      </c>
      <c r="X7037">
        <v>0.94696309999999995</v>
      </c>
      <c r="Y7037">
        <v>-0.39316909999999999</v>
      </c>
      <c r="Z7037">
        <v>4.7361519999999997E-2</v>
      </c>
      <c r="AA7037">
        <v>0.9182456</v>
      </c>
      <c r="AB7037">
        <v>17</v>
      </c>
      <c r="AC7037">
        <v>10.7652999999999</v>
      </c>
      <c r="AD7037">
        <v>-1.1116112759300001</v>
      </c>
      <c r="AE7037">
        <v>-20.944199999999999</v>
      </c>
      <c r="AF7037">
        <v>-9.3118844901306304</v>
      </c>
      <c r="AG7037">
        <v>-1.1116112759300001</v>
      </c>
      <c r="AH7037">
        <v>21.572595612432298</v>
      </c>
      <c r="AI7037">
        <v>92.708617594197506</v>
      </c>
      <c r="AJ7037">
        <v>113.34760744222299</v>
      </c>
      <c r="AK7037">
        <v>23.5228347323158</v>
      </c>
      <c r="AL7037">
        <v>77.521473204840106</v>
      </c>
      <c r="AM7037">
        <v>104.09943712002099</v>
      </c>
      <c r="AN7037">
        <v>0.99999997982696898</v>
      </c>
    </row>
    <row r="7038" spans="1:40" x14ac:dyDescent="0.25">
      <c r="A7038" t="str">
        <f>"20190312172252333"</f>
        <v>20190312172252333</v>
      </c>
      <c r="B7038" t="str">
        <f>"1552382572327301"</f>
        <v>1552382572327301</v>
      </c>
      <c r="C7038" t="s">
        <v>40</v>
      </c>
      <c r="D7038">
        <v>3.1406109999999998</v>
      </c>
      <c r="E7038">
        <v>0.4377257</v>
      </c>
      <c r="F7038" t="s">
        <v>64</v>
      </c>
      <c r="G7038">
        <v>-290.89030000000002</v>
      </c>
      <c r="H7038" s="1">
        <v>-1.1238350000000001E-5</v>
      </c>
      <c r="I7038">
        <v>-66.365880000000004</v>
      </c>
      <c r="J7038">
        <v>-301.2482</v>
      </c>
      <c r="K7038">
        <v>1.1116189999999999</v>
      </c>
      <c r="L7038">
        <v>-46.499020000000002</v>
      </c>
      <c r="M7038">
        <v>7.0233390000000007E-2</v>
      </c>
      <c r="N7038">
        <v>0</v>
      </c>
      <c r="O7038">
        <v>-0.99749299999999996</v>
      </c>
      <c r="P7038">
        <v>0.30343720000000002</v>
      </c>
      <c r="Q7038">
        <v>0.208256</v>
      </c>
      <c r="R7038">
        <v>-0.92981449999999999</v>
      </c>
      <c r="S7038">
        <v>1.4457089999999999</v>
      </c>
      <c r="T7038">
        <v>-0.1549391</v>
      </c>
      <c r="U7038">
        <v>-2.7915040000000002</v>
      </c>
      <c r="V7038">
        <v>-0.23814099999999999</v>
      </c>
      <c r="W7038">
        <v>0.21562529999999999</v>
      </c>
      <c r="X7038">
        <v>0.94699239999999996</v>
      </c>
      <c r="Y7038">
        <v>-0.39580860000000001</v>
      </c>
      <c r="Z7038">
        <v>4.9819009999999997E-2</v>
      </c>
      <c r="AA7038">
        <v>0.91698069999999998</v>
      </c>
      <c r="AB7038">
        <v>17</v>
      </c>
      <c r="AC7038">
        <v>10.3578999999999</v>
      </c>
      <c r="AD7038">
        <v>-1.1116302383499901</v>
      </c>
      <c r="AE7038">
        <v>-19.866859999999999</v>
      </c>
      <c r="AF7038">
        <v>-8.9150047941641493</v>
      </c>
      <c r="AG7038">
        <v>-1.1116302383499901</v>
      </c>
      <c r="AH7038">
        <v>20.4948422950227</v>
      </c>
      <c r="AI7038">
        <v>92.847413874647202</v>
      </c>
      <c r="AJ7038">
        <v>113.50844875271299</v>
      </c>
      <c r="AK7038">
        <v>22.377479593659199</v>
      </c>
      <c r="AL7038">
        <v>77.547785216041007</v>
      </c>
      <c r="AM7038">
        <v>104.115533133081</v>
      </c>
      <c r="AN7038">
        <v>1.0000000057694201</v>
      </c>
    </row>
    <row r="7039" spans="1:40" x14ac:dyDescent="0.25">
      <c r="A7039" t="str">
        <f>"20190312172252353"</f>
        <v>20190312172252353</v>
      </c>
      <c r="B7039" t="str">
        <f>"1552382572347797"</f>
        <v>1552382572347797</v>
      </c>
      <c r="C7039" t="s">
        <v>40</v>
      </c>
      <c r="D7039">
        <v>3.1152229999999999</v>
      </c>
      <c r="E7039">
        <v>0.43741560000000002</v>
      </c>
      <c r="F7039" t="s">
        <v>64</v>
      </c>
      <c r="G7039">
        <v>-290.95929999999998</v>
      </c>
      <c r="H7039" s="1">
        <v>-1.121892E-5</v>
      </c>
      <c r="I7039">
        <v>-66.136390000000006</v>
      </c>
      <c r="J7039">
        <v>-301.23379999999997</v>
      </c>
      <c r="K7039">
        <v>1.1116459999999999</v>
      </c>
      <c r="L7039">
        <v>-46.654820000000001</v>
      </c>
      <c r="M7039">
        <v>7.3181419999999997E-2</v>
      </c>
      <c r="N7039">
        <v>0</v>
      </c>
      <c r="O7039">
        <v>-0.99728119999999998</v>
      </c>
      <c r="P7039">
        <v>0.3062435</v>
      </c>
      <c r="Q7039">
        <v>0.20750379999999999</v>
      </c>
      <c r="R7039">
        <v>-0.92906250000000001</v>
      </c>
      <c r="S7039">
        <v>1.4594419999999999</v>
      </c>
      <c r="T7039">
        <v>-0.15768089999999901</v>
      </c>
      <c r="U7039">
        <v>-2.7854920000000001</v>
      </c>
      <c r="V7039">
        <v>-0.23820169999999999</v>
      </c>
      <c r="W7039">
        <v>0.21484819999999999</v>
      </c>
      <c r="X7039">
        <v>0.94715369999999999</v>
      </c>
      <c r="Y7039">
        <v>-0.39743590000000001</v>
      </c>
      <c r="Z7039">
        <v>5.0705420000000001E-2</v>
      </c>
      <c r="AA7039">
        <v>0.91622789999999998</v>
      </c>
      <c r="AB7039">
        <v>17</v>
      </c>
      <c r="AC7039">
        <v>10.2744999999999</v>
      </c>
      <c r="AD7039">
        <v>-1.11165721891999</v>
      </c>
      <c r="AE7039">
        <v>-19.481570000000001</v>
      </c>
      <c r="AF7039">
        <v>-8.7987912846998402</v>
      </c>
      <c r="AG7039">
        <v>-1.11165721891999</v>
      </c>
      <c r="AH7039">
        <v>20.129978657783301</v>
      </c>
      <c r="AI7039">
        <v>92.896769666186799</v>
      </c>
      <c r="AJ7039">
        <v>113.610085054148</v>
      </c>
      <c r="AK7039">
        <v>21.997057771595198</v>
      </c>
      <c r="AL7039">
        <v>77.593377873032495</v>
      </c>
      <c r="AM7039">
        <v>104.116678858608</v>
      </c>
      <c r="AN7039">
        <v>0.99999996517490897</v>
      </c>
    </row>
    <row r="7040" spans="1:40" x14ac:dyDescent="0.25">
      <c r="A7040" t="str">
        <f>"20190312172252375"</f>
        <v>20190312172252375</v>
      </c>
      <c r="B7040" t="str">
        <f>"1552382572367318"</f>
        <v>1552382572367318</v>
      </c>
      <c r="C7040" t="s">
        <v>40</v>
      </c>
      <c r="D7040">
        <v>3.0996950000000001</v>
      </c>
      <c r="E7040">
        <v>0.43724229999999997</v>
      </c>
      <c r="F7040" t="s">
        <v>64</v>
      </c>
      <c r="G7040">
        <v>-291.07369999999997</v>
      </c>
      <c r="H7040" s="1">
        <v>-1.1206000000000001E-5</v>
      </c>
      <c r="I7040">
        <v>-65.859020000000001</v>
      </c>
      <c r="J7040">
        <v>-301.21800000000002</v>
      </c>
      <c r="K7040">
        <v>1.1116790000000001</v>
      </c>
      <c r="L7040">
        <v>-46.820369999999997</v>
      </c>
      <c r="M7040">
        <v>7.6364500000000002E-2</v>
      </c>
      <c r="N7040">
        <v>0</v>
      </c>
      <c r="O7040">
        <v>-0.99704269999999995</v>
      </c>
      <c r="P7040">
        <v>0.30899900000000002</v>
      </c>
      <c r="Q7040">
        <v>0.20760490000000001</v>
      </c>
      <c r="R7040">
        <v>-0.92812720000000004</v>
      </c>
      <c r="S7040">
        <v>1.4708559999999999</v>
      </c>
      <c r="T7040">
        <v>-0.1609323</v>
      </c>
      <c r="U7040">
        <v>-2.780151</v>
      </c>
      <c r="V7040">
        <v>-0.2380089</v>
      </c>
      <c r="W7040">
        <v>0.21492269999999999</v>
      </c>
      <c r="X7040">
        <v>0.94718530000000001</v>
      </c>
      <c r="Y7040">
        <v>-0.39814929999999998</v>
      </c>
      <c r="Z7040">
        <v>5.1761750000000002E-2</v>
      </c>
      <c r="AA7040">
        <v>0.91585910000000004</v>
      </c>
      <c r="AB7040">
        <v>17</v>
      </c>
      <c r="AC7040">
        <v>10.144299999999999</v>
      </c>
      <c r="AD7040">
        <v>-1.111690206</v>
      </c>
      <c r="AE7040">
        <v>-19.038650000000001</v>
      </c>
      <c r="AF7040">
        <v>-8.6378065448154207</v>
      </c>
      <c r="AG7040">
        <v>-1.111690206</v>
      </c>
      <c r="AH7040">
        <v>19.705415886038299</v>
      </c>
      <c r="AI7040">
        <v>92.957806061336001</v>
      </c>
      <c r="AJ7040">
        <v>113.67008976273701</v>
      </c>
      <c r="AK7040">
        <v>21.544163299174599</v>
      </c>
      <c r="AL7040">
        <v>77.589007649810497</v>
      </c>
      <c r="AM7040">
        <v>104.105257332226</v>
      </c>
      <c r="AN7040">
        <v>0.99999999799529504</v>
      </c>
    </row>
    <row r="7041" spans="1:40" x14ac:dyDescent="0.25">
      <c r="A7041" t="str">
        <f>"20190312172252397"</f>
        <v>20190312172252397</v>
      </c>
      <c r="B7041" t="str">
        <f>"1552382572387813"</f>
        <v>1552382572387813</v>
      </c>
      <c r="C7041" t="s">
        <v>40</v>
      </c>
      <c r="D7041">
        <v>3.0911409999999999</v>
      </c>
      <c r="E7041">
        <v>0.43701980000000001</v>
      </c>
      <c r="F7041" t="s">
        <v>64</v>
      </c>
      <c r="G7041">
        <v>-291.02839999999998</v>
      </c>
      <c r="H7041" s="1">
        <v>-1.1200119999999999E-5</v>
      </c>
      <c r="I7041">
        <v>-65.910129999999995</v>
      </c>
      <c r="J7041">
        <v>-301.20150000000001</v>
      </c>
      <c r="K7041">
        <v>1.111712</v>
      </c>
      <c r="L7041">
        <v>-46.985660000000003</v>
      </c>
      <c r="M7041">
        <v>7.9596620000000007E-2</v>
      </c>
      <c r="N7041">
        <v>0</v>
      </c>
      <c r="O7041">
        <v>-0.99678990000000001</v>
      </c>
      <c r="P7041">
        <v>0.31192710000000001</v>
      </c>
      <c r="Q7041">
        <v>0.2070062</v>
      </c>
      <c r="R7041">
        <v>-0.92728129999999998</v>
      </c>
      <c r="S7041">
        <v>1.4813540000000001</v>
      </c>
      <c r="T7041">
        <v>-0.1616175</v>
      </c>
      <c r="U7041">
        <v>-2.7752690000000002</v>
      </c>
      <c r="V7041">
        <v>-0.23793629999999999</v>
      </c>
      <c r="W7041">
        <v>0.21429670000000001</v>
      </c>
      <c r="X7041">
        <v>0.9473454</v>
      </c>
      <c r="Y7041">
        <v>-0.39853670000000002</v>
      </c>
      <c r="Z7041">
        <v>5.199384E-2</v>
      </c>
      <c r="AA7041">
        <v>0.91567739999999997</v>
      </c>
      <c r="AB7041">
        <v>17</v>
      </c>
      <c r="AC7041">
        <v>10.1731</v>
      </c>
      <c r="AD7041">
        <v>-1.1117232001199999</v>
      </c>
      <c r="AE7041">
        <v>-18.924469999999999</v>
      </c>
      <c r="AF7041">
        <v>-8.6113846403984997</v>
      </c>
      <c r="AG7041">
        <v>-1.1117232001199999</v>
      </c>
      <c r="AH7041">
        <v>19.621661949461501</v>
      </c>
      <c r="AI7041">
        <v>92.969924707742294</v>
      </c>
      <c r="AJ7041">
        <v>113.69529240200799</v>
      </c>
      <c r="AK7041">
        <v>21.456968368283501</v>
      </c>
      <c r="AL7041">
        <v>77.6257308900948</v>
      </c>
      <c r="AM7041">
        <v>104.098838444699</v>
      </c>
      <c r="AN7041">
        <v>1.0000000326948599</v>
      </c>
    </row>
    <row r="7042" spans="1:40" x14ac:dyDescent="0.25">
      <c r="A7042" t="str">
        <f>"20190312172252420"</f>
        <v>20190312172252420</v>
      </c>
      <c r="B7042" t="str">
        <f>"1552382572417093"</f>
        <v>1552382572417093</v>
      </c>
      <c r="C7042" t="s">
        <v>40</v>
      </c>
      <c r="D7042">
        <v>3.117623</v>
      </c>
      <c r="E7042">
        <v>0.43686039999999998</v>
      </c>
      <c r="F7042" t="s">
        <v>64</v>
      </c>
      <c r="G7042">
        <v>-291.08089999999999</v>
      </c>
      <c r="H7042" s="1">
        <v>-1.119175E-5</v>
      </c>
      <c r="I7042">
        <v>-65.769800000000004</v>
      </c>
      <c r="J7042">
        <v>-301.18380000000002</v>
      </c>
      <c r="K7042">
        <v>1.111761</v>
      </c>
      <c r="L7042">
        <v>-47.157229999999998</v>
      </c>
      <c r="M7042">
        <v>8.3017339999999995E-2</v>
      </c>
      <c r="N7042">
        <v>0</v>
      </c>
      <c r="O7042">
        <v>-0.99651060000000002</v>
      </c>
      <c r="P7042">
        <v>0.3156988</v>
      </c>
      <c r="Q7042">
        <v>0.20668049999999999</v>
      </c>
      <c r="R7042">
        <v>-0.92607620000000002</v>
      </c>
      <c r="S7042">
        <v>1.49234</v>
      </c>
      <c r="T7042">
        <v>-0.1639303</v>
      </c>
      <c r="U7042">
        <v>-2.7698360000000002</v>
      </c>
      <c r="V7042">
        <v>-0.23855950000000001</v>
      </c>
      <c r="W7042">
        <v>0.21393760000000001</v>
      </c>
      <c r="X7042">
        <v>0.94726980000000005</v>
      </c>
      <c r="Y7042">
        <v>-0.39893610000000002</v>
      </c>
      <c r="Z7042">
        <v>5.275266E-2</v>
      </c>
      <c r="AA7042">
        <v>0.9154601</v>
      </c>
      <c r="AB7042">
        <v>17</v>
      </c>
      <c r="AC7042">
        <v>10.1029</v>
      </c>
      <c r="AD7042">
        <v>-1.1117721917499901</v>
      </c>
      <c r="AE7042">
        <v>-18.612570000000002</v>
      </c>
      <c r="AF7042">
        <v>-8.4993754869470699</v>
      </c>
      <c r="AG7042">
        <v>-1.1117721917499901</v>
      </c>
      <c r="AH7042">
        <v>19.3337806420449</v>
      </c>
      <c r="AI7042">
        <v>93.0133775406848</v>
      </c>
      <c r="AJ7042">
        <v>113.73090041662201</v>
      </c>
      <c r="AK7042">
        <v>21.148770531385001</v>
      </c>
      <c r="AL7042">
        <v>77.646793932617697</v>
      </c>
      <c r="AM7042">
        <v>104.13537054515299</v>
      </c>
      <c r="AN7042">
        <v>1.00000000286302</v>
      </c>
    </row>
    <row r="7043" spans="1:40" x14ac:dyDescent="0.25">
      <c r="A7043" t="str">
        <f>"20190312172252442"</f>
        <v>20190312172252442</v>
      </c>
      <c r="B7043" t="str">
        <f>"1552382572437589"</f>
        <v>1552382572437589</v>
      </c>
      <c r="C7043" t="s">
        <v>40</v>
      </c>
      <c r="D7043">
        <v>3.124368</v>
      </c>
      <c r="E7043">
        <v>0.43675750000000002</v>
      </c>
      <c r="F7043" t="s">
        <v>64</v>
      </c>
      <c r="G7043">
        <v>-291.09690000000001</v>
      </c>
      <c r="H7043" s="1">
        <v>-1.1180189999999999E-5</v>
      </c>
      <c r="I7043">
        <v>-65.678960000000004</v>
      </c>
      <c r="J7043">
        <v>-301.166</v>
      </c>
      <c r="K7043">
        <v>1.111804</v>
      </c>
      <c r="L7043">
        <v>-47.323700000000002</v>
      </c>
      <c r="M7043">
        <v>8.6409520000000004E-2</v>
      </c>
      <c r="N7043">
        <v>0</v>
      </c>
      <c r="O7043">
        <v>-0.99622259999999996</v>
      </c>
      <c r="P7043">
        <v>0.31888470000000002</v>
      </c>
      <c r="Q7043">
        <v>0.2072068</v>
      </c>
      <c r="R7043">
        <v>-0.92486679999999999</v>
      </c>
      <c r="S7043">
        <v>1.504974</v>
      </c>
      <c r="T7043">
        <v>-0.16587729999999901</v>
      </c>
      <c r="U7043">
        <v>-2.763458</v>
      </c>
      <c r="V7043">
        <v>-0.2386336</v>
      </c>
      <c r="W7043">
        <v>0.2144337</v>
      </c>
      <c r="X7043">
        <v>0.94713899999999995</v>
      </c>
      <c r="Y7043">
        <v>-0.39991480000000001</v>
      </c>
      <c r="Z7043">
        <v>5.3395159999999997E-2</v>
      </c>
      <c r="AA7043">
        <v>0.91499569999999997</v>
      </c>
      <c r="AB7043">
        <v>17</v>
      </c>
      <c r="AC7043">
        <v>10.069099999999899</v>
      </c>
      <c r="AD7043">
        <v>-1.11181518019</v>
      </c>
      <c r="AE7043">
        <v>-18.355260000000001</v>
      </c>
      <c r="AF7043">
        <v>-8.4215568423573508</v>
      </c>
      <c r="AG7043">
        <v>-1.11181518019</v>
      </c>
      <c r="AH7043">
        <v>19.102823831885299</v>
      </c>
      <c r="AI7043">
        <v>93.048466042927501</v>
      </c>
      <c r="AJ7043">
        <v>113.79047708434599</v>
      </c>
      <c r="AK7043">
        <v>20.906377758856301</v>
      </c>
      <c r="AL7043">
        <v>77.617694720279502</v>
      </c>
      <c r="AM7043">
        <v>104.141459455649</v>
      </c>
      <c r="AN7043">
        <v>1.00000004603282</v>
      </c>
    </row>
    <row r="7044" spans="1:40" x14ac:dyDescent="0.25">
      <c r="A7044" t="str">
        <f>"20190312172252464"</f>
        <v>20190312172252464</v>
      </c>
      <c r="B7044" t="str">
        <f>"1552382572457109"</f>
        <v>1552382572457109</v>
      </c>
      <c r="C7044" t="s">
        <v>40</v>
      </c>
      <c r="D7044">
        <v>3.1230060000000002</v>
      </c>
      <c r="E7044">
        <v>0.43674180000000001</v>
      </c>
      <c r="F7044" t="s">
        <v>64</v>
      </c>
      <c r="G7044">
        <v>-290.96030000000002</v>
      </c>
      <c r="H7044" s="1">
        <v>-1.1173819999999999E-5</v>
      </c>
      <c r="I7044">
        <v>-65.893860000000004</v>
      </c>
      <c r="J7044">
        <v>-301.14729999999997</v>
      </c>
      <c r="K7044">
        <v>1.1118520000000001</v>
      </c>
      <c r="L7044">
        <v>-47.492069999999998</v>
      </c>
      <c r="M7044">
        <v>8.9903150000000001E-2</v>
      </c>
      <c r="N7044">
        <v>0</v>
      </c>
      <c r="O7044">
        <v>-0.9959133</v>
      </c>
      <c r="P7044">
        <v>0.3222506</v>
      </c>
      <c r="Q7044">
        <v>0.20780570000000001</v>
      </c>
      <c r="R7044">
        <v>-0.92356450000000001</v>
      </c>
      <c r="S7044">
        <v>1.5157780000000001</v>
      </c>
      <c r="T7044">
        <v>-0.16512959999999999</v>
      </c>
      <c r="U7044">
        <v>-2.7580870000000002</v>
      </c>
      <c r="V7044">
        <v>-0.23879890000000001</v>
      </c>
      <c r="W7044">
        <v>0.2150051</v>
      </c>
      <c r="X7044">
        <v>0.94696769999999997</v>
      </c>
      <c r="Y7044">
        <v>-0.40021210000000002</v>
      </c>
      <c r="Z7044">
        <v>5.3170000000000002E-2</v>
      </c>
      <c r="AA7044">
        <v>0.91487879999999999</v>
      </c>
      <c r="AB7044">
        <v>17</v>
      </c>
      <c r="AC7044">
        <v>10.1869999999999</v>
      </c>
      <c r="AD7044">
        <v>-1.11186317382</v>
      </c>
      <c r="AE7044">
        <v>-18.401789999999998</v>
      </c>
      <c r="AF7044">
        <v>-8.4676427234057492</v>
      </c>
      <c r="AG7044">
        <v>-1.11186317382</v>
      </c>
      <c r="AH7044">
        <v>19.189521010193001</v>
      </c>
      <c r="AI7044">
        <v>93.034391417537094</v>
      </c>
      <c r="AJ7044">
        <v>113.810136179585</v>
      </c>
      <c r="AK7044">
        <v>21.0041645777494</v>
      </c>
      <c r="AL7044">
        <v>77.584173063582</v>
      </c>
      <c r="AM7044">
        <v>104.153318699636</v>
      </c>
      <c r="AN7044">
        <v>0.999999966255254</v>
      </c>
    </row>
    <row r="7045" spans="1:40" x14ac:dyDescent="0.25">
      <c r="A7045" t="str">
        <f>"20190312172252487"</f>
        <v>20190312172252487</v>
      </c>
      <c r="B7045" t="str">
        <f>"1552382572477606"</f>
        <v>1552382572477606</v>
      </c>
      <c r="C7045" t="s">
        <v>40</v>
      </c>
      <c r="D7045">
        <v>3.11991</v>
      </c>
      <c r="E7045">
        <v>0.43680950000000002</v>
      </c>
      <c r="F7045" t="s">
        <v>64</v>
      </c>
      <c r="G7045">
        <v>-290.80399999999997</v>
      </c>
      <c r="H7045" s="1">
        <v>-1.1166289999999999E-5</v>
      </c>
      <c r="I7045">
        <v>-66.138279999999995</v>
      </c>
      <c r="J7045">
        <v>-301.12779999999998</v>
      </c>
      <c r="K7045">
        <v>1.1118870000000001</v>
      </c>
      <c r="L7045">
        <v>-47.660829999999997</v>
      </c>
      <c r="M7045">
        <v>9.3469549999999998E-2</v>
      </c>
      <c r="N7045">
        <v>0</v>
      </c>
      <c r="O7045">
        <v>-0.99558469999999999</v>
      </c>
      <c r="P7045">
        <v>0.32540540000000001</v>
      </c>
      <c r="Q7045">
        <v>0.20753369999999999</v>
      </c>
      <c r="R7045">
        <v>-0.92251879999999997</v>
      </c>
      <c r="S7045">
        <v>1.5268250000000001</v>
      </c>
      <c r="T7045">
        <v>-0.16412829999999901</v>
      </c>
      <c r="U7045">
        <v>-2.752472</v>
      </c>
      <c r="V7045">
        <v>-0.2386588</v>
      </c>
      <c r="W7045">
        <v>0.21471219999999999</v>
      </c>
      <c r="X7045">
        <v>0.94706950000000001</v>
      </c>
      <c r="Y7045">
        <v>-0.40053870000000003</v>
      </c>
      <c r="Z7045">
        <v>5.2864000000000001E-2</v>
      </c>
      <c r="AA7045">
        <v>0.91475359999999994</v>
      </c>
      <c r="AB7045">
        <v>17</v>
      </c>
      <c r="AC7045">
        <v>10.323799999999901</v>
      </c>
      <c r="AD7045">
        <v>-1.1118981662899901</v>
      </c>
      <c r="AE7045">
        <v>-18.477450000000001</v>
      </c>
      <c r="AF7045">
        <v>-8.5279230114738098</v>
      </c>
      <c r="AG7045">
        <v>-1.1118981662899901</v>
      </c>
      <c r="AH7045">
        <v>19.3082649890871</v>
      </c>
      <c r="AI7045">
        <v>93.015405459755996</v>
      </c>
      <c r="AJ7045">
        <v>113.82971261819699</v>
      </c>
      <c r="AK7045">
        <v>21.136955440900898</v>
      </c>
      <c r="AL7045">
        <v>77.601356668879504</v>
      </c>
      <c r="AM7045">
        <v>104.14388910294799</v>
      </c>
      <c r="AN7045">
        <v>0.99999999473826495</v>
      </c>
    </row>
    <row r="7046" spans="1:40" x14ac:dyDescent="0.25">
      <c r="A7046" t="str">
        <f>"20190312172252510"</f>
        <v>20190312172252510</v>
      </c>
      <c r="B7046" t="str">
        <f>"1552382572507863"</f>
        <v>1552382572507863</v>
      </c>
      <c r="C7046" t="s">
        <v>40</v>
      </c>
      <c r="D7046">
        <v>3.1184859999999999</v>
      </c>
      <c r="E7046">
        <v>0.43694519999999998</v>
      </c>
      <c r="F7046" t="s">
        <v>64</v>
      </c>
      <c r="G7046">
        <v>-290.8175</v>
      </c>
      <c r="H7046" s="1">
        <v>-1.1163740000000001E-5</v>
      </c>
      <c r="I7046">
        <v>-66.100089999999994</v>
      </c>
      <c r="J7046">
        <v>-301.1069</v>
      </c>
      <c r="K7046">
        <v>1.1119289999999999</v>
      </c>
      <c r="L7046">
        <v>-47.836060000000003</v>
      </c>
      <c r="M7046">
        <v>9.7252610000000003E-2</v>
      </c>
      <c r="N7046">
        <v>0</v>
      </c>
      <c r="O7046">
        <v>-0.9952223</v>
      </c>
      <c r="P7046">
        <v>0.32886599999999999</v>
      </c>
      <c r="Q7046">
        <v>0.20770749999999999</v>
      </c>
      <c r="R7046">
        <v>-0.92125179999999995</v>
      </c>
      <c r="S7046">
        <v>1.5361940000000001</v>
      </c>
      <c r="T7046">
        <v>-0.16566839999999999</v>
      </c>
      <c r="U7046">
        <v>-2.7473749999999999</v>
      </c>
      <c r="V7046">
        <v>-0.23864260000000001</v>
      </c>
      <c r="W7046">
        <v>0.214864</v>
      </c>
      <c r="X7046">
        <v>0.94703919999999997</v>
      </c>
      <c r="Y7046">
        <v>-0.40014359999999999</v>
      </c>
      <c r="Z7046">
        <v>5.337832E-2</v>
      </c>
      <c r="AA7046">
        <v>0.91489670000000001</v>
      </c>
      <c r="AB7046">
        <v>17</v>
      </c>
      <c r="AC7046">
        <v>10.289400000000001</v>
      </c>
      <c r="AD7046">
        <v>-1.1119401637399999</v>
      </c>
      <c r="AE7046">
        <v>-18.264030000000002</v>
      </c>
      <c r="AF7046">
        <v>-8.4405829443560396</v>
      </c>
      <c r="AG7046">
        <v>-1.1119401637399999</v>
      </c>
      <c r="AH7046">
        <v>19.124347807313399</v>
      </c>
      <c r="AI7046">
        <v>93.044823505501697</v>
      </c>
      <c r="AJ7046">
        <v>113.814396091801</v>
      </c>
      <c r="AK7046">
        <v>20.933717549049501</v>
      </c>
      <c r="AL7046">
        <v>77.592451866097804</v>
      </c>
      <c r="AM7046">
        <v>104.143401890456</v>
      </c>
      <c r="AN7046">
        <v>1.0000000376836899</v>
      </c>
    </row>
    <row r="7047" spans="1:40" x14ac:dyDescent="0.25">
      <c r="A7047" t="str">
        <f>"20190312172252533"</f>
        <v>20190312172252533</v>
      </c>
      <c r="B7047" t="str">
        <f>"1552382572527381"</f>
        <v>1552382572527381</v>
      </c>
      <c r="C7047" t="s">
        <v>40</v>
      </c>
      <c r="D7047">
        <v>3.132625</v>
      </c>
      <c r="E7047">
        <v>0.43704300000000001</v>
      </c>
      <c r="F7047" t="s">
        <v>64</v>
      </c>
      <c r="G7047">
        <v>-290.78300000000002</v>
      </c>
      <c r="H7047" s="1">
        <v>-1.11617899999999E-5</v>
      </c>
      <c r="I7047">
        <v>-66.152559999999994</v>
      </c>
      <c r="J7047">
        <v>-301.0856</v>
      </c>
      <c r="K7047">
        <v>1.111988</v>
      </c>
      <c r="L7047">
        <v>-48.008150000000001</v>
      </c>
      <c r="M7047">
        <v>0.1010578</v>
      </c>
      <c r="N7047">
        <v>0</v>
      </c>
      <c r="O7047">
        <v>-0.99484289999999997</v>
      </c>
      <c r="P7047">
        <v>0.3325611</v>
      </c>
      <c r="Q7047">
        <v>0.207509</v>
      </c>
      <c r="R7047">
        <v>-0.91996909999999998</v>
      </c>
      <c r="S7047">
        <v>1.5456240000000001</v>
      </c>
      <c r="T7047">
        <v>-0.16647190000000001</v>
      </c>
      <c r="U7047">
        <v>-2.7422179999999998</v>
      </c>
      <c r="V7047">
        <v>-0.23884430000000001</v>
      </c>
      <c r="W7047">
        <v>0.21463950000000001</v>
      </c>
      <c r="X7047">
        <v>0.94703919999999997</v>
      </c>
      <c r="Y7047">
        <v>-0.39975640000000001</v>
      </c>
      <c r="Z7047">
        <v>5.3655330000000001E-2</v>
      </c>
      <c r="AA7047">
        <v>0.91504969999999997</v>
      </c>
      <c r="AB7047">
        <v>17</v>
      </c>
      <c r="AC7047">
        <v>10.302599999999901</v>
      </c>
      <c r="AD7047">
        <v>-1.11199916178999</v>
      </c>
      <c r="AE7047">
        <v>-18.144409999999901</v>
      </c>
      <c r="AF7047">
        <v>-8.3923132984274496</v>
      </c>
      <c r="AG7047">
        <v>-1.11199916178999</v>
      </c>
      <c r="AH7047">
        <v>19.038636263135299</v>
      </c>
      <c r="AI7047">
        <v>93.059285475710695</v>
      </c>
      <c r="AJ7047">
        <v>113.788092881095</v>
      </c>
      <c r="AK7047">
        <v>20.835957750839199</v>
      </c>
      <c r="AL7047">
        <v>77.605621325565295</v>
      </c>
      <c r="AM7047">
        <v>104.15487555046801</v>
      </c>
      <c r="AN7047">
        <v>0.99999998046968896</v>
      </c>
    </row>
    <row r="7048" spans="1:40" x14ac:dyDescent="0.25">
      <c r="A7048" t="str">
        <f>"20190312172252554"</f>
        <v>20190312172252554</v>
      </c>
      <c r="B7048" t="str">
        <f>"1552382572547877"</f>
        <v>1552382572547877</v>
      </c>
      <c r="C7048" t="s">
        <v>40</v>
      </c>
      <c r="D7048">
        <v>3.1077919999999999</v>
      </c>
      <c r="E7048">
        <v>0.43709969999999998</v>
      </c>
      <c r="F7048" t="s">
        <v>64</v>
      </c>
      <c r="G7048">
        <v>-290.7756</v>
      </c>
      <c r="H7048" s="1">
        <v>-1.11570699999999E-5</v>
      </c>
      <c r="I7048">
        <v>-66.140810000000002</v>
      </c>
      <c r="J7048">
        <v>-301.06459999999998</v>
      </c>
      <c r="K7048">
        <v>1.112045</v>
      </c>
      <c r="L7048">
        <v>-48.172789999999999</v>
      </c>
      <c r="M7048">
        <v>0.1047896</v>
      </c>
      <c r="N7048">
        <v>0</v>
      </c>
      <c r="O7048">
        <v>-0.99445680000000003</v>
      </c>
      <c r="P7048">
        <v>0.33594829999999998</v>
      </c>
      <c r="Q7048">
        <v>0.2073767</v>
      </c>
      <c r="R7048">
        <v>-0.91876749999999996</v>
      </c>
      <c r="S7048">
        <v>1.5558780000000001</v>
      </c>
      <c r="T7048">
        <v>-0.16781119999999999</v>
      </c>
      <c r="U7048">
        <v>-2.736389</v>
      </c>
      <c r="V7048">
        <v>-0.2388072</v>
      </c>
      <c r="W7048">
        <v>0.2144807</v>
      </c>
      <c r="X7048">
        <v>0.9470845</v>
      </c>
      <c r="Y7048">
        <v>-0.39973520000000001</v>
      </c>
      <c r="Z7048">
        <v>5.4107009999999997E-2</v>
      </c>
      <c r="AA7048">
        <v>0.91503239999999997</v>
      </c>
      <c r="AB7048">
        <v>17</v>
      </c>
      <c r="AC7048">
        <v>10.2889999999999</v>
      </c>
      <c r="AD7048">
        <v>-1.1120561570700001</v>
      </c>
      <c r="AE7048">
        <v>-17.968019999999999</v>
      </c>
      <c r="AF7048">
        <v>-8.3254012103779598</v>
      </c>
      <c r="AG7048">
        <v>-1.1120561570700001</v>
      </c>
      <c r="AH7048">
        <v>18.892810312615399</v>
      </c>
      <c r="AI7048">
        <v>93.083169360055507</v>
      </c>
      <c r="AJ7048">
        <v>113.78141074882301</v>
      </c>
      <c r="AK7048">
        <v>20.675764936724999</v>
      </c>
      <c r="AL7048">
        <v>77.614936460723897</v>
      </c>
      <c r="AM7048">
        <v>104.15211547098301</v>
      </c>
      <c r="AN7048">
        <v>0.99999994979228801</v>
      </c>
    </row>
    <row r="7049" spans="1:40" x14ac:dyDescent="0.25">
      <c r="A7049" t="str">
        <f>"20190312172252577"</f>
        <v>20190312172252577</v>
      </c>
      <c r="B7049" t="str">
        <f>"1552382572567398"</f>
        <v>1552382572567398</v>
      </c>
      <c r="C7049" t="s">
        <v>40</v>
      </c>
      <c r="D7049">
        <v>3.2193679999999998</v>
      </c>
      <c r="E7049">
        <v>0.4372046</v>
      </c>
      <c r="F7049" t="s">
        <v>64</v>
      </c>
      <c r="G7049">
        <v>-290.76190000000003</v>
      </c>
      <c r="H7049" s="1">
        <v>-1.1152099999999999E-5</v>
      </c>
      <c r="I7049">
        <v>-66.139300000000006</v>
      </c>
      <c r="J7049">
        <v>-301.0419</v>
      </c>
      <c r="K7049">
        <v>1.112115</v>
      </c>
      <c r="L7049">
        <v>-48.343870000000003</v>
      </c>
      <c r="M7049">
        <v>0.10876719999999999</v>
      </c>
      <c r="N7049">
        <v>0</v>
      </c>
      <c r="O7049">
        <v>-0.99402970000000002</v>
      </c>
      <c r="P7049">
        <v>0.33965240000000002</v>
      </c>
      <c r="Q7049">
        <v>0.207398</v>
      </c>
      <c r="R7049">
        <v>-0.91739990000000005</v>
      </c>
      <c r="S7049">
        <v>1.5659479999999999</v>
      </c>
      <c r="T7049">
        <v>-0.16902609999999901</v>
      </c>
      <c r="U7049">
        <v>-2.730804</v>
      </c>
      <c r="V7049">
        <v>-0.23887739999999999</v>
      </c>
      <c r="W7049">
        <v>0.2144691</v>
      </c>
      <c r="X7049">
        <v>0.94706950000000001</v>
      </c>
      <c r="Y7049">
        <v>-0.39940540000000002</v>
      </c>
      <c r="Z7049">
        <v>5.4515699999999903E-2</v>
      </c>
      <c r="AA7049">
        <v>0.91515210000000002</v>
      </c>
      <c r="AB7049">
        <v>17</v>
      </c>
      <c r="AC7049">
        <v>10.2799999999999</v>
      </c>
      <c r="AD7049">
        <v>-1.1121261521000001</v>
      </c>
      <c r="AE7049">
        <v>-17.79543</v>
      </c>
      <c r="AF7049">
        <v>-8.2591892401264193</v>
      </c>
      <c r="AG7049">
        <v>-1.1121261521000001</v>
      </c>
      <c r="AH7049">
        <v>18.753098311686099</v>
      </c>
      <c r="AI7049">
        <v>93.106572881488006</v>
      </c>
      <c r="AJ7049">
        <v>113.76952365897201</v>
      </c>
      <c r="AK7049">
        <v>20.521445557517801</v>
      </c>
      <c r="AL7049">
        <v>77.615617840782093</v>
      </c>
      <c r="AM7049">
        <v>104.156323612002</v>
      </c>
      <c r="AN7049">
        <v>1.0000000224579</v>
      </c>
    </row>
    <row r="7050" spans="1:40" x14ac:dyDescent="0.25">
      <c r="A7050" t="str">
        <f>"20190312172252598"</f>
        <v>20190312172252598</v>
      </c>
      <c r="B7050" t="str">
        <f>"1552382572587894"</f>
        <v>1552382572587894</v>
      </c>
      <c r="C7050" t="s">
        <v>40</v>
      </c>
      <c r="D7050">
        <v>3.1248999999999998</v>
      </c>
      <c r="E7050">
        <v>0.43729980000000002</v>
      </c>
      <c r="F7050" t="s">
        <v>64</v>
      </c>
      <c r="G7050">
        <v>-290.73919999999998</v>
      </c>
      <c r="H7050" s="1">
        <v>-1.1146960000000001E-5</v>
      </c>
      <c r="I7050">
        <v>-66.153199999999998</v>
      </c>
      <c r="J7050">
        <v>-301.0188</v>
      </c>
      <c r="K7050">
        <v>1.112198</v>
      </c>
      <c r="L7050">
        <v>-48.512479999999996</v>
      </c>
      <c r="M7050">
        <v>0.1127948</v>
      </c>
      <c r="N7050">
        <v>0</v>
      </c>
      <c r="O7050">
        <v>-0.99358060000000004</v>
      </c>
      <c r="P7050">
        <v>0.34329349999999997</v>
      </c>
      <c r="Q7050">
        <v>0.20779320000000001</v>
      </c>
      <c r="R7050">
        <v>-0.91595439999999995</v>
      </c>
      <c r="S7050">
        <v>1.5763849999999999</v>
      </c>
      <c r="T7050">
        <v>-0.1701627</v>
      </c>
      <c r="U7050">
        <v>-2.724945</v>
      </c>
      <c r="V7050">
        <v>-0.23885310000000001</v>
      </c>
      <c r="W7050">
        <v>0.21482860000000001</v>
      </c>
      <c r="X7050">
        <v>0.94699409999999895</v>
      </c>
      <c r="Y7050">
        <v>-0.39916010000000002</v>
      </c>
      <c r="Z7050">
        <v>5.4899259999999998E-2</v>
      </c>
      <c r="AA7050">
        <v>0.91523620000000006</v>
      </c>
      <c r="AB7050">
        <v>17</v>
      </c>
      <c r="AC7050">
        <v>10.2796</v>
      </c>
      <c r="AD7050">
        <v>-1.11220914696</v>
      </c>
      <c r="AE7050">
        <v>-17.640720000000002</v>
      </c>
      <c r="AF7050">
        <v>-8.1998055804838792</v>
      </c>
      <c r="AG7050">
        <v>-1.11220914696</v>
      </c>
      <c r="AH7050">
        <v>18.6323728245357</v>
      </c>
      <c r="AI7050">
        <v>93.127278322534394</v>
      </c>
      <c r="AJ7050">
        <v>113.753517350926</v>
      </c>
      <c r="AK7050">
        <v>20.387229772992999</v>
      </c>
      <c r="AL7050">
        <v>77.594527882567107</v>
      </c>
      <c r="AM7050">
        <v>104.156023150183</v>
      </c>
      <c r="AN7050">
        <v>0.99999997809618901</v>
      </c>
    </row>
    <row r="7051" spans="1:40" x14ac:dyDescent="0.25">
      <c r="A7051" t="str">
        <f>"20190312172252622"</f>
        <v>20190312172252622</v>
      </c>
      <c r="B7051" t="str">
        <f>"1552382572617173"</f>
        <v>1552382572617173</v>
      </c>
      <c r="C7051" t="s">
        <v>40</v>
      </c>
      <c r="D7051">
        <v>3.1460949999999999</v>
      </c>
      <c r="E7051">
        <v>0.43725199999999997</v>
      </c>
      <c r="F7051" t="s">
        <v>64</v>
      </c>
      <c r="G7051">
        <v>-290.61950000000002</v>
      </c>
      <c r="H7051" s="1">
        <v>-1.1138509999999999E-5</v>
      </c>
      <c r="I7051">
        <v>-66.326130000000006</v>
      </c>
      <c r="J7051">
        <v>-300.99419999999998</v>
      </c>
      <c r="K7051">
        <v>1.1122780000000001</v>
      </c>
      <c r="L7051">
        <v>-48.685209999999998</v>
      </c>
      <c r="M7051">
        <v>0.11704349999999999</v>
      </c>
      <c r="N7051">
        <v>0</v>
      </c>
      <c r="O7051">
        <v>-0.993089</v>
      </c>
      <c r="P7051">
        <v>0.34702529999999998</v>
      </c>
      <c r="Q7051">
        <v>0.20806930000000001</v>
      </c>
      <c r="R7051">
        <v>-0.91448399999999996</v>
      </c>
      <c r="S7051">
        <v>1.58725</v>
      </c>
      <c r="T7051">
        <v>-0.16975670000000001</v>
      </c>
      <c r="U7051">
        <v>-2.7189030000000001</v>
      </c>
      <c r="V7051">
        <v>-0.2387156</v>
      </c>
      <c r="W7051">
        <v>0.21506790000000001</v>
      </c>
      <c r="X7051">
        <v>0.94697450000000005</v>
      </c>
      <c r="Y7051">
        <v>-0.39885619999999999</v>
      </c>
      <c r="Z7051">
        <v>5.478475E-2</v>
      </c>
      <c r="AA7051">
        <v>0.91537550000000001</v>
      </c>
      <c r="AB7051">
        <v>17</v>
      </c>
      <c r="AC7051">
        <v>10.374699999999899</v>
      </c>
      <c r="AD7051">
        <v>-1.11228913851</v>
      </c>
      <c r="AE7051">
        <v>-17.640920000000001</v>
      </c>
      <c r="AF7051">
        <v>-8.2142906945238998</v>
      </c>
      <c r="AG7051">
        <v>-1.11228913851</v>
      </c>
      <c r="AH7051">
        <v>18.678823118828401</v>
      </c>
      <c r="AI7051">
        <v>93.1201067522058</v>
      </c>
      <c r="AJ7051">
        <v>113.73820790581399</v>
      </c>
      <c r="AK7051">
        <v>20.435513006681902</v>
      </c>
      <c r="AL7051">
        <v>77.580489393173394</v>
      </c>
      <c r="AM7051">
        <v>104.14848239771</v>
      </c>
      <c r="AN7051">
        <v>1.000000021472</v>
      </c>
    </row>
    <row r="7052" spans="1:40" x14ac:dyDescent="0.25">
      <c r="A7052" t="str">
        <f>"20190312172252745"</f>
        <v>20190312172252745</v>
      </c>
      <c r="B7052" t="str">
        <f>"1552382572737221"</f>
        <v>1552382572737221</v>
      </c>
      <c r="C7052" t="s">
        <v>40</v>
      </c>
      <c r="D7052">
        <v>3.477808</v>
      </c>
      <c r="E7052">
        <v>0.4606363</v>
      </c>
      <c r="F7052" t="s">
        <v>64</v>
      </c>
      <c r="G7052">
        <v>-290.45499999999998</v>
      </c>
      <c r="H7052" s="1">
        <v>-1.11268E-5</v>
      </c>
      <c r="I7052">
        <v>-66.563280000000006</v>
      </c>
      <c r="J7052">
        <v>-300.84050000000002</v>
      </c>
      <c r="K7052">
        <v>1.1126750000000001</v>
      </c>
      <c r="L7052">
        <v>-49.645319999999998</v>
      </c>
      <c r="M7052">
        <v>0.1428681</v>
      </c>
      <c r="N7052">
        <v>0</v>
      </c>
      <c r="O7052">
        <v>-0.98970309999999995</v>
      </c>
      <c r="P7052">
        <v>0.36778349999999999</v>
      </c>
      <c r="Q7052">
        <v>0.20731069999999999</v>
      </c>
      <c r="R7052">
        <v>-0.90650839999999999</v>
      </c>
      <c r="S7052">
        <v>1.598846</v>
      </c>
      <c r="T7052">
        <v>-0.16873969999999999</v>
      </c>
      <c r="U7052">
        <v>-2.712189</v>
      </c>
      <c r="V7052">
        <v>-0.23581530000000001</v>
      </c>
      <c r="W7052">
        <v>0.21417800000000001</v>
      </c>
      <c r="X7052">
        <v>0.94790240000000003</v>
      </c>
      <c r="Y7052">
        <v>-0.37878830000000002</v>
      </c>
      <c r="Z7052">
        <v>5.4476249999999997E-2</v>
      </c>
      <c r="AA7052">
        <v>0.92387870000000005</v>
      </c>
      <c r="AB7052">
        <v>18</v>
      </c>
      <c r="AC7052">
        <v>10.3855</v>
      </c>
      <c r="AD7052">
        <v>-1.1126861267999999</v>
      </c>
      <c r="AE7052">
        <v>-16.917960000000001</v>
      </c>
      <c r="AF7052">
        <v>-7.8372032060912504</v>
      </c>
      <c r="AG7052">
        <v>-1.1126861267999999</v>
      </c>
      <c r="AH7052">
        <v>18.171122864331799</v>
      </c>
      <c r="AI7052">
        <v>93.218181726399905</v>
      </c>
      <c r="AJ7052">
        <v>113.330531033002</v>
      </c>
      <c r="AK7052">
        <v>19.8204321512166</v>
      </c>
      <c r="AL7052">
        <v>77.632693346754294</v>
      </c>
      <c r="AM7052">
        <v>103.970215904219</v>
      </c>
      <c r="AN7052">
        <v>1.00000001566192</v>
      </c>
    </row>
    <row r="7053" spans="1:40" x14ac:dyDescent="0.25">
      <c r="A7053" t="str">
        <f>"20190312172252760"</f>
        <v>20190312172252760</v>
      </c>
      <c r="B7053" t="str">
        <f>"1552382572757717"</f>
        <v>1552382572757717</v>
      </c>
      <c r="C7053" t="s">
        <v>40</v>
      </c>
      <c r="D7053">
        <v>3.7369840000000001</v>
      </c>
      <c r="E7053">
        <v>0.45915739999999999</v>
      </c>
      <c r="F7053" t="s">
        <v>64</v>
      </c>
      <c r="G7053">
        <v>-296.26490000000001</v>
      </c>
      <c r="H7053" s="1">
        <v>-7.7385620000000001E-6</v>
      </c>
      <c r="I7053">
        <v>-58.043909999999997</v>
      </c>
      <c r="J7053">
        <v>-300.81889999999999</v>
      </c>
      <c r="K7053">
        <v>1.1127339999999999</v>
      </c>
      <c r="L7053">
        <v>-49.766629999999999</v>
      </c>
      <c r="M7053">
        <v>0.146400799999999</v>
      </c>
      <c r="N7053">
        <v>0</v>
      </c>
      <c r="O7053">
        <v>-0.98918649999999997</v>
      </c>
      <c r="P7053">
        <v>0.37069920000000001</v>
      </c>
      <c r="Q7053">
        <v>0.207424</v>
      </c>
      <c r="R7053">
        <v>-0.90529409999999999</v>
      </c>
      <c r="S7053">
        <v>1.51416</v>
      </c>
      <c r="T7053">
        <v>-0.36821379999999998</v>
      </c>
      <c r="U7053">
        <v>-2.7792970000000001</v>
      </c>
      <c r="V7053">
        <v>-0.23551730000000001</v>
      </c>
      <c r="W7053">
        <v>0.21427350000000001</v>
      </c>
      <c r="X7053">
        <v>0.94795490000000004</v>
      </c>
      <c r="Y7053">
        <v>-0.34137879999999998</v>
      </c>
      <c r="Z7053">
        <v>0.1173126</v>
      </c>
      <c r="AA7053">
        <v>0.93257610000000002</v>
      </c>
      <c r="AB7053">
        <v>18</v>
      </c>
      <c r="AC7053">
        <v>4.5539999999999701</v>
      </c>
      <c r="AD7053">
        <v>-1.112741738562</v>
      </c>
      <c r="AE7053">
        <v>-8.2772799999999904</v>
      </c>
      <c r="AF7053">
        <v>-3.2480217781082099</v>
      </c>
      <c r="AG7053">
        <v>-1.112741738562</v>
      </c>
      <c r="AH7053">
        <v>8.7336614152237004</v>
      </c>
      <c r="AI7053">
        <v>96.809874608780902</v>
      </c>
      <c r="AJ7053">
        <v>110.40001275265701</v>
      </c>
      <c r="AK7053">
        <v>9.3842784146449194</v>
      </c>
      <c r="AL7053">
        <v>77.627091502505095</v>
      </c>
      <c r="AM7053">
        <v>103.952509343423</v>
      </c>
      <c r="AN7053">
        <v>1.0000000119177701</v>
      </c>
    </row>
    <row r="7054" spans="1:40" x14ac:dyDescent="0.25">
      <c r="A7054" t="str">
        <f>"20190312172252777"</f>
        <v>20190312172252777</v>
      </c>
      <c r="B7054" t="str">
        <f>"1552382572767478"</f>
        <v>1552382572767478</v>
      </c>
      <c r="C7054" t="s">
        <v>40</v>
      </c>
      <c r="D7054">
        <v>3.1781609999999998</v>
      </c>
      <c r="E7054">
        <v>0.46057130000000002</v>
      </c>
      <c r="F7054" t="s">
        <v>64</v>
      </c>
      <c r="G7054">
        <v>-294.56849999999997</v>
      </c>
      <c r="H7054" s="1">
        <v>-1.136768E-5</v>
      </c>
      <c r="I7054">
        <v>-61.064970000000002</v>
      </c>
      <c r="J7054">
        <v>-300.79489999999998</v>
      </c>
      <c r="K7054">
        <v>1.112803</v>
      </c>
      <c r="L7054">
        <v>-49.898409999999998</v>
      </c>
      <c r="M7054">
        <v>0.15031600000000001</v>
      </c>
      <c r="N7054">
        <v>0</v>
      </c>
      <c r="O7054">
        <v>-0.98859889999999995</v>
      </c>
      <c r="P7054">
        <v>0.37439790000000001</v>
      </c>
      <c r="Q7054">
        <v>0.20758560000000001</v>
      </c>
      <c r="R7054">
        <v>-0.90373360000000003</v>
      </c>
      <c r="S7054">
        <v>1.522705</v>
      </c>
      <c r="T7054">
        <v>-0.27108130000000003</v>
      </c>
      <c r="U7054">
        <v>-2.7524410000000001</v>
      </c>
      <c r="V7054">
        <v>-0.235682</v>
      </c>
      <c r="W7054">
        <v>0.21441550000000001</v>
      </c>
      <c r="X7054">
        <v>0.9478818</v>
      </c>
      <c r="Y7054">
        <v>-0.34519680000000003</v>
      </c>
      <c r="Z7054">
        <v>8.7192110000000003E-2</v>
      </c>
      <c r="AA7054">
        <v>0.93447139999999995</v>
      </c>
      <c r="AB7054">
        <v>18</v>
      </c>
      <c r="AC7054">
        <v>6.2264000000000097</v>
      </c>
      <c r="AD7054">
        <v>-1.11281436768</v>
      </c>
      <c r="AE7054">
        <v>-11.166559999999899</v>
      </c>
      <c r="AF7054">
        <v>-4.4434098514419196</v>
      </c>
      <c r="AG7054">
        <v>-1.11281436768</v>
      </c>
      <c r="AH7054">
        <v>11.8855954736583</v>
      </c>
      <c r="AI7054">
        <v>95.011958986719804</v>
      </c>
      <c r="AJ7054">
        <v>110.49817202771</v>
      </c>
      <c r="AK7054">
        <v>12.737724549080699</v>
      </c>
      <c r="AL7054">
        <v>77.618761244268001</v>
      </c>
      <c r="AM7054">
        <v>103.962919532519</v>
      </c>
      <c r="AN7054">
        <v>0.99999995926774399</v>
      </c>
    </row>
    <row r="7055" spans="1:40" x14ac:dyDescent="0.25">
      <c r="A7055" t="str">
        <f>"20190312172252799"</f>
        <v>20190312172252799</v>
      </c>
      <c r="B7055" t="str">
        <f>"1552382572797733"</f>
        <v>1552382572797733</v>
      </c>
      <c r="C7055" t="s">
        <v>40</v>
      </c>
      <c r="D7055">
        <v>3.2535029999999998</v>
      </c>
      <c r="E7055">
        <v>0.4636362</v>
      </c>
      <c r="F7055" t="s">
        <v>64</v>
      </c>
      <c r="G7055">
        <v>-293.91809999999998</v>
      </c>
      <c r="H7055" s="1">
        <v>-1.1444140000000001E-5</v>
      </c>
      <c r="I7055">
        <v>-62.315159999999999</v>
      </c>
      <c r="J7055">
        <v>-300.76220000000001</v>
      </c>
      <c r="K7055">
        <v>1.1128979999999999</v>
      </c>
      <c r="L7055">
        <v>-50.072420000000001</v>
      </c>
      <c r="M7055">
        <v>0.15558939999999999</v>
      </c>
      <c r="N7055">
        <v>0</v>
      </c>
      <c r="O7055">
        <v>-0.98778270000000001</v>
      </c>
      <c r="P7055">
        <v>0.37901489999999999</v>
      </c>
      <c r="Q7055">
        <v>0.2080062</v>
      </c>
      <c r="R7055">
        <v>-0.90171029999999996</v>
      </c>
      <c r="S7055">
        <v>1.5208440000000001</v>
      </c>
      <c r="T7055">
        <v>-0.24610489999999999</v>
      </c>
      <c r="U7055">
        <v>-2.7460330000000002</v>
      </c>
      <c r="V7055">
        <v>-0.23553470000000001</v>
      </c>
      <c r="W7055">
        <v>0.21481510000000001</v>
      </c>
      <c r="X7055">
        <v>0.947828</v>
      </c>
      <c r="Y7055">
        <v>-0.34094350000000001</v>
      </c>
      <c r="Z7055">
        <v>7.935325E-2</v>
      </c>
      <c r="AA7055">
        <v>0.93672869999999997</v>
      </c>
      <c r="AB7055">
        <v>18</v>
      </c>
      <c r="AC7055">
        <v>6.8441000000000196</v>
      </c>
      <c r="AD7055">
        <v>-1.11290944413999</v>
      </c>
      <c r="AE7055">
        <v>-12.2427399999999</v>
      </c>
      <c r="AF7055">
        <v>-4.8254501330432404</v>
      </c>
      <c r="AG7055">
        <v>-1.11290944413999</v>
      </c>
      <c r="AH7055">
        <v>13.076218202247</v>
      </c>
      <c r="AI7055">
        <v>94.565164738501096</v>
      </c>
      <c r="AJ7055">
        <v>110.25531656798501</v>
      </c>
      <c r="AK7055">
        <v>13.9825254832637</v>
      </c>
      <c r="AL7055">
        <v>77.595320391882396</v>
      </c>
      <c r="AM7055">
        <v>103.955295034522</v>
      </c>
      <c r="AN7055">
        <v>1.0000000198380401</v>
      </c>
    </row>
    <row r="7056" spans="1:40" x14ac:dyDescent="0.25">
      <c r="A7056" t="str">
        <f>"20190312172252823"</f>
        <v>20190312172252823</v>
      </c>
      <c r="B7056" t="str">
        <f>"1552382572817253"</f>
        <v>1552382572817253</v>
      </c>
      <c r="C7056" t="s">
        <v>40</v>
      </c>
      <c r="D7056">
        <v>3.356395</v>
      </c>
      <c r="E7056">
        <v>0.46493180000000001</v>
      </c>
      <c r="F7056" t="s">
        <v>64</v>
      </c>
      <c r="G7056">
        <v>-292.55380000000002</v>
      </c>
      <c r="H7056" s="1">
        <v>-1.154882E-5</v>
      </c>
      <c r="I7056">
        <v>-64.993119999999905</v>
      </c>
      <c r="J7056">
        <v>-300.72809999999998</v>
      </c>
      <c r="K7056">
        <v>1.1130059999999999</v>
      </c>
      <c r="L7056">
        <v>-50.24747</v>
      </c>
      <c r="M7056">
        <v>0.16106289999999901</v>
      </c>
      <c r="N7056">
        <v>0</v>
      </c>
      <c r="O7056">
        <v>-0.98690440000000001</v>
      </c>
      <c r="P7056">
        <v>0.38347049999999999</v>
      </c>
      <c r="Q7056">
        <v>0.20835400000000001</v>
      </c>
      <c r="R7056">
        <v>-0.89974419999999899</v>
      </c>
      <c r="S7056">
        <v>1.5076290000000001</v>
      </c>
      <c r="T7056">
        <v>-0.20440759999999999</v>
      </c>
      <c r="U7056">
        <v>-2.7404790000000001</v>
      </c>
      <c r="V7056">
        <v>-0.23503450000000001</v>
      </c>
      <c r="W7056">
        <v>0.2151458</v>
      </c>
      <c r="X7056">
        <v>0.94787719999999998</v>
      </c>
      <c r="Y7056">
        <v>-0.33353110000000002</v>
      </c>
      <c r="Z7056">
        <v>6.6168550000000007E-2</v>
      </c>
      <c r="AA7056">
        <v>0.94041410000000003</v>
      </c>
      <c r="AB7056">
        <v>18</v>
      </c>
      <c r="AC7056">
        <v>8.1742999999999597</v>
      </c>
      <c r="AD7056">
        <v>-1.11301754882</v>
      </c>
      <c r="AE7056">
        <v>-14.7456499999999</v>
      </c>
      <c r="AF7056">
        <v>-5.6677978727152096</v>
      </c>
      <c r="AG7056">
        <v>-1.11301754882</v>
      </c>
      <c r="AH7056">
        <v>15.80088379004</v>
      </c>
      <c r="AI7056">
        <v>93.793370112845295</v>
      </c>
      <c r="AJ7056">
        <v>109.73297722263401</v>
      </c>
      <c r="AK7056">
        <v>16.823515367968898</v>
      </c>
      <c r="AL7056">
        <v>77.575919534974204</v>
      </c>
      <c r="AM7056">
        <v>103.92611850024799</v>
      </c>
      <c r="AN7056">
        <v>1.00000005886386</v>
      </c>
    </row>
    <row r="7057" spans="1:40" x14ac:dyDescent="0.25">
      <c r="A7057" t="str">
        <f>"20190312172252844"</f>
        <v>20190312172252844</v>
      </c>
      <c r="B7057" t="str">
        <f>"1552382572837749"</f>
        <v>1552382572837749</v>
      </c>
      <c r="C7057" t="s">
        <v>40</v>
      </c>
      <c r="D7057">
        <v>3.2183139999999999</v>
      </c>
      <c r="E7057">
        <v>0.46548699999999998</v>
      </c>
      <c r="F7057" t="s">
        <v>64</v>
      </c>
      <c r="G7057">
        <v>-291.89550000000003</v>
      </c>
      <c r="H7057" s="1">
        <v>-1.1556240000000001E-5</v>
      </c>
      <c r="I7057">
        <v>-66.231899999999996</v>
      </c>
      <c r="J7057">
        <v>-300.69240000000002</v>
      </c>
      <c r="K7057">
        <v>1.1131169999999999</v>
      </c>
      <c r="L7057">
        <v>-50.424410000000002</v>
      </c>
      <c r="M7057">
        <v>0.1667689</v>
      </c>
      <c r="N7057">
        <v>0</v>
      </c>
      <c r="O7057">
        <v>-0.98595580000000005</v>
      </c>
      <c r="P7057">
        <v>0.38795400000000002</v>
      </c>
      <c r="Q7057">
        <v>0.2086451</v>
      </c>
      <c r="R7057">
        <v>-0.89775229999999995</v>
      </c>
      <c r="S7057">
        <v>1.510956</v>
      </c>
      <c r="T7057">
        <v>-0.1904004</v>
      </c>
      <c r="U7057">
        <v>-2.7344059999999999</v>
      </c>
      <c r="V7057">
        <v>-0.2343459</v>
      </c>
      <c r="W7057">
        <v>0.2154298</v>
      </c>
      <c r="X7057">
        <v>0.94798309999999997</v>
      </c>
      <c r="Y7057">
        <v>-0.32997379999999998</v>
      </c>
      <c r="Z7057">
        <v>6.1706509999999999E-2</v>
      </c>
      <c r="AA7057">
        <v>0.94197109999999995</v>
      </c>
      <c r="AB7057">
        <v>18</v>
      </c>
      <c r="AC7057">
        <v>8.7968999999999902</v>
      </c>
      <c r="AD7057">
        <v>-1.11312855624</v>
      </c>
      <c r="AE7057">
        <v>-15.80749</v>
      </c>
      <c r="AF7057">
        <v>-6.0146241168413201</v>
      </c>
      <c r="AG7057">
        <v>-1.11312855624</v>
      </c>
      <c r="AH7057">
        <v>16.988889870016099</v>
      </c>
      <c r="AI7057">
        <v>93.534352676813597</v>
      </c>
      <c r="AJ7057">
        <v>109.495632677744</v>
      </c>
      <c r="AK7057">
        <v>18.056498482960102</v>
      </c>
      <c r="AL7057">
        <v>77.559255791360798</v>
      </c>
      <c r="AM7057">
        <v>103.885408089264</v>
      </c>
      <c r="AN7057">
        <v>0.99999997873022894</v>
      </c>
    </row>
    <row r="7058" spans="1:40" x14ac:dyDescent="0.25">
      <c r="A7058" t="str">
        <f>"20190312172252867"</f>
        <v>20190312172252867</v>
      </c>
      <c r="B7058" t="str">
        <f>"1552382572857271"</f>
        <v>1552382572857271</v>
      </c>
      <c r="C7058" t="s">
        <v>40</v>
      </c>
      <c r="D7058">
        <v>3.3415319999999999</v>
      </c>
      <c r="E7058">
        <v>0.46587800000000001</v>
      </c>
      <c r="F7058" t="s">
        <v>64</v>
      </c>
      <c r="G7058">
        <v>-291.53789999999998</v>
      </c>
      <c r="H7058" s="1">
        <v>-1.154901E-5</v>
      </c>
      <c r="I7058">
        <v>-66.844669999999994</v>
      </c>
      <c r="J7058">
        <v>-300.65589999999997</v>
      </c>
      <c r="K7058">
        <v>1.1132150000000001</v>
      </c>
      <c r="L7058">
        <v>-50.599060000000001</v>
      </c>
      <c r="M7058">
        <v>0.17254029999999901</v>
      </c>
      <c r="N7058">
        <v>0</v>
      </c>
      <c r="O7058">
        <v>-0.98496189999999995</v>
      </c>
      <c r="P7058">
        <v>0.39279550000000002</v>
      </c>
      <c r="Q7058">
        <v>0.2084375</v>
      </c>
      <c r="R7058">
        <v>-0.89569279999999996</v>
      </c>
      <c r="S7058">
        <v>1.5206299999999999</v>
      </c>
      <c r="T7058">
        <v>-0.1848997</v>
      </c>
      <c r="U7058">
        <v>-2.7275390000000002</v>
      </c>
      <c r="V7058">
        <v>-0.2339512</v>
      </c>
      <c r="W7058">
        <v>0.21522540000000001</v>
      </c>
      <c r="X7058">
        <v>0.94812700000000005</v>
      </c>
      <c r="Y7058">
        <v>-0.32805420000000002</v>
      </c>
      <c r="Z7058">
        <v>5.9943650000000001E-2</v>
      </c>
      <c r="AA7058">
        <v>0.94275509999999996</v>
      </c>
      <c r="AB7058">
        <v>18</v>
      </c>
      <c r="AC7058">
        <v>9.1179999999999897</v>
      </c>
      <c r="AD7058">
        <v>-1.11322654901</v>
      </c>
      <c r="AE7058">
        <v>-16.245609999999999</v>
      </c>
      <c r="AF7058">
        <v>-6.1561247219683599</v>
      </c>
      <c r="AG7058">
        <v>-1.11322654901</v>
      </c>
      <c r="AH7058">
        <v>17.512697183528701</v>
      </c>
      <c r="AI7058">
        <v>93.431891142492404</v>
      </c>
      <c r="AJ7058">
        <v>109.367773606052</v>
      </c>
      <c r="AK7058">
        <v>18.596550959353301</v>
      </c>
      <c r="AL7058">
        <v>77.571248293296605</v>
      </c>
      <c r="AM7058">
        <v>103.86090135834</v>
      </c>
      <c r="AN7058">
        <v>0.99999997245779904</v>
      </c>
    </row>
    <row r="7059" spans="1:40" x14ac:dyDescent="0.25">
      <c r="A7059" t="str">
        <f>"20190312172252889"</f>
        <v>20190312172252889</v>
      </c>
      <c r="B7059" t="str">
        <f>"1552382572877766"</f>
        <v>1552382572877766</v>
      </c>
      <c r="C7059" t="s">
        <v>40</v>
      </c>
      <c r="D7059">
        <v>3.2515719999999999</v>
      </c>
      <c r="E7059">
        <v>0.46648630000000002</v>
      </c>
      <c r="F7059" t="s">
        <v>64</v>
      </c>
      <c r="G7059">
        <v>-291.30450000000002</v>
      </c>
      <c r="H7059" s="1">
        <v>-1.153444E-5</v>
      </c>
      <c r="I7059">
        <v>-67.192019999999999</v>
      </c>
      <c r="J7059">
        <v>-300.61770000000001</v>
      </c>
      <c r="K7059">
        <v>1.1132979999999999</v>
      </c>
      <c r="L7059">
        <v>-50.775790000000001</v>
      </c>
      <c r="M7059">
        <v>0.1785157</v>
      </c>
      <c r="N7059">
        <v>0</v>
      </c>
      <c r="O7059">
        <v>-0.98389570000000004</v>
      </c>
      <c r="P7059">
        <v>0.39761999999999997</v>
      </c>
      <c r="Q7059">
        <v>0.20798159999999999</v>
      </c>
      <c r="R7059">
        <v>-0.89366749999999995</v>
      </c>
      <c r="S7059">
        <v>1.532745</v>
      </c>
      <c r="T7059">
        <v>-0.18246319999999999</v>
      </c>
      <c r="U7059">
        <v>-2.7196660000000001</v>
      </c>
      <c r="V7059">
        <v>-0.23333010000000001</v>
      </c>
      <c r="W7059">
        <v>0.21478439999999999</v>
      </c>
      <c r="X7059">
        <v>0.94838009999999995</v>
      </c>
      <c r="Y7059">
        <v>-0.32669749999999997</v>
      </c>
      <c r="Z7059">
        <v>5.916329E-2</v>
      </c>
      <c r="AA7059">
        <v>0.94327539999999999</v>
      </c>
      <c r="AB7059">
        <v>18</v>
      </c>
      <c r="AC7059">
        <v>9.3131999999999895</v>
      </c>
      <c r="AD7059">
        <v>-1.1133095344399999</v>
      </c>
      <c r="AE7059">
        <v>-16.416229999999999</v>
      </c>
      <c r="AF7059">
        <v>-6.2113047491588498</v>
      </c>
      <c r="AG7059">
        <v>-1.1133095344399999</v>
      </c>
      <c r="AH7059">
        <v>17.7533646571815</v>
      </c>
      <c r="AI7059">
        <v>93.387477134907797</v>
      </c>
      <c r="AJ7059">
        <v>109.283223623444</v>
      </c>
      <c r="AK7059">
        <v>18.8414893640938</v>
      </c>
      <c r="AL7059">
        <v>77.597121716712806</v>
      </c>
      <c r="AM7059">
        <v>103.82196850836399</v>
      </c>
      <c r="AN7059">
        <v>1.0000000440626799</v>
      </c>
    </row>
    <row r="7060" spans="1:40" x14ac:dyDescent="0.25">
      <c r="A7060" t="str">
        <f>"20190312172252916"</f>
        <v>20190312172252916</v>
      </c>
      <c r="B7060" t="str">
        <f>"1552382572908022"</f>
        <v>1552382572908022</v>
      </c>
      <c r="C7060" t="s">
        <v>40</v>
      </c>
      <c r="D7060">
        <v>3.2203080000000002</v>
      </c>
      <c r="E7060">
        <v>0.4672135</v>
      </c>
      <c r="F7060" t="s">
        <v>64</v>
      </c>
      <c r="G7060">
        <v>-291.13959999999997</v>
      </c>
      <c r="H7060" s="1">
        <v>-1.1524660000000001E-5</v>
      </c>
      <c r="I7060">
        <v>-67.440259999999995</v>
      </c>
      <c r="J7060">
        <v>-300.57040000000001</v>
      </c>
      <c r="K7060">
        <v>1.1133930000000001</v>
      </c>
      <c r="L7060">
        <v>-50.987639999999999</v>
      </c>
      <c r="M7060">
        <v>0.18585950000000001</v>
      </c>
      <c r="N7060">
        <v>0</v>
      </c>
      <c r="O7060">
        <v>-0.98253409999999997</v>
      </c>
      <c r="P7060">
        <v>0.40381620000000001</v>
      </c>
      <c r="Q7060">
        <v>0.20743120000000001</v>
      </c>
      <c r="R7060">
        <v>-0.89101319999999995</v>
      </c>
      <c r="S7060">
        <v>1.5428770000000001</v>
      </c>
      <c r="T7060">
        <v>-0.18122669999999999</v>
      </c>
      <c r="U7060">
        <v>-2.7126769999999998</v>
      </c>
      <c r="V7060">
        <v>-0.23285130000000001</v>
      </c>
      <c r="W7060">
        <v>0.21425620000000001</v>
      </c>
      <c r="X7060">
        <v>0.94861719999999905</v>
      </c>
      <c r="Y7060">
        <v>-0.32335419999999998</v>
      </c>
      <c r="Z7060">
        <v>5.8757360000000002E-2</v>
      </c>
      <c r="AA7060">
        <v>0.94445199999999996</v>
      </c>
      <c r="AB7060">
        <v>18</v>
      </c>
      <c r="AC7060">
        <v>9.4308000000000298</v>
      </c>
      <c r="AD7060">
        <v>-1.11340452466</v>
      </c>
      <c r="AE7060">
        <v>-16.4526199999999</v>
      </c>
      <c r="AF7060">
        <v>-6.1871369156408997</v>
      </c>
      <c r="AG7060">
        <v>-1.11340452466</v>
      </c>
      <c r="AH7060">
        <v>17.8572520865185</v>
      </c>
      <c r="AI7060">
        <v>93.371640117987297</v>
      </c>
      <c r="AJ7060">
        <v>109.110052562089</v>
      </c>
      <c r="AK7060">
        <v>18.931502447769201</v>
      </c>
      <c r="AL7060">
        <v>77.628106384333506</v>
      </c>
      <c r="AM7060">
        <v>103.791373696403</v>
      </c>
      <c r="AN7060">
        <v>1.0000000196429799</v>
      </c>
    </row>
    <row r="7061" spans="1:40" x14ac:dyDescent="0.25">
      <c r="A7061" t="str">
        <f>"20190312172252939"</f>
        <v>20190312172252939</v>
      </c>
      <c r="B7061" t="str">
        <f>"1552382572927468"</f>
        <v>1552382572927468</v>
      </c>
      <c r="C7061" t="s">
        <v>40</v>
      </c>
      <c r="D7061">
        <v>3.2838310000000002</v>
      </c>
      <c r="E7061">
        <v>0.46773989999999999</v>
      </c>
      <c r="F7061" t="s">
        <v>64</v>
      </c>
      <c r="G7061">
        <v>-291.06020000000001</v>
      </c>
      <c r="H7061" s="1">
        <v>-1.1511129999999999E-5</v>
      </c>
      <c r="I7061">
        <v>-67.512630000000001</v>
      </c>
      <c r="J7061">
        <v>-300.52999999999997</v>
      </c>
      <c r="K7061">
        <v>1.1134759999999999</v>
      </c>
      <c r="L7061">
        <v>-51.161830000000002</v>
      </c>
      <c r="M7061">
        <v>0.19205749999999999</v>
      </c>
      <c r="N7061">
        <v>0</v>
      </c>
      <c r="O7061">
        <v>-0.98134109999999997</v>
      </c>
      <c r="P7061">
        <v>0.40906189999999998</v>
      </c>
      <c r="Q7061">
        <v>0.20705119999999999</v>
      </c>
      <c r="R7061">
        <v>-0.888706</v>
      </c>
      <c r="S7061">
        <v>1.5562129999999901</v>
      </c>
      <c r="T7061">
        <v>-0.1821923</v>
      </c>
      <c r="U7061">
        <v>-2.7040709999999999</v>
      </c>
      <c r="V7061">
        <v>-0.23247499999999999</v>
      </c>
      <c r="W7061">
        <v>0.21389939999999999</v>
      </c>
      <c r="X7061">
        <v>0.94879000000000002</v>
      </c>
      <c r="Y7061">
        <v>-0.32217000000000001</v>
      </c>
      <c r="Z7061">
        <v>5.9068839999999997E-2</v>
      </c>
      <c r="AA7061">
        <v>0.94483720000000004</v>
      </c>
      <c r="AB7061">
        <v>18</v>
      </c>
      <c r="AC7061">
        <v>9.4697999999999602</v>
      </c>
      <c r="AD7061">
        <v>-1.11348751113</v>
      </c>
      <c r="AE7061">
        <v>-16.3508</v>
      </c>
      <c r="AF7061">
        <v>-6.1317732663267499</v>
      </c>
      <c r="AG7061">
        <v>-1.11348751113</v>
      </c>
      <c r="AH7061">
        <v>17.803378272301</v>
      </c>
      <c r="AI7061">
        <v>93.3842178550548</v>
      </c>
      <c r="AJ7061">
        <v>109.004541484584</v>
      </c>
      <c r="AK7061">
        <v>18.862629077986998</v>
      </c>
      <c r="AL7061">
        <v>77.649034731171497</v>
      </c>
      <c r="AM7061">
        <v>103.76752265802401</v>
      </c>
      <c r="AN7061">
        <v>1.0000000215226701</v>
      </c>
    </row>
    <row r="7062" spans="1:40" x14ac:dyDescent="0.25">
      <c r="A7062" t="str">
        <f>"20190312172252957"</f>
        <v>20190312172252957</v>
      </c>
      <c r="B7062" t="str">
        <f>"1552382572947964"</f>
        <v>1552382572947964</v>
      </c>
      <c r="C7062" t="s">
        <v>40</v>
      </c>
      <c r="D7062">
        <v>3.2679469999999999</v>
      </c>
      <c r="E7062">
        <v>0.46816089999999999</v>
      </c>
      <c r="F7062" t="s">
        <v>64</v>
      </c>
      <c r="G7062">
        <v>-290.99869999999999</v>
      </c>
      <c r="H7062" s="1">
        <v>-1.1495339999999999E-5</v>
      </c>
      <c r="I7062">
        <v>-67.540329999999997</v>
      </c>
      <c r="J7062">
        <v>-300.49489999999997</v>
      </c>
      <c r="K7062">
        <v>1.1135489999999999</v>
      </c>
      <c r="L7062">
        <v>-51.308720000000001</v>
      </c>
      <c r="M7062">
        <v>0.19740070000000001</v>
      </c>
      <c r="N7062">
        <v>0</v>
      </c>
      <c r="O7062">
        <v>-0.98027960000000003</v>
      </c>
      <c r="P7062">
        <v>0.41336679999999998</v>
      </c>
      <c r="Q7062">
        <v>0.20669109999999999</v>
      </c>
      <c r="R7062">
        <v>-0.88679560000000002</v>
      </c>
      <c r="S7062">
        <v>1.5690309999999901</v>
      </c>
      <c r="T7062">
        <v>-0.1833003</v>
      </c>
      <c r="U7062">
        <v>-2.6961979999999999</v>
      </c>
      <c r="V7062">
        <v>-0.2319222</v>
      </c>
      <c r="W7062">
        <v>0.21356629999999999</v>
      </c>
      <c r="X7062">
        <v>0.94900030000000002</v>
      </c>
      <c r="Y7062">
        <v>-0.32155699999999998</v>
      </c>
      <c r="Z7062">
        <v>5.9420319999999999E-2</v>
      </c>
      <c r="AA7062">
        <v>0.94502399999999998</v>
      </c>
      <c r="AB7062">
        <v>18</v>
      </c>
      <c r="AC7062">
        <v>9.4961999999999804</v>
      </c>
      <c r="AD7062">
        <v>-1.11356049533999</v>
      </c>
      <c r="AE7062">
        <v>-16.23161</v>
      </c>
      <c r="AF7062">
        <v>-6.08372699735036</v>
      </c>
      <c r="AG7062">
        <v>-1.11356049533999</v>
      </c>
      <c r="AH7062">
        <v>17.724677509154201</v>
      </c>
      <c r="AI7062">
        <v>93.400663726163998</v>
      </c>
      <c r="AJ7062">
        <v>108.944006774857</v>
      </c>
      <c r="AK7062">
        <v>18.772744710313098</v>
      </c>
      <c r="AL7062">
        <v>77.668571391199606</v>
      </c>
      <c r="AM7062">
        <v>103.733097779714</v>
      </c>
      <c r="AN7062">
        <v>1.0000000203743</v>
      </c>
    </row>
    <row r="7063" spans="1:40" x14ac:dyDescent="0.25">
      <c r="A7063" t="str">
        <f>"20190312172252978"</f>
        <v>20190312172252978</v>
      </c>
      <c r="B7063" t="str">
        <f>"1552382572967485"</f>
        <v>1552382572967485</v>
      </c>
      <c r="C7063" t="s">
        <v>40</v>
      </c>
      <c r="D7063">
        <v>3.3318099999999999</v>
      </c>
      <c r="E7063">
        <v>0.46846850000000001</v>
      </c>
      <c r="F7063" t="s">
        <v>64</v>
      </c>
      <c r="G7063">
        <v>-290.98849999999999</v>
      </c>
      <c r="H7063" s="1">
        <v>-1.1484170000000001E-5</v>
      </c>
      <c r="I7063">
        <v>-67.499229999999997</v>
      </c>
      <c r="J7063">
        <v>-300.45409999999998</v>
      </c>
      <c r="K7063">
        <v>1.1136379999999999</v>
      </c>
      <c r="L7063">
        <v>-51.474820000000001</v>
      </c>
      <c r="M7063">
        <v>0.20355519999999999</v>
      </c>
      <c r="N7063">
        <v>0</v>
      </c>
      <c r="O7063">
        <v>-0.97901950000000004</v>
      </c>
      <c r="P7063">
        <v>0.41866599999999998</v>
      </c>
      <c r="Q7063">
        <v>0.20676919999999999</v>
      </c>
      <c r="R7063">
        <v>-0.88428830000000003</v>
      </c>
      <c r="S7063">
        <v>1.5793759999999999</v>
      </c>
      <c r="T7063">
        <v>-0.18500610000000001</v>
      </c>
      <c r="U7063">
        <v>-2.68988</v>
      </c>
      <c r="V7063">
        <v>-0.23168449999999999</v>
      </c>
      <c r="W7063">
        <v>0.2136731</v>
      </c>
      <c r="X7063">
        <v>0.9490343</v>
      </c>
      <c r="Y7063">
        <v>-0.31926379999999999</v>
      </c>
      <c r="Z7063">
        <v>5.9946720000000002E-2</v>
      </c>
      <c r="AA7063">
        <v>0.94576789999999999</v>
      </c>
      <c r="AB7063">
        <v>18</v>
      </c>
      <c r="AC7063">
        <v>9.4655999999999896</v>
      </c>
      <c r="AD7063">
        <v>-1.11364948417</v>
      </c>
      <c r="AE7063">
        <v>-16.02441</v>
      </c>
      <c r="AF7063">
        <v>-5.9839877938993702</v>
      </c>
      <c r="AG7063">
        <v>-1.11364948417</v>
      </c>
      <c r="AH7063">
        <v>17.552891996576999</v>
      </c>
      <c r="AI7063">
        <v>93.4365777246677</v>
      </c>
      <c r="AJ7063">
        <v>108.82484845684399</v>
      </c>
      <c r="AK7063">
        <v>18.5782760915707</v>
      </c>
      <c r="AL7063">
        <v>77.662307383033493</v>
      </c>
      <c r="AM7063">
        <v>103.719081752318</v>
      </c>
      <c r="AN7063">
        <v>1.00000000189017</v>
      </c>
    </row>
    <row r="7064" spans="1:40" x14ac:dyDescent="0.25">
      <c r="A7064" t="str">
        <f>"20190312172253001"</f>
        <v>20190312172253001</v>
      </c>
      <c r="B7064" t="str">
        <f>"1552382572997740"</f>
        <v>1552382572997740</v>
      </c>
      <c r="C7064" t="s">
        <v>40</v>
      </c>
      <c r="D7064">
        <v>3.3115060000000001</v>
      </c>
      <c r="E7064">
        <v>0.46894330000000001</v>
      </c>
      <c r="F7064" t="s">
        <v>64</v>
      </c>
      <c r="G7064">
        <v>-290.87270000000001</v>
      </c>
      <c r="H7064" s="1">
        <v>-1.146288E-5</v>
      </c>
      <c r="I7064">
        <v>-67.59657</v>
      </c>
      <c r="J7064">
        <v>-300.40879999999999</v>
      </c>
      <c r="K7064">
        <v>1.113739</v>
      </c>
      <c r="L7064">
        <v>-51.653379999999999</v>
      </c>
      <c r="M7064">
        <v>0.21030760000000001</v>
      </c>
      <c r="N7064">
        <v>0</v>
      </c>
      <c r="O7064">
        <v>-0.97759039999999997</v>
      </c>
      <c r="P7064">
        <v>0.4247978</v>
      </c>
      <c r="Q7064">
        <v>0.20646829999999999</v>
      </c>
      <c r="R7064">
        <v>-0.88142940000000003</v>
      </c>
      <c r="S7064">
        <v>1.5935969999999999</v>
      </c>
      <c r="T7064">
        <v>-0.1852241</v>
      </c>
      <c r="U7064">
        <v>-2.6813959999999999</v>
      </c>
      <c r="V7064">
        <v>-0.2317545</v>
      </c>
      <c r="W7064">
        <v>0.21340419999999999</v>
      </c>
      <c r="X7064">
        <v>0.94907770000000002</v>
      </c>
      <c r="Y7064">
        <v>-0.31774289999999999</v>
      </c>
      <c r="Z7064">
        <v>5.998937E-2</v>
      </c>
      <c r="AA7064">
        <v>0.94627729999999999</v>
      </c>
      <c r="AB7064">
        <v>18</v>
      </c>
      <c r="AC7064">
        <v>9.5360999999999692</v>
      </c>
      <c r="AD7064">
        <v>-1.1137504628799999</v>
      </c>
      <c r="AE7064">
        <v>-15.94319</v>
      </c>
      <c r="AF7064">
        <v>-5.9483082114436598</v>
      </c>
      <c r="AG7064">
        <v>-1.1137504628799999</v>
      </c>
      <c r="AH7064">
        <v>17.529191971894502</v>
      </c>
      <c r="AI7064">
        <v>93.443172566487505</v>
      </c>
      <c r="AJ7064">
        <v>108.74398957373801</v>
      </c>
      <c r="AK7064">
        <v>18.544416460472</v>
      </c>
      <c r="AL7064">
        <v>77.678077833354706</v>
      </c>
      <c r="AM7064">
        <v>103.722466262868</v>
      </c>
      <c r="AN7064">
        <v>0.99999999074259005</v>
      </c>
    </row>
    <row r="7065" spans="1:40" x14ac:dyDescent="0.25">
      <c r="A7065" t="str">
        <f>"20190312172253023"</f>
        <v>20190312172253023</v>
      </c>
      <c r="B7065" t="str">
        <f>"1552382573017260"</f>
        <v>1552382573017260</v>
      </c>
      <c r="C7065" t="s">
        <v>40</v>
      </c>
      <c r="D7065">
        <v>3.2838690000000001</v>
      </c>
      <c r="E7065">
        <v>0.46932200000000002</v>
      </c>
      <c r="F7065" t="s">
        <v>64</v>
      </c>
      <c r="G7065">
        <v>-290.74180000000001</v>
      </c>
      <c r="H7065" s="1">
        <v>-1.144045E-5</v>
      </c>
      <c r="I7065">
        <v>-67.715190000000007</v>
      </c>
      <c r="J7065">
        <v>-300.36279999999999</v>
      </c>
      <c r="K7065">
        <v>1.113831</v>
      </c>
      <c r="L7065">
        <v>-51.828609999999998</v>
      </c>
      <c r="M7065">
        <v>0.21706429999999999</v>
      </c>
      <c r="N7065">
        <v>0</v>
      </c>
      <c r="O7065">
        <v>-0.97611150000000002</v>
      </c>
      <c r="P7065">
        <v>0.4302183</v>
      </c>
      <c r="Q7065">
        <v>0.20661499999999999</v>
      </c>
      <c r="R7065">
        <v>-0.87876200000000004</v>
      </c>
      <c r="S7065">
        <v>1.6081240000000001</v>
      </c>
      <c r="T7065">
        <v>-0.1852762</v>
      </c>
      <c r="U7065">
        <v>-2.6719360000000001</v>
      </c>
      <c r="V7065">
        <v>-0.2310856</v>
      </c>
      <c r="W7065">
        <v>0.2135976</v>
      </c>
      <c r="X7065">
        <v>0.94919730000000002</v>
      </c>
      <c r="Y7065">
        <v>-0.31644090000000002</v>
      </c>
      <c r="Z7065">
        <v>5.9987720000000001E-2</v>
      </c>
      <c r="AA7065">
        <v>0.94671360000000004</v>
      </c>
      <c r="AB7065">
        <v>18</v>
      </c>
      <c r="AC7065">
        <v>9.6209999999999791</v>
      </c>
      <c r="AD7065">
        <v>-1.11384244045</v>
      </c>
      <c r="AE7065">
        <v>-15.88658</v>
      </c>
      <c r="AF7065">
        <v>-5.9217268938400798</v>
      </c>
      <c r="AG7065">
        <v>-1.11384244045</v>
      </c>
      <c r="AH7065">
        <v>17.533175645651799</v>
      </c>
      <c r="AI7065">
        <v>93.4443380033876</v>
      </c>
      <c r="AJ7065">
        <v>108.66209432767999</v>
      </c>
      <c r="AK7065">
        <v>18.5396802186191</v>
      </c>
      <c r="AL7065">
        <v>77.666735441642601</v>
      </c>
      <c r="AM7065">
        <v>103.68269156623001</v>
      </c>
      <c r="AN7065">
        <v>1.0000000017902</v>
      </c>
    </row>
    <row r="7066" spans="1:40" x14ac:dyDescent="0.25">
      <c r="A7066" t="str">
        <f>"20190312172253046"</f>
        <v>20190312172253046</v>
      </c>
      <c r="B7066" t="str">
        <f>"1552382573037342"</f>
        <v>1552382573037342</v>
      </c>
      <c r="C7066" t="s">
        <v>40</v>
      </c>
      <c r="D7066">
        <v>3.3093949999999999</v>
      </c>
      <c r="E7066">
        <v>0.46943750000000001</v>
      </c>
      <c r="F7066" t="s">
        <v>64</v>
      </c>
      <c r="G7066">
        <v>-290.52429999999998</v>
      </c>
      <c r="H7066" s="1">
        <v>-1.141568E-5</v>
      </c>
      <c r="I7066">
        <v>-67.979230000000001</v>
      </c>
      <c r="J7066">
        <v>-300.31540000000001</v>
      </c>
      <c r="K7066">
        <v>1.1139110000000001</v>
      </c>
      <c r="L7066">
        <v>-52.003630000000001</v>
      </c>
      <c r="M7066">
        <v>0.22391949999999999</v>
      </c>
      <c r="N7066">
        <v>0</v>
      </c>
      <c r="O7066">
        <v>-0.97456100000000001</v>
      </c>
      <c r="P7066">
        <v>0.43599569999999999</v>
      </c>
      <c r="Q7066">
        <v>0.20622070000000001</v>
      </c>
      <c r="R7066">
        <v>-0.87600270000000002</v>
      </c>
      <c r="S7066">
        <v>1.6221620000000001</v>
      </c>
      <c r="T7066">
        <v>-0.1836496</v>
      </c>
      <c r="U7066">
        <v>-2.662903</v>
      </c>
      <c r="V7066">
        <v>-0.23067489999999999</v>
      </c>
      <c r="W7066">
        <v>0.21325749999999999</v>
      </c>
      <c r="X7066">
        <v>0.94937369999999999</v>
      </c>
      <c r="Y7066">
        <v>-0.31485750000000001</v>
      </c>
      <c r="Z7066">
        <v>5.9434760000000003E-2</v>
      </c>
      <c r="AA7066">
        <v>0.94727620000000001</v>
      </c>
      <c r="AB7066">
        <v>18</v>
      </c>
      <c r="AC7066">
        <v>9.7911000000000197</v>
      </c>
      <c r="AD7066">
        <v>-1.1139224156799901</v>
      </c>
      <c r="AE7066">
        <v>-15.9756</v>
      </c>
      <c r="AF7066">
        <v>-5.9440392930103698</v>
      </c>
      <c r="AG7066">
        <v>-1.1139224156799901</v>
      </c>
      <c r="AH7066">
        <v>17.6998666538856</v>
      </c>
      <c r="AI7066">
        <v>93.414199571556694</v>
      </c>
      <c r="AJ7066">
        <v>108.563284820832</v>
      </c>
      <c r="AK7066">
        <v>18.704483575611899</v>
      </c>
      <c r="AL7066">
        <v>77.686681870683501</v>
      </c>
      <c r="AM7066">
        <v>103.656842616384</v>
      </c>
      <c r="AN7066">
        <v>1.00000004652397</v>
      </c>
    </row>
    <row r="7067" spans="1:40" x14ac:dyDescent="0.25">
      <c r="A7067" t="str">
        <f>"20190312172253068"</f>
        <v>20190312172253068</v>
      </c>
      <c r="B7067" t="str">
        <f>"1552382573057837"</f>
        <v>1552382573057837</v>
      </c>
      <c r="C7067" t="s">
        <v>40</v>
      </c>
      <c r="D7067">
        <v>3.432388</v>
      </c>
      <c r="E7067">
        <v>0.46960089999999999</v>
      </c>
      <c r="F7067" t="s">
        <v>64</v>
      </c>
      <c r="G7067">
        <v>-290.44850000000002</v>
      </c>
      <c r="H7067" s="1">
        <v>-1.1389439999999999E-5</v>
      </c>
      <c r="I7067">
        <v>-67.977170000000001</v>
      </c>
      <c r="J7067">
        <v>-300.26609999999999</v>
      </c>
      <c r="K7067">
        <v>1.113966</v>
      </c>
      <c r="L7067">
        <v>-52.180390000000003</v>
      </c>
      <c r="M7067">
        <v>0.2309496</v>
      </c>
      <c r="N7067">
        <v>0</v>
      </c>
      <c r="O7067">
        <v>-0.9729179</v>
      </c>
      <c r="P7067">
        <v>0.44183339999999999</v>
      </c>
      <c r="Q7067">
        <v>0.2061337</v>
      </c>
      <c r="R7067">
        <v>-0.87309359999999903</v>
      </c>
      <c r="S7067">
        <v>1.63855</v>
      </c>
      <c r="T7067">
        <v>-0.1849838</v>
      </c>
      <c r="U7067">
        <v>-2.6526489999999998</v>
      </c>
      <c r="V7067">
        <v>-0.2301801</v>
      </c>
      <c r="W7067">
        <v>0.213231</v>
      </c>
      <c r="X7067">
        <v>0.94949969999999995</v>
      </c>
      <c r="Y7067">
        <v>-0.31386589999999998</v>
      </c>
      <c r="Z7067">
        <v>5.9831290000000002E-2</v>
      </c>
      <c r="AA7067">
        <v>0.94758030000000004</v>
      </c>
      <c r="AB7067">
        <v>18</v>
      </c>
      <c r="AC7067">
        <v>9.8175999999999704</v>
      </c>
      <c r="AD7067">
        <v>-1.11397738943999</v>
      </c>
      <c r="AE7067">
        <v>-15.796779999999901</v>
      </c>
      <c r="AF7067">
        <v>-5.8826304063599997</v>
      </c>
      <c r="AG7067">
        <v>-1.11397738943999</v>
      </c>
      <c r="AH7067">
        <v>17.574116987019298</v>
      </c>
      <c r="AI7067">
        <v>93.439868937177394</v>
      </c>
      <c r="AJ7067">
        <v>108.507074942621</v>
      </c>
      <c r="AK7067">
        <v>18.5659870191556</v>
      </c>
      <c r="AL7067">
        <v>77.688235485746205</v>
      </c>
      <c r="AM7067">
        <v>103.62690107941501</v>
      </c>
      <c r="AN7067">
        <v>1.0000000090485499</v>
      </c>
    </row>
    <row r="7068" spans="1:40" x14ac:dyDescent="0.25">
      <c r="A7068" t="str">
        <f>"20190312172253090"</f>
        <v>20190312172253090</v>
      </c>
      <c r="B7068" t="str">
        <f>"1552382573088094"</f>
        <v>1552382573088094</v>
      </c>
      <c r="C7068" t="s">
        <v>40</v>
      </c>
      <c r="D7068">
        <v>3.3614380000000001</v>
      </c>
      <c r="E7068">
        <v>0.47009489999999998</v>
      </c>
      <c r="F7068" t="s">
        <v>64</v>
      </c>
      <c r="G7068">
        <v>-290.33600000000001</v>
      </c>
      <c r="H7068" s="1">
        <v>-1.13609199999999E-5</v>
      </c>
      <c r="I7068">
        <v>-68.029759999999996</v>
      </c>
      <c r="J7068">
        <v>-300.21629999999999</v>
      </c>
      <c r="K7068">
        <v>1.1140209999999999</v>
      </c>
      <c r="L7068">
        <v>-52.353580000000001</v>
      </c>
      <c r="M7068">
        <v>0.2379474</v>
      </c>
      <c r="N7068">
        <v>0</v>
      </c>
      <c r="O7068">
        <v>-0.97122929999999996</v>
      </c>
      <c r="P7068">
        <v>0.44803730000000003</v>
      </c>
      <c r="Q7068">
        <v>0.20564099999999999</v>
      </c>
      <c r="R7068">
        <v>-0.87004300000000001</v>
      </c>
      <c r="S7068">
        <v>1.6553960000000001</v>
      </c>
      <c r="T7068">
        <v>-0.1857065</v>
      </c>
      <c r="U7068">
        <v>-2.6421809999999999</v>
      </c>
      <c r="V7068">
        <v>-0.23009830000000001</v>
      </c>
      <c r="W7068">
        <v>0.21279670000000001</v>
      </c>
      <c r="X7068">
        <v>0.94961700000000004</v>
      </c>
      <c r="Y7068">
        <v>-0.31305270000000002</v>
      </c>
      <c r="Z7068">
        <v>6.0024710000000002E-2</v>
      </c>
      <c r="AA7068">
        <v>0.94783709999999999</v>
      </c>
      <c r="AB7068">
        <v>19</v>
      </c>
      <c r="AC7068">
        <v>9.8802999999999699</v>
      </c>
      <c r="AD7068">
        <v>-1.11403236092</v>
      </c>
      <c r="AE7068">
        <v>-15.676179999999899</v>
      </c>
      <c r="AF7068">
        <v>-5.8450815443744899</v>
      </c>
      <c r="AG7068">
        <v>-1.11403236092</v>
      </c>
      <c r="AH7068">
        <v>17.513686813221</v>
      </c>
      <c r="AI7068">
        <v>93.452903375677295</v>
      </c>
      <c r="AJ7068">
        <v>108.456104049107</v>
      </c>
      <c r="AK7068">
        <v>18.496898987483199</v>
      </c>
      <c r="AL7068">
        <v>77.713704128543597</v>
      </c>
      <c r="AM7068">
        <v>103.620618923823</v>
      </c>
      <c r="AN7068">
        <v>1.0000000549413799</v>
      </c>
    </row>
    <row r="7069" spans="1:40" x14ac:dyDescent="0.25">
      <c r="A7069" t="str">
        <f>"20190312172253113"</f>
        <v>20190312172253113</v>
      </c>
      <c r="B7069" t="str">
        <f>"1552382573107613"</f>
        <v>1552382573107613</v>
      </c>
      <c r="C7069" t="s">
        <v>40</v>
      </c>
      <c r="D7069">
        <v>3.4401579999999998</v>
      </c>
      <c r="E7069">
        <v>0.47034710000000002</v>
      </c>
      <c r="F7069" t="s">
        <v>64</v>
      </c>
      <c r="G7069">
        <v>-290.22129999999999</v>
      </c>
      <c r="H7069" s="1">
        <v>-1.133538E-5</v>
      </c>
      <c r="I7069">
        <v>-68.102490000000003</v>
      </c>
      <c r="J7069">
        <v>-300.16390000000001</v>
      </c>
      <c r="K7069">
        <v>1.1140859999999999</v>
      </c>
      <c r="L7069">
        <v>-52.530909999999999</v>
      </c>
      <c r="M7069">
        <v>0.2452289</v>
      </c>
      <c r="N7069">
        <v>0</v>
      </c>
      <c r="O7069">
        <v>-0.96941540000000004</v>
      </c>
      <c r="P7069">
        <v>0.45486870000000001</v>
      </c>
      <c r="Q7069">
        <v>0.20554040000000001</v>
      </c>
      <c r="R7069">
        <v>-0.86651489999999998</v>
      </c>
      <c r="S7069">
        <v>1.6703490000000001</v>
      </c>
      <c r="T7069">
        <v>-0.1861749</v>
      </c>
      <c r="U7069">
        <v>-2.6319270000000001</v>
      </c>
      <c r="V7069">
        <v>-0.23046739999999999</v>
      </c>
      <c r="W7069">
        <v>0.2127511</v>
      </c>
      <c r="X7069">
        <v>0.94953759999999998</v>
      </c>
      <c r="Y7069">
        <v>-0.311430599999999</v>
      </c>
      <c r="Z7069">
        <v>6.0138070000000002E-2</v>
      </c>
      <c r="AA7069">
        <v>0.94836410000000004</v>
      </c>
      <c r="AB7069">
        <v>19</v>
      </c>
      <c r="AC7069">
        <v>9.9426000000000201</v>
      </c>
      <c r="AD7069">
        <v>-1.1140973353799899</v>
      </c>
      <c r="AE7069">
        <v>-15.571580000000001</v>
      </c>
      <c r="AF7069">
        <v>-5.7991012558444002</v>
      </c>
      <c r="AG7069">
        <v>-1.1140973353799899</v>
      </c>
      <c r="AH7069">
        <v>17.4708578108926</v>
      </c>
      <c r="AI7069">
        <v>93.463425959951707</v>
      </c>
      <c r="AJ7069">
        <v>108.362552108168</v>
      </c>
      <c r="AK7069">
        <v>18.441845376660801</v>
      </c>
      <c r="AL7069">
        <v>77.7163767781187</v>
      </c>
      <c r="AM7069">
        <v>103.642750021117</v>
      </c>
      <c r="AN7069">
        <v>0.99999995341386305</v>
      </c>
    </row>
    <row r="7070" spans="1:40" x14ac:dyDescent="0.25">
      <c r="A7070" t="str">
        <f>"20190312172253136"</f>
        <v>20190312172253136</v>
      </c>
      <c r="B7070" t="str">
        <f>"1552382573127134"</f>
        <v>1552382573127134</v>
      </c>
      <c r="C7070" t="s">
        <v>40</v>
      </c>
      <c r="D7070">
        <v>3.4384329999999999</v>
      </c>
      <c r="E7070">
        <v>0.48081790000000002</v>
      </c>
      <c r="F7070" t="s">
        <v>64</v>
      </c>
      <c r="G7070">
        <v>-290.0872</v>
      </c>
      <c r="H7070" s="1">
        <v>-1.1301700000000001E-5</v>
      </c>
      <c r="I7070">
        <v>-68.166889999999995</v>
      </c>
      <c r="J7070">
        <v>-300.10849999999999</v>
      </c>
      <c r="K7070">
        <v>1.114174</v>
      </c>
      <c r="L7070">
        <v>-52.712800000000001</v>
      </c>
      <c r="M7070">
        <v>0.25281920000000002</v>
      </c>
      <c r="N7070">
        <v>0</v>
      </c>
      <c r="O7070">
        <v>-0.96746259999999995</v>
      </c>
      <c r="P7070">
        <v>0.46157880000000001</v>
      </c>
      <c r="Q7070">
        <v>0.2056684</v>
      </c>
      <c r="R7070">
        <v>-0.86292849999999999</v>
      </c>
      <c r="S7070">
        <v>1.688507</v>
      </c>
      <c r="T7070">
        <v>-0.18668470000000001</v>
      </c>
      <c r="U7070">
        <v>-2.6200559999999999</v>
      </c>
      <c r="V7070">
        <v>-0.2304379</v>
      </c>
      <c r="W7070">
        <v>0.2129374</v>
      </c>
      <c r="X7070">
        <v>0.94950310000000004</v>
      </c>
      <c r="Y7070">
        <v>-0.31057940000000001</v>
      </c>
      <c r="Z7070">
        <v>6.0255490000000002E-2</v>
      </c>
      <c r="AA7070">
        <v>0.94863569999999997</v>
      </c>
      <c r="AB7070">
        <v>19</v>
      </c>
      <c r="AC7070">
        <v>10.021299999999901</v>
      </c>
      <c r="AD7070">
        <v>-1.1141853017000001</v>
      </c>
      <c r="AE7070">
        <v>-15.454090000000001</v>
      </c>
      <c r="AF7070">
        <v>-5.7673236839011501</v>
      </c>
      <c r="AG7070">
        <v>-1.1141853017000001</v>
      </c>
      <c r="AH7070">
        <v>17.42194227796</v>
      </c>
      <c r="AI7070">
        <v>93.474323242843795</v>
      </c>
      <c r="AJ7070">
        <v>108.316502123509</v>
      </c>
      <c r="AK7070">
        <v>18.385524308487401</v>
      </c>
      <c r="AL7070">
        <v>77.705453450479396</v>
      </c>
      <c r="AM7070">
        <v>103.641546114165</v>
      </c>
      <c r="AN7070">
        <v>1.00000004949238</v>
      </c>
    </row>
    <row r="7071" spans="1:40" x14ac:dyDescent="0.25">
      <c r="A7071" t="str">
        <f>"20190312172253159"</f>
        <v>20190312172253159</v>
      </c>
      <c r="B7071" t="str">
        <f>"1552382573147630"</f>
        <v>1552382573147630</v>
      </c>
      <c r="C7071" t="s">
        <v>40</v>
      </c>
      <c r="D7071">
        <v>3.3090899999999999</v>
      </c>
      <c r="E7071">
        <v>0.48088120000000001</v>
      </c>
      <c r="F7071" t="s">
        <v>64</v>
      </c>
      <c r="G7071">
        <v>-290.23399999999998</v>
      </c>
      <c r="H7071" s="1">
        <v>-1.145007E-5</v>
      </c>
      <c r="I7071">
        <v>-68.69153</v>
      </c>
      <c r="J7071">
        <v>-300.05180000000001</v>
      </c>
      <c r="K7071">
        <v>1.114269</v>
      </c>
      <c r="L7071">
        <v>-52.893279999999997</v>
      </c>
      <c r="M7071">
        <v>0.26048100000000002</v>
      </c>
      <c r="N7071">
        <v>0</v>
      </c>
      <c r="O7071">
        <v>-0.96542680000000003</v>
      </c>
      <c r="P7071">
        <v>0.46793990000000002</v>
      </c>
      <c r="Q7071">
        <v>0.2061153</v>
      </c>
      <c r="R7071">
        <v>-0.85938859999999995</v>
      </c>
      <c r="S7071">
        <v>1.6351009999999999</v>
      </c>
      <c r="T7071">
        <v>-0.18449699999999999</v>
      </c>
      <c r="U7071">
        <v>-2.645905</v>
      </c>
      <c r="V7071">
        <v>-0.22999749999999999</v>
      </c>
      <c r="W7071">
        <v>0.2134443</v>
      </c>
      <c r="X7071">
        <v>0.94949600000000001</v>
      </c>
      <c r="Y7071">
        <v>-0.28499730000000001</v>
      </c>
      <c r="Z7071">
        <v>5.9418810000000002E-2</v>
      </c>
      <c r="AA7071">
        <v>0.95668489999999995</v>
      </c>
      <c r="AB7071">
        <v>19</v>
      </c>
      <c r="AC7071">
        <v>9.8177999999999699</v>
      </c>
      <c r="AD7071">
        <v>-1.1142804500700001</v>
      </c>
      <c r="AE7071">
        <v>-15.7982499999999</v>
      </c>
      <c r="AF7071">
        <v>-5.3443139352857498</v>
      </c>
      <c r="AG7071">
        <v>-1.1142804500700001</v>
      </c>
      <c r="AH7071">
        <v>17.7466129337223</v>
      </c>
      <c r="AI7071">
        <v>93.440557516445196</v>
      </c>
      <c r="AJ7071">
        <v>106.759442245434</v>
      </c>
      <c r="AK7071">
        <v>18.567325681951601</v>
      </c>
      <c r="AL7071">
        <v>77.675726035740993</v>
      </c>
      <c r="AM7071">
        <v>103.616544660228</v>
      </c>
      <c r="AN7071">
        <v>0.999999986612369</v>
      </c>
    </row>
    <row r="7072" spans="1:40" x14ac:dyDescent="0.25">
      <c r="A7072" t="str">
        <f>"20190312172253179"</f>
        <v>20190312172253179</v>
      </c>
      <c r="B7072" t="str">
        <f>"1552382573167150"</f>
        <v>1552382573167150</v>
      </c>
      <c r="C7072" t="s">
        <v>40</v>
      </c>
      <c r="D7072">
        <v>3.3170109999999999</v>
      </c>
      <c r="E7072">
        <v>0.48121910000000001</v>
      </c>
      <c r="F7072" t="s">
        <v>64</v>
      </c>
      <c r="G7072">
        <v>-290.3485</v>
      </c>
      <c r="H7072" s="1">
        <v>-1.142255E-5</v>
      </c>
      <c r="I7072">
        <v>-68.336039999999997</v>
      </c>
      <c r="J7072">
        <v>-300.00060000000002</v>
      </c>
      <c r="K7072">
        <v>1.114363</v>
      </c>
      <c r="L7072">
        <v>-53.051540000000003</v>
      </c>
      <c r="M7072">
        <v>0.26732339999999999</v>
      </c>
      <c r="N7072">
        <v>0</v>
      </c>
      <c r="O7072">
        <v>-0.9635534</v>
      </c>
      <c r="P7072">
        <v>0.47375299999999998</v>
      </c>
      <c r="Q7072">
        <v>0.2061597</v>
      </c>
      <c r="R7072">
        <v>-0.85618700000000003</v>
      </c>
      <c r="S7072">
        <v>1.65564</v>
      </c>
      <c r="T7072">
        <v>-0.19012609999999999</v>
      </c>
      <c r="U7072">
        <v>-2.6349490000000002</v>
      </c>
      <c r="V7072">
        <v>-0.22974120000000001</v>
      </c>
      <c r="W7072">
        <v>0.2135417</v>
      </c>
      <c r="X7072">
        <v>0.94953609999999999</v>
      </c>
      <c r="Y7072">
        <v>-0.28528219999999999</v>
      </c>
      <c r="Z7072">
        <v>6.114406E-2</v>
      </c>
      <c r="AA7072">
        <v>0.95649119999999999</v>
      </c>
      <c r="AB7072">
        <v>19</v>
      </c>
      <c r="AC7072">
        <v>9.6521000000000097</v>
      </c>
      <c r="AD7072">
        <v>-1.1143744225499901</v>
      </c>
      <c r="AE7072">
        <v>-15.2844999999999</v>
      </c>
      <c r="AF7072">
        <v>-5.1949360715625597</v>
      </c>
      <c r="AG7072">
        <v>-1.1143744225499901</v>
      </c>
      <c r="AH7072">
        <v>17.2430287198919</v>
      </c>
      <c r="AI7072">
        <v>93.540956489845001</v>
      </c>
      <c r="AJ7072">
        <v>106.766370740978</v>
      </c>
      <c r="AK7072">
        <v>18.0430382856179</v>
      </c>
      <c r="AL7072">
        <v>77.670013154763595</v>
      </c>
      <c r="AM7072">
        <v>103.60138185453</v>
      </c>
      <c r="AN7072">
        <v>0.99999994090976796</v>
      </c>
    </row>
    <row r="7073" spans="1:40" x14ac:dyDescent="0.25">
      <c r="A7073" t="str">
        <f>"20190312172253202"</f>
        <v>20190312172253202</v>
      </c>
      <c r="B7073" t="str">
        <f>"1552382573197409"</f>
        <v>1552382573197409</v>
      </c>
      <c r="C7073" t="s">
        <v>40</v>
      </c>
      <c r="D7073">
        <v>3.4231989999999999</v>
      </c>
      <c r="E7073">
        <v>0.48191859999999997</v>
      </c>
      <c r="F7073" t="s">
        <v>64</v>
      </c>
      <c r="G7073">
        <v>-290.2876</v>
      </c>
      <c r="H7073" s="1">
        <v>-1.139659E-5</v>
      </c>
      <c r="I7073">
        <v>-68.308369999999996</v>
      </c>
      <c r="J7073">
        <v>-299.94150000000002</v>
      </c>
      <c r="K7073">
        <v>1.1144700000000001</v>
      </c>
      <c r="L7073">
        <v>-53.228760000000001</v>
      </c>
      <c r="M7073">
        <v>0.2751364</v>
      </c>
      <c r="N7073">
        <v>0</v>
      </c>
      <c r="O7073">
        <v>-0.96135060000000006</v>
      </c>
      <c r="P7073">
        <v>0.4807033</v>
      </c>
      <c r="Q7073">
        <v>0.20621220000000001</v>
      </c>
      <c r="R7073">
        <v>-0.85229169999999999</v>
      </c>
      <c r="S7073">
        <v>1.6713260000000001</v>
      </c>
      <c r="T7073">
        <v>-0.1917528</v>
      </c>
      <c r="U7073">
        <v>-2.6252749999999998</v>
      </c>
      <c r="V7073">
        <v>-0.22981409999999999</v>
      </c>
      <c r="W7073">
        <v>0.21365719999999999</v>
      </c>
      <c r="X7073">
        <v>0.94949249999999996</v>
      </c>
      <c r="Y7073">
        <v>-0.28315030000000002</v>
      </c>
      <c r="Z7073">
        <v>6.1576869999999999E-2</v>
      </c>
      <c r="AA7073">
        <v>0.95709679999999997</v>
      </c>
      <c r="AB7073">
        <v>19</v>
      </c>
      <c r="AC7073">
        <v>9.6539000000000197</v>
      </c>
      <c r="AD7073">
        <v>-1.11448139659</v>
      </c>
      <c r="AE7073">
        <v>-15.079609999999899</v>
      </c>
      <c r="AF7073">
        <v>-5.1122958244063703</v>
      </c>
      <c r="AG7073">
        <v>-1.11448139659</v>
      </c>
      <c r="AH7073">
        <v>17.0876294141998</v>
      </c>
      <c r="AI7073">
        <v>93.5754762711762</v>
      </c>
      <c r="AJ7073">
        <v>106.656189296825</v>
      </c>
      <c r="AK7073">
        <v>17.870778281222499</v>
      </c>
      <c r="AL7073">
        <v>77.663239441420203</v>
      </c>
      <c r="AM7073">
        <v>103.60613889060301</v>
      </c>
      <c r="AN7073">
        <v>0.99999996361344901</v>
      </c>
    </row>
    <row r="7074" spans="1:40" x14ac:dyDescent="0.25">
      <c r="A7074" t="str">
        <f>"20190312172253224"</f>
        <v>20190312172253224</v>
      </c>
      <c r="B7074" t="str">
        <f>"1552382573217902"</f>
        <v>1552382573217902</v>
      </c>
      <c r="C7074" t="s">
        <v>40</v>
      </c>
      <c r="D7074">
        <v>3.32464</v>
      </c>
      <c r="E7074">
        <v>0.48740489999999997</v>
      </c>
      <c r="F7074" t="s">
        <v>64</v>
      </c>
      <c r="G7074">
        <v>-290.40370000000001</v>
      </c>
      <c r="H7074" s="1">
        <v>-1.137971E-5</v>
      </c>
      <c r="I7074">
        <v>-68.006919999999994</v>
      </c>
      <c r="J7074">
        <v>-299.88049999999998</v>
      </c>
      <c r="K7074">
        <v>1.1145780000000001</v>
      </c>
      <c r="L7074">
        <v>-53.406370000000003</v>
      </c>
      <c r="M7074">
        <v>0.28313250000000001</v>
      </c>
      <c r="N7074">
        <v>0</v>
      </c>
      <c r="O7074">
        <v>-0.9590244</v>
      </c>
      <c r="P7074">
        <v>0.48770649999999999</v>
      </c>
      <c r="Q7074">
        <v>0.20652429999999999</v>
      </c>
      <c r="R7074">
        <v>-0.84822759999999997</v>
      </c>
      <c r="S7074">
        <v>1.68808</v>
      </c>
      <c r="T7074">
        <v>-0.19724849999999999</v>
      </c>
      <c r="U7074">
        <v>-2.6155400000000002</v>
      </c>
      <c r="V7074">
        <v>-0.2298026</v>
      </c>
      <c r="W7074">
        <v>0.2140476</v>
      </c>
      <c r="X7074">
        <v>0.94940740000000001</v>
      </c>
      <c r="Y7074">
        <v>-0.28105770000000002</v>
      </c>
      <c r="Z7074">
        <v>6.3224459999999996E-2</v>
      </c>
      <c r="AA7074">
        <v>0.95760599999999996</v>
      </c>
      <c r="AB7074">
        <v>19</v>
      </c>
      <c r="AC7074">
        <v>9.4767999999999599</v>
      </c>
      <c r="AD7074">
        <v>-1.1145893797099999</v>
      </c>
      <c r="AE7074">
        <v>-14.600549999999901</v>
      </c>
      <c r="AF7074">
        <v>-4.9346271714391596</v>
      </c>
      <c r="AG7074">
        <v>-1.1145893797099999</v>
      </c>
      <c r="AH7074">
        <v>16.618237944328399</v>
      </c>
      <c r="AI7074">
        <v>93.678799205234796</v>
      </c>
      <c r="AJ7074">
        <v>106.538284442172</v>
      </c>
      <c r="AK7074">
        <v>17.371202813299501</v>
      </c>
      <c r="AL7074">
        <v>77.640342035436504</v>
      </c>
      <c r="AM7074">
        <v>103.60665753143</v>
      </c>
      <c r="AN7074">
        <v>1.00000001060364</v>
      </c>
    </row>
    <row r="7075" spans="1:40" x14ac:dyDescent="0.25">
      <c r="A7075" t="str">
        <f>"20190312172253247"</f>
        <v>20190312172253247</v>
      </c>
      <c r="B7075" t="str">
        <f>"1552382573237422"</f>
        <v>1552382573237422</v>
      </c>
      <c r="C7075" t="s">
        <v>40</v>
      </c>
      <c r="D7075">
        <v>3.3419850000000002</v>
      </c>
      <c r="E7075">
        <v>0.48805340000000003</v>
      </c>
      <c r="F7075" t="s">
        <v>64</v>
      </c>
      <c r="G7075">
        <v>-291.13400000000001</v>
      </c>
      <c r="H7075" s="1">
        <v>-1.1463540000000001E-5</v>
      </c>
      <c r="I7075">
        <v>-67.124009999999998</v>
      </c>
      <c r="J7075">
        <v>-299.82150000000001</v>
      </c>
      <c r="K7075">
        <v>1.1146739999999999</v>
      </c>
      <c r="L7075">
        <v>-53.573149999999998</v>
      </c>
      <c r="M7075">
        <v>0.29076869999999999</v>
      </c>
      <c r="N7075">
        <v>0</v>
      </c>
      <c r="O7075">
        <v>-0.95673540000000001</v>
      </c>
      <c r="P7075">
        <v>0.4942626</v>
      </c>
      <c r="Q7075">
        <v>0.20689179999999999</v>
      </c>
      <c r="R7075">
        <v>-0.84433409999999998</v>
      </c>
      <c r="S7075">
        <v>1.674377</v>
      </c>
      <c r="T7075">
        <v>-0.21337149999999999</v>
      </c>
      <c r="U7075">
        <v>-2.6260379999999999</v>
      </c>
      <c r="V7075">
        <v>-0.22965930000000001</v>
      </c>
      <c r="W7075">
        <v>0.2145003</v>
      </c>
      <c r="X7075">
        <v>0.94933990000000001</v>
      </c>
      <c r="Y7075">
        <v>-0.26791110000000001</v>
      </c>
      <c r="Z7075">
        <v>6.8119369999999999E-2</v>
      </c>
      <c r="AA7075">
        <v>0.96103249999999996</v>
      </c>
      <c r="AB7075">
        <v>19</v>
      </c>
      <c r="AC7075">
        <v>8.6875</v>
      </c>
      <c r="AD7075">
        <v>-1.1146854635400001</v>
      </c>
      <c r="AE7075">
        <v>-13.55086</v>
      </c>
      <c r="AF7075">
        <v>-4.35085055235227</v>
      </c>
      <c r="AG7075">
        <v>-1.1146854635400001</v>
      </c>
      <c r="AH7075">
        <v>15.4175639219937</v>
      </c>
      <c r="AI7075">
        <v>93.980345984265995</v>
      </c>
      <c r="AJ7075">
        <v>105.759114593037</v>
      </c>
      <c r="AK7075">
        <v>16.058446422375098</v>
      </c>
      <c r="AL7075">
        <v>77.613787452236195</v>
      </c>
      <c r="AM7075">
        <v>103.599418836731</v>
      </c>
      <c r="AN7075">
        <v>1.00000000925429</v>
      </c>
    </row>
    <row r="7076" spans="1:40" x14ac:dyDescent="0.25">
      <c r="A7076" t="str">
        <f>"20190312172253269"</f>
        <v>20190312172253269</v>
      </c>
      <c r="B7076" t="str">
        <f>"1552382573257918"</f>
        <v>1552382573257918</v>
      </c>
      <c r="C7076" t="s">
        <v>40</v>
      </c>
      <c r="D7076">
        <v>3.3525510000000001</v>
      </c>
      <c r="E7076">
        <v>0.4881335</v>
      </c>
      <c r="F7076" t="s">
        <v>64</v>
      </c>
      <c r="G7076">
        <v>-290.9864</v>
      </c>
      <c r="H7076" s="1">
        <v>-1.1435889999999999E-5</v>
      </c>
      <c r="I7076">
        <v>-67.245350000000002</v>
      </c>
      <c r="J7076">
        <v>-299.75880000000001</v>
      </c>
      <c r="K7076">
        <v>1.114768</v>
      </c>
      <c r="L7076">
        <v>-53.745609999999999</v>
      </c>
      <c r="M7076">
        <v>0.29880289999999998</v>
      </c>
      <c r="N7076">
        <v>0</v>
      </c>
      <c r="O7076">
        <v>-0.95425530000000003</v>
      </c>
      <c r="P7076">
        <v>0.50137259999999995</v>
      </c>
      <c r="Q7076">
        <v>0.20741029999999999</v>
      </c>
      <c r="R7076">
        <v>-0.84000409999999903</v>
      </c>
      <c r="S7076">
        <v>1.69036899999999</v>
      </c>
      <c r="T7076">
        <v>-0.2132657</v>
      </c>
      <c r="U7076">
        <v>-2.6158139999999999</v>
      </c>
      <c r="V7076">
        <v>-0.22977259999999999</v>
      </c>
      <c r="W7076">
        <v>0.21510940000000001</v>
      </c>
      <c r="X7076">
        <v>0.94917459999999998</v>
      </c>
      <c r="Y7076">
        <v>-0.26567160000000001</v>
      </c>
      <c r="Z7076">
        <v>6.7966799999999994E-2</v>
      </c>
      <c r="AA7076">
        <v>0.96166479999999999</v>
      </c>
      <c r="AB7076">
        <v>19</v>
      </c>
      <c r="AC7076">
        <v>8.7723999999999993</v>
      </c>
      <c r="AD7076">
        <v>-1.1147794358900001</v>
      </c>
      <c r="AE7076">
        <v>-13.499739999999999</v>
      </c>
      <c r="AF7076">
        <v>-4.3168967195752002</v>
      </c>
      <c r="AG7076">
        <v>-1.1147794358900001</v>
      </c>
      <c r="AH7076">
        <v>15.4303168970948</v>
      </c>
      <c r="AI7076">
        <v>93.979914579493297</v>
      </c>
      <c r="AJ7076">
        <v>105.629877534277</v>
      </c>
      <c r="AK7076">
        <v>16.061538220946701</v>
      </c>
      <c r="AL7076">
        <v>77.578053874544295</v>
      </c>
      <c r="AM7076">
        <v>103.608160013201</v>
      </c>
      <c r="AN7076">
        <v>0.99999996148213899</v>
      </c>
    </row>
    <row r="7077" spans="1:40" x14ac:dyDescent="0.25">
      <c r="A7077" t="str">
        <f>"20190312172253292"</f>
        <v>20190312172253292</v>
      </c>
      <c r="B7077" t="str">
        <f>"1552382573287200"</f>
        <v>1552382573287200</v>
      </c>
      <c r="C7077" t="s">
        <v>40</v>
      </c>
      <c r="D7077">
        <v>3.3725869999999998</v>
      </c>
      <c r="E7077">
        <v>0.49214249999999998</v>
      </c>
      <c r="F7077" t="s">
        <v>64</v>
      </c>
      <c r="G7077">
        <v>-290.80829999999997</v>
      </c>
      <c r="H7077" s="1">
        <v>-1.139406E-5</v>
      </c>
      <c r="I7077">
        <v>-67.346500000000006</v>
      </c>
      <c r="J7077">
        <v>-299.69409999999999</v>
      </c>
      <c r="K7077">
        <v>1.1148579999999999</v>
      </c>
      <c r="L7077">
        <v>-53.918520000000001</v>
      </c>
      <c r="M7077">
        <v>0.30699969999999999</v>
      </c>
      <c r="N7077">
        <v>0</v>
      </c>
      <c r="O7077">
        <v>-0.9516483</v>
      </c>
      <c r="P7077">
        <v>0.50875090000000001</v>
      </c>
      <c r="Q7077">
        <v>0.20808869999999999</v>
      </c>
      <c r="R7077">
        <v>-0.835387199999999</v>
      </c>
      <c r="S7077">
        <v>1.7123409999999999</v>
      </c>
      <c r="T7077">
        <v>-0.21327119999999999</v>
      </c>
      <c r="U7077">
        <v>-2.60202</v>
      </c>
      <c r="V7077">
        <v>-0.2300625</v>
      </c>
      <c r="W7077">
        <v>0.21587909999999999</v>
      </c>
      <c r="X7077">
        <v>0.94892969999999999</v>
      </c>
      <c r="Y7077">
        <v>-0.26539190000000001</v>
      </c>
      <c r="Z7077">
        <v>6.7853949999999996E-2</v>
      </c>
      <c r="AA7077">
        <v>0.96174999999999999</v>
      </c>
      <c r="AB7077">
        <v>19</v>
      </c>
      <c r="AC7077">
        <v>8.8858000000000104</v>
      </c>
      <c r="AD7077">
        <v>-1.1148693940600001</v>
      </c>
      <c r="AE7077">
        <v>-13.42798</v>
      </c>
      <c r="AF7077">
        <v>-4.3133453045449599</v>
      </c>
      <c r="AG7077">
        <v>-1.1148693940600001</v>
      </c>
      <c r="AH7077">
        <v>15.433568466183599</v>
      </c>
      <c r="AI7077">
        <v>93.979696206733394</v>
      </c>
      <c r="AJ7077">
        <v>105.61451711209</v>
      </c>
      <c r="AK7077">
        <v>16.0637142990788</v>
      </c>
      <c r="AL7077">
        <v>77.532893460345903</v>
      </c>
      <c r="AM7077">
        <v>103.62807475547601</v>
      </c>
      <c r="AN7077">
        <v>1.00000005763257</v>
      </c>
    </row>
    <row r="7078" spans="1:40" x14ac:dyDescent="0.25">
      <c r="A7078" t="str">
        <f>"20190312172253315"</f>
        <v>20190312172253315</v>
      </c>
      <c r="B7078" t="str">
        <f>"1552382573307694"</f>
        <v>1552382573307694</v>
      </c>
      <c r="C7078" t="s">
        <v>40</v>
      </c>
      <c r="D7078">
        <v>3.4076170000000001</v>
      </c>
      <c r="E7078">
        <v>0.49218650000000003</v>
      </c>
      <c r="F7078" t="s">
        <v>64</v>
      </c>
      <c r="G7078">
        <v>-290.8159</v>
      </c>
      <c r="H7078" s="1">
        <v>-1.141648E-5</v>
      </c>
      <c r="I7078">
        <v>-67.452399999999997</v>
      </c>
      <c r="J7078">
        <v>-299.62580000000003</v>
      </c>
      <c r="K7078">
        <v>1.1149480000000001</v>
      </c>
      <c r="L7078">
        <v>-54.095700000000001</v>
      </c>
      <c r="M7078">
        <v>0.3155522</v>
      </c>
      <c r="N7078">
        <v>0</v>
      </c>
      <c r="O7078">
        <v>-0.94884500000000005</v>
      </c>
      <c r="P7078">
        <v>0.51608759999999998</v>
      </c>
      <c r="Q7078">
        <v>0.20834849999999999</v>
      </c>
      <c r="R7078">
        <v>-0.83080969999999998</v>
      </c>
      <c r="S7078">
        <v>1.7083440000000001</v>
      </c>
      <c r="T7078">
        <v>-0.21452299999999999</v>
      </c>
      <c r="U7078">
        <v>-2.604187</v>
      </c>
      <c r="V7078">
        <v>-0.2299389</v>
      </c>
      <c r="W7078">
        <v>0.21624550000000001</v>
      </c>
      <c r="X7078">
        <v>0.94887619999999895</v>
      </c>
      <c r="Y7078">
        <v>-0.25529249999999998</v>
      </c>
      <c r="Z7078">
        <v>6.8030649999999998E-2</v>
      </c>
      <c r="AA7078">
        <v>0.96446750000000003</v>
      </c>
      <c r="AB7078">
        <v>19</v>
      </c>
      <c r="AC7078">
        <v>8.8099000000000203</v>
      </c>
      <c r="AD7078">
        <v>-1.1149594164799901</v>
      </c>
      <c r="AE7078">
        <v>-13.356699999999901</v>
      </c>
      <c r="AF7078">
        <v>-4.1247137840717896</v>
      </c>
      <c r="AG7078">
        <v>-1.1149594164799901</v>
      </c>
      <c r="AH7078">
        <v>15.379669450629301</v>
      </c>
      <c r="AI7078">
        <v>94.005380283218798</v>
      </c>
      <c r="AJ7078">
        <v>105.013012072712</v>
      </c>
      <c r="AK7078">
        <v>15.962162469776199</v>
      </c>
      <c r="AL7078">
        <v>77.511392054196804</v>
      </c>
      <c r="AM7078">
        <v>103.62176533913799</v>
      </c>
      <c r="AN7078">
        <v>1.00000002846494</v>
      </c>
    </row>
    <row r="7079" spans="1:40" x14ac:dyDescent="0.25">
      <c r="A7079" t="str">
        <f>"20190312172253338"</f>
        <v>20190312172253338</v>
      </c>
      <c r="B7079" t="str">
        <f>"1552382573327214"</f>
        <v>1552382573327214</v>
      </c>
      <c r="C7079" t="s">
        <v>40</v>
      </c>
      <c r="D7079">
        <v>3.3342849999999999</v>
      </c>
      <c r="E7079">
        <v>0.48816169999999998</v>
      </c>
      <c r="F7079" t="s">
        <v>64</v>
      </c>
      <c r="G7079">
        <v>-290.6617</v>
      </c>
      <c r="H7079" s="1">
        <v>-1.137282E-5</v>
      </c>
      <c r="I7079">
        <v>-67.500109999999907</v>
      </c>
      <c r="J7079">
        <v>-299.55540000000002</v>
      </c>
      <c r="K7079">
        <v>1.1150439999999999</v>
      </c>
      <c r="L7079">
        <v>-54.273710000000001</v>
      </c>
      <c r="M7079">
        <v>0.32429599999999997</v>
      </c>
      <c r="N7079">
        <v>0</v>
      </c>
      <c r="O7079">
        <v>-0.94589009999999996</v>
      </c>
      <c r="P7079">
        <v>0.52356550000000002</v>
      </c>
      <c r="Q7079">
        <v>0.208594</v>
      </c>
      <c r="R7079">
        <v>-0.8260556</v>
      </c>
      <c r="S7079">
        <v>1.731598</v>
      </c>
      <c r="T7079">
        <v>-0.2153764</v>
      </c>
      <c r="U7079">
        <v>-2.5893250000000001</v>
      </c>
      <c r="V7079">
        <v>-0.2298096</v>
      </c>
      <c r="W7079">
        <v>0.2166072</v>
      </c>
      <c r="X7079">
        <v>0.94882500000000003</v>
      </c>
      <c r="Y7079">
        <v>-0.25490689999999999</v>
      </c>
      <c r="Z7079">
        <v>6.8160869999999998E-2</v>
      </c>
      <c r="AA7079">
        <v>0.96456030000000004</v>
      </c>
      <c r="AB7079">
        <v>19</v>
      </c>
      <c r="AC7079">
        <v>8.8937000000000204</v>
      </c>
      <c r="AD7079">
        <v>-1.1150553728199999</v>
      </c>
      <c r="AE7079">
        <v>-13.2263999999999</v>
      </c>
      <c r="AF7079">
        <v>-4.1033664116485404</v>
      </c>
      <c r="AG7079">
        <v>-1.1150553728199999</v>
      </c>
      <c r="AH7079">
        <v>15.3208805767805</v>
      </c>
      <c r="AI7079">
        <v>94.021409260813797</v>
      </c>
      <c r="AJ7079">
        <v>104.993540706806</v>
      </c>
      <c r="AK7079">
        <v>15.9000108817784</v>
      </c>
      <c r="AL7079">
        <v>77.490164783566598</v>
      </c>
      <c r="AM7079">
        <v>103.61509797145899</v>
      </c>
      <c r="AN7079">
        <v>1.0000000059845</v>
      </c>
    </row>
    <row r="7080" spans="1:40" x14ac:dyDescent="0.25">
      <c r="A7080" t="str">
        <f>"20190312172253358"</f>
        <v>20190312172253358</v>
      </c>
      <c r="B7080" t="str">
        <f>"1552382573347709"</f>
        <v>1552382573347709</v>
      </c>
      <c r="C7080" t="s">
        <v>40</v>
      </c>
      <c r="D7080">
        <v>3.3384949999999902</v>
      </c>
      <c r="E7080">
        <v>0.4608988</v>
      </c>
      <c r="F7080" t="s">
        <v>64</v>
      </c>
      <c r="G7080">
        <v>-290.21890000000002</v>
      </c>
      <c r="H7080" s="1">
        <v>-1.125249E-5</v>
      </c>
      <c r="I7080">
        <v>-67.664349999999999</v>
      </c>
      <c r="J7080">
        <v>-299.49189999999999</v>
      </c>
      <c r="K7080">
        <v>1.1151329999999999</v>
      </c>
      <c r="L7080">
        <v>-54.429259999999999</v>
      </c>
      <c r="M7080">
        <v>0.3320707</v>
      </c>
      <c r="N7080">
        <v>0</v>
      </c>
      <c r="O7080">
        <v>-0.94318709999999994</v>
      </c>
      <c r="P7080">
        <v>0.52999569999999996</v>
      </c>
      <c r="Q7080">
        <v>0.208617</v>
      </c>
      <c r="R7080">
        <v>-0.82193890000000003</v>
      </c>
      <c r="S7080">
        <v>1.7821039999999999</v>
      </c>
      <c r="T7080">
        <v>-0.21283630000000001</v>
      </c>
      <c r="U7080">
        <v>-2.555939</v>
      </c>
      <c r="V7080">
        <v>-0.2294427</v>
      </c>
      <c r="W7080">
        <v>0.21674460000000001</v>
      </c>
      <c r="X7080">
        <v>0.94888240000000001</v>
      </c>
      <c r="Y7080">
        <v>-0.26570729999999998</v>
      </c>
      <c r="Z7080">
        <v>6.7354839999999999E-2</v>
      </c>
      <c r="AA7080">
        <v>0.96169789999999999</v>
      </c>
      <c r="AB7080">
        <v>19</v>
      </c>
      <c r="AC7080">
        <v>9.2729999999999606</v>
      </c>
      <c r="AD7080">
        <v>-1.1151442524899999</v>
      </c>
      <c r="AE7080">
        <v>-13.23509</v>
      </c>
      <c r="AF7080">
        <v>-4.3308428522507496</v>
      </c>
      <c r="AG7080">
        <v>-1.1151442524899999</v>
      </c>
      <c r="AH7080">
        <v>15.4896899631885</v>
      </c>
      <c r="AI7080">
        <v>93.966177762954601</v>
      </c>
      <c r="AJ7080">
        <v>105.620736647407</v>
      </c>
      <c r="AK7080">
        <v>16.1223522375135</v>
      </c>
      <c r="AL7080">
        <v>77.4821005888423</v>
      </c>
      <c r="AM7080">
        <v>103.593376352044</v>
      </c>
      <c r="AN7080">
        <v>0.99999999162110498</v>
      </c>
    </row>
    <row r="7081" spans="1:40" x14ac:dyDescent="0.25">
      <c r="A7081" t="str">
        <f>"20190312172253381"</f>
        <v>20190312172253381</v>
      </c>
      <c r="B7081" t="str">
        <f>"1552382573376989"</f>
        <v>1552382573376989</v>
      </c>
      <c r="C7081" t="s">
        <v>40</v>
      </c>
      <c r="D7081">
        <v>3.3526479999999999</v>
      </c>
      <c r="E7081">
        <v>0.46201140000000002</v>
      </c>
      <c r="F7081" t="s">
        <v>64</v>
      </c>
      <c r="G7081">
        <v>-287.93110000000001</v>
      </c>
      <c r="H7081" s="1">
        <v>-2.9171669999999999E-6</v>
      </c>
      <c r="I7081">
        <v>-68.552319999999995</v>
      </c>
      <c r="J7081">
        <v>-299.42009999999999</v>
      </c>
      <c r="K7081">
        <v>1.115238</v>
      </c>
      <c r="L7081">
        <v>-54.600560000000002</v>
      </c>
      <c r="M7081">
        <v>0.34077269999999998</v>
      </c>
      <c r="N7081">
        <v>0</v>
      </c>
      <c r="O7081">
        <v>-0.94007589999999996</v>
      </c>
      <c r="P7081">
        <v>0.53713699999999998</v>
      </c>
      <c r="Q7081">
        <v>0.2083122</v>
      </c>
      <c r="R7081">
        <v>-0.81736790000000004</v>
      </c>
      <c r="S7081">
        <v>1.9815370000000001</v>
      </c>
      <c r="T7081">
        <v>-0.1911361</v>
      </c>
      <c r="U7081">
        <v>-2.420715</v>
      </c>
      <c r="V7081">
        <v>-0.2289533</v>
      </c>
      <c r="W7081">
        <v>0.2165755</v>
      </c>
      <c r="X7081">
        <v>0.94903919999999997</v>
      </c>
      <c r="Y7081">
        <v>-0.33056059999999998</v>
      </c>
      <c r="Z7081">
        <v>6.0879309999999999E-2</v>
      </c>
      <c r="AA7081">
        <v>0.94181919999999997</v>
      </c>
      <c r="AB7081">
        <v>19</v>
      </c>
      <c r="AC7081">
        <v>11.4889999999999</v>
      </c>
      <c r="AD7081">
        <v>-1.1152409171669999</v>
      </c>
      <c r="AE7081">
        <v>-13.95176</v>
      </c>
      <c r="AF7081">
        <v>-6.0236141832699204</v>
      </c>
      <c r="AG7081">
        <v>-1.1152409171669999</v>
      </c>
      <c r="AH7081">
        <v>16.967363121287701</v>
      </c>
      <c r="AI7081">
        <v>93.544433584728694</v>
      </c>
      <c r="AJ7081">
        <v>109.545462927324</v>
      </c>
      <c r="AK7081">
        <v>18.039376414439801</v>
      </c>
      <c r="AL7081">
        <v>77.492024916817996</v>
      </c>
      <c r="AM7081">
        <v>103.56329582546699</v>
      </c>
      <c r="AN7081">
        <v>0.99999998195888895</v>
      </c>
    </row>
    <row r="7082" spans="1:40" x14ac:dyDescent="0.25">
      <c r="A7082" t="str">
        <f>"20190312172253403"</f>
        <v>20190312172253403</v>
      </c>
      <c r="B7082" t="str">
        <f>"1552382573397486"</f>
        <v>1552382573397486</v>
      </c>
      <c r="C7082" t="s">
        <v>40</v>
      </c>
      <c r="D7082">
        <v>3.380798</v>
      </c>
      <c r="E7082">
        <v>0.46287040000000002</v>
      </c>
      <c r="F7082" t="s">
        <v>64</v>
      </c>
      <c r="G7082">
        <v>-287.85559999999998</v>
      </c>
      <c r="H7082" s="1">
        <v>-2.9599240000000001E-6</v>
      </c>
      <c r="I7082">
        <v>-68.561049999999994</v>
      </c>
      <c r="J7082">
        <v>-299.34769999999997</v>
      </c>
      <c r="K7082">
        <v>1.115332</v>
      </c>
      <c r="L7082">
        <v>-54.76831</v>
      </c>
      <c r="M7082">
        <v>0.34944619999999998</v>
      </c>
      <c r="N7082">
        <v>0</v>
      </c>
      <c r="O7082">
        <v>-0.93688400000000005</v>
      </c>
      <c r="P7082">
        <v>0.54417409999999999</v>
      </c>
      <c r="Q7082">
        <v>0.2077437</v>
      </c>
      <c r="R7082">
        <v>-0.81284509999999999</v>
      </c>
      <c r="S7082">
        <v>1.9949950000000001</v>
      </c>
      <c r="T7082">
        <v>-0.19239020000000001</v>
      </c>
      <c r="U7082">
        <v>-2.408325</v>
      </c>
      <c r="V7082">
        <v>-0.22835810000000001</v>
      </c>
      <c r="W7082">
        <v>0.2161496</v>
      </c>
      <c r="X7082">
        <v>0.94927969999999895</v>
      </c>
      <c r="Y7082">
        <v>-0.32732420000000001</v>
      </c>
      <c r="Z7082">
        <v>6.1154350000000003E-2</v>
      </c>
      <c r="AA7082">
        <v>0.94293110000000002</v>
      </c>
      <c r="AB7082">
        <v>19</v>
      </c>
      <c r="AC7082">
        <v>11.492099999999899</v>
      </c>
      <c r="AD7082">
        <v>-1.1153349599239999</v>
      </c>
      <c r="AE7082">
        <v>-13.792739999999901</v>
      </c>
      <c r="AF7082">
        <v>-5.9244816662210296</v>
      </c>
      <c r="AG7082">
        <v>-1.1153349599239999</v>
      </c>
      <c r="AH7082">
        <v>16.874090843742799</v>
      </c>
      <c r="AI7082">
        <v>93.568644109710704</v>
      </c>
      <c r="AJ7082">
        <v>109.34613910909199</v>
      </c>
      <c r="AK7082">
        <v>17.918660577428799</v>
      </c>
      <c r="AL7082">
        <v>77.517019585286107</v>
      </c>
      <c r="AM7082">
        <v>103.526031943051</v>
      </c>
      <c r="AN7082">
        <v>1.0000000101239299</v>
      </c>
    </row>
    <row r="7083" spans="1:40" x14ac:dyDescent="0.25">
      <c r="A7083" t="str">
        <f>"20190312172253425"</f>
        <v>20190312172253425</v>
      </c>
      <c r="B7083" t="str">
        <f>"1552382573417982"</f>
        <v>1552382573417982</v>
      </c>
      <c r="C7083" t="s">
        <v>40</v>
      </c>
      <c r="D7083">
        <v>3.3470420000000001</v>
      </c>
      <c r="E7083">
        <v>0.46384520000000001</v>
      </c>
      <c r="F7083" t="s">
        <v>64</v>
      </c>
      <c r="G7083">
        <v>-288.01519999999999</v>
      </c>
      <c r="H7083" s="1">
        <v>-2.930754E-6</v>
      </c>
      <c r="I7083">
        <v>-68.26737</v>
      </c>
      <c r="J7083">
        <v>-299.27350000000001</v>
      </c>
      <c r="K7083">
        <v>1.1154090000000001</v>
      </c>
      <c r="L7083">
        <v>-54.935490000000001</v>
      </c>
      <c r="M7083">
        <v>0.35821150000000002</v>
      </c>
      <c r="N7083">
        <v>0</v>
      </c>
      <c r="O7083">
        <v>-0.93356570000000005</v>
      </c>
      <c r="P7083">
        <v>0.55109949999999996</v>
      </c>
      <c r="Q7083">
        <v>0.20771510000000001</v>
      </c>
      <c r="R7083">
        <v>-0.80817340000000004</v>
      </c>
      <c r="S7083">
        <v>2.0107729999999999</v>
      </c>
      <c r="T7083">
        <v>-0.1978992</v>
      </c>
      <c r="U7083">
        <v>-2.395203</v>
      </c>
      <c r="V7083">
        <v>-0.2276</v>
      </c>
      <c r="W7083">
        <v>0.21626970000000001</v>
      </c>
      <c r="X7083">
        <v>0.94943440000000001</v>
      </c>
      <c r="Y7083">
        <v>-0.3245865</v>
      </c>
      <c r="Z7083">
        <v>6.2749180000000002E-2</v>
      </c>
      <c r="AA7083">
        <v>0.94377230000000001</v>
      </c>
      <c r="AB7083">
        <v>19</v>
      </c>
      <c r="AC7083">
        <v>11.2583</v>
      </c>
      <c r="AD7083">
        <v>-1.115411930754</v>
      </c>
      <c r="AE7083">
        <v>-13.3318799999999</v>
      </c>
      <c r="AF7083">
        <v>-5.7117918640589496</v>
      </c>
      <c r="AG7083">
        <v>-1.115411930754</v>
      </c>
      <c r="AH7083">
        <v>16.4131245495713</v>
      </c>
      <c r="AI7083">
        <v>93.672385021166605</v>
      </c>
      <c r="AJ7083">
        <v>109.187972956561</v>
      </c>
      <c r="AK7083">
        <v>17.4143437301937</v>
      </c>
      <c r="AL7083">
        <v>77.509971675043602</v>
      </c>
      <c r="AM7083">
        <v>103.480653726497</v>
      </c>
      <c r="AN7083">
        <v>1.0000000115207199</v>
      </c>
    </row>
    <row r="7084" spans="1:40" x14ac:dyDescent="0.25">
      <c r="A7084" t="str">
        <f>"20190312172253447"</f>
        <v>20190312172253447</v>
      </c>
      <c r="B7084" t="str">
        <f>"1552382573437502"</f>
        <v>1552382573437502</v>
      </c>
      <c r="C7084" t="s">
        <v>40</v>
      </c>
      <c r="D7084">
        <v>3.3878499999999998</v>
      </c>
      <c r="E7084">
        <v>0.46466669999999999</v>
      </c>
      <c r="F7084" t="s">
        <v>64</v>
      </c>
      <c r="G7084">
        <v>-288.01339999999999</v>
      </c>
      <c r="H7084" s="1">
        <v>-2.95058E-6</v>
      </c>
      <c r="I7084">
        <v>-68.183080000000004</v>
      </c>
      <c r="J7084">
        <v>-299.19900000000001</v>
      </c>
      <c r="K7084">
        <v>1.1154710000000001</v>
      </c>
      <c r="L7084">
        <v>-55.098909999999997</v>
      </c>
      <c r="M7084">
        <v>0.36689529999999998</v>
      </c>
      <c r="N7084">
        <v>0</v>
      </c>
      <c r="O7084">
        <v>-0.93018480000000003</v>
      </c>
      <c r="P7084">
        <v>0.55818159999999895</v>
      </c>
      <c r="Q7084">
        <v>0.20791270000000001</v>
      </c>
      <c r="R7084">
        <v>-0.80324689999999999</v>
      </c>
      <c r="S7084">
        <v>2.0251769999999998</v>
      </c>
      <c r="T7084">
        <v>-0.20061090000000001</v>
      </c>
      <c r="U7084">
        <v>-2.3826290000000001</v>
      </c>
      <c r="V7084">
        <v>-0.22714239999999999</v>
      </c>
      <c r="W7084">
        <v>0.2166091</v>
      </c>
      <c r="X7084">
        <v>0.94946660000000005</v>
      </c>
      <c r="Y7084">
        <v>-0.32150869999999998</v>
      </c>
      <c r="Z7084">
        <v>6.3449749999999999E-2</v>
      </c>
      <c r="AA7084">
        <v>0.94477840000000002</v>
      </c>
      <c r="AB7084">
        <v>19</v>
      </c>
      <c r="AC7084">
        <v>11.185600000000001</v>
      </c>
      <c r="AD7084">
        <v>-1.11547395058</v>
      </c>
      <c r="AE7084">
        <v>-13.08417</v>
      </c>
      <c r="AF7084">
        <v>-5.5811220570438804</v>
      </c>
      <c r="AG7084">
        <v>-1.11547395058</v>
      </c>
      <c r="AH7084">
        <v>16.207752835525099</v>
      </c>
      <c r="AI7084">
        <v>93.723184734895099</v>
      </c>
      <c r="AJ7084">
        <v>109.00109097788599</v>
      </c>
      <c r="AK7084">
        <v>17.1780225150485</v>
      </c>
      <c r="AL7084">
        <v>77.490053176486299</v>
      </c>
      <c r="AM7084">
        <v>103.454096949063</v>
      </c>
      <c r="AN7084">
        <v>0.99999999829806496</v>
      </c>
    </row>
    <row r="7085" spans="1:40" x14ac:dyDescent="0.25">
      <c r="A7085" t="str">
        <f>"20190312172253469"</f>
        <v>20190312172253469</v>
      </c>
      <c r="B7085" t="str">
        <f>"1552382573457021"</f>
        <v>1552382573457021</v>
      </c>
      <c r="C7085" t="s">
        <v>40</v>
      </c>
      <c r="D7085">
        <v>3.3584700000000001</v>
      </c>
      <c r="E7085">
        <v>0.46543119999999999</v>
      </c>
      <c r="F7085" t="s">
        <v>64</v>
      </c>
      <c r="G7085">
        <v>-287.89120000000003</v>
      </c>
      <c r="H7085" s="1">
        <v>-3.0143920000000001E-6</v>
      </c>
      <c r="I7085">
        <v>-68.221329999999995</v>
      </c>
      <c r="J7085">
        <v>-299.12189999999998</v>
      </c>
      <c r="K7085">
        <v>1.1155299999999999</v>
      </c>
      <c r="L7085">
        <v>-55.263640000000002</v>
      </c>
      <c r="M7085">
        <v>0.37576229999999999</v>
      </c>
      <c r="N7085">
        <v>0</v>
      </c>
      <c r="O7085">
        <v>-0.92663600000000002</v>
      </c>
      <c r="P7085">
        <v>0.56533710000000004</v>
      </c>
      <c r="Q7085">
        <v>0.20791200000000001</v>
      </c>
      <c r="R7085">
        <v>-0.79822700000000002</v>
      </c>
      <c r="S7085">
        <v>2.041077</v>
      </c>
      <c r="T7085">
        <v>-0.2013453</v>
      </c>
      <c r="U7085">
        <v>-2.3686219999999998</v>
      </c>
      <c r="V7085">
        <v>-0.2265779</v>
      </c>
      <c r="W7085">
        <v>0.21675620000000001</v>
      </c>
      <c r="X7085">
        <v>0.94956790000000002</v>
      </c>
      <c r="Y7085">
        <v>-0.31886140000000002</v>
      </c>
      <c r="Z7085">
        <v>6.3519279999999997E-2</v>
      </c>
      <c r="AA7085">
        <v>0.94567049999999997</v>
      </c>
      <c r="AB7085">
        <v>19</v>
      </c>
      <c r="AC7085">
        <v>11.230699999999899</v>
      </c>
      <c r="AD7085">
        <v>-1.1155330143919999</v>
      </c>
      <c r="AE7085">
        <v>-12.957689999999999</v>
      </c>
      <c r="AF7085">
        <v>-5.5148303092128304</v>
      </c>
      <c r="AG7085">
        <v>-1.1155330143919999</v>
      </c>
      <c r="AH7085">
        <v>16.1599468701455</v>
      </c>
      <c r="AI7085">
        <v>93.737889062947403</v>
      </c>
      <c r="AJ7085">
        <v>108.84299611087199</v>
      </c>
      <c r="AK7085">
        <v>17.111447925045201</v>
      </c>
      <c r="AL7085">
        <v>77.481419826700403</v>
      </c>
      <c r="AM7085">
        <v>103.420491745633</v>
      </c>
      <c r="AN7085">
        <v>0.99999999585862998</v>
      </c>
    </row>
    <row r="7086" spans="1:40" x14ac:dyDescent="0.25">
      <c r="A7086" t="str">
        <f>"20190312172253493"</f>
        <v>20190312172253493</v>
      </c>
      <c r="B7086" t="str">
        <f>"1552382573487278"</f>
        <v>1552382573487278</v>
      </c>
      <c r="C7086" t="s">
        <v>40</v>
      </c>
      <c r="D7086">
        <v>3.348163</v>
      </c>
      <c r="E7086">
        <v>0.4733581</v>
      </c>
      <c r="F7086" t="s">
        <v>64</v>
      </c>
      <c r="G7086">
        <v>-287.65629999999999</v>
      </c>
      <c r="H7086" s="1">
        <v>-3.1176009999999998E-6</v>
      </c>
      <c r="I7086">
        <v>-68.38252</v>
      </c>
      <c r="J7086">
        <v>-299.04129999999998</v>
      </c>
      <c r="K7086">
        <v>1.115588</v>
      </c>
      <c r="L7086">
        <v>-55.431429999999999</v>
      </c>
      <c r="M7086">
        <v>0.38491229999999999</v>
      </c>
      <c r="N7086">
        <v>0</v>
      </c>
      <c r="O7086">
        <v>-0.92287079999999999</v>
      </c>
      <c r="P7086">
        <v>0.57274239999999998</v>
      </c>
      <c r="Q7086">
        <v>0.2078972</v>
      </c>
      <c r="R7086">
        <v>-0.79293419999999903</v>
      </c>
      <c r="S7086">
        <v>2.057007</v>
      </c>
      <c r="T7086">
        <v>-0.20013339999999999</v>
      </c>
      <c r="U7086">
        <v>-2.3536069999999998</v>
      </c>
      <c r="V7086">
        <v>-0.22603699999999999</v>
      </c>
      <c r="W7086">
        <v>0.2168921</v>
      </c>
      <c r="X7086">
        <v>0.9496658</v>
      </c>
      <c r="Y7086">
        <v>-0.31612109999999999</v>
      </c>
      <c r="Z7086">
        <v>6.2975699999999996E-2</v>
      </c>
      <c r="AA7086">
        <v>0.94662639999999998</v>
      </c>
      <c r="AB7086">
        <v>19</v>
      </c>
      <c r="AC7086">
        <v>11.3849999999999</v>
      </c>
      <c r="AD7086">
        <v>-1.115591117601</v>
      </c>
      <c r="AE7086">
        <v>-12.951089999999899</v>
      </c>
      <c r="AF7086">
        <v>-5.4992530196622997</v>
      </c>
      <c r="AG7086">
        <v>-1.115591117601</v>
      </c>
      <c r="AH7086">
        <v>16.267563633044499</v>
      </c>
      <c r="AI7086">
        <v>93.717051042827507</v>
      </c>
      <c r="AJ7086">
        <v>108.67783418599799</v>
      </c>
      <c r="AK7086">
        <v>17.208136269540901</v>
      </c>
      <c r="AL7086">
        <v>77.473443888704196</v>
      </c>
      <c r="AM7086">
        <v>103.38827802491301</v>
      </c>
      <c r="AN7086">
        <v>1.0000000200505199</v>
      </c>
    </row>
    <row r="7087" spans="1:40" x14ac:dyDescent="0.25">
      <c r="A7087" t="str">
        <f>"20190312172253515"</f>
        <v>20190312172253515</v>
      </c>
      <c r="B7087" t="str">
        <f>"1552382573507774"</f>
        <v>1552382573507774</v>
      </c>
      <c r="C7087" t="s">
        <v>40</v>
      </c>
      <c r="D7087">
        <v>3.3334860000000002</v>
      </c>
      <c r="E7087">
        <v>0.47470849999999998</v>
      </c>
      <c r="F7087" t="s">
        <v>64</v>
      </c>
      <c r="G7087">
        <v>-287.8938</v>
      </c>
      <c r="H7087" s="1">
        <v>-2.957903E-6</v>
      </c>
      <c r="I7087">
        <v>-68.468310000000002</v>
      </c>
      <c r="J7087">
        <v>-298.95940000000002</v>
      </c>
      <c r="K7087">
        <v>1.1156440000000001</v>
      </c>
      <c r="L7087">
        <v>-55.597259999999999</v>
      </c>
      <c r="M7087">
        <v>0.39407039999999999</v>
      </c>
      <c r="N7087">
        <v>0</v>
      </c>
      <c r="O7087">
        <v>-0.91899529999999996</v>
      </c>
      <c r="P7087">
        <v>0.579978199999999</v>
      </c>
      <c r="Q7087">
        <v>0.20808840000000001</v>
      </c>
      <c r="R7087">
        <v>-0.78760699999999995</v>
      </c>
      <c r="S7087">
        <v>2.0280459999999998</v>
      </c>
      <c r="T7087">
        <v>-0.2029591</v>
      </c>
      <c r="U7087">
        <v>-2.3717959999999998</v>
      </c>
      <c r="V7087">
        <v>-0.22532830000000001</v>
      </c>
      <c r="W7087">
        <v>0.21722630000000001</v>
      </c>
      <c r="X7087">
        <v>0.94975779999999999</v>
      </c>
      <c r="Y7087">
        <v>-0.29634490000000002</v>
      </c>
      <c r="Z7087">
        <v>6.3539999999999999E-2</v>
      </c>
      <c r="AA7087">
        <v>0.95296499999999995</v>
      </c>
      <c r="AB7087">
        <v>19</v>
      </c>
      <c r="AC7087">
        <v>11.0656</v>
      </c>
      <c r="AD7087">
        <v>-1.1156469579029999</v>
      </c>
      <c r="AE7087">
        <v>-12.87105</v>
      </c>
      <c r="AF7087">
        <v>-5.0756055095575201</v>
      </c>
      <c r="AG7087">
        <v>-1.1156469579029999</v>
      </c>
      <c r="AH7087">
        <v>16.120681211767099</v>
      </c>
      <c r="AI7087">
        <v>93.776693141266605</v>
      </c>
      <c r="AJ7087">
        <v>107.47663761755</v>
      </c>
      <c r="AK7087">
        <v>16.937615007867901</v>
      </c>
      <c r="AL7087">
        <v>77.453827625838997</v>
      </c>
      <c r="AM7087">
        <v>103.346559293825</v>
      </c>
      <c r="AN7087">
        <v>0.99999999342670998</v>
      </c>
    </row>
    <row r="7088" spans="1:40" x14ac:dyDescent="0.25">
      <c r="A7088" t="str">
        <f>"20190312172253538"</f>
        <v>20190312172253538</v>
      </c>
      <c r="B7088" t="str">
        <f>"1552382573527294"</f>
        <v>1552382573527294</v>
      </c>
      <c r="C7088" t="s">
        <v>40</v>
      </c>
      <c r="D7088">
        <v>3.3665120000000002</v>
      </c>
      <c r="E7088">
        <v>0.47568690000000002</v>
      </c>
      <c r="F7088" t="s">
        <v>64</v>
      </c>
      <c r="G7088">
        <v>-287.92540000000002</v>
      </c>
      <c r="H7088" s="1">
        <v>-2.9666940000000002E-6</v>
      </c>
      <c r="I7088">
        <v>-68.344729999999998</v>
      </c>
      <c r="J7088">
        <v>-298.87709999999998</v>
      </c>
      <c r="K7088">
        <v>1.1156919999999999</v>
      </c>
      <c r="L7088">
        <v>-55.759799999999998</v>
      </c>
      <c r="M7088">
        <v>0.40315450000000003</v>
      </c>
      <c r="N7088">
        <v>0</v>
      </c>
      <c r="O7088">
        <v>-0.91504459999999999</v>
      </c>
      <c r="P7088">
        <v>0.58711559999999996</v>
      </c>
      <c r="Q7088">
        <v>0.20835219999999999</v>
      </c>
      <c r="R7088">
        <v>-0.78223100000000001</v>
      </c>
      <c r="S7088">
        <v>2.0424190000000002</v>
      </c>
      <c r="T7088">
        <v>-0.2065089</v>
      </c>
      <c r="U7088">
        <v>-2.3595890000000002</v>
      </c>
      <c r="V7088">
        <v>-0.22460749999999999</v>
      </c>
      <c r="W7088">
        <v>0.21762100000000001</v>
      </c>
      <c r="X7088">
        <v>0.94983819999999997</v>
      </c>
      <c r="Y7088">
        <v>-0.29259790000000002</v>
      </c>
      <c r="Z7088">
        <v>6.4421859999999997E-2</v>
      </c>
      <c r="AA7088">
        <v>0.95406310000000005</v>
      </c>
      <c r="AB7088">
        <v>19</v>
      </c>
      <c r="AC7088">
        <v>10.951699999999899</v>
      </c>
      <c r="AD7088">
        <v>-1.1156949666939999</v>
      </c>
      <c r="AE7088">
        <v>-12.58493</v>
      </c>
      <c r="AF7088">
        <v>-4.9259869512111303</v>
      </c>
      <c r="AG7088">
        <v>-1.1156949666939999</v>
      </c>
      <c r="AH7088">
        <v>15.861333506516299</v>
      </c>
      <c r="AI7088">
        <v>93.843100956928296</v>
      </c>
      <c r="AJ7088">
        <v>107.253004617283</v>
      </c>
      <c r="AK7088">
        <v>16.646081319852598</v>
      </c>
      <c r="AL7088">
        <v>77.430659025998594</v>
      </c>
      <c r="AM7088">
        <v>103.30429970084199</v>
      </c>
      <c r="AN7088">
        <v>1.00000001743824</v>
      </c>
    </row>
    <row r="7089" spans="1:40" x14ac:dyDescent="0.25">
      <c r="A7089" t="str">
        <f>"20190312172253559"</f>
        <v>20190312172253559</v>
      </c>
      <c r="B7089" t="str">
        <f>"1552382573547790"</f>
        <v>1552382573547790</v>
      </c>
      <c r="C7089" t="s">
        <v>40</v>
      </c>
      <c r="D7089">
        <v>3.2838379999999998</v>
      </c>
      <c r="E7089">
        <v>0.47610859999999999</v>
      </c>
      <c r="F7089" t="s">
        <v>64</v>
      </c>
      <c r="G7089">
        <v>-287.87509999999997</v>
      </c>
      <c r="H7089" s="1">
        <v>-3.0060070000000001E-6</v>
      </c>
      <c r="I7089">
        <v>-68.301839999999999</v>
      </c>
      <c r="J7089">
        <v>-298.79649999999998</v>
      </c>
      <c r="K7089">
        <v>1.11575</v>
      </c>
      <c r="L7089">
        <v>-55.914790000000004</v>
      </c>
      <c r="M7089">
        <v>0.41191230000000001</v>
      </c>
      <c r="N7089">
        <v>0</v>
      </c>
      <c r="O7089">
        <v>-0.911134</v>
      </c>
      <c r="P7089">
        <v>0.59433769999999997</v>
      </c>
      <c r="Q7089">
        <v>0.20835609999999999</v>
      </c>
      <c r="R7089">
        <v>-0.77675649999999996</v>
      </c>
      <c r="S7089">
        <v>2.058014</v>
      </c>
      <c r="T7089">
        <v>-0.20870060000000001</v>
      </c>
      <c r="U7089">
        <v>-2.3460999999999999</v>
      </c>
      <c r="V7089">
        <v>-0.2243184</v>
      </c>
      <c r="W7089">
        <v>0.2177383</v>
      </c>
      <c r="X7089">
        <v>0.94987960000000005</v>
      </c>
      <c r="Y7089">
        <v>-0.28970439999999997</v>
      </c>
      <c r="Z7089">
        <v>6.488592E-2</v>
      </c>
      <c r="AA7089">
        <v>0.95491420000000005</v>
      </c>
      <c r="AB7089">
        <v>19</v>
      </c>
      <c r="AC7089">
        <v>10.9214</v>
      </c>
      <c r="AD7089">
        <v>-1.115753006007</v>
      </c>
      <c r="AE7089">
        <v>-12.387049999999901</v>
      </c>
      <c r="AF7089">
        <v>-4.8268422709580996</v>
      </c>
      <c r="AG7089">
        <v>-1.115753006007</v>
      </c>
      <c r="AH7089">
        <v>15.7144746972346</v>
      </c>
      <c r="AI7089">
        <v>93.882825079457405</v>
      </c>
      <c r="AJ7089">
        <v>107.074811003191</v>
      </c>
      <c r="AK7089">
        <v>16.476893702671902</v>
      </c>
      <c r="AL7089">
        <v>77.423772670868303</v>
      </c>
      <c r="AM7089">
        <v>103.28722450362601</v>
      </c>
      <c r="AN7089">
        <v>0.99999998318080396</v>
      </c>
    </row>
    <row r="7090" spans="1:40" x14ac:dyDescent="0.25">
      <c r="A7090" t="str">
        <f>"20190312172253582"</f>
        <v>20190312172253582</v>
      </c>
      <c r="B7090" t="str">
        <f>"1552382573577070"</f>
        <v>1552382573577070</v>
      </c>
      <c r="C7090" t="s">
        <v>40</v>
      </c>
      <c r="D7090">
        <v>3.3320799999999999</v>
      </c>
      <c r="E7090">
        <v>0.47742560000000001</v>
      </c>
      <c r="F7090" t="s">
        <v>64</v>
      </c>
      <c r="G7090">
        <v>-288.02879999999999</v>
      </c>
      <c r="H7090" s="1">
        <v>-2.9847049999999999E-6</v>
      </c>
      <c r="I7090">
        <v>-67.988569999999996</v>
      </c>
      <c r="J7090">
        <v>-298.70999999999998</v>
      </c>
      <c r="K7090">
        <v>1.1158030000000001</v>
      </c>
      <c r="L7090">
        <v>-56.076810000000002</v>
      </c>
      <c r="M7090">
        <v>0.4211744</v>
      </c>
      <c r="N7090">
        <v>0</v>
      </c>
      <c r="O7090">
        <v>-0.90688769999999996</v>
      </c>
      <c r="P7090">
        <v>0.60207060000000001</v>
      </c>
      <c r="Q7090">
        <v>0.20838670000000001</v>
      </c>
      <c r="R7090">
        <v>-0.77076979999999995</v>
      </c>
      <c r="S7090">
        <v>2.0779719999999999</v>
      </c>
      <c r="T7090">
        <v>-0.2153196</v>
      </c>
      <c r="U7090">
        <v>-2.3300169999999998</v>
      </c>
      <c r="V7090">
        <v>-0.22415779999999999</v>
      </c>
      <c r="W7090">
        <v>0.21788350000000001</v>
      </c>
      <c r="X7090">
        <v>0.94988419999999896</v>
      </c>
      <c r="Y7090">
        <v>-0.28769640000000002</v>
      </c>
      <c r="Z7090">
        <v>6.6682089999999999E-2</v>
      </c>
      <c r="AA7090">
        <v>0.95539750000000001</v>
      </c>
      <c r="AB7090">
        <v>19</v>
      </c>
      <c r="AC7090">
        <v>10.681199999999899</v>
      </c>
      <c r="AD7090">
        <v>-1.1158059847049999</v>
      </c>
      <c r="AE7090">
        <v>-11.911759999999999</v>
      </c>
      <c r="AF7090">
        <v>-4.6475056089853402</v>
      </c>
      <c r="AG7090">
        <v>-1.1158059847049999</v>
      </c>
      <c r="AH7090">
        <v>15.228484981946201</v>
      </c>
      <c r="AI7090">
        <v>94.008738070889393</v>
      </c>
      <c r="AJ7090">
        <v>106.971404430603</v>
      </c>
      <c r="AK7090">
        <v>15.960923727228799</v>
      </c>
      <c r="AL7090">
        <v>77.415248452765894</v>
      </c>
      <c r="AM7090">
        <v>103.27798661213799</v>
      </c>
      <c r="AN7090">
        <v>0.99999996614136399</v>
      </c>
    </row>
    <row r="7091" spans="1:40" x14ac:dyDescent="0.25">
      <c r="A7091" t="str">
        <f>"20190312172253604"</f>
        <v>20190312172253604</v>
      </c>
      <c r="B7091" t="str">
        <f>"1552382573597566"</f>
        <v>1552382573597566</v>
      </c>
      <c r="C7091" t="s">
        <v>40</v>
      </c>
      <c r="D7091">
        <v>3.4390399999999999</v>
      </c>
      <c r="E7091">
        <v>0.47792499999999999</v>
      </c>
      <c r="F7091" t="s">
        <v>64</v>
      </c>
      <c r="G7091">
        <v>-288.0095</v>
      </c>
      <c r="H7091" s="1">
        <v>-3.0129859999999998E-6</v>
      </c>
      <c r="I7091">
        <v>-67.91283</v>
      </c>
      <c r="J7091">
        <v>-298.62270000000001</v>
      </c>
      <c r="K7091">
        <v>1.1158490000000001</v>
      </c>
      <c r="L7091">
        <v>-56.235959999999999</v>
      </c>
      <c r="M7091">
        <v>0.43037389999999998</v>
      </c>
      <c r="N7091">
        <v>0</v>
      </c>
      <c r="O7091">
        <v>-0.90255629999999998</v>
      </c>
      <c r="P7091">
        <v>0.60948840000000004</v>
      </c>
      <c r="Q7091">
        <v>0.2082483</v>
      </c>
      <c r="R7091">
        <v>-0.7649553</v>
      </c>
      <c r="S7091">
        <v>2.093658</v>
      </c>
      <c r="T7091">
        <v>-0.2183177</v>
      </c>
      <c r="U7091">
        <v>-2.3158259999999999</v>
      </c>
      <c r="V7091">
        <v>-0.22367319999999999</v>
      </c>
      <c r="W7091">
        <v>0.2178639</v>
      </c>
      <c r="X7091">
        <v>0.95000300000000004</v>
      </c>
      <c r="Y7091">
        <v>-0.28439320000000001</v>
      </c>
      <c r="Z7091">
        <v>6.7348329999999998E-2</v>
      </c>
      <c r="AA7091">
        <v>0.95633919999999994</v>
      </c>
      <c r="AB7091">
        <v>19</v>
      </c>
      <c r="AC7091">
        <v>10.613200000000001</v>
      </c>
      <c r="AD7091">
        <v>-1.1158520129859999</v>
      </c>
      <c r="AE7091">
        <v>-11.676869999999999</v>
      </c>
      <c r="AF7091">
        <v>-4.5313186745466103</v>
      </c>
      <c r="AG7091">
        <v>-1.1158520129859999</v>
      </c>
      <c r="AH7091">
        <v>15.0327895839762</v>
      </c>
      <c r="AI7091">
        <v>94.065141494710204</v>
      </c>
      <c r="AJ7091">
        <v>106.77432975314299</v>
      </c>
      <c r="AK7091">
        <v>15.7404808478421</v>
      </c>
      <c r="AL7091">
        <v>77.416400032283605</v>
      </c>
      <c r="AM7091">
        <v>103.24869640964</v>
      </c>
      <c r="AN7091">
        <v>1.00000003966522</v>
      </c>
    </row>
    <row r="7092" spans="1:40" x14ac:dyDescent="0.25">
      <c r="A7092" t="str">
        <f>"20190312172253626"</f>
        <v>20190312172253626</v>
      </c>
      <c r="B7092" t="str">
        <f>"1552382573617086"</f>
        <v>1552382573617086</v>
      </c>
      <c r="C7092" t="s">
        <v>40</v>
      </c>
      <c r="D7092">
        <v>3.3879519999999999</v>
      </c>
      <c r="E7092">
        <v>0.47873260000000001</v>
      </c>
      <c r="F7092" t="s">
        <v>64</v>
      </c>
      <c r="G7092">
        <v>-288.02600000000001</v>
      </c>
      <c r="H7092" s="1">
        <v>-3.0368179999999999E-6</v>
      </c>
      <c r="I7092">
        <v>-67.761510000000001</v>
      </c>
      <c r="J7092">
        <v>-298.53570000000002</v>
      </c>
      <c r="K7092">
        <v>1.1158790000000001</v>
      </c>
      <c r="L7092">
        <v>-56.390810000000002</v>
      </c>
      <c r="M7092">
        <v>0.43940600000000002</v>
      </c>
      <c r="N7092">
        <v>0</v>
      </c>
      <c r="O7092">
        <v>-0.89819189999999904</v>
      </c>
      <c r="P7092">
        <v>0.61739580000000005</v>
      </c>
      <c r="Q7092">
        <v>0.2080591</v>
      </c>
      <c r="R7092">
        <v>-0.75863979999999998</v>
      </c>
      <c r="S7092">
        <v>2.1133120000000001</v>
      </c>
      <c r="T7092">
        <v>-0.2225355</v>
      </c>
      <c r="U7092">
        <v>-2.2985530000000001</v>
      </c>
      <c r="V7092">
        <v>-0.2239911</v>
      </c>
      <c r="W7092">
        <v>0.21777740000000001</v>
      </c>
      <c r="X7092">
        <v>0.94994789999999996</v>
      </c>
      <c r="Y7092">
        <v>-0.28273280000000001</v>
      </c>
      <c r="Z7092">
        <v>6.8389480000000002E-2</v>
      </c>
      <c r="AA7092">
        <v>0.95675759999999999</v>
      </c>
      <c r="AB7092">
        <v>18</v>
      </c>
      <c r="AC7092">
        <v>10.5097</v>
      </c>
      <c r="AD7092">
        <v>-1.115882036818</v>
      </c>
      <c r="AE7092">
        <v>-11.370699999999999</v>
      </c>
      <c r="AF7092">
        <v>-4.4207988301941699</v>
      </c>
      <c r="AG7092">
        <v>-1.115882036818</v>
      </c>
      <c r="AH7092">
        <v>14.7557457672153</v>
      </c>
      <c r="AI7092">
        <v>94.143396439055294</v>
      </c>
      <c r="AJ7092">
        <v>106.678135413272</v>
      </c>
      <c r="AK7092">
        <v>15.4441150009909</v>
      </c>
      <c r="AL7092">
        <v>77.421477676758798</v>
      </c>
      <c r="AM7092">
        <v>103.267603262753</v>
      </c>
      <c r="AN7092">
        <v>1.00000001077218</v>
      </c>
    </row>
    <row r="7093" spans="1:40" x14ac:dyDescent="0.25">
      <c r="A7093" t="str">
        <f>"20190312172253649"</f>
        <v>20190312172253649</v>
      </c>
      <c r="B7093" t="str">
        <f>"1552382573637582"</f>
        <v>1552382573637582</v>
      </c>
      <c r="C7093" t="s">
        <v>40</v>
      </c>
      <c r="D7093">
        <v>3.4297499999999999</v>
      </c>
      <c r="E7093">
        <v>0.47949960000000003</v>
      </c>
      <c r="F7093" t="s">
        <v>64</v>
      </c>
      <c r="G7093">
        <v>-287.99079999999998</v>
      </c>
      <c r="H7093" s="1">
        <v>-3.0787280000000002E-6</v>
      </c>
      <c r="I7093">
        <v>-67.666690000000003</v>
      </c>
      <c r="J7093">
        <v>-298.44529999999997</v>
      </c>
      <c r="K7093">
        <v>1.115896</v>
      </c>
      <c r="L7093">
        <v>-56.547789999999999</v>
      </c>
      <c r="M7093">
        <v>0.44863940000000002</v>
      </c>
      <c r="N7093">
        <v>0</v>
      </c>
      <c r="O7093">
        <v>-0.89361399999999902</v>
      </c>
      <c r="P7093">
        <v>0.62513209999999997</v>
      </c>
      <c r="Q7093">
        <v>0.20812230000000001</v>
      </c>
      <c r="R7093">
        <v>-0.75226009999999999</v>
      </c>
      <c r="S7093">
        <v>2.1327820000000002</v>
      </c>
      <c r="T7093">
        <v>-0.22569639999999999</v>
      </c>
      <c r="U7093">
        <v>-2.28064</v>
      </c>
      <c r="V7093">
        <v>-0.22394359999999999</v>
      </c>
      <c r="W7093">
        <v>0.21794540000000001</v>
      </c>
      <c r="X7093">
        <v>0.9499206</v>
      </c>
      <c r="Y7093">
        <v>-0.28091310000000003</v>
      </c>
      <c r="Z7093">
        <v>6.9089800000000007E-2</v>
      </c>
      <c r="AA7093">
        <v>0.95724310000000001</v>
      </c>
      <c r="AB7093">
        <v>18</v>
      </c>
      <c r="AC7093">
        <v>10.4544999999999</v>
      </c>
      <c r="AD7093">
        <v>-1.1158990787279901</v>
      </c>
      <c r="AE7093">
        <v>-11.1189</v>
      </c>
      <c r="AF7093">
        <v>-4.3311412879882898</v>
      </c>
      <c r="AG7093">
        <v>-1.1158990787279901</v>
      </c>
      <c r="AH7093">
        <v>14.5498141152251</v>
      </c>
      <c r="AI7093">
        <v>94.204102259336196</v>
      </c>
      <c r="AJ7093">
        <v>106.577044466627</v>
      </c>
      <c r="AK7093">
        <v>15.221731386344601</v>
      </c>
      <c r="AL7093">
        <v>77.411615455463902</v>
      </c>
      <c r="AM7093">
        <v>103.26525692837301</v>
      </c>
      <c r="AN7093">
        <v>1.00000003983323</v>
      </c>
    </row>
    <row r="7094" spans="1:40" x14ac:dyDescent="0.25">
      <c r="A7094" t="str">
        <f>"20190312172253671"</f>
        <v>20190312172253671</v>
      </c>
      <c r="B7094" t="str">
        <f>"1552382573667838"</f>
        <v>1552382573667838</v>
      </c>
      <c r="C7094" t="s">
        <v>40</v>
      </c>
      <c r="D7094">
        <v>3.3008350000000002</v>
      </c>
      <c r="E7094">
        <v>0.4632599</v>
      </c>
      <c r="F7094" t="s">
        <v>64</v>
      </c>
      <c r="G7094">
        <v>-287.9778</v>
      </c>
      <c r="H7094" s="1">
        <v>-3.1112980000000001E-6</v>
      </c>
      <c r="I7094">
        <v>-67.55498</v>
      </c>
      <c r="J7094">
        <v>-298.35329999999999</v>
      </c>
      <c r="K7094">
        <v>1.115904</v>
      </c>
      <c r="L7094">
        <v>-56.703670000000002</v>
      </c>
      <c r="M7094">
        <v>0.45787990000000001</v>
      </c>
      <c r="N7094">
        <v>0</v>
      </c>
      <c r="O7094">
        <v>-0.88891319999999996</v>
      </c>
      <c r="P7094">
        <v>0.63312849999999998</v>
      </c>
      <c r="Q7094">
        <v>0.20813719999999999</v>
      </c>
      <c r="R7094">
        <v>-0.74553879999999995</v>
      </c>
      <c r="S7094">
        <v>2.1520999999999999</v>
      </c>
      <c r="T7094">
        <v>-0.2294273</v>
      </c>
      <c r="U7094">
        <v>-2.2630620000000001</v>
      </c>
      <c r="V7094">
        <v>-0.224244</v>
      </c>
      <c r="W7094">
        <v>0.21804960000000001</v>
      </c>
      <c r="X7094">
        <v>0.94982580000000005</v>
      </c>
      <c r="Y7094">
        <v>-0.278918</v>
      </c>
      <c r="Z7094">
        <v>6.9934129999999997E-2</v>
      </c>
      <c r="AA7094">
        <v>0.95776510000000004</v>
      </c>
      <c r="AB7094">
        <v>18</v>
      </c>
      <c r="AC7094">
        <v>10.375499999999899</v>
      </c>
      <c r="AD7094">
        <v>-1.1159071112979999</v>
      </c>
      <c r="AE7094">
        <v>-10.85131</v>
      </c>
      <c r="AF7094">
        <v>-4.2313273994495599</v>
      </c>
      <c r="AG7094">
        <v>-1.1159071112979999</v>
      </c>
      <c r="AH7094">
        <v>14.318791410273599</v>
      </c>
      <c r="AI7094">
        <v>94.274229884521006</v>
      </c>
      <c r="AJ7094">
        <v>106.46286835473001</v>
      </c>
      <c r="AK7094">
        <v>14.972547134449201</v>
      </c>
      <c r="AL7094">
        <v>77.405497918935694</v>
      </c>
      <c r="AM7094">
        <v>103.283699453965</v>
      </c>
      <c r="AN7094">
        <v>1.00000002497089</v>
      </c>
    </row>
    <row r="7095" spans="1:40" x14ac:dyDescent="0.25">
      <c r="A7095" t="str">
        <f>"20190312172253694"</f>
        <v>20190312172253694</v>
      </c>
      <c r="B7095" t="str">
        <f>"1552382573687358"</f>
        <v>1552382573687358</v>
      </c>
      <c r="C7095" t="s">
        <v>40</v>
      </c>
      <c r="D7095">
        <v>3.5085679999999999</v>
      </c>
      <c r="E7095">
        <v>0.4579491</v>
      </c>
      <c r="F7095" t="s">
        <v>64</v>
      </c>
      <c r="G7095">
        <v>-286.66129999999998</v>
      </c>
      <c r="H7095" s="1">
        <v>-3.838883E-6</v>
      </c>
      <c r="I7095">
        <v>-67.787279999999996</v>
      </c>
      <c r="J7095">
        <v>-298.25940000000003</v>
      </c>
      <c r="K7095">
        <v>1.115915</v>
      </c>
      <c r="L7095">
        <v>-56.859009999999998</v>
      </c>
      <c r="M7095">
        <v>0.46715719999999999</v>
      </c>
      <c r="N7095">
        <v>0</v>
      </c>
      <c r="O7095">
        <v>-0.88407139999999995</v>
      </c>
      <c r="P7095">
        <v>0.64095780000000002</v>
      </c>
      <c r="Q7095">
        <v>0.20852589999999999</v>
      </c>
      <c r="R7095">
        <v>-0.73870859999999905</v>
      </c>
      <c r="S7095">
        <v>2.2727050000000002</v>
      </c>
      <c r="T7095">
        <v>-0.2169121</v>
      </c>
      <c r="U7095">
        <v>-2.1544490000000001</v>
      </c>
      <c r="V7095">
        <v>-0.22438369999999999</v>
      </c>
      <c r="W7095">
        <v>0.21852150000000001</v>
      </c>
      <c r="X7095">
        <v>0.94968430000000004</v>
      </c>
      <c r="Y7095">
        <v>-0.31846000000000002</v>
      </c>
      <c r="Z7095">
        <v>6.6397670000000006E-2</v>
      </c>
      <c r="AA7095">
        <v>0.94560809999999995</v>
      </c>
      <c r="AB7095">
        <v>18</v>
      </c>
      <c r="AC7095">
        <v>11.598100000000001</v>
      </c>
      <c r="AD7095">
        <v>-1.1159188388829999</v>
      </c>
      <c r="AE7095">
        <v>-10.928269999999999</v>
      </c>
      <c r="AF7095">
        <v>-5.1236715795584802</v>
      </c>
      <c r="AG7095">
        <v>-1.1159188388829999</v>
      </c>
      <c r="AH7095">
        <v>15.0072865356995</v>
      </c>
      <c r="AI7095">
        <v>94.025281377344001</v>
      </c>
      <c r="AJ7095">
        <v>108.85053372062301</v>
      </c>
      <c r="AK7095">
        <v>15.8970416894067</v>
      </c>
      <c r="AL7095">
        <v>77.377791334850599</v>
      </c>
      <c r="AM7095">
        <v>103.293591433628</v>
      </c>
      <c r="AN7095">
        <v>0.99999998022721404</v>
      </c>
    </row>
    <row r="7096" spans="1:40" x14ac:dyDescent="0.25">
      <c r="A7096" t="str">
        <f>"20190312172253716"</f>
        <v>20190312172253716</v>
      </c>
      <c r="B7096" t="str">
        <f>"1552382573707854"</f>
        <v>1552382573707854</v>
      </c>
      <c r="C7096" t="s">
        <v>40</v>
      </c>
      <c r="D7096">
        <v>3.2081759999999999</v>
      </c>
      <c r="E7096">
        <v>0.45646160000000002</v>
      </c>
      <c r="F7096" t="s">
        <v>64</v>
      </c>
      <c r="G7096">
        <v>-286.25630000000001</v>
      </c>
      <c r="H7096" s="1">
        <v>-4.0943129999999996E-6</v>
      </c>
      <c r="I7096">
        <v>-67.699219999999997</v>
      </c>
      <c r="J7096">
        <v>-298.1662</v>
      </c>
      <c r="K7096">
        <v>1.1159319999999999</v>
      </c>
      <c r="L7096">
        <v>-57.009399999999999</v>
      </c>
      <c r="M7096">
        <v>0.47619990000000001</v>
      </c>
      <c r="N7096">
        <v>0</v>
      </c>
      <c r="O7096">
        <v>-0.87923220000000002</v>
      </c>
      <c r="P7096">
        <v>0.64805539999999995</v>
      </c>
      <c r="Q7096">
        <v>0.20896960000000001</v>
      </c>
      <c r="R7096">
        <v>-0.73236330000000005</v>
      </c>
      <c r="S7096">
        <v>2.3279109999999998</v>
      </c>
      <c r="T7096">
        <v>-0.21642500000000001</v>
      </c>
      <c r="U7096">
        <v>-2.1023860000000001</v>
      </c>
      <c r="V7096">
        <v>-0.22387460000000001</v>
      </c>
      <c r="W7096">
        <v>0.21905050000000001</v>
      </c>
      <c r="X7096">
        <v>0.94968260000000004</v>
      </c>
      <c r="Y7096">
        <v>-0.33156210000000003</v>
      </c>
      <c r="Z7096">
        <v>6.6143960000000002E-2</v>
      </c>
      <c r="AA7096">
        <v>0.9411119</v>
      </c>
      <c r="AB7096">
        <v>18</v>
      </c>
      <c r="AC7096">
        <v>11.909899999999899</v>
      </c>
      <c r="AD7096">
        <v>-1.1159360943129999</v>
      </c>
      <c r="AE7096">
        <v>-10.6898199999999</v>
      </c>
      <c r="AF7096">
        <v>-5.3555325338681996</v>
      </c>
      <c r="AG7096">
        <v>-1.1159360943129999</v>
      </c>
      <c r="AH7096">
        <v>14.9987886932355</v>
      </c>
      <c r="AI7096">
        <v>94.008106297321206</v>
      </c>
      <c r="AJ7096">
        <v>109.64983398564399</v>
      </c>
      <c r="AK7096">
        <v>15.965296876420499</v>
      </c>
      <c r="AL7096">
        <v>77.346729569646598</v>
      </c>
      <c r="AM7096">
        <v>103.264520110531</v>
      </c>
      <c r="AN7096">
        <v>0.99999999940908502</v>
      </c>
    </row>
    <row r="7097" spans="1:40" x14ac:dyDescent="0.25">
      <c r="A7097" t="str">
        <f>"20190312172253739"</f>
        <v>20190312172253739</v>
      </c>
      <c r="B7097" t="str">
        <f>"1552382573727374"</f>
        <v>1552382573727374</v>
      </c>
      <c r="C7097" t="s">
        <v>40</v>
      </c>
      <c r="D7097">
        <v>3.271763</v>
      </c>
      <c r="E7097">
        <v>0.45629170000000002</v>
      </c>
      <c r="F7097" t="s">
        <v>64</v>
      </c>
      <c r="G7097">
        <v>-286.0059</v>
      </c>
      <c r="H7097" s="1">
        <v>-4.2219500000000003E-6</v>
      </c>
      <c r="I7097">
        <v>-67.690119999999993</v>
      </c>
      <c r="J7097">
        <v>-298.06810000000002</v>
      </c>
      <c r="K7097">
        <v>1.115945</v>
      </c>
      <c r="L7097">
        <v>-57.164119999999997</v>
      </c>
      <c r="M7097">
        <v>0.48556939999999998</v>
      </c>
      <c r="N7097">
        <v>0</v>
      </c>
      <c r="O7097">
        <v>-0.87409150000000002</v>
      </c>
      <c r="P7097">
        <v>0.65559190000000001</v>
      </c>
      <c r="Q7097">
        <v>0.20852129999999999</v>
      </c>
      <c r="R7097">
        <v>-0.72575400000000001</v>
      </c>
      <c r="S7097">
        <v>2.358215</v>
      </c>
      <c r="T7097">
        <v>-0.2164111</v>
      </c>
      <c r="U7097">
        <v>-2.0712890000000002</v>
      </c>
      <c r="V7097">
        <v>-0.2234785</v>
      </c>
      <c r="W7097">
        <v>0.21868580000000001</v>
      </c>
      <c r="X7097">
        <v>0.94985989999999998</v>
      </c>
      <c r="Y7097">
        <v>-0.33449839999999997</v>
      </c>
      <c r="Z7097">
        <v>6.5909679999999998E-2</v>
      </c>
      <c r="AA7097">
        <v>0.9400887</v>
      </c>
      <c r="AB7097">
        <v>18</v>
      </c>
      <c r="AC7097">
        <v>12.062200000000001</v>
      </c>
      <c r="AD7097">
        <v>-1.11594922195</v>
      </c>
      <c r="AE7097">
        <v>-10.5259999999999</v>
      </c>
      <c r="AF7097">
        <v>-5.4065984316388098</v>
      </c>
      <c r="AG7097">
        <v>-1.11594922195</v>
      </c>
      <c r="AH7097">
        <v>14.986306735121801</v>
      </c>
      <c r="AI7097">
        <v>94.006773418496707</v>
      </c>
      <c r="AJ7097">
        <v>109.837884117046</v>
      </c>
      <c r="AK7097">
        <v>15.9707870446677</v>
      </c>
      <c r="AL7097">
        <v>77.368144237235995</v>
      </c>
      <c r="AM7097">
        <v>103.23949413053199</v>
      </c>
      <c r="AN7097">
        <v>0.99999997435594901</v>
      </c>
    </row>
    <row r="7098" spans="1:40" x14ac:dyDescent="0.25">
      <c r="A7098" t="str">
        <f>"20190312172253760"</f>
        <v>20190312172253760</v>
      </c>
      <c r="B7098" t="str">
        <f>"1552382573757630"</f>
        <v>1552382573757630</v>
      </c>
      <c r="C7098" t="s">
        <v>40</v>
      </c>
      <c r="D7098">
        <v>3.265123</v>
      </c>
      <c r="E7098">
        <v>0.45633550000000001</v>
      </c>
      <c r="F7098" t="s">
        <v>64</v>
      </c>
      <c r="G7098">
        <v>-285.96589999999998</v>
      </c>
      <c r="H7098" s="1">
        <v>-4.2645410000000001E-6</v>
      </c>
      <c r="I7098">
        <v>-67.563829999999996</v>
      </c>
      <c r="J7098">
        <v>-297.97359999999998</v>
      </c>
      <c r="K7098">
        <v>1.115966</v>
      </c>
      <c r="L7098">
        <v>-57.309449999999998</v>
      </c>
      <c r="M7098">
        <v>0.49443419999999999</v>
      </c>
      <c r="N7098">
        <v>0</v>
      </c>
      <c r="O7098">
        <v>-0.86910659999999895</v>
      </c>
      <c r="P7098">
        <v>0.66277430000000004</v>
      </c>
      <c r="Q7098">
        <v>0.20834839999999999</v>
      </c>
      <c r="R7098">
        <v>-0.71925069999999902</v>
      </c>
      <c r="S7098">
        <v>2.3809200000000001</v>
      </c>
      <c r="T7098">
        <v>-0.21954670000000001</v>
      </c>
      <c r="U7098">
        <v>-2.0459900000000002</v>
      </c>
      <c r="V7098">
        <v>-0.22323979999999999</v>
      </c>
      <c r="W7098">
        <v>0.21857960000000001</v>
      </c>
      <c r="X7098">
        <v>0.94994049999999997</v>
      </c>
      <c r="Y7098">
        <v>-0.3350494</v>
      </c>
      <c r="Z7098">
        <v>6.6619129999999999E-2</v>
      </c>
      <c r="AA7098">
        <v>0.93984250000000003</v>
      </c>
      <c r="AB7098">
        <v>18</v>
      </c>
      <c r="AC7098">
        <v>12.0077</v>
      </c>
      <c r="AD7098">
        <v>-1.1159702645409999</v>
      </c>
      <c r="AE7098">
        <v>-10.254379999999999</v>
      </c>
      <c r="AF7098">
        <v>-5.3396903661711699</v>
      </c>
      <c r="AG7098">
        <v>-1.1159702645409999</v>
      </c>
      <c r="AH7098">
        <v>14.7767599262441</v>
      </c>
      <c r="AI7098">
        <v>94.0627194911213</v>
      </c>
      <c r="AJ7098">
        <v>109.867692791815</v>
      </c>
      <c r="AK7098">
        <v>15.751517919101399</v>
      </c>
      <c r="AL7098">
        <v>77.374380258153494</v>
      </c>
      <c r="AM7098">
        <v>103.224767394214</v>
      </c>
      <c r="AN7098">
        <v>1.00000000169022</v>
      </c>
    </row>
    <row r="7099" spans="1:40" x14ac:dyDescent="0.25">
      <c r="A7099" t="str">
        <f>"20190312172253783"</f>
        <v>20190312172253783</v>
      </c>
      <c r="B7099" t="str">
        <f>"1552382573777150"</f>
        <v>1552382573777150</v>
      </c>
      <c r="C7099" t="s">
        <v>40</v>
      </c>
      <c r="D7099">
        <v>3.2875860000000001</v>
      </c>
      <c r="E7099">
        <v>0.45636300000000002</v>
      </c>
      <c r="F7099" t="s">
        <v>64</v>
      </c>
      <c r="G7099">
        <v>-285.79259999999999</v>
      </c>
      <c r="H7099" s="1">
        <v>-4.3505470000000003E-6</v>
      </c>
      <c r="I7099">
        <v>-67.570599999999999</v>
      </c>
      <c r="J7099">
        <v>-297.8732</v>
      </c>
      <c r="K7099">
        <v>1.1159859999999999</v>
      </c>
      <c r="L7099">
        <v>-57.460209999999996</v>
      </c>
      <c r="M7099">
        <v>0.50370700000000002</v>
      </c>
      <c r="N7099">
        <v>0</v>
      </c>
      <c r="O7099">
        <v>-0.86376419999999998</v>
      </c>
      <c r="P7099">
        <v>0.6701319</v>
      </c>
      <c r="Q7099">
        <v>0.20811450000000001</v>
      </c>
      <c r="R7099">
        <v>-0.71246880000000001</v>
      </c>
      <c r="S7099">
        <v>2.4008180000000001</v>
      </c>
      <c r="T7099">
        <v>-0.21995300000000001</v>
      </c>
      <c r="U7099">
        <v>-2.0224299999999999</v>
      </c>
      <c r="V7099">
        <v>-0.22280730000000001</v>
      </c>
      <c r="W7099">
        <v>0.21840889999999999</v>
      </c>
      <c r="X7099">
        <v>0.95008130000000002</v>
      </c>
      <c r="Y7099">
        <v>-0.33420290000000002</v>
      </c>
      <c r="Z7099">
        <v>6.6467219999999994E-2</v>
      </c>
      <c r="AA7099">
        <v>0.9401545</v>
      </c>
      <c r="AB7099">
        <v>18</v>
      </c>
      <c r="AC7099">
        <v>12.0806</v>
      </c>
      <c r="AD7099">
        <v>-1.1159903505469999</v>
      </c>
      <c r="AE7099">
        <v>-10.110390000000001</v>
      </c>
      <c r="AF7099">
        <v>-5.3159460166092201</v>
      </c>
      <c r="AG7099">
        <v>-1.1159903505469999</v>
      </c>
      <c r="AH7099">
        <v>14.7454860167513</v>
      </c>
      <c r="AI7099">
        <v>94.072473856784001</v>
      </c>
      <c r="AJ7099">
        <v>109.824915331341</v>
      </c>
      <c r="AK7099">
        <v>15.714136132292699</v>
      </c>
      <c r="AL7099">
        <v>77.384402898489398</v>
      </c>
      <c r="AM7099">
        <v>103.198156118762</v>
      </c>
      <c r="AN7099">
        <v>1.0000000085710901</v>
      </c>
    </row>
    <row r="7100" spans="1:40" x14ac:dyDescent="0.25">
      <c r="A7100" t="str">
        <f>"20190312172253805"</f>
        <v>20190312172253805</v>
      </c>
      <c r="B7100" t="str">
        <f>"1552382573797646"</f>
        <v>1552382573797646</v>
      </c>
      <c r="C7100" t="s">
        <v>40</v>
      </c>
      <c r="D7100">
        <v>3.2610540000000001</v>
      </c>
      <c r="E7100">
        <v>0.45695350000000001</v>
      </c>
      <c r="F7100" t="s">
        <v>64</v>
      </c>
      <c r="G7100">
        <v>-285.85359999999997</v>
      </c>
      <c r="H7100" s="1">
        <v>-4.3544709999999901E-6</v>
      </c>
      <c r="I7100">
        <v>-67.376069999999999</v>
      </c>
      <c r="J7100">
        <v>-297.77339999999998</v>
      </c>
      <c r="K7100">
        <v>1.1160000000000001</v>
      </c>
      <c r="L7100">
        <v>-57.606319999999997</v>
      </c>
      <c r="M7100">
        <v>0.51275400000000004</v>
      </c>
      <c r="N7100">
        <v>0</v>
      </c>
      <c r="O7100">
        <v>-0.85842369999999901</v>
      </c>
      <c r="P7100">
        <v>0.67726850000000005</v>
      </c>
      <c r="Q7100">
        <v>0.20816299999999999</v>
      </c>
      <c r="R7100">
        <v>-0.70567409999999997</v>
      </c>
      <c r="S7100">
        <v>2.4221189999999999</v>
      </c>
      <c r="T7100">
        <v>-0.22488929999999999</v>
      </c>
      <c r="U7100">
        <v>-1.9981990000000001</v>
      </c>
      <c r="V7100">
        <v>-0.22240099999999999</v>
      </c>
      <c r="W7100">
        <v>0.21851309999999999</v>
      </c>
      <c r="X7100">
        <v>0.95015249999999996</v>
      </c>
      <c r="Y7100">
        <v>-0.33388410000000002</v>
      </c>
      <c r="Z7100">
        <v>6.7658629999999997E-2</v>
      </c>
      <c r="AA7100">
        <v>0.94018279999999999</v>
      </c>
      <c r="AB7100">
        <v>18</v>
      </c>
      <c r="AC7100">
        <v>11.9198</v>
      </c>
      <c r="AD7100">
        <v>-1.1160043544710001</v>
      </c>
      <c r="AE7100">
        <v>-9.7697500000000002</v>
      </c>
      <c r="AF7100">
        <v>-5.1960172541945902</v>
      </c>
      <c r="AG7100">
        <v>-1.1160043544710001</v>
      </c>
      <c r="AH7100">
        <v>14.424270371514099</v>
      </c>
      <c r="AI7100">
        <v>94.163279404620297</v>
      </c>
      <c r="AJ7100">
        <v>109.810409185517</v>
      </c>
      <c r="AK7100">
        <v>15.3721708543597</v>
      </c>
      <c r="AL7100">
        <v>77.378284490351106</v>
      </c>
      <c r="AM7100">
        <v>103.17397597796599</v>
      </c>
      <c r="AN7100">
        <v>0.99999997646442895</v>
      </c>
    </row>
    <row r="7101" spans="1:40" x14ac:dyDescent="0.25">
      <c r="A7101" t="str">
        <f>"20190312172253826"</f>
        <v>20190312172253826</v>
      </c>
      <c r="B7101" t="str">
        <f>"1552382573817166"</f>
        <v>1552382573817166</v>
      </c>
      <c r="C7101" t="s">
        <v>40</v>
      </c>
      <c r="D7101">
        <v>3.2922289999999998</v>
      </c>
      <c r="E7101">
        <v>0.4575458</v>
      </c>
      <c r="F7101" t="s">
        <v>64</v>
      </c>
      <c r="G7101">
        <v>-285.82459999999998</v>
      </c>
      <c r="H7101" s="1">
        <v>-4.3843569999999998E-6</v>
      </c>
      <c r="I7101">
        <v>-67.290329999999997</v>
      </c>
      <c r="J7101">
        <v>-297.673</v>
      </c>
      <c r="K7101">
        <v>1.1160190000000001</v>
      </c>
      <c r="L7101">
        <v>-57.750239999999998</v>
      </c>
      <c r="M7101">
        <v>0.52172200000000002</v>
      </c>
      <c r="N7101">
        <v>0</v>
      </c>
      <c r="O7101">
        <v>-0.85300200000000004</v>
      </c>
      <c r="P7101">
        <v>0.68437060000000005</v>
      </c>
      <c r="Q7101">
        <v>0.20834530000000001</v>
      </c>
      <c r="R7101">
        <v>-0.69873399999999997</v>
      </c>
      <c r="S7101">
        <v>2.4395449999999999</v>
      </c>
      <c r="T7101">
        <v>-0.22784979999999999</v>
      </c>
      <c r="U7101">
        <v>-1.977142</v>
      </c>
      <c r="V7101">
        <v>-0.22208849999999999</v>
      </c>
      <c r="W7101">
        <v>0.2187434</v>
      </c>
      <c r="X7101">
        <v>0.95017269999999998</v>
      </c>
      <c r="Y7101">
        <v>-0.33214900000000003</v>
      </c>
      <c r="Z7101">
        <v>6.8226259999999997E-2</v>
      </c>
      <c r="AA7101">
        <v>0.94075620000000004</v>
      </c>
      <c r="AB7101">
        <v>18</v>
      </c>
      <c r="AC7101">
        <v>11.8484</v>
      </c>
      <c r="AD7101">
        <v>-1.116023384357</v>
      </c>
      <c r="AE7101">
        <v>-9.5400899999999993</v>
      </c>
      <c r="AF7101">
        <v>-5.1024668032665801</v>
      </c>
      <c r="AG7101">
        <v>-1.116023384357</v>
      </c>
      <c r="AH7101">
        <v>14.2440052132992</v>
      </c>
      <c r="AI7101">
        <v>94.218536358380405</v>
      </c>
      <c r="AJ7101">
        <v>109.708465741932</v>
      </c>
      <c r="AK7101">
        <v>15.171432371050599</v>
      </c>
      <c r="AL7101">
        <v>77.364763322538806</v>
      </c>
      <c r="AM7101">
        <v>103.15583925724999</v>
      </c>
      <c r="AN7101">
        <v>1.0000000683505399</v>
      </c>
    </row>
    <row r="7102" spans="1:40" x14ac:dyDescent="0.25">
      <c r="A7102" t="str">
        <f>"20190312172253850"</f>
        <v>20190312172253850</v>
      </c>
      <c r="B7102" t="str">
        <f>"1552382573847424"</f>
        <v>1552382573847424</v>
      </c>
      <c r="C7102" t="s">
        <v>40</v>
      </c>
      <c r="D7102">
        <v>3.2646730000000002</v>
      </c>
      <c r="E7102">
        <v>0.45849709999999999</v>
      </c>
      <c r="F7102" t="s">
        <v>64</v>
      </c>
      <c r="G7102">
        <v>-285.69799999999998</v>
      </c>
      <c r="H7102" s="1">
        <v>-4.4497349999999998E-6</v>
      </c>
      <c r="I7102">
        <v>-67.280909999999906</v>
      </c>
      <c r="J7102">
        <v>-297.5677</v>
      </c>
      <c r="K7102">
        <v>1.1160350000000001</v>
      </c>
      <c r="L7102">
        <v>-57.897519999999901</v>
      </c>
      <c r="M7102">
        <v>0.53097179999999999</v>
      </c>
      <c r="N7102">
        <v>0</v>
      </c>
      <c r="O7102">
        <v>-0.84727459999999899</v>
      </c>
      <c r="P7102">
        <v>0.69167239999999997</v>
      </c>
      <c r="Q7102">
        <v>0.2086625</v>
      </c>
      <c r="R7102">
        <v>-0.69141109999999995</v>
      </c>
      <c r="S7102">
        <v>2.4568789999999998</v>
      </c>
      <c r="T7102">
        <v>-0.22897149999999999</v>
      </c>
      <c r="U7102">
        <v>-1.9553830000000001</v>
      </c>
      <c r="V7102">
        <v>-0.2217906</v>
      </c>
      <c r="W7102">
        <v>0.2191031</v>
      </c>
      <c r="X7102">
        <v>0.95015939999999999</v>
      </c>
      <c r="Y7102">
        <v>-0.33021519999999999</v>
      </c>
      <c r="Z7102">
        <v>6.8221599999999993E-2</v>
      </c>
      <c r="AA7102">
        <v>0.94143710000000003</v>
      </c>
      <c r="AB7102">
        <v>18</v>
      </c>
      <c r="AC7102">
        <v>11.8697</v>
      </c>
      <c r="AD7102">
        <v>-1.1160394497349999</v>
      </c>
      <c r="AE7102">
        <v>-9.3833900000000003</v>
      </c>
      <c r="AF7102">
        <v>-5.0476122119502502</v>
      </c>
      <c r="AG7102">
        <v>-1.1160394497349999</v>
      </c>
      <c r="AH7102">
        <v>14.177041004324501</v>
      </c>
      <c r="AI7102">
        <v>94.241363839803995</v>
      </c>
      <c r="AJ7102">
        <v>109.597829989594</v>
      </c>
      <c r="AK7102">
        <v>15.090143297328</v>
      </c>
      <c r="AL7102">
        <v>77.343641583393094</v>
      </c>
      <c r="AM7102">
        <v>103.138982665334</v>
      </c>
      <c r="AN7102">
        <v>1.0000000620431599</v>
      </c>
    </row>
    <row r="7103" spans="1:40" x14ac:dyDescent="0.25">
      <c r="A7103" t="str">
        <f>"20190312172253872"</f>
        <v>20190312172253872</v>
      </c>
      <c r="B7103" t="str">
        <f>"1552382573867918"</f>
        <v>1552382573867918</v>
      </c>
      <c r="C7103" t="s">
        <v>40</v>
      </c>
      <c r="D7103">
        <v>3.2780740000000002</v>
      </c>
      <c r="E7103">
        <v>0.46785779999999899</v>
      </c>
      <c r="F7103" t="s">
        <v>64</v>
      </c>
      <c r="G7103">
        <v>-285.61360000000002</v>
      </c>
      <c r="H7103" s="1">
        <v>-4.4976480000000004E-6</v>
      </c>
      <c r="I7103">
        <v>-67.250320000000002</v>
      </c>
      <c r="J7103">
        <v>-297.46370000000002</v>
      </c>
      <c r="K7103">
        <v>1.1160570000000001</v>
      </c>
      <c r="L7103">
        <v>-58.039670000000001</v>
      </c>
      <c r="M7103">
        <v>0.53997200000000001</v>
      </c>
      <c r="N7103">
        <v>0</v>
      </c>
      <c r="O7103">
        <v>-0.84156640000000005</v>
      </c>
      <c r="P7103">
        <v>0.69889369999999995</v>
      </c>
      <c r="Q7103">
        <v>0.20872969999999999</v>
      </c>
      <c r="R7103">
        <v>-0.68409059999999999</v>
      </c>
      <c r="S7103">
        <v>2.4729000000000001</v>
      </c>
      <c r="T7103">
        <v>-0.23087160000000001</v>
      </c>
      <c r="U7103">
        <v>-1.9347840000000001</v>
      </c>
      <c r="V7103">
        <v>-0.22165899999999999</v>
      </c>
      <c r="W7103">
        <v>0.21920400000000001</v>
      </c>
      <c r="X7103">
        <v>0.95016679999999998</v>
      </c>
      <c r="Y7103">
        <v>-0.32795849999999999</v>
      </c>
      <c r="Z7103">
        <v>6.8434919999999996E-2</v>
      </c>
      <c r="AA7103">
        <v>0.94221010000000005</v>
      </c>
      <c r="AB7103">
        <v>18</v>
      </c>
      <c r="AC7103">
        <v>11.8500999999999</v>
      </c>
      <c r="AD7103">
        <v>-1.1160614976479999</v>
      </c>
      <c r="AE7103">
        <v>-9.2106499999999993</v>
      </c>
      <c r="AF7103">
        <v>-4.9721496819828799</v>
      </c>
      <c r="AG7103">
        <v>-1.1160614976479999</v>
      </c>
      <c r="AH7103">
        <v>14.0736632005293</v>
      </c>
      <c r="AI7103">
        <v>94.276172750353794</v>
      </c>
      <c r="AJ7103">
        <v>109.45804117079901</v>
      </c>
      <c r="AK7103">
        <v>14.9678275514019</v>
      </c>
      <c r="AL7103">
        <v>77.337715947784403</v>
      </c>
      <c r="AM7103">
        <v>103.131358114967</v>
      </c>
      <c r="AN7103">
        <v>1.0000000268596101</v>
      </c>
    </row>
    <row r="7104" spans="1:40" x14ac:dyDescent="0.25">
      <c r="A7104" t="str">
        <f>"20190312172253895"</f>
        <v>20190312172253895</v>
      </c>
      <c r="B7104" t="str">
        <f>"1552382573887438"</f>
        <v>1552382573887438</v>
      </c>
      <c r="C7104" t="s">
        <v>40</v>
      </c>
      <c r="D7104">
        <v>3.2991459999999999</v>
      </c>
      <c r="E7104">
        <v>0.4680648</v>
      </c>
      <c r="F7104" t="s">
        <v>64</v>
      </c>
      <c r="G7104">
        <v>-285.98500000000001</v>
      </c>
      <c r="H7104" s="1">
        <v>-4.3085369999999999E-6</v>
      </c>
      <c r="I7104">
        <v>-67.262839999999997</v>
      </c>
      <c r="J7104">
        <v>-297.35599999999999</v>
      </c>
      <c r="K7104">
        <v>1.1160810000000001</v>
      </c>
      <c r="L7104">
        <v>-58.183500000000002</v>
      </c>
      <c r="M7104">
        <v>0.54915990000000003</v>
      </c>
      <c r="N7104">
        <v>0</v>
      </c>
      <c r="O7104">
        <v>-0.83559930000000004</v>
      </c>
      <c r="P7104">
        <v>0.70631650000000001</v>
      </c>
      <c r="Q7104">
        <v>0.2089307</v>
      </c>
      <c r="R7104">
        <v>-0.67636169999999995</v>
      </c>
      <c r="S7104">
        <v>2.4424739999999998</v>
      </c>
      <c r="T7104">
        <v>-0.23747789999999999</v>
      </c>
      <c r="U7104">
        <v>-1.9625239999999999</v>
      </c>
      <c r="V7104">
        <v>-0.22166369999999999</v>
      </c>
      <c r="W7104">
        <v>0.2194306</v>
      </c>
      <c r="X7104">
        <v>0.9501134</v>
      </c>
      <c r="Y7104">
        <v>-0.3052163</v>
      </c>
      <c r="Z7104">
        <v>6.9687089999999993E-2</v>
      </c>
      <c r="AA7104">
        <v>0.94972979999999996</v>
      </c>
      <c r="AB7104">
        <v>18</v>
      </c>
      <c r="AC7104">
        <v>11.370999999999899</v>
      </c>
      <c r="AD7104">
        <v>-1.1160853085369999</v>
      </c>
      <c r="AE7104">
        <v>-9.0793399999999895</v>
      </c>
      <c r="AF7104">
        <v>-4.4896227606392198</v>
      </c>
      <c r="AG7104">
        <v>-1.1160853085369999</v>
      </c>
      <c r="AH7104">
        <v>13.7516494995328</v>
      </c>
      <c r="AI7104">
        <v>94.411768007738601</v>
      </c>
      <c r="AJ7104">
        <v>108.08076550737999</v>
      </c>
      <c r="AK7104">
        <v>14.508970428903</v>
      </c>
      <c r="AL7104">
        <v>77.324408762714796</v>
      </c>
      <c r="AM7104">
        <v>103.13233937066001</v>
      </c>
      <c r="AN7104">
        <v>1.0000000284868</v>
      </c>
    </row>
    <row r="7105" spans="1:40" x14ac:dyDescent="0.25">
      <c r="A7105" t="str">
        <f>"20190312172253917"</f>
        <v>20190312172253917</v>
      </c>
      <c r="B7105" t="str">
        <f>"1552382573907934"</f>
        <v>1552382573907934</v>
      </c>
      <c r="C7105" t="s">
        <v>40</v>
      </c>
      <c r="D7105">
        <v>3.2665130000000002</v>
      </c>
      <c r="E7105">
        <v>0.4690608</v>
      </c>
      <c r="F7105" t="s">
        <v>64</v>
      </c>
      <c r="G7105">
        <v>-286.1395</v>
      </c>
      <c r="H7105" s="1">
        <v>-4.2770379999999997E-6</v>
      </c>
      <c r="I7105">
        <v>-67.00309</v>
      </c>
      <c r="J7105">
        <v>-297.25200000000001</v>
      </c>
      <c r="K7105">
        <v>1.1161129999999999</v>
      </c>
      <c r="L7105">
        <v>-58.319240000000001</v>
      </c>
      <c r="M7105">
        <v>0.55790689999999998</v>
      </c>
      <c r="N7105">
        <v>0</v>
      </c>
      <c r="O7105">
        <v>-0.82978439999999998</v>
      </c>
      <c r="P7105">
        <v>0.713431699999999</v>
      </c>
      <c r="Q7105">
        <v>0.2090523</v>
      </c>
      <c r="R7105">
        <v>-0.66881429999999997</v>
      </c>
      <c r="S7105">
        <v>2.4643860000000002</v>
      </c>
      <c r="T7105">
        <v>-0.24521419999999999</v>
      </c>
      <c r="U7105">
        <v>-1.9377439999999999</v>
      </c>
      <c r="V7105">
        <v>-0.22176979999999999</v>
      </c>
      <c r="W7105">
        <v>0.21956970000000001</v>
      </c>
      <c r="X7105">
        <v>0.95005640000000002</v>
      </c>
      <c r="Y7105">
        <v>-0.30509309999999901</v>
      </c>
      <c r="Z7105">
        <v>7.1558099999999999E-2</v>
      </c>
      <c r="AA7105">
        <v>0.94963030000000004</v>
      </c>
      <c r="AB7105">
        <v>18</v>
      </c>
      <c r="AC7105">
        <v>11.112500000000001</v>
      </c>
      <c r="AD7105">
        <v>-1.1161172770379999</v>
      </c>
      <c r="AE7105">
        <v>-8.6838499999999996</v>
      </c>
      <c r="AF7105">
        <v>-4.3493912357786</v>
      </c>
      <c r="AG7105">
        <v>-1.1161172770379999</v>
      </c>
      <c r="AH7105">
        <v>13.323343414594801</v>
      </c>
      <c r="AI7105">
        <v>94.553176114139305</v>
      </c>
      <c r="AJ7105">
        <v>108.079216284781</v>
      </c>
      <c r="AK7105">
        <v>14.059672885284201</v>
      </c>
      <c r="AL7105">
        <v>77.316238430067102</v>
      </c>
      <c r="AM7105">
        <v>103.13916812235701</v>
      </c>
      <c r="AN7105">
        <v>0.99999993026554201</v>
      </c>
    </row>
    <row r="7106" spans="1:40" x14ac:dyDescent="0.25">
      <c r="A7106" t="str">
        <f>"20190312172253940"</f>
        <v>20190312172253940</v>
      </c>
      <c r="B7106" t="str">
        <f>"1552382573927454"</f>
        <v>1552382573927454</v>
      </c>
      <c r="C7106" t="s">
        <v>40</v>
      </c>
      <c r="D7106">
        <v>3.2852070000000002</v>
      </c>
      <c r="E7106">
        <v>0.47059010000000001</v>
      </c>
      <c r="F7106" t="s">
        <v>64</v>
      </c>
      <c r="G7106">
        <v>-286.04129999999998</v>
      </c>
      <c r="H7106" s="1">
        <v>-4.3294100000000003E-6</v>
      </c>
      <c r="I7106">
        <v>-66.986530000000002</v>
      </c>
      <c r="J7106">
        <v>-297.14100000000002</v>
      </c>
      <c r="K7106">
        <v>1.1161509999999999</v>
      </c>
      <c r="L7106">
        <v>-58.460850000000001</v>
      </c>
      <c r="M7106">
        <v>0.56710950000000004</v>
      </c>
      <c r="N7106">
        <v>0</v>
      </c>
      <c r="O7106">
        <v>-0.82352159999999996</v>
      </c>
      <c r="P7106">
        <v>0.7208793</v>
      </c>
      <c r="Q7106">
        <v>0.20966589999999999</v>
      </c>
      <c r="R7106">
        <v>-0.66058589999999995</v>
      </c>
      <c r="S7106">
        <v>2.4799799999999999</v>
      </c>
      <c r="T7106">
        <v>-0.24690119999999999</v>
      </c>
      <c r="U7106">
        <v>-1.9173279999999999</v>
      </c>
      <c r="V7106">
        <v>-0.22197069999999999</v>
      </c>
      <c r="W7106">
        <v>0.220194</v>
      </c>
      <c r="X7106">
        <v>0.94986499999999996</v>
      </c>
      <c r="Y7106">
        <v>-0.30225950000000001</v>
      </c>
      <c r="Z7106">
        <v>7.1608039999999998E-2</v>
      </c>
      <c r="AA7106">
        <v>0.95053220000000005</v>
      </c>
      <c r="AB7106">
        <v>18</v>
      </c>
      <c r="AC7106">
        <v>11.099699999999901</v>
      </c>
      <c r="AD7106">
        <v>-1.11615532941</v>
      </c>
      <c r="AE7106">
        <v>-8.5256799999999995</v>
      </c>
      <c r="AF7106">
        <v>-4.2790635480546397</v>
      </c>
      <c r="AG7106">
        <v>-1.11615532941</v>
      </c>
      <c r="AH7106">
        <v>13.2329942966016</v>
      </c>
      <c r="AI7106">
        <v>94.588428128712593</v>
      </c>
      <c r="AJ7106">
        <v>107.91929912129601</v>
      </c>
      <c r="AK7106">
        <v>13.952359141792099</v>
      </c>
      <c r="AL7106">
        <v>77.279571602796906</v>
      </c>
      <c r="AM7106">
        <v>103.153215124735</v>
      </c>
      <c r="AN7106">
        <v>0.99999995375974304</v>
      </c>
    </row>
    <row r="7107" spans="1:40" x14ac:dyDescent="0.25">
      <c r="A7107" t="str">
        <f>"20190312172253962"</f>
        <v>20190312172253962</v>
      </c>
      <c r="B7107" t="str">
        <f>"1552382573957710"</f>
        <v>1552382573957710</v>
      </c>
      <c r="C7107" t="s">
        <v>40</v>
      </c>
      <c r="D7107">
        <v>3.2720389999999999</v>
      </c>
      <c r="E7107">
        <v>0.47186050000000002</v>
      </c>
      <c r="F7107" t="s">
        <v>64</v>
      </c>
      <c r="G7107">
        <v>-285.88780000000003</v>
      </c>
      <c r="H7107" s="1">
        <v>-4.3995199999999997E-6</v>
      </c>
      <c r="I7107">
        <v>-67.026510000000002</v>
      </c>
      <c r="J7107">
        <v>-297.0317</v>
      </c>
      <c r="K7107">
        <v>1.1161840000000001</v>
      </c>
      <c r="L7107">
        <v>-58.596649999999997</v>
      </c>
      <c r="M7107">
        <v>0.57603090000000001</v>
      </c>
      <c r="N7107">
        <v>0</v>
      </c>
      <c r="O7107">
        <v>-0.81730570000000002</v>
      </c>
      <c r="P7107">
        <v>0.72829909999999998</v>
      </c>
      <c r="Q7107">
        <v>0.2099415</v>
      </c>
      <c r="R7107">
        <v>-0.65230769999999905</v>
      </c>
      <c r="S7107">
        <v>2.4939580000000001</v>
      </c>
      <c r="T7107">
        <v>-0.24736520000000001</v>
      </c>
      <c r="U7107">
        <v>-1.8983460000000001</v>
      </c>
      <c r="V7107">
        <v>-0.22244820000000001</v>
      </c>
      <c r="W7107">
        <v>0.220473</v>
      </c>
      <c r="X7107">
        <v>0.94968859999999999</v>
      </c>
      <c r="Y7107">
        <v>-0.29905100000000001</v>
      </c>
      <c r="Z7107">
        <v>7.1294869999999996E-2</v>
      </c>
      <c r="AA7107">
        <v>0.95157000000000003</v>
      </c>
      <c r="AB7107">
        <v>18</v>
      </c>
      <c r="AC7107">
        <v>11.143899999999901</v>
      </c>
      <c r="AD7107">
        <v>-1.1161883995199999</v>
      </c>
      <c r="AE7107">
        <v>-8.4298599999999997</v>
      </c>
      <c r="AF7107">
        <v>-4.2255747591484099</v>
      </c>
      <c r="AG7107">
        <v>-1.1161883995199999</v>
      </c>
      <c r="AH7107">
        <v>13.225938910381201</v>
      </c>
      <c r="AI7107">
        <v>94.596159934054796</v>
      </c>
      <c r="AJ7107">
        <v>107.718237923481</v>
      </c>
      <c r="AK7107">
        <v>13.9293509773252</v>
      </c>
      <c r="AL7107">
        <v>77.263183815896795</v>
      </c>
      <c r="AM7107">
        <v>103.18288611857</v>
      </c>
      <c r="AN7107">
        <v>0.99999999119109995</v>
      </c>
    </row>
    <row r="7108" spans="1:40" x14ac:dyDescent="0.25">
      <c r="A7108" t="str">
        <f>"20190312172253985"</f>
        <v>20190312172253985</v>
      </c>
      <c r="B7108" t="str">
        <f>"1552382573977234"</f>
        <v>1552382573977234</v>
      </c>
      <c r="C7108" t="s">
        <v>40</v>
      </c>
      <c r="D7108">
        <v>3.2780740000000002</v>
      </c>
      <c r="E7108">
        <v>0.47205000000000003</v>
      </c>
      <c r="F7108" t="s">
        <v>64</v>
      </c>
      <c r="G7108">
        <v>-285.7955</v>
      </c>
      <c r="H7108" s="1">
        <v>-4.4501449999999997E-6</v>
      </c>
      <c r="I7108">
        <v>-67.003029999999995</v>
      </c>
      <c r="J7108">
        <v>-296.9153</v>
      </c>
      <c r="K7108">
        <v>1.1162179999999999</v>
      </c>
      <c r="L7108">
        <v>-58.73798</v>
      </c>
      <c r="M7108">
        <v>0.58540559999999997</v>
      </c>
      <c r="N7108">
        <v>0</v>
      </c>
      <c r="O7108">
        <v>-0.81061689999999997</v>
      </c>
      <c r="P7108">
        <v>0.73584459999999996</v>
      </c>
      <c r="Q7108">
        <v>0.21098620000000001</v>
      </c>
      <c r="R7108">
        <v>-0.64344239999999997</v>
      </c>
      <c r="S7108">
        <v>2.5094910000000001</v>
      </c>
      <c r="T7108">
        <v>-0.24928829999999999</v>
      </c>
      <c r="U7108">
        <v>-1.877472</v>
      </c>
      <c r="V7108">
        <v>-0.2227971</v>
      </c>
      <c r="W7108">
        <v>0.2215259</v>
      </c>
      <c r="X7108">
        <v>0.94936169999999998</v>
      </c>
      <c r="Y7108">
        <v>-0.29594340000000002</v>
      </c>
      <c r="Z7108">
        <v>7.1357329999999997E-2</v>
      </c>
      <c r="AA7108">
        <v>0.95253639999999995</v>
      </c>
      <c r="AB7108">
        <v>18</v>
      </c>
      <c r="AC7108">
        <v>11.1197999999999</v>
      </c>
      <c r="AD7108">
        <v>-1.116222450145</v>
      </c>
      <c r="AE7108">
        <v>-8.2650500000000005</v>
      </c>
      <c r="AF7108">
        <v>-4.1489803601521702</v>
      </c>
      <c r="AG7108">
        <v>-1.116222450145</v>
      </c>
      <c r="AH7108">
        <v>13.1255138287765</v>
      </c>
      <c r="AI7108">
        <v>94.635829683899104</v>
      </c>
      <c r="AJ7108">
        <v>107.541766996749</v>
      </c>
      <c r="AK7108">
        <v>13.8108328444211</v>
      </c>
      <c r="AL7108">
        <v>77.201327151472199</v>
      </c>
      <c r="AM7108">
        <v>103.20722611190899</v>
      </c>
      <c r="AN7108">
        <v>0.99999995478305403</v>
      </c>
    </row>
    <row r="7109" spans="1:40" x14ac:dyDescent="0.25">
      <c r="A7109" t="str">
        <f>"20190312172254006"</f>
        <v>20190312172254006</v>
      </c>
      <c r="B7109" t="str">
        <f>"1552382573997727"</f>
        <v>1552382573997727</v>
      </c>
      <c r="C7109" t="s">
        <v>40</v>
      </c>
      <c r="D7109">
        <v>3.2948740000000001</v>
      </c>
      <c r="E7109">
        <v>0.44671899999999998</v>
      </c>
      <c r="F7109" t="s">
        <v>64</v>
      </c>
      <c r="G7109">
        <v>-285.392</v>
      </c>
      <c r="H7109" s="1">
        <v>-4.6272240000000002E-6</v>
      </c>
      <c r="I7109">
        <v>-67.148899999999998</v>
      </c>
      <c r="J7109">
        <v>-296.8066</v>
      </c>
      <c r="K7109">
        <v>1.1162399999999999</v>
      </c>
      <c r="L7109">
        <v>-58.866849999999999</v>
      </c>
      <c r="M7109">
        <v>0.59402200000000005</v>
      </c>
      <c r="N7109">
        <v>0</v>
      </c>
      <c r="O7109">
        <v>-0.80432340000000002</v>
      </c>
      <c r="P7109">
        <v>0.74302990000000002</v>
      </c>
      <c r="Q7109">
        <v>0.2112764</v>
      </c>
      <c r="R7109">
        <v>-0.63503489999999996</v>
      </c>
      <c r="S7109">
        <v>2.5315249999999998</v>
      </c>
      <c r="T7109">
        <v>-0.24522050000000001</v>
      </c>
      <c r="U7109">
        <v>-1.8477779999999999</v>
      </c>
      <c r="V7109">
        <v>-0.22340840000000001</v>
      </c>
      <c r="W7109">
        <v>0.2218272</v>
      </c>
      <c r="X7109">
        <v>0.94914770000000004</v>
      </c>
      <c r="Y7109">
        <v>-0.29708449999999997</v>
      </c>
      <c r="Z7109">
        <v>6.9837060000000006E-2</v>
      </c>
      <c r="AA7109">
        <v>0.95229390000000003</v>
      </c>
      <c r="AB7109">
        <v>18</v>
      </c>
      <c r="AC7109">
        <v>11.4146</v>
      </c>
      <c r="AD7109">
        <v>-1.1162446272240001</v>
      </c>
      <c r="AE7109">
        <v>-8.2820499999999893</v>
      </c>
      <c r="AF7109">
        <v>-4.2352066175256304</v>
      </c>
      <c r="AG7109">
        <v>-1.1162446272240001</v>
      </c>
      <c r="AH7109">
        <v>13.3596291250122</v>
      </c>
      <c r="AI7109">
        <v>94.553832180041098</v>
      </c>
      <c r="AJ7109">
        <v>107.589410814052</v>
      </c>
      <c r="AK7109">
        <v>14.059255581957901</v>
      </c>
      <c r="AL7109">
        <v>77.183623903757606</v>
      </c>
      <c r="AM7109">
        <v>103.245068816263</v>
      </c>
      <c r="AN7109">
        <v>0.99999998813284496</v>
      </c>
    </row>
    <row r="7110" spans="1:40" x14ac:dyDescent="0.25">
      <c r="A7110" t="str">
        <f>"20190312172254027"</f>
        <v>20190312172254027</v>
      </c>
      <c r="B7110" t="str">
        <f>"1552382574017247"</f>
        <v>1552382574017247</v>
      </c>
      <c r="C7110" t="s">
        <v>40</v>
      </c>
      <c r="D7110">
        <v>3.1975500000000001</v>
      </c>
      <c r="E7110">
        <v>0.44479590000000002</v>
      </c>
      <c r="F7110" t="s">
        <v>64</v>
      </c>
      <c r="G7110">
        <v>-283.63350000000003</v>
      </c>
      <c r="H7110" s="1">
        <v>-5.4814499999999998E-6</v>
      </c>
      <c r="I7110">
        <v>-67.043040000000005</v>
      </c>
      <c r="J7110">
        <v>-296.69529999999997</v>
      </c>
      <c r="K7110">
        <v>1.11626</v>
      </c>
      <c r="L7110">
        <v>-58.99588</v>
      </c>
      <c r="M7110">
        <v>0.60271039999999998</v>
      </c>
      <c r="N7110">
        <v>0</v>
      </c>
      <c r="O7110">
        <v>-0.79783289999999996</v>
      </c>
      <c r="P7110">
        <v>0.750507699999999</v>
      </c>
      <c r="Q7110">
        <v>0.2113478</v>
      </c>
      <c r="R7110">
        <v>-0.62615529999999997</v>
      </c>
      <c r="S7110">
        <v>2.6802670000000002</v>
      </c>
      <c r="T7110">
        <v>-0.22711780000000001</v>
      </c>
      <c r="U7110">
        <v>-1.6635740000000001</v>
      </c>
      <c r="V7110">
        <v>-0.22439249999999999</v>
      </c>
      <c r="W7110">
        <v>0.2219081</v>
      </c>
      <c r="X7110">
        <v>0.94889659999999998</v>
      </c>
      <c r="Y7110">
        <v>-0.35785609999999901</v>
      </c>
      <c r="Z7110">
        <v>6.535117E-2</v>
      </c>
      <c r="AA7110">
        <v>0.93148710000000001</v>
      </c>
      <c r="AB7110">
        <v>18</v>
      </c>
      <c r="AC7110">
        <v>13.0617999999999</v>
      </c>
      <c r="AD7110">
        <v>-1.1162654814499999</v>
      </c>
      <c r="AE7110">
        <v>-8.0471599999999892</v>
      </c>
      <c r="AF7110">
        <v>-5.5422508470033298</v>
      </c>
      <c r="AG7110">
        <v>-1.1162654814499999</v>
      </c>
      <c r="AH7110">
        <v>14.218945558331599</v>
      </c>
      <c r="AI7110">
        <v>94.183476611912397</v>
      </c>
      <c r="AJ7110">
        <v>111.294807734682</v>
      </c>
      <c r="AK7110">
        <v>15.3016667676102</v>
      </c>
      <c r="AL7110">
        <v>77.178870067953099</v>
      </c>
      <c r="AM7110">
        <v>103.304737695417</v>
      </c>
      <c r="AN7110">
        <v>0.99999997819670905</v>
      </c>
    </row>
    <row r="7111" spans="1:40" x14ac:dyDescent="0.25">
      <c r="A7111" t="str">
        <f>"20190312172254051"</f>
        <v>20190312172254051</v>
      </c>
      <c r="B7111" t="str">
        <f>"1552382574047502"</f>
        <v>1552382574047502</v>
      </c>
      <c r="C7111" t="s">
        <v>40</v>
      </c>
      <c r="D7111">
        <v>3.2855449999999902</v>
      </c>
      <c r="E7111">
        <v>0.44411800000000001</v>
      </c>
      <c r="F7111" t="s">
        <v>64</v>
      </c>
      <c r="G7111">
        <v>-282.32889999999998</v>
      </c>
      <c r="H7111" s="1">
        <v>-5.9921559999999996E-6</v>
      </c>
      <c r="I7111">
        <v>-67.587850000000003</v>
      </c>
      <c r="J7111">
        <v>-296.5788</v>
      </c>
      <c r="K7111">
        <v>1.1162749999999999</v>
      </c>
      <c r="L7111">
        <v>-59.127839999999999</v>
      </c>
      <c r="M7111">
        <v>0.61166049999999905</v>
      </c>
      <c r="N7111">
        <v>0</v>
      </c>
      <c r="O7111">
        <v>-0.79099149999999996</v>
      </c>
      <c r="P7111">
        <v>0.75772010000000001</v>
      </c>
      <c r="Q7111">
        <v>0.21141360000000001</v>
      </c>
      <c r="R7111">
        <v>-0.61738510000000002</v>
      </c>
      <c r="S7111">
        <v>2.7061769999999998</v>
      </c>
      <c r="T7111">
        <v>-0.21027100000000001</v>
      </c>
      <c r="U7111">
        <v>-1.6184689999999999</v>
      </c>
      <c r="V7111">
        <v>-0.2247268</v>
      </c>
      <c r="W7111">
        <v>0.2219951</v>
      </c>
      <c r="X7111">
        <v>0.94879720000000001</v>
      </c>
      <c r="Y7111">
        <v>-0.36301689999999998</v>
      </c>
      <c r="Z7111">
        <v>6.0318499999999997E-2</v>
      </c>
      <c r="AA7111">
        <v>0.92982819999999999</v>
      </c>
      <c r="AB7111">
        <v>18</v>
      </c>
      <c r="AC7111">
        <v>14.2499</v>
      </c>
      <c r="AD7111">
        <v>-1.116280992156</v>
      </c>
      <c r="AE7111">
        <v>-8.4600100000000005</v>
      </c>
      <c r="AF7111">
        <v>-6.0699761795859803</v>
      </c>
      <c r="AG7111">
        <v>-1.116280992156</v>
      </c>
      <c r="AH7111">
        <v>15.339866406969101</v>
      </c>
      <c r="AI7111">
        <v>93.871021761617897</v>
      </c>
      <c r="AJ7111">
        <v>111.58867661782899</v>
      </c>
      <c r="AK7111">
        <v>16.534878150680399</v>
      </c>
      <c r="AL7111">
        <v>77.173758667792796</v>
      </c>
      <c r="AM7111">
        <v>103.325198765057</v>
      </c>
      <c r="AN7111">
        <v>1.00000004289504</v>
      </c>
    </row>
    <row r="7112" spans="1:40" x14ac:dyDescent="0.25">
      <c r="A7112" t="str">
        <f>"20190312172254073"</f>
        <v>20190312172254073</v>
      </c>
      <c r="B7112" t="str">
        <f>"1552382574067998"</f>
        <v>1552382574067998</v>
      </c>
      <c r="C7112" t="s">
        <v>40</v>
      </c>
      <c r="D7112">
        <v>3.2770220000000001</v>
      </c>
      <c r="E7112">
        <v>0.44431920000000003</v>
      </c>
      <c r="F7112" t="s">
        <v>64</v>
      </c>
      <c r="G7112">
        <v>-281.92450000000002</v>
      </c>
      <c r="H7112" s="1">
        <v>-6.1733709999999999E-6</v>
      </c>
      <c r="I7112">
        <v>-67.628219999999999</v>
      </c>
      <c r="J7112">
        <v>-296.46019999999999</v>
      </c>
      <c r="K7112">
        <v>1.1162859999999999</v>
      </c>
      <c r="L7112">
        <v>-59.25909</v>
      </c>
      <c r="M7112">
        <v>0.62062879999999998</v>
      </c>
      <c r="N7112">
        <v>0</v>
      </c>
      <c r="O7112">
        <v>-0.78397419999999995</v>
      </c>
      <c r="P7112">
        <v>0.76468269999999905</v>
      </c>
      <c r="Q7112">
        <v>0.21144089999999999</v>
      </c>
      <c r="R7112">
        <v>-0.60873129999999998</v>
      </c>
      <c r="S7112">
        <v>2.7279360000000001</v>
      </c>
      <c r="T7112">
        <v>-0.20779839999999999</v>
      </c>
      <c r="U7112">
        <v>-1.5823670000000001</v>
      </c>
      <c r="V7112">
        <v>-0.2247054</v>
      </c>
      <c r="W7112">
        <v>0.222049</v>
      </c>
      <c r="X7112">
        <v>0.94878960000000001</v>
      </c>
      <c r="Y7112">
        <v>-0.36489250000000001</v>
      </c>
      <c r="Z7112">
        <v>5.9296179999999997E-2</v>
      </c>
      <c r="AA7112">
        <v>0.92915950000000003</v>
      </c>
      <c r="AB7112">
        <v>18</v>
      </c>
      <c r="AC7112">
        <v>14.535699999999901</v>
      </c>
      <c r="AD7112">
        <v>-1.1162921733710001</v>
      </c>
      <c r="AE7112">
        <v>-8.3691299999999895</v>
      </c>
      <c r="AF7112">
        <v>-6.1747740697245499</v>
      </c>
      <c r="AG7112">
        <v>-1.1162921733710001</v>
      </c>
      <c r="AH7112">
        <v>15.515325370459299</v>
      </c>
      <c r="AI7112">
        <v>93.824433116802396</v>
      </c>
      <c r="AJ7112">
        <v>111.70151815117001</v>
      </c>
      <c r="AK7112">
        <v>16.736166358509099</v>
      </c>
      <c r="AL7112">
        <v>77.170590686497206</v>
      </c>
      <c r="AM7112">
        <v>103.324078028131</v>
      </c>
      <c r="AN7112">
        <v>0.99999999012915997</v>
      </c>
    </row>
    <row r="7113" spans="1:40" x14ac:dyDescent="0.25">
      <c r="A7113" t="str">
        <f>"20190312172254096"</f>
        <v>20190312172254096</v>
      </c>
      <c r="B7113" t="str">
        <f>"1552382574087522"</f>
        <v>1552382574087522</v>
      </c>
      <c r="C7113" t="s">
        <v>40</v>
      </c>
      <c r="D7113">
        <v>3.195767</v>
      </c>
      <c r="E7113">
        <v>0.44384040000000002</v>
      </c>
      <c r="F7113" t="s">
        <v>64</v>
      </c>
      <c r="G7113">
        <v>-281.77080000000001</v>
      </c>
      <c r="H7113" s="1">
        <v>-6.2559709999999997E-6</v>
      </c>
      <c r="I7113">
        <v>-67.566410000000005</v>
      </c>
      <c r="J7113">
        <v>-296.34059999999999</v>
      </c>
      <c r="K7113">
        <v>1.1162989999999999</v>
      </c>
      <c r="L7113">
        <v>-59.38843</v>
      </c>
      <c r="M7113">
        <v>0.62952540000000001</v>
      </c>
      <c r="N7113">
        <v>0</v>
      </c>
      <c r="O7113">
        <v>-0.77684779999999998</v>
      </c>
      <c r="P7113">
        <v>0.77153640000000001</v>
      </c>
      <c r="Q7113">
        <v>0.211836</v>
      </c>
      <c r="R7113">
        <v>-0.599881</v>
      </c>
      <c r="S7113">
        <v>2.7450869999999998</v>
      </c>
      <c r="T7113">
        <v>-0.20860709999999999</v>
      </c>
      <c r="U7113">
        <v>-1.5524290000000001</v>
      </c>
      <c r="V7113">
        <v>-0.22474430000000001</v>
      </c>
      <c r="W7113">
        <v>0.22247020000000001</v>
      </c>
      <c r="X7113">
        <v>0.94868169999999996</v>
      </c>
      <c r="Y7113">
        <v>-0.36444549999999998</v>
      </c>
      <c r="Z7113">
        <v>5.9157000000000001E-2</v>
      </c>
      <c r="AA7113">
        <v>0.92934380000000005</v>
      </c>
      <c r="AB7113">
        <v>18</v>
      </c>
      <c r="AC7113">
        <v>14.569799999999899</v>
      </c>
      <c r="AD7113">
        <v>-1.1163052559709901</v>
      </c>
      <c r="AE7113">
        <v>-8.1779799999999891</v>
      </c>
      <c r="AF7113">
        <v>-6.1434803892533303</v>
      </c>
      <c r="AG7113">
        <v>-1.1163052559709901</v>
      </c>
      <c r="AH7113">
        <v>15.457696850820801</v>
      </c>
      <c r="AI7113">
        <v>93.839404198822294</v>
      </c>
      <c r="AJ7113">
        <v>111.67476681677699</v>
      </c>
      <c r="AK7113">
        <v>16.671199136520599</v>
      </c>
      <c r="AL7113">
        <v>77.145838448226698</v>
      </c>
      <c r="AM7113">
        <v>103.327763955564</v>
      </c>
      <c r="AN7113">
        <v>0.99999997909270899</v>
      </c>
    </row>
    <row r="7114" spans="1:40" x14ac:dyDescent="0.25">
      <c r="A7114" t="str">
        <f>"20190312172254117"</f>
        <v>20190312172254117</v>
      </c>
      <c r="B7114" t="str">
        <f>"1552382574108014"</f>
        <v>1552382574108014</v>
      </c>
      <c r="C7114" t="s">
        <v>40</v>
      </c>
      <c r="D7114">
        <v>3.1904210000000002</v>
      </c>
      <c r="E7114">
        <v>0.44503520000000002</v>
      </c>
      <c r="F7114" t="s">
        <v>64</v>
      </c>
      <c r="G7114">
        <v>-281.2715</v>
      </c>
      <c r="H7114" s="1">
        <v>-6.4659180000000003E-6</v>
      </c>
      <c r="I7114">
        <v>-67.656859999999995</v>
      </c>
      <c r="J7114">
        <v>-296.22539999999998</v>
      </c>
      <c r="K7114">
        <v>1.116312</v>
      </c>
      <c r="L7114">
        <v>-59.510159999999999</v>
      </c>
      <c r="M7114">
        <v>0.63796039999999998</v>
      </c>
      <c r="N7114">
        <v>0</v>
      </c>
      <c r="O7114">
        <v>-0.76993529999999999</v>
      </c>
      <c r="P7114">
        <v>0.77766409999999997</v>
      </c>
      <c r="Q7114">
        <v>0.21168020000000001</v>
      </c>
      <c r="R7114">
        <v>-0.59197169999999999</v>
      </c>
      <c r="S7114">
        <v>2.7649840000000001</v>
      </c>
      <c r="T7114">
        <v>-0.2048276</v>
      </c>
      <c r="U7114">
        <v>-1.5171509999999999</v>
      </c>
      <c r="V7114">
        <v>-0.2241175</v>
      </c>
      <c r="W7114">
        <v>0.22235350000000001</v>
      </c>
      <c r="X7114">
        <v>0.94885739999999996</v>
      </c>
      <c r="Y7114">
        <v>-0.36630570000000001</v>
      </c>
      <c r="Z7114">
        <v>5.77832E-2</v>
      </c>
      <c r="AA7114">
        <v>0.92869869999999999</v>
      </c>
      <c r="AB7114">
        <v>18</v>
      </c>
      <c r="AC7114">
        <v>14.9538999999999</v>
      </c>
      <c r="AD7114">
        <v>-1.1163184659180001</v>
      </c>
      <c r="AE7114">
        <v>-8.1466999999999903</v>
      </c>
      <c r="AF7114">
        <v>-6.28988510911591</v>
      </c>
      <c r="AG7114">
        <v>-1.1163184659180001</v>
      </c>
      <c r="AH7114">
        <v>15.746391062944699</v>
      </c>
      <c r="AI7114">
        <v>93.766663812163202</v>
      </c>
      <c r="AJ7114">
        <v>111.77420433975399</v>
      </c>
      <c r="AK7114">
        <v>16.992870655378201</v>
      </c>
      <c r="AL7114">
        <v>77.1526975598983</v>
      </c>
      <c r="AM7114">
        <v>103.289540690282</v>
      </c>
      <c r="AN7114">
        <v>1.0000000491516201</v>
      </c>
    </row>
    <row r="7115" spans="1:40" x14ac:dyDescent="0.25">
      <c r="A7115" t="str">
        <f>"20190312172254142"</f>
        <v>20190312172254142</v>
      </c>
      <c r="B7115" t="str">
        <f>"1552382574137294"</f>
        <v>1552382574137294</v>
      </c>
      <c r="C7115" t="s">
        <v>40</v>
      </c>
      <c r="D7115">
        <v>3.280688</v>
      </c>
      <c r="E7115">
        <v>0.4462951</v>
      </c>
      <c r="F7115" t="s">
        <v>64</v>
      </c>
      <c r="G7115">
        <v>-281.07119999999998</v>
      </c>
      <c r="H7115" s="1">
        <v>-6.5301649999999998E-6</v>
      </c>
      <c r="I7115">
        <v>-67.682009999999906</v>
      </c>
      <c r="J7115">
        <v>-296.10120000000001</v>
      </c>
      <c r="K7115">
        <v>1.1163289999999999</v>
      </c>
      <c r="L7115">
        <v>-59.638370000000002</v>
      </c>
      <c r="M7115">
        <v>0.64690689999999995</v>
      </c>
      <c r="N7115">
        <v>0</v>
      </c>
      <c r="O7115">
        <v>-0.76243300000000003</v>
      </c>
      <c r="P7115">
        <v>0.7843658</v>
      </c>
      <c r="Q7115">
        <v>0.21136759999999999</v>
      </c>
      <c r="R7115">
        <v>-0.58317569999999996</v>
      </c>
      <c r="S7115">
        <v>2.7744749999999998</v>
      </c>
      <c r="T7115">
        <v>-0.2043787</v>
      </c>
      <c r="U7115">
        <v>-1.496124</v>
      </c>
      <c r="V7115">
        <v>-0.22378960000000001</v>
      </c>
      <c r="W7115">
        <v>0.22207460000000001</v>
      </c>
      <c r="X7115">
        <v>0.94900010000000001</v>
      </c>
      <c r="Y7115">
        <v>-0.36224040000000002</v>
      </c>
      <c r="Z7115">
        <v>5.7218289999999998E-2</v>
      </c>
      <c r="AA7115">
        <v>0.93032680000000001</v>
      </c>
      <c r="AB7115">
        <v>18</v>
      </c>
      <c r="AC7115">
        <v>15.03</v>
      </c>
      <c r="AD7115">
        <v>-1.116335530165</v>
      </c>
      <c r="AE7115">
        <v>-8.0436399999999892</v>
      </c>
      <c r="AF7115">
        <v>-6.2298148008172198</v>
      </c>
      <c r="AG7115">
        <v>-1.116335530165</v>
      </c>
      <c r="AH7115">
        <v>15.789679646848599</v>
      </c>
      <c r="AI7115">
        <v>93.762723081670899</v>
      </c>
      <c r="AJ7115">
        <v>111.531702879934</v>
      </c>
      <c r="AK7115">
        <v>17.010901822610599</v>
      </c>
      <c r="AL7115">
        <v>77.169087155065498</v>
      </c>
      <c r="AM7115">
        <v>103.26886066659399</v>
      </c>
      <c r="AN7115">
        <v>1.00000005141666</v>
      </c>
    </row>
    <row r="7116" spans="1:40" x14ac:dyDescent="0.25">
      <c r="A7116" t="str">
        <f>"20190312172254163"</f>
        <v>20190312172254163</v>
      </c>
      <c r="B7116" t="str">
        <f>"1552382574157791"</f>
        <v>1552382574157791</v>
      </c>
      <c r="C7116" t="s">
        <v>40</v>
      </c>
      <c r="D7116">
        <v>3.2953299999999999</v>
      </c>
      <c r="E7116">
        <v>0.4471832</v>
      </c>
      <c r="F7116" t="s">
        <v>64</v>
      </c>
      <c r="G7116">
        <v>-281.18610000000001</v>
      </c>
      <c r="H7116" s="1">
        <v>-6.5094010000000001E-6</v>
      </c>
      <c r="I7116">
        <v>-67.524590000000003</v>
      </c>
      <c r="J7116">
        <v>-295.97710000000001</v>
      </c>
      <c r="K7116">
        <v>1.1163430000000001</v>
      </c>
      <c r="L7116">
        <v>-59.763179999999998</v>
      </c>
      <c r="M7116">
        <v>0.65569659999999996</v>
      </c>
      <c r="N7116">
        <v>0</v>
      </c>
      <c r="O7116">
        <v>-0.75488669999999902</v>
      </c>
      <c r="P7116">
        <v>0.79100389999999998</v>
      </c>
      <c r="Q7116">
        <v>0.21153250000000001</v>
      </c>
      <c r="R7116">
        <v>-0.57407929999999996</v>
      </c>
      <c r="S7116">
        <v>2.7857970000000001</v>
      </c>
      <c r="T7116">
        <v>-0.2085053</v>
      </c>
      <c r="U7116">
        <v>-1.472961</v>
      </c>
      <c r="V7116">
        <v>-0.2237305</v>
      </c>
      <c r="W7116">
        <v>0.22226190000000001</v>
      </c>
      <c r="X7116">
        <v>0.94897010000000004</v>
      </c>
      <c r="Y7116">
        <v>-0.35898940000000001</v>
      </c>
      <c r="Z7116">
        <v>5.7919949999999998E-2</v>
      </c>
      <c r="AA7116">
        <v>0.9315428</v>
      </c>
      <c r="AB7116">
        <v>18</v>
      </c>
      <c r="AC7116">
        <v>14.790999999999899</v>
      </c>
      <c r="AD7116">
        <v>-1.1163495094010001</v>
      </c>
      <c r="AE7116">
        <v>-7.7614099999999899</v>
      </c>
      <c r="AF7116">
        <v>-6.0500083130422002</v>
      </c>
      <c r="AG7116">
        <v>-1.1163495094010001</v>
      </c>
      <c r="AH7116">
        <v>15.489825483507101</v>
      </c>
      <c r="AI7116">
        <v>93.840562531732402</v>
      </c>
      <c r="AJ7116">
        <v>111.33459749297501</v>
      </c>
      <c r="AK7116">
        <v>16.666839242175602</v>
      </c>
      <c r="AL7116">
        <v>77.158079517090499</v>
      </c>
      <c r="AM7116">
        <v>103.265884970323</v>
      </c>
      <c r="AN7116">
        <v>0.99999996975793404</v>
      </c>
    </row>
    <row r="7117" spans="1:40" x14ac:dyDescent="0.25">
      <c r="A7117" t="str">
        <f>"20190312172254185"</f>
        <v>20190312172254185</v>
      </c>
      <c r="B7117" t="str">
        <f>"1552382574177326"</f>
        <v>1552382574177326</v>
      </c>
      <c r="C7117" t="s">
        <v>40</v>
      </c>
      <c r="D7117">
        <v>3.2033969999999998</v>
      </c>
      <c r="E7117">
        <v>0.44800319999999999</v>
      </c>
      <c r="F7117" t="s">
        <v>64</v>
      </c>
      <c r="G7117">
        <v>-281.10449999999997</v>
      </c>
      <c r="H7117" s="1">
        <v>-6.544699E-6</v>
      </c>
      <c r="I7117">
        <v>-67.453639999999993</v>
      </c>
      <c r="J7117">
        <v>-295.85860000000002</v>
      </c>
      <c r="K7117">
        <v>1.1163559999999999</v>
      </c>
      <c r="L7117">
        <v>-59.8797</v>
      </c>
      <c r="M7117">
        <v>0.66395519999999997</v>
      </c>
      <c r="N7117">
        <v>0</v>
      </c>
      <c r="O7117">
        <v>-0.74763269999999904</v>
      </c>
      <c r="P7117">
        <v>0.79742159999999995</v>
      </c>
      <c r="Q7117">
        <v>0.21122060000000001</v>
      </c>
      <c r="R7117">
        <v>-0.56524790000000003</v>
      </c>
      <c r="S7117">
        <v>2.798584</v>
      </c>
      <c r="T7117">
        <v>-0.21006359999999999</v>
      </c>
      <c r="U7117">
        <v>-1.4471130000000001</v>
      </c>
      <c r="V7117">
        <v>-0.22391420000000001</v>
      </c>
      <c r="W7117">
        <v>0.22196850000000001</v>
      </c>
      <c r="X7117">
        <v>0.94899549999999999</v>
      </c>
      <c r="Y7117">
        <v>-0.35724159999999999</v>
      </c>
      <c r="Z7117">
        <v>5.7940480000000003E-2</v>
      </c>
      <c r="AA7117">
        <v>0.93221310000000002</v>
      </c>
      <c r="AB7117">
        <v>18</v>
      </c>
      <c r="AC7117">
        <v>14.754099999999999</v>
      </c>
      <c r="AD7117">
        <v>-1.116362544699</v>
      </c>
      <c r="AE7117">
        <v>-7.5739400000000003</v>
      </c>
      <c r="AF7117">
        <v>-5.9754423597814998</v>
      </c>
      <c r="AG7117">
        <v>-1.116362544699</v>
      </c>
      <c r="AH7117">
        <v>15.3904655842144</v>
      </c>
      <c r="AI7117">
        <v>93.868355733699602</v>
      </c>
      <c r="AJ7117">
        <v>111.21900620941</v>
      </c>
      <c r="AK7117">
        <v>16.547465293064199</v>
      </c>
      <c r="AL7117">
        <v>77.175321453433597</v>
      </c>
      <c r="AM7117">
        <v>103.276048947319</v>
      </c>
      <c r="AN7117">
        <v>1.0000000214870599</v>
      </c>
    </row>
    <row r="7118" spans="1:40" x14ac:dyDescent="0.25">
      <c r="A7118" t="str">
        <f>"20190312172254207"</f>
        <v>20190312172254207</v>
      </c>
      <c r="B7118" t="str">
        <f>"1552382574197806"</f>
        <v>1552382574197806</v>
      </c>
      <c r="C7118" t="s">
        <v>40</v>
      </c>
      <c r="D7118">
        <v>3.274702</v>
      </c>
      <c r="E7118">
        <v>0.4487737</v>
      </c>
      <c r="F7118" t="s">
        <v>64</v>
      </c>
      <c r="G7118">
        <v>-280.95499999999998</v>
      </c>
      <c r="H7118" s="1">
        <v>-6.5989170000000003E-6</v>
      </c>
      <c r="I7118">
        <v>-67.416560000000004</v>
      </c>
      <c r="J7118">
        <v>-295.73579999999998</v>
      </c>
      <c r="K7118">
        <v>1.116358</v>
      </c>
      <c r="L7118">
        <v>-59.99765</v>
      </c>
      <c r="M7118">
        <v>0.672371099999999</v>
      </c>
      <c r="N7118">
        <v>0</v>
      </c>
      <c r="O7118">
        <v>-0.74007259999999997</v>
      </c>
      <c r="P7118">
        <v>0.80388280000000001</v>
      </c>
      <c r="Q7118">
        <v>0.21121509999999999</v>
      </c>
      <c r="R7118">
        <v>-0.55602200000000002</v>
      </c>
      <c r="S7118">
        <v>2.8104550000000001</v>
      </c>
      <c r="T7118">
        <v>-0.21051819999999999</v>
      </c>
      <c r="U7118">
        <v>-1.421265</v>
      </c>
      <c r="V7118">
        <v>-0.2241158</v>
      </c>
      <c r="W7118">
        <v>0.2219806</v>
      </c>
      <c r="X7118">
        <v>0.94894500000000004</v>
      </c>
      <c r="Y7118">
        <v>-0.35509390000000002</v>
      </c>
      <c r="Z7118">
        <v>5.7634119999999997E-2</v>
      </c>
      <c r="AA7118">
        <v>0.93305229999999995</v>
      </c>
      <c r="AB7118">
        <v>18</v>
      </c>
      <c r="AC7118">
        <v>14.780799999999999</v>
      </c>
      <c r="AD7118">
        <v>-1.1163645989169999</v>
      </c>
      <c r="AE7118">
        <v>-7.4189100000000003</v>
      </c>
      <c r="AF7118">
        <v>-5.9242342637275396</v>
      </c>
      <c r="AG7118">
        <v>-1.1163645989169999</v>
      </c>
      <c r="AH7118">
        <v>15.360342310872401</v>
      </c>
      <c r="AI7118">
        <v>93.879272920870704</v>
      </c>
      <c r="AJ7118">
        <v>111.09081598591</v>
      </c>
      <c r="AK7118">
        <v>16.5009980739474</v>
      </c>
      <c r="AL7118">
        <v>77.174609449201498</v>
      </c>
      <c r="AM7118">
        <v>103.28826019546899</v>
      </c>
      <c r="AN7118">
        <v>0.999999945805498</v>
      </c>
    </row>
    <row r="7119" spans="1:40" x14ac:dyDescent="0.25">
      <c r="A7119" t="str">
        <f>"20190312172254222"</f>
        <v>20190312172254222</v>
      </c>
      <c r="B7119" t="str">
        <f>"1552382574217327"</f>
        <v>1552382574217327</v>
      </c>
      <c r="C7119" t="s">
        <v>40</v>
      </c>
      <c r="D7119">
        <v>3.2826059999999999</v>
      </c>
      <c r="E7119">
        <v>0.4495634</v>
      </c>
      <c r="F7119" t="s">
        <v>64</v>
      </c>
      <c r="G7119">
        <v>-280.87419999999997</v>
      </c>
      <c r="H7119" s="1">
        <v>-6.6352070000000004E-6</v>
      </c>
      <c r="I7119">
        <v>-67.334299999999999</v>
      </c>
      <c r="J7119">
        <v>-295.65109999999999</v>
      </c>
      <c r="K7119">
        <v>1.1163609999999999</v>
      </c>
      <c r="L7119">
        <v>-60.077579999999998</v>
      </c>
      <c r="M7119">
        <v>0.67809680000000006</v>
      </c>
      <c r="N7119">
        <v>0</v>
      </c>
      <c r="O7119">
        <v>-0.73482950000000002</v>
      </c>
      <c r="P7119">
        <v>0.8080676</v>
      </c>
      <c r="Q7119">
        <v>0.2113361</v>
      </c>
      <c r="R7119">
        <v>-0.54987629999999998</v>
      </c>
      <c r="S7119">
        <v>2.8234859999999999</v>
      </c>
      <c r="T7119">
        <v>-0.21209320000000001</v>
      </c>
      <c r="U7119">
        <v>-1.3938600000000001</v>
      </c>
      <c r="V7119">
        <v>-0.22396250000000001</v>
      </c>
      <c r="W7119">
        <v>0.22211829999999999</v>
      </c>
      <c r="X7119">
        <v>0.94894900000000004</v>
      </c>
      <c r="Y7119">
        <v>-0.35680420000000002</v>
      </c>
      <c r="Z7119">
        <v>5.783667E-2</v>
      </c>
      <c r="AA7119">
        <v>0.93238710000000002</v>
      </c>
      <c r="AB7119">
        <v>18</v>
      </c>
      <c r="AC7119">
        <v>14.776899999999999</v>
      </c>
      <c r="AD7119">
        <v>-1.116367635207</v>
      </c>
      <c r="AE7119">
        <v>-7.2567199999999898</v>
      </c>
      <c r="AF7119">
        <v>-5.9111852672759699</v>
      </c>
      <c r="AG7119">
        <v>-1.116367635207</v>
      </c>
      <c r="AH7119">
        <v>15.283951792345499</v>
      </c>
      <c r="AI7119">
        <v>93.897210264269603</v>
      </c>
      <c r="AJ7119">
        <v>111.144359572616</v>
      </c>
      <c r="AK7119">
        <v>16.425211424871801</v>
      </c>
      <c r="AL7119">
        <v>77.166518165300502</v>
      </c>
      <c r="AM7119">
        <v>103.279438883559</v>
      </c>
      <c r="AN7119">
        <v>0.99999997260106899</v>
      </c>
    </row>
    <row r="7120" spans="1:40" x14ac:dyDescent="0.25">
      <c r="A7120" t="str">
        <f>"20190312172254234"</f>
        <v>20190312172254234</v>
      </c>
      <c r="B7120" t="str">
        <f>"1552382574228063"</f>
        <v>1552382574228063</v>
      </c>
      <c r="C7120" t="s">
        <v>40</v>
      </c>
      <c r="D7120">
        <v>3.2980010000000002</v>
      </c>
      <c r="E7120">
        <v>0.44996829999999999</v>
      </c>
      <c r="F7120" t="s">
        <v>64</v>
      </c>
      <c r="G7120">
        <v>-280.88709999999998</v>
      </c>
      <c r="H7120" s="1">
        <v>-6.6389399999999902E-6</v>
      </c>
      <c r="I7120">
        <v>-67.262709999999998</v>
      </c>
      <c r="J7120">
        <v>-295.57769999999999</v>
      </c>
      <c r="K7120">
        <v>1.11636</v>
      </c>
      <c r="L7120">
        <v>-60.145659999999999</v>
      </c>
      <c r="M7120">
        <v>0.68300830000000001</v>
      </c>
      <c r="N7120">
        <v>0</v>
      </c>
      <c r="O7120">
        <v>-0.73026650000000004</v>
      </c>
      <c r="P7120">
        <v>0.81174539999999995</v>
      </c>
      <c r="Q7120">
        <v>0.21126919999999999</v>
      </c>
      <c r="R7120">
        <v>-0.54445829999999995</v>
      </c>
      <c r="S7120">
        <v>2.830994</v>
      </c>
      <c r="T7120">
        <v>-0.2140629</v>
      </c>
      <c r="U7120">
        <v>-1.3777469999999901</v>
      </c>
      <c r="V7120">
        <v>-0.22395979999999999</v>
      </c>
      <c r="W7120">
        <v>0.22206519999999999</v>
      </c>
      <c r="X7120">
        <v>0.94896210000000003</v>
      </c>
      <c r="Y7120">
        <v>-0.3557787</v>
      </c>
      <c r="Z7120">
        <v>5.8104490000000002E-2</v>
      </c>
      <c r="AA7120">
        <v>0.93276219999999999</v>
      </c>
      <c r="AB7120">
        <v>18</v>
      </c>
      <c r="AC7120">
        <v>14.6906</v>
      </c>
      <c r="AD7120">
        <v>-1.11636663894</v>
      </c>
      <c r="AE7120">
        <v>-7.1170499999999901</v>
      </c>
      <c r="AF7120">
        <v>-5.8403508386672698</v>
      </c>
      <c r="AG7120">
        <v>-1.11636663894</v>
      </c>
      <c r="AH7120">
        <v>15.161835655215301</v>
      </c>
      <c r="AI7120">
        <v>93.930546421510002</v>
      </c>
      <c r="AJ7120">
        <v>111.06672345517499</v>
      </c>
      <c r="AK7120">
        <v>16.286105514426001</v>
      </c>
      <c r="AL7120">
        <v>77.169638937023606</v>
      </c>
      <c r="AM7120">
        <v>103.27910764354699</v>
      </c>
      <c r="AN7120">
        <v>1.00000000615174</v>
      </c>
    </row>
    <row r="7121" spans="1:40" x14ac:dyDescent="0.25">
      <c r="A7121" t="str">
        <f>"20190312172254248"</f>
        <v>20190312172254248</v>
      </c>
      <c r="B7121" t="str">
        <f>"1552382574237822"</f>
        <v>1552382574237822</v>
      </c>
      <c r="C7121" t="s">
        <v>40</v>
      </c>
      <c r="D7121">
        <v>3.290171</v>
      </c>
      <c r="E7121">
        <v>0.45039240000000003</v>
      </c>
      <c r="F7121" t="s">
        <v>64</v>
      </c>
      <c r="G7121">
        <v>-280.83800000000002</v>
      </c>
      <c r="H7121" s="1">
        <v>-6.6608499999999999E-6</v>
      </c>
      <c r="I7121">
        <v>-67.214010000000002</v>
      </c>
      <c r="J7121">
        <v>-295.50689999999997</v>
      </c>
      <c r="K7121">
        <v>1.116363</v>
      </c>
      <c r="L7121">
        <v>-60.210450000000002</v>
      </c>
      <c r="M7121">
        <v>0.687698699999999</v>
      </c>
      <c r="N7121">
        <v>0</v>
      </c>
      <c r="O7121">
        <v>-0.72585100000000002</v>
      </c>
      <c r="P7121">
        <v>0.81517859999999998</v>
      </c>
      <c r="Q7121">
        <v>0.21143000000000001</v>
      </c>
      <c r="R7121">
        <v>-0.53924110000000003</v>
      </c>
      <c r="S7121">
        <v>2.838654</v>
      </c>
      <c r="T7121">
        <v>-0.21499679999999999</v>
      </c>
      <c r="U7121">
        <v>-1.361267</v>
      </c>
      <c r="V7121">
        <v>-0.22390309999999999</v>
      </c>
      <c r="W7121">
        <v>0.22224050000000001</v>
      </c>
      <c r="X7121">
        <v>0.94893439999999996</v>
      </c>
      <c r="Y7121">
        <v>-0.35513479999999997</v>
      </c>
      <c r="Z7121">
        <v>5.8103670000000003E-2</v>
      </c>
      <c r="AA7121">
        <v>0.93300760000000005</v>
      </c>
      <c r="AB7121">
        <v>18</v>
      </c>
      <c r="AC7121">
        <v>14.668900000000001</v>
      </c>
      <c r="AD7121">
        <v>-1.11636966085</v>
      </c>
      <c r="AE7121">
        <v>-7.0035600000000002</v>
      </c>
      <c r="AF7121">
        <v>-5.8043339967303904</v>
      </c>
      <c r="AG7121">
        <v>-1.11636966085</v>
      </c>
      <c r="AH7121">
        <v>15.1016935840266</v>
      </c>
      <c r="AI7121">
        <v>93.947282989380597</v>
      </c>
      <c r="AJ7121">
        <v>111.02425750297201</v>
      </c>
      <c r="AK7121">
        <v>16.217204551681998</v>
      </c>
      <c r="AL7121">
        <v>77.159337060591099</v>
      </c>
      <c r="AM7121">
        <v>103.27623863198799</v>
      </c>
      <c r="AN7121">
        <v>0.99999996676660896</v>
      </c>
    </row>
    <row r="7122" spans="1:40" x14ac:dyDescent="0.25">
      <c r="A7122" t="str">
        <f>"20190312172254264"</f>
        <v>20190312172254264</v>
      </c>
      <c r="B7122" t="str">
        <f>"1552382574257342"</f>
        <v>1552382574257342</v>
      </c>
      <c r="C7122" t="s">
        <v>40</v>
      </c>
      <c r="D7122">
        <v>3.27156</v>
      </c>
      <c r="E7122">
        <v>0.45084479999999999</v>
      </c>
      <c r="F7122" t="s">
        <v>64</v>
      </c>
      <c r="G7122">
        <v>-280.74979999999999</v>
      </c>
      <c r="H7122" s="1">
        <v>-6.6932340000000002E-6</v>
      </c>
      <c r="I7122">
        <v>-67.188699999999997</v>
      </c>
      <c r="J7122">
        <v>-295.41669999999999</v>
      </c>
      <c r="K7122">
        <v>1.1163689999999999</v>
      </c>
      <c r="L7122">
        <v>-60.291870000000003</v>
      </c>
      <c r="M7122">
        <v>0.69361309999999998</v>
      </c>
      <c r="N7122">
        <v>0</v>
      </c>
      <c r="O7122">
        <v>-0.72020099999999998</v>
      </c>
      <c r="P7122">
        <v>0.81951169999999995</v>
      </c>
      <c r="Q7122">
        <v>0.21145040000000001</v>
      </c>
      <c r="R7122">
        <v>-0.53262529999999997</v>
      </c>
      <c r="S7122">
        <v>2.8457949999999999</v>
      </c>
      <c r="T7122">
        <v>-0.21528359999999999</v>
      </c>
      <c r="U7122">
        <v>-1.3457030000000001</v>
      </c>
      <c r="V7122">
        <v>-0.22381809999999999</v>
      </c>
      <c r="W7122">
        <v>0.22228239999999999</v>
      </c>
      <c r="X7122">
        <v>0.94894469999999997</v>
      </c>
      <c r="Y7122">
        <v>-0.35257300000000003</v>
      </c>
      <c r="Z7122">
        <v>5.7807209999999998E-2</v>
      </c>
      <c r="AA7122">
        <v>0.93399710000000002</v>
      </c>
      <c r="AB7122">
        <v>18</v>
      </c>
      <c r="AC7122">
        <v>14.666899999999901</v>
      </c>
      <c r="AD7122">
        <v>-1.1163756932340001</v>
      </c>
      <c r="AE7122">
        <v>-6.8968299999999996</v>
      </c>
      <c r="AF7122">
        <v>-5.7527018888079899</v>
      </c>
      <c r="AG7122">
        <v>-1.1163756932340001</v>
      </c>
      <c r="AH7122">
        <v>15.070357616562401</v>
      </c>
      <c r="AI7122">
        <v>93.958947146509701</v>
      </c>
      <c r="AJ7122">
        <v>110.89300494634099</v>
      </c>
      <c r="AK7122">
        <v>16.169587267491401</v>
      </c>
      <c r="AL7122">
        <v>77.156875545064295</v>
      </c>
      <c r="AM7122">
        <v>103.271238020775</v>
      </c>
      <c r="AN7122">
        <v>1.0000000254477199</v>
      </c>
    </row>
    <row r="7123" spans="1:40" x14ac:dyDescent="0.25">
      <c r="A7123" t="str">
        <f>"20190312172254276"</f>
        <v>20190312172254276</v>
      </c>
      <c r="B7123" t="str">
        <f>"1552382574268081"</f>
        <v>1552382574268081</v>
      </c>
      <c r="C7123" t="s">
        <v>40</v>
      </c>
      <c r="D7123">
        <v>3.3310909999999998</v>
      </c>
      <c r="E7123">
        <v>0.46403499999999998</v>
      </c>
      <c r="F7123" t="s">
        <v>64</v>
      </c>
      <c r="G7123">
        <v>-280.69819999999999</v>
      </c>
      <c r="H7123" s="1">
        <v>-6.7173239999999999E-6</v>
      </c>
      <c r="I7123">
        <v>-67.128129999999999</v>
      </c>
      <c r="J7123">
        <v>-295.33999999999997</v>
      </c>
      <c r="K7123">
        <v>1.116374</v>
      </c>
      <c r="L7123">
        <v>-60.359990000000003</v>
      </c>
      <c r="M7123">
        <v>0.69858849999999995</v>
      </c>
      <c r="N7123">
        <v>0</v>
      </c>
      <c r="O7123">
        <v>-0.71537550000000005</v>
      </c>
      <c r="P7123">
        <v>0.82295049999999903</v>
      </c>
      <c r="Q7123">
        <v>0.21142759999999999</v>
      </c>
      <c r="R7123">
        <v>-0.52730519999999903</v>
      </c>
      <c r="S7123">
        <v>2.854797</v>
      </c>
      <c r="T7123">
        <v>-0.21653159999999999</v>
      </c>
      <c r="U7123">
        <v>-1.325958</v>
      </c>
      <c r="V7123">
        <v>-0.22339039999999999</v>
      </c>
      <c r="W7123">
        <v>0.22228329999999999</v>
      </c>
      <c r="X7123">
        <v>0.94904520000000003</v>
      </c>
      <c r="Y7123">
        <v>-0.35251290000000002</v>
      </c>
      <c r="Z7123">
        <v>5.787519E-2</v>
      </c>
      <c r="AA7123">
        <v>0.93401559999999995</v>
      </c>
      <c r="AB7123">
        <v>18</v>
      </c>
      <c r="AC7123">
        <v>14.6417999999999</v>
      </c>
      <c r="AD7123">
        <v>-1.1163807173239999</v>
      </c>
      <c r="AE7123">
        <v>-6.7681399999999901</v>
      </c>
      <c r="AF7123">
        <v>-5.7194533420826996</v>
      </c>
      <c r="AG7123">
        <v>-1.1163807173239999</v>
      </c>
      <c r="AH7123">
        <v>15.000102119964501</v>
      </c>
      <c r="AI7123">
        <v>93.978014082263698</v>
      </c>
      <c r="AJ7123">
        <v>110.871563533859</v>
      </c>
      <c r="AK7123">
        <v>16.092281256790098</v>
      </c>
      <c r="AL7123">
        <v>77.156821852455394</v>
      </c>
      <c r="AM7123">
        <v>103.245419253766</v>
      </c>
      <c r="AN7123">
        <v>0.99999996395704405</v>
      </c>
    </row>
    <row r="7124" spans="1:40" x14ac:dyDescent="0.25">
      <c r="A7124" t="str">
        <f>"20190312172254289"</f>
        <v>20190312172254289</v>
      </c>
      <c r="B7124" t="str">
        <f>"1552382574277839"</f>
        <v>1552382574277839</v>
      </c>
      <c r="C7124" t="s">
        <v>40</v>
      </c>
      <c r="D7124">
        <v>3.2636229999999999</v>
      </c>
      <c r="E7124">
        <v>0.4646653</v>
      </c>
      <c r="F7124" t="s">
        <v>64</v>
      </c>
      <c r="G7124">
        <v>-282.34350000000001</v>
      </c>
      <c r="H7124" s="1">
        <v>-6.1220349999999999E-6</v>
      </c>
      <c r="I7124">
        <v>-66.820219999999907</v>
      </c>
      <c r="J7124">
        <v>-295.26929999999999</v>
      </c>
      <c r="K7124">
        <v>1.116377</v>
      </c>
      <c r="L7124">
        <v>-60.421779999999998</v>
      </c>
      <c r="M7124">
        <v>0.7031309</v>
      </c>
      <c r="N7124">
        <v>0</v>
      </c>
      <c r="O7124">
        <v>-0.71091090000000001</v>
      </c>
      <c r="P7124">
        <v>0.82619419999999899</v>
      </c>
      <c r="Q7124">
        <v>0.21171019999999999</v>
      </c>
      <c r="R7124">
        <v>-0.52209399999999995</v>
      </c>
      <c r="S7124">
        <v>2.8118590000000001</v>
      </c>
      <c r="T7124">
        <v>-0.24153459999999999</v>
      </c>
      <c r="U7124">
        <v>-1.397705</v>
      </c>
      <c r="V7124">
        <v>-0.22329660000000001</v>
      </c>
      <c r="W7124">
        <v>0.2225808</v>
      </c>
      <c r="X7124">
        <v>0.9489976</v>
      </c>
      <c r="Y7124">
        <v>-0.32119350000000002</v>
      </c>
      <c r="Z7124">
        <v>6.3483310000000001E-2</v>
      </c>
      <c r="AA7124">
        <v>0.94488340000000004</v>
      </c>
      <c r="AB7124">
        <v>18</v>
      </c>
      <c r="AC7124">
        <v>12.925799999999899</v>
      </c>
      <c r="AD7124">
        <v>-1.116383122035</v>
      </c>
      <c r="AE7124">
        <v>-6.3984399999999804</v>
      </c>
      <c r="AF7124">
        <v>-4.6627137160264702</v>
      </c>
      <c r="AG7124">
        <v>-1.116383122035</v>
      </c>
      <c r="AH7124">
        <v>13.5574718214054</v>
      </c>
      <c r="AI7124">
        <v>94.452520927817901</v>
      </c>
      <c r="AJ7124">
        <v>108.97922415637299</v>
      </c>
      <c r="AK7124">
        <v>14.380273038471399</v>
      </c>
      <c r="AL7124">
        <v>77.139339024937499</v>
      </c>
      <c r="AM7124">
        <v>103.24069423070399</v>
      </c>
      <c r="AN7124">
        <v>1.0000000144529799</v>
      </c>
    </row>
    <row r="7125" spans="1:40" x14ac:dyDescent="0.25">
      <c r="A7125" t="str">
        <f>"20190312172254303"</f>
        <v>20190312172254303</v>
      </c>
      <c r="B7125" t="str">
        <f>"1552382574297359"</f>
        <v>1552382574297359</v>
      </c>
      <c r="C7125" t="s">
        <v>40</v>
      </c>
      <c r="D7125">
        <v>3.285507</v>
      </c>
      <c r="E7125">
        <v>0.46608260000000001</v>
      </c>
      <c r="F7125" t="s">
        <v>64</v>
      </c>
      <c r="G7125">
        <v>-282.2346</v>
      </c>
      <c r="H7125" s="1">
        <v>-6.1717840000000003E-6</v>
      </c>
      <c r="I7125">
        <v>-66.825779999999995</v>
      </c>
      <c r="J7125">
        <v>-295.1927</v>
      </c>
      <c r="K7125">
        <v>1.116387</v>
      </c>
      <c r="L7125">
        <v>-60.488010000000003</v>
      </c>
      <c r="M7125">
        <v>0.70800090000000004</v>
      </c>
      <c r="N7125">
        <v>0</v>
      </c>
      <c r="O7125">
        <v>-0.70606059999999904</v>
      </c>
      <c r="P7125">
        <v>0.82950939999999995</v>
      </c>
      <c r="Q7125">
        <v>0.21161179999999999</v>
      </c>
      <c r="R7125">
        <v>-0.51685079999999906</v>
      </c>
      <c r="S7125">
        <v>2.8180540000000001</v>
      </c>
      <c r="T7125">
        <v>-0.2413584</v>
      </c>
      <c r="U7125">
        <v>-1.3845209999999999</v>
      </c>
      <c r="V7125">
        <v>-0.2228</v>
      </c>
      <c r="W7125">
        <v>0.22250600000000001</v>
      </c>
      <c r="X7125">
        <v>0.94913179999999997</v>
      </c>
      <c r="Y7125">
        <v>-0.31908710000000001</v>
      </c>
      <c r="Z7125">
        <v>6.3071039999999995E-2</v>
      </c>
      <c r="AA7125">
        <v>0.94562440000000003</v>
      </c>
      <c r="AB7125">
        <v>18</v>
      </c>
      <c r="AC7125">
        <v>12.9581</v>
      </c>
      <c r="AD7125">
        <v>-1.1163931717839899</v>
      </c>
      <c r="AE7125">
        <v>-6.3377700000000097</v>
      </c>
      <c r="AF7125">
        <v>-4.6347929527756699</v>
      </c>
      <c r="AG7125">
        <v>-1.1163931717839899</v>
      </c>
      <c r="AH7125">
        <v>13.5693746719367</v>
      </c>
      <c r="AI7125">
        <v>94.451878228492603</v>
      </c>
      <c r="AJ7125">
        <v>108.85825588048699</v>
      </c>
      <c r="AK7125">
        <v>14.382474349586101</v>
      </c>
      <c r="AL7125">
        <v>77.143734365910205</v>
      </c>
      <c r="AM7125">
        <v>103.21047894256</v>
      </c>
      <c r="AN7125">
        <v>0.99999996690361903</v>
      </c>
    </row>
    <row r="7126" spans="1:40" x14ac:dyDescent="0.25">
      <c r="A7126" t="str">
        <f>"20190312172254315"</f>
        <v>20190312172254315</v>
      </c>
      <c r="B7126" t="str">
        <f>"1552382574308095"</f>
        <v>1552382574308095</v>
      </c>
      <c r="C7126" t="s">
        <v>40</v>
      </c>
      <c r="D7126">
        <v>3.4996309999999999</v>
      </c>
      <c r="E7126">
        <v>0.46696870000000001</v>
      </c>
      <c r="F7126" t="s">
        <v>64</v>
      </c>
      <c r="G7126">
        <v>-282.45999999999998</v>
      </c>
      <c r="H7126" s="1">
        <v>-6.0893140000000003E-6</v>
      </c>
      <c r="I7126">
        <v>-66.699110000000005</v>
      </c>
      <c r="J7126">
        <v>-295.11559999999997</v>
      </c>
      <c r="K7126">
        <v>1.1163909999999999</v>
      </c>
      <c r="L7126">
        <v>-60.55359</v>
      </c>
      <c r="M7126">
        <v>0.71285810000000005</v>
      </c>
      <c r="N7126">
        <v>0</v>
      </c>
      <c r="O7126">
        <v>-0.70115609999999995</v>
      </c>
      <c r="P7126">
        <v>0.83280180000000004</v>
      </c>
      <c r="Q7126">
        <v>0.21163850000000001</v>
      </c>
      <c r="R7126">
        <v>-0.51151759999999902</v>
      </c>
      <c r="S7126">
        <v>2.8219910000000001</v>
      </c>
      <c r="T7126">
        <v>-0.24742939999999999</v>
      </c>
      <c r="U7126">
        <v>-1.376587</v>
      </c>
      <c r="V7126">
        <v>-0.22233449999999999</v>
      </c>
      <c r="W7126">
        <v>0.22255340000000001</v>
      </c>
      <c r="X7126">
        <v>0.94922980000000001</v>
      </c>
      <c r="Y7126">
        <v>-0.31510759999999899</v>
      </c>
      <c r="Z7126">
        <v>6.4206559999999996E-2</v>
      </c>
      <c r="AA7126">
        <v>0.94688159999999999</v>
      </c>
      <c r="AB7126">
        <v>18</v>
      </c>
      <c r="AC7126">
        <v>12.6555999999999</v>
      </c>
      <c r="AD7126">
        <v>-1.1163970893139901</v>
      </c>
      <c r="AE7126">
        <v>-6.1455200000000003</v>
      </c>
      <c r="AF7126">
        <v>-4.4650314326401102</v>
      </c>
      <c r="AG7126">
        <v>-1.1163970893139901</v>
      </c>
      <c r="AH7126">
        <v>13.2486144452815</v>
      </c>
      <c r="AI7126">
        <v>94.565510025525896</v>
      </c>
      <c r="AJ7126">
        <v>108.62478100050799</v>
      </c>
      <c r="AK7126">
        <v>14.0252854828419</v>
      </c>
      <c r="AL7126">
        <v>77.140948208231904</v>
      </c>
      <c r="AM7126">
        <v>103.182529403147</v>
      </c>
      <c r="AN7126">
        <v>0.999999929474922</v>
      </c>
    </row>
    <row r="7127" spans="1:40" x14ac:dyDescent="0.25">
      <c r="A7127" t="str">
        <f>"20190312172254326"</f>
        <v>20190312172254326</v>
      </c>
      <c r="B7127" t="str">
        <f>"1552382574317854"</f>
        <v>1552382574317854</v>
      </c>
      <c r="C7127" t="s">
        <v>40</v>
      </c>
      <c r="D7127">
        <v>3.3203390000000002</v>
      </c>
      <c r="E7127">
        <v>0.46748030000000002</v>
      </c>
      <c r="F7127" t="s">
        <v>64</v>
      </c>
      <c r="G7127">
        <v>-282.21719999999999</v>
      </c>
      <c r="H7127" s="1">
        <v>-6.1884419999999998E-6</v>
      </c>
      <c r="I7127">
        <v>-66.777699999999996</v>
      </c>
      <c r="J7127">
        <v>-295.05119999999999</v>
      </c>
      <c r="K7127">
        <v>1.1163959999999999</v>
      </c>
      <c r="L7127">
        <v>-60.607669999999999</v>
      </c>
      <c r="M7127">
        <v>0.71687529999999999</v>
      </c>
      <c r="N7127">
        <v>0</v>
      </c>
      <c r="O7127">
        <v>-0.69704809999999995</v>
      </c>
      <c r="P7127">
        <v>0.83546339999999997</v>
      </c>
      <c r="Q7127">
        <v>0.2116943</v>
      </c>
      <c r="R7127">
        <v>-0.50713589999999997</v>
      </c>
      <c r="S7127">
        <v>2.8266909999999998</v>
      </c>
      <c r="T7127">
        <v>-0.2446583</v>
      </c>
      <c r="U7127">
        <v>-1.3640139999999901</v>
      </c>
      <c r="V7127">
        <v>-0.2218572</v>
      </c>
      <c r="W7127">
        <v>0.22262689999999999</v>
      </c>
      <c r="X7127">
        <v>0.94932430000000001</v>
      </c>
      <c r="Y7127">
        <v>-0.3137549</v>
      </c>
      <c r="Z7127">
        <v>6.3206499999999999E-2</v>
      </c>
      <c r="AA7127">
        <v>0.94739790000000002</v>
      </c>
      <c r="AB7127">
        <v>18</v>
      </c>
      <c r="AC7127">
        <v>12.834</v>
      </c>
      <c r="AD7127">
        <v>-1.1164021884419999</v>
      </c>
      <c r="AE7127">
        <v>-6.1700299999999899</v>
      </c>
      <c r="AF7127">
        <v>-4.4956251518312502</v>
      </c>
      <c r="AG7127">
        <v>-1.1164021884419999</v>
      </c>
      <c r="AH7127">
        <v>13.4201440951989</v>
      </c>
      <c r="AI7127">
        <v>94.510167643434102</v>
      </c>
      <c r="AJ7127">
        <v>108.520376867564</v>
      </c>
      <c r="AK7127">
        <v>14.197086563377701</v>
      </c>
      <c r="AL7127">
        <v>77.136629392530395</v>
      </c>
      <c r="AM7127">
        <v>103.153950763484</v>
      </c>
      <c r="AN7127">
        <v>0.99999999018296903</v>
      </c>
    </row>
    <row r="7128" spans="1:40" x14ac:dyDescent="0.25">
      <c r="A7128" t="str">
        <f>"20190312172254342"</f>
        <v>20190312172254342</v>
      </c>
      <c r="B7128" t="str">
        <f>"1552382574337374"</f>
        <v>1552382574337374</v>
      </c>
      <c r="C7128" t="s">
        <v>40</v>
      </c>
      <c r="D7128">
        <v>3.350311</v>
      </c>
      <c r="E7128">
        <v>0.46847250000000001</v>
      </c>
      <c r="F7128" t="s">
        <v>64</v>
      </c>
      <c r="G7128">
        <v>-282.07440000000003</v>
      </c>
      <c r="H7128" s="1">
        <v>-6.2500509999999998E-6</v>
      </c>
      <c r="I7128">
        <v>-66.805160000000001</v>
      </c>
      <c r="J7128">
        <v>-294.9649</v>
      </c>
      <c r="K7128">
        <v>1.116403</v>
      </c>
      <c r="L7128">
        <v>-60.679259999999999</v>
      </c>
      <c r="M7128">
        <v>0.72220229999999996</v>
      </c>
      <c r="N7128">
        <v>0</v>
      </c>
      <c r="O7128">
        <v>-0.69152690000000006</v>
      </c>
      <c r="P7128">
        <v>0.83896789999999999</v>
      </c>
      <c r="Q7128">
        <v>0.21134710000000001</v>
      </c>
      <c r="R7128">
        <v>-0.5014632</v>
      </c>
      <c r="S7128">
        <v>2.8316650000000001</v>
      </c>
      <c r="T7128">
        <v>-0.24361060000000001</v>
      </c>
      <c r="U7128">
        <v>-1.3523559999999999</v>
      </c>
      <c r="V7128">
        <v>-0.22106110000000001</v>
      </c>
      <c r="W7128">
        <v>0.222307</v>
      </c>
      <c r="X7128">
        <v>0.94958500000000001</v>
      </c>
      <c r="Y7128">
        <v>-0.310334</v>
      </c>
      <c r="Z7128">
        <v>6.2484039999999998E-2</v>
      </c>
      <c r="AA7128">
        <v>0.94857190000000002</v>
      </c>
      <c r="AB7128">
        <v>17</v>
      </c>
      <c r="AC7128">
        <v>12.8904999999999</v>
      </c>
      <c r="AD7128">
        <v>-1.1164092500509999</v>
      </c>
      <c r="AE7128">
        <v>-6.1258999999999997</v>
      </c>
      <c r="AF7128">
        <v>-4.4631601552480902</v>
      </c>
      <c r="AG7128">
        <v>-1.1164092500509999</v>
      </c>
      <c r="AH7128">
        <v>13.4648355825761</v>
      </c>
      <c r="AI7128">
        <v>94.5000204379716</v>
      </c>
      <c r="AJ7128">
        <v>108.338699365561</v>
      </c>
      <c r="AK7128">
        <v>14.229123846913399</v>
      </c>
      <c r="AL7128">
        <v>77.155430117048994</v>
      </c>
      <c r="AM7128">
        <v>103.104907981078</v>
      </c>
      <c r="AN7128">
        <v>1.0000000422035999</v>
      </c>
    </row>
    <row r="7129" spans="1:40" x14ac:dyDescent="0.25">
      <c r="A7129" t="str">
        <f>"20190312172254354"</f>
        <v>20190312172254354</v>
      </c>
      <c r="B7129" t="str">
        <f>"1552382574348111"</f>
        <v>1552382574348111</v>
      </c>
      <c r="C7129" t="s">
        <v>40</v>
      </c>
      <c r="D7129">
        <v>3.3239169999999998</v>
      </c>
      <c r="E7129">
        <v>0.46847250000000001</v>
      </c>
      <c r="F7129" t="s">
        <v>64</v>
      </c>
      <c r="G7129">
        <v>-282.12599999999998</v>
      </c>
      <c r="H7129" s="1">
        <v>-6.2373929999999998E-6</v>
      </c>
      <c r="I7129">
        <v>-66.741240000000005</v>
      </c>
      <c r="J7129">
        <v>-294.8861</v>
      </c>
      <c r="K7129">
        <v>1.1164099999999999</v>
      </c>
      <c r="L7129">
        <v>-60.743380000000002</v>
      </c>
      <c r="M7129">
        <v>0.72701329999999997</v>
      </c>
      <c r="N7129">
        <v>0</v>
      </c>
      <c r="O7129">
        <v>-0.68646719999999894</v>
      </c>
      <c r="P7129">
        <v>0.84227589999999997</v>
      </c>
      <c r="Q7129">
        <v>0.21120459999999999</v>
      </c>
      <c r="R7129">
        <v>-0.4959479</v>
      </c>
      <c r="S7129">
        <v>2.83725</v>
      </c>
      <c r="T7129">
        <v>-0.24671370000000001</v>
      </c>
      <c r="U7129">
        <v>-1.3396300000000001</v>
      </c>
      <c r="V7129">
        <v>-0.22068450000000001</v>
      </c>
      <c r="W7129">
        <v>0.2221824</v>
      </c>
      <c r="X7129">
        <v>0.94970169999999998</v>
      </c>
      <c r="Y7129">
        <v>-0.30785089999999998</v>
      </c>
      <c r="Z7129">
        <v>6.2872209999999998E-2</v>
      </c>
      <c r="AA7129">
        <v>0.94935499999999995</v>
      </c>
      <c r="AB7129">
        <v>17</v>
      </c>
      <c r="AC7129">
        <v>12.7601</v>
      </c>
      <c r="AD7129">
        <v>-1.116416237393</v>
      </c>
      <c r="AE7129">
        <v>-5.9978600000000002</v>
      </c>
      <c r="AF7129">
        <v>-4.3719271122972403</v>
      </c>
      <c r="AG7129">
        <v>-1.116416237393</v>
      </c>
      <c r="AH7129">
        <v>13.3120700298588</v>
      </c>
      <c r="AI7129">
        <v>94.555588525244403</v>
      </c>
      <c r="AJ7129">
        <v>108.181125466515</v>
      </c>
      <c r="AK7129">
        <v>14.056007269855099</v>
      </c>
      <c r="AL7129">
        <v>77.162751651860106</v>
      </c>
      <c r="AM7129">
        <v>103.08179868750599</v>
      </c>
      <c r="AN7129">
        <v>0.99999999319644906</v>
      </c>
    </row>
    <row r="7130" spans="1:40" x14ac:dyDescent="0.25">
      <c r="A7130" t="str">
        <f>"20190312172254376"</f>
        <v>20190312172254376</v>
      </c>
      <c r="B7130" t="str">
        <f>"1552382574367631"</f>
        <v>1552382574367631</v>
      </c>
      <c r="C7130" t="s">
        <v>40</v>
      </c>
      <c r="D7130">
        <v>3.3328000000000002</v>
      </c>
      <c r="E7130">
        <v>0.47637459999999998</v>
      </c>
      <c r="F7130" t="s">
        <v>64</v>
      </c>
      <c r="G7130">
        <v>-282.03019999999998</v>
      </c>
      <c r="H7130" s="1">
        <v>-6.2876069999999997E-6</v>
      </c>
      <c r="I7130">
        <v>-66.709950000000006</v>
      </c>
      <c r="J7130">
        <v>-294.76299999999998</v>
      </c>
      <c r="K7130">
        <v>1.116414</v>
      </c>
      <c r="L7130">
        <v>-60.841920000000002</v>
      </c>
      <c r="M7130">
        <v>0.73443159999999996</v>
      </c>
      <c r="N7130">
        <v>0</v>
      </c>
      <c r="O7130">
        <v>-0.67852409999999996</v>
      </c>
      <c r="P7130">
        <v>0.84716959999999997</v>
      </c>
      <c r="Q7130">
        <v>0.21165410000000001</v>
      </c>
      <c r="R7130">
        <v>-0.48734620000000001</v>
      </c>
      <c r="S7130">
        <v>2.8460079999999999</v>
      </c>
      <c r="T7130">
        <v>-0.2471489</v>
      </c>
      <c r="U7130">
        <v>-1.320862</v>
      </c>
      <c r="V7130">
        <v>-0.21996019999999999</v>
      </c>
      <c r="W7130">
        <v>0.22265979999999999</v>
      </c>
      <c r="X7130">
        <v>0.94975790000000004</v>
      </c>
      <c r="Y7130">
        <v>-0.3037975</v>
      </c>
      <c r="Z7130">
        <v>6.2325680000000001E-2</v>
      </c>
      <c r="AA7130">
        <v>0.95069590000000004</v>
      </c>
      <c r="AB7130">
        <v>17</v>
      </c>
      <c r="AC7130">
        <v>12.7327999999999</v>
      </c>
      <c r="AD7130">
        <v>-1.116420287607</v>
      </c>
      <c r="AE7130">
        <v>-5.8680300000000098</v>
      </c>
      <c r="AF7130">
        <v>-4.3030251941763202</v>
      </c>
      <c r="AG7130">
        <v>-1.116420287607</v>
      </c>
      <c r="AH7130">
        <v>13.250383739065899</v>
      </c>
      <c r="AI7130">
        <v>94.581663209174806</v>
      </c>
      <c r="AJ7130">
        <v>107.991060700877</v>
      </c>
      <c r="AK7130">
        <v>13.9762330158308</v>
      </c>
      <c r="AL7130">
        <v>77.1346955956964</v>
      </c>
      <c r="AM7130">
        <v>103.039587865733</v>
      </c>
      <c r="AN7130">
        <v>0.99999997236624405</v>
      </c>
    </row>
    <row r="7131" spans="1:40" x14ac:dyDescent="0.25">
      <c r="A7131" t="str">
        <f>"20190312172254391"</f>
        <v>20190312172254391</v>
      </c>
      <c r="B7131" t="str">
        <f>"1552382574377391"</f>
        <v>1552382574377391</v>
      </c>
      <c r="C7131" t="s">
        <v>40</v>
      </c>
      <c r="D7131">
        <v>3.310953</v>
      </c>
      <c r="E7131">
        <v>0.47538609999999998</v>
      </c>
      <c r="F7131" t="s">
        <v>64</v>
      </c>
      <c r="G7131">
        <v>-282.35419999999999</v>
      </c>
      <c r="H7131" s="1">
        <v>-6.1298449999999999E-6</v>
      </c>
      <c r="I7131">
        <v>-66.748249999999999</v>
      </c>
      <c r="J7131">
        <v>-294.67759999999998</v>
      </c>
      <c r="K7131">
        <v>1.1164149999999999</v>
      </c>
      <c r="L7131">
        <v>-60.908869999999901</v>
      </c>
      <c r="M7131">
        <v>0.73950419999999994</v>
      </c>
      <c r="N7131">
        <v>0</v>
      </c>
      <c r="O7131">
        <v>-0.67299160000000002</v>
      </c>
      <c r="P7131">
        <v>0.85073319999999997</v>
      </c>
      <c r="Q7131">
        <v>0.21191760000000001</v>
      </c>
      <c r="R7131">
        <v>-0.48098269999999999</v>
      </c>
      <c r="S7131">
        <v>2.8299259999999999</v>
      </c>
      <c r="T7131">
        <v>-0.25460860000000002</v>
      </c>
      <c r="U7131">
        <v>-1.3469850000000001</v>
      </c>
      <c r="V7131">
        <v>-0.21990789999999999</v>
      </c>
      <c r="W7131">
        <v>0.22293499999999999</v>
      </c>
      <c r="X7131">
        <v>0.94970549999999998</v>
      </c>
      <c r="Y7131">
        <v>-0.28725410000000001</v>
      </c>
      <c r="Z7131">
        <v>6.3353309999999996E-2</v>
      </c>
      <c r="AA7131">
        <v>0.95575699999999997</v>
      </c>
      <c r="AB7131">
        <v>17</v>
      </c>
      <c r="AC7131">
        <v>12.3233999999999</v>
      </c>
      <c r="AD7131">
        <v>-1.116421129845</v>
      </c>
      <c r="AE7131">
        <v>-5.8393800000000002</v>
      </c>
      <c r="AF7131">
        <v>-3.9492584988945301</v>
      </c>
      <c r="AG7131">
        <v>-1.116421129845</v>
      </c>
      <c r="AH7131">
        <v>12.957621331092</v>
      </c>
      <c r="AI7131">
        <v>94.711468022490607</v>
      </c>
      <c r="AJ7131">
        <v>106.950313169034</v>
      </c>
      <c r="AK7131">
        <v>13.5920193271723</v>
      </c>
      <c r="AL7131">
        <v>77.118521845019799</v>
      </c>
      <c r="AM7131">
        <v>103.037288078158</v>
      </c>
      <c r="AN7131">
        <v>1.00000001771882</v>
      </c>
    </row>
    <row r="7132" spans="1:40" x14ac:dyDescent="0.25">
      <c r="A7132" t="str">
        <f>"20190312172254403"</f>
        <v>20190312172254403</v>
      </c>
      <c r="B7132" t="str">
        <f>"1552382574397887"</f>
        <v>1552382574397887</v>
      </c>
      <c r="C7132" t="s">
        <v>40</v>
      </c>
      <c r="D7132">
        <v>3.2066759999999999</v>
      </c>
      <c r="E7132">
        <v>0.45104660000000002</v>
      </c>
      <c r="F7132" t="s">
        <v>64</v>
      </c>
      <c r="G7132">
        <v>-282.21929999999998</v>
      </c>
      <c r="H7132" s="1">
        <v>-6.2037480000000001E-6</v>
      </c>
      <c r="I7132">
        <v>-66.686199999999999</v>
      </c>
      <c r="J7132">
        <v>-294.59750000000003</v>
      </c>
      <c r="K7132">
        <v>1.1164130000000001</v>
      </c>
      <c r="L7132">
        <v>-60.970860000000002</v>
      </c>
      <c r="M7132">
        <v>0.74421359999999903</v>
      </c>
      <c r="N7132">
        <v>0</v>
      </c>
      <c r="O7132">
        <v>-0.66777989999999998</v>
      </c>
      <c r="P7132">
        <v>0.85401380000000005</v>
      </c>
      <c r="Q7132">
        <v>0.21228759999999999</v>
      </c>
      <c r="R7132">
        <v>-0.4749679</v>
      </c>
      <c r="S7132">
        <v>2.8441770000000002</v>
      </c>
      <c r="T7132">
        <v>-0.25487389999999999</v>
      </c>
      <c r="U7132">
        <v>-1.3189390000000001</v>
      </c>
      <c r="V7132">
        <v>-0.2198802</v>
      </c>
      <c r="W7132">
        <v>0.22331480000000001</v>
      </c>
      <c r="X7132">
        <v>0.94962259999999998</v>
      </c>
      <c r="Y7132">
        <v>-0.29011819999999999</v>
      </c>
      <c r="Z7132">
        <v>6.3125890000000004E-2</v>
      </c>
      <c r="AA7132">
        <v>0.95490660000000005</v>
      </c>
      <c r="AB7132">
        <v>17</v>
      </c>
      <c r="AC7132">
        <v>12.3782</v>
      </c>
      <c r="AD7132">
        <v>-1.1164192037480001</v>
      </c>
      <c r="AE7132">
        <v>-5.7153400000000003</v>
      </c>
      <c r="AF7132">
        <v>-3.9861849820557902</v>
      </c>
      <c r="AG7132">
        <v>-1.1164192037480001</v>
      </c>
      <c r="AH7132">
        <v>12.9432353653946</v>
      </c>
      <c r="AI7132">
        <v>94.712477319611807</v>
      </c>
      <c r="AJ7132">
        <v>107.11749198003299</v>
      </c>
      <c r="AK7132">
        <v>13.589091370421601</v>
      </c>
      <c r="AL7132">
        <v>77.096197134721905</v>
      </c>
      <c r="AM7132">
        <v>103.036801085242</v>
      </c>
      <c r="AN7132">
        <v>0.99999994234091805</v>
      </c>
    </row>
    <row r="7133" spans="1:40" x14ac:dyDescent="0.25">
      <c r="A7133" t="str">
        <f>"20190312172254415"</f>
        <v>20190312172254415</v>
      </c>
      <c r="B7133" t="str">
        <f>"1552382574407647"</f>
        <v>1552382574407647</v>
      </c>
      <c r="C7133" t="s">
        <v>40</v>
      </c>
      <c r="D7133">
        <v>3.3789729999999998</v>
      </c>
      <c r="E7133">
        <v>0.44813799999999998</v>
      </c>
      <c r="F7133" t="s">
        <v>72</v>
      </c>
      <c r="G7133">
        <v>-279.88299999999998</v>
      </c>
      <c r="H7133" s="1">
        <v>-4.2329830000000001E-6</v>
      </c>
      <c r="I7133">
        <v>-66.610079999999996</v>
      </c>
      <c r="J7133">
        <v>-294.52339999999998</v>
      </c>
      <c r="K7133">
        <v>1.116414</v>
      </c>
      <c r="L7133">
        <v>-61.02731</v>
      </c>
      <c r="M7133">
        <v>0.74852510000000005</v>
      </c>
      <c r="N7133">
        <v>0</v>
      </c>
      <c r="O7133">
        <v>-0.66294339999999996</v>
      </c>
      <c r="P7133">
        <v>0.85673899999999903</v>
      </c>
      <c r="Q7133">
        <v>0.21262210000000001</v>
      </c>
      <c r="R7133">
        <v>-0.4698833</v>
      </c>
      <c r="S7133">
        <v>2.941376</v>
      </c>
      <c r="T7133">
        <v>-0.22316749999999999</v>
      </c>
      <c r="U7133">
        <v>-1.1272580000000001</v>
      </c>
      <c r="V7133">
        <v>-0.21931819999999999</v>
      </c>
      <c r="W7133">
        <v>0.22366710000000001</v>
      </c>
      <c r="X7133">
        <v>0.94966969999999995</v>
      </c>
      <c r="Y7133">
        <v>-0.34904950000000001</v>
      </c>
      <c r="Z7133">
        <v>5.6438729999999999E-2</v>
      </c>
      <c r="AA7133">
        <v>0.93540319999999999</v>
      </c>
      <c r="AB7133">
        <v>17</v>
      </c>
      <c r="AC7133">
        <v>14.6404</v>
      </c>
      <c r="AD7133">
        <v>-1.1164182329829999</v>
      </c>
      <c r="AE7133">
        <v>-5.5827700000000098</v>
      </c>
      <c r="AF7133">
        <v>-5.4995905710741901</v>
      </c>
      <c r="AG7133">
        <v>-1.1164182329829999</v>
      </c>
      <c r="AH7133">
        <v>14.5872962689959</v>
      </c>
      <c r="AI7133">
        <v>94.096138462931407</v>
      </c>
      <c r="AJ7133">
        <v>110.65706153186299</v>
      </c>
      <c r="AK7133">
        <v>15.629494507496</v>
      </c>
      <c r="AL7133">
        <v>77.075488663953706</v>
      </c>
      <c r="AM7133">
        <v>103.00399082686199</v>
      </c>
      <c r="AN7133">
        <v>0.99999999178586996</v>
      </c>
    </row>
    <row r="7134" spans="1:40" x14ac:dyDescent="0.25">
      <c r="A7134" t="str">
        <f>"20190312172254427"</f>
        <v>20190312172254427</v>
      </c>
      <c r="B7134" t="str">
        <f>"1552382574417407"</f>
        <v>1552382574417407</v>
      </c>
      <c r="C7134" t="s">
        <v>40</v>
      </c>
      <c r="D7134">
        <v>3.365821</v>
      </c>
      <c r="E7134">
        <v>0.44695210000000002</v>
      </c>
      <c r="F7134" t="s">
        <v>72</v>
      </c>
      <c r="G7134">
        <v>-279.399</v>
      </c>
      <c r="H7134" s="1">
        <v>-4.0662790000000004E-6</v>
      </c>
      <c r="I7134">
        <v>-66.595159999999893</v>
      </c>
      <c r="J7134">
        <v>-294.45710000000003</v>
      </c>
      <c r="K7134">
        <v>1.1164130000000001</v>
      </c>
      <c r="L7134">
        <v>-61.077089999999998</v>
      </c>
      <c r="M7134">
        <v>0.75234540000000005</v>
      </c>
      <c r="N7134">
        <v>0</v>
      </c>
      <c r="O7134">
        <v>-0.65860469999999904</v>
      </c>
      <c r="P7134">
        <v>0.8592476</v>
      </c>
      <c r="Q7134">
        <v>0.21302270000000001</v>
      </c>
      <c r="R7134">
        <v>-0.46509729999999999</v>
      </c>
      <c r="S7134">
        <v>2.9585270000000001</v>
      </c>
      <c r="T7134">
        <v>-0.21838560000000001</v>
      </c>
      <c r="U7134">
        <v>-1.0891420000000001</v>
      </c>
      <c r="V7134">
        <v>-0.2190628</v>
      </c>
      <c r="W7134">
        <v>0.22407840000000001</v>
      </c>
      <c r="X7134">
        <v>0.94963169999999997</v>
      </c>
      <c r="Y7134">
        <v>-0.35609819999999998</v>
      </c>
      <c r="Z7134">
        <v>5.513759E-2</v>
      </c>
      <c r="AA7134">
        <v>0.93282039999999999</v>
      </c>
      <c r="AB7134">
        <v>17</v>
      </c>
      <c r="AC7134">
        <v>15.0581</v>
      </c>
      <c r="AD7134">
        <v>-1.1164170662789901</v>
      </c>
      <c r="AE7134">
        <v>-5.5180699999999803</v>
      </c>
      <c r="AF7134">
        <v>-5.7386544624175899</v>
      </c>
      <c r="AG7134">
        <v>-1.1164170662789901</v>
      </c>
      <c r="AH7134">
        <v>14.8925668311667</v>
      </c>
      <c r="AI7134">
        <v>94.001382966281497</v>
      </c>
      <c r="AJ7134">
        <v>111.07351121571</v>
      </c>
      <c r="AK7134">
        <v>15.9989714958703</v>
      </c>
      <c r="AL7134">
        <v>77.051309338769201</v>
      </c>
      <c r="AM7134">
        <v>102.989863442162</v>
      </c>
      <c r="AN7134">
        <v>1.0000000026676401</v>
      </c>
    </row>
    <row r="7135" spans="1:40" x14ac:dyDescent="0.25">
      <c r="A7135" t="str">
        <f>"20190312172254442"</f>
        <v>20190312172254442</v>
      </c>
      <c r="B7135" t="str">
        <f>"1552382574437902"</f>
        <v>1552382574437902</v>
      </c>
      <c r="C7135" t="s">
        <v>40</v>
      </c>
      <c r="D7135">
        <v>3.3395700000000001</v>
      </c>
      <c r="E7135">
        <v>0.44534370000000001</v>
      </c>
      <c r="F7135" t="s">
        <v>72</v>
      </c>
      <c r="G7135">
        <v>-279.24540000000002</v>
      </c>
      <c r="H7135" s="1">
        <v>-4.0054870000000003E-6</v>
      </c>
      <c r="I7135">
        <v>-66.53143</v>
      </c>
      <c r="J7135">
        <v>-294.36610000000002</v>
      </c>
      <c r="K7135">
        <v>1.1164149999999999</v>
      </c>
      <c r="L7135">
        <v>-61.144620000000003</v>
      </c>
      <c r="M7135">
        <v>0.75753239999999999</v>
      </c>
      <c r="N7135">
        <v>0</v>
      </c>
      <c r="O7135">
        <v>-0.65263169999999904</v>
      </c>
      <c r="P7135">
        <v>0.86262479999999997</v>
      </c>
      <c r="Q7135">
        <v>0.2132608</v>
      </c>
      <c r="R7135">
        <v>-0.4586923</v>
      </c>
      <c r="S7135">
        <v>2.9691770000000002</v>
      </c>
      <c r="T7135">
        <v>-0.21791450000000001</v>
      </c>
      <c r="U7135">
        <v>-1.0646359999999999</v>
      </c>
      <c r="V7135">
        <v>-0.2185764</v>
      </c>
      <c r="W7135">
        <v>0.22433439999999999</v>
      </c>
      <c r="X7135">
        <v>0.94968330000000001</v>
      </c>
      <c r="Y7135">
        <v>-0.356620099999999</v>
      </c>
      <c r="Z7135">
        <v>5.4659930000000002E-2</v>
      </c>
      <c r="AA7135">
        <v>0.93264910000000001</v>
      </c>
      <c r="AB7135">
        <v>17</v>
      </c>
      <c r="AC7135">
        <v>15.120699999999999</v>
      </c>
      <c r="AD7135">
        <v>-1.116419005487</v>
      </c>
      <c r="AE7135">
        <v>-5.3868099999999997</v>
      </c>
      <c r="AF7135">
        <v>-5.7603262872690904</v>
      </c>
      <c r="AG7135">
        <v>-1.116419005487</v>
      </c>
      <c r="AH7135">
        <v>14.899567810319899</v>
      </c>
      <c r="AI7135">
        <v>93.9978107801048</v>
      </c>
      <c r="AJ7135">
        <v>111.137014923804</v>
      </c>
      <c r="AK7135">
        <v>16.013271722728501</v>
      </c>
      <c r="AL7135">
        <v>77.036257991345806</v>
      </c>
      <c r="AM7135">
        <v>102.961315770092</v>
      </c>
      <c r="AN7135">
        <v>0.999999967979604</v>
      </c>
    </row>
    <row r="7136" spans="1:40" x14ac:dyDescent="0.25">
      <c r="A7136" t="str">
        <f>"20190312172254453"</f>
        <v>20190312172254453</v>
      </c>
      <c r="B7136" t="str">
        <f>"1552382574447663"</f>
        <v>1552382574447663</v>
      </c>
      <c r="C7136" t="s">
        <v>40</v>
      </c>
      <c r="D7136">
        <v>3.3753449999999998</v>
      </c>
      <c r="E7136">
        <v>0.44505020000000001</v>
      </c>
      <c r="F7136" t="s">
        <v>72</v>
      </c>
      <c r="G7136">
        <v>-279.5521</v>
      </c>
      <c r="H7136" s="1">
        <v>-4.0741230000000001E-6</v>
      </c>
      <c r="I7136">
        <v>-66.264069999999904</v>
      </c>
      <c r="J7136">
        <v>-294.29770000000002</v>
      </c>
      <c r="K7136">
        <v>1.116414</v>
      </c>
      <c r="L7136">
        <v>-61.194400000000002</v>
      </c>
      <c r="M7136">
        <v>0.76138519999999998</v>
      </c>
      <c r="N7136">
        <v>0</v>
      </c>
      <c r="O7136">
        <v>-0.64813229999999999</v>
      </c>
      <c r="P7136">
        <v>0.86520019999999997</v>
      </c>
      <c r="Q7136">
        <v>0.2132386</v>
      </c>
      <c r="R7136">
        <v>-0.45382600000000001</v>
      </c>
      <c r="S7136">
        <v>2.9848940000000002</v>
      </c>
      <c r="T7136">
        <v>-0.22494900000000001</v>
      </c>
      <c r="U7136">
        <v>-1.031525</v>
      </c>
      <c r="V7136">
        <v>-0.21830069999999999</v>
      </c>
      <c r="W7136">
        <v>0.2243242</v>
      </c>
      <c r="X7136">
        <v>0.94974919999999996</v>
      </c>
      <c r="Y7136">
        <v>-0.36172300000000002</v>
      </c>
      <c r="Z7136">
        <v>5.6235100000000003E-2</v>
      </c>
      <c r="AA7136">
        <v>0.93058799999999997</v>
      </c>
      <c r="AB7136">
        <v>17</v>
      </c>
      <c r="AC7136">
        <v>14.7456</v>
      </c>
      <c r="AD7136">
        <v>-1.1164180741230001</v>
      </c>
      <c r="AE7136">
        <v>-5.0696699999999799</v>
      </c>
      <c r="AF7136">
        <v>-5.6686868322779604</v>
      </c>
      <c r="AG7136">
        <v>-1.1164180741230001</v>
      </c>
      <c r="AH7136">
        <v>14.4404474412299</v>
      </c>
      <c r="AI7136">
        <v>94.116223896337402</v>
      </c>
      <c r="AJ7136">
        <v>111.43279625257701</v>
      </c>
      <c r="AK7136">
        <v>15.553357258855501</v>
      </c>
      <c r="AL7136">
        <v>77.036858677006293</v>
      </c>
      <c r="AM7136">
        <v>102.94465017644499</v>
      </c>
      <c r="AN7136">
        <v>1.0000000426133799</v>
      </c>
    </row>
    <row r="7137" spans="1:40" x14ac:dyDescent="0.25">
      <c r="A7137" t="str">
        <f>"20190312172254466"</f>
        <v>20190312172254466</v>
      </c>
      <c r="B7137" t="str">
        <f>"1552382574457422"</f>
        <v>1552382574457422</v>
      </c>
      <c r="C7137" t="s">
        <v>40</v>
      </c>
      <c r="D7137">
        <v>3.3679800000000002</v>
      </c>
      <c r="E7137">
        <v>0.44491940000000002</v>
      </c>
      <c r="F7137" t="s">
        <v>72</v>
      </c>
      <c r="G7137">
        <v>-279.56549999999999</v>
      </c>
      <c r="H7137" s="1">
        <v>-4.0673809999999999E-6</v>
      </c>
      <c r="I7137">
        <v>-66.179459999999906</v>
      </c>
      <c r="J7137">
        <v>-294.22239999999999</v>
      </c>
      <c r="K7137">
        <v>1.1164080000000001</v>
      </c>
      <c r="L7137">
        <v>-61.248690000000003</v>
      </c>
      <c r="M7137">
        <v>0.76559129999999997</v>
      </c>
      <c r="N7137">
        <v>0</v>
      </c>
      <c r="O7137">
        <v>-0.64315859999999903</v>
      </c>
      <c r="P7137">
        <v>0.86797069999999998</v>
      </c>
      <c r="Q7137">
        <v>0.21329239999999999</v>
      </c>
      <c r="R7137">
        <v>-0.44847900000000002</v>
      </c>
      <c r="S7137">
        <v>2.9921570000000002</v>
      </c>
      <c r="T7137">
        <v>-0.22674800000000001</v>
      </c>
      <c r="U7137">
        <v>-1.0124820000000001</v>
      </c>
      <c r="V7137">
        <v>-0.2179634</v>
      </c>
      <c r="W7137">
        <v>0.2243907</v>
      </c>
      <c r="X7137">
        <v>0.94981090000000001</v>
      </c>
      <c r="Y7137">
        <v>-0.36163060000000002</v>
      </c>
      <c r="Z7137">
        <v>5.6368300000000003E-2</v>
      </c>
      <c r="AA7137">
        <v>0.93061590000000005</v>
      </c>
      <c r="AB7137">
        <v>17</v>
      </c>
      <c r="AC7137">
        <v>14.6569</v>
      </c>
      <c r="AD7137">
        <v>-1.1164120673810001</v>
      </c>
      <c r="AE7137">
        <v>-4.9307699999999803</v>
      </c>
      <c r="AF7137">
        <v>-5.6230626867723403</v>
      </c>
      <c r="AG7137">
        <v>-1.1164120673810001</v>
      </c>
      <c r="AH7137">
        <v>14.319391686908601</v>
      </c>
      <c r="AI7137">
        <v>94.150692549779805</v>
      </c>
      <c r="AJ7137">
        <v>111.439372998613</v>
      </c>
      <c r="AK7137">
        <v>15.4243375276435</v>
      </c>
      <c r="AL7137">
        <v>77.032948111689095</v>
      </c>
      <c r="AM7137">
        <v>102.92450994057</v>
      </c>
      <c r="AN7137">
        <v>0.99999998787242905</v>
      </c>
    </row>
    <row r="7138" spans="1:40" x14ac:dyDescent="0.25">
      <c r="A7138" t="str">
        <f>"20190312172254476"</f>
        <v>20190312172254476</v>
      </c>
      <c r="B7138" t="str">
        <f>"1552382574468160"</f>
        <v>1552382574468160</v>
      </c>
      <c r="C7138" t="s">
        <v>40</v>
      </c>
      <c r="D7138">
        <v>3.3844409999999998</v>
      </c>
      <c r="E7138">
        <v>0.4449688</v>
      </c>
      <c r="F7138" t="s">
        <v>72</v>
      </c>
      <c r="G7138">
        <v>-279.4502</v>
      </c>
      <c r="H7138" s="1">
        <v>-4.0231490000000004E-6</v>
      </c>
      <c r="I7138">
        <v>-66.142139999999998</v>
      </c>
      <c r="J7138">
        <v>-294.14940000000001</v>
      </c>
      <c r="K7138">
        <v>1.1164050000000001</v>
      </c>
      <c r="L7138">
        <v>-61.300600000000003</v>
      </c>
      <c r="M7138">
        <v>0.7696229</v>
      </c>
      <c r="N7138">
        <v>0</v>
      </c>
      <c r="O7138">
        <v>-0.63832869999999997</v>
      </c>
      <c r="P7138">
        <v>0.87066880000000002</v>
      </c>
      <c r="Q7138">
        <v>0.21377760000000001</v>
      </c>
      <c r="R7138">
        <v>-0.4429843</v>
      </c>
      <c r="S7138">
        <v>2.9987789999999999</v>
      </c>
      <c r="T7138">
        <v>-0.22663330000000001</v>
      </c>
      <c r="U7138">
        <v>-0.99337770000000003</v>
      </c>
      <c r="V7138">
        <v>-0.2179191</v>
      </c>
      <c r="W7138">
        <v>0.22488140000000001</v>
      </c>
      <c r="X7138">
        <v>0.94970500000000002</v>
      </c>
      <c r="Y7138">
        <v>-0.36173670000000002</v>
      </c>
      <c r="Z7138">
        <v>5.6047850000000003E-2</v>
      </c>
      <c r="AA7138">
        <v>0.93059400000000003</v>
      </c>
      <c r="AB7138">
        <v>17</v>
      </c>
      <c r="AC7138">
        <v>14.699199999999999</v>
      </c>
      <c r="AD7138">
        <v>-1.11640902314899</v>
      </c>
      <c r="AE7138">
        <v>-4.8415399999999904</v>
      </c>
      <c r="AF7138">
        <v>-5.6280872350878903</v>
      </c>
      <c r="AG7138">
        <v>-1.11640902314899</v>
      </c>
      <c r="AH7138">
        <v>14.3303248342588</v>
      </c>
      <c r="AI7138">
        <v>94.147453859952705</v>
      </c>
      <c r="AJ7138">
        <v>111.44190595428501</v>
      </c>
      <c r="AK7138">
        <v>15.436319020028799</v>
      </c>
      <c r="AL7138">
        <v>77.004095613343296</v>
      </c>
      <c r="AM7138">
        <v>102.92336381210799</v>
      </c>
      <c r="AN7138">
        <v>0.99999998261788403</v>
      </c>
    </row>
    <row r="7139" spans="1:40" x14ac:dyDescent="0.25">
      <c r="A7139" t="str">
        <f>"20190312172254489"</f>
        <v>20190312172254489</v>
      </c>
      <c r="B7139" t="str">
        <f>"1552382574477919"</f>
        <v>1552382574477919</v>
      </c>
      <c r="C7139" t="s">
        <v>40</v>
      </c>
      <c r="D7139">
        <v>3.3650199999999999</v>
      </c>
      <c r="E7139">
        <v>0.4450981</v>
      </c>
      <c r="F7139" t="s">
        <v>72</v>
      </c>
      <c r="G7139">
        <v>-279.29320000000001</v>
      </c>
      <c r="H7139" s="1">
        <v>-3.967158E-6</v>
      </c>
      <c r="I7139">
        <v>-66.122900000000001</v>
      </c>
      <c r="J7139">
        <v>-294.0752</v>
      </c>
      <c r="K7139">
        <v>1.116403</v>
      </c>
      <c r="L7139">
        <v>-61.35248</v>
      </c>
      <c r="M7139">
        <v>0.77367919999999901</v>
      </c>
      <c r="N7139">
        <v>0</v>
      </c>
      <c r="O7139">
        <v>-0.63340600000000002</v>
      </c>
      <c r="P7139">
        <v>0.87332209999999999</v>
      </c>
      <c r="Q7139">
        <v>0.21408250000000001</v>
      </c>
      <c r="R7139">
        <v>-0.4375812</v>
      </c>
      <c r="S7139">
        <v>3.0048520000000001</v>
      </c>
      <c r="T7139">
        <v>-0.22580800000000001</v>
      </c>
      <c r="U7139">
        <v>-0.97537229999999997</v>
      </c>
      <c r="V7139">
        <v>-0.21769949999999999</v>
      </c>
      <c r="W7139">
        <v>0.22519539999999999</v>
      </c>
      <c r="X7139">
        <v>0.949681</v>
      </c>
      <c r="Y7139">
        <v>-0.36141780000000001</v>
      </c>
      <c r="Z7139">
        <v>5.5535130000000002E-2</v>
      </c>
      <c r="AA7139">
        <v>0.93074860000000004</v>
      </c>
      <c r="AB7139">
        <v>17</v>
      </c>
      <c r="AC7139">
        <v>14.781999999999901</v>
      </c>
      <c r="AD7139">
        <v>-1.1164069671579999</v>
      </c>
      <c r="AE7139">
        <v>-4.7704199999999899</v>
      </c>
      <c r="AF7139">
        <v>-5.6436941020982303</v>
      </c>
      <c r="AG7139">
        <v>-1.1164069671579999</v>
      </c>
      <c r="AH7139">
        <v>14.3853954645671</v>
      </c>
      <c r="AI7139">
        <v>94.132210182248699</v>
      </c>
      <c r="AJ7139">
        <v>111.42112461566499</v>
      </c>
      <c r="AK7139">
        <v>15.493135586651499</v>
      </c>
      <c r="AL7139">
        <v>76.9856316319173</v>
      </c>
      <c r="AM7139">
        <v>102.911092701162</v>
      </c>
      <c r="AN7139">
        <v>1.0000000211211999</v>
      </c>
    </row>
    <row r="7140" spans="1:40" x14ac:dyDescent="0.25">
      <c r="A7140" t="str">
        <f>"20190312172254502"</f>
        <v>20190312172254502</v>
      </c>
      <c r="B7140" t="str">
        <f>"1552382574497439"</f>
        <v>1552382574497439</v>
      </c>
      <c r="C7140" t="s">
        <v>40</v>
      </c>
      <c r="D7140">
        <v>3.3718569999999999</v>
      </c>
      <c r="E7140">
        <v>0.44546520000000001</v>
      </c>
      <c r="F7140" t="s">
        <v>72</v>
      </c>
      <c r="G7140">
        <v>-279.13400000000001</v>
      </c>
      <c r="H7140" s="1">
        <v>-3.9110100000000002E-6</v>
      </c>
      <c r="I7140">
        <v>-66.108170000000001</v>
      </c>
      <c r="J7140">
        <v>-294.0016</v>
      </c>
      <c r="K7140">
        <v>1.116404</v>
      </c>
      <c r="L7140">
        <v>-61.403469999999999</v>
      </c>
      <c r="M7140">
        <v>0.77766029999999997</v>
      </c>
      <c r="N7140">
        <v>0</v>
      </c>
      <c r="O7140">
        <v>-0.62851179999999995</v>
      </c>
      <c r="P7140">
        <v>0.87585139999999995</v>
      </c>
      <c r="Q7140">
        <v>0.21447069999999999</v>
      </c>
      <c r="R7140">
        <v>-0.43230410000000002</v>
      </c>
      <c r="S7140">
        <v>3.0101930000000001</v>
      </c>
      <c r="T7140">
        <v>-0.2249227</v>
      </c>
      <c r="U7140">
        <v>-0.95812989999999998</v>
      </c>
      <c r="V7140">
        <v>-0.21738060000000001</v>
      </c>
      <c r="W7140">
        <v>0.22559360000000001</v>
      </c>
      <c r="X7140">
        <v>0.94965949999999999</v>
      </c>
      <c r="Y7140">
        <v>-0.36088439999999999</v>
      </c>
      <c r="Z7140">
        <v>5.5010459999999997E-2</v>
      </c>
      <c r="AA7140">
        <v>0.9309868</v>
      </c>
      <c r="AB7140">
        <v>17</v>
      </c>
      <c r="AC7140">
        <v>14.8675999999999</v>
      </c>
      <c r="AD7140">
        <v>-1.11640791101</v>
      </c>
      <c r="AE7140">
        <v>-4.7046999999999999</v>
      </c>
      <c r="AF7140">
        <v>-5.6574257539210002</v>
      </c>
      <c r="AG7140">
        <v>-1.11640791101</v>
      </c>
      <c r="AH7140">
        <v>14.4464378406868</v>
      </c>
      <c r="AI7140">
        <v>94.115798838999694</v>
      </c>
      <c r="AJ7140">
        <v>111.386001195787</v>
      </c>
      <c r="AK7140">
        <v>15.554819159017001</v>
      </c>
      <c r="AL7140">
        <v>76.9622133348593</v>
      </c>
      <c r="AM7140">
        <v>102.893094293708</v>
      </c>
      <c r="AN7140">
        <v>0.99999998177878402</v>
      </c>
    </row>
    <row r="7141" spans="1:40" x14ac:dyDescent="0.25">
      <c r="A7141" t="str">
        <f>"20190312172254514"</f>
        <v>20190312172254514</v>
      </c>
      <c r="B7141" t="str">
        <f>"1552382574508175"</f>
        <v>1552382574508175</v>
      </c>
      <c r="C7141" t="s">
        <v>40</v>
      </c>
      <c r="D7141">
        <v>3.3387690000000001</v>
      </c>
      <c r="E7141">
        <v>0.44572650000000003</v>
      </c>
      <c r="F7141" t="s">
        <v>72</v>
      </c>
      <c r="G7141">
        <v>-279.01990000000001</v>
      </c>
      <c r="H7141" s="1">
        <v>-3.869631E-6</v>
      </c>
      <c r="I7141">
        <v>-66.089230000000001</v>
      </c>
      <c r="J7141">
        <v>-293.92430000000002</v>
      </c>
      <c r="K7141">
        <v>1.116404</v>
      </c>
      <c r="L7141">
        <v>-61.45599</v>
      </c>
      <c r="M7141">
        <v>0.78179350000000003</v>
      </c>
      <c r="N7141">
        <v>0</v>
      </c>
      <c r="O7141">
        <v>-0.62336309999999995</v>
      </c>
      <c r="P7141">
        <v>0.8781698</v>
      </c>
      <c r="Q7141">
        <v>0.2153524</v>
      </c>
      <c r="R7141">
        <v>-0.42713190000000001</v>
      </c>
      <c r="S7141">
        <v>3.0148320000000002</v>
      </c>
      <c r="T7141">
        <v>-0.22465930000000001</v>
      </c>
      <c r="U7141">
        <v>-0.94293210000000005</v>
      </c>
      <c r="V7141">
        <v>-0.21658340000000001</v>
      </c>
      <c r="W7141">
        <v>0.2264919</v>
      </c>
      <c r="X7141">
        <v>0.94962789999999997</v>
      </c>
      <c r="Y7141">
        <v>-0.35943079999999999</v>
      </c>
      <c r="Z7141">
        <v>5.4593650000000001E-2</v>
      </c>
      <c r="AA7141">
        <v>0.93157350000000005</v>
      </c>
      <c r="AB7141">
        <v>17</v>
      </c>
      <c r="AC7141">
        <v>14.904400000000001</v>
      </c>
      <c r="AD7141">
        <v>-1.116407869631</v>
      </c>
      <c r="AE7141">
        <v>-4.6332399999999998</v>
      </c>
      <c r="AF7141">
        <v>-5.6403745381611303</v>
      </c>
      <c r="AG7141">
        <v>-1.116407869631</v>
      </c>
      <c r="AH7141">
        <v>14.4679125953176</v>
      </c>
      <c r="AI7141">
        <v>94.112154503292203</v>
      </c>
      <c r="AJ7141">
        <v>111.29852568066499</v>
      </c>
      <c r="AK7141">
        <v>15.568580099927599</v>
      </c>
      <c r="AL7141">
        <v>76.909377888257197</v>
      </c>
      <c r="AM7141">
        <v>102.84779652089701</v>
      </c>
      <c r="AN7141">
        <v>1.00000004918978</v>
      </c>
    </row>
    <row r="7142" spans="1:40" x14ac:dyDescent="0.25">
      <c r="A7142" t="str">
        <f>"20190312172254525"</f>
        <v>20190312172254525</v>
      </c>
      <c r="B7142" t="str">
        <f>"1552382574517936"</f>
        <v>1552382574517936</v>
      </c>
      <c r="C7142" t="s">
        <v>40</v>
      </c>
      <c r="D7142">
        <v>3.3513480000000002</v>
      </c>
      <c r="E7142">
        <v>0.44603120000000002</v>
      </c>
      <c r="F7142" t="s">
        <v>72</v>
      </c>
      <c r="G7142">
        <v>-278.78550000000001</v>
      </c>
      <c r="H7142" s="1">
        <v>-3.7920240000000001E-6</v>
      </c>
      <c r="I7142">
        <v>-66.105360000000005</v>
      </c>
      <c r="J7142">
        <v>-293.85199999999998</v>
      </c>
      <c r="K7142">
        <v>1.1164000000000001</v>
      </c>
      <c r="L7142">
        <v>-61.504640000000002</v>
      </c>
      <c r="M7142">
        <v>0.78562580000000004</v>
      </c>
      <c r="N7142">
        <v>0</v>
      </c>
      <c r="O7142">
        <v>-0.61852600000000002</v>
      </c>
      <c r="P7142">
        <v>0.88028779999999995</v>
      </c>
      <c r="Q7142">
        <v>0.21590709999999999</v>
      </c>
      <c r="R7142">
        <v>-0.42246600000000001</v>
      </c>
      <c r="S7142">
        <v>3.019714</v>
      </c>
      <c r="T7142">
        <v>-0.2226872</v>
      </c>
      <c r="U7142">
        <v>-0.92739870000000002</v>
      </c>
      <c r="V7142">
        <v>-0.21567929999999999</v>
      </c>
      <c r="W7142">
        <v>0.2270654</v>
      </c>
      <c r="X7142">
        <v>0.94969669999999895</v>
      </c>
      <c r="Y7142">
        <v>-0.35852640000000002</v>
      </c>
      <c r="Z7142">
        <v>5.3797060000000001E-2</v>
      </c>
      <c r="AA7142">
        <v>0.93196820000000002</v>
      </c>
      <c r="AB7142">
        <v>17</v>
      </c>
      <c r="AC7142">
        <v>15.0665</v>
      </c>
      <c r="AD7142">
        <v>-1.116403792024</v>
      </c>
      <c r="AE7142">
        <v>-4.6007199999999999</v>
      </c>
      <c r="AF7142">
        <v>-5.6766887876722896</v>
      </c>
      <c r="AG7142">
        <v>-1.116403792024</v>
      </c>
      <c r="AH7142">
        <v>14.610516417887199</v>
      </c>
      <c r="AI7142">
        <v>94.073949863900907</v>
      </c>
      <c r="AJ7142">
        <v>111.23286274121401</v>
      </c>
      <c r="AK7142">
        <v>15.7142719531094</v>
      </c>
      <c r="AL7142">
        <v>76.875639623555699</v>
      </c>
      <c r="AM7142">
        <v>102.795037657298</v>
      </c>
      <c r="AN7142">
        <v>1.00000003915826</v>
      </c>
    </row>
    <row r="7143" spans="1:40" x14ac:dyDescent="0.25">
      <c r="A7143" t="str">
        <f>"20190312172254536"</f>
        <v>20190312172254536</v>
      </c>
      <c r="B7143" t="str">
        <f>"1552382574527695"</f>
        <v>1552382574527695</v>
      </c>
      <c r="C7143" t="s">
        <v>40</v>
      </c>
      <c r="D7143">
        <v>3.3537360000000001</v>
      </c>
      <c r="E7143">
        <v>0.44626130000000003</v>
      </c>
      <c r="F7143" t="s">
        <v>72</v>
      </c>
      <c r="G7143">
        <v>-278.58569999999997</v>
      </c>
      <c r="H7143" s="1">
        <v>-3.7250549999999999E-6</v>
      </c>
      <c r="I7143">
        <v>-66.112989999999996</v>
      </c>
      <c r="J7143">
        <v>-293.78339999999997</v>
      </c>
      <c r="K7143">
        <v>1.1163920000000001</v>
      </c>
      <c r="L7143">
        <v>-61.550139999999999</v>
      </c>
      <c r="M7143">
        <v>0.78921640000000004</v>
      </c>
      <c r="N7143">
        <v>0</v>
      </c>
      <c r="O7143">
        <v>-0.61393779999999998</v>
      </c>
      <c r="P7143">
        <v>0.88215350000000003</v>
      </c>
      <c r="Q7143">
        <v>0.2157268</v>
      </c>
      <c r="R7143">
        <v>-0.4186492</v>
      </c>
      <c r="S7143">
        <v>3.0241090000000002</v>
      </c>
      <c r="T7143">
        <v>-0.2211494</v>
      </c>
      <c r="U7143">
        <v>-0.91287229999999997</v>
      </c>
      <c r="V7143">
        <v>-0.21427570000000001</v>
      </c>
      <c r="W7143">
        <v>0.22691449999999999</v>
      </c>
      <c r="X7143">
        <v>0.95005039999999996</v>
      </c>
      <c r="Y7143">
        <v>-0.35760799999999998</v>
      </c>
      <c r="Z7143">
        <v>5.3125190000000003E-2</v>
      </c>
      <c r="AA7143">
        <v>0.93235950000000001</v>
      </c>
      <c r="AB7143">
        <v>17</v>
      </c>
      <c r="AC7143">
        <v>15.1976999999999</v>
      </c>
      <c r="AD7143">
        <v>-1.1163957250550001</v>
      </c>
      <c r="AE7143">
        <v>-4.5628499999999903</v>
      </c>
      <c r="AF7143">
        <v>-5.7017673243748197</v>
      </c>
      <c r="AG7143">
        <v>-1.1163957250550001</v>
      </c>
      <c r="AH7143">
        <v>14.7243078755201</v>
      </c>
      <c r="AI7143">
        <v>94.044307113661105</v>
      </c>
      <c r="AJ7143">
        <v>111.168147053767</v>
      </c>
      <c r="AK7143">
        <v>15.829141873435001</v>
      </c>
      <c r="AL7143">
        <v>76.884516956375904</v>
      </c>
      <c r="AM7143">
        <v>102.709905442744</v>
      </c>
      <c r="AN7143">
        <v>1.0000000142304499</v>
      </c>
    </row>
    <row r="7144" spans="1:40" x14ac:dyDescent="0.25">
      <c r="A7144" t="str">
        <f>"20190312172254548"</f>
        <v>20190312172254548</v>
      </c>
      <c r="B7144" t="str">
        <f>"1552382574537455"</f>
        <v>1552382574537455</v>
      </c>
      <c r="C7144" t="s">
        <v>40</v>
      </c>
      <c r="D7144">
        <v>3.3499270000000001</v>
      </c>
      <c r="E7144">
        <v>0.446521</v>
      </c>
      <c r="F7144" t="s">
        <v>72</v>
      </c>
      <c r="G7144">
        <v>-278.58999999999997</v>
      </c>
      <c r="H7144" s="1">
        <v>-3.7206E-6</v>
      </c>
      <c r="I7144">
        <v>-66.068609999999893</v>
      </c>
      <c r="J7144">
        <v>-293.71069999999997</v>
      </c>
      <c r="K7144">
        <v>1.116382</v>
      </c>
      <c r="L7144">
        <v>-61.5976</v>
      </c>
      <c r="M7144">
        <v>0.79298100000000005</v>
      </c>
      <c r="N7144">
        <v>0</v>
      </c>
      <c r="O7144">
        <v>-0.60906749999999998</v>
      </c>
      <c r="P7144">
        <v>0.88430089999999995</v>
      </c>
      <c r="Q7144">
        <v>0.21501990000000001</v>
      </c>
      <c r="R7144">
        <v>-0.41446159999999999</v>
      </c>
      <c r="S7144">
        <v>3.027863</v>
      </c>
      <c r="T7144">
        <v>-0.2224853</v>
      </c>
      <c r="U7144">
        <v>-0.90048220000000001</v>
      </c>
      <c r="V7144">
        <v>-0.21301890000000001</v>
      </c>
      <c r="W7144">
        <v>0.22623689999999999</v>
      </c>
      <c r="X7144">
        <v>0.95049450000000002</v>
      </c>
      <c r="Y7144">
        <v>-0.35567080000000001</v>
      </c>
      <c r="Z7144">
        <v>5.3091409999999999E-2</v>
      </c>
      <c r="AA7144">
        <v>0.93310210000000005</v>
      </c>
      <c r="AB7144">
        <v>17</v>
      </c>
      <c r="AC7144">
        <v>15.120699999999999</v>
      </c>
      <c r="AD7144">
        <v>-1.1163857206000001</v>
      </c>
      <c r="AE7144">
        <v>-4.4710099999999899</v>
      </c>
      <c r="AF7144">
        <v>-5.6364635836641703</v>
      </c>
      <c r="AG7144">
        <v>-1.1163857206000001</v>
      </c>
      <c r="AH7144">
        <v>14.6417813553079</v>
      </c>
      <c r="AI7144">
        <v>94.070092741904702</v>
      </c>
      <c r="AJ7144">
        <v>111.054584962539</v>
      </c>
      <c r="AK7144">
        <v>15.728884259977701</v>
      </c>
      <c r="AL7144">
        <v>76.924376885591201</v>
      </c>
      <c r="AM7144">
        <v>102.632043491396</v>
      </c>
      <c r="AN7144">
        <v>0.99999999060453404</v>
      </c>
    </row>
    <row r="7145" spans="1:40" x14ac:dyDescent="0.25">
      <c r="A7145" t="str">
        <f>"20190312172254561"</f>
        <v>20190312172254561</v>
      </c>
      <c r="B7145" t="str">
        <f>"1552382574557951"</f>
        <v>1552382574557951</v>
      </c>
      <c r="C7145" t="s">
        <v>40</v>
      </c>
      <c r="D7145">
        <v>3.3378869999999998</v>
      </c>
      <c r="E7145">
        <v>0.44718219999999997</v>
      </c>
      <c r="F7145" t="s">
        <v>72</v>
      </c>
      <c r="G7145">
        <v>-278.709</v>
      </c>
      <c r="H7145" s="1">
        <v>-3.7498530000000001E-6</v>
      </c>
      <c r="I7145">
        <v>-65.984700000000004</v>
      </c>
      <c r="J7145">
        <v>-293.62700000000001</v>
      </c>
      <c r="K7145">
        <v>1.1163700000000001</v>
      </c>
      <c r="L7145">
        <v>-61.651670000000003</v>
      </c>
      <c r="M7145">
        <v>0.79726859999999999</v>
      </c>
      <c r="N7145">
        <v>0</v>
      </c>
      <c r="O7145">
        <v>-0.60344430000000004</v>
      </c>
      <c r="P7145">
        <v>0.88684449999999904</v>
      </c>
      <c r="Q7145">
        <v>0.2146623</v>
      </c>
      <c r="R7145">
        <v>-0.4091786</v>
      </c>
      <c r="S7145">
        <v>3.0318299999999998</v>
      </c>
      <c r="T7145">
        <v>-0.22561990000000001</v>
      </c>
      <c r="U7145">
        <v>-0.88662719999999995</v>
      </c>
      <c r="V7145">
        <v>-0.21200579999999999</v>
      </c>
      <c r="W7145">
        <v>0.2259043</v>
      </c>
      <c r="X7145">
        <v>0.95080010000000004</v>
      </c>
      <c r="Y7145">
        <v>-0.35327730000000002</v>
      </c>
      <c r="Z7145">
        <v>5.3419370000000001E-2</v>
      </c>
      <c r="AA7145">
        <v>0.9339923</v>
      </c>
      <c r="AB7145">
        <v>17</v>
      </c>
      <c r="AC7145">
        <v>14.917999999999999</v>
      </c>
      <c r="AD7145">
        <v>-1.116373749853</v>
      </c>
      <c r="AE7145">
        <v>-4.3330299999999999</v>
      </c>
      <c r="AF7145">
        <v>-5.5196913463773596</v>
      </c>
      <c r="AG7145">
        <v>-1.116373749853</v>
      </c>
      <c r="AH7145">
        <v>14.4354243706027</v>
      </c>
      <c r="AI7145">
        <v>94.131591255782595</v>
      </c>
      <c r="AJ7145">
        <v>110.925417254434</v>
      </c>
      <c r="AK7145">
        <v>15.494991438139801</v>
      </c>
      <c r="AL7145">
        <v>76.943940336288705</v>
      </c>
      <c r="AM7145">
        <v>102.5699683326</v>
      </c>
      <c r="AN7145">
        <v>1.00000002107606</v>
      </c>
    </row>
    <row r="7146" spans="1:40" x14ac:dyDescent="0.25">
      <c r="A7146" t="str">
        <f>"20190312172254576"</f>
        <v>20190312172254576</v>
      </c>
      <c r="B7146" t="str">
        <f>"1552382574567711"</f>
        <v>1552382574567711</v>
      </c>
      <c r="C7146" t="s">
        <v>40</v>
      </c>
      <c r="D7146">
        <v>3.342625</v>
      </c>
      <c r="E7146">
        <v>0.44718219999999997</v>
      </c>
      <c r="F7146" t="s">
        <v>72</v>
      </c>
      <c r="G7146">
        <v>-278.8492</v>
      </c>
      <c r="H7146" s="1">
        <v>-3.786404E-6</v>
      </c>
      <c r="I7146">
        <v>-65.901079999999993</v>
      </c>
      <c r="J7146">
        <v>-293.53500000000003</v>
      </c>
      <c r="K7146">
        <v>1.116358</v>
      </c>
      <c r="L7146">
        <v>-61.70993</v>
      </c>
      <c r="M7146">
        <v>0.80191230000000002</v>
      </c>
      <c r="N7146">
        <v>0</v>
      </c>
      <c r="O7146">
        <v>-0.59725930000000005</v>
      </c>
      <c r="P7146">
        <v>0.88953009999999999</v>
      </c>
      <c r="Q7146">
        <v>0.2140888</v>
      </c>
      <c r="R7146">
        <v>-0.40361170000000002</v>
      </c>
      <c r="S7146">
        <v>3.0355829999999999</v>
      </c>
      <c r="T7146">
        <v>-0.22932050000000001</v>
      </c>
      <c r="U7146">
        <v>-0.87289430000000001</v>
      </c>
      <c r="V7146">
        <v>-0.210674</v>
      </c>
      <c r="W7146">
        <v>0.2253626</v>
      </c>
      <c r="X7146">
        <v>0.95122459999999998</v>
      </c>
      <c r="Y7146">
        <v>-0.35020059999999997</v>
      </c>
      <c r="Z7146">
        <v>5.3811329999999997E-2</v>
      </c>
      <c r="AA7146">
        <v>0.93512770000000001</v>
      </c>
      <c r="AB7146">
        <v>17</v>
      </c>
      <c r="AC7146">
        <v>14.6858</v>
      </c>
      <c r="AD7146">
        <v>-1.1163617864040001</v>
      </c>
      <c r="AE7146">
        <v>-4.1911500000000004</v>
      </c>
      <c r="AF7146">
        <v>-5.3821273535915504</v>
      </c>
      <c r="AG7146">
        <v>-1.1163617864040001</v>
      </c>
      <c r="AH7146">
        <v>14.2055789724851</v>
      </c>
      <c r="AI7146">
        <v>94.203024424112897</v>
      </c>
      <c r="AJ7146">
        <v>110.750405351339</v>
      </c>
      <c r="AK7146">
        <v>15.231941190535601</v>
      </c>
      <c r="AL7146">
        <v>76.975799243371796</v>
      </c>
      <c r="AM7146">
        <v>102.48809124093</v>
      </c>
      <c r="AN7146">
        <v>1.0000000376999501</v>
      </c>
    </row>
    <row r="7147" spans="1:40" x14ac:dyDescent="0.25">
      <c r="A7147" t="str">
        <f>"20190312172254589"</f>
        <v>20190312172254589</v>
      </c>
      <c r="B7147" t="str">
        <f>"1552382574577471"</f>
        <v>1552382574577471</v>
      </c>
      <c r="C7147" t="s">
        <v>40</v>
      </c>
      <c r="D7147">
        <v>3.3197399999999999</v>
      </c>
      <c r="E7147">
        <v>0.45491100000000001</v>
      </c>
      <c r="F7147" t="s">
        <v>72</v>
      </c>
      <c r="G7147">
        <v>-278.875</v>
      </c>
      <c r="H7147" s="1">
        <v>-3.7855629999999998E-6</v>
      </c>
      <c r="I7147">
        <v>-65.829189999999997</v>
      </c>
      <c r="J7147">
        <v>-293.45479999999998</v>
      </c>
      <c r="K7147">
        <v>1.1163510000000001</v>
      </c>
      <c r="L7147">
        <v>-61.759830000000001</v>
      </c>
      <c r="M7147">
        <v>0.80590340000000005</v>
      </c>
      <c r="N7147">
        <v>0</v>
      </c>
      <c r="O7147">
        <v>-0.59186289999999997</v>
      </c>
      <c r="P7147">
        <v>0.89196319999999996</v>
      </c>
      <c r="Q7147">
        <v>0.21417320000000001</v>
      </c>
      <c r="R7147">
        <v>-0.39816020000000002</v>
      </c>
      <c r="S7147">
        <v>3.040619</v>
      </c>
      <c r="T7147">
        <v>-0.2315431</v>
      </c>
      <c r="U7147">
        <v>-0.85437009999999902</v>
      </c>
      <c r="V7147">
        <v>-0.2100901</v>
      </c>
      <c r="W7147">
        <v>0.22546350000000001</v>
      </c>
      <c r="X7147">
        <v>0.9513298</v>
      </c>
      <c r="Y7147">
        <v>-0.34956969999999998</v>
      </c>
      <c r="Z7147">
        <v>5.3972779999999998E-2</v>
      </c>
      <c r="AA7147">
        <v>0.93535449999999998</v>
      </c>
      <c r="AB7147">
        <v>17</v>
      </c>
      <c r="AC7147">
        <v>14.579799999999899</v>
      </c>
      <c r="AD7147">
        <v>-1.1163547855630001</v>
      </c>
      <c r="AE7147">
        <v>-4.0693599999999801</v>
      </c>
      <c r="AF7147">
        <v>-5.3213717732911601</v>
      </c>
      <c r="AG7147">
        <v>-1.1163547855630001</v>
      </c>
      <c r="AH7147">
        <v>14.0833573404181</v>
      </c>
      <c r="AI7147">
        <v>94.240775786145704</v>
      </c>
      <c r="AJ7147">
        <v>110.69898358795101</v>
      </c>
      <c r="AK7147">
        <v>15.0964962668408</v>
      </c>
      <c r="AL7147">
        <v>76.9698650692157</v>
      </c>
      <c r="AM7147">
        <v>102.453226670105</v>
      </c>
      <c r="AN7147">
        <v>1.0000000141591501</v>
      </c>
    </row>
    <row r="7148" spans="1:40" x14ac:dyDescent="0.25">
      <c r="A7148" t="str">
        <f>"20190312172254600"</f>
        <v>20190312172254600</v>
      </c>
      <c r="B7148" t="str">
        <f>"1552382574597967"</f>
        <v>1552382574597967</v>
      </c>
      <c r="C7148" t="s">
        <v>40</v>
      </c>
      <c r="D7148">
        <v>3.3520509999999999</v>
      </c>
      <c r="E7148">
        <v>0.45525650000000001</v>
      </c>
      <c r="F7148" t="s">
        <v>64</v>
      </c>
      <c r="G7148">
        <v>-280.3175</v>
      </c>
      <c r="H7148" s="1">
        <v>-7.0122189999999999E-6</v>
      </c>
      <c r="I7148">
        <v>-65.639209999999906</v>
      </c>
      <c r="J7148">
        <v>-293.38220000000001</v>
      </c>
      <c r="K7148">
        <v>1.116339</v>
      </c>
      <c r="L7148">
        <v>-61.804749999999999</v>
      </c>
      <c r="M7148">
        <v>0.80948359999999997</v>
      </c>
      <c r="N7148">
        <v>0</v>
      </c>
      <c r="O7148">
        <v>-0.586956699999999</v>
      </c>
      <c r="P7148">
        <v>0.89394689999999999</v>
      </c>
      <c r="Q7148">
        <v>0.21435190000000001</v>
      </c>
      <c r="R7148">
        <v>-0.39358890000000002</v>
      </c>
      <c r="S7148">
        <v>3.0261840000000002</v>
      </c>
      <c r="T7148">
        <v>-0.25715310000000002</v>
      </c>
      <c r="U7148">
        <v>-0.89361569999999901</v>
      </c>
      <c r="V7148">
        <v>-0.2091488</v>
      </c>
      <c r="W7148">
        <v>0.22566369999999999</v>
      </c>
      <c r="X7148">
        <v>0.95148969999999999</v>
      </c>
      <c r="Y7148">
        <v>-0.3309935</v>
      </c>
      <c r="Z7148">
        <v>5.8959339999999999E-2</v>
      </c>
      <c r="AA7148">
        <v>0.94178930000000005</v>
      </c>
      <c r="AB7148">
        <v>17</v>
      </c>
      <c r="AC7148">
        <v>13.0647</v>
      </c>
      <c r="AD7148">
        <v>-1.1163460122190001</v>
      </c>
      <c r="AE7148">
        <v>-3.8344599999999902</v>
      </c>
      <c r="AF7148">
        <v>-4.5344967530884004</v>
      </c>
      <c r="AG7148">
        <v>-1.1163460122190001</v>
      </c>
      <c r="AH7148">
        <v>12.742066583379</v>
      </c>
      <c r="AI7148">
        <v>94.718513607383798</v>
      </c>
      <c r="AJ7148">
        <v>109.58902885332</v>
      </c>
      <c r="AK7148">
        <v>13.5708566434853</v>
      </c>
      <c r="AL7148">
        <v>76.958090666519595</v>
      </c>
      <c r="AM7148">
        <v>102.397140694955</v>
      </c>
      <c r="AN7148">
        <v>0.999999987622609</v>
      </c>
    </row>
    <row r="7149" spans="1:40" x14ac:dyDescent="0.25">
      <c r="A7149" t="str">
        <f>"20190312172254612"</f>
        <v>20190312172254612</v>
      </c>
      <c r="B7149" t="str">
        <f>"1552382574607727"</f>
        <v>1552382574607727</v>
      </c>
      <c r="C7149" t="s">
        <v>40</v>
      </c>
      <c r="D7149">
        <v>3.318257</v>
      </c>
      <c r="E7149">
        <v>0.45549869999999998</v>
      </c>
      <c r="F7149" t="s">
        <v>64</v>
      </c>
      <c r="G7149">
        <v>-279.9599</v>
      </c>
      <c r="H7149" s="1">
        <v>-7.1242549999999999E-6</v>
      </c>
      <c r="I7149">
        <v>-65.707509999999999</v>
      </c>
      <c r="J7149">
        <v>-293.30450000000002</v>
      </c>
      <c r="K7149">
        <v>1.116323</v>
      </c>
      <c r="L7149">
        <v>-61.851649999999999</v>
      </c>
      <c r="M7149">
        <v>0.81325639999999999</v>
      </c>
      <c r="N7149">
        <v>0</v>
      </c>
      <c r="O7149">
        <v>-0.58171809999999902</v>
      </c>
      <c r="P7149">
        <v>0.89587689999999998</v>
      </c>
      <c r="Q7149">
        <v>0.2148755</v>
      </c>
      <c r="R7149">
        <v>-0.38888689999999998</v>
      </c>
      <c r="S7149">
        <v>3.0285950000000001</v>
      </c>
      <c r="T7149">
        <v>-0.25189129999999998</v>
      </c>
      <c r="U7149">
        <v>-0.88061520000000004</v>
      </c>
      <c r="V7149">
        <v>-0.2079259</v>
      </c>
      <c r="W7149">
        <v>0.22621269999999999</v>
      </c>
      <c r="X7149">
        <v>0.95162740000000001</v>
      </c>
      <c r="Y7149">
        <v>-0.32895839999999998</v>
      </c>
      <c r="Z7149">
        <v>5.7344159999999998E-2</v>
      </c>
      <c r="AA7149">
        <v>0.94260169999999999</v>
      </c>
      <c r="AB7149">
        <v>17</v>
      </c>
      <c r="AC7149">
        <v>13.3446</v>
      </c>
      <c r="AD7149">
        <v>-1.1163301242549999</v>
      </c>
      <c r="AE7149">
        <v>-3.8558599999999998</v>
      </c>
      <c r="AF7149">
        <v>-4.5978010272539098</v>
      </c>
      <c r="AG7149">
        <v>-1.1163301242549999</v>
      </c>
      <c r="AH7149">
        <v>13.012985270358801</v>
      </c>
      <c r="AI7149">
        <v>94.624331110019</v>
      </c>
      <c r="AJ7149">
        <v>109.459541016388</v>
      </c>
      <c r="AK7149">
        <v>13.8464346630861</v>
      </c>
      <c r="AL7149">
        <v>76.925800963611294</v>
      </c>
      <c r="AM7149">
        <v>102.325147410969</v>
      </c>
      <c r="AN7149">
        <v>1.0000000369814199</v>
      </c>
    </row>
    <row r="7150" spans="1:40" x14ac:dyDescent="0.25">
      <c r="A7150" t="str">
        <f>"20190312172254623"</f>
        <v>20190312172254623</v>
      </c>
      <c r="B7150" t="str">
        <f>"1552382574617486"</f>
        <v>1552382574617486</v>
      </c>
      <c r="C7150" t="s">
        <v>40</v>
      </c>
      <c r="D7150">
        <v>3.3656619999999999</v>
      </c>
      <c r="E7150">
        <v>0.45559529999999898</v>
      </c>
      <c r="F7150" t="s">
        <v>72</v>
      </c>
      <c r="G7150">
        <v>-279.58440000000002</v>
      </c>
      <c r="H7150" s="1">
        <v>-4.0190589999999997E-6</v>
      </c>
      <c r="I7150">
        <v>-65.769840000000002</v>
      </c>
      <c r="J7150">
        <v>-293.23880000000003</v>
      </c>
      <c r="K7150">
        <v>1.116306</v>
      </c>
      <c r="L7150">
        <v>-61.89105</v>
      </c>
      <c r="M7150">
        <v>0.81641430000000004</v>
      </c>
      <c r="N7150">
        <v>0</v>
      </c>
      <c r="O7150">
        <v>-0.57727779999999995</v>
      </c>
      <c r="P7150">
        <v>0.89754639999999997</v>
      </c>
      <c r="Q7150">
        <v>0.21526670000000001</v>
      </c>
      <c r="R7150">
        <v>-0.38479970000000002</v>
      </c>
      <c r="S7150">
        <v>3.0319820000000002</v>
      </c>
      <c r="T7150">
        <v>-0.2466962</v>
      </c>
      <c r="U7150">
        <v>-0.86587519999999996</v>
      </c>
      <c r="V7150">
        <v>-0.20701839999999999</v>
      </c>
      <c r="W7150">
        <v>0.22662280000000001</v>
      </c>
      <c r="X7150">
        <v>0.95172760000000001</v>
      </c>
      <c r="Y7150">
        <v>-0.32844709999999899</v>
      </c>
      <c r="Z7150">
        <v>5.5858079999999997E-2</v>
      </c>
      <c r="AA7150">
        <v>0.94286919999999996</v>
      </c>
      <c r="AB7150">
        <v>17</v>
      </c>
      <c r="AC7150">
        <v>13.654400000000001</v>
      </c>
      <c r="AD7150">
        <v>-1.1163100190590001</v>
      </c>
      <c r="AE7150">
        <v>-3.87879</v>
      </c>
      <c r="AF7150">
        <v>-4.6872073961220702</v>
      </c>
      <c r="AG7150">
        <v>-1.1163100190590001</v>
      </c>
      <c r="AH7150">
        <v>13.305952578559801</v>
      </c>
      <c r="AI7150">
        <v>94.524358098362896</v>
      </c>
      <c r="AJ7150">
        <v>109.405523302617</v>
      </c>
      <c r="AK7150">
        <v>14.1514817335781</v>
      </c>
      <c r="AL7150">
        <v>76.901676565888494</v>
      </c>
      <c r="AM7150">
        <v>102.271734749046</v>
      </c>
      <c r="AN7150">
        <v>0.99999996801007895</v>
      </c>
    </row>
    <row r="7151" spans="1:40" x14ac:dyDescent="0.25">
      <c r="A7151" t="str">
        <f>"20190312172254634"</f>
        <v>20190312172254634</v>
      </c>
      <c r="B7151" t="str">
        <f>"1552382574628223"</f>
        <v>1552382574628223</v>
      </c>
      <c r="C7151" t="s">
        <v>40</v>
      </c>
      <c r="D7151">
        <v>3.3239719999999999</v>
      </c>
      <c r="E7151">
        <v>0.45599840000000003</v>
      </c>
      <c r="F7151" t="s">
        <v>72</v>
      </c>
      <c r="G7151">
        <v>-279.3836</v>
      </c>
      <c r="H7151" s="1">
        <v>-3.951945E-6</v>
      </c>
      <c r="I7151">
        <v>-65.778930000000003</v>
      </c>
      <c r="J7151">
        <v>-293.16669999999999</v>
      </c>
      <c r="K7151">
        <v>1.1162890000000001</v>
      </c>
      <c r="L7151">
        <v>-61.933529999999998</v>
      </c>
      <c r="M7151">
        <v>0.81983359999999905</v>
      </c>
      <c r="N7151">
        <v>0</v>
      </c>
      <c r="O7151">
        <v>-0.57241169999999997</v>
      </c>
      <c r="P7151">
        <v>0.89948289999999997</v>
      </c>
      <c r="Q7151">
        <v>0.21472250000000001</v>
      </c>
      <c r="R7151">
        <v>-0.38055830000000002</v>
      </c>
      <c r="S7151">
        <v>3.0358890000000001</v>
      </c>
      <c r="T7151">
        <v>-0.24460209999999999</v>
      </c>
      <c r="U7151">
        <v>-0.85189820000000005</v>
      </c>
      <c r="V7151">
        <v>-0.2059047</v>
      </c>
      <c r="W7151">
        <v>0.22610450000000001</v>
      </c>
      <c r="X7151">
        <v>0.95209239999999995</v>
      </c>
      <c r="Y7151">
        <v>-0.3272292</v>
      </c>
      <c r="Z7151">
        <v>5.501263E-2</v>
      </c>
      <c r="AA7151">
        <v>0.94334229999999997</v>
      </c>
      <c r="AB7151">
        <v>17</v>
      </c>
      <c r="AC7151">
        <v>13.7830999999999</v>
      </c>
      <c r="AD7151">
        <v>-1.11629295194499</v>
      </c>
      <c r="AE7151">
        <v>-3.8453999999999899</v>
      </c>
      <c r="AF7151">
        <v>-4.7088785824194002</v>
      </c>
      <c r="AG7151">
        <v>-1.11629295194499</v>
      </c>
      <c r="AH7151">
        <v>13.420795670728999</v>
      </c>
      <c r="AI7151">
        <v>94.487689927968802</v>
      </c>
      <c r="AJ7151">
        <v>109.33415271447301</v>
      </c>
      <c r="AK7151">
        <v>14.266653563256799</v>
      </c>
      <c r="AL7151">
        <v>76.932164295561705</v>
      </c>
      <c r="AM7151">
        <v>102.20316410133999</v>
      </c>
      <c r="AN7151">
        <v>0.999999964270049</v>
      </c>
    </row>
    <row r="7152" spans="1:40" x14ac:dyDescent="0.25">
      <c r="A7152" t="str">
        <f>"20190312172254644"</f>
        <v>20190312172254644</v>
      </c>
      <c r="B7152" t="str">
        <f>"1552382574637983"</f>
        <v>1552382574637983</v>
      </c>
      <c r="C7152" t="s">
        <v>40</v>
      </c>
      <c r="D7152">
        <v>3.30246</v>
      </c>
      <c r="E7152">
        <v>0.45633990000000002</v>
      </c>
      <c r="F7152" t="s">
        <v>72</v>
      </c>
      <c r="G7152">
        <v>-279.37549999999999</v>
      </c>
      <c r="H7152" s="1">
        <v>-3.9442000000000003E-6</v>
      </c>
      <c r="I7152">
        <v>-65.741680000000002</v>
      </c>
      <c r="J7152">
        <v>-293.10329999999999</v>
      </c>
      <c r="K7152">
        <v>1.1162700000000001</v>
      </c>
      <c r="L7152">
        <v>-61.970489999999998</v>
      </c>
      <c r="M7152">
        <v>0.82280869999999995</v>
      </c>
      <c r="N7152">
        <v>0</v>
      </c>
      <c r="O7152">
        <v>-0.56812669999999998</v>
      </c>
      <c r="P7152">
        <v>0.90119179999999999</v>
      </c>
      <c r="Q7152">
        <v>0.21448800000000001</v>
      </c>
      <c r="R7152">
        <v>-0.3766275</v>
      </c>
      <c r="S7152">
        <v>3.0389400000000002</v>
      </c>
      <c r="T7152">
        <v>-0.24597939999999999</v>
      </c>
      <c r="U7152">
        <v>-0.83914179999999905</v>
      </c>
      <c r="V7152">
        <v>-0.20511289999999999</v>
      </c>
      <c r="W7152">
        <v>0.22588939999999999</v>
      </c>
      <c r="X7152">
        <v>0.95231440000000001</v>
      </c>
      <c r="Y7152">
        <v>-0.32620929999999998</v>
      </c>
      <c r="Z7152">
        <v>5.4999739999999998E-2</v>
      </c>
      <c r="AA7152">
        <v>0.94369619999999999</v>
      </c>
      <c r="AB7152">
        <v>17</v>
      </c>
      <c r="AC7152">
        <v>13.7278</v>
      </c>
      <c r="AD7152">
        <v>-1.1162739442</v>
      </c>
      <c r="AE7152">
        <v>-3.7711899999999901</v>
      </c>
      <c r="AF7152">
        <v>-4.6679741989104198</v>
      </c>
      <c r="AG7152">
        <v>-1.1162739442</v>
      </c>
      <c r="AH7152">
        <v>13.3572094642509</v>
      </c>
      <c r="AI7152">
        <v>94.510839148495094</v>
      </c>
      <c r="AJ7152">
        <v>109.26310442639</v>
      </c>
      <c r="AK7152">
        <v>14.1933468678838</v>
      </c>
      <c r="AL7152">
        <v>76.944816676775801</v>
      </c>
      <c r="AM7152">
        <v>102.154885880468</v>
      </c>
      <c r="AN7152">
        <v>1.0000000196130601</v>
      </c>
    </row>
    <row r="7153" spans="1:40" x14ac:dyDescent="0.25">
      <c r="A7153" t="str">
        <f>"20190312172254654"</f>
        <v>20190312172254654</v>
      </c>
      <c r="B7153" t="str">
        <f>"1552382574647743"</f>
        <v>1552382574647743</v>
      </c>
      <c r="C7153" t="s">
        <v>40</v>
      </c>
      <c r="D7153">
        <v>3.3250700000000002</v>
      </c>
      <c r="E7153">
        <v>0.45671630000000002</v>
      </c>
      <c r="F7153" t="s">
        <v>72</v>
      </c>
      <c r="G7153">
        <v>-279.27800000000002</v>
      </c>
      <c r="H7153" s="1">
        <v>-3.9098689999999998E-6</v>
      </c>
      <c r="I7153">
        <v>-65.733050000000006</v>
      </c>
      <c r="J7153">
        <v>-293.03579999999999</v>
      </c>
      <c r="K7153">
        <v>1.1162589999999999</v>
      </c>
      <c r="L7153">
        <v>-62.009340000000002</v>
      </c>
      <c r="M7153">
        <v>0.82594310000000004</v>
      </c>
      <c r="N7153">
        <v>0</v>
      </c>
      <c r="O7153">
        <v>-0.56356049999999902</v>
      </c>
      <c r="P7153">
        <v>0.9031922</v>
      </c>
      <c r="Q7153">
        <v>0.2138758</v>
      </c>
      <c r="R7153">
        <v>-0.37215769999999998</v>
      </c>
      <c r="S7153">
        <v>3.0414430000000001</v>
      </c>
      <c r="T7153">
        <v>-0.24556990000000001</v>
      </c>
      <c r="U7153">
        <v>-0.82772829999999997</v>
      </c>
      <c r="V7153">
        <v>-0.2046201</v>
      </c>
      <c r="W7153">
        <v>0.22529440000000001</v>
      </c>
      <c r="X7153">
        <v>0.95256130000000006</v>
      </c>
      <c r="Y7153">
        <v>-0.32449250000000002</v>
      </c>
      <c r="Z7153">
        <v>5.4545110000000001E-2</v>
      </c>
      <c r="AA7153">
        <v>0.94431419999999999</v>
      </c>
      <c r="AB7153">
        <v>17</v>
      </c>
      <c r="AC7153">
        <v>13.7577999999999</v>
      </c>
      <c r="AD7153">
        <v>-1.116262909869</v>
      </c>
      <c r="AE7153">
        <v>-3.7237100000000001</v>
      </c>
      <c r="AF7153">
        <v>-4.6497681575263003</v>
      </c>
      <c r="AG7153">
        <v>-1.116262909869</v>
      </c>
      <c r="AH7153">
        <v>13.3810832979423</v>
      </c>
      <c r="AI7153">
        <v>94.505545528762497</v>
      </c>
      <c r="AJ7153">
        <v>109.161734611527</v>
      </c>
      <c r="AK7153">
        <v>14.2098478890228</v>
      </c>
      <c r="AL7153">
        <v>76.979809342527105</v>
      </c>
      <c r="AM7153">
        <v>102.123497956873</v>
      </c>
      <c r="AN7153">
        <v>0.99999999112653004</v>
      </c>
    </row>
    <row r="7154" spans="1:40" x14ac:dyDescent="0.25">
      <c r="A7154" t="str">
        <f>"20190312172254666"</f>
        <v>20190312172254666</v>
      </c>
      <c r="B7154" t="str">
        <f>"1552382574657503"</f>
        <v>1552382574657503</v>
      </c>
      <c r="C7154" t="s">
        <v>40</v>
      </c>
      <c r="D7154">
        <v>3.2884470000000001</v>
      </c>
      <c r="E7154">
        <v>0.45707500000000001</v>
      </c>
      <c r="F7154" t="s">
        <v>72</v>
      </c>
      <c r="G7154">
        <v>-279.26119999999997</v>
      </c>
      <c r="H7154" s="1">
        <v>-3.8994740000000002E-6</v>
      </c>
      <c r="I7154">
        <v>-65.698119999999903</v>
      </c>
      <c r="J7154">
        <v>-292.96719999999999</v>
      </c>
      <c r="K7154">
        <v>1.116242</v>
      </c>
      <c r="L7154">
        <v>-62.048369999999998</v>
      </c>
      <c r="M7154">
        <v>0.82909259999999996</v>
      </c>
      <c r="N7154">
        <v>0</v>
      </c>
      <c r="O7154">
        <v>-0.55891679999999999</v>
      </c>
      <c r="P7154">
        <v>0.90538850000000004</v>
      </c>
      <c r="Q7154">
        <v>0.2129259</v>
      </c>
      <c r="R7154">
        <v>-0.3673343</v>
      </c>
      <c r="S7154">
        <v>3.0440670000000001</v>
      </c>
      <c r="T7154">
        <v>-0.24668380000000001</v>
      </c>
      <c r="U7154">
        <v>-0.81518550000000001</v>
      </c>
      <c r="V7154">
        <v>-0.20446010000000001</v>
      </c>
      <c r="W7154">
        <v>0.22435769999999999</v>
      </c>
      <c r="X7154">
        <v>0.95281669999999996</v>
      </c>
      <c r="Y7154">
        <v>-0.3230131</v>
      </c>
      <c r="Z7154">
        <v>5.443079E-2</v>
      </c>
      <c r="AA7154">
        <v>0.94482790000000005</v>
      </c>
      <c r="AB7154">
        <v>17</v>
      </c>
      <c r="AC7154">
        <v>13.706</v>
      </c>
      <c r="AD7154">
        <v>-1.1162458994740001</v>
      </c>
      <c r="AE7154">
        <v>-3.6497499999999898</v>
      </c>
      <c r="AF7154">
        <v>-4.6065059554948098</v>
      </c>
      <c r="AG7154">
        <v>-1.1162458994740001</v>
      </c>
      <c r="AH7154">
        <v>13.3223934147878</v>
      </c>
      <c r="AI7154">
        <v>94.527637465268796</v>
      </c>
      <c r="AJ7154">
        <v>109.073934612952</v>
      </c>
      <c r="AK7154">
        <v>14.1404408815455</v>
      </c>
      <c r="AL7154">
        <v>77.034888329815999</v>
      </c>
      <c r="AM7154">
        <v>102.11114693477801</v>
      </c>
      <c r="AN7154">
        <v>0.99999998692009395</v>
      </c>
    </row>
    <row r="7155" spans="1:40" x14ac:dyDescent="0.25">
      <c r="A7155" t="str">
        <f>"20190312172254676"</f>
        <v>20190312172254676</v>
      </c>
      <c r="B7155" t="str">
        <f>"1552382574667263"</f>
        <v>1552382574667263</v>
      </c>
      <c r="C7155" t="s">
        <v>40</v>
      </c>
      <c r="D7155">
        <v>3.2707510000000002</v>
      </c>
      <c r="E7155">
        <v>0.45707500000000001</v>
      </c>
      <c r="F7155" t="s">
        <v>72</v>
      </c>
      <c r="G7155">
        <v>-279.32240000000002</v>
      </c>
      <c r="H7155" s="1">
        <v>-3.9125210000000002E-6</v>
      </c>
      <c r="I7155">
        <v>-65.63982</v>
      </c>
      <c r="J7155">
        <v>-292.89550000000003</v>
      </c>
      <c r="K7155">
        <v>1.1162219999999901</v>
      </c>
      <c r="L7155">
        <v>-62.088619999999999</v>
      </c>
      <c r="M7155">
        <v>0.83234319999999895</v>
      </c>
      <c r="N7155">
        <v>0</v>
      </c>
      <c r="O7155">
        <v>-0.55406429999999995</v>
      </c>
      <c r="P7155">
        <v>0.90736810000000001</v>
      </c>
      <c r="Q7155">
        <v>0.21277479999999999</v>
      </c>
      <c r="R7155">
        <v>-0.36250579999999999</v>
      </c>
      <c r="S7155">
        <v>3.0467529999999998</v>
      </c>
      <c r="T7155">
        <v>-0.2492481</v>
      </c>
      <c r="U7155">
        <v>-0.80194089999999996</v>
      </c>
      <c r="V7155">
        <v>-0.20397760000000001</v>
      </c>
      <c r="W7155">
        <v>0.22422429999999999</v>
      </c>
      <c r="X7155">
        <v>0.95295160000000001</v>
      </c>
      <c r="Y7155">
        <v>-0.3214977</v>
      </c>
      <c r="Z7155">
        <v>5.461423E-2</v>
      </c>
      <c r="AA7155">
        <v>0.94533409999999995</v>
      </c>
      <c r="AB7155">
        <v>17</v>
      </c>
      <c r="AC7155">
        <v>13.5731</v>
      </c>
      <c r="AD7155">
        <v>-1.1162259125209999</v>
      </c>
      <c r="AE7155">
        <v>-3.5512000000000001</v>
      </c>
      <c r="AF7155">
        <v>-4.5363354231402804</v>
      </c>
      <c r="AG7155">
        <v>-1.1162259125209999</v>
      </c>
      <c r="AH7155">
        <v>13.1830674489391</v>
      </c>
      <c r="AI7155">
        <v>94.577548106688397</v>
      </c>
      <c r="AJ7155">
        <v>108.98850308711</v>
      </c>
      <c r="AK7155">
        <v>13.9863349996451</v>
      </c>
      <c r="AL7155">
        <v>77.042732572098103</v>
      </c>
      <c r="AM7155">
        <v>102.08174678356499</v>
      </c>
      <c r="AN7155">
        <v>1.0000000749774001</v>
      </c>
    </row>
    <row r="7156" spans="1:40" x14ac:dyDescent="0.25">
      <c r="A7156" t="str">
        <f>"20190312172254687"</f>
        <v>20190312172254687</v>
      </c>
      <c r="B7156" t="str">
        <f>"1552382574678000"</f>
        <v>1552382574678000</v>
      </c>
      <c r="C7156" t="s">
        <v>40</v>
      </c>
      <c r="D7156">
        <v>3.2657970000000001</v>
      </c>
      <c r="E7156">
        <v>0.46249200000000001</v>
      </c>
      <c r="F7156" t="s">
        <v>72</v>
      </c>
      <c r="G7156">
        <v>-279.26429999999999</v>
      </c>
      <c r="H7156" s="1">
        <v>-3.8873839999999998E-6</v>
      </c>
      <c r="I7156">
        <v>-65.599919999999997</v>
      </c>
      <c r="J7156">
        <v>-292.82670000000002</v>
      </c>
      <c r="K7156">
        <v>1.116209</v>
      </c>
      <c r="L7156">
        <v>-62.126620000000003</v>
      </c>
      <c r="M7156">
        <v>0.83542430000000001</v>
      </c>
      <c r="N7156">
        <v>0</v>
      </c>
      <c r="O7156">
        <v>-0.54940749999999905</v>
      </c>
      <c r="P7156">
        <v>0.9092228</v>
      </c>
      <c r="Q7156">
        <v>0.2124153</v>
      </c>
      <c r="R7156">
        <v>-0.35804209999999997</v>
      </c>
      <c r="S7156">
        <v>3.0509029999999999</v>
      </c>
      <c r="T7156">
        <v>-0.24983030000000001</v>
      </c>
      <c r="U7156">
        <v>-0.7858887</v>
      </c>
      <c r="V7156">
        <v>-0.20337079999999999</v>
      </c>
      <c r="W7156">
        <v>0.223886</v>
      </c>
      <c r="X7156">
        <v>0.95316080000000003</v>
      </c>
      <c r="Y7156">
        <v>-0.32118970000000002</v>
      </c>
      <c r="Z7156">
        <v>5.4402829999999999E-2</v>
      </c>
      <c r="AA7156">
        <v>0.94545100000000004</v>
      </c>
      <c r="AB7156">
        <v>17</v>
      </c>
      <c r="AC7156">
        <v>13.5624</v>
      </c>
      <c r="AD7156">
        <v>-1.116212887384</v>
      </c>
      <c r="AE7156">
        <v>-3.4733000000000001</v>
      </c>
      <c r="AF7156">
        <v>-4.5213592486880598</v>
      </c>
      <c r="AG7156">
        <v>-1.116212887384</v>
      </c>
      <c r="AH7156">
        <v>13.1564248583559</v>
      </c>
      <c r="AI7156">
        <v>94.587345219858904</v>
      </c>
      <c r="AJ7156">
        <v>108.965882783122</v>
      </c>
      <c r="AK7156">
        <v>13.9563654193785</v>
      </c>
      <c r="AL7156">
        <v>77.062621271212294</v>
      </c>
      <c r="AM7156">
        <v>102.04429016048201</v>
      </c>
      <c r="AN7156">
        <v>1.0000000669726301</v>
      </c>
    </row>
    <row r="7157" spans="1:40" x14ac:dyDescent="0.25">
      <c r="A7157" t="str">
        <f>"20190312172254698"</f>
        <v>20190312172254698</v>
      </c>
      <c r="B7157" t="str">
        <f>"1552382574687759"</f>
        <v>1552382574687759</v>
      </c>
      <c r="C7157" t="s">
        <v>40</v>
      </c>
      <c r="D7157">
        <v>3.259433</v>
      </c>
      <c r="E7157">
        <v>0.46249200000000001</v>
      </c>
      <c r="F7157" t="s">
        <v>72</v>
      </c>
      <c r="G7157">
        <v>-279.07569999999998</v>
      </c>
      <c r="H7157" s="1">
        <v>-3.8499000000000002E-6</v>
      </c>
      <c r="I7157">
        <v>-65.799409999999995</v>
      </c>
      <c r="J7157">
        <v>-292.75580000000002</v>
      </c>
      <c r="K7157">
        <v>1.116196</v>
      </c>
      <c r="L7157">
        <v>-62.165439999999997</v>
      </c>
      <c r="M7157">
        <v>0.83856149999999996</v>
      </c>
      <c r="N7157">
        <v>0</v>
      </c>
      <c r="O7157">
        <v>-0.5446069</v>
      </c>
      <c r="P7157">
        <v>0.91099459999999999</v>
      </c>
      <c r="Q7157">
        <v>0.2125263</v>
      </c>
      <c r="R7157">
        <v>-0.35344239999999999</v>
      </c>
      <c r="S7157">
        <v>3.0376590000000001</v>
      </c>
      <c r="T7157">
        <v>-0.24657770000000001</v>
      </c>
      <c r="U7157">
        <v>-0.81134030000000001</v>
      </c>
      <c r="V7157">
        <v>-0.20269770000000001</v>
      </c>
      <c r="W7157">
        <v>0.22401750000000001</v>
      </c>
      <c r="X7157">
        <v>0.95327320000000004</v>
      </c>
      <c r="Y7157">
        <v>-0.30742509999999901</v>
      </c>
      <c r="Z7157">
        <v>5.2981149999999998E-2</v>
      </c>
      <c r="AA7157">
        <v>0.95009619999999995</v>
      </c>
      <c r="AB7157">
        <v>17</v>
      </c>
      <c r="AC7157">
        <v>13.680099999999999</v>
      </c>
      <c r="AD7157">
        <v>-1.1161998499000001</v>
      </c>
      <c r="AE7157">
        <v>-3.6339699999999899</v>
      </c>
      <c r="AF7157">
        <v>-4.3762353175284003</v>
      </c>
      <c r="AG7157">
        <v>-1.1161998499000001</v>
      </c>
      <c r="AH7157">
        <v>13.3690196452854</v>
      </c>
      <c r="AI7157">
        <v>94.536828100854606</v>
      </c>
      <c r="AJ7157">
        <v>108.125420793708</v>
      </c>
      <c r="AK7157">
        <v>14.1112729381629</v>
      </c>
      <c r="AL7157">
        <v>77.054889580896102</v>
      </c>
      <c r="AM7157">
        <v>102.004210892929</v>
      </c>
      <c r="AN7157">
        <v>0.99999999586488997</v>
      </c>
    </row>
    <row r="7158" spans="1:40" x14ac:dyDescent="0.25">
      <c r="A7158" t="str">
        <f>"20190312172254710"</f>
        <v>20190312172254710</v>
      </c>
      <c r="B7158" t="str">
        <f>"1552382574707280"</f>
        <v>1552382574707280</v>
      </c>
      <c r="C7158" t="s">
        <v>40</v>
      </c>
      <c r="D7158">
        <v>3.2722920000000002</v>
      </c>
      <c r="E7158">
        <v>0.45592880000000002</v>
      </c>
      <c r="F7158" t="s">
        <v>72</v>
      </c>
      <c r="G7158">
        <v>-278.96660000000003</v>
      </c>
      <c r="H7158" s="1">
        <v>-3.8093780000000001E-6</v>
      </c>
      <c r="I7158">
        <v>-65.77413</v>
      </c>
      <c r="J7158">
        <v>-292.68340000000001</v>
      </c>
      <c r="K7158">
        <v>1.116187</v>
      </c>
      <c r="L7158">
        <v>-62.204250000000002</v>
      </c>
      <c r="M7158">
        <v>0.8417251</v>
      </c>
      <c r="N7158">
        <v>0</v>
      </c>
      <c r="O7158">
        <v>-0.53970399999999996</v>
      </c>
      <c r="P7158">
        <v>0.91258950000000005</v>
      </c>
      <c r="Q7158">
        <v>0.21291669999999999</v>
      </c>
      <c r="R7158">
        <v>-0.34906589999999998</v>
      </c>
      <c r="S7158">
        <v>3.041687</v>
      </c>
      <c r="T7158">
        <v>-0.24621589999999999</v>
      </c>
      <c r="U7158">
        <v>-0.79602050000000002</v>
      </c>
      <c r="V7158">
        <v>-0.20165459999999999</v>
      </c>
      <c r="W7158">
        <v>0.22443299999999999</v>
      </c>
      <c r="X7158">
        <v>0.95339669999999999</v>
      </c>
      <c r="Y7158">
        <v>-0.3066835</v>
      </c>
      <c r="Z7158">
        <v>5.2533820000000002E-2</v>
      </c>
      <c r="AA7158">
        <v>0.95036069999999995</v>
      </c>
      <c r="AB7158">
        <v>17</v>
      </c>
      <c r="AC7158">
        <v>13.7167999999999</v>
      </c>
      <c r="AD7158">
        <v>-1.116190809378</v>
      </c>
      <c r="AE7158">
        <v>-3.5698799999999902</v>
      </c>
      <c r="AF7158">
        <v>-4.3715239500185801</v>
      </c>
      <c r="AG7158">
        <v>-1.116190809378</v>
      </c>
      <c r="AH7158">
        <v>13.390879336570499</v>
      </c>
      <c r="AI7158">
        <v>94.530597042013099</v>
      </c>
      <c r="AJ7158">
        <v>108.079547596682</v>
      </c>
      <c r="AK7158">
        <v>14.1305255732091</v>
      </c>
      <c r="AL7158">
        <v>77.030461337207598</v>
      </c>
      <c r="AM7158">
        <v>101.94271201786</v>
      </c>
      <c r="AN7158">
        <v>1.0000000083805201</v>
      </c>
    </row>
    <row r="7159" spans="1:40" x14ac:dyDescent="0.25">
      <c r="A7159" t="str">
        <f>"20190312172254720"</f>
        <v>20190312172254720</v>
      </c>
      <c r="B7159" t="str">
        <f>"1552382574718016"</f>
        <v>1552382574718016</v>
      </c>
      <c r="C7159" t="s">
        <v>40</v>
      </c>
      <c r="D7159">
        <v>3.2331970000000001</v>
      </c>
      <c r="E7159">
        <v>0.43380980000000002</v>
      </c>
      <c r="F7159" t="s">
        <v>72</v>
      </c>
      <c r="G7159">
        <v>-278.35300000000001</v>
      </c>
      <c r="H7159" s="1">
        <v>-3.5810039999999998E-6</v>
      </c>
      <c r="I7159">
        <v>-65.627659999999906</v>
      </c>
      <c r="J7159">
        <v>-292.6103</v>
      </c>
      <c r="K7159">
        <v>1.116169</v>
      </c>
      <c r="L7159">
        <v>-62.243259999999999</v>
      </c>
      <c r="M7159">
        <v>0.84488289999999999</v>
      </c>
      <c r="N7159">
        <v>0</v>
      </c>
      <c r="O7159">
        <v>-0.53474750000000004</v>
      </c>
      <c r="P7159">
        <v>0.91399969999999997</v>
      </c>
      <c r="Q7159">
        <v>0.21346889999999999</v>
      </c>
      <c r="R7159">
        <v>-0.34501589999999999</v>
      </c>
      <c r="S7159">
        <v>3.06311</v>
      </c>
      <c r="T7159">
        <v>-0.2385852</v>
      </c>
      <c r="U7159">
        <v>-0.73175049999999997</v>
      </c>
      <c r="V7159">
        <v>-0.20020470000000001</v>
      </c>
      <c r="W7159">
        <v>0.22501650000000001</v>
      </c>
      <c r="X7159">
        <v>0.95356470000000004</v>
      </c>
      <c r="Y7159">
        <v>-0.32158419999999999</v>
      </c>
      <c r="Z7159">
        <v>5.1006049999999997E-2</v>
      </c>
      <c r="AA7159">
        <v>0.94550619999999996</v>
      </c>
      <c r="AB7159">
        <v>17</v>
      </c>
      <c r="AC7159">
        <v>14.257299999999899</v>
      </c>
      <c r="AD7159">
        <v>-1.116172581004</v>
      </c>
      <c r="AE7159">
        <v>-3.3843999999999901</v>
      </c>
      <c r="AF7159">
        <v>-4.7376651540391999</v>
      </c>
      <c r="AG7159">
        <v>-1.116172581004</v>
      </c>
      <c r="AH7159">
        <v>13.777123494442501</v>
      </c>
      <c r="AI7159">
        <v>94.381046585559503</v>
      </c>
      <c r="AJ7159">
        <v>108.97702396455399</v>
      </c>
      <c r="AK7159">
        <v>14.6116543937879</v>
      </c>
      <c r="AL7159">
        <v>76.996151472054706</v>
      </c>
      <c r="AM7159">
        <v>101.857253487702</v>
      </c>
      <c r="AN7159">
        <v>0.99999999213021495</v>
      </c>
    </row>
    <row r="7160" spans="1:40" x14ac:dyDescent="0.25">
      <c r="A7160" t="str">
        <f>"20190312172254732"</f>
        <v>20190312172254732</v>
      </c>
      <c r="B7160" t="str">
        <f>"1552382574727775"</f>
        <v>1552382574727775</v>
      </c>
      <c r="C7160" t="s">
        <v>40</v>
      </c>
      <c r="D7160">
        <v>3.2052070000000001</v>
      </c>
      <c r="E7160">
        <v>0.43472830000000001</v>
      </c>
      <c r="F7160" t="s">
        <v>72</v>
      </c>
      <c r="G7160">
        <v>-274.09300000000002</v>
      </c>
      <c r="H7160" s="1">
        <v>-2.0511219999999999E-6</v>
      </c>
      <c r="I7160">
        <v>-65.514780000000002</v>
      </c>
      <c r="J7160">
        <v>-292.53579999999999</v>
      </c>
      <c r="K7160">
        <v>1.1161559999999999</v>
      </c>
      <c r="L7160">
        <v>-62.2821</v>
      </c>
      <c r="M7160">
        <v>0.848056699999999</v>
      </c>
      <c r="N7160">
        <v>0</v>
      </c>
      <c r="O7160">
        <v>-0.52969940000000004</v>
      </c>
      <c r="P7160">
        <v>0.91557909999999998</v>
      </c>
      <c r="Q7160">
        <v>0.2135504</v>
      </c>
      <c r="R7160">
        <v>-0.34075070000000002</v>
      </c>
      <c r="S7160">
        <v>3.1181950000000001</v>
      </c>
      <c r="T7160">
        <v>-0.1879557</v>
      </c>
      <c r="U7160">
        <v>-0.55090329999999998</v>
      </c>
      <c r="V7160">
        <v>-0.19894300000000001</v>
      </c>
      <c r="W7160">
        <v>0.22512670000000001</v>
      </c>
      <c r="X7160">
        <v>0.95380279999999995</v>
      </c>
      <c r="Y7160">
        <v>-0.372641</v>
      </c>
      <c r="Z7160">
        <v>4.1136079999999998E-2</v>
      </c>
      <c r="AA7160">
        <v>0.92706330000000003</v>
      </c>
      <c r="AB7160">
        <v>17</v>
      </c>
      <c r="AC7160">
        <v>18.442799999999899</v>
      </c>
      <c r="AD7160">
        <v>-1.116158051122</v>
      </c>
      <c r="AE7160">
        <v>-3.2326800000000002</v>
      </c>
      <c r="AF7160">
        <v>-7.0035246565978397</v>
      </c>
      <c r="AG7160">
        <v>-1.116158051122</v>
      </c>
      <c r="AH7160">
        <v>17.2933320932895</v>
      </c>
      <c r="AI7160">
        <v>93.423525862855399</v>
      </c>
      <c r="AJ7160">
        <v>112.047165177023</v>
      </c>
      <c r="AK7160">
        <v>18.691027293850201</v>
      </c>
      <c r="AL7160">
        <v>76.989672169931296</v>
      </c>
      <c r="AM7160">
        <v>101.781764939859</v>
      </c>
      <c r="AN7160">
        <v>1.0000000647948599</v>
      </c>
    </row>
    <row r="7161" spans="1:40" x14ac:dyDescent="0.25">
      <c r="A7161" t="str">
        <f>"20190312172254756"</f>
        <v>20190312172254756</v>
      </c>
      <c r="B7161" t="str">
        <f>"1552382574747868"</f>
        <v>1552382574747868</v>
      </c>
      <c r="C7161" t="s">
        <v>40</v>
      </c>
      <c r="D7161">
        <v>3.2913990000000002</v>
      </c>
      <c r="E7161">
        <v>0.43568810000000002</v>
      </c>
      <c r="F7161" t="s">
        <v>72</v>
      </c>
      <c r="G7161">
        <v>-274.77370000000002</v>
      </c>
      <c r="H7161" s="1">
        <v>-2.3101180000000002E-6</v>
      </c>
      <c r="I7161">
        <v>-65.366290000000006</v>
      </c>
      <c r="J7161">
        <v>-292.38310000000001</v>
      </c>
      <c r="K7161">
        <v>1.116128</v>
      </c>
      <c r="L7161">
        <v>-62.360320000000002</v>
      </c>
      <c r="M7161">
        <v>0.85444489999999995</v>
      </c>
      <c r="N7161">
        <v>0</v>
      </c>
      <c r="O7161">
        <v>-0.5193316</v>
      </c>
      <c r="P7161">
        <v>0.91886939999999995</v>
      </c>
      <c r="Q7161">
        <v>0.21299489999999999</v>
      </c>
      <c r="R7161">
        <v>-0.33213290000000001</v>
      </c>
      <c r="S7161">
        <v>3.1206969999999998</v>
      </c>
      <c r="T7161">
        <v>-0.19610169999999999</v>
      </c>
      <c r="U7161">
        <v>-0.54187010000000002</v>
      </c>
      <c r="V7161">
        <v>-0.1963251</v>
      </c>
      <c r="W7161">
        <v>0.22463279999999999</v>
      </c>
      <c r="X7161">
        <v>0.95446140000000002</v>
      </c>
      <c r="Y7161">
        <v>-0.3639618</v>
      </c>
      <c r="Z7161">
        <v>4.2082540000000002E-2</v>
      </c>
      <c r="AA7161">
        <v>0.93046269999999998</v>
      </c>
      <c r="AB7161">
        <v>17</v>
      </c>
      <c r="AC7161">
        <v>17.609399999999901</v>
      </c>
      <c r="AD7161">
        <v>-1.116130310118</v>
      </c>
      <c r="AE7161">
        <v>-3.0059700000000098</v>
      </c>
      <c r="AF7161">
        <v>-6.5518253220344498</v>
      </c>
      <c r="AG7161">
        <v>-1.116130310118</v>
      </c>
      <c r="AH7161">
        <v>16.5445890967863</v>
      </c>
      <c r="AI7161">
        <v>93.589048592528101</v>
      </c>
      <c r="AJ7161">
        <v>111.60406878202799</v>
      </c>
      <c r="AK7161">
        <v>17.829626757201499</v>
      </c>
      <c r="AL7161">
        <v>77.018713596394306</v>
      </c>
      <c r="AM7161">
        <v>101.62317216388401</v>
      </c>
      <c r="AN7161">
        <v>1.0000000019079001</v>
      </c>
    </row>
    <row r="7162" spans="1:40" x14ac:dyDescent="0.25">
      <c r="A7162" t="str">
        <f>"20190312172254780"</f>
        <v>20190312172254780</v>
      </c>
      <c r="B7162" t="str">
        <f>"1552382574767388"</f>
        <v>1552382574767388</v>
      </c>
      <c r="C7162" t="s">
        <v>40</v>
      </c>
      <c r="D7162">
        <v>3.2792659999999998</v>
      </c>
      <c r="E7162">
        <v>0.4365059</v>
      </c>
      <c r="F7162" t="s">
        <v>72</v>
      </c>
      <c r="G7162">
        <v>-275.36020000000002</v>
      </c>
      <c r="H7162" s="1">
        <v>-2.5035240000000001E-6</v>
      </c>
      <c r="I7162">
        <v>-65.186329999999998</v>
      </c>
      <c r="J7162">
        <v>-292.22519999999997</v>
      </c>
      <c r="K7162">
        <v>1.116098</v>
      </c>
      <c r="L7162">
        <v>-62.438809999999997</v>
      </c>
      <c r="M7162">
        <v>0.860873</v>
      </c>
      <c r="N7162">
        <v>0</v>
      </c>
      <c r="O7162">
        <v>-0.50860490000000003</v>
      </c>
      <c r="P7162">
        <v>0.92252639999999997</v>
      </c>
      <c r="Q7162">
        <v>0.211758</v>
      </c>
      <c r="R7162">
        <v>-0.32265149999999998</v>
      </c>
      <c r="S7162">
        <v>3.1248779999999998</v>
      </c>
      <c r="T7162">
        <v>-0.20488700000000001</v>
      </c>
      <c r="U7162">
        <v>-0.51876829999999996</v>
      </c>
      <c r="V7162">
        <v>-0.194326</v>
      </c>
      <c r="W7162">
        <v>0.22345519999999999</v>
      </c>
      <c r="X7162">
        <v>0.95514670000000002</v>
      </c>
      <c r="Y7162">
        <v>-0.35909400000000002</v>
      </c>
      <c r="Z7162">
        <v>4.3195310000000001E-2</v>
      </c>
      <c r="AA7162">
        <v>0.9323013</v>
      </c>
      <c r="AB7162">
        <v>17</v>
      </c>
      <c r="AC7162">
        <v>16.864999999999899</v>
      </c>
      <c r="AD7162">
        <v>-1.1161005035239999</v>
      </c>
      <c r="AE7162">
        <v>-2.7475200000000002</v>
      </c>
      <c r="AF7162">
        <v>-6.18664093282929</v>
      </c>
      <c r="AG7162">
        <v>-1.1161005035239999</v>
      </c>
      <c r="AH7162">
        <v>15.8501437788925</v>
      </c>
      <c r="AI7162">
        <v>93.753001364113203</v>
      </c>
      <c r="AJ7162">
        <v>111.321736200267</v>
      </c>
      <c r="AK7162">
        <v>17.051312681940001</v>
      </c>
      <c r="AL7162">
        <v>77.087945273858594</v>
      </c>
      <c r="AM7162">
        <v>101.499954356012</v>
      </c>
      <c r="AN7162">
        <v>1.0000000196019601</v>
      </c>
    </row>
    <row r="7163" spans="1:40" x14ac:dyDescent="0.25">
      <c r="A7163" t="str">
        <f>"20190312172254790"</f>
        <v>20190312172254790</v>
      </c>
      <c r="B7163" t="str">
        <f>"1552382574787885"</f>
        <v>1552382574787885</v>
      </c>
      <c r="C7163" t="s">
        <v>40</v>
      </c>
      <c r="D7163">
        <v>3.2563019999999998</v>
      </c>
      <c r="E7163">
        <v>0.4379903</v>
      </c>
      <c r="F7163" t="s">
        <v>72</v>
      </c>
      <c r="G7163">
        <v>-276.00229999999999</v>
      </c>
      <c r="H7163" s="1">
        <v>-2.6966659999999999E-6</v>
      </c>
      <c r="I7163">
        <v>-64.996480000000005</v>
      </c>
      <c r="J7163">
        <v>-292.15120000000002</v>
      </c>
      <c r="K7163">
        <v>1.1160859999999999</v>
      </c>
      <c r="L7163">
        <v>-62.474550000000001</v>
      </c>
      <c r="M7163">
        <v>0.86382519999999996</v>
      </c>
      <c r="N7163">
        <v>0</v>
      </c>
      <c r="O7163">
        <v>-0.50357410000000002</v>
      </c>
      <c r="P7163">
        <v>0.92410669999999995</v>
      </c>
      <c r="Q7163">
        <v>0.21152170000000001</v>
      </c>
      <c r="R7163">
        <v>-0.31825369999999997</v>
      </c>
      <c r="S7163">
        <v>3.1288450000000001</v>
      </c>
      <c r="T7163">
        <v>-0.21525739999999999</v>
      </c>
      <c r="U7163">
        <v>-0.49328610000000001</v>
      </c>
      <c r="V7163">
        <v>-0.19331780000000001</v>
      </c>
      <c r="W7163">
        <v>0.22324830000000001</v>
      </c>
      <c r="X7163">
        <v>0.95539960000000002</v>
      </c>
      <c r="Y7163">
        <v>-0.36107119999999998</v>
      </c>
      <c r="Z7163">
        <v>4.5138900000000003E-2</v>
      </c>
      <c r="AA7163">
        <v>0.93144519999999997</v>
      </c>
      <c r="AB7163">
        <v>17</v>
      </c>
      <c r="AC7163">
        <v>16.148900000000001</v>
      </c>
      <c r="AD7163">
        <v>-1.116088696666</v>
      </c>
      <c r="AE7163">
        <v>-2.5219299999999998</v>
      </c>
      <c r="AF7163">
        <v>-5.9266786478358604</v>
      </c>
      <c r="AG7163">
        <v>-1.116088696666</v>
      </c>
      <c r="AH7163">
        <v>15.1508280761314</v>
      </c>
      <c r="AI7163">
        <v>93.924519553310205</v>
      </c>
      <c r="AJ7163">
        <v>111.364370386319</v>
      </c>
      <c r="AK7163">
        <v>16.307015826509399</v>
      </c>
      <c r="AL7163">
        <v>77.100106553093198</v>
      </c>
      <c r="AM7163">
        <v>101.43891910948101</v>
      </c>
      <c r="AN7163">
        <v>0.99999998546494495</v>
      </c>
    </row>
    <row r="7164" spans="1:40" x14ac:dyDescent="0.25">
      <c r="A7164" t="str">
        <f>"20190312172254801"</f>
        <v>20190312172254801</v>
      </c>
      <c r="B7164" t="str">
        <f>"1552382574797646"</f>
        <v>1552382574797646</v>
      </c>
      <c r="C7164" t="s">
        <v>40</v>
      </c>
      <c r="D7164">
        <v>3.3020879999999999</v>
      </c>
      <c r="E7164">
        <v>0.43835849999999998</v>
      </c>
      <c r="F7164" t="s">
        <v>72</v>
      </c>
      <c r="G7164">
        <v>-276.25439999999998</v>
      </c>
      <c r="H7164" s="1">
        <v>-2.7779870000000002E-6</v>
      </c>
      <c r="I7164">
        <v>-64.96302</v>
      </c>
      <c r="J7164">
        <v>-292.08510000000001</v>
      </c>
      <c r="K7164">
        <v>1.116074</v>
      </c>
      <c r="L7164">
        <v>-62.50629</v>
      </c>
      <c r="M7164">
        <v>0.86643230000000004</v>
      </c>
      <c r="N7164">
        <v>0</v>
      </c>
      <c r="O7164">
        <v>-0.4990753</v>
      </c>
      <c r="P7164">
        <v>0.92534300000000003</v>
      </c>
      <c r="Q7164">
        <v>0.21144499999999999</v>
      </c>
      <c r="R7164">
        <v>-0.31469320000000001</v>
      </c>
      <c r="S7164">
        <v>3.1279910000000002</v>
      </c>
      <c r="T7164">
        <v>-0.2196119</v>
      </c>
      <c r="U7164">
        <v>-0.48965449999999999</v>
      </c>
      <c r="V7164">
        <v>-0.19202540000000001</v>
      </c>
      <c r="W7164">
        <v>0.22320329999999999</v>
      </c>
      <c r="X7164">
        <v>0.95567069999999998</v>
      </c>
      <c r="Y7164">
        <v>-0.35717749999999998</v>
      </c>
      <c r="Z7164">
        <v>4.5662700000000001E-2</v>
      </c>
      <c r="AA7164">
        <v>0.93291970000000002</v>
      </c>
      <c r="AB7164">
        <v>17</v>
      </c>
      <c r="AC7164">
        <v>15.8307</v>
      </c>
      <c r="AD7164">
        <v>-1.116076777987</v>
      </c>
      <c r="AE7164">
        <v>-2.4567299999999999</v>
      </c>
      <c r="AF7164">
        <v>-5.7448704554489298</v>
      </c>
      <c r="AG7164">
        <v>-1.116076777987</v>
      </c>
      <c r="AH7164">
        <v>14.871779102757699</v>
      </c>
      <c r="AI7164">
        <v>94.004458071520105</v>
      </c>
      <c r="AJ7164">
        <v>111.121218662</v>
      </c>
      <c r="AK7164">
        <v>15.9818327361249</v>
      </c>
      <c r="AL7164">
        <v>77.102751496820403</v>
      </c>
      <c r="AM7164">
        <v>101.36130222247699</v>
      </c>
      <c r="AN7164">
        <v>0.99999997710726896</v>
      </c>
    </row>
    <row r="7165" spans="1:40" x14ac:dyDescent="0.25">
      <c r="A7165" t="str">
        <f>"20190312172254811"</f>
        <v>20190312172254811</v>
      </c>
      <c r="B7165" t="str">
        <f>"1552382574807405"</f>
        <v>1552382574807405</v>
      </c>
      <c r="C7165" t="s">
        <v>40</v>
      </c>
      <c r="D7165">
        <v>3.2639830000000001</v>
      </c>
      <c r="E7165">
        <v>0.43898530000000002</v>
      </c>
      <c r="F7165" t="s">
        <v>72</v>
      </c>
      <c r="G7165">
        <v>-276.32319999999999</v>
      </c>
      <c r="H7165" s="1">
        <v>-2.7963429999999999E-6</v>
      </c>
      <c r="I7165">
        <v>-64.925190000000001</v>
      </c>
      <c r="J7165">
        <v>-292.01900000000001</v>
      </c>
      <c r="K7165">
        <v>1.116066</v>
      </c>
      <c r="L7165">
        <v>-62.537289999999999</v>
      </c>
      <c r="M7165">
        <v>0.86900309999999903</v>
      </c>
      <c r="N7165">
        <v>0</v>
      </c>
      <c r="O7165">
        <v>-0.494585</v>
      </c>
      <c r="P7165">
        <v>0.92675549999999995</v>
      </c>
      <c r="Q7165">
        <v>0.2112117</v>
      </c>
      <c r="R7165">
        <v>-0.31066700000000003</v>
      </c>
      <c r="S7165">
        <v>3.1293950000000001</v>
      </c>
      <c r="T7165">
        <v>-0.22158849999999999</v>
      </c>
      <c r="U7165">
        <v>-0.48025509999999899</v>
      </c>
      <c r="V7165">
        <v>-0.19124910000000001</v>
      </c>
      <c r="W7165">
        <v>0.2229941</v>
      </c>
      <c r="X7165">
        <v>0.95587520000000004</v>
      </c>
      <c r="Y7165">
        <v>-0.35512579999999999</v>
      </c>
      <c r="Z7165">
        <v>4.5723859999999998E-2</v>
      </c>
      <c r="AA7165">
        <v>0.93369970000000002</v>
      </c>
      <c r="AB7165">
        <v>17</v>
      </c>
      <c r="AC7165">
        <v>15.6958</v>
      </c>
      <c r="AD7165">
        <v>-1.1160687963429901</v>
      </c>
      <c r="AE7165">
        <v>-2.3878999999999899</v>
      </c>
      <c r="AF7165">
        <v>-5.6604660763184702</v>
      </c>
      <c r="AG7165">
        <v>-1.1160687963429901</v>
      </c>
      <c r="AH7165">
        <v>14.7494560627221</v>
      </c>
      <c r="AI7165">
        <v>94.040930805443693</v>
      </c>
      <c r="AJ7165">
        <v>110.995531935899</v>
      </c>
      <c r="AK7165">
        <v>15.8377062703376</v>
      </c>
      <c r="AL7165">
        <v>77.115047889988304</v>
      </c>
      <c r="AM7165">
        <v>101.31420087622</v>
      </c>
      <c r="AN7165">
        <v>0.99999999243033</v>
      </c>
    </row>
    <row r="7166" spans="1:40" x14ac:dyDescent="0.25">
      <c r="A7166" t="str">
        <f>"20190312172254822"</f>
        <v>20190312172254822</v>
      </c>
      <c r="B7166" t="str">
        <f>"1552382574818141"</f>
        <v>1552382574818141</v>
      </c>
      <c r="C7166" t="s">
        <v>40</v>
      </c>
      <c r="D7166">
        <v>3.2519849999999999</v>
      </c>
      <c r="E7166">
        <v>0.43965710000000002</v>
      </c>
      <c r="F7166" t="s">
        <v>72</v>
      </c>
      <c r="G7166">
        <v>-276.36250000000001</v>
      </c>
      <c r="H7166" s="1">
        <v>-2.8054139999999998E-6</v>
      </c>
      <c r="I7166">
        <v>-64.892960000000002</v>
      </c>
      <c r="J7166">
        <v>-291.95030000000003</v>
      </c>
      <c r="K7166">
        <v>1.116058</v>
      </c>
      <c r="L7166">
        <v>-62.569400000000002</v>
      </c>
      <c r="M7166">
        <v>0.87165380000000003</v>
      </c>
      <c r="N7166">
        <v>0</v>
      </c>
      <c r="O7166">
        <v>-0.48989840000000001</v>
      </c>
      <c r="P7166">
        <v>0.9281933</v>
      </c>
      <c r="Q7166">
        <v>0.21098069999999999</v>
      </c>
      <c r="R7166">
        <v>-0.30650440000000001</v>
      </c>
      <c r="S7166">
        <v>3.1300659999999998</v>
      </c>
      <c r="T7166">
        <v>-0.2231253</v>
      </c>
      <c r="U7166">
        <v>-0.47094730000000001</v>
      </c>
      <c r="V7166">
        <v>-0.19040679999999999</v>
      </c>
      <c r="W7166">
        <v>0.2227886</v>
      </c>
      <c r="X7166">
        <v>0.95609129999999998</v>
      </c>
      <c r="Y7166">
        <v>-0.352825</v>
      </c>
      <c r="Z7166">
        <v>4.5677229999999999E-2</v>
      </c>
      <c r="AA7166">
        <v>0.93457380000000001</v>
      </c>
      <c r="AB7166">
        <v>17</v>
      </c>
      <c r="AC7166">
        <v>15.5878</v>
      </c>
      <c r="AD7166">
        <v>-1.116060805414</v>
      </c>
      <c r="AE7166">
        <v>-2.3235600000000001</v>
      </c>
      <c r="AF7166">
        <v>-5.5837117568241696</v>
      </c>
      <c r="AG7166">
        <v>-1.116060805414</v>
      </c>
      <c r="AH7166">
        <v>14.6536014173951</v>
      </c>
      <c r="AI7166">
        <v>94.070936838092294</v>
      </c>
      <c r="AJ7166">
        <v>110.859195174749</v>
      </c>
      <c r="AK7166">
        <v>15.7210515934705</v>
      </c>
      <c r="AL7166">
        <v>77.127126665918198</v>
      </c>
      <c r="AM7166">
        <v>101.263166731217</v>
      </c>
      <c r="AN7166">
        <v>1.00000004185594</v>
      </c>
    </row>
    <row r="7167" spans="1:40" x14ac:dyDescent="0.25">
      <c r="A7167" t="str">
        <f>"20190312172254833"</f>
        <v>20190312172254833</v>
      </c>
      <c r="B7167" t="str">
        <f>"1552382574827900"</f>
        <v>1552382574827900</v>
      </c>
      <c r="C7167" t="s">
        <v>40</v>
      </c>
      <c r="D7167">
        <v>3.2677580000000002</v>
      </c>
      <c r="E7167">
        <v>0.44000119999999998</v>
      </c>
      <c r="F7167" t="s">
        <v>72</v>
      </c>
      <c r="G7167">
        <v>-276.38499999999999</v>
      </c>
      <c r="H7167" s="1">
        <v>-2.809509E-6</v>
      </c>
      <c r="I7167">
        <v>-64.866330000000005</v>
      </c>
      <c r="J7167">
        <v>-291.87639999999999</v>
      </c>
      <c r="K7167">
        <v>1.116047</v>
      </c>
      <c r="L7167">
        <v>-62.603149999999999</v>
      </c>
      <c r="M7167">
        <v>0.87446279999999998</v>
      </c>
      <c r="N7167">
        <v>0</v>
      </c>
      <c r="O7167">
        <v>-0.48486590000000002</v>
      </c>
      <c r="P7167">
        <v>0.9298959</v>
      </c>
      <c r="Q7167">
        <v>0.2107301</v>
      </c>
      <c r="R7167">
        <v>-0.30147380000000001</v>
      </c>
      <c r="S7167">
        <v>3.130585</v>
      </c>
      <c r="T7167">
        <v>-0.22446940000000001</v>
      </c>
      <c r="U7167">
        <v>-0.46197510000000003</v>
      </c>
      <c r="V7167">
        <v>-0.19008890000000001</v>
      </c>
      <c r="W7167">
        <v>0.2225548</v>
      </c>
      <c r="X7167">
        <v>0.95620890000000003</v>
      </c>
      <c r="Y7167">
        <v>-0.35006900000000002</v>
      </c>
      <c r="Z7167">
        <v>4.5549079999999999E-2</v>
      </c>
      <c r="AA7167">
        <v>0.9356158</v>
      </c>
      <c r="AB7167">
        <v>17</v>
      </c>
      <c r="AC7167">
        <v>15.491400000000001</v>
      </c>
      <c r="AD7167">
        <v>-1.1160498095089999</v>
      </c>
      <c r="AE7167">
        <v>-2.2631800000000002</v>
      </c>
      <c r="AF7167">
        <v>-5.5048189953328803</v>
      </c>
      <c r="AG7167">
        <v>-1.1160498095089999</v>
      </c>
      <c r="AH7167">
        <v>14.571552845067901</v>
      </c>
      <c r="AI7167">
        <v>94.098166537834004</v>
      </c>
      <c r="AJ7167">
        <v>110.69548563476501</v>
      </c>
      <c r="AK7167">
        <v>15.616617804931099</v>
      </c>
      <c r="AL7167">
        <v>77.140866129420203</v>
      </c>
      <c r="AM7167">
        <v>101.24349377346201</v>
      </c>
      <c r="AN7167">
        <v>0.99999994467272801</v>
      </c>
    </row>
    <row r="7168" spans="1:40" x14ac:dyDescent="0.25">
      <c r="A7168" t="str">
        <f>"20190312172254845"</f>
        <v>20190312172254845</v>
      </c>
      <c r="B7168" t="str">
        <f>"1552382574837226"</f>
        <v>1552382574837226</v>
      </c>
      <c r="C7168" t="s">
        <v>40</v>
      </c>
      <c r="D7168">
        <v>3.186099</v>
      </c>
      <c r="E7168">
        <v>0.43978830000000002</v>
      </c>
      <c r="F7168" t="s">
        <v>72</v>
      </c>
      <c r="G7168">
        <v>-276.41579999999999</v>
      </c>
      <c r="H7168" s="1">
        <v>-2.8130239999999998E-6</v>
      </c>
      <c r="I7168">
        <v>-64.814219999999906</v>
      </c>
      <c r="J7168">
        <v>-291.79689999999999</v>
      </c>
      <c r="K7168">
        <v>1.1160330000000001</v>
      </c>
      <c r="L7168">
        <v>-62.639040000000001</v>
      </c>
      <c r="M7168">
        <v>0.87744679999999997</v>
      </c>
      <c r="N7168">
        <v>0</v>
      </c>
      <c r="O7168">
        <v>-0.47944439999999999</v>
      </c>
      <c r="P7168">
        <v>0.93180560000000001</v>
      </c>
      <c r="Q7168">
        <v>0.21030769999999999</v>
      </c>
      <c r="R7168">
        <v>-0.29581929999999901</v>
      </c>
      <c r="S7168">
        <v>3.1321409999999998</v>
      </c>
      <c r="T7168">
        <v>-0.22609850000000001</v>
      </c>
      <c r="U7168">
        <v>-0.44793699999999997</v>
      </c>
      <c r="V7168">
        <v>-0.19001309999999999</v>
      </c>
      <c r="W7168">
        <v>0.2221466</v>
      </c>
      <c r="X7168">
        <v>0.95631889999999997</v>
      </c>
      <c r="Y7168">
        <v>-0.34843499999999999</v>
      </c>
      <c r="Z7168">
        <v>4.5481069999999998E-2</v>
      </c>
      <c r="AA7168">
        <v>0.93622890000000003</v>
      </c>
      <c r="AB7168">
        <v>17</v>
      </c>
      <c r="AC7168">
        <v>15.3811</v>
      </c>
      <c r="AD7168">
        <v>-1.116035813024</v>
      </c>
      <c r="AE7168">
        <v>-2.1751799999999899</v>
      </c>
      <c r="AF7168">
        <v>-5.4383091606843701</v>
      </c>
      <c r="AG7168">
        <v>-1.116035813024</v>
      </c>
      <c r="AH7168">
        <v>14.4659089487442</v>
      </c>
      <c r="AI7168">
        <v>94.130437466367496</v>
      </c>
      <c r="AJ7168">
        <v>110.603232487295</v>
      </c>
      <c r="AK7168">
        <v>15.4946204915284</v>
      </c>
      <c r="AL7168">
        <v>77.164855038044095</v>
      </c>
      <c r="AM7168">
        <v>101.237864590252</v>
      </c>
      <c r="AN7168">
        <v>0.999999964280189</v>
      </c>
    </row>
    <row r="7169" spans="1:40" x14ac:dyDescent="0.25">
      <c r="A7169" t="str">
        <f>"20190312172254855"</f>
        <v>20190312172254855</v>
      </c>
      <c r="B7169" t="str">
        <f>"1552382574847962"</f>
        <v>1552382574847962</v>
      </c>
      <c r="C7169" t="s">
        <v>40</v>
      </c>
      <c r="D7169">
        <v>3.107704</v>
      </c>
      <c r="E7169">
        <v>0.43966090000000002</v>
      </c>
      <c r="F7169" t="s">
        <v>72</v>
      </c>
      <c r="G7169">
        <v>-276.29730000000001</v>
      </c>
      <c r="H7169" s="1">
        <v>-2.7645579999999999E-6</v>
      </c>
      <c r="I7169">
        <v>-64.753360000000001</v>
      </c>
      <c r="J7169">
        <v>-291.72390000000001</v>
      </c>
      <c r="K7169">
        <v>1.1160239999999999</v>
      </c>
      <c r="L7169">
        <v>-62.671509999999998</v>
      </c>
      <c r="M7169">
        <v>0.88015180000000004</v>
      </c>
      <c r="N7169">
        <v>0</v>
      </c>
      <c r="O7169">
        <v>-0.4744604</v>
      </c>
      <c r="P7169">
        <v>0.93347579999999997</v>
      </c>
      <c r="Q7169">
        <v>0.20971780000000001</v>
      </c>
      <c r="R7169">
        <v>-0.29093229999999998</v>
      </c>
      <c r="S7169">
        <v>3.134735</v>
      </c>
      <c r="T7169">
        <v>-0.22571330000000001</v>
      </c>
      <c r="U7169">
        <v>-0.4276123</v>
      </c>
      <c r="V7169">
        <v>-0.1896485</v>
      </c>
      <c r="W7169">
        <v>0.22157379999999999</v>
      </c>
      <c r="X7169">
        <v>0.95652420000000005</v>
      </c>
      <c r="Y7169">
        <v>-0.34920050000000002</v>
      </c>
      <c r="Z7169">
        <v>4.5113550000000002E-2</v>
      </c>
      <c r="AA7169">
        <v>0.93596140000000005</v>
      </c>
      <c r="AB7169">
        <v>17</v>
      </c>
      <c r="AC7169">
        <v>15.426600000000001</v>
      </c>
      <c r="AD7169">
        <v>-1.116026764558</v>
      </c>
      <c r="AE7169">
        <v>-2.0818500000000002</v>
      </c>
      <c r="AF7169">
        <v>-5.4595084717357301</v>
      </c>
      <c r="AG7169">
        <v>-1.116026764558</v>
      </c>
      <c r="AH7169">
        <v>14.492615296925999</v>
      </c>
      <c r="AI7169">
        <v>94.121776308140696</v>
      </c>
      <c r="AJ7169">
        <v>110.64187741585501</v>
      </c>
      <c r="AK7169">
        <v>15.526997347744301</v>
      </c>
      <c r="AL7169">
        <v>77.198513641183297</v>
      </c>
      <c r="AM7169">
        <v>101.214502003405</v>
      </c>
      <c r="AN7169">
        <v>1.00000002379216</v>
      </c>
    </row>
    <row r="7170" spans="1:40" x14ac:dyDescent="0.25">
      <c r="A7170" t="str">
        <f>"20190312172254868"</f>
        <v>20190312172254868</v>
      </c>
      <c r="B7170" t="str">
        <f>"1552382574857722"</f>
        <v>1552382574857722</v>
      </c>
      <c r="C7170" t="s">
        <v>40</v>
      </c>
      <c r="D7170">
        <v>3.256313</v>
      </c>
      <c r="E7170">
        <v>0.44019839999999999</v>
      </c>
      <c r="F7170" t="s">
        <v>72</v>
      </c>
      <c r="G7170">
        <v>-276.13380000000001</v>
      </c>
      <c r="H7170" s="1">
        <v>-2.7034050000000002E-6</v>
      </c>
      <c r="I7170">
        <v>-64.712149999999994</v>
      </c>
      <c r="J7170">
        <v>-291.64940000000001</v>
      </c>
      <c r="K7170">
        <v>1.116012</v>
      </c>
      <c r="L7170">
        <v>-62.704009999999997</v>
      </c>
      <c r="M7170">
        <v>0.88287479999999996</v>
      </c>
      <c r="N7170">
        <v>0</v>
      </c>
      <c r="O7170">
        <v>-0.46937390000000001</v>
      </c>
      <c r="P7170">
        <v>0.93513820000000003</v>
      </c>
      <c r="Q7170">
        <v>0.20914350000000001</v>
      </c>
      <c r="R7170">
        <v>-0.28596510000000003</v>
      </c>
      <c r="S7170">
        <v>3.1363219999999998</v>
      </c>
      <c r="T7170">
        <v>-0.22451460000000001</v>
      </c>
      <c r="U7170">
        <v>-0.41052250000000001</v>
      </c>
      <c r="V7170">
        <v>-0.18926029999999999</v>
      </c>
      <c r="W7170">
        <v>0.2210172</v>
      </c>
      <c r="X7170">
        <v>0.95672979999999996</v>
      </c>
      <c r="Y7170">
        <v>-0.34890320000000002</v>
      </c>
      <c r="Z7170">
        <v>4.4548600000000001E-2</v>
      </c>
      <c r="AA7170">
        <v>0.93609940000000003</v>
      </c>
      <c r="AB7170">
        <v>17</v>
      </c>
      <c r="AC7170">
        <v>15.515599999999999</v>
      </c>
      <c r="AD7170">
        <v>-1.1160147034049901</v>
      </c>
      <c r="AE7170">
        <v>-2.0081399999999898</v>
      </c>
      <c r="AF7170">
        <v>-5.4823912516865203</v>
      </c>
      <c r="AG7170">
        <v>-1.1160147034049901</v>
      </c>
      <c r="AH7170">
        <v>14.568382301888599</v>
      </c>
      <c r="AI7170">
        <v>94.100892503981399</v>
      </c>
      <c r="AJ7170">
        <v>110.622383271305</v>
      </c>
      <c r="AK7170">
        <v>15.6057638566257</v>
      </c>
      <c r="AL7170">
        <v>77.231214771953503</v>
      </c>
      <c r="AM7170">
        <v>101.189782142368</v>
      </c>
      <c r="AN7170">
        <v>0.99999998702998405</v>
      </c>
    </row>
    <row r="7171" spans="1:40" x14ac:dyDescent="0.25">
      <c r="A7171" t="str">
        <f>"20190312172254879"</f>
        <v>20190312172254879</v>
      </c>
      <c r="B7171" t="str">
        <f>"1552382574867482"</f>
        <v>1552382574867482</v>
      </c>
      <c r="C7171" t="s">
        <v>40</v>
      </c>
      <c r="D7171">
        <v>3.196215</v>
      </c>
      <c r="E7171">
        <v>0.4401678</v>
      </c>
      <c r="F7171" t="s">
        <v>72</v>
      </c>
      <c r="G7171">
        <v>-276.14100000000002</v>
      </c>
      <c r="H7171" s="1">
        <v>-2.700423E-6</v>
      </c>
      <c r="I7171">
        <v>-64.671440000000004</v>
      </c>
      <c r="J7171">
        <v>-291.57089999999999</v>
      </c>
      <c r="K7171">
        <v>1.1160000000000001</v>
      </c>
      <c r="L7171">
        <v>-62.737949999999998</v>
      </c>
      <c r="M7171">
        <v>0.88570859999999996</v>
      </c>
      <c r="N7171">
        <v>0</v>
      </c>
      <c r="O7171">
        <v>-0.46400400000000003</v>
      </c>
      <c r="P7171">
        <v>0.9366601</v>
      </c>
      <c r="Q7171">
        <v>0.20892469999999999</v>
      </c>
      <c r="R7171">
        <v>-0.28110210000000002</v>
      </c>
      <c r="S7171">
        <v>3.1368710000000002</v>
      </c>
      <c r="T7171">
        <v>-0.22573480000000001</v>
      </c>
      <c r="U7171">
        <v>-0.3979492</v>
      </c>
      <c r="V7171">
        <v>-0.18843209999999999</v>
      </c>
      <c r="W7171">
        <v>0.22082189999999999</v>
      </c>
      <c r="X7171">
        <v>0.95693839999999997</v>
      </c>
      <c r="Y7171">
        <v>-0.34692099999999998</v>
      </c>
      <c r="Z7171">
        <v>4.4389850000000002E-2</v>
      </c>
      <c r="AA7171">
        <v>0.93684330000000005</v>
      </c>
      <c r="AB7171">
        <v>17</v>
      </c>
      <c r="AC7171">
        <v>15.4299</v>
      </c>
      <c r="AD7171">
        <v>-1.116002700423</v>
      </c>
      <c r="AE7171">
        <v>-1.9334899999999999</v>
      </c>
      <c r="AF7171">
        <v>-5.4197139074958098</v>
      </c>
      <c r="AG7171">
        <v>-1.116002700423</v>
      </c>
      <c r="AH7171">
        <v>14.4905171453702</v>
      </c>
      <c r="AI7171">
        <v>94.125922138364501</v>
      </c>
      <c r="AJ7171">
        <v>110.50670040022</v>
      </c>
      <c r="AK7171">
        <v>15.5110879053251</v>
      </c>
      <c r="AL7171">
        <v>77.242688738235799</v>
      </c>
      <c r="AM7171">
        <v>101.139675550833</v>
      </c>
      <c r="AN7171">
        <v>1.0000000346122799</v>
      </c>
    </row>
    <row r="7172" spans="1:40" x14ac:dyDescent="0.25">
      <c r="A7172" t="str">
        <f>"20190312172254890"</f>
        <v>20190312172254890</v>
      </c>
      <c r="B7172" t="str">
        <f>"1552382574877242"</f>
        <v>1552382574877242</v>
      </c>
      <c r="C7172" t="s">
        <v>40</v>
      </c>
      <c r="D7172">
        <v>3.1981449999999998</v>
      </c>
      <c r="E7172">
        <v>0.44076189999999998</v>
      </c>
      <c r="F7172" t="s">
        <v>72</v>
      </c>
      <c r="G7172">
        <v>-275.97149999999999</v>
      </c>
      <c r="H7172" s="1">
        <v>-2.637623E-6</v>
      </c>
      <c r="I7172">
        <v>-64.633069999999904</v>
      </c>
      <c r="J7172">
        <v>-291.49880000000002</v>
      </c>
      <c r="K7172">
        <v>1.1159829999999999</v>
      </c>
      <c r="L7172">
        <v>-62.768279999999997</v>
      </c>
      <c r="M7172">
        <v>0.88827060000000002</v>
      </c>
      <c r="N7172">
        <v>0</v>
      </c>
      <c r="O7172">
        <v>-0.45908090000000001</v>
      </c>
      <c r="P7172">
        <v>0.93811940000000005</v>
      </c>
      <c r="Q7172">
        <v>0.20803669999999999</v>
      </c>
      <c r="R7172">
        <v>-0.27686369999999999</v>
      </c>
      <c r="S7172">
        <v>3.1384889999999999</v>
      </c>
      <c r="T7172">
        <v>-0.22453239999999999</v>
      </c>
      <c r="U7172">
        <v>-0.38128659999999998</v>
      </c>
      <c r="V7172">
        <v>-0.18751809999999999</v>
      </c>
      <c r="W7172">
        <v>0.2199586</v>
      </c>
      <c r="X7172">
        <v>0.95731659999999996</v>
      </c>
      <c r="Y7172">
        <v>-0.34670869999999998</v>
      </c>
      <c r="Z7172">
        <v>4.3836460000000001E-2</v>
      </c>
      <c r="AA7172">
        <v>0.93694789999999994</v>
      </c>
      <c r="AB7172">
        <v>17</v>
      </c>
      <c r="AC7172">
        <v>15.5273</v>
      </c>
      <c r="AD7172">
        <v>-1.115985637623</v>
      </c>
      <c r="AE7172">
        <v>-1.86478999999998</v>
      </c>
      <c r="AF7172">
        <v>-5.4447252477179502</v>
      </c>
      <c r="AG7172">
        <v>-1.115985637623</v>
      </c>
      <c r="AH7172">
        <v>14.5759220508767</v>
      </c>
      <c r="AI7172">
        <v>94.102404911616901</v>
      </c>
      <c r="AJ7172">
        <v>110.48279329648599</v>
      </c>
      <c r="AK7172">
        <v>15.599614117014299</v>
      </c>
      <c r="AL7172">
        <v>77.2933979435998</v>
      </c>
      <c r="AM7172">
        <v>101.082712253022</v>
      </c>
      <c r="AN7172">
        <v>0.99999994808856296</v>
      </c>
    </row>
    <row r="7173" spans="1:40" x14ac:dyDescent="0.25">
      <c r="A7173" t="str">
        <f>"20190312172254901"</f>
        <v>20190312172254901</v>
      </c>
      <c r="B7173" t="str">
        <f>"1552382574897738"</f>
        <v>1552382574897738</v>
      </c>
      <c r="C7173" t="s">
        <v>40</v>
      </c>
      <c r="D7173">
        <v>3.113407</v>
      </c>
      <c r="E7173">
        <v>0.44089</v>
      </c>
      <c r="F7173" t="s">
        <v>72</v>
      </c>
      <c r="G7173">
        <v>-276.03140000000002</v>
      </c>
      <c r="H7173" s="1">
        <v>-2.6531960000000002E-6</v>
      </c>
      <c r="I7173">
        <v>-64.597239999999999</v>
      </c>
      <c r="J7173">
        <v>-291.42430000000002</v>
      </c>
      <c r="K7173">
        <v>1.1159699999999999</v>
      </c>
      <c r="L7173">
        <v>-62.799500000000002</v>
      </c>
      <c r="M7173">
        <v>0.89088999999999996</v>
      </c>
      <c r="N7173">
        <v>0</v>
      </c>
      <c r="O7173">
        <v>-0.4539764</v>
      </c>
      <c r="P7173">
        <v>0.93949070000000001</v>
      </c>
      <c r="Q7173">
        <v>0.20782039999999999</v>
      </c>
      <c r="R7173">
        <v>-0.27233800000000002</v>
      </c>
      <c r="S7173">
        <v>3.1385800000000001</v>
      </c>
      <c r="T7173">
        <v>-0.22645029999999999</v>
      </c>
      <c r="U7173">
        <v>-0.37112430000000002</v>
      </c>
      <c r="V7173">
        <v>-0.18664939999999999</v>
      </c>
      <c r="W7173">
        <v>0.21976509999999999</v>
      </c>
      <c r="X7173">
        <v>0.95753089999999996</v>
      </c>
      <c r="Y7173">
        <v>-0.34430559999999899</v>
      </c>
      <c r="Z7173">
        <v>4.3809670000000002E-2</v>
      </c>
      <c r="AA7173">
        <v>0.93783490000000003</v>
      </c>
      <c r="AB7173">
        <v>17</v>
      </c>
      <c r="AC7173">
        <v>15.3928999999999</v>
      </c>
      <c r="AD7173">
        <v>-1.1159726531959999</v>
      </c>
      <c r="AE7173">
        <v>-1.7977399999999899</v>
      </c>
      <c r="AF7173">
        <v>-5.3592287592428702</v>
      </c>
      <c r="AG7173">
        <v>-1.1159726531959999</v>
      </c>
      <c r="AH7173">
        <v>14.4561529196961</v>
      </c>
      <c r="AI7173">
        <v>94.140028180867304</v>
      </c>
      <c r="AJ7173">
        <v>110.34090312774499</v>
      </c>
      <c r="AK7173">
        <v>15.457913348644899</v>
      </c>
      <c r="AL7173">
        <v>77.304764221480795</v>
      </c>
      <c r="AM7173">
        <v>101.030224206301</v>
      </c>
      <c r="AN7173">
        <v>1.00000006107658</v>
      </c>
    </row>
    <row r="7174" spans="1:40" x14ac:dyDescent="0.25">
      <c r="A7174" t="str">
        <f>"20190312172254913"</f>
        <v>20190312172254913</v>
      </c>
      <c r="B7174" t="str">
        <f>"1552382574907498"</f>
        <v>1552382574907498</v>
      </c>
      <c r="C7174" t="s">
        <v>40</v>
      </c>
      <c r="D7174">
        <v>3.1881919999999999</v>
      </c>
      <c r="E7174">
        <v>0.44114920000000002</v>
      </c>
      <c r="F7174" t="s">
        <v>72</v>
      </c>
      <c r="G7174">
        <v>-275.81670000000003</v>
      </c>
      <c r="H7174" s="1">
        <v>-2.5768520000000002E-6</v>
      </c>
      <c r="I7174">
        <v>-64.572719999999904</v>
      </c>
      <c r="J7174">
        <v>-291.34539999999998</v>
      </c>
      <c r="K7174">
        <v>1.1159570000000001</v>
      </c>
      <c r="L7174">
        <v>-62.831699999999998</v>
      </c>
      <c r="M7174">
        <v>0.89361979999999996</v>
      </c>
      <c r="N7174">
        <v>0</v>
      </c>
      <c r="O7174">
        <v>-0.4485789</v>
      </c>
      <c r="P7174">
        <v>0.94075109999999995</v>
      </c>
      <c r="Q7174">
        <v>0.2079164</v>
      </c>
      <c r="R7174">
        <v>-0.26787739999999999</v>
      </c>
      <c r="S7174">
        <v>3.139526</v>
      </c>
      <c r="T7174">
        <v>-0.22448170000000001</v>
      </c>
      <c r="U7174">
        <v>-0.35668949999999999</v>
      </c>
      <c r="V7174">
        <v>-0.18538070000000001</v>
      </c>
      <c r="W7174">
        <v>0.21988740000000001</v>
      </c>
      <c r="X7174">
        <v>0.95774919999999997</v>
      </c>
      <c r="Y7174">
        <v>-0.34296520000000003</v>
      </c>
      <c r="Z7174">
        <v>4.3044659999999998E-2</v>
      </c>
      <c r="AA7174">
        <v>0.93836129999999995</v>
      </c>
      <c r="AB7174">
        <v>17</v>
      </c>
      <c r="AC7174">
        <v>15.528699999999899</v>
      </c>
      <c r="AD7174">
        <v>-1.1159595768520001</v>
      </c>
      <c r="AE7174">
        <v>-1.74101999999999</v>
      </c>
      <c r="AF7174">
        <v>-5.3831779129293302</v>
      </c>
      <c r="AG7174">
        <v>-1.1159595768520001</v>
      </c>
      <c r="AH7174">
        <v>14.5849670909968</v>
      </c>
      <c r="AI7174">
        <v>94.105713522951902</v>
      </c>
      <c r="AJ7174">
        <v>110.258642224018</v>
      </c>
      <c r="AK7174">
        <v>15.5867005894409</v>
      </c>
      <c r="AL7174">
        <v>77.297580474335504</v>
      </c>
      <c r="AM7174">
        <v>100.95463276436401</v>
      </c>
      <c r="AN7174">
        <v>1.00000000135594</v>
      </c>
    </row>
    <row r="7175" spans="1:40" x14ac:dyDescent="0.25">
      <c r="A7175" t="str">
        <f>"20190312172254924"</f>
        <v>20190312172254924</v>
      </c>
      <c r="B7175" t="str">
        <f>"1552382574917257"</f>
        <v>1552382574917257</v>
      </c>
      <c r="C7175" t="s">
        <v>40</v>
      </c>
      <c r="D7175">
        <v>3.1043989999999999</v>
      </c>
      <c r="E7175">
        <v>0.44148300000000001</v>
      </c>
      <c r="F7175" t="s">
        <v>72</v>
      </c>
      <c r="G7175">
        <v>-275.58819999999997</v>
      </c>
      <c r="H7175" s="1">
        <v>-2.4791769999999999E-6</v>
      </c>
      <c r="I7175">
        <v>-64.555179999999993</v>
      </c>
      <c r="J7175">
        <v>-291.27339999999998</v>
      </c>
      <c r="K7175">
        <v>1.115944</v>
      </c>
      <c r="L7175">
        <v>-62.860779999999998</v>
      </c>
      <c r="M7175">
        <v>0.89607899999999996</v>
      </c>
      <c r="N7175">
        <v>0</v>
      </c>
      <c r="O7175">
        <v>-0.44364579999999998</v>
      </c>
      <c r="P7175">
        <v>0.94196869999999999</v>
      </c>
      <c r="Q7175">
        <v>0.2074869</v>
      </c>
      <c r="R7175">
        <v>-0.26390160000000001</v>
      </c>
      <c r="S7175">
        <v>3.1402890000000001</v>
      </c>
      <c r="T7175">
        <v>-0.2224016</v>
      </c>
      <c r="U7175">
        <v>-0.34347529999999998</v>
      </c>
      <c r="V7175">
        <v>-0.18417230000000001</v>
      </c>
      <c r="W7175">
        <v>0.21948500000000001</v>
      </c>
      <c r="X7175">
        <v>0.9580746</v>
      </c>
      <c r="Y7175">
        <v>-0.34176329999999999</v>
      </c>
      <c r="Z7175">
        <v>4.229865E-2</v>
      </c>
      <c r="AA7175">
        <v>0.93883369999999999</v>
      </c>
      <c r="AB7175">
        <v>17</v>
      </c>
      <c r="AC7175">
        <v>15.6852</v>
      </c>
      <c r="AD7175">
        <v>-1.115946479177</v>
      </c>
      <c r="AE7175">
        <v>-1.6943999999999999</v>
      </c>
      <c r="AF7175">
        <v>-5.4138697144449202</v>
      </c>
      <c r="AG7175">
        <v>-1.115946479177</v>
      </c>
      <c r="AH7175">
        <v>14.7348023727914</v>
      </c>
      <c r="AI7175">
        <v>94.066250848386503</v>
      </c>
      <c r="AJ7175">
        <v>110.174371255582</v>
      </c>
      <c r="AK7175">
        <v>15.7375259426185</v>
      </c>
      <c r="AL7175">
        <v>77.321213883900398</v>
      </c>
      <c r="AM7175">
        <v>100.881327712595</v>
      </c>
      <c r="AN7175">
        <v>1.00000002023872</v>
      </c>
    </row>
    <row r="7176" spans="1:40" x14ac:dyDescent="0.25">
      <c r="A7176" t="str">
        <f>"20190312172254934"</f>
        <v>20190312172254934</v>
      </c>
      <c r="B7176" t="str">
        <f>"1552382574927994"</f>
        <v>1552382574927994</v>
      </c>
      <c r="C7176" t="s">
        <v>40</v>
      </c>
      <c r="D7176">
        <v>3.3797640000000002</v>
      </c>
      <c r="E7176">
        <v>0.44148300000000001</v>
      </c>
      <c r="F7176" t="s">
        <v>72</v>
      </c>
      <c r="G7176">
        <v>-275.49380000000002</v>
      </c>
      <c r="H7176" s="1">
        <v>-2.433261E-6</v>
      </c>
      <c r="I7176">
        <v>-64.530690000000007</v>
      </c>
      <c r="J7176">
        <v>-291.19900000000001</v>
      </c>
      <c r="K7176">
        <v>1.1159300000000001</v>
      </c>
      <c r="L7176">
        <v>-62.890259999999998</v>
      </c>
      <c r="M7176">
        <v>0.89858649999999995</v>
      </c>
      <c r="N7176">
        <v>0</v>
      </c>
      <c r="O7176">
        <v>-0.43854480000000001</v>
      </c>
      <c r="P7176">
        <v>0.94312660000000004</v>
      </c>
      <c r="Q7176">
        <v>0.20765339999999999</v>
      </c>
      <c r="R7176">
        <v>-0.25960040000000001</v>
      </c>
      <c r="S7176">
        <v>3.1406559999999999</v>
      </c>
      <c r="T7176">
        <v>-0.22211</v>
      </c>
      <c r="U7176">
        <v>-0.33236690000000002</v>
      </c>
      <c r="V7176">
        <v>-0.18307409999999999</v>
      </c>
      <c r="W7176">
        <v>0.21967439999999999</v>
      </c>
      <c r="X7176">
        <v>0.95824160000000003</v>
      </c>
      <c r="Y7176">
        <v>-0.33973750000000003</v>
      </c>
      <c r="Z7176">
        <v>4.1857070000000003E-2</v>
      </c>
      <c r="AA7176">
        <v>0.93958839999999999</v>
      </c>
      <c r="AB7176">
        <v>17</v>
      </c>
      <c r="AC7176">
        <v>15.7051999999999</v>
      </c>
      <c r="AD7176">
        <v>-1.1159324332609999</v>
      </c>
      <c r="AE7176">
        <v>-1.6404300000000001</v>
      </c>
      <c r="AF7176">
        <v>-5.3870584767479901</v>
      </c>
      <c r="AG7176">
        <v>-1.1159324332609999</v>
      </c>
      <c r="AH7176">
        <v>14.7598049811403</v>
      </c>
      <c r="AI7176">
        <v>94.062522239076799</v>
      </c>
      <c r="AJ7176">
        <v>110.051156082239</v>
      </c>
      <c r="AK7176">
        <v>15.751747436675</v>
      </c>
      <c r="AL7176">
        <v>77.310089895493107</v>
      </c>
      <c r="AM7176">
        <v>100.816138147906</v>
      </c>
      <c r="AN7176">
        <v>0.99999996603836405</v>
      </c>
    </row>
    <row r="7177" spans="1:40" x14ac:dyDescent="0.25">
      <c r="A7177" t="str">
        <f>"20190312172254946"</f>
        <v>20190312172254946</v>
      </c>
      <c r="B7177" t="str">
        <f>"1552382574937408"</f>
        <v>1552382574937408</v>
      </c>
      <c r="C7177" t="s">
        <v>40</v>
      </c>
      <c r="D7177">
        <v>3.2668870000000001</v>
      </c>
      <c r="E7177">
        <v>0.45415539999999999</v>
      </c>
      <c r="F7177" t="s">
        <v>72</v>
      </c>
      <c r="G7177">
        <v>-275.36110000000002</v>
      </c>
      <c r="H7177" s="1">
        <v>-2.3677650000000001E-6</v>
      </c>
      <c r="I7177">
        <v>-64.492130000000003</v>
      </c>
      <c r="J7177">
        <v>-291.13010000000003</v>
      </c>
      <c r="K7177">
        <v>1.115918</v>
      </c>
      <c r="L7177">
        <v>-62.917140000000003</v>
      </c>
      <c r="M7177">
        <v>0.90087680000000003</v>
      </c>
      <c r="N7177">
        <v>0</v>
      </c>
      <c r="O7177">
        <v>-0.43382080000000001</v>
      </c>
      <c r="P7177">
        <v>0.9441368</v>
      </c>
      <c r="Q7177">
        <v>0.20762939999999999</v>
      </c>
      <c r="R7177">
        <v>-0.25592120000000002</v>
      </c>
      <c r="S7177">
        <v>3.1422119999999998</v>
      </c>
      <c r="T7177">
        <v>-0.2213995</v>
      </c>
      <c r="U7177">
        <v>-0.31781009999999998</v>
      </c>
      <c r="V7177">
        <v>-0.1817703</v>
      </c>
      <c r="W7177">
        <v>0.21967619999999999</v>
      </c>
      <c r="X7177">
        <v>0.95848940000000005</v>
      </c>
      <c r="Y7177">
        <v>-0.33918090000000001</v>
      </c>
      <c r="Z7177">
        <v>4.140108E-2</v>
      </c>
      <c r="AA7177">
        <v>0.93980969999999997</v>
      </c>
      <c r="AB7177">
        <v>17</v>
      </c>
      <c r="AC7177">
        <v>15.769</v>
      </c>
      <c r="AD7177">
        <v>-1.115920367765</v>
      </c>
      <c r="AE7177">
        <v>-1.5749899999999899</v>
      </c>
      <c r="AF7177">
        <v>-5.3958908076862597</v>
      </c>
      <c r="AG7177">
        <v>-1.115920367765</v>
      </c>
      <c r="AH7177">
        <v>14.817360178035999</v>
      </c>
      <c r="AI7177">
        <v>94.047817606806902</v>
      </c>
      <c r="AJ7177">
        <v>110.00960347575599</v>
      </c>
      <c r="AK7177">
        <v>15.8087026198013</v>
      </c>
      <c r="AL7177">
        <v>77.309984649413494</v>
      </c>
      <c r="AM7177">
        <v>100.738194730442</v>
      </c>
      <c r="AN7177">
        <v>1.0000000023604401</v>
      </c>
    </row>
    <row r="7178" spans="1:40" x14ac:dyDescent="0.25">
      <c r="A7178" t="str">
        <f>"20190312172254957"</f>
        <v>20190312172254957</v>
      </c>
      <c r="B7178" t="str">
        <f>"1552382574948144"</f>
        <v>1552382574948144</v>
      </c>
      <c r="C7178" t="s">
        <v>40</v>
      </c>
      <c r="D7178">
        <v>3.2520669999999998</v>
      </c>
      <c r="E7178">
        <v>0.453984</v>
      </c>
      <c r="F7178" t="s">
        <v>72</v>
      </c>
      <c r="G7178">
        <v>-276.56540000000001</v>
      </c>
      <c r="H7178" s="1">
        <v>-2.86153E-6</v>
      </c>
      <c r="I7178">
        <v>-64.796359999999893</v>
      </c>
      <c r="J7178">
        <v>-291.04910000000001</v>
      </c>
      <c r="K7178">
        <v>1.1159079999999999</v>
      </c>
      <c r="L7178">
        <v>-62.948300000000003</v>
      </c>
      <c r="M7178">
        <v>0.90353329999999998</v>
      </c>
      <c r="N7178">
        <v>0</v>
      </c>
      <c r="O7178">
        <v>-0.42826019999999998</v>
      </c>
      <c r="P7178">
        <v>0.94539169999999995</v>
      </c>
      <c r="Q7178">
        <v>0.20777989999999999</v>
      </c>
      <c r="R7178">
        <v>-0.25112180000000001</v>
      </c>
      <c r="S7178">
        <v>3.1209410000000002</v>
      </c>
      <c r="T7178">
        <v>-0.23911979999999999</v>
      </c>
      <c r="U7178">
        <v>-0.40267940000000002</v>
      </c>
      <c r="V7178">
        <v>-0.18070910000000001</v>
      </c>
      <c r="W7178">
        <v>0.2198484</v>
      </c>
      <c r="X7178">
        <v>0.95865060000000002</v>
      </c>
      <c r="Y7178">
        <v>-0.30712440000000002</v>
      </c>
      <c r="Z7178">
        <v>4.328593E-2</v>
      </c>
      <c r="AA7178">
        <v>0.95068439999999999</v>
      </c>
      <c r="AB7178">
        <v>16</v>
      </c>
      <c r="AC7178">
        <v>14.483700000000001</v>
      </c>
      <c r="AD7178">
        <v>-1.11591086153</v>
      </c>
      <c r="AE7178">
        <v>-1.8480599999999801</v>
      </c>
      <c r="AF7178">
        <v>-4.50718258504949</v>
      </c>
      <c r="AG7178">
        <v>-1.11591086153</v>
      </c>
      <c r="AH7178">
        <v>13.7988888822186</v>
      </c>
      <c r="AI7178">
        <v>94.395839353082593</v>
      </c>
      <c r="AJ7178">
        <v>108.08878432940099</v>
      </c>
      <c r="AK7178">
        <v>14.5591650272146</v>
      </c>
      <c r="AL7178">
        <v>77.299871500034598</v>
      </c>
      <c r="AM7178">
        <v>100.675194928244</v>
      </c>
      <c r="AN7178">
        <v>1.00000003534286</v>
      </c>
    </row>
    <row r="7179" spans="1:40" x14ac:dyDescent="0.25">
      <c r="A7179" t="str">
        <f>"20190312172254969"</f>
        <v>20190312172254969</v>
      </c>
      <c r="B7179" t="str">
        <f>"1552382574957904"</f>
        <v>1552382574957904</v>
      </c>
      <c r="C7179" t="s">
        <v>40</v>
      </c>
      <c r="D7179">
        <v>3.2985950000000002</v>
      </c>
      <c r="E7179">
        <v>0.45385769999999998</v>
      </c>
      <c r="F7179" t="s">
        <v>72</v>
      </c>
      <c r="G7179">
        <v>-276.80200000000002</v>
      </c>
      <c r="H7179" s="1">
        <v>-2.9297819999999998E-6</v>
      </c>
      <c r="I7179">
        <v>-64.704569999999904</v>
      </c>
      <c r="J7179">
        <v>-290.9744</v>
      </c>
      <c r="K7179">
        <v>1.115896</v>
      </c>
      <c r="L7179">
        <v>-62.976349999999996</v>
      </c>
      <c r="M7179">
        <v>0.90594589999999997</v>
      </c>
      <c r="N7179">
        <v>0</v>
      </c>
      <c r="O7179">
        <v>-0.42313319999999999</v>
      </c>
      <c r="P7179">
        <v>0.94654970000000005</v>
      </c>
      <c r="Q7179">
        <v>0.20769029999999999</v>
      </c>
      <c r="R7179">
        <v>-0.24679709999999999</v>
      </c>
      <c r="S7179">
        <v>3.1247560000000001</v>
      </c>
      <c r="T7179">
        <v>-0.24474750000000001</v>
      </c>
      <c r="U7179">
        <v>-0.3851929</v>
      </c>
      <c r="V7179">
        <v>-0.17965719999999999</v>
      </c>
      <c r="W7179">
        <v>0.21978</v>
      </c>
      <c r="X7179">
        <v>0.95886389999999999</v>
      </c>
      <c r="Y7179">
        <v>-0.30703819999999998</v>
      </c>
      <c r="Z7179">
        <v>4.390757E-2</v>
      </c>
      <c r="AA7179">
        <v>0.95068379999999997</v>
      </c>
      <c r="AB7179">
        <v>16</v>
      </c>
      <c r="AC7179">
        <v>14.1723999999999</v>
      </c>
      <c r="AD7179">
        <v>-1.1158989297819999</v>
      </c>
      <c r="AE7179">
        <v>-1.7282199999999901</v>
      </c>
      <c r="AF7179">
        <v>-4.4047200156920301</v>
      </c>
      <c r="AG7179">
        <v>-1.1158989297819999</v>
      </c>
      <c r="AH7179">
        <v>13.489784387352699</v>
      </c>
      <c r="AI7179">
        <v>94.496255990794097</v>
      </c>
      <c r="AJ7179">
        <v>108.083032633405</v>
      </c>
      <c r="AK7179">
        <v>14.2345028594395</v>
      </c>
      <c r="AL7179">
        <v>77.303887921825705</v>
      </c>
      <c r="AM7179">
        <v>100.61216354208401</v>
      </c>
      <c r="AN7179">
        <v>0.99999996831752402</v>
      </c>
    </row>
    <row r="7180" spans="1:40" x14ac:dyDescent="0.25">
      <c r="A7180" t="str">
        <f>"20190312172254985"</f>
        <v>20190312172254985</v>
      </c>
      <c r="B7180" t="str">
        <f>"1552382574977423"</f>
        <v>1552382574977423</v>
      </c>
      <c r="C7180" t="s">
        <v>40</v>
      </c>
      <c r="D7180">
        <v>3.2666940000000002</v>
      </c>
      <c r="E7180">
        <v>0.45424019999999998</v>
      </c>
      <c r="F7180" t="s">
        <v>72</v>
      </c>
      <c r="G7180">
        <v>-276.5849</v>
      </c>
      <c r="H7180" s="1">
        <v>-2.85266E-6</v>
      </c>
      <c r="I7180">
        <v>-64.680139999999994</v>
      </c>
      <c r="J7180">
        <v>-290.86970000000002</v>
      </c>
      <c r="K7180">
        <v>1.1158840000000001</v>
      </c>
      <c r="L7180">
        <v>-63.015050000000002</v>
      </c>
      <c r="M7180">
        <v>0.90927000000000002</v>
      </c>
      <c r="N7180">
        <v>0</v>
      </c>
      <c r="O7180">
        <v>-0.41594179999999997</v>
      </c>
      <c r="P7180">
        <v>0.94826569999999999</v>
      </c>
      <c r="Q7180">
        <v>0.20764779999999999</v>
      </c>
      <c r="R7180">
        <v>-0.24015639999999999</v>
      </c>
      <c r="S7180">
        <v>3.126099</v>
      </c>
      <c r="T7180">
        <v>-0.2424289</v>
      </c>
      <c r="U7180">
        <v>-0.37014770000000002</v>
      </c>
      <c r="V7180">
        <v>-0.1787724</v>
      </c>
      <c r="W7180">
        <v>0.21975810000000001</v>
      </c>
      <c r="X7180">
        <v>0.95903430000000001</v>
      </c>
      <c r="Y7180">
        <v>-0.30412610000000001</v>
      </c>
      <c r="Z7180">
        <v>4.2877289999999998E-2</v>
      </c>
      <c r="AA7180">
        <v>0.95166640000000002</v>
      </c>
      <c r="AB7180">
        <v>16</v>
      </c>
      <c r="AC7180">
        <v>14.284800000000001</v>
      </c>
      <c r="AD7180">
        <v>-1.1158868526600001</v>
      </c>
      <c r="AE7180">
        <v>-1.66509</v>
      </c>
      <c r="AF7180">
        <v>-4.4016173993530501</v>
      </c>
      <c r="AG7180">
        <v>-1.1158868526600001</v>
      </c>
      <c r="AH7180">
        <v>13.6009449691071</v>
      </c>
      <c r="AI7180">
        <v>94.463393239233994</v>
      </c>
      <c r="AJ7180">
        <v>107.932921652117</v>
      </c>
      <c r="AK7180">
        <v>14.3389380098705</v>
      </c>
      <c r="AL7180">
        <v>77.305174438480407</v>
      </c>
      <c r="AM7180">
        <v>100.559243657259</v>
      </c>
      <c r="AN7180">
        <v>0.99999999104692905</v>
      </c>
    </row>
    <row r="7181" spans="1:40" x14ac:dyDescent="0.25">
      <c r="A7181" t="str">
        <f>"20190312172254996"</f>
        <v>20190312172254996</v>
      </c>
      <c r="B7181" t="str">
        <f>"1552382574988160"</f>
        <v>1552382574988160</v>
      </c>
      <c r="C7181" t="s">
        <v>40</v>
      </c>
      <c r="D7181">
        <v>3.3097660000000002</v>
      </c>
      <c r="E7181">
        <v>0.45450499999999999</v>
      </c>
      <c r="F7181" t="s">
        <v>72</v>
      </c>
      <c r="G7181">
        <v>-276.36270000000002</v>
      </c>
      <c r="H7181" s="1">
        <v>-2.7725059999999999E-6</v>
      </c>
      <c r="I7181">
        <v>-64.646319999999903</v>
      </c>
      <c r="J7181">
        <v>-290.77999999999997</v>
      </c>
      <c r="K7181">
        <v>1.115872</v>
      </c>
      <c r="L7181">
        <v>-63.047449999999998</v>
      </c>
      <c r="M7181">
        <v>0.91206370000000003</v>
      </c>
      <c r="N7181">
        <v>0</v>
      </c>
      <c r="O7181">
        <v>-0.40977959999999902</v>
      </c>
      <c r="P7181">
        <v>0.94961130000000005</v>
      </c>
      <c r="Q7181">
        <v>0.20760690000000001</v>
      </c>
      <c r="R7181">
        <v>-0.23481389999999999</v>
      </c>
      <c r="S7181">
        <v>3.1272890000000002</v>
      </c>
      <c r="T7181">
        <v>-0.2405524</v>
      </c>
      <c r="U7181">
        <v>-0.35165410000000002</v>
      </c>
      <c r="V7181">
        <v>-0.17767330000000001</v>
      </c>
      <c r="W7181">
        <v>0.2197395</v>
      </c>
      <c r="X7181">
        <v>0.95924279999999995</v>
      </c>
      <c r="Y7181">
        <v>-0.3033283</v>
      </c>
      <c r="Z7181">
        <v>4.2092299999999999E-2</v>
      </c>
      <c r="AA7181">
        <v>0.95195600000000002</v>
      </c>
      <c r="AB7181">
        <v>16</v>
      </c>
      <c r="AC7181">
        <v>14.4172999999999</v>
      </c>
      <c r="AD7181">
        <v>-1.1158747725060001</v>
      </c>
      <c r="AE7181">
        <v>-1.59886999999999</v>
      </c>
      <c r="AF7181">
        <v>-4.42395503845463</v>
      </c>
      <c r="AG7181">
        <v>-1.1158747725060001</v>
      </c>
      <c r="AH7181">
        <v>13.7249818231052</v>
      </c>
      <c r="AI7181">
        <v>94.424841044616002</v>
      </c>
      <c r="AJ7181">
        <v>107.865618856174</v>
      </c>
      <c r="AK7181">
        <v>14.4634601923175</v>
      </c>
      <c r="AL7181">
        <v>77.306266949616202</v>
      </c>
      <c r="AM7181">
        <v>100.493541232041</v>
      </c>
      <c r="AN7181">
        <v>0.99999999937248996</v>
      </c>
    </row>
    <row r="7182" spans="1:40" x14ac:dyDescent="0.25">
      <c r="A7182" t="str">
        <f>"20190312172255007"</f>
        <v>20190312172255007</v>
      </c>
      <c r="B7182" t="str">
        <f>"1552382574997920"</f>
        <v>1552382574997920</v>
      </c>
      <c r="C7182" t="s">
        <v>40</v>
      </c>
      <c r="D7182">
        <v>3.3099090000000002</v>
      </c>
      <c r="E7182">
        <v>0.45492060000000001</v>
      </c>
      <c r="F7182" t="s">
        <v>72</v>
      </c>
      <c r="G7182">
        <v>-276.26010000000002</v>
      </c>
      <c r="H7182" s="1">
        <v>-2.7326540000000001E-6</v>
      </c>
      <c r="I7182">
        <v>-64.609269999999995</v>
      </c>
      <c r="J7182">
        <v>-290.71460000000002</v>
      </c>
      <c r="K7182">
        <v>1.1158619999999999</v>
      </c>
      <c r="L7182">
        <v>-63.07056</v>
      </c>
      <c r="M7182">
        <v>0.91407050000000001</v>
      </c>
      <c r="N7182">
        <v>0</v>
      </c>
      <c r="O7182">
        <v>-0.40528320000000001</v>
      </c>
      <c r="P7182">
        <v>0.95043239999999996</v>
      </c>
      <c r="Q7182">
        <v>0.20807690000000001</v>
      </c>
      <c r="R7182">
        <v>-0.23104649999999999</v>
      </c>
      <c r="S7182">
        <v>3.1285400000000001</v>
      </c>
      <c r="T7182">
        <v>-0.2404329</v>
      </c>
      <c r="U7182">
        <v>-0.33651730000000002</v>
      </c>
      <c r="V7182">
        <v>-0.17670829999999901</v>
      </c>
      <c r="W7182">
        <v>0.22022610000000001</v>
      </c>
      <c r="X7182">
        <v>0.95930950000000004</v>
      </c>
      <c r="Y7182">
        <v>-0.30324509999999899</v>
      </c>
      <c r="Z7182">
        <v>4.1754720000000002E-2</v>
      </c>
      <c r="AA7182">
        <v>0.95199730000000005</v>
      </c>
      <c r="AB7182">
        <v>16</v>
      </c>
      <c r="AC7182">
        <v>14.4544999999999</v>
      </c>
      <c r="AD7182">
        <v>-1.1158647326540001</v>
      </c>
      <c r="AE7182">
        <v>-1.53870999999999</v>
      </c>
      <c r="AF7182">
        <v>-4.4260856776895103</v>
      </c>
      <c r="AG7182">
        <v>-1.1158647326540001</v>
      </c>
      <c r="AH7182">
        <v>13.756507434821099</v>
      </c>
      <c r="AI7182">
        <v>94.415450343812196</v>
      </c>
      <c r="AJ7182">
        <v>107.835312876638</v>
      </c>
      <c r="AK7182">
        <v>14.4940292994087</v>
      </c>
      <c r="AL7182">
        <v>77.277687208885894</v>
      </c>
      <c r="AM7182">
        <v>100.43709363990099</v>
      </c>
      <c r="AN7182">
        <v>1.0000000376001701</v>
      </c>
    </row>
    <row r="7183" spans="1:40" x14ac:dyDescent="0.25">
      <c r="A7183" t="str">
        <f>"20190312172255017"</f>
        <v>20190312172255017</v>
      </c>
      <c r="B7183" t="str">
        <f>"1552382575007680"</f>
        <v>1552382575007680</v>
      </c>
      <c r="C7183" t="s">
        <v>40</v>
      </c>
      <c r="D7183">
        <v>3.3066420000000001</v>
      </c>
      <c r="E7183">
        <v>0.45538430000000002</v>
      </c>
      <c r="F7183" t="s">
        <v>72</v>
      </c>
      <c r="G7183">
        <v>-276.2038</v>
      </c>
      <c r="H7183" s="1">
        <v>-2.710733E-6</v>
      </c>
      <c r="I7183">
        <v>-64.588719999999995</v>
      </c>
      <c r="J7183">
        <v>-290.64389999999997</v>
      </c>
      <c r="K7183">
        <v>1.1158509999999999</v>
      </c>
      <c r="L7183">
        <v>-63.095309999999998</v>
      </c>
      <c r="M7183">
        <v>0.91620990000000002</v>
      </c>
      <c r="N7183">
        <v>0</v>
      </c>
      <c r="O7183">
        <v>-0.40042339999999998</v>
      </c>
      <c r="P7183">
        <v>0.95137119999999997</v>
      </c>
      <c r="Q7183">
        <v>0.20837829999999999</v>
      </c>
      <c r="R7183">
        <v>-0.22687299999999999</v>
      </c>
      <c r="S7183">
        <v>3.1295470000000001</v>
      </c>
      <c r="T7183">
        <v>-0.2406586</v>
      </c>
      <c r="U7183">
        <v>-0.32742310000000002</v>
      </c>
      <c r="V7183">
        <v>-0.17579229999999901</v>
      </c>
      <c r="W7183">
        <v>0.2205442</v>
      </c>
      <c r="X7183">
        <v>0.95940460000000005</v>
      </c>
      <c r="Y7183">
        <v>-0.30097030000000002</v>
      </c>
      <c r="Z7183">
        <v>4.1362099999999999E-2</v>
      </c>
      <c r="AA7183">
        <v>0.95273609999999997</v>
      </c>
      <c r="AB7183">
        <v>16</v>
      </c>
      <c r="AC7183">
        <v>14.4400999999999</v>
      </c>
      <c r="AD7183">
        <v>-1.115853710733</v>
      </c>
      <c r="AE7183">
        <v>-1.4934099999999899</v>
      </c>
      <c r="AF7183">
        <v>-4.3884360022475404</v>
      </c>
      <c r="AG7183">
        <v>-1.115853710733</v>
      </c>
      <c r="AH7183">
        <v>13.7484555005014</v>
      </c>
      <c r="AI7183">
        <v>94.421244981287799</v>
      </c>
      <c r="AJ7183">
        <v>107.702814530758</v>
      </c>
      <c r="AK7183">
        <v>14.4749275887255</v>
      </c>
      <c r="AL7183">
        <v>77.259000635715097</v>
      </c>
      <c r="AM7183">
        <v>100.383164059807</v>
      </c>
      <c r="AN7183">
        <v>0.99999993169704204</v>
      </c>
    </row>
    <row r="7184" spans="1:40" x14ac:dyDescent="0.25">
      <c r="A7184" t="str">
        <f>"20190312172255027"</f>
        <v>20190312172255027</v>
      </c>
      <c r="B7184" t="str">
        <f>"1552382575017441"</f>
        <v>1552382575017441</v>
      </c>
      <c r="C7184" t="s">
        <v>40</v>
      </c>
      <c r="D7184">
        <v>3.3164950000000002</v>
      </c>
      <c r="E7184">
        <v>0.45588820000000002</v>
      </c>
      <c r="F7184" t="s">
        <v>72</v>
      </c>
      <c r="G7184">
        <v>-276.08940000000001</v>
      </c>
      <c r="H7184" s="1">
        <v>-2.6695290000000002E-6</v>
      </c>
      <c r="I7184">
        <v>-64.571749999999994</v>
      </c>
      <c r="J7184">
        <v>-290.57679999999999</v>
      </c>
      <c r="K7184">
        <v>1.1158319999999999</v>
      </c>
      <c r="L7184">
        <v>-63.118189999999998</v>
      </c>
      <c r="M7184">
        <v>0.91820889999999999</v>
      </c>
      <c r="N7184">
        <v>0</v>
      </c>
      <c r="O7184">
        <v>-0.39581820000000001</v>
      </c>
      <c r="P7184">
        <v>0.95245429999999998</v>
      </c>
      <c r="Q7184">
        <v>0.2083362</v>
      </c>
      <c r="R7184">
        <v>-0.22232279999999999</v>
      </c>
      <c r="S7184">
        <v>3.1302189999999999</v>
      </c>
      <c r="T7184">
        <v>-0.23998510000000001</v>
      </c>
      <c r="U7184">
        <v>-0.31753540000000002</v>
      </c>
      <c r="V7184">
        <v>-0.17555580000000001</v>
      </c>
      <c r="W7184">
        <v>0.22050980000000001</v>
      </c>
      <c r="X7184">
        <v>0.95945590000000003</v>
      </c>
      <c r="Y7184">
        <v>-0.2992109</v>
      </c>
      <c r="Z7184">
        <v>4.0857980000000002E-2</v>
      </c>
      <c r="AA7184">
        <v>0.95331189999999999</v>
      </c>
      <c r="AB7184">
        <v>16</v>
      </c>
      <c r="AC7184">
        <v>14.4873999999999</v>
      </c>
      <c r="AD7184">
        <v>-1.115834669529</v>
      </c>
      <c r="AE7184">
        <v>-1.45355999999998</v>
      </c>
      <c r="AF7184">
        <v>-4.3744977763094104</v>
      </c>
      <c r="AG7184">
        <v>-1.115834669529</v>
      </c>
      <c r="AH7184">
        <v>13.7982954640293</v>
      </c>
      <c r="AI7184">
        <v>94.408006109684493</v>
      </c>
      <c r="AJ7184">
        <v>107.590268170554</v>
      </c>
      <c r="AK7184">
        <v>14.518067210111401</v>
      </c>
      <c r="AL7184">
        <v>77.261022469597606</v>
      </c>
      <c r="AM7184">
        <v>100.36895602401501</v>
      </c>
      <c r="AN7184">
        <v>1.0000000174272401</v>
      </c>
    </row>
    <row r="7185" spans="1:40" x14ac:dyDescent="0.25">
      <c r="A7185" t="str">
        <f>"20190312172255036"</f>
        <v>20190312172255036</v>
      </c>
      <c r="B7185" t="str">
        <f>"1552382575028177"</f>
        <v>1552382575028177</v>
      </c>
      <c r="C7185" t="s">
        <v>40</v>
      </c>
      <c r="D7185">
        <v>3.3774519999999999</v>
      </c>
      <c r="E7185">
        <v>0.45633410000000002</v>
      </c>
      <c r="F7185" t="s">
        <v>72</v>
      </c>
      <c r="G7185">
        <v>-276.07929999999999</v>
      </c>
      <c r="H7185" s="1">
        <v>-2.6614570000000001E-6</v>
      </c>
      <c r="I7185">
        <v>-64.536929999999998</v>
      </c>
      <c r="J7185">
        <v>-290.51249999999999</v>
      </c>
      <c r="K7185">
        <v>1.115818</v>
      </c>
      <c r="L7185">
        <v>-63.139949999999999</v>
      </c>
      <c r="M7185">
        <v>0.9201028</v>
      </c>
      <c r="N7185">
        <v>0</v>
      </c>
      <c r="O7185">
        <v>-0.3913953</v>
      </c>
      <c r="P7185">
        <v>0.95332660000000002</v>
      </c>
      <c r="Q7185">
        <v>0.2082002</v>
      </c>
      <c r="R7185">
        <v>-0.21867980000000001</v>
      </c>
      <c r="S7185">
        <v>3.130951</v>
      </c>
      <c r="T7185">
        <v>-0.2409809</v>
      </c>
      <c r="U7185">
        <v>-0.30639650000000002</v>
      </c>
      <c r="V7185">
        <v>-0.1746066</v>
      </c>
      <c r="W7185">
        <v>0.22039210000000001</v>
      </c>
      <c r="X7185">
        <v>0.95965610000000001</v>
      </c>
      <c r="Y7185">
        <v>-0.29800079999999901</v>
      </c>
      <c r="Z7185">
        <v>4.0670230000000002E-2</v>
      </c>
      <c r="AA7185">
        <v>0.95369879999999996</v>
      </c>
      <c r="AB7185">
        <v>16</v>
      </c>
      <c r="AC7185">
        <v>14.433199999999999</v>
      </c>
      <c r="AD7185">
        <v>-1.1158206614570001</v>
      </c>
      <c r="AE7185">
        <v>-1.3969799999999899</v>
      </c>
      <c r="AF7185">
        <v>-4.3385132844862202</v>
      </c>
      <c r="AG7185">
        <v>-1.1158206614570001</v>
      </c>
      <c r="AH7185">
        <v>13.746925107095</v>
      </c>
      <c r="AI7185">
        <v>94.426173725529495</v>
      </c>
      <c r="AJ7185">
        <v>107.515634516728</v>
      </c>
      <c r="AK7185">
        <v>14.4584128855237</v>
      </c>
      <c r="AL7185">
        <v>77.267935873912606</v>
      </c>
      <c r="AM7185">
        <v>100.311993841762</v>
      </c>
      <c r="AN7185">
        <v>0.99999998638658905</v>
      </c>
    </row>
    <row r="7186" spans="1:40" x14ac:dyDescent="0.25">
      <c r="A7186" t="str">
        <f>"20190312172255046"</f>
        <v>20190312172255046</v>
      </c>
      <c r="B7186" t="str">
        <f>"1552382575037610"</f>
        <v>1552382575037610</v>
      </c>
      <c r="C7186" t="s">
        <v>40</v>
      </c>
      <c r="D7186">
        <v>3.3858959999999998</v>
      </c>
      <c r="E7186">
        <v>0.45673920000000001</v>
      </c>
      <c r="F7186" t="s">
        <v>72</v>
      </c>
      <c r="G7186">
        <v>-276.16000000000003</v>
      </c>
      <c r="H7186" s="1">
        <v>-2.6844340000000002E-6</v>
      </c>
      <c r="I7186">
        <v>-64.503559999999993</v>
      </c>
      <c r="J7186">
        <v>-290.45359999999999</v>
      </c>
      <c r="K7186">
        <v>1.115801</v>
      </c>
      <c r="L7186">
        <v>-63.15945</v>
      </c>
      <c r="M7186">
        <v>0.92180850000000003</v>
      </c>
      <c r="N7186">
        <v>0</v>
      </c>
      <c r="O7186">
        <v>-0.38736120000000002</v>
      </c>
      <c r="P7186">
        <v>0.95405910000000005</v>
      </c>
      <c r="Q7186">
        <v>0.2080195</v>
      </c>
      <c r="R7186">
        <v>-0.2156373</v>
      </c>
      <c r="S7186">
        <v>3.1318049999999999</v>
      </c>
      <c r="T7186">
        <v>-0.24347869999999999</v>
      </c>
      <c r="U7186">
        <v>-0.29754639999999999</v>
      </c>
      <c r="V7186">
        <v>-0.1734656</v>
      </c>
      <c r="W7186">
        <v>0.22023300000000001</v>
      </c>
      <c r="X7186">
        <v>0.95989950000000002</v>
      </c>
      <c r="Y7186">
        <v>-0.29649150000000002</v>
      </c>
      <c r="Z7186">
        <v>4.0741319999999998E-2</v>
      </c>
      <c r="AA7186">
        <v>0.95416610000000002</v>
      </c>
      <c r="AB7186">
        <v>16</v>
      </c>
      <c r="AC7186">
        <v>14.2935999999999</v>
      </c>
      <c r="AD7186">
        <v>-1.115803684434</v>
      </c>
      <c r="AE7186">
        <v>-1.3441099999999899</v>
      </c>
      <c r="AF7186">
        <v>-4.2724402607497902</v>
      </c>
      <c r="AG7186">
        <v>-1.115803684434</v>
      </c>
      <c r="AH7186">
        <v>13.6158816160616</v>
      </c>
      <c r="AI7186">
        <v>94.470846930933206</v>
      </c>
      <c r="AJ7186">
        <v>107.421001510645</v>
      </c>
      <c r="AK7186">
        <v>14.3140139662666</v>
      </c>
      <c r="AL7186">
        <v>77.277281034917607</v>
      </c>
      <c r="AM7186">
        <v>100.24349710390401</v>
      </c>
      <c r="AN7186">
        <v>0.99999996938630398</v>
      </c>
    </row>
    <row r="7187" spans="1:40" x14ac:dyDescent="0.25">
      <c r="A7187" t="str">
        <f>"20190312172255057"</f>
        <v>20190312172255057</v>
      </c>
      <c r="B7187" t="str">
        <f>"1552382575047368"</f>
        <v>1552382575047368</v>
      </c>
      <c r="C7187" t="s">
        <v>40</v>
      </c>
      <c r="D7187">
        <v>3.4157869999999999</v>
      </c>
      <c r="E7187">
        <v>0.45674379999999998</v>
      </c>
      <c r="F7187" t="s">
        <v>72</v>
      </c>
      <c r="G7187">
        <v>-276.19499999999999</v>
      </c>
      <c r="H7187" s="1">
        <v>-2.6933659999999998E-6</v>
      </c>
      <c r="I7187">
        <v>-64.481160000000003</v>
      </c>
      <c r="J7187">
        <v>-290.38029999999998</v>
      </c>
      <c r="K7187">
        <v>1.11578</v>
      </c>
      <c r="L7187">
        <v>-63.1834699999999</v>
      </c>
      <c r="M7187">
        <v>0.92390329999999998</v>
      </c>
      <c r="N7187">
        <v>0</v>
      </c>
      <c r="O7187">
        <v>-0.3823377</v>
      </c>
      <c r="P7187">
        <v>0.95505660000000003</v>
      </c>
      <c r="Q7187">
        <v>0.20769290000000001</v>
      </c>
      <c r="R7187">
        <v>-0.21149680000000001</v>
      </c>
      <c r="S7187">
        <v>3.1322329999999998</v>
      </c>
      <c r="T7187">
        <v>-0.2451122</v>
      </c>
      <c r="U7187">
        <v>-0.2903442</v>
      </c>
      <c r="V7187">
        <v>-0.1724135</v>
      </c>
      <c r="W7187">
        <v>0.21992790000000001</v>
      </c>
      <c r="X7187">
        <v>0.96015899999999998</v>
      </c>
      <c r="Y7187">
        <v>-0.29347699999999999</v>
      </c>
      <c r="Z7187">
        <v>4.0534979999999998E-2</v>
      </c>
      <c r="AA7187">
        <v>0.95510640000000002</v>
      </c>
      <c r="AB7187">
        <v>16</v>
      </c>
      <c r="AC7187">
        <v>14.1852999999999</v>
      </c>
      <c r="AD7187">
        <v>-1.115782693366</v>
      </c>
      <c r="AE7187">
        <v>-1.29769000000001</v>
      </c>
      <c r="AF7187">
        <v>-4.1993351237159704</v>
      </c>
      <c r="AG7187">
        <v>-1.115782693366</v>
      </c>
      <c r="AH7187">
        <v>13.520543927458201</v>
      </c>
      <c r="AI7187">
        <v>94.506234822292001</v>
      </c>
      <c r="AJ7187">
        <v>107.254230735465</v>
      </c>
      <c r="AK7187">
        <v>14.201566624651599</v>
      </c>
      <c r="AL7187">
        <v>77.295201758069197</v>
      </c>
      <c r="AM7187">
        <v>100.17997777716501</v>
      </c>
      <c r="AN7187">
        <v>1.0000000007308201</v>
      </c>
    </row>
    <row r="7188" spans="1:40" x14ac:dyDescent="0.25">
      <c r="A7188" t="str">
        <f>"20190312172255067"</f>
        <v>20190312172255067</v>
      </c>
      <c r="B7188" t="str">
        <f>"1552382575058105"</f>
        <v>1552382575058105</v>
      </c>
      <c r="C7188" t="s">
        <v>40</v>
      </c>
      <c r="D7188">
        <v>3.2498450000000001</v>
      </c>
      <c r="E7188">
        <v>0.45674379999999998</v>
      </c>
      <c r="F7188" t="s">
        <v>72</v>
      </c>
      <c r="G7188">
        <v>-275.98039999999997</v>
      </c>
      <c r="H7188" s="1">
        <v>-2.617072E-6</v>
      </c>
      <c r="I7188">
        <v>-64.456659999999999</v>
      </c>
      <c r="J7188">
        <v>-290.31099999999998</v>
      </c>
      <c r="K7188">
        <v>1.1157539999999999</v>
      </c>
      <c r="L7188">
        <v>-63.205660000000002</v>
      </c>
      <c r="M7188">
        <v>0.92584900000000003</v>
      </c>
      <c r="N7188">
        <v>0</v>
      </c>
      <c r="O7188">
        <v>-0.3776023</v>
      </c>
      <c r="P7188">
        <v>0.9559761</v>
      </c>
      <c r="Q7188">
        <v>0.207589</v>
      </c>
      <c r="R7188">
        <v>-0.20740600000000001</v>
      </c>
      <c r="S7188">
        <v>3.13266</v>
      </c>
      <c r="T7188">
        <v>-0.24273549999999999</v>
      </c>
      <c r="U7188">
        <v>-0.27697749999999999</v>
      </c>
      <c r="V7188">
        <v>-0.17159959999999999</v>
      </c>
      <c r="W7188">
        <v>0.21984190000000001</v>
      </c>
      <c r="X7188">
        <v>0.96032450000000003</v>
      </c>
      <c r="Y7188">
        <v>-0.29269139999999999</v>
      </c>
      <c r="Z7188">
        <v>3.978077E-2</v>
      </c>
      <c r="AA7188">
        <v>0.95537910000000004</v>
      </c>
      <c r="AB7188">
        <v>16</v>
      </c>
      <c r="AC7188">
        <v>14.3306</v>
      </c>
      <c r="AD7188">
        <v>-1.1157566170719999</v>
      </c>
      <c r="AE7188">
        <v>-1.2509999999999999</v>
      </c>
      <c r="AF7188">
        <v>-4.2280622769947502</v>
      </c>
      <c r="AG7188">
        <v>-1.1157566170719999</v>
      </c>
      <c r="AH7188">
        <v>13.6596870632109</v>
      </c>
      <c r="AI7188">
        <v>94.461747958130701</v>
      </c>
      <c r="AJ7188">
        <v>107.198785816905</v>
      </c>
      <c r="AK7188">
        <v>14.3425407132606</v>
      </c>
      <c r="AL7188">
        <v>77.300252993472</v>
      </c>
      <c r="AM7188">
        <v>100.131209842469</v>
      </c>
      <c r="AN7188">
        <v>1.0000000145080099</v>
      </c>
    </row>
    <row r="7189" spans="1:40" x14ac:dyDescent="0.25">
      <c r="A7189" t="str">
        <f>"20190312172255078"</f>
        <v>20190312172255078</v>
      </c>
      <c r="B7189" t="str">
        <f>"1552382575067865"</f>
        <v>1552382575067865</v>
      </c>
      <c r="C7189" t="s">
        <v>40</v>
      </c>
      <c r="D7189">
        <v>3.336138</v>
      </c>
      <c r="E7189">
        <v>0.45545360000000001</v>
      </c>
      <c r="F7189" t="s">
        <v>72</v>
      </c>
      <c r="G7189">
        <v>-275.9384</v>
      </c>
      <c r="H7189" s="1">
        <v>-2.5973830000000001E-6</v>
      </c>
      <c r="I7189">
        <v>-64.416380000000004</v>
      </c>
      <c r="J7189">
        <v>-290.23390000000001</v>
      </c>
      <c r="K7189">
        <v>1.1157220000000001</v>
      </c>
      <c r="L7189">
        <v>-63.230130000000003</v>
      </c>
      <c r="M7189">
        <v>0.92798029999999998</v>
      </c>
      <c r="N7189">
        <v>0</v>
      </c>
      <c r="O7189">
        <v>-0.37233369999999999</v>
      </c>
      <c r="P7189">
        <v>0.95691130000000002</v>
      </c>
      <c r="Q7189">
        <v>0.20745830000000001</v>
      </c>
      <c r="R7189">
        <v>-0.2031789</v>
      </c>
      <c r="S7189">
        <v>3.1336979999999999</v>
      </c>
      <c r="T7189">
        <v>-0.24327099999999999</v>
      </c>
      <c r="U7189">
        <v>-0.26397710000000002</v>
      </c>
      <c r="V7189">
        <v>-0.1703741</v>
      </c>
      <c r="W7189">
        <v>0.21973619999999999</v>
      </c>
      <c r="X7189">
        <v>0.96056680000000005</v>
      </c>
      <c r="Y7189">
        <v>-0.29123070000000001</v>
      </c>
      <c r="Z7189">
        <v>3.9431170000000001E-2</v>
      </c>
      <c r="AA7189">
        <v>0.95583989999999996</v>
      </c>
      <c r="AB7189">
        <v>16</v>
      </c>
      <c r="AC7189">
        <v>14.295500000000001</v>
      </c>
      <c r="AD7189">
        <v>-1.1157245973829999</v>
      </c>
      <c r="AE7189">
        <v>-1.18625</v>
      </c>
      <c r="AF7189">
        <v>-4.19695425005603</v>
      </c>
      <c r="AG7189">
        <v>-1.1157245973829999</v>
      </c>
      <c r="AH7189">
        <v>13.626694886341999</v>
      </c>
      <c r="AI7189">
        <v>94.474304700016702</v>
      </c>
      <c r="AJ7189">
        <v>107.11857205503701</v>
      </c>
      <c r="AK7189">
        <v>14.3019607005378</v>
      </c>
      <c r="AL7189">
        <v>77.306460182318006</v>
      </c>
      <c r="AM7189">
        <v>100.057853792473</v>
      </c>
      <c r="AN7189">
        <v>0.99999995440174405</v>
      </c>
    </row>
    <row r="7190" spans="1:40" x14ac:dyDescent="0.25">
      <c r="A7190" t="str">
        <f>"20190312172255090"</f>
        <v>20190312172255090</v>
      </c>
      <c r="B7190" t="str">
        <f>"1552382575077625"</f>
        <v>1552382575077625</v>
      </c>
      <c r="C7190" t="s">
        <v>40</v>
      </c>
      <c r="D7190">
        <v>3.3829159999999998</v>
      </c>
      <c r="E7190">
        <v>0.45531670000000002</v>
      </c>
      <c r="F7190" t="s">
        <v>42</v>
      </c>
      <c r="G7190">
        <v>-268.53660000000002</v>
      </c>
      <c r="H7190" s="1">
        <v>-3.5976250000000001E-6</v>
      </c>
      <c r="I7190">
        <v>-64.917090000000002</v>
      </c>
      <c r="J7190">
        <v>-290.15789999999998</v>
      </c>
      <c r="K7190">
        <v>1.115688</v>
      </c>
      <c r="L7190">
        <v>-63.253540000000001</v>
      </c>
      <c r="M7190">
        <v>0.93003499999999995</v>
      </c>
      <c r="N7190">
        <v>0</v>
      </c>
      <c r="O7190">
        <v>-0.36717169999999999</v>
      </c>
      <c r="P7190">
        <v>0.95791700000000002</v>
      </c>
      <c r="Q7190">
        <v>0.2070641</v>
      </c>
      <c r="R7190">
        <v>-0.1987959</v>
      </c>
      <c r="S7190">
        <v>3.1183779999999999</v>
      </c>
      <c r="T7190">
        <v>-0.16035389999999999</v>
      </c>
      <c r="U7190">
        <v>-0.24246219999999999</v>
      </c>
      <c r="V7190">
        <v>-0.16943859999999999</v>
      </c>
      <c r="W7190">
        <v>0.21936410000000001</v>
      </c>
      <c r="X7190">
        <v>0.96081729999999999</v>
      </c>
      <c r="Y7190">
        <v>-0.29316039999999999</v>
      </c>
      <c r="Z7190">
        <v>2.595546E-2</v>
      </c>
      <c r="AA7190">
        <v>0.95571090000000003</v>
      </c>
      <c r="AB7190">
        <v>16</v>
      </c>
      <c r="AC7190">
        <v>21.621299999999898</v>
      </c>
      <c r="AD7190">
        <v>-1.1156915976249999</v>
      </c>
      <c r="AE7190">
        <v>-1.6635500000000001</v>
      </c>
      <c r="AF7190">
        <v>-6.3753964723500802</v>
      </c>
      <c r="AG7190">
        <v>-1.1156915976249999</v>
      </c>
      <c r="AH7190">
        <v>20.666945752280299</v>
      </c>
      <c r="AI7190">
        <v>92.953021452226295</v>
      </c>
      <c r="AJ7190">
        <v>107.144092431052</v>
      </c>
      <c r="AK7190">
        <v>21.656710152937801</v>
      </c>
      <c r="AL7190">
        <v>77.328313274676304</v>
      </c>
      <c r="AM7190">
        <v>100.001190598164</v>
      </c>
      <c r="AN7190">
        <v>0.99999996575902905</v>
      </c>
    </row>
    <row r="7191" spans="1:40" x14ac:dyDescent="0.25">
      <c r="A7191" t="str">
        <f>"20190312172255102"</f>
        <v>20190312172255102</v>
      </c>
      <c r="B7191" t="str">
        <f>"1552382575098121"</f>
        <v>1552382575098121</v>
      </c>
      <c r="C7191" t="s">
        <v>40</v>
      </c>
      <c r="D7191">
        <v>3.3424010000000002</v>
      </c>
      <c r="E7191">
        <v>0.45597219999999999</v>
      </c>
      <c r="F7191" t="s">
        <v>42</v>
      </c>
      <c r="G7191">
        <v>-269.3272</v>
      </c>
      <c r="H7191" s="1">
        <v>-3.8409559999999998E-6</v>
      </c>
      <c r="I7191">
        <v>-64.772080000000003</v>
      </c>
      <c r="J7191">
        <v>-290.08150000000001</v>
      </c>
      <c r="K7191">
        <v>1.1156469999999901</v>
      </c>
      <c r="L7191">
        <v>-63.276919999999997</v>
      </c>
      <c r="M7191">
        <v>0.93206630000000001</v>
      </c>
      <c r="N7191">
        <v>0</v>
      </c>
      <c r="O7191">
        <v>-0.36198429999999998</v>
      </c>
      <c r="P7191">
        <v>0.95880739999999998</v>
      </c>
      <c r="Q7191">
        <v>0.2066326</v>
      </c>
      <c r="R7191">
        <v>-0.1949138</v>
      </c>
      <c r="S7191">
        <v>3.1207280000000002</v>
      </c>
      <c r="T7191">
        <v>-0.16714609999999999</v>
      </c>
      <c r="U7191">
        <v>-0.2275085</v>
      </c>
      <c r="V7191">
        <v>-0.16798009999999999</v>
      </c>
      <c r="W7191">
        <v>0.21896309999999999</v>
      </c>
      <c r="X7191">
        <v>0.96116489999999999</v>
      </c>
      <c r="Y7191">
        <v>-0.29237960000000002</v>
      </c>
      <c r="Z7191">
        <v>2.6761380000000001E-2</v>
      </c>
      <c r="AA7191">
        <v>0.95592779999999999</v>
      </c>
      <c r="AB7191">
        <v>16</v>
      </c>
      <c r="AC7191">
        <v>20.754300000000001</v>
      </c>
      <c r="AD7191">
        <v>-1.11565084095599</v>
      </c>
      <c r="AE7191">
        <v>-1.49516</v>
      </c>
      <c r="AF7191">
        <v>-6.1022728542200699</v>
      </c>
      <c r="AG7191">
        <v>-1.11565084095599</v>
      </c>
      <c r="AH7191">
        <v>19.8307861050863</v>
      </c>
      <c r="AI7191">
        <v>93.077849838111902</v>
      </c>
      <c r="AJ7191">
        <v>107.10402887938901</v>
      </c>
      <c r="AK7191">
        <v>20.778413999436101</v>
      </c>
      <c r="AL7191">
        <v>77.351862581747696</v>
      </c>
      <c r="AM7191">
        <v>99.913302987450095</v>
      </c>
      <c r="AN7191">
        <v>1.0000000590748099</v>
      </c>
    </row>
    <row r="7192" spans="1:40" x14ac:dyDescent="0.25">
      <c r="A7192" t="str">
        <f>"20190312172255112"</f>
        <v>20190312172255112</v>
      </c>
      <c r="B7192" t="str">
        <f>"1552382575107881"</f>
        <v>1552382575107881</v>
      </c>
      <c r="C7192" t="s">
        <v>40</v>
      </c>
      <c r="D7192">
        <v>3.3611930000000001</v>
      </c>
      <c r="E7192">
        <v>0.45638709999999999</v>
      </c>
      <c r="F7192" t="s">
        <v>42</v>
      </c>
      <c r="G7192">
        <v>-267.95890000000003</v>
      </c>
      <c r="H7192" s="1">
        <v>-3.3873850000000002E-6</v>
      </c>
      <c r="I7192">
        <v>-64.840180000000004</v>
      </c>
      <c r="J7192">
        <v>-290.00470000000001</v>
      </c>
      <c r="K7192">
        <v>1.1155949999999999</v>
      </c>
      <c r="L7192">
        <v>-63.299680000000002</v>
      </c>
      <c r="M7192">
        <v>0.93405530000000003</v>
      </c>
      <c r="N7192">
        <v>0</v>
      </c>
      <c r="O7192">
        <v>-0.35682170000000002</v>
      </c>
      <c r="P7192">
        <v>0.95966549999999995</v>
      </c>
      <c r="Q7192">
        <v>0.20609720000000001</v>
      </c>
      <c r="R7192">
        <v>-0.19122349999999999</v>
      </c>
      <c r="S7192">
        <v>3.1179809999999999</v>
      </c>
      <c r="T7192">
        <v>-0.15724070000000001</v>
      </c>
      <c r="U7192">
        <v>-0.2203369</v>
      </c>
      <c r="V7192">
        <v>-0.16636319999999999</v>
      </c>
      <c r="W7192">
        <v>0.21846099999999999</v>
      </c>
      <c r="X7192">
        <v>0.96156019999999998</v>
      </c>
      <c r="Y7192">
        <v>-0.2893269</v>
      </c>
      <c r="Z7192">
        <v>2.488253E-2</v>
      </c>
      <c r="AA7192">
        <v>0.9569069</v>
      </c>
      <c r="AB7192">
        <v>16</v>
      </c>
      <c r="AC7192">
        <v>22.0457999999999</v>
      </c>
      <c r="AD7192">
        <v>-1.1155983873849999</v>
      </c>
      <c r="AE7192">
        <v>-1.5405</v>
      </c>
      <c r="AF7192">
        <v>-6.4118721780620502</v>
      </c>
      <c r="AG7192">
        <v>-1.1155983873849999</v>
      </c>
      <c r="AH7192">
        <v>21.090251202998999</v>
      </c>
      <c r="AI7192">
        <v>92.897222569890701</v>
      </c>
      <c r="AJ7192">
        <v>106.910355612329</v>
      </c>
      <c r="AK7192">
        <v>22.071596235781001</v>
      </c>
      <c r="AL7192">
        <v>77.381343430717394</v>
      </c>
      <c r="AM7192">
        <v>99.815790022792001</v>
      </c>
      <c r="AN7192">
        <v>0.99999997052963896</v>
      </c>
    </row>
    <row r="7193" spans="1:40" x14ac:dyDescent="0.25">
      <c r="A7193" t="str">
        <f>"20190312172255124"</f>
        <v>20190312172255124</v>
      </c>
      <c r="B7193" t="str">
        <f>"1552382575117641"</f>
        <v>1552382575117641</v>
      </c>
      <c r="C7193" t="s">
        <v>40</v>
      </c>
      <c r="D7193">
        <v>3.469103</v>
      </c>
      <c r="E7193">
        <v>0.456486</v>
      </c>
      <c r="F7193" t="s">
        <v>42</v>
      </c>
      <c r="G7193">
        <v>-267.69810000000001</v>
      </c>
      <c r="H7193" s="1">
        <v>-3.2938410000000002E-6</v>
      </c>
      <c r="I7193">
        <v>-64.813130000000001</v>
      </c>
      <c r="J7193">
        <v>-289.92779999999999</v>
      </c>
      <c r="K7193">
        <v>1.1155379999999999</v>
      </c>
      <c r="L7193">
        <v>-63.322240000000001</v>
      </c>
      <c r="M7193">
        <v>0.93600859999999997</v>
      </c>
      <c r="N7193">
        <v>0</v>
      </c>
      <c r="O7193">
        <v>-0.35166629999999999</v>
      </c>
      <c r="P7193">
        <v>0.96055869999999999</v>
      </c>
      <c r="Q7193">
        <v>0.20556099999999999</v>
      </c>
      <c r="R7193">
        <v>-0.18727479999999999</v>
      </c>
      <c r="S7193">
        <v>3.1174010000000001</v>
      </c>
      <c r="T7193">
        <v>-0.155907399999999</v>
      </c>
      <c r="U7193">
        <v>-0.21151729999999999</v>
      </c>
      <c r="V7193">
        <v>-0.16501859999999999</v>
      </c>
      <c r="W7193">
        <v>0.2179547</v>
      </c>
      <c r="X7193">
        <v>0.96190679999999995</v>
      </c>
      <c r="Y7193">
        <v>-0.28675289999999998</v>
      </c>
      <c r="Z7193">
        <v>2.4374389999999999E-2</v>
      </c>
      <c r="AA7193">
        <v>0.9576945</v>
      </c>
      <c r="AB7193">
        <v>16</v>
      </c>
      <c r="AC7193">
        <v>22.229699999999902</v>
      </c>
      <c r="AD7193">
        <v>-1.1155412938410001</v>
      </c>
      <c r="AE7193">
        <v>-1.49089</v>
      </c>
      <c r="AF7193">
        <v>-6.4065915387679002</v>
      </c>
      <c r="AG7193">
        <v>-1.1155412938410001</v>
      </c>
      <c r="AH7193">
        <v>21.2804690592958</v>
      </c>
      <c r="AI7193">
        <v>92.873579379300295</v>
      </c>
      <c r="AJ7193">
        <v>106.754683943168</v>
      </c>
      <c r="AK7193">
        <v>22.251903534451198</v>
      </c>
      <c r="AL7193">
        <v>77.411069491061994</v>
      </c>
      <c r="AM7193">
        <v>99.734538984692605</v>
      </c>
      <c r="AN7193">
        <v>1.0000000407421401</v>
      </c>
    </row>
    <row r="7194" spans="1:40" x14ac:dyDescent="0.25">
      <c r="A7194" t="str">
        <f>"20190312172255135"</f>
        <v>20190312172255135</v>
      </c>
      <c r="B7194" t="str">
        <f>"1552382575127402"</f>
        <v>1552382575127402</v>
      </c>
      <c r="C7194" t="s">
        <v>40</v>
      </c>
      <c r="D7194">
        <v>3.3901849999999998</v>
      </c>
      <c r="E7194">
        <v>0.45701940000000002</v>
      </c>
      <c r="F7194" t="s">
        <v>42</v>
      </c>
      <c r="G7194">
        <v>-268.06299999999999</v>
      </c>
      <c r="H7194" s="1">
        <v>-3.4008909999999999E-6</v>
      </c>
      <c r="I7194">
        <v>-64.716399999999993</v>
      </c>
      <c r="J7194">
        <v>-289.8501</v>
      </c>
      <c r="K7194">
        <v>1.115475</v>
      </c>
      <c r="L7194">
        <v>-63.344569999999997</v>
      </c>
      <c r="M7194">
        <v>0.93793700000000002</v>
      </c>
      <c r="N7194">
        <v>0</v>
      </c>
      <c r="O7194">
        <v>-0.34649020000000003</v>
      </c>
      <c r="P7194">
        <v>0.96138800000000002</v>
      </c>
      <c r="Q7194">
        <v>0.2048654</v>
      </c>
      <c r="R7194">
        <v>-0.18374799999999999</v>
      </c>
      <c r="S7194">
        <v>3.1184690000000002</v>
      </c>
      <c r="T7194">
        <v>-0.15910450000000001</v>
      </c>
      <c r="U7194">
        <v>-0.19885249999999999</v>
      </c>
      <c r="V7194">
        <v>-0.1632422</v>
      </c>
      <c r="W7194">
        <v>0.21729570000000001</v>
      </c>
      <c r="X7194">
        <v>0.96235890000000002</v>
      </c>
      <c r="Y7194">
        <v>-0.28533219999999998</v>
      </c>
      <c r="Z7194">
        <v>2.458658E-2</v>
      </c>
      <c r="AA7194">
        <v>0.95811329999999995</v>
      </c>
      <c r="AB7194">
        <v>16</v>
      </c>
      <c r="AC7194">
        <v>21.787099999999999</v>
      </c>
      <c r="AD7194">
        <v>-1.1154784008909999</v>
      </c>
      <c r="AE7194">
        <v>-1.3718299999999899</v>
      </c>
      <c r="AF7194">
        <v>-6.2467014291154799</v>
      </c>
      <c r="AG7194">
        <v>-1.1154784008909999</v>
      </c>
      <c r="AH7194">
        <v>20.8580798197641</v>
      </c>
      <c r="AI7194">
        <v>92.932770658105099</v>
      </c>
      <c r="AJ7194">
        <v>106.672218346496</v>
      </c>
      <c r="AK7194">
        <v>21.801950935065801</v>
      </c>
      <c r="AL7194">
        <v>77.449754648779503</v>
      </c>
      <c r="AM7194">
        <v>99.627281493797696</v>
      </c>
      <c r="AN7194">
        <v>1.0000000447542601</v>
      </c>
    </row>
    <row r="7195" spans="1:40" x14ac:dyDescent="0.25">
      <c r="A7195" t="str">
        <f>"20190312172255145"</f>
        <v>20190312172255145</v>
      </c>
      <c r="B7195" t="str">
        <f>"1552382575137767"</f>
        <v>1552382575137767</v>
      </c>
      <c r="C7195" t="s">
        <v>40</v>
      </c>
      <c r="D7195">
        <v>3.4151590000000001</v>
      </c>
      <c r="E7195">
        <v>0.45735870000000001</v>
      </c>
      <c r="F7195" t="s">
        <v>42</v>
      </c>
      <c r="G7195">
        <v>-268.14670000000001</v>
      </c>
      <c r="H7195" s="1">
        <v>-3.4217979999999999E-6</v>
      </c>
      <c r="I7195">
        <v>-64.673810000000003</v>
      </c>
      <c r="J7195">
        <v>-289.77839999999998</v>
      </c>
      <c r="K7195">
        <v>1.11541</v>
      </c>
      <c r="L7195">
        <v>-63.364809999999999</v>
      </c>
      <c r="M7195">
        <v>0.93967489999999998</v>
      </c>
      <c r="N7195">
        <v>0</v>
      </c>
      <c r="O7195">
        <v>-0.34174979999999999</v>
      </c>
      <c r="P7195">
        <v>0.96213919999999997</v>
      </c>
      <c r="Q7195">
        <v>0.2042841</v>
      </c>
      <c r="R7195">
        <v>-0.1804337</v>
      </c>
      <c r="S7195">
        <v>3.1181030000000001</v>
      </c>
      <c r="T7195">
        <v>-0.1602596</v>
      </c>
      <c r="U7195">
        <v>-0.19097900000000001</v>
      </c>
      <c r="V7195">
        <v>-0.16170010000000001</v>
      </c>
      <c r="W7195">
        <v>0.21674640000000001</v>
      </c>
      <c r="X7195">
        <v>0.96274300000000002</v>
      </c>
      <c r="Y7195">
        <v>-0.28289229999999999</v>
      </c>
      <c r="Z7195">
        <v>2.4478969999999999E-2</v>
      </c>
      <c r="AA7195">
        <v>0.95883929999999995</v>
      </c>
      <c r="AB7195">
        <v>16</v>
      </c>
      <c r="AC7195">
        <v>21.631699999999899</v>
      </c>
      <c r="AD7195">
        <v>-1.1154134217980001</v>
      </c>
      <c r="AE7195">
        <v>-1.3089999999999999</v>
      </c>
      <c r="AF7195">
        <v>-6.1469828722219404</v>
      </c>
      <c r="AG7195">
        <v>-1.1154134217980001</v>
      </c>
      <c r="AH7195">
        <v>20.7214885122258</v>
      </c>
      <c r="AI7195">
        <v>92.954187343845007</v>
      </c>
      <c r="AJ7195">
        <v>106.522871075849</v>
      </c>
      <c r="AK7195">
        <v>21.642773197888001</v>
      </c>
      <c r="AL7195">
        <v>77.481995104483502</v>
      </c>
      <c r="AM7195">
        <v>99.534278658739296</v>
      </c>
      <c r="AN7195">
        <v>1.00000000415098</v>
      </c>
    </row>
    <row r="7196" spans="1:40" x14ac:dyDescent="0.25">
      <c r="A7196" t="str">
        <f>"20190312172255157"</f>
        <v>20190312172255157</v>
      </c>
      <c r="B7196" t="str">
        <f>"1552382575147525"</f>
        <v>1552382575147525</v>
      </c>
      <c r="C7196" t="s">
        <v>40</v>
      </c>
      <c r="D7196">
        <v>3.4164810000000001</v>
      </c>
      <c r="E7196">
        <v>0.45778780000000002</v>
      </c>
      <c r="F7196" t="s">
        <v>42</v>
      </c>
      <c r="G7196">
        <v>-268.1925</v>
      </c>
      <c r="H7196" s="1">
        <v>-3.4292519999999999E-6</v>
      </c>
      <c r="I7196">
        <v>-64.62791</v>
      </c>
      <c r="J7196">
        <v>-289.70089999999999</v>
      </c>
      <c r="K7196">
        <v>1.1153409999999999</v>
      </c>
      <c r="L7196">
        <v>-63.386319999999998</v>
      </c>
      <c r="M7196">
        <v>0.94151019999999996</v>
      </c>
      <c r="N7196">
        <v>0</v>
      </c>
      <c r="O7196">
        <v>-0.33666109999999999</v>
      </c>
      <c r="P7196">
        <v>0.96298220000000001</v>
      </c>
      <c r="Q7196">
        <v>0.2035988</v>
      </c>
      <c r="R7196">
        <v>-0.17667070000000001</v>
      </c>
      <c r="S7196">
        <v>3.1180729999999999</v>
      </c>
      <c r="T7196">
        <v>-0.1611214</v>
      </c>
      <c r="U7196">
        <v>-0.1824646</v>
      </c>
      <c r="V7196">
        <v>-0.16025739999999999</v>
      </c>
      <c r="W7196">
        <v>0.21609229999999999</v>
      </c>
      <c r="X7196">
        <v>0.96313119999999997</v>
      </c>
      <c r="Y7196">
        <v>-0.28031230000000001</v>
      </c>
      <c r="Z7196">
        <v>2.4299399999999999E-2</v>
      </c>
      <c r="AA7196">
        <v>0.95960129999999999</v>
      </c>
      <c r="AB7196">
        <v>16</v>
      </c>
      <c r="AC7196">
        <v>21.508399999999899</v>
      </c>
      <c r="AD7196">
        <v>-1.1153444292519901</v>
      </c>
      <c r="AE7196">
        <v>-1.24159</v>
      </c>
      <c r="AF7196">
        <v>-6.05650119983284</v>
      </c>
      <c r="AG7196">
        <v>-1.1153444292519901</v>
      </c>
      <c r="AH7196">
        <v>20.615372655038801</v>
      </c>
      <c r="AI7196">
        <v>92.971487682001396</v>
      </c>
      <c r="AJ7196">
        <v>106.37203261635101</v>
      </c>
      <c r="AK7196">
        <v>21.5155476269038</v>
      </c>
      <c r="AL7196">
        <v>77.520382129886698</v>
      </c>
      <c r="AM7196">
        <v>99.447013863520496</v>
      </c>
      <c r="AN7196">
        <v>1.00000001239374</v>
      </c>
    </row>
    <row r="7197" spans="1:40" x14ac:dyDescent="0.25">
      <c r="A7197" t="str">
        <f>"20190312172255168"</f>
        <v>20190312172255168</v>
      </c>
      <c r="B7197" t="str">
        <f>"1552382575158262"</f>
        <v>1552382575158262</v>
      </c>
      <c r="C7197" t="s">
        <v>40</v>
      </c>
      <c r="D7197">
        <v>3.2661829999999998</v>
      </c>
      <c r="E7197">
        <v>0.45778780000000002</v>
      </c>
      <c r="F7197" t="s">
        <v>42</v>
      </c>
      <c r="G7197">
        <v>-268.38069999999999</v>
      </c>
      <c r="H7197" s="1">
        <v>-3.4835160000000002E-6</v>
      </c>
      <c r="I7197">
        <v>-64.572779999999995</v>
      </c>
      <c r="J7197">
        <v>-289.62639999999999</v>
      </c>
      <c r="K7197">
        <v>1.1152660000000001</v>
      </c>
      <c r="L7197">
        <v>-63.406519999999901</v>
      </c>
      <c r="M7197">
        <v>0.9432237</v>
      </c>
      <c r="N7197">
        <v>0</v>
      </c>
      <c r="O7197">
        <v>-0.33183069999999998</v>
      </c>
      <c r="P7197">
        <v>0.96371830000000003</v>
      </c>
      <c r="Q7197">
        <v>0.20331940000000001</v>
      </c>
      <c r="R7197">
        <v>-0.17293989999999901</v>
      </c>
      <c r="S7197">
        <v>3.1179809999999999</v>
      </c>
      <c r="T7197">
        <v>-0.1631138</v>
      </c>
      <c r="U7197">
        <v>-0.17352290000000001</v>
      </c>
      <c r="V7197">
        <v>-0.15902639999999901</v>
      </c>
      <c r="W7197">
        <v>0.21584</v>
      </c>
      <c r="X7197">
        <v>0.96339180000000002</v>
      </c>
      <c r="Y7197">
        <v>-0.27812219999999999</v>
      </c>
      <c r="Z7197">
        <v>2.4307570000000001E-2</v>
      </c>
      <c r="AA7197">
        <v>0.96023809999999998</v>
      </c>
      <c r="AB7197">
        <v>16</v>
      </c>
      <c r="AC7197">
        <v>21.245699999999999</v>
      </c>
      <c r="AD7197">
        <v>-1.115269483516</v>
      </c>
      <c r="AE7197">
        <v>-1.1662600000000101</v>
      </c>
      <c r="AF7197">
        <v>-5.9342749955416396</v>
      </c>
      <c r="AG7197">
        <v>-1.115269483516</v>
      </c>
      <c r="AH7197">
        <v>20.3726992146557</v>
      </c>
      <c r="AI7197">
        <v>93.008639399065402</v>
      </c>
      <c r="AJ7197">
        <v>106.240083686322</v>
      </c>
      <c r="AK7197">
        <v>21.2486780538086</v>
      </c>
      <c r="AL7197">
        <v>77.5351874773974</v>
      </c>
      <c r="AM7197">
        <v>99.373249834517196</v>
      </c>
      <c r="AN7197">
        <v>1.00000003090209</v>
      </c>
    </row>
    <row r="7198" spans="1:40" x14ac:dyDescent="0.25">
      <c r="A7198" t="str">
        <f>"20190312172255179"</f>
        <v>20190312172255179</v>
      </c>
      <c r="B7198" t="str">
        <f>"1552382575168021"</f>
        <v>1552382575168021</v>
      </c>
      <c r="C7198" t="s">
        <v>40</v>
      </c>
      <c r="D7198">
        <v>3.3529200000000001</v>
      </c>
      <c r="E7198">
        <v>0.46397070000000001</v>
      </c>
      <c r="F7198" t="s">
        <v>42</v>
      </c>
      <c r="G7198">
        <v>-268.44110000000001</v>
      </c>
      <c r="H7198" s="1">
        <v>-3.4921360000000001E-6</v>
      </c>
      <c r="I7198">
        <v>-64.505430000000004</v>
      </c>
      <c r="J7198">
        <v>-289.55029999999999</v>
      </c>
      <c r="K7198">
        <v>1.115189</v>
      </c>
      <c r="L7198">
        <v>-63.427030000000002</v>
      </c>
      <c r="M7198">
        <v>0.94493899999999997</v>
      </c>
      <c r="N7198">
        <v>0</v>
      </c>
      <c r="O7198">
        <v>-0.32691559999999997</v>
      </c>
      <c r="P7198">
        <v>0.96440420000000004</v>
      </c>
      <c r="Q7198">
        <v>0.20295740000000001</v>
      </c>
      <c r="R7198">
        <v>-0.169508299999999</v>
      </c>
      <c r="S7198">
        <v>3.1185610000000001</v>
      </c>
      <c r="T7198">
        <v>-0.1641724</v>
      </c>
      <c r="U7198">
        <v>-0.16177369999999999</v>
      </c>
      <c r="V7198">
        <v>-0.15741720000000001</v>
      </c>
      <c r="W7198">
        <v>0.21551029999999999</v>
      </c>
      <c r="X7198">
        <v>0.96372979999999997</v>
      </c>
      <c r="Y7198">
        <v>-0.27673690000000001</v>
      </c>
      <c r="Z7198">
        <v>2.4183550000000002E-2</v>
      </c>
      <c r="AA7198">
        <v>0.96064139999999998</v>
      </c>
      <c r="AB7198">
        <v>16</v>
      </c>
      <c r="AC7198">
        <v>21.109199999999898</v>
      </c>
      <c r="AD7198">
        <v>-1.1151924921359999</v>
      </c>
      <c r="AE7198">
        <v>-1.0784</v>
      </c>
      <c r="AF7198">
        <v>-5.8662114793012901</v>
      </c>
      <c r="AG7198">
        <v>-1.1151924921359999</v>
      </c>
      <c r="AH7198">
        <v>20.245292613318501</v>
      </c>
      <c r="AI7198">
        <v>93.028567389326497</v>
      </c>
      <c r="AJ7198">
        <v>106.159305536383</v>
      </c>
      <c r="AK7198">
        <v>21.107533356915301</v>
      </c>
      <c r="AL7198">
        <v>77.554532750096797</v>
      </c>
      <c r="AM7198">
        <v>99.276861430075598</v>
      </c>
      <c r="AN7198">
        <v>0.999999995834985</v>
      </c>
    </row>
    <row r="7199" spans="1:40" x14ac:dyDescent="0.25">
      <c r="A7199" t="str">
        <f>"20190312172255191"</f>
        <v>20190312172255191</v>
      </c>
      <c r="B7199" t="str">
        <f>"1552382575187542"</f>
        <v>1552382575187542</v>
      </c>
      <c r="C7199" t="s">
        <v>40</v>
      </c>
      <c r="D7199">
        <v>3.3720560000000002</v>
      </c>
      <c r="E7199">
        <v>0.46459499999999998</v>
      </c>
      <c r="F7199" t="s">
        <v>73</v>
      </c>
      <c r="G7199">
        <v>-262.59480000000002</v>
      </c>
      <c r="H7199" s="1">
        <v>-1.393058E-6</v>
      </c>
      <c r="I7199">
        <v>-65.174059999999997</v>
      </c>
      <c r="J7199">
        <v>-289.4742</v>
      </c>
      <c r="K7199">
        <v>1.1150990000000001</v>
      </c>
      <c r="L7199">
        <v>-63.446930000000002</v>
      </c>
      <c r="M7199">
        <v>0.94658799999999998</v>
      </c>
      <c r="N7199">
        <v>0</v>
      </c>
      <c r="O7199">
        <v>-0.32211040000000002</v>
      </c>
      <c r="P7199">
        <v>0.96505090000000004</v>
      </c>
      <c r="Q7199">
        <v>0.2027312</v>
      </c>
      <c r="R7199">
        <v>-0.16606290000000001</v>
      </c>
      <c r="S7199">
        <v>3.102417</v>
      </c>
      <c r="T7199">
        <v>-0.1283521</v>
      </c>
      <c r="U7199">
        <v>-0.20108029999999999</v>
      </c>
      <c r="V7199">
        <v>-0.1559267</v>
      </c>
      <c r="W7199">
        <v>0.2153147</v>
      </c>
      <c r="X7199">
        <v>0.96401579999999998</v>
      </c>
      <c r="Y7199">
        <v>-0.25975470000000001</v>
      </c>
      <c r="Z7199">
        <v>1.8456589999999998E-2</v>
      </c>
      <c r="AA7199">
        <v>0.96549819999999997</v>
      </c>
      <c r="AB7199">
        <v>16</v>
      </c>
      <c r="AC7199">
        <v>26.879399999999901</v>
      </c>
      <c r="AD7199">
        <v>-1.1151003930579999</v>
      </c>
      <c r="AE7199">
        <v>-1.7271299999999901</v>
      </c>
      <c r="AF7199">
        <v>-7.0119943148414201</v>
      </c>
      <c r="AG7199">
        <v>-1.1151003930579999</v>
      </c>
      <c r="AH7199">
        <v>25.958361647431101</v>
      </c>
      <c r="AI7199">
        <v>92.374746649836993</v>
      </c>
      <c r="AJ7199">
        <v>105.116233538054</v>
      </c>
      <c r="AK7199">
        <v>26.9118571001109</v>
      </c>
      <c r="AL7199">
        <v>77.566009405642802</v>
      </c>
      <c r="AM7199">
        <v>99.187849579955099</v>
      </c>
      <c r="AN7199">
        <v>1.00000000922931</v>
      </c>
    </row>
    <row r="7200" spans="1:40" x14ac:dyDescent="0.25">
      <c r="A7200" t="str">
        <f>"20190312172255202"</f>
        <v>20190312172255202</v>
      </c>
      <c r="B7200" t="str">
        <f>"1552382575197301"</f>
        <v>1552382575197301</v>
      </c>
      <c r="C7200" t="s">
        <v>40</v>
      </c>
      <c r="D7200">
        <v>3.3469630000000001</v>
      </c>
      <c r="E7200">
        <v>0.46521630000000003</v>
      </c>
      <c r="F7200" t="s">
        <v>73</v>
      </c>
      <c r="G7200">
        <v>-265.2199</v>
      </c>
      <c r="H7200" s="1">
        <v>-2.4643389999999999E-6</v>
      </c>
      <c r="I7200">
        <v>-64.967939999999999</v>
      </c>
      <c r="J7200">
        <v>-289.40010000000001</v>
      </c>
      <c r="K7200">
        <v>1.115011</v>
      </c>
      <c r="L7200">
        <v>-63.4662199999999</v>
      </c>
      <c r="M7200">
        <v>0.94816259999999997</v>
      </c>
      <c r="N7200">
        <v>0</v>
      </c>
      <c r="O7200">
        <v>-0.31744670000000003</v>
      </c>
      <c r="P7200">
        <v>0.96554340000000005</v>
      </c>
      <c r="Q7200">
        <v>0.2028625</v>
      </c>
      <c r="R7200">
        <v>-0.1630125</v>
      </c>
      <c r="S7200">
        <v>3.1051030000000002</v>
      </c>
      <c r="T7200">
        <v>-0.1427582</v>
      </c>
      <c r="U7200">
        <v>-0.19473270000000001</v>
      </c>
      <c r="V7200">
        <v>-0.154169899999999</v>
      </c>
      <c r="W7200">
        <v>0.21547820000000001</v>
      </c>
      <c r="X7200">
        <v>0.96426179999999995</v>
      </c>
      <c r="Y7200">
        <v>-0.25691320000000001</v>
      </c>
      <c r="Z7200">
        <v>2.0241619999999998E-2</v>
      </c>
      <c r="AA7200">
        <v>0.96622249999999998</v>
      </c>
      <c r="AB7200">
        <v>16</v>
      </c>
      <c r="AC7200">
        <v>24.180199999999999</v>
      </c>
      <c r="AD7200">
        <v>-1.1150134643389999</v>
      </c>
      <c r="AE7200">
        <v>-1.5017199999999999</v>
      </c>
      <c r="AF7200">
        <v>-6.2395064532354398</v>
      </c>
      <c r="AG7200">
        <v>-1.1150134643389999</v>
      </c>
      <c r="AH7200">
        <v>23.356522907542001</v>
      </c>
      <c r="AI7200">
        <v>92.640694782328893</v>
      </c>
      <c r="AJ7200">
        <v>104.95683655887601</v>
      </c>
      <c r="AK7200">
        <v>24.2012780269175</v>
      </c>
      <c r="AL7200">
        <v>77.556416448909104</v>
      </c>
      <c r="AM7200">
        <v>99.083788649336199</v>
      </c>
      <c r="AN7200">
        <v>1.00000001584024</v>
      </c>
    </row>
    <row r="7201" spans="1:40" x14ac:dyDescent="0.25">
      <c r="A7201" t="str">
        <f>"20190312172255212"</f>
        <v>20190312172255212</v>
      </c>
      <c r="B7201" t="str">
        <f>"1552382575208037"</f>
        <v>1552382575208037</v>
      </c>
      <c r="C7201" t="s">
        <v>40</v>
      </c>
      <c r="D7201">
        <v>3.3620860000000001</v>
      </c>
      <c r="E7201">
        <v>0.46586539999999999</v>
      </c>
      <c r="F7201" t="s">
        <v>73</v>
      </c>
      <c r="G7201">
        <v>-264.32369999999997</v>
      </c>
      <c r="H7201" s="1">
        <v>-2.0894299999999998E-6</v>
      </c>
      <c r="I7201">
        <v>-65.003889999999998</v>
      </c>
      <c r="J7201">
        <v>-289.32260000000002</v>
      </c>
      <c r="K7201">
        <v>1.1149089999999999</v>
      </c>
      <c r="L7201">
        <v>-63.485840000000003</v>
      </c>
      <c r="M7201">
        <v>0.94974360000000002</v>
      </c>
      <c r="N7201">
        <v>0</v>
      </c>
      <c r="O7201">
        <v>-0.31268570000000001</v>
      </c>
      <c r="P7201">
        <v>0.96610180000000001</v>
      </c>
      <c r="Q7201">
        <v>0.2029475</v>
      </c>
      <c r="R7201">
        <v>-0.15956039999999999</v>
      </c>
      <c r="S7201">
        <v>3.1039119999999998</v>
      </c>
      <c r="T7201">
        <v>-0.1380142</v>
      </c>
      <c r="U7201">
        <v>-0.19033810000000001</v>
      </c>
      <c r="V7201">
        <v>-0.15271789999999999</v>
      </c>
      <c r="W7201">
        <v>0.2155918</v>
      </c>
      <c r="X7201">
        <v>0.96446739999999997</v>
      </c>
      <c r="Y7201">
        <v>-0.25344899999999998</v>
      </c>
      <c r="Z7201">
        <v>1.9300029999999999E-2</v>
      </c>
      <c r="AA7201">
        <v>0.96715620000000002</v>
      </c>
      <c r="AB7201">
        <v>16</v>
      </c>
      <c r="AC7201">
        <v>24.998899999999999</v>
      </c>
      <c r="AD7201">
        <v>-1.1149110894299901</v>
      </c>
      <c r="AE7201">
        <v>-1.5180499999999899</v>
      </c>
      <c r="AF7201">
        <v>-6.36311504477613</v>
      </c>
      <c r="AG7201">
        <v>-1.1149110894299901</v>
      </c>
      <c r="AH7201">
        <v>24.171916782565798</v>
      </c>
      <c r="AI7201">
        <v>92.553963791071297</v>
      </c>
      <c r="AJ7201">
        <v>104.748183294816</v>
      </c>
      <c r="AK7201">
        <v>25.020268199075701</v>
      </c>
      <c r="AL7201">
        <v>77.549750447724094</v>
      </c>
      <c r="AM7201">
        <v>98.997755508569696</v>
      </c>
      <c r="AN7201">
        <v>0.99999997343520397</v>
      </c>
    </row>
    <row r="7202" spans="1:40" x14ac:dyDescent="0.25">
      <c r="A7202" t="str">
        <f>"20190312172255224"</f>
        <v>20190312172255224</v>
      </c>
      <c r="B7202" t="str">
        <f>"1552382575217798"</f>
        <v>1552382575217798</v>
      </c>
      <c r="C7202" t="s">
        <v>40</v>
      </c>
      <c r="D7202">
        <v>3.4058579999999998</v>
      </c>
      <c r="E7202">
        <v>0.46642860000000003</v>
      </c>
      <c r="F7202" t="s">
        <v>42</v>
      </c>
      <c r="G7202">
        <v>-264.48719999999997</v>
      </c>
      <c r="H7202" s="1">
        <v>-2.1485299999999998E-6</v>
      </c>
      <c r="I7202">
        <v>-64.962239999999994</v>
      </c>
      <c r="J7202">
        <v>-289.24549999999999</v>
      </c>
      <c r="K7202">
        <v>1.1148070000000001</v>
      </c>
      <c r="L7202">
        <v>-63.505189999999999</v>
      </c>
      <c r="M7202">
        <v>0.95127669999999998</v>
      </c>
      <c r="N7202">
        <v>0</v>
      </c>
      <c r="O7202">
        <v>-0.30799149999999997</v>
      </c>
      <c r="P7202">
        <v>0.96670710000000004</v>
      </c>
      <c r="Q7202">
        <v>0.20259579999999999</v>
      </c>
      <c r="R7202">
        <v>-0.15630910000000001</v>
      </c>
      <c r="S7202">
        <v>3.104095</v>
      </c>
      <c r="T7202">
        <v>-0.1393491</v>
      </c>
      <c r="U7202">
        <v>-0.1845398</v>
      </c>
      <c r="V7202">
        <v>-0.15116180000000001</v>
      </c>
      <c r="W7202">
        <v>0.2152705</v>
      </c>
      <c r="X7202">
        <v>0.96478430000000004</v>
      </c>
      <c r="Y7202">
        <v>-0.2504711</v>
      </c>
      <c r="Z7202">
        <v>1.9219489999999999E-2</v>
      </c>
      <c r="AA7202">
        <v>0.9679333</v>
      </c>
      <c r="AB7202">
        <v>16</v>
      </c>
      <c r="AC7202">
        <v>24.758299999999998</v>
      </c>
      <c r="AD7202">
        <v>-1.11480914852999</v>
      </c>
      <c r="AE7202">
        <v>-1.45705</v>
      </c>
      <c r="AF7202">
        <v>-6.2273731841539801</v>
      </c>
      <c r="AG7202">
        <v>-1.11480914852999</v>
      </c>
      <c r="AH7202">
        <v>23.954919138051999</v>
      </c>
      <c r="AI7202">
        <v>92.578901422655207</v>
      </c>
      <c r="AJ7202">
        <v>104.572186872537</v>
      </c>
      <c r="AK7202">
        <v>24.7762210016576</v>
      </c>
      <c r="AL7202">
        <v>77.568602724410596</v>
      </c>
      <c r="AM7202">
        <v>98.904672580637694</v>
      </c>
      <c r="AN7202">
        <v>1.0000000117379899</v>
      </c>
    </row>
    <row r="7203" spans="1:40" x14ac:dyDescent="0.25">
      <c r="A7203" t="str">
        <f>"20190312172255235"</f>
        <v>20190312172255235</v>
      </c>
      <c r="B7203" t="str">
        <f>"1552382575227558"</f>
        <v>1552382575227558</v>
      </c>
      <c r="C7203" t="s">
        <v>40</v>
      </c>
      <c r="D7203">
        <v>3.405586</v>
      </c>
      <c r="E7203">
        <v>0.46709050000000002</v>
      </c>
      <c r="F7203" t="s">
        <v>42</v>
      </c>
      <c r="G7203">
        <v>-264.67970000000003</v>
      </c>
      <c r="H7203" s="1">
        <v>-2.219797E-6</v>
      </c>
      <c r="I7203">
        <v>-64.919780000000003</v>
      </c>
      <c r="J7203">
        <v>-289.16890000000001</v>
      </c>
      <c r="K7203">
        <v>1.1147020000000001</v>
      </c>
      <c r="L7203">
        <v>-63.524079999999998</v>
      </c>
      <c r="M7203">
        <v>0.95274859999999995</v>
      </c>
      <c r="N7203">
        <v>0</v>
      </c>
      <c r="O7203">
        <v>-0.30340899999999998</v>
      </c>
      <c r="P7203">
        <v>0.96731840000000002</v>
      </c>
      <c r="Q7203">
        <v>0.20218810000000001</v>
      </c>
      <c r="R7203">
        <v>-0.1530204</v>
      </c>
      <c r="S7203">
        <v>3.103882</v>
      </c>
      <c r="T7203">
        <v>-0.14085590000000001</v>
      </c>
      <c r="U7203">
        <v>-0.1787415</v>
      </c>
      <c r="V7203">
        <v>-0.14976389999999901</v>
      </c>
      <c r="W7203">
        <v>0.214891</v>
      </c>
      <c r="X7203">
        <v>0.96508680000000002</v>
      </c>
      <c r="Y7203">
        <v>-0.24760370000000001</v>
      </c>
      <c r="Z7203">
        <v>1.9166610000000001E-2</v>
      </c>
      <c r="AA7203">
        <v>0.96867179999999997</v>
      </c>
      <c r="AB7203">
        <v>16</v>
      </c>
      <c r="AC7203">
        <v>24.489199999999901</v>
      </c>
      <c r="AD7203">
        <v>-1.1147042197970001</v>
      </c>
      <c r="AE7203">
        <v>-1.3956999999999899</v>
      </c>
      <c r="AF7203">
        <v>-6.0885684237541398</v>
      </c>
      <c r="AG7203">
        <v>-1.1147042197970001</v>
      </c>
      <c r="AH7203">
        <v>23.709086358865701</v>
      </c>
      <c r="AI7203">
        <v>92.607351255377793</v>
      </c>
      <c r="AJ7203">
        <v>104.402515841941</v>
      </c>
      <c r="AK7203">
        <v>24.503754955527199</v>
      </c>
      <c r="AL7203">
        <v>77.590866769068199</v>
      </c>
      <c r="AM7203">
        <v>98.820904303547195</v>
      </c>
      <c r="AN7203">
        <v>0.999999949579223</v>
      </c>
    </row>
    <row r="7204" spans="1:40" x14ac:dyDescent="0.25">
      <c r="A7204" t="str">
        <f>"20190312172255247"</f>
        <v>20190312172255247</v>
      </c>
      <c r="B7204" t="str">
        <f>"1552382575237317"</f>
        <v>1552382575237317</v>
      </c>
      <c r="C7204" t="s">
        <v>40</v>
      </c>
      <c r="D7204">
        <v>3.3952309999999999</v>
      </c>
      <c r="E7204">
        <v>0.46772279999999999</v>
      </c>
      <c r="F7204" t="s">
        <v>42</v>
      </c>
      <c r="G7204">
        <v>-264.96800000000002</v>
      </c>
      <c r="H7204" s="1">
        <v>-2.3323909999999999E-6</v>
      </c>
      <c r="I7204">
        <v>-64.878219999999999</v>
      </c>
      <c r="J7204">
        <v>-289.09350000000001</v>
      </c>
      <c r="K7204">
        <v>1.1145940000000001</v>
      </c>
      <c r="L7204">
        <v>-63.542360000000002</v>
      </c>
      <c r="M7204">
        <v>0.954148</v>
      </c>
      <c r="N7204">
        <v>0</v>
      </c>
      <c r="O7204">
        <v>-0.29898079999999999</v>
      </c>
      <c r="P7204">
        <v>0.96791039999999995</v>
      </c>
      <c r="Q7204">
        <v>0.20192789999999999</v>
      </c>
      <c r="R7204">
        <v>-0.149582299999999</v>
      </c>
      <c r="S7204">
        <v>3.1037599999999999</v>
      </c>
      <c r="T7204">
        <v>-0.14296</v>
      </c>
      <c r="U7204">
        <v>-0.17367550000000001</v>
      </c>
      <c r="V7204">
        <v>-0.14866779999999999</v>
      </c>
      <c r="W7204">
        <v>0.2146526</v>
      </c>
      <c r="X7204">
        <v>0.96530939999999998</v>
      </c>
      <c r="Y7204">
        <v>-0.24466760000000001</v>
      </c>
      <c r="Z7204">
        <v>1.9192219999999999E-2</v>
      </c>
      <c r="AA7204">
        <v>0.96941699999999997</v>
      </c>
      <c r="AB7204">
        <v>16</v>
      </c>
      <c r="AC7204">
        <v>24.125499999999899</v>
      </c>
      <c r="AD7204">
        <v>-1.114596332391</v>
      </c>
      <c r="AE7204">
        <v>-1.33586</v>
      </c>
      <c r="AF7204">
        <v>-5.9264719493744602</v>
      </c>
      <c r="AG7204">
        <v>-1.114596332391</v>
      </c>
      <c r="AH7204">
        <v>23.371445412664801</v>
      </c>
      <c r="AI7204">
        <v>92.646752021369693</v>
      </c>
      <c r="AJ7204">
        <v>104.228997018485</v>
      </c>
      <c r="AK7204">
        <v>24.1368982147266</v>
      </c>
      <c r="AL7204">
        <v>77.604853658833704</v>
      </c>
      <c r="AM7204">
        <v>98.755361622844504</v>
      </c>
      <c r="AN7204">
        <v>1.0000000455859701</v>
      </c>
    </row>
    <row r="7205" spans="1:40" x14ac:dyDescent="0.25">
      <c r="A7205" t="str">
        <f>"20190312172255257"</f>
        <v>20190312172255257</v>
      </c>
      <c r="B7205" t="str">
        <f>"1552382575248054"</f>
        <v>1552382575248054</v>
      </c>
      <c r="C7205" t="s">
        <v>40</v>
      </c>
      <c r="D7205">
        <v>3.497363</v>
      </c>
      <c r="E7205">
        <v>0.46802850000000001</v>
      </c>
      <c r="F7205" t="s">
        <v>42</v>
      </c>
      <c r="G7205">
        <v>-265.32740000000001</v>
      </c>
      <c r="H7205" s="1">
        <v>-2.4729169999999999E-6</v>
      </c>
      <c r="I7205">
        <v>-64.826769999999996</v>
      </c>
      <c r="J7205">
        <v>-289.01749999999998</v>
      </c>
      <c r="K7205">
        <v>1.1144889999999901</v>
      </c>
      <c r="L7205">
        <v>-63.560580000000002</v>
      </c>
      <c r="M7205">
        <v>0.95551870000000005</v>
      </c>
      <c r="N7205">
        <v>0</v>
      </c>
      <c r="O7205">
        <v>-0.29457169999999999</v>
      </c>
      <c r="P7205">
        <v>0.96850080000000005</v>
      </c>
      <c r="Q7205">
        <v>0.20141049999999999</v>
      </c>
      <c r="R7205">
        <v>-0.14642379999999999</v>
      </c>
      <c r="S7205">
        <v>3.1039119999999998</v>
      </c>
      <c r="T7205">
        <v>-0.14556910000000001</v>
      </c>
      <c r="U7205">
        <v>-0.16775509999999999</v>
      </c>
      <c r="V7205">
        <v>-0.1473284</v>
      </c>
      <c r="W7205">
        <v>0.21416070000000001</v>
      </c>
      <c r="X7205">
        <v>0.96562389999999998</v>
      </c>
      <c r="Y7205">
        <v>-0.2420226</v>
      </c>
      <c r="Z7205">
        <v>1.9282870000000001E-2</v>
      </c>
      <c r="AA7205">
        <v>0.97007900000000002</v>
      </c>
      <c r="AB7205">
        <v>16</v>
      </c>
      <c r="AC7205">
        <v>23.690099999999902</v>
      </c>
      <c r="AD7205">
        <v>-1.1144914729169999</v>
      </c>
      <c r="AE7205">
        <v>-1.2661899999999899</v>
      </c>
      <c r="AF7205">
        <v>-5.7564711064815004</v>
      </c>
      <c r="AG7205">
        <v>-1.1144914729169999</v>
      </c>
      <c r="AH7205">
        <v>22.961078641644001</v>
      </c>
      <c r="AI7205">
        <v>92.6955652539976</v>
      </c>
      <c r="AJ7205">
        <v>104.074287192227</v>
      </c>
      <c r="AK7205">
        <v>23.697894067421299</v>
      </c>
      <c r="AL7205">
        <v>77.6337077818539</v>
      </c>
      <c r="AM7205">
        <v>98.674904289486605</v>
      </c>
      <c r="AN7205">
        <v>0.99999998956112901</v>
      </c>
    </row>
    <row r="7206" spans="1:40" x14ac:dyDescent="0.25">
      <c r="A7206" t="str">
        <f>"20190312172255268"</f>
        <v>20190312172255268</v>
      </c>
      <c r="B7206" t="str">
        <f>"1552382575257815"</f>
        <v>1552382575257815</v>
      </c>
      <c r="C7206" t="s">
        <v>40</v>
      </c>
      <c r="D7206">
        <v>3.4267319999999999</v>
      </c>
      <c r="E7206">
        <v>0.46860610000000003</v>
      </c>
      <c r="F7206" t="s">
        <v>42</v>
      </c>
      <c r="G7206">
        <v>-265.87970000000001</v>
      </c>
      <c r="H7206" s="1">
        <v>-2.664514E-6</v>
      </c>
      <c r="I7206">
        <v>-64.753720000000001</v>
      </c>
      <c r="J7206">
        <v>-288.94470000000001</v>
      </c>
      <c r="K7206">
        <v>1.1143829999999999</v>
      </c>
      <c r="L7206">
        <v>-63.5777</v>
      </c>
      <c r="M7206">
        <v>0.95677540000000005</v>
      </c>
      <c r="N7206">
        <v>0</v>
      </c>
      <c r="O7206">
        <v>-0.29046569999999999</v>
      </c>
      <c r="P7206">
        <v>0.96909210000000001</v>
      </c>
      <c r="Q7206">
        <v>0.20097200000000001</v>
      </c>
      <c r="R7206">
        <v>-0.14307690000000001</v>
      </c>
      <c r="S7206">
        <v>3.1044619999999998</v>
      </c>
      <c r="T7206">
        <v>-0.14953420000000001</v>
      </c>
      <c r="U7206">
        <v>-0.16009519999999999</v>
      </c>
      <c r="V7206">
        <v>-0.1464848</v>
      </c>
      <c r="W7206">
        <v>0.2137406</v>
      </c>
      <c r="X7206">
        <v>0.96584530000000002</v>
      </c>
      <c r="Y7206">
        <v>-0.24022679999999999</v>
      </c>
      <c r="Z7206">
        <v>1.957339E-2</v>
      </c>
      <c r="AA7206">
        <v>0.97051940000000003</v>
      </c>
      <c r="AB7206">
        <v>16</v>
      </c>
      <c r="AC7206">
        <v>23.065000000000001</v>
      </c>
      <c r="AD7206">
        <v>-1.114385664514</v>
      </c>
      <c r="AE7206">
        <v>-1.1760200000000001</v>
      </c>
      <c r="AF7206">
        <v>-5.5620411650361898</v>
      </c>
      <c r="AG7206">
        <v>-1.114385664514</v>
      </c>
      <c r="AH7206">
        <v>22.3599168745891</v>
      </c>
      <c r="AI7206">
        <v>92.768934039098198</v>
      </c>
      <c r="AJ7206">
        <v>103.96884544555699</v>
      </c>
      <c r="AK7206">
        <v>23.0682474403533</v>
      </c>
      <c r="AL7206">
        <v>77.658348335784495</v>
      </c>
      <c r="AM7206">
        <v>98.624033617508402</v>
      </c>
      <c r="AN7206">
        <v>0.99999999212574497</v>
      </c>
    </row>
    <row r="7207" spans="1:40" x14ac:dyDescent="0.25">
      <c r="A7207" t="str">
        <f>"20190312172255279"</f>
        <v>20190312172255279</v>
      </c>
      <c r="B7207" t="str">
        <f>"1552382575267573"</f>
        <v>1552382575267573</v>
      </c>
      <c r="C7207" t="s">
        <v>40</v>
      </c>
      <c r="D7207">
        <v>3.5139960000000001</v>
      </c>
      <c r="E7207">
        <v>0.4689276</v>
      </c>
      <c r="F7207" t="s">
        <v>42</v>
      </c>
      <c r="G7207">
        <v>-266.01920000000001</v>
      </c>
      <c r="H7207" s="1">
        <v>-2.705602E-6</v>
      </c>
      <c r="I7207">
        <v>-64.717839999999995</v>
      </c>
      <c r="J7207">
        <v>-288.8698</v>
      </c>
      <c r="K7207">
        <v>1.114276</v>
      </c>
      <c r="L7207">
        <v>-63.595210000000002</v>
      </c>
      <c r="M7207">
        <v>0.95804</v>
      </c>
      <c r="N7207">
        <v>0</v>
      </c>
      <c r="O7207">
        <v>-0.28626849999999998</v>
      </c>
      <c r="P7207">
        <v>0.96960449999999998</v>
      </c>
      <c r="Q7207">
        <v>0.20073299999999999</v>
      </c>
      <c r="R7207">
        <v>-0.139906</v>
      </c>
      <c r="S7207">
        <v>3.104187</v>
      </c>
      <c r="T7207">
        <v>-0.15089129999999901</v>
      </c>
      <c r="U7207">
        <v>-0.15438840000000001</v>
      </c>
      <c r="V7207">
        <v>-0.14536350000000001</v>
      </c>
      <c r="W7207">
        <v>0.21352260000000001</v>
      </c>
      <c r="X7207">
        <v>0.96606289999999995</v>
      </c>
      <c r="Y7207">
        <v>-0.23774239999999999</v>
      </c>
      <c r="Z7207">
        <v>1.9497859999999999E-2</v>
      </c>
      <c r="AA7207">
        <v>0.97113249999999995</v>
      </c>
      <c r="AB7207">
        <v>16</v>
      </c>
      <c r="AC7207">
        <v>22.850599999999901</v>
      </c>
      <c r="AD7207">
        <v>-1.114278705602</v>
      </c>
      <c r="AE7207">
        <v>-1.12263</v>
      </c>
      <c r="AF7207">
        <v>-5.4535190765175496</v>
      </c>
      <c r="AG7207">
        <v>-1.114278705602</v>
      </c>
      <c r="AH7207">
        <v>22.1629177275892</v>
      </c>
      <c r="AI7207">
        <v>92.794986294312295</v>
      </c>
      <c r="AJ7207">
        <v>103.823852954439</v>
      </c>
      <c r="AK7207">
        <v>22.8512014903284</v>
      </c>
      <c r="AL7207">
        <v>77.671133921063003</v>
      </c>
      <c r="AM7207">
        <v>98.557101133960799</v>
      </c>
      <c r="AN7207">
        <v>0.99999998729970896</v>
      </c>
    </row>
    <row r="7208" spans="1:40" x14ac:dyDescent="0.25">
      <c r="A7208" t="str">
        <f>"20190312172255291"</f>
        <v>20190312172255291</v>
      </c>
      <c r="B7208" t="str">
        <f>"1552382575287094"</f>
        <v>1552382575287094</v>
      </c>
      <c r="C7208" t="s">
        <v>40</v>
      </c>
      <c r="D7208">
        <v>3.4194840000000002</v>
      </c>
      <c r="E7208">
        <v>0.47004980000000002</v>
      </c>
      <c r="F7208" t="s">
        <v>42</v>
      </c>
      <c r="G7208">
        <v>-266.45830000000001</v>
      </c>
      <c r="H7208" s="1">
        <v>-2.8446919999999998E-6</v>
      </c>
      <c r="I7208">
        <v>-64.659589999999994</v>
      </c>
      <c r="J7208">
        <v>-288.79079999999999</v>
      </c>
      <c r="K7208">
        <v>1.1141589999999999</v>
      </c>
      <c r="L7208">
        <v>-63.613250000000001</v>
      </c>
      <c r="M7208">
        <v>0.95929819999999999</v>
      </c>
      <c r="N7208">
        <v>0</v>
      </c>
      <c r="O7208">
        <v>-0.28202519999999998</v>
      </c>
      <c r="P7208">
        <v>0.97006970000000003</v>
      </c>
      <c r="Q7208">
        <v>0.20053579999999999</v>
      </c>
      <c r="R7208">
        <v>-0.13693139999999901</v>
      </c>
      <c r="S7208">
        <v>3.1047359999999999</v>
      </c>
      <c r="T7208">
        <v>-0.15436449999999999</v>
      </c>
      <c r="U7208">
        <v>-0.14746090000000001</v>
      </c>
      <c r="V7208">
        <v>-0.1439947</v>
      </c>
      <c r="W7208">
        <v>0.21334880000000001</v>
      </c>
      <c r="X7208">
        <v>0.96630629999999995</v>
      </c>
      <c r="Y7208">
        <v>-0.23559260000000001</v>
      </c>
      <c r="Z7208">
        <v>1.9688219999999999E-2</v>
      </c>
      <c r="AA7208">
        <v>0.97165239999999997</v>
      </c>
      <c r="AB7208">
        <v>16</v>
      </c>
      <c r="AC7208">
        <v>22.3324999999999</v>
      </c>
      <c r="AD7208">
        <v>-1.1141618446920001</v>
      </c>
      <c r="AE7208">
        <v>-1.04634</v>
      </c>
      <c r="AF7208">
        <v>-5.2820103724644696</v>
      </c>
      <c r="AG7208">
        <v>-1.1141618446920001</v>
      </c>
      <c r="AH7208">
        <v>21.6670776790357</v>
      </c>
      <c r="AI7208">
        <v>92.8600507301813</v>
      </c>
      <c r="AJ7208">
        <v>103.700364870724</v>
      </c>
      <c r="AK7208">
        <v>22.329425548821298</v>
      </c>
      <c r="AL7208">
        <v>77.681327269703104</v>
      </c>
      <c r="AM7208">
        <v>98.475596055104006</v>
      </c>
      <c r="AN7208">
        <v>1.0000000247545999</v>
      </c>
    </row>
    <row r="7209" spans="1:40" x14ac:dyDescent="0.25">
      <c r="A7209" t="str">
        <f>"20190312172255302"</f>
        <v>20190312172255302</v>
      </c>
      <c r="B7209" t="str">
        <f>"1552382575297829"</f>
        <v>1552382575297829</v>
      </c>
      <c r="C7209" t="s">
        <v>40</v>
      </c>
      <c r="D7209">
        <v>3.426615</v>
      </c>
      <c r="E7209">
        <v>0.47004980000000002</v>
      </c>
      <c r="F7209" t="s">
        <v>42</v>
      </c>
      <c r="G7209">
        <v>-266.46980000000002</v>
      </c>
      <c r="H7209" s="1">
        <v>-2.8517000000000002E-6</v>
      </c>
      <c r="I7209">
        <v>-64.67698</v>
      </c>
      <c r="J7209">
        <v>-288.71570000000003</v>
      </c>
      <c r="K7209">
        <v>1.114045</v>
      </c>
      <c r="L7209">
        <v>-63.630310000000001</v>
      </c>
      <c r="M7209">
        <v>0.9604646</v>
      </c>
      <c r="N7209">
        <v>0</v>
      </c>
      <c r="O7209">
        <v>-0.27802850000000001</v>
      </c>
      <c r="P7209">
        <v>0.97055919999999896</v>
      </c>
      <c r="Q7209">
        <v>0.2002418</v>
      </c>
      <c r="R7209">
        <v>-0.13385820000000001</v>
      </c>
      <c r="S7209">
        <v>3.1036990000000002</v>
      </c>
      <c r="T7209">
        <v>-0.15492220000000001</v>
      </c>
      <c r="U7209">
        <v>-0.14791869999999999</v>
      </c>
      <c r="V7209">
        <v>-0.14298469999999999</v>
      </c>
      <c r="W7209">
        <v>0.2130744</v>
      </c>
      <c r="X7209">
        <v>0.96651679999999995</v>
      </c>
      <c r="Y7209">
        <v>-0.23139080000000001</v>
      </c>
      <c r="Z7209">
        <v>1.9468610000000001E-2</v>
      </c>
      <c r="AA7209">
        <v>0.97266600000000003</v>
      </c>
      <c r="AB7209">
        <v>16</v>
      </c>
      <c r="AC7209">
        <v>22.245899999999999</v>
      </c>
      <c r="AD7209">
        <v>-1.1140478517000001</v>
      </c>
      <c r="AE7209">
        <v>-1.04667</v>
      </c>
      <c r="AF7209">
        <v>-5.1673128477394998</v>
      </c>
      <c r="AG7209">
        <v>-1.1140478517000001</v>
      </c>
      <c r="AH7209">
        <v>21.605590563950201</v>
      </c>
      <c r="AI7209">
        <v>92.870899936346305</v>
      </c>
      <c r="AJ7209">
        <v>103.450517905872</v>
      </c>
      <c r="AK7209">
        <v>22.242836336657799</v>
      </c>
      <c r="AL7209">
        <v>77.697419246639896</v>
      </c>
      <c r="AM7209">
        <v>98.415194635588605</v>
      </c>
      <c r="AN7209">
        <v>1.00000002452584</v>
      </c>
    </row>
    <row r="7210" spans="1:40" x14ac:dyDescent="0.25">
      <c r="A7210" t="str">
        <f>"20190312172255313"</f>
        <v>20190312172255313</v>
      </c>
      <c r="B7210" t="str">
        <f>"1552382575307589"</f>
        <v>1552382575307589</v>
      </c>
      <c r="C7210" t="s">
        <v>40</v>
      </c>
      <c r="D7210">
        <v>3.492483</v>
      </c>
      <c r="E7210">
        <v>0.47118080000000001</v>
      </c>
      <c r="F7210" t="s">
        <v>42</v>
      </c>
      <c r="G7210">
        <v>-266.5806</v>
      </c>
      <c r="H7210" s="1">
        <v>-2.879618E-6</v>
      </c>
      <c r="I7210">
        <v>-64.621719999999996</v>
      </c>
      <c r="J7210">
        <v>-288.63780000000003</v>
      </c>
      <c r="K7210">
        <v>1.11392</v>
      </c>
      <c r="L7210">
        <v>-63.647709999999996</v>
      </c>
      <c r="M7210">
        <v>0.96161169999999996</v>
      </c>
      <c r="N7210">
        <v>0</v>
      </c>
      <c r="O7210">
        <v>-0.27403690000000003</v>
      </c>
      <c r="P7210">
        <v>0.97090860000000001</v>
      </c>
      <c r="Q7210">
        <v>0.20033000000000001</v>
      </c>
      <c r="R7210">
        <v>-0.13116610000000001</v>
      </c>
      <c r="S7210">
        <v>3.1040649999999999</v>
      </c>
      <c r="T7210">
        <v>-0.156226</v>
      </c>
      <c r="U7210">
        <v>-0.1390381</v>
      </c>
      <c r="V7210">
        <v>-0.1415786</v>
      </c>
      <c r="W7210">
        <v>0.21318480000000001</v>
      </c>
      <c r="X7210">
        <v>0.96669939999999999</v>
      </c>
      <c r="Y7210">
        <v>-0.23012850000000001</v>
      </c>
      <c r="Z7210">
        <v>1.9406929999999999E-2</v>
      </c>
      <c r="AA7210">
        <v>0.97296669999999996</v>
      </c>
      <c r="AB7210">
        <v>16</v>
      </c>
      <c r="AC7210">
        <v>22.057200000000002</v>
      </c>
      <c r="AD7210">
        <v>-1.1139228796179901</v>
      </c>
      <c r="AE7210">
        <v>-0.97400999999999904</v>
      </c>
      <c r="AF7210">
        <v>-5.0954252025057096</v>
      </c>
      <c r="AG7210">
        <v>-1.1139228796179901</v>
      </c>
      <c r="AH7210">
        <v>21.4250601924258</v>
      </c>
      <c r="AI7210">
        <v>92.895599330530203</v>
      </c>
      <c r="AJ7210">
        <v>103.37786999403799</v>
      </c>
      <c r="AK7210">
        <v>22.050791061209999</v>
      </c>
      <c r="AL7210">
        <v>77.690944664909495</v>
      </c>
      <c r="AM7210">
        <v>98.3320561009659</v>
      </c>
      <c r="AN7210">
        <v>0.99999999444468002</v>
      </c>
    </row>
    <row r="7211" spans="1:40" x14ac:dyDescent="0.25">
      <c r="A7211" t="str">
        <f>"20190312172255325"</f>
        <v>20190312172255325</v>
      </c>
      <c r="B7211" t="str">
        <f>"1552382575317350"</f>
        <v>1552382575317350</v>
      </c>
      <c r="C7211" t="s">
        <v>40</v>
      </c>
      <c r="D7211">
        <v>3.5237039999999999</v>
      </c>
      <c r="E7211">
        <v>0.47163290000000002</v>
      </c>
      <c r="F7211" t="s">
        <v>42</v>
      </c>
      <c r="G7211">
        <v>-266.48790000000002</v>
      </c>
      <c r="H7211" s="1">
        <v>-2.8524360000000001E-6</v>
      </c>
      <c r="I7211">
        <v>-64.646389999999997</v>
      </c>
      <c r="J7211">
        <v>-288.55919999999998</v>
      </c>
      <c r="K7211">
        <v>1.113799</v>
      </c>
      <c r="L7211">
        <v>-63.665100000000002</v>
      </c>
      <c r="M7211">
        <v>0.96272860000000005</v>
      </c>
      <c r="N7211">
        <v>0</v>
      </c>
      <c r="O7211">
        <v>-0.27008870000000001</v>
      </c>
      <c r="P7211">
        <v>0.97122359999999996</v>
      </c>
      <c r="Q7211">
        <v>0.2004679</v>
      </c>
      <c r="R7211">
        <v>-0.1285992</v>
      </c>
      <c r="S7211">
        <v>3.10318</v>
      </c>
      <c r="T7211">
        <v>-0.15605949999999999</v>
      </c>
      <c r="U7211">
        <v>-0.13992309999999999</v>
      </c>
      <c r="V7211">
        <v>-0.14009240000000001</v>
      </c>
      <c r="W7211">
        <v>0.21334420000000001</v>
      </c>
      <c r="X7211">
        <v>0.96688070000000004</v>
      </c>
      <c r="Y7211">
        <v>-0.2258551</v>
      </c>
      <c r="Z7211">
        <v>1.9092310000000001E-2</v>
      </c>
      <c r="AA7211">
        <v>0.9739738</v>
      </c>
      <c r="AB7211">
        <v>16</v>
      </c>
      <c r="AC7211">
        <v>22.071299999999901</v>
      </c>
      <c r="AD7211">
        <v>-1.1138018524360001</v>
      </c>
      <c r="AE7211">
        <v>-0.981289999999994</v>
      </c>
      <c r="AF7211">
        <v>-5.00429013092399</v>
      </c>
      <c r="AG7211">
        <v>-1.1138018524360001</v>
      </c>
      <c r="AH7211">
        <v>21.461374882115798</v>
      </c>
      <c r="AI7211">
        <v>92.893389101014705</v>
      </c>
      <c r="AJ7211">
        <v>103.125504779766</v>
      </c>
      <c r="AK7211">
        <v>22.065223454831902</v>
      </c>
      <c r="AL7211">
        <v>77.681596207649903</v>
      </c>
      <c r="AM7211">
        <v>98.2442756329025</v>
      </c>
      <c r="AN7211">
        <v>0.99999995812194398</v>
      </c>
    </row>
    <row r="7212" spans="1:40" x14ac:dyDescent="0.25">
      <c r="A7212" t="str">
        <f>"20190312172255335"</f>
        <v>20190312172255335</v>
      </c>
      <c r="B7212" t="str">
        <f>"1552382575328085"</f>
        <v>1552382575328085</v>
      </c>
      <c r="C7212" t="s">
        <v>40</v>
      </c>
      <c r="D7212">
        <v>3.4728300000000001</v>
      </c>
      <c r="E7212">
        <v>0.47163290000000002</v>
      </c>
      <c r="F7212" t="s">
        <v>42</v>
      </c>
      <c r="G7212">
        <v>-266.43079999999998</v>
      </c>
      <c r="H7212" s="1">
        <v>-2.831035E-6</v>
      </c>
      <c r="I7212">
        <v>-64.635180000000005</v>
      </c>
      <c r="J7212">
        <v>-288.4828</v>
      </c>
      <c r="K7212">
        <v>1.1136809999999999</v>
      </c>
      <c r="L7212">
        <v>-63.681820000000002</v>
      </c>
      <c r="M7212">
        <v>0.96377029999999997</v>
      </c>
      <c r="N7212">
        <v>0</v>
      </c>
      <c r="O7212">
        <v>-0.26634910000000001</v>
      </c>
      <c r="P7212">
        <v>0.97153959999999995</v>
      </c>
      <c r="Q7212">
        <v>0.20059150000000001</v>
      </c>
      <c r="R7212">
        <v>-0.12599279999999999</v>
      </c>
      <c r="S7212">
        <v>3.1031490000000002</v>
      </c>
      <c r="T7212">
        <v>-0.15619279999999999</v>
      </c>
      <c r="U7212">
        <v>-0.13604740000000001</v>
      </c>
      <c r="V7212">
        <v>-0.1388624</v>
      </c>
      <c r="W7212">
        <v>0.2134858</v>
      </c>
      <c r="X7212">
        <v>0.96702690000000002</v>
      </c>
      <c r="Y7212">
        <v>-0.22329299999999999</v>
      </c>
      <c r="Z7212">
        <v>1.8863379999999999E-2</v>
      </c>
      <c r="AA7212">
        <v>0.97456880000000001</v>
      </c>
      <c r="AB7212">
        <v>16</v>
      </c>
      <c r="AC7212">
        <v>22.052</v>
      </c>
      <c r="AD7212">
        <v>-1.1136838310349999</v>
      </c>
      <c r="AE7212">
        <v>-0.95336000000000998</v>
      </c>
      <c r="AF7212">
        <v>-4.9426354035484898</v>
      </c>
      <c r="AG7212">
        <v>-1.1136838310349999</v>
      </c>
      <c r="AH7212">
        <v>21.4545755399222</v>
      </c>
      <c r="AI7212">
        <v>92.8957781314177</v>
      </c>
      <c r="AJ7212">
        <v>102.973264518869</v>
      </c>
      <c r="AK7212">
        <v>22.0446988640387</v>
      </c>
      <c r="AL7212">
        <v>77.673292193284695</v>
      </c>
      <c r="AM7212">
        <v>98.171654752643406</v>
      </c>
      <c r="AN7212">
        <v>0.99999998912950405</v>
      </c>
    </row>
    <row r="7213" spans="1:40" x14ac:dyDescent="0.25">
      <c r="A7213" t="str">
        <f>"20190312172255347"</f>
        <v>20190312172255347</v>
      </c>
      <c r="B7213" t="str">
        <f>"1552382575337846"</f>
        <v>1552382575337846</v>
      </c>
      <c r="C7213" t="s">
        <v>40</v>
      </c>
      <c r="D7213">
        <v>3.4580169999999999</v>
      </c>
      <c r="E7213">
        <v>0.48189799999999999</v>
      </c>
      <c r="F7213" t="s">
        <v>42</v>
      </c>
      <c r="G7213">
        <v>-266.32310000000001</v>
      </c>
      <c r="H7213" s="1">
        <v>-2.7876019999999998E-6</v>
      </c>
      <c r="I7213">
        <v>-64.596959999999996</v>
      </c>
      <c r="J7213">
        <v>-288.40969999999999</v>
      </c>
      <c r="K7213">
        <v>1.1135740000000001</v>
      </c>
      <c r="L7213">
        <v>-63.697600000000001</v>
      </c>
      <c r="M7213">
        <v>0.96472259999999999</v>
      </c>
      <c r="N7213">
        <v>0</v>
      </c>
      <c r="O7213">
        <v>-0.26288060000000002</v>
      </c>
      <c r="P7213">
        <v>0.97179590000000005</v>
      </c>
      <c r="Q7213">
        <v>0.20068859999999999</v>
      </c>
      <c r="R7213">
        <v>-0.12384340000000001</v>
      </c>
      <c r="S7213">
        <v>3.1034549999999999</v>
      </c>
      <c r="T7213">
        <v>-0.15597079999999999</v>
      </c>
      <c r="U7213">
        <v>-0.1281738</v>
      </c>
      <c r="V7213">
        <v>-0.13745739999999901</v>
      </c>
      <c r="W7213">
        <v>0.2136004</v>
      </c>
      <c r="X7213">
        <v>0.96720229999999996</v>
      </c>
      <c r="Y7213">
        <v>-0.2222663</v>
      </c>
      <c r="Z7213">
        <v>1.8642300000000001E-2</v>
      </c>
      <c r="AA7213">
        <v>0.97480770000000005</v>
      </c>
      <c r="AB7213">
        <v>16</v>
      </c>
      <c r="AC7213">
        <v>22.086599999999901</v>
      </c>
      <c r="AD7213">
        <v>-1.113576787602</v>
      </c>
      <c r="AE7213">
        <v>-0.89935999999999405</v>
      </c>
      <c r="AF7213">
        <v>-4.9265071280794599</v>
      </c>
      <c r="AG7213">
        <v>-1.113576787602</v>
      </c>
      <c r="AH7213">
        <v>21.491523404884902</v>
      </c>
      <c r="AI7213">
        <v>92.891253061441603</v>
      </c>
      <c r="AJ7213">
        <v>102.910869510381</v>
      </c>
      <c r="AK7213">
        <v>22.0770492595279</v>
      </c>
      <c r="AL7213">
        <v>77.666570930645506</v>
      </c>
      <c r="AM7213">
        <v>98.088626855884101</v>
      </c>
      <c r="AN7213">
        <v>0.99999997841010402</v>
      </c>
    </row>
    <row r="7214" spans="1:40" x14ac:dyDescent="0.25">
      <c r="A7214" t="str">
        <f>"20190312172255358"</f>
        <v>20190312172255358</v>
      </c>
      <c r="B7214" t="str">
        <f>"1552382575347605"</f>
        <v>1552382575347605</v>
      </c>
      <c r="C7214" t="s">
        <v>40</v>
      </c>
      <c r="D7214">
        <v>3.541947</v>
      </c>
      <c r="E7214">
        <v>0.48229660000000002</v>
      </c>
      <c r="F7214" t="s">
        <v>42</v>
      </c>
      <c r="G7214">
        <v>-264.2269</v>
      </c>
      <c r="H7214" s="1">
        <v>-2.124586E-6</v>
      </c>
      <c r="I7214">
        <v>-65.291989999999998</v>
      </c>
      <c r="J7214">
        <v>-288.33260000000001</v>
      </c>
      <c r="K7214">
        <v>1.113453</v>
      </c>
      <c r="L7214">
        <v>-63.714170000000003</v>
      </c>
      <c r="M7214">
        <v>0.96569720000000003</v>
      </c>
      <c r="N7214">
        <v>0</v>
      </c>
      <c r="O7214">
        <v>-0.2592796</v>
      </c>
      <c r="P7214">
        <v>0.97202549999999999</v>
      </c>
      <c r="Q7214">
        <v>0.20106789999999999</v>
      </c>
      <c r="R7214">
        <v>-0.1214018</v>
      </c>
      <c r="S7214">
        <v>3.0904850000000001</v>
      </c>
      <c r="T7214">
        <v>-0.142311299999999</v>
      </c>
      <c r="U7214">
        <v>-0.2037659</v>
      </c>
      <c r="V7214">
        <v>-0.13619819999999999</v>
      </c>
      <c r="W7214">
        <v>0.2139945</v>
      </c>
      <c r="X7214">
        <v>0.96729330000000002</v>
      </c>
      <c r="Y7214">
        <v>-0.19473180000000001</v>
      </c>
      <c r="Z7214">
        <v>1.626855E-2</v>
      </c>
      <c r="AA7214">
        <v>0.98072159999999997</v>
      </c>
      <c r="AB7214">
        <v>16</v>
      </c>
      <c r="AC7214">
        <v>24.105699999999999</v>
      </c>
      <c r="AD7214">
        <v>-1.113455124586</v>
      </c>
      <c r="AE7214">
        <v>-1.57782</v>
      </c>
      <c r="AF7214">
        <v>-4.71687888134967</v>
      </c>
      <c r="AG7214">
        <v>-1.113455124586</v>
      </c>
      <c r="AH7214">
        <v>23.640085802006698</v>
      </c>
      <c r="AI7214">
        <v>92.644602290869699</v>
      </c>
      <c r="AJ7214">
        <v>101.28397289404001</v>
      </c>
      <c r="AK7214">
        <v>24.1317712864603</v>
      </c>
      <c r="AL7214">
        <v>77.643455998478998</v>
      </c>
      <c r="AM7214">
        <v>98.014752807817899</v>
      </c>
      <c r="AN7214">
        <v>0.99999996196918906</v>
      </c>
    </row>
    <row r="7215" spans="1:40" x14ac:dyDescent="0.25">
      <c r="A7215" t="str">
        <f>"20190312172255370"</f>
        <v>20190312172255370</v>
      </c>
      <c r="B7215" t="str">
        <f>"1552382575357365"</f>
        <v>1552382575357365</v>
      </c>
      <c r="C7215" t="s">
        <v>40</v>
      </c>
      <c r="D7215">
        <v>3.4725459999999999</v>
      </c>
      <c r="E7215">
        <v>0.48338880000000001</v>
      </c>
      <c r="F7215" t="s">
        <v>42</v>
      </c>
      <c r="G7215">
        <v>-265.30340000000001</v>
      </c>
      <c r="H7215" s="1">
        <v>-2.5473810000000001E-6</v>
      </c>
      <c r="I7215">
        <v>-65.199089999999998</v>
      </c>
      <c r="J7215">
        <v>-288.2561</v>
      </c>
      <c r="K7215">
        <v>1.1133439999999999</v>
      </c>
      <c r="L7215">
        <v>-63.730289999999997</v>
      </c>
      <c r="M7215">
        <v>0.96660749999999995</v>
      </c>
      <c r="N7215">
        <v>0</v>
      </c>
      <c r="O7215">
        <v>-0.2558667</v>
      </c>
      <c r="P7215">
        <v>0.97228170000000003</v>
      </c>
      <c r="Q7215">
        <v>0.2011579</v>
      </c>
      <c r="R7215">
        <v>-0.1191807</v>
      </c>
      <c r="S7215">
        <v>3.092346</v>
      </c>
      <c r="T7215">
        <v>-0.14951400000000001</v>
      </c>
      <c r="U7215">
        <v>-0.19940189999999999</v>
      </c>
      <c r="V7215">
        <v>-0.13492699999999999</v>
      </c>
      <c r="W7215">
        <v>0.21409919999999999</v>
      </c>
      <c r="X7215">
        <v>0.96744830000000004</v>
      </c>
      <c r="Y7215">
        <v>-0.19264129999999999</v>
      </c>
      <c r="Z7215">
        <v>1.6871899999999999E-2</v>
      </c>
      <c r="AA7215">
        <v>0.9811242</v>
      </c>
      <c r="AB7215">
        <v>16</v>
      </c>
      <c r="AC7215">
        <v>22.9527</v>
      </c>
      <c r="AD7215">
        <v>-1.113346547381</v>
      </c>
      <c r="AE7215">
        <v>-1.4687999999999899</v>
      </c>
      <c r="AF7215">
        <v>-4.4431173946920897</v>
      </c>
      <c r="AG7215">
        <v>-1.113346547381</v>
      </c>
      <c r="AH7215">
        <v>22.511599765179199</v>
      </c>
      <c r="AI7215">
        <v>92.777843750471405</v>
      </c>
      <c r="AJ7215">
        <v>101.164974476965</v>
      </c>
      <c r="AK7215">
        <v>22.9728743675056</v>
      </c>
      <c r="AL7215">
        <v>77.637315124484601</v>
      </c>
      <c r="AM7215">
        <v>97.939650095982401</v>
      </c>
      <c r="AN7215">
        <v>0.99999998797126499</v>
      </c>
    </row>
    <row r="7216" spans="1:40" x14ac:dyDescent="0.25">
      <c r="A7216" t="str">
        <f>"20190312172255380"</f>
        <v>20190312172255380</v>
      </c>
      <c r="B7216" t="str">
        <f>"1552382575377862"</f>
        <v>1552382575377862</v>
      </c>
      <c r="C7216" t="s">
        <v>40</v>
      </c>
      <c r="D7216">
        <v>3.5414249999999998</v>
      </c>
      <c r="E7216">
        <v>0.48384820000000001</v>
      </c>
      <c r="F7216" t="s">
        <v>42</v>
      </c>
      <c r="G7216">
        <v>-266.024</v>
      </c>
      <c r="H7216" s="1">
        <v>-2.7885169999999999E-6</v>
      </c>
      <c r="I7216">
        <v>-65.176059999999893</v>
      </c>
      <c r="J7216">
        <v>-288.18040000000002</v>
      </c>
      <c r="K7216">
        <v>1.1132390000000001</v>
      </c>
      <c r="L7216">
        <v>-63.746220000000001</v>
      </c>
      <c r="M7216">
        <v>0.96748749999999994</v>
      </c>
      <c r="N7216">
        <v>0</v>
      </c>
      <c r="O7216">
        <v>-0.25252039999999998</v>
      </c>
      <c r="P7216">
        <v>0.97247249999999996</v>
      </c>
      <c r="Q7216">
        <v>0.20142840000000001</v>
      </c>
      <c r="R7216">
        <v>-0.1171484</v>
      </c>
      <c r="S7216">
        <v>3.0928650000000002</v>
      </c>
      <c r="T7216">
        <v>-0.1548851</v>
      </c>
      <c r="U7216">
        <v>-0.2011414</v>
      </c>
      <c r="V7216">
        <v>-0.13352929999999999</v>
      </c>
      <c r="W7216">
        <v>0.21438380000000001</v>
      </c>
      <c r="X7216">
        <v>0.96757919999999997</v>
      </c>
      <c r="Y7216">
        <v>-0.18867709999999999</v>
      </c>
      <c r="Z7216">
        <v>1.7212350000000001E-2</v>
      </c>
      <c r="AA7216">
        <v>0.98188830000000005</v>
      </c>
      <c r="AB7216">
        <v>16</v>
      </c>
      <c r="AC7216">
        <v>22.156400000000001</v>
      </c>
      <c r="AD7216">
        <v>-1.1132417885169901</v>
      </c>
      <c r="AE7216">
        <v>-1.42983999999999</v>
      </c>
      <c r="AF7216">
        <v>-4.2014520992293596</v>
      </c>
      <c r="AG7216">
        <v>-1.1132417885169901</v>
      </c>
      <c r="AH7216">
        <v>21.744631634720701</v>
      </c>
      <c r="AI7216">
        <v>92.877634078508194</v>
      </c>
      <c r="AJ7216">
        <v>100.93580983033399</v>
      </c>
      <c r="AK7216">
        <v>22.1747719706769</v>
      </c>
      <c r="AL7216">
        <v>77.6206212484026</v>
      </c>
      <c r="AM7216">
        <v>97.857386776843398</v>
      </c>
      <c r="AN7216">
        <v>0.99999999796678496</v>
      </c>
    </row>
    <row r="7217" spans="1:40" x14ac:dyDescent="0.25">
      <c r="A7217" t="str">
        <f>"20190312172255394"</f>
        <v>20190312172255394</v>
      </c>
      <c r="B7217" t="str">
        <f>"1552382575387621"</f>
        <v>1552382575387621</v>
      </c>
      <c r="C7217" t="s">
        <v>40</v>
      </c>
      <c r="D7217">
        <v>3.5027629999999998</v>
      </c>
      <c r="E7217">
        <v>0.48426130000000001</v>
      </c>
      <c r="F7217" t="s">
        <v>42</v>
      </c>
      <c r="G7217">
        <v>-267.0471</v>
      </c>
      <c r="H7217" s="1">
        <v>-3.1234590000000002E-6</v>
      </c>
      <c r="I7217">
        <v>-65.101550000000003</v>
      </c>
      <c r="J7217">
        <v>-288.10340000000002</v>
      </c>
      <c r="K7217">
        <v>1.1131409999999999</v>
      </c>
      <c r="L7217">
        <v>-63.762149999999998</v>
      </c>
      <c r="M7217">
        <v>0.96832510000000005</v>
      </c>
      <c r="N7217">
        <v>0</v>
      </c>
      <c r="O7217">
        <v>-0.2492916</v>
      </c>
      <c r="P7217">
        <v>0.97271260000000004</v>
      </c>
      <c r="Q7217">
        <v>0.20142879999999999</v>
      </c>
      <c r="R7217">
        <v>-0.1151392</v>
      </c>
      <c r="S7217">
        <v>3.0947879999999999</v>
      </c>
      <c r="T7217">
        <v>-0.1630239</v>
      </c>
      <c r="U7217">
        <v>-0.1984863</v>
      </c>
      <c r="V7217">
        <v>-0.13224240000000001</v>
      </c>
      <c r="W7217">
        <v>0.21439730000000001</v>
      </c>
      <c r="X7217">
        <v>0.96775290000000003</v>
      </c>
      <c r="Y7217">
        <v>-0.1862289</v>
      </c>
      <c r="Z7217">
        <v>1.787598E-2</v>
      </c>
      <c r="AA7217">
        <v>0.98234370000000004</v>
      </c>
      <c r="AB7217">
        <v>16</v>
      </c>
      <c r="AC7217">
        <v>21.0563</v>
      </c>
      <c r="AD7217">
        <v>-1.113144123459</v>
      </c>
      <c r="AE7217">
        <v>-1.3393999999999999</v>
      </c>
      <c r="AF7217">
        <v>-3.9416084405826401</v>
      </c>
      <c r="AG7217">
        <v>-1.113144123459</v>
      </c>
      <c r="AH7217">
        <v>20.6677917029131</v>
      </c>
      <c r="AI7217">
        <v>93.028430163249396</v>
      </c>
      <c r="AJ7217">
        <v>100.797368732409</v>
      </c>
      <c r="AK7217">
        <v>21.069717150770298</v>
      </c>
      <c r="AL7217">
        <v>77.619828927776297</v>
      </c>
      <c r="AM7217">
        <v>97.781213217922897</v>
      </c>
      <c r="AN7217">
        <v>0.99999996503172905</v>
      </c>
    </row>
    <row r="7218" spans="1:40" x14ac:dyDescent="0.25">
      <c r="A7218" t="str">
        <f>"20190312172255403"</f>
        <v>20190312172255403</v>
      </c>
      <c r="B7218" t="str">
        <f>"1552382575397382"</f>
        <v>1552382575397382</v>
      </c>
      <c r="C7218" t="s">
        <v>40</v>
      </c>
      <c r="D7218">
        <v>3.4540069999999998</v>
      </c>
      <c r="E7218">
        <v>0.48493190000000003</v>
      </c>
      <c r="F7218" t="s">
        <v>42</v>
      </c>
      <c r="G7218">
        <v>-267.26139999999998</v>
      </c>
      <c r="H7218" s="1">
        <v>-3.1929559999999998E-6</v>
      </c>
      <c r="I7218">
        <v>-65.082179999999994</v>
      </c>
      <c r="J7218">
        <v>-288.02969999999999</v>
      </c>
      <c r="K7218">
        <v>1.1130450000000001</v>
      </c>
      <c r="L7218">
        <v>-63.777369999999998</v>
      </c>
      <c r="M7218">
        <v>0.96910499999999999</v>
      </c>
      <c r="N7218">
        <v>0</v>
      </c>
      <c r="O7218">
        <v>-0.24624370000000001</v>
      </c>
      <c r="P7218">
        <v>0.97289159999999997</v>
      </c>
      <c r="Q7218">
        <v>0.20148079999999999</v>
      </c>
      <c r="R7218">
        <v>-0.1135232</v>
      </c>
      <c r="S7218">
        <v>3.0951840000000002</v>
      </c>
      <c r="T7218">
        <v>-0.1653094</v>
      </c>
      <c r="U7218">
        <v>-0.19604489999999999</v>
      </c>
      <c r="V7218">
        <v>-0.13074849999999999</v>
      </c>
      <c r="W7218">
        <v>0.21446299999999999</v>
      </c>
      <c r="X7218">
        <v>0.9679413</v>
      </c>
      <c r="Y7218">
        <v>-0.18390780000000001</v>
      </c>
      <c r="Z7218">
        <v>1.790487E-2</v>
      </c>
      <c r="AA7218">
        <v>0.9827804</v>
      </c>
      <c r="AB7218">
        <v>16</v>
      </c>
      <c r="AC7218">
        <v>20.7683</v>
      </c>
      <c r="AD7218">
        <v>-1.1130481929559899</v>
      </c>
      <c r="AE7218">
        <v>-1.30481000000001</v>
      </c>
      <c r="AF7218">
        <v>-3.83896605319502</v>
      </c>
      <c r="AG7218">
        <v>-1.1130481929559899</v>
      </c>
      <c r="AH7218">
        <v>20.391664814340299</v>
      </c>
      <c r="AI7218">
        <v>93.070470433322399</v>
      </c>
      <c r="AJ7218">
        <v>100.66180015090799</v>
      </c>
      <c r="AK7218">
        <v>20.779714399813901</v>
      </c>
      <c r="AL7218">
        <v>77.615974815442001</v>
      </c>
      <c r="AM7218">
        <v>97.692890581683699</v>
      </c>
      <c r="AN7218">
        <v>0.99999995443346801</v>
      </c>
    </row>
    <row r="7219" spans="1:40" x14ac:dyDescent="0.25">
      <c r="A7219" t="str">
        <f>"20190312172255413"</f>
        <v>20190312172255413</v>
      </c>
      <c r="B7219" t="str">
        <f>"1552382575408117"</f>
        <v>1552382575408117</v>
      </c>
      <c r="C7219" t="s">
        <v>40</v>
      </c>
      <c r="D7219">
        <v>3.4797009999999999</v>
      </c>
      <c r="E7219">
        <v>0.4854559</v>
      </c>
      <c r="F7219" t="s">
        <v>42</v>
      </c>
      <c r="G7219">
        <v>-267.35230000000001</v>
      </c>
      <c r="H7219" s="1">
        <v>-3.2256679999999998E-6</v>
      </c>
      <c r="I7219">
        <v>-65.092089999999999</v>
      </c>
      <c r="J7219">
        <v>-287.94889999999998</v>
      </c>
      <c r="K7219">
        <v>1.112948</v>
      </c>
      <c r="L7219">
        <v>-63.793849999999999</v>
      </c>
      <c r="M7219">
        <v>0.96991570000000005</v>
      </c>
      <c r="N7219">
        <v>0</v>
      </c>
      <c r="O7219">
        <v>-0.24303240000000001</v>
      </c>
      <c r="P7219">
        <v>0.97314330000000004</v>
      </c>
      <c r="Q7219">
        <v>0.20125000000000001</v>
      </c>
      <c r="R7219">
        <v>-0.11176270000000001</v>
      </c>
      <c r="S7219">
        <v>3.095154</v>
      </c>
      <c r="T7219">
        <v>-0.16661010000000001</v>
      </c>
      <c r="U7219">
        <v>-0.19680790000000001</v>
      </c>
      <c r="V7219">
        <v>-0.12924910000000001</v>
      </c>
      <c r="W7219">
        <v>0.2142445</v>
      </c>
      <c r="X7219">
        <v>0.96819109999999997</v>
      </c>
      <c r="Y7219">
        <v>-0.18040909999999999</v>
      </c>
      <c r="Z7219">
        <v>1.7783650000000002E-2</v>
      </c>
      <c r="AA7219">
        <v>0.9834309</v>
      </c>
      <c r="AB7219">
        <v>16</v>
      </c>
      <c r="AC7219">
        <v>20.596599999999899</v>
      </c>
      <c r="AD7219">
        <v>-1.1129512256680001</v>
      </c>
      <c r="AE7219">
        <v>-1.2982399999999901</v>
      </c>
      <c r="AF7219">
        <v>-3.7359648957606599</v>
      </c>
      <c r="AG7219">
        <v>-1.1129512256680001</v>
      </c>
      <c r="AH7219">
        <v>20.2356460120638</v>
      </c>
      <c r="AI7219">
        <v>93.0958542164786</v>
      </c>
      <c r="AJ7219">
        <v>100.46032891052501</v>
      </c>
      <c r="AK7219">
        <v>20.607703988038701</v>
      </c>
      <c r="AL7219">
        <v>77.628792697083497</v>
      </c>
      <c r="AM7219">
        <v>97.603769146576397</v>
      </c>
      <c r="AN7219">
        <v>1.0000000208751301</v>
      </c>
    </row>
    <row r="7220" spans="1:40" x14ac:dyDescent="0.25">
      <c r="A7220" t="str">
        <f>"20190312172255425"</f>
        <v>20190312172255425</v>
      </c>
      <c r="B7220" t="str">
        <f>"1552382575417878"</f>
        <v>1552382575417878</v>
      </c>
      <c r="C7220" t="s">
        <v>40</v>
      </c>
      <c r="D7220">
        <v>3.4822899999999999</v>
      </c>
      <c r="E7220">
        <v>0.48585840000000002</v>
      </c>
      <c r="F7220" t="s">
        <v>42</v>
      </c>
      <c r="G7220">
        <v>-267.52910000000003</v>
      </c>
      <c r="H7220" s="1">
        <v>-3.2848209999999998E-6</v>
      </c>
      <c r="I7220">
        <v>-65.086320000000001</v>
      </c>
      <c r="J7220">
        <v>-287.87329999999997</v>
      </c>
      <c r="K7220">
        <v>1.11286</v>
      </c>
      <c r="L7220">
        <v>-63.809109999999997</v>
      </c>
      <c r="M7220">
        <v>0.9706439</v>
      </c>
      <c r="N7220">
        <v>0</v>
      </c>
      <c r="O7220">
        <v>-0.24010909999999999</v>
      </c>
      <c r="P7220">
        <v>0.97332010000000002</v>
      </c>
      <c r="Q7220">
        <v>0.20111380000000001</v>
      </c>
      <c r="R7220">
        <v>-0.1104593</v>
      </c>
      <c r="S7220">
        <v>3.095215</v>
      </c>
      <c r="T7220">
        <v>-0.16870089999999999</v>
      </c>
      <c r="U7220">
        <v>-0.19592290000000001</v>
      </c>
      <c r="V7220">
        <v>-0.12758530000000001</v>
      </c>
      <c r="W7220">
        <v>0.2141207</v>
      </c>
      <c r="X7220">
        <v>0.9684391</v>
      </c>
      <c r="Y7220">
        <v>-0.1777194</v>
      </c>
      <c r="Z7220">
        <v>1.7778430000000001E-2</v>
      </c>
      <c r="AA7220">
        <v>0.98392060000000003</v>
      </c>
      <c r="AB7220">
        <v>16</v>
      </c>
      <c r="AC7220">
        <v>20.344199999999901</v>
      </c>
      <c r="AD7220">
        <v>-1.1128632848210001</v>
      </c>
      <c r="AE7220">
        <v>-1.27721</v>
      </c>
      <c r="AF7220">
        <v>-3.6346392828742502</v>
      </c>
      <c r="AG7220">
        <v>-1.1128632848210001</v>
      </c>
      <c r="AH7220">
        <v>19.996030529564599</v>
      </c>
      <c r="AI7220">
        <v>93.134214223324193</v>
      </c>
      <c r="AJ7220">
        <v>100.30206547884001</v>
      </c>
      <c r="AK7220">
        <v>20.354122539343098</v>
      </c>
      <c r="AL7220">
        <v>77.636054003382398</v>
      </c>
      <c r="AM7220">
        <v>97.505110240963305</v>
      </c>
      <c r="AN7220">
        <v>0.99999998667669399</v>
      </c>
    </row>
    <row r="7221" spans="1:40" x14ac:dyDescent="0.25">
      <c r="A7221" t="str">
        <f>"20190312172255436"</f>
        <v>20190312172255436</v>
      </c>
      <c r="B7221" t="str">
        <f>"1552382575427638"</f>
        <v>1552382575427638</v>
      </c>
      <c r="C7221" t="s">
        <v>40</v>
      </c>
      <c r="D7221">
        <v>3.5773679999999999</v>
      </c>
      <c r="E7221">
        <v>0.4860971</v>
      </c>
      <c r="F7221" t="s">
        <v>42</v>
      </c>
      <c r="G7221">
        <v>-267.66919999999999</v>
      </c>
      <c r="H7221" s="1">
        <v>-3.3321179999999999E-6</v>
      </c>
      <c r="I7221">
        <v>-65.084329999999994</v>
      </c>
      <c r="J7221">
        <v>-287.79899999999998</v>
      </c>
      <c r="K7221">
        <v>1.112778</v>
      </c>
      <c r="L7221">
        <v>-63.824039999999997</v>
      </c>
      <c r="M7221">
        <v>0.97133360000000002</v>
      </c>
      <c r="N7221">
        <v>0</v>
      </c>
      <c r="O7221">
        <v>-0.23730560000000001</v>
      </c>
      <c r="P7221">
        <v>0.97346440000000001</v>
      </c>
      <c r="Q7221">
        <v>0.20092189999999999</v>
      </c>
      <c r="R7221">
        <v>-0.1095346</v>
      </c>
      <c r="S7221">
        <v>3.0952760000000001</v>
      </c>
      <c r="T7221">
        <v>-0.170491</v>
      </c>
      <c r="U7221">
        <v>-0.19537350000000001</v>
      </c>
      <c r="V7221">
        <v>-0.12567039999999999</v>
      </c>
      <c r="W7221">
        <v>0.2139413</v>
      </c>
      <c r="X7221">
        <v>0.96872910000000001</v>
      </c>
      <c r="Y7221">
        <v>-0.1750477</v>
      </c>
      <c r="Z7221">
        <v>1.7743020000000002E-2</v>
      </c>
      <c r="AA7221">
        <v>0.98440000000000005</v>
      </c>
      <c r="AB7221">
        <v>16</v>
      </c>
      <c r="AC7221">
        <v>20.129799999999999</v>
      </c>
      <c r="AD7221">
        <v>-1.112781332118</v>
      </c>
      <c r="AE7221">
        <v>-1.2602899999999999</v>
      </c>
      <c r="AF7221">
        <v>-3.54231965279007</v>
      </c>
      <c r="AG7221">
        <v>-1.112781332118</v>
      </c>
      <c r="AH7221">
        <v>19.793530458523399</v>
      </c>
      <c r="AI7221">
        <v>93.167529821631703</v>
      </c>
      <c r="AJ7221">
        <v>100.146440485581</v>
      </c>
      <c r="AK7221">
        <v>20.138772525358799</v>
      </c>
      <c r="AL7221">
        <v>77.646576868040995</v>
      </c>
      <c r="AM7221">
        <v>97.391534452444901</v>
      </c>
      <c r="AN7221">
        <v>0.99999999923432903</v>
      </c>
    </row>
    <row r="7222" spans="1:40" x14ac:dyDescent="0.25">
      <c r="A7222" t="str">
        <f>"20190312172255447"</f>
        <v>20190312172255447</v>
      </c>
      <c r="B7222" t="str">
        <f>"1552382575437398"</f>
        <v>1552382575437398</v>
      </c>
      <c r="C7222" t="s">
        <v>40</v>
      </c>
      <c r="D7222">
        <v>3.5114580000000002</v>
      </c>
      <c r="E7222">
        <v>0.48658560000000001</v>
      </c>
      <c r="F7222" t="s">
        <v>42</v>
      </c>
      <c r="G7222">
        <v>-267.97359999999998</v>
      </c>
      <c r="H7222" s="1">
        <v>-3.4336060000000002E-6</v>
      </c>
      <c r="I7222">
        <v>-65.072429999999997</v>
      </c>
      <c r="J7222">
        <v>-287.72620000000001</v>
      </c>
      <c r="K7222">
        <v>1.1127039999999999</v>
      </c>
      <c r="L7222">
        <v>-63.838500000000003</v>
      </c>
      <c r="M7222">
        <v>0.97197699999999998</v>
      </c>
      <c r="N7222">
        <v>0</v>
      </c>
      <c r="O7222">
        <v>-0.2346579</v>
      </c>
      <c r="P7222">
        <v>0.9735547</v>
      </c>
      <c r="Q7222">
        <v>0.20084250000000001</v>
      </c>
      <c r="R7222">
        <v>-0.10887479999999999</v>
      </c>
      <c r="S7222">
        <v>3.0957029999999999</v>
      </c>
      <c r="T7222">
        <v>-0.1737591</v>
      </c>
      <c r="U7222">
        <v>-0.19494629999999999</v>
      </c>
      <c r="V7222">
        <v>-0.12364749999999999</v>
      </c>
      <c r="W7222">
        <v>0.2138738</v>
      </c>
      <c r="X7222">
        <v>0.96900430000000004</v>
      </c>
      <c r="Y7222">
        <v>-0.1724927</v>
      </c>
      <c r="Z7222">
        <v>1.7864109999999999E-2</v>
      </c>
      <c r="AA7222">
        <v>0.98484879999999997</v>
      </c>
      <c r="AB7222">
        <v>16</v>
      </c>
      <c r="AC7222">
        <v>19.752600000000001</v>
      </c>
      <c r="AD7222">
        <v>-1.1127074336059899</v>
      </c>
      <c r="AE7222">
        <v>-1.23393</v>
      </c>
      <c r="AF7222">
        <v>-3.4252622741311098</v>
      </c>
      <c r="AG7222">
        <v>-1.1127074336059899</v>
      </c>
      <c r="AH7222">
        <v>19.4291230992504</v>
      </c>
      <c r="AI7222">
        <v>93.228080629581001</v>
      </c>
      <c r="AJ7222">
        <v>99.998237233046297</v>
      </c>
      <c r="AK7222">
        <v>19.760095239780998</v>
      </c>
      <c r="AL7222">
        <v>77.650536231415202</v>
      </c>
      <c r="AM7222">
        <v>97.271794741507094</v>
      </c>
      <c r="AN7222">
        <v>1.0000000200005801</v>
      </c>
    </row>
    <row r="7223" spans="1:40" x14ac:dyDescent="0.25">
      <c r="A7223" t="str">
        <f>"20190312172255457"</f>
        <v>20190312172255457</v>
      </c>
      <c r="B7223" t="str">
        <f>"1552382575448134"</f>
        <v>1552382575448134</v>
      </c>
      <c r="C7223" t="s">
        <v>40</v>
      </c>
      <c r="D7223">
        <v>3.4997500000000001</v>
      </c>
      <c r="E7223">
        <v>0.48706559999999999</v>
      </c>
      <c r="F7223" t="s">
        <v>42</v>
      </c>
      <c r="G7223">
        <v>-267.9785</v>
      </c>
      <c r="H7223" s="1">
        <v>-3.439628E-6</v>
      </c>
      <c r="I7223">
        <v>-65.096919999999997</v>
      </c>
      <c r="J7223">
        <v>-287.65010000000001</v>
      </c>
      <c r="K7223">
        <v>1.112625</v>
      </c>
      <c r="L7223">
        <v>-63.853520000000003</v>
      </c>
      <c r="M7223">
        <v>0.97263040000000001</v>
      </c>
      <c r="N7223">
        <v>0</v>
      </c>
      <c r="O7223">
        <v>-0.23193520000000001</v>
      </c>
      <c r="P7223">
        <v>0.97369099999999997</v>
      </c>
      <c r="Q7223">
        <v>0.2006058</v>
      </c>
      <c r="R7223">
        <v>-0.1080866</v>
      </c>
      <c r="S7223">
        <v>3.0954280000000001</v>
      </c>
      <c r="T7223">
        <v>-0.1744156</v>
      </c>
      <c r="U7223">
        <v>-0.19726560000000001</v>
      </c>
      <c r="V7223">
        <v>-0.121685</v>
      </c>
      <c r="W7223">
        <v>0.21364830000000001</v>
      </c>
      <c r="X7223">
        <v>0.96930240000000001</v>
      </c>
      <c r="Y7223">
        <v>-0.16899790000000001</v>
      </c>
      <c r="Z7223">
        <v>1.7684769999999999E-2</v>
      </c>
      <c r="AA7223">
        <v>0.98545780000000005</v>
      </c>
      <c r="AB7223">
        <v>16</v>
      </c>
      <c r="AC7223">
        <v>19.671600000000002</v>
      </c>
      <c r="AD7223">
        <v>-1.112628439628</v>
      </c>
      <c r="AE7223">
        <v>-1.2434000000000001</v>
      </c>
      <c r="AF7223">
        <v>-3.3428454086834001</v>
      </c>
      <c r="AG7223">
        <v>-1.112628439628</v>
      </c>
      <c r="AH7223">
        <v>19.3617967649215</v>
      </c>
      <c r="AI7223">
        <v>93.2410468719969</v>
      </c>
      <c r="AJ7223">
        <v>99.795639122687504</v>
      </c>
      <c r="AK7223">
        <v>19.679728947247899</v>
      </c>
      <c r="AL7223">
        <v>77.663761744567196</v>
      </c>
      <c r="AM7223">
        <v>97.155406859231306</v>
      </c>
      <c r="AN7223">
        <v>0.99999998898182496</v>
      </c>
    </row>
    <row r="7224" spans="1:40" x14ac:dyDescent="0.25">
      <c r="A7224" t="str">
        <f>"20190312172255469"</f>
        <v>20190312172255469</v>
      </c>
      <c r="B7224" t="str">
        <f>"1552382575457894"</f>
        <v>1552382575457894</v>
      </c>
      <c r="C7224" t="s">
        <v>40</v>
      </c>
      <c r="D7224">
        <v>3.584139</v>
      </c>
      <c r="E7224">
        <v>0.48742849999999999</v>
      </c>
      <c r="F7224" t="s">
        <v>42</v>
      </c>
      <c r="G7224">
        <v>-268.11149999999998</v>
      </c>
      <c r="H7224" s="1">
        <v>-3.4873800000000001E-6</v>
      </c>
      <c r="I7224">
        <v>-65.111019999999996</v>
      </c>
      <c r="J7224">
        <v>-287.57639999999998</v>
      </c>
      <c r="K7224">
        <v>1.1125579999999999</v>
      </c>
      <c r="L7224">
        <v>-63.86795</v>
      </c>
      <c r="M7224">
        <v>0.97322889999999995</v>
      </c>
      <c r="N7224">
        <v>0</v>
      </c>
      <c r="O7224">
        <v>-0.22941249999999999</v>
      </c>
      <c r="P7224">
        <v>0.97376600000000002</v>
      </c>
      <c r="Q7224">
        <v>0.2004958</v>
      </c>
      <c r="R7224">
        <v>-0.1076174</v>
      </c>
      <c r="S7224">
        <v>3.0952449999999998</v>
      </c>
      <c r="T7224">
        <v>-0.1762589</v>
      </c>
      <c r="U7224">
        <v>-0.1992188</v>
      </c>
      <c r="V7224">
        <v>-0.1196029</v>
      </c>
      <c r="W7224">
        <v>0.21354909999999999</v>
      </c>
      <c r="X7224">
        <v>0.96958339999999998</v>
      </c>
      <c r="Y7224">
        <v>-0.165814299999999</v>
      </c>
      <c r="Z7224">
        <v>1.7641460000000001E-2</v>
      </c>
      <c r="AA7224">
        <v>0.98599919999999996</v>
      </c>
      <c r="AB7224">
        <v>16</v>
      </c>
      <c r="AC7224">
        <v>19.4649</v>
      </c>
      <c r="AD7224">
        <v>-1.1125614873799901</v>
      </c>
      <c r="AE7224">
        <v>-1.2430699999999899</v>
      </c>
      <c r="AF7224">
        <v>-3.24545815978898</v>
      </c>
      <c r="AG7224">
        <v>-1.1125614873799901</v>
      </c>
      <c r="AH7224">
        <v>19.168489774118001</v>
      </c>
      <c r="AI7224">
        <v>93.275276873099799</v>
      </c>
      <c r="AJ7224">
        <v>99.609736886311495</v>
      </c>
      <c r="AK7224">
        <v>19.4731043223881</v>
      </c>
      <c r="AL7224">
        <v>77.669580153995895</v>
      </c>
      <c r="AM7224">
        <v>97.032192593897705</v>
      </c>
      <c r="AN7224">
        <v>1.00000002067738</v>
      </c>
    </row>
    <row r="7225" spans="1:40" x14ac:dyDescent="0.25">
      <c r="A7225" t="str">
        <f>"20190312172255481"</f>
        <v>20190312172255481</v>
      </c>
      <c r="B7225" t="str">
        <f>"1552382575477413"</f>
        <v>1552382575477413</v>
      </c>
      <c r="C7225" t="s">
        <v>40</v>
      </c>
      <c r="D7225">
        <v>3.4871910000000002</v>
      </c>
      <c r="E7225">
        <v>0.48798940000000002</v>
      </c>
      <c r="F7225" t="s">
        <v>42</v>
      </c>
      <c r="G7225">
        <v>-268.26949999999999</v>
      </c>
      <c r="H7225" s="1">
        <v>-3.5432339999999999E-6</v>
      </c>
      <c r="I7225">
        <v>-65.122860000000003</v>
      </c>
      <c r="J7225">
        <v>-287.4982</v>
      </c>
      <c r="K7225">
        <v>1.1124879999999999</v>
      </c>
      <c r="L7225">
        <v>-63.883150000000001</v>
      </c>
      <c r="M7225">
        <v>0.97384850000000001</v>
      </c>
      <c r="N7225">
        <v>0</v>
      </c>
      <c r="O7225">
        <v>-0.22676950000000001</v>
      </c>
      <c r="P7225">
        <v>0.97382769999999996</v>
      </c>
      <c r="Q7225">
        <v>0.20044429999999999</v>
      </c>
      <c r="R7225">
        <v>-0.1071556</v>
      </c>
      <c r="S7225">
        <v>3.0953369999999998</v>
      </c>
      <c r="T7225">
        <v>-0.178369</v>
      </c>
      <c r="U7225">
        <v>-0.2012024</v>
      </c>
      <c r="V7225">
        <v>-0.11739090000000001</v>
      </c>
      <c r="W7225">
        <v>0.21350859999999999</v>
      </c>
      <c r="X7225">
        <v>0.96986260000000002</v>
      </c>
      <c r="Y7225">
        <v>-0.1625035</v>
      </c>
      <c r="Z7225">
        <v>1.7607600000000001E-2</v>
      </c>
      <c r="AA7225">
        <v>0.98655090000000001</v>
      </c>
      <c r="AB7225">
        <v>16</v>
      </c>
      <c r="AC7225">
        <v>19.2287</v>
      </c>
      <c r="AD7225">
        <v>-1.1124915432339999</v>
      </c>
      <c r="AE7225">
        <v>-1.2397100000000001</v>
      </c>
      <c r="AF7225">
        <v>-3.14302289176947</v>
      </c>
      <c r="AG7225">
        <v>-1.1124915432339999</v>
      </c>
      <c r="AH7225">
        <v>18.945665435213598</v>
      </c>
      <c r="AI7225">
        <v>93.315346328294297</v>
      </c>
      <c r="AJ7225">
        <v>99.4193919133577</v>
      </c>
      <c r="AK7225">
        <v>19.236799866791799</v>
      </c>
      <c r="AL7225">
        <v>77.671955208861803</v>
      </c>
      <c r="AM7225">
        <v>96.901434004557302</v>
      </c>
      <c r="AN7225">
        <v>1.0000000042777599</v>
      </c>
    </row>
    <row r="7226" spans="1:40" x14ac:dyDescent="0.25">
      <c r="A7226" t="str">
        <f>"20190312172255492"</f>
        <v>20190312172255492</v>
      </c>
      <c r="B7226" t="str">
        <f>"1552382575487173"</f>
        <v>1552382575487173</v>
      </c>
      <c r="C7226" t="s">
        <v>40</v>
      </c>
      <c r="D7226">
        <v>3.5418699999999999</v>
      </c>
      <c r="E7226">
        <v>0.48798940000000002</v>
      </c>
      <c r="F7226" t="s">
        <v>42</v>
      </c>
      <c r="G7226">
        <v>-268.20119999999997</v>
      </c>
      <c r="H7226" s="1">
        <v>-3.52656E-6</v>
      </c>
      <c r="I7226">
        <v>-65.159899999999993</v>
      </c>
      <c r="J7226">
        <v>-287.41770000000002</v>
      </c>
      <c r="K7226">
        <v>1.112425</v>
      </c>
      <c r="L7226">
        <v>-63.898589999999999</v>
      </c>
      <c r="M7226">
        <v>0.97444679999999995</v>
      </c>
      <c r="N7226">
        <v>0</v>
      </c>
      <c r="O7226">
        <v>-0.22418589999999999</v>
      </c>
      <c r="P7226">
        <v>0.97388070000000004</v>
      </c>
      <c r="Q7226">
        <v>0.20048079999999999</v>
      </c>
      <c r="R7226">
        <v>-0.10660210000000001</v>
      </c>
      <c r="S7226">
        <v>3.0948180000000001</v>
      </c>
      <c r="T7226">
        <v>-0.17841940000000001</v>
      </c>
      <c r="U7226">
        <v>-0.20477290000000001</v>
      </c>
      <c r="V7226">
        <v>-0.11532779999999999</v>
      </c>
      <c r="W7226">
        <v>0.21355469999999999</v>
      </c>
      <c r="X7226">
        <v>0.97009990000000001</v>
      </c>
      <c r="Y7226">
        <v>-0.15875129999999901</v>
      </c>
      <c r="Z7226">
        <v>1.7361290000000001E-2</v>
      </c>
      <c r="AA7226">
        <v>0.98716590000000004</v>
      </c>
      <c r="AB7226">
        <v>16</v>
      </c>
      <c r="AC7226">
        <v>19.2165</v>
      </c>
      <c r="AD7226">
        <v>-1.11242852656</v>
      </c>
      <c r="AE7226">
        <v>-1.2613099999999799</v>
      </c>
      <c r="AF7226">
        <v>-3.0690469784635201</v>
      </c>
      <c r="AG7226">
        <v>-1.11242852656</v>
      </c>
      <c r="AH7226">
        <v>18.946848399412801</v>
      </c>
      <c r="AI7226">
        <v>93.317020233854507</v>
      </c>
      <c r="AJ7226">
        <v>99.200964033687001</v>
      </c>
      <c r="AK7226">
        <v>19.226013909623902</v>
      </c>
      <c r="AL7226">
        <v>77.669251007163695</v>
      </c>
      <c r="AM7226">
        <v>96.779640071480202</v>
      </c>
      <c r="AN7226">
        <v>0.99999996366246902</v>
      </c>
    </row>
    <row r="7227" spans="1:40" x14ac:dyDescent="0.25">
      <c r="A7227" t="str">
        <f>"20190312172255504"</f>
        <v>20190312172255504</v>
      </c>
      <c r="B7227" t="str">
        <f>"1552382575497909"</f>
        <v>1552382575497909</v>
      </c>
      <c r="C7227" t="s">
        <v>40</v>
      </c>
      <c r="D7227">
        <v>3.5120629999999999</v>
      </c>
      <c r="E7227">
        <v>0.49554199999999998</v>
      </c>
      <c r="F7227" t="s">
        <v>42</v>
      </c>
      <c r="G7227">
        <v>-268.11970000000002</v>
      </c>
      <c r="H7227" s="1">
        <v>-3.5003370000000001E-6</v>
      </c>
      <c r="I7227">
        <v>-65.168329999999997</v>
      </c>
      <c r="J7227">
        <v>-287.3381</v>
      </c>
      <c r="K7227">
        <v>1.112365</v>
      </c>
      <c r="L7227">
        <v>-63.913789999999999</v>
      </c>
      <c r="M7227">
        <v>0.9750221</v>
      </c>
      <c r="N7227">
        <v>0</v>
      </c>
      <c r="O7227">
        <v>-0.22167239999999999</v>
      </c>
      <c r="P7227">
        <v>0.97395259999999995</v>
      </c>
      <c r="Q7227">
        <v>0.20039989999999999</v>
      </c>
      <c r="R7227">
        <v>-0.1060963</v>
      </c>
      <c r="S7227">
        <v>3.09491</v>
      </c>
      <c r="T7227">
        <v>-0.17840520000000001</v>
      </c>
      <c r="U7227">
        <v>-0.20364380000000001</v>
      </c>
      <c r="V7227">
        <v>-0.1132939</v>
      </c>
      <c r="W7227">
        <v>0.21348300000000001</v>
      </c>
      <c r="X7227">
        <v>0.97035530000000003</v>
      </c>
      <c r="Y7227">
        <v>-0.1565733</v>
      </c>
      <c r="Z7227">
        <v>1.7155799999999999E-2</v>
      </c>
      <c r="AA7227">
        <v>0.98751739999999999</v>
      </c>
      <c r="AB7227">
        <v>16</v>
      </c>
      <c r="AC7227">
        <v>19.2183999999999</v>
      </c>
      <c r="AD7227">
        <v>-1.1123685003370001</v>
      </c>
      <c r="AE7227">
        <v>-1.25454</v>
      </c>
      <c r="AF7227">
        <v>-3.0271796775739501</v>
      </c>
      <c r="AG7227">
        <v>-1.1123685003370001</v>
      </c>
      <c r="AH7227">
        <v>18.9550666950799</v>
      </c>
      <c r="AI7227">
        <v>93.316588994605695</v>
      </c>
      <c r="AJ7227">
        <v>99.073680117184693</v>
      </c>
      <c r="AK7227">
        <v>19.227473414252501</v>
      </c>
      <c r="AL7227">
        <v>77.673455962991198</v>
      </c>
      <c r="AM7227">
        <v>96.659422059790501</v>
      </c>
      <c r="AN7227">
        <v>0.999999953652149</v>
      </c>
    </row>
    <row r="7228" spans="1:40" x14ac:dyDescent="0.25">
      <c r="A7228" t="str">
        <f>"20190312172255514"</f>
        <v>20190312172255514</v>
      </c>
      <c r="B7228" t="str">
        <f>"1552382575507670"</f>
        <v>1552382575507670</v>
      </c>
      <c r="C7228" t="s">
        <v>40</v>
      </c>
      <c r="D7228">
        <v>3.6331259999999999</v>
      </c>
      <c r="E7228">
        <v>0.49618869999999998</v>
      </c>
      <c r="F7228" t="s">
        <v>42</v>
      </c>
      <c r="G7228">
        <v>-267.91680000000002</v>
      </c>
      <c r="H7228" s="1">
        <v>-3.5015580000000002E-6</v>
      </c>
      <c r="I7228">
        <v>-65.564520000000002</v>
      </c>
      <c r="J7228">
        <v>-287.26659999999998</v>
      </c>
      <c r="K7228">
        <v>1.112314</v>
      </c>
      <c r="L7228">
        <v>-63.927370000000003</v>
      </c>
      <c r="M7228">
        <v>0.97551679999999996</v>
      </c>
      <c r="N7228">
        <v>0</v>
      </c>
      <c r="O7228">
        <v>-0.21948619999999999</v>
      </c>
      <c r="P7228">
        <v>0.97396780000000005</v>
      </c>
      <c r="Q7228">
        <v>0.2003064</v>
      </c>
      <c r="R7228">
        <v>-0.1061324</v>
      </c>
      <c r="S7228">
        <v>3.0880429999999999</v>
      </c>
      <c r="T7228">
        <v>-0.17687</v>
      </c>
      <c r="U7228">
        <v>-0.26248169999999998</v>
      </c>
      <c r="V7228">
        <v>-0.1110526</v>
      </c>
      <c r="W7228">
        <v>0.21339910000000001</v>
      </c>
      <c r="X7228">
        <v>0.97063290000000002</v>
      </c>
      <c r="Y7228">
        <v>-0.13551969999999999</v>
      </c>
      <c r="Z7228">
        <v>1.6303959999999999E-2</v>
      </c>
      <c r="AA7228">
        <v>0.99064050000000003</v>
      </c>
      <c r="AB7228">
        <v>16</v>
      </c>
      <c r="AC7228">
        <v>19.349799999999899</v>
      </c>
      <c r="AD7228">
        <v>-1.112317501558</v>
      </c>
      <c r="AE7228">
        <v>-1.6371500000000001</v>
      </c>
      <c r="AF7228">
        <v>-2.6415353225303599</v>
      </c>
      <c r="AG7228">
        <v>-1.112317501558</v>
      </c>
      <c r="AH7228">
        <v>19.174330133380099</v>
      </c>
      <c r="AI7228">
        <v>93.289055339929504</v>
      </c>
      <c r="AJ7228">
        <v>97.8439299174605</v>
      </c>
      <c r="AK7228">
        <v>19.387364316696001</v>
      </c>
      <c r="AL7228">
        <v>77.678377563241995</v>
      </c>
      <c r="AM7228">
        <v>96.526975968143304</v>
      </c>
      <c r="AN7228">
        <v>1.0000000412049801</v>
      </c>
    </row>
    <row r="7229" spans="1:40" x14ac:dyDescent="0.25">
      <c r="A7229" t="str">
        <f>"20190312172255526"</f>
        <v>20190312172255526</v>
      </c>
      <c r="B7229" t="str">
        <f>"1552382575517430"</f>
        <v>1552382575517430</v>
      </c>
      <c r="C7229" t="s">
        <v>40</v>
      </c>
      <c r="D7229">
        <v>3.521226</v>
      </c>
      <c r="E7229">
        <v>0.4965794</v>
      </c>
      <c r="F7229" t="s">
        <v>73</v>
      </c>
      <c r="G7229">
        <v>-268.21980000000002</v>
      </c>
      <c r="H7229" s="1">
        <v>-3.6077289999999999E-6</v>
      </c>
      <c r="I7229">
        <v>-65.581649999999996</v>
      </c>
      <c r="J7229">
        <v>-287.18979999999999</v>
      </c>
      <c r="K7229">
        <v>1.112263</v>
      </c>
      <c r="L7229">
        <v>-63.941800000000001</v>
      </c>
      <c r="M7229">
        <v>0.97602929999999999</v>
      </c>
      <c r="N7229">
        <v>0</v>
      </c>
      <c r="O7229">
        <v>-0.2171968</v>
      </c>
      <c r="P7229">
        <v>0.97392219999999996</v>
      </c>
      <c r="Q7229">
        <v>0.20057369999999999</v>
      </c>
      <c r="R7229">
        <v>-0.1060485</v>
      </c>
      <c r="S7229">
        <v>3.0880429999999999</v>
      </c>
      <c r="T7229">
        <v>-0.1803401</v>
      </c>
      <c r="U7229">
        <v>-0.26821899999999999</v>
      </c>
      <c r="V7229">
        <v>-0.1088138</v>
      </c>
      <c r="W7229">
        <v>0.21367449999999999</v>
      </c>
      <c r="X7229">
        <v>0.97082590000000002</v>
      </c>
      <c r="Y7229">
        <v>-0.13135529999999901</v>
      </c>
      <c r="Z7229">
        <v>1.6369829999999998E-2</v>
      </c>
      <c r="AA7229">
        <v>0.99120019999999998</v>
      </c>
      <c r="AB7229">
        <v>16</v>
      </c>
      <c r="AC7229">
        <v>18.969999999999899</v>
      </c>
      <c r="AD7229">
        <v>-1.112266607729</v>
      </c>
      <c r="AE7229">
        <v>-1.63984999999999</v>
      </c>
      <c r="AF7229">
        <v>-2.5113544732011701</v>
      </c>
      <c r="AG7229">
        <v>-1.112266607729</v>
      </c>
      <c r="AH7229">
        <v>18.809078655507399</v>
      </c>
      <c r="AI7229">
        <v>93.354519951716895</v>
      </c>
      <c r="AJ7229">
        <v>97.60505062304</v>
      </c>
      <c r="AK7229">
        <v>19.008563285156601</v>
      </c>
      <c r="AL7229">
        <v>77.662226271107698</v>
      </c>
      <c r="AM7229">
        <v>96.395233909976895</v>
      </c>
      <c r="AN7229">
        <v>1.0000000815657399</v>
      </c>
    </row>
    <row r="7230" spans="1:40" x14ac:dyDescent="0.25">
      <c r="A7230" t="str">
        <f>"20190312172255536"</f>
        <v>20190312172255536</v>
      </c>
      <c r="B7230" t="str">
        <f>"1552382575527190"</f>
        <v>1552382575527190</v>
      </c>
      <c r="C7230" t="s">
        <v>40</v>
      </c>
      <c r="D7230">
        <v>3.543644</v>
      </c>
      <c r="E7230">
        <v>0.49685689999999999</v>
      </c>
      <c r="F7230" t="s">
        <v>42</v>
      </c>
      <c r="G7230">
        <v>-268.29399999999998</v>
      </c>
      <c r="H7230" s="1">
        <v>-3.6367639999999999E-6</v>
      </c>
      <c r="I7230">
        <v>-65.603070000000002</v>
      </c>
      <c r="J7230">
        <v>-287.11599999999999</v>
      </c>
      <c r="K7230">
        <v>1.1122160000000001</v>
      </c>
      <c r="L7230">
        <v>-63.955599999999997</v>
      </c>
      <c r="M7230">
        <v>0.97650570000000003</v>
      </c>
      <c r="N7230">
        <v>0</v>
      </c>
      <c r="O7230">
        <v>-0.21504519999999999</v>
      </c>
      <c r="P7230">
        <v>0.97388280000000005</v>
      </c>
      <c r="Q7230">
        <v>0.20058239999999999</v>
      </c>
      <c r="R7230">
        <v>-0.1063899</v>
      </c>
      <c r="S7230">
        <v>3.0881959999999999</v>
      </c>
      <c r="T7230">
        <v>-0.18178079999999999</v>
      </c>
      <c r="U7230">
        <v>-0.2715149</v>
      </c>
      <c r="V7230">
        <v>-0.1063007</v>
      </c>
      <c r="W7230">
        <v>0.2136931</v>
      </c>
      <c r="X7230">
        <v>0.97110010000000002</v>
      </c>
      <c r="Y7230">
        <v>-0.12812419999999999</v>
      </c>
      <c r="Z7230">
        <v>1.6280220000000001E-2</v>
      </c>
      <c r="AA7230">
        <v>0.99162450000000002</v>
      </c>
      <c r="AB7230">
        <v>16</v>
      </c>
      <c r="AC7230">
        <v>18.8219999999999</v>
      </c>
      <c r="AD7230">
        <v>-1.112219636764</v>
      </c>
      <c r="AE7230">
        <v>-1.64747</v>
      </c>
      <c r="AF7230">
        <v>-2.43062854460922</v>
      </c>
      <c r="AG7230">
        <v>-1.112219636764</v>
      </c>
      <c r="AH7230">
        <v>18.671170878408098</v>
      </c>
      <c r="AI7230">
        <v>93.380555729059395</v>
      </c>
      <c r="AJ7230">
        <v>97.417100569344299</v>
      </c>
      <c r="AK7230">
        <v>18.861537837964999</v>
      </c>
      <c r="AL7230">
        <v>77.6611342507247</v>
      </c>
      <c r="AM7230">
        <v>96.246964923750099</v>
      </c>
      <c r="AN7230">
        <v>0.99999999201405498</v>
      </c>
    </row>
    <row r="7231" spans="1:40" x14ac:dyDescent="0.25">
      <c r="A7231" t="str">
        <f>"20190312172255548"</f>
        <v>20190312172255548</v>
      </c>
      <c r="B7231" t="str">
        <f>"1552382575537927"</f>
        <v>1552382575537927</v>
      </c>
      <c r="C7231" t="s">
        <v>40</v>
      </c>
      <c r="D7231">
        <v>3.5084949999999999</v>
      </c>
      <c r="E7231">
        <v>0.49722670000000002</v>
      </c>
      <c r="F7231" t="s">
        <v>42</v>
      </c>
      <c r="G7231">
        <v>-268.45650000000001</v>
      </c>
      <c r="H7231" s="1">
        <v>-3.6943680000000001E-6</v>
      </c>
      <c r="I7231">
        <v>-65.616100000000003</v>
      </c>
      <c r="J7231">
        <v>-287.0419</v>
      </c>
      <c r="K7231">
        <v>1.1121700000000001</v>
      </c>
      <c r="L7231">
        <v>-63.969360000000002</v>
      </c>
      <c r="M7231">
        <v>0.97696260000000001</v>
      </c>
      <c r="N7231">
        <v>0</v>
      </c>
      <c r="O7231">
        <v>-0.21296090000000001</v>
      </c>
      <c r="P7231">
        <v>0.97376719999999894</v>
      </c>
      <c r="Q7231">
        <v>0.20080870000000001</v>
      </c>
      <c r="R7231">
        <v>-0.1070222</v>
      </c>
      <c r="S7231">
        <v>3.0883479999999999</v>
      </c>
      <c r="T7231">
        <v>-0.1840841</v>
      </c>
      <c r="U7231">
        <v>-0.27484130000000001</v>
      </c>
      <c r="V7231">
        <v>-0.1035563</v>
      </c>
      <c r="W7231">
        <v>0.21392920000000001</v>
      </c>
      <c r="X7231">
        <v>0.9713446</v>
      </c>
      <c r="Y7231">
        <v>-0.12494619999999999</v>
      </c>
      <c r="Z7231">
        <v>1.6268640000000001E-2</v>
      </c>
      <c r="AA7231">
        <v>0.99203010000000003</v>
      </c>
      <c r="AB7231">
        <v>16</v>
      </c>
      <c r="AC7231">
        <v>18.5854</v>
      </c>
      <c r="AD7231">
        <v>-1.1121736943680001</v>
      </c>
      <c r="AE7231">
        <v>-1.6467400000000001</v>
      </c>
      <c r="AF7231">
        <v>-2.3410673531928001</v>
      </c>
      <c r="AG7231">
        <v>-1.1121736943680001</v>
      </c>
      <c r="AH7231">
        <v>18.444172828872802</v>
      </c>
      <c r="AI7231">
        <v>93.4233269071877</v>
      </c>
      <c r="AJ7231">
        <v>97.233712514114799</v>
      </c>
      <c r="AK7231">
        <v>18.625386922691199</v>
      </c>
      <c r="AL7231">
        <v>77.647286222962805</v>
      </c>
      <c r="AM7231">
        <v>96.085390931427099</v>
      </c>
      <c r="AN7231">
        <v>0.999999970915744</v>
      </c>
    </row>
    <row r="7232" spans="1:40" x14ac:dyDescent="0.25">
      <c r="A7232" t="str">
        <f>"20190312172255559"</f>
        <v>20190312172255559</v>
      </c>
      <c r="B7232" t="str">
        <f>"1552382575547687"</f>
        <v>1552382575547687</v>
      </c>
      <c r="C7232" t="s">
        <v>40</v>
      </c>
      <c r="D7232">
        <v>3.4892829999999999</v>
      </c>
      <c r="E7232">
        <v>0.49753560000000002</v>
      </c>
      <c r="F7232" t="s">
        <v>73</v>
      </c>
      <c r="G7232">
        <v>-268.36320000000001</v>
      </c>
      <c r="H7232" s="1">
        <v>-3.6709380000000001E-6</v>
      </c>
      <c r="I7232">
        <v>-65.662959999999998</v>
      </c>
      <c r="J7232">
        <v>-286.96390000000002</v>
      </c>
      <c r="K7232">
        <v>1.11212</v>
      </c>
      <c r="L7232">
        <v>-63.983730000000001</v>
      </c>
      <c r="M7232">
        <v>0.97743210000000003</v>
      </c>
      <c r="N7232">
        <v>0</v>
      </c>
      <c r="O7232">
        <v>-0.21079719999999999</v>
      </c>
      <c r="P7232">
        <v>0.97371289999999999</v>
      </c>
      <c r="Q7232">
        <v>0.20090140000000001</v>
      </c>
      <c r="R7232">
        <v>-0.1073404</v>
      </c>
      <c r="S7232">
        <v>3.0879819999999998</v>
      </c>
      <c r="T7232">
        <v>-0.18386549999999999</v>
      </c>
      <c r="U7232">
        <v>-0.27999879999999999</v>
      </c>
      <c r="V7232">
        <v>-0.10105160000000001</v>
      </c>
      <c r="W7232">
        <v>0.21403079999999999</v>
      </c>
      <c r="X7232">
        <v>0.97158599999999995</v>
      </c>
      <c r="Y7232">
        <v>-0.121106199999999</v>
      </c>
      <c r="Z7232">
        <v>1.6009909999999999E-2</v>
      </c>
      <c r="AA7232">
        <v>0.99251040000000001</v>
      </c>
      <c r="AB7232">
        <v>16</v>
      </c>
      <c r="AC7232">
        <v>18.6007</v>
      </c>
      <c r="AD7232">
        <v>-1.112123670938</v>
      </c>
      <c r="AE7232">
        <v>-1.67922999999999</v>
      </c>
      <c r="AF7232">
        <v>-2.27180442873679</v>
      </c>
      <c r="AG7232">
        <v>-1.112123670938</v>
      </c>
      <c r="AH7232">
        <v>18.471172546962499</v>
      </c>
      <c r="AI7232">
        <v>93.419832976287495</v>
      </c>
      <c r="AJ7232">
        <v>97.011702379216302</v>
      </c>
      <c r="AK7232">
        <v>18.643554641793799</v>
      </c>
      <c r="AL7232">
        <v>77.641327085952099</v>
      </c>
      <c r="AM7232">
        <v>95.937804412797504</v>
      </c>
      <c r="AN7232">
        <v>0.99999998230359899</v>
      </c>
    </row>
    <row r="7233" spans="1:40" x14ac:dyDescent="0.25">
      <c r="A7233" t="str">
        <f>"20190312172255571"</f>
        <v>20190312172255571</v>
      </c>
      <c r="B7233" t="str">
        <f>"1552382575567206"</f>
        <v>1552382575567206</v>
      </c>
      <c r="C7233" t="s">
        <v>40</v>
      </c>
      <c r="D7233">
        <v>3.5180850000000001</v>
      </c>
      <c r="E7233">
        <v>0.49789949999999999</v>
      </c>
      <c r="F7233" t="s">
        <v>42</v>
      </c>
      <c r="G7233">
        <v>-268.23779999999999</v>
      </c>
      <c r="H7233" s="1">
        <v>-3.6355939999999998E-6</v>
      </c>
      <c r="I7233">
        <v>-65.704239999999999</v>
      </c>
      <c r="J7233">
        <v>-286.88389999999998</v>
      </c>
      <c r="K7233">
        <v>1.1120719999999999</v>
      </c>
      <c r="L7233">
        <v>-63.998379999999997</v>
      </c>
      <c r="M7233">
        <v>0.97788450000000005</v>
      </c>
      <c r="N7233">
        <v>0</v>
      </c>
      <c r="O7233">
        <v>-0.20868909999999999</v>
      </c>
      <c r="P7233">
        <v>0.97366949999999997</v>
      </c>
      <c r="Q7233">
        <v>0.20090540000000001</v>
      </c>
      <c r="R7233">
        <v>-0.10772669999999999</v>
      </c>
      <c r="S7233">
        <v>3.0875849999999998</v>
      </c>
      <c r="T7233">
        <v>-0.183369</v>
      </c>
      <c r="U7233">
        <v>-0.28369139999999998</v>
      </c>
      <c r="V7233">
        <v>-9.8538059999999997E-2</v>
      </c>
      <c r="W7233">
        <v>0.21404429999999999</v>
      </c>
      <c r="X7233">
        <v>0.97184119999999996</v>
      </c>
      <c r="Y7233">
        <v>-0.1177889</v>
      </c>
      <c r="Z7233">
        <v>1.5747210000000001E-2</v>
      </c>
      <c r="AA7233">
        <v>0.99291379999999996</v>
      </c>
      <c r="AB7233">
        <v>16</v>
      </c>
      <c r="AC7233">
        <v>18.646099999999901</v>
      </c>
      <c r="AD7233">
        <v>-1.112075635594</v>
      </c>
      <c r="AE7233">
        <v>-1.7058599999999899</v>
      </c>
      <c r="AF7233">
        <v>-2.21550056606719</v>
      </c>
      <c r="AG7233">
        <v>-1.112075635594</v>
      </c>
      <c r="AH7233">
        <v>18.5261480818024</v>
      </c>
      <c r="AI7233">
        <v>93.410946178165403</v>
      </c>
      <c r="AJ7233">
        <v>96.819488007764804</v>
      </c>
      <c r="AK7233">
        <v>18.6912631388678</v>
      </c>
      <c r="AL7233">
        <v>77.640535650570797</v>
      </c>
      <c r="AM7233">
        <v>95.7896146238608</v>
      </c>
      <c r="AN7233">
        <v>1.0000000148242401</v>
      </c>
    </row>
    <row r="7234" spans="1:40" x14ac:dyDescent="0.25">
      <c r="A7234" t="str">
        <f>"20190312172255582"</f>
        <v>20190312172255582</v>
      </c>
      <c r="B7234" t="str">
        <f>"1552382575577941"</f>
        <v>1552382575577941</v>
      </c>
      <c r="C7234" t="s">
        <v>40</v>
      </c>
      <c r="D7234">
        <v>3.5311599999999999</v>
      </c>
      <c r="E7234">
        <v>0.4980482</v>
      </c>
      <c r="F7234" t="s">
        <v>42</v>
      </c>
      <c r="G7234">
        <v>-268.24829999999997</v>
      </c>
      <c r="H7234" s="1">
        <v>-3.6452080000000001E-6</v>
      </c>
      <c r="I7234">
        <v>-65.738399999999999</v>
      </c>
      <c r="J7234">
        <v>-286.80950000000001</v>
      </c>
      <c r="K7234">
        <v>1.112028</v>
      </c>
      <c r="L7234">
        <v>-64.011899999999997</v>
      </c>
      <c r="M7234">
        <v>0.97829529999999998</v>
      </c>
      <c r="N7234">
        <v>0</v>
      </c>
      <c r="O7234">
        <v>-0.20675560000000001</v>
      </c>
      <c r="P7234">
        <v>0.97357179999999999</v>
      </c>
      <c r="Q7234">
        <v>0.20104949999999999</v>
      </c>
      <c r="R7234">
        <v>-0.10833950000000001</v>
      </c>
      <c r="S7234">
        <v>3.08725</v>
      </c>
      <c r="T7234">
        <v>-0.18423129999999999</v>
      </c>
      <c r="U7234">
        <v>-0.288269</v>
      </c>
      <c r="V7234">
        <v>-9.5968040000000004E-2</v>
      </c>
      <c r="W7234">
        <v>0.214198</v>
      </c>
      <c r="X7234">
        <v>0.9720645</v>
      </c>
      <c r="Y7234">
        <v>-0.11435960000000001</v>
      </c>
      <c r="Z7234">
        <v>1.5606729999999999E-2</v>
      </c>
      <c r="AA7234">
        <v>0.9933168</v>
      </c>
      <c r="AB7234">
        <v>16</v>
      </c>
      <c r="AC7234">
        <v>18.561199999999999</v>
      </c>
      <c r="AD7234">
        <v>-1.1120316452079999</v>
      </c>
      <c r="AE7234">
        <v>-1.7264999999999999</v>
      </c>
      <c r="AF7234">
        <v>-2.1411901458961302</v>
      </c>
      <c r="AG7234">
        <v>-1.1120316452079999</v>
      </c>
      <c r="AH7234">
        <v>18.451400034232101</v>
      </c>
      <c r="AI7234">
        <v>93.426003035085003</v>
      </c>
      <c r="AJ7234">
        <v>96.619274084093206</v>
      </c>
      <c r="AK7234">
        <v>18.608478520397298</v>
      </c>
      <c r="AL7234">
        <v>77.631520260370905</v>
      </c>
      <c r="AM7234">
        <v>95.638311966411607</v>
      </c>
      <c r="AN7234">
        <v>1.0000000200328401</v>
      </c>
    </row>
    <row r="7235" spans="1:40" x14ac:dyDescent="0.25">
      <c r="A7235" t="str">
        <f>"20190312172255594"</f>
        <v>20190312172255594</v>
      </c>
      <c r="B7235" t="str">
        <f>"1552382575587701"</f>
        <v>1552382575587701</v>
      </c>
      <c r="C7235" t="s">
        <v>40</v>
      </c>
      <c r="D7235">
        <v>3.5228959999999998</v>
      </c>
      <c r="E7235">
        <v>0.4981545</v>
      </c>
      <c r="F7235" t="s">
        <v>42</v>
      </c>
      <c r="G7235">
        <v>-268.1497</v>
      </c>
      <c r="H7235" s="1">
        <v>-3.6184989999999999E-6</v>
      </c>
      <c r="I7235">
        <v>-65.777050000000003</v>
      </c>
      <c r="J7235">
        <v>-286.72539999999998</v>
      </c>
      <c r="K7235">
        <v>1.1119779999999999</v>
      </c>
      <c r="L7235">
        <v>-64.027069999999995</v>
      </c>
      <c r="M7235">
        <v>0.9787342</v>
      </c>
      <c r="N7235">
        <v>0</v>
      </c>
      <c r="O7235">
        <v>-0.2046685</v>
      </c>
      <c r="P7235">
        <v>0.97357039999999995</v>
      </c>
      <c r="Q7235">
        <v>0.2009118</v>
      </c>
      <c r="R7235">
        <v>-0.1086049</v>
      </c>
      <c r="S7235">
        <v>3.0869450000000001</v>
      </c>
      <c r="T7235">
        <v>-0.1839662</v>
      </c>
      <c r="U7235">
        <v>-0.29202270000000002</v>
      </c>
      <c r="V7235">
        <v>-9.360048E-2</v>
      </c>
      <c r="W7235">
        <v>0.21406939999999999</v>
      </c>
      <c r="X7235">
        <v>0.97232359999999896</v>
      </c>
      <c r="Y7235">
        <v>-0.111044699999999</v>
      </c>
      <c r="Z7235">
        <v>1.536475E-2</v>
      </c>
      <c r="AA7235">
        <v>0.99369660000000004</v>
      </c>
      <c r="AB7235">
        <v>16</v>
      </c>
      <c r="AC7235">
        <v>18.575699999999902</v>
      </c>
      <c r="AD7235">
        <v>-1.1119816184989999</v>
      </c>
      <c r="AE7235">
        <v>-1.7499800000000001</v>
      </c>
      <c r="AF7235">
        <v>-2.0818992392919902</v>
      </c>
      <c r="AG7235">
        <v>-1.1119816184989999</v>
      </c>
      <c r="AH7235">
        <v>18.4749793962601</v>
      </c>
      <c r="AI7235">
        <v>93.422781248127094</v>
      </c>
      <c r="AJ7235">
        <v>96.429395197176305</v>
      </c>
      <c r="AK7235">
        <v>18.625135469431601</v>
      </c>
      <c r="AL7235">
        <v>77.639062844951994</v>
      </c>
      <c r="AM7235">
        <v>95.498620118776103</v>
      </c>
      <c r="AN7235">
        <v>0.99999997049477396</v>
      </c>
    </row>
    <row r="7236" spans="1:40" x14ac:dyDescent="0.25">
      <c r="A7236" t="str">
        <f>"20190312172255605"</f>
        <v>20190312172255605</v>
      </c>
      <c r="B7236" t="str">
        <f>"1552382575597461"</f>
        <v>1552382575597461</v>
      </c>
      <c r="C7236" t="s">
        <v>40</v>
      </c>
      <c r="D7236">
        <v>3.4789319999999999</v>
      </c>
      <c r="E7236">
        <v>0.49818750000000001</v>
      </c>
      <c r="F7236" t="s">
        <v>42</v>
      </c>
      <c r="G7236">
        <v>-268.1705</v>
      </c>
      <c r="H7236" s="1">
        <v>-3.6290279999999998E-6</v>
      </c>
      <c r="I7236">
        <v>-65.796319999999994</v>
      </c>
      <c r="J7236">
        <v>-286.6558</v>
      </c>
      <c r="K7236">
        <v>1.1119380000000001</v>
      </c>
      <c r="L7236">
        <v>-64.039580000000001</v>
      </c>
      <c r="M7236">
        <v>0.97908569999999995</v>
      </c>
      <c r="N7236">
        <v>0</v>
      </c>
      <c r="O7236">
        <v>-0.20298069999999999</v>
      </c>
      <c r="P7236">
        <v>0.97357720000000003</v>
      </c>
      <c r="Q7236">
        <v>0.2008325</v>
      </c>
      <c r="R7236">
        <v>-0.1086907</v>
      </c>
      <c r="S7236">
        <v>3.086792</v>
      </c>
      <c r="T7236">
        <v>-0.18498919999999999</v>
      </c>
      <c r="U7236">
        <v>-0.29434199999999999</v>
      </c>
      <c r="V7236">
        <v>-9.1814049999999994E-2</v>
      </c>
      <c r="W7236">
        <v>0.2139963</v>
      </c>
      <c r="X7236">
        <v>0.97250999999999999</v>
      </c>
      <c r="Y7236">
        <v>-0.1085875</v>
      </c>
      <c r="Z7236">
        <v>1.5277890000000001E-2</v>
      </c>
      <c r="AA7236">
        <v>0.99396949999999995</v>
      </c>
      <c r="AB7236">
        <v>16</v>
      </c>
      <c r="AC7236">
        <v>18.485299999999899</v>
      </c>
      <c r="AD7236">
        <v>-1.111941629028</v>
      </c>
      <c r="AE7236">
        <v>-1.75673999999999</v>
      </c>
      <c r="AF7236">
        <v>-2.0250913220768401</v>
      </c>
      <c r="AG7236">
        <v>-1.111941629028</v>
      </c>
      <c r="AH7236">
        <v>18.391081158774099</v>
      </c>
      <c r="AI7236">
        <v>93.439206810739194</v>
      </c>
      <c r="AJ7236">
        <v>96.283677584752695</v>
      </c>
      <c r="AK7236">
        <v>18.535621792584401</v>
      </c>
      <c r="AL7236">
        <v>77.6433504978434</v>
      </c>
      <c r="AM7236">
        <v>95.393272336036802</v>
      </c>
      <c r="AN7236">
        <v>0.99999996814554504</v>
      </c>
    </row>
    <row r="7237" spans="1:40" x14ac:dyDescent="0.25">
      <c r="A7237" t="str">
        <f>"20190312172255615"</f>
        <v>20190312172255615</v>
      </c>
      <c r="B7237" t="str">
        <f>"1552382575607222"</f>
        <v>1552382575607222</v>
      </c>
      <c r="C7237" t="s">
        <v>40</v>
      </c>
      <c r="D7237">
        <v>3.5290059999999999</v>
      </c>
      <c r="E7237">
        <v>0.49828250000000002</v>
      </c>
      <c r="F7237" t="s">
        <v>42</v>
      </c>
      <c r="G7237">
        <v>-268.10719999999998</v>
      </c>
      <c r="H7237" s="1">
        <v>-3.6106280000000001E-6</v>
      </c>
      <c r="I7237">
        <v>-65.814019999999999</v>
      </c>
      <c r="J7237">
        <v>-286.58319999999998</v>
      </c>
      <c r="K7237">
        <v>1.1118969999999999</v>
      </c>
      <c r="L7237">
        <v>-64.052549999999997</v>
      </c>
      <c r="M7237">
        <v>0.9794389</v>
      </c>
      <c r="N7237">
        <v>0</v>
      </c>
      <c r="O7237">
        <v>-0.20127100000000001</v>
      </c>
      <c r="P7237">
        <v>0.97345910000000002</v>
      </c>
      <c r="Q7237">
        <v>0.20075419999999999</v>
      </c>
      <c r="R7237">
        <v>-0.10988630000000001</v>
      </c>
      <c r="S7237">
        <v>3.0866090000000002</v>
      </c>
      <c r="T7237">
        <v>-0.18503449999999999</v>
      </c>
      <c r="U7237">
        <v>-0.2952881</v>
      </c>
      <c r="V7237">
        <v>-8.8893479999999997E-2</v>
      </c>
      <c r="W7237">
        <v>0.2139287</v>
      </c>
      <c r="X7237">
        <v>0.9727962</v>
      </c>
      <c r="Y7237">
        <v>-0.1065504</v>
      </c>
      <c r="Z7237">
        <v>1.5121269999999999E-2</v>
      </c>
      <c r="AA7237">
        <v>0.99419230000000003</v>
      </c>
      <c r="AB7237">
        <v>16</v>
      </c>
      <c r="AC7237">
        <v>18.475999999999999</v>
      </c>
      <c r="AD7237">
        <v>-1.1119006106279901</v>
      </c>
      <c r="AE7237">
        <v>-1.7614700000000001</v>
      </c>
      <c r="AF7237">
        <v>-1.9864898627385299</v>
      </c>
      <c r="AG7237">
        <v>-1.1119006106279901</v>
      </c>
      <c r="AH7237">
        <v>18.3864029412224</v>
      </c>
      <c r="AI7237">
        <v>93.440719527286205</v>
      </c>
      <c r="AJ7237">
        <v>96.166388344340305</v>
      </c>
      <c r="AK7237">
        <v>18.526798915615998</v>
      </c>
      <c r="AL7237">
        <v>77.647315828182897</v>
      </c>
      <c r="AM7237">
        <v>95.221150523391998</v>
      </c>
      <c r="AN7237">
        <v>0.99999999310232002</v>
      </c>
    </row>
    <row r="7238" spans="1:40" x14ac:dyDescent="0.25">
      <c r="A7238" t="str">
        <f>"20190312172255626"</f>
        <v>20190312172255626</v>
      </c>
      <c r="B7238" t="str">
        <f>"1552382575617958"</f>
        <v>1552382575617958</v>
      </c>
      <c r="C7238" t="s">
        <v>40</v>
      </c>
      <c r="D7238">
        <v>3.501592</v>
      </c>
      <c r="E7238">
        <v>0.49833290000000002</v>
      </c>
      <c r="F7238" t="s">
        <v>42</v>
      </c>
      <c r="G7238">
        <v>-268.08969999999999</v>
      </c>
      <c r="H7238" s="1">
        <v>-3.6113169999999999E-6</v>
      </c>
      <c r="I7238">
        <v>-65.851590000000002</v>
      </c>
      <c r="J7238">
        <v>-286.5077</v>
      </c>
      <c r="K7238">
        <v>1.111856</v>
      </c>
      <c r="L7238">
        <v>-64.065979999999996</v>
      </c>
      <c r="M7238">
        <v>0.97979229999999995</v>
      </c>
      <c r="N7238">
        <v>0</v>
      </c>
      <c r="O7238">
        <v>-0.19954369999999999</v>
      </c>
      <c r="P7238">
        <v>0.97344750000000002</v>
      </c>
      <c r="Q7238">
        <v>0.2006193</v>
      </c>
      <c r="R7238">
        <v>-0.110236</v>
      </c>
      <c r="S7238">
        <v>3.086182</v>
      </c>
      <c r="T7238">
        <v>-0.18555269999999999</v>
      </c>
      <c r="U7238">
        <v>-0.3002319</v>
      </c>
      <c r="V7238">
        <v>-8.6806510000000003E-2</v>
      </c>
      <c r="W7238">
        <v>0.21380160000000001</v>
      </c>
      <c r="X7238">
        <v>0.97301260000000001</v>
      </c>
      <c r="Y7238">
        <v>-0.1032116</v>
      </c>
      <c r="Z7238">
        <v>1.496253E-2</v>
      </c>
      <c r="AA7238">
        <v>0.99454690000000001</v>
      </c>
      <c r="AB7238">
        <v>16</v>
      </c>
      <c r="AC7238">
        <v>18.417999999999999</v>
      </c>
      <c r="AD7238">
        <v>-1.1118596113169901</v>
      </c>
      <c r="AE7238">
        <v>-1.7856099999999899</v>
      </c>
      <c r="AF7238">
        <v>-1.91892325845522</v>
      </c>
      <c r="AG7238">
        <v>-1.1118596113169901</v>
      </c>
      <c r="AH7238">
        <v>18.337658591432099</v>
      </c>
      <c r="AI7238">
        <v>93.450946175867202</v>
      </c>
      <c r="AJ7238">
        <v>95.973909029296195</v>
      </c>
      <c r="AK7238">
        <v>18.471280975694199</v>
      </c>
      <c r="AL7238">
        <v>77.654770776369503</v>
      </c>
      <c r="AM7238">
        <v>95.098098372850103</v>
      </c>
      <c r="AN7238">
        <v>1.00000000704985</v>
      </c>
    </row>
    <row r="7239" spans="1:40" x14ac:dyDescent="0.25">
      <c r="A7239" t="str">
        <f>"20190312172255637"</f>
        <v>20190312172255637</v>
      </c>
      <c r="B7239" t="str">
        <f>"1552382575627717"</f>
        <v>1552382575627717</v>
      </c>
      <c r="C7239" t="s">
        <v>40</v>
      </c>
      <c r="D7239">
        <v>3.4534899999999999</v>
      </c>
      <c r="E7239">
        <v>0.49842180000000003</v>
      </c>
      <c r="F7239" t="s">
        <v>42</v>
      </c>
      <c r="G7239">
        <v>-268.12090000000001</v>
      </c>
      <c r="H7239" s="1">
        <v>-3.6245260000000001E-6</v>
      </c>
      <c r="I7239">
        <v>-65.866159999999994</v>
      </c>
      <c r="J7239">
        <v>-286.43299999999999</v>
      </c>
      <c r="K7239">
        <v>1.111818</v>
      </c>
      <c r="L7239">
        <v>-64.079160000000002</v>
      </c>
      <c r="M7239">
        <v>0.98013119999999998</v>
      </c>
      <c r="N7239">
        <v>0</v>
      </c>
      <c r="O7239">
        <v>-0.19787389999999999</v>
      </c>
      <c r="P7239">
        <v>0.97343860000000004</v>
      </c>
      <c r="Q7239">
        <v>0.20055010000000001</v>
      </c>
      <c r="R7239">
        <v>-0.1104402</v>
      </c>
      <c r="S7239">
        <v>3.0860599999999998</v>
      </c>
      <c r="T7239">
        <v>-0.18661610000000001</v>
      </c>
      <c r="U7239">
        <v>-0.30215449999999999</v>
      </c>
      <c r="V7239">
        <v>-8.4919659999999994E-2</v>
      </c>
      <c r="W7239">
        <v>0.21373780000000001</v>
      </c>
      <c r="X7239">
        <v>0.97319310000000003</v>
      </c>
      <c r="Y7239">
        <v>-0.1008999</v>
      </c>
      <c r="Z7239">
        <v>1.487979E-2</v>
      </c>
      <c r="AA7239">
        <v>0.99478529999999998</v>
      </c>
      <c r="AB7239">
        <v>16</v>
      </c>
      <c r="AC7239">
        <v>18.312099999999901</v>
      </c>
      <c r="AD7239">
        <v>-1.111821624526</v>
      </c>
      <c r="AE7239">
        <v>-1.7869999999999899</v>
      </c>
      <c r="AF7239">
        <v>-1.8653574312168599</v>
      </c>
      <c r="AG7239">
        <v>-1.111821624526</v>
      </c>
      <c r="AH7239">
        <v>18.2369953215835</v>
      </c>
      <c r="AI7239">
        <v>93.470665969166603</v>
      </c>
      <c r="AJ7239">
        <v>95.840145812465906</v>
      </c>
      <c r="AK7239">
        <v>18.3658297942243</v>
      </c>
      <c r="AL7239">
        <v>77.658512693425706</v>
      </c>
      <c r="AM7239">
        <v>94.986929450814202</v>
      </c>
      <c r="AN7239">
        <v>1.0000000028454801</v>
      </c>
    </row>
    <row r="7240" spans="1:40" x14ac:dyDescent="0.25">
      <c r="A7240" t="str">
        <f>"20190312172255648"</f>
        <v>20190312172255648</v>
      </c>
      <c r="B7240" t="str">
        <f>"1552382575637479"</f>
        <v>1552382575637479</v>
      </c>
      <c r="C7240" t="s">
        <v>40</v>
      </c>
      <c r="D7240">
        <v>3.5287510000000002</v>
      </c>
      <c r="E7240">
        <v>0.4984845</v>
      </c>
      <c r="F7240" t="s">
        <v>42</v>
      </c>
      <c r="G7240">
        <v>-268.09309999999999</v>
      </c>
      <c r="H7240" s="1">
        <v>-3.6184419999999998E-6</v>
      </c>
      <c r="I7240">
        <v>-65.885149999999996</v>
      </c>
      <c r="J7240">
        <v>-286.36059999999998</v>
      </c>
      <c r="K7240">
        <v>1.111782</v>
      </c>
      <c r="L7240">
        <v>-64.091890000000006</v>
      </c>
      <c r="M7240">
        <v>0.98044260000000005</v>
      </c>
      <c r="N7240">
        <v>0</v>
      </c>
      <c r="O7240">
        <v>-0.1963251</v>
      </c>
      <c r="P7240">
        <v>0.97347070000000002</v>
      </c>
      <c r="Q7240">
        <v>0.2004071</v>
      </c>
      <c r="R7240">
        <v>-0.1104175</v>
      </c>
      <c r="S7240">
        <v>3.0859380000000001</v>
      </c>
      <c r="T7240">
        <v>-0.18707979999999999</v>
      </c>
      <c r="U7240">
        <v>-0.303894</v>
      </c>
      <c r="V7240">
        <v>-8.3387050000000004E-2</v>
      </c>
      <c r="W7240">
        <v>0.2135995</v>
      </c>
      <c r="X7240">
        <v>0.973356</v>
      </c>
      <c r="Y7240">
        <v>-9.8772559999999995E-2</v>
      </c>
      <c r="Z7240">
        <v>1.47607E-2</v>
      </c>
      <c r="AA7240">
        <v>0.99500049999999995</v>
      </c>
      <c r="AB7240">
        <v>16</v>
      </c>
      <c r="AC7240">
        <v>18.267499999999899</v>
      </c>
      <c r="AD7240">
        <v>-1.1117856184420001</v>
      </c>
      <c r="AE7240">
        <v>-1.7932599999999801</v>
      </c>
      <c r="AF7240">
        <v>-1.82166957851457</v>
      </c>
      <c r="AG7240">
        <v>-1.1117856184420001</v>
      </c>
      <c r="AH7240">
        <v>18.197259720671799</v>
      </c>
      <c r="AI7240">
        <v>93.478870421398199</v>
      </c>
      <c r="AJ7240">
        <v>95.716652110284898</v>
      </c>
      <c r="AK7240">
        <v>18.321976112205999</v>
      </c>
      <c r="AL7240">
        <v>77.666624293965796</v>
      </c>
      <c r="AM7240">
        <v>94.896552615605302</v>
      </c>
      <c r="AN7240">
        <v>1.00000002462197</v>
      </c>
    </row>
    <row r="7241" spans="1:40" x14ac:dyDescent="0.25">
      <c r="A7241" t="str">
        <f>"20190312172255658"</f>
        <v>20190312172255658</v>
      </c>
      <c r="B7241" t="str">
        <f>"1552382575647238"</f>
        <v>1552382575647238</v>
      </c>
      <c r="C7241" t="s">
        <v>40</v>
      </c>
      <c r="D7241">
        <v>3.4761410000000001</v>
      </c>
      <c r="E7241">
        <v>0.49851450000000003</v>
      </c>
      <c r="F7241" t="s">
        <v>73</v>
      </c>
      <c r="G7241">
        <v>-268.1035</v>
      </c>
      <c r="H7241" s="1">
        <v>-3.623165E-6</v>
      </c>
      <c r="I7241">
        <v>-65.891900000000007</v>
      </c>
      <c r="J7241">
        <v>-286.28359999999998</v>
      </c>
      <c r="K7241">
        <v>1.1117440000000001</v>
      </c>
      <c r="L7241">
        <v>-64.105350000000001</v>
      </c>
      <c r="M7241">
        <v>0.98076739999999996</v>
      </c>
      <c r="N7241">
        <v>0</v>
      </c>
      <c r="O7241">
        <v>-0.1946967</v>
      </c>
      <c r="P7241">
        <v>0.97348800000000002</v>
      </c>
      <c r="Q7241">
        <v>0.20038410000000001</v>
      </c>
      <c r="R7241">
        <v>-0.1103063</v>
      </c>
      <c r="S7241">
        <v>3.0859380000000001</v>
      </c>
      <c r="T7241">
        <v>-0.18792120000000001</v>
      </c>
      <c r="U7241">
        <v>-0.30426029999999998</v>
      </c>
      <c r="V7241">
        <v>-8.1857970000000002E-2</v>
      </c>
      <c r="W7241">
        <v>0.21358079999999999</v>
      </c>
      <c r="X7241">
        <v>0.97348990000000002</v>
      </c>
      <c r="Y7241">
        <v>-9.7004320000000005E-2</v>
      </c>
      <c r="Z7241">
        <v>1.467628E-2</v>
      </c>
      <c r="AA7241">
        <v>0.9951757</v>
      </c>
      <c r="AB7241">
        <v>16</v>
      </c>
      <c r="AC7241">
        <v>18.1800999999999</v>
      </c>
      <c r="AD7241">
        <v>-1.1117476231649901</v>
      </c>
      <c r="AE7241">
        <v>-1.7865500000000001</v>
      </c>
      <c r="AF7241">
        <v>-1.7809875672653399</v>
      </c>
      <c r="AG7241">
        <v>-1.1117476231649901</v>
      </c>
      <c r="AH7241">
        <v>18.1129119852903</v>
      </c>
      <c r="AI7241">
        <v>93.495521214188003</v>
      </c>
      <c r="AJ7241">
        <v>95.615668444094794</v>
      </c>
      <c r="AK7241">
        <v>18.2341843820676</v>
      </c>
      <c r="AL7241">
        <v>77.667721168997602</v>
      </c>
      <c r="AM7241">
        <v>94.806530413342102</v>
      </c>
      <c r="AN7241">
        <v>1.0000000353915799</v>
      </c>
    </row>
    <row r="7242" spans="1:40" x14ac:dyDescent="0.25">
      <c r="A7242" t="str">
        <f>"20190312172255671"</f>
        <v>20190312172255671</v>
      </c>
      <c r="B7242" t="str">
        <f>"1552382575667733"</f>
        <v>1552382575667733</v>
      </c>
      <c r="C7242" t="s">
        <v>40</v>
      </c>
      <c r="D7242">
        <v>3.4968729999999999</v>
      </c>
      <c r="E7242">
        <v>0.49858469999999999</v>
      </c>
      <c r="F7242" t="s">
        <v>42</v>
      </c>
      <c r="G7242">
        <v>-268.03559999999999</v>
      </c>
      <c r="H7242" s="1">
        <v>-3.6022439999999999E-6</v>
      </c>
      <c r="I7242">
        <v>-65.9041</v>
      </c>
      <c r="J7242">
        <v>-286.20569999999998</v>
      </c>
      <c r="K7242">
        <v>1.1117060000000001</v>
      </c>
      <c r="L7242">
        <v>-64.118870000000001</v>
      </c>
      <c r="M7242">
        <v>0.98107520000000004</v>
      </c>
      <c r="N7242">
        <v>0</v>
      </c>
      <c r="O7242">
        <v>-0.19314129999999999</v>
      </c>
      <c r="P7242">
        <v>0.97351690000000002</v>
      </c>
      <c r="Q7242">
        <v>0.2005537</v>
      </c>
      <c r="R7242">
        <v>-0.10974150000000001</v>
      </c>
      <c r="S7242">
        <v>3.0859380000000001</v>
      </c>
      <c r="T7242">
        <v>-0.18800890000000001</v>
      </c>
      <c r="U7242">
        <v>-0.3041992</v>
      </c>
      <c r="V7242">
        <v>-8.0850329999999998E-2</v>
      </c>
      <c r="W7242">
        <v>0.21375179999999999</v>
      </c>
      <c r="X7242">
        <v>0.97353659999999997</v>
      </c>
      <c r="Y7242">
        <v>-9.5450599999999997E-2</v>
      </c>
      <c r="Z7242">
        <v>1.454333E-2</v>
      </c>
      <c r="AA7242">
        <v>0.99532790000000004</v>
      </c>
      <c r="AB7242">
        <v>16</v>
      </c>
      <c r="AC7242">
        <v>18.170099999999898</v>
      </c>
      <c r="AD7242">
        <v>-1.1117096022439901</v>
      </c>
      <c r="AE7242">
        <v>-1.7852299999999901</v>
      </c>
      <c r="AF7242">
        <v>-1.7516226696402799</v>
      </c>
      <c r="AG7242">
        <v>-1.1117096022439901</v>
      </c>
      <c r="AH7242">
        <v>18.105614621042101</v>
      </c>
      <c r="AI7242">
        <v>93.497340545579704</v>
      </c>
      <c r="AJ7242">
        <v>95.525867270665003</v>
      </c>
      <c r="AK7242">
        <v>18.224087385167302</v>
      </c>
      <c r="AL7242">
        <v>77.657692288910297</v>
      </c>
      <c r="AM7242">
        <v>94.7474093093807</v>
      </c>
      <c r="AN7242">
        <v>1.0000000597019501</v>
      </c>
    </row>
    <row r="7243" spans="1:40" x14ac:dyDescent="0.25">
      <c r="A7243" t="str">
        <f>"20190312172255682"</f>
        <v>20190312172255682</v>
      </c>
      <c r="B7243" t="str">
        <f>"1552382575677497"</f>
        <v>1552382575677497</v>
      </c>
      <c r="C7243" t="s">
        <v>40</v>
      </c>
      <c r="D7243">
        <v>3.5449670000000002</v>
      </c>
      <c r="E7243">
        <v>0.4984809</v>
      </c>
      <c r="F7243" t="s">
        <v>42</v>
      </c>
      <c r="G7243">
        <v>-267.96260000000001</v>
      </c>
      <c r="H7243" s="1">
        <v>-3.5783460000000001E-6</v>
      </c>
      <c r="I7243">
        <v>-65.909580000000005</v>
      </c>
      <c r="J7243">
        <v>-286.1327</v>
      </c>
      <c r="K7243">
        <v>1.1116729999999999</v>
      </c>
      <c r="L7243">
        <v>-64.131559999999993</v>
      </c>
      <c r="M7243">
        <v>0.98135810000000001</v>
      </c>
      <c r="N7243">
        <v>0</v>
      </c>
      <c r="O7243">
        <v>-0.1916988</v>
      </c>
      <c r="P7243">
        <v>0.97363750000000004</v>
      </c>
      <c r="Q7243">
        <v>0.20051450000000001</v>
      </c>
      <c r="R7243">
        <v>-0.1087395</v>
      </c>
      <c r="S7243">
        <v>3.0862120000000002</v>
      </c>
      <c r="T7243">
        <v>-0.1880686</v>
      </c>
      <c r="U7243">
        <v>-0.302948</v>
      </c>
      <c r="V7243">
        <v>-8.0403489999999994E-2</v>
      </c>
      <c r="W7243">
        <v>0.21371309999999999</v>
      </c>
      <c r="X7243">
        <v>0.97358199999999995</v>
      </c>
      <c r="Y7243">
        <v>-9.4399800000000006E-2</v>
      </c>
      <c r="Z7243">
        <v>1.44292E-2</v>
      </c>
      <c r="AA7243">
        <v>0.99542980000000003</v>
      </c>
      <c r="AB7243">
        <v>15</v>
      </c>
      <c r="AC7243">
        <v>18.170099999999898</v>
      </c>
      <c r="AD7243">
        <v>-1.1116765783460001</v>
      </c>
      <c r="AE7243">
        <v>-1.7780200000000099</v>
      </c>
      <c r="AF7243">
        <v>-1.73205341220252</v>
      </c>
      <c r="AG7243">
        <v>-1.1116765783460001</v>
      </c>
      <c r="AH7243">
        <v>18.106791792163499</v>
      </c>
      <c r="AI7243">
        <v>93.497371582957101</v>
      </c>
      <c r="AJ7243">
        <v>95.464154541390002</v>
      </c>
      <c r="AK7243">
        <v>18.223384505692799</v>
      </c>
      <c r="AL7243">
        <v>77.659960842168303</v>
      </c>
      <c r="AM7243">
        <v>94.721071308961996</v>
      </c>
      <c r="AN7243">
        <v>0.99999996051989404</v>
      </c>
    </row>
    <row r="7244" spans="1:40" x14ac:dyDescent="0.25">
      <c r="A7244" t="str">
        <f>"20190312172255694"</f>
        <v>20190312172255694</v>
      </c>
      <c r="B7244" t="str">
        <f>"1552382575687257"</f>
        <v>1552382575687257</v>
      </c>
      <c r="C7244" t="s">
        <v>40</v>
      </c>
      <c r="D7244">
        <v>3.4638960000000001</v>
      </c>
      <c r="E7244">
        <v>0.49841099999999999</v>
      </c>
      <c r="F7244" t="s">
        <v>42</v>
      </c>
      <c r="G7244">
        <v>-267.97230000000002</v>
      </c>
      <c r="H7244" s="1">
        <v>-3.5781519999999998E-6</v>
      </c>
      <c r="I7244">
        <v>-65.889780000000002</v>
      </c>
      <c r="J7244">
        <v>-286.05279999999999</v>
      </c>
      <c r="K7244">
        <v>1.111631</v>
      </c>
      <c r="L7244">
        <v>-64.145290000000003</v>
      </c>
      <c r="M7244">
        <v>0.98165020000000003</v>
      </c>
      <c r="N7244">
        <v>0</v>
      </c>
      <c r="O7244">
        <v>-0.1901969</v>
      </c>
      <c r="P7244">
        <v>0.97377610000000003</v>
      </c>
      <c r="Q7244">
        <v>0.20058609999999999</v>
      </c>
      <c r="R7244">
        <v>-0.107355199999999</v>
      </c>
      <c r="S7244">
        <v>3.0867610000000001</v>
      </c>
      <c r="T7244">
        <v>-0.18895419999999999</v>
      </c>
      <c r="U7244">
        <v>-0.29885859999999997</v>
      </c>
      <c r="V7244">
        <v>-8.0276420000000001E-2</v>
      </c>
      <c r="W7244">
        <v>0.2137839</v>
      </c>
      <c r="X7244">
        <v>0.97357700000000003</v>
      </c>
      <c r="Y7244">
        <v>-9.4198329999999997E-2</v>
      </c>
      <c r="Z7244">
        <v>1.439967E-2</v>
      </c>
      <c r="AA7244">
        <v>0.99544929999999998</v>
      </c>
      <c r="AB7244">
        <v>15</v>
      </c>
      <c r="AC7244">
        <v>18.080499999999901</v>
      </c>
      <c r="AD7244">
        <v>-1.1116345781520001</v>
      </c>
      <c r="AE7244">
        <v>-1.7444899999999901</v>
      </c>
      <c r="AF7244">
        <v>-1.7200962531275299</v>
      </c>
      <c r="AG7244">
        <v>-1.1116345781520001</v>
      </c>
      <c r="AH7244">
        <v>18.014753590302199</v>
      </c>
      <c r="AI7244">
        <v>93.515120768331798</v>
      </c>
      <c r="AJ7244">
        <v>95.454217215373902</v>
      </c>
      <c r="AK7244">
        <v>18.1307972652797</v>
      </c>
      <c r="AL7244">
        <v>77.655809041904604</v>
      </c>
      <c r="AM7244">
        <v>94.713667854022304</v>
      </c>
      <c r="AN7244">
        <v>1.00000001721811</v>
      </c>
    </row>
    <row r="7245" spans="1:40" x14ac:dyDescent="0.25">
      <c r="A7245" t="str">
        <f>"20190312172255705"</f>
        <v>20190312172255705</v>
      </c>
      <c r="B7245" t="str">
        <f>"1552382575697990"</f>
        <v>1552382575697990</v>
      </c>
      <c r="C7245" t="s">
        <v>40</v>
      </c>
      <c r="D7245">
        <v>3.473722</v>
      </c>
      <c r="E7245">
        <v>0.49837540000000002</v>
      </c>
      <c r="F7245" t="s">
        <v>42</v>
      </c>
      <c r="G7245">
        <v>-267.82619999999997</v>
      </c>
      <c r="H7245" s="1">
        <v>-3.5264529999999998E-6</v>
      </c>
      <c r="I7245">
        <v>-65.878680000000003</v>
      </c>
      <c r="J7245">
        <v>-285.97500000000002</v>
      </c>
      <c r="K7245">
        <v>1.1116029999999999</v>
      </c>
      <c r="L7245">
        <v>-64.158630000000002</v>
      </c>
      <c r="M7245">
        <v>0.98192599999999997</v>
      </c>
      <c r="N7245">
        <v>0</v>
      </c>
      <c r="O7245">
        <v>-0.18876950000000001</v>
      </c>
      <c r="P7245">
        <v>0.97396859999999996</v>
      </c>
      <c r="Q7245">
        <v>0.200346</v>
      </c>
      <c r="R7245">
        <v>-0.1060531</v>
      </c>
      <c r="S7245">
        <v>3.087189</v>
      </c>
      <c r="T7245">
        <v>-0.1882868</v>
      </c>
      <c r="U7245">
        <v>-0.29360960000000003</v>
      </c>
      <c r="V7245">
        <v>-8.0154929999999999E-2</v>
      </c>
      <c r="W7245">
        <v>0.2135436</v>
      </c>
      <c r="X7245">
        <v>0.9736397</v>
      </c>
      <c r="Y7245">
        <v>-9.4446959999999996E-2</v>
      </c>
      <c r="Z7245">
        <v>1.4270909999999999E-2</v>
      </c>
      <c r="AA7245">
        <v>0.99542759999999997</v>
      </c>
      <c r="AB7245">
        <v>15</v>
      </c>
      <c r="AC7245">
        <v>18.148800000000001</v>
      </c>
      <c r="AD7245">
        <v>-1.111606526453</v>
      </c>
      <c r="AE7245">
        <v>-1.7200500000000001</v>
      </c>
      <c r="AF7245">
        <v>-1.73070590511913</v>
      </c>
      <c r="AG7245">
        <v>-1.111606526453</v>
      </c>
      <c r="AH7245">
        <v>18.079948767592001</v>
      </c>
      <c r="AI7245">
        <v>93.502308639627003</v>
      </c>
      <c r="AJ7245">
        <v>95.467986403483806</v>
      </c>
      <c r="AK7245">
        <v>18.196580982108099</v>
      </c>
      <c r="AL7245">
        <v>77.6699021326165</v>
      </c>
      <c r="AM7245">
        <v>94.706264550760494</v>
      </c>
      <c r="AN7245">
        <v>0.99999997366017701</v>
      </c>
    </row>
    <row r="7246" spans="1:40" x14ac:dyDescent="0.25">
      <c r="A7246" t="str">
        <f>"20190312172255715"</f>
        <v>20190312172255715</v>
      </c>
      <c r="B7246" t="str">
        <f>"1552382575707751"</f>
        <v>1552382575707751</v>
      </c>
      <c r="C7246" t="s">
        <v>40</v>
      </c>
      <c r="D7246">
        <v>3.4432369999999999</v>
      </c>
      <c r="E7246">
        <v>0.49834000000000001</v>
      </c>
      <c r="F7246" t="s">
        <v>42</v>
      </c>
      <c r="G7246">
        <v>-267.78789999999998</v>
      </c>
      <c r="H7246" s="1">
        <v>-3.5098759999999998E-6</v>
      </c>
      <c r="I7246">
        <v>-65.858750000000001</v>
      </c>
      <c r="J7246">
        <v>-285.9042</v>
      </c>
      <c r="K7246">
        <v>1.111578</v>
      </c>
      <c r="L7246">
        <v>-64.170749999999998</v>
      </c>
      <c r="M7246">
        <v>0.98216809999999999</v>
      </c>
      <c r="N7246">
        <v>0</v>
      </c>
      <c r="O7246">
        <v>-0.18750549999999999</v>
      </c>
      <c r="P7246">
        <v>0.97426040000000003</v>
      </c>
      <c r="Q7246">
        <v>0.20000039999999999</v>
      </c>
      <c r="R7246">
        <v>-0.1040035</v>
      </c>
      <c r="S7246">
        <v>3.0875849999999998</v>
      </c>
      <c r="T7246">
        <v>-0.18871460000000001</v>
      </c>
      <c r="U7246">
        <v>-0.28863529999999998</v>
      </c>
      <c r="V7246">
        <v>-8.095231E-2</v>
      </c>
      <c r="W7246">
        <v>0.2131951</v>
      </c>
      <c r="X7246">
        <v>0.97365020000000002</v>
      </c>
      <c r="Y7246">
        <v>-9.4766660000000003E-2</v>
      </c>
      <c r="Z7246">
        <v>1.4237059999999999E-2</v>
      </c>
      <c r="AA7246">
        <v>0.99539770000000005</v>
      </c>
      <c r="AB7246">
        <v>15</v>
      </c>
      <c r="AC7246">
        <v>18.116299999999999</v>
      </c>
      <c r="AD7246">
        <v>-1.111581509876</v>
      </c>
      <c r="AE7246">
        <v>-1.6879999999999999</v>
      </c>
      <c r="AF7246">
        <v>-1.7327020447099799</v>
      </c>
      <c r="AG7246">
        <v>-1.111581509876</v>
      </c>
      <c r="AH7246">
        <v>18.0441113199591</v>
      </c>
      <c r="AI7246">
        <v>93.509068428414807</v>
      </c>
      <c r="AJ7246">
        <v>95.485060899039297</v>
      </c>
      <c r="AK7246">
        <v>18.161162494617901</v>
      </c>
      <c r="AL7246">
        <v>77.690341571256795</v>
      </c>
      <c r="AM7246">
        <v>94.752817944232802</v>
      </c>
      <c r="AN7246">
        <v>1.00000006955919</v>
      </c>
    </row>
    <row r="7247" spans="1:40" x14ac:dyDescent="0.25">
      <c r="A7247" t="str">
        <f>"20190312172255727"</f>
        <v>20190312172255727</v>
      </c>
      <c r="B7247" t="str">
        <f>"1552382575717510"</f>
        <v>1552382575717510</v>
      </c>
      <c r="C7247" t="s">
        <v>40</v>
      </c>
      <c r="D7247">
        <v>3.4371130000000001</v>
      </c>
      <c r="E7247">
        <v>0.49834000000000001</v>
      </c>
      <c r="F7247" t="s">
        <v>42</v>
      </c>
      <c r="G7247">
        <v>-267.84269999999998</v>
      </c>
      <c r="H7247" s="1">
        <v>-3.5214350000000002E-6</v>
      </c>
      <c r="I7247">
        <v>-65.818629999999999</v>
      </c>
      <c r="J7247">
        <v>-285.82819999999998</v>
      </c>
      <c r="K7247">
        <v>1.1115520000000001</v>
      </c>
      <c r="L7247">
        <v>-64.18365</v>
      </c>
      <c r="M7247">
        <v>0.9824195</v>
      </c>
      <c r="N7247">
        <v>0</v>
      </c>
      <c r="O7247">
        <v>-0.1861843</v>
      </c>
      <c r="P7247">
        <v>0.97454540000000001</v>
      </c>
      <c r="Q7247">
        <v>0.19989299999999999</v>
      </c>
      <c r="R7247">
        <v>-0.1015098</v>
      </c>
      <c r="S7247">
        <v>3.0881959999999999</v>
      </c>
      <c r="T7247">
        <v>-0.1900607</v>
      </c>
      <c r="U7247">
        <v>-0.28176879999999999</v>
      </c>
      <c r="V7247">
        <v>-8.2129869999999994E-2</v>
      </c>
      <c r="W7247">
        <v>0.2130823</v>
      </c>
      <c r="X7247">
        <v>0.9735762</v>
      </c>
      <c r="Y7247">
        <v>-9.5633850000000006E-2</v>
      </c>
      <c r="Z7247">
        <v>1.428463E-2</v>
      </c>
      <c r="AA7247">
        <v>0.99531409999999998</v>
      </c>
      <c r="AB7247">
        <v>15</v>
      </c>
      <c r="AC7247">
        <v>17.985499999999998</v>
      </c>
      <c r="AD7247">
        <v>-1.1115555214349999</v>
      </c>
      <c r="AE7247">
        <v>-1.6349799999999901</v>
      </c>
      <c r="AF7247">
        <v>-1.73596836873531</v>
      </c>
      <c r="AG7247">
        <v>-1.1115555214349999</v>
      </c>
      <c r="AH7247">
        <v>17.907558282826098</v>
      </c>
      <c r="AI7247">
        <v>93.535368204165295</v>
      </c>
      <c r="AJ7247">
        <v>95.536982515032705</v>
      </c>
      <c r="AK7247">
        <v>18.0258088724832</v>
      </c>
      <c r="AL7247">
        <v>77.696955660241301</v>
      </c>
      <c r="AM7247">
        <v>94.821995193525296</v>
      </c>
      <c r="AN7247">
        <v>0.99999999966297304</v>
      </c>
    </row>
    <row r="7248" spans="1:40" x14ac:dyDescent="0.25">
      <c r="A7248" t="str">
        <f>"20190312172255738"</f>
        <v>20190312172255738</v>
      </c>
      <c r="B7248" t="str">
        <f>"1552382575727272"</f>
        <v>1552382575727272</v>
      </c>
      <c r="C7248" t="s">
        <v>40</v>
      </c>
      <c r="D7248">
        <v>3.4240650000000001</v>
      </c>
      <c r="E7248">
        <v>0.47282429999999998</v>
      </c>
      <c r="F7248" t="s">
        <v>42</v>
      </c>
      <c r="G7248">
        <v>-267.79590000000002</v>
      </c>
      <c r="H7248" s="1">
        <v>-3.4991110000000002E-6</v>
      </c>
      <c r="I7248">
        <v>-65.782709999999994</v>
      </c>
      <c r="J7248">
        <v>-285.75540000000001</v>
      </c>
      <c r="K7248">
        <v>1.1115330000000001</v>
      </c>
      <c r="L7248">
        <v>-64.195949999999996</v>
      </c>
      <c r="M7248">
        <v>0.98265480000000005</v>
      </c>
      <c r="N7248">
        <v>0</v>
      </c>
      <c r="O7248">
        <v>-0.1849394</v>
      </c>
      <c r="P7248">
        <v>0.97473699999999996</v>
      </c>
      <c r="Q7248">
        <v>0.19992670000000001</v>
      </c>
      <c r="R7248">
        <v>-9.95838E-2</v>
      </c>
      <c r="S7248">
        <v>3.0888979999999999</v>
      </c>
      <c r="T7248">
        <v>-0.19040660000000001</v>
      </c>
      <c r="U7248">
        <v>-0.2739258</v>
      </c>
      <c r="V7248">
        <v>-8.2811739999999995E-2</v>
      </c>
      <c r="W7248">
        <v>0.2131112</v>
      </c>
      <c r="X7248">
        <v>0.97351209999999999</v>
      </c>
      <c r="Y7248">
        <v>-9.6898059999999994E-2</v>
      </c>
      <c r="Z7248">
        <v>1.4273299999999999E-2</v>
      </c>
      <c r="AA7248">
        <v>0.99519190000000002</v>
      </c>
      <c r="AB7248">
        <v>15</v>
      </c>
      <c r="AC7248">
        <v>17.959499999999899</v>
      </c>
      <c r="AD7248">
        <v>-1.1115364991109999</v>
      </c>
      <c r="AE7248">
        <v>-1.58675999999999</v>
      </c>
      <c r="AF7248">
        <v>-1.75567350677866</v>
      </c>
      <c r="AG7248">
        <v>-1.1115364991109999</v>
      </c>
      <c r="AH7248">
        <v>17.875179671646102</v>
      </c>
      <c r="AI7248">
        <v>93.541258974319007</v>
      </c>
      <c r="AJ7248">
        <v>95.6095141469238</v>
      </c>
      <c r="AK7248">
        <v>17.995553649301598</v>
      </c>
      <c r="AL7248">
        <v>77.695260743673003</v>
      </c>
      <c r="AM7248">
        <v>94.862156507435103</v>
      </c>
      <c r="AN7248">
        <v>0.99999998834683801</v>
      </c>
    </row>
    <row r="7249" spans="1:40" x14ac:dyDescent="0.25">
      <c r="A7249" t="str">
        <f>"20190312172255748"</f>
        <v>20190312172255748</v>
      </c>
      <c r="B7249" t="str">
        <f>"1552382575738007"</f>
        <v>1552382575738007</v>
      </c>
      <c r="C7249" t="s">
        <v>40</v>
      </c>
      <c r="D7249">
        <v>3.3659970000000001</v>
      </c>
      <c r="E7249">
        <v>0.4670705</v>
      </c>
      <c r="F7249" t="s">
        <v>42</v>
      </c>
      <c r="G7249">
        <v>-266.86959999999999</v>
      </c>
      <c r="H7249" s="1">
        <v>-2.972578E-6</v>
      </c>
      <c r="I7249">
        <v>-64.591350000000006</v>
      </c>
      <c r="J7249">
        <v>-285.68259999999998</v>
      </c>
      <c r="K7249">
        <v>1.111521</v>
      </c>
      <c r="L7249">
        <v>-64.208159999999907</v>
      </c>
      <c r="M7249">
        <v>0.98288180000000003</v>
      </c>
      <c r="N7249">
        <v>0</v>
      </c>
      <c r="O7249">
        <v>-0.18372939999999999</v>
      </c>
      <c r="P7249">
        <v>0.9750122</v>
      </c>
      <c r="Q7249">
        <v>0.19977030000000001</v>
      </c>
      <c r="R7249">
        <v>-9.7176490000000004E-2</v>
      </c>
      <c r="S7249">
        <v>3.1086429999999998</v>
      </c>
      <c r="T7249">
        <v>-0.18296119999999999</v>
      </c>
      <c r="U7249">
        <v>-6.5093990000000004E-2</v>
      </c>
      <c r="V7249">
        <v>-8.4020739999999997E-2</v>
      </c>
      <c r="W7249">
        <v>0.21294769999999999</v>
      </c>
      <c r="X7249">
        <v>0.97344430000000004</v>
      </c>
      <c r="Y7249">
        <v>-0.16253190000000001</v>
      </c>
      <c r="Z7249">
        <v>1.553068E-2</v>
      </c>
      <c r="AA7249">
        <v>0.98658100000000004</v>
      </c>
      <c r="AB7249">
        <v>15</v>
      </c>
      <c r="AC7249">
        <v>18.812999999999899</v>
      </c>
      <c r="AD7249">
        <v>-1.111523972578</v>
      </c>
      <c r="AE7249">
        <v>-0.38319000000001302</v>
      </c>
      <c r="AF7249">
        <v>-3.0694482383445201</v>
      </c>
      <c r="AG7249">
        <v>-1.111523972578</v>
      </c>
      <c r="AH7249">
        <v>18.498545703052201</v>
      </c>
      <c r="AI7249">
        <v>93.392330899862898</v>
      </c>
      <c r="AJ7249">
        <v>99.421203599774401</v>
      </c>
      <c r="AK7249">
        <v>18.784386898629499</v>
      </c>
      <c r="AL7249">
        <v>77.704848913523094</v>
      </c>
      <c r="AM7249">
        <v>94.933135103851896</v>
      </c>
      <c r="AN7249">
        <v>1.00000000644396</v>
      </c>
    </row>
    <row r="7250" spans="1:40" x14ac:dyDescent="0.25">
      <c r="A7250" t="str">
        <f>"20190312172255761"</f>
        <v>20190312172255761</v>
      </c>
      <c r="B7250" t="str">
        <f>"1552382575757526"</f>
        <v>1552382575757526</v>
      </c>
      <c r="C7250" t="s">
        <v>40</v>
      </c>
      <c r="D7250">
        <v>3.4222579999999998</v>
      </c>
      <c r="E7250">
        <v>0.46160099999999998</v>
      </c>
      <c r="F7250" t="s">
        <v>42</v>
      </c>
      <c r="G7250">
        <v>-264.87090000000001</v>
      </c>
      <c r="H7250" s="1">
        <v>-2.132748E-6</v>
      </c>
      <c r="I7250">
        <v>-64.284279999999995</v>
      </c>
      <c r="J7250">
        <v>-285.60250000000002</v>
      </c>
      <c r="K7250">
        <v>1.1115090000000001</v>
      </c>
      <c r="L7250">
        <v>-64.221590000000006</v>
      </c>
      <c r="M7250">
        <v>0.98312809999999995</v>
      </c>
      <c r="N7250">
        <v>0</v>
      </c>
      <c r="O7250">
        <v>-0.18240770000000001</v>
      </c>
      <c r="P7250">
        <v>0.97523289999999996</v>
      </c>
      <c r="Q7250">
        <v>0.19975100000000001</v>
      </c>
      <c r="R7250">
        <v>-9.497448E-2</v>
      </c>
      <c r="S7250">
        <v>3.1098020000000002</v>
      </c>
      <c r="T7250">
        <v>-0.1660904</v>
      </c>
      <c r="U7250">
        <v>-1.138306E-2</v>
      </c>
      <c r="V7250">
        <v>-8.4908750000000005E-2</v>
      </c>
      <c r="W7250">
        <v>0.21291930000000001</v>
      </c>
      <c r="X7250">
        <v>0.9733735</v>
      </c>
      <c r="Y7250">
        <v>-0.17831269999999999</v>
      </c>
      <c r="Z7250">
        <v>1.4452370000000001E-2</v>
      </c>
      <c r="AA7250">
        <v>0.98386770000000001</v>
      </c>
      <c r="AB7250">
        <v>15</v>
      </c>
      <c r="AC7250">
        <v>20.7316</v>
      </c>
      <c r="AD7250">
        <v>-1.1115111327480001</v>
      </c>
      <c r="AE7250">
        <v>-6.2690000000003396E-2</v>
      </c>
      <c r="AF7250">
        <v>-3.70965494100937</v>
      </c>
      <c r="AG7250">
        <v>-1.1115111327480001</v>
      </c>
      <c r="AH7250">
        <v>20.336699043609698</v>
      </c>
      <c r="AI7250">
        <v>93.077727921655097</v>
      </c>
      <c r="AJ7250">
        <v>100.337769360892</v>
      </c>
      <c r="AK7250">
        <v>20.702133338618399</v>
      </c>
      <c r="AL7250">
        <v>77.706514816992893</v>
      </c>
      <c r="AM7250">
        <v>94.985372512680499</v>
      </c>
      <c r="AN7250">
        <v>1.0000000473206501</v>
      </c>
    </row>
    <row r="7251" spans="1:40" x14ac:dyDescent="0.25">
      <c r="A7251" t="str">
        <f>"20190312172255772"</f>
        <v>20190312172255772</v>
      </c>
      <c r="B7251" t="str">
        <f>"1552382575767286"</f>
        <v>1552382575767286</v>
      </c>
      <c r="C7251" t="s">
        <v>40</v>
      </c>
      <c r="D7251">
        <v>3.4304429999999999</v>
      </c>
      <c r="E7251">
        <v>0.46027990000000002</v>
      </c>
      <c r="F7251" t="s">
        <v>42</v>
      </c>
      <c r="G7251">
        <v>-263.96910000000003</v>
      </c>
      <c r="H7251" s="1">
        <v>-1.656187E-6</v>
      </c>
      <c r="I7251">
        <v>-63.947290000000002</v>
      </c>
      <c r="J7251">
        <v>-285.52719999999999</v>
      </c>
      <c r="K7251">
        <v>1.111507</v>
      </c>
      <c r="L7251">
        <v>-64.234069999999903</v>
      </c>
      <c r="M7251">
        <v>0.98335289999999997</v>
      </c>
      <c r="N7251">
        <v>0</v>
      </c>
      <c r="O7251">
        <v>-0.18119270000000001</v>
      </c>
      <c r="P7251">
        <v>0.97531860000000004</v>
      </c>
      <c r="Q7251">
        <v>0.20017769999999999</v>
      </c>
      <c r="R7251">
        <v>-9.3182119999999993E-2</v>
      </c>
      <c r="S7251">
        <v>3.1127929999999999</v>
      </c>
      <c r="T7251">
        <v>-0.159933299999999</v>
      </c>
      <c r="U7251">
        <v>3.9459229999999998E-2</v>
      </c>
      <c r="V7251">
        <v>-8.548335E-2</v>
      </c>
      <c r="W7251">
        <v>0.21333199999999999</v>
      </c>
      <c r="X7251">
        <v>0.97323269999999995</v>
      </c>
      <c r="Y7251">
        <v>-0.1931686</v>
      </c>
      <c r="Z7251">
        <v>1.422671E-2</v>
      </c>
      <c r="AA7251">
        <v>0.9810624</v>
      </c>
      <c r="AB7251">
        <v>15</v>
      </c>
      <c r="AC7251">
        <v>21.5580999999999</v>
      </c>
      <c r="AD7251">
        <v>-1.111508656187</v>
      </c>
      <c r="AE7251">
        <v>0.28677999999998599</v>
      </c>
      <c r="AF7251">
        <v>-4.1774634255647403</v>
      </c>
      <c r="AG7251">
        <v>-1.111508656187</v>
      </c>
      <c r="AH7251">
        <v>21.0931654998234</v>
      </c>
      <c r="AI7251">
        <v>92.959054514038101</v>
      </c>
      <c r="AJ7251">
        <v>101.20236338357699</v>
      </c>
      <c r="AK7251">
        <v>21.531564805365399</v>
      </c>
      <c r="AL7251">
        <v>77.682311171311596</v>
      </c>
      <c r="AM7251">
        <v>95.019660497835005</v>
      </c>
      <c r="AN7251">
        <v>0.99999991685025202</v>
      </c>
    </row>
    <row r="7252" spans="1:40" x14ac:dyDescent="0.25">
      <c r="A7252" t="str">
        <f>"20190312172255782"</f>
        <v>20190312172255782</v>
      </c>
      <c r="B7252" t="str">
        <f>"1552382575778022"</f>
        <v>1552382575778022</v>
      </c>
      <c r="C7252" t="s">
        <v>40</v>
      </c>
      <c r="D7252">
        <v>3.4084189999999999</v>
      </c>
      <c r="E7252">
        <v>0.45941009999999999</v>
      </c>
      <c r="F7252" t="s">
        <v>42</v>
      </c>
      <c r="G7252">
        <v>-263.32729999999998</v>
      </c>
      <c r="H7252" s="1">
        <v>-1.3503950000000001E-6</v>
      </c>
      <c r="I7252">
        <v>-63.832729999999998</v>
      </c>
      <c r="J7252">
        <v>-285.4529</v>
      </c>
      <c r="K7252">
        <v>1.1115109999999999</v>
      </c>
      <c r="L7252">
        <v>-64.246369999999999</v>
      </c>
      <c r="M7252">
        <v>0.98357269999999997</v>
      </c>
      <c r="N7252">
        <v>0</v>
      </c>
      <c r="O7252">
        <v>-0.1799965</v>
      </c>
      <c r="P7252">
        <v>0.9754005</v>
      </c>
      <c r="Q7252">
        <v>0.20049449999999999</v>
      </c>
      <c r="R7252">
        <v>-9.1628979999999999E-2</v>
      </c>
      <c r="S7252">
        <v>3.1132810000000002</v>
      </c>
      <c r="T7252">
        <v>-0.1558763</v>
      </c>
      <c r="U7252">
        <v>5.6274409999999997E-2</v>
      </c>
      <c r="V7252">
        <v>-8.5841860000000006E-2</v>
      </c>
      <c r="W7252">
        <v>0.21363389999999999</v>
      </c>
      <c r="X7252">
        <v>0.97313499999999997</v>
      </c>
      <c r="Y7252">
        <v>-0.1972903</v>
      </c>
      <c r="Z7252">
        <v>1.39086E-2</v>
      </c>
      <c r="AA7252">
        <v>0.98024639999999996</v>
      </c>
      <c r="AB7252">
        <v>15</v>
      </c>
      <c r="AC7252">
        <v>22.125599999999999</v>
      </c>
      <c r="AD7252">
        <v>-1.111512350395</v>
      </c>
      <c r="AE7252">
        <v>0.41363999999999301</v>
      </c>
      <c r="AF7252">
        <v>-4.3787370724890602</v>
      </c>
      <c r="AG7252">
        <v>-1.111512350395</v>
      </c>
      <c r="AH7252">
        <v>21.635118091479701</v>
      </c>
      <c r="AI7252">
        <v>92.882661163513006</v>
      </c>
      <c r="AJ7252">
        <v>101.441555909656</v>
      </c>
      <c r="AK7252">
        <v>22.1017450190555</v>
      </c>
      <c r="AL7252">
        <v>77.664606418168205</v>
      </c>
      <c r="AM7252">
        <v>95.041107757231003</v>
      </c>
      <c r="AN7252">
        <v>0.99999999819123397</v>
      </c>
    </row>
    <row r="7253" spans="1:40" x14ac:dyDescent="0.25">
      <c r="A7253" t="str">
        <f>"20190312172255794"</f>
        <v>20190312172255794</v>
      </c>
      <c r="B7253" t="str">
        <f>"1552382575787782"</f>
        <v>1552382575787782</v>
      </c>
      <c r="C7253" t="s">
        <v>40</v>
      </c>
      <c r="D7253">
        <v>3.4044050000000001</v>
      </c>
      <c r="E7253">
        <v>0.45818609999999999</v>
      </c>
      <c r="F7253" t="s">
        <v>42</v>
      </c>
      <c r="G7253">
        <v>-262.82299999999998</v>
      </c>
      <c r="H7253" s="1">
        <v>-1.1112930000000001E-6</v>
      </c>
      <c r="I7253">
        <v>-63.747239999999998</v>
      </c>
      <c r="J7253">
        <v>-285.37279999999998</v>
      </c>
      <c r="K7253">
        <v>1.111531</v>
      </c>
      <c r="L7253">
        <v>-64.25949</v>
      </c>
      <c r="M7253">
        <v>0.98380579999999995</v>
      </c>
      <c r="N7253">
        <v>0</v>
      </c>
      <c r="O7253">
        <v>-0.17871870000000001</v>
      </c>
      <c r="P7253">
        <v>0.97556980000000004</v>
      </c>
      <c r="Q7253">
        <v>0.200433</v>
      </c>
      <c r="R7253">
        <v>-8.9944880000000005E-2</v>
      </c>
      <c r="S7253">
        <v>3.113556</v>
      </c>
      <c r="T7253">
        <v>-0.15292819999999999</v>
      </c>
      <c r="U7253">
        <v>6.8664550000000005E-2</v>
      </c>
      <c r="V7253">
        <v>-8.6269380000000007E-2</v>
      </c>
      <c r="W7253">
        <v>0.2135533</v>
      </c>
      <c r="X7253">
        <v>0.9731149</v>
      </c>
      <c r="Y7253">
        <v>-0.19992989999999999</v>
      </c>
      <c r="Z7253">
        <v>1.3647690000000001E-2</v>
      </c>
      <c r="AA7253">
        <v>0.97971520000000001</v>
      </c>
      <c r="AB7253">
        <v>15</v>
      </c>
      <c r="AC7253">
        <v>22.549800000000001</v>
      </c>
      <c r="AD7253">
        <v>-1.1115321112929999</v>
      </c>
      <c r="AE7253">
        <v>0.51224999999999399</v>
      </c>
      <c r="AF7253">
        <v>-4.5234615361298403</v>
      </c>
      <c r="AG7253">
        <v>-1.1115321112929999</v>
      </c>
      <c r="AH7253">
        <v>22.041600229931401</v>
      </c>
      <c r="AI7253">
        <v>92.828071772883703</v>
      </c>
      <c r="AJ7253">
        <v>101.59743277728499</v>
      </c>
      <c r="AK7253">
        <v>22.5284120301319</v>
      </c>
      <c r="AL7253">
        <v>77.669333736259304</v>
      </c>
      <c r="AM7253">
        <v>95.066187858168902</v>
      </c>
      <c r="AN7253">
        <v>1.0000000132342399</v>
      </c>
    </row>
    <row r="7254" spans="1:40" x14ac:dyDescent="0.25">
      <c r="A7254" t="str">
        <f>"20190312172255805"</f>
        <v>20190312172255805</v>
      </c>
      <c r="B7254" t="str">
        <f>"1552382575797543"</f>
        <v>1552382575797543</v>
      </c>
      <c r="C7254" t="s">
        <v>40</v>
      </c>
      <c r="D7254">
        <v>3.3885339999999902</v>
      </c>
      <c r="E7254">
        <v>0.45791539999999997</v>
      </c>
      <c r="F7254" t="s">
        <v>42</v>
      </c>
      <c r="G7254">
        <v>-262.85199999999998</v>
      </c>
      <c r="H7254" s="1">
        <v>-1.096899E-6</v>
      </c>
      <c r="I7254">
        <v>-63.646410000000003</v>
      </c>
      <c r="J7254">
        <v>-285.30220000000003</v>
      </c>
      <c r="K7254">
        <v>1.1115469999999901</v>
      </c>
      <c r="L7254">
        <v>-64.270969999999906</v>
      </c>
      <c r="M7254">
        <v>0.98400989999999999</v>
      </c>
      <c r="N7254">
        <v>0</v>
      </c>
      <c r="O7254">
        <v>-0.17759369999999999</v>
      </c>
      <c r="P7254">
        <v>0.97560049999999998</v>
      </c>
      <c r="Q7254">
        <v>0.20089009999999999</v>
      </c>
      <c r="R7254">
        <v>-8.8582469999999996E-2</v>
      </c>
      <c r="S7254">
        <v>3.1145320000000001</v>
      </c>
      <c r="T7254">
        <v>-0.1537201</v>
      </c>
      <c r="U7254">
        <v>8.4777829999999998E-2</v>
      </c>
      <c r="V7254">
        <v>-8.6509150000000007E-2</v>
      </c>
      <c r="W7254">
        <v>0.21398980000000001</v>
      </c>
      <c r="X7254">
        <v>0.97299769999999997</v>
      </c>
      <c r="Y7254">
        <v>-0.20385890000000001</v>
      </c>
      <c r="Z7254">
        <v>1.375612E-2</v>
      </c>
      <c r="AA7254">
        <v>0.97890370000000004</v>
      </c>
      <c r="AB7254">
        <v>15</v>
      </c>
      <c r="AC7254">
        <v>22.450199999999899</v>
      </c>
      <c r="AD7254">
        <v>-1.1115480968989999</v>
      </c>
      <c r="AE7254">
        <v>0.62455999999999501</v>
      </c>
      <c r="AF7254">
        <v>-4.5907678452772798</v>
      </c>
      <c r="AG7254">
        <v>-1.1115480968989999</v>
      </c>
      <c r="AH7254">
        <v>21.928620050816701</v>
      </c>
      <c r="AI7254">
        <v>92.840332806264001</v>
      </c>
      <c r="AJ7254">
        <v>101.82413334789599</v>
      </c>
      <c r="AK7254">
        <v>22.431564054118699</v>
      </c>
      <c r="AL7254">
        <v>77.643732100109403</v>
      </c>
      <c r="AM7254">
        <v>95.080803541692404</v>
      </c>
      <c r="AN7254">
        <v>0.99999999587152599</v>
      </c>
    </row>
    <row r="7255" spans="1:40" x14ac:dyDescent="0.25">
      <c r="A7255" t="str">
        <f>"20190312172255816"</f>
        <v>20190312172255816</v>
      </c>
      <c r="B7255" t="str">
        <f>"1552382575807302"</f>
        <v>1552382575807302</v>
      </c>
      <c r="C7255" t="s">
        <v>40</v>
      </c>
      <c r="D7255">
        <v>3.3903029999999998</v>
      </c>
      <c r="E7255">
        <v>0.45782719999999999</v>
      </c>
      <c r="F7255" t="s">
        <v>42</v>
      </c>
      <c r="G7255">
        <v>-262.47449999999998</v>
      </c>
      <c r="H7255" s="1">
        <v>-9.2169510000000001E-7</v>
      </c>
      <c r="I7255">
        <v>-63.596539999999997</v>
      </c>
      <c r="J7255">
        <v>-285.2296</v>
      </c>
      <c r="K7255">
        <v>1.111567</v>
      </c>
      <c r="L7255">
        <v>-64.282679999999999</v>
      </c>
      <c r="M7255">
        <v>0.98421789999999998</v>
      </c>
      <c r="N7255">
        <v>0</v>
      </c>
      <c r="O7255">
        <v>-0.1764387</v>
      </c>
      <c r="P7255">
        <v>0.97575389999999995</v>
      </c>
      <c r="Q7255">
        <v>0.20071710000000001</v>
      </c>
      <c r="R7255">
        <v>-8.7278869999999995E-2</v>
      </c>
      <c r="S7255">
        <v>3.1146240000000001</v>
      </c>
      <c r="T7255">
        <v>-0.15166060000000001</v>
      </c>
      <c r="U7255">
        <v>9.2010499999999995E-2</v>
      </c>
      <c r="V7255">
        <v>-8.6685059999999994E-2</v>
      </c>
      <c r="W7255">
        <v>0.2137956</v>
      </c>
      <c r="X7255">
        <v>0.97302469999999996</v>
      </c>
      <c r="Y7255">
        <v>-0.2049928</v>
      </c>
      <c r="Z7255">
        <v>1.3543629999999999E-2</v>
      </c>
      <c r="AA7255">
        <v>0.97866980000000003</v>
      </c>
      <c r="AB7255">
        <v>15</v>
      </c>
      <c r="AC7255">
        <v>22.755099999999999</v>
      </c>
      <c r="AD7255">
        <v>-1.1115679216951</v>
      </c>
      <c r="AE7255">
        <v>0.68613999999999398</v>
      </c>
      <c r="AF7255">
        <v>-4.6794680862759099</v>
      </c>
      <c r="AG7255">
        <v>-1.1115679216951</v>
      </c>
      <c r="AH7255">
        <v>22.2239867082796</v>
      </c>
      <c r="AI7255">
        <v>92.802013894694198</v>
      </c>
      <c r="AJ7255">
        <v>101.890470150585</v>
      </c>
      <c r="AK7255">
        <v>22.7384825796447</v>
      </c>
      <c r="AL7255">
        <v>77.655122129500498</v>
      </c>
      <c r="AM7255">
        <v>95.090940214565705</v>
      </c>
      <c r="AN7255">
        <v>0.99999996250832601</v>
      </c>
    </row>
    <row r="7256" spans="1:40" x14ac:dyDescent="0.25">
      <c r="A7256" t="str">
        <f>"20190312172255827"</f>
        <v>20190312172255827</v>
      </c>
      <c r="B7256" t="str">
        <f>"1552382575818039"</f>
        <v>1552382575818039</v>
      </c>
      <c r="C7256" t="s">
        <v>40</v>
      </c>
      <c r="D7256">
        <v>3.4040490000000001</v>
      </c>
      <c r="E7256">
        <v>0.45776709999999898</v>
      </c>
      <c r="F7256" t="s">
        <v>42</v>
      </c>
      <c r="G7256">
        <v>-262.49590000000001</v>
      </c>
      <c r="H7256" s="1">
        <v>-9.2394450000000002E-7</v>
      </c>
      <c r="I7256">
        <v>-63.570489999999999</v>
      </c>
      <c r="J7256">
        <v>-285.15480000000002</v>
      </c>
      <c r="K7256">
        <v>1.1115919999999999</v>
      </c>
      <c r="L7256">
        <v>-64.294650000000004</v>
      </c>
      <c r="M7256">
        <v>0.98443199999999997</v>
      </c>
      <c r="N7256">
        <v>0</v>
      </c>
      <c r="O7256">
        <v>-0.17524129999999999</v>
      </c>
      <c r="P7256">
        <v>0.97589610000000004</v>
      </c>
      <c r="Q7256">
        <v>0.20060510000000001</v>
      </c>
      <c r="R7256">
        <v>-8.5934499999999997E-2</v>
      </c>
      <c r="S7256">
        <v>3.1145939999999999</v>
      </c>
      <c r="T7256">
        <v>-0.15228829999999999</v>
      </c>
      <c r="U7256">
        <v>9.7564700000000004E-2</v>
      </c>
      <c r="V7256">
        <v>-8.6859370000000005E-2</v>
      </c>
      <c r="W7256">
        <v>0.21365999999999999</v>
      </c>
      <c r="X7256">
        <v>0.97303899999999999</v>
      </c>
      <c r="Y7256">
        <v>-0.20554320000000001</v>
      </c>
      <c r="Z7256">
        <v>1.3555279999999999E-2</v>
      </c>
      <c r="AA7256">
        <v>0.97855420000000004</v>
      </c>
      <c r="AB7256">
        <v>15</v>
      </c>
      <c r="AC7256">
        <v>22.658899999999999</v>
      </c>
      <c r="AD7256">
        <v>-1.1115929239444999</v>
      </c>
      <c r="AE7256">
        <v>0.72416000000000402</v>
      </c>
      <c r="AF7256">
        <v>-4.6728581325668799</v>
      </c>
      <c r="AG7256">
        <v>-1.1115929239444999</v>
      </c>
      <c r="AH7256">
        <v>22.1280853174367</v>
      </c>
      <c r="AI7256">
        <v>92.813853148709896</v>
      </c>
      <c r="AJ7256">
        <v>101.924143021031</v>
      </c>
      <c r="AK7256">
        <v>22.643396427466801</v>
      </c>
      <c r="AL7256">
        <v>77.663075935716805</v>
      </c>
      <c r="AM7256">
        <v>95.101048764301495</v>
      </c>
      <c r="AN7256">
        <v>1.0000000206388899</v>
      </c>
    </row>
    <row r="7257" spans="1:40" x14ac:dyDescent="0.25">
      <c r="A7257" t="str">
        <f>"20190312172255837"</f>
        <v>20190312172255837</v>
      </c>
      <c r="B7257" t="str">
        <f>"1552382575827798"</f>
        <v>1552382575827798</v>
      </c>
      <c r="C7257" t="s">
        <v>40</v>
      </c>
      <c r="D7257">
        <v>3.4498899999999999</v>
      </c>
      <c r="E7257">
        <v>0.45761109999999999</v>
      </c>
      <c r="F7257" t="s">
        <v>42</v>
      </c>
      <c r="G7257">
        <v>-262.59809999999999</v>
      </c>
      <c r="H7257" s="1">
        <v>-9.6263780000000001E-7</v>
      </c>
      <c r="I7257">
        <v>-63.551110000000001</v>
      </c>
      <c r="J7257">
        <v>-285.08300000000003</v>
      </c>
      <c r="K7257">
        <v>1.1116140000000001</v>
      </c>
      <c r="L7257">
        <v>-64.306089999999998</v>
      </c>
      <c r="M7257">
        <v>0.98463670000000003</v>
      </c>
      <c r="N7257">
        <v>0</v>
      </c>
      <c r="O7257">
        <v>-0.17408860000000001</v>
      </c>
      <c r="P7257">
        <v>0.97606000000000004</v>
      </c>
      <c r="Q7257">
        <v>0.2004157</v>
      </c>
      <c r="R7257">
        <v>-8.450001E-2</v>
      </c>
      <c r="S7257">
        <v>3.1146850000000001</v>
      </c>
      <c r="T7257">
        <v>-0.153491299999999</v>
      </c>
      <c r="U7257">
        <v>0.10266110000000001</v>
      </c>
      <c r="V7257">
        <v>-8.7170209999999998E-2</v>
      </c>
      <c r="W7257">
        <v>0.2134471</v>
      </c>
      <c r="X7257">
        <v>0.97305790000000003</v>
      </c>
      <c r="Y7257">
        <v>-0.20598959999999999</v>
      </c>
      <c r="Z7257">
        <v>1.36166E-2</v>
      </c>
      <c r="AA7257">
        <v>0.97845939999999998</v>
      </c>
      <c r="AB7257">
        <v>15</v>
      </c>
      <c r="AC7257">
        <v>22.4848999999999</v>
      </c>
      <c r="AD7257">
        <v>-1.11161496263779</v>
      </c>
      <c r="AE7257">
        <v>0.75498000000000298</v>
      </c>
      <c r="AF7257">
        <v>-4.6468289865590897</v>
      </c>
      <c r="AG7257">
        <v>-1.11161496263779</v>
      </c>
      <c r="AH7257">
        <v>21.9564420740959</v>
      </c>
      <c r="AI7257">
        <v>92.835604051075805</v>
      </c>
      <c r="AJ7257">
        <v>101.949664656506</v>
      </c>
      <c r="AK7257">
        <v>22.470292744168098</v>
      </c>
      <c r="AL7257">
        <v>77.675561908000006</v>
      </c>
      <c r="AM7257">
        <v>95.119107946066805</v>
      </c>
      <c r="AN7257">
        <v>0.99999999338113199</v>
      </c>
    </row>
    <row r="7258" spans="1:40" x14ac:dyDescent="0.25">
      <c r="A7258" t="str">
        <f>"20190312172255850"</f>
        <v>20190312172255850</v>
      </c>
      <c r="B7258" t="str">
        <f>"1552382575837558"</f>
        <v>1552382575837558</v>
      </c>
      <c r="C7258" t="s">
        <v>40</v>
      </c>
      <c r="D7258">
        <v>3.4110529999999999</v>
      </c>
      <c r="E7258">
        <v>0.45754909999999999</v>
      </c>
      <c r="F7258" t="s">
        <v>42</v>
      </c>
      <c r="G7258">
        <v>-262.45839999999998</v>
      </c>
      <c r="H7258" s="1">
        <v>-8.9380069999999896E-7</v>
      </c>
      <c r="I7258">
        <v>-63.517679999999999</v>
      </c>
      <c r="J7258">
        <v>-285.00599999999997</v>
      </c>
      <c r="K7258">
        <v>1.11164</v>
      </c>
      <c r="L7258">
        <v>-64.318179999999998</v>
      </c>
      <c r="M7258">
        <v>0.98485739999999999</v>
      </c>
      <c r="N7258">
        <v>0</v>
      </c>
      <c r="O7258">
        <v>-0.17283689999999999</v>
      </c>
      <c r="P7258">
        <v>0.97626460000000004</v>
      </c>
      <c r="Q7258">
        <v>0.2001405</v>
      </c>
      <c r="R7258">
        <v>-8.2771929999999994E-2</v>
      </c>
      <c r="S7258">
        <v>3.1144099999999999</v>
      </c>
      <c r="T7258">
        <v>-0.1530202</v>
      </c>
      <c r="U7258">
        <v>0.10852050000000001</v>
      </c>
      <c r="V7258">
        <v>-8.7681410000000001E-2</v>
      </c>
      <c r="W7258">
        <v>0.21314430000000001</v>
      </c>
      <c r="X7258">
        <v>0.97307840000000001</v>
      </c>
      <c r="Y7258">
        <v>-0.206591</v>
      </c>
      <c r="Z7258">
        <v>1.3529899999999999E-2</v>
      </c>
      <c r="AA7258">
        <v>0.97833380000000003</v>
      </c>
      <c r="AB7258">
        <v>15</v>
      </c>
      <c r="AC7258">
        <v>22.5475999999999</v>
      </c>
      <c r="AD7258">
        <v>-1.1116408938007001</v>
      </c>
      <c r="AE7258">
        <v>0.800499999999992</v>
      </c>
      <c r="AF7258">
        <v>-4.6745171647063302</v>
      </c>
      <c r="AG7258">
        <v>-1.1116408938007001</v>
      </c>
      <c r="AH7258">
        <v>22.0163901460913</v>
      </c>
      <c r="AI7258">
        <v>92.827571219236106</v>
      </c>
      <c r="AJ7258">
        <v>101.987024342506</v>
      </c>
      <c r="AK7258">
        <v>22.534602088006999</v>
      </c>
      <c r="AL7258">
        <v>77.693320393882601</v>
      </c>
      <c r="AM7258">
        <v>95.148859591796906</v>
      </c>
      <c r="AN7258">
        <v>1.00000004741431</v>
      </c>
    </row>
    <row r="7259" spans="1:40" x14ac:dyDescent="0.25">
      <c r="A7259" t="str">
        <f>"20190312172255860"</f>
        <v>20190312172255860</v>
      </c>
      <c r="B7259" t="str">
        <f>"1552382575858054"</f>
        <v>1552382575858054</v>
      </c>
      <c r="C7259" t="s">
        <v>40</v>
      </c>
      <c r="D7259">
        <v>3.5070860000000001</v>
      </c>
      <c r="E7259">
        <v>0.45743440000000002</v>
      </c>
      <c r="F7259" t="s">
        <v>42</v>
      </c>
      <c r="G7259">
        <v>-262.38150000000002</v>
      </c>
      <c r="H7259" s="1">
        <v>-8.530105E-7</v>
      </c>
      <c r="I7259">
        <v>-63.488430000000001</v>
      </c>
      <c r="J7259">
        <v>-284.93040000000002</v>
      </c>
      <c r="K7259">
        <v>1.111667</v>
      </c>
      <c r="L7259">
        <v>-64.330019999999905</v>
      </c>
      <c r="M7259">
        <v>0.9850738</v>
      </c>
      <c r="N7259">
        <v>0</v>
      </c>
      <c r="O7259">
        <v>-0.17160149999999999</v>
      </c>
      <c r="P7259">
        <v>0.97649989999999998</v>
      </c>
      <c r="Q7259">
        <v>0.19976070000000001</v>
      </c>
      <c r="R7259">
        <v>-8.0894190000000005E-2</v>
      </c>
      <c r="S7259">
        <v>3.1140140000000001</v>
      </c>
      <c r="T7259">
        <v>-0.15300469999999999</v>
      </c>
      <c r="U7259">
        <v>0.1141968</v>
      </c>
      <c r="V7259">
        <v>-8.8361289999999995E-2</v>
      </c>
      <c r="W7259">
        <v>0.2127366</v>
      </c>
      <c r="X7259">
        <v>0.97310609999999997</v>
      </c>
      <c r="Y7259">
        <v>-0.2071499</v>
      </c>
      <c r="Z7259">
        <v>1.3483810000000001E-2</v>
      </c>
      <c r="AA7259">
        <v>0.97821630000000004</v>
      </c>
      <c r="AB7259">
        <v>15</v>
      </c>
      <c r="AC7259">
        <v>22.5489</v>
      </c>
      <c r="AD7259">
        <v>-1.1116678530105</v>
      </c>
      <c r="AE7259">
        <v>0.84158999999998196</v>
      </c>
      <c r="AF7259">
        <v>-4.6875049638957096</v>
      </c>
      <c r="AG7259">
        <v>-1.1116678530105</v>
      </c>
      <c r="AH7259">
        <v>22.016489745334301</v>
      </c>
      <c r="AI7259">
        <v>92.827288719626907</v>
      </c>
      <c r="AJ7259">
        <v>102.01930935726</v>
      </c>
      <c r="AK7259">
        <v>22.5373984503176</v>
      </c>
      <c r="AL7259">
        <v>77.717227988855598</v>
      </c>
      <c r="AM7259">
        <v>95.188419781494204</v>
      </c>
      <c r="AN7259">
        <v>1.0000000302036101</v>
      </c>
    </row>
    <row r="7260" spans="1:40" x14ac:dyDescent="0.25">
      <c r="A7260" t="str">
        <f>"20190312172255872"</f>
        <v>20190312172255872</v>
      </c>
      <c r="B7260" t="str">
        <f>"1552382575867814"</f>
        <v>1552382575867814</v>
      </c>
      <c r="C7260" t="s">
        <v>40</v>
      </c>
      <c r="D7260">
        <v>3.4303279999999998</v>
      </c>
      <c r="E7260">
        <v>0.45755630000000003</v>
      </c>
      <c r="F7260" t="s">
        <v>73</v>
      </c>
      <c r="G7260">
        <v>-262.54050000000001</v>
      </c>
      <c r="H7260" s="1">
        <v>-9.1323979999999995E-7</v>
      </c>
      <c r="I7260">
        <v>-63.458370000000002</v>
      </c>
      <c r="J7260">
        <v>-284.85410000000002</v>
      </c>
      <c r="K7260">
        <v>1.111691</v>
      </c>
      <c r="L7260">
        <v>-64.341769999999997</v>
      </c>
      <c r="M7260">
        <v>0.98529460000000002</v>
      </c>
      <c r="N7260">
        <v>0</v>
      </c>
      <c r="O7260">
        <v>-0.1703307</v>
      </c>
      <c r="P7260">
        <v>0.97661889999999996</v>
      </c>
      <c r="Q7260">
        <v>0.20001569999999999</v>
      </c>
      <c r="R7260">
        <v>-7.8798750000000001E-2</v>
      </c>
      <c r="S7260">
        <v>3.113861</v>
      </c>
      <c r="T7260">
        <v>-0.15460460000000001</v>
      </c>
      <c r="U7260">
        <v>0.1212158</v>
      </c>
      <c r="V7260">
        <v>-8.9202260000000005E-2</v>
      </c>
      <c r="W7260">
        <v>0.2129598</v>
      </c>
      <c r="X7260">
        <v>0.97298050000000003</v>
      </c>
      <c r="Y7260">
        <v>-0.2080824</v>
      </c>
      <c r="Z7260">
        <v>1.358582E-2</v>
      </c>
      <c r="AA7260">
        <v>0.97801689999999997</v>
      </c>
      <c r="AB7260">
        <v>15</v>
      </c>
      <c r="AC7260">
        <v>22.313600000000001</v>
      </c>
      <c r="AD7260">
        <v>-1.1116919132398</v>
      </c>
      <c r="AE7260">
        <v>0.88340000000000096</v>
      </c>
      <c r="AF7260">
        <v>-4.6599767920159501</v>
      </c>
      <c r="AG7260">
        <v>-1.1116919132398</v>
      </c>
      <c r="AH7260">
        <v>21.783002481827101</v>
      </c>
      <c r="AI7260">
        <v>92.857012623188197</v>
      </c>
      <c r="AJ7260">
        <v>102.075116254935</v>
      </c>
      <c r="AK7260">
        <v>22.303597013382699</v>
      </c>
      <c r="AL7260">
        <v>77.704139109879307</v>
      </c>
      <c r="AM7260">
        <v>95.238199059388094</v>
      </c>
      <c r="AN7260">
        <v>0.99999998649269795</v>
      </c>
    </row>
    <row r="7261" spans="1:40" x14ac:dyDescent="0.25">
      <c r="A7261" t="str">
        <f>"20190312172255884"</f>
        <v>20190312172255884</v>
      </c>
      <c r="B7261" t="str">
        <f>"1552382575877574"</f>
        <v>1552382575877574</v>
      </c>
      <c r="C7261" t="s">
        <v>40</v>
      </c>
      <c r="D7261">
        <v>3.5135559999999999</v>
      </c>
      <c r="E7261">
        <v>0.45761819999999997</v>
      </c>
      <c r="F7261" t="s">
        <v>42</v>
      </c>
      <c r="G7261">
        <v>-262.23230000000001</v>
      </c>
      <c r="H7261" s="1">
        <v>-7.7133859999999997E-7</v>
      </c>
      <c r="I7261">
        <v>-63.421939999999999</v>
      </c>
      <c r="J7261">
        <v>-284.77609999999999</v>
      </c>
      <c r="K7261">
        <v>1.1117170000000001</v>
      </c>
      <c r="L7261">
        <v>-64.353729999999999</v>
      </c>
      <c r="M7261">
        <v>0.98552039999999996</v>
      </c>
      <c r="N7261">
        <v>0</v>
      </c>
      <c r="O7261">
        <v>-0.1690217</v>
      </c>
      <c r="P7261">
        <v>0.97672300000000001</v>
      </c>
      <c r="Q7261">
        <v>0.200238</v>
      </c>
      <c r="R7261">
        <v>-7.6924399999999907E-2</v>
      </c>
      <c r="S7261">
        <v>3.1134029999999999</v>
      </c>
      <c r="T7261">
        <v>-0.15300069999999999</v>
      </c>
      <c r="U7261">
        <v>0.1265869</v>
      </c>
      <c r="V7261">
        <v>-8.9785779999999996E-2</v>
      </c>
      <c r="W7261">
        <v>0.21315039999999999</v>
      </c>
      <c r="X7261">
        <v>0.97288509999999995</v>
      </c>
      <c r="Y7261">
        <v>-0.2084839</v>
      </c>
      <c r="Z7261">
        <v>1.339305E-2</v>
      </c>
      <c r="AA7261">
        <v>0.97793410000000003</v>
      </c>
      <c r="AB7261">
        <v>15</v>
      </c>
      <c r="AC7261">
        <v>22.543799999999901</v>
      </c>
      <c r="AD7261">
        <v>-1.1117177713385999</v>
      </c>
      <c r="AE7261">
        <v>0.93178999999999901</v>
      </c>
      <c r="AF7261">
        <v>-4.71766490960254</v>
      </c>
      <c r="AG7261">
        <v>-1.1117177713385999</v>
      </c>
      <c r="AH7261">
        <v>22.008451291778901</v>
      </c>
      <c r="AI7261">
        <v>92.827611125291597</v>
      </c>
      <c r="AJ7261">
        <v>102.09866037437099</v>
      </c>
      <c r="AK7261">
        <v>22.535842714773501</v>
      </c>
      <c r="AL7261">
        <v>77.692962058433494</v>
      </c>
      <c r="AM7261">
        <v>95.272786538683306</v>
      </c>
      <c r="AN7261">
        <v>0.99999999855618904</v>
      </c>
    </row>
    <row r="7262" spans="1:40" x14ac:dyDescent="0.25">
      <c r="A7262" t="str">
        <f>"20190312172255895"</f>
        <v>20190312172255895</v>
      </c>
      <c r="B7262" t="str">
        <f>"1552382575887334"</f>
        <v>1552382575887334</v>
      </c>
      <c r="C7262" t="s">
        <v>40</v>
      </c>
      <c r="D7262">
        <v>3.43981</v>
      </c>
      <c r="E7262">
        <v>0.45774559999999997</v>
      </c>
      <c r="F7262" t="s">
        <v>42</v>
      </c>
      <c r="G7262">
        <v>-262.08819999999997</v>
      </c>
      <c r="H7262" s="1">
        <v>-7.0156300000000002E-7</v>
      </c>
      <c r="I7262">
        <v>-63.392009999999999</v>
      </c>
      <c r="J7262">
        <v>-284.70319999999998</v>
      </c>
      <c r="K7262">
        <v>1.111742</v>
      </c>
      <c r="L7262">
        <v>-64.364779999999996</v>
      </c>
      <c r="M7262">
        <v>0.98573310000000003</v>
      </c>
      <c r="N7262">
        <v>0</v>
      </c>
      <c r="O7262">
        <v>-0.1677787</v>
      </c>
      <c r="P7262">
        <v>0.97672859999999995</v>
      </c>
      <c r="Q7262">
        <v>0.2008219</v>
      </c>
      <c r="R7262">
        <v>-7.5313340000000006E-2</v>
      </c>
      <c r="S7262">
        <v>3.1131899999999999</v>
      </c>
      <c r="T7262">
        <v>-0.15254779999999901</v>
      </c>
      <c r="U7262">
        <v>0.13195799999999999</v>
      </c>
      <c r="V7262">
        <v>-9.0158760000000004E-2</v>
      </c>
      <c r="W7262">
        <v>0.21370239999999999</v>
      </c>
      <c r="X7262">
        <v>0.97272950000000002</v>
      </c>
      <c r="Y7262">
        <v>-0.20894109999999999</v>
      </c>
      <c r="Z7262">
        <v>1.330509E-2</v>
      </c>
      <c r="AA7262">
        <v>0.97783770000000003</v>
      </c>
      <c r="AB7262">
        <v>15</v>
      </c>
      <c r="AC7262">
        <v>22.614999999999998</v>
      </c>
      <c r="AD7262">
        <v>-1.1117427015629999</v>
      </c>
      <c r="AE7262">
        <v>0.97277000000001101</v>
      </c>
      <c r="AF7262">
        <v>-4.7421969655422398</v>
      </c>
      <c r="AG7262">
        <v>-1.1117427015629999</v>
      </c>
      <c r="AH7262">
        <v>22.0778859106181</v>
      </c>
      <c r="AI7262">
        <v>92.818543533165396</v>
      </c>
      <c r="AJ7262">
        <v>102.122597104457</v>
      </c>
      <c r="AK7262">
        <v>22.6087914355621</v>
      </c>
      <c r="AL7262">
        <v>77.660588887152798</v>
      </c>
      <c r="AM7262">
        <v>95.295408164824806</v>
      </c>
      <c r="AN7262">
        <v>0.99999999897037295</v>
      </c>
    </row>
    <row r="7263" spans="1:40" x14ac:dyDescent="0.25">
      <c r="A7263" t="str">
        <f>"20190312172255906"</f>
        <v>20190312172255906</v>
      </c>
      <c r="B7263" t="str">
        <f>"1552382575898071"</f>
        <v>1552382575898071</v>
      </c>
      <c r="C7263" t="s">
        <v>40</v>
      </c>
      <c r="D7263">
        <v>3.5323009999999999</v>
      </c>
      <c r="E7263">
        <v>0.45783000000000001</v>
      </c>
      <c r="F7263" t="s">
        <v>42</v>
      </c>
      <c r="G7263">
        <v>-261.64400000000001</v>
      </c>
      <c r="H7263" s="1">
        <v>-5.0147929999999996E-7</v>
      </c>
      <c r="I7263">
        <v>-63.356219999999901</v>
      </c>
      <c r="J7263">
        <v>-284.62920000000003</v>
      </c>
      <c r="K7263">
        <v>1.1117649999999999</v>
      </c>
      <c r="L7263">
        <v>-64.37585</v>
      </c>
      <c r="M7263">
        <v>0.9859504</v>
      </c>
      <c r="N7263">
        <v>0</v>
      </c>
      <c r="O7263">
        <v>-0.16649929999999999</v>
      </c>
      <c r="P7263">
        <v>0.9766994</v>
      </c>
      <c r="Q7263">
        <v>0.20149449999999999</v>
      </c>
      <c r="R7263">
        <v>-7.3880479999999998E-2</v>
      </c>
      <c r="S7263">
        <v>3.1127929999999999</v>
      </c>
      <c r="T7263">
        <v>-0.15007590000000001</v>
      </c>
      <c r="U7263">
        <v>0.13613889999999901</v>
      </c>
      <c r="V7263">
        <v>-9.0314630000000007E-2</v>
      </c>
      <c r="W7263">
        <v>0.21434239999999999</v>
      </c>
      <c r="X7263">
        <v>0.97257420000000006</v>
      </c>
      <c r="Y7263">
        <v>-0.209004</v>
      </c>
      <c r="Z7263">
        <v>1.303169E-2</v>
      </c>
      <c r="AA7263">
        <v>0.97782800000000003</v>
      </c>
      <c r="AB7263">
        <v>15</v>
      </c>
      <c r="AC7263">
        <v>22.985199999999999</v>
      </c>
      <c r="AD7263">
        <v>-1.1117655014793</v>
      </c>
      <c r="AE7263">
        <v>1.01963</v>
      </c>
      <c r="AF7263">
        <v>-4.8215008583388999</v>
      </c>
      <c r="AG7263">
        <v>-1.1117655014793</v>
      </c>
      <c r="AH7263">
        <v>22.442120667048499</v>
      </c>
      <c r="AI7263">
        <v>92.772900372912801</v>
      </c>
      <c r="AJ7263">
        <v>102.125204605417</v>
      </c>
      <c r="AK7263">
        <v>22.9811155754373</v>
      </c>
      <c r="AL7263">
        <v>77.623049591801802</v>
      </c>
      <c r="AM7263">
        <v>95.305353083430106</v>
      </c>
      <c r="AN7263">
        <v>0.99999998566771797</v>
      </c>
    </row>
    <row r="7264" spans="1:40" x14ac:dyDescent="0.25">
      <c r="A7264" t="str">
        <f>"20190312172255916"</f>
        <v>20190312172255916</v>
      </c>
      <c r="B7264" t="str">
        <f>"1552382575907830"</f>
        <v>1552382575907830</v>
      </c>
      <c r="C7264" t="s">
        <v>40</v>
      </c>
      <c r="D7264">
        <v>3.4502510000000002</v>
      </c>
      <c r="E7264">
        <v>0.45807619999999999</v>
      </c>
      <c r="F7264" t="s">
        <v>42</v>
      </c>
      <c r="G7264">
        <v>-261.19690000000003</v>
      </c>
      <c r="H7264" s="1">
        <v>-2.9928150000000001E-7</v>
      </c>
      <c r="I7264">
        <v>-63.317169999999997</v>
      </c>
      <c r="J7264">
        <v>-284.55610000000001</v>
      </c>
      <c r="K7264">
        <v>1.1117859999999999</v>
      </c>
      <c r="L7264">
        <v>-64.386690000000002</v>
      </c>
      <c r="M7264">
        <v>0.98616530000000002</v>
      </c>
      <c r="N7264">
        <v>0</v>
      </c>
      <c r="O7264">
        <v>-0.1652227</v>
      </c>
      <c r="P7264">
        <v>0.97670829999999997</v>
      </c>
      <c r="Q7264">
        <v>0.2018797</v>
      </c>
      <c r="R7264">
        <v>-7.2699440000000004E-2</v>
      </c>
      <c r="S7264">
        <v>3.1126710000000002</v>
      </c>
      <c r="T7264">
        <v>-0.1476837</v>
      </c>
      <c r="U7264">
        <v>0.140625</v>
      </c>
      <c r="V7264">
        <v>-9.0231870000000006E-2</v>
      </c>
      <c r="W7264">
        <v>0.2146959</v>
      </c>
      <c r="X7264">
        <v>0.97250389999999998</v>
      </c>
      <c r="Y7264">
        <v>-0.20916119999999999</v>
      </c>
      <c r="Z7264">
        <v>1.276828E-2</v>
      </c>
      <c r="AA7264">
        <v>0.97779780000000005</v>
      </c>
      <c r="AB7264">
        <v>15</v>
      </c>
      <c r="AC7264">
        <v>23.359199999999898</v>
      </c>
      <c r="AD7264">
        <v>-1.1117862992815</v>
      </c>
      <c r="AE7264">
        <v>1.06952</v>
      </c>
      <c r="AF7264">
        <v>-4.9035498176629604</v>
      </c>
      <c r="AG7264">
        <v>-1.1117862992815</v>
      </c>
      <c r="AH7264">
        <v>22.809811852722401</v>
      </c>
      <c r="AI7264">
        <v>92.728245715217298</v>
      </c>
      <c r="AJ7264">
        <v>102.13253630102599</v>
      </c>
      <c r="AK7264">
        <v>23.357405385576701</v>
      </c>
      <c r="AL7264">
        <v>77.602312675101501</v>
      </c>
      <c r="AM7264">
        <v>95.300900194601894</v>
      </c>
      <c r="AN7264">
        <v>0.99999997767785798</v>
      </c>
    </row>
    <row r="7265" spans="1:40" x14ac:dyDescent="0.25">
      <c r="A7265" t="str">
        <f>"20190312172255927"</f>
        <v>20190312172255927</v>
      </c>
      <c r="B7265" t="str">
        <f>"1552382575917591"</f>
        <v>1552382575917591</v>
      </c>
      <c r="C7265" t="s">
        <v>40</v>
      </c>
      <c r="D7265">
        <v>3.4311120000000002</v>
      </c>
      <c r="E7265">
        <v>0.45825900000000003</v>
      </c>
      <c r="F7265" t="s">
        <v>42</v>
      </c>
      <c r="G7265">
        <v>-260.81619999999998</v>
      </c>
      <c r="H7265" s="1">
        <v>-1.30704999999999E-7</v>
      </c>
      <c r="I7265">
        <v>-63.297449999999998</v>
      </c>
      <c r="J7265">
        <v>-284.48489999999998</v>
      </c>
      <c r="K7265">
        <v>1.1118030000000001</v>
      </c>
      <c r="L7265">
        <v>-64.397130000000004</v>
      </c>
      <c r="M7265">
        <v>0.98637730000000001</v>
      </c>
      <c r="N7265">
        <v>0</v>
      </c>
      <c r="O7265">
        <v>-0.1639555</v>
      </c>
      <c r="P7265">
        <v>0.97678980000000004</v>
      </c>
      <c r="Q7265">
        <v>0.2020063</v>
      </c>
      <c r="R7265">
        <v>-7.1241009999999994E-2</v>
      </c>
      <c r="S7265">
        <v>3.1123349999999999</v>
      </c>
      <c r="T7265">
        <v>-0.14575679999999999</v>
      </c>
      <c r="U7265">
        <v>0.14279169999999999</v>
      </c>
      <c r="V7265">
        <v>-9.044336E-2</v>
      </c>
      <c r="W7265">
        <v>0.2147857</v>
      </c>
      <c r="X7265">
        <v>0.97246440000000001</v>
      </c>
      <c r="Y7265">
        <v>-0.2086015</v>
      </c>
      <c r="Z7265">
        <v>1.2531260000000001E-2</v>
      </c>
      <c r="AA7265">
        <v>0.97792040000000002</v>
      </c>
      <c r="AB7265">
        <v>15</v>
      </c>
      <c r="AC7265">
        <v>23.668700000000001</v>
      </c>
      <c r="AD7265">
        <v>-1.111803130705</v>
      </c>
      <c r="AE7265">
        <v>1.09968</v>
      </c>
      <c r="AF7265">
        <v>-4.9548465413365799</v>
      </c>
      <c r="AG7265">
        <v>-1.111803130705</v>
      </c>
      <c r="AH7265">
        <v>23.117138232812898</v>
      </c>
      <c r="AI7265">
        <v>92.692422457094096</v>
      </c>
      <c r="AJ7265">
        <v>102.09753920823</v>
      </c>
      <c r="AK7265">
        <v>23.668305611611</v>
      </c>
      <c r="AL7265">
        <v>77.597044314696205</v>
      </c>
      <c r="AM7265">
        <v>95.313468266892798</v>
      </c>
      <c r="AN7265">
        <v>0.99999995377996798</v>
      </c>
    </row>
    <row r="7266" spans="1:40" x14ac:dyDescent="0.25">
      <c r="A7266" t="str">
        <f>"20190312172255938"</f>
        <v>20190312172255938</v>
      </c>
      <c r="B7266" t="str">
        <f>"1552382575927351"</f>
        <v>1552382575927351</v>
      </c>
      <c r="C7266" t="s">
        <v>40</v>
      </c>
      <c r="D7266">
        <v>3.4420760000000001</v>
      </c>
      <c r="E7266">
        <v>0.45843899999999999</v>
      </c>
      <c r="F7266" t="s">
        <v>42</v>
      </c>
      <c r="G7266">
        <v>-260.5138</v>
      </c>
      <c r="H7266" s="1">
        <v>6.6370379999999998E-9</v>
      </c>
      <c r="I7266">
        <v>-63.268909999999998</v>
      </c>
      <c r="J7266">
        <v>-284.41140000000001</v>
      </c>
      <c r="K7266">
        <v>1.1118189999999999</v>
      </c>
      <c r="L7266">
        <v>-64.407809999999998</v>
      </c>
      <c r="M7266">
        <v>0.98659560000000002</v>
      </c>
      <c r="N7266">
        <v>0</v>
      </c>
      <c r="O7266">
        <v>-0.1626396</v>
      </c>
      <c r="P7266">
        <v>0.97689780000000004</v>
      </c>
      <c r="Q7266">
        <v>0.20195630000000001</v>
      </c>
      <c r="R7266">
        <v>-6.9887980000000002E-2</v>
      </c>
      <c r="S7266">
        <v>3.111847</v>
      </c>
      <c r="T7266">
        <v>-0.1443304</v>
      </c>
      <c r="U7266">
        <v>0.1464539</v>
      </c>
      <c r="V7266">
        <v>-9.0507270000000001E-2</v>
      </c>
      <c r="W7266">
        <v>0.21469820000000001</v>
      </c>
      <c r="X7266">
        <v>0.97247790000000001</v>
      </c>
      <c r="Y7266">
        <v>-0.2084618</v>
      </c>
      <c r="Z7266">
        <v>1.234684E-2</v>
      </c>
      <c r="AA7266">
        <v>0.9779525</v>
      </c>
      <c r="AB7266">
        <v>15</v>
      </c>
      <c r="AC7266">
        <v>23.897600000000001</v>
      </c>
      <c r="AD7266">
        <v>-1.1118189933629601</v>
      </c>
      <c r="AE7266">
        <v>1.13889999999999</v>
      </c>
      <c r="AF7266">
        <v>-4.9999765415027202</v>
      </c>
      <c r="AG7266">
        <v>-1.1118189933629601</v>
      </c>
      <c r="AH7266">
        <v>23.343699714049102</v>
      </c>
      <c r="AI7266">
        <v>92.666447278997495</v>
      </c>
      <c r="AJ7266">
        <v>102.089489069884</v>
      </c>
      <c r="AK7266">
        <v>23.899042307784601</v>
      </c>
      <c r="AL7266">
        <v>77.602178967849795</v>
      </c>
      <c r="AM7266">
        <v>95.3171280198695</v>
      </c>
      <c r="AN7266">
        <v>1.0000000744972399</v>
      </c>
    </row>
    <row r="7267" spans="1:40" x14ac:dyDescent="0.25">
      <c r="A7267" t="str">
        <f>"20190312172255949"</f>
        <v>20190312172255949</v>
      </c>
      <c r="B7267" t="str">
        <f>"1552382575938088"</f>
        <v>1552382575938088</v>
      </c>
      <c r="C7267" t="s">
        <v>40</v>
      </c>
      <c r="D7267">
        <v>3.4322819999999998</v>
      </c>
      <c r="E7267">
        <v>0.45867150000000001</v>
      </c>
      <c r="F7267" t="s">
        <v>73</v>
      </c>
      <c r="G7267">
        <v>-260.43880000000001</v>
      </c>
      <c r="H7267" s="1">
        <v>4.221783E-8</v>
      </c>
      <c r="I7267">
        <v>-63.25609</v>
      </c>
      <c r="J7267">
        <v>-284.33690000000001</v>
      </c>
      <c r="K7267">
        <v>1.1118349999999999</v>
      </c>
      <c r="L7267">
        <v>-64.418459999999996</v>
      </c>
      <c r="M7267">
        <v>0.98682049999999999</v>
      </c>
      <c r="N7267">
        <v>0</v>
      </c>
      <c r="O7267">
        <v>-0.16127320000000001</v>
      </c>
      <c r="P7267">
        <v>0.97710699999999995</v>
      </c>
      <c r="Q7267">
        <v>0.20144799999999999</v>
      </c>
      <c r="R7267">
        <v>-6.8416749999999998E-2</v>
      </c>
      <c r="S7267">
        <v>3.11145</v>
      </c>
      <c r="T7267">
        <v>-0.14430479999999901</v>
      </c>
      <c r="U7267">
        <v>0.1494751</v>
      </c>
      <c r="V7267">
        <v>-9.065484E-2</v>
      </c>
      <c r="W7267">
        <v>0.2141459</v>
      </c>
      <c r="X7267">
        <v>0.9725859</v>
      </c>
      <c r="Y7267">
        <v>-0.20806259999999999</v>
      </c>
      <c r="Z7267">
        <v>1.227404E-2</v>
      </c>
      <c r="AA7267">
        <v>0.97803850000000003</v>
      </c>
      <c r="AB7267">
        <v>15</v>
      </c>
      <c r="AC7267">
        <v>23.898099999999999</v>
      </c>
      <c r="AD7267">
        <v>-1.11183495778217</v>
      </c>
      <c r="AE7267">
        <v>1.1623699999999899</v>
      </c>
      <c r="AF7267">
        <v>-4.9908373263944101</v>
      </c>
      <c r="AG7267">
        <v>-1.11183495778217</v>
      </c>
      <c r="AH7267">
        <v>23.347322364015</v>
      </c>
      <c r="AI7267">
        <v>92.666303706662504</v>
      </c>
      <c r="AJ7267">
        <v>102.066221991067</v>
      </c>
      <c r="AK7267">
        <v>23.9006714500056</v>
      </c>
      <c r="AL7267">
        <v>77.634576654966693</v>
      </c>
      <c r="AM7267">
        <v>95.325159670370994</v>
      </c>
      <c r="AN7267">
        <v>1.0000000496905199</v>
      </c>
    </row>
    <row r="7268" spans="1:40" x14ac:dyDescent="0.25">
      <c r="A7268" t="str">
        <f>"20190312172255962"</f>
        <v>20190312172255962</v>
      </c>
      <c r="B7268" t="str">
        <f>"1552382575957606"</f>
        <v>1552382575957606</v>
      </c>
      <c r="C7268" t="s">
        <v>40</v>
      </c>
      <c r="D7268">
        <v>3.4802179999999998</v>
      </c>
      <c r="E7268">
        <v>0.4591789</v>
      </c>
      <c r="F7268" t="s">
        <v>42</v>
      </c>
      <c r="G7268">
        <v>-260.6096</v>
      </c>
      <c r="H7268" s="1">
        <v>-3.148614E-8</v>
      </c>
      <c r="I7268">
        <v>-63.257660000000001</v>
      </c>
      <c r="J7268">
        <v>-284.2586</v>
      </c>
      <c r="K7268">
        <v>1.1118459999999999</v>
      </c>
      <c r="L7268">
        <v>-64.429630000000003</v>
      </c>
      <c r="M7268">
        <v>0.98705609999999999</v>
      </c>
      <c r="N7268">
        <v>0</v>
      </c>
      <c r="O7268">
        <v>-0.15982739999999901</v>
      </c>
      <c r="P7268">
        <v>0.97740700000000003</v>
      </c>
      <c r="Q7268">
        <v>0.20059179999999999</v>
      </c>
      <c r="R7268">
        <v>-6.6620789999999999E-2</v>
      </c>
      <c r="S7268">
        <v>3.1110229999999999</v>
      </c>
      <c r="T7268">
        <v>-0.14577889999999999</v>
      </c>
      <c r="U7268">
        <v>0.1521912</v>
      </c>
      <c r="V7268">
        <v>-9.1058680000000003E-2</v>
      </c>
      <c r="W7268">
        <v>0.21324119999999999</v>
      </c>
      <c r="X7268">
        <v>0.97274689999999997</v>
      </c>
      <c r="Y7268">
        <v>-0.2074821</v>
      </c>
      <c r="Z7268">
        <v>1.232013E-2</v>
      </c>
      <c r="AA7268">
        <v>0.97816119999999995</v>
      </c>
      <c r="AB7268">
        <v>15</v>
      </c>
      <c r="AC7268">
        <v>23.649000000000001</v>
      </c>
      <c r="AD7268">
        <v>-1.11184603148613</v>
      </c>
      <c r="AE7268">
        <v>1.17197</v>
      </c>
      <c r="AF7268">
        <v>-4.9261295930635498</v>
      </c>
      <c r="AG7268">
        <v>-1.11184603148613</v>
      </c>
      <c r="AH7268">
        <v>23.1066594735404</v>
      </c>
      <c r="AI7268">
        <v>92.694375427962498</v>
      </c>
      <c r="AJ7268">
        <v>102.034769479761</v>
      </c>
      <c r="AK7268">
        <v>23.652075308343299</v>
      </c>
      <c r="AL7268">
        <v>77.687637348366096</v>
      </c>
      <c r="AM7268">
        <v>95.347864231576807</v>
      </c>
      <c r="AN7268">
        <v>1.00000001202019</v>
      </c>
    </row>
    <row r="7269" spans="1:40" x14ac:dyDescent="0.25">
      <c r="A7269" t="str">
        <f>"20190312172255973"</f>
        <v>20190312172255973</v>
      </c>
      <c r="B7269" t="str">
        <f>"1552382575967365"</f>
        <v>1552382575967365</v>
      </c>
      <c r="C7269" t="s">
        <v>40</v>
      </c>
      <c r="D7269">
        <v>3.4391699999999998</v>
      </c>
      <c r="E7269">
        <v>0.45939479999999999</v>
      </c>
      <c r="F7269" t="s">
        <v>42</v>
      </c>
      <c r="G7269">
        <v>-260.76830000000001</v>
      </c>
      <c r="H7269" s="1">
        <v>-1.035231E-7</v>
      </c>
      <c r="I7269">
        <v>-63.27243</v>
      </c>
      <c r="J7269">
        <v>-284.17959999999999</v>
      </c>
      <c r="K7269">
        <v>1.1118619999999999</v>
      </c>
      <c r="L7269">
        <v>-64.440640000000002</v>
      </c>
      <c r="M7269">
        <v>0.98729699999999998</v>
      </c>
      <c r="N7269">
        <v>0</v>
      </c>
      <c r="O7269">
        <v>-0.15833729999999999</v>
      </c>
      <c r="P7269">
        <v>0.97765340000000001</v>
      </c>
      <c r="Q7269">
        <v>0.2000276</v>
      </c>
      <c r="R7269">
        <v>-6.4674910000000002E-2</v>
      </c>
      <c r="S7269">
        <v>3.109985</v>
      </c>
      <c r="T7269">
        <v>-0.14720239999999901</v>
      </c>
      <c r="U7269">
        <v>0.15319820000000001</v>
      </c>
      <c r="V7269">
        <v>-9.1559829999999995E-2</v>
      </c>
      <c r="W7269">
        <v>0.2126178</v>
      </c>
      <c r="X7269">
        <v>0.97283629999999999</v>
      </c>
      <c r="Y7269">
        <v>-0.20633199999999999</v>
      </c>
      <c r="Z7269">
        <v>1.23473E-2</v>
      </c>
      <c r="AA7269">
        <v>0.9784041</v>
      </c>
      <c r="AB7269">
        <v>15</v>
      </c>
      <c r="AC7269">
        <v>23.411299999999901</v>
      </c>
      <c r="AD7269">
        <v>-1.1118621035231</v>
      </c>
      <c r="AE7269">
        <v>1.16820999999999</v>
      </c>
      <c r="AF7269">
        <v>-4.8497633224217598</v>
      </c>
      <c r="AG7269">
        <v>-1.1118621035231</v>
      </c>
      <c r="AH7269">
        <v>22.879451976612302</v>
      </c>
      <c r="AI7269">
        <v>92.721806178109503</v>
      </c>
      <c r="AJ7269">
        <v>101.967855528426</v>
      </c>
      <c r="AK7269">
        <v>23.414221412869299</v>
      </c>
      <c r="AL7269">
        <v>77.724193704856305</v>
      </c>
      <c r="AM7269">
        <v>95.376633416472899</v>
      </c>
      <c r="AN7269">
        <v>0.99999999897207903</v>
      </c>
    </row>
    <row r="7270" spans="1:40" x14ac:dyDescent="0.25">
      <c r="A7270" t="str">
        <f>"20190312172255987"</f>
        <v>20190312172255987</v>
      </c>
      <c r="B7270" t="str">
        <f>"1552382575978102"</f>
        <v>1552382575978102</v>
      </c>
      <c r="C7270" t="s">
        <v>40</v>
      </c>
      <c r="D7270">
        <v>3.4906679999999999</v>
      </c>
      <c r="E7270">
        <v>0.45961109999999999</v>
      </c>
      <c r="F7270" t="s">
        <v>42</v>
      </c>
      <c r="G7270">
        <v>-260.97030000000001</v>
      </c>
      <c r="H7270" s="1">
        <v>-1.888868E-7</v>
      </c>
      <c r="I7270">
        <v>-63.267699999999998</v>
      </c>
      <c r="J7270">
        <v>-284.0872</v>
      </c>
      <c r="K7270">
        <v>1.11188</v>
      </c>
      <c r="L7270">
        <v>-64.453369999999893</v>
      </c>
      <c r="M7270">
        <v>0.9875794</v>
      </c>
      <c r="N7270">
        <v>0</v>
      </c>
      <c r="O7270">
        <v>-0.1565723</v>
      </c>
      <c r="P7270">
        <v>0.97792480000000004</v>
      </c>
      <c r="Q7270">
        <v>0.19939170000000001</v>
      </c>
      <c r="R7270">
        <v>-6.2499260000000001E-2</v>
      </c>
      <c r="S7270">
        <v>3.1094360000000001</v>
      </c>
      <c r="T7270">
        <v>-0.14895990000000001</v>
      </c>
      <c r="U7270">
        <v>0.157135</v>
      </c>
      <c r="V7270">
        <v>-9.2021519999999996E-2</v>
      </c>
      <c r="W7270">
        <v>0.2119077</v>
      </c>
      <c r="X7270">
        <v>0.97294769999999997</v>
      </c>
      <c r="Y7270">
        <v>-0.2058198</v>
      </c>
      <c r="Z7270">
        <v>1.240045E-2</v>
      </c>
      <c r="AA7270">
        <v>0.97851129999999997</v>
      </c>
      <c r="AB7270">
        <v>15</v>
      </c>
      <c r="AC7270">
        <v>23.116899999999902</v>
      </c>
      <c r="AD7270">
        <v>-1.1118801888868</v>
      </c>
      <c r="AE7270">
        <v>1.18566999999999</v>
      </c>
      <c r="AF7270">
        <v>-4.7797928875897302</v>
      </c>
      <c r="AG7270">
        <v>-1.1118801888868</v>
      </c>
      <c r="AH7270">
        <v>22.593946870147001</v>
      </c>
      <c r="AI7270">
        <v>92.756425276515401</v>
      </c>
      <c r="AJ7270">
        <v>101.944915384948</v>
      </c>
      <c r="AK7270">
        <v>23.120751129098601</v>
      </c>
      <c r="AL7270">
        <v>77.765828567055706</v>
      </c>
      <c r="AM7270">
        <v>95.402969951968799</v>
      </c>
      <c r="AN7270">
        <v>1.0000000301988401</v>
      </c>
    </row>
    <row r="7271" spans="1:40" x14ac:dyDescent="0.25">
      <c r="A7271" t="str">
        <f>"20190312172255998"</f>
        <v>20190312172255998</v>
      </c>
      <c r="B7271" t="str">
        <f>"1552382575987862"</f>
        <v>1552382575987862</v>
      </c>
      <c r="C7271" t="s">
        <v>40</v>
      </c>
      <c r="D7271">
        <v>3.4829370000000002</v>
      </c>
      <c r="E7271">
        <v>0.45984039999999998</v>
      </c>
      <c r="F7271" t="s">
        <v>42</v>
      </c>
      <c r="G7271">
        <v>-261.21899999999999</v>
      </c>
      <c r="H7271" s="1">
        <v>-2.949666E-7</v>
      </c>
      <c r="I7271">
        <v>-63.265349999999998</v>
      </c>
      <c r="J7271">
        <v>-284.01080000000002</v>
      </c>
      <c r="K7271">
        <v>1.1118859999999999</v>
      </c>
      <c r="L7271">
        <v>-64.463809999999995</v>
      </c>
      <c r="M7271">
        <v>0.98781300000000005</v>
      </c>
      <c r="N7271">
        <v>0</v>
      </c>
      <c r="O7271">
        <v>-0.1550974</v>
      </c>
      <c r="P7271">
        <v>0.97809219999999997</v>
      </c>
      <c r="Q7271">
        <v>0.19912830000000001</v>
      </c>
      <c r="R7271">
        <v>-6.0693419999999998E-2</v>
      </c>
      <c r="S7271">
        <v>3.1088559999999998</v>
      </c>
      <c r="T7271">
        <v>-0.15115629999999999</v>
      </c>
      <c r="U7271">
        <v>0.161499</v>
      </c>
      <c r="V7271">
        <v>-9.2385949999999994E-2</v>
      </c>
      <c r="W7271">
        <v>0.21157819999999999</v>
      </c>
      <c r="X7271">
        <v>0.97298490000000004</v>
      </c>
      <c r="Y7271">
        <v>-0.2057271</v>
      </c>
      <c r="Z7271">
        <v>1.251183E-2</v>
      </c>
      <c r="AA7271">
        <v>0.97852939999999999</v>
      </c>
      <c r="AB7271">
        <v>15</v>
      </c>
      <c r="AC7271">
        <v>22.791799999999999</v>
      </c>
      <c r="AD7271">
        <v>-1.1118862949666</v>
      </c>
      <c r="AE7271">
        <v>1.1984599999999901</v>
      </c>
      <c r="AF7271">
        <v>-4.7080312124834798</v>
      </c>
      <c r="AG7271">
        <v>-1.1118862949666</v>
      </c>
      <c r="AH7271">
        <v>22.277187618315601</v>
      </c>
      <c r="AI7271">
        <v>92.795692938303006</v>
      </c>
      <c r="AJ7271">
        <v>101.933219863087</v>
      </c>
      <c r="AK7271">
        <v>22.796379914633</v>
      </c>
      <c r="AL7271">
        <v>77.785145863518906</v>
      </c>
      <c r="AM7271">
        <v>95.424033649528496</v>
      </c>
      <c r="AN7271">
        <v>1.00000005705032</v>
      </c>
    </row>
    <row r="7272" spans="1:40" x14ac:dyDescent="0.25">
      <c r="A7272" t="str">
        <f>"20190312172256008"</f>
        <v>20190312172256008</v>
      </c>
      <c r="B7272" t="str">
        <f>"1552382575997623"</f>
        <v>1552382575997623</v>
      </c>
      <c r="C7272" t="s">
        <v>40</v>
      </c>
      <c r="D7272">
        <v>3.46936</v>
      </c>
      <c r="E7272">
        <v>0.4600516</v>
      </c>
      <c r="F7272" t="s">
        <v>42</v>
      </c>
      <c r="G7272">
        <v>-261.2953</v>
      </c>
      <c r="H7272" s="1">
        <v>-3.2610879999999999E-7</v>
      </c>
      <c r="I7272">
        <v>-63.259459999999997</v>
      </c>
      <c r="J7272">
        <v>-283.94560000000001</v>
      </c>
      <c r="K7272">
        <v>1.111893</v>
      </c>
      <c r="L7272">
        <v>-64.472499999999997</v>
      </c>
      <c r="M7272">
        <v>0.9880139</v>
      </c>
      <c r="N7272">
        <v>0</v>
      </c>
      <c r="O7272">
        <v>-0.1538167</v>
      </c>
      <c r="P7272">
        <v>0.97829630000000001</v>
      </c>
      <c r="Q7272">
        <v>0.1986493</v>
      </c>
      <c r="R7272">
        <v>-5.8948649999999998E-2</v>
      </c>
      <c r="S7272">
        <v>3.1083980000000002</v>
      </c>
      <c r="T7272">
        <v>-0.152150799999999</v>
      </c>
      <c r="U7272">
        <v>0.16479489999999999</v>
      </c>
      <c r="V7272">
        <v>-9.2884720000000004E-2</v>
      </c>
      <c r="W7272">
        <v>0.21103520000000001</v>
      </c>
      <c r="X7272">
        <v>0.97305520000000001</v>
      </c>
      <c r="Y7272">
        <v>-0.2054967</v>
      </c>
      <c r="Z7272">
        <v>1.252789E-2</v>
      </c>
      <c r="AA7272">
        <v>0.97857760000000005</v>
      </c>
      <c r="AB7272">
        <v>15</v>
      </c>
      <c r="AC7272">
        <v>22.650300000000001</v>
      </c>
      <c r="AD7272">
        <v>-1.1118933261088</v>
      </c>
      <c r="AE7272">
        <v>1.2130399999999899</v>
      </c>
      <c r="AF7272">
        <v>-4.6716648873378999</v>
      </c>
      <c r="AG7272">
        <v>-1.1118933261088</v>
      </c>
      <c r="AH7272">
        <v>22.140898207769901</v>
      </c>
      <c r="AI7272">
        <v>92.813086106418893</v>
      </c>
      <c r="AJ7272">
        <v>101.914483696985</v>
      </c>
      <c r="AK7272">
        <v>22.6556865496295</v>
      </c>
      <c r="AL7272">
        <v>77.816974566612302</v>
      </c>
      <c r="AM7272">
        <v>95.452749086189698</v>
      </c>
      <c r="AN7272">
        <v>0.99999992454777598</v>
      </c>
    </row>
    <row r="7273" spans="1:40" x14ac:dyDescent="0.25">
      <c r="A7273" t="str">
        <f>"20190312172256017"</f>
        <v>20190312172256017</v>
      </c>
      <c r="B7273" t="str">
        <f>"1552382576007382"</f>
        <v>1552382576007382</v>
      </c>
      <c r="C7273" t="s">
        <v>40</v>
      </c>
      <c r="D7273">
        <v>3.4791949999999998</v>
      </c>
      <c r="E7273">
        <v>0.4602948</v>
      </c>
      <c r="F7273" t="s">
        <v>42</v>
      </c>
      <c r="G7273">
        <v>-261.43830000000003</v>
      </c>
      <c r="H7273" s="1">
        <v>-3.8628139999999999E-7</v>
      </c>
      <c r="I7273">
        <v>-63.254910000000002</v>
      </c>
      <c r="J7273">
        <v>-283.88630000000001</v>
      </c>
      <c r="K7273">
        <v>1.1119000000000001</v>
      </c>
      <c r="L7273">
        <v>-64.480409999999907</v>
      </c>
      <c r="M7273">
        <v>0.98819610000000002</v>
      </c>
      <c r="N7273">
        <v>0</v>
      </c>
      <c r="O7273">
        <v>-0.15264710000000001</v>
      </c>
      <c r="P7273">
        <v>0.97843959999999996</v>
      </c>
      <c r="Q7273">
        <v>0.19835810000000001</v>
      </c>
      <c r="R7273">
        <v>-5.7533840000000003E-2</v>
      </c>
      <c r="S7273">
        <v>3.1078800000000002</v>
      </c>
      <c r="T7273">
        <v>-0.1535338</v>
      </c>
      <c r="U7273">
        <v>0.1681213</v>
      </c>
      <c r="V7273">
        <v>-9.3158260000000007E-2</v>
      </c>
      <c r="W7273">
        <v>0.21068519999999999</v>
      </c>
      <c r="X7273">
        <v>0.973105</v>
      </c>
      <c r="Y7273">
        <v>-0.20538490000000001</v>
      </c>
      <c r="Z7273">
        <v>1.2583469999999999E-2</v>
      </c>
      <c r="AA7273">
        <v>0.97860040000000004</v>
      </c>
      <c r="AB7273">
        <v>15</v>
      </c>
      <c r="AC7273">
        <v>22.447999999999901</v>
      </c>
      <c r="AD7273">
        <v>-1.1119003862813901</v>
      </c>
      <c r="AE7273">
        <v>1.22549999999999</v>
      </c>
      <c r="AF7273">
        <v>-4.6267267893857102</v>
      </c>
      <c r="AG7273">
        <v>-1.1119003862813901</v>
      </c>
      <c r="AH7273">
        <v>21.944118841677799</v>
      </c>
      <c r="AI7273">
        <v>92.838377939245504</v>
      </c>
      <c r="AJ7273">
        <v>101.90593888960299</v>
      </c>
      <c r="AK7273">
        <v>22.454114878799199</v>
      </c>
      <c r="AL7273">
        <v>77.837490617703295</v>
      </c>
      <c r="AM7273">
        <v>95.468431729044497</v>
      </c>
      <c r="AN7273">
        <v>1.00000002796513</v>
      </c>
    </row>
    <row r="7274" spans="1:40" x14ac:dyDescent="0.25">
      <c r="A7274" t="str">
        <f>"20190312172256029"</f>
        <v>20190312172256029</v>
      </c>
      <c r="B7274" t="str">
        <f>"1552382576017143"</f>
        <v>1552382576017143</v>
      </c>
      <c r="C7274" t="s">
        <v>40</v>
      </c>
      <c r="D7274">
        <v>3.6217079999999999</v>
      </c>
      <c r="E7274">
        <v>0.46044790000000002</v>
      </c>
      <c r="F7274" t="s">
        <v>42</v>
      </c>
      <c r="G7274">
        <v>-261.50560000000002</v>
      </c>
      <c r="H7274" s="1">
        <v>-4.146517E-7</v>
      </c>
      <c r="I7274">
        <v>-63.253</v>
      </c>
      <c r="J7274">
        <v>-283.81259999999997</v>
      </c>
      <c r="K7274">
        <v>1.1119110000000001</v>
      </c>
      <c r="L7274">
        <v>-64.490049999999997</v>
      </c>
      <c r="M7274">
        <v>0.98842439999999998</v>
      </c>
      <c r="N7274">
        <v>0</v>
      </c>
      <c r="O7274">
        <v>-0.15116840000000001</v>
      </c>
      <c r="P7274">
        <v>0.97854759999999996</v>
      </c>
      <c r="Q7274">
        <v>0.19836770000000001</v>
      </c>
      <c r="R7274">
        <v>-5.5633179999999997E-2</v>
      </c>
      <c r="S7274">
        <v>3.1074220000000001</v>
      </c>
      <c r="T7274">
        <v>-0.15438089999999999</v>
      </c>
      <c r="U7274">
        <v>0.17041020000000001</v>
      </c>
      <c r="V7274">
        <v>-9.3602879999999999E-2</v>
      </c>
      <c r="W7274">
        <v>0.21061199999999999</v>
      </c>
      <c r="X7274">
        <v>0.97307809999999995</v>
      </c>
      <c r="Y7274">
        <v>-0.20464479999999999</v>
      </c>
      <c r="Z7274">
        <v>1.256328E-2</v>
      </c>
      <c r="AA7274">
        <v>0.97875570000000001</v>
      </c>
      <c r="AB7274">
        <v>15</v>
      </c>
      <c r="AC7274">
        <v>22.306999999999899</v>
      </c>
      <c r="AD7274">
        <v>-1.1119114146517</v>
      </c>
      <c r="AE7274">
        <v>1.23704999999999</v>
      </c>
      <c r="AF7274">
        <v>-4.5838695551750899</v>
      </c>
      <c r="AG7274">
        <v>-1.1119114146517</v>
      </c>
      <c r="AH7274">
        <v>21.809565438801201</v>
      </c>
      <c r="AI7274">
        <v>92.856270406777</v>
      </c>
      <c r="AJ7274">
        <v>101.869493092504</v>
      </c>
      <c r="AK7274">
        <v>22.313792858280401</v>
      </c>
      <c r="AL7274">
        <v>77.841779987774203</v>
      </c>
      <c r="AM7274">
        <v>95.494522747045394</v>
      </c>
      <c r="AN7274">
        <v>0.99999995119395002</v>
      </c>
    </row>
    <row r="7275" spans="1:40" x14ac:dyDescent="0.25">
      <c r="A7275" t="str">
        <f>"20190312172256039"</f>
        <v>20190312172256039</v>
      </c>
      <c r="B7275" t="str">
        <f>"1552382576027879"</f>
        <v>1552382576027879</v>
      </c>
      <c r="C7275" t="s">
        <v>40</v>
      </c>
      <c r="D7275">
        <v>3.4437549999999999</v>
      </c>
      <c r="E7275">
        <v>0.46063320000000002</v>
      </c>
      <c r="F7275" t="s">
        <v>42</v>
      </c>
      <c r="G7275">
        <v>-261.56029999999998</v>
      </c>
      <c r="H7275" s="1">
        <v>-4.343178E-7</v>
      </c>
      <c r="I7275">
        <v>-63.238759999999999</v>
      </c>
      <c r="J7275">
        <v>-283.73739999999998</v>
      </c>
      <c r="K7275">
        <v>1.111918</v>
      </c>
      <c r="L7275">
        <v>-64.49982</v>
      </c>
      <c r="M7275">
        <v>0.98865610000000004</v>
      </c>
      <c r="N7275">
        <v>0</v>
      </c>
      <c r="O7275">
        <v>-0.1496526</v>
      </c>
      <c r="P7275">
        <v>0.97859099999999999</v>
      </c>
      <c r="Q7275">
        <v>0.1986146</v>
      </c>
      <c r="R7275">
        <v>-5.3964489999999997E-2</v>
      </c>
      <c r="S7275">
        <v>3.1071469999999999</v>
      </c>
      <c r="T7275">
        <v>-0.15525949999999999</v>
      </c>
      <c r="U7275">
        <v>0.17471310000000001</v>
      </c>
      <c r="V7275">
        <v>-9.3773560000000006E-2</v>
      </c>
      <c r="W7275">
        <v>0.2107723</v>
      </c>
      <c r="X7275">
        <v>0.97302699999999998</v>
      </c>
      <c r="Y7275">
        <v>-0.20449690000000001</v>
      </c>
      <c r="Z7275">
        <v>1.2556680000000001E-2</v>
      </c>
      <c r="AA7275">
        <v>0.97878659999999995</v>
      </c>
      <c r="AB7275">
        <v>15</v>
      </c>
      <c r="AC7275">
        <v>22.177099999999999</v>
      </c>
      <c r="AD7275">
        <v>-1.1119184343177999</v>
      </c>
      <c r="AE7275">
        <v>1.2610600000000001</v>
      </c>
      <c r="AF7275">
        <v>-4.5545754329464501</v>
      </c>
      <c r="AG7275">
        <v>-1.1119184343177999</v>
      </c>
      <c r="AH7275">
        <v>21.684243523133901</v>
      </c>
      <c r="AI7275">
        <v>92.872847096981204</v>
      </c>
      <c r="AJ7275">
        <v>101.862016960415</v>
      </c>
      <c r="AK7275">
        <v>22.185286501407798</v>
      </c>
      <c r="AL7275">
        <v>77.832385084653893</v>
      </c>
      <c r="AM7275">
        <v>95.504767546167102</v>
      </c>
      <c r="AN7275">
        <v>0.99999999286568098</v>
      </c>
    </row>
    <row r="7276" spans="1:40" x14ac:dyDescent="0.25">
      <c r="A7276" t="str">
        <f>"20190312172256051"</f>
        <v>20190312172256051</v>
      </c>
      <c r="B7276" t="str">
        <f>"1552382576047398"</f>
        <v>1552382576047398</v>
      </c>
      <c r="C7276" t="s">
        <v>40</v>
      </c>
      <c r="D7276">
        <v>3.3930920000000002</v>
      </c>
      <c r="E7276">
        <v>0.46107559999999898</v>
      </c>
      <c r="F7276" t="s">
        <v>42</v>
      </c>
      <c r="G7276">
        <v>-261.2722</v>
      </c>
      <c r="H7276" s="1">
        <v>-3.0312480000000003E-7</v>
      </c>
      <c r="I7276">
        <v>-63.210299999999997</v>
      </c>
      <c r="J7276">
        <v>-283.66609999999997</v>
      </c>
      <c r="K7276">
        <v>1.1119220000000001</v>
      </c>
      <c r="L7276">
        <v>-64.50882</v>
      </c>
      <c r="M7276">
        <v>0.98887789999999998</v>
      </c>
      <c r="N7276">
        <v>0</v>
      </c>
      <c r="O7276">
        <v>-0.1481866</v>
      </c>
      <c r="P7276">
        <v>0.97858069999999997</v>
      </c>
      <c r="Q7276">
        <v>0.1990411</v>
      </c>
      <c r="R7276">
        <v>-5.2558590000000002E-2</v>
      </c>
      <c r="S7276">
        <v>3.1066280000000002</v>
      </c>
      <c r="T7276">
        <v>-0.15376289999999901</v>
      </c>
      <c r="U7276">
        <v>0.17831420000000001</v>
      </c>
      <c r="V7276">
        <v>-9.3725310000000006E-2</v>
      </c>
      <c r="W7276">
        <v>0.2111084</v>
      </c>
      <c r="X7276">
        <v>0.97295880000000001</v>
      </c>
      <c r="Y7276">
        <v>-0.20419609999999999</v>
      </c>
      <c r="Z7276">
        <v>1.235817E-2</v>
      </c>
      <c r="AA7276">
        <v>0.97885200000000006</v>
      </c>
      <c r="AB7276">
        <v>15</v>
      </c>
      <c r="AC7276">
        <v>22.393899999999899</v>
      </c>
      <c r="AD7276">
        <v>-1.11192230312479</v>
      </c>
      <c r="AE7276">
        <v>1.2985199999999999</v>
      </c>
      <c r="AF7276">
        <v>-4.5916423602560696</v>
      </c>
      <c r="AG7276">
        <v>-1.11192230312479</v>
      </c>
      <c r="AH7276">
        <v>21.900366971808999</v>
      </c>
      <c r="AI7276">
        <v>92.844770188157398</v>
      </c>
      <c r="AJ7276">
        <v>101.841148709091</v>
      </c>
      <c r="AK7276">
        <v>22.4041430158038</v>
      </c>
      <c r="AL7276">
        <v>77.812684885247506</v>
      </c>
      <c r="AM7276">
        <v>95.502335817323896</v>
      </c>
      <c r="AN7276">
        <v>1.0000000083912901</v>
      </c>
    </row>
    <row r="7277" spans="1:40" x14ac:dyDescent="0.25">
      <c r="A7277" t="str">
        <f>"20190312172256063"</f>
        <v>20190312172256063</v>
      </c>
      <c r="B7277" t="str">
        <f>"1552382576058134"</f>
        <v>1552382576058134</v>
      </c>
      <c r="C7277" t="s">
        <v>40</v>
      </c>
      <c r="D7277">
        <v>3.3579110000000001</v>
      </c>
      <c r="E7277">
        <v>0.46137549999999999</v>
      </c>
      <c r="F7277" t="s">
        <v>42</v>
      </c>
      <c r="G7277">
        <v>-261.0865</v>
      </c>
      <c r="H7277" s="1">
        <v>-2.230024E-7</v>
      </c>
      <c r="I7277">
        <v>-63.208419999999997</v>
      </c>
      <c r="J7277">
        <v>-283.58789999999999</v>
      </c>
      <c r="K7277">
        <v>1.1119270000000001</v>
      </c>
      <c r="L7277">
        <v>-64.518709999999999</v>
      </c>
      <c r="M7277">
        <v>0.98912009999999995</v>
      </c>
      <c r="N7277">
        <v>0</v>
      </c>
      <c r="O7277">
        <v>-0.146569899999999</v>
      </c>
      <c r="P7277">
        <v>0.97855080000000005</v>
      </c>
      <c r="Q7277">
        <v>0.19960420000000001</v>
      </c>
      <c r="R7277">
        <v>-5.0957219999999998E-2</v>
      </c>
      <c r="S7277">
        <v>3.1063839999999998</v>
      </c>
      <c r="T7277">
        <v>-0.15297259999999999</v>
      </c>
      <c r="U7277">
        <v>0.178894</v>
      </c>
      <c r="V7277">
        <v>-9.3720349999999994E-2</v>
      </c>
      <c r="W7277">
        <v>0.21157119999999999</v>
      </c>
      <c r="X7277">
        <v>0.97285869999999997</v>
      </c>
      <c r="Y7277">
        <v>-0.20279</v>
      </c>
      <c r="Z7277">
        <v>1.218205E-2</v>
      </c>
      <c r="AA7277">
        <v>0.97914650000000003</v>
      </c>
      <c r="AB7277">
        <v>15</v>
      </c>
      <c r="AC7277">
        <v>22.501399999999901</v>
      </c>
      <c r="AD7277">
        <v>-1.1119272230024</v>
      </c>
      <c r="AE7277">
        <v>1.31029</v>
      </c>
      <c r="AF7277">
        <v>-4.5832724691102404</v>
      </c>
      <c r="AG7277">
        <v>-1.1119272230024</v>
      </c>
      <c r="AH7277">
        <v>22.012716976619402</v>
      </c>
      <c r="AI7277">
        <v>92.831107572041304</v>
      </c>
      <c r="AJ7277">
        <v>101.76152787631401</v>
      </c>
      <c r="AK7277">
        <v>22.512273927084799</v>
      </c>
      <c r="AL7277">
        <v>77.7855550624637</v>
      </c>
      <c r="AM7277">
        <v>95.502609062896596</v>
      </c>
      <c r="AN7277">
        <v>0.99999996341962505</v>
      </c>
    </row>
    <row r="7278" spans="1:40" x14ac:dyDescent="0.25">
      <c r="A7278" t="str">
        <f>"20190312172256072"</f>
        <v>20190312172256072</v>
      </c>
      <c r="B7278" t="str">
        <f>"1552382576067894"</f>
        <v>1552382576067894</v>
      </c>
      <c r="C7278" t="s">
        <v>40</v>
      </c>
      <c r="D7278">
        <v>2.8855819999999999</v>
      </c>
      <c r="E7278">
        <v>0.46137549999999999</v>
      </c>
      <c r="F7278" t="s">
        <v>42</v>
      </c>
      <c r="G7278">
        <v>-260.80259999999998</v>
      </c>
      <c r="H7278" s="1">
        <v>-9.5591079999999998E-8</v>
      </c>
      <c r="I7278">
        <v>-63.187330000000003</v>
      </c>
      <c r="J7278">
        <v>-283.51420000000002</v>
      </c>
      <c r="K7278">
        <v>1.111928</v>
      </c>
      <c r="L7278">
        <v>-64.527829999999994</v>
      </c>
      <c r="M7278">
        <v>0.98934949999999999</v>
      </c>
      <c r="N7278">
        <v>0</v>
      </c>
      <c r="O7278">
        <v>-0.14502219999999999</v>
      </c>
      <c r="P7278">
        <v>0.97852669999999997</v>
      </c>
      <c r="Q7278">
        <v>0.20003080000000001</v>
      </c>
      <c r="R7278">
        <v>-4.973412E-2</v>
      </c>
      <c r="S7278">
        <v>3.1061399999999999</v>
      </c>
      <c r="T7278">
        <v>-0.1515803</v>
      </c>
      <c r="U7278">
        <v>0.18148800000000001</v>
      </c>
      <c r="V7278">
        <v>-9.3409690000000004E-2</v>
      </c>
      <c r="W7278">
        <v>0.2118998</v>
      </c>
      <c r="X7278">
        <v>0.97281709999999999</v>
      </c>
      <c r="Y7278">
        <v>-0.2020875</v>
      </c>
      <c r="Z7278">
        <v>1.1979979999999999E-2</v>
      </c>
      <c r="AA7278">
        <v>0.9792942</v>
      </c>
      <c r="AB7278">
        <v>15</v>
      </c>
      <c r="AC7278">
        <v>22.711600000000001</v>
      </c>
      <c r="AD7278">
        <v>-1.11192809559108</v>
      </c>
      <c r="AE7278">
        <v>1.3405</v>
      </c>
      <c r="AF7278">
        <v>-4.6092601086313003</v>
      </c>
      <c r="AG7278">
        <v>-1.11192809559108</v>
      </c>
      <c r="AH7278">
        <v>22.2239622820839</v>
      </c>
      <c r="AI7278">
        <v>92.804694068220996</v>
      </c>
      <c r="AJ7278">
        <v>101.717053330575</v>
      </c>
      <c r="AK7278">
        <v>22.724131718379802</v>
      </c>
      <c r="AL7278">
        <v>77.766291380557405</v>
      </c>
      <c r="AM7278">
        <v>95.484713758349102</v>
      </c>
      <c r="AN7278">
        <v>1.00000000273917</v>
      </c>
    </row>
    <row r="7279" spans="1:40" x14ac:dyDescent="0.25">
      <c r="A7279" t="str">
        <f>"20190312172256185"</f>
        <v>20190312172256185</v>
      </c>
      <c r="B7279" t="str">
        <f>"1552382576178182"</f>
        <v>1552382576178182</v>
      </c>
      <c r="C7279" t="s">
        <v>40</v>
      </c>
      <c r="D7279">
        <v>3.5199579999999999</v>
      </c>
      <c r="E7279">
        <v>0.462061</v>
      </c>
      <c r="F7279" t="s">
        <v>42</v>
      </c>
      <c r="G7279">
        <v>-260.53149999999999</v>
      </c>
      <c r="H7279" s="1">
        <v>2.8891689999999999E-8</v>
      </c>
      <c r="I7279">
        <v>-63.15663</v>
      </c>
      <c r="J7279">
        <v>-282.75880000000001</v>
      </c>
      <c r="K7279">
        <v>1.11192</v>
      </c>
      <c r="L7279">
        <v>-64.613680000000002</v>
      </c>
      <c r="M7279">
        <v>0.99164600000000003</v>
      </c>
      <c r="N7279">
        <v>0</v>
      </c>
      <c r="O7279">
        <v>-0.1284748</v>
      </c>
      <c r="P7279">
        <v>0.97977639999999999</v>
      </c>
      <c r="Q7279">
        <v>0.1969843</v>
      </c>
      <c r="R7279">
        <v>-3.5144500000000002E-2</v>
      </c>
      <c r="S7279">
        <v>3.105988</v>
      </c>
      <c r="T7279">
        <v>-0.15027109999999999</v>
      </c>
      <c r="U7279">
        <v>0.18530269999999999</v>
      </c>
      <c r="V7279">
        <v>-9.1786060000000003E-2</v>
      </c>
      <c r="W7279">
        <v>0.2078661</v>
      </c>
      <c r="X7279">
        <v>0.97384139999999997</v>
      </c>
      <c r="Y7279">
        <v>-0.1869479</v>
      </c>
      <c r="Z7279">
        <v>1.0715769999999999E-2</v>
      </c>
      <c r="AA7279">
        <v>0.98231139999999995</v>
      </c>
      <c r="AB7279">
        <v>15</v>
      </c>
      <c r="AC7279">
        <v>22.2273</v>
      </c>
      <c r="AD7279">
        <v>-1.1119199711083101</v>
      </c>
      <c r="AE7279">
        <v>1.45704999999999</v>
      </c>
      <c r="AF7279">
        <v>-4.2901204487814297</v>
      </c>
      <c r="AG7279">
        <v>-1.1119199711083101</v>
      </c>
      <c r="AH7279">
        <v>21.801541371318802</v>
      </c>
      <c r="AI7279">
        <v>92.864818030734597</v>
      </c>
      <c r="AJ7279">
        <v>101.132459815991</v>
      </c>
      <c r="AK7279">
        <v>22.247442676688198</v>
      </c>
      <c r="AL7279">
        <v>78.002670923654307</v>
      </c>
      <c r="AM7279">
        <v>95.384309960996603</v>
      </c>
      <c r="AN7279">
        <v>1.0000000343467399</v>
      </c>
    </row>
    <row r="7280" spans="1:40" x14ac:dyDescent="0.25">
      <c r="A7280" t="str">
        <f>"20190312172256196"</f>
        <v>20190312172256196</v>
      </c>
      <c r="B7280" t="str">
        <f>"1552382576187942"</f>
        <v>1552382576187942</v>
      </c>
      <c r="C7280" t="s">
        <v>40</v>
      </c>
      <c r="D7280">
        <v>3.70045</v>
      </c>
      <c r="E7280">
        <v>0.46249960000000001</v>
      </c>
      <c r="F7280" t="s">
        <v>42</v>
      </c>
      <c r="G7280">
        <v>-262.49919999999997</v>
      </c>
      <c r="H7280" s="1">
        <v>-8.1644849999999999E-7</v>
      </c>
      <c r="I7280">
        <v>-63.161219999999901</v>
      </c>
      <c r="J7280">
        <v>-282.6807</v>
      </c>
      <c r="K7280">
        <v>1.1119190000000001</v>
      </c>
      <c r="L7280">
        <v>-64.621729999999999</v>
      </c>
      <c r="M7280">
        <v>0.99187519999999996</v>
      </c>
      <c r="N7280">
        <v>0</v>
      </c>
      <c r="O7280">
        <v>-0.1267025</v>
      </c>
      <c r="P7280">
        <v>0.97988900000000001</v>
      </c>
      <c r="Q7280">
        <v>0.1966533</v>
      </c>
      <c r="R7280">
        <v>-3.3839340000000002E-2</v>
      </c>
      <c r="S7280">
        <v>3.1041560000000001</v>
      </c>
      <c r="T7280">
        <v>-0.170367299999999</v>
      </c>
      <c r="U7280">
        <v>0.22253419999999999</v>
      </c>
      <c r="V7280">
        <v>-9.1354240000000003E-2</v>
      </c>
      <c r="W7280">
        <v>0.2074425</v>
      </c>
      <c r="X7280">
        <v>0.97397230000000001</v>
      </c>
      <c r="Y7280">
        <v>-0.1968308</v>
      </c>
      <c r="Z7280">
        <v>1.2324480000000001E-2</v>
      </c>
      <c r="AA7280">
        <v>0.98036000000000001</v>
      </c>
      <c r="AB7280">
        <v>15</v>
      </c>
      <c r="AC7280">
        <v>20.1815</v>
      </c>
      <c r="AD7280">
        <v>-1.1119198164485</v>
      </c>
      <c r="AE7280">
        <v>1.46051</v>
      </c>
      <c r="AF7280">
        <v>-3.99389011228733</v>
      </c>
      <c r="AG7280">
        <v>-1.1119198164485</v>
      </c>
      <c r="AH7280">
        <v>19.774056178631</v>
      </c>
      <c r="AI7280">
        <v>93.154849470835003</v>
      </c>
      <c r="AJ7280">
        <v>101.41876784303901</v>
      </c>
      <c r="AK7280">
        <v>20.2039803420735</v>
      </c>
      <c r="AL7280">
        <v>78.027482005273001</v>
      </c>
      <c r="AM7280">
        <v>95.358410509288603</v>
      </c>
      <c r="AN7280">
        <v>1.0000000145697501</v>
      </c>
    </row>
    <row r="7281" spans="1:40" x14ac:dyDescent="0.25">
      <c r="A7281" t="str">
        <f>"20190312172256207"</f>
        <v>20190312172256207</v>
      </c>
      <c r="B7281" t="str">
        <f>"1552382576197703"</f>
        <v>1552382576197703</v>
      </c>
      <c r="C7281" t="s">
        <v>40</v>
      </c>
      <c r="D7281">
        <v>3.415333</v>
      </c>
      <c r="E7281">
        <v>0.4629065</v>
      </c>
      <c r="F7281" t="s">
        <v>42</v>
      </c>
      <c r="G7281">
        <v>-262.69600000000003</v>
      </c>
      <c r="H7281" s="1">
        <v>-9.0727780000000002E-7</v>
      </c>
      <c r="I7281">
        <v>-63.185160000000003</v>
      </c>
      <c r="J7281">
        <v>-282.61130000000003</v>
      </c>
      <c r="K7281">
        <v>1.1119139999999901</v>
      </c>
      <c r="L7281">
        <v>-64.628749999999997</v>
      </c>
      <c r="M7281">
        <v>0.99207690000000004</v>
      </c>
      <c r="N7281">
        <v>0</v>
      </c>
      <c r="O7281">
        <v>-0.12512019999999999</v>
      </c>
      <c r="P7281">
        <v>0.98004899999999995</v>
      </c>
      <c r="Q7281">
        <v>0.19607620000000001</v>
      </c>
      <c r="R7281">
        <v>-3.2525320000000003E-2</v>
      </c>
      <c r="S7281">
        <v>3.1039430000000001</v>
      </c>
      <c r="T7281">
        <v>-0.1726993</v>
      </c>
      <c r="U7281">
        <v>0.22311400000000001</v>
      </c>
      <c r="V7281">
        <v>-9.1121480000000005E-2</v>
      </c>
      <c r="W7281">
        <v>0.2067862</v>
      </c>
      <c r="X7281">
        <v>0.97413369999999999</v>
      </c>
      <c r="Y7281">
        <v>-0.1954449</v>
      </c>
      <c r="Z7281">
        <v>1.2367710000000001E-2</v>
      </c>
      <c r="AA7281">
        <v>0.98063670000000003</v>
      </c>
      <c r="AB7281">
        <v>15</v>
      </c>
      <c r="AC7281">
        <v>19.915299999999998</v>
      </c>
      <c r="AD7281">
        <v>-1.1119149072777901</v>
      </c>
      <c r="AE7281">
        <v>1.4435899999999999</v>
      </c>
      <c r="AF7281">
        <v>-3.9120793489457601</v>
      </c>
      <c r="AG7281">
        <v>-1.1119149072777901</v>
      </c>
      <c r="AH7281">
        <v>19.5176203990498</v>
      </c>
      <c r="AI7281">
        <v>93.197149293438997</v>
      </c>
      <c r="AJ7281">
        <v>101.33407926757999</v>
      </c>
      <c r="AK7281">
        <v>19.936855961632499</v>
      </c>
      <c r="AL7281">
        <v>78.065919220357401</v>
      </c>
      <c r="AM7281">
        <v>95.343956632105602</v>
      </c>
      <c r="AN7281">
        <v>1.0000000610517501</v>
      </c>
    </row>
    <row r="7282" spans="1:40" x14ac:dyDescent="0.25">
      <c r="A7282" t="str">
        <f>"20190312172256217"</f>
        <v>20190312172256217</v>
      </c>
      <c r="B7282" t="str">
        <f>"1552382576207463"</f>
        <v>1552382576207463</v>
      </c>
      <c r="C7282" t="s">
        <v>40</v>
      </c>
      <c r="D7282">
        <v>3.5238719999999999</v>
      </c>
      <c r="E7282">
        <v>0.46331850000000002</v>
      </c>
      <c r="F7282" t="s">
        <v>42</v>
      </c>
      <c r="G7282">
        <v>-263.04320000000001</v>
      </c>
      <c r="H7282" s="1">
        <v>-1.0645079999999999E-6</v>
      </c>
      <c r="I7282">
        <v>-63.216279999999998</v>
      </c>
      <c r="J7282">
        <v>-282.53699999999998</v>
      </c>
      <c r="K7282">
        <v>1.1119079999999999</v>
      </c>
      <c r="L7282">
        <v>-64.636169999999893</v>
      </c>
      <c r="M7282">
        <v>0.99229049999999996</v>
      </c>
      <c r="N7282">
        <v>0</v>
      </c>
      <c r="O7282">
        <v>-0.12342309999999999</v>
      </c>
      <c r="P7282">
        <v>0.98018159999999999</v>
      </c>
      <c r="Q7282">
        <v>0.1956234</v>
      </c>
      <c r="R7282">
        <v>-3.1229839999999998E-2</v>
      </c>
      <c r="S7282">
        <v>3.10379</v>
      </c>
      <c r="T7282">
        <v>-0.17636660000000001</v>
      </c>
      <c r="U7282">
        <v>0.22402949999999999</v>
      </c>
      <c r="V7282">
        <v>-9.0754329999999994E-2</v>
      </c>
      <c r="W7282">
        <v>0.20625060000000001</v>
      </c>
      <c r="X7282">
        <v>0.97428139999999996</v>
      </c>
      <c r="Y7282">
        <v>-0.1940423</v>
      </c>
      <c r="Z7282">
        <v>1.249478E-2</v>
      </c>
      <c r="AA7282">
        <v>0.98091360000000005</v>
      </c>
      <c r="AB7282">
        <v>15</v>
      </c>
      <c r="AC7282">
        <v>19.4938</v>
      </c>
      <c r="AD7282">
        <v>-1.1119090645080001</v>
      </c>
      <c r="AE7282">
        <v>1.4198899999999799</v>
      </c>
      <c r="AF7282">
        <v>-3.8028623561777302</v>
      </c>
      <c r="AG7282">
        <v>-1.1119090645080001</v>
      </c>
      <c r="AH7282">
        <v>19.107638062138101</v>
      </c>
      <c r="AI7282">
        <v>93.266470599777307</v>
      </c>
      <c r="AJ7282">
        <v>101.256105779853</v>
      </c>
      <c r="AK7282">
        <v>19.514095833049499</v>
      </c>
      <c r="AL7282">
        <v>78.097281643069095</v>
      </c>
      <c r="AM7282">
        <v>95.321746217686297</v>
      </c>
      <c r="AN7282">
        <v>0.99999995240003303</v>
      </c>
    </row>
    <row r="7283" spans="1:40" x14ac:dyDescent="0.25">
      <c r="A7283" t="str">
        <f>"20190312172256229"</f>
        <v>20190312172256229</v>
      </c>
      <c r="B7283" t="str">
        <f>"1552382576218199"</f>
        <v>1552382576218199</v>
      </c>
      <c r="C7283" t="s">
        <v>40</v>
      </c>
      <c r="D7283">
        <v>3.396293</v>
      </c>
      <c r="E7283">
        <v>0.46375499999999997</v>
      </c>
      <c r="F7283" t="s">
        <v>73</v>
      </c>
      <c r="G7283">
        <v>-263.05650000000003</v>
      </c>
      <c r="H7283" s="1">
        <v>-1.0727769999999999E-6</v>
      </c>
      <c r="I7283">
        <v>-63.226069999999901</v>
      </c>
      <c r="J7283">
        <v>-282.4597</v>
      </c>
      <c r="K7283">
        <v>1.1119019999999999</v>
      </c>
      <c r="L7283">
        <v>-64.643709999999999</v>
      </c>
      <c r="M7283">
        <v>0.99251040000000001</v>
      </c>
      <c r="N7283">
        <v>0</v>
      </c>
      <c r="O7283">
        <v>-0.1216508</v>
      </c>
      <c r="P7283">
        <v>0.98029049999999995</v>
      </c>
      <c r="Q7283">
        <v>0.19524240000000001</v>
      </c>
      <c r="R7283">
        <v>-3.0184280000000001E-2</v>
      </c>
      <c r="S7283">
        <v>3.103119</v>
      </c>
      <c r="T7283">
        <v>-0.1771199</v>
      </c>
      <c r="U7283">
        <v>0.22460939999999999</v>
      </c>
      <c r="V7283">
        <v>-9.006132E-2</v>
      </c>
      <c r="W7283">
        <v>0.20578630000000001</v>
      </c>
      <c r="X7283">
        <v>0.97444390000000003</v>
      </c>
      <c r="Y7283">
        <v>-0.19248850000000001</v>
      </c>
      <c r="Z7283">
        <v>1.240584E-2</v>
      </c>
      <c r="AA7283">
        <v>0.9812208</v>
      </c>
      <c r="AB7283">
        <v>15</v>
      </c>
      <c r="AC7283">
        <v>19.403199999999899</v>
      </c>
      <c r="AD7283">
        <v>-1.1119030727769901</v>
      </c>
      <c r="AE7283">
        <v>1.41764</v>
      </c>
      <c r="AF7283">
        <v>-3.75540439226533</v>
      </c>
      <c r="AG7283">
        <v>-1.1119030727769901</v>
      </c>
      <c r="AH7283">
        <v>19.024463645803799</v>
      </c>
      <c r="AI7283">
        <v>93.281717087738002</v>
      </c>
      <c r="AJ7283">
        <v>101.1665499787</v>
      </c>
      <c r="AK7283">
        <v>19.423429347136601</v>
      </c>
      <c r="AL7283">
        <v>78.124467571711406</v>
      </c>
      <c r="AM7283">
        <v>95.280463705122301</v>
      </c>
      <c r="AN7283">
        <v>0.99999997843752098</v>
      </c>
    </row>
    <row r="7284" spans="1:40" x14ac:dyDescent="0.25">
      <c r="A7284" t="str">
        <f>"20190312172256240"</f>
        <v>20190312172256240</v>
      </c>
      <c r="B7284" t="str">
        <f>"1552382576237718"</f>
        <v>1552382576237718</v>
      </c>
      <c r="C7284" t="s">
        <v>40</v>
      </c>
      <c r="D7284">
        <v>3.5567139999999999</v>
      </c>
      <c r="E7284">
        <v>0.46476220000000001</v>
      </c>
      <c r="F7284" t="s">
        <v>42</v>
      </c>
      <c r="G7284">
        <v>-262.96640000000002</v>
      </c>
      <c r="H7284" s="1">
        <v>-1.0366730000000001E-6</v>
      </c>
      <c r="I7284">
        <v>-63.23563</v>
      </c>
      <c r="J7284">
        <v>-282.38440000000003</v>
      </c>
      <c r="K7284">
        <v>1.1118939999999999</v>
      </c>
      <c r="L7284">
        <v>-64.650999999999996</v>
      </c>
      <c r="M7284">
        <v>0.99272159999999998</v>
      </c>
      <c r="N7284">
        <v>0</v>
      </c>
      <c r="O7284">
        <v>-0.1199245</v>
      </c>
      <c r="P7284">
        <v>0.98045959999999999</v>
      </c>
      <c r="Q7284">
        <v>0.19455339999999999</v>
      </c>
      <c r="R7284">
        <v>-2.912091E-2</v>
      </c>
      <c r="S7284">
        <v>3.102417</v>
      </c>
      <c r="T7284">
        <v>-0.1769628</v>
      </c>
      <c r="U7284">
        <v>0.2240906</v>
      </c>
      <c r="V7284">
        <v>-8.9436699999999994E-2</v>
      </c>
      <c r="W7284">
        <v>0.20501720000000001</v>
      </c>
      <c r="X7284">
        <v>0.97466359999999996</v>
      </c>
      <c r="Y7284">
        <v>-0.1906409</v>
      </c>
      <c r="Z7284">
        <v>1.224718E-2</v>
      </c>
      <c r="AA7284">
        <v>0.98158350000000005</v>
      </c>
      <c r="AB7284">
        <v>15</v>
      </c>
      <c r="AC7284">
        <v>19.417999999999999</v>
      </c>
      <c r="AD7284">
        <v>-1.111895036673</v>
      </c>
      <c r="AE7284">
        <v>1.41537</v>
      </c>
      <c r="AF7284">
        <v>-3.72185116248707</v>
      </c>
      <c r="AG7284">
        <v>-1.111895036673</v>
      </c>
      <c r="AH7284">
        <v>19.0459770897894</v>
      </c>
      <c r="AI7284">
        <v>93.2792225149785</v>
      </c>
      <c r="AJ7284">
        <v>101.057060473923</v>
      </c>
      <c r="AK7284">
        <v>19.438048511953799</v>
      </c>
      <c r="AL7284">
        <v>78.169494730789197</v>
      </c>
      <c r="AM7284">
        <v>95.2428704768393</v>
      </c>
      <c r="AN7284">
        <v>1.0000000543838401</v>
      </c>
    </row>
    <row r="7285" spans="1:40" x14ac:dyDescent="0.25">
      <c r="A7285" t="str">
        <f>"20190312172256252"</f>
        <v>20190312172256252</v>
      </c>
      <c r="B7285" t="str">
        <f>"1552382576247481"</f>
        <v>1552382576247481</v>
      </c>
      <c r="C7285" t="s">
        <v>40</v>
      </c>
      <c r="D7285">
        <v>3.4169550000000002</v>
      </c>
      <c r="E7285">
        <v>0.46524100000000002</v>
      </c>
      <c r="F7285" t="s">
        <v>42</v>
      </c>
      <c r="G7285">
        <v>-262.86770000000001</v>
      </c>
      <c r="H7285" s="1">
        <v>-1.003632E-6</v>
      </c>
      <c r="I7285">
        <v>-63.270539999999997</v>
      </c>
      <c r="J7285">
        <v>-282.30239999999998</v>
      </c>
      <c r="K7285">
        <v>1.1118809999999999</v>
      </c>
      <c r="L7285">
        <v>-64.658690000000007</v>
      </c>
      <c r="M7285">
        <v>0.99294819999999995</v>
      </c>
      <c r="N7285">
        <v>0</v>
      </c>
      <c r="O7285">
        <v>-0.1180416</v>
      </c>
      <c r="P7285">
        <v>0.98059149999999995</v>
      </c>
      <c r="Q7285">
        <v>0.19404389999999999</v>
      </c>
      <c r="R7285">
        <v>-2.8059520000000001E-2</v>
      </c>
      <c r="S7285">
        <v>3.10141</v>
      </c>
      <c r="T7285">
        <v>-0.17669209999999999</v>
      </c>
      <c r="U7285">
        <v>0.21936040000000001</v>
      </c>
      <c r="V7285">
        <v>-8.8650909999999999E-2</v>
      </c>
      <c r="W7285">
        <v>0.20442070000000001</v>
      </c>
      <c r="X7285">
        <v>0.97486059999999997</v>
      </c>
      <c r="Y7285">
        <v>-0.18732109999999999</v>
      </c>
      <c r="Z7285">
        <v>1.203186E-2</v>
      </c>
      <c r="AA7285">
        <v>0.98222509999999996</v>
      </c>
      <c r="AB7285">
        <v>15</v>
      </c>
      <c r="AC7285">
        <v>19.4346999999999</v>
      </c>
      <c r="AD7285">
        <v>-1.1118820036319901</v>
      </c>
      <c r="AE7285">
        <v>1.38815</v>
      </c>
      <c r="AF7285">
        <v>-3.6607632993115198</v>
      </c>
      <c r="AG7285">
        <v>-1.1118820036319901</v>
      </c>
      <c r="AH7285">
        <v>19.0728288158721</v>
      </c>
      <c r="AI7285">
        <v>93.276699667018804</v>
      </c>
      <c r="AJ7285">
        <v>100.864991138186</v>
      </c>
      <c r="AK7285">
        <v>19.452770202805201</v>
      </c>
      <c r="AL7285">
        <v>78.204410488729593</v>
      </c>
      <c r="AM7285">
        <v>95.196015546922098</v>
      </c>
      <c r="AN7285">
        <v>0.99999999793233896</v>
      </c>
    </row>
    <row r="7286" spans="1:40" x14ac:dyDescent="0.25">
      <c r="A7286" t="str">
        <f>"20190312172256265"</f>
        <v>20190312172256265</v>
      </c>
      <c r="B7286" t="str">
        <f>"1552382576258214"</f>
        <v>1552382576258214</v>
      </c>
      <c r="C7286" t="s">
        <v>40</v>
      </c>
      <c r="D7286">
        <v>3.4482390000000001</v>
      </c>
      <c r="E7286">
        <v>0.46570699999999998</v>
      </c>
      <c r="F7286" t="s">
        <v>42</v>
      </c>
      <c r="G7286">
        <v>-262.82510000000002</v>
      </c>
      <c r="H7286" s="1">
        <v>-9.8891949999999998E-7</v>
      </c>
      <c r="I7286">
        <v>-63.283929999999998</v>
      </c>
      <c r="J7286">
        <v>-282.2158</v>
      </c>
      <c r="K7286">
        <v>1.1118669999999999</v>
      </c>
      <c r="L7286">
        <v>-64.666690000000003</v>
      </c>
      <c r="M7286">
        <v>0.99318399999999996</v>
      </c>
      <c r="N7286">
        <v>0</v>
      </c>
      <c r="O7286">
        <v>-0.11605020000000001</v>
      </c>
      <c r="P7286">
        <v>0.98075469999999998</v>
      </c>
      <c r="Q7286">
        <v>0.19335920000000001</v>
      </c>
      <c r="R7286">
        <v>-2.7070380000000002E-2</v>
      </c>
      <c r="S7286">
        <v>3.1006469999999999</v>
      </c>
      <c r="T7286">
        <v>-0.1770033</v>
      </c>
      <c r="U7286">
        <v>0.2188416</v>
      </c>
      <c r="V7286">
        <v>-8.7689169999999997E-2</v>
      </c>
      <c r="W7286">
        <v>0.20364489999999999</v>
      </c>
      <c r="X7286">
        <v>0.97510989999999997</v>
      </c>
      <c r="Y7286">
        <v>-0.18520909999999999</v>
      </c>
      <c r="Z7286">
        <v>1.1882759999999999E-2</v>
      </c>
      <c r="AA7286">
        <v>0.98262729999999998</v>
      </c>
      <c r="AB7286">
        <v>15</v>
      </c>
      <c r="AC7286">
        <v>19.390699999999899</v>
      </c>
      <c r="AD7286">
        <v>-1.1118679889195</v>
      </c>
      <c r="AE7286">
        <v>1.38275999999999</v>
      </c>
      <c r="AF7286">
        <v>-3.6120274177165901</v>
      </c>
      <c r="AG7286">
        <v>-1.1118679889195</v>
      </c>
      <c r="AH7286">
        <v>19.036914361906099</v>
      </c>
      <c r="AI7286">
        <v>93.284152560265198</v>
      </c>
      <c r="AJ7286">
        <v>100.743481884245</v>
      </c>
      <c r="AK7286">
        <v>19.408428604955802</v>
      </c>
      <c r="AL7286">
        <v>78.2498154414982</v>
      </c>
      <c r="AM7286">
        <v>95.138642475605806</v>
      </c>
      <c r="AN7286">
        <v>0.99999997645465399</v>
      </c>
    </row>
    <row r="7287" spans="1:40" x14ac:dyDescent="0.25">
      <c r="A7287" t="str">
        <f>"20190312172256273"</f>
        <v>20190312172256273</v>
      </c>
      <c r="B7287" t="str">
        <f>"1552382576267974"</f>
        <v>1552382576267974</v>
      </c>
      <c r="C7287" t="s">
        <v>40</v>
      </c>
      <c r="D7287">
        <v>3.6297100000000002</v>
      </c>
      <c r="E7287">
        <v>0.46617730000000002</v>
      </c>
      <c r="F7287" t="s">
        <v>42</v>
      </c>
      <c r="G7287">
        <v>-262.89109999999999</v>
      </c>
      <c r="H7287" s="1">
        <v>-1.023147E-6</v>
      </c>
      <c r="I7287">
        <v>-63.306060000000002</v>
      </c>
      <c r="J7287">
        <v>-282.1515</v>
      </c>
      <c r="K7287">
        <v>1.111856</v>
      </c>
      <c r="L7287">
        <v>-64.672449999999998</v>
      </c>
      <c r="M7287">
        <v>0.99335640000000003</v>
      </c>
      <c r="N7287">
        <v>0</v>
      </c>
      <c r="O7287">
        <v>-0.1145724</v>
      </c>
      <c r="P7287">
        <v>0.98090860000000002</v>
      </c>
      <c r="Q7287">
        <v>0.19265080000000001</v>
      </c>
      <c r="R7287">
        <v>-2.6537890000000001E-2</v>
      </c>
      <c r="S7287">
        <v>3.1000670000000001</v>
      </c>
      <c r="T7287">
        <v>-0.1783661</v>
      </c>
      <c r="U7287">
        <v>0.2182617</v>
      </c>
      <c r="V7287">
        <v>-8.6777170000000001E-2</v>
      </c>
      <c r="W7287">
        <v>0.2028703</v>
      </c>
      <c r="X7287">
        <v>0.97535289999999997</v>
      </c>
      <c r="Y7287">
        <v>-0.18357419999999999</v>
      </c>
      <c r="Z7287">
        <v>1.1844840000000001E-2</v>
      </c>
      <c r="AA7287">
        <v>0.98293450000000004</v>
      </c>
      <c r="AB7287">
        <v>16</v>
      </c>
      <c r="AC7287">
        <v>19.260400000000001</v>
      </c>
      <c r="AD7287">
        <v>-1.111857023147</v>
      </c>
      <c r="AE7287">
        <v>1.36639</v>
      </c>
      <c r="AF7287">
        <v>-3.5524504622545101</v>
      </c>
      <c r="AG7287">
        <v>-1.111857023147</v>
      </c>
      <c r="AH7287">
        <v>18.914278111541599</v>
      </c>
      <c r="AI7287">
        <v>93.306520956753701</v>
      </c>
      <c r="AJ7287">
        <v>100.637280618525</v>
      </c>
      <c r="AK7287">
        <v>19.2770860559223</v>
      </c>
      <c r="AL7287">
        <v>78.295142730364404</v>
      </c>
      <c r="AM7287">
        <v>95.084220030209806</v>
      </c>
      <c r="AN7287">
        <v>0.99999995769685301</v>
      </c>
    </row>
    <row r="7288" spans="1:40" x14ac:dyDescent="0.25">
      <c r="A7288" t="str">
        <f>"20190312172256285"</f>
        <v>20190312172256285</v>
      </c>
      <c r="B7288" t="str">
        <f>"1552382576277734"</f>
        <v>1552382576277734</v>
      </c>
      <c r="C7288" t="s">
        <v>40</v>
      </c>
      <c r="D7288">
        <v>3.3986360000000002</v>
      </c>
      <c r="E7288">
        <v>0.46660770000000001</v>
      </c>
      <c r="F7288" t="s">
        <v>42</v>
      </c>
      <c r="G7288">
        <v>-262.91460000000001</v>
      </c>
      <c r="H7288" s="1">
        <v>-1.0409029999999999E-6</v>
      </c>
      <c r="I7288">
        <v>-63.334949999999999</v>
      </c>
      <c r="J7288">
        <v>-282.07499999999999</v>
      </c>
      <c r="K7288">
        <v>1.1118429999999999</v>
      </c>
      <c r="L7288">
        <v>-64.679289999999995</v>
      </c>
      <c r="M7288">
        <v>0.99355859999999996</v>
      </c>
      <c r="N7288">
        <v>0</v>
      </c>
      <c r="O7288">
        <v>-0.1128132</v>
      </c>
      <c r="P7288">
        <v>0.98104659999999999</v>
      </c>
      <c r="Q7288">
        <v>0.1920375</v>
      </c>
      <c r="R7288">
        <v>-2.587704E-2</v>
      </c>
      <c r="S7288">
        <v>3.099396</v>
      </c>
      <c r="T7288">
        <v>-0.1791394</v>
      </c>
      <c r="U7288">
        <v>0.2154846</v>
      </c>
      <c r="V7288">
        <v>-8.5714819999999997E-2</v>
      </c>
      <c r="W7288">
        <v>0.20217879999999999</v>
      </c>
      <c r="X7288">
        <v>0.97559050000000003</v>
      </c>
      <c r="Y7288">
        <v>-0.1809741</v>
      </c>
      <c r="Z7288">
        <v>1.172279E-2</v>
      </c>
      <c r="AA7288">
        <v>0.98341800000000001</v>
      </c>
      <c r="AB7288">
        <v>16</v>
      </c>
      <c r="AC7288">
        <v>19.1603999999999</v>
      </c>
      <c r="AD7288">
        <v>-1.1118440409029999</v>
      </c>
      <c r="AE7288">
        <v>1.3443400000000001</v>
      </c>
      <c r="AF7288">
        <v>-3.4857468510770899</v>
      </c>
      <c r="AG7288">
        <v>-1.1118440409029999</v>
      </c>
      <c r="AH7288">
        <v>18.823329252033702</v>
      </c>
      <c r="AI7288">
        <v>93.323998087266304</v>
      </c>
      <c r="AJ7288">
        <v>100.49131555554</v>
      </c>
      <c r="AK7288">
        <v>19.175618696969199</v>
      </c>
      <c r="AL7288">
        <v>78.335602394782697</v>
      </c>
      <c r="AM7288">
        <v>95.0210810018351</v>
      </c>
      <c r="AN7288">
        <v>1.0000000606136501</v>
      </c>
    </row>
    <row r="7289" spans="1:40" x14ac:dyDescent="0.25">
      <c r="A7289" t="str">
        <f>"20190312172256296"</f>
        <v>20190312172256296</v>
      </c>
      <c r="B7289" t="str">
        <f>"1552382576287495"</f>
        <v>1552382576287495</v>
      </c>
      <c r="C7289" t="s">
        <v>40</v>
      </c>
      <c r="D7289">
        <v>3.4774219999999998</v>
      </c>
      <c r="E7289">
        <v>0.46701979999999998</v>
      </c>
      <c r="F7289" t="s">
        <v>42</v>
      </c>
      <c r="G7289">
        <v>-262.94330000000002</v>
      </c>
      <c r="H7289" s="1">
        <v>-1.06062E-6</v>
      </c>
      <c r="I7289">
        <v>-63.362810000000003</v>
      </c>
      <c r="J7289">
        <v>-281.99669999999998</v>
      </c>
      <c r="K7289">
        <v>1.111828</v>
      </c>
      <c r="L7289">
        <v>-64.686099999999996</v>
      </c>
      <c r="M7289">
        <v>0.99376220000000004</v>
      </c>
      <c r="N7289">
        <v>0</v>
      </c>
      <c r="O7289">
        <v>-0.1110138</v>
      </c>
      <c r="P7289">
        <v>0.98122779999999998</v>
      </c>
      <c r="Q7289">
        <v>0.1912363</v>
      </c>
      <c r="R7289">
        <v>-2.4916819999999999E-2</v>
      </c>
      <c r="S7289">
        <v>3.098846</v>
      </c>
      <c r="T7289">
        <v>-0.18009029999999901</v>
      </c>
      <c r="U7289">
        <v>0.21322630000000001</v>
      </c>
      <c r="V7289">
        <v>-8.4913630000000004E-2</v>
      </c>
      <c r="W7289">
        <v>0.20129839999999999</v>
      </c>
      <c r="X7289">
        <v>0.97584249999999995</v>
      </c>
      <c r="Y7289">
        <v>-0.17849329999999999</v>
      </c>
      <c r="Z7289">
        <v>1.16112E-2</v>
      </c>
      <c r="AA7289">
        <v>0.98387270000000004</v>
      </c>
      <c r="AB7289">
        <v>16</v>
      </c>
      <c r="AC7289">
        <v>19.0533999999999</v>
      </c>
      <c r="AD7289">
        <v>-1.1118290606200001</v>
      </c>
      <c r="AE7289">
        <v>1.3232899999999901</v>
      </c>
      <c r="AF7289">
        <v>-3.4188334827729698</v>
      </c>
      <c r="AG7289">
        <v>-1.1118290606200001</v>
      </c>
      <c r="AH7289">
        <v>18.725247889919999</v>
      </c>
      <c r="AI7289">
        <v>93.342868770050003</v>
      </c>
      <c r="AJ7289">
        <v>100.347027031894</v>
      </c>
      <c r="AK7289">
        <v>19.067236160018599</v>
      </c>
      <c r="AL7289">
        <v>78.387103534855996</v>
      </c>
      <c r="AM7289">
        <v>94.973106615650707</v>
      </c>
      <c r="AN7289">
        <v>0.99999997760429304</v>
      </c>
    </row>
    <row r="7290" spans="1:40" x14ac:dyDescent="0.25">
      <c r="A7290" t="str">
        <f>"20190312172256307"</f>
        <v>20190312172256307</v>
      </c>
      <c r="B7290" t="str">
        <f>"1552382576298231"</f>
        <v>1552382576298231</v>
      </c>
      <c r="C7290" t="s">
        <v>40</v>
      </c>
      <c r="D7290">
        <v>3.4232800000000001</v>
      </c>
      <c r="E7290">
        <v>0.46742739999999999</v>
      </c>
      <c r="F7290" t="s">
        <v>42</v>
      </c>
      <c r="G7290">
        <v>-263.02170000000001</v>
      </c>
      <c r="H7290" s="1">
        <v>-1.100733E-6</v>
      </c>
      <c r="I7290">
        <v>-63.3872</v>
      </c>
      <c r="J7290">
        <v>-281.92520000000002</v>
      </c>
      <c r="K7290">
        <v>1.111818</v>
      </c>
      <c r="L7290">
        <v>-64.6922</v>
      </c>
      <c r="M7290">
        <v>0.99394499999999997</v>
      </c>
      <c r="N7290">
        <v>0</v>
      </c>
      <c r="O7290">
        <v>-0.10937239999999999</v>
      </c>
      <c r="P7290">
        <v>0.98133090000000001</v>
      </c>
      <c r="Q7290">
        <v>0.1908453</v>
      </c>
      <c r="R7290">
        <v>-2.383354E-2</v>
      </c>
      <c r="S7290">
        <v>3.0981450000000001</v>
      </c>
      <c r="T7290">
        <v>-0.181534</v>
      </c>
      <c r="U7290">
        <v>0.2120667</v>
      </c>
      <c r="V7290">
        <v>-8.4383890000000003E-2</v>
      </c>
      <c r="W7290">
        <v>0.20083509999999999</v>
      </c>
      <c r="X7290">
        <v>0.97598390000000002</v>
      </c>
      <c r="Y7290">
        <v>-0.1765148</v>
      </c>
      <c r="Z7290">
        <v>1.1553310000000001E-2</v>
      </c>
      <c r="AA7290">
        <v>0.98423020000000006</v>
      </c>
      <c r="AB7290">
        <v>16</v>
      </c>
      <c r="AC7290">
        <v>18.903500000000001</v>
      </c>
      <c r="AD7290">
        <v>-1.1118191007330001</v>
      </c>
      <c r="AE7290">
        <v>1.3049999999999899</v>
      </c>
      <c r="AF7290">
        <v>-3.3532613667225499</v>
      </c>
      <c r="AG7290">
        <v>-1.1118191007330001</v>
      </c>
      <c r="AH7290">
        <v>18.583363561258398</v>
      </c>
      <c r="AI7290">
        <v>93.369563718580594</v>
      </c>
      <c r="AJ7290">
        <v>100.228627439711</v>
      </c>
      <c r="AK7290">
        <v>18.916181029907001</v>
      </c>
      <c r="AL7290">
        <v>78.414202066774294</v>
      </c>
      <c r="AM7290">
        <v>94.941523181580493</v>
      </c>
      <c r="AN7290">
        <v>0.999999975671375</v>
      </c>
    </row>
    <row r="7291" spans="1:40" x14ac:dyDescent="0.25">
      <c r="A7291" t="str">
        <f>"20190312172256317"</f>
        <v>20190312172256317</v>
      </c>
      <c r="B7291" t="str">
        <f>"1552382576307991"</f>
        <v>1552382576307991</v>
      </c>
      <c r="C7291" t="s">
        <v>40</v>
      </c>
      <c r="D7291">
        <v>3.445605</v>
      </c>
      <c r="E7291">
        <v>0.46780070000000001</v>
      </c>
      <c r="F7291" t="s">
        <v>42</v>
      </c>
      <c r="G7291">
        <v>-262.98820000000001</v>
      </c>
      <c r="H7291" s="1">
        <v>-1.089763E-6</v>
      </c>
      <c r="I7291">
        <v>-63.39996</v>
      </c>
      <c r="J7291">
        <v>-281.84750000000003</v>
      </c>
      <c r="K7291">
        <v>1.111812</v>
      </c>
      <c r="L7291">
        <v>-64.698729999999998</v>
      </c>
      <c r="M7291">
        <v>0.99414020000000003</v>
      </c>
      <c r="N7291">
        <v>0</v>
      </c>
      <c r="O7291">
        <v>-0.1075919</v>
      </c>
      <c r="P7291">
        <v>0.98137180000000002</v>
      </c>
      <c r="Q7291">
        <v>0.19070780000000001</v>
      </c>
      <c r="R7291">
        <v>-2.3239309999999999E-2</v>
      </c>
      <c r="S7291">
        <v>3.0975649999999999</v>
      </c>
      <c r="T7291">
        <v>-0.18186279999999999</v>
      </c>
      <c r="U7291">
        <v>0.21136469999999999</v>
      </c>
      <c r="V7291">
        <v>-8.3224980000000004E-2</v>
      </c>
      <c r="W7291">
        <v>0.200623</v>
      </c>
      <c r="X7291">
        <v>0.97612699999999997</v>
      </c>
      <c r="Y7291">
        <v>-0.17454649999999999</v>
      </c>
      <c r="Z7291">
        <v>1.141469E-2</v>
      </c>
      <c r="AA7291">
        <v>0.98458279999999998</v>
      </c>
      <c r="AB7291">
        <v>16</v>
      </c>
      <c r="AC7291">
        <v>18.859300000000001</v>
      </c>
      <c r="AD7291">
        <v>-1.1118130897630001</v>
      </c>
      <c r="AE7291">
        <v>1.29876999999999</v>
      </c>
      <c r="AF7291">
        <v>-3.30900273806669</v>
      </c>
      <c r="AG7291">
        <v>-1.1118130897630001</v>
      </c>
      <c r="AH7291">
        <v>18.545916337432001</v>
      </c>
      <c r="AI7291">
        <v>93.377517763792497</v>
      </c>
      <c r="AJ7291">
        <v>100.116384129469</v>
      </c>
      <c r="AK7291">
        <v>18.871582876434299</v>
      </c>
      <c r="AL7291">
        <v>78.426606713055804</v>
      </c>
      <c r="AM7291">
        <v>94.873275480824404</v>
      </c>
      <c r="AN7291">
        <v>0.99999995277699905</v>
      </c>
    </row>
    <row r="7292" spans="1:40" x14ac:dyDescent="0.25">
      <c r="A7292" t="str">
        <f>"20190312172256329"</f>
        <v>20190312172256329</v>
      </c>
      <c r="B7292" t="str">
        <f>"1552382576317751"</f>
        <v>1552382576317751</v>
      </c>
      <c r="C7292" t="s">
        <v>40</v>
      </c>
      <c r="D7292">
        <v>3.4315349999999998</v>
      </c>
      <c r="E7292">
        <v>0.46819549999999999</v>
      </c>
      <c r="F7292" t="s">
        <v>42</v>
      </c>
      <c r="G7292">
        <v>-262.85989999999998</v>
      </c>
      <c r="H7292" s="1">
        <v>-1.0384990000000001E-6</v>
      </c>
      <c r="I7292">
        <v>-63.414090000000002</v>
      </c>
      <c r="J7292">
        <v>-281.7715</v>
      </c>
      <c r="K7292">
        <v>1.111804</v>
      </c>
      <c r="L7292">
        <v>-64.704930000000004</v>
      </c>
      <c r="M7292">
        <v>0.99432779999999998</v>
      </c>
      <c r="N7292">
        <v>0</v>
      </c>
      <c r="O7292">
        <v>-0.1058515</v>
      </c>
      <c r="P7292">
        <v>0.98143990000000003</v>
      </c>
      <c r="Q7292">
        <v>0.19047159999999999</v>
      </c>
      <c r="R7292">
        <v>-2.227587E-2</v>
      </c>
      <c r="S7292">
        <v>3.0971679999999999</v>
      </c>
      <c r="T7292">
        <v>-0.18135370000000001</v>
      </c>
      <c r="U7292">
        <v>0.20953369999999999</v>
      </c>
      <c r="V7292">
        <v>-8.2476240000000006E-2</v>
      </c>
      <c r="W7292">
        <v>0.20031560000000001</v>
      </c>
      <c r="X7292">
        <v>0.9762537</v>
      </c>
      <c r="Y7292">
        <v>-0.172261</v>
      </c>
      <c r="Z7292">
        <v>1.1216179999999999E-2</v>
      </c>
      <c r="AA7292">
        <v>0.98498750000000002</v>
      </c>
      <c r="AB7292">
        <v>16</v>
      </c>
      <c r="AC7292">
        <v>18.9116</v>
      </c>
      <c r="AD7292">
        <v>-1.1118050384989999</v>
      </c>
      <c r="AE7292">
        <v>1.29084</v>
      </c>
      <c r="AF7292">
        <v>-3.2742521913866698</v>
      </c>
      <c r="AG7292">
        <v>-1.1118050384989999</v>
      </c>
      <c r="AH7292">
        <v>18.6046938500218</v>
      </c>
      <c r="AI7292">
        <v>93.368251084306706</v>
      </c>
      <c r="AJ7292">
        <v>99.981309749762701</v>
      </c>
      <c r="AK7292">
        <v>18.923304973219398</v>
      </c>
      <c r="AL7292">
        <v>78.444584682208898</v>
      </c>
      <c r="AM7292">
        <v>94.829017161563698</v>
      </c>
      <c r="AN7292">
        <v>0.99999997826579301</v>
      </c>
    </row>
    <row r="7293" spans="1:40" x14ac:dyDescent="0.25">
      <c r="A7293" t="str">
        <f>"20190312172256341"</f>
        <v>20190312172256341</v>
      </c>
      <c r="B7293" t="str">
        <f>"1552382576338247"</f>
        <v>1552382576338247</v>
      </c>
      <c r="C7293" t="s">
        <v>40</v>
      </c>
      <c r="D7293">
        <v>3.4130590000000001</v>
      </c>
      <c r="E7293">
        <v>0.46891359999999899</v>
      </c>
      <c r="F7293" t="s">
        <v>42</v>
      </c>
      <c r="G7293">
        <v>-262.77789999999999</v>
      </c>
      <c r="H7293" s="1">
        <v>-1.0057340000000001E-6</v>
      </c>
      <c r="I7293">
        <v>-63.423219999999901</v>
      </c>
      <c r="J7293">
        <v>-281.69189999999998</v>
      </c>
      <c r="K7293">
        <v>1.111799</v>
      </c>
      <c r="L7293">
        <v>-64.711359999999999</v>
      </c>
      <c r="M7293">
        <v>0.99452079999999998</v>
      </c>
      <c r="N7293">
        <v>0</v>
      </c>
      <c r="O7293">
        <v>-0.1040301</v>
      </c>
      <c r="P7293">
        <v>0.98155579999999998</v>
      </c>
      <c r="Q7293">
        <v>0.1899991</v>
      </c>
      <c r="R7293">
        <v>-2.1178099999999998E-2</v>
      </c>
      <c r="S7293">
        <v>3.0966490000000002</v>
      </c>
      <c r="T7293">
        <v>-0.1812646</v>
      </c>
      <c r="U7293">
        <v>0.2089539</v>
      </c>
      <c r="V7293">
        <v>-8.1786300000000006E-2</v>
      </c>
      <c r="W7293">
        <v>0.19977039999999999</v>
      </c>
      <c r="X7293">
        <v>0.9764235</v>
      </c>
      <c r="Y7293">
        <v>-0.17029079999999999</v>
      </c>
      <c r="Z7293">
        <v>1.10489E-2</v>
      </c>
      <c r="AA7293">
        <v>0.98533190000000004</v>
      </c>
      <c r="AB7293">
        <v>16</v>
      </c>
      <c r="AC7293">
        <v>18.913999999999898</v>
      </c>
      <c r="AD7293">
        <v>-1.1118000057340001</v>
      </c>
      <c r="AE7293">
        <v>1.2881400000000001</v>
      </c>
      <c r="AF7293">
        <v>-3.2377439726909198</v>
      </c>
      <c r="AG7293">
        <v>-1.1118000057340001</v>
      </c>
      <c r="AH7293">
        <v>18.613334253470502</v>
      </c>
      <c r="AI7293">
        <v>93.367841196506902</v>
      </c>
      <c r="AJ7293">
        <v>99.867726212214507</v>
      </c>
      <c r="AK7293">
        <v>18.925519737034101</v>
      </c>
      <c r="AL7293">
        <v>78.476467392718703</v>
      </c>
      <c r="AM7293">
        <v>94.787980648660294</v>
      </c>
      <c r="AN7293">
        <v>1.00000003146804</v>
      </c>
    </row>
    <row r="7294" spans="1:40" x14ac:dyDescent="0.25">
      <c r="A7294" t="str">
        <f>"20190312172256352"</f>
        <v>20190312172256352</v>
      </c>
      <c r="B7294" t="str">
        <f>"1552382576348006"</f>
        <v>1552382576348006</v>
      </c>
      <c r="C7294" t="s">
        <v>40</v>
      </c>
      <c r="D7294">
        <v>3.4333049999999998</v>
      </c>
      <c r="E7294">
        <v>0.46926289999999998</v>
      </c>
      <c r="F7294" t="s">
        <v>42</v>
      </c>
      <c r="G7294">
        <v>-262.58010000000002</v>
      </c>
      <c r="H7294" s="1">
        <v>-9.2451320000000003E-7</v>
      </c>
      <c r="I7294">
        <v>-63.436929999999997</v>
      </c>
      <c r="J7294">
        <v>-281.60829999999999</v>
      </c>
      <c r="K7294">
        <v>1.1117889999999999</v>
      </c>
      <c r="L7294">
        <v>-64.717860000000002</v>
      </c>
      <c r="M7294">
        <v>0.99471940000000003</v>
      </c>
      <c r="N7294">
        <v>0</v>
      </c>
      <c r="O7294">
        <v>-0.10212309999999999</v>
      </c>
      <c r="P7294">
        <v>0.98160309999999995</v>
      </c>
      <c r="Q7294">
        <v>0.18986220000000001</v>
      </c>
      <c r="R7294">
        <v>-2.019963E-2</v>
      </c>
      <c r="S7294">
        <v>3.0957029999999999</v>
      </c>
      <c r="T7294">
        <v>-0.18008750000000001</v>
      </c>
      <c r="U7294">
        <v>0.20642089999999999</v>
      </c>
      <c r="V7294">
        <v>-8.0888379999999996E-2</v>
      </c>
      <c r="W7294">
        <v>0.1995606</v>
      </c>
      <c r="X7294">
        <v>0.9765412</v>
      </c>
      <c r="Y7294">
        <v>-0.1676319</v>
      </c>
      <c r="Z7294">
        <v>1.0793189999999999E-2</v>
      </c>
      <c r="AA7294">
        <v>0.98579059999999996</v>
      </c>
      <c r="AB7294">
        <v>16</v>
      </c>
      <c r="AC7294">
        <v>19.028199999999899</v>
      </c>
      <c r="AD7294">
        <v>-1.1117899245131999</v>
      </c>
      <c r="AE7294">
        <v>1.2809299999999899</v>
      </c>
      <c r="AF7294">
        <v>-3.2066545172741701</v>
      </c>
      <c r="AG7294">
        <v>-1.1117899245131999</v>
      </c>
      <c r="AH7294">
        <v>18.734218306944602</v>
      </c>
      <c r="AI7294">
        <v>93.347685831485293</v>
      </c>
      <c r="AJ7294">
        <v>99.712943284125501</v>
      </c>
      <c r="AK7294">
        <v>19.039160842895999</v>
      </c>
      <c r="AL7294">
        <v>78.488735157507904</v>
      </c>
      <c r="AM7294">
        <v>94.735086313616904</v>
      </c>
      <c r="AN7294">
        <v>1.0000000391944099</v>
      </c>
    </row>
    <row r="7295" spans="1:40" x14ac:dyDescent="0.25">
      <c r="A7295" t="str">
        <f>"20190312172256364"</f>
        <v>20190312172256364</v>
      </c>
      <c r="B7295" t="str">
        <f>"1552382576357766"</f>
        <v>1552382576357766</v>
      </c>
      <c r="C7295" t="s">
        <v>40</v>
      </c>
      <c r="D7295">
        <v>3.4284780000000001</v>
      </c>
      <c r="E7295">
        <v>0.46962789999999999</v>
      </c>
      <c r="F7295" t="s">
        <v>73</v>
      </c>
      <c r="G7295">
        <v>-262.44799999999998</v>
      </c>
      <c r="H7295" s="1">
        <v>-8.6803609999999997E-7</v>
      </c>
      <c r="I7295">
        <v>-63.437550000000002</v>
      </c>
      <c r="J7295">
        <v>-281.53250000000003</v>
      </c>
      <c r="K7295">
        <v>1.1117760000000001</v>
      </c>
      <c r="L7295">
        <v>-64.723690000000005</v>
      </c>
      <c r="M7295">
        <v>0.99489590000000006</v>
      </c>
      <c r="N7295">
        <v>0</v>
      </c>
      <c r="O7295">
        <v>-0.1003945</v>
      </c>
      <c r="P7295">
        <v>0.98171819999999999</v>
      </c>
      <c r="Q7295">
        <v>0.18935370000000001</v>
      </c>
      <c r="R7295">
        <v>-1.9353550000000001E-2</v>
      </c>
      <c r="S7295">
        <v>3.095215</v>
      </c>
      <c r="T7295">
        <v>-0.1796025</v>
      </c>
      <c r="U7295">
        <v>0.20681759999999999</v>
      </c>
      <c r="V7295">
        <v>-8.0039669999999993E-2</v>
      </c>
      <c r="W7295">
        <v>0.19898859999999999</v>
      </c>
      <c r="X7295">
        <v>0.97672780000000003</v>
      </c>
      <c r="Y7295">
        <v>-0.16606270000000001</v>
      </c>
      <c r="Z7295">
        <v>1.062049E-2</v>
      </c>
      <c r="AA7295">
        <v>0.98605799999999999</v>
      </c>
      <c r="AB7295">
        <v>16</v>
      </c>
      <c r="AC7295">
        <v>19.084499999999998</v>
      </c>
      <c r="AD7295">
        <v>-1.1117768680361</v>
      </c>
      <c r="AE7295">
        <v>1.2861400000000001</v>
      </c>
      <c r="AF7295">
        <v>-3.1849590460468602</v>
      </c>
      <c r="AG7295">
        <v>-1.1117768680361</v>
      </c>
      <c r="AH7295">
        <v>18.7954438059284</v>
      </c>
      <c r="AI7295">
        <v>93.337709842017901</v>
      </c>
      <c r="AJ7295">
        <v>99.617625662958702</v>
      </c>
      <c r="AK7295">
        <v>19.095777538270301</v>
      </c>
      <c r="AL7295">
        <v>78.522178689494993</v>
      </c>
      <c r="AM7295">
        <v>94.684735279453605</v>
      </c>
      <c r="AN7295">
        <v>1.0000000034982499</v>
      </c>
    </row>
    <row r="7296" spans="1:40" x14ac:dyDescent="0.25">
      <c r="A7296" t="str">
        <f>"20190312172256375"</f>
        <v>20190312172256375</v>
      </c>
      <c r="B7296" t="str">
        <f>"1552382576367526"</f>
        <v>1552382576367526</v>
      </c>
      <c r="C7296" t="s">
        <v>40</v>
      </c>
      <c r="D7296">
        <v>3.4231549999999999</v>
      </c>
      <c r="E7296">
        <v>0.46998420000000002</v>
      </c>
      <c r="F7296" t="s">
        <v>42</v>
      </c>
      <c r="G7296">
        <v>-262.43860000000001</v>
      </c>
      <c r="H7296" s="1">
        <v>-8.6662829999999899E-7</v>
      </c>
      <c r="I7296">
        <v>-63.447409999999998</v>
      </c>
      <c r="J7296">
        <v>-281.45269999999999</v>
      </c>
      <c r="K7296">
        <v>1.1117649999999999</v>
      </c>
      <c r="L7296">
        <v>-64.729680000000002</v>
      </c>
      <c r="M7296">
        <v>0.99507840000000003</v>
      </c>
      <c r="N7296">
        <v>0</v>
      </c>
      <c r="O7296">
        <v>-9.8576730000000001E-2</v>
      </c>
      <c r="P7296">
        <v>0.98188050000000004</v>
      </c>
      <c r="Q7296">
        <v>0.1886311</v>
      </c>
      <c r="R7296">
        <v>-1.8141210000000001E-2</v>
      </c>
      <c r="S7296">
        <v>3.0946959999999999</v>
      </c>
      <c r="T7296">
        <v>-0.18019470000000001</v>
      </c>
      <c r="U7296">
        <v>0.20684810000000001</v>
      </c>
      <c r="V7296">
        <v>-7.9472290000000001E-2</v>
      </c>
      <c r="W7296">
        <v>0.19820019999999999</v>
      </c>
      <c r="X7296">
        <v>0.97693439999999998</v>
      </c>
      <c r="Y7296">
        <v>-0.1642846</v>
      </c>
      <c r="Z7296">
        <v>1.050013E-2</v>
      </c>
      <c r="AA7296">
        <v>0.98635709999999999</v>
      </c>
      <c r="AB7296">
        <v>16</v>
      </c>
      <c r="AC7296">
        <v>19.0140999999999</v>
      </c>
      <c r="AD7296">
        <v>-1.1117658666282999</v>
      </c>
      <c r="AE7296">
        <v>1.28227</v>
      </c>
      <c r="AF7296">
        <v>-3.1397813168486199</v>
      </c>
      <c r="AG7296">
        <v>-1.1117658666282999</v>
      </c>
      <c r="AH7296">
        <v>18.731324153302101</v>
      </c>
      <c r="AI7296">
        <v>93.350079475087398</v>
      </c>
      <c r="AJ7296">
        <v>99.5155690609717</v>
      </c>
      <c r="AK7296">
        <v>19.025161092508799</v>
      </c>
      <c r="AL7296">
        <v>78.568268593996706</v>
      </c>
      <c r="AM7296">
        <v>94.650693274221794</v>
      </c>
      <c r="AN7296">
        <v>0.99999999303062104</v>
      </c>
    </row>
    <row r="7297" spans="1:40" x14ac:dyDescent="0.25">
      <c r="A7297" t="str">
        <f>"20190312172256387"</f>
        <v>20190312172256387</v>
      </c>
      <c r="B7297" t="str">
        <f>"1552382576378262"</f>
        <v>1552382576378262</v>
      </c>
      <c r="C7297" t="s">
        <v>40</v>
      </c>
      <c r="D7297">
        <v>3.4642390000000001</v>
      </c>
      <c r="E7297">
        <v>0.47031060000000002</v>
      </c>
      <c r="F7297" t="s">
        <v>42</v>
      </c>
      <c r="G7297">
        <v>-262.5179</v>
      </c>
      <c r="H7297" s="1">
        <v>-9.0321169999999997E-7</v>
      </c>
      <c r="I7297">
        <v>-63.457070000000002</v>
      </c>
      <c r="J7297">
        <v>-281.37540000000001</v>
      </c>
      <c r="K7297">
        <v>1.1117589999999999</v>
      </c>
      <c r="L7297">
        <v>-64.735290000000006</v>
      </c>
      <c r="M7297">
        <v>0.99525200000000003</v>
      </c>
      <c r="N7297">
        <v>0</v>
      </c>
      <c r="O7297">
        <v>-9.6816440000000004E-2</v>
      </c>
      <c r="P7297">
        <v>0.98215030000000003</v>
      </c>
      <c r="Q7297">
        <v>0.18731010000000001</v>
      </c>
      <c r="R7297">
        <v>-1.721315E-2</v>
      </c>
      <c r="S7297">
        <v>3.094147</v>
      </c>
      <c r="T7297">
        <v>-0.18167459999999999</v>
      </c>
      <c r="U7297">
        <v>0.20794679999999999</v>
      </c>
      <c r="V7297">
        <v>-7.8687270000000004E-2</v>
      </c>
      <c r="W7297">
        <v>0.1968203</v>
      </c>
      <c r="X7297">
        <v>0.9772769</v>
      </c>
      <c r="Y7297">
        <v>-0.16289790000000001</v>
      </c>
      <c r="Z7297">
        <v>1.0444409999999999E-2</v>
      </c>
      <c r="AA7297">
        <v>0.98658760000000001</v>
      </c>
      <c r="AB7297">
        <v>16</v>
      </c>
      <c r="AC7297">
        <v>18.857500000000002</v>
      </c>
      <c r="AD7297">
        <v>-1.1117599032117</v>
      </c>
      <c r="AE7297">
        <v>1.2782200000000099</v>
      </c>
      <c r="AF7297">
        <v>-3.0873401118245498</v>
      </c>
      <c r="AG7297">
        <v>-1.1117599032117</v>
      </c>
      <c r="AH7297">
        <v>18.5808566528714</v>
      </c>
      <c r="AI7297">
        <v>93.377929260982398</v>
      </c>
      <c r="AJ7297">
        <v>99.433909488797696</v>
      </c>
      <c r="AK7297">
        <v>18.868383953137801</v>
      </c>
      <c r="AL7297">
        <v>78.648920214250694</v>
      </c>
      <c r="AM7297">
        <v>94.603345776352697</v>
      </c>
      <c r="AN7297">
        <v>1.00000002811287</v>
      </c>
    </row>
    <row r="7298" spans="1:40" x14ac:dyDescent="0.25">
      <c r="A7298" t="str">
        <f>"20190312172256396"</f>
        <v>20190312172256396</v>
      </c>
      <c r="B7298" t="str">
        <f>"1552382576388022"</f>
        <v>1552382576388022</v>
      </c>
      <c r="C7298" t="s">
        <v>40</v>
      </c>
      <c r="D7298">
        <v>3.4367040000000002</v>
      </c>
      <c r="E7298">
        <v>0.4706477</v>
      </c>
      <c r="F7298" t="s">
        <v>42</v>
      </c>
      <c r="G7298">
        <v>-262.78719999999998</v>
      </c>
      <c r="H7298" s="1">
        <v>-1.02604E-6</v>
      </c>
      <c r="I7298">
        <v>-63.4846</v>
      </c>
      <c r="J7298">
        <v>-281.2978</v>
      </c>
      <c r="K7298">
        <v>1.1117509999999999</v>
      </c>
      <c r="L7298">
        <v>-64.740840000000006</v>
      </c>
      <c r="M7298">
        <v>0.99542269999999999</v>
      </c>
      <c r="N7298">
        <v>0</v>
      </c>
      <c r="O7298">
        <v>-9.5052449999999997E-2</v>
      </c>
      <c r="P7298">
        <v>0.98237859999999999</v>
      </c>
      <c r="Q7298">
        <v>0.18619959999999999</v>
      </c>
      <c r="R7298">
        <v>-1.6194239999999999E-2</v>
      </c>
      <c r="S7298">
        <v>3.093445</v>
      </c>
      <c r="T7298">
        <v>-0.18501889999999999</v>
      </c>
      <c r="U7298">
        <v>0.20812990000000001</v>
      </c>
      <c r="V7298">
        <v>-7.7985410000000005E-2</v>
      </c>
      <c r="W7298">
        <v>0.1956524</v>
      </c>
      <c r="X7298">
        <v>0.97756759999999998</v>
      </c>
      <c r="Y7298">
        <v>-0.16121170000000001</v>
      </c>
      <c r="Z7298">
        <v>1.0483289999999999E-2</v>
      </c>
      <c r="AA7298">
        <v>0.98686410000000002</v>
      </c>
      <c r="AB7298">
        <v>16</v>
      </c>
      <c r="AC7298">
        <v>18.5106</v>
      </c>
      <c r="AD7298">
        <v>-1.11175202604</v>
      </c>
      <c r="AE7298">
        <v>1.25624</v>
      </c>
      <c r="AF7298">
        <v>-2.9993464615068</v>
      </c>
      <c r="AG7298">
        <v>-1.11175202604</v>
      </c>
      <c r="AH7298">
        <v>18.241864974444699</v>
      </c>
      <c r="AI7298">
        <v>93.441486953043196</v>
      </c>
      <c r="AJ7298">
        <v>99.337089458866402</v>
      </c>
      <c r="AK7298">
        <v>18.520197339915999</v>
      </c>
      <c r="AL7298">
        <v>78.717162493588802</v>
      </c>
      <c r="AM7298">
        <v>94.561108824170603</v>
      </c>
      <c r="AN7298">
        <v>0.99999999918419402</v>
      </c>
    </row>
    <row r="7299" spans="1:40" x14ac:dyDescent="0.25">
      <c r="A7299" t="str">
        <f>"20190312172256408"</f>
        <v>20190312172256408</v>
      </c>
      <c r="B7299" t="str">
        <f>"1552382576397782"</f>
        <v>1552382576397782</v>
      </c>
      <c r="C7299" t="s">
        <v>40</v>
      </c>
      <c r="D7299">
        <v>3.4414530000000001</v>
      </c>
      <c r="E7299">
        <v>0.470972</v>
      </c>
      <c r="F7299" t="s">
        <v>42</v>
      </c>
      <c r="G7299">
        <v>-262.99900000000002</v>
      </c>
      <c r="H7299" s="1">
        <v>-1.12311E-6</v>
      </c>
      <c r="I7299">
        <v>-63.507930000000002</v>
      </c>
      <c r="J7299">
        <v>-281.22399999999999</v>
      </c>
      <c r="K7299">
        <v>1.1117440000000001</v>
      </c>
      <c r="L7299">
        <v>-64.745940000000004</v>
      </c>
      <c r="M7299">
        <v>0.99558190000000002</v>
      </c>
      <c r="N7299">
        <v>0</v>
      </c>
      <c r="O7299">
        <v>-9.3373960000000006E-2</v>
      </c>
      <c r="P7299">
        <v>0.98263979999999995</v>
      </c>
      <c r="Q7299">
        <v>0.18488599999999999</v>
      </c>
      <c r="R7299">
        <v>-1.536677E-2</v>
      </c>
      <c r="S7299">
        <v>3.0928339999999999</v>
      </c>
      <c r="T7299">
        <v>-0.1879063</v>
      </c>
      <c r="U7299">
        <v>0.208374</v>
      </c>
      <c r="V7299">
        <v>-7.7178839999999999E-2</v>
      </c>
      <c r="W7299">
        <v>0.19428860000000001</v>
      </c>
      <c r="X7299">
        <v>0.97790350000000004</v>
      </c>
      <c r="Y7299">
        <v>-0.15962960000000001</v>
      </c>
      <c r="Z7299">
        <v>1.0499110000000001E-2</v>
      </c>
      <c r="AA7299">
        <v>0.98712120000000003</v>
      </c>
      <c r="AB7299">
        <v>16</v>
      </c>
      <c r="AC7299">
        <v>18.224999999999898</v>
      </c>
      <c r="AD7299">
        <v>-1.11174512311</v>
      </c>
      <c r="AE7299">
        <v>1.2380100000000001</v>
      </c>
      <c r="AF7299">
        <v>-2.9235954131581599</v>
      </c>
      <c r="AG7299">
        <v>-1.11174512311</v>
      </c>
      <c r="AH7299">
        <v>17.963228997122101</v>
      </c>
      <c r="AI7299">
        <v>93.4956422814017</v>
      </c>
      <c r="AJ7299">
        <v>99.244089380152602</v>
      </c>
      <c r="AK7299">
        <v>18.233512644623602</v>
      </c>
      <c r="AL7299">
        <v>78.796830780302102</v>
      </c>
      <c r="AM7299">
        <v>94.512587041739096</v>
      </c>
      <c r="AN7299">
        <v>0.99999994437297601</v>
      </c>
    </row>
    <row r="7300" spans="1:40" x14ac:dyDescent="0.25">
      <c r="A7300" t="str">
        <f>"20190312172256419"</f>
        <v>20190312172256419</v>
      </c>
      <c r="B7300" t="str">
        <f>"1552382576407543"</f>
        <v>1552382576407543</v>
      </c>
      <c r="C7300" t="s">
        <v>40</v>
      </c>
      <c r="D7300">
        <v>3.4217840000000002</v>
      </c>
      <c r="E7300">
        <v>0.47129670000000001</v>
      </c>
      <c r="F7300" t="s">
        <v>42</v>
      </c>
      <c r="G7300">
        <v>-263.25959999999998</v>
      </c>
      <c r="H7300" s="1">
        <v>-1.242792E-6</v>
      </c>
      <c r="I7300">
        <v>-63.537460000000003</v>
      </c>
      <c r="J7300">
        <v>-281.14510000000001</v>
      </c>
      <c r="K7300">
        <v>1.1117379999999999</v>
      </c>
      <c r="L7300">
        <v>-64.751339999999999</v>
      </c>
      <c r="M7300">
        <v>0.99574910000000005</v>
      </c>
      <c r="N7300">
        <v>0</v>
      </c>
      <c r="O7300">
        <v>-9.1581019999999999E-2</v>
      </c>
      <c r="P7300">
        <v>0.98288220000000004</v>
      </c>
      <c r="Q7300">
        <v>0.18366979999999999</v>
      </c>
      <c r="R7300">
        <v>-1.442511E-2</v>
      </c>
      <c r="S7300">
        <v>3.0922550000000002</v>
      </c>
      <c r="T7300">
        <v>-0.19136800000000001</v>
      </c>
      <c r="U7300">
        <v>0.20800779999999999</v>
      </c>
      <c r="V7300">
        <v>-7.637157E-2</v>
      </c>
      <c r="W7300">
        <v>0.19301850000000001</v>
      </c>
      <c r="X7300">
        <v>0.97821840000000004</v>
      </c>
      <c r="Y7300">
        <v>-0.1577374</v>
      </c>
      <c r="Z7300">
        <v>1.052522E-2</v>
      </c>
      <c r="AA7300">
        <v>0.987425</v>
      </c>
      <c r="AB7300">
        <v>16</v>
      </c>
      <c r="AC7300">
        <v>17.8855</v>
      </c>
      <c r="AD7300">
        <v>-1.1117392427920001</v>
      </c>
      <c r="AE7300">
        <v>1.2138800000000001</v>
      </c>
      <c r="AF7300">
        <v>-2.83592289957156</v>
      </c>
      <c r="AG7300">
        <v>-1.1117392427920001</v>
      </c>
      <c r="AH7300">
        <v>17.631347527988599</v>
      </c>
      <c r="AI7300">
        <v>93.562324791808507</v>
      </c>
      <c r="AJ7300">
        <v>99.137505032717598</v>
      </c>
      <c r="AK7300">
        <v>17.892535831709001</v>
      </c>
      <c r="AL7300">
        <v>78.871006909260302</v>
      </c>
      <c r="AM7300">
        <v>94.464146795318399</v>
      </c>
      <c r="AN7300">
        <v>0.99999999807253703</v>
      </c>
    </row>
    <row r="7301" spans="1:40" x14ac:dyDescent="0.25">
      <c r="A7301" t="str">
        <f>"20190312172256429"</f>
        <v>20190312172256429</v>
      </c>
      <c r="B7301" t="str">
        <f>"1552382576428039"</f>
        <v>1552382576428039</v>
      </c>
      <c r="C7301" t="s">
        <v>40</v>
      </c>
      <c r="D7301">
        <v>3.4322750000000002</v>
      </c>
      <c r="E7301">
        <v>0.47193289999999999</v>
      </c>
      <c r="F7301" t="s">
        <v>42</v>
      </c>
      <c r="G7301">
        <v>-263.4796</v>
      </c>
      <c r="H7301" s="1">
        <v>-1.344087E-6</v>
      </c>
      <c r="I7301">
        <v>-63.563450000000003</v>
      </c>
      <c r="J7301">
        <v>-281.06729999999999</v>
      </c>
      <c r="K7301">
        <v>1.1117349999999999</v>
      </c>
      <c r="L7301">
        <v>-64.756410000000002</v>
      </c>
      <c r="M7301">
        <v>0.99591070000000004</v>
      </c>
      <c r="N7301">
        <v>0</v>
      </c>
      <c r="O7301">
        <v>-8.9811089999999996E-2</v>
      </c>
      <c r="P7301">
        <v>0.98306110000000002</v>
      </c>
      <c r="Q7301">
        <v>0.18275959999999999</v>
      </c>
      <c r="R7301">
        <v>-1.377043E-2</v>
      </c>
      <c r="S7301">
        <v>3.091675</v>
      </c>
      <c r="T7301">
        <v>-0.1945684</v>
      </c>
      <c r="U7301">
        <v>0.20788570000000001</v>
      </c>
      <c r="V7301">
        <v>-7.5295860000000006E-2</v>
      </c>
      <c r="W7301">
        <v>0.19206019999999999</v>
      </c>
      <c r="X7301">
        <v>0.97849039999999998</v>
      </c>
      <c r="Y7301">
        <v>-0.15594649999999999</v>
      </c>
      <c r="Z7301">
        <v>1.053569E-2</v>
      </c>
      <c r="AA7301">
        <v>0.98770930000000001</v>
      </c>
      <c r="AB7301">
        <v>16</v>
      </c>
      <c r="AC7301">
        <v>17.587699999999899</v>
      </c>
      <c r="AD7301">
        <v>-1.1117363440870001</v>
      </c>
      <c r="AE7301">
        <v>1.19295999999999</v>
      </c>
      <c r="AF7301">
        <v>-2.7568199876552701</v>
      </c>
      <c r="AG7301">
        <v>-1.1117363440870001</v>
      </c>
      <c r="AH7301">
        <v>17.340502952237198</v>
      </c>
      <c r="AI7301">
        <v>93.622956943731097</v>
      </c>
      <c r="AJ7301">
        <v>99.033371398383906</v>
      </c>
      <c r="AK7301">
        <v>17.593437889726001</v>
      </c>
      <c r="AL7301">
        <v>78.926960689782902</v>
      </c>
      <c r="AM7301">
        <v>94.400298447873098</v>
      </c>
      <c r="AN7301">
        <v>1.0000000249246599</v>
      </c>
    </row>
    <row r="7302" spans="1:40" x14ac:dyDescent="0.25">
      <c r="A7302" t="str">
        <f>"20190312172256441"</f>
        <v>20190312172256441</v>
      </c>
      <c r="B7302" t="str">
        <f>"1552382576437798"</f>
        <v>1552382576437798</v>
      </c>
      <c r="C7302" t="s">
        <v>40</v>
      </c>
      <c r="D7302">
        <v>3.4493949999999902</v>
      </c>
      <c r="E7302">
        <v>0.47224519999999998</v>
      </c>
      <c r="F7302" t="s">
        <v>42</v>
      </c>
      <c r="G7302">
        <v>-263.53859999999997</v>
      </c>
      <c r="H7302" s="1">
        <v>-1.3779909999999999E-6</v>
      </c>
      <c r="I7302">
        <v>-63.595799999999997</v>
      </c>
      <c r="J7302">
        <v>-280.98860000000002</v>
      </c>
      <c r="K7302">
        <v>1.1117319999999999</v>
      </c>
      <c r="L7302">
        <v>-64.761510000000001</v>
      </c>
      <c r="M7302">
        <v>0.99607100000000004</v>
      </c>
      <c r="N7302">
        <v>0</v>
      </c>
      <c r="O7302">
        <v>-8.802161E-2</v>
      </c>
      <c r="P7302">
        <v>0.98314429999999997</v>
      </c>
      <c r="Q7302">
        <v>0.18235409999999999</v>
      </c>
      <c r="R7302">
        <v>-1.3190210000000001E-2</v>
      </c>
      <c r="S7302">
        <v>3.0910030000000002</v>
      </c>
      <c r="T7302">
        <v>-0.1960433</v>
      </c>
      <c r="U7302">
        <v>0.2046509</v>
      </c>
      <c r="V7302">
        <v>-7.4120660000000005E-2</v>
      </c>
      <c r="W7302">
        <v>0.19160579999999999</v>
      </c>
      <c r="X7302">
        <v>0.97866920000000002</v>
      </c>
      <c r="Y7302">
        <v>-0.15315809999999999</v>
      </c>
      <c r="Z7302">
        <v>1.0416659999999999E-2</v>
      </c>
      <c r="AA7302">
        <v>0.98814679999999999</v>
      </c>
      <c r="AB7302">
        <v>16</v>
      </c>
      <c r="AC7302">
        <v>17.45</v>
      </c>
      <c r="AD7302">
        <v>-1.1117333779909999</v>
      </c>
      <c r="AE7302">
        <v>1.16571</v>
      </c>
      <c r="AF7302">
        <v>-2.68637946239651</v>
      </c>
      <c r="AG7302">
        <v>-1.1117333779909999</v>
      </c>
      <c r="AH7302">
        <v>17.210105917001201</v>
      </c>
      <c r="AI7302">
        <v>93.651940364488297</v>
      </c>
      <c r="AJ7302">
        <v>98.8718856825502</v>
      </c>
      <c r="AK7302">
        <v>17.453948876805001</v>
      </c>
      <c r="AL7302">
        <v>78.953488623407694</v>
      </c>
      <c r="AM7302">
        <v>94.331094700562304</v>
      </c>
      <c r="AN7302">
        <v>1.00000002893055</v>
      </c>
    </row>
    <row r="7303" spans="1:40" x14ac:dyDescent="0.25">
      <c r="A7303" t="str">
        <f>"20190312172256453"</f>
        <v>20190312172256453</v>
      </c>
      <c r="B7303" t="str">
        <f>"1552382576447558"</f>
        <v>1552382576447558</v>
      </c>
      <c r="C7303" t="s">
        <v>40</v>
      </c>
      <c r="D7303">
        <v>3.463276</v>
      </c>
      <c r="E7303">
        <v>0.47254309999999999</v>
      </c>
      <c r="F7303" t="s">
        <v>42</v>
      </c>
      <c r="G7303">
        <v>-263.50650000000002</v>
      </c>
      <c r="H7303" s="1">
        <v>-1.3677529999999901E-6</v>
      </c>
      <c r="I7303">
        <v>-63.609009999999998</v>
      </c>
      <c r="J7303">
        <v>-280.90159999999997</v>
      </c>
      <c r="K7303">
        <v>1.1117300000000001</v>
      </c>
      <c r="L7303">
        <v>-64.766909999999996</v>
      </c>
      <c r="M7303">
        <v>0.99624449999999998</v>
      </c>
      <c r="N7303">
        <v>0</v>
      </c>
      <c r="O7303">
        <v>-8.6042359999999998E-2</v>
      </c>
      <c r="P7303">
        <v>0.98319009999999996</v>
      </c>
      <c r="Q7303">
        <v>0.18217520000000001</v>
      </c>
      <c r="R7303">
        <v>-1.222789E-2</v>
      </c>
      <c r="S7303">
        <v>3.0906069999999999</v>
      </c>
      <c r="T7303">
        <v>-0.19654089999999999</v>
      </c>
      <c r="U7303">
        <v>0.20373540000000001</v>
      </c>
      <c r="V7303">
        <v>-7.3136519999999997E-2</v>
      </c>
      <c r="W7303">
        <v>0.19137509999999999</v>
      </c>
      <c r="X7303">
        <v>0.9787884</v>
      </c>
      <c r="Y7303">
        <v>-0.1509172</v>
      </c>
      <c r="Z7303">
        <v>1.0247920000000001E-2</v>
      </c>
      <c r="AA7303">
        <v>0.98849330000000002</v>
      </c>
      <c r="AB7303">
        <v>16</v>
      </c>
      <c r="AC7303">
        <v>17.3950999999999</v>
      </c>
      <c r="AD7303">
        <v>-1.1117313677530001</v>
      </c>
      <c r="AE7303">
        <v>1.1578999999999899</v>
      </c>
      <c r="AF7303">
        <v>-2.6396567269431999</v>
      </c>
      <c r="AG7303">
        <v>-1.1117313677530001</v>
      </c>
      <c r="AH7303">
        <v>17.1611640712593</v>
      </c>
      <c r="AI7303">
        <v>93.663579303098899</v>
      </c>
      <c r="AJ7303">
        <v>98.744458578047698</v>
      </c>
      <c r="AK7303">
        <v>17.398542655947399</v>
      </c>
      <c r="AL7303">
        <v>78.966956279092699</v>
      </c>
      <c r="AM7303">
        <v>94.273284365723001</v>
      </c>
      <c r="AN7303">
        <v>1.0000000557161299</v>
      </c>
    </row>
    <row r="7304" spans="1:40" x14ac:dyDescent="0.25">
      <c r="A7304" t="str">
        <f>"20190312172256464"</f>
        <v>20190312172256464</v>
      </c>
      <c r="B7304" t="str">
        <f>"1552382576458298"</f>
        <v>1552382576458298</v>
      </c>
      <c r="C7304" t="s">
        <v>40</v>
      </c>
      <c r="D7304">
        <v>3.4606699999999999</v>
      </c>
      <c r="E7304">
        <v>0.47283700000000001</v>
      </c>
      <c r="F7304" t="s">
        <v>42</v>
      </c>
      <c r="G7304">
        <v>-263.39339999999999</v>
      </c>
      <c r="H7304" s="1">
        <v>-1.319115E-6</v>
      </c>
      <c r="I7304">
        <v>-63.608569999999901</v>
      </c>
      <c r="J7304">
        <v>-280.82859999999999</v>
      </c>
      <c r="K7304">
        <v>1.111728</v>
      </c>
      <c r="L7304">
        <v>-64.771330000000006</v>
      </c>
      <c r="M7304">
        <v>0.99638689999999996</v>
      </c>
      <c r="N7304">
        <v>0</v>
      </c>
      <c r="O7304">
        <v>-8.4383089999999994E-2</v>
      </c>
      <c r="P7304">
        <v>0.98323939999999999</v>
      </c>
      <c r="Q7304">
        <v>0.18195159999999999</v>
      </c>
      <c r="R7304">
        <v>-1.15841E-2</v>
      </c>
      <c r="S7304">
        <v>3.0902099999999999</v>
      </c>
      <c r="T7304">
        <v>-0.19622210000000001</v>
      </c>
      <c r="U7304">
        <v>0.20443729999999999</v>
      </c>
      <c r="V7304">
        <v>-7.2150339999999993E-2</v>
      </c>
      <c r="W7304">
        <v>0.191111</v>
      </c>
      <c r="X7304">
        <v>0.97891309999999998</v>
      </c>
      <c r="Y7304">
        <v>-0.14951020000000001</v>
      </c>
      <c r="Z7304">
        <v>1.0083E-2</v>
      </c>
      <c r="AA7304">
        <v>0.98870880000000005</v>
      </c>
      <c r="AB7304">
        <v>16</v>
      </c>
      <c r="AC7304">
        <v>17.435199999999998</v>
      </c>
      <c r="AD7304">
        <v>-1.1117293191149999</v>
      </c>
      <c r="AE7304">
        <v>1.16276000000001</v>
      </c>
      <c r="AF7304">
        <v>-2.6193142931365498</v>
      </c>
      <c r="AG7304">
        <v>-1.1117293191149999</v>
      </c>
      <c r="AH7304">
        <v>17.205244729646601</v>
      </c>
      <c r="AI7304">
        <v>93.6550709102886</v>
      </c>
      <c r="AJ7304">
        <v>98.656202967442596</v>
      </c>
      <c r="AK7304">
        <v>17.438956266137101</v>
      </c>
      <c r="AL7304">
        <v>78.982371699646805</v>
      </c>
      <c r="AM7304">
        <v>94.215337039514907</v>
      </c>
      <c r="AN7304">
        <v>0.99999997161736198</v>
      </c>
    </row>
    <row r="7305" spans="1:40" x14ac:dyDescent="0.25">
      <c r="A7305" t="str">
        <f>"20190312172256474"</f>
        <v>20190312172256474</v>
      </c>
      <c r="B7305" t="str">
        <f>"1552382576468055"</f>
        <v>1552382576468055</v>
      </c>
      <c r="C7305" t="s">
        <v>40</v>
      </c>
      <c r="D7305">
        <v>3.4450590000000001</v>
      </c>
      <c r="E7305">
        <v>0.47314650000000003</v>
      </c>
      <c r="F7305" t="s">
        <v>73</v>
      </c>
      <c r="G7305">
        <v>-263.30900000000003</v>
      </c>
      <c r="H7305" s="1">
        <v>-1.2839089999999999E-6</v>
      </c>
      <c r="I7305">
        <v>-63.612450000000003</v>
      </c>
      <c r="J7305">
        <v>-280.74799999999999</v>
      </c>
      <c r="K7305">
        <v>1.111728</v>
      </c>
      <c r="L7305">
        <v>-64.776060000000001</v>
      </c>
      <c r="M7305">
        <v>0.99654100000000001</v>
      </c>
      <c r="N7305">
        <v>0</v>
      </c>
      <c r="O7305">
        <v>-8.2548800000000006E-2</v>
      </c>
      <c r="P7305">
        <v>0.98328349999999998</v>
      </c>
      <c r="Q7305">
        <v>0.18176290000000001</v>
      </c>
      <c r="R7305">
        <v>-1.075806E-2</v>
      </c>
      <c r="S7305">
        <v>3.089874</v>
      </c>
      <c r="T7305">
        <v>-0.1960711</v>
      </c>
      <c r="U7305">
        <v>0.20437620000000001</v>
      </c>
      <c r="V7305">
        <v>-7.1173310000000004E-2</v>
      </c>
      <c r="W7305">
        <v>0.1908803</v>
      </c>
      <c r="X7305">
        <v>0.9790297</v>
      </c>
      <c r="Y7305">
        <v>-0.1476856</v>
      </c>
      <c r="Z7305">
        <v>9.9025640000000009E-3</v>
      </c>
      <c r="AA7305">
        <v>0.9889848</v>
      </c>
      <c r="AB7305">
        <v>16</v>
      </c>
      <c r="AC7305">
        <v>17.438999999999901</v>
      </c>
      <c r="AD7305">
        <v>-1.1117292839090001</v>
      </c>
      <c r="AE7305">
        <v>1.16360999999999</v>
      </c>
      <c r="AF7305">
        <v>-2.5887985418325798</v>
      </c>
      <c r="AG7305">
        <v>-1.1117292839090001</v>
      </c>
      <c r="AH7305">
        <v>17.213769740379401</v>
      </c>
      <c r="AI7305">
        <v>93.654261754938801</v>
      </c>
      <c r="AJ7305">
        <v>98.552682160950496</v>
      </c>
      <c r="AK7305">
        <v>17.442811945489101</v>
      </c>
      <c r="AL7305">
        <v>78.995838509833803</v>
      </c>
      <c r="AM7305">
        <v>94.157962784201402</v>
      </c>
      <c r="AN7305">
        <v>1.0000000412332599</v>
      </c>
    </row>
    <row r="7306" spans="1:40" x14ac:dyDescent="0.25">
      <c r="A7306" t="str">
        <f>"20190312172256486"</f>
        <v>20190312172256486</v>
      </c>
      <c r="B7306" t="str">
        <f>"1552382576477814"</f>
        <v>1552382576477814</v>
      </c>
      <c r="C7306" t="s">
        <v>40</v>
      </c>
      <c r="D7306">
        <v>3.472499</v>
      </c>
      <c r="E7306">
        <v>0.47344710000000001</v>
      </c>
      <c r="F7306" t="s">
        <v>42</v>
      </c>
      <c r="G7306">
        <v>-263.2072</v>
      </c>
      <c r="H7306" s="1">
        <v>-1.240377E-6</v>
      </c>
      <c r="I7306">
        <v>-63.612859999999998</v>
      </c>
      <c r="J7306">
        <v>-280.67020000000002</v>
      </c>
      <c r="K7306">
        <v>1.1117319999999999</v>
      </c>
      <c r="L7306">
        <v>-64.78049</v>
      </c>
      <c r="M7306">
        <v>0.99668670000000004</v>
      </c>
      <c r="N7306">
        <v>0</v>
      </c>
      <c r="O7306">
        <v>-8.0775940000000004E-2</v>
      </c>
      <c r="P7306">
        <v>0.98333550000000003</v>
      </c>
      <c r="Q7306">
        <v>0.1815196</v>
      </c>
      <c r="R7306">
        <v>-1.0093660000000001E-2</v>
      </c>
      <c r="S7306">
        <v>3.0894780000000002</v>
      </c>
      <c r="T7306">
        <v>-0.19580990000000001</v>
      </c>
      <c r="U7306">
        <v>0.2048645</v>
      </c>
      <c r="V7306">
        <v>-7.0095980000000002E-2</v>
      </c>
      <c r="W7306">
        <v>0.19059950000000001</v>
      </c>
      <c r="X7306">
        <v>0.97916210000000004</v>
      </c>
      <c r="Y7306">
        <v>-0.1460979</v>
      </c>
      <c r="Z7306">
        <v>9.7284069999999997E-3</v>
      </c>
      <c r="AA7306">
        <v>0.9892223</v>
      </c>
      <c r="AB7306">
        <v>16</v>
      </c>
      <c r="AC7306">
        <v>17.463000000000001</v>
      </c>
      <c r="AD7306">
        <v>-1.1117332403769999</v>
      </c>
      <c r="AE7306">
        <v>1.1676299999999999</v>
      </c>
      <c r="AF7306">
        <v>-2.5641226825293701</v>
      </c>
      <c r="AG7306">
        <v>-1.1117332403769999</v>
      </c>
      <c r="AH7306">
        <v>17.242041137785801</v>
      </c>
      <c r="AI7306">
        <v>93.649192143563695</v>
      </c>
      <c r="AJ7306">
        <v>98.458657813727498</v>
      </c>
      <c r="AK7306">
        <v>17.4670735535727</v>
      </c>
      <c r="AL7306">
        <v>79.012227796124407</v>
      </c>
      <c r="AM7306">
        <v>94.094688800784994</v>
      </c>
      <c r="AN7306">
        <v>1.0000000169444101</v>
      </c>
    </row>
    <row r="7307" spans="1:40" x14ac:dyDescent="0.25">
      <c r="A7307" t="str">
        <f>"20190312172256496"</f>
        <v>20190312172256496</v>
      </c>
      <c r="B7307" t="str">
        <f>"1552382576487575"</f>
        <v>1552382576487575</v>
      </c>
      <c r="C7307" t="s">
        <v>40</v>
      </c>
      <c r="D7307">
        <v>3.4685100000000002</v>
      </c>
      <c r="E7307">
        <v>0.47375650000000002</v>
      </c>
      <c r="F7307" t="s">
        <v>42</v>
      </c>
      <c r="G7307">
        <v>-263.1223</v>
      </c>
      <c r="H7307" s="1">
        <v>-1.2046719999999999E-6</v>
      </c>
      <c r="I7307">
        <v>-63.615630000000003</v>
      </c>
      <c r="J7307">
        <v>-280.59390000000002</v>
      </c>
      <c r="K7307">
        <v>1.1117330000000001</v>
      </c>
      <c r="L7307">
        <v>-64.784729999999996</v>
      </c>
      <c r="M7307">
        <v>0.9968264</v>
      </c>
      <c r="N7307">
        <v>0</v>
      </c>
      <c r="O7307">
        <v>-7.9038120000000003E-2</v>
      </c>
      <c r="P7307">
        <v>0.98336449999999997</v>
      </c>
      <c r="Q7307">
        <v>0.18140990000000001</v>
      </c>
      <c r="R7307">
        <v>-9.2102710000000008E-3</v>
      </c>
      <c r="S7307">
        <v>3.0890810000000002</v>
      </c>
      <c r="T7307">
        <v>-0.19570660000000001</v>
      </c>
      <c r="U7307">
        <v>0.2050476</v>
      </c>
      <c r="V7307">
        <v>-6.9271079999999999E-2</v>
      </c>
      <c r="W7307">
        <v>0.19045339999999999</v>
      </c>
      <c r="X7307">
        <v>0.97924920000000004</v>
      </c>
      <c r="Y7307">
        <v>-0.14444689999999999</v>
      </c>
      <c r="Z7307">
        <v>9.5625689999999999E-3</v>
      </c>
      <c r="AA7307">
        <v>0.98946639999999997</v>
      </c>
      <c r="AB7307">
        <v>16</v>
      </c>
      <c r="AC7307">
        <v>17.471599999999999</v>
      </c>
      <c r="AD7307">
        <v>-1.111734204672</v>
      </c>
      <c r="AE7307">
        <v>1.1691</v>
      </c>
      <c r="AF7307">
        <v>-2.5362038350523002</v>
      </c>
      <c r="AG7307">
        <v>-1.111734204672</v>
      </c>
      <c r="AH7307">
        <v>17.254977006171199</v>
      </c>
      <c r="AI7307">
        <v>93.647377046992005</v>
      </c>
      <c r="AJ7307">
        <v>98.361684214785498</v>
      </c>
      <c r="AK7307">
        <v>17.475769348394</v>
      </c>
      <c r="AL7307">
        <v>79.020754585617695</v>
      </c>
      <c r="AM7307">
        <v>94.046304185598203</v>
      </c>
      <c r="AN7307">
        <v>0.99999998789828304</v>
      </c>
    </row>
    <row r="7308" spans="1:40" x14ac:dyDescent="0.25">
      <c r="A7308" t="str">
        <f>"20190312172256509"</f>
        <v>20190312172256509</v>
      </c>
      <c r="B7308" t="str">
        <f>"1552382576497335"</f>
        <v>1552382576497335</v>
      </c>
      <c r="C7308" t="s">
        <v>40</v>
      </c>
      <c r="D7308">
        <v>3.4676939999999998</v>
      </c>
      <c r="E7308">
        <v>0.47404800000000002</v>
      </c>
      <c r="F7308" t="s">
        <v>42</v>
      </c>
      <c r="G7308">
        <v>-263.00529999999998</v>
      </c>
      <c r="H7308" s="1">
        <v>-1.153914E-6</v>
      </c>
      <c r="I7308">
        <v>-63.61354</v>
      </c>
      <c r="J7308">
        <v>-280.51209999999998</v>
      </c>
      <c r="K7308">
        <v>1.1117330000000001</v>
      </c>
      <c r="L7308">
        <v>-64.789059999999907</v>
      </c>
      <c r="M7308">
        <v>0.99697279999999999</v>
      </c>
      <c r="N7308">
        <v>0</v>
      </c>
      <c r="O7308">
        <v>-7.7175259999999996E-2</v>
      </c>
      <c r="P7308">
        <v>0.98341489999999998</v>
      </c>
      <c r="Q7308">
        <v>0.18118139999999999</v>
      </c>
      <c r="R7308">
        <v>-8.290047E-3</v>
      </c>
      <c r="S7308">
        <v>3.0886840000000002</v>
      </c>
      <c r="T7308">
        <v>-0.1952285</v>
      </c>
      <c r="U7308">
        <v>0.20565800000000001</v>
      </c>
      <c r="V7308">
        <v>-6.8360309999999994E-2</v>
      </c>
      <c r="W7308">
        <v>0.19019079999999999</v>
      </c>
      <c r="X7308">
        <v>0.97936429999999997</v>
      </c>
      <c r="Y7308">
        <v>-0.14280979999999999</v>
      </c>
      <c r="Z7308">
        <v>9.3713979999999995E-3</v>
      </c>
      <c r="AA7308">
        <v>0.98970579999999997</v>
      </c>
      <c r="AB7308">
        <v>16</v>
      </c>
      <c r="AC7308">
        <v>17.506799999999998</v>
      </c>
      <c r="AD7308">
        <v>-1.111734153914</v>
      </c>
      <c r="AE7308">
        <v>1.1755199999999899</v>
      </c>
      <c r="AF7308">
        <v>-2.5130770402412699</v>
      </c>
      <c r="AG7308">
        <v>-1.111734153914</v>
      </c>
      <c r="AH7308">
        <v>17.294427937098</v>
      </c>
      <c r="AI7308">
        <v>93.639947786817501</v>
      </c>
      <c r="AJ7308">
        <v>98.267859352287999</v>
      </c>
      <c r="AK7308">
        <v>17.5113890571435</v>
      </c>
      <c r="AL7308">
        <v>79.036081305162995</v>
      </c>
      <c r="AM7308">
        <v>93.992809199625597</v>
      </c>
      <c r="AN7308">
        <v>1.00000005225121</v>
      </c>
    </row>
    <row r="7309" spans="1:40" x14ac:dyDescent="0.25">
      <c r="A7309" t="str">
        <f>"20190312172256519"</f>
        <v>20190312172256519</v>
      </c>
      <c r="B7309" t="str">
        <f>"1552382576508072"</f>
        <v>1552382576508072</v>
      </c>
      <c r="C7309" t="s">
        <v>40</v>
      </c>
      <c r="D7309">
        <v>3.4766219999999999</v>
      </c>
      <c r="E7309">
        <v>0.47433209999999998</v>
      </c>
      <c r="F7309" t="s">
        <v>73</v>
      </c>
      <c r="G7309">
        <v>-262.9196</v>
      </c>
      <c r="H7309" s="1">
        <v>-1.1173450000000001E-6</v>
      </c>
      <c r="I7309">
        <v>-63.614330000000002</v>
      </c>
      <c r="J7309">
        <v>-280.43040000000002</v>
      </c>
      <c r="K7309">
        <v>1.1117349999999999</v>
      </c>
      <c r="L7309">
        <v>-64.793329999999997</v>
      </c>
      <c r="M7309">
        <v>0.99711550000000004</v>
      </c>
      <c r="N7309">
        <v>0</v>
      </c>
      <c r="O7309">
        <v>-7.5314190000000003E-2</v>
      </c>
      <c r="P7309">
        <v>0.98345570000000004</v>
      </c>
      <c r="Q7309">
        <v>0.18099319999999999</v>
      </c>
      <c r="R7309">
        <v>-7.5303019999999896E-3</v>
      </c>
      <c r="S7309">
        <v>3.0882869999999998</v>
      </c>
      <c r="T7309">
        <v>-0.1951591</v>
      </c>
      <c r="U7309">
        <v>0.20620730000000001</v>
      </c>
      <c r="V7309">
        <v>-6.729098E-2</v>
      </c>
      <c r="W7309">
        <v>0.18997030000000001</v>
      </c>
      <c r="X7309">
        <v>0.97948109999999999</v>
      </c>
      <c r="Y7309">
        <v>-0.1411531</v>
      </c>
      <c r="Z7309">
        <v>9.1997369999999995E-3</v>
      </c>
      <c r="AA7309">
        <v>0.98994510000000002</v>
      </c>
      <c r="AB7309">
        <v>16</v>
      </c>
      <c r="AC7309">
        <v>17.5108</v>
      </c>
      <c r="AD7309">
        <v>-1.111736117345</v>
      </c>
      <c r="AE7309">
        <v>1.179</v>
      </c>
      <c r="AF7309">
        <v>-2.4845516778624801</v>
      </c>
      <c r="AG7309">
        <v>-1.111736117345</v>
      </c>
      <c r="AH7309">
        <v>17.302833445866401</v>
      </c>
      <c r="AI7309">
        <v>93.639073469746293</v>
      </c>
      <c r="AJ7309">
        <v>98.171370670685803</v>
      </c>
      <c r="AK7309">
        <v>17.515621584459101</v>
      </c>
      <c r="AL7309">
        <v>79.048949142953703</v>
      </c>
      <c r="AM7309">
        <v>93.930081538396394</v>
      </c>
      <c r="AN7309">
        <v>1.0000000080643301</v>
      </c>
    </row>
    <row r="7310" spans="1:40" x14ac:dyDescent="0.25">
      <c r="A7310" t="str">
        <f>"20190312172256531"</f>
        <v>20190312172256531</v>
      </c>
      <c r="B7310" t="str">
        <f>"1552382576527591"</f>
        <v>1552382576527591</v>
      </c>
      <c r="C7310" t="s">
        <v>40</v>
      </c>
      <c r="D7310">
        <v>3.4841690000000001</v>
      </c>
      <c r="E7310">
        <v>0.47486899999999999</v>
      </c>
      <c r="F7310" t="s">
        <v>42</v>
      </c>
      <c r="G7310">
        <v>-262.8211</v>
      </c>
      <c r="H7310" s="1">
        <v>-1.0756839999999999E-6</v>
      </c>
      <c r="I7310">
        <v>-63.616480000000003</v>
      </c>
      <c r="J7310">
        <v>-280.35309999999998</v>
      </c>
      <c r="K7310">
        <v>1.1117360000000001</v>
      </c>
      <c r="L7310">
        <v>-64.797119999999893</v>
      </c>
      <c r="M7310">
        <v>0.9972472</v>
      </c>
      <c r="N7310">
        <v>0</v>
      </c>
      <c r="O7310">
        <v>-7.3552309999999996E-2</v>
      </c>
      <c r="P7310">
        <v>0.98342499999999999</v>
      </c>
      <c r="Q7310">
        <v>0.1811865</v>
      </c>
      <c r="R7310">
        <v>-6.8298150000000004E-3</v>
      </c>
      <c r="S7310">
        <v>3.0879210000000001</v>
      </c>
      <c r="T7310">
        <v>-0.19495090000000001</v>
      </c>
      <c r="U7310">
        <v>0.20635990000000001</v>
      </c>
      <c r="V7310">
        <v>-6.6256590000000004E-2</v>
      </c>
      <c r="W7310">
        <v>0.19013650000000001</v>
      </c>
      <c r="X7310">
        <v>0.97951940000000004</v>
      </c>
      <c r="Y7310">
        <v>-0.13946800000000001</v>
      </c>
      <c r="Z7310">
        <v>9.0270190000000007E-3</v>
      </c>
      <c r="AA7310">
        <v>0.99018539999999999</v>
      </c>
      <c r="AB7310">
        <v>16</v>
      </c>
      <c r="AC7310">
        <v>17.531999999999901</v>
      </c>
      <c r="AD7310">
        <v>-1.1117370756839999</v>
      </c>
      <c r="AE7310">
        <v>1.1806399999999799</v>
      </c>
      <c r="AF7310">
        <v>-2.4571817965331402</v>
      </c>
      <c r="AG7310">
        <v>-1.1117370756839999</v>
      </c>
      <c r="AH7310">
        <v>17.328301626821201</v>
      </c>
      <c r="AI7310">
        <v>93.634650006010702</v>
      </c>
      <c r="AJ7310">
        <v>98.0708279467609</v>
      </c>
      <c r="AK7310">
        <v>17.536925014858099</v>
      </c>
      <c r="AL7310">
        <v>79.039250152533498</v>
      </c>
      <c r="AM7310">
        <v>93.869702864809597</v>
      </c>
      <c r="AN7310">
        <v>1.00000003966351</v>
      </c>
    </row>
    <row r="7311" spans="1:40" x14ac:dyDescent="0.25">
      <c r="A7311" t="str">
        <f>"20190312172256542"</f>
        <v>20190312172256542</v>
      </c>
      <c r="B7311" t="str">
        <f>"1552382576538326"</f>
        <v>1552382576538326</v>
      </c>
      <c r="C7311" t="s">
        <v>40</v>
      </c>
      <c r="D7311">
        <v>3.4537149999999999</v>
      </c>
      <c r="E7311">
        <v>0.47511690000000001</v>
      </c>
      <c r="F7311" t="s">
        <v>42</v>
      </c>
      <c r="G7311">
        <v>-262.54410000000001</v>
      </c>
      <c r="H7311" s="1">
        <v>-9.5697939999999992E-7</v>
      </c>
      <c r="I7311">
        <v>-63.616959999999999</v>
      </c>
      <c r="J7311">
        <v>-280.26990000000001</v>
      </c>
      <c r="K7311">
        <v>1.11174</v>
      </c>
      <c r="L7311">
        <v>-64.801119999999997</v>
      </c>
      <c r="M7311">
        <v>0.99738559999999998</v>
      </c>
      <c r="N7311">
        <v>0</v>
      </c>
      <c r="O7311">
        <v>-7.1657399999999996E-2</v>
      </c>
      <c r="P7311">
        <v>0.98348840000000004</v>
      </c>
      <c r="Q7311">
        <v>0.18086930000000001</v>
      </c>
      <c r="R7311">
        <v>-6.0963969999999999E-3</v>
      </c>
      <c r="S7311">
        <v>3.087494</v>
      </c>
      <c r="T7311">
        <v>-0.19273870000000001</v>
      </c>
      <c r="U7311">
        <v>0.20458979999999999</v>
      </c>
      <c r="V7311">
        <v>-6.5129699999999999E-2</v>
      </c>
      <c r="W7311">
        <v>0.1897924</v>
      </c>
      <c r="X7311">
        <v>0.97966160000000002</v>
      </c>
      <c r="Y7311">
        <v>-0.1370479</v>
      </c>
      <c r="Z7311">
        <v>8.7328159999999991E-3</v>
      </c>
      <c r="AA7311">
        <v>0.99052589999999996</v>
      </c>
      <c r="AB7311">
        <v>16</v>
      </c>
      <c r="AC7311">
        <v>17.7257999999999</v>
      </c>
      <c r="AD7311">
        <v>-1.1117409569793999</v>
      </c>
      <c r="AE7311">
        <v>1.1841599999999901</v>
      </c>
      <c r="AF7311">
        <v>-2.4417932521847701</v>
      </c>
      <c r="AG7311">
        <v>-1.1117409569793999</v>
      </c>
      <c r="AH7311">
        <v>17.526733172000199</v>
      </c>
      <c r="AI7311">
        <v>93.594847839958206</v>
      </c>
      <c r="AJ7311">
        <v>97.931294565122101</v>
      </c>
      <c r="AK7311">
        <v>17.7308967038989</v>
      </c>
      <c r="AL7311">
        <v>79.059330202750502</v>
      </c>
      <c r="AM7311">
        <v>93.803531440062798</v>
      </c>
      <c r="AN7311">
        <v>0.99999994171720297</v>
      </c>
    </row>
    <row r="7312" spans="1:40" x14ac:dyDescent="0.25">
      <c r="A7312" t="str">
        <f>"20190312172256553"</f>
        <v>20190312172256553</v>
      </c>
      <c r="B7312" t="str">
        <f>"1552382576548088"</f>
        <v>1552382576548088</v>
      </c>
      <c r="C7312" t="s">
        <v>40</v>
      </c>
      <c r="D7312">
        <v>3.47309</v>
      </c>
      <c r="E7312">
        <v>0.47535769999999999</v>
      </c>
      <c r="F7312" t="s">
        <v>42</v>
      </c>
      <c r="G7312">
        <v>-262.47649999999999</v>
      </c>
      <c r="H7312" s="1">
        <v>-9.2802589999999998E-7</v>
      </c>
      <c r="I7312">
        <v>-63.617100000000001</v>
      </c>
      <c r="J7312">
        <v>-280.18799999999999</v>
      </c>
      <c r="K7312">
        <v>1.1117410000000001</v>
      </c>
      <c r="L7312">
        <v>-64.804869999999994</v>
      </c>
      <c r="M7312">
        <v>0.99751820000000002</v>
      </c>
      <c r="N7312">
        <v>0</v>
      </c>
      <c r="O7312">
        <v>-6.9791350000000002E-2</v>
      </c>
      <c r="P7312">
        <v>0.98349790000000004</v>
      </c>
      <c r="Q7312">
        <v>0.18083879999999999</v>
      </c>
      <c r="R7312">
        <v>-5.4491399999999999E-3</v>
      </c>
      <c r="S7312">
        <v>3.0871279999999999</v>
      </c>
      <c r="T7312">
        <v>-0.1928851</v>
      </c>
      <c r="U7312">
        <v>0.20541380000000001</v>
      </c>
      <c r="V7312">
        <v>-6.3941460000000006E-2</v>
      </c>
      <c r="W7312">
        <v>0.18973860000000001</v>
      </c>
      <c r="X7312">
        <v>0.97975029999999996</v>
      </c>
      <c r="Y7312">
        <v>-0.1354717</v>
      </c>
      <c r="Z7312">
        <v>8.5749910000000006E-3</v>
      </c>
      <c r="AA7312">
        <v>0.99074410000000002</v>
      </c>
      <c r="AB7312">
        <v>16</v>
      </c>
      <c r="AC7312">
        <v>17.711500000000001</v>
      </c>
      <c r="AD7312">
        <v>-1.1117419280259</v>
      </c>
      <c r="AE7312">
        <v>1.18776999999999</v>
      </c>
      <c r="AF7312">
        <v>-2.41157743324916</v>
      </c>
      <c r="AG7312">
        <v>-1.1117419280259</v>
      </c>
      <c r="AH7312">
        <v>17.5167020863306</v>
      </c>
      <c r="AI7312">
        <v>93.597706303767794</v>
      </c>
      <c r="AJ7312">
        <v>97.838806155320498</v>
      </c>
      <c r="AK7312">
        <v>17.716843054346501</v>
      </c>
      <c r="AL7312">
        <v>79.062469838471301</v>
      </c>
      <c r="AM7312">
        <v>93.734000051285904</v>
      </c>
      <c r="AN7312">
        <v>0.99999994849348905</v>
      </c>
    </row>
    <row r="7313" spans="1:40" x14ac:dyDescent="0.25">
      <c r="A7313" t="str">
        <f>"20190312172256565"</f>
        <v>20190312172256565</v>
      </c>
      <c r="B7313" t="str">
        <f>"1552382576557846"</f>
        <v>1552382576557846</v>
      </c>
      <c r="C7313" t="s">
        <v>40</v>
      </c>
      <c r="D7313">
        <v>3.4749569999999999</v>
      </c>
      <c r="E7313">
        <v>0.47560200000000002</v>
      </c>
      <c r="F7313" t="s">
        <v>42</v>
      </c>
      <c r="G7313">
        <v>-262.33330000000001</v>
      </c>
      <c r="H7313" s="1">
        <v>-8.6579340000000002E-7</v>
      </c>
      <c r="I7313">
        <v>-63.614170000000001</v>
      </c>
      <c r="J7313">
        <v>-280.10570000000001</v>
      </c>
      <c r="K7313">
        <v>1.1117440000000001</v>
      </c>
      <c r="L7313">
        <v>-64.808499999999995</v>
      </c>
      <c r="M7313">
        <v>0.99764790000000003</v>
      </c>
      <c r="N7313">
        <v>0</v>
      </c>
      <c r="O7313">
        <v>-6.7914210000000003E-2</v>
      </c>
      <c r="P7313">
        <v>0.98358540000000005</v>
      </c>
      <c r="Q7313">
        <v>0.18037439999999999</v>
      </c>
      <c r="R7313">
        <v>-5.0280530000000002E-3</v>
      </c>
      <c r="S7313">
        <v>3.086792</v>
      </c>
      <c r="T7313">
        <v>-0.19220139999999999</v>
      </c>
      <c r="U7313">
        <v>0.2058411</v>
      </c>
      <c r="V7313">
        <v>-6.2521969999999996E-2</v>
      </c>
      <c r="W7313">
        <v>0.18925400000000001</v>
      </c>
      <c r="X7313">
        <v>0.97993569999999997</v>
      </c>
      <c r="Y7313">
        <v>-0.13376060000000001</v>
      </c>
      <c r="Z7313">
        <v>8.3758119999999998E-3</v>
      </c>
      <c r="AA7313">
        <v>0.99097829999999998</v>
      </c>
      <c r="AB7313">
        <v>16</v>
      </c>
      <c r="AC7313">
        <v>17.772400000000001</v>
      </c>
      <c r="AD7313">
        <v>-1.1117448657933999</v>
      </c>
      <c r="AE7313">
        <v>1.1943299999999999</v>
      </c>
      <c r="AF7313">
        <v>-2.38931532268345</v>
      </c>
      <c r="AG7313">
        <v>-1.1117448657933999</v>
      </c>
      <c r="AH7313">
        <v>17.581758001429598</v>
      </c>
      <c r="AI7313">
        <v>93.585290777291405</v>
      </c>
      <c r="AJ7313">
        <v>97.738939068570104</v>
      </c>
      <c r="AK7313">
        <v>17.778161287902201</v>
      </c>
      <c r="AL7313">
        <v>79.090748571291599</v>
      </c>
      <c r="AM7313">
        <v>93.650643695771905</v>
      </c>
      <c r="AN7313">
        <v>1.0000000246915799</v>
      </c>
    </row>
    <row r="7314" spans="1:40" x14ac:dyDescent="0.25">
      <c r="A7314" t="str">
        <f>"20190312172256576"</f>
        <v>20190312172256576</v>
      </c>
      <c r="B7314" t="str">
        <f>"1552382576567609"</f>
        <v>1552382576567609</v>
      </c>
      <c r="C7314" t="s">
        <v>40</v>
      </c>
      <c r="D7314">
        <v>3.4763820000000001</v>
      </c>
      <c r="E7314">
        <v>0.47585240000000001</v>
      </c>
      <c r="F7314" t="s">
        <v>42</v>
      </c>
      <c r="G7314">
        <v>-262.33249999999998</v>
      </c>
      <c r="H7314" s="1">
        <v>-8.6849719999999898E-7</v>
      </c>
      <c r="I7314">
        <v>-63.625599999999999</v>
      </c>
      <c r="J7314">
        <v>-280.0247</v>
      </c>
      <c r="K7314">
        <v>1.1117429999999999</v>
      </c>
      <c r="L7314">
        <v>-64.811949999999996</v>
      </c>
      <c r="M7314">
        <v>0.99777210000000005</v>
      </c>
      <c r="N7314">
        <v>0</v>
      </c>
      <c r="O7314">
        <v>-6.6067230000000005E-2</v>
      </c>
      <c r="P7314">
        <v>0.98362329999999998</v>
      </c>
      <c r="Q7314">
        <v>0.18018719999999999</v>
      </c>
      <c r="R7314">
        <v>-4.2095329999999997E-3</v>
      </c>
      <c r="S7314">
        <v>3.0865170000000002</v>
      </c>
      <c r="T7314">
        <v>-0.19306699999999999</v>
      </c>
      <c r="U7314">
        <v>0.20541380000000001</v>
      </c>
      <c r="V7314">
        <v>-6.1525429999999999E-2</v>
      </c>
      <c r="W7314">
        <v>0.18904609999999999</v>
      </c>
      <c r="X7314">
        <v>0.98003890000000005</v>
      </c>
      <c r="Y7314">
        <v>-0.1317989</v>
      </c>
      <c r="Z7314">
        <v>8.2377879999999994E-3</v>
      </c>
      <c r="AA7314">
        <v>0.99124219999999996</v>
      </c>
      <c r="AB7314">
        <v>16</v>
      </c>
      <c r="AC7314">
        <v>17.6922</v>
      </c>
      <c r="AD7314">
        <v>-1.1117438684972001</v>
      </c>
      <c r="AE7314">
        <v>1.18634999999999</v>
      </c>
      <c r="AF7314">
        <v>-2.3434706310139202</v>
      </c>
      <c r="AG7314">
        <v>-1.1117438684972001</v>
      </c>
      <c r="AH7314">
        <v>17.506343517213502</v>
      </c>
      <c r="AI7314">
        <v>93.601659304161899</v>
      </c>
      <c r="AJ7314">
        <v>97.624519860579397</v>
      </c>
      <c r="AK7314">
        <v>17.6974544036776</v>
      </c>
      <c r="AL7314">
        <v>79.102879360239996</v>
      </c>
      <c r="AM7314">
        <v>93.592232257248099</v>
      </c>
      <c r="AN7314">
        <v>1.0000000259875499</v>
      </c>
    </row>
    <row r="7315" spans="1:40" x14ac:dyDescent="0.25">
      <c r="A7315" t="str">
        <f>"20190312172256588"</f>
        <v>20190312172256588</v>
      </c>
      <c r="B7315" t="str">
        <f>"1552382576577366"</f>
        <v>1552382576577366</v>
      </c>
      <c r="C7315" t="s">
        <v>40</v>
      </c>
      <c r="D7315">
        <v>3.4460600000000001</v>
      </c>
      <c r="E7315">
        <v>0.47608980000000001</v>
      </c>
      <c r="F7315" t="s">
        <v>42</v>
      </c>
      <c r="G7315">
        <v>-262.25369999999998</v>
      </c>
      <c r="H7315" s="1">
        <v>-8.3424940000000004E-7</v>
      </c>
      <c r="I7315">
        <v>-63.623980000000003</v>
      </c>
      <c r="J7315">
        <v>-279.94330000000002</v>
      </c>
      <c r="K7315">
        <v>1.1117490000000001</v>
      </c>
      <c r="L7315">
        <v>-64.815219999999997</v>
      </c>
      <c r="M7315">
        <v>0.99789349999999999</v>
      </c>
      <c r="N7315">
        <v>0</v>
      </c>
      <c r="O7315">
        <v>-6.4211920000000006E-2</v>
      </c>
      <c r="P7315">
        <v>0.98368670000000002</v>
      </c>
      <c r="Q7315">
        <v>0.17986070000000001</v>
      </c>
      <c r="R7315">
        <v>-3.2443089999999999E-3</v>
      </c>
      <c r="S7315">
        <v>3.0862120000000002</v>
      </c>
      <c r="T7315">
        <v>-0.19307099999999999</v>
      </c>
      <c r="U7315">
        <v>0.2062988</v>
      </c>
      <c r="V7315">
        <v>-6.0668239999999998E-2</v>
      </c>
      <c r="W7315">
        <v>0.18870049999999999</v>
      </c>
      <c r="X7315">
        <v>0.98015890000000006</v>
      </c>
      <c r="Y7315">
        <v>-0.1302518</v>
      </c>
      <c r="Z7315">
        <v>8.0746340000000007E-3</v>
      </c>
      <c r="AA7315">
        <v>0.991448</v>
      </c>
      <c r="AB7315">
        <v>16</v>
      </c>
      <c r="AC7315">
        <v>17.689599999999999</v>
      </c>
      <c r="AD7315">
        <v>-1.1117498342494001</v>
      </c>
      <c r="AE7315">
        <v>1.1912399999999901</v>
      </c>
      <c r="AF7315">
        <v>-2.3156081281291301</v>
      </c>
      <c r="AG7315">
        <v>-1.1117498342494001</v>
      </c>
      <c r="AH7315">
        <v>17.507755085725201</v>
      </c>
      <c r="AI7315">
        <v>93.602141499384899</v>
      </c>
      <c r="AJ7315">
        <v>97.534315954575007</v>
      </c>
      <c r="AK7315">
        <v>17.695183436143001</v>
      </c>
      <c r="AL7315">
        <v>79.123043331909003</v>
      </c>
      <c r="AM7315">
        <v>93.541879997842699</v>
      </c>
      <c r="AN7315">
        <v>0.99999999164707798</v>
      </c>
    </row>
    <row r="7316" spans="1:40" x14ac:dyDescent="0.25">
      <c r="A7316" t="str">
        <f>"20190312172256598"</f>
        <v>20190312172256598</v>
      </c>
      <c r="B7316" t="str">
        <f>"1552382576588104"</f>
        <v>1552382576588104</v>
      </c>
      <c r="C7316" t="s">
        <v>40</v>
      </c>
      <c r="D7316">
        <v>3.4620769999999998</v>
      </c>
      <c r="E7316">
        <v>0.47633310000000001</v>
      </c>
      <c r="F7316" t="s">
        <v>42</v>
      </c>
      <c r="G7316">
        <v>-262.21870000000001</v>
      </c>
      <c r="H7316" s="1">
        <v>-8.1878609999999998E-7</v>
      </c>
      <c r="I7316">
        <v>-63.622300000000003</v>
      </c>
      <c r="J7316">
        <v>-279.86419999999998</v>
      </c>
      <c r="K7316">
        <v>1.1117490000000001</v>
      </c>
      <c r="L7316">
        <v>-64.818269999999998</v>
      </c>
      <c r="M7316">
        <v>0.99800829999999996</v>
      </c>
      <c r="N7316">
        <v>0</v>
      </c>
      <c r="O7316">
        <v>-6.2407150000000002E-2</v>
      </c>
      <c r="P7316">
        <v>0.98371750000000002</v>
      </c>
      <c r="Q7316">
        <v>0.17970520000000001</v>
      </c>
      <c r="R7316">
        <v>-2.4486149999999999E-3</v>
      </c>
      <c r="S7316">
        <v>3.0858150000000002</v>
      </c>
      <c r="T7316">
        <v>-0.19355240000000001</v>
      </c>
      <c r="U7316">
        <v>0.2076721</v>
      </c>
      <c r="V7316">
        <v>-5.9690170000000001E-2</v>
      </c>
      <c r="W7316">
        <v>0.18852630000000001</v>
      </c>
      <c r="X7316">
        <v>0.98025249999999997</v>
      </c>
      <c r="Y7316">
        <v>-0.12891059999999999</v>
      </c>
      <c r="Z7316">
        <v>7.9407690000000003E-3</v>
      </c>
      <c r="AA7316">
        <v>0.99162439999999996</v>
      </c>
      <c r="AB7316">
        <v>16</v>
      </c>
      <c r="AC7316">
        <v>17.645499999999899</v>
      </c>
      <c r="AD7316">
        <v>-1.1117498187860999</v>
      </c>
      <c r="AE7316">
        <v>1.19596999999999</v>
      </c>
      <c r="AF7316">
        <v>-2.2858581972856999</v>
      </c>
      <c r="AG7316">
        <v>-1.1117498187860999</v>
      </c>
      <c r="AH7316">
        <v>17.467440180588699</v>
      </c>
      <c r="AI7316">
        <v>93.611084274836202</v>
      </c>
      <c r="AJ7316">
        <v>97.4555847028861</v>
      </c>
      <c r="AK7316">
        <v>17.651419257955201</v>
      </c>
      <c r="AL7316">
        <v>79.133207018933703</v>
      </c>
      <c r="AM7316">
        <v>93.484589105842403</v>
      </c>
      <c r="AN7316">
        <v>1.00000002297128</v>
      </c>
    </row>
    <row r="7317" spans="1:40" x14ac:dyDescent="0.25">
      <c r="A7317" t="str">
        <f>"20190312172256609"</f>
        <v>20190312172256609</v>
      </c>
      <c r="B7317" t="str">
        <f>"1552382576597862"</f>
        <v>1552382576597862</v>
      </c>
      <c r="C7317" t="s">
        <v>40</v>
      </c>
      <c r="D7317">
        <v>3.4879410000000002</v>
      </c>
      <c r="E7317">
        <v>0.47658089999999997</v>
      </c>
      <c r="F7317" t="s">
        <v>42</v>
      </c>
      <c r="G7317">
        <v>-262.14080000000001</v>
      </c>
      <c r="H7317" s="1">
        <v>-7.8528109999999997E-7</v>
      </c>
      <c r="I7317">
        <v>-63.6218199999999</v>
      </c>
      <c r="J7317">
        <v>-279.78800000000001</v>
      </c>
      <c r="K7317">
        <v>1.11175</v>
      </c>
      <c r="L7317">
        <v>-64.821039999999996</v>
      </c>
      <c r="M7317">
        <v>0.99811550000000004</v>
      </c>
      <c r="N7317">
        <v>0</v>
      </c>
      <c r="O7317">
        <v>-6.0669269999999997E-2</v>
      </c>
      <c r="P7317">
        <v>0.98386839999999998</v>
      </c>
      <c r="Q7317">
        <v>0.1788875</v>
      </c>
      <c r="R7317">
        <v>-1.5837889999999999E-3</v>
      </c>
      <c r="S7317">
        <v>3.0855100000000002</v>
      </c>
      <c r="T7317">
        <v>-0.19354779999999999</v>
      </c>
      <c r="U7317">
        <v>0.20828250000000001</v>
      </c>
      <c r="V7317">
        <v>-5.8851809999999997E-2</v>
      </c>
      <c r="W7317">
        <v>0.18769169999999999</v>
      </c>
      <c r="X7317">
        <v>0.98046330000000004</v>
      </c>
      <c r="Y7317">
        <v>-0.127391899999999</v>
      </c>
      <c r="Z7317">
        <v>7.7850380000000002E-3</v>
      </c>
      <c r="AA7317">
        <v>0.99182190000000003</v>
      </c>
      <c r="AB7317">
        <v>16</v>
      </c>
      <c r="AC7317">
        <v>17.647199999999899</v>
      </c>
      <c r="AD7317">
        <v>-1.1117507852810999</v>
      </c>
      <c r="AE7317">
        <v>1.19922</v>
      </c>
      <c r="AF7317">
        <v>-2.2587753339467298</v>
      </c>
      <c r="AG7317">
        <v>-1.1117507852810999</v>
      </c>
      <c r="AH7317">
        <v>17.472902527061599</v>
      </c>
      <c r="AI7317">
        <v>93.610694199812798</v>
      </c>
      <c r="AJ7317">
        <v>97.365949148628602</v>
      </c>
      <c r="AK7317">
        <v>17.6533390195174</v>
      </c>
      <c r="AL7317">
        <v>79.181894958705698</v>
      </c>
      <c r="AM7317">
        <v>93.435028527160895</v>
      </c>
      <c r="AN7317">
        <v>0.99999999621802804</v>
      </c>
    </row>
    <row r="7318" spans="1:40" x14ac:dyDescent="0.25">
      <c r="A7318" t="str">
        <f>"20190312172256620"</f>
        <v>20190312172256620</v>
      </c>
      <c r="B7318" t="str">
        <f>"1552382576617382"</f>
        <v>1552382576617382</v>
      </c>
      <c r="C7318" t="s">
        <v>40</v>
      </c>
      <c r="D7318">
        <v>3.4577209999999998</v>
      </c>
      <c r="E7318">
        <v>0.47704780000000002</v>
      </c>
      <c r="F7318" t="s">
        <v>42</v>
      </c>
      <c r="G7318">
        <v>-262.25299999999999</v>
      </c>
      <c r="H7318" s="1">
        <v>-8.3603669999999995E-7</v>
      </c>
      <c r="I7318">
        <v>-63.631770000000003</v>
      </c>
      <c r="J7318">
        <v>-279.70600000000002</v>
      </c>
      <c r="K7318">
        <v>1.11175</v>
      </c>
      <c r="L7318">
        <v>-64.823969999999903</v>
      </c>
      <c r="M7318">
        <v>0.9982278</v>
      </c>
      <c r="N7318">
        <v>0</v>
      </c>
      <c r="O7318">
        <v>-5.8799049999999999E-2</v>
      </c>
      <c r="P7318">
        <v>0.98393929999999996</v>
      </c>
      <c r="Q7318">
        <v>0.178503</v>
      </c>
      <c r="R7318">
        <v>-5.7519039999999997E-4</v>
      </c>
      <c r="S7318">
        <v>3.085083</v>
      </c>
      <c r="T7318">
        <v>-0.1956001</v>
      </c>
      <c r="U7318">
        <v>0.20922850000000001</v>
      </c>
      <c r="V7318">
        <v>-5.8023209999999999E-2</v>
      </c>
      <c r="W7318">
        <v>0.1872885</v>
      </c>
      <c r="X7318">
        <v>0.98058979999999996</v>
      </c>
      <c r="Y7318">
        <v>-0.12584429999999999</v>
      </c>
      <c r="Z7318">
        <v>7.7011930000000003E-3</v>
      </c>
      <c r="AA7318">
        <v>0.99202009999999996</v>
      </c>
      <c r="AB7318">
        <v>16</v>
      </c>
      <c r="AC7318">
        <v>17.4529999999999</v>
      </c>
      <c r="AD7318">
        <v>-1.1117508360367001</v>
      </c>
      <c r="AE7318">
        <v>1.1921999999999899</v>
      </c>
      <c r="AF7318">
        <v>-2.2074844159790898</v>
      </c>
      <c r="AG7318">
        <v>-1.1117508360367001</v>
      </c>
      <c r="AH7318">
        <v>17.2828955351861</v>
      </c>
      <c r="AI7318">
        <v>93.650995111410595</v>
      </c>
      <c r="AJ7318">
        <v>97.278780138181801</v>
      </c>
      <c r="AK7318">
        <v>17.458735791814199</v>
      </c>
      <c r="AL7318">
        <v>79.205413897427505</v>
      </c>
      <c r="AM7318">
        <v>93.3863427663929</v>
      </c>
      <c r="AN7318">
        <v>1.00000001549749</v>
      </c>
    </row>
    <row r="7319" spans="1:40" x14ac:dyDescent="0.25">
      <c r="A7319" t="str">
        <f>"20190312172256631"</f>
        <v>20190312172256631</v>
      </c>
      <c r="B7319" t="str">
        <f>"1552382576628119"</f>
        <v>1552382576628119</v>
      </c>
      <c r="C7319" t="s">
        <v>40</v>
      </c>
      <c r="D7319">
        <v>3.4447339999999902</v>
      </c>
      <c r="E7319">
        <v>0.4772806</v>
      </c>
      <c r="F7319" t="s">
        <v>42</v>
      </c>
      <c r="G7319">
        <v>-262.19690000000003</v>
      </c>
      <c r="H7319" s="1">
        <v>-8.1388029999999996E-7</v>
      </c>
      <c r="I7319">
        <v>-63.638869999999997</v>
      </c>
      <c r="J7319">
        <v>-279.62549999999999</v>
      </c>
      <c r="K7319">
        <v>1.1117490000000001</v>
      </c>
      <c r="L7319">
        <v>-64.826569999999904</v>
      </c>
      <c r="M7319">
        <v>0.99833419999999895</v>
      </c>
      <c r="N7319">
        <v>0</v>
      </c>
      <c r="O7319">
        <v>-5.6964359999999999E-2</v>
      </c>
      <c r="P7319">
        <v>0.98403240000000003</v>
      </c>
      <c r="Q7319">
        <v>0.1779888</v>
      </c>
      <c r="R7319">
        <v>5.0237869999999996E-4</v>
      </c>
      <c r="S7319">
        <v>3.0845950000000002</v>
      </c>
      <c r="T7319">
        <v>-0.1958587</v>
      </c>
      <c r="U7319">
        <v>0.20877080000000001</v>
      </c>
      <c r="V7319">
        <v>-5.7299700000000002E-2</v>
      </c>
      <c r="W7319">
        <v>0.1867549</v>
      </c>
      <c r="X7319">
        <v>0.98073410000000005</v>
      </c>
      <c r="Y7319">
        <v>-0.1238915</v>
      </c>
      <c r="Z7319">
        <v>7.5345209999999998E-3</v>
      </c>
      <c r="AA7319">
        <v>0.99226720000000002</v>
      </c>
      <c r="AB7319">
        <v>16</v>
      </c>
      <c r="AC7319">
        <v>17.4285999999999</v>
      </c>
      <c r="AD7319">
        <v>-1.1117498138802999</v>
      </c>
      <c r="AE7319">
        <v>1.18769999999999</v>
      </c>
      <c r="AF7319">
        <v>-2.1698336846917301</v>
      </c>
      <c r="AG7319">
        <v>-1.1117498138802999</v>
      </c>
      <c r="AH7319">
        <v>17.262720325858002</v>
      </c>
      <c r="AI7319">
        <v>93.656170937876794</v>
      </c>
      <c r="AJ7319">
        <v>97.164208036505102</v>
      </c>
      <c r="AK7319">
        <v>17.434037940668802</v>
      </c>
      <c r="AL7319">
        <v>79.236536008881302</v>
      </c>
      <c r="AM7319">
        <v>93.343722878891299</v>
      </c>
      <c r="AN7319">
        <v>1.00000001159845</v>
      </c>
    </row>
    <row r="7320" spans="1:40" x14ac:dyDescent="0.25">
      <c r="A7320" t="str">
        <f>"20190312172256644"</f>
        <v>20190312172256644</v>
      </c>
      <c r="B7320" t="str">
        <f>"1552382576637878"</f>
        <v>1552382576637878</v>
      </c>
      <c r="C7320" t="s">
        <v>40</v>
      </c>
      <c r="D7320">
        <v>3.474726</v>
      </c>
      <c r="E7320">
        <v>0.47752899999999998</v>
      </c>
      <c r="F7320" t="s">
        <v>42</v>
      </c>
      <c r="G7320">
        <v>-262.21230000000003</v>
      </c>
      <c r="H7320" s="1">
        <v>-8.1976109999999904E-7</v>
      </c>
      <c r="I7320">
        <v>-63.636249999999997</v>
      </c>
      <c r="J7320">
        <v>-279.53269999999998</v>
      </c>
      <c r="K7320">
        <v>1.1117459999999999</v>
      </c>
      <c r="L7320">
        <v>-64.829499999999996</v>
      </c>
      <c r="M7320">
        <v>0.99845309999999998</v>
      </c>
      <c r="N7320">
        <v>0</v>
      </c>
      <c r="O7320">
        <v>-5.484642E-2</v>
      </c>
      <c r="P7320">
        <v>0.9841242</v>
      </c>
      <c r="Q7320">
        <v>0.17747389999999999</v>
      </c>
      <c r="R7320">
        <v>1.617086E-3</v>
      </c>
      <c r="S7320">
        <v>3.0841980000000002</v>
      </c>
      <c r="T7320">
        <v>-0.19691030000000001</v>
      </c>
      <c r="U7320">
        <v>0.21081539999999999</v>
      </c>
      <c r="V7320">
        <v>-5.6334229999999999E-2</v>
      </c>
      <c r="W7320">
        <v>0.1862162</v>
      </c>
      <c r="X7320">
        <v>0.9808924</v>
      </c>
      <c r="Y7320">
        <v>-0.1224531</v>
      </c>
      <c r="Z7320">
        <v>7.39499199999999E-3</v>
      </c>
      <c r="AA7320">
        <v>0.99244679999999996</v>
      </c>
      <c r="AB7320">
        <v>16</v>
      </c>
      <c r="AC7320">
        <v>17.3203999999999</v>
      </c>
      <c r="AD7320">
        <v>-1.11174681976109</v>
      </c>
      <c r="AE7320">
        <v>1.1932499999999899</v>
      </c>
      <c r="AF7320">
        <v>-2.1327100305967499</v>
      </c>
      <c r="AG7320">
        <v>-1.11174681976109</v>
      </c>
      <c r="AH7320">
        <v>17.158520025853299</v>
      </c>
      <c r="AI7320">
        <v>93.678935689384403</v>
      </c>
      <c r="AJ7320">
        <v>97.085213800733897</v>
      </c>
      <c r="AK7320">
        <v>17.326258757835301</v>
      </c>
      <c r="AL7320">
        <v>79.267951794496696</v>
      </c>
      <c r="AM7320">
        <v>93.286978138577496</v>
      </c>
      <c r="AN7320">
        <v>0.99999995949494502</v>
      </c>
    </row>
    <row r="7321" spans="1:40" x14ac:dyDescent="0.25">
      <c r="A7321" t="str">
        <f>"20190312172256654"</f>
        <v>20190312172256654</v>
      </c>
      <c r="B7321" t="str">
        <f>"1552382576648367"</f>
        <v>1552382576648367</v>
      </c>
      <c r="C7321" t="s">
        <v>40</v>
      </c>
      <c r="D7321">
        <v>3.4747119999999998</v>
      </c>
      <c r="E7321">
        <v>0.47775079999999998</v>
      </c>
      <c r="F7321" t="s">
        <v>42</v>
      </c>
      <c r="G7321">
        <v>-262.21089999999998</v>
      </c>
      <c r="H7321" s="1">
        <v>-8.1844529999999997E-7</v>
      </c>
      <c r="I7321">
        <v>-63.633429999999997</v>
      </c>
      <c r="J7321">
        <v>-279.45589999999999</v>
      </c>
      <c r="K7321">
        <v>1.111745</v>
      </c>
      <c r="L7321">
        <v>-64.831729999999993</v>
      </c>
      <c r="M7321">
        <v>0.99854799999999999</v>
      </c>
      <c r="N7321">
        <v>0</v>
      </c>
      <c r="O7321">
        <v>-5.3093500000000002E-2</v>
      </c>
      <c r="P7321">
        <v>0.98420129999999995</v>
      </c>
      <c r="Q7321">
        <v>0.17703659999999999</v>
      </c>
      <c r="R7321">
        <v>2.400976E-3</v>
      </c>
      <c r="S7321">
        <v>3.0837400000000001</v>
      </c>
      <c r="T7321">
        <v>-0.19792080000000001</v>
      </c>
      <c r="U7321">
        <v>0.2129211</v>
      </c>
      <c r="V7321">
        <v>-5.5397090000000003E-2</v>
      </c>
      <c r="W7321">
        <v>0.1857589</v>
      </c>
      <c r="X7321">
        <v>0.98103249999999997</v>
      </c>
      <c r="Y7321">
        <v>-0.1213973</v>
      </c>
      <c r="Z7321">
        <v>7.2877569999999997E-3</v>
      </c>
      <c r="AA7321">
        <v>0.9925773</v>
      </c>
      <c r="AB7321">
        <v>16</v>
      </c>
      <c r="AC7321">
        <v>17.245000000000001</v>
      </c>
      <c r="AD7321">
        <v>-1.1117458184453</v>
      </c>
      <c r="AE7321">
        <v>1.1982999999999999</v>
      </c>
      <c r="AF7321">
        <v>-2.1035446019216</v>
      </c>
      <c r="AG7321">
        <v>-1.1117458184453</v>
      </c>
      <c r="AH7321">
        <v>17.086378866798299</v>
      </c>
      <c r="AI7321">
        <v>93.694953120211594</v>
      </c>
      <c r="AJ7321">
        <v>97.018502405684401</v>
      </c>
      <c r="AK7321">
        <v>17.251238258075201</v>
      </c>
      <c r="AL7321">
        <v>79.294618722797694</v>
      </c>
      <c r="AM7321">
        <v>93.231954374192298</v>
      </c>
      <c r="AN7321">
        <v>0.99999998628296305</v>
      </c>
    </row>
    <row r="7322" spans="1:40" x14ac:dyDescent="0.25">
      <c r="A7322" t="str">
        <f>"20190312172256665"</f>
        <v>20190312172256665</v>
      </c>
      <c r="B7322" t="str">
        <f>"1552382576658127"</f>
        <v>1552382576658127</v>
      </c>
      <c r="C7322" t="s">
        <v>40</v>
      </c>
      <c r="D7322">
        <v>3.4780760000000002</v>
      </c>
      <c r="E7322">
        <v>0.47797070000000003</v>
      </c>
      <c r="F7322" t="s">
        <v>42</v>
      </c>
      <c r="G7322">
        <v>-262.21420000000001</v>
      </c>
      <c r="H7322" s="1">
        <v>-8.2055689999999996E-7</v>
      </c>
      <c r="I7322">
        <v>-63.636139999999997</v>
      </c>
      <c r="J7322">
        <v>-279.37599999999998</v>
      </c>
      <c r="K7322">
        <v>1.1117440000000001</v>
      </c>
      <c r="L7322">
        <v>-64.833919999999907</v>
      </c>
      <c r="M7322">
        <v>0.99864359999999996</v>
      </c>
      <c r="N7322">
        <v>0</v>
      </c>
      <c r="O7322">
        <v>-5.1270839999999998E-2</v>
      </c>
      <c r="P7322">
        <v>0.98432350000000002</v>
      </c>
      <c r="Q7322">
        <v>0.17633799999999999</v>
      </c>
      <c r="R7322">
        <v>3.4868009999999999E-3</v>
      </c>
      <c r="S7322">
        <v>3.083466</v>
      </c>
      <c r="T7322">
        <v>-0.198822</v>
      </c>
      <c r="U7322">
        <v>0.2138062</v>
      </c>
      <c r="V7322">
        <v>-5.4693579999999999E-2</v>
      </c>
      <c r="W7322">
        <v>0.18503829999999999</v>
      </c>
      <c r="X7322">
        <v>0.98120810000000003</v>
      </c>
      <c r="Y7322">
        <v>-0.1198787</v>
      </c>
      <c r="Z7322">
        <v>7.1553469999999899E-3</v>
      </c>
      <c r="AA7322">
        <v>0.9927627</v>
      </c>
      <c r="AB7322">
        <v>16</v>
      </c>
      <c r="AC7322">
        <v>17.1617999999999</v>
      </c>
      <c r="AD7322">
        <v>-1.1117448205568901</v>
      </c>
      <c r="AE7322">
        <v>1.1977799999999801</v>
      </c>
      <c r="AF7322">
        <v>-2.06750644836095</v>
      </c>
      <c r="AG7322">
        <v>-1.1117448205568901</v>
      </c>
      <c r="AH7322">
        <v>17.006790384750101</v>
      </c>
      <c r="AI7322">
        <v>93.712881737530196</v>
      </c>
      <c r="AJ7322">
        <v>96.931404219982696</v>
      </c>
      <c r="AK7322">
        <v>17.168036540352499</v>
      </c>
      <c r="AL7322">
        <v>79.3366340585481</v>
      </c>
      <c r="AM7322">
        <v>93.1904259539414</v>
      </c>
      <c r="AN7322">
        <v>0.99999994783285595</v>
      </c>
    </row>
    <row r="7323" spans="1:40" x14ac:dyDescent="0.25">
      <c r="A7323" t="str">
        <f>"20190312172256675"</f>
        <v>20190312172256675</v>
      </c>
      <c r="B7323" t="str">
        <f>"1552382576667888"</f>
        <v>1552382576667888</v>
      </c>
      <c r="C7323" t="s">
        <v>40</v>
      </c>
      <c r="D7323">
        <v>3.4790350000000001</v>
      </c>
      <c r="E7323">
        <v>0.47819220000000001</v>
      </c>
      <c r="F7323" t="s">
        <v>42</v>
      </c>
      <c r="G7323">
        <v>-262.28519999999997</v>
      </c>
      <c r="H7323" s="1">
        <v>-8.5150689999999996E-7</v>
      </c>
      <c r="I7323">
        <v>-63.63794</v>
      </c>
      <c r="J7323">
        <v>-279.29680000000002</v>
      </c>
      <c r="K7323">
        <v>1.1117429999999999</v>
      </c>
      <c r="L7323">
        <v>-64.835969999999904</v>
      </c>
      <c r="M7323">
        <v>0.99873509999999999</v>
      </c>
      <c r="N7323">
        <v>0</v>
      </c>
      <c r="O7323">
        <v>-4.9463199999999902E-2</v>
      </c>
      <c r="P7323">
        <v>0.98438720000000002</v>
      </c>
      <c r="Q7323">
        <v>0.17596300000000001</v>
      </c>
      <c r="R7323">
        <v>4.3755510000000001E-3</v>
      </c>
      <c r="S7323">
        <v>3.0829469999999999</v>
      </c>
      <c r="T7323">
        <v>-0.20054379999999999</v>
      </c>
      <c r="U7323">
        <v>0.2157288</v>
      </c>
      <c r="V7323">
        <v>-5.3806819999999998E-2</v>
      </c>
      <c r="W7323">
        <v>0.18464040000000001</v>
      </c>
      <c r="X7323">
        <v>0.98133210000000004</v>
      </c>
      <c r="Y7323">
        <v>-0.1187093</v>
      </c>
      <c r="Z7323">
        <v>7.0629899999999999E-3</v>
      </c>
      <c r="AA7323">
        <v>0.99290389999999995</v>
      </c>
      <c r="AB7323">
        <v>17</v>
      </c>
      <c r="AC7323">
        <v>17.011600000000001</v>
      </c>
      <c r="AD7323">
        <v>-1.11174385150689</v>
      </c>
      <c r="AE7323">
        <v>1.1980299999999799</v>
      </c>
      <c r="AF7323">
        <v>-2.0294212552994901</v>
      </c>
      <c r="AG7323">
        <v>-1.11174385150689</v>
      </c>
      <c r="AH7323">
        <v>16.859862995104901</v>
      </c>
      <c r="AI7323">
        <v>93.745677271815495</v>
      </c>
      <c r="AJ7323">
        <v>96.863669478163402</v>
      </c>
      <c r="AK7323">
        <v>17.017917182679401</v>
      </c>
      <c r="AL7323">
        <v>79.359832023968494</v>
      </c>
      <c r="AM7323">
        <v>93.138407277888106</v>
      </c>
      <c r="AN7323">
        <v>0.99999997084054004</v>
      </c>
    </row>
    <row r="7324" spans="1:40" x14ac:dyDescent="0.25">
      <c r="A7324" t="str">
        <f>"20190312172256687"</f>
        <v>20190312172256687</v>
      </c>
      <c r="B7324" t="str">
        <f>"1552382576677647"</f>
        <v>1552382576677647</v>
      </c>
      <c r="C7324" t="s">
        <v>40</v>
      </c>
      <c r="D7324">
        <v>3.4678930000000001</v>
      </c>
      <c r="E7324">
        <v>0.47840389999999999</v>
      </c>
      <c r="F7324" t="s">
        <v>42</v>
      </c>
      <c r="G7324">
        <v>-262.26620000000003</v>
      </c>
      <c r="H7324" s="1">
        <v>-8.4338560000000001E-7</v>
      </c>
      <c r="I7324">
        <v>-63.638150000000003</v>
      </c>
      <c r="J7324">
        <v>-279.21620000000001</v>
      </c>
      <c r="K7324">
        <v>1.1117410000000001</v>
      </c>
      <c r="L7324">
        <v>-64.837829999999997</v>
      </c>
      <c r="M7324">
        <v>0.99882470000000001</v>
      </c>
      <c r="N7324">
        <v>0</v>
      </c>
      <c r="O7324">
        <v>-4.7623609999999997E-2</v>
      </c>
      <c r="P7324">
        <v>0.98441020000000001</v>
      </c>
      <c r="Q7324">
        <v>0.17581189999999999</v>
      </c>
      <c r="R7324">
        <v>5.1508200000000004E-3</v>
      </c>
      <c r="S7324">
        <v>3.0825809999999998</v>
      </c>
      <c r="T7324">
        <v>-0.20122799999999999</v>
      </c>
      <c r="U7324">
        <v>0.21679689999999999</v>
      </c>
      <c r="V7324">
        <v>-5.2773479999999998E-2</v>
      </c>
      <c r="W7324">
        <v>0.18446560000000001</v>
      </c>
      <c r="X7324">
        <v>0.98142110000000005</v>
      </c>
      <c r="Y7324">
        <v>-0.1172356</v>
      </c>
      <c r="Z7324">
        <v>6.9199910000000003E-3</v>
      </c>
      <c r="AA7324">
        <v>0.99307999999999996</v>
      </c>
      <c r="AB7324">
        <v>17</v>
      </c>
      <c r="AC7324">
        <v>16.9499999999999</v>
      </c>
      <c r="AD7324">
        <v>-1.1117418433855999</v>
      </c>
      <c r="AE7324">
        <v>1.1996800000000001</v>
      </c>
      <c r="AF7324">
        <v>-1.9970233099708301</v>
      </c>
      <c r="AG7324">
        <v>-1.1117418433855999</v>
      </c>
      <c r="AH7324">
        <v>16.801710385939199</v>
      </c>
      <c r="AI7324">
        <v>93.759265771705302</v>
      </c>
      <c r="AJ7324">
        <v>96.778280674331</v>
      </c>
      <c r="AK7324">
        <v>16.956460241450099</v>
      </c>
      <c r="AL7324">
        <v>79.370022540590696</v>
      </c>
      <c r="AM7324">
        <v>93.077973762816299</v>
      </c>
      <c r="AN7324">
        <v>0.99999998664994005</v>
      </c>
    </row>
    <row r="7325" spans="1:40" x14ac:dyDescent="0.25">
      <c r="A7325" t="str">
        <f>"20190312172256698"</f>
        <v>20190312172256698</v>
      </c>
      <c r="B7325" t="str">
        <f>"1552382576687408"</f>
        <v>1552382576687408</v>
      </c>
      <c r="C7325" t="s">
        <v>40</v>
      </c>
      <c r="D7325">
        <v>3.4685790000000001</v>
      </c>
      <c r="E7325">
        <v>0.47861789999999999</v>
      </c>
      <c r="F7325" t="s">
        <v>42</v>
      </c>
      <c r="G7325">
        <v>-262.19200000000001</v>
      </c>
      <c r="H7325" s="1">
        <v>-8.1114319999999996E-7</v>
      </c>
      <c r="I7325">
        <v>-63.636619999999901</v>
      </c>
      <c r="J7325">
        <v>-279.13630000000001</v>
      </c>
      <c r="K7325">
        <v>1.11174</v>
      </c>
      <c r="L7325">
        <v>-64.83963</v>
      </c>
      <c r="M7325">
        <v>0.99890999999999996</v>
      </c>
      <c r="N7325">
        <v>0</v>
      </c>
      <c r="O7325">
        <v>-4.5802139999999998E-2</v>
      </c>
      <c r="P7325">
        <v>0.98439840000000001</v>
      </c>
      <c r="Q7325">
        <v>0.17584669999999999</v>
      </c>
      <c r="R7325">
        <v>6.137605E-3</v>
      </c>
      <c r="S7325">
        <v>3.0822449999999999</v>
      </c>
      <c r="T7325">
        <v>-0.2012815</v>
      </c>
      <c r="U7325">
        <v>0.2174683</v>
      </c>
      <c r="V7325">
        <v>-5.1968920000000002E-2</v>
      </c>
      <c r="W7325">
        <v>0.184475</v>
      </c>
      <c r="X7325">
        <v>0.98146230000000001</v>
      </c>
      <c r="Y7325">
        <v>-0.1156543</v>
      </c>
      <c r="Z7325">
        <v>6.7523359999999899E-3</v>
      </c>
      <c r="AA7325">
        <v>0.9932666</v>
      </c>
      <c r="AB7325">
        <v>17</v>
      </c>
      <c r="AC7325">
        <v>16.944299999999998</v>
      </c>
      <c r="AD7325">
        <v>-1.1117408111431999</v>
      </c>
      <c r="AE7325">
        <v>1.2030099999999999</v>
      </c>
      <c r="AF7325">
        <v>-1.96942839340877</v>
      </c>
      <c r="AG7325">
        <v>-1.1117408111431999</v>
      </c>
      <c r="AH7325">
        <v>16.799456653343299</v>
      </c>
      <c r="AI7325">
        <v>93.760475218830607</v>
      </c>
      <c r="AJ7325">
        <v>96.686360683287106</v>
      </c>
      <c r="AK7325">
        <v>16.950998781059699</v>
      </c>
      <c r="AL7325">
        <v>79.3694749176274</v>
      </c>
      <c r="AM7325">
        <v>93.031009579599996</v>
      </c>
      <c r="AN7325">
        <v>1.0000000202961199</v>
      </c>
    </row>
    <row r="7326" spans="1:40" x14ac:dyDescent="0.25">
      <c r="A7326" t="str">
        <f>"20190312172256709"</f>
        <v>20190312172256709</v>
      </c>
      <c r="B7326" t="str">
        <f>"1552382576698143"</f>
        <v>1552382576698143</v>
      </c>
      <c r="C7326" t="s">
        <v>40</v>
      </c>
      <c r="D7326">
        <v>3.4696560000000001</v>
      </c>
      <c r="E7326">
        <v>0.47882950000000002</v>
      </c>
      <c r="F7326" t="s">
        <v>42</v>
      </c>
      <c r="G7326">
        <v>-262.06560000000002</v>
      </c>
      <c r="H7326" s="1">
        <v>-7.5434139999999996E-7</v>
      </c>
      <c r="I7326">
        <v>-63.626779999999997</v>
      </c>
      <c r="J7326">
        <v>-279.05290000000002</v>
      </c>
      <c r="K7326">
        <v>1.1117410000000001</v>
      </c>
      <c r="L7326">
        <v>-64.841279999999998</v>
      </c>
      <c r="M7326">
        <v>0.99899579999999999</v>
      </c>
      <c r="N7326">
        <v>0</v>
      </c>
      <c r="O7326">
        <v>-4.3899010000000002E-2</v>
      </c>
      <c r="P7326">
        <v>0.9843847</v>
      </c>
      <c r="Q7326">
        <v>0.17589479999999999</v>
      </c>
      <c r="R7326">
        <v>6.9163840000000002E-3</v>
      </c>
      <c r="S7326">
        <v>3.0820310000000002</v>
      </c>
      <c r="T7326">
        <v>-0.2007196</v>
      </c>
      <c r="U7326">
        <v>0.21896360000000001</v>
      </c>
      <c r="V7326">
        <v>-5.087589E-2</v>
      </c>
      <c r="W7326">
        <v>0.18449750000000001</v>
      </c>
      <c r="X7326">
        <v>0.98151529999999998</v>
      </c>
      <c r="Y7326">
        <v>-0.1142551</v>
      </c>
      <c r="Z7326">
        <v>6.5647600000000002E-3</v>
      </c>
      <c r="AA7326">
        <v>0.99342980000000003</v>
      </c>
      <c r="AB7326">
        <v>17</v>
      </c>
      <c r="AC7326">
        <v>16.987300000000001</v>
      </c>
      <c r="AD7326">
        <v>-1.1117417543413901</v>
      </c>
      <c r="AE7326">
        <v>1.2144999999999899</v>
      </c>
      <c r="AF7326">
        <v>-1.9507718025705201</v>
      </c>
      <c r="AG7326">
        <v>-1.1117417543413901</v>
      </c>
      <c r="AH7326">
        <v>16.8458194449674</v>
      </c>
      <c r="AI7326">
        <v>93.7507732716156</v>
      </c>
      <c r="AJ7326">
        <v>96.605517591901403</v>
      </c>
      <c r="AK7326">
        <v>16.9947966485772</v>
      </c>
      <c r="AL7326">
        <v>79.368162856595404</v>
      </c>
      <c r="AM7326">
        <v>92.967215445973395</v>
      </c>
      <c r="AN7326">
        <v>0.99999998391181499</v>
      </c>
    </row>
    <row r="7327" spans="1:40" x14ac:dyDescent="0.25">
      <c r="A7327" t="str">
        <f>"20190312172256721"</f>
        <v>20190312172256721</v>
      </c>
      <c r="B7327" t="str">
        <f>"1552382576717663"</f>
        <v>1552382576717663</v>
      </c>
      <c r="C7327" t="s">
        <v>40</v>
      </c>
      <c r="D7327">
        <v>3.448556</v>
      </c>
      <c r="E7327">
        <v>0.47924519999999998</v>
      </c>
      <c r="F7327" t="s">
        <v>42</v>
      </c>
      <c r="G7327">
        <v>-261.9298</v>
      </c>
      <c r="H7327" s="1">
        <v>-6.9423339999999999E-7</v>
      </c>
      <c r="I7327">
        <v>-63.61985</v>
      </c>
      <c r="J7327">
        <v>-278.96809999999999</v>
      </c>
      <c r="K7327">
        <v>1.111739</v>
      </c>
      <c r="L7327">
        <v>-64.842860000000002</v>
      </c>
      <c r="M7327">
        <v>0.9990793</v>
      </c>
      <c r="N7327">
        <v>0</v>
      </c>
      <c r="O7327">
        <v>-4.1964290000000001E-2</v>
      </c>
      <c r="P7327">
        <v>0.98435170000000005</v>
      </c>
      <c r="Q7327">
        <v>0.17604040000000001</v>
      </c>
      <c r="R7327">
        <v>7.8741219999999904E-3</v>
      </c>
      <c r="S7327">
        <v>3.0817570000000001</v>
      </c>
      <c r="T7327">
        <v>-0.2000875</v>
      </c>
      <c r="U7327">
        <v>0.21981809999999999</v>
      </c>
      <c r="V7327">
        <v>-4.993073E-2</v>
      </c>
      <c r="W7327">
        <v>0.18461649999999999</v>
      </c>
      <c r="X7327">
        <v>0.98154149999999996</v>
      </c>
      <c r="Y7327">
        <v>-0.112621</v>
      </c>
      <c r="Z7327">
        <v>6.3663869999999899E-3</v>
      </c>
      <c r="AA7327">
        <v>0.99361770000000005</v>
      </c>
      <c r="AB7327">
        <v>17</v>
      </c>
      <c r="AC7327">
        <v>17.0382999999999</v>
      </c>
      <c r="AD7327">
        <v>-1.1117396942333999</v>
      </c>
      <c r="AE7327">
        <v>1.2230099999999999</v>
      </c>
      <c r="AF7327">
        <v>-1.9287914636486501</v>
      </c>
      <c r="AG7327">
        <v>-1.1117396942333999</v>
      </c>
      <c r="AH7327">
        <v>16.900380786374701</v>
      </c>
      <c r="AI7327">
        <v>93.739400095684402</v>
      </c>
      <c r="AJ7327">
        <v>96.510830883397205</v>
      </c>
      <c r="AK7327">
        <v>17.046380037487101</v>
      </c>
      <c r="AL7327">
        <v>79.361225908475404</v>
      </c>
      <c r="AM7327">
        <v>92.912109419015493</v>
      </c>
      <c r="AN7327">
        <v>1.0000000230464099</v>
      </c>
    </row>
    <row r="7328" spans="1:40" x14ac:dyDescent="0.25">
      <c r="A7328" t="str">
        <f>"20190312172256732"</f>
        <v>20190312172256732</v>
      </c>
      <c r="B7328" t="str">
        <f>"1552382576727423"</f>
        <v>1552382576727423</v>
      </c>
      <c r="C7328" t="s">
        <v>40</v>
      </c>
      <c r="D7328">
        <v>3.4357519999999901</v>
      </c>
      <c r="E7328">
        <v>0.47945209999999999</v>
      </c>
      <c r="F7328" t="s">
        <v>42</v>
      </c>
      <c r="G7328">
        <v>-261.74450000000002</v>
      </c>
      <c r="H7328" s="1">
        <v>-6.1355409999999998E-7</v>
      </c>
      <c r="I7328">
        <v>-63.615380000000002</v>
      </c>
      <c r="J7328">
        <v>-278.8843</v>
      </c>
      <c r="K7328">
        <v>1.111739</v>
      </c>
      <c r="L7328">
        <v>-64.844179999999994</v>
      </c>
      <c r="M7328">
        <v>0.99915790000000004</v>
      </c>
      <c r="N7328">
        <v>0</v>
      </c>
      <c r="O7328">
        <v>-4.0053520000000002E-2</v>
      </c>
      <c r="P7328">
        <v>0.98437399999999997</v>
      </c>
      <c r="Q7328">
        <v>0.17587069999999999</v>
      </c>
      <c r="R7328">
        <v>8.7886909999999995E-3</v>
      </c>
      <c r="S7328">
        <v>3.0815429999999999</v>
      </c>
      <c r="T7328">
        <v>-0.19890640000000001</v>
      </c>
      <c r="U7328">
        <v>0.21960450000000001</v>
      </c>
      <c r="V7328">
        <v>-4.8967440000000001E-2</v>
      </c>
      <c r="W7328">
        <v>0.18442159999999999</v>
      </c>
      <c r="X7328">
        <v>0.98162660000000002</v>
      </c>
      <c r="Y7328">
        <v>-0.11066869999999999</v>
      </c>
      <c r="Z7328">
        <v>6.1434030000000004E-3</v>
      </c>
      <c r="AA7328">
        <v>0.99383840000000001</v>
      </c>
      <c r="AB7328">
        <v>17</v>
      </c>
      <c r="AC7328">
        <v>17.139799999999902</v>
      </c>
      <c r="AD7328">
        <v>-1.1117396135541</v>
      </c>
      <c r="AE7328">
        <v>1.2287999999999999</v>
      </c>
      <c r="AF7328">
        <v>-1.90637086769994</v>
      </c>
      <c r="AG7328">
        <v>-1.1117396135541</v>
      </c>
      <c r="AH7328">
        <v>17.0056445814424</v>
      </c>
      <c r="AI7328">
        <v>93.717156433392702</v>
      </c>
      <c r="AJ7328">
        <v>96.396280656431003</v>
      </c>
      <c r="AK7328">
        <v>17.148240798516301</v>
      </c>
      <c r="AL7328">
        <v>79.372587268469402</v>
      </c>
      <c r="AM7328">
        <v>92.855774210706102</v>
      </c>
      <c r="AN7328">
        <v>0.99999995927713603</v>
      </c>
    </row>
    <row r="7329" spans="1:40" x14ac:dyDescent="0.25">
      <c r="A7329" t="str">
        <f>"20190312172256744"</f>
        <v>20190312172256744</v>
      </c>
      <c r="B7329" t="str">
        <f>"1552382576738162"</f>
        <v>1552382576738162</v>
      </c>
      <c r="C7329" t="s">
        <v>40</v>
      </c>
      <c r="D7329">
        <v>3.4643459999999999</v>
      </c>
      <c r="E7329">
        <v>0.47967510000000002</v>
      </c>
      <c r="F7329" t="s">
        <v>73</v>
      </c>
      <c r="G7329">
        <v>-261.67340000000002</v>
      </c>
      <c r="H7329" s="1">
        <v>-5.8175199999999897E-7</v>
      </c>
      <c r="I7329">
        <v>-63.610619999999997</v>
      </c>
      <c r="J7329">
        <v>-278.80149999999998</v>
      </c>
      <c r="K7329">
        <v>1.111739</v>
      </c>
      <c r="L7329">
        <v>-64.845399999999998</v>
      </c>
      <c r="M7329">
        <v>0.99923209999999996</v>
      </c>
      <c r="N7329">
        <v>0</v>
      </c>
      <c r="O7329">
        <v>-3.816518E-2</v>
      </c>
      <c r="P7329">
        <v>0.98435930000000005</v>
      </c>
      <c r="Q7329">
        <v>0.17591119999999999</v>
      </c>
      <c r="R7329">
        <v>9.6085300000000005E-3</v>
      </c>
      <c r="S7329">
        <v>3.0811769999999998</v>
      </c>
      <c r="T7329">
        <v>-0.19902790000000001</v>
      </c>
      <c r="U7329">
        <v>0.2208252</v>
      </c>
      <c r="V7329">
        <v>-4.7930470000000003E-2</v>
      </c>
      <c r="W7329">
        <v>0.1844384</v>
      </c>
      <c r="X7329">
        <v>0.98167470000000001</v>
      </c>
      <c r="Y7329">
        <v>-0.109197</v>
      </c>
      <c r="Z7329">
        <v>5.9786559999999997E-3</v>
      </c>
      <c r="AA7329">
        <v>0.99400219999999995</v>
      </c>
      <c r="AB7329">
        <v>17</v>
      </c>
      <c r="AC7329">
        <v>17.1280999999999</v>
      </c>
      <c r="AD7329">
        <v>-1.1117395817519999</v>
      </c>
      <c r="AE7329">
        <v>1.23478</v>
      </c>
      <c r="AF7329">
        <v>-1.8797247751254</v>
      </c>
      <c r="AG7329">
        <v>-1.1117395817519999</v>
      </c>
      <c r="AH7329">
        <v>16.997254198947001</v>
      </c>
      <c r="AI7329">
        <v>93.719602979460902</v>
      </c>
      <c r="AJ7329">
        <v>96.310691492198004</v>
      </c>
      <c r="AK7329">
        <v>17.1369769922083</v>
      </c>
      <c r="AL7329">
        <v>79.371608712892197</v>
      </c>
      <c r="AM7329">
        <v>92.795258473588603</v>
      </c>
      <c r="AN7329">
        <v>1.0000000349845299</v>
      </c>
    </row>
    <row r="7330" spans="1:40" x14ac:dyDescent="0.25">
      <c r="A7330" t="str">
        <f>"20190312172256753"</f>
        <v>20190312172256753</v>
      </c>
      <c r="B7330" t="str">
        <f>"1552382576748068"</f>
        <v>1552382576748068</v>
      </c>
      <c r="C7330" t="s">
        <v>40</v>
      </c>
      <c r="D7330">
        <v>3.4427089999999998</v>
      </c>
      <c r="E7330">
        <v>0.4798886</v>
      </c>
      <c r="F7330" t="s">
        <v>42</v>
      </c>
      <c r="G7330">
        <v>-261.53969999999998</v>
      </c>
      <c r="H7330" s="1">
        <v>-5.2243569999999998E-7</v>
      </c>
      <c r="I7330">
        <v>-63.603169999999999</v>
      </c>
      <c r="J7330">
        <v>-278.71800000000002</v>
      </c>
      <c r="K7330">
        <v>1.1117360000000001</v>
      </c>
      <c r="L7330">
        <v>-64.846409999999906</v>
      </c>
      <c r="M7330">
        <v>0.99930319999999995</v>
      </c>
      <c r="N7330">
        <v>0</v>
      </c>
      <c r="O7330">
        <v>-3.6261340000000003E-2</v>
      </c>
      <c r="P7330">
        <v>0.98443939999999996</v>
      </c>
      <c r="Q7330">
        <v>0.175400799999999</v>
      </c>
      <c r="R7330">
        <v>1.0680810000000001E-2</v>
      </c>
      <c r="S7330">
        <v>3.080994</v>
      </c>
      <c r="T7330">
        <v>-0.1984301</v>
      </c>
      <c r="U7330">
        <v>0.2217102</v>
      </c>
      <c r="V7330">
        <v>-4.7132439999999998E-2</v>
      </c>
      <c r="W7330">
        <v>0.1839055</v>
      </c>
      <c r="X7330">
        <v>0.9818133</v>
      </c>
      <c r="Y7330">
        <v>-0.107600399999999</v>
      </c>
      <c r="Z7330">
        <v>5.7873809999999899E-3</v>
      </c>
      <c r="AA7330">
        <v>0.99417739999999999</v>
      </c>
      <c r="AB7330">
        <v>17</v>
      </c>
      <c r="AC7330">
        <v>17.1783</v>
      </c>
      <c r="AD7330">
        <v>-1.1117365224357001</v>
      </c>
      <c r="AE7330">
        <v>1.2432399999999899</v>
      </c>
      <c r="AF7330">
        <v>-1.8576150420417601</v>
      </c>
      <c r="AG7330">
        <v>-1.1117365224357001</v>
      </c>
      <c r="AH7330">
        <v>17.050875354181201</v>
      </c>
      <c r="AI7330">
        <v>93.708587738163303</v>
      </c>
      <c r="AJ7330">
        <v>96.2175919426343</v>
      </c>
      <c r="AK7330">
        <v>17.187758495032501</v>
      </c>
      <c r="AL7330">
        <v>79.402672942401097</v>
      </c>
      <c r="AM7330">
        <v>92.7484026770951</v>
      </c>
      <c r="AN7330">
        <v>1.00000002794374</v>
      </c>
    </row>
    <row r="7331" spans="1:40" x14ac:dyDescent="0.25">
      <c r="A7331" t="str">
        <f>"20190312172256766"</f>
        <v>20190312172256766</v>
      </c>
      <c r="B7331" t="str">
        <f>"1552382576757829"</f>
        <v>1552382576757829</v>
      </c>
      <c r="C7331" t="s">
        <v>40</v>
      </c>
      <c r="D7331">
        <v>3.4506190000000001</v>
      </c>
      <c r="E7331">
        <v>0.48010439999999999</v>
      </c>
      <c r="F7331" t="s">
        <v>42</v>
      </c>
      <c r="G7331">
        <v>-261.56580000000002</v>
      </c>
      <c r="H7331" s="1">
        <v>-5.3378809999999895E-7</v>
      </c>
      <c r="I7331">
        <v>-63.603729999999999</v>
      </c>
      <c r="J7331">
        <v>-278.6345</v>
      </c>
      <c r="K7331">
        <v>1.111737</v>
      </c>
      <c r="L7331">
        <v>-64.847290000000001</v>
      </c>
      <c r="M7331">
        <v>0.9993708</v>
      </c>
      <c r="N7331">
        <v>0</v>
      </c>
      <c r="O7331">
        <v>-3.4356909999999997E-2</v>
      </c>
      <c r="P7331">
        <v>0.98446579999999995</v>
      </c>
      <c r="Q7331">
        <v>0.1751914</v>
      </c>
      <c r="R7331">
        <v>1.163021E-2</v>
      </c>
      <c r="S7331">
        <v>3.0805660000000001</v>
      </c>
      <c r="T7331">
        <v>-0.19966999999999999</v>
      </c>
      <c r="U7331">
        <v>0.22317500000000001</v>
      </c>
      <c r="V7331">
        <v>-4.620937E-2</v>
      </c>
      <c r="W7331">
        <v>0.18367449999999999</v>
      </c>
      <c r="X7331">
        <v>0.98190040000000001</v>
      </c>
      <c r="Y7331">
        <v>-0.10618900000000001</v>
      </c>
      <c r="Z7331">
        <v>5.6553699999999998E-3</v>
      </c>
      <c r="AA7331">
        <v>0.99432989999999999</v>
      </c>
      <c r="AB7331">
        <v>17</v>
      </c>
      <c r="AC7331">
        <v>17.0686999999999</v>
      </c>
      <c r="AD7331">
        <v>-1.1117375337880999</v>
      </c>
      <c r="AE7331">
        <v>1.24355999999999</v>
      </c>
      <c r="AF7331">
        <v>-1.8215893589858101</v>
      </c>
      <c r="AG7331">
        <v>-1.1117375337880999</v>
      </c>
      <c r="AH7331">
        <v>16.944391758855598</v>
      </c>
      <c r="AI7331">
        <v>93.732405190913198</v>
      </c>
      <c r="AJ7331">
        <v>96.135958124415296</v>
      </c>
      <c r="AK7331">
        <v>17.078248159995201</v>
      </c>
      <c r="AL7331">
        <v>79.416137456741595</v>
      </c>
      <c r="AM7331">
        <v>92.694417757482199</v>
      </c>
      <c r="AN7331">
        <v>1.0000000116731</v>
      </c>
    </row>
    <row r="7332" spans="1:40" x14ac:dyDescent="0.25">
      <c r="A7332" t="str">
        <f>"20190312172256777"</f>
        <v>20190312172256777</v>
      </c>
      <c r="B7332" t="str">
        <f>"1552382576767588"</f>
        <v>1552382576767588</v>
      </c>
      <c r="C7332" t="s">
        <v>40</v>
      </c>
      <c r="D7332">
        <v>3.4464700000000001</v>
      </c>
      <c r="E7332">
        <v>0.48031160000000001</v>
      </c>
      <c r="F7332" t="s">
        <v>42</v>
      </c>
      <c r="G7332">
        <v>-261.5104</v>
      </c>
      <c r="H7332" s="1">
        <v>-5.0890739999999996E-7</v>
      </c>
      <c r="I7332">
        <v>-63.599589999999999</v>
      </c>
      <c r="J7332">
        <v>-278.5471</v>
      </c>
      <c r="K7332">
        <v>1.111737</v>
      </c>
      <c r="L7332">
        <v>-64.848109999999906</v>
      </c>
      <c r="M7332">
        <v>0.99943740000000003</v>
      </c>
      <c r="N7332">
        <v>0</v>
      </c>
      <c r="O7332">
        <v>-3.2364379999999998E-2</v>
      </c>
      <c r="P7332">
        <v>0.98451169999999999</v>
      </c>
      <c r="Q7332">
        <v>0.174852799999999</v>
      </c>
      <c r="R7332">
        <v>1.2781249999999999E-2</v>
      </c>
      <c r="S7332">
        <v>3.080292</v>
      </c>
      <c r="T7332">
        <v>-0.1999795</v>
      </c>
      <c r="U7332">
        <v>0.2244263</v>
      </c>
      <c r="V7332">
        <v>-4.540247E-2</v>
      </c>
      <c r="W7332">
        <v>0.18331310000000001</v>
      </c>
      <c r="X7332">
        <v>0.98200549999999998</v>
      </c>
      <c r="Y7332">
        <v>-0.10462109999999999</v>
      </c>
      <c r="Z7332">
        <v>5.4846879999999997E-3</v>
      </c>
      <c r="AA7332">
        <v>0.99449699999999996</v>
      </c>
      <c r="AB7332">
        <v>17</v>
      </c>
      <c r="AC7332">
        <v>17.0366999999999</v>
      </c>
      <c r="AD7332">
        <v>-1.1117375089074</v>
      </c>
      <c r="AE7332">
        <v>1.2485199999999901</v>
      </c>
      <c r="AF7332">
        <v>-1.7916807645289199</v>
      </c>
      <c r="AG7332">
        <v>-1.1117375089074</v>
      </c>
      <c r="AH7332">
        <v>16.915718286396899</v>
      </c>
      <c r="AI7332">
        <v>93.739337753231695</v>
      </c>
      <c r="AJ7332">
        <v>96.046117681522702</v>
      </c>
      <c r="AK7332">
        <v>17.0466303237747</v>
      </c>
      <c r="AL7332">
        <v>79.437201034309595</v>
      </c>
      <c r="AM7332">
        <v>92.647152894212994</v>
      </c>
      <c r="AN7332">
        <v>0.99999993947197796</v>
      </c>
    </row>
    <row r="7333" spans="1:40" x14ac:dyDescent="0.25">
      <c r="A7333" t="str">
        <f>"20190312172256789"</f>
        <v>20190312172256789</v>
      </c>
      <c r="B7333" t="str">
        <f>"1552382576778324"</f>
        <v>1552382576778324</v>
      </c>
      <c r="C7333" t="s">
        <v>40</v>
      </c>
      <c r="D7333">
        <v>3.473004</v>
      </c>
      <c r="E7333">
        <v>0.48047430000000002</v>
      </c>
      <c r="F7333" t="s">
        <v>42</v>
      </c>
      <c r="G7333">
        <v>-261.49110000000002</v>
      </c>
      <c r="H7333" s="1">
        <v>-4.9945040000000001E-7</v>
      </c>
      <c r="I7333">
        <v>-63.595239999999997</v>
      </c>
      <c r="J7333">
        <v>-278.46530000000001</v>
      </c>
      <c r="K7333">
        <v>1.111745</v>
      </c>
      <c r="L7333">
        <v>-64.848600000000005</v>
      </c>
      <c r="M7333">
        <v>0.9994963</v>
      </c>
      <c r="N7333">
        <v>0</v>
      </c>
      <c r="O7333">
        <v>-3.0498810000000001E-2</v>
      </c>
      <c r="P7333">
        <v>0.98455179999999998</v>
      </c>
      <c r="Q7333">
        <v>0.17454810000000001</v>
      </c>
      <c r="R7333">
        <v>1.380964E-2</v>
      </c>
      <c r="S7333">
        <v>3.079895</v>
      </c>
      <c r="T7333">
        <v>-0.20075170000000001</v>
      </c>
      <c r="U7333">
        <v>0.22622680000000001</v>
      </c>
      <c r="V7333">
        <v>-4.4596530000000002E-2</v>
      </c>
      <c r="W7333">
        <v>0.1829877</v>
      </c>
      <c r="X7333">
        <v>0.98210319999999995</v>
      </c>
      <c r="Y7333">
        <v>-0.1033567</v>
      </c>
      <c r="Z7333">
        <v>5.3439630000000002E-3</v>
      </c>
      <c r="AA7333">
        <v>0.99463000000000001</v>
      </c>
      <c r="AB7333">
        <v>17</v>
      </c>
      <c r="AC7333">
        <v>16.9741999999999</v>
      </c>
      <c r="AD7333">
        <v>-1.1117454994503999</v>
      </c>
      <c r="AE7333">
        <v>1.25336</v>
      </c>
      <c r="AF7333">
        <v>-1.76296803603519</v>
      </c>
      <c r="AG7333">
        <v>-1.1117454994503999</v>
      </c>
      <c r="AH7333">
        <v>16.8561589595285</v>
      </c>
      <c r="AI7333">
        <v>93.753057259353795</v>
      </c>
      <c r="AJ7333">
        <v>95.970797582216093</v>
      </c>
      <c r="AK7333">
        <v>16.984526170032598</v>
      </c>
      <c r="AL7333">
        <v>79.456166755952907</v>
      </c>
      <c r="AM7333">
        <v>92.599969996469099</v>
      </c>
      <c r="AN7333">
        <v>1.00000002214478</v>
      </c>
    </row>
    <row r="7334" spans="1:40" x14ac:dyDescent="0.25">
      <c r="A7334" t="str">
        <f>"20190312172256800"</f>
        <v>20190312172256800</v>
      </c>
      <c r="B7334" t="str">
        <f>"1552382576797844"</f>
        <v>1552382576797844</v>
      </c>
      <c r="C7334" t="s">
        <v>40</v>
      </c>
      <c r="D7334">
        <v>3.3958560000000002</v>
      </c>
      <c r="E7334">
        <v>0.48043930000000001</v>
      </c>
      <c r="F7334" t="s">
        <v>42</v>
      </c>
      <c r="G7334">
        <v>-261.4588</v>
      </c>
      <c r="H7334" s="1">
        <v>-4.8431919999999899E-7</v>
      </c>
      <c r="I7334">
        <v>-63.590310000000002</v>
      </c>
      <c r="J7334">
        <v>-278.37830000000002</v>
      </c>
      <c r="K7334">
        <v>1.1117459999999999</v>
      </c>
      <c r="L7334">
        <v>-64.849090000000004</v>
      </c>
      <c r="M7334">
        <v>0.99955510000000003</v>
      </c>
      <c r="N7334">
        <v>0</v>
      </c>
      <c r="O7334">
        <v>-2.8518089999999999E-2</v>
      </c>
      <c r="P7334">
        <v>0.98459180000000002</v>
      </c>
      <c r="Q7334">
        <v>0.1742215</v>
      </c>
      <c r="R7334">
        <v>1.5041560000000001E-2</v>
      </c>
      <c r="S7334">
        <v>3.0795590000000002</v>
      </c>
      <c r="T7334">
        <v>-0.2013171</v>
      </c>
      <c r="U7334">
        <v>0.2278442</v>
      </c>
      <c r="V7334">
        <v>-4.3881509999999999E-2</v>
      </c>
      <c r="W7334">
        <v>0.18263799999999999</v>
      </c>
      <c r="X7334">
        <v>0.98220050000000003</v>
      </c>
      <c r="Y7334">
        <v>-0.1019187</v>
      </c>
      <c r="Z7334">
        <v>5.183376E-3</v>
      </c>
      <c r="AA7334">
        <v>0.99477919999999997</v>
      </c>
      <c r="AB7334">
        <v>17</v>
      </c>
      <c r="AC7334">
        <v>16.919499999999999</v>
      </c>
      <c r="AD7334">
        <v>-1.1117464843192</v>
      </c>
      <c r="AE7334">
        <v>1.25878</v>
      </c>
      <c r="AF7334">
        <v>-1.7333555848841899</v>
      </c>
      <c r="AG7334">
        <v>-1.1117464843192</v>
      </c>
      <c r="AH7334">
        <v>16.804563536851301</v>
      </c>
      <c r="AI7334">
        <v>93.765106493028895</v>
      </c>
      <c r="AJ7334">
        <v>95.889113039297001</v>
      </c>
      <c r="AK7334">
        <v>16.930264542915999</v>
      </c>
      <c r="AL7334">
        <v>79.476546555838397</v>
      </c>
      <c r="AM7334">
        <v>92.558087188353497</v>
      </c>
      <c r="AN7334">
        <v>1.0000000240820599</v>
      </c>
    </row>
    <row r="7335" spans="1:40" x14ac:dyDescent="0.25">
      <c r="A7335" t="str">
        <f>"20190312172256811"</f>
        <v>20190312172256811</v>
      </c>
      <c r="B7335" t="str">
        <f>"1552382576807604"</f>
        <v>1552382576807604</v>
      </c>
      <c r="C7335" t="s">
        <v>40</v>
      </c>
      <c r="D7335">
        <v>3.4767610000000002</v>
      </c>
      <c r="E7335">
        <v>0.4803576</v>
      </c>
      <c r="F7335" t="s">
        <v>73</v>
      </c>
      <c r="G7335">
        <v>-261.44099999999997</v>
      </c>
      <c r="H7335" s="1">
        <v>-4.722258E-7</v>
      </c>
      <c r="I7335">
        <v>-63.573590000000003</v>
      </c>
      <c r="J7335">
        <v>-278.29250000000002</v>
      </c>
      <c r="K7335">
        <v>1.1117429999999999</v>
      </c>
      <c r="L7335">
        <v>-64.849269999999905</v>
      </c>
      <c r="M7335">
        <v>0.99960890000000002</v>
      </c>
      <c r="N7335">
        <v>0</v>
      </c>
      <c r="O7335">
        <v>-2.6569679999999998E-2</v>
      </c>
      <c r="P7335">
        <v>0.98463889999999998</v>
      </c>
      <c r="Q7335">
        <v>0.17384759999999999</v>
      </c>
      <c r="R7335">
        <v>1.622906E-2</v>
      </c>
      <c r="S7335">
        <v>3.0791629999999999</v>
      </c>
      <c r="T7335">
        <v>-0.2021134</v>
      </c>
      <c r="U7335">
        <v>0.23187260000000001</v>
      </c>
      <c r="V7335">
        <v>-4.315223E-2</v>
      </c>
      <c r="W7335">
        <v>0.1822414</v>
      </c>
      <c r="X7335">
        <v>0.98230649999999997</v>
      </c>
      <c r="Y7335">
        <v>-0.1012866</v>
      </c>
      <c r="Z7335">
        <v>5.0559569999999998E-3</v>
      </c>
      <c r="AA7335">
        <v>0.99484439999999996</v>
      </c>
      <c r="AB7335">
        <v>17</v>
      </c>
      <c r="AC7335">
        <v>16.851500000000001</v>
      </c>
      <c r="AD7335">
        <v>-1.1117434722257999</v>
      </c>
      <c r="AE7335">
        <v>1.2756799999999799</v>
      </c>
      <c r="AF7335">
        <v>-1.71556128586365</v>
      </c>
      <c r="AG7335">
        <v>-1.1117434722257999</v>
      </c>
      <c r="AH7335">
        <v>16.739213497495399</v>
      </c>
      <c r="AI7335">
        <v>93.7800059778356</v>
      </c>
      <c r="AJ7335">
        <v>95.851674107174702</v>
      </c>
      <c r="AK7335">
        <v>16.863581843378501</v>
      </c>
      <c r="AL7335">
        <v>79.499658228864007</v>
      </c>
      <c r="AM7335">
        <v>92.515357533898893</v>
      </c>
      <c r="AN7335">
        <v>1.00000005138509</v>
      </c>
    </row>
    <row r="7336" spans="1:40" x14ac:dyDescent="0.25">
      <c r="A7336" t="str">
        <f>"20190312172256824"</f>
        <v>20190312172256824</v>
      </c>
      <c r="B7336" t="str">
        <f>"1552382576817364"</f>
        <v>1552382576817364</v>
      </c>
      <c r="C7336" t="s">
        <v>40</v>
      </c>
      <c r="D7336">
        <v>3.417535</v>
      </c>
      <c r="E7336">
        <v>0.4802728</v>
      </c>
      <c r="F7336" t="s">
        <v>42</v>
      </c>
      <c r="G7336">
        <v>-261.42619999999999</v>
      </c>
      <c r="H7336" s="1">
        <v>-4.6111189999999999E-7</v>
      </c>
      <c r="I7336">
        <v>-63.555700000000002</v>
      </c>
      <c r="J7336">
        <v>-278.20420000000001</v>
      </c>
      <c r="K7336">
        <v>1.111745</v>
      </c>
      <c r="L7336">
        <v>-64.849369999999993</v>
      </c>
      <c r="M7336">
        <v>0.9996604</v>
      </c>
      <c r="N7336">
        <v>0</v>
      </c>
      <c r="O7336">
        <v>-2.4566069999999999E-2</v>
      </c>
      <c r="P7336">
        <v>0.9846355</v>
      </c>
      <c r="Q7336">
        <v>0.17375209999999999</v>
      </c>
      <c r="R7336">
        <v>1.7412420000000001E-2</v>
      </c>
      <c r="S7336">
        <v>3.078735</v>
      </c>
      <c r="T7336">
        <v>-0.20293510000000001</v>
      </c>
      <c r="U7336">
        <v>0.2361145</v>
      </c>
      <c r="V7336">
        <v>-4.2363919999999999E-2</v>
      </c>
      <c r="W7336">
        <v>0.18212139999999999</v>
      </c>
      <c r="X7336">
        <v>0.98236299999999999</v>
      </c>
      <c r="Y7336">
        <v>-0.1006692</v>
      </c>
      <c r="Z7336">
        <v>4.9248449999999997E-3</v>
      </c>
      <c r="AA7336">
        <v>0.99490769999999995</v>
      </c>
      <c r="AB7336">
        <v>17</v>
      </c>
      <c r="AC7336">
        <v>16.777999999999999</v>
      </c>
      <c r="AD7336">
        <v>-1.1117454611119</v>
      </c>
      <c r="AE7336">
        <v>1.2936699999999901</v>
      </c>
      <c r="AF7336">
        <v>-1.69805313354585</v>
      </c>
      <c r="AG7336">
        <v>-1.1117454611119</v>
      </c>
      <c r="AH7336">
        <v>16.6684017257117</v>
      </c>
      <c r="AI7336">
        <v>93.796259752164502</v>
      </c>
      <c r="AJ7336">
        <v>95.816802122661201</v>
      </c>
      <c r="AK7336">
        <v>16.791515074714301</v>
      </c>
      <c r="AL7336">
        <v>79.506650036765606</v>
      </c>
      <c r="AM7336">
        <v>92.469322247125504</v>
      </c>
      <c r="AN7336">
        <v>0.99999998491236297</v>
      </c>
    </row>
    <row r="7337" spans="1:40" x14ac:dyDescent="0.25">
      <c r="A7337" t="str">
        <f>"20190312172256833"</f>
        <v>20190312172256833</v>
      </c>
      <c r="B7337" t="str">
        <f>"1552382576828100"</f>
        <v>1552382576828100</v>
      </c>
      <c r="C7337" t="s">
        <v>40</v>
      </c>
      <c r="D7337">
        <v>3.4385819999999998</v>
      </c>
      <c r="E7337">
        <v>0.4801897</v>
      </c>
      <c r="F7337" t="s">
        <v>73</v>
      </c>
      <c r="G7337">
        <v>-261.32639999999998</v>
      </c>
      <c r="H7337" s="1">
        <v>-4.1143039999999999E-7</v>
      </c>
      <c r="I7337">
        <v>-63.529960000000003</v>
      </c>
      <c r="J7337">
        <v>-278.12200000000001</v>
      </c>
      <c r="K7337">
        <v>1.11174</v>
      </c>
      <c r="L7337">
        <v>-64.849269999999905</v>
      </c>
      <c r="M7337">
        <v>0.9997045</v>
      </c>
      <c r="N7337">
        <v>0</v>
      </c>
      <c r="O7337">
        <v>-2.2707089999999999E-2</v>
      </c>
      <c r="P7337">
        <v>0.98460380000000003</v>
      </c>
      <c r="Q7337">
        <v>0.17380370000000001</v>
      </c>
      <c r="R7337">
        <v>1.864362E-2</v>
      </c>
      <c r="S7337">
        <v>3.0783079999999998</v>
      </c>
      <c r="T7337">
        <v>-0.20276839999999999</v>
      </c>
      <c r="U7337">
        <v>0.24063109999999999</v>
      </c>
      <c r="V7337">
        <v>-4.1765509999999999E-2</v>
      </c>
      <c r="W7337">
        <v>0.18214949999999999</v>
      </c>
      <c r="X7337">
        <v>0.98238340000000002</v>
      </c>
      <c r="Y7337">
        <v>-0.1002859</v>
      </c>
      <c r="Z7337">
        <v>4.7864589999999999E-3</v>
      </c>
      <c r="AA7337">
        <v>0.99494709999999997</v>
      </c>
      <c r="AB7337">
        <v>17</v>
      </c>
      <c r="AC7337">
        <v>16.7956</v>
      </c>
      <c r="AD7337">
        <v>-1.1117404114303999</v>
      </c>
      <c r="AE7337">
        <v>1.31930999999999</v>
      </c>
      <c r="AF7337">
        <v>-1.6929911339433901</v>
      </c>
      <c r="AG7337">
        <v>-1.1117404114303999</v>
      </c>
      <c r="AH7337">
        <v>16.688638614528401</v>
      </c>
      <c r="AI7337">
        <v>93.7918149944948</v>
      </c>
      <c r="AJ7337">
        <v>95.792595453755695</v>
      </c>
      <c r="AK7337">
        <v>16.8110929010682</v>
      </c>
      <c r="AL7337">
        <v>79.505012493720599</v>
      </c>
      <c r="AM7337">
        <v>92.434433699331606</v>
      </c>
      <c r="AN7337">
        <v>0.99999997138568397</v>
      </c>
    </row>
    <row r="7338" spans="1:40" x14ac:dyDescent="0.25">
      <c r="A7338" t="str">
        <f>"20190312172256844"</f>
        <v>20190312172256844</v>
      </c>
      <c r="B7338" t="str">
        <f>"1552382576837860"</f>
        <v>1552382576837860</v>
      </c>
      <c r="C7338" t="s">
        <v>40</v>
      </c>
      <c r="D7338">
        <v>3.423044</v>
      </c>
      <c r="E7338">
        <v>0.48010180000000002</v>
      </c>
      <c r="F7338" t="s">
        <v>42</v>
      </c>
      <c r="G7338">
        <v>-261.19720000000001</v>
      </c>
      <c r="H7338" s="1">
        <v>-3.4835639999999999E-7</v>
      </c>
      <c r="I7338">
        <v>-63.50121</v>
      </c>
      <c r="J7338">
        <v>-278.04700000000003</v>
      </c>
      <c r="K7338">
        <v>1.1117330000000001</v>
      </c>
      <c r="L7338">
        <v>-64.849119999999999</v>
      </c>
      <c r="M7338">
        <v>0.99974189999999996</v>
      </c>
      <c r="N7338">
        <v>0</v>
      </c>
      <c r="O7338">
        <v>-2.1016079999999999E-2</v>
      </c>
      <c r="P7338">
        <v>0.9846087</v>
      </c>
      <c r="Q7338">
        <v>0.1736906</v>
      </c>
      <c r="R7338">
        <v>1.9434549999999998E-2</v>
      </c>
      <c r="S7338">
        <v>3.0779420000000002</v>
      </c>
      <c r="T7338">
        <v>-0.20218040000000001</v>
      </c>
      <c r="U7338">
        <v>0.2451477</v>
      </c>
      <c r="V7338">
        <v>-4.0891469999999999E-2</v>
      </c>
      <c r="W7338">
        <v>0.18201729999999999</v>
      </c>
      <c r="X7338">
        <v>0.98244469999999995</v>
      </c>
      <c r="Y7338">
        <v>-0.1000688</v>
      </c>
      <c r="Z7338">
        <v>4.6549759999999999E-3</v>
      </c>
      <c r="AA7338">
        <v>0.99496960000000001</v>
      </c>
      <c r="AB7338">
        <v>17</v>
      </c>
      <c r="AC7338">
        <v>16.849799999999998</v>
      </c>
      <c r="AD7338">
        <v>-1.11173334835639</v>
      </c>
      <c r="AE7338">
        <v>1.3479099999999899</v>
      </c>
      <c r="AF7338">
        <v>-1.69441293472073</v>
      </c>
      <c r="AG7338">
        <v>-1.11173334835639</v>
      </c>
      <c r="AH7338">
        <v>16.7453166779251</v>
      </c>
      <c r="AI7338">
        <v>93.779091776350498</v>
      </c>
      <c r="AJ7338">
        <v>95.777937415420595</v>
      </c>
      <c r="AK7338">
        <v>16.867501797100601</v>
      </c>
      <c r="AL7338">
        <v>79.512716065866002</v>
      </c>
      <c r="AM7338">
        <v>92.383398372212795</v>
      </c>
      <c r="AN7338">
        <v>0.99999999918807003</v>
      </c>
    </row>
    <row r="7339" spans="1:40" x14ac:dyDescent="0.25">
      <c r="A7339" t="str">
        <f>"20190312172256855"</f>
        <v>20190312172256855</v>
      </c>
      <c r="B7339" t="str">
        <f>"1552382576848070"</f>
        <v>1552382576848070</v>
      </c>
      <c r="C7339" t="s">
        <v>40</v>
      </c>
      <c r="D7339">
        <v>3.4331330000000002</v>
      </c>
      <c r="E7339">
        <v>0.48000939999999997</v>
      </c>
      <c r="F7339" t="s">
        <v>73</v>
      </c>
      <c r="G7339">
        <v>-261.12729999999999</v>
      </c>
      <c r="H7339" s="1">
        <v>-3.1328639999999999E-7</v>
      </c>
      <c r="I7339">
        <v>-63.482039999999998</v>
      </c>
      <c r="J7339">
        <v>-277.95409999999998</v>
      </c>
      <c r="K7339">
        <v>1.11172</v>
      </c>
      <c r="L7339">
        <v>-64.848690000000005</v>
      </c>
      <c r="M7339">
        <v>0.99978370000000005</v>
      </c>
      <c r="N7339">
        <v>0</v>
      </c>
      <c r="O7339">
        <v>-1.8931090000000001E-2</v>
      </c>
      <c r="P7339">
        <v>0.98463120000000004</v>
      </c>
      <c r="Q7339">
        <v>0.17338410000000001</v>
      </c>
      <c r="R7339">
        <v>2.0966749999999999E-2</v>
      </c>
      <c r="S7339">
        <v>3.0776669999999999</v>
      </c>
      <c r="T7339">
        <v>-0.20222219999999999</v>
      </c>
      <c r="U7339">
        <v>0.24865719999999999</v>
      </c>
      <c r="V7339">
        <v>-4.0368389999999997E-2</v>
      </c>
      <c r="W7339">
        <v>0.18168300000000001</v>
      </c>
      <c r="X7339">
        <v>0.98252819999999996</v>
      </c>
      <c r="Y7339">
        <v>-9.9134470000000002E-2</v>
      </c>
      <c r="Z7339">
        <v>4.4888640000000004E-3</v>
      </c>
      <c r="AA7339">
        <v>0.9950639</v>
      </c>
      <c r="AB7339">
        <v>17</v>
      </c>
      <c r="AC7339">
        <v>16.826799999999899</v>
      </c>
      <c r="AD7339">
        <v>-1.11172031328639</v>
      </c>
      <c r="AE7339">
        <v>1.3666499999999999</v>
      </c>
      <c r="AF7339">
        <v>-1.6776913487918701</v>
      </c>
      <c r="AG7339">
        <v>-1.11172031328639</v>
      </c>
      <c r="AH7339">
        <v>16.7253826295929</v>
      </c>
      <c r="AI7339">
        <v>93.783869365029801</v>
      </c>
      <c r="AJ7339">
        <v>95.728070637532397</v>
      </c>
      <c r="AK7339">
        <v>16.846037944367598</v>
      </c>
      <c r="AL7339">
        <v>79.532194748662505</v>
      </c>
      <c r="AM7339">
        <v>92.352744903390004</v>
      </c>
      <c r="AN7339">
        <v>0.99999999159771602</v>
      </c>
    </row>
    <row r="7340" spans="1:40" x14ac:dyDescent="0.25">
      <c r="A7340" t="str">
        <f>"20190312172256866"</f>
        <v>20190312172256866</v>
      </c>
      <c r="B7340" t="str">
        <f>"1552382576857829"</f>
        <v>1552382576857829</v>
      </c>
      <c r="C7340" t="s">
        <v>40</v>
      </c>
      <c r="D7340">
        <v>3.4454539999999998</v>
      </c>
      <c r="E7340">
        <v>0.47992810000000002</v>
      </c>
      <c r="F7340" t="s">
        <v>42</v>
      </c>
      <c r="G7340">
        <v>-261.10199999999998</v>
      </c>
      <c r="H7340" s="1">
        <v>-2.9559909999999999E-7</v>
      </c>
      <c r="I7340">
        <v>-63.456440000000001</v>
      </c>
      <c r="J7340">
        <v>-277.87740000000002</v>
      </c>
      <c r="K7340">
        <v>1.111707</v>
      </c>
      <c r="L7340">
        <v>-64.848209999999995</v>
      </c>
      <c r="M7340">
        <v>0.99981489999999995</v>
      </c>
      <c r="N7340">
        <v>0</v>
      </c>
      <c r="O7340">
        <v>-1.7221500000000001E-2</v>
      </c>
      <c r="P7340">
        <v>0.98465630000000004</v>
      </c>
      <c r="Q7340">
        <v>0.1731077</v>
      </c>
      <c r="R7340">
        <v>2.2045439999999999E-2</v>
      </c>
      <c r="S7340">
        <v>3.0771790000000001</v>
      </c>
      <c r="T7340">
        <v>-0.20299819999999999</v>
      </c>
      <c r="U7340">
        <v>0.25421139999999998</v>
      </c>
      <c r="V7340">
        <v>-3.9760620000000003E-2</v>
      </c>
      <c r="W7340">
        <v>0.18138290000000001</v>
      </c>
      <c r="X7340">
        <v>0.98260840000000005</v>
      </c>
      <c r="Y7340">
        <v>-9.9231360000000005E-2</v>
      </c>
      <c r="Z7340">
        <v>4.3971260000000003E-3</v>
      </c>
      <c r="AA7340">
        <v>0.99505469999999896</v>
      </c>
      <c r="AB7340">
        <v>17</v>
      </c>
      <c r="AC7340">
        <v>16.775399999999902</v>
      </c>
      <c r="AD7340">
        <v>-1.1117072955991001</v>
      </c>
      <c r="AE7340">
        <v>1.39176999999999</v>
      </c>
      <c r="AF7340">
        <v>-1.67317387798034</v>
      </c>
      <c r="AG7340">
        <v>-1.1117072955991001</v>
      </c>
      <c r="AH7340">
        <v>16.6762061063339</v>
      </c>
      <c r="AI7340">
        <v>93.794941404603307</v>
      </c>
      <c r="AJ7340">
        <v>95.729483411263899</v>
      </c>
      <c r="AK7340">
        <v>16.7967632012233</v>
      </c>
      <c r="AL7340">
        <v>79.549679452197793</v>
      </c>
      <c r="AM7340">
        <v>92.3171729127899</v>
      </c>
      <c r="AN7340">
        <v>0.99999996553287596</v>
      </c>
    </row>
    <row r="7341" spans="1:40" x14ac:dyDescent="0.25">
      <c r="A7341" t="str">
        <f>"20190312172256877"</f>
        <v>20190312172256877</v>
      </c>
      <c r="B7341" t="str">
        <f>"1552382576867590"</f>
        <v>1552382576867590</v>
      </c>
      <c r="C7341" t="s">
        <v>40</v>
      </c>
      <c r="D7341">
        <v>3.3988480000000001</v>
      </c>
      <c r="E7341">
        <v>0.4798518</v>
      </c>
      <c r="F7341" t="s">
        <v>42</v>
      </c>
      <c r="G7341">
        <v>-261.08150000000001</v>
      </c>
      <c r="H7341" s="1">
        <v>-2.822017E-7</v>
      </c>
      <c r="I7341">
        <v>-63.439100000000003</v>
      </c>
      <c r="J7341">
        <v>-277.7921</v>
      </c>
      <c r="K7341">
        <v>1.1116900000000001</v>
      </c>
      <c r="L7341">
        <v>-64.847560000000001</v>
      </c>
      <c r="M7341">
        <v>0.99984600000000001</v>
      </c>
      <c r="N7341">
        <v>0</v>
      </c>
      <c r="O7341">
        <v>-1.5328939999999999E-2</v>
      </c>
      <c r="P7341">
        <v>0.98463860000000003</v>
      </c>
      <c r="Q7341">
        <v>0.17302529999999999</v>
      </c>
      <c r="R7341">
        <v>2.343655E-2</v>
      </c>
      <c r="S7341">
        <v>3.0767820000000001</v>
      </c>
      <c r="T7341">
        <v>-0.20364979999999999</v>
      </c>
      <c r="U7341">
        <v>0.25811770000000001</v>
      </c>
      <c r="V7341">
        <v>-3.9283989999999998E-2</v>
      </c>
      <c r="W7341">
        <v>0.1812713</v>
      </c>
      <c r="X7341">
        <v>0.98264819999999997</v>
      </c>
      <c r="Y7341">
        <v>-9.8616780000000001E-2</v>
      </c>
      <c r="Z7341">
        <v>4.2663179999999998E-3</v>
      </c>
      <c r="AA7341">
        <v>0.99511640000000001</v>
      </c>
      <c r="AB7341">
        <v>17</v>
      </c>
      <c r="AC7341">
        <v>16.710599999999999</v>
      </c>
      <c r="AD7341">
        <v>-1.1116902822016901</v>
      </c>
      <c r="AE7341">
        <v>1.4084599999999901</v>
      </c>
      <c r="AF7341">
        <v>-1.65717717518472</v>
      </c>
      <c r="AG7341">
        <v>-1.1116902822016901</v>
      </c>
      <c r="AH7341">
        <v>16.6140351245181</v>
      </c>
      <c r="AI7341">
        <v>93.809263475691793</v>
      </c>
      <c r="AJ7341">
        <v>95.696161978390094</v>
      </c>
      <c r="AK7341">
        <v>16.733447181982999</v>
      </c>
      <c r="AL7341">
        <v>79.556181815499002</v>
      </c>
      <c r="AM7341">
        <v>92.289332934498901</v>
      </c>
      <c r="AN7341">
        <v>1.00000000051862</v>
      </c>
    </row>
    <row r="7342" spans="1:40" x14ac:dyDescent="0.25">
      <c r="A7342" t="str">
        <f>"20190312172256889"</f>
        <v>20190312172256889</v>
      </c>
      <c r="B7342" t="str">
        <f>"1552382576877349"</f>
        <v>1552382576877349</v>
      </c>
      <c r="C7342" t="s">
        <v>40</v>
      </c>
      <c r="D7342">
        <v>3.4459970000000002</v>
      </c>
      <c r="E7342">
        <v>0.47977920000000002</v>
      </c>
      <c r="F7342" t="s">
        <v>73</v>
      </c>
      <c r="G7342">
        <v>-261.00540000000001</v>
      </c>
      <c r="H7342" s="1">
        <v>-2.4244710000000002E-7</v>
      </c>
      <c r="I7342">
        <v>-63.412390000000002</v>
      </c>
      <c r="J7342">
        <v>-277.70800000000003</v>
      </c>
      <c r="K7342">
        <v>1.1116619999999999</v>
      </c>
      <c r="L7342">
        <v>-64.846739999999997</v>
      </c>
      <c r="M7342">
        <v>0.99987280000000001</v>
      </c>
      <c r="N7342">
        <v>0</v>
      </c>
      <c r="O7342">
        <v>-1.3490759999999999E-2</v>
      </c>
      <c r="P7342">
        <v>0.98466929999999997</v>
      </c>
      <c r="Q7342">
        <v>0.1726683</v>
      </c>
      <c r="R7342">
        <v>2.4742790000000001E-2</v>
      </c>
      <c r="S7342">
        <v>3.076355</v>
      </c>
      <c r="T7342">
        <v>-0.2037302</v>
      </c>
      <c r="U7342">
        <v>0.26300050000000003</v>
      </c>
      <c r="V7342">
        <v>-3.8772800000000003E-2</v>
      </c>
      <c r="W7342">
        <v>0.1808816</v>
      </c>
      <c r="X7342">
        <v>0.98274030000000001</v>
      </c>
      <c r="Y7342">
        <v>-9.837137E-2</v>
      </c>
      <c r="Z7342">
        <v>4.138793E-3</v>
      </c>
      <c r="AA7342">
        <v>0.9951411</v>
      </c>
      <c r="AB7342">
        <v>17</v>
      </c>
      <c r="AC7342">
        <v>16.702599999999901</v>
      </c>
      <c r="AD7342">
        <v>-1.1116622424471001</v>
      </c>
      <c r="AE7342">
        <v>1.43434999999999</v>
      </c>
      <c r="AF7342">
        <v>-1.6522927477310001</v>
      </c>
      <c r="AG7342">
        <v>-1.1116622424471001</v>
      </c>
      <c r="AH7342">
        <v>16.608695219336798</v>
      </c>
      <c r="AI7342">
        <v>93.810486955788605</v>
      </c>
      <c r="AJ7342">
        <v>95.681296897314596</v>
      </c>
      <c r="AK7342">
        <v>16.727660361040002</v>
      </c>
      <c r="AL7342">
        <v>79.578885183265598</v>
      </c>
      <c r="AM7342">
        <v>92.259362116651204</v>
      </c>
      <c r="AN7342">
        <v>0.99999999024124497</v>
      </c>
    </row>
    <row r="7343" spans="1:40" x14ac:dyDescent="0.25">
      <c r="A7343" t="str">
        <f>"20190312172256899"</f>
        <v>20190312172256899</v>
      </c>
      <c r="B7343" t="str">
        <f>"1552382576888086"</f>
        <v>1552382576888086</v>
      </c>
      <c r="C7343" t="s">
        <v>40</v>
      </c>
      <c r="D7343">
        <v>3.396922</v>
      </c>
      <c r="E7343">
        <v>0.47971249999999999</v>
      </c>
      <c r="F7343" t="s">
        <v>42</v>
      </c>
      <c r="G7343">
        <v>-261.00360000000001</v>
      </c>
      <c r="H7343" s="1">
        <v>-2.3675530000000001E-7</v>
      </c>
      <c r="I7343">
        <v>-63.3938699999999</v>
      </c>
      <c r="J7343">
        <v>-277.62520000000001</v>
      </c>
      <c r="K7343">
        <v>1.111637</v>
      </c>
      <c r="L7343">
        <v>-64.845889999999997</v>
      </c>
      <c r="M7343">
        <v>0.99989589999999995</v>
      </c>
      <c r="N7343">
        <v>0</v>
      </c>
      <c r="O7343">
        <v>-1.1686429999999999E-2</v>
      </c>
      <c r="P7343">
        <v>0.98471010000000003</v>
      </c>
      <c r="Q7343">
        <v>0.17227979999999901</v>
      </c>
      <c r="R7343">
        <v>2.5801169999999998E-2</v>
      </c>
      <c r="S7343">
        <v>3.0758969999999999</v>
      </c>
      <c r="T7343">
        <v>-0.2046983</v>
      </c>
      <c r="U7343">
        <v>0.26751710000000001</v>
      </c>
      <c r="V7343">
        <v>-3.8046620000000003E-2</v>
      </c>
      <c r="W7343">
        <v>0.18046129999999999</v>
      </c>
      <c r="X7343">
        <v>0.982846</v>
      </c>
      <c r="Y7343">
        <v>-9.8041000000000003E-2</v>
      </c>
      <c r="Z7343">
        <v>4.0280659999999899E-3</v>
      </c>
      <c r="AA7343">
        <v>0.99517420000000001</v>
      </c>
      <c r="AB7343">
        <v>17</v>
      </c>
      <c r="AC7343">
        <v>16.621600000000001</v>
      </c>
      <c r="AD7343">
        <v>-1.1116372367553</v>
      </c>
      <c r="AE7343">
        <v>1.4520200000000001</v>
      </c>
      <c r="AF7343">
        <v>-1.63889998554554</v>
      </c>
      <c r="AG7343">
        <v>-1.1116372367553</v>
      </c>
      <c r="AH7343">
        <v>16.5301191769016</v>
      </c>
      <c r="AI7343">
        <v>93.828587152217906</v>
      </c>
      <c r="AJ7343">
        <v>95.662159357958004</v>
      </c>
      <c r="AK7343">
        <v>16.648320351054402</v>
      </c>
      <c r="AL7343">
        <v>79.603370079896706</v>
      </c>
      <c r="AM7343">
        <v>92.2168507091598</v>
      </c>
      <c r="AN7343">
        <v>1.00000004290355</v>
      </c>
    </row>
    <row r="7344" spans="1:40" x14ac:dyDescent="0.25">
      <c r="A7344" t="str">
        <f>"20190312172256911"</f>
        <v>20190312172256911</v>
      </c>
      <c r="B7344" t="str">
        <f>"1552382576907605"</f>
        <v>1552382576907605</v>
      </c>
      <c r="C7344" t="s">
        <v>40</v>
      </c>
      <c r="D7344">
        <v>3.5203139999999999</v>
      </c>
      <c r="E7344">
        <v>0.47957689999999997</v>
      </c>
      <c r="F7344" t="s">
        <v>42</v>
      </c>
      <c r="G7344">
        <v>-261.01080000000002</v>
      </c>
      <c r="H7344" s="1">
        <v>-2.3608659999999999E-7</v>
      </c>
      <c r="I7344">
        <v>-63.37968</v>
      </c>
      <c r="J7344">
        <v>-277.53969999999998</v>
      </c>
      <c r="K7344">
        <v>1.111599</v>
      </c>
      <c r="L7344">
        <v>-64.844759999999994</v>
      </c>
      <c r="M7344">
        <v>0.99991580000000002</v>
      </c>
      <c r="N7344">
        <v>0</v>
      </c>
      <c r="O7344">
        <v>-9.8652070000000008E-3</v>
      </c>
      <c r="P7344">
        <v>0.98471989999999998</v>
      </c>
      <c r="Q7344">
        <v>0.17206170000000001</v>
      </c>
      <c r="R7344">
        <v>2.6863970000000001E-2</v>
      </c>
      <c r="S7344">
        <v>3.0754389999999998</v>
      </c>
      <c r="T7344">
        <v>-0.20577200000000001</v>
      </c>
      <c r="U7344">
        <v>0.27139279999999999</v>
      </c>
      <c r="V7344">
        <v>-3.7305110000000002E-2</v>
      </c>
      <c r="W7344">
        <v>0.1802048</v>
      </c>
      <c r="X7344">
        <v>0.98292139999999995</v>
      </c>
      <c r="Y7344">
        <v>-9.7488480000000002E-2</v>
      </c>
      <c r="Z7344">
        <v>3.909587E-3</v>
      </c>
      <c r="AA7344">
        <v>0.99522889999999997</v>
      </c>
      <c r="AB7344">
        <v>17</v>
      </c>
      <c r="AC7344">
        <v>16.528899999999901</v>
      </c>
      <c r="AD7344">
        <v>-1.1115992360866001</v>
      </c>
      <c r="AE7344">
        <v>1.46507999999998</v>
      </c>
      <c r="AF7344">
        <v>-1.62080207620654</v>
      </c>
      <c r="AG7344">
        <v>-1.1115992360866001</v>
      </c>
      <c r="AH7344">
        <v>16.439866961912099</v>
      </c>
      <c r="AI7344">
        <v>93.849620396056196</v>
      </c>
      <c r="AJ7344">
        <v>95.630579630792795</v>
      </c>
      <c r="AK7344">
        <v>16.556928397419401</v>
      </c>
      <c r="AL7344">
        <v>79.618310529093193</v>
      </c>
      <c r="AM7344">
        <v>92.173520646191704</v>
      </c>
      <c r="AN7344">
        <v>0.99999995987655499</v>
      </c>
    </row>
    <row r="7345" spans="1:40" x14ac:dyDescent="0.25">
      <c r="A7345" t="str">
        <f>"20190312172256922"</f>
        <v>20190312172256922</v>
      </c>
      <c r="B7345" t="str">
        <f>"1552382576917365"</f>
        <v>1552382576917365</v>
      </c>
      <c r="C7345" t="s">
        <v>40</v>
      </c>
      <c r="D7345">
        <v>3.4118759999999999</v>
      </c>
      <c r="E7345">
        <v>0.47952450000000002</v>
      </c>
      <c r="F7345" t="s">
        <v>42</v>
      </c>
      <c r="G7345">
        <v>-260.94889999999998</v>
      </c>
      <c r="H7345" s="1">
        <v>-2.0343550000000001E-7</v>
      </c>
      <c r="I7345">
        <v>-63.356769999999997</v>
      </c>
      <c r="J7345">
        <v>-277.45260000000002</v>
      </c>
      <c r="K7345">
        <v>1.1115630000000001</v>
      </c>
      <c r="L7345">
        <v>-64.84357</v>
      </c>
      <c r="M7345">
        <v>0.99993279999999995</v>
      </c>
      <c r="N7345">
        <v>0</v>
      </c>
      <c r="O7345">
        <v>-8.0221730000000005E-3</v>
      </c>
      <c r="P7345">
        <v>0.98475829999999998</v>
      </c>
      <c r="Q7345">
        <v>0.17170279999999999</v>
      </c>
      <c r="R7345">
        <v>2.7743029999999998E-2</v>
      </c>
      <c r="S7345">
        <v>3.0750730000000002</v>
      </c>
      <c r="T7345">
        <v>-0.20603360000000001</v>
      </c>
      <c r="U7345">
        <v>0.27578740000000002</v>
      </c>
      <c r="V7345">
        <v>-3.6357269999999997E-2</v>
      </c>
      <c r="W7345">
        <v>0.17980650000000001</v>
      </c>
      <c r="X7345">
        <v>0.98302990000000001</v>
      </c>
      <c r="Y7345">
        <v>-9.7079979999999996E-2</v>
      </c>
      <c r="Z7345">
        <v>3.7779950000000001E-3</v>
      </c>
      <c r="AA7345">
        <v>0.99526939999999997</v>
      </c>
      <c r="AB7345">
        <v>17</v>
      </c>
      <c r="AC7345">
        <v>16.503699999999998</v>
      </c>
      <c r="AD7345">
        <v>-1.1115632034355001</v>
      </c>
      <c r="AE7345">
        <v>1.4867999999999999</v>
      </c>
      <c r="AF7345">
        <v>-1.6118990712946399</v>
      </c>
      <c r="AG7345">
        <v>-1.1115632034355001</v>
      </c>
      <c r="AH7345">
        <v>16.417365923195099</v>
      </c>
      <c r="AI7345">
        <v>93.854908549631404</v>
      </c>
      <c r="AJ7345">
        <v>95.607474253230805</v>
      </c>
      <c r="AK7345">
        <v>16.533713896985201</v>
      </c>
      <c r="AL7345">
        <v>79.641510882969001</v>
      </c>
      <c r="AM7345">
        <v>92.118113684547794</v>
      </c>
      <c r="AN7345">
        <v>1.00000000640905</v>
      </c>
    </row>
    <row r="7346" spans="1:40" x14ac:dyDescent="0.25">
      <c r="A7346" t="str">
        <f>"20190312172256932"</f>
        <v>20190312172256932</v>
      </c>
      <c r="B7346" t="str">
        <f>"1552382576928101"</f>
        <v>1552382576928101</v>
      </c>
      <c r="C7346" t="s">
        <v>40</v>
      </c>
      <c r="D7346">
        <v>3.4264420000000002</v>
      </c>
      <c r="E7346">
        <v>0.47947139999999999</v>
      </c>
      <c r="F7346" t="s">
        <v>73</v>
      </c>
      <c r="G7346">
        <v>-260.93819999999999</v>
      </c>
      <c r="H7346" s="1">
        <v>-1.9565950000000001E-7</v>
      </c>
      <c r="I7346">
        <v>-63.344850000000001</v>
      </c>
      <c r="J7346">
        <v>-277.36720000000003</v>
      </c>
      <c r="K7346">
        <v>1.1115189999999999</v>
      </c>
      <c r="L7346">
        <v>-64.842219999999998</v>
      </c>
      <c r="M7346">
        <v>0.99994570000000005</v>
      </c>
      <c r="N7346">
        <v>0</v>
      </c>
      <c r="O7346">
        <v>-6.2607039999999997E-3</v>
      </c>
      <c r="P7346">
        <v>0.98474629999999996</v>
      </c>
      <c r="Q7346">
        <v>0.1716694</v>
      </c>
      <c r="R7346">
        <v>2.8360960000000001E-2</v>
      </c>
      <c r="S7346">
        <v>3.0746769999999999</v>
      </c>
      <c r="T7346">
        <v>-0.20695279999999999</v>
      </c>
      <c r="U7346">
        <v>0.2790222</v>
      </c>
      <c r="V7346">
        <v>-3.5226180000000003E-2</v>
      </c>
      <c r="W7346">
        <v>0.179732</v>
      </c>
      <c r="X7346">
        <v>0.98308470000000003</v>
      </c>
      <c r="Y7346">
        <v>-9.6380259999999995E-2</v>
      </c>
      <c r="Z7346">
        <v>3.6534409999999999E-3</v>
      </c>
      <c r="AA7346">
        <v>0.9953379</v>
      </c>
      <c r="AB7346">
        <v>17</v>
      </c>
      <c r="AC7346">
        <v>16.428999999999998</v>
      </c>
      <c r="AD7346">
        <v>-1.1115191956595001</v>
      </c>
      <c r="AE7346">
        <v>1.4973699999999901</v>
      </c>
      <c r="AF7346">
        <v>-1.5929698584460601</v>
      </c>
      <c r="AG7346">
        <v>-1.1115191956595001</v>
      </c>
      <c r="AH7346">
        <v>16.345102617391198</v>
      </c>
      <c r="AI7346">
        <v>93.872017725657301</v>
      </c>
      <c r="AJ7346">
        <v>95.566384028456099</v>
      </c>
      <c r="AK7346">
        <v>16.460115657712901</v>
      </c>
      <c r="AL7346">
        <v>79.645850058073293</v>
      </c>
      <c r="AM7346">
        <v>92.052161224089502</v>
      </c>
      <c r="AN7346">
        <v>1.0000000014777399</v>
      </c>
    </row>
    <row r="7347" spans="1:40" x14ac:dyDescent="0.25">
      <c r="A7347" t="str">
        <f>"20190312172256944"</f>
        <v>20190312172256944</v>
      </c>
      <c r="B7347" t="str">
        <f>"1552382576937861"</f>
        <v>1552382576937861</v>
      </c>
      <c r="C7347" t="s">
        <v>40</v>
      </c>
      <c r="D7347">
        <v>3.5184850000000001</v>
      </c>
      <c r="E7347">
        <v>0.47941590000000001</v>
      </c>
      <c r="F7347" t="s">
        <v>73</v>
      </c>
      <c r="G7347">
        <v>-260.84780000000001</v>
      </c>
      <c r="H7347" s="1">
        <v>-1.5258389999999999E-7</v>
      </c>
      <c r="I7347">
        <v>-63.328670000000002</v>
      </c>
      <c r="J7347">
        <v>-277.2783</v>
      </c>
      <c r="K7347">
        <v>1.1114759999999999</v>
      </c>
      <c r="L7347">
        <v>-64.840729999999994</v>
      </c>
      <c r="M7347">
        <v>0.99995590000000001</v>
      </c>
      <c r="N7347">
        <v>0</v>
      </c>
      <c r="O7347">
        <v>-4.449415E-3</v>
      </c>
      <c r="P7347">
        <v>0.98477820000000005</v>
      </c>
      <c r="Q7347">
        <v>0.17130379999999901</v>
      </c>
      <c r="R7347">
        <v>2.9446940000000001E-2</v>
      </c>
      <c r="S7347">
        <v>3.0744319999999998</v>
      </c>
      <c r="T7347">
        <v>-0.2068651</v>
      </c>
      <c r="U7347">
        <v>0.28167720000000002</v>
      </c>
      <c r="V7347">
        <v>-3.4512519999999998E-2</v>
      </c>
      <c r="W7347">
        <v>0.17932200000000001</v>
      </c>
      <c r="X7347">
        <v>0.98318490000000003</v>
      </c>
      <c r="Y7347">
        <v>-9.5443239999999999E-2</v>
      </c>
      <c r="Z7347">
        <v>3.4991179999999998E-3</v>
      </c>
      <c r="AA7347">
        <v>0.99542870000000006</v>
      </c>
      <c r="AB7347">
        <v>17</v>
      </c>
      <c r="AC7347">
        <v>16.430499999999899</v>
      </c>
      <c r="AD7347">
        <v>-1.1114761525838901</v>
      </c>
      <c r="AE7347">
        <v>1.51206000000001</v>
      </c>
      <c r="AF7347">
        <v>-1.57799317935771</v>
      </c>
      <c r="AG7347">
        <v>-1.1114761525838901</v>
      </c>
      <c r="AH7347">
        <v>16.349420507278399</v>
      </c>
      <c r="AI7347">
        <v>93.871198008128999</v>
      </c>
      <c r="AJ7347">
        <v>95.512927081859701</v>
      </c>
      <c r="AK7347">
        <v>16.4629581981999</v>
      </c>
      <c r="AL7347">
        <v>79.669729492915906</v>
      </c>
      <c r="AM7347">
        <v>92.010415477328905</v>
      </c>
      <c r="AN7347">
        <v>1.00000002065438</v>
      </c>
    </row>
    <row r="7348" spans="1:40" x14ac:dyDescent="0.25">
      <c r="A7348" t="str">
        <f>"20190312172256955"</f>
        <v>20190312172256955</v>
      </c>
      <c r="B7348" t="str">
        <f>"1552382576947621"</f>
        <v>1552382576947621</v>
      </c>
      <c r="C7348" t="s">
        <v>40</v>
      </c>
      <c r="D7348">
        <v>3.3954960000000001</v>
      </c>
      <c r="E7348">
        <v>0.47937960000000002</v>
      </c>
      <c r="F7348" t="s">
        <v>42</v>
      </c>
      <c r="G7348">
        <v>-260.84710000000001</v>
      </c>
      <c r="H7348" s="1">
        <v>-1.4818949999999999E-7</v>
      </c>
      <c r="I7348">
        <v>-63.313339999999997</v>
      </c>
      <c r="J7348">
        <v>-277.19310000000002</v>
      </c>
      <c r="K7348">
        <v>1.1114329999999999</v>
      </c>
      <c r="L7348">
        <v>-64.839200000000005</v>
      </c>
      <c r="M7348">
        <v>0.99996240000000003</v>
      </c>
      <c r="N7348">
        <v>0</v>
      </c>
      <c r="O7348">
        <v>-2.7523360000000002E-3</v>
      </c>
      <c r="P7348">
        <v>0.98481680000000005</v>
      </c>
      <c r="Q7348">
        <v>0.17098269999999999</v>
      </c>
      <c r="R7348">
        <v>3.001535E-2</v>
      </c>
      <c r="S7348">
        <v>3.0739749999999999</v>
      </c>
      <c r="T7348">
        <v>-0.20793719999999999</v>
      </c>
      <c r="U7348">
        <v>0.28573609999999999</v>
      </c>
      <c r="V7348">
        <v>-3.3392850000000002E-2</v>
      </c>
      <c r="W7348">
        <v>0.17895929999999999</v>
      </c>
      <c r="X7348">
        <v>0.98328959999999999</v>
      </c>
      <c r="Y7348">
        <v>-9.5072920000000005E-2</v>
      </c>
      <c r="Z7348">
        <v>3.3906029999999998E-3</v>
      </c>
      <c r="AA7348">
        <v>0.99546460000000003</v>
      </c>
      <c r="AB7348">
        <v>17</v>
      </c>
      <c r="AC7348">
        <v>16.346</v>
      </c>
      <c r="AD7348">
        <v>-1.1114331481894999</v>
      </c>
      <c r="AE7348">
        <v>1.52586</v>
      </c>
      <c r="AF7348">
        <v>-1.5636786590817799</v>
      </c>
      <c r="AG7348">
        <v>-1.1114331481894999</v>
      </c>
      <c r="AH7348">
        <v>16.2671813240134</v>
      </c>
      <c r="AI7348">
        <v>93.890704036111401</v>
      </c>
      <c r="AJ7348">
        <v>95.490672462357495</v>
      </c>
      <c r="AK7348">
        <v>16.379913394767701</v>
      </c>
      <c r="AL7348">
        <v>79.690851895727903</v>
      </c>
      <c r="AM7348">
        <v>91.945036693069895</v>
      </c>
      <c r="AN7348">
        <v>0.99999997547788599</v>
      </c>
    </row>
    <row r="7349" spans="1:40" x14ac:dyDescent="0.25">
      <c r="A7349" t="str">
        <f>"20190312172256967"</f>
        <v>20190312172256967</v>
      </c>
      <c r="B7349" t="str">
        <f>"1552382576958357"</f>
        <v>1552382576958357</v>
      </c>
      <c r="C7349" t="s">
        <v>40</v>
      </c>
      <c r="D7349">
        <v>3.4018820000000001</v>
      </c>
      <c r="E7349">
        <v>0.4793481</v>
      </c>
      <c r="F7349" t="s">
        <v>73</v>
      </c>
      <c r="G7349">
        <v>-260.8279</v>
      </c>
      <c r="H7349" s="1">
        <v>-1.37984299999999E-7</v>
      </c>
      <c r="I7349">
        <v>-63.305950000000003</v>
      </c>
      <c r="J7349">
        <v>-277.10969999999998</v>
      </c>
      <c r="K7349">
        <v>1.111386</v>
      </c>
      <c r="L7349">
        <v>-64.837590000000006</v>
      </c>
      <c r="M7349">
        <v>0.99996600000000002</v>
      </c>
      <c r="N7349">
        <v>0</v>
      </c>
      <c r="O7349">
        <v>-1.1273870000000001E-3</v>
      </c>
      <c r="P7349">
        <v>0.98483339999999997</v>
      </c>
      <c r="Q7349">
        <v>0.17075580000000001</v>
      </c>
      <c r="R7349">
        <v>3.0760869999999999E-2</v>
      </c>
      <c r="S7349">
        <v>3.0737299999999999</v>
      </c>
      <c r="T7349">
        <v>-0.20874980000000001</v>
      </c>
      <c r="U7349">
        <v>0.28796389999999999</v>
      </c>
      <c r="V7349">
        <v>-3.2521410000000001E-2</v>
      </c>
      <c r="W7349">
        <v>0.1786915</v>
      </c>
      <c r="X7349">
        <v>0.98336760000000001</v>
      </c>
      <c r="Y7349">
        <v>-9.4181829999999994E-2</v>
      </c>
      <c r="Z7349">
        <v>3.2638200000000002E-3</v>
      </c>
      <c r="AA7349">
        <v>0.99554969999999998</v>
      </c>
      <c r="AB7349">
        <v>17</v>
      </c>
      <c r="AC7349">
        <v>16.281799999999901</v>
      </c>
      <c r="AD7349">
        <v>-1.1113861379843</v>
      </c>
      <c r="AE7349">
        <v>1.5316399999999999</v>
      </c>
      <c r="AF7349">
        <v>-1.54286981924516</v>
      </c>
      <c r="AG7349">
        <v>-1.1113861379843</v>
      </c>
      <c r="AH7349">
        <v>16.205219403452499</v>
      </c>
      <c r="AI7349">
        <v>93.905708105504701</v>
      </c>
      <c r="AJ7349">
        <v>95.438634724360696</v>
      </c>
      <c r="AK7349">
        <v>16.316395507000799</v>
      </c>
      <c r="AL7349">
        <v>79.706448024361805</v>
      </c>
      <c r="AM7349">
        <v>91.894165169893199</v>
      </c>
      <c r="AN7349">
        <v>1.0000000655051899</v>
      </c>
    </row>
    <row r="7350" spans="1:40" x14ac:dyDescent="0.25">
      <c r="A7350" t="str">
        <f>"20190312172256978"</f>
        <v>20190312172256978</v>
      </c>
      <c r="B7350" t="str">
        <f>"1552382576968118"</f>
        <v>1552382576968118</v>
      </c>
      <c r="C7350" t="s">
        <v>40</v>
      </c>
      <c r="D7350">
        <v>3.501722</v>
      </c>
      <c r="E7350">
        <v>0.47932959999999902</v>
      </c>
      <c r="F7350" t="s">
        <v>42</v>
      </c>
      <c r="G7350">
        <v>-260.78739999999999</v>
      </c>
      <c r="H7350" s="1">
        <v>-1.17349E-7</v>
      </c>
      <c r="I7350">
        <v>-63.293610000000001</v>
      </c>
      <c r="J7350">
        <v>-277.01510000000002</v>
      </c>
      <c r="K7350">
        <v>1.1113309999999901</v>
      </c>
      <c r="L7350">
        <v>-64.835660000000004</v>
      </c>
      <c r="M7350">
        <v>0.99996689999999999</v>
      </c>
      <c r="N7350">
        <v>0</v>
      </c>
      <c r="O7350">
        <v>6.8785690000000002E-4</v>
      </c>
      <c r="P7350">
        <v>0.98488070000000005</v>
      </c>
      <c r="Q7350">
        <v>0.17033909999999999</v>
      </c>
      <c r="R7350">
        <v>3.1545179999999999E-2</v>
      </c>
      <c r="S7350">
        <v>3.0733950000000001</v>
      </c>
      <c r="T7350">
        <v>-0.2092676</v>
      </c>
      <c r="U7350">
        <v>0.29071039999999998</v>
      </c>
      <c r="V7350">
        <v>-3.1498110000000003E-2</v>
      </c>
      <c r="W7350">
        <v>0.17822929999999901</v>
      </c>
      <c r="X7350">
        <v>0.98348469999999999</v>
      </c>
      <c r="Y7350">
        <v>-9.3271720000000002E-2</v>
      </c>
      <c r="Z7350">
        <v>3.118048E-3</v>
      </c>
      <c r="AA7350">
        <v>0.99563579999999996</v>
      </c>
      <c r="AB7350">
        <v>17</v>
      </c>
      <c r="AC7350">
        <v>16.227699999999999</v>
      </c>
      <c r="AD7350">
        <v>-1.1113311173489999</v>
      </c>
      <c r="AE7350">
        <v>1.5420499999999999</v>
      </c>
      <c r="AF7350">
        <v>-1.52380424424163</v>
      </c>
      <c r="AG7350">
        <v>-1.1113311173489999</v>
      </c>
      <c r="AH7350">
        <v>16.153674134571499</v>
      </c>
      <c r="AI7350">
        <v>93.918260371907095</v>
      </c>
      <c r="AJ7350">
        <v>95.388864297635493</v>
      </c>
      <c r="AK7350">
        <v>16.263401374653501</v>
      </c>
      <c r="AL7350">
        <v>79.733361344202194</v>
      </c>
      <c r="AM7350">
        <v>91.834387556943298</v>
      </c>
      <c r="AN7350">
        <v>0.99999998472307505</v>
      </c>
    </row>
    <row r="7351" spans="1:40" x14ac:dyDescent="0.25">
      <c r="A7351" t="str">
        <f>"20190312172256990"</f>
        <v>20190312172256990</v>
      </c>
      <c r="B7351" t="str">
        <f>"1552382576977877"</f>
        <v>1552382576977877</v>
      </c>
      <c r="C7351" t="s">
        <v>40</v>
      </c>
      <c r="D7351">
        <v>3.500505</v>
      </c>
      <c r="E7351">
        <v>0.47931020000000002</v>
      </c>
      <c r="F7351" t="s">
        <v>42</v>
      </c>
      <c r="G7351">
        <v>-260.77429999999998</v>
      </c>
      <c r="H7351" s="1">
        <v>-1.093937E-7</v>
      </c>
      <c r="I7351">
        <v>-63.284860000000002</v>
      </c>
      <c r="J7351">
        <v>-276.9273</v>
      </c>
      <c r="K7351">
        <v>1.1112850000000001</v>
      </c>
      <c r="L7351">
        <v>-64.833740000000006</v>
      </c>
      <c r="M7351">
        <v>0.99996470000000004</v>
      </c>
      <c r="N7351">
        <v>0</v>
      </c>
      <c r="O7351">
        <v>2.3061010000000001E-3</v>
      </c>
      <c r="P7351">
        <v>0.98494950000000003</v>
      </c>
      <c r="Q7351">
        <v>0.169845</v>
      </c>
      <c r="R7351">
        <v>3.2051450000000002E-2</v>
      </c>
      <c r="S7351">
        <v>3.073029</v>
      </c>
      <c r="T7351">
        <v>-0.21028289999999999</v>
      </c>
      <c r="U7351">
        <v>0.29342649999999998</v>
      </c>
      <c r="V7351">
        <v>-3.0390569999999999E-2</v>
      </c>
      <c r="W7351">
        <v>0.17769670000000001</v>
      </c>
      <c r="X7351">
        <v>0.98361589999999999</v>
      </c>
      <c r="Y7351">
        <v>-9.254706E-2</v>
      </c>
      <c r="Z7351">
        <v>2.9983179999999998E-3</v>
      </c>
      <c r="AA7351">
        <v>0.99570380000000003</v>
      </c>
      <c r="AB7351">
        <v>17</v>
      </c>
      <c r="AC7351">
        <v>16.152999999999999</v>
      </c>
      <c r="AD7351">
        <v>-1.1112851093937</v>
      </c>
      <c r="AE7351">
        <v>1.54888000000001</v>
      </c>
      <c r="AF7351">
        <v>-1.50456784335539</v>
      </c>
      <c r="AG7351">
        <v>-1.1112851093937</v>
      </c>
      <c r="AH7351">
        <v>16.081109176137399</v>
      </c>
      <c r="AI7351">
        <v>93.936004928055198</v>
      </c>
      <c r="AJ7351">
        <v>95.345101557856097</v>
      </c>
      <c r="AK7351">
        <v>16.189525975904001</v>
      </c>
      <c r="AL7351">
        <v>79.764371957812102</v>
      </c>
      <c r="AM7351">
        <v>91.769692460574305</v>
      </c>
      <c r="AN7351">
        <v>0.99999997133431195</v>
      </c>
    </row>
    <row r="7352" spans="1:40" x14ac:dyDescent="0.25">
      <c r="A7352" t="str">
        <f>"20190312172257001"</f>
        <v>20190312172257001</v>
      </c>
      <c r="B7352" t="str">
        <f>"1552382576997397"</f>
        <v>1552382576997397</v>
      </c>
      <c r="C7352" t="s">
        <v>40</v>
      </c>
      <c r="D7352">
        <v>3.3886690000000002</v>
      </c>
      <c r="E7352">
        <v>0.47925299999999998</v>
      </c>
      <c r="F7352" t="s">
        <v>73</v>
      </c>
      <c r="G7352">
        <v>-260.7867</v>
      </c>
      <c r="H7352" s="1">
        <v>-1.139341E-7</v>
      </c>
      <c r="I7352">
        <v>-63.281910000000003</v>
      </c>
      <c r="J7352">
        <v>-276.84460000000001</v>
      </c>
      <c r="K7352">
        <v>1.1112379999999999</v>
      </c>
      <c r="L7352">
        <v>-64.831879999999998</v>
      </c>
      <c r="M7352">
        <v>0.99996039999999997</v>
      </c>
      <c r="N7352">
        <v>0</v>
      </c>
      <c r="O7352">
        <v>3.819088E-3</v>
      </c>
      <c r="P7352">
        <v>0.98502619999999996</v>
      </c>
      <c r="Q7352">
        <v>0.16932420000000001</v>
      </c>
      <c r="R7352">
        <v>3.2446160000000002E-2</v>
      </c>
      <c r="S7352">
        <v>3.0726930000000001</v>
      </c>
      <c r="T7352">
        <v>-0.2115561</v>
      </c>
      <c r="U7352">
        <v>0.29541020000000001</v>
      </c>
      <c r="V7352">
        <v>-2.927631E-2</v>
      </c>
      <c r="W7352">
        <v>0.17714059999999901</v>
      </c>
      <c r="X7352">
        <v>0.98375000000000001</v>
      </c>
      <c r="Y7352">
        <v>-9.1690750000000001E-2</v>
      </c>
      <c r="Z7352">
        <v>2.8834849999999999E-3</v>
      </c>
      <c r="AA7352">
        <v>0.99578330000000004</v>
      </c>
      <c r="AB7352">
        <v>18</v>
      </c>
      <c r="AC7352">
        <v>16.0579</v>
      </c>
      <c r="AD7352">
        <v>-1.1112381139341001</v>
      </c>
      <c r="AE7352">
        <v>1.5499700000000001</v>
      </c>
      <c r="AF7352">
        <v>-1.4816004239315701</v>
      </c>
      <c r="AG7352">
        <v>-1.1112381139341001</v>
      </c>
      <c r="AH7352">
        <v>15.9878449380034</v>
      </c>
      <c r="AI7352">
        <v>93.959050228787007</v>
      </c>
      <c r="AJ7352">
        <v>95.294502871948794</v>
      </c>
      <c r="AK7352">
        <v>16.094756156080699</v>
      </c>
      <c r="AL7352">
        <v>79.796747843123995</v>
      </c>
      <c r="AM7352">
        <v>91.704614043604806</v>
      </c>
      <c r="AN7352">
        <v>0.99999997849778699</v>
      </c>
    </row>
    <row r="7353" spans="1:40" x14ac:dyDescent="0.25">
      <c r="A7353" t="str">
        <f>"20190312172257012"</f>
        <v>20190312172257012</v>
      </c>
      <c r="B7353" t="str">
        <f>"1552382577008134"</f>
        <v>1552382577008134</v>
      </c>
      <c r="C7353" t="s">
        <v>40</v>
      </c>
      <c r="D7353">
        <v>3.3939979999999998</v>
      </c>
      <c r="E7353">
        <v>0.47922920000000002</v>
      </c>
      <c r="F7353" t="s">
        <v>42</v>
      </c>
      <c r="G7353">
        <v>-260.79910000000001</v>
      </c>
      <c r="H7353" s="1">
        <v>-1.18633E-7</v>
      </c>
      <c r="I7353">
        <v>-63.27966</v>
      </c>
      <c r="J7353">
        <v>-276.75560000000002</v>
      </c>
      <c r="K7353">
        <v>1.111189</v>
      </c>
      <c r="L7353">
        <v>-64.829709999999906</v>
      </c>
      <c r="M7353">
        <v>0.99995369999999995</v>
      </c>
      <c r="N7353">
        <v>0</v>
      </c>
      <c r="O7353">
        <v>5.3676940000000001E-3</v>
      </c>
      <c r="P7353">
        <v>0.98508340000000005</v>
      </c>
      <c r="Q7353">
        <v>0.16889960000000001</v>
      </c>
      <c r="R7353">
        <v>3.2924090000000003E-2</v>
      </c>
      <c r="S7353">
        <v>3.0724179999999999</v>
      </c>
      <c r="T7353">
        <v>-0.2127819</v>
      </c>
      <c r="U7353">
        <v>0.29721069999999999</v>
      </c>
      <c r="V7353">
        <v>-2.8208670000000002E-2</v>
      </c>
      <c r="W7353">
        <v>0.17668120000000001</v>
      </c>
      <c r="X7353">
        <v>0.98386379999999996</v>
      </c>
      <c r="Y7353">
        <v>-9.0738780000000005E-2</v>
      </c>
      <c r="Z7353">
        <v>2.7606179999999998E-3</v>
      </c>
      <c r="AA7353">
        <v>0.9958709</v>
      </c>
      <c r="AB7353">
        <v>18</v>
      </c>
      <c r="AC7353">
        <v>15.9565</v>
      </c>
      <c r="AD7353">
        <v>-1.1111891186329901</v>
      </c>
      <c r="AE7353">
        <v>1.5500499999999899</v>
      </c>
      <c r="AF7353">
        <v>-1.45737380306236</v>
      </c>
      <c r="AG7353">
        <v>-1.1111891186329901</v>
      </c>
      <c r="AH7353">
        <v>15.888260095991001</v>
      </c>
      <c r="AI7353">
        <v>93.983952819992297</v>
      </c>
      <c r="AJ7353">
        <v>95.240873223992494</v>
      </c>
      <c r="AK7353">
        <v>15.993607739877801</v>
      </c>
      <c r="AL7353">
        <v>79.823491330535802</v>
      </c>
      <c r="AM7353">
        <v>91.642295490436595</v>
      </c>
      <c r="AN7353">
        <v>0.99999997622352399</v>
      </c>
    </row>
    <row r="7354" spans="1:40" x14ac:dyDescent="0.25">
      <c r="A7354" t="str">
        <f>"20190312172257022"</f>
        <v>20190312172257022</v>
      </c>
      <c r="B7354" t="str">
        <f>"1552382577017893"</f>
        <v>1552382577017893</v>
      </c>
      <c r="C7354" t="s">
        <v>40</v>
      </c>
      <c r="D7354">
        <v>3.3773049999999998</v>
      </c>
      <c r="E7354">
        <v>0.479215</v>
      </c>
      <c r="F7354" t="s">
        <v>42</v>
      </c>
      <c r="G7354">
        <v>-260.80070000000001</v>
      </c>
      <c r="H7354" s="1">
        <v>-1.187943E-7</v>
      </c>
      <c r="I7354">
        <v>-63.277709999999999</v>
      </c>
      <c r="J7354">
        <v>-276.67079999999999</v>
      </c>
      <c r="K7354">
        <v>1.111143</v>
      </c>
      <c r="L7354">
        <v>-64.827609999999893</v>
      </c>
      <c r="M7354">
        <v>0.99994510000000003</v>
      </c>
      <c r="N7354">
        <v>0</v>
      </c>
      <c r="O7354">
        <v>6.8280939999999998E-3</v>
      </c>
      <c r="P7354">
        <v>0.98510779999999998</v>
      </c>
      <c r="Q7354">
        <v>0.1687101</v>
      </c>
      <c r="R7354">
        <v>3.3160950000000002E-2</v>
      </c>
      <c r="S7354">
        <v>3.0721440000000002</v>
      </c>
      <c r="T7354">
        <v>-0.2139605</v>
      </c>
      <c r="U7354">
        <v>0.29882809999999999</v>
      </c>
      <c r="V7354">
        <v>-2.6989030000000001E-2</v>
      </c>
      <c r="W7354">
        <v>0.17645959999999999</v>
      </c>
      <c r="X7354">
        <v>0.98393779999999997</v>
      </c>
      <c r="Y7354">
        <v>-8.9815720000000002E-2</v>
      </c>
      <c r="Z7354">
        <v>2.6426840000000002E-3</v>
      </c>
      <c r="AA7354">
        <v>0.99595489999999998</v>
      </c>
      <c r="AB7354">
        <v>18</v>
      </c>
      <c r="AC7354">
        <v>15.8700999999999</v>
      </c>
      <c r="AD7354">
        <v>-1.1111431187942999</v>
      </c>
      <c r="AE7354">
        <v>1.5498999999999901</v>
      </c>
      <c r="AF7354">
        <v>-1.4345321513592499</v>
      </c>
      <c r="AG7354">
        <v>-1.1111431187942999</v>
      </c>
      <c r="AH7354">
        <v>15.803574693518801</v>
      </c>
      <c r="AI7354">
        <v>94.005411355760103</v>
      </c>
      <c r="AJ7354">
        <v>95.186674671806301</v>
      </c>
      <c r="AK7354">
        <v>15.9074037673454</v>
      </c>
      <c r="AL7354">
        <v>79.836390956539205</v>
      </c>
      <c r="AM7354">
        <v>91.571206908782699</v>
      </c>
      <c r="AN7354">
        <v>0.99999999622067004</v>
      </c>
    </row>
    <row r="7355" spans="1:40" x14ac:dyDescent="0.25">
      <c r="A7355" t="str">
        <f>"20190312172257034"</f>
        <v>20190312172257034</v>
      </c>
      <c r="B7355" t="str">
        <f>"1552382577027653"</f>
        <v>1552382577027653</v>
      </c>
      <c r="C7355" t="s">
        <v>40</v>
      </c>
      <c r="D7355">
        <v>3.4266160000000001</v>
      </c>
      <c r="E7355">
        <v>0.47920869999999999</v>
      </c>
      <c r="F7355" t="s">
        <v>42</v>
      </c>
      <c r="G7355">
        <v>-260.74619999999999</v>
      </c>
      <c r="H7355" s="1">
        <v>-9.4294020000000004E-8</v>
      </c>
      <c r="I7355">
        <v>-63.273409999999998</v>
      </c>
      <c r="J7355">
        <v>-276.58030000000002</v>
      </c>
      <c r="K7355">
        <v>1.111097</v>
      </c>
      <c r="L7355">
        <v>-64.82526</v>
      </c>
      <c r="M7355">
        <v>0.99993399999999999</v>
      </c>
      <c r="N7355">
        <v>0</v>
      </c>
      <c r="O7355">
        <v>8.3272320000000004E-3</v>
      </c>
      <c r="P7355">
        <v>0.9851567</v>
      </c>
      <c r="Q7355">
        <v>0.1683385</v>
      </c>
      <c r="R7355">
        <v>3.3589819999999999E-2</v>
      </c>
      <c r="S7355">
        <v>3.0719599999999998</v>
      </c>
      <c r="T7355">
        <v>-0.2143476</v>
      </c>
      <c r="U7355">
        <v>0.29980469999999998</v>
      </c>
      <c r="V7355">
        <v>-2.5921659999999999E-2</v>
      </c>
      <c r="W7355">
        <v>0.17605599999999999</v>
      </c>
      <c r="X7355">
        <v>0.98403879999999999</v>
      </c>
      <c r="Y7355">
        <v>-8.8647589999999998E-2</v>
      </c>
      <c r="Z7355">
        <v>2.5027510000000001E-3</v>
      </c>
      <c r="AA7355">
        <v>0.9960599</v>
      </c>
      <c r="AB7355">
        <v>18</v>
      </c>
      <c r="AC7355">
        <v>15.834099999999999</v>
      </c>
      <c r="AD7355">
        <v>-1.1110970942940199</v>
      </c>
      <c r="AE7355">
        <v>1.55185</v>
      </c>
      <c r="AF7355">
        <v>-1.4130462055102699</v>
      </c>
      <c r="AG7355">
        <v>-1.1110970942940199</v>
      </c>
      <c r="AH7355">
        <v>15.7695635462876</v>
      </c>
      <c r="AI7355">
        <v>94.014273738033694</v>
      </c>
      <c r="AJ7355">
        <v>95.120365912786895</v>
      </c>
      <c r="AK7355">
        <v>15.8716845600037</v>
      </c>
      <c r="AL7355">
        <v>79.859883406225194</v>
      </c>
      <c r="AM7355">
        <v>91.508942867274399</v>
      </c>
      <c r="AN7355">
        <v>1.00000000374929</v>
      </c>
    </row>
    <row r="7356" spans="1:40" x14ac:dyDescent="0.25">
      <c r="A7356" t="str">
        <f>"20190312172257045"</f>
        <v>20190312172257045</v>
      </c>
      <c r="B7356" t="str">
        <f>"1552382577037413"</f>
        <v>1552382577037413</v>
      </c>
      <c r="C7356" t="s">
        <v>40</v>
      </c>
      <c r="D7356">
        <v>3.3917559999999898</v>
      </c>
      <c r="E7356">
        <v>0.4792033</v>
      </c>
      <c r="F7356" t="s">
        <v>42</v>
      </c>
      <c r="G7356">
        <v>-260.7296</v>
      </c>
      <c r="H7356" s="1">
        <v>-8.64308699999999E-8</v>
      </c>
      <c r="I7356">
        <v>-63.270580000000002</v>
      </c>
      <c r="J7356">
        <v>-276.4932</v>
      </c>
      <c r="K7356">
        <v>1.111054</v>
      </c>
      <c r="L7356">
        <v>-64.822940000000003</v>
      </c>
      <c r="M7356">
        <v>0.99992150000000002</v>
      </c>
      <c r="N7356">
        <v>0</v>
      </c>
      <c r="O7356">
        <v>9.7403139999999999E-3</v>
      </c>
      <c r="P7356">
        <v>0.98518850000000002</v>
      </c>
      <c r="Q7356">
        <v>0.1681666</v>
      </c>
      <c r="R7356">
        <v>3.3524989999999998E-2</v>
      </c>
      <c r="S7356">
        <v>3.0717159999999999</v>
      </c>
      <c r="T7356">
        <v>-0.2153205</v>
      </c>
      <c r="U7356">
        <v>0.30126950000000002</v>
      </c>
      <c r="V7356">
        <v>-2.4448210000000001E-2</v>
      </c>
      <c r="W7356">
        <v>0.1758556</v>
      </c>
      <c r="X7356">
        <v>0.98411230000000005</v>
      </c>
      <c r="Y7356">
        <v>-8.7721999999999994E-2</v>
      </c>
      <c r="Z7356">
        <v>2.3832240000000002E-3</v>
      </c>
      <c r="AA7356">
        <v>0.99614210000000003</v>
      </c>
      <c r="AB7356">
        <v>18</v>
      </c>
      <c r="AC7356">
        <v>15.763599999999901</v>
      </c>
      <c r="AD7356">
        <v>-1.11105408643087</v>
      </c>
      <c r="AE7356">
        <v>1.55236</v>
      </c>
      <c r="AF7356">
        <v>-1.39189101936166</v>
      </c>
      <c r="AG7356">
        <v>-1.11105408643087</v>
      </c>
      <c r="AH7356">
        <v>15.700724990842501</v>
      </c>
      <c r="AI7356">
        <v>94.031999717855498</v>
      </c>
      <c r="AJ7356">
        <v>95.066106296277894</v>
      </c>
      <c r="AK7356">
        <v>15.8014102861365</v>
      </c>
      <c r="AL7356">
        <v>79.871547045321904</v>
      </c>
      <c r="AM7356">
        <v>91.423100984849</v>
      </c>
      <c r="AN7356">
        <v>0.999999963017426</v>
      </c>
    </row>
    <row r="7357" spans="1:40" x14ac:dyDescent="0.25">
      <c r="A7357" t="str">
        <f>"20190312172257055"</f>
        <v>20190312172257055</v>
      </c>
      <c r="B7357" t="str">
        <f>"1552382577048149"</f>
        <v>1552382577048149</v>
      </c>
      <c r="C7357" t="s">
        <v>40</v>
      </c>
      <c r="D7357">
        <v>3.4063880000000002</v>
      </c>
      <c r="E7357">
        <v>0.47920289999999999</v>
      </c>
      <c r="F7357" t="s">
        <v>73</v>
      </c>
      <c r="G7357">
        <v>-260.6748</v>
      </c>
      <c r="H7357" s="1">
        <v>-6.3366199999999997E-8</v>
      </c>
      <c r="I7357">
        <v>-63.272370000000002</v>
      </c>
      <c r="J7357">
        <v>-276.40679999999998</v>
      </c>
      <c r="K7357">
        <v>1.1110120000000001</v>
      </c>
      <c r="L7357">
        <v>-64.82056</v>
      </c>
      <c r="M7357">
        <v>0.99990769999999995</v>
      </c>
      <c r="N7357">
        <v>0</v>
      </c>
      <c r="O7357">
        <v>1.1104950000000001E-2</v>
      </c>
      <c r="P7357">
        <v>0.98524619999999996</v>
      </c>
      <c r="Q7357">
        <v>0.16779929999999901</v>
      </c>
      <c r="R7357">
        <v>3.3666710000000002E-2</v>
      </c>
      <c r="S7357">
        <v>3.0717159999999999</v>
      </c>
      <c r="T7357">
        <v>-0.2157511</v>
      </c>
      <c r="U7357">
        <v>0.30108639999999998</v>
      </c>
      <c r="V7357">
        <v>-2.3228840000000001E-2</v>
      </c>
      <c r="W7357">
        <v>0.1754608</v>
      </c>
      <c r="X7357">
        <v>0.98421230000000004</v>
      </c>
      <c r="Y7357">
        <v>-8.6309659999999996E-2</v>
      </c>
      <c r="Z7357">
        <v>2.2430879999999999E-3</v>
      </c>
      <c r="AA7357">
        <v>0.99626579999999998</v>
      </c>
      <c r="AB7357">
        <v>18</v>
      </c>
      <c r="AC7357">
        <v>15.7319999999999</v>
      </c>
      <c r="AD7357">
        <v>-1.1110120633662</v>
      </c>
      <c r="AE7357">
        <v>1.54819</v>
      </c>
      <c r="AF7357">
        <v>-1.3666355926106899</v>
      </c>
      <c r="AG7357">
        <v>-1.1110120633662</v>
      </c>
      <c r="AH7357">
        <v>15.670816804487901</v>
      </c>
      <c r="AI7357">
        <v>94.040023923854804</v>
      </c>
      <c r="AJ7357">
        <v>94.9840953598423</v>
      </c>
      <c r="AK7357">
        <v>15.769481284042101</v>
      </c>
      <c r="AL7357">
        <v>79.894524678170995</v>
      </c>
      <c r="AM7357">
        <v>91.352012628181697</v>
      </c>
      <c r="AN7357">
        <v>0.99999996140783698</v>
      </c>
    </row>
    <row r="7358" spans="1:40" x14ac:dyDescent="0.25">
      <c r="A7358" t="str">
        <f>"20190312172257066"</f>
        <v>20190312172257066</v>
      </c>
      <c r="B7358" t="str">
        <f>"1552382577057909"</f>
        <v>1552382577057909</v>
      </c>
      <c r="C7358" t="s">
        <v>40</v>
      </c>
      <c r="D7358">
        <v>3.377618</v>
      </c>
      <c r="E7358">
        <v>0.47919450000000002</v>
      </c>
      <c r="F7358" t="s">
        <v>73</v>
      </c>
      <c r="G7358">
        <v>-260.6635</v>
      </c>
      <c r="H7358" s="1">
        <v>-5.914808E-8</v>
      </c>
      <c r="I7358">
        <v>-63.274740000000001</v>
      </c>
      <c r="J7358">
        <v>-276.31950000000001</v>
      </c>
      <c r="K7358">
        <v>1.110975</v>
      </c>
      <c r="L7358">
        <v>-64.818049999999999</v>
      </c>
      <c r="M7358">
        <v>0.99989209999999995</v>
      </c>
      <c r="N7358">
        <v>0</v>
      </c>
      <c r="O7358">
        <v>1.244409E-2</v>
      </c>
      <c r="P7358">
        <v>0.98525189999999996</v>
      </c>
      <c r="Q7358">
        <v>0.16778309999999999</v>
      </c>
      <c r="R7358">
        <v>3.3583389999999998E-2</v>
      </c>
      <c r="S7358">
        <v>3.0715029999999999</v>
      </c>
      <c r="T7358">
        <v>-0.21675730000000001</v>
      </c>
      <c r="U7358">
        <v>0.30157469999999997</v>
      </c>
      <c r="V7358">
        <v>-2.181261E-2</v>
      </c>
      <c r="W7358">
        <v>0.17541709999999999</v>
      </c>
      <c r="X7358">
        <v>0.98425249999999997</v>
      </c>
      <c r="Y7358">
        <v>-8.5143380000000005E-2</v>
      </c>
      <c r="Z7358">
        <v>2.1185269999999998E-3</v>
      </c>
      <c r="AA7358">
        <v>0.99636639999999999</v>
      </c>
      <c r="AB7358">
        <v>18</v>
      </c>
      <c r="AC7358">
        <v>15.656000000000001</v>
      </c>
      <c r="AD7358">
        <v>-1.11097505914808</v>
      </c>
      <c r="AE7358">
        <v>1.54330999999999</v>
      </c>
      <c r="AF7358">
        <v>-1.34166886088864</v>
      </c>
      <c r="AG7358">
        <v>-1.11097505914808</v>
      </c>
      <c r="AH7358">
        <v>15.596213624184401</v>
      </c>
      <c r="AI7358">
        <v>94.059561547672104</v>
      </c>
      <c r="AJ7358">
        <v>94.916781478442502</v>
      </c>
      <c r="AK7358">
        <v>15.6931902532762</v>
      </c>
      <c r="AL7358">
        <v>79.897067999545897</v>
      </c>
      <c r="AM7358">
        <v>91.269558320450102</v>
      </c>
      <c r="AN7358">
        <v>0.99999996634183497</v>
      </c>
    </row>
    <row r="7359" spans="1:40" x14ac:dyDescent="0.25">
      <c r="A7359" t="str">
        <f>"20190312172257077"</f>
        <v>20190312172257077</v>
      </c>
      <c r="B7359" t="str">
        <f>"1552382577067670"</f>
        <v>1552382577067670</v>
      </c>
      <c r="C7359" t="s">
        <v>40</v>
      </c>
      <c r="D7359">
        <v>3.3887100000000001</v>
      </c>
      <c r="E7359">
        <v>0.4791974</v>
      </c>
      <c r="F7359" t="s">
        <v>42</v>
      </c>
      <c r="G7359">
        <v>-260.5659</v>
      </c>
      <c r="H7359" s="1">
        <v>-1.6371129999999901E-8</v>
      </c>
      <c r="I7359">
        <v>-63.271389999999997</v>
      </c>
      <c r="J7359">
        <v>-276.23050000000001</v>
      </c>
      <c r="K7359">
        <v>1.1109389999999999</v>
      </c>
      <c r="L7359">
        <v>-64.815399999999997</v>
      </c>
      <c r="M7359">
        <v>0.99987470000000001</v>
      </c>
      <c r="N7359">
        <v>0</v>
      </c>
      <c r="O7359">
        <v>1.3786990000000001E-2</v>
      </c>
      <c r="P7359">
        <v>0.98524400000000001</v>
      </c>
      <c r="Q7359">
        <v>0.16780909999999999</v>
      </c>
      <c r="R7359">
        <v>3.3680990000000001E-2</v>
      </c>
      <c r="S7359">
        <v>3.0715029999999999</v>
      </c>
      <c r="T7359">
        <v>-0.21660789999999999</v>
      </c>
      <c r="U7359">
        <v>0.30154419999999998</v>
      </c>
      <c r="V7359">
        <v>-2.0574510000000001E-2</v>
      </c>
      <c r="W7359">
        <v>0.17541479999999901</v>
      </c>
      <c r="X7359">
        <v>0.98427960000000003</v>
      </c>
      <c r="Y7359">
        <v>-8.3802180000000004E-2</v>
      </c>
      <c r="Z7359">
        <v>1.9756230000000001E-3</v>
      </c>
      <c r="AA7359">
        <v>0.99648049999999999</v>
      </c>
      <c r="AB7359">
        <v>18</v>
      </c>
      <c r="AC7359">
        <v>15.6646</v>
      </c>
      <c r="AD7359">
        <v>-1.1109390163711299</v>
      </c>
      <c r="AE7359">
        <v>1.5440099999999899</v>
      </c>
      <c r="AF7359">
        <v>-1.32130719383034</v>
      </c>
      <c r="AG7359">
        <v>-1.1109390163711299</v>
      </c>
      <c r="AH7359">
        <v>15.6066574946332</v>
      </c>
      <c r="AI7359">
        <v>94.0571895014087</v>
      </c>
      <c r="AJ7359">
        <v>94.839294936503293</v>
      </c>
      <c r="AK7359">
        <v>15.701840540311</v>
      </c>
      <c r="AL7359">
        <v>79.897202165772498</v>
      </c>
      <c r="AM7359">
        <v>91.197485897726295</v>
      </c>
      <c r="AN7359">
        <v>0.99999999674846995</v>
      </c>
    </row>
    <row r="7360" spans="1:40" x14ac:dyDescent="0.25">
      <c r="A7360" t="str">
        <f>"20190312172257089"</f>
        <v>20190312172257089</v>
      </c>
      <c r="B7360" t="str">
        <f>"1552382577077429"</f>
        <v>1552382577077429</v>
      </c>
      <c r="C7360" t="s">
        <v>40</v>
      </c>
      <c r="D7360">
        <v>3.3757519999999999</v>
      </c>
      <c r="E7360">
        <v>0.47918699999999997</v>
      </c>
      <c r="F7360" t="s">
        <v>42</v>
      </c>
      <c r="G7360">
        <v>-260.46370000000002</v>
      </c>
      <c r="H7360" s="1">
        <v>2.8894190000000002E-8</v>
      </c>
      <c r="I7360">
        <v>-63.2658699999999</v>
      </c>
      <c r="J7360">
        <v>-276.14269999999999</v>
      </c>
      <c r="K7360">
        <v>1.1109089999999999</v>
      </c>
      <c r="L7360">
        <v>-64.812709999999996</v>
      </c>
      <c r="M7360">
        <v>0.99985650000000004</v>
      </c>
      <c r="N7360">
        <v>0</v>
      </c>
      <c r="O7360">
        <v>1.506508E-2</v>
      </c>
      <c r="P7360">
        <v>0.98532509999999995</v>
      </c>
      <c r="Q7360">
        <v>0.16734640000000001</v>
      </c>
      <c r="R7360">
        <v>3.3612789999999997E-2</v>
      </c>
      <c r="S7360">
        <v>3.071472</v>
      </c>
      <c r="T7360">
        <v>-0.216419</v>
      </c>
      <c r="U7360">
        <v>0.30184939999999999</v>
      </c>
      <c r="V7360">
        <v>-1.923387E-2</v>
      </c>
      <c r="W7360">
        <v>0.174927</v>
      </c>
      <c r="X7360">
        <v>0.98439350000000003</v>
      </c>
      <c r="Y7360">
        <v>-8.2633730000000002E-2</v>
      </c>
      <c r="Z7360">
        <v>1.843208E-3</v>
      </c>
      <c r="AA7360">
        <v>0.99657830000000003</v>
      </c>
      <c r="AB7360">
        <v>18</v>
      </c>
      <c r="AC7360">
        <v>15.678999999999901</v>
      </c>
      <c r="AD7360">
        <v>-1.11090897110581</v>
      </c>
      <c r="AE7360">
        <v>1.54684</v>
      </c>
      <c r="AF7360">
        <v>-1.30396889629753</v>
      </c>
      <c r="AG7360">
        <v>-1.11090897110581</v>
      </c>
      <c r="AH7360">
        <v>15.622850851298899</v>
      </c>
      <c r="AI7360">
        <v>94.053292746606303</v>
      </c>
      <c r="AJ7360">
        <v>94.7711613879015</v>
      </c>
      <c r="AK7360">
        <v>15.7164856868997</v>
      </c>
      <c r="AL7360">
        <v>79.925589807734397</v>
      </c>
      <c r="AM7360">
        <v>91.1193484814671</v>
      </c>
      <c r="AN7360">
        <v>0.99999997996321299</v>
      </c>
    </row>
    <row r="7361" spans="1:40" x14ac:dyDescent="0.25">
      <c r="A7361" t="str">
        <f>"20190312172257100"</f>
        <v>20190312172257100</v>
      </c>
      <c r="B7361" t="str">
        <f>"1552382577097927"</f>
        <v>1552382577097927</v>
      </c>
      <c r="C7361" t="s">
        <v>40</v>
      </c>
      <c r="D7361">
        <v>3.4040119999999998</v>
      </c>
      <c r="E7361">
        <v>0.47917929999999997</v>
      </c>
      <c r="F7361" t="s">
        <v>73</v>
      </c>
      <c r="G7361">
        <v>-260.46730000000002</v>
      </c>
      <c r="H7361" s="1">
        <v>2.5432880000000002E-8</v>
      </c>
      <c r="I7361">
        <v>-63.273180000000004</v>
      </c>
      <c r="J7361">
        <v>-276.05259999999998</v>
      </c>
      <c r="K7361">
        <v>1.1108819999999999</v>
      </c>
      <c r="L7361">
        <v>-64.809910000000002</v>
      </c>
      <c r="M7361">
        <v>0.99983639999999996</v>
      </c>
      <c r="N7361">
        <v>0</v>
      </c>
      <c r="O7361">
        <v>1.6365580000000001E-2</v>
      </c>
      <c r="P7361">
        <v>0.98534630000000001</v>
      </c>
      <c r="Q7361">
        <v>0.16723499999999999</v>
      </c>
      <c r="R7361">
        <v>3.3548429999999997E-2</v>
      </c>
      <c r="S7361">
        <v>3.0713499999999998</v>
      </c>
      <c r="T7361">
        <v>-0.21766550000000001</v>
      </c>
      <c r="U7361">
        <v>0.30163570000000001</v>
      </c>
      <c r="V7361">
        <v>-1.787681E-2</v>
      </c>
      <c r="W7361">
        <v>0.17478949999999999</v>
      </c>
      <c r="X7361">
        <v>0.98444350000000003</v>
      </c>
      <c r="Y7361">
        <v>-8.1277299999999997E-2</v>
      </c>
      <c r="Z7361">
        <v>1.7141979999999999E-3</v>
      </c>
      <c r="AA7361">
        <v>0.99668999999999996</v>
      </c>
      <c r="AB7361">
        <v>18</v>
      </c>
      <c r="AC7361">
        <v>15.585299999999901</v>
      </c>
      <c r="AD7361">
        <v>-1.1108819745671199</v>
      </c>
      <c r="AE7361">
        <v>1.5367299999999899</v>
      </c>
      <c r="AF7361">
        <v>-1.2750386913454701</v>
      </c>
      <c r="AG7361">
        <v>-1.1108819745671199</v>
      </c>
      <c r="AH7361">
        <v>15.5302214269557</v>
      </c>
      <c r="AI7361">
        <v>94.077744485521393</v>
      </c>
      <c r="AJ7361">
        <v>94.693484640075098</v>
      </c>
      <c r="AK7361">
        <v>15.622021636015001</v>
      </c>
      <c r="AL7361">
        <v>79.933591222458404</v>
      </c>
      <c r="AM7361">
        <v>91.040337204735593</v>
      </c>
      <c r="AN7361">
        <v>0.99999997716913702</v>
      </c>
    </row>
    <row r="7362" spans="1:40" x14ac:dyDescent="0.25">
      <c r="A7362" t="str">
        <f>"20190312172257111"</f>
        <v>20190312172257111</v>
      </c>
      <c r="B7362" t="str">
        <f>"1552382577107690"</f>
        <v>1552382577107690</v>
      </c>
      <c r="C7362" t="s">
        <v>40</v>
      </c>
      <c r="D7362">
        <v>3.39845</v>
      </c>
      <c r="E7362">
        <v>0.4791667</v>
      </c>
      <c r="F7362" t="s">
        <v>73</v>
      </c>
      <c r="G7362">
        <v>-260.38170000000002</v>
      </c>
      <c r="H7362" s="1">
        <v>6.2591480000000002E-8</v>
      </c>
      <c r="I7362">
        <v>-63.271549999999998</v>
      </c>
      <c r="J7362">
        <v>-275.96210000000002</v>
      </c>
      <c r="K7362">
        <v>1.1108610000000001</v>
      </c>
      <c r="L7362">
        <v>-64.806950000000001</v>
      </c>
      <c r="M7362">
        <v>0.99981509999999996</v>
      </c>
      <c r="N7362">
        <v>0</v>
      </c>
      <c r="O7362">
        <v>1.7624500000000001E-2</v>
      </c>
      <c r="P7362">
        <v>0.98534149999999998</v>
      </c>
      <c r="Q7362">
        <v>0.1672121</v>
      </c>
      <c r="R7362">
        <v>3.379567E-2</v>
      </c>
      <c r="S7362">
        <v>3.071259</v>
      </c>
      <c r="T7362">
        <v>-0.2177162</v>
      </c>
      <c r="U7362">
        <v>0.30148320000000001</v>
      </c>
      <c r="V7362">
        <v>-1.6876140000000001E-2</v>
      </c>
      <c r="W7362">
        <v>0.17474200000000001</v>
      </c>
      <c r="X7362">
        <v>0.98446959999999994</v>
      </c>
      <c r="Y7362">
        <v>-7.998239E-2</v>
      </c>
      <c r="Z7362">
        <v>1.580047E-3</v>
      </c>
      <c r="AA7362">
        <v>0.99679499999999999</v>
      </c>
      <c r="AB7362">
        <v>18</v>
      </c>
      <c r="AC7362">
        <v>15.5803999999999</v>
      </c>
      <c r="AD7362">
        <v>-1.1108609374085101</v>
      </c>
      <c r="AE7362">
        <v>1.5354000000000001</v>
      </c>
      <c r="AF7362">
        <v>-1.2542420161113901</v>
      </c>
      <c r="AG7362">
        <v>-1.1108609374085101</v>
      </c>
      <c r="AH7362">
        <v>15.526869748127799</v>
      </c>
      <c r="AI7362">
        <v>94.078979432748199</v>
      </c>
      <c r="AJ7362">
        <v>94.618257098671407</v>
      </c>
      <c r="AK7362">
        <v>15.617004169576401</v>
      </c>
      <c r="AL7362">
        <v>79.936355360332001</v>
      </c>
      <c r="AM7362">
        <v>90.982089135860903</v>
      </c>
      <c r="AN7362">
        <v>0.99999998199472895</v>
      </c>
    </row>
    <row r="7363" spans="1:40" x14ac:dyDescent="0.25">
      <c r="A7363" t="str">
        <f>"20190312172257123"</f>
        <v>20190312172257123</v>
      </c>
      <c r="B7363" t="str">
        <f>"1552382577117445"</f>
        <v>1552382577117445</v>
      </c>
      <c r="C7363" t="s">
        <v>40</v>
      </c>
      <c r="D7363">
        <v>3.3898790000000001</v>
      </c>
      <c r="E7363">
        <v>0.47915960000000002</v>
      </c>
      <c r="F7363" t="s">
        <v>42</v>
      </c>
      <c r="G7363">
        <v>-260.28109999999998</v>
      </c>
      <c r="H7363" s="1">
        <v>1.079539E-7</v>
      </c>
      <c r="I7363">
        <v>-63.263170000000002</v>
      </c>
      <c r="J7363">
        <v>-275.86799999999999</v>
      </c>
      <c r="K7363">
        <v>1.110846</v>
      </c>
      <c r="L7363">
        <v>-64.803799999999995</v>
      </c>
      <c r="M7363">
        <v>0.9997916</v>
      </c>
      <c r="N7363">
        <v>0</v>
      </c>
      <c r="O7363">
        <v>1.8922350000000001E-2</v>
      </c>
      <c r="P7363">
        <v>0.98536020000000002</v>
      </c>
      <c r="Q7363">
        <v>0.1671019</v>
      </c>
      <c r="R7363">
        <v>3.3796310000000003E-2</v>
      </c>
      <c r="S7363">
        <v>3.0711360000000001</v>
      </c>
      <c r="T7363">
        <v>-0.2175636</v>
      </c>
      <c r="U7363">
        <v>0.30233759999999998</v>
      </c>
      <c r="V7363">
        <v>-1.5589789999999999E-2</v>
      </c>
      <c r="W7363">
        <v>0.1746077</v>
      </c>
      <c r="X7363">
        <v>0.98451469999999996</v>
      </c>
      <c r="Y7363">
        <v>-7.8972890000000004E-2</v>
      </c>
      <c r="Z7363">
        <v>1.451801E-3</v>
      </c>
      <c r="AA7363">
        <v>0.99687570000000003</v>
      </c>
      <c r="AB7363">
        <v>18</v>
      </c>
      <c r="AC7363">
        <v>15.5869</v>
      </c>
      <c r="AD7363">
        <v>-1.1108458920461</v>
      </c>
      <c r="AE7363">
        <v>1.5406299999999999</v>
      </c>
      <c r="AF7363">
        <v>-1.2391717066378201</v>
      </c>
      <c r="AG7363">
        <v>-1.1108458920461</v>
      </c>
      <c r="AH7363">
        <v>15.535121024310699</v>
      </c>
      <c r="AI7363">
        <v>94.077093494115601</v>
      </c>
      <c r="AJ7363">
        <v>94.560588956539206</v>
      </c>
      <c r="AK7363">
        <v>15.624004299615001</v>
      </c>
      <c r="AL7363">
        <v>79.944170944262893</v>
      </c>
      <c r="AM7363">
        <v>90.907202831489201</v>
      </c>
      <c r="AN7363">
        <v>1.00000004248381</v>
      </c>
    </row>
    <row r="7364" spans="1:40" x14ac:dyDescent="0.25">
      <c r="A7364" t="str">
        <f>"20190312172257134"</f>
        <v>20190312172257134</v>
      </c>
      <c r="B7364" t="str">
        <f>"1552382577128190"</f>
        <v>1552382577128190</v>
      </c>
      <c r="C7364" t="s">
        <v>40</v>
      </c>
      <c r="D7364">
        <v>3.3902399999999999</v>
      </c>
      <c r="E7364">
        <v>0.47915580000000002</v>
      </c>
      <c r="F7364" t="s">
        <v>73</v>
      </c>
      <c r="G7364">
        <v>-260.19619999999998</v>
      </c>
      <c r="H7364" s="1">
        <v>1.4524120000000001E-7</v>
      </c>
      <c r="I7364">
        <v>-63.259979999999999</v>
      </c>
      <c r="J7364">
        <v>-275.7765</v>
      </c>
      <c r="K7364">
        <v>1.110832</v>
      </c>
      <c r="L7364">
        <v>-64.800659999999993</v>
      </c>
      <c r="M7364">
        <v>0.99976779999999998</v>
      </c>
      <c r="N7364">
        <v>0</v>
      </c>
      <c r="O7364">
        <v>2.0156150000000001E-2</v>
      </c>
      <c r="P7364">
        <v>0.98538840000000005</v>
      </c>
      <c r="Q7364">
        <v>0.16695889999999999</v>
      </c>
      <c r="R7364">
        <v>3.3682150000000001E-2</v>
      </c>
      <c r="S7364">
        <v>3.0711059999999999</v>
      </c>
      <c r="T7364">
        <v>-0.21768560000000001</v>
      </c>
      <c r="U7364">
        <v>0.30252079999999998</v>
      </c>
      <c r="V7364">
        <v>-1.425366E-2</v>
      </c>
      <c r="W7364">
        <v>0.17444390000000001</v>
      </c>
      <c r="X7364">
        <v>0.98456390000000005</v>
      </c>
      <c r="Y7364">
        <v>-7.7808269999999999E-2</v>
      </c>
      <c r="Z7364">
        <v>1.324417E-3</v>
      </c>
      <c r="AA7364">
        <v>0.99696739999999995</v>
      </c>
      <c r="AB7364">
        <v>18</v>
      </c>
      <c r="AC7364">
        <v>15.580299999999999</v>
      </c>
      <c r="AD7364">
        <v>-1.1108318547588001</v>
      </c>
      <c r="AE7364">
        <v>1.5406799999999801</v>
      </c>
      <c r="AF7364">
        <v>-1.22017655137196</v>
      </c>
      <c r="AG7364">
        <v>-1.1108318547588001</v>
      </c>
      <c r="AH7364">
        <v>15.5300105709783</v>
      </c>
      <c r="AI7364">
        <v>94.078762007392498</v>
      </c>
      <c r="AJ7364">
        <v>94.492440073038793</v>
      </c>
      <c r="AK7364">
        <v>15.6174263744306</v>
      </c>
      <c r="AL7364">
        <v>79.953701407242306</v>
      </c>
      <c r="AM7364">
        <v>90.829420531175799</v>
      </c>
      <c r="AN7364">
        <v>0.99999995712690704</v>
      </c>
    </row>
    <row r="7365" spans="1:40" x14ac:dyDescent="0.25">
      <c r="A7365" t="str">
        <f>"20190312172257145"</f>
        <v>20190312172257145</v>
      </c>
      <c r="B7365" t="str">
        <f>"1552382577137941"</f>
        <v>1552382577137941</v>
      </c>
      <c r="C7365" t="s">
        <v>40</v>
      </c>
      <c r="D7365">
        <v>3.3847429999999998</v>
      </c>
      <c r="E7365">
        <v>0.4791571</v>
      </c>
      <c r="F7365" t="s">
        <v>73</v>
      </c>
      <c r="G7365">
        <v>-260.125</v>
      </c>
      <c r="H7365" s="1">
        <v>1.7565169999999999E-7</v>
      </c>
      <c r="I7365">
        <v>-63.260530000000003</v>
      </c>
      <c r="J7365">
        <v>-275.6893</v>
      </c>
      <c r="K7365">
        <v>1.110819</v>
      </c>
      <c r="L7365">
        <v>-64.797579999999996</v>
      </c>
      <c r="M7365">
        <v>0.99974390000000002</v>
      </c>
      <c r="N7365">
        <v>0</v>
      </c>
      <c r="O7365">
        <v>2.1316580000000002E-2</v>
      </c>
      <c r="P7365">
        <v>0.98538890000000001</v>
      </c>
      <c r="Q7365">
        <v>0.1669918</v>
      </c>
      <c r="R7365">
        <v>3.3509810000000001E-2</v>
      </c>
      <c r="S7365">
        <v>3.071075</v>
      </c>
      <c r="T7365">
        <v>-0.21796209999999999</v>
      </c>
      <c r="U7365">
        <v>0.30218509999999998</v>
      </c>
      <c r="V7365">
        <v>-1.2933450000000001E-2</v>
      </c>
      <c r="W7365">
        <v>0.17445840000000001</v>
      </c>
      <c r="X7365">
        <v>0.9845796</v>
      </c>
      <c r="Y7365">
        <v>-7.6549720000000002E-2</v>
      </c>
      <c r="Z7365">
        <v>1.1996120000000001E-3</v>
      </c>
      <c r="AA7365">
        <v>0.99706510000000004</v>
      </c>
      <c r="AB7365">
        <v>18</v>
      </c>
      <c r="AC7365">
        <v>15.564299999999999</v>
      </c>
      <c r="AD7365">
        <v>-1.1108188243482999</v>
      </c>
      <c r="AE7365">
        <v>1.53705</v>
      </c>
      <c r="AF7365">
        <v>-1.1988659021196899</v>
      </c>
      <c r="AG7365">
        <v>-1.1108188243482999</v>
      </c>
      <c r="AH7365">
        <v>15.515263106648</v>
      </c>
      <c r="AI7365">
        <v>94.082987410750206</v>
      </c>
      <c r="AJ7365">
        <v>94.418470719949994</v>
      </c>
      <c r="AK7365">
        <v>15.6011085240859</v>
      </c>
      <c r="AL7365">
        <v>79.952858096466301</v>
      </c>
      <c r="AM7365">
        <v>90.752594793826106</v>
      </c>
      <c r="AN7365">
        <v>0.99999999809781104</v>
      </c>
    </row>
    <row r="7366" spans="1:40" x14ac:dyDescent="0.25">
      <c r="A7366" t="str">
        <f>"20190312172257156"</f>
        <v>20190312172257156</v>
      </c>
      <c r="B7366" t="str">
        <f>"1552382577147701"</f>
        <v>1552382577147701</v>
      </c>
      <c r="C7366" t="s">
        <v>40</v>
      </c>
      <c r="D7366">
        <v>3.337958</v>
      </c>
      <c r="E7366">
        <v>0.4791665</v>
      </c>
      <c r="F7366" t="s">
        <v>73</v>
      </c>
      <c r="G7366">
        <v>-260.0188</v>
      </c>
      <c r="H7366" s="1">
        <v>2.2165600000000001E-7</v>
      </c>
      <c r="I7366">
        <v>-63.258870000000002</v>
      </c>
      <c r="J7366">
        <v>-275.60120000000001</v>
      </c>
      <c r="K7366">
        <v>1.1108150000000001</v>
      </c>
      <c r="L7366">
        <v>-64.794370000000001</v>
      </c>
      <c r="M7366">
        <v>0.99971869999999996</v>
      </c>
      <c r="N7366">
        <v>0</v>
      </c>
      <c r="O7366">
        <v>2.247422E-2</v>
      </c>
      <c r="P7366">
        <v>0.98540000000000005</v>
      </c>
      <c r="Q7366">
        <v>0.166875</v>
      </c>
      <c r="R7366">
        <v>3.3757990000000002E-2</v>
      </c>
      <c r="S7366">
        <v>3.0711360000000001</v>
      </c>
      <c r="T7366">
        <v>-0.21769930000000001</v>
      </c>
      <c r="U7366">
        <v>0.30154419999999998</v>
      </c>
      <c r="V7366">
        <v>-1.203655E-2</v>
      </c>
      <c r="W7366">
        <v>0.1743237</v>
      </c>
      <c r="X7366">
        <v>0.98461480000000001</v>
      </c>
      <c r="Y7366">
        <v>-7.5193670000000004E-2</v>
      </c>
      <c r="Z7366">
        <v>1.0685650000000001E-3</v>
      </c>
      <c r="AA7366">
        <v>0.99716839999999995</v>
      </c>
      <c r="AB7366">
        <v>18</v>
      </c>
      <c r="AC7366">
        <v>15.5824</v>
      </c>
      <c r="AD7366">
        <v>-1.1108147783440001</v>
      </c>
      <c r="AE7366">
        <v>1.5355000000000001</v>
      </c>
      <c r="AF7366">
        <v>-1.1789661906764299</v>
      </c>
      <c r="AG7366">
        <v>-1.1108147783440001</v>
      </c>
      <c r="AH7366">
        <v>15.534789215125301</v>
      </c>
      <c r="AI7366">
        <v>94.078284343093799</v>
      </c>
      <c r="AJ7366">
        <v>94.339971777584196</v>
      </c>
      <c r="AK7366">
        <v>15.619012347421901</v>
      </c>
      <c r="AL7366">
        <v>79.960695632537096</v>
      </c>
      <c r="AM7366">
        <v>90.700384723225994</v>
      </c>
      <c r="AN7366">
        <v>0.999999967648315</v>
      </c>
    </row>
    <row r="7367" spans="1:40" x14ac:dyDescent="0.25">
      <c r="A7367" t="str">
        <f>"20190312172257167"</f>
        <v>20190312172257167</v>
      </c>
      <c r="B7367" t="str">
        <f>"1552382577157461"</f>
        <v>1552382577157461</v>
      </c>
      <c r="C7367" t="s">
        <v>40</v>
      </c>
      <c r="D7367">
        <v>3.3547880000000001</v>
      </c>
      <c r="E7367">
        <v>0.47923640000000001</v>
      </c>
      <c r="F7367" t="s">
        <v>74</v>
      </c>
      <c r="G7367">
        <v>-259.94569999999999</v>
      </c>
      <c r="H7367" s="1">
        <v>-3.791321E-6</v>
      </c>
      <c r="I7367">
        <v>-63.253880000000002</v>
      </c>
      <c r="J7367">
        <v>-275.51130000000001</v>
      </c>
      <c r="K7367">
        <v>1.110806</v>
      </c>
      <c r="L7367">
        <v>-64.791019999999904</v>
      </c>
      <c r="M7367">
        <v>0.99969209999999997</v>
      </c>
      <c r="N7367">
        <v>0</v>
      </c>
      <c r="O7367">
        <v>2.3633109999999999E-2</v>
      </c>
      <c r="P7367">
        <v>0.98547910000000005</v>
      </c>
      <c r="Q7367">
        <v>0.16653389999999901</v>
      </c>
      <c r="R7367">
        <v>3.3133860000000001E-2</v>
      </c>
      <c r="S7367">
        <v>3.0709840000000002</v>
      </c>
      <c r="T7367">
        <v>-0.2178986</v>
      </c>
      <c r="U7367">
        <v>0.30218509999999998</v>
      </c>
      <c r="V7367">
        <v>-1.026435E-2</v>
      </c>
      <c r="W7367">
        <v>0.1739687</v>
      </c>
      <c r="X7367">
        <v>0.98469770000000001</v>
      </c>
      <c r="Y7367">
        <v>-7.4253609999999998E-2</v>
      </c>
      <c r="Z7367">
        <v>9.5448699999999996E-4</v>
      </c>
      <c r="AA7367">
        <v>0.99723890000000004</v>
      </c>
      <c r="AB7367">
        <v>18</v>
      </c>
      <c r="AC7367">
        <v>15.5656</v>
      </c>
      <c r="AD7367">
        <v>-1.110809791321</v>
      </c>
      <c r="AE7367">
        <v>1.53713999999998</v>
      </c>
      <c r="AF7367">
        <v>-1.16297113868911</v>
      </c>
      <c r="AG7367">
        <v>-1.110809791321</v>
      </c>
      <c r="AH7367">
        <v>15.519308904194</v>
      </c>
      <c r="AI7367">
        <v>94.082611723667796</v>
      </c>
      <c r="AJ7367">
        <v>94.285566391874298</v>
      </c>
      <c r="AK7367">
        <v>15.6024148491736</v>
      </c>
      <c r="AL7367">
        <v>79.981351715233302</v>
      </c>
      <c r="AM7367">
        <v>90.597221497855898</v>
      </c>
      <c r="AN7367">
        <v>1.00000001292295</v>
      </c>
    </row>
    <row r="7368" spans="1:40" x14ac:dyDescent="0.25">
      <c r="A7368" t="str">
        <f>"20190312172257178"</f>
        <v>20190312172257178</v>
      </c>
      <c r="B7368" t="str">
        <f>"1552382577168197"</f>
        <v>1552382577168197</v>
      </c>
      <c r="C7368" t="s">
        <v>40</v>
      </c>
      <c r="D7368">
        <v>3.386358</v>
      </c>
      <c r="E7368">
        <v>0.47923640000000001</v>
      </c>
      <c r="F7368" t="s">
        <v>74</v>
      </c>
      <c r="G7368">
        <v>-259.91120000000001</v>
      </c>
      <c r="H7368" s="1">
        <v>-3.781671E-6</v>
      </c>
      <c r="I7368">
        <v>-63.269649999999999</v>
      </c>
      <c r="J7368">
        <v>-275.41750000000002</v>
      </c>
      <c r="K7368">
        <v>1.110797</v>
      </c>
      <c r="L7368">
        <v>-64.787480000000002</v>
      </c>
      <c r="M7368">
        <v>0.99966310000000003</v>
      </c>
      <c r="N7368">
        <v>0</v>
      </c>
      <c r="O7368">
        <v>2.483349E-2</v>
      </c>
      <c r="P7368">
        <v>0.98549770000000003</v>
      </c>
      <c r="Q7368">
        <v>0.1663683</v>
      </c>
      <c r="R7368">
        <v>3.3411089999999997E-2</v>
      </c>
      <c r="S7368">
        <v>3.071075</v>
      </c>
      <c r="T7368">
        <v>-0.21867600000000001</v>
      </c>
      <c r="U7368">
        <v>0.29949949999999997</v>
      </c>
      <c r="V7368">
        <v>-9.3542150000000008E-3</v>
      </c>
      <c r="W7368">
        <v>0.17378740000000001</v>
      </c>
      <c r="X7368">
        <v>0.98473880000000003</v>
      </c>
      <c r="Y7368">
        <v>-7.2196620000000003E-2</v>
      </c>
      <c r="Z7368">
        <v>7.9982559999999998E-4</v>
      </c>
      <c r="AA7368">
        <v>0.99739009999999995</v>
      </c>
      <c r="AB7368">
        <v>18</v>
      </c>
      <c r="AC7368">
        <v>15.5063</v>
      </c>
      <c r="AD7368">
        <v>-1.1108007816709999</v>
      </c>
      <c r="AE7368">
        <v>1.51783</v>
      </c>
      <c r="AF7368">
        <v>-1.1265491811230599</v>
      </c>
      <c r="AG7368">
        <v>-1.1108007816709999</v>
      </c>
      <c r="AH7368">
        <v>15.4606263214932</v>
      </c>
      <c r="AI7368">
        <v>94.098643745826905</v>
      </c>
      <c r="AJ7368">
        <v>94.167531126180506</v>
      </c>
      <c r="AK7368">
        <v>15.541362800182601</v>
      </c>
      <c r="AL7368">
        <v>79.991900324593502</v>
      </c>
      <c r="AM7368">
        <v>90.544246779375698</v>
      </c>
      <c r="AN7368">
        <v>1.00000003298123</v>
      </c>
    </row>
    <row r="7369" spans="1:40" x14ac:dyDescent="0.25">
      <c r="A7369" t="str">
        <f>"20190312172257190"</f>
        <v>20190312172257190</v>
      </c>
      <c r="B7369" t="str">
        <f>"1552382577187718"</f>
        <v>1552382577187718</v>
      </c>
      <c r="C7369" t="s">
        <v>40</v>
      </c>
      <c r="D7369">
        <v>3.4209489999999998</v>
      </c>
      <c r="E7369">
        <v>0.50706809999999902</v>
      </c>
      <c r="F7369" t="s">
        <v>74</v>
      </c>
      <c r="G7369">
        <v>-259.85759999999999</v>
      </c>
      <c r="H7369" s="1">
        <v>-3.7629940000000001E-6</v>
      </c>
      <c r="I7369">
        <v>-63.266269999999999</v>
      </c>
      <c r="J7369">
        <v>-275.3261</v>
      </c>
      <c r="K7369">
        <v>1.110789</v>
      </c>
      <c r="L7369">
        <v>-64.783869999999993</v>
      </c>
      <c r="M7369">
        <v>0.99963429999999998</v>
      </c>
      <c r="N7369">
        <v>0</v>
      </c>
      <c r="O7369">
        <v>2.5975499999999999E-2</v>
      </c>
      <c r="P7369">
        <v>0.98557320000000004</v>
      </c>
      <c r="Q7369">
        <v>0.1659071</v>
      </c>
      <c r="R7369">
        <v>3.3479019999999998E-2</v>
      </c>
      <c r="S7369">
        <v>3.0709529999999998</v>
      </c>
      <c r="T7369">
        <v>-0.2192317</v>
      </c>
      <c r="U7369">
        <v>0.3002319</v>
      </c>
      <c r="V7369">
        <v>-8.2899529999999992E-3</v>
      </c>
      <c r="W7369">
        <v>0.17331359999999901</v>
      </c>
      <c r="X7369">
        <v>0.98483180000000003</v>
      </c>
      <c r="Y7369">
        <v>-7.1301149999999994E-2</v>
      </c>
      <c r="Z7369">
        <v>6.8886710000000005E-4</v>
      </c>
      <c r="AA7369">
        <v>0.99745459999999997</v>
      </c>
      <c r="AB7369">
        <v>18</v>
      </c>
      <c r="AC7369">
        <v>15.468500000000001</v>
      </c>
      <c r="AD7369">
        <v>-1.110792762994</v>
      </c>
      <c r="AE7369">
        <v>1.5175999999999901</v>
      </c>
      <c r="AF7369">
        <v>-1.1096071886863399</v>
      </c>
      <c r="AG7369">
        <v>-1.110792762994</v>
      </c>
      <c r="AH7369">
        <v>15.423923972636301</v>
      </c>
      <c r="AI7369">
        <v>94.108606648163899</v>
      </c>
      <c r="AJ7369">
        <v>94.114806990494301</v>
      </c>
      <c r="AK7369">
        <v>15.5036292328335</v>
      </c>
      <c r="AL7369">
        <v>80.019465039873097</v>
      </c>
      <c r="AM7369">
        <v>90.482283473455297</v>
      </c>
      <c r="AN7369">
        <v>1.00000000077847</v>
      </c>
    </row>
    <row r="7370" spans="1:40" x14ac:dyDescent="0.25">
      <c r="A7370" t="str">
        <f>"20190312172257202"</f>
        <v>20190312172257202</v>
      </c>
      <c r="B7370" t="str">
        <f>"1552382577197478"</f>
        <v>1552382577197478</v>
      </c>
      <c r="C7370" t="s">
        <v>40</v>
      </c>
      <c r="D7370">
        <v>3.4158680000000001</v>
      </c>
      <c r="E7370">
        <v>0.50745309999999999</v>
      </c>
      <c r="F7370" t="s">
        <v>74</v>
      </c>
      <c r="G7370">
        <v>-256.52999999999997</v>
      </c>
      <c r="H7370" s="1">
        <v>-2.7710039999999999E-6</v>
      </c>
      <c r="I7370">
        <v>-64.316670000000002</v>
      </c>
      <c r="J7370">
        <v>-275.23379999999997</v>
      </c>
      <c r="K7370">
        <v>1.110779</v>
      </c>
      <c r="L7370">
        <v>-64.780180000000001</v>
      </c>
      <c r="M7370">
        <v>0.99960389999999999</v>
      </c>
      <c r="N7370">
        <v>0</v>
      </c>
      <c r="O7370">
        <v>2.7122219999999999E-2</v>
      </c>
      <c r="P7370">
        <v>0.98564079999999998</v>
      </c>
      <c r="Q7370">
        <v>0.16550109999999901</v>
      </c>
      <c r="R7370">
        <v>3.3495129999999998E-2</v>
      </c>
      <c r="S7370">
        <v>3.071869</v>
      </c>
      <c r="T7370">
        <v>-0.18153820000000001</v>
      </c>
      <c r="U7370">
        <v>7.6354980000000003E-2</v>
      </c>
      <c r="V7370">
        <v>-7.1685949999999998E-3</v>
      </c>
      <c r="W7370">
        <v>0.17289560000000001</v>
      </c>
      <c r="X7370">
        <v>0.98491410000000001</v>
      </c>
      <c r="Y7370">
        <v>2.2240760000000002E-3</v>
      </c>
      <c r="Z7370">
        <v>-1.666612E-3</v>
      </c>
      <c r="AA7370">
        <v>0.99999610000000005</v>
      </c>
      <c r="AB7370">
        <v>18</v>
      </c>
      <c r="AC7370">
        <v>18.703800000000001</v>
      </c>
      <c r="AD7370">
        <v>-1.110781771004</v>
      </c>
      <c r="AE7370">
        <v>0.46350999999999898</v>
      </c>
      <c r="AF7370">
        <v>4.38089983783118E-2</v>
      </c>
      <c r="AG7370">
        <v>-1.110781771004</v>
      </c>
      <c r="AH7370">
        <v>18.6437756469942</v>
      </c>
      <c r="AI7370">
        <v>93.409598421611406</v>
      </c>
      <c r="AJ7370">
        <v>89.865367072662195</v>
      </c>
      <c r="AK7370">
        <v>18.676887474806598</v>
      </c>
      <c r="AL7370">
        <v>80.043782076903895</v>
      </c>
      <c r="AM7370">
        <v>90.417014017720604</v>
      </c>
      <c r="AN7370">
        <v>1.00000003081622</v>
      </c>
    </row>
    <row r="7371" spans="1:40" x14ac:dyDescent="0.25">
      <c r="A7371" t="str">
        <f>"20190312172257213"</f>
        <v>20190312172257213</v>
      </c>
      <c r="B7371" t="str">
        <f>"1552382577208213"</f>
        <v>1552382577208213</v>
      </c>
      <c r="C7371" t="s">
        <v>40</v>
      </c>
      <c r="D7371">
        <v>3.373211</v>
      </c>
      <c r="E7371">
        <v>0.50795959999999996</v>
      </c>
      <c r="F7371" t="s">
        <v>74</v>
      </c>
      <c r="G7371">
        <v>-256.57220000000001</v>
      </c>
      <c r="H7371" s="1">
        <v>-2.7880779999999999E-6</v>
      </c>
      <c r="I7371">
        <v>-64.336910000000003</v>
      </c>
      <c r="J7371">
        <v>-275.13830000000002</v>
      </c>
      <c r="K7371">
        <v>1.1107670000000001</v>
      </c>
      <c r="L7371">
        <v>-64.77628</v>
      </c>
      <c r="M7371">
        <v>0.99957189999999996</v>
      </c>
      <c r="N7371">
        <v>0</v>
      </c>
      <c r="O7371">
        <v>2.828251E-2</v>
      </c>
      <c r="P7371">
        <v>0.98563230000000002</v>
      </c>
      <c r="Q7371">
        <v>0.1655314</v>
      </c>
      <c r="R7371">
        <v>3.3594819999999997E-2</v>
      </c>
      <c r="S7371">
        <v>3.07193</v>
      </c>
      <c r="T7371">
        <v>-0.1828487</v>
      </c>
      <c r="U7371">
        <v>7.2967530000000003E-2</v>
      </c>
      <c r="V7371">
        <v>-6.1203259999999997E-3</v>
      </c>
      <c r="W7371">
        <v>0.17291489999999901</v>
      </c>
      <c r="X7371">
        <v>0.98491779999999995</v>
      </c>
      <c r="Y7371">
        <v>4.4805970000000002E-3</v>
      </c>
      <c r="Z7371">
        <v>-1.8146670000000001E-3</v>
      </c>
      <c r="AA7371">
        <v>0.99998830000000005</v>
      </c>
      <c r="AB7371">
        <v>18</v>
      </c>
      <c r="AC7371">
        <v>18.566099999999999</v>
      </c>
      <c r="AD7371">
        <v>-1.1107697880779901</v>
      </c>
      <c r="AE7371">
        <v>0.43936999999999599</v>
      </c>
      <c r="AF7371">
        <v>8.5610154889175796E-2</v>
      </c>
      <c r="AG7371">
        <v>-1.1107697880779901</v>
      </c>
      <c r="AH7371">
        <v>18.5049005822138</v>
      </c>
      <c r="AI7371">
        <v>93.435061454133503</v>
      </c>
      <c r="AJ7371">
        <v>89.734931536516399</v>
      </c>
      <c r="AK7371">
        <v>18.5384056536247</v>
      </c>
      <c r="AL7371">
        <v>80.042659520258596</v>
      </c>
      <c r="AM7371">
        <v>90.356034113230507</v>
      </c>
      <c r="AN7371">
        <v>1.00000004689459</v>
      </c>
    </row>
    <row r="7372" spans="1:40" x14ac:dyDescent="0.25">
      <c r="A7372" t="str">
        <f>"20190312172257224"</f>
        <v>20190312172257224</v>
      </c>
      <c r="B7372" t="str">
        <f>"1552382577217973"</f>
        <v>1552382577217973</v>
      </c>
      <c r="C7372" t="s">
        <v>40</v>
      </c>
      <c r="D7372">
        <v>3.3704890000000001</v>
      </c>
      <c r="E7372">
        <v>0.50858619999999999</v>
      </c>
      <c r="F7372" t="s">
        <v>74</v>
      </c>
      <c r="G7372">
        <v>-256.50290000000001</v>
      </c>
      <c r="H7372" s="1">
        <v>-2.7672770000000002E-6</v>
      </c>
      <c r="I7372">
        <v>-64.357730000000004</v>
      </c>
      <c r="J7372">
        <v>-275.04750000000001</v>
      </c>
      <c r="K7372">
        <v>1.1107560000000001</v>
      </c>
      <c r="L7372">
        <v>-64.772459999999995</v>
      </c>
      <c r="M7372">
        <v>0.9995404</v>
      </c>
      <c r="N7372">
        <v>0</v>
      </c>
      <c r="O7372">
        <v>2.9376329999999999E-2</v>
      </c>
      <c r="P7372">
        <v>0.98568619999999996</v>
      </c>
      <c r="Q7372">
        <v>0.1652062</v>
      </c>
      <c r="R7372">
        <v>3.3612999999999997E-2</v>
      </c>
      <c r="S7372">
        <v>3.0721440000000002</v>
      </c>
      <c r="T7372">
        <v>-0.18311640000000001</v>
      </c>
      <c r="U7372">
        <v>6.9000240000000004E-2</v>
      </c>
      <c r="V7372">
        <v>-5.0526479999999999E-3</v>
      </c>
      <c r="W7372">
        <v>0.1725805</v>
      </c>
      <c r="X7372">
        <v>0.98498240000000004</v>
      </c>
      <c r="Y7372">
        <v>6.8608769999999996E-3</v>
      </c>
      <c r="Z7372">
        <v>-1.9531980000000002E-3</v>
      </c>
      <c r="AA7372">
        <v>0.99997449999999999</v>
      </c>
      <c r="AB7372">
        <v>18</v>
      </c>
      <c r="AC7372">
        <v>18.544599999999999</v>
      </c>
      <c r="AD7372">
        <v>-1.1107587672769901</v>
      </c>
      <c r="AE7372">
        <v>0.41472999999999099</v>
      </c>
      <c r="AF7372">
        <v>0.129771212154209</v>
      </c>
      <c r="AG7372">
        <v>-1.1107587672769901</v>
      </c>
      <c r="AH7372">
        <v>18.482504935055399</v>
      </c>
      <c r="AI7372">
        <v>93.439131913871194</v>
      </c>
      <c r="AJ7372">
        <v>89.597715753122003</v>
      </c>
      <c r="AK7372">
        <v>18.516306712758201</v>
      </c>
      <c r="AL7372">
        <v>80.062110629378907</v>
      </c>
      <c r="AM7372">
        <v>90.293906638918699</v>
      </c>
      <c r="AN7372">
        <v>0.99999994327090902</v>
      </c>
    </row>
    <row r="7373" spans="1:40" x14ac:dyDescent="0.25">
      <c r="A7373" t="str">
        <f>"20190312172257235"</f>
        <v>20190312172257235</v>
      </c>
      <c r="B7373" t="str">
        <f>"1552382577227734"</f>
        <v>1552382577227734</v>
      </c>
      <c r="C7373" t="s">
        <v>40</v>
      </c>
      <c r="D7373">
        <v>3.3767640000000001</v>
      </c>
      <c r="E7373">
        <v>0.50879679999999905</v>
      </c>
      <c r="F7373" t="s">
        <v>74</v>
      </c>
      <c r="G7373">
        <v>-256.46480000000003</v>
      </c>
      <c r="H7373" s="1">
        <v>-2.7579689999999999E-6</v>
      </c>
      <c r="I7373">
        <v>-64.385189999999994</v>
      </c>
      <c r="J7373">
        <v>-274.95490000000001</v>
      </c>
      <c r="K7373">
        <v>1.1107419999999999</v>
      </c>
      <c r="L7373">
        <v>-64.76849</v>
      </c>
      <c r="M7373">
        <v>0.99950760000000005</v>
      </c>
      <c r="N7373">
        <v>0</v>
      </c>
      <c r="O7373">
        <v>3.0475820000000001E-2</v>
      </c>
      <c r="P7373">
        <v>0.98565060000000004</v>
      </c>
      <c r="Q7373">
        <v>0.16536039999999999</v>
      </c>
      <c r="R7373">
        <v>3.3901010000000002E-2</v>
      </c>
      <c r="S7373">
        <v>3.072174</v>
      </c>
      <c r="T7373">
        <v>-0.18363560000000001</v>
      </c>
      <c r="U7373">
        <v>6.4025879999999993E-2</v>
      </c>
      <c r="V7373">
        <v>-4.2531490000000003E-3</v>
      </c>
      <c r="W7373">
        <v>0.17272609999999999</v>
      </c>
      <c r="X7373">
        <v>0.98496070000000002</v>
      </c>
      <c r="Y7373">
        <v>9.5722480000000002E-3</v>
      </c>
      <c r="Z7373">
        <v>-2.105329E-3</v>
      </c>
      <c r="AA7373">
        <v>0.99995199999999995</v>
      </c>
      <c r="AB7373">
        <v>18</v>
      </c>
      <c r="AC7373">
        <v>18.490099999999899</v>
      </c>
      <c r="AD7373">
        <v>-1.110744757969</v>
      </c>
      <c r="AE7373">
        <v>0.38329999999999098</v>
      </c>
      <c r="AF7373">
        <v>0.179746356832132</v>
      </c>
      <c r="AG7373">
        <v>-1.110744757969</v>
      </c>
      <c r="AH7373">
        <v>18.426724814019298</v>
      </c>
      <c r="AI7373">
        <v>93.4493952264922</v>
      </c>
      <c r="AJ7373">
        <v>89.441117122012201</v>
      </c>
      <c r="AK7373">
        <v>18.461046829520299</v>
      </c>
      <c r="AL7373">
        <v>80.053641621306895</v>
      </c>
      <c r="AM7373">
        <v>90.247406797820702</v>
      </c>
      <c r="AN7373">
        <v>0.99999998772105803</v>
      </c>
    </row>
    <row r="7374" spans="1:40" x14ac:dyDescent="0.25">
      <c r="A7374" t="str">
        <f>"20190312172257246"</f>
        <v>20190312172257246</v>
      </c>
      <c r="B7374" t="str">
        <f>"1552382577237493"</f>
        <v>1552382577237493</v>
      </c>
      <c r="C7374" t="s">
        <v>40</v>
      </c>
      <c r="D7374">
        <v>3.4092950000000002</v>
      </c>
      <c r="E7374">
        <v>0.50904199999999999</v>
      </c>
      <c r="F7374" t="s">
        <v>74</v>
      </c>
      <c r="G7374">
        <v>-256.37139999999999</v>
      </c>
      <c r="H7374" s="1">
        <v>-2.7262369999999998E-6</v>
      </c>
      <c r="I7374">
        <v>-64.385639999999995</v>
      </c>
      <c r="J7374">
        <v>-274.8691</v>
      </c>
      <c r="K7374">
        <v>1.1107290000000001</v>
      </c>
      <c r="L7374">
        <v>-64.764740000000003</v>
      </c>
      <c r="M7374">
        <v>0.99947640000000004</v>
      </c>
      <c r="N7374">
        <v>0</v>
      </c>
      <c r="O7374">
        <v>3.1479630000000001E-2</v>
      </c>
      <c r="P7374">
        <v>0.98575539999999995</v>
      </c>
      <c r="Q7374">
        <v>0.16480939999999999</v>
      </c>
      <c r="R7374">
        <v>3.3532079999999999E-2</v>
      </c>
      <c r="S7374">
        <v>3.0722659999999999</v>
      </c>
      <c r="T7374">
        <v>-0.1836305</v>
      </c>
      <c r="U7374">
        <v>6.3293459999999996E-2</v>
      </c>
      <c r="V7374">
        <v>-2.8857639999999999E-3</v>
      </c>
      <c r="W7374">
        <v>0.17216899999999999</v>
      </c>
      <c r="X7374">
        <v>0.98506320000000003</v>
      </c>
      <c r="Y7374">
        <v>1.081143E-2</v>
      </c>
      <c r="Z7374">
        <v>-2.2021190000000002E-3</v>
      </c>
      <c r="AA7374">
        <v>0.99993909999999997</v>
      </c>
      <c r="AB7374">
        <v>18</v>
      </c>
      <c r="AC7374">
        <v>18.497699999999998</v>
      </c>
      <c r="AD7374">
        <v>-1.110731726237</v>
      </c>
      <c r="AE7374">
        <v>0.379099999999993</v>
      </c>
      <c r="AF7374">
        <v>0.20267447456392601</v>
      </c>
      <c r="AG7374">
        <v>-1.110731726237</v>
      </c>
      <c r="AH7374">
        <v>18.4340275285684</v>
      </c>
      <c r="AI7374">
        <v>93.447947433760504</v>
      </c>
      <c r="AJ7374">
        <v>89.370082087701306</v>
      </c>
      <c r="AK7374">
        <v>18.468572571650601</v>
      </c>
      <c r="AL7374">
        <v>80.086046693044594</v>
      </c>
      <c r="AM7374">
        <v>90.1678487480592</v>
      </c>
      <c r="AN7374">
        <v>1.0000000000945499</v>
      </c>
    </row>
    <row r="7375" spans="1:40" x14ac:dyDescent="0.25">
      <c r="A7375" t="str">
        <f>"20190312172257257"</f>
        <v>20190312172257257</v>
      </c>
      <c r="B7375" t="str">
        <f>"1552382577248230"</f>
        <v>1552382577248230</v>
      </c>
      <c r="C7375" t="s">
        <v>40</v>
      </c>
      <c r="D7375">
        <v>3.3919299999999999</v>
      </c>
      <c r="E7375">
        <v>0.50909769999999999</v>
      </c>
      <c r="F7375" t="s">
        <v>74</v>
      </c>
      <c r="G7375">
        <v>-256.5292</v>
      </c>
      <c r="H7375" s="1">
        <v>-2.7826440000000002E-6</v>
      </c>
      <c r="I7375">
        <v>-64.405869999999993</v>
      </c>
      <c r="J7375">
        <v>-274.77550000000002</v>
      </c>
      <c r="K7375">
        <v>1.1107119999999999</v>
      </c>
      <c r="L7375">
        <v>-64.760589999999993</v>
      </c>
      <c r="M7375">
        <v>0.99944180000000005</v>
      </c>
      <c r="N7375">
        <v>0</v>
      </c>
      <c r="O7375">
        <v>3.2562000000000001E-2</v>
      </c>
      <c r="P7375">
        <v>0.9857958</v>
      </c>
      <c r="Q7375">
        <v>0.1645992</v>
      </c>
      <c r="R7375">
        <v>3.3373130000000001E-2</v>
      </c>
      <c r="S7375">
        <v>3.0723880000000001</v>
      </c>
      <c r="T7375">
        <v>-0.18607499999999999</v>
      </c>
      <c r="U7375">
        <v>6.011963E-2</v>
      </c>
      <c r="V7375">
        <v>-1.6518839999999999E-3</v>
      </c>
      <c r="W7375">
        <v>0.1719511</v>
      </c>
      <c r="X7375">
        <v>0.98510410000000004</v>
      </c>
      <c r="Y7375">
        <v>1.291979E-2</v>
      </c>
      <c r="Z7375">
        <v>-2.3605560000000002E-3</v>
      </c>
      <c r="AA7375">
        <v>0.99991379999999996</v>
      </c>
      <c r="AB7375">
        <v>19</v>
      </c>
      <c r="AC7375">
        <v>18.246300000000002</v>
      </c>
      <c r="AD7375">
        <v>-1.110714782644</v>
      </c>
      <c r="AE7375">
        <v>0.35472000000001402</v>
      </c>
      <c r="AF7375">
        <v>0.238736390239321</v>
      </c>
      <c r="AG7375">
        <v>-1.110714782644</v>
      </c>
      <c r="AH7375">
        <v>18.180829525298901</v>
      </c>
      <c r="AI7375">
        <v>93.495704455383901</v>
      </c>
      <c r="AJ7375">
        <v>89.247680011247198</v>
      </c>
      <c r="AK7375">
        <v>18.2162906383377</v>
      </c>
      <c r="AL7375">
        <v>80.098720439829805</v>
      </c>
      <c r="AM7375">
        <v>90.096077046816305</v>
      </c>
      <c r="AN7375">
        <v>0.99999999867438405</v>
      </c>
    </row>
    <row r="7376" spans="1:40" x14ac:dyDescent="0.25">
      <c r="A7376" t="str">
        <f>"20190312172257268"</f>
        <v>20190312172257268</v>
      </c>
      <c r="B7376" t="str">
        <f>"1552382577257990"</f>
        <v>1552382577257990</v>
      </c>
      <c r="C7376" t="s">
        <v>40</v>
      </c>
      <c r="D7376">
        <v>3.4059430000000002</v>
      </c>
      <c r="E7376">
        <v>0.50923649999999998</v>
      </c>
      <c r="F7376" t="s">
        <v>74</v>
      </c>
      <c r="G7376">
        <v>-256.54759999999999</v>
      </c>
      <c r="H7376" s="1">
        <v>-2.7893499999999998E-6</v>
      </c>
      <c r="I7376">
        <v>-64.40916</v>
      </c>
      <c r="J7376">
        <v>-274.68169999999998</v>
      </c>
      <c r="K7376">
        <v>1.110695</v>
      </c>
      <c r="L7376">
        <v>-64.756320000000002</v>
      </c>
      <c r="M7376">
        <v>0.99940689999999999</v>
      </c>
      <c r="N7376">
        <v>0</v>
      </c>
      <c r="O7376">
        <v>3.3620089999999998E-2</v>
      </c>
      <c r="P7376">
        <v>0.98588969999999998</v>
      </c>
      <c r="Q7376">
        <v>0.16405890000000001</v>
      </c>
      <c r="R7376">
        <v>3.3267030000000003E-2</v>
      </c>
      <c r="S7376">
        <v>3.0724490000000002</v>
      </c>
      <c r="T7376">
        <v>-0.1872192</v>
      </c>
      <c r="U7376">
        <v>5.9234620000000002E-2</v>
      </c>
      <c r="V7376">
        <v>-4.9168759999999997E-4</v>
      </c>
      <c r="W7376">
        <v>0.17140239999999901</v>
      </c>
      <c r="X7376">
        <v>0.98520099999999999</v>
      </c>
      <c r="Y7376">
        <v>1.426122E-2</v>
      </c>
      <c r="Z7376">
        <v>-2.4802090000000001E-3</v>
      </c>
      <c r="AA7376">
        <v>0.99989519999999998</v>
      </c>
      <c r="AB7376">
        <v>19</v>
      </c>
      <c r="AC7376">
        <v>18.134099999999901</v>
      </c>
      <c r="AD7376">
        <v>-1.1106977893500001</v>
      </c>
      <c r="AE7376">
        <v>0.34716000000000202</v>
      </c>
      <c r="AF7376">
        <v>0.261741717620257</v>
      </c>
      <c r="AG7376">
        <v>-1.1106977893500001</v>
      </c>
      <c r="AH7376">
        <v>18.067764243991199</v>
      </c>
      <c r="AI7376">
        <v>93.517405939312596</v>
      </c>
      <c r="AJ7376">
        <v>89.170033071884504</v>
      </c>
      <c r="AK7376">
        <v>18.103763782221002</v>
      </c>
      <c r="AL7376">
        <v>80.130632608104307</v>
      </c>
      <c r="AM7376">
        <v>90.028594796371394</v>
      </c>
      <c r="AN7376">
        <v>1.0000000174417201</v>
      </c>
    </row>
    <row r="7377" spans="1:40" x14ac:dyDescent="0.25">
      <c r="A7377" t="str">
        <f>"20190312172257278"</f>
        <v>20190312172257278</v>
      </c>
      <c r="B7377" t="str">
        <f>"1552382577267750"</f>
        <v>1552382577267750</v>
      </c>
      <c r="C7377" t="s">
        <v>40</v>
      </c>
      <c r="D7377">
        <v>3.4058310000000001</v>
      </c>
      <c r="E7377">
        <v>0.50922009999999995</v>
      </c>
      <c r="F7377" t="s">
        <v>74</v>
      </c>
      <c r="G7377">
        <v>-256.64589999999998</v>
      </c>
      <c r="H7377" s="1">
        <v>-2.8239950000000001E-6</v>
      </c>
      <c r="I7377">
        <v>-64.418099999999995</v>
      </c>
      <c r="J7377">
        <v>-274.59309999999999</v>
      </c>
      <c r="K7377">
        <v>1.110676</v>
      </c>
      <c r="L7377">
        <v>-64.752259999999893</v>
      </c>
      <c r="M7377">
        <v>0.99937330000000002</v>
      </c>
      <c r="N7377">
        <v>0</v>
      </c>
      <c r="O7377">
        <v>3.4610479999999999E-2</v>
      </c>
      <c r="P7377">
        <v>0.9859369</v>
      </c>
      <c r="Q7377">
        <v>0.1638059</v>
      </c>
      <c r="R7377">
        <v>3.3107480000000002E-2</v>
      </c>
      <c r="S7377">
        <v>3.072479</v>
      </c>
      <c r="T7377">
        <v>-0.1892124</v>
      </c>
      <c r="U7377">
        <v>5.7617189999999999E-2</v>
      </c>
      <c r="V7377">
        <v>6.5309760000000004E-4</v>
      </c>
      <c r="W7377">
        <v>0.17114119999999999</v>
      </c>
      <c r="X7377">
        <v>0.98524630000000002</v>
      </c>
      <c r="Y7377">
        <v>1.5771830000000001E-2</v>
      </c>
      <c r="Z7377">
        <v>-2.6139150000000001E-3</v>
      </c>
      <c r="AA7377">
        <v>0.99987219999999999</v>
      </c>
      <c r="AB7377">
        <v>19</v>
      </c>
      <c r="AC7377">
        <v>17.947199999999999</v>
      </c>
      <c r="AD7377">
        <v>-1.1106788239950001</v>
      </c>
      <c r="AE7377">
        <v>0.33415999999999701</v>
      </c>
      <c r="AF7377">
        <v>0.28612310744970798</v>
      </c>
      <c r="AG7377">
        <v>-1.1106788239950001</v>
      </c>
      <c r="AH7377">
        <v>17.879560010575201</v>
      </c>
      <c r="AI7377">
        <v>93.554194059051298</v>
      </c>
      <c r="AJ7377">
        <v>89.083185085744006</v>
      </c>
      <c r="AK7377">
        <v>17.916309331289401</v>
      </c>
      <c r="AL7377">
        <v>80.145822586214706</v>
      </c>
      <c r="AM7377">
        <v>89.962019922724593</v>
      </c>
      <c r="AN7377">
        <v>1.0000000042688</v>
      </c>
    </row>
    <row r="7378" spans="1:40" x14ac:dyDescent="0.25">
      <c r="A7378" t="str">
        <f>"20190312172257291"</f>
        <v>20190312172257291</v>
      </c>
      <c r="B7378" t="str">
        <f>"1552382577288245"</f>
        <v>1552382577288245</v>
      </c>
      <c r="C7378" t="s">
        <v>40</v>
      </c>
      <c r="D7378">
        <v>3.5019399999999998</v>
      </c>
      <c r="E7378">
        <v>0.50929760000000002</v>
      </c>
      <c r="F7378" t="s">
        <v>74</v>
      </c>
      <c r="G7378">
        <v>-256.63080000000002</v>
      </c>
      <c r="H7378" s="1">
        <v>-2.8188149999999998E-6</v>
      </c>
      <c r="I7378">
        <v>-64.417730000000006</v>
      </c>
      <c r="J7378">
        <v>-274.4975</v>
      </c>
      <c r="K7378">
        <v>1.110657</v>
      </c>
      <c r="L7378">
        <v>-64.747769999999903</v>
      </c>
      <c r="M7378">
        <v>0.99933709999999998</v>
      </c>
      <c r="N7378">
        <v>0</v>
      </c>
      <c r="O7378">
        <v>3.5640409999999997E-2</v>
      </c>
      <c r="P7378">
        <v>0.98598529999999995</v>
      </c>
      <c r="Q7378">
        <v>0.1635914</v>
      </c>
      <c r="R7378">
        <v>3.2726150000000002E-2</v>
      </c>
      <c r="S7378">
        <v>3.0724490000000002</v>
      </c>
      <c r="T7378">
        <v>-0.18998100000000001</v>
      </c>
      <c r="U7378">
        <v>5.7220460000000001E-2</v>
      </c>
      <c r="V7378">
        <v>2.0603610000000001E-3</v>
      </c>
      <c r="W7378">
        <v>0.17091799999999999</v>
      </c>
      <c r="X7378">
        <v>0.98528309999999997</v>
      </c>
      <c r="Y7378">
        <v>1.6926219999999999E-2</v>
      </c>
      <c r="Z7378">
        <v>-2.7237759999999998E-3</v>
      </c>
      <c r="AA7378">
        <v>0.99985299999999999</v>
      </c>
      <c r="AB7378">
        <v>19</v>
      </c>
      <c r="AC7378">
        <v>17.866699999999899</v>
      </c>
      <c r="AD7378">
        <v>-1.1106598188150001</v>
      </c>
      <c r="AE7378">
        <v>0.33003999999998201</v>
      </c>
      <c r="AF7378">
        <v>0.305782517794491</v>
      </c>
      <c r="AG7378">
        <v>-1.1106598188150001</v>
      </c>
      <c r="AH7378">
        <v>17.798356227578001</v>
      </c>
      <c r="AI7378">
        <v>93.570237483813102</v>
      </c>
      <c r="AJ7378">
        <v>89.015733586359104</v>
      </c>
      <c r="AK7378">
        <v>17.835597903773301</v>
      </c>
      <c r="AL7378">
        <v>80.158802180436894</v>
      </c>
      <c r="AM7378">
        <v>89.880186905162404</v>
      </c>
      <c r="AN7378">
        <v>0.99999999747852997</v>
      </c>
    </row>
    <row r="7379" spans="1:40" x14ac:dyDescent="0.25">
      <c r="A7379" t="str">
        <f>"20190312172257301"</f>
        <v>20190312172257301</v>
      </c>
      <c r="B7379" t="str">
        <f>"1552382577298005"</f>
        <v>1552382577298005</v>
      </c>
      <c r="C7379" t="s">
        <v>40</v>
      </c>
      <c r="D7379">
        <v>3.406765</v>
      </c>
      <c r="E7379">
        <v>0.50926640000000001</v>
      </c>
      <c r="F7379" t="s">
        <v>74</v>
      </c>
      <c r="G7379">
        <v>-256.55349999999999</v>
      </c>
      <c r="H7379" s="1">
        <v>-2.7935340000000001E-6</v>
      </c>
      <c r="I7379">
        <v>-64.425510000000003</v>
      </c>
      <c r="J7379">
        <v>-274.40289999999999</v>
      </c>
      <c r="K7379">
        <v>1.1106339999999999</v>
      </c>
      <c r="L7379">
        <v>-64.743290000000002</v>
      </c>
      <c r="M7379">
        <v>0.99930079999999999</v>
      </c>
      <c r="N7379">
        <v>0</v>
      </c>
      <c r="O7379">
        <v>3.6648649999999998E-2</v>
      </c>
      <c r="P7379">
        <v>0.98603700000000005</v>
      </c>
      <c r="Q7379">
        <v>0.16328099999999901</v>
      </c>
      <c r="R7379">
        <v>3.2721529999999999E-2</v>
      </c>
      <c r="S7379">
        <v>3.0723569999999998</v>
      </c>
      <c r="T7379">
        <v>-0.19016569999999999</v>
      </c>
      <c r="U7379">
        <v>5.5175780000000001E-2</v>
      </c>
      <c r="V7379">
        <v>3.0702479999999998E-3</v>
      </c>
      <c r="W7379">
        <v>0.17059759999999999</v>
      </c>
      <c r="X7379">
        <v>0.98533599999999999</v>
      </c>
      <c r="Y7379">
        <v>1.8594280000000001E-2</v>
      </c>
      <c r="Z7379">
        <v>-2.8403949999999999E-3</v>
      </c>
      <c r="AA7379">
        <v>0.99982309999999996</v>
      </c>
      <c r="AB7379">
        <v>19</v>
      </c>
      <c r="AC7379">
        <v>17.849399999999999</v>
      </c>
      <c r="AD7379">
        <v>-1.110636793534</v>
      </c>
      <c r="AE7379">
        <v>0.31777999999999901</v>
      </c>
      <c r="AF7379">
        <v>0.33531003210897797</v>
      </c>
      <c r="AG7379">
        <v>-1.110636793534</v>
      </c>
      <c r="AH7379">
        <v>17.780237698904301</v>
      </c>
      <c r="AI7379">
        <v>93.573684570666899</v>
      </c>
      <c r="AJ7379">
        <v>88.919611034450696</v>
      </c>
      <c r="AK7379">
        <v>17.818047017962499</v>
      </c>
      <c r="AL7379">
        <v>80.177433411414299</v>
      </c>
      <c r="AM7379">
        <v>89.821470358186204</v>
      </c>
      <c r="AN7379">
        <v>1.00000000022227</v>
      </c>
    </row>
    <row r="7380" spans="1:40" x14ac:dyDescent="0.25">
      <c r="A7380" t="str">
        <f>"20190312172257313"</f>
        <v>20190312172257313</v>
      </c>
      <c r="B7380" t="str">
        <f>"1552382577307765"</f>
        <v>1552382577307765</v>
      </c>
      <c r="C7380" t="s">
        <v>40</v>
      </c>
      <c r="D7380">
        <v>3.4071660000000001</v>
      </c>
      <c r="E7380">
        <v>0.50926510000000003</v>
      </c>
      <c r="F7380" t="s">
        <v>74</v>
      </c>
      <c r="G7380">
        <v>-256.54270000000002</v>
      </c>
      <c r="H7380" s="1">
        <v>-2.789418E-6</v>
      </c>
      <c r="I7380">
        <v>-64.422179999999997</v>
      </c>
      <c r="J7380">
        <v>-274.30579999999998</v>
      </c>
      <c r="K7380">
        <v>1.110608</v>
      </c>
      <c r="L7380">
        <v>-64.738590000000002</v>
      </c>
      <c r="M7380">
        <v>0.99926389999999998</v>
      </c>
      <c r="N7380">
        <v>0</v>
      </c>
      <c r="O7380">
        <v>3.7644049999999998E-2</v>
      </c>
      <c r="P7380">
        <v>0.98607690000000003</v>
      </c>
      <c r="Q7380">
        <v>0.16309379999999901</v>
      </c>
      <c r="R7380">
        <v>3.2450529999999998E-2</v>
      </c>
      <c r="S7380">
        <v>3.072327</v>
      </c>
      <c r="T7380">
        <v>-0.19105240000000001</v>
      </c>
      <c r="U7380">
        <v>5.5236819999999999E-2</v>
      </c>
      <c r="V7380">
        <v>4.3348359999999999E-3</v>
      </c>
      <c r="W7380">
        <v>0.1704003</v>
      </c>
      <c r="X7380">
        <v>0.98536539999999995</v>
      </c>
      <c r="Y7380">
        <v>1.9565389999999998E-2</v>
      </c>
      <c r="Z7380">
        <v>-2.9455969999999999E-3</v>
      </c>
      <c r="AA7380">
        <v>0.99980429999999998</v>
      </c>
      <c r="AB7380">
        <v>19</v>
      </c>
      <c r="AC7380">
        <v>17.763099999999898</v>
      </c>
      <c r="AD7380">
        <v>-1.110610789418</v>
      </c>
      <c r="AE7380">
        <v>0.31640999999998998</v>
      </c>
      <c r="AF7380">
        <v>0.35113533696889399</v>
      </c>
      <c r="AG7380">
        <v>-1.110610789418</v>
      </c>
      <c r="AH7380">
        <v>17.693275956658798</v>
      </c>
      <c r="AI7380">
        <v>93.591050975046997</v>
      </c>
      <c r="AJ7380">
        <v>88.863074747961093</v>
      </c>
      <c r="AK7380">
        <v>17.7315754074171</v>
      </c>
      <c r="AL7380">
        <v>80.188905969275197</v>
      </c>
      <c r="AM7380">
        <v>89.747945071472699</v>
      </c>
      <c r="AN7380">
        <v>1.00000001228019</v>
      </c>
    </row>
    <row r="7381" spans="1:40" x14ac:dyDescent="0.25">
      <c r="A7381" t="str">
        <f>"20190312172257325"</f>
        <v>20190312172257325</v>
      </c>
      <c r="B7381" t="str">
        <f>"1552382577317525"</f>
        <v>1552382577317525</v>
      </c>
      <c r="C7381" t="s">
        <v>40</v>
      </c>
      <c r="D7381">
        <v>3.4128530000000001</v>
      </c>
      <c r="E7381">
        <v>0.50923370000000001</v>
      </c>
      <c r="F7381" t="s">
        <v>74</v>
      </c>
      <c r="G7381">
        <v>-256.50240000000002</v>
      </c>
      <c r="H7381" s="1">
        <v>-2.7760280000000001E-6</v>
      </c>
      <c r="I7381">
        <v>-64.424499999999995</v>
      </c>
      <c r="J7381">
        <v>-274.21190000000001</v>
      </c>
      <c r="K7381">
        <v>1.110582</v>
      </c>
      <c r="L7381">
        <v>-64.733980000000003</v>
      </c>
      <c r="M7381">
        <v>0.99922809999999995</v>
      </c>
      <c r="N7381">
        <v>0</v>
      </c>
      <c r="O7381">
        <v>3.858723E-2</v>
      </c>
      <c r="P7381">
        <v>0.98609990000000003</v>
      </c>
      <c r="Q7381">
        <v>0.16300829999999999</v>
      </c>
      <c r="R7381">
        <v>3.2176999999999997E-2</v>
      </c>
      <c r="S7381">
        <v>3.072235</v>
      </c>
      <c r="T7381">
        <v>-0.19165219999999999</v>
      </c>
      <c r="U7381">
        <v>5.4199219999999999E-2</v>
      </c>
      <c r="V7381">
        <v>5.5494530000000002E-3</v>
      </c>
      <c r="W7381">
        <v>0.17030390000000001</v>
      </c>
      <c r="X7381">
        <v>0.98537589999999997</v>
      </c>
      <c r="Y7381">
        <v>2.0841100000000001E-2</v>
      </c>
      <c r="Z7381">
        <v>-3.0534109999999998E-3</v>
      </c>
      <c r="AA7381">
        <v>0.99977819999999995</v>
      </c>
      <c r="AB7381">
        <v>19</v>
      </c>
      <c r="AC7381">
        <v>17.709499999999899</v>
      </c>
      <c r="AD7381">
        <v>-1.1105847760280001</v>
      </c>
      <c r="AE7381">
        <v>0.30948000000000703</v>
      </c>
      <c r="AF7381">
        <v>0.372664451827106</v>
      </c>
      <c r="AG7381">
        <v>-1.1105847760280001</v>
      </c>
      <c r="AH7381">
        <v>17.638904831946899</v>
      </c>
      <c r="AI7381">
        <v>93.601912687614004</v>
      </c>
      <c r="AJ7381">
        <v>88.789668386102093</v>
      </c>
      <c r="AK7381">
        <v>17.677761199000301</v>
      </c>
      <c r="AL7381">
        <v>80.194510492483303</v>
      </c>
      <c r="AM7381">
        <v>89.677324284108494</v>
      </c>
      <c r="AN7381">
        <v>0.99999993954230704</v>
      </c>
    </row>
    <row r="7382" spans="1:40" x14ac:dyDescent="0.25">
      <c r="A7382" t="str">
        <f>"20190312172257335"</f>
        <v>20190312172257335</v>
      </c>
      <c r="B7382" t="str">
        <f>"1552382577327285"</f>
        <v>1552382577327285</v>
      </c>
      <c r="C7382" t="s">
        <v>40</v>
      </c>
      <c r="D7382">
        <v>3.3996439999999999</v>
      </c>
      <c r="E7382">
        <v>0.50922400000000001</v>
      </c>
      <c r="F7382" t="s">
        <v>74</v>
      </c>
      <c r="G7382">
        <v>-256.42790000000002</v>
      </c>
      <c r="H7382" s="1">
        <v>-2.7506130000000001E-6</v>
      </c>
      <c r="I7382">
        <v>-64.424130000000005</v>
      </c>
      <c r="J7382">
        <v>-274.12180000000001</v>
      </c>
      <c r="K7382">
        <v>1.1105579999999999</v>
      </c>
      <c r="L7382">
        <v>-64.729489999999998</v>
      </c>
      <c r="M7382">
        <v>0.99919349999999996</v>
      </c>
      <c r="N7382">
        <v>0</v>
      </c>
      <c r="O7382">
        <v>3.9468969999999999E-2</v>
      </c>
      <c r="P7382">
        <v>0.98611210000000005</v>
      </c>
      <c r="Q7382">
        <v>0.16300429999999999</v>
      </c>
      <c r="R7382">
        <v>3.1818840000000001E-2</v>
      </c>
      <c r="S7382">
        <v>3.0722960000000001</v>
      </c>
      <c r="T7382">
        <v>-0.1918599</v>
      </c>
      <c r="U7382">
        <v>5.3527829999999998E-2</v>
      </c>
      <c r="V7382">
        <v>6.7872360000000003E-3</v>
      </c>
      <c r="W7382">
        <v>0.17028840000000001</v>
      </c>
      <c r="X7382">
        <v>0.98537090000000005</v>
      </c>
      <c r="Y7382">
        <v>2.1937999999999999E-2</v>
      </c>
      <c r="Z7382">
        <v>-3.1458419999999998E-3</v>
      </c>
      <c r="AA7382">
        <v>0.99975440000000004</v>
      </c>
      <c r="AB7382">
        <v>19</v>
      </c>
      <c r="AC7382">
        <v>17.6938999999999</v>
      </c>
      <c r="AD7382">
        <v>-1.110560750613</v>
      </c>
      <c r="AE7382">
        <v>0.30535999999999303</v>
      </c>
      <c r="AF7382">
        <v>0.39171432104058801</v>
      </c>
      <c r="AG7382">
        <v>-1.110560750613</v>
      </c>
      <c r="AH7382">
        <v>17.622761053683401</v>
      </c>
      <c r="AI7382">
        <v>93.605040103113097</v>
      </c>
      <c r="AJ7382">
        <v>88.726653437373997</v>
      </c>
      <c r="AK7382">
        <v>17.662063651944301</v>
      </c>
      <c r="AL7382">
        <v>80.195412421116998</v>
      </c>
      <c r="AM7382">
        <v>89.605352839774</v>
      </c>
      <c r="AN7382">
        <v>1.00000000815694</v>
      </c>
    </row>
    <row r="7383" spans="1:40" x14ac:dyDescent="0.25">
      <c r="A7383" t="str">
        <f>"20190312172257345"</f>
        <v>20190312172257345</v>
      </c>
      <c r="B7383" t="str">
        <f>"1552382577338022"</f>
        <v>1552382577338022</v>
      </c>
      <c r="C7383" t="s">
        <v>40</v>
      </c>
      <c r="D7383">
        <v>3.3920050000000002</v>
      </c>
      <c r="E7383">
        <v>0.50916969999999995</v>
      </c>
      <c r="F7383" t="s">
        <v>74</v>
      </c>
      <c r="G7383">
        <v>-256.29599999999999</v>
      </c>
      <c r="H7383" s="1">
        <v>-2.7059950000000001E-6</v>
      </c>
      <c r="I7383">
        <v>-64.425989999999999</v>
      </c>
      <c r="J7383">
        <v>-274.03199999999998</v>
      </c>
      <c r="K7383">
        <v>1.110533</v>
      </c>
      <c r="L7383">
        <v>-64.724980000000002</v>
      </c>
      <c r="M7383">
        <v>0.99915969999999998</v>
      </c>
      <c r="N7383">
        <v>0</v>
      </c>
      <c r="O7383">
        <v>4.0321559999999999E-2</v>
      </c>
      <c r="P7383">
        <v>0.98610469999999895</v>
      </c>
      <c r="Q7383">
        <v>0.16309279999999901</v>
      </c>
      <c r="R7383">
        <v>3.1600650000000001E-2</v>
      </c>
      <c r="S7383">
        <v>3.0722049999999999</v>
      </c>
      <c r="T7383">
        <v>-0.19140090000000001</v>
      </c>
      <c r="U7383">
        <v>5.230713E-2</v>
      </c>
      <c r="V7383">
        <v>7.8554319999999903E-3</v>
      </c>
      <c r="W7383">
        <v>0.17036409999999999</v>
      </c>
      <c r="X7383">
        <v>0.9853499</v>
      </c>
      <c r="Y7383">
        <v>2.3184159999999999E-2</v>
      </c>
      <c r="Z7383">
        <v>-3.2302390000000002E-3</v>
      </c>
      <c r="AA7383">
        <v>0.999726</v>
      </c>
      <c r="AB7383">
        <v>19</v>
      </c>
      <c r="AC7383">
        <v>17.735999999999901</v>
      </c>
      <c r="AD7383">
        <v>-1.1105357059950001</v>
      </c>
      <c r="AE7383">
        <v>0.29899000000000298</v>
      </c>
      <c r="AF7383">
        <v>0.41478991884107802</v>
      </c>
      <c r="AG7383">
        <v>-1.1105357059950001</v>
      </c>
      <c r="AH7383">
        <v>17.664396039533301</v>
      </c>
      <c r="AI7383">
        <v>93.596381713460204</v>
      </c>
      <c r="AJ7383">
        <v>88.654845313262101</v>
      </c>
      <c r="AK7383">
        <v>17.704130243322901</v>
      </c>
      <c r="AL7383">
        <v>80.191011028575801</v>
      </c>
      <c r="AM7383">
        <v>89.543234778836194</v>
      </c>
      <c r="AN7383">
        <v>1.00000002990536</v>
      </c>
    </row>
    <row r="7384" spans="1:40" x14ac:dyDescent="0.25">
      <c r="A7384" t="str">
        <f>"20190312172257356"</f>
        <v>20190312172257356</v>
      </c>
      <c r="B7384" t="str">
        <f>"1552382577347782"</f>
        <v>1552382577347782</v>
      </c>
      <c r="C7384" t="s">
        <v>40</v>
      </c>
      <c r="D7384">
        <v>3.3868299999999998</v>
      </c>
      <c r="E7384">
        <v>0.50918819999999998</v>
      </c>
      <c r="F7384" t="s">
        <v>74</v>
      </c>
      <c r="G7384">
        <v>-256.161</v>
      </c>
      <c r="H7384" s="1">
        <v>-2.6595440000000001E-6</v>
      </c>
      <c r="I7384">
        <v>-64.422119999999893</v>
      </c>
      <c r="J7384">
        <v>-273.93720000000002</v>
      </c>
      <c r="K7384">
        <v>1.110503</v>
      </c>
      <c r="L7384">
        <v>-64.720179999999999</v>
      </c>
      <c r="M7384">
        <v>0.99912389999999995</v>
      </c>
      <c r="N7384">
        <v>0</v>
      </c>
      <c r="O7384">
        <v>4.1202820000000001E-2</v>
      </c>
      <c r="P7384">
        <v>0.98613669999999998</v>
      </c>
      <c r="Q7384">
        <v>0.1629311</v>
      </c>
      <c r="R7384">
        <v>3.1433240000000001E-2</v>
      </c>
      <c r="S7384">
        <v>3.072174</v>
      </c>
      <c r="T7384">
        <v>-0.1909103</v>
      </c>
      <c r="U7384">
        <v>5.2062990000000003E-2</v>
      </c>
      <c r="V7384">
        <v>8.904202E-3</v>
      </c>
      <c r="W7384">
        <v>0.170188899999999</v>
      </c>
      <c r="X7384">
        <v>0.9853712</v>
      </c>
      <c r="Y7384">
        <v>2.4142250000000001E-2</v>
      </c>
      <c r="Z7384">
        <v>-3.3064129999999998E-3</v>
      </c>
      <c r="AA7384">
        <v>0.99970300000000001</v>
      </c>
      <c r="AB7384">
        <v>19</v>
      </c>
      <c r="AC7384">
        <v>17.776199999999999</v>
      </c>
      <c r="AD7384">
        <v>-1.1105056595439999</v>
      </c>
      <c r="AE7384">
        <v>0.29806000000000599</v>
      </c>
      <c r="AF7384">
        <v>0.43295317688345297</v>
      </c>
      <c r="AG7384">
        <v>-1.1105056595439999</v>
      </c>
      <c r="AH7384">
        <v>17.704309982980899</v>
      </c>
      <c r="AI7384">
        <v>93.5881147226183</v>
      </c>
      <c r="AJ7384">
        <v>88.599129445813205</v>
      </c>
      <c r="AK7384">
        <v>17.744386809544299</v>
      </c>
      <c r="AL7384">
        <v>80.201197464534602</v>
      </c>
      <c r="AM7384">
        <v>89.482266876778496</v>
      </c>
      <c r="AN7384">
        <v>0.99999997414295305</v>
      </c>
    </row>
    <row r="7385" spans="1:40" x14ac:dyDescent="0.25">
      <c r="A7385" t="str">
        <f>"20190312172257369"</f>
        <v>20190312172257369</v>
      </c>
      <c r="B7385" t="str">
        <f>"1552382577357542"</f>
        <v>1552382577357542</v>
      </c>
      <c r="C7385" t="s">
        <v>40</v>
      </c>
      <c r="D7385">
        <v>3.4031600000000002</v>
      </c>
      <c r="E7385">
        <v>0.50921450000000001</v>
      </c>
      <c r="F7385" t="s">
        <v>74</v>
      </c>
      <c r="G7385">
        <v>-256.11450000000002</v>
      </c>
      <c r="H7385" s="1">
        <v>-2.6439970000000001E-6</v>
      </c>
      <c r="I7385">
        <v>-64.424350000000004</v>
      </c>
      <c r="J7385">
        <v>-273.84039999999999</v>
      </c>
      <c r="K7385">
        <v>1.1104719999999999</v>
      </c>
      <c r="L7385">
        <v>-64.715209999999999</v>
      </c>
      <c r="M7385">
        <v>0.99908819999999998</v>
      </c>
      <c r="N7385">
        <v>0</v>
      </c>
      <c r="O7385">
        <v>4.2063379999999997E-2</v>
      </c>
      <c r="P7385">
        <v>0.98613070000000003</v>
      </c>
      <c r="Q7385">
        <v>0.16296240000000001</v>
      </c>
      <c r="R7385">
        <v>3.1465010000000002E-2</v>
      </c>
      <c r="S7385">
        <v>3.0722049999999999</v>
      </c>
      <c r="T7385">
        <v>-0.19142400000000001</v>
      </c>
      <c r="U7385">
        <v>5.0994869999999998E-2</v>
      </c>
      <c r="V7385">
        <v>9.7319559999999999E-3</v>
      </c>
      <c r="W7385">
        <v>0.17020339999999901</v>
      </c>
      <c r="X7385">
        <v>0.98536089999999998</v>
      </c>
      <c r="Y7385">
        <v>2.5346270000000001E-2</v>
      </c>
      <c r="Z7385">
        <v>-3.4062670000000001E-3</v>
      </c>
      <c r="AA7385">
        <v>0.99967289999999998</v>
      </c>
      <c r="AB7385">
        <v>19</v>
      </c>
      <c r="AC7385">
        <v>17.7258999999999</v>
      </c>
      <c r="AD7385">
        <v>-1.1104746439969999</v>
      </c>
      <c r="AE7385">
        <v>0.29085999999999501</v>
      </c>
      <c r="AF7385">
        <v>0.45325026348639103</v>
      </c>
      <c r="AG7385">
        <v>-1.1104746439969999</v>
      </c>
      <c r="AH7385">
        <v>17.6531817611002</v>
      </c>
      <c r="AI7385">
        <v>93.598269603982502</v>
      </c>
      <c r="AJ7385">
        <v>88.5292383394994</v>
      </c>
      <c r="AK7385">
        <v>17.6938807508911</v>
      </c>
      <c r="AL7385">
        <v>80.2003546884375</v>
      </c>
      <c r="AM7385">
        <v>89.434134360606905</v>
      </c>
      <c r="AN7385">
        <v>1.00000000579397</v>
      </c>
    </row>
    <row r="7386" spans="1:40" x14ac:dyDescent="0.25">
      <c r="A7386" t="str">
        <f>"20190312172257380"</f>
        <v>20190312172257380</v>
      </c>
      <c r="B7386" t="str">
        <f>"1552382577367302"</f>
        <v>1552382577367302</v>
      </c>
      <c r="C7386" t="s">
        <v>40</v>
      </c>
      <c r="D7386">
        <v>3.3732289999999998</v>
      </c>
      <c r="E7386">
        <v>0.50918560000000002</v>
      </c>
      <c r="F7386" t="s">
        <v>74</v>
      </c>
      <c r="G7386">
        <v>-255.9605</v>
      </c>
      <c r="H7386" s="1">
        <v>-2.590889E-6</v>
      </c>
      <c r="I7386">
        <v>-64.420719999999903</v>
      </c>
      <c r="J7386">
        <v>-273.74259999999998</v>
      </c>
      <c r="K7386">
        <v>1.1104419999999999</v>
      </c>
      <c r="L7386">
        <v>-64.710139999999996</v>
      </c>
      <c r="M7386">
        <v>0.99905189999999999</v>
      </c>
      <c r="N7386">
        <v>0</v>
      </c>
      <c r="O7386">
        <v>4.2919409999999998E-2</v>
      </c>
      <c r="P7386">
        <v>0.98610500000000001</v>
      </c>
      <c r="Q7386">
        <v>0.16307459999999999</v>
      </c>
      <c r="R7386">
        <v>3.16829E-2</v>
      </c>
      <c r="S7386">
        <v>3.0721129999999999</v>
      </c>
      <c r="T7386">
        <v>-0.190801</v>
      </c>
      <c r="U7386">
        <v>5.059814E-2</v>
      </c>
      <c r="V7386">
        <v>1.036895E-2</v>
      </c>
      <c r="W7386">
        <v>0.170298799999999</v>
      </c>
      <c r="X7386">
        <v>0.98533789999999999</v>
      </c>
      <c r="Y7386">
        <v>2.632866E-2</v>
      </c>
      <c r="Z7386">
        <v>-3.4788499999999999E-3</v>
      </c>
      <c r="AA7386">
        <v>0.99964730000000002</v>
      </c>
      <c r="AB7386">
        <v>19</v>
      </c>
      <c r="AC7386">
        <v>17.7820999999999</v>
      </c>
      <c r="AD7386">
        <v>-1.1104445908889999</v>
      </c>
      <c r="AE7386">
        <v>0.28942000000000601</v>
      </c>
      <c r="AF7386">
        <v>0.47222322959806001</v>
      </c>
      <c r="AG7386">
        <v>-1.1104445908889999</v>
      </c>
      <c r="AH7386">
        <v>17.709094348874601</v>
      </c>
      <c r="AI7386">
        <v>93.5867490901569</v>
      </c>
      <c r="AJ7386">
        <v>88.472536912331293</v>
      </c>
      <c r="AK7386">
        <v>17.7501578760683</v>
      </c>
      <c r="AL7386">
        <v>80.194807500688498</v>
      </c>
      <c r="AM7386">
        <v>89.397084853221202</v>
      </c>
      <c r="AN7386">
        <v>0.99999998679097601</v>
      </c>
    </row>
    <row r="7387" spans="1:40" x14ac:dyDescent="0.25">
      <c r="A7387" t="str">
        <f>"20190312172257391"</f>
        <v>20190312172257391</v>
      </c>
      <c r="B7387" t="str">
        <f>"1552382577387797"</f>
        <v>1552382577387797</v>
      </c>
      <c r="C7387" t="s">
        <v>40</v>
      </c>
      <c r="D7387">
        <v>3.3411300000000002</v>
      </c>
      <c r="E7387">
        <v>0.50905230000000001</v>
      </c>
      <c r="F7387" t="s">
        <v>74</v>
      </c>
      <c r="G7387">
        <v>-255.8082</v>
      </c>
      <c r="H7387" s="1">
        <v>-2.5236069999999998E-6</v>
      </c>
      <c r="I7387">
        <v>-64.411900000000003</v>
      </c>
      <c r="J7387">
        <v>-273.6472</v>
      </c>
      <c r="K7387">
        <v>1.110414</v>
      </c>
      <c r="L7387">
        <v>-64.705169999999995</v>
      </c>
      <c r="M7387">
        <v>0.99901799999999996</v>
      </c>
      <c r="N7387">
        <v>0</v>
      </c>
      <c r="O7387">
        <v>4.3701999999999998E-2</v>
      </c>
      <c r="P7387">
        <v>0.98607009999999995</v>
      </c>
      <c r="Q7387">
        <v>0.16323219999999999</v>
      </c>
      <c r="R7387">
        <v>3.1955119999999997E-2</v>
      </c>
      <c r="S7387">
        <v>3.0720830000000001</v>
      </c>
      <c r="T7387">
        <v>-0.1902142</v>
      </c>
      <c r="U7387">
        <v>5.1086430000000002E-2</v>
      </c>
      <c r="V7387">
        <v>1.0878830000000001E-2</v>
      </c>
      <c r="W7387">
        <v>0.17043929999999999</v>
      </c>
      <c r="X7387">
        <v>0.98530810000000002</v>
      </c>
      <c r="Y7387">
        <v>2.6950849999999998E-2</v>
      </c>
      <c r="Z7387">
        <v>-3.5358059999999998E-3</v>
      </c>
      <c r="AA7387">
        <v>0.99963049999999998</v>
      </c>
      <c r="AB7387">
        <v>19</v>
      </c>
      <c r="AC7387">
        <v>17.838999999999999</v>
      </c>
      <c r="AD7387">
        <v>-1.110416523607</v>
      </c>
      <c r="AE7387">
        <v>0.29326999999999198</v>
      </c>
      <c r="AF7387">
        <v>0.48475317238930299</v>
      </c>
      <c r="AG7387">
        <v>-1.110416523607</v>
      </c>
      <c r="AH7387">
        <v>17.7659547445949</v>
      </c>
      <c r="AI7387">
        <v>93.575149707944504</v>
      </c>
      <c r="AJ7387">
        <v>88.437043113667201</v>
      </c>
      <c r="AK7387">
        <v>17.807222087710201</v>
      </c>
      <c r="AL7387">
        <v>80.186637920378601</v>
      </c>
      <c r="AM7387">
        <v>89.367420486322004</v>
      </c>
      <c r="AN7387">
        <v>0.99999997792613404</v>
      </c>
    </row>
    <row r="7388" spans="1:40" x14ac:dyDescent="0.25">
      <c r="A7388" t="str">
        <f>"20190312172257403"</f>
        <v>20190312172257403</v>
      </c>
      <c r="B7388" t="str">
        <f>"1552382577397557"</f>
        <v>1552382577397557</v>
      </c>
      <c r="C7388" t="s">
        <v>40</v>
      </c>
      <c r="D7388">
        <v>3.3841380000000001</v>
      </c>
      <c r="E7388">
        <v>0.50904970000000005</v>
      </c>
      <c r="F7388" t="s">
        <v>74</v>
      </c>
      <c r="G7388">
        <v>-255.61879999999999</v>
      </c>
      <c r="H7388" s="1">
        <v>-2.438866E-6</v>
      </c>
      <c r="I7388">
        <v>-64.396230000000003</v>
      </c>
      <c r="J7388">
        <v>-273.55090000000001</v>
      </c>
      <c r="K7388">
        <v>1.110384</v>
      </c>
      <c r="L7388">
        <v>-64.700069999999997</v>
      </c>
      <c r="M7388">
        <v>0.99898390000000004</v>
      </c>
      <c r="N7388">
        <v>0</v>
      </c>
      <c r="O7388">
        <v>4.4478749999999997E-2</v>
      </c>
      <c r="P7388">
        <v>0.98601079999999997</v>
      </c>
      <c r="Q7388">
        <v>0.16358900000000001</v>
      </c>
      <c r="R7388">
        <v>3.1955940000000002E-2</v>
      </c>
      <c r="S7388">
        <v>3.0720209999999999</v>
      </c>
      <c r="T7388">
        <v>-0.18921389999999999</v>
      </c>
      <c r="U7388">
        <v>5.264282E-2</v>
      </c>
      <c r="V7388">
        <v>1.1652879999999999E-2</v>
      </c>
      <c r="W7388">
        <v>0.17077899999999999</v>
      </c>
      <c r="X7388">
        <v>0.98524049999999996</v>
      </c>
      <c r="Y7388">
        <v>2.7220879999999999E-2</v>
      </c>
      <c r="Z7388">
        <v>-3.5733509999999998E-3</v>
      </c>
      <c r="AA7388">
        <v>0.99962309999999999</v>
      </c>
      <c r="AB7388">
        <v>19</v>
      </c>
      <c r="AC7388">
        <v>17.932099999999998</v>
      </c>
      <c r="AD7388">
        <v>-1.1103864388660001</v>
      </c>
      <c r="AE7388">
        <v>0.303839999999993</v>
      </c>
      <c r="AF7388">
        <v>0.49219249899405498</v>
      </c>
      <c r="AG7388">
        <v>-1.1103864388660001</v>
      </c>
      <c r="AH7388">
        <v>17.859408333196399</v>
      </c>
      <c r="AI7388">
        <v>93.556367311913704</v>
      </c>
      <c r="AJ7388">
        <v>88.421368947193997</v>
      </c>
      <c r="AK7388">
        <v>17.9006613707854</v>
      </c>
      <c r="AL7388">
        <v>80.166885653060902</v>
      </c>
      <c r="AM7388">
        <v>89.322368789049705</v>
      </c>
      <c r="AN7388">
        <v>1.00000004964677</v>
      </c>
    </row>
    <row r="7389" spans="1:40" x14ac:dyDescent="0.25">
      <c r="A7389" t="str">
        <f>"20190312172257415"</f>
        <v>20190312172257415</v>
      </c>
      <c r="B7389" t="str">
        <f>"1552382577407317"</f>
        <v>1552382577407317</v>
      </c>
      <c r="C7389" t="s">
        <v>40</v>
      </c>
      <c r="D7389">
        <v>3.361831</v>
      </c>
      <c r="E7389">
        <v>0.50900610000000002</v>
      </c>
      <c r="F7389" t="s">
        <v>74</v>
      </c>
      <c r="G7389">
        <v>-255.38239999999999</v>
      </c>
      <c r="H7389" s="1">
        <v>-2.3357509999999999E-6</v>
      </c>
      <c r="I7389">
        <v>-64.388559999999998</v>
      </c>
      <c r="J7389">
        <v>-273.44990000000001</v>
      </c>
      <c r="K7389">
        <v>1.110355</v>
      </c>
      <c r="L7389">
        <v>-64.694670000000002</v>
      </c>
      <c r="M7389">
        <v>0.99894930000000004</v>
      </c>
      <c r="N7389">
        <v>0</v>
      </c>
      <c r="O7389">
        <v>4.5253460000000002E-2</v>
      </c>
      <c r="P7389">
        <v>0.98600390000000004</v>
      </c>
      <c r="Q7389">
        <v>0.16362179999999901</v>
      </c>
      <c r="R7389">
        <v>3.2012489999999998E-2</v>
      </c>
      <c r="S7389">
        <v>3.0720830000000001</v>
      </c>
      <c r="T7389">
        <v>-0.18775330000000001</v>
      </c>
      <c r="U7389">
        <v>5.2673339999999999E-2</v>
      </c>
      <c r="V7389">
        <v>1.2371999999999999E-2</v>
      </c>
      <c r="W7389">
        <v>0.170795</v>
      </c>
      <c r="X7389">
        <v>0.98522889999999996</v>
      </c>
      <c r="Y7389">
        <v>2.798573E-2</v>
      </c>
      <c r="Z7389">
        <v>-3.6163530000000001E-3</v>
      </c>
      <c r="AA7389">
        <v>0.99960179999999998</v>
      </c>
      <c r="AB7389">
        <v>19</v>
      </c>
      <c r="AC7389">
        <v>18.067499999999999</v>
      </c>
      <c r="AD7389">
        <v>-1.1103573357509999</v>
      </c>
      <c r="AE7389">
        <v>0.30611000000000299</v>
      </c>
      <c r="AF7389">
        <v>0.50991660956780804</v>
      </c>
      <c r="AG7389">
        <v>-1.1103573357509999</v>
      </c>
      <c r="AH7389">
        <v>17.994897976154601</v>
      </c>
      <c r="AI7389">
        <v>93.529489462577203</v>
      </c>
      <c r="AJ7389">
        <v>88.376859176633801</v>
      </c>
      <c r="AK7389">
        <v>18.036331709468602</v>
      </c>
      <c r="AL7389">
        <v>80.165954677638595</v>
      </c>
      <c r="AM7389">
        <v>89.280546756880796</v>
      </c>
      <c r="AN7389">
        <v>0.99999999190210498</v>
      </c>
    </row>
    <row r="7390" spans="1:40" x14ac:dyDescent="0.25">
      <c r="A7390" t="str">
        <f>"20190312172257425"</f>
        <v>20190312172257425</v>
      </c>
      <c r="B7390" t="str">
        <f>"1552382577418054"</f>
        <v>1552382577418054</v>
      </c>
      <c r="C7390" t="s">
        <v>40</v>
      </c>
      <c r="D7390">
        <v>3.3867850000000002</v>
      </c>
      <c r="E7390">
        <v>0.50899799999999995</v>
      </c>
      <c r="F7390" t="s">
        <v>74</v>
      </c>
      <c r="G7390">
        <v>-255.2345</v>
      </c>
      <c r="H7390" s="1">
        <v>-2.270059E-6</v>
      </c>
      <c r="I7390">
        <v>-64.378540000000001</v>
      </c>
      <c r="J7390">
        <v>-273.35570000000001</v>
      </c>
      <c r="K7390">
        <v>1.110325</v>
      </c>
      <c r="L7390">
        <v>-64.689610000000002</v>
      </c>
      <c r="M7390">
        <v>0.99891759999999996</v>
      </c>
      <c r="N7390">
        <v>0</v>
      </c>
      <c r="O7390">
        <v>4.5950329999999998E-2</v>
      </c>
      <c r="P7390">
        <v>0.98597760000000001</v>
      </c>
      <c r="Q7390">
        <v>0.16377449999999999</v>
      </c>
      <c r="R7390">
        <v>3.2033939999999997E-2</v>
      </c>
      <c r="S7390">
        <v>3.0719599999999998</v>
      </c>
      <c r="T7390">
        <v>-0.18725800000000001</v>
      </c>
      <c r="U7390">
        <v>5.3314210000000001E-2</v>
      </c>
      <c r="V7390">
        <v>1.304816E-2</v>
      </c>
      <c r="W7390">
        <v>0.17093259999999999</v>
      </c>
      <c r="X7390">
        <v>0.98519630000000002</v>
      </c>
      <c r="Y7390">
        <v>2.8472419999999998E-2</v>
      </c>
      <c r="Z7390">
        <v>-3.6641780000000001E-3</v>
      </c>
      <c r="AA7390">
        <v>0.99958780000000003</v>
      </c>
      <c r="AB7390">
        <v>19</v>
      </c>
      <c r="AC7390">
        <v>18.121200000000002</v>
      </c>
      <c r="AD7390">
        <v>-1.1103272700589999</v>
      </c>
      <c r="AE7390">
        <v>0.31107000000000001</v>
      </c>
      <c r="AF7390">
        <v>0.52000377306974099</v>
      </c>
      <c r="AG7390">
        <v>-1.1103272700589999</v>
      </c>
      <c r="AH7390">
        <v>18.0486123763778</v>
      </c>
      <c r="AI7390">
        <v>93.518869194879798</v>
      </c>
      <c r="AJ7390">
        <v>88.349691316960602</v>
      </c>
      <c r="AK7390">
        <v>18.090208381425001</v>
      </c>
      <c r="AL7390">
        <v>80.157952983088194</v>
      </c>
      <c r="AM7390">
        <v>89.241206254315202</v>
      </c>
      <c r="AN7390">
        <v>0.99999997887791703</v>
      </c>
    </row>
    <row r="7391" spans="1:40" x14ac:dyDescent="0.25">
      <c r="A7391" t="str">
        <f>"20190312172257436"</f>
        <v>20190312172257436</v>
      </c>
      <c r="B7391" t="str">
        <f>"1552382577427814"</f>
        <v>1552382577427814</v>
      </c>
      <c r="C7391" t="s">
        <v>40</v>
      </c>
      <c r="D7391">
        <v>3.360052</v>
      </c>
      <c r="E7391">
        <v>0.50899159999999999</v>
      </c>
      <c r="F7391" t="s">
        <v>74</v>
      </c>
      <c r="G7391">
        <v>-255.0823</v>
      </c>
      <c r="H7391" s="1">
        <v>-2.2032459999999999E-6</v>
      </c>
      <c r="I7391">
        <v>-64.371729999999999</v>
      </c>
      <c r="J7391">
        <v>-273.25799999999998</v>
      </c>
      <c r="K7391">
        <v>1.110295</v>
      </c>
      <c r="L7391">
        <v>-64.684359999999998</v>
      </c>
      <c r="M7391">
        <v>0.99888529999999998</v>
      </c>
      <c r="N7391">
        <v>0</v>
      </c>
      <c r="O7391">
        <v>4.6647269999999998E-2</v>
      </c>
      <c r="P7391">
        <v>0.98598269999999999</v>
      </c>
      <c r="Q7391">
        <v>0.16368070000000001</v>
      </c>
      <c r="R7391">
        <v>3.2359230000000003E-2</v>
      </c>
      <c r="S7391">
        <v>3.07193</v>
      </c>
      <c r="T7391">
        <v>-0.1866564</v>
      </c>
      <c r="U7391">
        <v>5.3436280000000003E-2</v>
      </c>
      <c r="V7391">
        <v>1.342285E-2</v>
      </c>
      <c r="W7391">
        <v>0.17082220000000001</v>
      </c>
      <c r="X7391">
        <v>0.98521040000000004</v>
      </c>
      <c r="Y7391">
        <v>2.9128330000000001E-2</v>
      </c>
      <c r="Z7391">
        <v>-3.7146330000000002E-3</v>
      </c>
      <c r="AA7391">
        <v>0.99956880000000004</v>
      </c>
      <c r="AB7391">
        <v>19</v>
      </c>
      <c r="AC7391">
        <v>18.1756999999999</v>
      </c>
      <c r="AD7391">
        <v>-1.1102972032459999</v>
      </c>
      <c r="AE7391">
        <v>0.31262999999999802</v>
      </c>
      <c r="AF7391">
        <v>0.53358869425731104</v>
      </c>
      <c r="AG7391">
        <v>-1.1102972032459999</v>
      </c>
      <c r="AH7391">
        <v>18.1029638319832</v>
      </c>
      <c r="AI7391">
        <v>93.508168322575301</v>
      </c>
      <c r="AJ7391">
        <v>88.311683576643404</v>
      </c>
      <c r="AK7391">
        <v>18.1448278105985</v>
      </c>
      <c r="AL7391">
        <v>80.164372716990499</v>
      </c>
      <c r="AM7391">
        <v>89.219430617551097</v>
      </c>
      <c r="AN7391">
        <v>0.99999996459156004</v>
      </c>
    </row>
    <row r="7392" spans="1:40" x14ac:dyDescent="0.25">
      <c r="A7392" t="str">
        <f>"20190312172257448"</f>
        <v>20190312172257448</v>
      </c>
      <c r="B7392" t="str">
        <f>"1552382577437574"</f>
        <v>1552382577437574</v>
      </c>
      <c r="C7392" t="s">
        <v>40</v>
      </c>
      <c r="D7392">
        <v>3.369319</v>
      </c>
      <c r="E7392">
        <v>0.50898829999999995</v>
      </c>
      <c r="F7392" t="s">
        <v>74</v>
      </c>
      <c r="G7392">
        <v>-255.0035</v>
      </c>
      <c r="H7392" s="1">
        <v>-2.1671240000000002E-6</v>
      </c>
      <c r="I7392">
        <v>-64.361189999999993</v>
      </c>
      <c r="J7392">
        <v>-273.16399999999999</v>
      </c>
      <c r="K7392">
        <v>1.1102650000000001</v>
      </c>
      <c r="L7392">
        <v>-64.679230000000004</v>
      </c>
      <c r="M7392">
        <v>0.99885570000000001</v>
      </c>
      <c r="N7392">
        <v>0</v>
      </c>
      <c r="O7392">
        <v>4.7280900000000001E-2</v>
      </c>
      <c r="P7392">
        <v>0.98598819999999998</v>
      </c>
      <c r="Q7392">
        <v>0.16358</v>
      </c>
      <c r="R7392">
        <v>3.2699689999999997E-2</v>
      </c>
      <c r="S7392">
        <v>3.071869</v>
      </c>
      <c r="T7392">
        <v>-0.18684139999999999</v>
      </c>
      <c r="U7392">
        <v>5.4382319999999998E-2</v>
      </c>
      <c r="V7392">
        <v>1.3719749999999999E-2</v>
      </c>
      <c r="W7392">
        <v>0.170704299999999</v>
      </c>
      <c r="X7392">
        <v>0.98522679999999996</v>
      </c>
      <c r="Y7392">
        <v>2.9452269999999999E-2</v>
      </c>
      <c r="Z7392">
        <v>-3.7666710000000001E-3</v>
      </c>
      <c r="AA7392">
        <v>0.99955910000000003</v>
      </c>
      <c r="AB7392">
        <v>19</v>
      </c>
      <c r="AC7392">
        <v>18.1604999999999</v>
      </c>
      <c r="AD7392">
        <v>-1.1102671671240001</v>
      </c>
      <c r="AE7392">
        <v>0.31803999999999599</v>
      </c>
      <c r="AF7392">
        <v>0.53896886829567303</v>
      </c>
      <c r="AG7392">
        <v>-1.1102671671240001</v>
      </c>
      <c r="AH7392">
        <v>18.087641783222999</v>
      </c>
      <c r="AI7392">
        <v>93.511004479715297</v>
      </c>
      <c r="AJ7392">
        <v>88.293226554894403</v>
      </c>
      <c r="AK7392">
        <v>18.129698450376399</v>
      </c>
      <c r="AL7392">
        <v>80.171229123267494</v>
      </c>
      <c r="AM7392">
        <v>89.202180691045001</v>
      </c>
      <c r="AN7392">
        <v>1.0000000185083899</v>
      </c>
    </row>
    <row r="7393" spans="1:40" x14ac:dyDescent="0.25">
      <c r="A7393" t="str">
        <f>"20190312172257459"</f>
        <v>20190312172257459</v>
      </c>
      <c r="B7393" t="str">
        <f>"1552382577447334"</f>
        <v>1552382577447334</v>
      </c>
      <c r="C7393" t="s">
        <v>40</v>
      </c>
      <c r="D7393">
        <v>3.3566560000000001</v>
      </c>
      <c r="E7393">
        <v>0.50897720000000002</v>
      </c>
      <c r="F7393" t="s">
        <v>74</v>
      </c>
      <c r="G7393">
        <v>-254.91990000000001</v>
      </c>
      <c r="H7393" s="1">
        <v>-2.1287390000000001E-6</v>
      </c>
      <c r="I7393">
        <v>-64.349900000000005</v>
      </c>
      <c r="J7393">
        <v>-273.06740000000002</v>
      </c>
      <c r="K7393">
        <v>1.1102289999999999</v>
      </c>
      <c r="L7393">
        <v>-64.67389</v>
      </c>
      <c r="M7393">
        <v>0.99882559999999998</v>
      </c>
      <c r="N7393">
        <v>0</v>
      </c>
      <c r="O7393">
        <v>4.7917149999999999E-2</v>
      </c>
      <c r="P7393">
        <v>0.98599360000000003</v>
      </c>
      <c r="Q7393">
        <v>0.1634968</v>
      </c>
      <c r="R7393">
        <v>3.2950109999999998E-2</v>
      </c>
      <c r="S7393">
        <v>3.0718079999999999</v>
      </c>
      <c r="T7393">
        <v>-0.18693850000000001</v>
      </c>
      <c r="U7393">
        <v>5.5450439999999997E-2</v>
      </c>
      <c r="V7393">
        <v>1.4109780000000001E-2</v>
      </c>
      <c r="W7393">
        <v>0.17060229999999901</v>
      </c>
      <c r="X7393">
        <v>0.98523899999999998</v>
      </c>
      <c r="Y7393">
        <v>2.9739310000000001E-2</v>
      </c>
      <c r="Z7393">
        <v>-3.8160469999999999E-3</v>
      </c>
      <c r="AA7393">
        <v>0.99955039999999995</v>
      </c>
      <c r="AB7393">
        <v>19</v>
      </c>
      <c r="AC7393">
        <v>18.147500000000001</v>
      </c>
      <c r="AD7393">
        <v>-1.1102311287389901</v>
      </c>
      <c r="AE7393">
        <v>0.32398999999999401</v>
      </c>
      <c r="AF7393">
        <v>0.54394578101513902</v>
      </c>
      <c r="AG7393">
        <v>-1.1102311287389901</v>
      </c>
      <c r="AH7393">
        <v>18.0745508793791</v>
      </c>
      <c r="AI7393">
        <v>93.513396139990903</v>
      </c>
      <c r="AJ7393">
        <v>88.276228600294502</v>
      </c>
      <c r="AK7393">
        <v>18.116784473608199</v>
      </c>
      <c r="AL7393">
        <v>80.177160696812095</v>
      </c>
      <c r="AM7393">
        <v>89.179513212529201</v>
      </c>
      <c r="AN7393">
        <v>1.0000000588889599</v>
      </c>
    </row>
    <row r="7394" spans="1:40" x14ac:dyDescent="0.25">
      <c r="A7394" t="str">
        <f>"20190312172257470"</f>
        <v>20190312172257470</v>
      </c>
      <c r="B7394" t="str">
        <f>"1552382577467830"</f>
        <v>1552382577467830</v>
      </c>
      <c r="C7394" t="s">
        <v>40</v>
      </c>
      <c r="D7394">
        <v>3.3351700000000002</v>
      </c>
      <c r="E7394">
        <v>0.50900449999999997</v>
      </c>
      <c r="F7394" t="s">
        <v>74</v>
      </c>
      <c r="G7394">
        <v>-254.82239999999999</v>
      </c>
      <c r="H7394" s="1">
        <v>-2.0848189999999998E-6</v>
      </c>
      <c r="I7394">
        <v>-64.340549999999993</v>
      </c>
      <c r="J7394">
        <v>-272.96480000000003</v>
      </c>
      <c r="K7394">
        <v>1.110193</v>
      </c>
      <c r="L7394">
        <v>-64.668269999999893</v>
      </c>
      <c r="M7394">
        <v>0.99879569999999995</v>
      </c>
      <c r="N7394">
        <v>0</v>
      </c>
      <c r="O7394">
        <v>4.8538489999999997E-2</v>
      </c>
      <c r="P7394">
        <v>0.9860044</v>
      </c>
      <c r="Q7394">
        <v>0.16331770000000001</v>
      </c>
      <c r="R7394">
        <v>3.3510650000000003E-2</v>
      </c>
      <c r="S7394">
        <v>3.0717469999999998</v>
      </c>
      <c r="T7394">
        <v>-0.186919</v>
      </c>
      <c r="U7394">
        <v>5.6121829999999998E-2</v>
      </c>
      <c r="V7394">
        <v>1.417712E-2</v>
      </c>
      <c r="W7394">
        <v>0.17039979999999999</v>
      </c>
      <c r="X7394">
        <v>0.98527299999999995</v>
      </c>
      <c r="Y7394">
        <v>3.0140489999999999E-2</v>
      </c>
      <c r="Z7394">
        <v>-3.8656369999999999E-3</v>
      </c>
      <c r="AA7394">
        <v>0.99953820000000004</v>
      </c>
      <c r="AB7394">
        <v>19</v>
      </c>
      <c r="AC7394">
        <v>18.142399999999999</v>
      </c>
      <c r="AD7394">
        <v>-1.1101950848190001</v>
      </c>
      <c r="AE7394">
        <v>0.32771999999999901</v>
      </c>
      <c r="AF7394">
        <v>0.55123004861471403</v>
      </c>
      <c r="AG7394">
        <v>-1.1101950848190001</v>
      </c>
      <c r="AH7394">
        <v>18.069281397064099</v>
      </c>
      <c r="AI7394">
        <v>93.514260649879006</v>
      </c>
      <c r="AJ7394">
        <v>88.252649757770897</v>
      </c>
      <c r="AK7394">
        <v>18.111745302403602</v>
      </c>
      <c r="AL7394">
        <v>80.188934757700594</v>
      </c>
      <c r="AM7394">
        <v>89.175626360692803</v>
      </c>
      <c r="AN7394">
        <v>0.99999998355026698</v>
      </c>
    </row>
    <row r="7395" spans="1:40" x14ac:dyDescent="0.25">
      <c r="A7395" t="str">
        <f>"20190312172257482"</f>
        <v>20190312172257482</v>
      </c>
      <c r="B7395" t="str">
        <f>"1552382577477589"</f>
        <v>1552382577477589</v>
      </c>
      <c r="C7395" t="s">
        <v>40</v>
      </c>
      <c r="D7395">
        <v>3.3631150000000001</v>
      </c>
      <c r="E7395">
        <v>0.50898049999999995</v>
      </c>
      <c r="F7395" t="s">
        <v>74</v>
      </c>
      <c r="G7395">
        <v>-254.75819999999999</v>
      </c>
      <c r="H7395" s="1">
        <v>-2.0545290000000001E-6</v>
      </c>
      <c r="I7395">
        <v>-64.328209999999999</v>
      </c>
      <c r="J7395">
        <v>-272.87090000000001</v>
      </c>
      <c r="K7395">
        <v>1.1101589999999999</v>
      </c>
      <c r="L7395">
        <v>-64.663060000000002</v>
      </c>
      <c r="M7395">
        <v>0.99876869999999995</v>
      </c>
      <c r="N7395">
        <v>0</v>
      </c>
      <c r="O7395">
        <v>4.9093619999999998E-2</v>
      </c>
      <c r="P7395">
        <v>0.98599809999999999</v>
      </c>
      <c r="Q7395">
        <v>0.16329540000000001</v>
      </c>
      <c r="R7395">
        <v>3.3806210000000003E-2</v>
      </c>
      <c r="S7395">
        <v>3.0716860000000001</v>
      </c>
      <c r="T7395">
        <v>-0.18730330000000001</v>
      </c>
      <c r="U7395">
        <v>5.7373050000000002E-2</v>
      </c>
      <c r="V7395">
        <v>1.4441880000000001E-2</v>
      </c>
      <c r="W7395">
        <v>0.17035520000000001</v>
      </c>
      <c r="X7395">
        <v>0.98527690000000001</v>
      </c>
      <c r="Y7395">
        <v>3.0286739999999999E-2</v>
      </c>
      <c r="Z7395">
        <v>-3.9118579999999998E-3</v>
      </c>
      <c r="AA7395">
        <v>0.99953360000000002</v>
      </c>
      <c r="AB7395">
        <v>19</v>
      </c>
      <c r="AC7395">
        <v>18.1127</v>
      </c>
      <c r="AD7395">
        <v>-1.1101610545289999</v>
      </c>
      <c r="AE7395">
        <v>0.33485000000000298</v>
      </c>
      <c r="AF7395">
        <v>0.55271874690477396</v>
      </c>
      <c r="AG7395">
        <v>-1.1101610545289999</v>
      </c>
      <c r="AH7395">
        <v>18.0395517851534</v>
      </c>
      <c r="AI7395">
        <v>93.519915816367003</v>
      </c>
      <c r="AJ7395">
        <v>88.245048010864906</v>
      </c>
      <c r="AK7395">
        <v>18.082128862205401</v>
      </c>
      <c r="AL7395">
        <v>80.191528386764105</v>
      </c>
      <c r="AM7395">
        <v>89.160236558223801</v>
      </c>
      <c r="AN7395">
        <v>1.0000000158692901</v>
      </c>
    </row>
    <row r="7396" spans="1:40" x14ac:dyDescent="0.25">
      <c r="A7396" t="str">
        <f>"20190312172257493"</f>
        <v>20190312172257493</v>
      </c>
      <c r="B7396" t="str">
        <f>"1552382577487353"</f>
        <v>1552382577487353</v>
      </c>
      <c r="C7396" t="s">
        <v>40</v>
      </c>
      <c r="D7396">
        <v>3.3653439999999999</v>
      </c>
      <c r="E7396">
        <v>0.50898329999999903</v>
      </c>
      <c r="F7396" t="s">
        <v>74</v>
      </c>
      <c r="G7396">
        <v>-254.65090000000001</v>
      </c>
      <c r="H7396" s="1">
        <v>-2.0060860000000002E-6</v>
      </c>
      <c r="I7396">
        <v>-64.317300000000003</v>
      </c>
      <c r="J7396">
        <v>-272.77010000000001</v>
      </c>
      <c r="K7396">
        <v>1.11012</v>
      </c>
      <c r="L7396">
        <v>-64.657469999999904</v>
      </c>
      <c r="M7396">
        <v>0.99874200000000002</v>
      </c>
      <c r="N7396">
        <v>0</v>
      </c>
      <c r="O7396">
        <v>4.9637809999999997E-2</v>
      </c>
      <c r="P7396">
        <v>0.9859793</v>
      </c>
      <c r="Q7396">
        <v>0.16335450000000001</v>
      </c>
      <c r="R7396">
        <v>3.4065110000000003E-2</v>
      </c>
      <c r="S7396">
        <v>3.0715940000000002</v>
      </c>
      <c r="T7396">
        <v>-0.1871546</v>
      </c>
      <c r="U7396">
        <v>5.8288569999999998E-2</v>
      </c>
      <c r="V7396">
        <v>1.47338E-2</v>
      </c>
      <c r="W7396">
        <v>0.1703876</v>
      </c>
      <c r="X7396">
        <v>0.985267</v>
      </c>
      <c r="Y7396">
        <v>3.053175E-2</v>
      </c>
      <c r="Z7396">
        <v>-3.949401E-3</v>
      </c>
      <c r="AA7396">
        <v>0.99952600000000003</v>
      </c>
      <c r="AB7396">
        <v>19</v>
      </c>
      <c r="AC7396">
        <v>18.119199999999999</v>
      </c>
      <c r="AD7396">
        <v>-1.110122006086</v>
      </c>
      <c r="AE7396">
        <v>0.34016999999998598</v>
      </c>
      <c r="AF7396">
        <v>0.55757721552837303</v>
      </c>
      <c r="AG7396">
        <v>-1.110122006086</v>
      </c>
      <c r="AH7396">
        <v>18.046032643742301</v>
      </c>
      <c r="AI7396">
        <v>93.518503576593503</v>
      </c>
      <c r="AJ7396">
        <v>88.230266918759497</v>
      </c>
      <c r="AK7396">
        <v>18.0887411778345</v>
      </c>
      <c r="AL7396">
        <v>80.189644701362994</v>
      </c>
      <c r="AM7396">
        <v>89.143255952429399</v>
      </c>
      <c r="AN7396">
        <v>1.0000000401925899</v>
      </c>
    </row>
    <row r="7397" spans="1:40" x14ac:dyDescent="0.25">
      <c r="A7397" t="str">
        <f>"20190312172257504"</f>
        <v>20190312172257504</v>
      </c>
      <c r="B7397" t="str">
        <f>"1552382577498085"</f>
        <v>1552382577498085</v>
      </c>
      <c r="C7397" t="s">
        <v>40</v>
      </c>
      <c r="D7397">
        <v>3.3699620000000001</v>
      </c>
      <c r="E7397">
        <v>0.50898310000000002</v>
      </c>
      <c r="F7397" t="s">
        <v>74</v>
      </c>
      <c r="G7397">
        <v>-254.5421</v>
      </c>
      <c r="H7397" s="1">
        <v>-1.9572289999999998E-6</v>
      </c>
      <c r="I7397">
        <v>-64.307590000000005</v>
      </c>
      <c r="J7397">
        <v>-272.6703</v>
      </c>
      <c r="K7397">
        <v>1.110079</v>
      </c>
      <c r="L7397">
        <v>-64.651919999999905</v>
      </c>
      <c r="M7397">
        <v>0.99871650000000001</v>
      </c>
      <c r="N7397">
        <v>0</v>
      </c>
      <c r="O7397">
        <v>5.0153820000000002E-2</v>
      </c>
      <c r="P7397">
        <v>0.98595520000000003</v>
      </c>
      <c r="Q7397">
        <v>0.1634814</v>
      </c>
      <c r="R7397">
        <v>3.4154499999999997E-2</v>
      </c>
      <c r="S7397">
        <v>3.0716549999999998</v>
      </c>
      <c r="T7397">
        <v>-0.18706970000000001</v>
      </c>
      <c r="U7397">
        <v>5.8959959999999999E-2</v>
      </c>
      <c r="V7397">
        <v>1.516667E-2</v>
      </c>
      <c r="W7397">
        <v>0.1704891</v>
      </c>
      <c r="X7397">
        <v>0.98524279999999997</v>
      </c>
      <c r="Y7397">
        <v>3.0828769999999998E-2</v>
      </c>
      <c r="Z7397">
        <v>-3.9879140000000004E-3</v>
      </c>
      <c r="AA7397">
        <v>0.99951670000000004</v>
      </c>
      <c r="AB7397">
        <v>19</v>
      </c>
      <c r="AC7397">
        <v>18.1282</v>
      </c>
      <c r="AD7397">
        <v>-1.110080957229</v>
      </c>
      <c r="AE7397">
        <v>0.34432999999998498</v>
      </c>
      <c r="AF7397">
        <v>0.56321340930471697</v>
      </c>
      <c r="AG7397">
        <v>-1.110080957229</v>
      </c>
      <c r="AH7397">
        <v>18.0549776459603</v>
      </c>
      <c r="AI7397">
        <v>93.516602765012706</v>
      </c>
      <c r="AJ7397">
        <v>88.213274424558406</v>
      </c>
      <c r="AK7397">
        <v>18.0978370771799</v>
      </c>
      <c r="AL7397">
        <v>80.183742110321504</v>
      </c>
      <c r="AM7397">
        <v>89.118067598446103</v>
      </c>
      <c r="AN7397">
        <v>0.99999996802476898</v>
      </c>
    </row>
    <row r="7398" spans="1:40" x14ac:dyDescent="0.25">
      <c r="A7398" t="str">
        <f>"20190312172257515"</f>
        <v>20190312172257515</v>
      </c>
      <c r="B7398" t="str">
        <f>"1552382577507845"</f>
        <v>1552382577507845</v>
      </c>
      <c r="C7398" t="s">
        <v>40</v>
      </c>
      <c r="D7398">
        <v>3.3598279999999998</v>
      </c>
      <c r="E7398">
        <v>0.50898949999999998</v>
      </c>
      <c r="F7398" t="s">
        <v>74</v>
      </c>
      <c r="G7398">
        <v>-254.40770000000001</v>
      </c>
      <c r="H7398" s="1">
        <v>-1.8977780000000001E-6</v>
      </c>
      <c r="I7398">
        <v>-64.299379999999999</v>
      </c>
      <c r="J7398">
        <v>-272.57339999999999</v>
      </c>
      <c r="K7398">
        <v>1.110042</v>
      </c>
      <c r="L7398">
        <v>-64.646509999999907</v>
      </c>
      <c r="M7398">
        <v>0.99869300000000005</v>
      </c>
      <c r="N7398">
        <v>0</v>
      </c>
      <c r="O7398">
        <v>5.0622210000000001E-2</v>
      </c>
      <c r="P7398">
        <v>0.98595549999999998</v>
      </c>
      <c r="Q7398">
        <v>0.1634572</v>
      </c>
      <c r="R7398">
        <v>3.4259659999999997E-2</v>
      </c>
      <c r="S7398">
        <v>3.0716549999999998</v>
      </c>
      <c r="T7398">
        <v>-0.1867094</v>
      </c>
      <c r="U7398">
        <v>5.9295649999999998E-2</v>
      </c>
      <c r="V7398">
        <v>1.553768E-2</v>
      </c>
      <c r="W7398">
        <v>0.1704397</v>
      </c>
      <c r="X7398">
        <v>0.98524560000000005</v>
      </c>
      <c r="Y7398">
        <v>3.1187400000000001E-2</v>
      </c>
      <c r="Z7398">
        <v>-4.0195379999999996E-3</v>
      </c>
      <c r="AA7398">
        <v>0.99950550000000005</v>
      </c>
      <c r="AB7398">
        <v>20</v>
      </c>
      <c r="AC7398">
        <v>18.165699999999902</v>
      </c>
      <c r="AD7398">
        <v>-1.1100438977779901</v>
      </c>
      <c r="AE7398">
        <v>0.347129999999992</v>
      </c>
      <c r="AF7398">
        <v>0.570795231961025</v>
      </c>
      <c r="AG7398">
        <v>-1.1100438977779901</v>
      </c>
      <c r="AH7398">
        <v>18.092448241180499</v>
      </c>
      <c r="AI7398">
        <v>93.509182129886497</v>
      </c>
      <c r="AJ7398">
        <v>88.192985639754696</v>
      </c>
      <c r="AK7398">
        <v>18.135453895935999</v>
      </c>
      <c r="AL7398">
        <v>80.186614896146907</v>
      </c>
      <c r="AM7398">
        <v>89.096499699194396</v>
      </c>
      <c r="AN7398">
        <v>1.00000000157761</v>
      </c>
    </row>
    <row r="7399" spans="1:40" x14ac:dyDescent="0.25">
      <c r="A7399" t="str">
        <f>"20190312172257526"</f>
        <v>20190312172257526</v>
      </c>
      <c r="B7399" t="str">
        <f>"1552382577517606"</f>
        <v>1552382577517606</v>
      </c>
      <c r="C7399" t="s">
        <v>40</v>
      </c>
      <c r="D7399">
        <v>3.3704519999999998</v>
      </c>
      <c r="E7399">
        <v>0.50900659999999998</v>
      </c>
      <c r="F7399" t="s">
        <v>74</v>
      </c>
      <c r="G7399">
        <v>-254.3203</v>
      </c>
      <c r="H7399" s="1">
        <v>-1.8585240000000001E-6</v>
      </c>
      <c r="I7399">
        <v>-64.291430000000005</v>
      </c>
      <c r="J7399">
        <v>-272.47969999999998</v>
      </c>
      <c r="K7399">
        <v>1.1100129999999999</v>
      </c>
      <c r="L7399">
        <v>-64.641269999999906</v>
      </c>
      <c r="M7399">
        <v>0.99867150000000005</v>
      </c>
      <c r="N7399">
        <v>0</v>
      </c>
      <c r="O7399">
        <v>5.1045590000000002E-2</v>
      </c>
      <c r="P7399">
        <v>0.98595849999999996</v>
      </c>
      <c r="Q7399">
        <v>0.16348650000000001</v>
      </c>
      <c r="R7399">
        <v>3.4032710000000001E-2</v>
      </c>
      <c r="S7399">
        <v>3.071625</v>
      </c>
      <c r="T7399">
        <v>-0.18679799999999999</v>
      </c>
      <c r="U7399">
        <v>5.9753420000000002E-2</v>
      </c>
      <c r="V7399">
        <v>1.6195330000000001E-2</v>
      </c>
      <c r="W7399">
        <v>0.17044579999999901</v>
      </c>
      <c r="X7399">
        <v>0.98523400000000005</v>
      </c>
      <c r="Y7399">
        <v>3.146061E-2</v>
      </c>
      <c r="Z7399">
        <v>-4.0554629999999996E-3</v>
      </c>
      <c r="AA7399">
        <v>0.99949679999999996</v>
      </c>
      <c r="AB7399">
        <v>20</v>
      </c>
      <c r="AC7399">
        <v>18.159399999999899</v>
      </c>
      <c r="AD7399">
        <v>-1.1100148585239999</v>
      </c>
      <c r="AE7399">
        <v>0.349839999999986</v>
      </c>
      <c r="AF7399">
        <v>0.57544706029496995</v>
      </c>
      <c r="AG7399">
        <v>-1.1100148585239999</v>
      </c>
      <c r="AH7399">
        <v>18.086031316982702</v>
      </c>
      <c r="AI7399">
        <v>93.510302724020306</v>
      </c>
      <c r="AJ7399">
        <v>88.177622925058202</v>
      </c>
      <c r="AK7399">
        <v>18.12919747546</v>
      </c>
      <c r="AL7399">
        <v>80.186260653059307</v>
      </c>
      <c r="AM7399">
        <v>89.058253681497007</v>
      </c>
      <c r="AN7399">
        <v>1.00000004710372</v>
      </c>
    </row>
    <row r="7400" spans="1:40" x14ac:dyDescent="0.25">
      <c r="A7400" t="str">
        <f>"20190312172257537"</f>
        <v>20190312172257537</v>
      </c>
      <c r="B7400" t="str">
        <f>"1552382577527367"</f>
        <v>1552382577527367</v>
      </c>
      <c r="C7400" t="s">
        <v>40</v>
      </c>
      <c r="D7400">
        <v>3.3632879999999998</v>
      </c>
      <c r="E7400">
        <v>0.50901189999999996</v>
      </c>
      <c r="F7400" t="s">
        <v>74</v>
      </c>
      <c r="G7400">
        <v>-254.21629999999999</v>
      </c>
      <c r="H7400" s="1">
        <v>-1.8135399999999999E-6</v>
      </c>
      <c r="I7400">
        <v>-64.289789999999996</v>
      </c>
      <c r="J7400">
        <v>-272.38209999999998</v>
      </c>
      <c r="K7400">
        <v>1.1099749999999999</v>
      </c>
      <c r="L7400">
        <v>-64.635800000000003</v>
      </c>
      <c r="M7400">
        <v>0.99865009999999999</v>
      </c>
      <c r="N7400">
        <v>0</v>
      </c>
      <c r="O7400">
        <v>5.1465339999999998E-2</v>
      </c>
      <c r="P7400">
        <v>0.98592849999999999</v>
      </c>
      <c r="Q7400">
        <v>0.16372110000000001</v>
      </c>
      <c r="R7400">
        <v>3.3766600000000001E-2</v>
      </c>
      <c r="S7400">
        <v>3.0716860000000001</v>
      </c>
      <c r="T7400">
        <v>-0.1866912</v>
      </c>
      <c r="U7400">
        <v>5.911255E-2</v>
      </c>
      <c r="V7400">
        <v>1.688709E-2</v>
      </c>
      <c r="W7400">
        <v>0.1706568</v>
      </c>
      <c r="X7400">
        <v>0.9851858</v>
      </c>
      <c r="Y7400">
        <v>3.2087780000000003E-2</v>
      </c>
      <c r="Z7400">
        <v>-4.0975739999999997E-3</v>
      </c>
      <c r="AA7400">
        <v>0.9994767</v>
      </c>
      <c r="AB7400">
        <v>20</v>
      </c>
      <c r="AC7400">
        <v>18.165799999999901</v>
      </c>
      <c r="AD7400">
        <v>-1.1099768135400001</v>
      </c>
      <c r="AE7400">
        <v>0.34601000000000598</v>
      </c>
      <c r="AF7400">
        <v>0.58718919076647302</v>
      </c>
      <c r="AG7400">
        <v>-1.1099768135400001</v>
      </c>
      <c r="AH7400">
        <v>18.092010686273198</v>
      </c>
      <c r="AI7400">
        <v>93.508953755060503</v>
      </c>
      <c r="AJ7400">
        <v>88.141076887185406</v>
      </c>
      <c r="AK7400">
        <v>18.1355366709831</v>
      </c>
      <c r="AL7400">
        <v>80.173990908104201</v>
      </c>
      <c r="AM7400">
        <v>89.017988037404606</v>
      </c>
      <c r="AN7400">
        <v>0.99999998885827401</v>
      </c>
    </row>
    <row r="7401" spans="1:40" x14ac:dyDescent="0.25">
      <c r="A7401" t="str">
        <f>"20190312172257548"</f>
        <v>20190312172257548</v>
      </c>
      <c r="B7401" t="str">
        <f>"1552382577538101"</f>
        <v>1552382577538101</v>
      </c>
      <c r="C7401" t="s">
        <v>40</v>
      </c>
      <c r="D7401">
        <v>3.3674770000000001</v>
      </c>
      <c r="E7401">
        <v>0.50903489999999996</v>
      </c>
      <c r="F7401" t="s">
        <v>74</v>
      </c>
      <c r="G7401">
        <v>-254.0128</v>
      </c>
      <c r="H7401" s="1">
        <v>-1.725229E-6</v>
      </c>
      <c r="I7401">
        <v>-64.285390000000007</v>
      </c>
      <c r="J7401">
        <v>-272.28230000000002</v>
      </c>
      <c r="K7401">
        <v>1.1099399999999999</v>
      </c>
      <c r="L7401">
        <v>-64.630189999999999</v>
      </c>
      <c r="M7401">
        <v>0.99863040000000003</v>
      </c>
      <c r="N7401">
        <v>0</v>
      </c>
      <c r="O7401">
        <v>5.1852299999999997E-2</v>
      </c>
      <c r="P7401">
        <v>0.98593359999999997</v>
      </c>
      <c r="Q7401">
        <v>0.16377639999999999</v>
      </c>
      <c r="R7401">
        <v>3.3356469999999999E-2</v>
      </c>
      <c r="S7401">
        <v>3.071625</v>
      </c>
      <c r="T7401">
        <v>-0.1856044</v>
      </c>
      <c r="U7401">
        <v>5.859375E-2</v>
      </c>
      <c r="V7401">
        <v>1.769188E-2</v>
      </c>
      <c r="W7401">
        <v>0.17069019999999999</v>
      </c>
      <c r="X7401">
        <v>0.98516590000000004</v>
      </c>
      <c r="Y7401">
        <v>3.2643470000000001E-2</v>
      </c>
      <c r="Z7401">
        <v>-4.1139569999999997E-3</v>
      </c>
      <c r="AA7401">
        <v>0.99945859999999997</v>
      </c>
      <c r="AB7401">
        <v>20</v>
      </c>
      <c r="AC7401">
        <v>18.269500000000001</v>
      </c>
      <c r="AD7401">
        <v>-1.109941725229</v>
      </c>
      <c r="AE7401">
        <v>0.344799999999992</v>
      </c>
      <c r="AF7401">
        <v>0.60078577913083397</v>
      </c>
      <c r="AG7401">
        <v>-1.109941725229</v>
      </c>
      <c r="AH7401">
        <v>18.195664388478601</v>
      </c>
      <c r="AI7401">
        <v>93.488840091297405</v>
      </c>
      <c r="AJ7401">
        <v>88.108890781736903</v>
      </c>
      <c r="AK7401">
        <v>18.239383671713199</v>
      </c>
      <c r="AL7401">
        <v>80.172048831012106</v>
      </c>
      <c r="AM7401">
        <v>88.971177232865202</v>
      </c>
      <c r="AN7401">
        <v>0.99999999875839196</v>
      </c>
    </row>
    <row r="7402" spans="1:40" x14ac:dyDescent="0.25">
      <c r="A7402" t="str">
        <f>"20190312172257559"</f>
        <v>20190312172257559</v>
      </c>
      <c r="B7402" t="str">
        <f>"1552382577547862"</f>
        <v>1552382577547862</v>
      </c>
      <c r="C7402" t="s">
        <v>40</v>
      </c>
      <c r="D7402">
        <v>3.3647649999999998</v>
      </c>
      <c r="E7402">
        <v>0.50903999999999905</v>
      </c>
      <c r="F7402" t="s">
        <v>74</v>
      </c>
      <c r="G7402">
        <v>-253.8886</v>
      </c>
      <c r="H7402" s="1">
        <v>-1.6721459999999901E-6</v>
      </c>
      <c r="I7402">
        <v>-64.286249999999995</v>
      </c>
      <c r="J7402">
        <v>-272.18450000000001</v>
      </c>
      <c r="K7402">
        <v>1.1099060000000001</v>
      </c>
      <c r="L7402">
        <v>-64.62473</v>
      </c>
      <c r="M7402">
        <v>0.99861140000000004</v>
      </c>
      <c r="N7402">
        <v>0</v>
      </c>
      <c r="O7402">
        <v>5.2219120000000001E-2</v>
      </c>
      <c r="P7402">
        <v>0.98594630000000005</v>
      </c>
      <c r="Q7402">
        <v>0.16375329999999999</v>
      </c>
      <c r="R7402">
        <v>3.3090649999999999E-2</v>
      </c>
      <c r="S7402">
        <v>3.071625</v>
      </c>
      <c r="T7402">
        <v>-0.18535299999999999</v>
      </c>
      <c r="U7402">
        <v>5.7434079999999998E-2</v>
      </c>
      <c r="V7402">
        <v>1.8333019999999998E-2</v>
      </c>
      <c r="W7402">
        <v>0.17064599999999999</v>
      </c>
      <c r="X7402">
        <v>0.98516179999999998</v>
      </c>
      <c r="Y7402">
        <v>3.3386190000000003E-2</v>
      </c>
      <c r="Z7402">
        <v>-4.1528900000000002E-3</v>
      </c>
      <c r="AA7402">
        <v>0.99943389999999999</v>
      </c>
      <c r="AB7402">
        <v>20</v>
      </c>
      <c r="AC7402">
        <v>18.2959</v>
      </c>
      <c r="AD7402">
        <v>-1.1099076721459999</v>
      </c>
      <c r="AE7402">
        <v>0.338480000000004</v>
      </c>
      <c r="AF7402">
        <v>0.61513773523638604</v>
      </c>
      <c r="AG7402">
        <v>-1.1099076721459999</v>
      </c>
      <c r="AH7402">
        <v>18.221577062970098</v>
      </c>
      <c r="AI7402">
        <v>93.483698416466396</v>
      </c>
      <c r="AJ7402">
        <v>88.066500164993897</v>
      </c>
      <c r="AK7402">
        <v>18.2657099543313</v>
      </c>
      <c r="AL7402">
        <v>80.174618673341996</v>
      </c>
      <c r="AM7402">
        <v>88.933897512986604</v>
      </c>
      <c r="AN7402">
        <v>0.99999996455877904</v>
      </c>
    </row>
    <row r="7403" spans="1:40" x14ac:dyDescent="0.25">
      <c r="A7403" t="str">
        <f>"20190312172257571"</f>
        <v>20190312172257571</v>
      </c>
      <c r="B7403" t="str">
        <f>"1552382577567381"</f>
        <v>1552382577567381</v>
      </c>
      <c r="C7403" t="s">
        <v>40</v>
      </c>
      <c r="D7403">
        <v>3.3647140000000002</v>
      </c>
      <c r="E7403">
        <v>0.50905400000000001</v>
      </c>
      <c r="F7403" t="s">
        <v>74</v>
      </c>
      <c r="G7403">
        <v>-253.78530000000001</v>
      </c>
      <c r="H7403" s="1">
        <v>-1.627451E-6</v>
      </c>
      <c r="I7403">
        <v>-64.284530000000004</v>
      </c>
      <c r="J7403">
        <v>-272.08190000000002</v>
      </c>
      <c r="K7403">
        <v>1.109872</v>
      </c>
      <c r="L7403">
        <v>-64.618960000000001</v>
      </c>
      <c r="M7403">
        <v>0.99859419999999999</v>
      </c>
      <c r="N7403">
        <v>0</v>
      </c>
      <c r="O7403">
        <v>5.2548129999999998E-2</v>
      </c>
      <c r="P7403">
        <v>0.98594870000000001</v>
      </c>
      <c r="Q7403">
        <v>0.16378139999999999</v>
      </c>
      <c r="R7403">
        <v>3.2878890000000001E-2</v>
      </c>
      <c r="S7403">
        <v>3.071625</v>
      </c>
      <c r="T7403">
        <v>-0.1852915</v>
      </c>
      <c r="U7403">
        <v>5.6793209999999997E-2</v>
      </c>
      <c r="V7403">
        <v>1.8882449999999999E-2</v>
      </c>
      <c r="W7403">
        <v>0.17065449999999999</v>
      </c>
      <c r="X7403">
        <v>0.98514999999999997</v>
      </c>
      <c r="Y7403">
        <v>3.3922460000000002E-2</v>
      </c>
      <c r="Z7403">
        <v>-4.1874879999999996E-3</v>
      </c>
      <c r="AA7403">
        <v>0.99941570000000002</v>
      </c>
      <c r="AB7403">
        <v>20</v>
      </c>
      <c r="AC7403">
        <v>18.296600000000002</v>
      </c>
      <c r="AD7403">
        <v>-1.1098736274509999</v>
      </c>
      <c r="AE7403">
        <v>0.33442999999999701</v>
      </c>
      <c r="AF7403">
        <v>0.62520764140153395</v>
      </c>
      <c r="AG7403">
        <v>-1.1098736274509999</v>
      </c>
      <c r="AH7403">
        <v>18.221866494194099</v>
      </c>
      <c r="AI7403">
        <v>93.483471406986894</v>
      </c>
      <c r="AJ7403">
        <v>88.034904259772404</v>
      </c>
      <c r="AK7403">
        <v>18.266338510933501</v>
      </c>
      <c r="AL7403">
        <v>80.174124898738299</v>
      </c>
      <c r="AM7403">
        <v>88.901941598187904</v>
      </c>
      <c r="AN7403">
        <v>1.0000000138941201</v>
      </c>
    </row>
    <row r="7404" spans="1:40" x14ac:dyDescent="0.25">
      <c r="A7404" t="str">
        <f>"20190312172257585"</f>
        <v>20190312172257585</v>
      </c>
      <c r="B7404" t="str">
        <f>"1552382577578118"</f>
        <v>1552382577578118</v>
      </c>
      <c r="C7404" t="s">
        <v>40</v>
      </c>
      <c r="D7404">
        <v>3.3242539999999998</v>
      </c>
      <c r="E7404">
        <v>0.50907630000000004</v>
      </c>
      <c r="F7404" t="s">
        <v>74</v>
      </c>
      <c r="G7404">
        <v>-253.6377</v>
      </c>
      <c r="H7404" s="1">
        <v>-1.5636130000000001E-6</v>
      </c>
      <c r="I7404">
        <v>-64.282139999999998</v>
      </c>
      <c r="J7404">
        <v>-271.96080000000001</v>
      </c>
      <c r="K7404">
        <v>1.1098319999999999</v>
      </c>
      <c r="L7404">
        <v>-64.612119999999905</v>
      </c>
      <c r="M7404">
        <v>0.9985752</v>
      </c>
      <c r="N7404">
        <v>0</v>
      </c>
      <c r="O7404">
        <v>5.2910909999999998E-2</v>
      </c>
      <c r="P7404">
        <v>0.98593280000000005</v>
      </c>
      <c r="Q7404">
        <v>0.16396160000000001</v>
      </c>
      <c r="R7404">
        <v>3.2452080000000001E-2</v>
      </c>
      <c r="S7404">
        <v>3.071625</v>
      </c>
      <c r="T7404">
        <v>-0.18483379999999999</v>
      </c>
      <c r="U7404">
        <v>5.6091309999999998E-2</v>
      </c>
      <c r="V7404">
        <v>1.9681089999999998E-2</v>
      </c>
      <c r="W7404">
        <v>0.1708114</v>
      </c>
      <c r="X7404">
        <v>0.98510719999999996</v>
      </c>
      <c r="Y7404">
        <v>3.4512889999999997E-2</v>
      </c>
      <c r="Z7404">
        <v>-4.2167039999999999E-3</v>
      </c>
      <c r="AA7404">
        <v>0.99939540000000004</v>
      </c>
      <c r="AB7404">
        <v>20</v>
      </c>
      <c r="AC7404">
        <v>18.3231</v>
      </c>
      <c r="AD7404">
        <v>-1.1098335636129999</v>
      </c>
      <c r="AE7404">
        <v>0.329979999999991</v>
      </c>
      <c r="AF7404">
        <v>0.63765876200277205</v>
      </c>
      <c r="AG7404">
        <v>-1.1098335636129999</v>
      </c>
      <c r="AH7404">
        <v>18.247966927729099</v>
      </c>
      <c r="AI7404">
        <v>93.478299918785595</v>
      </c>
      <c r="AJ7404">
        <v>87.998664949494795</v>
      </c>
      <c r="AK7404">
        <v>18.292802853340302</v>
      </c>
      <c r="AL7404">
        <v>80.165001466633797</v>
      </c>
      <c r="AM7404">
        <v>88.8554612149306</v>
      </c>
      <c r="AN7404">
        <v>1.0000000375826901</v>
      </c>
    </row>
    <row r="7405" spans="1:40" x14ac:dyDescent="0.25">
      <c r="A7405" t="str">
        <f>"20190312172257594"</f>
        <v>20190312172257594</v>
      </c>
      <c r="B7405" t="str">
        <f>"1552382577587877"</f>
        <v>1552382577587877</v>
      </c>
      <c r="C7405" t="s">
        <v>40</v>
      </c>
      <c r="D7405">
        <v>3.3382700000000001</v>
      </c>
      <c r="E7405">
        <v>0.50911779999999995</v>
      </c>
      <c r="F7405" t="s">
        <v>74</v>
      </c>
      <c r="G7405">
        <v>-253.4572</v>
      </c>
      <c r="H7405" s="1">
        <v>-1.4862690000000001E-6</v>
      </c>
      <c r="I7405">
        <v>-64.282679999999999</v>
      </c>
      <c r="J7405">
        <v>-271.87310000000002</v>
      </c>
      <c r="K7405">
        <v>1.109809</v>
      </c>
      <c r="L7405">
        <v>-64.607209999999995</v>
      </c>
      <c r="M7405">
        <v>0.99856310000000004</v>
      </c>
      <c r="N7405">
        <v>0</v>
      </c>
      <c r="O7405">
        <v>5.3142559999999998E-2</v>
      </c>
      <c r="P7405">
        <v>0.9859386</v>
      </c>
      <c r="Q7405">
        <v>0.1640006</v>
      </c>
      <c r="R7405">
        <v>3.208337E-2</v>
      </c>
      <c r="S7405">
        <v>3.071625</v>
      </c>
      <c r="T7405">
        <v>-0.18423310000000001</v>
      </c>
      <c r="U7405">
        <v>5.46875E-2</v>
      </c>
      <c r="V7405">
        <v>2.0289169999999999E-2</v>
      </c>
      <c r="W7405">
        <v>0.17083389999999901</v>
      </c>
      <c r="X7405">
        <v>0.98509089999999999</v>
      </c>
      <c r="Y7405">
        <v>3.5200670000000003E-2</v>
      </c>
      <c r="Z7405">
        <v>-4.2375190000000004E-3</v>
      </c>
      <c r="AA7405">
        <v>0.99937129999999996</v>
      </c>
      <c r="AB7405">
        <v>20</v>
      </c>
      <c r="AC7405">
        <v>18.415900000000001</v>
      </c>
      <c r="AD7405">
        <v>-1.1098104862689999</v>
      </c>
      <c r="AE7405">
        <v>0.32452999999999499</v>
      </c>
      <c r="AF7405">
        <v>0.65225191157032703</v>
      </c>
      <c r="AG7405">
        <v>-1.1098104862689999</v>
      </c>
      <c r="AH7405">
        <v>18.340535757058301</v>
      </c>
      <c r="AI7405">
        <v>93.4606398636774</v>
      </c>
      <c r="AJ7405">
        <v>87.963225340292297</v>
      </c>
      <c r="AK7405">
        <v>18.385656467135298</v>
      </c>
      <c r="AL7405">
        <v>80.163692474269894</v>
      </c>
      <c r="AM7405">
        <v>88.820089115189305</v>
      </c>
      <c r="AN7405">
        <v>0.99999997653565398</v>
      </c>
    </row>
    <row r="7406" spans="1:40" x14ac:dyDescent="0.25">
      <c r="A7406" t="str">
        <f>"20190312172257605"</f>
        <v>20190312172257605</v>
      </c>
      <c r="B7406" t="str">
        <f>"1552382577597637"</f>
        <v>1552382577597637</v>
      </c>
      <c r="C7406" t="s">
        <v>40</v>
      </c>
      <c r="D7406">
        <v>3.373319</v>
      </c>
      <c r="E7406">
        <v>0.50912449999999998</v>
      </c>
      <c r="F7406" t="s">
        <v>74</v>
      </c>
      <c r="G7406">
        <v>-253.3588</v>
      </c>
      <c r="H7406" s="1">
        <v>-1.444643E-6</v>
      </c>
      <c r="I7406">
        <v>-64.285300000000007</v>
      </c>
      <c r="J7406">
        <v>-271.7765</v>
      </c>
      <c r="K7406">
        <v>1.1097790000000001</v>
      </c>
      <c r="L7406">
        <v>-64.60181</v>
      </c>
      <c r="M7406">
        <v>0.99855090000000002</v>
      </c>
      <c r="N7406">
        <v>0</v>
      </c>
      <c r="O7406">
        <v>5.3372820000000001E-2</v>
      </c>
      <c r="P7406">
        <v>0.98594059999999994</v>
      </c>
      <c r="Q7406">
        <v>0.16407729999999901</v>
      </c>
      <c r="R7406">
        <v>3.162355E-2</v>
      </c>
      <c r="S7406">
        <v>3.0716549999999998</v>
      </c>
      <c r="T7406">
        <v>-0.1841247</v>
      </c>
      <c r="U7406">
        <v>5.3405759999999997E-2</v>
      </c>
      <c r="V7406">
        <v>2.098734E-2</v>
      </c>
      <c r="W7406">
        <v>0.17089270000000001</v>
      </c>
      <c r="X7406">
        <v>0.98506609999999994</v>
      </c>
      <c r="Y7406">
        <v>3.5846799999999998E-2</v>
      </c>
      <c r="Z7406">
        <v>-4.2681309999999997E-3</v>
      </c>
      <c r="AA7406">
        <v>0.99934820000000002</v>
      </c>
      <c r="AB7406">
        <v>20</v>
      </c>
      <c r="AC7406">
        <v>18.4177</v>
      </c>
      <c r="AD7406">
        <v>-1.109780444643</v>
      </c>
      <c r="AE7406">
        <v>0.31650999999999302</v>
      </c>
      <c r="AF7406">
        <v>0.66455689651454397</v>
      </c>
      <c r="AG7406">
        <v>-1.109780444643</v>
      </c>
      <c r="AH7406">
        <v>18.341764838921598</v>
      </c>
      <c r="AI7406">
        <v>93.460232358484106</v>
      </c>
      <c r="AJ7406">
        <v>87.924973016353206</v>
      </c>
      <c r="AK7406">
        <v>18.387321335918401</v>
      </c>
      <c r="AL7406">
        <v>80.160273457711298</v>
      </c>
      <c r="AM7406">
        <v>88.779468597475002</v>
      </c>
      <c r="AN7406">
        <v>1.00000000236138</v>
      </c>
    </row>
    <row r="7407" spans="1:40" x14ac:dyDescent="0.25">
      <c r="A7407" t="str">
        <f>"20190312172257616"</f>
        <v>20190312172257616</v>
      </c>
      <c r="B7407" t="str">
        <f>"1552382577607398"</f>
        <v>1552382577607398</v>
      </c>
      <c r="C7407" t="s">
        <v>40</v>
      </c>
      <c r="D7407">
        <v>3.3685109999999998</v>
      </c>
      <c r="E7407">
        <v>0.50918200000000002</v>
      </c>
      <c r="F7407" t="s">
        <v>74</v>
      </c>
      <c r="G7407">
        <v>-253.23230000000001</v>
      </c>
      <c r="H7407" s="1">
        <v>-1.3908699999999999E-6</v>
      </c>
      <c r="I7407">
        <v>-64.287499999999994</v>
      </c>
      <c r="J7407">
        <v>-271.68</v>
      </c>
      <c r="K7407">
        <v>1.1097509999999999</v>
      </c>
      <c r="L7407">
        <v>-64.596409999999906</v>
      </c>
      <c r="M7407">
        <v>0.99853990000000004</v>
      </c>
      <c r="N7407">
        <v>0</v>
      </c>
      <c r="O7407">
        <v>5.3579370000000001E-2</v>
      </c>
      <c r="P7407">
        <v>0.98593280000000005</v>
      </c>
      <c r="Q7407">
        <v>0.164265299999999</v>
      </c>
      <c r="R7407">
        <v>3.0885630000000001E-2</v>
      </c>
      <c r="S7407">
        <v>3.0717469999999998</v>
      </c>
      <c r="T7407">
        <v>-0.1838293</v>
      </c>
      <c r="U7407">
        <v>5.2062990000000003E-2</v>
      </c>
      <c r="V7407">
        <v>2.1938679999999999E-2</v>
      </c>
      <c r="W7407">
        <v>0.17106270000000001</v>
      </c>
      <c r="X7407">
        <v>0.98501590000000006</v>
      </c>
      <c r="Y7407">
        <v>3.6489750000000001E-2</v>
      </c>
      <c r="Z7407">
        <v>-4.2927490000000002E-3</v>
      </c>
      <c r="AA7407">
        <v>0.99932480000000001</v>
      </c>
      <c r="AB7407">
        <v>20</v>
      </c>
      <c r="AC7407">
        <v>18.447700000000001</v>
      </c>
      <c r="AD7407">
        <v>-1.10975239087</v>
      </c>
      <c r="AE7407">
        <v>0.30890999999999702</v>
      </c>
      <c r="AF7407">
        <v>0.67752212403442502</v>
      </c>
      <c r="AG7407">
        <v>-1.10975239087</v>
      </c>
      <c r="AH7407">
        <v>18.3712880897627</v>
      </c>
      <c r="AI7407">
        <v>93.454516551324005</v>
      </c>
      <c r="AJ7407">
        <v>87.887923089265598</v>
      </c>
      <c r="AK7407">
        <v>18.417242265731701</v>
      </c>
      <c r="AL7407">
        <v>80.150387960862801</v>
      </c>
      <c r="AM7407">
        <v>88.724095737259304</v>
      </c>
      <c r="AN7407">
        <v>1.0000000381321199</v>
      </c>
    </row>
    <row r="7408" spans="1:40" x14ac:dyDescent="0.25">
      <c r="A7408" t="str">
        <f>"20190312172257626"</f>
        <v>20190312172257626</v>
      </c>
      <c r="B7408" t="str">
        <f>"1552382577618134"</f>
        <v>1552382577618134</v>
      </c>
      <c r="C7408" t="s">
        <v>40</v>
      </c>
      <c r="D7408">
        <v>3.3495010000000001</v>
      </c>
      <c r="E7408">
        <v>0.50926700000000003</v>
      </c>
      <c r="F7408" t="s">
        <v>74</v>
      </c>
      <c r="G7408">
        <v>-253.08510000000001</v>
      </c>
      <c r="H7408" s="1">
        <v>-1.3297829999999999E-6</v>
      </c>
      <c r="I7408">
        <v>-64.296759999999907</v>
      </c>
      <c r="J7408">
        <v>-271.58440000000002</v>
      </c>
      <c r="K7408">
        <v>1.109726</v>
      </c>
      <c r="L7408">
        <v>-64.591059999999999</v>
      </c>
      <c r="M7408">
        <v>0.99853060000000005</v>
      </c>
      <c r="N7408">
        <v>0</v>
      </c>
      <c r="O7408">
        <v>5.3753679999999998E-2</v>
      </c>
      <c r="P7408">
        <v>0.98593719999999996</v>
      </c>
      <c r="Q7408">
        <v>0.1643281</v>
      </c>
      <c r="R7408">
        <v>3.0402169999999999E-2</v>
      </c>
      <c r="S7408">
        <v>3.0718079999999999</v>
      </c>
      <c r="T7408">
        <v>-0.1833265</v>
      </c>
      <c r="U7408">
        <v>4.9499509999999997E-2</v>
      </c>
      <c r="V7408">
        <v>2.2604800000000001E-2</v>
      </c>
      <c r="W7408">
        <v>0.17110829999999999</v>
      </c>
      <c r="X7408">
        <v>0.98499289999999995</v>
      </c>
      <c r="Y7408">
        <v>3.7497019999999999E-2</v>
      </c>
      <c r="Z7408">
        <v>-4.3213970000000003E-3</v>
      </c>
      <c r="AA7408">
        <v>0.99928740000000005</v>
      </c>
      <c r="AB7408">
        <v>20</v>
      </c>
      <c r="AC7408">
        <v>18.499300000000002</v>
      </c>
      <c r="AD7408">
        <v>-1.1097273297829999</v>
      </c>
      <c r="AE7408">
        <v>0.294300000000006</v>
      </c>
      <c r="AF7408">
        <v>0.69804314868766904</v>
      </c>
      <c r="AG7408">
        <v>-1.1097273297829999</v>
      </c>
      <c r="AH7408">
        <v>18.4220977912859</v>
      </c>
      <c r="AI7408">
        <v>93.444804205244495</v>
      </c>
      <c r="AJ7408">
        <v>87.830008176831697</v>
      </c>
      <c r="AK7408">
        <v>18.468688259202299</v>
      </c>
      <c r="AL7408">
        <v>80.147735997374596</v>
      </c>
      <c r="AM7408">
        <v>88.685338405531795</v>
      </c>
      <c r="AN7408">
        <v>1.0000000201811601</v>
      </c>
    </row>
    <row r="7409" spans="1:40" x14ac:dyDescent="0.25">
      <c r="A7409" t="str">
        <f>"20190312172257637"</f>
        <v>20190312172257637</v>
      </c>
      <c r="B7409" t="str">
        <f>"1552382577627895"</f>
        <v>1552382577627895</v>
      </c>
      <c r="C7409" t="s">
        <v>40</v>
      </c>
      <c r="D7409">
        <v>3.3189730000000002</v>
      </c>
      <c r="E7409">
        <v>0.50936229999999905</v>
      </c>
      <c r="F7409" t="s">
        <v>74</v>
      </c>
      <c r="G7409">
        <v>-252.9624</v>
      </c>
      <c r="H7409" s="1">
        <v>-1.2785830000000001E-6</v>
      </c>
      <c r="I7409">
        <v>-64.303200000000004</v>
      </c>
      <c r="J7409">
        <v>-271.4855</v>
      </c>
      <c r="K7409">
        <v>1.1096969999999999</v>
      </c>
      <c r="L7409">
        <v>-64.585539999999995</v>
      </c>
      <c r="M7409">
        <v>0.99852189999999996</v>
      </c>
      <c r="N7409">
        <v>0</v>
      </c>
      <c r="O7409">
        <v>5.3917670000000001E-2</v>
      </c>
      <c r="P7409">
        <v>0.98590429999999996</v>
      </c>
      <c r="Q7409">
        <v>0.1646666</v>
      </c>
      <c r="R7409">
        <v>2.9627779999999999E-2</v>
      </c>
      <c r="S7409">
        <v>3.0718380000000001</v>
      </c>
      <c r="T7409">
        <v>-0.18305730000000001</v>
      </c>
      <c r="U7409">
        <v>4.7485350000000003E-2</v>
      </c>
      <c r="V7409">
        <v>2.3549110000000002E-2</v>
      </c>
      <c r="W7409">
        <v>0.1714282</v>
      </c>
      <c r="X7409">
        <v>0.98491510000000004</v>
      </c>
      <c r="Y7409">
        <v>3.8315059999999998E-2</v>
      </c>
      <c r="Z7409">
        <v>-4.3491579999999997E-3</v>
      </c>
      <c r="AA7409">
        <v>0.99925629999999999</v>
      </c>
      <c r="AB7409">
        <v>20</v>
      </c>
      <c r="AC7409">
        <v>18.523099999999999</v>
      </c>
      <c r="AD7409">
        <v>-1.1096982785830001</v>
      </c>
      <c r="AE7409">
        <v>0.28234000000000398</v>
      </c>
      <c r="AF7409">
        <v>0.71425361547437705</v>
      </c>
      <c r="AG7409">
        <v>-1.1096982785830001</v>
      </c>
      <c r="AH7409">
        <v>18.445192424775701</v>
      </c>
      <c r="AI7409">
        <v>93.440302444250904</v>
      </c>
      <c r="AJ7409">
        <v>87.782442142851707</v>
      </c>
      <c r="AK7409">
        <v>18.492341984824701</v>
      </c>
      <c r="AL7409">
        <v>80.129131708515104</v>
      </c>
      <c r="AM7409">
        <v>88.630331093995594</v>
      </c>
      <c r="AN7409">
        <v>0.99999997127252005</v>
      </c>
    </row>
    <row r="7410" spans="1:40" x14ac:dyDescent="0.25">
      <c r="A7410" t="str">
        <f>"20190312172257649"</f>
        <v>20190312172257649</v>
      </c>
      <c r="B7410" t="str">
        <f>"1552382577637654"</f>
        <v>1552382577637654</v>
      </c>
      <c r="C7410" t="s">
        <v>40</v>
      </c>
      <c r="D7410">
        <v>3.3649789999999999</v>
      </c>
      <c r="E7410">
        <v>0.50941689999999995</v>
      </c>
      <c r="F7410" t="s">
        <v>74</v>
      </c>
      <c r="G7410">
        <v>-252.74029999999999</v>
      </c>
      <c r="H7410" s="1">
        <v>-1.185832E-6</v>
      </c>
      <c r="I7410">
        <v>-64.314580000000007</v>
      </c>
      <c r="J7410">
        <v>-271.38549999999998</v>
      </c>
      <c r="K7410">
        <v>1.109669</v>
      </c>
      <c r="L7410">
        <v>-64.579989999999995</v>
      </c>
      <c r="M7410">
        <v>0.99851509999999999</v>
      </c>
      <c r="N7410">
        <v>0</v>
      </c>
      <c r="O7410">
        <v>5.4044759999999997E-2</v>
      </c>
      <c r="P7410">
        <v>0.9858363</v>
      </c>
      <c r="Q7410">
        <v>0.16517479999999901</v>
      </c>
      <c r="R7410">
        <v>2.9057110000000001E-2</v>
      </c>
      <c r="S7410">
        <v>3.0718990000000002</v>
      </c>
      <c r="T7410">
        <v>-0.18185309999999999</v>
      </c>
      <c r="U7410">
        <v>4.4403079999999998E-2</v>
      </c>
      <c r="V7410">
        <v>2.4251700000000001E-2</v>
      </c>
      <c r="W7410">
        <v>0.17191960000000001</v>
      </c>
      <c r="X7410">
        <v>0.98481240000000003</v>
      </c>
      <c r="Y7410">
        <v>3.9444880000000002E-2</v>
      </c>
      <c r="Z7410">
        <v>-4.3614839999999997E-3</v>
      </c>
      <c r="AA7410">
        <v>0.99921219999999999</v>
      </c>
      <c r="AB7410">
        <v>20</v>
      </c>
      <c r="AC7410">
        <v>18.6451999999999</v>
      </c>
      <c r="AD7410">
        <v>-1.1096701858319999</v>
      </c>
      <c r="AE7410">
        <v>0.26541000000000198</v>
      </c>
      <c r="AF7410">
        <v>0.74005605128102503</v>
      </c>
      <c r="AG7410">
        <v>-1.1096701858319999</v>
      </c>
      <c r="AH7410">
        <v>18.566543222405102</v>
      </c>
      <c r="AI7410">
        <v>93.417631773359403</v>
      </c>
      <c r="AJ7410">
        <v>87.717418197914299</v>
      </c>
      <c r="AK7410">
        <v>18.614391693251701</v>
      </c>
      <c r="AL7410">
        <v>80.1005523384204</v>
      </c>
      <c r="AM7410">
        <v>88.589336123200695</v>
      </c>
      <c r="AN7410">
        <v>0.99999997850540401</v>
      </c>
    </row>
    <row r="7411" spans="1:40" x14ac:dyDescent="0.25">
      <c r="A7411" t="str">
        <f>"20190312172257661"</f>
        <v>20190312172257661</v>
      </c>
      <c r="B7411" t="str">
        <f>"1552382577658150"</f>
        <v>1552382577658150</v>
      </c>
      <c r="C7411" t="s">
        <v>40</v>
      </c>
      <c r="D7411">
        <v>3.3126000000000002</v>
      </c>
      <c r="E7411">
        <v>0.50959940000000004</v>
      </c>
      <c r="F7411" t="s">
        <v>74</v>
      </c>
      <c r="G7411">
        <v>-252.44720000000001</v>
      </c>
      <c r="H7411" s="1">
        <v>-1.06108E-6</v>
      </c>
      <c r="I7411">
        <v>-64.319040000000001</v>
      </c>
      <c r="J7411">
        <v>-271.2817</v>
      </c>
      <c r="K7411">
        <v>1.1096410000000001</v>
      </c>
      <c r="L7411">
        <v>-64.574219999999997</v>
      </c>
      <c r="M7411">
        <v>0.99850859999999997</v>
      </c>
      <c r="N7411">
        <v>0</v>
      </c>
      <c r="O7411">
        <v>5.4165409999999997E-2</v>
      </c>
      <c r="P7411">
        <v>0.98581730000000001</v>
      </c>
      <c r="Q7411">
        <v>0.1654011</v>
      </c>
      <c r="R7411">
        <v>2.8402409999999999E-2</v>
      </c>
      <c r="S7411">
        <v>3.0719910000000001</v>
      </c>
      <c r="T7411">
        <v>-0.17999970000000001</v>
      </c>
      <c r="U7411">
        <v>4.2327879999999998E-2</v>
      </c>
      <c r="V7411">
        <v>2.503495E-2</v>
      </c>
      <c r="W7411">
        <v>0.17212959999999999</v>
      </c>
      <c r="X7411">
        <v>0.98475619999999997</v>
      </c>
      <c r="Y7411">
        <v>4.024262E-2</v>
      </c>
      <c r="Z7411">
        <v>-4.3474209999999998E-3</v>
      </c>
      <c r="AA7411">
        <v>0.99918050000000003</v>
      </c>
      <c r="AB7411">
        <v>20</v>
      </c>
      <c r="AC7411">
        <v>18.834499999999899</v>
      </c>
      <c r="AD7411">
        <v>-1.10964206108</v>
      </c>
      <c r="AE7411">
        <v>0.25517999999999502</v>
      </c>
      <c r="AF7411">
        <v>0.76274981912101603</v>
      </c>
      <c r="AG7411">
        <v>-1.10964206108</v>
      </c>
      <c r="AH7411">
        <v>18.755582343595901</v>
      </c>
      <c r="AI7411">
        <v>93.383070381223902</v>
      </c>
      <c r="AJ7411">
        <v>87.671185262268096</v>
      </c>
      <c r="AK7411">
        <v>18.803854972789399</v>
      </c>
      <c r="AL7411">
        <v>80.088338965887502</v>
      </c>
      <c r="AM7411">
        <v>88.543712568799194</v>
      </c>
      <c r="AN7411">
        <v>1.0000000606780399</v>
      </c>
    </row>
    <row r="7412" spans="1:40" x14ac:dyDescent="0.25">
      <c r="A7412" t="str">
        <f>"20190312172257671"</f>
        <v>20190312172257671</v>
      </c>
      <c r="B7412" t="str">
        <f>"1552382577667909"</f>
        <v>1552382577667909</v>
      </c>
      <c r="C7412" t="s">
        <v>40</v>
      </c>
      <c r="D7412">
        <v>3.2044280000000001</v>
      </c>
      <c r="E7412">
        <v>0.50959940000000004</v>
      </c>
      <c r="F7412" t="s">
        <v>41</v>
      </c>
      <c r="G7412">
        <v>-270.3578</v>
      </c>
      <c r="H7412">
        <v>1.055768</v>
      </c>
      <c r="I7412">
        <v>-64.562730000000002</v>
      </c>
      <c r="J7412">
        <v>-271.18</v>
      </c>
      <c r="K7412">
        <v>1.1096140000000001</v>
      </c>
      <c r="L7412">
        <v>-64.568600000000004</v>
      </c>
      <c r="M7412">
        <v>0.99850490000000003</v>
      </c>
      <c r="N7412">
        <v>0</v>
      </c>
      <c r="O7412">
        <v>5.4237720000000003E-2</v>
      </c>
      <c r="P7412">
        <v>0.98577459999999995</v>
      </c>
      <c r="Q7412">
        <v>0.16577030000000001</v>
      </c>
      <c r="R7412">
        <v>2.7729170000000001E-2</v>
      </c>
      <c r="S7412">
        <v>3.0721129999999999</v>
      </c>
      <c r="T7412">
        <v>-0.17913090000000001</v>
      </c>
      <c r="U7412">
        <v>3.9031980000000001E-2</v>
      </c>
      <c r="V7412">
        <v>2.5787319999999999E-2</v>
      </c>
      <c r="W7412">
        <v>0.17248379999999999</v>
      </c>
      <c r="X7412">
        <v>0.98467479999999996</v>
      </c>
      <c r="Y7412">
        <v>4.1386760000000002E-2</v>
      </c>
      <c r="Z7412">
        <v>-4.3638879999999998E-3</v>
      </c>
      <c r="AA7412">
        <v>0.99913359999999996</v>
      </c>
      <c r="AB7412">
        <v>20</v>
      </c>
      <c r="AC7412">
        <v>0.82220000000000903</v>
      </c>
      <c r="AD7412">
        <v>-5.3845999999999797E-2</v>
      </c>
      <c r="AE7412">
        <v>5.8700000000015901E-3</v>
      </c>
      <c r="AF7412">
        <v>3.8568514683627902E-2</v>
      </c>
      <c r="AG7412">
        <v>-5.3845999999999797E-2</v>
      </c>
      <c r="AH7412">
        <v>0.81780075518621198</v>
      </c>
      <c r="AI7412">
        <v>93.762886403853301</v>
      </c>
      <c r="AJ7412">
        <v>87.299859484919494</v>
      </c>
      <c r="AK7412">
        <v>0.82047851722274801</v>
      </c>
      <c r="AL7412">
        <v>80.067736597925006</v>
      </c>
      <c r="AM7412">
        <v>88.499842831814405</v>
      </c>
      <c r="AN7412">
        <v>1.00000005444512</v>
      </c>
    </row>
    <row r="7413" spans="1:40" x14ac:dyDescent="0.25">
      <c r="A7413" t="str">
        <f>"20190312172257749"</f>
        <v>20190312172257749</v>
      </c>
      <c r="B7413" t="str">
        <f>"1552382577747942"</f>
        <v>1552382577747942</v>
      </c>
      <c r="C7413" t="s">
        <v>40</v>
      </c>
      <c r="D7413">
        <v>3.2622939999999998</v>
      </c>
      <c r="E7413">
        <v>0.50937699999999997</v>
      </c>
      <c r="F7413" t="s">
        <v>74</v>
      </c>
      <c r="G7413">
        <v>-252.0275</v>
      </c>
      <c r="H7413" s="1">
        <v>-8.84960699999999E-7</v>
      </c>
      <c r="I7413">
        <v>-64.336690000000004</v>
      </c>
      <c r="J7413">
        <v>-270.46269999999998</v>
      </c>
      <c r="K7413">
        <v>1.1094679999999999</v>
      </c>
      <c r="L7413">
        <v>-64.529449999999997</v>
      </c>
      <c r="M7413">
        <v>0.99850450000000002</v>
      </c>
      <c r="N7413">
        <v>0</v>
      </c>
      <c r="O7413">
        <v>5.4253240000000001E-2</v>
      </c>
      <c r="P7413">
        <v>0.98550890000000002</v>
      </c>
      <c r="Q7413">
        <v>0.16796129999999901</v>
      </c>
      <c r="R7413">
        <v>2.3689780000000001E-2</v>
      </c>
      <c r="S7413">
        <v>3.072174</v>
      </c>
      <c r="T7413">
        <v>-0.1779888</v>
      </c>
      <c r="U7413">
        <v>3.720093E-2</v>
      </c>
      <c r="V7413">
        <v>2.9876860000000002E-2</v>
      </c>
      <c r="W7413">
        <v>0.174598799999999</v>
      </c>
      <c r="X7413">
        <v>0.98418629999999996</v>
      </c>
      <c r="Y7413">
        <v>4.199895E-2</v>
      </c>
      <c r="Z7413">
        <v>-4.3546679999999999E-3</v>
      </c>
      <c r="AA7413">
        <v>0.99910810000000005</v>
      </c>
      <c r="AB7413">
        <v>21</v>
      </c>
      <c r="AC7413">
        <v>18.435199999999899</v>
      </c>
      <c r="AD7413">
        <v>-1.1094688849607</v>
      </c>
      <c r="AE7413">
        <v>0.19275999999999199</v>
      </c>
      <c r="AF7413">
        <v>0.80480133905335105</v>
      </c>
      <c r="AG7413">
        <v>-1.1094688849607</v>
      </c>
      <c r="AH7413">
        <v>18.352043942422501</v>
      </c>
      <c r="AI7413">
        <v>93.456279714217899</v>
      </c>
      <c r="AJ7413">
        <v>87.488988437517804</v>
      </c>
      <c r="AK7413">
        <v>18.403155796402</v>
      </c>
      <c r="AL7413">
        <v>79.9446886078169</v>
      </c>
      <c r="AM7413">
        <v>88.2612108743009</v>
      </c>
      <c r="AN7413">
        <v>1.00000002041629</v>
      </c>
    </row>
    <row r="7414" spans="1:40" x14ac:dyDescent="0.25">
      <c r="A7414" t="str">
        <f>"20190312172257762"</f>
        <v>20190312172257762</v>
      </c>
      <c r="B7414" t="str">
        <f>"1552382577757702"</f>
        <v>1552382577757702</v>
      </c>
      <c r="C7414" t="s">
        <v>40</v>
      </c>
      <c r="D7414">
        <v>3.291579</v>
      </c>
      <c r="E7414">
        <v>0.50919360000000002</v>
      </c>
      <c r="F7414" t="s">
        <v>74</v>
      </c>
      <c r="G7414">
        <v>-251.51240000000001</v>
      </c>
      <c r="H7414" s="1">
        <v>-6.6752399999999999E-7</v>
      </c>
      <c r="I7414">
        <v>-64.352620000000002</v>
      </c>
      <c r="J7414">
        <v>-270.35109999999997</v>
      </c>
      <c r="K7414">
        <v>1.109453</v>
      </c>
      <c r="L7414">
        <v>-64.523469999999904</v>
      </c>
      <c r="M7414">
        <v>0.9985079</v>
      </c>
      <c r="N7414">
        <v>0</v>
      </c>
      <c r="O7414">
        <v>5.4189880000000003E-2</v>
      </c>
      <c r="P7414">
        <v>0.98548199999999997</v>
      </c>
      <c r="Q7414">
        <v>0.1681716</v>
      </c>
      <c r="R7414">
        <v>2.3311309999999998E-2</v>
      </c>
      <c r="S7414">
        <v>3.0741269999999998</v>
      </c>
      <c r="T7414">
        <v>-0.17997839999999901</v>
      </c>
      <c r="U7414">
        <v>2.868652E-2</v>
      </c>
      <c r="V7414">
        <v>3.0195690000000001E-2</v>
      </c>
      <c r="W7414">
        <v>0.17479979999999901</v>
      </c>
      <c r="X7414">
        <v>0.98414089999999999</v>
      </c>
      <c r="Y7414">
        <v>4.4702029999999997E-2</v>
      </c>
      <c r="Z7414">
        <v>-4.4759509999999997E-3</v>
      </c>
      <c r="AA7414">
        <v>0.99899039999999995</v>
      </c>
      <c r="AB7414">
        <v>21</v>
      </c>
      <c r="AC7414">
        <v>18.8386999999999</v>
      </c>
      <c r="AD7414">
        <v>-1.1094536675239901</v>
      </c>
      <c r="AE7414">
        <v>0.17084999999998701</v>
      </c>
      <c r="AF7414">
        <v>0.84735250265819695</v>
      </c>
      <c r="AG7414">
        <v>-1.1094536675239901</v>
      </c>
      <c r="AH7414">
        <v>18.7552332299481</v>
      </c>
      <c r="AI7414">
        <v>93.381907892599202</v>
      </c>
      <c r="AJ7414">
        <v>87.413163093959199</v>
      </c>
      <c r="AK7414">
        <v>18.807117461586</v>
      </c>
      <c r="AL7414">
        <v>79.932992390098207</v>
      </c>
      <c r="AM7414">
        <v>88.242585994929399</v>
      </c>
      <c r="AN7414">
        <v>1.00000003041371</v>
      </c>
    </row>
    <row r="7415" spans="1:40" x14ac:dyDescent="0.25">
      <c r="A7415" t="str">
        <f>"20190312172257773"</f>
        <v>20190312172257773</v>
      </c>
      <c r="B7415" t="str">
        <f>"1552382577767462"</f>
        <v>1552382577767462</v>
      </c>
      <c r="C7415" t="s">
        <v>40</v>
      </c>
      <c r="D7415">
        <v>3.3367610000000001</v>
      </c>
      <c r="E7415">
        <v>0.50904389999999999</v>
      </c>
      <c r="F7415" t="s">
        <v>41</v>
      </c>
      <c r="G7415">
        <v>-269.4391</v>
      </c>
      <c r="H7415">
        <v>1.056055</v>
      </c>
      <c r="I7415">
        <v>-64.51482</v>
      </c>
      <c r="J7415">
        <v>-270.24520000000001</v>
      </c>
      <c r="K7415">
        <v>1.109442</v>
      </c>
      <c r="L7415">
        <v>-64.51782</v>
      </c>
      <c r="M7415">
        <v>0.99851250000000003</v>
      </c>
      <c r="N7415">
        <v>0</v>
      </c>
      <c r="O7415">
        <v>5.4107570000000001E-2</v>
      </c>
      <c r="P7415">
        <v>0.98547359999999995</v>
      </c>
      <c r="Q7415">
        <v>0.16829630000000001</v>
      </c>
      <c r="R7415">
        <v>2.276388E-2</v>
      </c>
      <c r="S7415">
        <v>3.0742189999999998</v>
      </c>
      <c r="T7415">
        <v>-0.17999419999999999</v>
      </c>
      <c r="U7415">
        <v>2.938843E-2</v>
      </c>
      <c r="V7415">
        <v>3.0664919999999998E-2</v>
      </c>
      <c r="W7415">
        <v>0.17491570000000001</v>
      </c>
      <c r="X7415">
        <v>0.98410580000000003</v>
      </c>
      <c r="Y7415">
        <v>4.4392519999999998E-2</v>
      </c>
      <c r="Z7415">
        <v>-4.4623379999999997E-3</v>
      </c>
      <c r="AA7415">
        <v>0.99900420000000001</v>
      </c>
      <c r="AB7415">
        <v>21</v>
      </c>
      <c r="AC7415">
        <v>0.80610000000001403</v>
      </c>
      <c r="AD7415">
        <v>-5.3386999999999997E-2</v>
      </c>
      <c r="AE7415">
        <v>3.0000000000001098E-3</v>
      </c>
      <c r="AF7415">
        <v>4.0444096500459298E-2</v>
      </c>
      <c r="AG7415">
        <v>-5.3386999999999997E-2</v>
      </c>
      <c r="AH7415">
        <v>0.80156561025581796</v>
      </c>
      <c r="AI7415">
        <v>93.805639350587398</v>
      </c>
      <c r="AJ7415">
        <v>87.111512110200906</v>
      </c>
      <c r="AK7415">
        <v>0.80435895236860599</v>
      </c>
      <c r="AL7415">
        <v>79.926247923224693</v>
      </c>
      <c r="AM7415">
        <v>88.2152303355642</v>
      </c>
      <c r="AN7415">
        <v>1.0000000325093601</v>
      </c>
    </row>
    <row r="7416" spans="1:40" x14ac:dyDescent="0.25">
      <c r="A7416" t="str">
        <f>"20190312172257785"</f>
        <v>20190312172257785</v>
      </c>
      <c r="B7416" t="str">
        <f>"1552382577778198"</f>
        <v>1552382577778198</v>
      </c>
      <c r="C7416" t="s">
        <v>40</v>
      </c>
      <c r="D7416">
        <v>3.296017</v>
      </c>
      <c r="E7416">
        <v>0.50887970000000005</v>
      </c>
      <c r="F7416" t="s">
        <v>74</v>
      </c>
      <c r="G7416">
        <v>-251.1619</v>
      </c>
      <c r="H7416" s="1">
        <v>-5.1356220000000004E-7</v>
      </c>
      <c r="I7416">
        <v>-64.336330000000004</v>
      </c>
      <c r="J7416">
        <v>-270.14210000000003</v>
      </c>
      <c r="K7416">
        <v>1.1094299999999999</v>
      </c>
      <c r="L7416">
        <v>-64.512270000000001</v>
      </c>
      <c r="M7416">
        <v>0.9985174</v>
      </c>
      <c r="N7416">
        <v>0</v>
      </c>
      <c r="O7416">
        <v>5.4019299999999999E-2</v>
      </c>
      <c r="P7416">
        <v>0.98549810000000004</v>
      </c>
      <c r="Q7416">
        <v>0.16824620000000001</v>
      </c>
      <c r="R7416">
        <v>2.2075350000000001E-2</v>
      </c>
      <c r="S7416">
        <v>3.0741269999999998</v>
      </c>
      <c r="T7416">
        <v>-0.1787202</v>
      </c>
      <c r="U7416">
        <v>2.9235839999999999E-2</v>
      </c>
      <c r="V7416">
        <v>3.1270239999999998E-2</v>
      </c>
      <c r="W7416">
        <v>0.17485709999999999</v>
      </c>
      <c r="X7416">
        <v>0.98409709999999995</v>
      </c>
      <c r="Y7416">
        <v>4.4356090000000001E-2</v>
      </c>
      <c r="Z7416">
        <v>-4.4247619999999996E-3</v>
      </c>
      <c r="AA7416">
        <v>0.99900599999999995</v>
      </c>
      <c r="AB7416">
        <v>21</v>
      </c>
      <c r="AC7416">
        <v>18.9802</v>
      </c>
      <c r="AD7416">
        <v>-1.1094305135622</v>
      </c>
      <c r="AE7416">
        <v>0.17593999999999699</v>
      </c>
      <c r="AF7416">
        <v>0.846744280375749</v>
      </c>
      <c r="AG7416">
        <v>-1.1094305135622</v>
      </c>
      <c r="AH7416">
        <v>18.897429893268299</v>
      </c>
      <c r="AI7416">
        <v>93.356504670654601</v>
      </c>
      <c r="AJ7416">
        <v>87.434442401260597</v>
      </c>
      <c r="AK7416">
        <v>18.9488962346561</v>
      </c>
      <c r="AL7416">
        <v>79.929657351289606</v>
      </c>
      <c r="AM7416">
        <v>88.180006689484301</v>
      </c>
      <c r="AN7416">
        <v>0.99999996777923805</v>
      </c>
    </row>
    <row r="7417" spans="1:40" x14ac:dyDescent="0.25">
      <c r="A7417" t="str">
        <f>"20190312172257795"</f>
        <v>20190312172257795</v>
      </c>
      <c r="B7417" t="str">
        <f>"1552382577787957"</f>
        <v>1552382577787957</v>
      </c>
      <c r="C7417" t="s">
        <v>40</v>
      </c>
      <c r="D7417">
        <v>3.3132769999999998</v>
      </c>
      <c r="E7417">
        <v>0.5087197</v>
      </c>
      <c r="F7417" t="s">
        <v>74</v>
      </c>
      <c r="G7417">
        <v>-250.9863</v>
      </c>
      <c r="H7417" s="1">
        <v>-4.3775249999999998E-7</v>
      </c>
      <c r="I7417">
        <v>-64.33426</v>
      </c>
      <c r="J7417">
        <v>-270.03109999999998</v>
      </c>
      <c r="K7417">
        <v>1.109421</v>
      </c>
      <c r="L7417">
        <v>-64.506379999999993</v>
      </c>
      <c r="M7417">
        <v>0.99852320000000006</v>
      </c>
      <c r="N7417">
        <v>0</v>
      </c>
      <c r="O7417">
        <v>5.3911309999999997E-2</v>
      </c>
      <c r="P7417">
        <v>0.98549160000000002</v>
      </c>
      <c r="Q7417">
        <v>0.16832849999999999</v>
      </c>
      <c r="R7417">
        <v>2.1724770000000001E-2</v>
      </c>
      <c r="S7417">
        <v>3.0739139999999998</v>
      </c>
      <c r="T7417">
        <v>-0.1780293</v>
      </c>
      <c r="U7417">
        <v>2.8564450000000002E-2</v>
      </c>
      <c r="V7417">
        <v>3.1517610000000001E-2</v>
      </c>
      <c r="W7417">
        <v>0.17493029999999901</v>
      </c>
      <c r="X7417">
        <v>0.98407630000000001</v>
      </c>
      <c r="Y7417">
        <v>4.4466819999999997E-2</v>
      </c>
      <c r="Z7417">
        <v>-4.4049629999999996E-3</v>
      </c>
      <c r="AA7417">
        <v>0.99900109999999998</v>
      </c>
      <c r="AB7417">
        <v>21</v>
      </c>
      <c r="AC7417">
        <v>19.044799999999899</v>
      </c>
      <c r="AD7417">
        <v>-1.1094214377525</v>
      </c>
      <c r="AE7417">
        <v>0.17212000000000599</v>
      </c>
      <c r="AF7417">
        <v>0.85199258395347</v>
      </c>
      <c r="AG7417">
        <v>-1.1094214377525</v>
      </c>
      <c r="AH7417">
        <v>18.9620405482341</v>
      </c>
      <c r="AI7417">
        <v>93.345047988527497</v>
      </c>
      <c r="AJ7417">
        <v>87.427346039200202</v>
      </c>
      <c r="AK7417">
        <v>19.013565921271301</v>
      </c>
      <c r="AL7417">
        <v>79.925398655754293</v>
      </c>
      <c r="AM7417">
        <v>88.165580290449697</v>
      </c>
      <c r="AN7417">
        <v>1.00000006690994</v>
      </c>
    </row>
    <row r="7418" spans="1:40" x14ac:dyDescent="0.25">
      <c r="A7418" t="str">
        <f>"20190312172257807"</f>
        <v>20190312172257807</v>
      </c>
      <c r="B7418" t="str">
        <f>"1552382577797718"</f>
        <v>1552382577797718</v>
      </c>
      <c r="C7418" t="s">
        <v>40</v>
      </c>
      <c r="D7418">
        <v>3.3197640000000002</v>
      </c>
      <c r="E7418">
        <v>0.50857379999999996</v>
      </c>
      <c r="F7418" t="s">
        <v>74</v>
      </c>
      <c r="G7418">
        <v>-250.7527</v>
      </c>
      <c r="H7418" s="1">
        <v>-3.3548840000000001E-7</v>
      </c>
      <c r="I7418">
        <v>-64.325119999999998</v>
      </c>
      <c r="J7418">
        <v>-269.9341</v>
      </c>
      <c r="K7418">
        <v>1.1094109999999999</v>
      </c>
      <c r="L7418">
        <v>-64.501279999999994</v>
      </c>
      <c r="M7418">
        <v>0.99852879999999999</v>
      </c>
      <c r="N7418">
        <v>0</v>
      </c>
      <c r="O7418">
        <v>5.3807679999999997E-2</v>
      </c>
      <c r="P7418">
        <v>0.98547859999999998</v>
      </c>
      <c r="Q7418">
        <v>0.1684522</v>
      </c>
      <c r="R7418">
        <v>2.1351869999999998E-2</v>
      </c>
      <c r="S7418">
        <v>3.0737610000000002</v>
      </c>
      <c r="T7418">
        <v>-0.1768863</v>
      </c>
      <c r="U7418">
        <v>2.8900149999999999E-2</v>
      </c>
      <c r="V7418">
        <v>3.179017E-2</v>
      </c>
      <c r="W7418">
        <v>0.175044899999999</v>
      </c>
      <c r="X7418">
        <v>0.98404709999999995</v>
      </c>
      <c r="Y7418">
        <v>4.4256200000000002E-2</v>
      </c>
      <c r="Z7418">
        <v>-4.3649350000000003E-3</v>
      </c>
      <c r="AA7418">
        <v>0.99901070000000003</v>
      </c>
      <c r="AB7418">
        <v>21</v>
      </c>
      <c r="AC7418">
        <v>19.1814</v>
      </c>
      <c r="AD7418">
        <v>-1.1094113354883901</v>
      </c>
      <c r="AE7418">
        <v>0.17616000000001</v>
      </c>
      <c r="AF7418">
        <v>0.85337058083283801</v>
      </c>
      <c r="AG7418">
        <v>-1.1094113354883901</v>
      </c>
      <c r="AH7418">
        <v>19.0992043253537</v>
      </c>
      <c r="AI7418">
        <v>93.321085943340293</v>
      </c>
      <c r="AJ7418">
        <v>87.441671744259693</v>
      </c>
      <c r="AK7418">
        <v>19.150421424113599</v>
      </c>
      <c r="AL7418">
        <v>79.918729117184398</v>
      </c>
      <c r="AM7418">
        <v>88.149672592539702</v>
      </c>
      <c r="AN7418">
        <v>1.0000000134715199</v>
      </c>
    </row>
    <row r="7419" spans="1:40" x14ac:dyDescent="0.25">
      <c r="A7419" t="str">
        <f>"20190312172257817"</f>
        <v>20190312172257817</v>
      </c>
      <c r="B7419" t="str">
        <f>"1552382577807478"</f>
        <v>1552382577807478</v>
      </c>
      <c r="C7419" t="s">
        <v>40</v>
      </c>
      <c r="D7419">
        <v>3.2970190000000001</v>
      </c>
      <c r="E7419">
        <v>0.50841999999999998</v>
      </c>
      <c r="F7419" t="s">
        <v>74</v>
      </c>
      <c r="G7419">
        <v>-250.50720000000001</v>
      </c>
      <c r="H7419" s="1">
        <v>-2.2835789999999999E-7</v>
      </c>
      <c r="I7419">
        <v>-64.316890000000001</v>
      </c>
      <c r="J7419">
        <v>-269.83589999999998</v>
      </c>
      <c r="K7419">
        <v>1.1093999999999999</v>
      </c>
      <c r="L7419">
        <v>-64.496089999999995</v>
      </c>
      <c r="M7419">
        <v>0.99853479999999994</v>
      </c>
      <c r="N7419">
        <v>0</v>
      </c>
      <c r="O7419">
        <v>5.3697620000000001E-2</v>
      </c>
      <c r="P7419">
        <v>0.98544030000000005</v>
      </c>
      <c r="Q7419">
        <v>0.16877590000000001</v>
      </c>
      <c r="R7419">
        <v>2.055309E-2</v>
      </c>
      <c r="S7419">
        <v>3.0735779999999999</v>
      </c>
      <c r="T7419">
        <v>-0.1755224</v>
      </c>
      <c r="U7419">
        <v>2.9174800000000001E-2</v>
      </c>
      <c r="V7419">
        <v>3.2480519999999999E-2</v>
      </c>
      <c r="W7419">
        <v>0.17535889999999901</v>
      </c>
      <c r="X7419">
        <v>0.98396859999999997</v>
      </c>
      <c r="Y7419">
        <v>4.4059220000000003E-2</v>
      </c>
      <c r="Z7419">
        <v>-4.3196939999999998E-3</v>
      </c>
      <c r="AA7419">
        <v>0.99901960000000001</v>
      </c>
      <c r="AB7419">
        <v>21</v>
      </c>
      <c r="AC7419">
        <v>19.328699999999898</v>
      </c>
      <c r="AD7419">
        <v>-1.1094002283579001</v>
      </c>
      <c r="AE7419">
        <v>0.179199999999994</v>
      </c>
      <c r="AF7419">
        <v>0.85616672114272996</v>
      </c>
      <c r="AG7419">
        <v>-1.1094002283579001</v>
      </c>
      <c r="AH7419">
        <v>19.2470337113892</v>
      </c>
      <c r="AI7419">
        <v>93.295630378679903</v>
      </c>
      <c r="AJ7419">
        <v>87.452988173376099</v>
      </c>
      <c r="AK7419">
        <v>19.297981682249201</v>
      </c>
      <c r="AL7419">
        <v>79.900455121973394</v>
      </c>
      <c r="AM7419">
        <v>88.109369328984002</v>
      </c>
      <c r="AN7419">
        <v>0.99999996688731896</v>
      </c>
    </row>
    <row r="7420" spans="1:40" x14ac:dyDescent="0.25">
      <c r="A7420" t="str">
        <f>"20190312172257827"</f>
        <v>20190312172257827</v>
      </c>
      <c r="B7420" t="str">
        <f>"1552382577818216"</f>
        <v>1552382577818216</v>
      </c>
      <c r="C7420" t="s">
        <v>40</v>
      </c>
      <c r="D7420">
        <v>3.2741090000000002</v>
      </c>
      <c r="E7420">
        <v>0.50822420000000001</v>
      </c>
      <c r="F7420" t="s">
        <v>74</v>
      </c>
      <c r="G7420">
        <v>-250.20699999999999</v>
      </c>
      <c r="H7420" s="1">
        <v>-9.9797030000000006E-8</v>
      </c>
      <c r="I7420">
        <v>-64.317959999999999</v>
      </c>
      <c r="J7420">
        <v>-269.73779999999999</v>
      </c>
      <c r="K7420">
        <v>1.1093869999999999</v>
      </c>
      <c r="L7420">
        <v>-64.490969999999905</v>
      </c>
      <c r="M7420">
        <v>0.99854109999999996</v>
      </c>
      <c r="N7420">
        <v>0</v>
      </c>
      <c r="O7420">
        <v>5.3580780000000001E-2</v>
      </c>
      <c r="P7420">
        <v>0.98542390000000002</v>
      </c>
      <c r="Q7420">
        <v>0.1689232</v>
      </c>
      <c r="R7420">
        <v>2.011947E-2</v>
      </c>
      <c r="S7420">
        <v>3.0735169999999998</v>
      </c>
      <c r="T7420">
        <v>-0.17371059999999999</v>
      </c>
      <c r="U7420">
        <v>2.7893069999999999E-2</v>
      </c>
      <c r="V7420">
        <v>3.2800070000000001E-2</v>
      </c>
      <c r="W7420">
        <v>0.17549600000000001</v>
      </c>
      <c r="X7420">
        <v>0.98393359999999996</v>
      </c>
      <c r="Y7420">
        <v>4.4361680000000001E-2</v>
      </c>
      <c r="Z7420">
        <v>-4.2772280000000001E-3</v>
      </c>
      <c r="AA7420">
        <v>0.99900639999999996</v>
      </c>
      <c r="AB7420">
        <v>21</v>
      </c>
      <c r="AC7420">
        <v>19.530799999999999</v>
      </c>
      <c r="AD7420">
        <v>-1.1093870997970301</v>
      </c>
      <c r="AE7420">
        <v>0.17300999999999001</v>
      </c>
      <c r="AF7420">
        <v>0.87092766987627701</v>
      </c>
      <c r="AG7420">
        <v>-1.1093870997970301</v>
      </c>
      <c r="AH7420">
        <v>19.449265987296599</v>
      </c>
      <c r="AI7420">
        <v>93.2613554989329</v>
      </c>
      <c r="AJ7420">
        <v>87.436038647215099</v>
      </c>
      <c r="AK7420">
        <v>19.500338514701902</v>
      </c>
      <c r="AL7420">
        <v>79.892476574487304</v>
      </c>
      <c r="AM7420">
        <v>88.090714753007902</v>
      </c>
      <c r="AN7420">
        <v>1.00000000990848</v>
      </c>
    </row>
    <row r="7421" spans="1:40" x14ac:dyDescent="0.25">
      <c r="A7421" t="str">
        <f>"20190312172257838"</f>
        <v>20190312172257838</v>
      </c>
      <c r="B7421" t="str">
        <f>"1552382577827974"</f>
        <v>1552382577827974</v>
      </c>
      <c r="C7421" t="s">
        <v>40</v>
      </c>
      <c r="D7421">
        <v>3.3276330000000001</v>
      </c>
      <c r="E7421">
        <v>0.50804189999999905</v>
      </c>
      <c r="F7421" t="s">
        <v>75</v>
      </c>
      <c r="G7421">
        <v>-249.99529999999999</v>
      </c>
      <c r="H7421" s="1">
        <v>-3.9715939999999996E-6</v>
      </c>
      <c r="I7421">
        <v>-64.307810000000003</v>
      </c>
      <c r="J7421">
        <v>-269.63200000000001</v>
      </c>
      <c r="K7421">
        <v>1.109378</v>
      </c>
      <c r="L7421">
        <v>-64.485380000000006</v>
      </c>
      <c r="M7421">
        <v>0.9985482</v>
      </c>
      <c r="N7421">
        <v>0</v>
      </c>
      <c r="O7421">
        <v>5.3452029999999998E-2</v>
      </c>
      <c r="P7421">
        <v>0.98537799999999998</v>
      </c>
      <c r="Q7421">
        <v>0.16924510000000001</v>
      </c>
      <c r="R7421">
        <v>1.9654709999999999E-2</v>
      </c>
      <c r="S7421">
        <v>3.0733640000000002</v>
      </c>
      <c r="T7421">
        <v>-0.17270179999999999</v>
      </c>
      <c r="U7421">
        <v>2.8503420000000002E-2</v>
      </c>
      <c r="V7421">
        <v>3.3137390000000003E-2</v>
      </c>
      <c r="W7421">
        <v>0.175805399999999</v>
      </c>
      <c r="X7421">
        <v>0.98386700000000005</v>
      </c>
      <c r="Y7421">
        <v>4.4036539999999999E-2</v>
      </c>
      <c r="Z7421">
        <v>-4.2362800000000003E-3</v>
      </c>
      <c r="AA7421">
        <v>0.99902089999999999</v>
      </c>
      <c r="AB7421">
        <v>21</v>
      </c>
      <c r="AC7421">
        <v>19.636700000000001</v>
      </c>
      <c r="AD7421">
        <v>-1.1093819715940001</v>
      </c>
      <c r="AE7421">
        <v>0.177570000000002</v>
      </c>
      <c r="AF7421">
        <v>0.86955348071555705</v>
      </c>
      <c r="AG7421">
        <v>-1.1093819715940001</v>
      </c>
      <c r="AH7421">
        <v>19.555706879250099</v>
      </c>
      <c r="AI7421">
        <v>93.243672384726196</v>
      </c>
      <c r="AJ7421">
        <v>87.453993954725107</v>
      </c>
      <c r="AK7421">
        <v>19.6064408591124</v>
      </c>
      <c r="AL7421">
        <v>79.874468674929702</v>
      </c>
      <c r="AM7421">
        <v>88.070963710497296</v>
      </c>
      <c r="AN7421">
        <v>0.99999994948708404</v>
      </c>
    </row>
    <row r="7422" spans="1:40" x14ac:dyDescent="0.25">
      <c r="A7422" t="str">
        <f>"20190312172257851"</f>
        <v>20190312172257851</v>
      </c>
      <c r="B7422" t="str">
        <f>"1552382577847495"</f>
        <v>1552382577847495</v>
      </c>
      <c r="C7422" t="s">
        <v>40</v>
      </c>
      <c r="D7422">
        <v>3.3147690000000001</v>
      </c>
      <c r="E7422">
        <v>0.50766029999999995</v>
      </c>
      <c r="F7422" t="s">
        <v>75</v>
      </c>
      <c r="G7422">
        <v>-249.70500000000001</v>
      </c>
      <c r="H7422" s="1">
        <v>-3.8712859999999997E-6</v>
      </c>
      <c r="I7422">
        <v>-64.299319999999994</v>
      </c>
      <c r="J7422">
        <v>-269.52300000000002</v>
      </c>
      <c r="K7422">
        <v>1.1093710000000001</v>
      </c>
      <c r="L7422">
        <v>-64.479709999999997</v>
      </c>
      <c r="M7422">
        <v>0.99855559999999999</v>
      </c>
      <c r="N7422">
        <v>0</v>
      </c>
      <c r="O7422">
        <v>5.3313840000000001E-2</v>
      </c>
      <c r="P7422">
        <v>0.98530519999999999</v>
      </c>
      <c r="Q7422">
        <v>0.16975570000000001</v>
      </c>
      <c r="R7422">
        <v>1.8898149999999999E-2</v>
      </c>
      <c r="S7422">
        <v>3.0733640000000002</v>
      </c>
      <c r="T7422">
        <v>-0.17110069999999999</v>
      </c>
      <c r="U7422">
        <v>2.868652E-2</v>
      </c>
      <c r="V7422">
        <v>3.375388E-2</v>
      </c>
      <c r="W7422">
        <v>0.1762987</v>
      </c>
      <c r="X7422">
        <v>0.98375780000000002</v>
      </c>
      <c r="Y7422">
        <v>4.3842109999999997E-2</v>
      </c>
      <c r="Z7422">
        <v>-4.1839809999999998E-3</v>
      </c>
      <c r="AA7422">
        <v>0.99902970000000002</v>
      </c>
      <c r="AB7422">
        <v>21</v>
      </c>
      <c r="AC7422">
        <v>19.817999999999898</v>
      </c>
      <c r="AD7422">
        <v>-1.1093748712860001</v>
      </c>
      <c r="AE7422">
        <v>0.18039000000000199</v>
      </c>
      <c r="AF7422">
        <v>0.87372603170299101</v>
      </c>
      <c r="AG7422">
        <v>-1.1093748712860001</v>
      </c>
      <c r="AH7422">
        <v>19.737587557038999</v>
      </c>
      <c r="AI7422">
        <v>93.213852727194507</v>
      </c>
      <c r="AJ7422">
        <v>87.465335975366102</v>
      </c>
      <c r="AK7422">
        <v>19.788038618198101</v>
      </c>
      <c r="AL7422">
        <v>79.845756540196405</v>
      </c>
      <c r="AM7422">
        <v>88.034885739541096</v>
      </c>
      <c r="AN7422">
        <v>0.99999998254879197</v>
      </c>
    </row>
    <row r="7423" spans="1:40" x14ac:dyDescent="0.25">
      <c r="A7423" t="str">
        <f>"20190312172257862"</f>
        <v>20190312172257862</v>
      </c>
      <c r="B7423" t="str">
        <f>"1552382577857254"</f>
        <v>1552382577857254</v>
      </c>
      <c r="C7423" t="s">
        <v>40</v>
      </c>
      <c r="D7423">
        <v>3.3734289999999998</v>
      </c>
      <c r="E7423">
        <v>0.50747419999999999</v>
      </c>
      <c r="F7423" t="s">
        <v>75</v>
      </c>
      <c r="G7423">
        <v>-249.3383</v>
      </c>
      <c r="H7423" s="1">
        <v>-3.7440789999999999E-6</v>
      </c>
      <c r="I7423">
        <v>-64.285629999999998</v>
      </c>
      <c r="J7423">
        <v>-269.41469999999998</v>
      </c>
      <c r="K7423">
        <v>1.10937</v>
      </c>
      <c r="L7423">
        <v>-64.474059999999994</v>
      </c>
      <c r="M7423">
        <v>0.99856319999999998</v>
      </c>
      <c r="N7423">
        <v>0</v>
      </c>
      <c r="O7423">
        <v>5.3174949999999999E-2</v>
      </c>
      <c r="P7423">
        <v>0.98520090000000005</v>
      </c>
      <c r="Q7423">
        <v>0.1704068</v>
      </c>
      <c r="R7423">
        <v>1.8460339999999999E-2</v>
      </c>
      <c r="S7423">
        <v>3.0733030000000001</v>
      </c>
      <c r="T7423">
        <v>-0.16891210000000001</v>
      </c>
      <c r="U7423">
        <v>2.9541020000000001E-2</v>
      </c>
      <c r="V7423">
        <v>3.4050150000000001E-2</v>
      </c>
      <c r="W7423">
        <v>0.17693229999999999</v>
      </c>
      <c r="X7423">
        <v>0.98363389999999995</v>
      </c>
      <c r="Y7423">
        <v>4.3429860000000001E-2</v>
      </c>
      <c r="Z7423">
        <v>-4.1116729999999997E-3</v>
      </c>
      <c r="AA7423">
        <v>0.99904800000000005</v>
      </c>
      <c r="AB7423">
        <v>21</v>
      </c>
      <c r="AC7423">
        <v>20.0763999999999</v>
      </c>
      <c r="AD7423">
        <v>-1.1093737440789999</v>
      </c>
      <c r="AE7423">
        <v>0.18842999999999599</v>
      </c>
      <c r="AF7423">
        <v>0.876744813250947</v>
      </c>
      <c r="AG7423">
        <v>-1.1093737440789999</v>
      </c>
      <c r="AH7423">
        <v>19.9969614692466</v>
      </c>
      <c r="AI7423">
        <v>93.172308306082201</v>
      </c>
      <c r="AJ7423">
        <v>87.489537261161402</v>
      </c>
      <c r="AK7423">
        <v>20.046891518989799</v>
      </c>
      <c r="AL7423">
        <v>79.808874837226199</v>
      </c>
      <c r="AM7423">
        <v>88.017401423171606</v>
      </c>
      <c r="AN7423">
        <v>1.0000000503637601</v>
      </c>
    </row>
    <row r="7424" spans="1:40" x14ac:dyDescent="0.25">
      <c r="A7424" t="str">
        <f>"20190312172257872"</f>
        <v>20190312172257872</v>
      </c>
      <c r="B7424" t="str">
        <f>"1552382577867991"</f>
        <v>1552382577867991</v>
      </c>
      <c r="C7424" t="s">
        <v>40</v>
      </c>
      <c r="D7424">
        <v>3.3466849999999999</v>
      </c>
      <c r="E7424">
        <v>0.50730429999999904</v>
      </c>
      <c r="F7424" t="s">
        <v>75</v>
      </c>
      <c r="G7424">
        <v>-248.87649999999999</v>
      </c>
      <c r="H7424" s="1">
        <v>-3.5849359999999999E-6</v>
      </c>
      <c r="I7424">
        <v>-64.274339999999995</v>
      </c>
      <c r="J7424">
        <v>-269.30739999999997</v>
      </c>
      <c r="K7424">
        <v>1.1093679999999999</v>
      </c>
      <c r="L7424">
        <v>-64.468509999999995</v>
      </c>
      <c r="M7424">
        <v>0.99857090000000004</v>
      </c>
      <c r="N7424">
        <v>0</v>
      </c>
      <c r="O7424">
        <v>5.3034909999999998E-2</v>
      </c>
      <c r="P7424">
        <v>0.98515200000000003</v>
      </c>
      <c r="Q7424">
        <v>0.170741</v>
      </c>
      <c r="R7424">
        <v>1.7982669999999999E-2</v>
      </c>
      <c r="S7424">
        <v>3.073242</v>
      </c>
      <c r="T7424">
        <v>-0.1660016</v>
      </c>
      <c r="U7424">
        <v>2.9876710000000001E-2</v>
      </c>
      <c r="V7424">
        <v>3.4386189999999997E-2</v>
      </c>
      <c r="W7424">
        <v>0.17724579999999901</v>
      </c>
      <c r="X7424">
        <v>0.98356569999999999</v>
      </c>
      <c r="Y7424">
        <v>4.3185960000000002E-2</v>
      </c>
      <c r="Z7424">
        <v>-4.0268739999999997E-3</v>
      </c>
      <c r="AA7424">
        <v>0.99905900000000003</v>
      </c>
      <c r="AB7424">
        <v>21</v>
      </c>
      <c r="AC7424">
        <v>20.430899999999902</v>
      </c>
      <c r="AD7424">
        <v>-1.109371584936</v>
      </c>
      <c r="AE7424">
        <v>0.19416999999998499</v>
      </c>
      <c r="AF7424">
        <v>0.88706262704554595</v>
      </c>
      <c r="AG7424">
        <v>-1.109371584936</v>
      </c>
      <c r="AH7424">
        <v>20.3524428044283</v>
      </c>
      <c r="AI7424">
        <v>93.117039205486705</v>
      </c>
      <c r="AJ7424">
        <v>87.504338989063498</v>
      </c>
      <c r="AK7424">
        <v>20.401948767833201</v>
      </c>
      <c r="AL7424">
        <v>79.790623481119297</v>
      </c>
      <c r="AM7424">
        <v>87.997712343349903</v>
      </c>
      <c r="AN7424">
        <v>0.99999998494842202</v>
      </c>
    </row>
    <row r="7425" spans="1:40" x14ac:dyDescent="0.25">
      <c r="A7425" t="str">
        <f>"20190312172257884"</f>
        <v>20190312172257884</v>
      </c>
      <c r="B7425" t="str">
        <f>"1552382577877750"</f>
        <v>1552382577877750</v>
      </c>
      <c r="C7425" t="s">
        <v>40</v>
      </c>
      <c r="D7425">
        <v>3.3596680000000001</v>
      </c>
      <c r="E7425">
        <v>0.50712009999999996</v>
      </c>
      <c r="F7425" t="s">
        <v>75</v>
      </c>
      <c r="G7425">
        <v>-248.54079999999999</v>
      </c>
      <c r="H7425" s="1">
        <v>-3.4693049999999999E-6</v>
      </c>
      <c r="I7425">
        <v>-64.266559999999998</v>
      </c>
      <c r="J7425">
        <v>-269.2</v>
      </c>
      <c r="K7425">
        <v>1.109367</v>
      </c>
      <c r="L7425">
        <v>-64.462950000000006</v>
      </c>
      <c r="M7425">
        <v>0.99857830000000003</v>
      </c>
      <c r="N7425">
        <v>0</v>
      </c>
      <c r="O7425">
        <v>5.2894389999999999E-2</v>
      </c>
      <c r="P7425">
        <v>0.98508379999999995</v>
      </c>
      <c r="Q7425">
        <v>0.17117929999999901</v>
      </c>
      <c r="R7425">
        <v>1.754617E-2</v>
      </c>
      <c r="S7425">
        <v>3.0731199999999999</v>
      </c>
      <c r="T7425">
        <v>-0.1641687</v>
      </c>
      <c r="U7425">
        <v>2.9876710000000001E-2</v>
      </c>
      <c r="V7425">
        <v>3.4679359999999999E-2</v>
      </c>
      <c r="W7425">
        <v>0.1776625</v>
      </c>
      <c r="X7425">
        <v>0.98348020000000003</v>
      </c>
      <c r="Y7425">
        <v>4.3048450000000002E-2</v>
      </c>
      <c r="Z7425">
        <v>-3.9714709999999999E-3</v>
      </c>
      <c r="AA7425">
        <v>0.99906510000000004</v>
      </c>
      <c r="AB7425">
        <v>21</v>
      </c>
      <c r="AC7425">
        <v>20.659199999999998</v>
      </c>
      <c r="AD7425">
        <v>-1.1093704693049999</v>
      </c>
      <c r="AE7425">
        <v>0.196390000000008</v>
      </c>
      <c r="AF7425">
        <v>0.89408661725441096</v>
      </c>
      <c r="AG7425">
        <v>-1.1093704693049999</v>
      </c>
      <c r="AH7425">
        <v>20.581324586254802</v>
      </c>
      <c r="AI7425">
        <v>93.082458377871902</v>
      </c>
      <c r="AJ7425">
        <v>87.512540999540704</v>
      </c>
      <c r="AK7425">
        <v>20.630584466807999</v>
      </c>
      <c r="AL7425">
        <v>79.766363068991794</v>
      </c>
      <c r="AM7425">
        <v>87.980479891102604</v>
      </c>
      <c r="AN7425">
        <v>0.99999996285414905</v>
      </c>
    </row>
    <row r="7426" spans="1:40" x14ac:dyDescent="0.25">
      <c r="A7426" t="str">
        <f>"20190312172257895"</f>
        <v>20190312172257895</v>
      </c>
      <c r="B7426" t="str">
        <f>"1552382577887512"</f>
        <v>1552382577887512</v>
      </c>
      <c r="C7426" t="s">
        <v>40</v>
      </c>
      <c r="D7426">
        <v>3.4304700000000001</v>
      </c>
      <c r="E7426">
        <v>0.50683310000000004</v>
      </c>
      <c r="F7426" t="s">
        <v>75</v>
      </c>
      <c r="G7426">
        <v>-248.15459999999999</v>
      </c>
      <c r="H7426" s="1">
        <v>-3.3365039999999998E-6</v>
      </c>
      <c r="I7426">
        <v>-64.25891</v>
      </c>
      <c r="J7426">
        <v>-269.08960000000002</v>
      </c>
      <c r="K7426">
        <v>1.109367</v>
      </c>
      <c r="L7426">
        <v>-64.457279999999997</v>
      </c>
      <c r="M7426">
        <v>0.99858619999999998</v>
      </c>
      <c r="N7426">
        <v>0</v>
      </c>
      <c r="O7426">
        <v>5.2748839999999998E-2</v>
      </c>
      <c r="P7426">
        <v>0.98500540000000003</v>
      </c>
      <c r="Q7426">
        <v>0.17167270000000001</v>
      </c>
      <c r="R7426">
        <v>1.711592E-2</v>
      </c>
      <c r="S7426">
        <v>3.073029</v>
      </c>
      <c r="T7426">
        <v>-0.1619884</v>
      </c>
      <c r="U7426">
        <v>2.9785160000000001E-2</v>
      </c>
      <c r="V7426">
        <v>3.4960289999999998E-2</v>
      </c>
      <c r="W7426">
        <v>0.17813219999999999</v>
      </c>
      <c r="X7426">
        <v>0.98338530000000002</v>
      </c>
      <c r="Y7426">
        <v>4.2936240000000001E-2</v>
      </c>
      <c r="Z7426">
        <v>-3.9083030000000001E-3</v>
      </c>
      <c r="AA7426">
        <v>0.99907020000000002</v>
      </c>
      <c r="AB7426">
        <v>21</v>
      </c>
      <c r="AC7426">
        <v>20.934999999999999</v>
      </c>
      <c r="AD7426">
        <v>-1.109370336504</v>
      </c>
      <c r="AE7426">
        <v>0.19837000000001101</v>
      </c>
      <c r="AF7426">
        <v>0.90368958662621002</v>
      </c>
      <c r="AG7426">
        <v>-1.109370336504</v>
      </c>
      <c r="AH7426">
        <v>20.857752606017499</v>
      </c>
      <c r="AI7426">
        <v>93.041698547005296</v>
      </c>
      <c r="AJ7426">
        <v>87.519136492026504</v>
      </c>
      <c r="AK7426">
        <v>20.906774050204898</v>
      </c>
      <c r="AL7426">
        <v>79.739015142739504</v>
      </c>
      <c r="AM7426">
        <v>87.963937603974202</v>
      </c>
      <c r="AN7426">
        <v>0.99999997540490604</v>
      </c>
    </row>
    <row r="7427" spans="1:40" x14ac:dyDescent="0.25">
      <c r="A7427" t="str">
        <f>"20190312172257907"</f>
        <v>20190312172257907</v>
      </c>
      <c r="B7427" t="str">
        <f>"1552382577897270"</f>
        <v>1552382577897270</v>
      </c>
      <c r="C7427" t="s">
        <v>40</v>
      </c>
      <c r="D7427">
        <v>3.301164</v>
      </c>
      <c r="E7427">
        <v>0.50665550000000004</v>
      </c>
      <c r="F7427" t="s">
        <v>75</v>
      </c>
      <c r="G7427">
        <v>-247.67099999999999</v>
      </c>
      <c r="H7427" s="1">
        <v>-3.1692009999999999E-6</v>
      </c>
      <c r="I7427">
        <v>-64.243440000000007</v>
      </c>
      <c r="J7427">
        <v>-268.98899999999998</v>
      </c>
      <c r="K7427">
        <v>1.1093660000000001</v>
      </c>
      <c r="L7427">
        <v>-64.452119999999994</v>
      </c>
      <c r="M7427">
        <v>0.99859319999999896</v>
      </c>
      <c r="N7427">
        <v>0</v>
      </c>
      <c r="O7427">
        <v>5.2616870000000003E-2</v>
      </c>
      <c r="P7427">
        <v>0.9848827</v>
      </c>
      <c r="Q7427">
        <v>0.172391299999999</v>
      </c>
      <c r="R7427">
        <v>1.694435E-2</v>
      </c>
      <c r="S7427">
        <v>3.072845</v>
      </c>
      <c r="T7427">
        <v>-0.15915699999999999</v>
      </c>
      <c r="U7427">
        <v>3.067017E-2</v>
      </c>
      <c r="V7427">
        <v>3.4993719999999999E-2</v>
      </c>
      <c r="W7427">
        <v>0.1788275</v>
      </c>
      <c r="X7427">
        <v>0.98325790000000002</v>
      </c>
      <c r="Y7427">
        <v>4.252123E-2</v>
      </c>
      <c r="Z7427">
        <v>-3.8227389999999999E-3</v>
      </c>
      <c r="AA7427">
        <v>0.99908819999999998</v>
      </c>
      <c r="AB7427">
        <v>21</v>
      </c>
      <c r="AC7427">
        <v>21.318000000000001</v>
      </c>
      <c r="AD7427">
        <v>-1.1093691692009999</v>
      </c>
      <c r="AE7427">
        <v>0.20867999999998599</v>
      </c>
      <c r="AF7427">
        <v>0.91085326693853397</v>
      </c>
      <c r="AG7427">
        <v>-1.1093691692009999</v>
      </c>
      <c r="AH7427">
        <v>21.241929744746901</v>
      </c>
      <c r="AI7427">
        <v>92.986841654974199</v>
      </c>
      <c r="AJ7427">
        <v>87.544662942129406</v>
      </c>
      <c r="AK7427">
        <v>21.2903718358377</v>
      </c>
      <c r="AL7427">
        <v>79.698527202735207</v>
      </c>
      <c r="AM7427">
        <v>87.961728465152305</v>
      </c>
      <c r="AN7427">
        <v>0.99999996655404799</v>
      </c>
    </row>
    <row r="7428" spans="1:40" x14ac:dyDescent="0.25">
      <c r="A7428" t="str">
        <f>"20190312172257917"</f>
        <v>20190312172257917</v>
      </c>
      <c r="B7428" t="str">
        <f>"1552382577908007"</f>
        <v>1552382577908007</v>
      </c>
      <c r="C7428" t="s">
        <v>40</v>
      </c>
      <c r="D7428">
        <v>3.3369420000000001</v>
      </c>
      <c r="E7428">
        <v>0.50648230000000005</v>
      </c>
      <c r="F7428" t="s">
        <v>75</v>
      </c>
      <c r="G7428">
        <v>-247.16409999999999</v>
      </c>
      <c r="H7428" s="1">
        <v>-2.9942690000000001E-6</v>
      </c>
      <c r="I7428">
        <v>-64.229680000000002</v>
      </c>
      <c r="J7428">
        <v>-268.88249999999999</v>
      </c>
      <c r="K7428">
        <v>1.1093679999999999</v>
      </c>
      <c r="L7428">
        <v>-64.446619999999996</v>
      </c>
      <c r="M7428">
        <v>0.99860079999999996</v>
      </c>
      <c r="N7428">
        <v>0</v>
      </c>
      <c r="O7428">
        <v>5.2476990000000001E-2</v>
      </c>
      <c r="P7428">
        <v>0.98479570000000005</v>
      </c>
      <c r="Q7428">
        <v>0.1729243</v>
      </c>
      <c r="R7428">
        <v>1.658103E-2</v>
      </c>
      <c r="S7428">
        <v>3.072845</v>
      </c>
      <c r="T7428">
        <v>-0.1561941</v>
      </c>
      <c r="U7428">
        <v>3.1311039999999998E-2</v>
      </c>
      <c r="V7428">
        <v>3.521229E-2</v>
      </c>
      <c r="W7428">
        <v>0.17933650000000001</v>
      </c>
      <c r="X7428">
        <v>0.98315739999999996</v>
      </c>
      <c r="Y7428">
        <v>4.2178239999999999E-2</v>
      </c>
      <c r="Z7428">
        <v>-3.7358479999999999E-3</v>
      </c>
      <c r="AA7428">
        <v>0.99910310000000002</v>
      </c>
      <c r="AB7428">
        <v>21</v>
      </c>
      <c r="AC7428">
        <v>21.718399999999999</v>
      </c>
      <c r="AD7428">
        <v>-1.109370994269</v>
      </c>
      <c r="AE7428">
        <v>0.216939999999993</v>
      </c>
      <c r="AF7428">
        <v>0.92069747573979299</v>
      </c>
      <c r="AG7428">
        <v>-1.109370994269</v>
      </c>
      <c r="AH7428">
        <v>21.6433931851648</v>
      </c>
      <c r="AI7428">
        <v>92.9315835616855</v>
      </c>
      <c r="AJ7428">
        <v>87.564139156836603</v>
      </c>
      <c r="AK7428">
        <v>21.6913544162737</v>
      </c>
      <c r="AL7428">
        <v>79.668884583366093</v>
      </c>
      <c r="AM7428">
        <v>87.948798828689505</v>
      </c>
      <c r="AN7428">
        <v>0.99999997938702601</v>
      </c>
    </row>
    <row r="7429" spans="1:40" x14ac:dyDescent="0.25">
      <c r="A7429" t="str">
        <f>"20190312172257928"</f>
        <v>20190312172257928</v>
      </c>
      <c r="B7429" t="str">
        <f>"1552382577917767"</f>
        <v>1552382577917767</v>
      </c>
      <c r="C7429" t="s">
        <v>40</v>
      </c>
      <c r="D7429">
        <v>3.3544450000000001</v>
      </c>
      <c r="E7429">
        <v>0.50632670000000002</v>
      </c>
      <c r="F7429" t="s">
        <v>75</v>
      </c>
      <c r="G7429">
        <v>-246.7424</v>
      </c>
      <c r="H7429" s="1">
        <v>-2.8487759999999999E-6</v>
      </c>
      <c r="I7429">
        <v>-64.218540000000004</v>
      </c>
      <c r="J7429">
        <v>-268.78190000000001</v>
      </c>
      <c r="K7429">
        <v>1.1093660000000001</v>
      </c>
      <c r="L7429">
        <v>-64.441500000000005</v>
      </c>
      <c r="M7429">
        <v>0.99860789999999999</v>
      </c>
      <c r="N7429">
        <v>0</v>
      </c>
      <c r="O7429">
        <v>5.2346530000000002E-2</v>
      </c>
      <c r="P7429">
        <v>0.98469499999999999</v>
      </c>
      <c r="Q7429">
        <v>0.17351359999999999</v>
      </c>
      <c r="R7429">
        <v>1.6407830000000002E-2</v>
      </c>
      <c r="S7429">
        <v>3.0728149999999999</v>
      </c>
      <c r="T7429">
        <v>-0.15396899999999999</v>
      </c>
      <c r="U7429">
        <v>3.1646729999999998E-2</v>
      </c>
      <c r="V7429">
        <v>3.5249530000000001E-2</v>
      </c>
      <c r="W7429">
        <v>0.179900799999999</v>
      </c>
      <c r="X7429">
        <v>0.98305299999999995</v>
      </c>
      <c r="Y7429">
        <v>4.194237E-2</v>
      </c>
      <c r="Z7429">
        <v>-3.6702979999999998E-3</v>
      </c>
      <c r="AA7429">
        <v>0.99911329999999998</v>
      </c>
      <c r="AB7429">
        <v>21</v>
      </c>
      <c r="AC7429">
        <v>22.0395</v>
      </c>
      <c r="AD7429">
        <v>-1.1093688487760001</v>
      </c>
      <c r="AE7429">
        <v>0.22295999999999999</v>
      </c>
      <c r="AF7429">
        <v>0.92870853937067199</v>
      </c>
      <c r="AG7429">
        <v>-1.1093688487760001</v>
      </c>
      <c r="AH7429">
        <v>21.965306632177601</v>
      </c>
      <c r="AI7429">
        <v>92.888718937063302</v>
      </c>
      <c r="AJ7429">
        <v>87.578936327626494</v>
      </c>
      <c r="AK7429">
        <v>22.012902903509101</v>
      </c>
      <c r="AL7429">
        <v>79.636018405570397</v>
      </c>
      <c r="AM7429">
        <v>87.946413483938599</v>
      </c>
      <c r="AN7429">
        <v>1.0000000140074301</v>
      </c>
    </row>
    <row r="7430" spans="1:40" x14ac:dyDescent="0.25">
      <c r="A7430" t="str">
        <f>"20190312172257939"</f>
        <v>20190312172257939</v>
      </c>
      <c r="B7430" t="str">
        <f>"1552382577927527"</f>
        <v>1552382577927527</v>
      </c>
      <c r="C7430" t="s">
        <v>40</v>
      </c>
      <c r="D7430">
        <v>3.346244</v>
      </c>
      <c r="E7430">
        <v>0.50617460000000003</v>
      </c>
      <c r="F7430" t="s">
        <v>75</v>
      </c>
      <c r="G7430">
        <v>-246.28559999999999</v>
      </c>
      <c r="H7430" s="1">
        <v>-2.6909890000000001E-6</v>
      </c>
      <c r="I7430">
        <v>-64.205280000000002</v>
      </c>
      <c r="J7430">
        <v>-268.67349999999999</v>
      </c>
      <c r="K7430">
        <v>1.109367</v>
      </c>
      <c r="L7430">
        <v>-64.435969999999998</v>
      </c>
      <c r="M7430">
        <v>0.99861529999999998</v>
      </c>
      <c r="N7430">
        <v>0</v>
      </c>
      <c r="O7430">
        <v>5.2206839999999997E-2</v>
      </c>
      <c r="P7430">
        <v>0.98459110000000005</v>
      </c>
      <c r="Q7430">
        <v>0.17412439999999901</v>
      </c>
      <c r="R7430">
        <v>1.616068E-2</v>
      </c>
      <c r="S7430">
        <v>3.0727540000000002</v>
      </c>
      <c r="T7430">
        <v>-0.15152829999999901</v>
      </c>
      <c r="U7430">
        <v>3.225708E-2</v>
      </c>
      <c r="V7430">
        <v>3.5351489999999999E-2</v>
      </c>
      <c r="W7430">
        <v>0.18048429999999999</v>
      </c>
      <c r="X7430">
        <v>0.98294230000000005</v>
      </c>
      <c r="Y7430">
        <v>4.1608249999999999E-2</v>
      </c>
      <c r="Z7430">
        <v>-3.5971419999999998E-3</v>
      </c>
      <c r="AA7430">
        <v>0.99912749999999995</v>
      </c>
      <c r="AB7430">
        <v>21</v>
      </c>
      <c r="AC7430">
        <v>22.387899999999998</v>
      </c>
      <c r="AD7430">
        <v>-1.1093696909890001</v>
      </c>
      <c r="AE7430">
        <v>0.23068999999999501</v>
      </c>
      <c r="AF7430">
        <v>0.93615222047330005</v>
      </c>
      <c r="AG7430">
        <v>-1.1093696909890001</v>
      </c>
      <c r="AH7430">
        <v>22.3146260601522</v>
      </c>
      <c r="AI7430">
        <v>92.843614265451095</v>
      </c>
      <c r="AJ7430">
        <v>87.597712961565506</v>
      </c>
      <c r="AK7430">
        <v>22.361789246292599</v>
      </c>
      <c r="AL7430">
        <v>79.602029172000499</v>
      </c>
      <c r="AM7430">
        <v>87.940246804406499</v>
      </c>
      <c r="AN7430">
        <v>0.999999937760498</v>
      </c>
    </row>
    <row r="7431" spans="1:40" x14ac:dyDescent="0.25">
      <c r="A7431" t="str">
        <f>"20190312172257951"</f>
        <v>20190312172257951</v>
      </c>
      <c r="B7431" t="str">
        <f>"1552382577948026"</f>
        <v>1552382577948026</v>
      </c>
      <c r="C7431" t="s">
        <v>40</v>
      </c>
      <c r="D7431">
        <v>3.354063</v>
      </c>
      <c r="E7431">
        <v>0.50585959999999996</v>
      </c>
      <c r="F7431" t="s">
        <v>75</v>
      </c>
      <c r="G7431">
        <v>-245.82509999999999</v>
      </c>
      <c r="H7431" s="1">
        <v>-2.4994550000000002E-6</v>
      </c>
      <c r="I7431">
        <v>-64.1922</v>
      </c>
      <c r="J7431">
        <v>-268.5652</v>
      </c>
      <c r="K7431">
        <v>1.109369</v>
      </c>
      <c r="L7431">
        <v>-64.430449999999993</v>
      </c>
      <c r="M7431">
        <v>0.99862269999999997</v>
      </c>
      <c r="N7431">
        <v>0</v>
      </c>
      <c r="O7431">
        <v>5.2070070000000003E-2</v>
      </c>
      <c r="P7431">
        <v>0.98445210000000005</v>
      </c>
      <c r="Q7431">
        <v>0.1749279</v>
      </c>
      <c r="R7431">
        <v>1.595895E-2</v>
      </c>
      <c r="S7431">
        <v>3.072784</v>
      </c>
      <c r="T7431">
        <v>-0.14919449999999901</v>
      </c>
      <c r="U7431">
        <v>3.277588E-2</v>
      </c>
      <c r="V7431">
        <v>3.5409250000000003E-2</v>
      </c>
      <c r="W7431">
        <v>0.18125949999999999</v>
      </c>
      <c r="X7431">
        <v>0.98279760000000005</v>
      </c>
      <c r="Y7431">
        <v>4.1306830000000003E-2</v>
      </c>
      <c r="Z7431">
        <v>-3.527821E-3</v>
      </c>
      <c r="AA7431">
        <v>0.99914029999999998</v>
      </c>
      <c r="AB7431">
        <v>21</v>
      </c>
      <c r="AC7431">
        <v>22.740100000000002</v>
      </c>
      <c r="AD7431">
        <v>-1.1093714994549999</v>
      </c>
      <c r="AE7431">
        <v>0.238249999999993</v>
      </c>
      <c r="AF7431">
        <v>0.94393006451035799</v>
      </c>
      <c r="AG7431">
        <v>-1.1093714994549999</v>
      </c>
      <c r="AH7431">
        <v>22.6677139380607</v>
      </c>
      <c r="AI7431">
        <v>92.799431939966794</v>
      </c>
      <c r="AJ7431">
        <v>87.615463989742096</v>
      </c>
      <c r="AK7431">
        <v>22.714465969250501</v>
      </c>
      <c r="AL7431">
        <v>79.556868992584796</v>
      </c>
      <c r="AM7431">
        <v>87.936580830478903</v>
      </c>
      <c r="AN7431">
        <v>0.99999997194578505</v>
      </c>
    </row>
    <row r="7432" spans="1:40" x14ac:dyDescent="0.25">
      <c r="A7432" t="str">
        <f>"20190312172257962"</f>
        <v>20190312172257962</v>
      </c>
      <c r="B7432" t="str">
        <f>"1552382577957786"</f>
        <v>1552382577957786</v>
      </c>
      <c r="C7432" t="s">
        <v>40</v>
      </c>
      <c r="D7432">
        <v>3.3611949999999902</v>
      </c>
      <c r="E7432">
        <v>0.50568939999999996</v>
      </c>
      <c r="F7432" t="s">
        <v>75</v>
      </c>
      <c r="G7432">
        <v>-245.12639999999999</v>
      </c>
      <c r="H7432" s="1">
        <v>-2.192669E-6</v>
      </c>
      <c r="I7432">
        <v>-64.165700000000001</v>
      </c>
      <c r="J7432">
        <v>-268.45429999999999</v>
      </c>
      <c r="K7432">
        <v>1.109369</v>
      </c>
      <c r="L7432">
        <v>-64.424840000000003</v>
      </c>
      <c r="M7432">
        <v>0.99863009999999997</v>
      </c>
      <c r="N7432">
        <v>0</v>
      </c>
      <c r="O7432">
        <v>5.1930860000000002E-2</v>
      </c>
      <c r="P7432">
        <v>0.98438720000000002</v>
      </c>
      <c r="Q7432">
        <v>0.1752986</v>
      </c>
      <c r="R7432">
        <v>1.5895920000000001E-2</v>
      </c>
      <c r="S7432">
        <v>3.072632</v>
      </c>
      <c r="T7432">
        <v>-0.14542910000000001</v>
      </c>
      <c r="U7432">
        <v>3.4698489999999999E-2</v>
      </c>
      <c r="V7432">
        <v>3.532983E-2</v>
      </c>
      <c r="W7432">
        <v>0.18160090000000001</v>
      </c>
      <c r="X7432">
        <v>0.98273750000000004</v>
      </c>
      <c r="Y7432">
        <v>4.0548359999999999E-2</v>
      </c>
      <c r="Z7432">
        <v>-3.4145180000000001E-3</v>
      </c>
      <c r="AA7432">
        <v>0.9991717</v>
      </c>
      <c r="AB7432">
        <v>22</v>
      </c>
      <c r="AC7432">
        <v>23.3279</v>
      </c>
      <c r="AD7432">
        <v>-1.109371192669</v>
      </c>
      <c r="AE7432">
        <v>0.25914000000000198</v>
      </c>
      <c r="AF7432">
        <v>0.95052311493416197</v>
      </c>
      <c r="AG7432">
        <v>-1.109371192669</v>
      </c>
      <c r="AH7432">
        <v>23.257289020173101</v>
      </c>
      <c r="AI7432">
        <v>92.728660531369201</v>
      </c>
      <c r="AJ7432">
        <v>87.659629624668398</v>
      </c>
      <c r="AK7432">
        <v>23.303126210940299</v>
      </c>
      <c r="AL7432">
        <v>79.536978807818798</v>
      </c>
      <c r="AM7432">
        <v>87.941079122029706</v>
      </c>
      <c r="AN7432">
        <v>1.0000000388374399</v>
      </c>
    </row>
    <row r="7433" spans="1:40" x14ac:dyDescent="0.25">
      <c r="A7433" t="str">
        <f>"20190312172257973"</f>
        <v>20190312172257973</v>
      </c>
      <c r="B7433" t="str">
        <f>"1552382577967545"</f>
        <v>1552382577967545</v>
      </c>
      <c r="C7433" t="s">
        <v>40</v>
      </c>
      <c r="D7433">
        <v>3.3513090000000001</v>
      </c>
      <c r="E7433">
        <v>0.50552109999999995</v>
      </c>
      <c r="F7433" t="s">
        <v>75</v>
      </c>
      <c r="G7433">
        <v>-244.73500000000001</v>
      </c>
      <c r="H7433" s="1">
        <v>-2.0197649999999998E-6</v>
      </c>
      <c r="I7433">
        <v>-64.147030000000001</v>
      </c>
      <c r="J7433">
        <v>-268.34019999999998</v>
      </c>
      <c r="K7433">
        <v>1.109367</v>
      </c>
      <c r="L7433">
        <v>-64.419039999999995</v>
      </c>
      <c r="M7433">
        <v>0.99863749999999996</v>
      </c>
      <c r="N7433">
        <v>0</v>
      </c>
      <c r="O7433">
        <v>5.179052E-2</v>
      </c>
      <c r="P7433">
        <v>0.98426279999999999</v>
      </c>
      <c r="Q7433">
        <v>0.1759956</v>
      </c>
      <c r="R7433">
        <v>1.5879899999999999E-2</v>
      </c>
      <c r="S7433">
        <v>3.0726010000000001</v>
      </c>
      <c r="T7433">
        <v>-0.1437078</v>
      </c>
      <c r="U7433">
        <v>3.598022E-2</v>
      </c>
      <c r="V7433">
        <v>3.5199979999999999E-2</v>
      </c>
      <c r="W7433">
        <v>0.18226719999999999</v>
      </c>
      <c r="X7433">
        <v>0.98261869999999996</v>
      </c>
      <c r="Y7433">
        <v>3.9994250000000002E-2</v>
      </c>
      <c r="Z7433">
        <v>-3.3546650000000002E-3</v>
      </c>
      <c r="AA7433">
        <v>0.99919429999999998</v>
      </c>
      <c r="AB7433">
        <v>22</v>
      </c>
      <c r="AC7433">
        <v>23.6051999999999</v>
      </c>
      <c r="AD7433">
        <v>-1.1093690197649999</v>
      </c>
      <c r="AE7433">
        <v>0.27200999999999398</v>
      </c>
      <c r="AF7433">
        <v>0.948810276852187</v>
      </c>
      <c r="AG7433">
        <v>-1.1093690197649999</v>
      </c>
      <c r="AH7433">
        <v>23.535631412974201</v>
      </c>
      <c r="AI7433">
        <v>92.696493548673601</v>
      </c>
      <c r="AJ7433">
        <v>87.691440608377107</v>
      </c>
      <c r="AK7433">
        <v>23.580858478241499</v>
      </c>
      <c r="AL7433">
        <v>79.498153636820803</v>
      </c>
      <c r="AM7433">
        <v>87.948392129114495</v>
      </c>
      <c r="AN7433">
        <v>0.99999994018876304</v>
      </c>
    </row>
    <row r="7434" spans="1:40" x14ac:dyDescent="0.25">
      <c r="A7434" t="str">
        <f>"20190312172257986"</f>
        <v>20190312172257986</v>
      </c>
      <c r="B7434" t="str">
        <f>"1552382577977305"</f>
        <v>1552382577977305</v>
      </c>
      <c r="C7434" t="s">
        <v>40</v>
      </c>
      <c r="D7434">
        <v>3.3246760000000002</v>
      </c>
      <c r="E7434">
        <v>0.50536570000000003</v>
      </c>
      <c r="F7434" t="s">
        <v>75</v>
      </c>
      <c r="G7434">
        <v>-244.17439999999999</v>
      </c>
      <c r="H7434" s="1">
        <v>-1.7734330000000001E-6</v>
      </c>
      <c r="I7434">
        <v>-64.124949999999998</v>
      </c>
      <c r="J7434">
        <v>-268.22640000000001</v>
      </c>
      <c r="K7434">
        <v>1.1093660000000001</v>
      </c>
      <c r="L7434">
        <v>-64.413269999999997</v>
      </c>
      <c r="M7434">
        <v>0.99864489999999995</v>
      </c>
      <c r="N7434">
        <v>0</v>
      </c>
      <c r="O7434">
        <v>5.1651599999999999E-2</v>
      </c>
      <c r="P7434">
        <v>0.98420490000000005</v>
      </c>
      <c r="Q7434">
        <v>0.17633309999999999</v>
      </c>
      <c r="R7434">
        <v>1.5733810000000001E-2</v>
      </c>
      <c r="S7434">
        <v>3.0725709999999999</v>
      </c>
      <c r="T7434">
        <v>-0.14105109999999901</v>
      </c>
      <c r="U7434">
        <v>3.7384029999999999E-2</v>
      </c>
      <c r="V7434">
        <v>3.5204739999999998E-2</v>
      </c>
      <c r="W7434">
        <v>0.18257380000000001</v>
      </c>
      <c r="X7434">
        <v>0.98256160000000003</v>
      </c>
      <c r="Y7434">
        <v>3.9403100000000003E-2</v>
      </c>
      <c r="Z7434">
        <v>-3.2728000000000002E-3</v>
      </c>
      <c r="AA7434">
        <v>0.99921800000000005</v>
      </c>
      <c r="AB7434">
        <v>22</v>
      </c>
      <c r="AC7434">
        <v>24.052</v>
      </c>
      <c r="AD7434">
        <v>-1.1093677734330001</v>
      </c>
      <c r="AE7434">
        <v>0.28831999999999802</v>
      </c>
      <c r="AF7434">
        <v>0.95238848318847602</v>
      </c>
      <c r="AG7434">
        <v>-1.1093677734330001</v>
      </c>
      <c r="AH7434">
        <v>23.983770055781498</v>
      </c>
      <c r="AI7434">
        <v>92.646242447033501</v>
      </c>
      <c r="AJ7434">
        <v>87.725996139925599</v>
      </c>
      <c r="AK7434">
        <v>24.0282951282075</v>
      </c>
      <c r="AL7434">
        <v>79.4802868702767</v>
      </c>
      <c r="AM7434">
        <v>87.947995792658404</v>
      </c>
      <c r="AN7434">
        <v>0.99999993197973103</v>
      </c>
    </row>
    <row r="7435" spans="1:40" x14ac:dyDescent="0.25">
      <c r="A7435" t="str">
        <f>"20190312172257996"</f>
        <v>20190312172257996</v>
      </c>
      <c r="B7435" t="str">
        <f>"1552382577988042"</f>
        <v>1552382577988042</v>
      </c>
      <c r="C7435" t="s">
        <v>40</v>
      </c>
      <c r="D7435">
        <v>3.3564539999999998</v>
      </c>
      <c r="E7435">
        <v>0.50522909999999999</v>
      </c>
      <c r="F7435" t="s">
        <v>75</v>
      </c>
      <c r="G7435">
        <v>-243.7894</v>
      </c>
      <c r="H7435" s="1">
        <v>-1.6039809999999999E-6</v>
      </c>
      <c r="I7435">
        <v>-64.108850000000004</v>
      </c>
      <c r="J7435">
        <v>-268.11380000000003</v>
      </c>
      <c r="K7435">
        <v>1.1093630000000001</v>
      </c>
      <c r="L7435">
        <v>-64.407619999999994</v>
      </c>
      <c r="M7435">
        <v>0.99865230000000005</v>
      </c>
      <c r="N7435">
        <v>0</v>
      </c>
      <c r="O7435">
        <v>5.1515770000000002E-2</v>
      </c>
      <c r="P7435">
        <v>0.98411349999999997</v>
      </c>
      <c r="Q7435">
        <v>0.17683070000000001</v>
      </c>
      <c r="R7435">
        <v>1.5880709999999999E-2</v>
      </c>
      <c r="S7435">
        <v>3.07254</v>
      </c>
      <c r="T7435">
        <v>-0.13948450000000001</v>
      </c>
      <c r="U7435">
        <v>3.8269039999999997E-2</v>
      </c>
      <c r="V7435">
        <v>3.4918640000000001E-2</v>
      </c>
      <c r="W7435">
        <v>0.18304119999999999</v>
      </c>
      <c r="X7435">
        <v>0.98248489999999999</v>
      </c>
      <c r="Y7435">
        <v>3.8981979999999999E-2</v>
      </c>
      <c r="Z7435">
        <v>-3.2207999999999998E-3</v>
      </c>
      <c r="AA7435">
        <v>0.99923470000000003</v>
      </c>
      <c r="AB7435">
        <v>22</v>
      </c>
      <c r="AC7435">
        <v>24.324400000000001</v>
      </c>
      <c r="AD7435">
        <v>-1.1093646039809999</v>
      </c>
      <c r="AE7435">
        <v>0.29876999999998999</v>
      </c>
      <c r="AF7435">
        <v>0.95276035711352403</v>
      </c>
      <c r="AG7435">
        <v>-1.1093646039809999</v>
      </c>
      <c r="AH7435">
        <v>24.257044833475</v>
      </c>
      <c r="AI7435">
        <v>92.616509146919398</v>
      </c>
      <c r="AJ7435">
        <v>87.750711124583503</v>
      </c>
      <c r="AK7435">
        <v>24.301083642007999</v>
      </c>
      <c r="AL7435">
        <v>79.453048379050898</v>
      </c>
      <c r="AM7435">
        <v>87.964499067626804</v>
      </c>
      <c r="AN7435">
        <v>0.99999998552244895</v>
      </c>
    </row>
    <row r="7436" spans="1:40" x14ac:dyDescent="0.25">
      <c r="A7436" t="str">
        <f>"20190312172258007"</f>
        <v>20190312172258007</v>
      </c>
      <c r="B7436" t="str">
        <f>"1552382577997801"</f>
        <v>1552382577997801</v>
      </c>
      <c r="C7436" t="s">
        <v>40</v>
      </c>
      <c r="D7436">
        <v>3.3563749999999999</v>
      </c>
      <c r="E7436">
        <v>0.5050943</v>
      </c>
      <c r="F7436" t="s">
        <v>75</v>
      </c>
      <c r="G7436">
        <v>-243.33799999999999</v>
      </c>
      <c r="H7436" s="1">
        <v>-1.404735E-6</v>
      </c>
      <c r="I7436">
        <v>-64.087909999999994</v>
      </c>
      <c r="J7436">
        <v>-268.01519999999999</v>
      </c>
      <c r="K7436">
        <v>1.109359</v>
      </c>
      <c r="L7436">
        <v>-64.402619999999999</v>
      </c>
      <c r="M7436">
        <v>0.99865839999999995</v>
      </c>
      <c r="N7436">
        <v>0</v>
      </c>
      <c r="O7436">
        <v>5.1398340000000001E-2</v>
      </c>
      <c r="P7436">
        <v>0.98405209999999999</v>
      </c>
      <c r="Q7436">
        <v>0.17716390000000001</v>
      </c>
      <c r="R7436">
        <v>1.5962380000000002E-2</v>
      </c>
      <c r="S7436">
        <v>3.0725099999999999</v>
      </c>
      <c r="T7436">
        <v>-0.137575</v>
      </c>
      <c r="U7436">
        <v>3.9642330000000003E-2</v>
      </c>
      <c r="V7436">
        <v>3.4717680000000001E-2</v>
      </c>
      <c r="W7436">
        <v>0.1833477</v>
      </c>
      <c r="X7436">
        <v>0.9824349</v>
      </c>
      <c r="Y7436">
        <v>3.8421009999999998E-2</v>
      </c>
      <c r="Z7436">
        <v>-3.1589690000000002E-3</v>
      </c>
      <c r="AA7436">
        <v>0.9992567</v>
      </c>
      <c r="AB7436">
        <v>22</v>
      </c>
      <c r="AC7436">
        <v>24.677199999999999</v>
      </c>
      <c r="AD7436">
        <v>-1.1093604047350001</v>
      </c>
      <c r="AE7436">
        <v>0.31471000000000499</v>
      </c>
      <c r="AF7436">
        <v>0.95217425250769605</v>
      </c>
      <c r="AG7436">
        <v>-1.1093604047350001</v>
      </c>
      <c r="AH7436">
        <v>24.611027722081001</v>
      </c>
      <c r="AI7436">
        <v>92.578976083467197</v>
      </c>
      <c r="AJ7436">
        <v>87.784392798459393</v>
      </c>
      <c r="AK7436">
        <v>24.654411407530599</v>
      </c>
      <c r="AL7436">
        <v>79.435185223856195</v>
      </c>
      <c r="AM7436">
        <v>87.976100880897803</v>
      </c>
      <c r="AN7436">
        <v>1.0000000145689401</v>
      </c>
    </row>
    <row r="7437" spans="1:40" x14ac:dyDescent="0.25">
      <c r="A7437" t="str">
        <f>"20190312172258018"</f>
        <v>20190312172258018</v>
      </c>
      <c r="B7437" t="str">
        <f>"1552382578007562"</f>
        <v>1552382578007562</v>
      </c>
      <c r="C7437" t="s">
        <v>40</v>
      </c>
      <c r="D7437">
        <v>3.3811659999999999</v>
      </c>
      <c r="E7437">
        <v>0.50497340000000002</v>
      </c>
      <c r="F7437" t="s">
        <v>75</v>
      </c>
      <c r="G7437">
        <v>-242.99979999999999</v>
      </c>
      <c r="H7437" s="1">
        <v>-1.255197E-6</v>
      </c>
      <c r="I7437">
        <v>-64.071110000000004</v>
      </c>
      <c r="J7437">
        <v>-267.90820000000002</v>
      </c>
      <c r="K7437">
        <v>1.1093550000000001</v>
      </c>
      <c r="L7437">
        <v>-64.397279999999995</v>
      </c>
      <c r="M7437">
        <v>0.99866520000000003</v>
      </c>
      <c r="N7437">
        <v>0</v>
      </c>
      <c r="O7437">
        <v>5.1271490000000003E-2</v>
      </c>
      <c r="P7437">
        <v>0.98393419999999998</v>
      </c>
      <c r="Q7437">
        <v>0.1778091</v>
      </c>
      <c r="R7437">
        <v>1.6057189999999999E-2</v>
      </c>
      <c r="S7437">
        <v>3.072479</v>
      </c>
      <c r="T7437">
        <v>-0.1362556</v>
      </c>
      <c r="U7437">
        <v>4.0710450000000002E-2</v>
      </c>
      <c r="V7437">
        <v>3.4491790000000001E-2</v>
      </c>
      <c r="W7437">
        <v>0.18396370000000001</v>
      </c>
      <c r="X7437">
        <v>0.98232770000000003</v>
      </c>
      <c r="Y7437">
        <v>3.7948929999999999E-2</v>
      </c>
      <c r="Z7437">
        <v>-3.112643E-3</v>
      </c>
      <c r="AA7437">
        <v>0.99927480000000002</v>
      </c>
      <c r="AB7437">
        <v>22</v>
      </c>
      <c r="AC7437">
        <v>24.9084</v>
      </c>
      <c r="AD7437">
        <v>-1.10935625519699</v>
      </c>
      <c r="AE7437">
        <v>0.32617000000000401</v>
      </c>
      <c r="AF7437">
        <v>0.94949165749655196</v>
      </c>
      <c r="AG7437">
        <v>-1.10935625519699</v>
      </c>
      <c r="AH7437">
        <v>24.843091660783401</v>
      </c>
      <c r="AI7437">
        <v>92.5549539035149</v>
      </c>
      <c r="AJ7437">
        <v>87.8112466952917</v>
      </c>
      <c r="AK7437">
        <v>24.885968114073499</v>
      </c>
      <c r="AL7437">
        <v>79.399280344042694</v>
      </c>
      <c r="AM7437">
        <v>87.989039252445593</v>
      </c>
      <c r="AN7437">
        <v>1.0000000183411899</v>
      </c>
    </row>
    <row r="7438" spans="1:40" x14ac:dyDescent="0.25">
      <c r="A7438" t="str">
        <f>"20190312172258030"</f>
        <v>20190312172258030</v>
      </c>
      <c r="B7438" t="str">
        <f>"1552382578017321"</f>
        <v>1552382578017321</v>
      </c>
      <c r="C7438" t="s">
        <v>40</v>
      </c>
      <c r="D7438">
        <v>3.3561260000000002</v>
      </c>
      <c r="E7438">
        <v>0.50485239999999998</v>
      </c>
      <c r="F7438" t="s">
        <v>75</v>
      </c>
      <c r="G7438">
        <v>-242.47450000000001</v>
      </c>
      <c r="H7438" s="1">
        <v>-1.024541E-6</v>
      </c>
      <c r="I7438">
        <v>-64.051119999999997</v>
      </c>
      <c r="J7438">
        <v>-267.7971</v>
      </c>
      <c r="K7438">
        <v>1.1093569999999999</v>
      </c>
      <c r="L7438">
        <v>-64.391689999999997</v>
      </c>
      <c r="M7438">
        <v>0.99867189999999995</v>
      </c>
      <c r="N7438">
        <v>0</v>
      </c>
      <c r="O7438">
        <v>5.1141069999999997E-2</v>
      </c>
      <c r="P7438">
        <v>0.98388819999999999</v>
      </c>
      <c r="Q7438">
        <v>0.1780602</v>
      </c>
      <c r="R7438">
        <v>1.6088140000000001E-2</v>
      </c>
      <c r="S7438">
        <v>3.0724490000000002</v>
      </c>
      <c r="T7438">
        <v>-0.13401270000000001</v>
      </c>
      <c r="U7438">
        <v>4.1809079999999998E-2</v>
      </c>
      <c r="V7438">
        <v>3.432984E-2</v>
      </c>
      <c r="W7438">
        <v>0.1841854</v>
      </c>
      <c r="X7438">
        <v>0.98229180000000005</v>
      </c>
      <c r="Y7438">
        <v>3.746447E-2</v>
      </c>
      <c r="Z7438">
        <v>-3.0452330000000001E-3</v>
      </c>
      <c r="AA7438">
        <v>0.99929330000000005</v>
      </c>
      <c r="AB7438">
        <v>22</v>
      </c>
      <c r="AC7438">
        <v>25.322599999999898</v>
      </c>
      <c r="AD7438">
        <v>-1.109358024541</v>
      </c>
      <c r="AE7438">
        <v>0.34056999999999898</v>
      </c>
      <c r="AF7438">
        <v>0.953096923633869</v>
      </c>
      <c r="AG7438">
        <v>-1.109358024541</v>
      </c>
      <c r="AH7438">
        <v>25.2584120832196</v>
      </c>
      <c r="AI7438">
        <v>92.5130477020641</v>
      </c>
      <c r="AJ7438">
        <v>87.839035360183502</v>
      </c>
      <c r="AK7438">
        <v>25.3007203442547</v>
      </c>
      <c r="AL7438">
        <v>79.386356735024805</v>
      </c>
      <c r="AM7438">
        <v>87.998400568636697</v>
      </c>
      <c r="AN7438">
        <v>0.99999998991741201</v>
      </c>
    </row>
    <row r="7439" spans="1:40" x14ac:dyDescent="0.25">
      <c r="A7439" t="str">
        <f>"20190312172258041"</f>
        <v>20190312172258041</v>
      </c>
      <c r="B7439" t="str">
        <f>"1552382578037817"</f>
        <v>1552382578037817</v>
      </c>
      <c r="C7439" t="s">
        <v>40</v>
      </c>
      <c r="D7439">
        <v>3.3459370000000002</v>
      </c>
      <c r="E7439">
        <v>0.50463970000000002</v>
      </c>
      <c r="F7439" t="s">
        <v>75</v>
      </c>
      <c r="G7439">
        <v>-242.1824</v>
      </c>
      <c r="H7439" s="1">
        <v>-8.9537779999999997E-7</v>
      </c>
      <c r="I7439">
        <v>-64.036719999999903</v>
      </c>
      <c r="J7439">
        <v>-267.68490000000003</v>
      </c>
      <c r="K7439">
        <v>1.1093550000000001</v>
      </c>
      <c r="L7439">
        <v>-64.386080000000007</v>
      </c>
      <c r="M7439">
        <v>0.99867899999999998</v>
      </c>
      <c r="N7439">
        <v>0</v>
      </c>
      <c r="O7439">
        <v>5.1009279999999997E-2</v>
      </c>
      <c r="P7439">
        <v>0.98385469999999997</v>
      </c>
      <c r="Q7439">
        <v>0.17821899999999999</v>
      </c>
      <c r="R7439">
        <v>1.638504E-2</v>
      </c>
      <c r="S7439">
        <v>3.0725099999999999</v>
      </c>
      <c r="T7439">
        <v>-0.1330684</v>
      </c>
      <c r="U7439">
        <v>4.2572020000000002E-2</v>
      </c>
      <c r="V7439">
        <v>3.3901590000000002E-2</v>
      </c>
      <c r="W7439">
        <v>0.1843147</v>
      </c>
      <c r="X7439">
        <v>0.98228249999999995</v>
      </c>
      <c r="Y7439">
        <v>3.7086429999999997E-2</v>
      </c>
      <c r="Z7439">
        <v>-3.009847E-3</v>
      </c>
      <c r="AA7439">
        <v>0.99930750000000002</v>
      </c>
      <c r="AB7439">
        <v>22</v>
      </c>
      <c r="AC7439">
        <v>25.502500000000001</v>
      </c>
      <c r="AD7439">
        <v>-1.10935589537779</v>
      </c>
      <c r="AE7439">
        <v>0.34936000000001799</v>
      </c>
      <c r="AF7439">
        <v>0.95018625904061804</v>
      </c>
      <c r="AG7439">
        <v>-1.10935589537779</v>
      </c>
      <c r="AH7439">
        <v>25.4389923348329</v>
      </c>
      <c r="AI7439">
        <v>92.495262238081494</v>
      </c>
      <c r="AJ7439">
        <v>87.8609071875605</v>
      </c>
      <c r="AK7439">
        <v>25.480891967142099</v>
      </c>
      <c r="AL7439">
        <v>79.378820186332007</v>
      </c>
      <c r="AM7439">
        <v>88.023331029619797</v>
      </c>
      <c r="AN7439">
        <v>1.00000006812343</v>
      </c>
    </row>
    <row r="7440" spans="1:40" x14ac:dyDescent="0.25">
      <c r="A7440" t="str">
        <f>"20190312172258051"</f>
        <v>20190312172258051</v>
      </c>
      <c r="B7440" t="str">
        <f>"1552382578047592"</f>
        <v>1552382578047592</v>
      </c>
      <c r="C7440" t="s">
        <v>40</v>
      </c>
      <c r="D7440">
        <v>3.3575629999999999</v>
      </c>
      <c r="E7440">
        <v>0.50454160000000003</v>
      </c>
      <c r="F7440" t="s">
        <v>75</v>
      </c>
      <c r="G7440">
        <v>-241.91069999999999</v>
      </c>
      <c r="H7440" s="1">
        <v>-7.7082289999999995E-7</v>
      </c>
      <c r="I7440">
        <v>-64.006619999999998</v>
      </c>
      <c r="J7440">
        <v>-267.57639999999998</v>
      </c>
      <c r="K7440">
        <v>1.109351</v>
      </c>
      <c r="L7440">
        <v>-64.380709999999993</v>
      </c>
      <c r="M7440">
        <v>0.9986855</v>
      </c>
      <c r="N7440">
        <v>0</v>
      </c>
      <c r="O7440">
        <v>5.0882480000000001E-2</v>
      </c>
      <c r="P7440">
        <v>0.9837669</v>
      </c>
      <c r="Q7440">
        <v>0.17869879999999999</v>
      </c>
      <c r="R7440">
        <v>1.641981E-2</v>
      </c>
      <c r="S7440">
        <v>3.0724490000000002</v>
      </c>
      <c r="T7440">
        <v>-0.13224240000000001</v>
      </c>
      <c r="U7440">
        <v>4.5227049999999998E-2</v>
      </c>
      <c r="V7440">
        <v>3.3737530000000002E-2</v>
      </c>
      <c r="W7440">
        <v>0.18476790000000001</v>
      </c>
      <c r="X7440">
        <v>0.98220289999999999</v>
      </c>
      <c r="Y7440">
        <v>3.6097940000000002E-2</v>
      </c>
      <c r="Z7440">
        <v>-2.9644990000000002E-3</v>
      </c>
      <c r="AA7440">
        <v>0.99934389999999995</v>
      </c>
      <c r="AB7440">
        <v>22</v>
      </c>
      <c r="AC7440">
        <v>25.665699999999902</v>
      </c>
      <c r="AD7440">
        <v>-1.1093517708228999</v>
      </c>
      <c r="AE7440">
        <v>0.37408999999999498</v>
      </c>
      <c r="AF7440">
        <v>0.93061579445641396</v>
      </c>
      <c r="AG7440">
        <v>-1.1093517708228999</v>
      </c>
      <c r="AH7440">
        <v>25.603664000803999</v>
      </c>
      <c r="AI7440">
        <v>92.479316216411107</v>
      </c>
      <c r="AJ7440">
        <v>87.918387953911605</v>
      </c>
      <c r="AK7440">
        <v>25.644576763409201</v>
      </c>
      <c r="AL7440">
        <v>79.352398880798404</v>
      </c>
      <c r="AM7440">
        <v>88.032729898519605</v>
      </c>
      <c r="AN7440">
        <v>0.99999996728465901</v>
      </c>
    </row>
    <row r="7441" spans="1:40" x14ac:dyDescent="0.25">
      <c r="A7441" t="str">
        <f>"20190312172258063"</f>
        <v>20190312172258063</v>
      </c>
      <c r="B7441" t="str">
        <f>"1552382578057342"</f>
        <v>1552382578057342</v>
      </c>
      <c r="C7441" t="s">
        <v>40</v>
      </c>
      <c r="D7441">
        <v>3.4175249999999999</v>
      </c>
      <c r="E7441">
        <v>0.50439799999999901</v>
      </c>
      <c r="F7441" t="s">
        <v>75</v>
      </c>
      <c r="G7441">
        <v>-241.47579999999999</v>
      </c>
      <c r="H7441" s="1">
        <v>-5.8010040000000003E-7</v>
      </c>
      <c r="I7441">
        <v>-63.990989999999996</v>
      </c>
      <c r="J7441">
        <v>-267.46230000000003</v>
      </c>
      <c r="K7441">
        <v>1.1093550000000001</v>
      </c>
      <c r="L7441">
        <v>-64.375</v>
      </c>
      <c r="M7441">
        <v>0.99869249999999998</v>
      </c>
      <c r="N7441">
        <v>0</v>
      </c>
      <c r="O7441">
        <v>5.0749000000000002E-2</v>
      </c>
      <c r="P7441">
        <v>0.983765</v>
      </c>
      <c r="Q7441">
        <v>0.178716299999999</v>
      </c>
      <c r="R7441">
        <v>1.6347210000000001E-2</v>
      </c>
      <c r="S7441">
        <v>3.0724179999999999</v>
      </c>
      <c r="T7441">
        <v>-0.13058689999999901</v>
      </c>
      <c r="U7441">
        <v>4.586792E-2</v>
      </c>
      <c r="V7441">
        <v>3.3678350000000003E-2</v>
      </c>
      <c r="W7441">
        <v>0.18475710000000001</v>
      </c>
      <c r="X7441">
        <v>0.98220700000000005</v>
      </c>
      <c r="Y7441">
        <v>3.5758230000000002E-2</v>
      </c>
      <c r="Z7441">
        <v>-2.9145629999999998E-3</v>
      </c>
      <c r="AA7441">
        <v>0.99935620000000003</v>
      </c>
      <c r="AB7441">
        <v>22</v>
      </c>
      <c r="AC7441">
        <v>25.986499999999999</v>
      </c>
      <c r="AD7441">
        <v>-1.10935558010039</v>
      </c>
      <c r="AE7441">
        <v>0.38400999999999602</v>
      </c>
      <c r="AF7441">
        <v>0.93359764691226099</v>
      </c>
      <c r="AG7441">
        <v>-1.10935558010039</v>
      </c>
      <c r="AH7441">
        <v>25.925265906770299</v>
      </c>
      <c r="AI7441">
        <v>92.448636141369207</v>
      </c>
      <c r="AJ7441">
        <v>87.937606478932807</v>
      </c>
      <c r="AK7441">
        <v>25.965779146911199</v>
      </c>
      <c r="AL7441">
        <v>79.353028911585298</v>
      </c>
      <c r="AM7441">
        <v>88.036186231937293</v>
      </c>
      <c r="AN7441">
        <v>1.00000000405406</v>
      </c>
    </row>
    <row r="7442" spans="1:40" x14ac:dyDescent="0.25">
      <c r="A7442" t="str">
        <f>"20190312172258074"</f>
        <v>20190312172258074</v>
      </c>
      <c r="B7442" t="str">
        <f>"1552382578068078"</f>
        <v>1552382578068078</v>
      </c>
      <c r="C7442" t="s">
        <v>40</v>
      </c>
      <c r="D7442">
        <v>3.348398</v>
      </c>
      <c r="E7442">
        <v>0.50431009999999998</v>
      </c>
      <c r="F7442" t="s">
        <v>75</v>
      </c>
      <c r="G7442">
        <v>-241.24250000000001</v>
      </c>
      <c r="H7442" s="1">
        <v>-4.7566270000000001E-7</v>
      </c>
      <c r="I7442">
        <v>-63.974640000000001</v>
      </c>
      <c r="J7442">
        <v>-267.35019999999997</v>
      </c>
      <c r="K7442">
        <v>1.1093500000000001</v>
      </c>
      <c r="L7442">
        <v>-64.369479999999996</v>
      </c>
      <c r="M7442">
        <v>0.99869920000000001</v>
      </c>
      <c r="N7442">
        <v>0</v>
      </c>
      <c r="O7442">
        <v>5.0617849999999999E-2</v>
      </c>
      <c r="P7442">
        <v>0.98368420000000001</v>
      </c>
      <c r="Q7442">
        <v>0.17914070000000001</v>
      </c>
      <c r="R7442">
        <v>1.6561119999999999E-2</v>
      </c>
      <c r="S7442">
        <v>3.072327</v>
      </c>
      <c r="T7442">
        <v>-0.12998950000000001</v>
      </c>
      <c r="U7442">
        <v>4.6905519999999999E-2</v>
      </c>
      <c r="V7442">
        <v>3.3331739999999999E-2</v>
      </c>
      <c r="W7442">
        <v>0.18515490000000001</v>
      </c>
      <c r="X7442">
        <v>0.98214389999999996</v>
      </c>
      <c r="Y7442">
        <v>3.529036E-2</v>
      </c>
      <c r="Z7442">
        <v>-2.8858820000000002E-3</v>
      </c>
      <c r="AA7442">
        <v>0.99937299999999996</v>
      </c>
      <c r="AB7442">
        <v>22</v>
      </c>
      <c r="AC7442">
        <v>26.107699999999902</v>
      </c>
      <c r="AD7442">
        <v>-1.1093504756627</v>
      </c>
      <c r="AE7442">
        <v>0.39484000000000902</v>
      </c>
      <c r="AF7442">
        <v>0.92553606329744997</v>
      </c>
      <c r="AG7442">
        <v>-1.1093504756627</v>
      </c>
      <c r="AH7442">
        <v>26.047199702318999</v>
      </c>
      <c r="AI7442">
        <v>92.437217662087804</v>
      </c>
      <c r="AJ7442">
        <v>87.964963239685503</v>
      </c>
      <c r="AK7442">
        <v>26.087236109155</v>
      </c>
      <c r="AL7442">
        <v>79.329836367407495</v>
      </c>
      <c r="AM7442">
        <v>88.056257003012107</v>
      </c>
      <c r="AN7442">
        <v>0.99999999109632298</v>
      </c>
    </row>
    <row r="7443" spans="1:40" x14ac:dyDescent="0.25">
      <c r="A7443" t="str">
        <f>"20190312172258085"</f>
        <v>20190312172258085</v>
      </c>
      <c r="B7443" t="str">
        <f>"1552382578077838"</f>
        <v>1552382578077838</v>
      </c>
      <c r="C7443" t="s">
        <v>40</v>
      </c>
      <c r="D7443">
        <v>3.3242379999999998</v>
      </c>
      <c r="E7443">
        <v>0.50422920000000004</v>
      </c>
      <c r="F7443" t="s">
        <v>75</v>
      </c>
      <c r="G7443">
        <v>-240.8347</v>
      </c>
      <c r="H7443" s="1">
        <v>-2.949491E-7</v>
      </c>
      <c r="I7443">
        <v>-63.953020000000002</v>
      </c>
      <c r="J7443">
        <v>-267.24310000000003</v>
      </c>
      <c r="K7443">
        <v>1.109348</v>
      </c>
      <c r="L7443">
        <v>-64.364170000000001</v>
      </c>
      <c r="M7443">
        <v>0.99870590000000004</v>
      </c>
      <c r="N7443">
        <v>0</v>
      </c>
      <c r="O7443">
        <v>5.0492290000000002E-2</v>
      </c>
      <c r="P7443">
        <v>0.98361810000000005</v>
      </c>
      <c r="Q7443">
        <v>0.179475</v>
      </c>
      <c r="R7443">
        <v>1.686141E-2</v>
      </c>
      <c r="S7443">
        <v>3.0723569999999998</v>
      </c>
      <c r="T7443">
        <v>-0.1285405</v>
      </c>
      <c r="U7443">
        <v>4.8248289999999999E-2</v>
      </c>
      <c r="V7443">
        <v>3.2905080000000003E-2</v>
      </c>
      <c r="W7443">
        <v>0.1854642</v>
      </c>
      <c r="X7443">
        <v>0.98209999999999997</v>
      </c>
      <c r="Y7443">
        <v>3.4730480000000001E-2</v>
      </c>
      <c r="Z7443">
        <v>-2.8367459999999998E-3</v>
      </c>
      <c r="AA7443">
        <v>0.99939270000000002</v>
      </c>
      <c r="AB7443">
        <v>22</v>
      </c>
      <c r="AC7443">
        <v>26.4084</v>
      </c>
      <c r="AD7443">
        <v>-1.1093482949491</v>
      </c>
      <c r="AE7443">
        <v>0.41115000000000601</v>
      </c>
      <c r="AF7443">
        <v>0.92119459145854199</v>
      </c>
      <c r="AG7443">
        <v>-1.1093482949491</v>
      </c>
      <c r="AH7443">
        <v>26.348989092128001</v>
      </c>
      <c r="AI7443">
        <v>92.409379666967894</v>
      </c>
      <c r="AJ7443">
        <v>87.9976813015479</v>
      </c>
      <c r="AK7443">
        <v>26.388415626784401</v>
      </c>
      <c r="AL7443">
        <v>79.311803203984695</v>
      </c>
      <c r="AM7443">
        <v>88.081033282858201</v>
      </c>
      <c r="AN7443">
        <v>1.0000000618857201</v>
      </c>
    </row>
    <row r="7444" spans="1:40" x14ac:dyDescent="0.25">
      <c r="A7444" t="str">
        <f>"20190312172258107"</f>
        <v>20190312172258107</v>
      </c>
      <c r="B7444" t="str">
        <f>"1552382578097358"</f>
        <v>1552382578097358</v>
      </c>
      <c r="C7444" t="s">
        <v>40</v>
      </c>
      <c r="D7444">
        <v>3.3569930000000001</v>
      </c>
      <c r="E7444">
        <v>0.504021099999999</v>
      </c>
      <c r="F7444" t="s">
        <v>75</v>
      </c>
      <c r="G7444">
        <v>-240.51519999999999</v>
      </c>
      <c r="H7444" s="1">
        <v>-1.5220289999999901E-7</v>
      </c>
      <c r="I7444">
        <v>-63.931629999999998</v>
      </c>
      <c r="J7444">
        <v>-267.0308</v>
      </c>
      <c r="K7444">
        <v>1.1093409999999999</v>
      </c>
      <c r="L7444">
        <v>-64.353729999999999</v>
      </c>
      <c r="M7444">
        <v>0.99871869999999996</v>
      </c>
      <c r="N7444">
        <v>0</v>
      </c>
      <c r="O7444">
        <v>5.0243549999999998E-2</v>
      </c>
      <c r="P7444">
        <v>0.98357760000000005</v>
      </c>
      <c r="Q7444">
        <v>0.1797011</v>
      </c>
      <c r="R7444">
        <v>1.681028E-2</v>
      </c>
      <c r="S7444">
        <v>3.0723569999999998</v>
      </c>
      <c r="T7444">
        <v>-0.12751879999999999</v>
      </c>
      <c r="U7444">
        <v>4.9713130000000001E-2</v>
      </c>
      <c r="V7444">
        <v>3.2709450000000001E-2</v>
      </c>
      <c r="W7444">
        <v>0.18564320000000001</v>
      </c>
      <c r="X7444">
        <v>0.98207270000000002</v>
      </c>
      <c r="Y7444">
        <v>3.4007179999999998E-2</v>
      </c>
      <c r="Z7444">
        <v>-2.7888890000000001E-3</v>
      </c>
      <c r="AA7444">
        <v>0.99941769999999996</v>
      </c>
      <c r="AB7444">
        <v>22</v>
      </c>
      <c r="AC7444">
        <v>26.515599999999999</v>
      </c>
      <c r="AD7444">
        <v>-1.1093411522029</v>
      </c>
      <c r="AE7444">
        <v>0.42209999999999298</v>
      </c>
      <c r="AF7444">
        <v>0.90910449464908905</v>
      </c>
      <c r="AG7444">
        <v>-1.1093411522029</v>
      </c>
      <c r="AH7444">
        <v>26.4570200646722</v>
      </c>
      <c r="AI7444">
        <v>92.399587389835901</v>
      </c>
      <c r="AJ7444">
        <v>88.0320019137</v>
      </c>
      <c r="AK7444">
        <v>26.495867969867099</v>
      </c>
      <c r="AL7444">
        <v>79.301365847458996</v>
      </c>
      <c r="AM7444">
        <v>88.092380640308505</v>
      </c>
      <c r="AN7444">
        <v>1.00000004695541</v>
      </c>
    </row>
    <row r="7445" spans="1:40" x14ac:dyDescent="0.25">
      <c r="A7445" t="str">
        <f>"20190312172258116"</f>
        <v>20190312172258116</v>
      </c>
      <c r="B7445" t="str">
        <f>"1552382578108095"</f>
        <v>1552382578108095</v>
      </c>
      <c r="C7445" t="s">
        <v>40</v>
      </c>
      <c r="D7445">
        <v>3.3177530000000002</v>
      </c>
      <c r="E7445">
        <v>0.50394319999999904</v>
      </c>
      <c r="F7445" t="s">
        <v>75</v>
      </c>
      <c r="G7445">
        <v>-240.05350000000001</v>
      </c>
      <c r="H7445" s="1">
        <v>5.3492500000000001E-8</v>
      </c>
      <c r="I7445">
        <v>-63.902949999999997</v>
      </c>
      <c r="J7445">
        <v>-266.92399999999998</v>
      </c>
      <c r="K7445">
        <v>1.109337</v>
      </c>
      <c r="L7445">
        <v>-64.348479999999995</v>
      </c>
      <c r="M7445">
        <v>0.99872519999999998</v>
      </c>
      <c r="N7445">
        <v>0</v>
      </c>
      <c r="O7445">
        <v>5.0117979999999999E-2</v>
      </c>
      <c r="P7445">
        <v>0.98342130000000005</v>
      </c>
      <c r="Q7445">
        <v>0.18050769999999999</v>
      </c>
      <c r="R7445">
        <v>1.7314670000000001E-2</v>
      </c>
      <c r="S7445">
        <v>3.072327</v>
      </c>
      <c r="T7445">
        <v>-0.12633810000000001</v>
      </c>
      <c r="U7445">
        <v>5.1330569999999999E-2</v>
      </c>
      <c r="V7445">
        <v>3.2074599999999898E-2</v>
      </c>
      <c r="W7445">
        <v>0.1864266</v>
      </c>
      <c r="X7445">
        <v>0.98194519999999996</v>
      </c>
      <c r="Y7445">
        <v>3.3357339999999999E-2</v>
      </c>
      <c r="Z7445">
        <v>-2.7445870000000002E-3</v>
      </c>
      <c r="AA7445">
        <v>0.99943970000000004</v>
      </c>
      <c r="AB7445">
        <v>22</v>
      </c>
      <c r="AC7445">
        <v>26.8705</v>
      </c>
      <c r="AD7445">
        <v>-1.1093369465075</v>
      </c>
      <c r="AE7445">
        <v>0.44553000000001203</v>
      </c>
      <c r="AF7445">
        <v>0.90021552880476796</v>
      </c>
      <c r="AG7445">
        <v>-1.1093369465075</v>
      </c>
      <c r="AH7445">
        <v>26.813371642260901</v>
      </c>
      <c r="AI7445">
        <v>92.367787524315403</v>
      </c>
      <c r="AJ7445">
        <v>88.077109252089699</v>
      </c>
      <c r="AK7445">
        <v>26.851404344748701</v>
      </c>
      <c r="AL7445">
        <v>79.255682521521507</v>
      </c>
      <c r="AM7445">
        <v>88.129135892910298</v>
      </c>
      <c r="AN7445">
        <v>1.00000001647787</v>
      </c>
    </row>
    <row r="7446" spans="1:40" x14ac:dyDescent="0.25">
      <c r="A7446" t="str">
        <f>"20190312172258128"</f>
        <v>20190312172258128</v>
      </c>
      <c r="B7446" t="str">
        <f>"1552382578117854"</f>
        <v>1552382578117854</v>
      </c>
      <c r="C7446" t="s">
        <v>40</v>
      </c>
      <c r="D7446">
        <v>3.3072170000000001</v>
      </c>
      <c r="E7446">
        <v>0.50387999999999999</v>
      </c>
      <c r="F7446" t="s">
        <v>76</v>
      </c>
      <c r="G7446">
        <v>-239.4126</v>
      </c>
      <c r="H7446" s="1">
        <v>-3.6964299999999999E-6</v>
      </c>
      <c r="I7446">
        <v>-63.874569999999999</v>
      </c>
      <c r="J7446">
        <v>-266.81529999999998</v>
      </c>
      <c r="K7446">
        <v>1.1093329999999999</v>
      </c>
      <c r="L7446">
        <v>-64.343140000000005</v>
      </c>
      <c r="M7446">
        <v>0.99873160000000005</v>
      </c>
      <c r="N7446">
        <v>0</v>
      </c>
      <c r="O7446">
        <v>4.9990369999999999E-2</v>
      </c>
      <c r="P7446">
        <v>0.98339359999999998</v>
      </c>
      <c r="Q7446">
        <v>0.18064069999999999</v>
      </c>
      <c r="R7446">
        <v>1.7490189999999999E-2</v>
      </c>
      <c r="S7446">
        <v>3.0723569999999998</v>
      </c>
      <c r="T7446">
        <v>-0.1238865</v>
      </c>
      <c r="U7446">
        <v>5.2917480000000003E-2</v>
      </c>
      <c r="V7446">
        <v>3.177265E-2</v>
      </c>
      <c r="W7446">
        <v>0.1865385</v>
      </c>
      <c r="X7446">
        <v>0.98193379999999997</v>
      </c>
      <c r="Y7446">
        <v>3.2717059999999999E-2</v>
      </c>
      <c r="Z7446">
        <v>-2.6732869999999999E-3</v>
      </c>
      <c r="AA7446">
        <v>0.99946109999999999</v>
      </c>
      <c r="AB7446">
        <v>22</v>
      </c>
      <c r="AC7446">
        <v>27.4026999999999</v>
      </c>
      <c r="AD7446">
        <v>-1.10933669643</v>
      </c>
      <c r="AE7446">
        <v>0.46857000000000598</v>
      </c>
      <c r="AF7446">
        <v>0.90043649835878903</v>
      </c>
      <c r="AG7446">
        <v>-1.10933669643</v>
      </c>
      <c r="AH7446">
        <v>27.347056860577599</v>
      </c>
      <c r="AI7446">
        <v>92.321679895161196</v>
      </c>
      <c r="AJ7446">
        <v>88.114145173248602</v>
      </c>
      <c r="AK7446">
        <v>27.3843556201216</v>
      </c>
      <c r="AL7446">
        <v>79.249157018142697</v>
      </c>
      <c r="AM7446">
        <v>88.146714349977998</v>
      </c>
      <c r="AN7446">
        <v>1.00000005042635</v>
      </c>
    </row>
    <row r="7447" spans="1:40" x14ac:dyDescent="0.25">
      <c r="A7447" t="str">
        <f>"20190312172258138"</f>
        <v>20190312172258138</v>
      </c>
      <c r="B7447" t="str">
        <f>"1552382578127614"</f>
        <v>1552382578127614</v>
      </c>
      <c r="C7447" t="s">
        <v>40</v>
      </c>
      <c r="D7447">
        <v>3.3331569999999999</v>
      </c>
      <c r="E7447">
        <v>0.50382459999999996</v>
      </c>
      <c r="F7447" t="s">
        <v>76</v>
      </c>
      <c r="G7447">
        <v>-239.20439999999999</v>
      </c>
      <c r="H7447" s="1">
        <v>-3.6229789999999999E-6</v>
      </c>
      <c r="I7447">
        <v>-63.859850000000002</v>
      </c>
      <c r="J7447">
        <v>-266.70330000000001</v>
      </c>
      <c r="K7447">
        <v>1.1093299999999999</v>
      </c>
      <c r="L7447">
        <v>-64.337680000000006</v>
      </c>
      <c r="M7447">
        <v>0.99873829999999997</v>
      </c>
      <c r="N7447">
        <v>0</v>
      </c>
      <c r="O7447">
        <v>4.9858479999999997E-2</v>
      </c>
      <c r="P7447">
        <v>0.98335329999999999</v>
      </c>
      <c r="Q7447">
        <v>0.18085799999999999</v>
      </c>
      <c r="R7447">
        <v>1.7514200000000001E-2</v>
      </c>
      <c r="S7447">
        <v>3.0723880000000001</v>
      </c>
      <c r="T7447">
        <v>-0.1234407</v>
      </c>
      <c r="U7447">
        <v>5.3771970000000002E-2</v>
      </c>
      <c r="V7447">
        <v>3.161692E-2</v>
      </c>
      <c r="W7447">
        <v>0.18673480000000001</v>
      </c>
      <c r="X7447">
        <v>0.98190149999999998</v>
      </c>
      <c r="Y7447">
        <v>3.230827E-2</v>
      </c>
      <c r="Z7447">
        <v>-2.650141E-3</v>
      </c>
      <c r="AA7447">
        <v>0.99947450000000004</v>
      </c>
      <c r="AB7447">
        <v>22</v>
      </c>
      <c r="AC7447">
        <v>27.498899999999999</v>
      </c>
      <c r="AD7447">
        <v>-1.1093336229789901</v>
      </c>
      <c r="AE7447">
        <v>0.47783000000000397</v>
      </c>
      <c r="AF7447">
        <v>0.89239046045361703</v>
      </c>
      <c r="AG7447">
        <v>-1.1093336229789901</v>
      </c>
      <c r="AH7447">
        <v>27.443873872409899</v>
      </c>
      <c r="AI7447">
        <v>92.313522862915804</v>
      </c>
      <c r="AJ7447">
        <v>88.137573511963296</v>
      </c>
      <c r="AK7447">
        <v>27.480778645186302</v>
      </c>
      <c r="AL7447">
        <v>79.237708535594095</v>
      </c>
      <c r="AM7447">
        <v>88.1557311049134</v>
      </c>
      <c r="AN7447">
        <v>1.00000003543178</v>
      </c>
    </row>
    <row r="7448" spans="1:40" x14ac:dyDescent="0.25">
      <c r="A7448" t="str">
        <f>"20190312172258150"</f>
        <v>20190312172258150</v>
      </c>
      <c r="B7448" t="str">
        <f>"1552382578148110"</f>
        <v>1552382578148110</v>
      </c>
      <c r="C7448" t="s">
        <v>40</v>
      </c>
      <c r="D7448">
        <v>3.3189630000000001</v>
      </c>
      <c r="E7448">
        <v>0.50371529999999998</v>
      </c>
      <c r="F7448" t="s">
        <v>76</v>
      </c>
      <c r="G7448">
        <v>-238.94450000000001</v>
      </c>
      <c r="H7448" s="1">
        <v>-3.5327629999999999E-6</v>
      </c>
      <c r="I7448">
        <v>-63.849870000000003</v>
      </c>
      <c r="J7448">
        <v>-266.59050000000002</v>
      </c>
      <c r="K7448">
        <v>1.109327</v>
      </c>
      <c r="L7448">
        <v>-64.332179999999994</v>
      </c>
      <c r="M7448">
        <v>0.99874510000000005</v>
      </c>
      <c r="N7448">
        <v>0</v>
      </c>
      <c r="O7448">
        <v>4.9725739999999997E-2</v>
      </c>
      <c r="P7448">
        <v>0.98327109999999995</v>
      </c>
      <c r="Q7448">
        <v>0.18130969999999999</v>
      </c>
      <c r="R7448">
        <v>1.7463699999999999E-2</v>
      </c>
      <c r="S7448">
        <v>3.0724490000000002</v>
      </c>
      <c r="T7448">
        <v>-0.12278500000000001</v>
      </c>
      <c r="U7448">
        <v>5.3985600000000002E-2</v>
      </c>
      <c r="V7448">
        <v>3.153305E-2</v>
      </c>
      <c r="W7448">
        <v>0.18716669999999999</v>
      </c>
      <c r="X7448">
        <v>0.98182199999999997</v>
      </c>
      <c r="Y7448">
        <v>3.210727E-2</v>
      </c>
      <c r="Z7448">
        <v>-2.62671E-3</v>
      </c>
      <c r="AA7448">
        <v>0.99948099999999995</v>
      </c>
      <c r="AB7448">
        <v>22</v>
      </c>
      <c r="AC7448">
        <v>27.646000000000001</v>
      </c>
      <c r="AD7448">
        <v>-1.1093305327630001</v>
      </c>
      <c r="AE7448">
        <v>0.48231000000001201</v>
      </c>
      <c r="AF7448">
        <v>0.89159381101064905</v>
      </c>
      <c r="AG7448">
        <v>-1.1093305327630001</v>
      </c>
      <c r="AH7448">
        <v>27.591370040485</v>
      </c>
      <c r="AI7448">
        <v>92.301177397226496</v>
      </c>
      <c r="AJ7448">
        <v>88.149175177741796</v>
      </c>
      <c r="AK7448">
        <v>27.6280519484405</v>
      </c>
      <c r="AL7448">
        <v>79.212518781453099</v>
      </c>
      <c r="AM7448">
        <v>88.160471184195998</v>
      </c>
      <c r="AN7448">
        <v>1.00000007325759</v>
      </c>
    </row>
    <row r="7449" spans="1:40" x14ac:dyDescent="0.25">
      <c r="A7449" t="str">
        <f>"20190312172258161"</f>
        <v>20190312172258161</v>
      </c>
      <c r="B7449" t="str">
        <f>"1552382578157870"</f>
        <v>1552382578157870</v>
      </c>
      <c r="C7449" t="s">
        <v>40</v>
      </c>
      <c r="D7449">
        <v>3.3063030000000002</v>
      </c>
      <c r="E7449">
        <v>0.50366549999999999</v>
      </c>
      <c r="F7449" t="s">
        <v>76</v>
      </c>
      <c r="G7449">
        <v>-238.50659999999999</v>
      </c>
      <c r="H7449" s="1">
        <v>-3.3804759999999998E-6</v>
      </c>
      <c r="I7449">
        <v>-63.831409999999998</v>
      </c>
      <c r="J7449">
        <v>-266.47570000000002</v>
      </c>
      <c r="K7449">
        <v>1.1093249999999999</v>
      </c>
      <c r="L7449">
        <v>-64.326629999999994</v>
      </c>
      <c r="M7449">
        <v>0.99875190000000003</v>
      </c>
      <c r="N7449">
        <v>0</v>
      </c>
      <c r="O7449">
        <v>4.959057E-2</v>
      </c>
      <c r="P7449">
        <v>0.98319639999999997</v>
      </c>
      <c r="Q7449">
        <v>0.18172469999999999</v>
      </c>
      <c r="R7449">
        <v>1.735602E-2</v>
      </c>
      <c r="S7449">
        <v>3.0724179999999999</v>
      </c>
      <c r="T7449">
        <v>-0.1213624</v>
      </c>
      <c r="U7449">
        <v>5.4779050000000003E-2</v>
      </c>
      <c r="V7449">
        <v>3.1504209999999998E-2</v>
      </c>
      <c r="W7449">
        <v>0.18756059999999999</v>
      </c>
      <c r="X7449">
        <v>0.9817477</v>
      </c>
      <c r="Y7449">
        <v>3.1715680000000003E-2</v>
      </c>
      <c r="Z7449">
        <v>-2.5832559999999999E-3</v>
      </c>
      <c r="AA7449">
        <v>0.99949359999999998</v>
      </c>
      <c r="AB7449">
        <v>23</v>
      </c>
      <c r="AC7449">
        <v>27.969100000000001</v>
      </c>
      <c r="AD7449">
        <v>-1.1093283804759999</v>
      </c>
      <c r="AE7449">
        <v>0.49522000000000999</v>
      </c>
      <c r="AF7449">
        <v>0.89101625849552801</v>
      </c>
      <c r="AG7449">
        <v>-1.1093283804759999</v>
      </c>
      <c r="AH7449">
        <v>27.915344570892501</v>
      </c>
      <c r="AI7449">
        <v>92.274523487268198</v>
      </c>
      <c r="AJ7449">
        <v>88.171824653055495</v>
      </c>
      <c r="AK7449">
        <v>27.951582816368202</v>
      </c>
      <c r="AL7449">
        <v>79.189542509591504</v>
      </c>
      <c r="AM7449">
        <v>88.162013460086797</v>
      </c>
      <c r="AN7449">
        <v>1.00000002018768</v>
      </c>
    </row>
    <row r="7450" spans="1:40" x14ac:dyDescent="0.25">
      <c r="A7450" t="str">
        <f>"20190312172258173"</f>
        <v>20190312172258173</v>
      </c>
      <c r="B7450" t="str">
        <f>"1552382578167630"</f>
        <v>1552382578167630</v>
      </c>
      <c r="C7450" t="s">
        <v>40</v>
      </c>
      <c r="D7450">
        <v>3.3152699999999902</v>
      </c>
      <c r="E7450">
        <v>0.50361840000000002</v>
      </c>
      <c r="F7450" t="s">
        <v>76</v>
      </c>
      <c r="G7450">
        <v>-238.09569999999999</v>
      </c>
      <c r="H7450" s="1">
        <v>-3.2385590000000001E-6</v>
      </c>
      <c r="I7450">
        <v>-63.819749999999999</v>
      </c>
      <c r="J7450">
        <v>-266.35660000000001</v>
      </c>
      <c r="K7450">
        <v>1.109324</v>
      </c>
      <c r="L7450">
        <v>-64.320859999999996</v>
      </c>
      <c r="M7450">
        <v>0.99875899999999995</v>
      </c>
      <c r="N7450">
        <v>0</v>
      </c>
      <c r="O7450">
        <v>4.9450090000000002E-2</v>
      </c>
      <c r="P7450">
        <v>0.98312540000000004</v>
      </c>
      <c r="Q7450">
        <v>0.18212020000000001</v>
      </c>
      <c r="R7450">
        <v>1.7227490000000002E-2</v>
      </c>
      <c r="S7450">
        <v>3.0725099999999999</v>
      </c>
      <c r="T7450">
        <v>-0.120099</v>
      </c>
      <c r="U7450">
        <v>5.487061E-2</v>
      </c>
      <c r="V7450">
        <v>3.1491400000000003E-2</v>
      </c>
      <c r="W7450">
        <v>0.18793480000000001</v>
      </c>
      <c r="X7450">
        <v>0.98167649999999995</v>
      </c>
      <c r="Y7450">
        <v>3.1547400000000003E-2</v>
      </c>
      <c r="Z7450">
        <v>-2.5475369999999999E-3</v>
      </c>
      <c r="AA7450">
        <v>0.99949900000000003</v>
      </c>
      <c r="AB7450">
        <v>23</v>
      </c>
      <c r="AC7450">
        <v>28.260899999999999</v>
      </c>
      <c r="AD7450">
        <v>-1.1093272385590001</v>
      </c>
      <c r="AE7450">
        <v>0.50110999999999695</v>
      </c>
      <c r="AF7450">
        <v>0.89565210027714603</v>
      </c>
      <c r="AG7450">
        <v>-1.1093272385590001</v>
      </c>
      <c r="AH7450">
        <v>28.207655848023801</v>
      </c>
      <c r="AI7450">
        <v>92.250986935596103</v>
      </c>
      <c r="AJ7450">
        <v>88.181350124366901</v>
      </c>
      <c r="AK7450">
        <v>28.243665626959402</v>
      </c>
      <c r="AL7450">
        <v>79.167713757306899</v>
      </c>
      <c r="AM7450">
        <v>88.162627133974397</v>
      </c>
      <c r="AN7450">
        <v>0.99999997398862395</v>
      </c>
    </row>
    <row r="7451" spans="1:40" x14ac:dyDescent="0.25">
      <c r="A7451" t="str">
        <f>"20190312172258184"</f>
        <v>20190312172258184</v>
      </c>
      <c r="B7451" t="str">
        <f>"1552382578178369"</f>
        <v>1552382578178369</v>
      </c>
      <c r="C7451" t="s">
        <v>40</v>
      </c>
      <c r="D7451">
        <v>3.310791</v>
      </c>
      <c r="E7451">
        <v>0.5035792</v>
      </c>
      <c r="F7451" t="s">
        <v>76</v>
      </c>
      <c r="G7451">
        <v>-237.67740000000001</v>
      </c>
      <c r="H7451" s="1">
        <v>-3.0943550000000002E-6</v>
      </c>
      <c r="I7451">
        <v>-63.80921</v>
      </c>
      <c r="J7451">
        <v>-266.24360000000001</v>
      </c>
      <c r="K7451">
        <v>1.1093230000000001</v>
      </c>
      <c r="L7451">
        <v>-64.315399999999997</v>
      </c>
      <c r="M7451">
        <v>0.99876580000000004</v>
      </c>
      <c r="N7451">
        <v>0</v>
      </c>
      <c r="O7451">
        <v>4.9316699999999998E-2</v>
      </c>
      <c r="P7451">
        <v>0.98310310000000001</v>
      </c>
      <c r="Q7451">
        <v>0.1822568</v>
      </c>
      <c r="R7451">
        <v>1.705833E-2</v>
      </c>
      <c r="S7451">
        <v>3.07254</v>
      </c>
      <c r="T7451">
        <v>-0.1188473</v>
      </c>
      <c r="U7451">
        <v>5.4809570000000002E-2</v>
      </c>
      <c r="V7451">
        <v>3.1528220000000003E-2</v>
      </c>
      <c r="W7451">
        <v>0.18805050000000001</v>
      </c>
      <c r="X7451">
        <v>0.9816532</v>
      </c>
      <c r="Y7451">
        <v>3.1435409999999997E-2</v>
      </c>
      <c r="Z7451">
        <v>-2.513665E-3</v>
      </c>
      <c r="AA7451">
        <v>0.99950260000000002</v>
      </c>
      <c r="AB7451">
        <v>23</v>
      </c>
      <c r="AC7451">
        <v>28.566199999999998</v>
      </c>
      <c r="AD7451">
        <v>-1.1093260943550001</v>
      </c>
      <c r="AE7451">
        <v>0.50618999999999603</v>
      </c>
      <c r="AF7451">
        <v>0.90188149611588397</v>
      </c>
      <c r="AG7451">
        <v>-1.1093260943550001</v>
      </c>
      <c r="AH7451">
        <v>28.513417302246499</v>
      </c>
      <c r="AI7451">
        <v>92.226879381036497</v>
      </c>
      <c r="AJ7451">
        <v>88.1883342666532</v>
      </c>
      <c r="AK7451">
        <v>28.549237483139599</v>
      </c>
      <c r="AL7451">
        <v>79.160964713977805</v>
      </c>
      <c r="AM7451">
        <v>88.160436705959398</v>
      </c>
      <c r="AN7451">
        <v>1.00000001213842</v>
      </c>
    </row>
    <row r="7452" spans="1:40" x14ac:dyDescent="0.25">
      <c r="A7452" t="str">
        <f>"20190312172258194"</f>
        <v>20190312172258194</v>
      </c>
      <c r="B7452" t="str">
        <f>"1552382578188126"</f>
        <v>1552382578188126</v>
      </c>
      <c r="C7452" t="s">
        <v>40</v>
      </c>
      <c r="D7452">
        <v>3.2973699999999999</v>
      </c>
      <c r="E7452">
        <v>0.50353610000000004</v>
      </c>
      <c r="F7452" t="s">
        <v>76</v>
      </c>
      <c r="G7452">
        <v>-237.4727</v>
      </c>
      <c r="H7452" s="1">
        <v>-3.024162E-6</v>
      </c>
      <c r="I7452">
        <v>-63.806109999999997</v>
      </c>
      <c r="J7452">
        <v>-266.13010000000003</v>
      </c>
      <c r="K7452">
        <v>1.109321</v>
      </c>
      <c r="L7452">
        <v>-64.309939999999997</v>
      </c>
      <c r="M7452">
        <v>0.9987724</v>
      </c>
      <c r="N7452">
        <v>0</v>
      </c>
      <c r="O7452">
        <v>4.9182950000000003E-2</v>
      </c>
      <c r="P7452">
        <v>0.98304170000000002</v>
      </c>
      <c r="Q7452">
        <v>0.1826169</v>
      </c>
      <c r="R7452">
        <v>1.6740330000000001E-2</v>
      </c>
      <c r="S7452">
        <v>3.0725709999999999</v>
      </c>
      <c r="T7452">
        <v>-0.11847009999999999</v>
      </c>
      <c r="U7452">
        <v>5.4382319999999998E-2</v>
      </c>
      <c r="V7452">
        <v>3.1711629999999998E-2</v>
      </c>
      <c r="W7452">
        <v>0.18838859999999999</v>
      </c>
      <c r="X7452">
        <v>0.98158250000000002</v>
      </c>
      <c r="Y7452">
        <v>3.1441150000000001E-2</v>
      </c>
      <c r="Z7452">
        <v>-2.5006329999999999E-3</v>
      </c>
      <c r="AA7452">
        <v>0.99950249999999996</v>
      </c>
      <c r="AB7452">
        <v>23</v>
      </c>
      <c r="AC7452">
        <v>28.657399999999999</v>
      </c>
      <c r="AD7452">
        <v>-1.1093240241619999</v>
      </c>
      <c r="AE7452">
        <v>0.50383</v>
      </c>
      <c r="AF7452">
        <v>0.90490417275092205</v>
      </c>
      <c r="AG7452">
        <v>-1.1093240241619999</v>
      </c>
      <c r="AH7452">
        <v>28.6046480058925</v>
      </c>
      <c r="AI7452">
        <v>92.219779688853706</v>
      </c>
      <c r="AJ7452">
        <v>88.188060041235403</v>
      </c>
      <c r="AK7452">
        <v>28.6404493486652</v>
      </c>
      <c r="AL7452">
        <v>79.141240875688695</v>
      </c>
      <c r="AM7452">
        <v>88.149609604568496</v>
      </c>
      <c r="AN7452">
        <v>1.0000000481967299</v>
      </c>
    </row>
    <row r="7453" spans="1:40" x14ac:dyDescent="0.25">
      <c r="A7453" t="str">
        <f>"20190312172258206"</f>
        <v>20190312172258206</v>
      </c>
      <c r="B7453" t="str">
        <f>"1552382578197886"</f>
        <v>1552382578197886</v>
      </c>
      <c r="C7453" t="s">
        <v>40</v>
      </c>
      <c r="D7453">
        <v>3.3037100000000001</v>
      </c>
      <c r="E7453">
        <v>0.50350680000000003</v>
      </c>
      <c r="F7453" t="s">
        <v>76</v>
      </c>
      <c r="G7453">
        <v>-237.11869999999999</v>
      </c>
      <c r="H7453" s="1">
        <v>-2.903508E-6</v>
      </c>
      <c r="I7453">
        <v>-63.805050000000001</v>
      </c>
      <c r="J7453">
        <v>-266.01249999999999</v>
      </c>
      <c r="K7453">
        <v>1.109318</v>
      </c>
      <c r="L7453">
        <v>-64.304319999999905</v>
      </c>
      <c r="M7453">
        <v>0.99877950000000004</v>
      </c>
      <c r="N7453">
        <v>0</v>
      </c>
      <c r="O7453">
        <v>4.9044259999999999E-2</v>
      </c>
      <c r="P7453">
        <v>0.98298540000000001</v>
      </c>
      <c r="Q7453">
        <v>0.18294079999999999</v>
      </c>
      <c r="R7453">
        <v>1.6514689999999999E-2</v>
      </c>
      <c r="S7453">
        <v>3.0726619999999998</v>
      </c>
      <c r="T7453">
        <v>-0.1174912</v>
      </c>
      <c r="U7453">
        <v>5.3466800000000002E-2</v>
      </c>
      <c r="V7453">
        <v>3.1798149999999997E-2</v>
      </c>
      <c r="W7453">
        <v>0.1886902</v>
      </c>
      <c r="X7453">
        <v>0.98152169999999905</v>
      </c>
      <c r="Y7453">
        <v>3.1601560000000001E-2</v>
      </c>
      <c r="Z7453">
        <v>-2.4776939999999999E-3</v>
      </c>
      <c r="AA7453">
        <v>0.99949750000000004</v>
      </c>
      <c r="AB7453">
        <v>23</v>
      </c>
      <c r="AC7453">
        <v>28.893799999999999</v>
      </c>
      <c r="AD7453">
        <v>-1.1093209035079901</v>
      </c>
      <c r="AE7453">
        <v>0.499269999999988</v>
      </c>
      <c r="AF7453">
        <v>0.91707869645886197</v>
      </c>
      <c r="AG7453">
        <v>-1.1093209035079901</v>
      </c>
      <c r="AH7453">
        <v>28.841015228088001</v>
      </c>
      <c r="AI7453">
        <v>92.2015878710815</v>
      </c>
      <c r="AJ7453">
        <v>88.1787381664154</v>
      </c>
      <c r="AK7453">
        <v>28.876907479667199</v>
      </c>
      <c r="AL7453">
        <v>79.123644153944099</v>
      </c>
      <c r="AM7453">
        <v>88.144449786848995</v>
      </c>
      <c r="AN7453">
        <v>0.99999998074517504</v>
      </c>
    </row>
    <row r="7454" spans="1:40" x14ac:dyDescent="0.25">
      <c r="A7454" t="str">
        <f>"20190312172258217"</f>
        <v>20190312172258217</v>
      </c>
      <c r="B7454" t="str">
        <f>"1552382578207646"</f>
        <v>1552382578207646</v>
      </c>
      <c r="C7454" t="s">
        <v>40</v>
      </c>
      <c r="D7454">
        <v>3.3074620000000001</v>
      </c>
      <c r="E7454">
        <v>0.50346709999999995</v>
      </c>
      <c r="F7454" t="s">
        <v>76</v>
      </c>
      <c r="G7454">
        <v>-236.77379999999999</v>
      </c>
      <c r="H7454" s="1">
        <v>-2.78566E-6</v>
      </c>
      <c r="I7454">
        <v>-63.802460000000004</v>
      </c>
      <c r="J7454">
        <v>-265.89800000000002</v>
      </c>
      <c r="K7454">
        <v>1.109316</v>
      </c>
      <c r="L7454">
        <v>-64.2988</v>
      </c>
      <c r="M7454">
        <v>0.99878619999999996</v>
      </c>
      <c r="N7454">
        <v>0</v>
      </c>
      <c r="O7454">
        <v>4.8909210000000002E-2</v>
      </c>
      <c r="P7454">
        <v>0.9829426</v>
      </c>
      <c r="Q7454">
        <v>0.1831846</v>
      </c>
      <c r="R7454">
        <v>1.6348640000000001E-2</v>
      </c>
      <c r="S7454">
        <v>3.0726930000000001</v>
      </c>
      <c r="T7454">
        <v>-0.1165783</v>
      </c>
      <c r="U7454">
        <v>5.2734379999999997E-2</v>
      </c>
      <c r="V7454">
        <v>3.1829650000000001E-2</v>
      </c>
      <c r="W7454">
        <v>0.18891169999999999</v>
      </c>
      <c r="X7454">
        <v>0.98147810000000002</v>
      </c>
      <c r="Y7454">
        <v>3.170568E-2</v>
      </c>
      <c r="Z7454">
        <v>-2.455296E-3</v>
      </c>
      <c r="AA7454">
        <v>0.99949429999999995</v>
      </c>
      <c r="AB7454">
        <v>23</v>
      </c>
      <c r="AC7454">
        <v>29.124199999999899</v>
      </c>
      <c r="AD7454">
        <v>-1.10931878566</v>
      </c>
      <c r="AE7454">
        <v>0.496340000000003</v>
      </c>
      <c r="AF7454">
        <v>0.92737483109615004</v>
      </c>
      <c r="AG7454">
        <v>-1.10931878566</v>
      </c>
      <c r="AH7454">
        <v>29.071455462498999</v>
      </c>
      <c r="AI7454">
        <v>92.184142294191801</v>
      </c>
      <c r="AJ7454">
        <v>88.1728932823154</v>
      </c>
      <c r="AK7454">
        <v>29.1073896966669</v>
      </c>
      <c r="AL7454">
        <v>79.110721025638497</v>
      </c>
      <c r="AM7454">
        <v>88.142530469260393</v>
      </c>
      <c r="AN7454">
        <v>1.00000000889781</v>
      </c>
    </row>
    <row r="7455" spans="1:40" x14ac:dyDescent="0.25">
      <c r="A7455" t="str">
        <f>"20190312172258229"</f>
        <v>20190312172258229</v>
      </c>
      <c r="B7455" t="str">
        <f>"1552382578218382"</f>
        <v>1552382578218382</v>
      </c>
      <c r="C7455" t="s">
        <v>40</v>
      </c>
      <c r="D7455">
        <v>3.2892999999999999</v>
      </c>
      <c r="E7455">
        <v>0.50343590000000005</v>
      </c>
      <c r="F7455" t="s">
        <v>76</v>
      </c>
      <c r="G7455">
        <v>-236.47470000000001</v>
      </c>
      <c r="H7455" s="1">
        <v>-2.6738449999999999E-6</v>
      </c>
      <c r="I7455">
        <v>-63.80021</v>
      </c>
      <c r="J7455">
        <v>-265.78609999999998</v>
      </c>
      <c r="K7455">
        <v>1.109307</v>
      </c>
      <c r="L7455">
        <v>-64.293490000000006</v>
      </c>
      <c r="M7455">
        <v>0.99879269999999998</v>
      </c>
      <c r="N7455">
        <v>0</v>
      </c>
      <c r="O7455">
        <v>4.8777429999999997E-2</v>
      </c>
      <c r="P7455">
        <v>0.98291470000000003</v>
      </c>
      <c r="Q7455">
        <v>0.183339</v>
      </c>
      <c r="R7455">
        <v>1.6293820000000001E-2</v>
      </c>
      <c r="S7455">
        <v>3.072784</v>
      </c>
      <c r="T7455">
        <v>-0.11585040000000001</v>
      </c>
      <c r="U7455">
        <v>5.2062990000000003E-2</v>
      </c>
      <c r="V7455">
        <v>3.175381E-2</v>
      </c>
      <c r="W7455">
        <v>0.18904470000000001</v>
      </c>
      <c r="X7455">
        <v>0.98145499999999997</v>
      </c>
      <c r="Y7455">
        <v>3.1793399999999999E-2</v>
      </c>
      <c r="Z7455">
        <v>-2.4366029999999999E-3</v>
      </c>
      <c r="AA7455">
        <v>0.99949149999999998</v>
      </c>
      <c r="AB7455">
        <v>23</v>
      </c>
      <c r="AC7455">
        <v>29.3113999999999</v>
      </c>
      <c r="AD7455">
        <v>-1.1093096738449999</v>
      </c>
      <c r="AE7455">
        <v>0.49328000000000499</v>
      </c>
      <c r="AF7455">
        <v>0.93572632760115604</v>
      </c>
      <c r="AG7455">
        <v>-1.1093096738449999</v>
      </c>
      <c r="AH7455">
        <v>29.258674807499499</v>
      </c>
      <c r="AI7455">
        <v>92.170156455922907</v>
      </c>
      <c r="AJ7455">
        <v>88.168238907140207</v>
      </c>
      <c r="AK7455">
        <v>29.294644616442401</v>
      </c>
      <c r="AL7455">
        <v>79.102961422851294</v>
      </c>
      <c r="AM7455">
        <v>88.146909559283799</v>
      </c>
      <c r="AN7455">
        <v>1.0000000600362999</v>
      </c>
    </row>
    <row r="7456" spans="1:40" x14ac:dyDescent="0.25">
      <c r="A7456" t="str">
        <f>"20190312172258238"</f>
        <v>20190312172258238</v>
      </c>
      <c r="B7456" t="str">
        <f>"1552382578228142"</f>
        <v>1552382578228142</v>
      </c>
      <c r="C7456" t="s">
        <v>40</v>
      </c>
      <c r="D7456">
        <v>3.3022100000000001</v>
      </c>
      <c r="E7456">
        <v>0.50340039999999997</v>
      </c>
      <c r="F7456" t="s">
        <v>76</v>
      </c>
      <c r="G7456">
        <v>-236.2619</v>
      </c>
      <c r="H7456" s="1">
        <v>-2.5813810000000001E-6</v>
      </c>
      <c r="I7456">
        <v>-63.795830000000002</v>
      </c>
      <c r="J7456">
        <v>-265.67680000000001</v>
      </c>
      <c r="K7456">
        <v>1.1093029999999999</v>
      </c>
      <c r="L7456">
        <v>-64.288240000000002</v>
      </c>
      <c r="M7456">
        <v>0.99879929999999995</v>
      </c>
      <c r="N7456">
        <v>0</v>
      </c>
      <c r="O7456">
        <v>4.864839E-2</v>
      </c>
      <c r="P7456">
        <v>0.98287670000000005</v>
      </c>
      <c r="Q7456">
        <v>0.1835716</v>
      </c>
      <c r="R7456">
        <v>1.596593E-2</v>
      </c>
      <c r="S7456">
        <v>3.072784</v>
      </c>
      <c r="T7456">
        <v>-0.115453399999999</v>
      </c>
      <c r="U7456">
        <v>5.178833E-2</v>
      </c>
      <c r="V7456">
        <v>3.1953170000000003E-2</v>
      </c>
      <c r="W7456">
        <v>0.18925629999999999</v>
      </c>
      <c r="X7456">
        <v>0.98140769999999999</v>
      </c>
      <c r="Y7456">
        <v>3.1754079999999997E-2</v>
      </c>
      <c r="Z7456">
        <v>-2.4226819999999998E-3</v>
      </c>
      <c r="AA7456">
        <v>0.99949279999999996</v>
      </c>
      <c r="AB7456">
        <v>23</v>
      </c>
      <c r="AC7456">
        <v>29.414899999999999</v>
      </c>
      <c r="AD7456">
        <v>-1.109305581381</v>
      </c>
      <c r="AE7456">
        <v>0.49240999999999902</v>
      </c>
      <c r="AF7456">
        <v>0.93785093838220401</v>
      </c>
      <c r="AG7456">
        <v>-1.109305581381</v>
      </c>
      <c r="AH7456">
        <v>29.362277951011801</v>
      </c>
      <c r="AI7456">
        <v>92.162501286192807</v>
      </c>
      <c r="AJ7456">
        <v>88.1705561713745</v>
      </c>
      <c r="AK7456">
        <v>29.398188545010399</v>
      </c>
      <c r="AL7456">
        <v>79.090614235314405</v>
      </c>
      <c r="AM7456">
        <v>88.135193677863896</v>
      </c>
      <c r="AN7456">
        <v>1.00000001289101</v>
      </c>
    </row>
    <row r="7457" spans="1:40" x14ac:dyDescent="0.25">
      <c r="A7457" t="str">
        <f>"20190312172258251"</f>
        <v>20190312172258251</v>
      </c>
      <c r="B7457" t="str">
        <f>"1552382578247662"</f>
        <v>1552382578247662</v>
      </c>
      <c r="C7457" t="s">
        <v>40</v>
      </c>
      <c r="D7457">
        <v>3.2764739999999999</v>
      </c>
      <c r="E7457">
        <v>0.50333909999999904</v>
      </c>
      <c r="F7457" t="s">
        <v>76</v>
      </c>
      <c r="G7457">
        <v>-235.96979999999999</v>
      </c>
      <c r="H7457" s="1">
        <v>-2.4559169999999999E-6</v>
      </c>
      <c r="I7457">
        <v>-63.795189999999998</v>
      </c>
      <c r="J7457">
        <v>-265.55939999999998</v>
      </c>
      <c r="K7457">
        <v>1.1093</v>
      </c>
      <c r="L7457">
        <v>-64.282709999999994</v>
      </c>
      <c r="M7457">
        <v>0.99880610000000003</v>
      </c>
      <c r="N7457">
        <v>0</v>
      </c>
      <c r="O7457">
        <v>4.8509990000000003E-2</v>
      </c>
      <c r="P7457">
        <v>0.98287049999999998</v>
      </c>
      <c r="Q7457">
        <v>0.18360960000000001</v>
      </c>
      <c r="R7457">
        <v>1.5923960000000001E-2</v>
      </c>
      <c r="S7457">
        <v>3.0728759999999999</v>
      </c>
      <c r="T7457">
        <v>-0.114746</v>
      </c>
      <c r="U7457">
        <v>5.0994869999999998E-2</v>
      </c>
      <c r="V7457">
        <v>3.1858810000000001E-2</v>
      </c>
      <c r="W7457">
        <v>0.1892732</v>
      </c>
      <c r="X7457">
        <v>0.98140749999999999</v>
      </c>
      <c r="Y7457">
        <v>3.1874800000000002E-2</v>
      </c>
      <c r="Z7457">
        <v>-2.4048780000000001E-3</v>
      </c>
      <c r="AA7457">
        <v>0.99948890000000001</v>
      </c>
      <c r="AB7457">
        <v>23</v>
      </c>
      <c r="AC7457">
        <v>29.589599999999901</v>
      </c>
      <c r="AD7457">
        <v>-1.1093024559169999</v>
      </c>
      <c r="AE7457">
        <v>0.48751999999998902</v>
      </c>
      <c r="AF7457">
        <v>0.94713816027123199</v>
      </c>
      <c r="AG7457">
        <v>-1.1093024559169999</v>
      </c>
      <c r="AH7457">
        <v>29.536910920798</v>
      </c>
      <c r="AI7457">
        <v>92.149713148563805</v>
      </c>
      <c r="AJ7457">
        <v>88.163368170601103</v>
      </c>
      <c r="AK7457">
        <v>29.5729053252551</v>
      </c>
      <c r="AL7457">
        <v>79.089628021291901</v>
      </c>
      <c r="AM7457">
        <v>88.140696334889597</v>
      </c>
      <c r="AN7457">
        <v>1.0000000045345501</v>
      </c>
    </row>
    <row r="7458" spans="1:40" x14ac:dyDescent="0.25">
      <c r="A7458" t="str">
        <f>"20190312172258262"</f>
        <v>20190312172258262</v>
      </c>
      <c r="B7458" t="str">
        <f>"1552382578258398"</f>
        <v>1552382578258398</v>
      </c>
      <c r="C7458" t="s">
        <v>40</v>
      </c>
      <c r="D7458">
        <v>3.2645719999999998</v>
      </c>
      <c r="E7458">
        <v>0.50329979999999996</v>
      </c>
      <c r="F7458" t="s">
        <v>76</v>
      </c>
      <c r="G7458">
        <v>-235.8802</v>
      </c>
      <c r="H7458" s="1">
        <v>-2.4153430000000001E-6</v>
      </c>
      <c r="I7458">
        <v>-63.787199999999999</v>
      </c>
      <c r="J7458">
        <v>-265.43799999999999</v>
      </c>
      <c r="K7458">
        <v>1.1093</v>
      </c>
      <c r="L7458">
        <v>-64.276919999999905</v>
      </c>
      <c r="M7458">
        <v>0.99881319999999996</v>
      </c>
      <c r="N7458">
        <v>0</v>
      </c>
      <c r="O7458">
        <v>4.8367010000000002E-2</v>
      </c>
      <c r="P7458">
        <v>0.98285129999999998</v>
      </c>
      <c r="Q7458">
        <v>0.18371390000000001</v>
      </c>
      <c r="R7458">
        <v>1.5903850000000001E-2</v>
      </c>
      <c r="S7458">
        <v>3.0729679999999999</v>
      </c>
      <c r="T7458">
        <v>-0.11485670000000001</v>
      </c>
      <c r="U7458">
        <v>5.130005E-2</v>
      </c>
      <c r="V7458">
        <v>3.1737679999999997E-2</v>
      </c>
      <c r="W7458">
        <v>0.18935650000000001</v>
      </c>
      <c r="X7458">
        <v>0.98139540000000003</v>
      </c>
      <c r="Y7458">
        <v>3.1633139999999997E-2</v>
      </c>
      <c r="Z7458">
        <v>-2.397269E-3</v>
      </c>
      <c r="AA7458">
        <v>0.99949670000000002</v>
      </c>
      <c r="AB7458">
        <v>23</v>
      </c>
      <c r="AC7458">
        <v>29.557799999999901</v>
      </c>
      <c r="AD7458">
        <v>-1.109302415343</v>
      </c>
      <c r="AE7458">
        <v>0.489719999999991</v>
      </c>
      <c r="AF7458">
        <v>0.93917657970374602</v>
      </c>
      <c r="AG7458">
        <v>-1.109302415343</v>
      </c>
      <c r="AH7458">
        <v>29.505345256187901</v>
      </c>
      <c r="AI7458">
        <v>92.152026895354695</v>
      </c>
      <c r="AJ7458">
        <v>88.176849273404002</v>
      </c>
      <c r="AK7458">
        <v>29.541123932298099</v>
      </c>
      <c r="AL7458">
        <v>79.084767863114607</v>
      </c>
      <c r="AM7458">
        <v>88.147737816400294</v>
      </c>
      <c r="AN7458">
        <v>1.0000000477825901</v>
      </c>
    </row>
    <row r="7459" spans="1:40" x14ac:dyDescent="0.25">
      <c r="A7459" t="str">
        <f>"20190312172258274"</f>
        <v>20190312172258274</v>
      </c>
      <c r="B7459" t="str">
        <f>"1552382578268158"</f>
        <v>1552382578268158</v>
      </c>
      <c r="C7459" t="s">
        <v>40</v>
      </c>
      <c r="D7459">
        <v>3.281695</v>
      </c>
      <c r="E7459">
        <v>0.50327739999999999</v>
      </c>
      <c r="F7459" t="s">
        <v>76</v>
      </c>
      <c r="G7459">
        <v>-235.7045</v>
      </c>
      <c r="H7459" s="1">
        <v>-2.3372030000000001E-6</v>
      </c>
      <c r="I7459">
        <v>-63.776940000000003</v>
      </c>
      <c r="J7459">
        <v>-265.31799999999998</v>
      </c>
      <c r="K7459">
        <v>1.1092979999999999</v>
      </c>
      <c r="L7459">
        <v>-64.271270000000001</v>
      </c>
      <c r="M7459">
        <v>0.99882000000000004</v>
      </c>
      <c r="N7459">
        <v>0</v>
      </c>
      <c r="O7459">
        <v>4.8225619999999997E-2</v>
      </c>
      <c r="P7459">
        <v>0.98288399999999998</v>
      </c>
      <c r="Q7459">
        <v>0.1835068</v>
      </c>
      <c r="R7459">
        <v>1.6263799999999998E-2</v>
      </c>
      <c r="S7459">
        <v>3.072937</v>
      </c>
      <c r="T7459">
        <v>-0.11464530000000001</v>
      </c>
      <c r="U7459">
        <v>5.1666259999999999E-2</v>
      </c>
      <c r="V7459">
        <v>3.124091E-2</v>
      </c>
      <c r="W7459">
        <v>0.1891304</v>
      </c>
      <c r="X7459">
        <v>0.98145490000000002</v>
      </c>
      <c r="Y7459">
        <v>3.137289E-2</v>
      </c>
      <c r="Z7459">
        <v>-2.3827620000000001E-3</v>
      </c>
      <c r="AA7459">
        <v>0.99950490000000003</v>
      </c>
      <c r="AB7459">
        <v>23</v>
      </c>
      <c r="AC7459">
        <v>29.613499999999899</v>
      </c>
      <c r="AD7459">
        <v>-1.1093003372029999</v>
      </c>
      <c r="AE7459">
        <v>0.49432999999999699</v>
      </c>
      <c r="AF7459">
        <v>0.93308913329243104</v>
      </c>
      <c r="AG7459">
        <v>-1.1093003372029999</v>
      </c>
      <c r="AH7459">
        <v>29.5614134232829</v>
      </c>
      <c r="AI7459">
        <v>92.147963118638501</v>
      </c>
      <c r="AJ7459">
        <v>88.192091693988999</v>
      </c>
      <c r="AK7459">
        <v>29.596931701631402</v>
      </c>
      <c r="AL7459">
        <v>79.097960434364694</v>
      </c>
      <c r="AM7459">
        <v>88.176820851240606</v>
      </c>
      <c r="AN7459">
        <v>1.00000001169789</v>
      </c>
    </row>
    <row r="7460" spans="1:40" x14ac:dyDescent="0.25">
      <c r="A7460" t="str">
        <f>"20190312172258284"</f>
        <v>20190312172258284</v>
      </c>
      <c r="B7460" t="str">
        <f>"1552382578277918"</f>
        <v>1552382578277918</v>
      </c>
      <c r="C7460" t="s">
        <v>40</v>
      </c>
      <c r="D7460">
        <v>3.3016649999999998</v>
      </c>
      <c r="E7460">
        <v>0.50324440000000004</v>
      </c>
      <c r="F7460" t="s">
        <v>76</v>
      </c>
      <c r="G7460">
        <v>-235.79320000000001</v>
      </c>
      <c r="H7460" s="1">
        <v>-2.3719099999999898E-6</v>
      </c>
      <c r="I7460">
        <v>-63.764249999999997</v>
      </c>
      <c r="J7460">
        <v>-265.20530000000002</v>
      </c>
      <c r="K7460">
        <v>1.1092949999999999</v>
      </c>
      <c r="L7460">
        <v>-64.265959999999893</v>
      </c>
      <c r="M7460">
        <v>0.99882660000000001</v>
      </c>
      <c r="N7460">
        <v>0</v>
      </c>
      <c r="O7460">
        <v>4.8092940000000001E-2</v>
      </c>
      <c r="P7460">
        <v>0.98289349999999998</v>
      </c>
      <c r="Q7460">
        <v>0.1834356</v>
      </c>
      <c r="R7460">
        <v>1.6499570000000002E-2</v>
      </c>
      <c r="S7460">
        <v>3.072937</v>
      </c>
      <c r="T7460">
        <v>-0.115456</v>
      </c>
      <c r="U7460">
        <v>5.2764890000000002E-2</v>
      </c>
      <c r="V7460">
        <v>3.0875690000000001E-2</v>
      </c>
      <c r="W7460">
        <v>0.1890424</v>
      </c>
      <c r="X7460">
        <v>0.98148340000000001</v>
      </c>
      <c r="Y7460">
        <v>3.088252E-2</v>
      </c>
      <c r="Z7460">
        <v>-2.385402E-3</v>
      </c>
      <c r="AA7460">
        <v>0.99952019999999997</v>
      </c>
      <c r="AB7460">
        <v>23</v>
      </c>
      <c r="AC7460">
        <v>29.412099999999999</v>
      </c>
      <c r="AD7460">
        <v>-1.1092973719100001</v>
      </c>
      <c r="AE7460">
        <v>0.50170999999999499</v>
      </c>
      <c r="AF7460">
        <v>0.91211083132618098</v>
      </c>
      <c r="AG7460">
        <v>-1.1092973719100001</v>
      </c>
      <c r="AH7460">
        <v>29.3604419519549</v>
      </c>
      <c r="AI7460">
        <v>92.162679874178494</v>
      </c>
      <c r="AJ7460">
        <v>88.220622873788002</v>
      </c>
      <c r="AK7460">
        <v>29.395544533858601</v>
      </c>
      <c r="AL7460">
        <v>79.103094970134407</v>
      </c>
      <c r="AM7460">
        <v>88.198172773106705</v>
      </c>
      <c r="AN7460">
        <v>1.00000000085314</v>
      </c>
    </row>
    <row r="7461" spans="1:40" x14ac:dyDescent="0.25">
      <c r="A7461" t="str">
        <f>"20190312172258295"</f>
        <v>20190312172258295</v>
      </c>
      <c r="B7461" t="str">
        <f>"1552382578287678"</f>
        <v>1552382578287678</v>
      </c>
      <c r="C7461" t="s">
        <v>40</v>
      </c>
      <c r="D7461">
        <v>3.2841130000000001</v>
      </c>
      <c r="E7461">
        <v>0.50321300000000002</v>
      </c>
      <c r="F7461" t="s">
        <v>76</v>
      </c>
      <c r="G7461">
        <v>-235.77080000000001</v>
      </c>
      <c r="H7461" s="1">
        <v>-2.3596339999999999E-6</v>
      </c>
      <c r="I7461">
        <v>-63.754339999999999</v>
      </c>
      <c r="J7461">
        <v>-265.09109999999998</v>
      </c>
      <c r="K7461">
        <v>1.1092930000000001</v>
      </c>
      <c r="L7461">
        <v>-64.260619999999903</v>
      </c>
      <c r="M7461">
        <v>0.99883310000000003</v>
      </c>
      <c r="N7461">
        <v>0</v>
      </c>
      <c r="O7461">
        <v>4.7958389999999997E-2</v>
      </c>
      <c r="P7461">
        <v>0.98289570000000004</v>
      </c>
      <c r="Q7461">
        <v>0.18339559999999999</v>
      </c>
      <c r="R7461">
        <v>1.6814869999999999E-2</v>
      </c>
      <c r="S7461">
        <v>3.072937</v>
      </c>
      <c r="T7461">
        <v>-0.1158096</v>
      </c>
      <c r="U7461">
        <v>5.3405759999999997E-2</v>
      </c>
      <c r="V7461">
        <v>3.0428799999999999E-2</v>
      </c>
      <c r="W7461">
        <v>0.18898709999999999</v>
      </c>
      <c r="X7461">
        <v>0.98150800000000005</v>
      </c>
      <c r="Y7461">
        <v>3.0539480000000001E-2</v>
      </c>
      <c r="Z7461">
        <v>-2.3811700000000002E-3</v>
      </c>
      <c r="AA7461">
        <v>0.99953069999999999</v>
      </c>
      <c r="AB7461">
        <v>23</v>
      </c>
      <c r="AC7461">
        <v>29.3202999999999</v>
      </c>
      <c r="AD7461">
        <v>-1.1092953596340001</v>
      </c>
      <c r="AE7461">
        <v>0.50627999999998896</v>
      </c>
      <c r="AF7461">
        <v>0.89919305127665905</v>
      </c>
      <c r="AG7461">
        <v>-1.1092953596340001</v>
      </c>
      <c r="AH7461">
        <v>29.268959043429</v>
      </c>
      <c r="AI7461">
        <v>92.169452183168204</v>
      </c>
      <c r="AJ7461">
        <v>88.2403280111035</v>
      </c>
      <c r="AK7461">
        <v>29.303771904386199</v>
      </c>
      <c r="AL7461">
        <v>79.106321523874996</v>
      </c>
      <c r="AM7461">
        <v>88.224279802431596</v>
      </c>
      <c r="AN7461">
        <v>0.99999999494992498</v>
      </c>
    </row>
    <row r="7462" spans="1:40" x14ac:dyDescent="0.25">
      <c r="A7462" t="str">
        <f>"20190312172258306"</f>
        <v>20190312172258306</v>
      </c>
      <c r="B7462" t="str">
        <f>"1552382578297438"</f>
        <v>1552382578297438</v>
      </c>
      <c r="C7462" t="s">
        <v>40</v>
      </c>
      <c r="D7462">
        <v>3.2981929999999999</v>
      </c>
      <c r="E7462">
        <v>0.50318260000000004</v>
      </c>
      <c r="F7462" t="s">
        <v>76</v>
      </c>
      <c r="G7462">
        <v>-235.72130000000001</v>
      </c>
      <c r="H7462" s="1">
        <v>-2.334274E-6</v>
      </c>
      <c r="I7462">
        <v>-63.738770000000002</v>
      </c>
      <c r="J7462">
        <v>-264.97660000000002</v>
      </c>
      <c r="K7462">
        <v>1.1092900000000001</v>
      </c>
      <c r="L7462">
        <v>-64.255250000000004</v>
      </c>
      <c r="M7462">
        <v>0.99883960000000005</v>
      </c>
      <c r="N7462">
        <v>0</v>
      </c>
      <c r="O7462">
        <v>4.7823730000000002E-2</v>
      </c>
      <c r="P7462">
        <v>0.98285140000000004</v>
      </c>
      <c r="Q7462">
        <v>0.18362390000000001</v>
      </c>
      <c r="R7462">
        <v>1.6897450000000001E-2</v>
      </c>
      <c r="S7462">
        <v>3.0729679999999999</v>
      </c>
      <c r="T7462">
        <v>-0.1160659</v>
      </c>
      <c r="U7462">
        <v>5.4595949999999997E-2</v>
      </c>
      <c r="V7462">
        <v>3.0212369999999999E-2</v>
      </c>
      <c r="W7462">
        <v>0.18920010000000001</v>
      </c>
      <c r="X7462">
        <v>0.98147359999999995</v>
      </c>
      <c r="Y7462">
        <v>3.0018110000000001E-2</v>
      </c>
      <c r="Z7462">
        <v>-2.37148E-3</v>
      </c>
      <c r="AA7462">
        <v>0.9995465</v>
      </c>
      <c r="AB7462">
        <v>23</v>
      </c>
      <c r="AC7462">
        <v>29.255299999999998</v>
      </c>
      <c r="AD7462">
        <v>-1.109292334274</v>
      </c>
      <c r="AE7462">
        <v>0.51648000000000804</v>
      </c>
      <c r="AF7462">
        <v>0.88196352891546304</v>
      </c>
      <c r="AG7462">
        <v>-1.109292334274</v>
      </c>
      <c r="AH7462">
        <v>29.204549419913601</v>
      </c>
      <c r="AI7462">
        <v>92.174260843687094</v>
      </c>
      <c r="AJ7462">
        <v>88.270220389041498</v>
      </c>
      <c r="AK7462">
        <v>29.238914069598898</v>
      </c>
      <c r="AL7462">
        <v>79.093892769237797</v>
      </c>
      <c r="AM7462">
        <v>88.236840156992997</v>
      </c>
      <c r="AN7462">
        <v>0.99999994631899203</v>
      </c>
    </row>
    <row r="7463" spans="1:40" x14ac:dyDescent="0.25">
      <c r="A7463" t="str">
        <f>"20190312172258316"</f>
        <v>20190312172258316</v>
      </c>
      <c r="B7463" t="str">
        <f>"1552382578308174"</f>
        <v>1552382578308174</v>
      </c>
      <c r="C7463" t="s">
        <v>40</v>
      </c>
      <c r="D7463">
        <v>3.3119519999999998</v>
      </c>
      <c r="E7463">
        <v>0.50315500000000002</v>
      </c>
      <c r="F7463" t="s">
        <v>76</v>
      </c>
      <c r="G7463">
        <v>-235.4539</v>
      </c>
      <c r="H7463" s="1">
        <v>-2.2162469999999999E-6</v>
      </c>
      <c r="I7463">
        <v>-63.726280000000003</v>
      </c>
      <c r="J7463">
        <v>-264.8612</v>
      </c>
      <c r="K7463">
        <v>1.1092869999999999</v>
      </c>
      <c r="L7463">
        <v>-64.249880000000005</v>
      </c>
      <c r="M7463">
        <v>0.99884609999999996</v>
      </c>
      <c r="N7463">
        <v>0</v>
      </c>
      <c r="O7463">
        <v>4.7688059999999997E-2</v>
      </c>
      <c r="P7463">
        <v>0.98284570000000004</v>
      </c>
      <c r="Q7463">
        <v>0.1836429</v>
      </c>
      <c r="R7463">
        <v>1.702184E-2</v>
      </c>
      <c r="S7463">
        <v>3.0729679999999999</v>
      </c>
      <c r="T7463">
        <v>-0.11546430000000001</v>
      </c>
      <c r="U7463">
        <v>5.5053709999999999E-2</v>
      </c>
      <c r="V7463">
        <v>2.9954660000000001E-2</v>
      </c>
      <c r="W7463">
        <v>0.18920429999999999</v>
      </c>
      <c r="X7463">
        <v>0.98148069999999998</v>
      </c>
      <c r="Y7463">
        <v>2.973435E-2</v>
      </c>
      <c r="Z7463">
        <v>-2.3487740000000001E-3</v>
      </c>
      <c r="AA7463">
        <v>0.99955510000000003</v>
      </c>
      <c r="AB7463">
        <v>23</v>
      </c>
      <c r="AC7463">
        <v>29.4072999999999</v>
      </c>
      <c r="AD7463">
        <v>-1.1092892162470001</v>
      </c>
      <c r="AE7463">
        <v>0.52360000000000095</v>
      </c>
      <c r="AF7463">
        <v>0.87814634637334199</v>
      </c>
      <c r="AG7463">
        <v>-1.1092892162470001</v>
      </c>
      <c r="AH7463">
        <v>29.357052053949001</v>
      </c>
      <c r="AI7463">
        <v>92.162989395049394</v>
      </c>
      <c r="AJ7463">
        <v>88.286644007114802</v>
      </c>
      <c r="AK7463">
        <v>29.391123981045801</v>
      </c>
      <c r="AL7463">
        <v>79.093647814427001</v>
      </c>
      <c r="AM7463">
        <v>88.251883088084796</v>
      </c>
      <c r="AN7463">
        <v>0.99999995663334695</v>
      </c>
    </row>
    <row r="7464" spans="1:40" x14ac:dyDescent="0.25">
      <c r="A7464" t="str">
        <f>"20190312172258328"</f>
        <v>20190312172258328</v>
      </c>
      <c r="B7464" t="str">
        <f>"1552382578317935"</f>
        <v>1552382578317935</v>
      </c>
      <c r="C7464" t="s">
        <v>40</v>
      </c>
      <c r="D7464">
        <v>3.261463</v>
      </c>
      <c r="E7464">
        <v>0.50312900000000005</v>
      </c>
      <c r="F7464" t="s">
        <v>76</v>
      </c>
      <c r="G7464">
        <v>-235.34020000000001</v>
      </c>
      <c r="H7464" s="1">
        <v>-2.1644719999999998E-6</v>
      </c>
      <c r="I7464">
        <v>-63.71508</v>
      </c>
      <c r="J7464">
        <v>-264.74239999999998</v>
      </c>
      <c r="K7464">
        <v>1.1092839999999999</v>
      </c>
      <c r="L7464">
        <v>-64.244320000000002</v>
      </c>
      <c r="M7464">
        <v>0.99885299999999999</v>
      </c>
      <c r="N7464">
        <v>0</v>
      </c>
      <c r="O7464">
        <v>4.7548439999999997E-2</v>
      </c>
      <c r="P7464">
        <v>0.98284289999999996</v>
      </c>
      <c r="Q7464">
        <v>0.1836642</v>
      </c>
      <c r="R7464">
        <v>1.6962479999999999E-2</v>
      </c>
      <c r="S7464">
        <v>3.0729980000000001</v>
      </c>
      <c r="T7464">
        <v>-0.115471699999999</v>
      </c>
      <c r="U7464">
        <v>5.5664060000000001E-2</v>
      </c>
      <c r="V7464">
        <v>2.9876900000000001E-2</v>
      </c>
      <c r="W7464">
        <v>0.18921089999999999</v>
      </c>
      <c r="X7464">
        <v>0.98148190000000002</v>
      </c>
      <c r="Y7464">
        <v>2.9396680000000001E-2</v>
      </c>
      <c r="Z7464">
        <v>-2.337315E-3</v>
      </c>
      <c r="AA7464">
        <v>0.99956509999999998</v>
      </c>
      <c r="AB7464">
        <v>23</v>
      </c>
      <c r="AC7464">
        <v>29.402199999999901</v>
      </c>
      <c r="AD7464">
        <v>-1.109286164472</v>
      </c>
      <c r="AE7464">
        <v>0.52923999999999405</v>
      </c>
      <c r="AF7464">
        <v>0.86817425709864804</v>
      </c>
      <c r="AG7464">
        <v>-1.109286164472</v>
      </c>
      <c r="AH7464">
        <v>29.352341381784399</v>
      </c>
      <c r="AI7464">
        <v>92.163351764537396</v>
      </c>
      <c r="AJ7464">
        <v>88.3058175105582</v>
      </c>
      <c r="AK7464">
        <v>29.386122352705801</v>
      </c>
      <c r="AL7464">
        <v>79.093263813411795</v>
      </c>
      <c r="AM7464">
        <v>88.256420391225106</v>
      </c>
      <c r="AN7464">
        <v>1.00000005693001</v>
      </c>
    </row>
    <row r="7465" spans="1:40" x14ac:dyDescent="0.25">
      <c r="A7465" t="str">
        <f>"20190312172258340"</f>
        <v>20190312172258340</v>
      </c>
      <c r="B7465" t="str">
        <f>"1552382578327694"</f>
        <v>1552382578327694</v>
      </c>
      <c r="C7465" t="s">
        <v>40</v>
      </c>
      <c r="D7465">
        <v>3.2747679999999999</v>
      </c>
      <c r="E7465">
        <v>0.5031061</v>
      </c>
      <c r="F7465" t="s">
        <v>76</v>
      </c>
      <c r="G7465">
        <v>-235.2328</v>
      </c>
      <c r="H7465" s="1">
        <v>-2.1165259999999999E-6</v>
      </c>
      <c r="I7465">
        <v>-63.707979999999999</v>
      </c>
      <c r="J7465">
        <v>-264.62360000000001</v>
      </c>
      <c r="K7465">
        <v>1.1092789999999999</v>
      </c>
      <c r="L7465">
        <v>-64.238799999999998</v>
      </c>
      <c r="M7465">
        <v>0.99885959999999996</v>
      </c>
      <c r="N7465">
        <v>0</v>
      </c>
      <c r="O7465">
        <v>4.7408770000000003E-2</v>
      </c>
      <c r="P7465">
        <v>0.98283830000000005</v>
      </c>
      <c r="Q7465">
        <v>0.18371129999999999</v>
      </c>
      <c r="R7465">
        <v>1.6712520000000002E-2</v>
      </c>
      <c r="S7465">
        <v>3.0729980000000001</v>
      </c>
      <c r="T7465">
        <v>-0.11551599999999999</v>
      </c>
      <c r="U7465">
        <v>5.5847170000000002E-2</v>
      </c>
      <c r="V7465">
        <v>2.9989200000000001E-2</v>
      </c>
      <c r="W7465">
        <v>0.1892432</v>
      </c>
      <c r="X7465">
        <v>0.98147220000000002</v>
      </c>
      <c r="Y7465">
        <v>2.9197569999999999E-2</v>
      </c>
      <c r="Z7465">
        <v>-2.3292260000000002E-3</v>
      </c>
      <c r="AA7465">
        <v>0.99957099999999999</v>
      </c>
      <c r="AB7465">
        <v>24</v>
      </c>
      <c r="AC7465">
        <v>29.390799999999999</v>
      </c>
      <c r="AD7465">
        <v>-1.1092811165259999</v>
      </c>
      <c r="AE7465">
        <v>0.53081999999999097</v>
      </c>
      <c r="AF7465">
        <v>0.86195334931753498</v>
      </c>
      <c r="AG7465">
        <v>-1.1092811165259999</v>
      </c>
      <c r="AH7465">
        <v>29.341134412352201</v>
      </c>
      <c r="AI7465">
        <v>92.164180222895993</v>
      </c>
      <c r="AJ7465">
        <v>88.317308089517297</v>
      </c>
      <c r="AK7465">
        <v>29.374744880178898</v>
      </c>
      <c r="AL7465">
        <v>79.091378592660007</v>
      </c>
      <c r="AM7465">
        <v>88.249853481745205</v>
      </c>
      <c r="AN7465">
        <v>1.0000000101178499</v>
      </c>
    </row>
    <row r="7466" spans="1:40" x14ac:dyDescent="0.25">
      <c r="A7466" t="str">
        <f>"20190312172258351"</f>
        <v>20190312172258351</v>
      </c>
      <c r="B7466" t="str">
        <f>"1552382578348190"</f>
        <v>1552382578348190</v>
      </c>
      <c r="C7466" t="s">
        <v>40</v>
      </c>
      <c r="D7466">
        <v>3.269682</v>
      </c>
      <c r="E7466">
        <v>0.50306839999999997</v>
      </c>
      <c r="F7466" t="s">
        <v>76</v>
      </c>
      <c r="G7466">
        <v>-235.10210000000001</v>
      </c>
      <c r="H7466" s="1">
        <v>-2.0607110000000001E-6</v>
      </c>
      <c r="I7466">
        <v>-63.708979999999997</v>
      </c>
      <c r="J7466">
        <v>-264.50380000000001</v>
      </c>
      <c r="K7466">
        <v>1.1092759999999999</v>
      </c>
      <c r="L7466">
        <v>-64.233279999999993</v>
      </c>
      <c r="M7466">
        <v>0.99886640000000004</v>
      </c>
      <c r="N7466">
        <v>0</v>
      </c>
      <c r="O7466">
        <v>4.7267969999999999E-2</v>
      </c>
      <c r="P7466">
        <v>0.98286399999999996</v>
      </c>
      <c r="Q7466">
        <v>0.18358269999999999</v>
      </c>
      <c r="R7466">
        <v>1.6602430000000001E-2</v>
      </c>
      <c r="S7466">
        <v>3.073029</v>
      </c>
      <c r="T7466">
        <v>-0.1154699</v>
      </c>
      <c r="U7466">
        <v>5.5145260000000001E-2</v>
      </c>
      <c r="V7466">
        <v>2.996238E-2</v>
      </c>
      <c r="W7466">
        <v>0.18909989999999999</v>
      </c>
      <c r="X7466">
        <v>0.98150059999999995</v>
      </c>
      <c r="Y7466">
        <v>2.9285160000000001E-2</v>
      </c>
      <c r="Z7466">
        <v>-2.3246429999999999E-3</v>
      </c>
      <c r="AA7466">
        <v>0.99956840000000002</v>
      </c>
      <c r="AB7466">
        <v>24</v>
      </c>
      <c r="AC7466">
        <v>29.401700000000002</v>
      </c>
      <c r="AD7466">
        <v>-1.109278060711</v>
      </c>
      <c r="AE7466">
        <v>0.52430000000000299</v>
      </c>
      <c r="AF7466">
        <v>0.86483608549264901</v>
      </c>
      <c r="AG7466">
        <v>-1.109278060711</v>
      </c>
      <c r="AH7466">
        <v>29.351851036262101</v>
      </c>
      <c r="AI7466">
        <v>92.163379299944907</v>
      </c>
      <c r="AJ7466">
        <v>88.312299771286106</v>
      </c>
      <c r="AK7466">
        <v>29.3855338308779</v>
      </c>
      <c r="AL7466">
        <v>79.099739632342207</v>
      </c>
      <c r="AM7466">
        <v>88.251468268407706</v>
      </c>
      <c r="AN7466">
        <v>0.99999997209781599</v>
      </c>
    </row>
    <row r="7467" spans="1:40" x14ac:dyDescent="0.25">
      <c r="A7467" t="str">
        <f>"20190312172258362"</f>
        <v>20190312172258362</v>
      </c>
      <c r="B7467" t="str">
        <f>"1552382578357950"</f>
        <v>1552382578357950</v>
      </c>
      <c r="C7467" t="s">
        <v>40</v>
      </c>
      <c r="D7467">
        <v>3.275372</v>
      </c>
      <c r="E7467">
        <v>0.50304139999999997</v>
      </c>
      <c r="F7467" t="s">
        <v>76</v>
      </c>
      <c r="G7467">
        <v>-235.12520000000001</v>
      </c>
      <c r="H7467" s="1">
        <v>-2.0701599999999998E-6</v>
      </c>
      <c r="I7467">
        <v>-63.707189999999997</v>
      </c>
      <c r="J7467">
        <v>-264.38389999999998</v>
      </c>
      <c r="K7467">
        <v>1.10927</v>
      </c>
      <c r="L7467">
        <v>-64.227719999999906</v>
      </c>
      <c r="M7467">
        <v>0.99887329999999996</v>
      </c>
      <c r="N7467">
        <v>0</v>
      </c>
      <c r="O7467">
        <v>4.7127170000000003E-2</v>
      </c>
      <c r="P7467">
        <v>0.98284879999999997</v>
      </c>
      <c r="Q7467">
        <v>0.18366260000000001</v>
      </c>
      <c r="R7467">
        <v>1.662814E-2</v>
      </c>
      <c r="S7467">
        <v>3.0730590000000002</v>
      </c>
      <c r="T7467">
        <v>-0.1160327</v>
      </c>
      <c r="U7467">
        <v>5.502319E-2</v>
      </c>
      <c r="V7467">
        <v>2.979791E-2</v>
      </c>
      <c r="W7467">
        <v>0.189165</v>
      </c>
      <c r="X7467">
        <v>0.98149310000000001</v>
      </c>
      <c r="Y7467">
        <v>2.918376E-2</v>
      </c>
      <c r="Z7467">
        <v>-2.3287199999999998E-3</v>
      </c>
      <c r="AA7467">
        <v>0.99957130000000005</v>
      </c>
      <c r="AB7467">
        <v>24</v>
      </c>
      <c r="AC7467">
        <v>29.258699999999902</v>
      </c>
      <c r="AD7467">
        <v>-1.1092720701600001</v>
      </c>
      <c r="AE7467">
        <v>0.52052999999998595</v>
      </c>
      <c r="AF7467">
        <v>0.85771713296031504</v>
      </c>
      <c r="AG7467">
        <v>-1.1092720701600001</v>
      </c>
      <c r="AH7467">
        <v>29.2087508046978</v>
      </c>
      <c r="AI7467">
        <v>92.173962650217007</v>
      </c>
      <c r="AJ7467">
        <v>88.317988545888994</v>
      </c>
      <c r="AK7467">
        <v>29.2423885272175</v>
      </c>
      <c r="AL7467">
        <v>79.095941527244094</v>
      </c>
      <c r="AM7467">
        <v>88.261047149130505</v>
      </c>
      <c r="AN7467">
        <v>1.00000000900648</v>
      </c>
    </row>
    <row r="7468" spans="1:40" x14ac:dyDescent="0.25">
      <c r="A7468" t="str">
        <f>"20190312172258373"</f>
        <v>20190312172258373</v>
      </c>
      <c r="B7468" t="str">
        <f>"1552382578367710"</f>
        <v>1552382578367710</v>
      </c>
      <c r="C7468" t="s">
        <v>40</v>
      </c>
      <c r="D7468">
        <v>3.263401</v>
      </c>
      <c r="E7468">
        <v>0.50302100000000005</v>
      </c>
      <c r="F7468" t="s">
        <v>76</v>
      </c>
      <c r="G7468">
        <v>-234.96719999999999</v>
      </c>
      <c r="H7468" s="1">
        <v>-2.0003999999999999E-6</v>
      </c>
      <c r="I7468">
        <v>-63.69979</v>
      </c>
      <c r="J7468">
        <v>-264.26389999999998</v>
      </c>
      <c r="K7468">
        <v>1.109267</v>
      </c>
      <c r="L7468">
        <v>-64.222229999999996</v>
      </c>
      <c r="M7468">
        <v>0.99887979999999998</v>
      </c>
      <c r="N7468">
        <v>0</v>
      </c>
      <c r="O7468">
        <v>4.6986300000000002E-2</v>
      </c>
      <c r="P7468">
        <v>0.98283940000000003</v>
      </c>
      <c r="Q7468">
        <v>0.18371580000000001</v>
      </c>
      <c r="R7468">
        <v>1.6596059999999999E-2</v>
      </c>
      <c r="S7468">
        <v>3.0730590000000002</v>
      </c>
      <c r="T7468">
        <v>-0.1158815</v>
      </c>
      <c r="U7468">
        <v>5.5145260000000001E-2</v>
      </c>
      <c r="V7468">
        <v>2.9691189999999999E-2</v>
      </c>
      <c r="W7468">
        <v>0.18920290000000001</v>
      </c>
      <c r="X7468">
        <v>0.98148899999999994</v>
      </c>
      <c r="Y7468">
        <v>2.9003480000000002E-2</v>
      </c>
      <c r="Z7468">
        <v>-2.3169850000000001E-3</v>
      </c>
      <c r="AA7468">
        <v>0.99957660000000004</v>
      </c>
      <c r="AB7468">
        <v>24</v>
      </c>
      <c r="AC7468">
        <v>29.296699999999898</v>
      </c>
      <c r="AD7468">
        <v>-1.1092690004000001</v>
      </c>
      <c r="AE7468">
        <v>0.52244000000001001</v>
      </c>
      <c r="AF7468">
        <v>0.85347902334912296</v>
      </c>
      <c r="AG7468">
        <v>-1.1092690004000001</v>
      </c>
      <c r="AH7468">
        <v>29.246973739795902</v>
      </c>
      <c r="AI7468">
        <v>92.171129839575897</v>
      </c>
      <c r="AJ7468">
        <v>88.328481006277002</v>
      </c>
      <c r="AK7468">
        <v>29.280443594571</v>
      </c>
      <c r="AL7468">
        <v>79.093729768891905</v>
      </c>
      <c r="AM7468">
        <v>88.267264100719203</v>
      </c>
      <c r="AN7468">
        <v>0.99999998062651196</v>
      </c>
    </row>
    <row r="7469" spans="1:40" x14ac:dyDescent="0.25">
      <c r="A7469" t="str">
        <f>"20190312172258385"</f>
        <v>20190312172258385</v>
      </c>
      <c r="B7469" t="str">
        <f>"1552382578378460"</f>
        <v>1552382578378460</v>
      </c>
      <c r="C7469" t="s">
        <v>40</v>
      </c>
      <c r="D7469">
        <v>3.290089</v>
      </c>
      <c r="E7469">
        <v>0.50299490000000002</v>
      </c>
      <c r="F7469" t="s">
        <v>76</v>
      </c>
      <c r="G7469">
        <v>-234.8372</v>
      </c>
      <c r="H7469" s="1">
        <v>-1.9434969999999998E-6</v>
      </c>
      <c r="I7469">
        <v>-63.695569999999996</v>
      </c>
      <c r="J7469">
        <v>-264.14089999999999</v>
      </c>
      <c r="K7469">
        <v>1.1092649999999999</v>
      </c>
      <c r="L7469">
        <v>-64.216579999999993</v>
      </c>
      <c r="M7469">
        <v>0.99888679999999996</v>
      </c>
      <c r="N7469">
        <v>0</v>
      </c>
      <c r="O7469">
        <v>4.6841689999999998E-2</v>
      </c>
      <c r="P7469">
        <v>0.98281980000000002</v>
      </c>
      <c r="Q7469">
        <v>0.1838043</v>
      </c>
      <c r="R7469">
        <v>1.6774319999999999E-2</v>
      </c>
      <c r="S7469">
        <v>3.0730590000000002</v>
      </c>
      <c r="T7469">
        <v>-0.11584179999999999</v>
      </c>
      <c r="U7469">
        <v>5.4992680000000002E-2</v>
      </c>
      <c r="V7469">
        <v>2.9370549999999999E-2</v>
      </c>
      <c r="W7469">
        <v>0.1892769</v>
      </c>
      <c r="X7469">
        <v>0.98148440000000003</v>
      </c>
      <c r="Y7469">
        <v>2.890858E-2</v>
      </c>
      <c r="Z7469">
        <v>-2.3089619999999999E-3</v>
      </c>
      <c r="AA7469">
        <v>0.99957940000000001</v>
      </c>
      <c r="AB7469">
        <v>24</v>
      </c>
      <c r="AC7469">
        <v>29.3036999999999</v>
      </c>
      <c r="AD7469">
        <v>-1.1092669434969999</v>
      </c>
      <c r="AE7469">
        <v>0.52101000000001096</v>
      </c>
      <c r="AF7469">
        <v>0.85099899331337203</v>
      </c>
      <c r="AG7469">
        <v>-1.1092669434969999</v>
      </c>
      <c r="AH7469">
        <v>29.254032497065101</v>
      </c>
      <c r="AI7469">
        <v>92.170608240164697</v>
      </c>
      <c r="AJ7469">
        <v>88.333737270234806</v>
      </c>
      <c r="AK7469">
        <v>29.287422040492</v>
      </c>
      <c r="AL7469">
        <v>79.089412082715498</v>
      </c>
      <c r="AM7469">
        <v>88.285956946579901</v>
      </c>
      <c r="AN7469">
        <v>1.0000000007621299</v>
      </c>
    </row>
    <row r="7470" spans="1:40" x14ac:dyDescent="0.25">
      <c r="A7470" t="str">
        <f>"20190312172258396"</f>
        <v>20190312172258396</v>
      </c>
      <c r="B7470" t="str">
        <f>"1552382578388206"</f>
        <v>1552382578388206</v>
      </c>
      <c r="C7470" t="s">
        <v>40</v>
      </c>
      <c r="D7470">
        <v>3.3187090000000001</v>
      </c>
      <c r="E7470">
        <v>0.50290009999999996</v>
      </c>
      <c r="F7470" t="s">
        <v>76</v>
      </c>
      <c r="G7470">
        <v>-234.6686</v>
      </c>
      <c r="H7470" s="1">
        <v>-1.8677539999999999E-6</v>
      </c>
      <c r="I7470">
        <v>-63.682690000000001</v>
      </c>
      <c r="J7470">
        <v>-264.01979999999998</v>
      </c>
      <c r="K7470">
        <v>1.109262</v>
      </c>
      <c r="L7470">
        <v>-64.211029999999994</v>
      </c>
      <c r="M7470">
        <v>0.99889360000000005</v>
      </c>
      <c r="N7470">
        <v>0</v>
      </c>
      <c r="O7470">
        <v>4.669951E-2</v>
      </c>
      <c r="P7470">
        <v>0.98277380000000003</v>
      </c>
      <c r="Q7470">
        <v>0.18404809999999999</v>
      </c>
      <c r="R7470">
        <v>1.6801320000000002E-2</v>
      </c>
      <c r="S7470">
        <v>3.0731199999999999</v>
      </c>
      <c r="T7470">
        <v>-0.1156647</v>
      </c>
      <c r="U7470">
        <v>5.5664060000000001E-2</v>
      </c>
      <c r="V7470">
        <v>2.920201E-2</v>
      </c>
      <c r="W7470">
        <v>0.18950639999999999</v>
      </c>
      <c r="X7470">
        <v>0.98144509999999996</v>
      </c>
      <c r="Y7470">
        <v>2.854887E-2</v>
      </c>
      <c r="Z7470">
        <v>-2.2932719999999998E-3</v>
      </c>
      <c r="AA7470">
        <v>0.99958970000000003</v>
      </c>
      <c r="AB7470">
        <v>24</v>
      </c>
      <c r="AC7470">
        <v>29.351199999999899</v>
      </c>
      <c r="AD7470">
        <v>-1.1092638677540001</v>
      </c>
      <c r="AE7470">
        <v>0.52834000000000703</v>
      </c>
      <c r="AF7470">
        <v>0.84174229877192996</v>
      </c>
      <c r="AG7470">
        <v>-1.1092638677540001</v>
      </c>
      <c r="AH7470">
        <v>29.302011578134302</v>
      </c>
      <c r="AI7470">
        <v>92.167074210441797</v>
      </c>
      <c r="AJ7470">
        <v>88.354549090529105</v>
      </c>
      <c r="AK7470">
        <v>29.3350793240953</v>
      </c>
      <c r="AL7470">
        <v>79.076019866935994</v>
      </c>
      <c r="AM7470">
        <v>88.295718794809503</v>
      </c>
      <c r="AN7470">
        <v>0.99999995867150404</v>
      </c>
    </row>
    <row r="7471" spans="1:40" x14ac:dyDescent="0.25">
      <c r="A7471" t="str">
        <f>"20190312172258407"</f>
        <v>20190312172258407</v>
      </c>
      <c r="B7471" t="str">
        <f>"1552382578397966"</f>
        <v>1552382578397966</v>
      </c>
      <c r="C7471" t="s">
        <v>40</v>
      </c>
      <c r="D7471">
        <v>3.2519650000000002</v>
      </c>
      <c r="E7471">
        <v>0.50266499999999903</v>
      </c>
      <c r="F7471" t="s">
        <v>76</v>
      </c>
      <c r="G7471">
        <v>-234.3861</v>
      </c>
      <c r="H7471" s="1">
        <v>-1.7423410000000001E-6</v>
      </c>
      <c r="I7471">
        <v>-63.666849999999997</v>
      </c>
      <c r="J7471">
        <v>-263.9042</v>
      </c>
      <c r="K7471">
        <v>1.1092610000000001</v>
      </c>
      <c r="L7471">
        <v>-64.205780000000004</v>
      </c>
      <c r="M7471">
        <v>0.9988998</v>
      </c>
      <c r="N7471">
        <v>0</v>
      </c>
      <c r="O7471">
        <v>4.6564059999999997E-2</v>
      </c>
      <c r="P7471">
        <v>0.98276529999999995</v>
      </c>
      <c r="Q7471">
        <v>0.18405730000000001</v>
      </c>
      <c r="R7471">
        <v>1.7186989999999999E-2</v>
      </c>
      <c r="S7471">
        <v>3.0731510000000002</v>
      </c>
      <c r="T7471">
        <v>-0.1150357</v>
      </c>
      <c r="U7471">
        <v>5.6426999999999998E-2</v>
      </c>
      <c r="V7471">
        <v>2.8683529999999999E-2</v>
      </c>
      <c r="W7471">
        <v>0.18950400000000001</v>
      </c>
      <c r="X7471">
        <v>0.98146089999999997</v>
      </c>
      <c r="Y7471">
        <v>2.8166360000000001E-2</v>
      </c>
      <c r="Z7471">
        <v>-2.2685600000000002E-3</v>
      </c>
      <c r="AA7471">
        <v>0.99960059999999995</v>
      </c>
      <c r="AB7471">
        <v>24</v>
      </c>
      <c r="AC7471">
        <v>29.5181</v>
      </c>
      <c r="AD7471">
        <v>-1.109262742341</v>
      </c>
      <c r="AE7471">
        <v>0.53893000000000701</v>
      </c>
      <c r="AF7471">
        <v>0.83497970744111305</v>
      </c>
      <c r="AG7471">
        <v>-1.109262742341</v>
      </c>
      <c r="AH7471">
        <v>29.469573389928499</v>
      </c>
      <c r="AI7471">
        <v>92.154785957066593</v>
      </c>
      <c r="AJ7471">
        <v>88.3770373381779</v>
      </c>
      <c r="AK7471">
        <v>29.502261112121001</v>
      </c>
      <c r="AL7471">
        <v>79.076160422056404</v>
      </c>
      <c r="AM7471">
        <v>88.325987769816393</v>
      </c>
      <c r="AN7471">
        <v>1.00000000456903</v>
      </c>
    </row>
    <row r="7472" spans="1:40" x14ac:dyDescent="0.25">
      <c r="A7472" t="str">
        <f>"20190312172258418"</f>
        <v>20190312172258418</v>
      </c>
      <c r="B7472" t="str">
        <f>"1552382578407728"</f>
        <v>1552382578407728</v>
      </c>
      <c r="C7472" t="s">
        <v>40</v>
      </c>
      <c r="D7472">
        <v>3.1350769999999999</v>
      </c>
      <c r="E7472">
        <v>0.50266499999999903</v>
      </c>
      <c r="F7472" t="s">
        <v>76</v>
      </c>
      <c r="G7472">
        <v>-234.25020000000001</v>
      </c>
      <c r="H7472" s="1">
        <v>-1.6751090000000001E-6</v>
      </c>
      <c r="I7472">
        <v>-63.63326</v>
      </c>
      <c r="J7472">
        <v>-263.78190000000001</v>
      </c>
      <c r="K7472">
        <v>1.1092580000000001</v>
      </c>
      <c r="L7472">
        <v>-64.200230000000005</v>
      </c>
      <c r="M7472">
        <v>0.99890670000000004</v>
      </c>
      <c r="N7472">
        <v>0</v>
      </c>
      <c r="O7472">
        <v>4.6420570000000001E-2</v>
      </c>
      <c r="P7472">
        <v>0.98264280000000004</v>
      </c>
      <c r="Q7472">
        <v>0.18468860000000001</v>
      </c>
      <c r="R7472">
        <v>1.7421039999999999E-2</v>
      </c>
      <c r="S7472">
        <v>3.0731510000000002</v>
      </c>
      <c r="T7472">
        <v>-0.11495669999999999</v>
      </c>
      <c r="U7472">
        <v>5.9326169999999998E-2</v>
      </c>
      <c r="V7472">
        <v>2.830353E-2</v>
      </c>
      <c r="W7472">
        <v>0.1901224</v>
      </c>
      <c r="X7472">
        <v>0.98135229999999996</v>
      </c>
      <c r="Y7472">
        <v>2.7081009999999999E-2</v>
      </c>
      <c r="Z7472">
        <v>-2.2413229999999999E-3</v>
      </c>
      <c r="AA7472">
        <v>0.99963069999999998</v>
      </c>
      <c r="AB7472">
        <v>24</v>
      </c>
      <c r="AC7472">
        <v>29.531700000000001</v>
      </c>
      <c r="AD7472">
        <v>-1.109259675109</v>
      </c>
      <c r="AE7472">
        <v>0.56697000000000397</v>
      </c>
      <c r="AF7472">
        <v>0.80340740650488396</v>
      </c>
      <c r="AG7472">
        <v>-1.109259675109</v>
      </c>
      <c r="AH7472">
        <v>29.484599009313701</v>
      </c>
      <c r="AI7472">
        <v>92.153747788237894</v>
      </c>
      <c r="AJ7472">
        <v>88.439169337306197</v>
      </c>
      <c r="AK7472">
        <v>29.516393736831599</v>
      </c>
      <c r="AL7472">
        <v>79.040072335111105</v>
      </c>
      <c r="AM7472">
        <v>88.347970051173803</v>
      </c>
      <c r="AN7472">
        <v>0.99999997675375496</v>
      </c>
    </row>
    <row r="7473" spans="1:40" x14ac:dyDescent="0.25">
      <c r="A7473" t="str">
        <f>"20190312172258430"</f>
        <v>20190312172258430</v>
      </c>
      <c r="B7473" t="str">
        <f>"1552382578418462"</f>
        <v>1552382578418462</v>
      </c>
      <c r="C7473" t="s">
        <v>40</v>
      </c>
      <c r="D7473">
        <v>3.141502</v>
      </c>
      <c r="E7473">
        <v>0.45140619999999998</v>
      </c>
      <c r="F7473" t="s">
        <v>76</v>
      </c>
      <c r="G7473">
        <v>-233.60919999999999</v>
      </c>
      <c r="H7473" s="1">
        <v>-1.394787E-6</v>
      </c>
      <c r="I7473">
        <v>-63.613210000000002</v>
      </c>
      <c r="J7473">
        <v>-263.66309999999999</v>
      </c>
      <c r="K7473">
        <v>1.1092500000000001</v>
      </c>
      <c r="L7473">
        <v>-64.194850000000002</v>
      </c>
      <c r="M7473">
        <v>0.9989131</v>
      </c>
      <c r="N7473">
        <v>0</v>
      </c>
      <c r="O7473">
        <v>4.628148E-2</v>
      </c>
      <c r="P7473">
        <v>0.98255590000000004</v>
      </c>
      <c r="Q7473">
        <v>0.18507299999999999</v>
      </c>
      <c r="R7473">
        <v>1.8218100000000001E-2</v>
      </c>
      <c r="S7473">
        <v>3.0732119999999998</v>
      </c>
      <c r="T7473">
        <v>-0.1129825</v>
      </c>
      <c r="U7473">
        <v>5.9783940000000001E-2</v>
      </c>
      <c r="V7473">
        <v>2.736707E-2</v>
      </c>
      <c r="W7473">
        <v>0.19049550000000001</v>
      </c>
      <c r="X7473">
        <v>0.98130660000000003</v>
      </c>
      <c r="Y7473">
        <v>2.67954E-2</v>
      </c>
      <c r="Z7473">
        <v>-2.1924549999999998E-3</v>
      </c>
      <c r="AA7473">
        <v>0.99963860000000004</v>
      </c>
      <c r="AB7473">
        <v>24</v>
      </c>
      <c r="AC7473">
        <v>30.053899999999999</v>
      </c>
      <c r="AD7473">
        <v>-1.109251394787</v>
      </c>
      <c r="AE7473">
        <v>0.58164000000000704</v>
      </c>
      <c r="AF7473">
        <v>0.80884212964115998</v>
      </c>
      <c r="AG7473">
        <v>-1.109251394787</v>
      </c>
      <c r="AH7473">
        <v>30.007751080573598</v>
      </c>
      <c r="AI7473">
        <v>92.116235058804605</v>
      </c>
      <c r="AJ7473">
        <v>88.4559981968643</v>
      </c>
      <c r="AK7473">
        <v>30.039137623460299</v>
      </c>
      <c r="AL7473">
        <v>79.018298334761795</v>
      </c>
      <c r="AM7473">
        <v>88.402526506004605</v>
      </c>
      <c r="AN7473">
        <v>1.0000000676220899</v>
      </c>
    </row>
    <row r="7474" spans="1:40" x14ac:dyDescent="0.25">
      <c r="A7474" t="str">
        <f>"20190312172258440"</f>
        <v>20190312172258440</v>
      </c>
      <c r="B7474" t="str">
        <f>"1552382578437982"</f>
        <v>1552382578437982</v>
      </c>
      <c r="C7474" t="s">
        <v>40</v>
      </c>
      <c r="D7474">
        <v>3.0592320000000002</v>
      </c>
      <c r="E7474">
        <v>0.44225429999999999</v>
      </c>
      <c r="F7474" t="s">
        <v>76</v>
      </c>
      <c r="G7474">
        <v>-232.51730000000001</v>
      </c>
      <c r="H7474" s="1">
        <v>-2.4040639999999998E-7</v>
      </c>
      <c r="I7474">
        <v>-59.406559999999999</v>
      </c>
      <c r="J7474">
        <v>-263.54809999999998</v>
      </c>
      <c r="K7474">
        <v>1.1092500000000001</v>
      </c>
      <c r="L7474">
        <v>-64.189639999999997</v>
      </c>
      <c r="M7474">
        <v>0.99891949999999996</v>
      </c>
      <c r="N7474">
        <v>0</v>
      </c>
      <c r="O7474">
        <v>4.6146510000000002E-2</v>
      </c>
      <c r="P7474">
        <v>0.98244200000000004</v>
      </c>
      <c r="Q7474">
        <v>0.18559239999999999</v>
      </c>
      <c r="R7474">
        <v>1.905925E-2</v>
      </c>
      <c r="S7474">
        <v>3.0651250000000001</v>
      </c>
      <c r="T7474">
        <v>-0.10916389999999999</v>
      </c>
      <c r="U7474">
        <v>0.47122190000000003</v>
      </c>
      <c r="V7474">
        <v>2.6389619999999999E-2</v>
      </c>
      <c r="W7474">
        <v>0.19100339999999999</v>
      </c>
      <c r="X7474">
        <v>0.98123459999999996</v>
      </c>
      <c r="Y7474">
        <v>-0.1061411</v>
      </c>
      <c r="Z7474">
        <v>2.4693019999999998E-4</v>
      </c>
      <c r="AA7474">
        <v>0.99435099999999998</v>
      </c>
      <c r="AB7474">
        <v>24</v>
      </c>
      <c r="AC7474">
        <v>31.0307999999999</v>
      </c>
      <c r="AD7474">
        <v>-1.1092502404064</v>
      </c>
      <c r="AE7474">
        <v>4.7830799999999902</v>
      </c>
      <c r="AF7474">
        <v>-3.3418283201929802</v>
      </c>
      <c r="AG7474">
        <v>-1.1092502404064</v>
      </c>
      <c r="AH7474">
        <v>31.179549611157999</v>
      </c>
      <c r="AI7474">
        <v>92.0259139920596</v>
      </c>
      <c r="AJ7474">
        <v>96.117615151515906</v>
      </c>
      <c r="AK7474">
        <v>31.377739985093701</v>
      </c>
      <c r="AL7474">
        <v>78.988653024770102</v>
      </c>
      <c r="AM7474">
        <v>88.459441341777406</v>
      </c>
      <c r="AN7474">
        <v>1.00000002554623</v>
      </c>
    </row>
    <row r="7475" spans="1:40" x14ac:dyDescent="0.25">
      <c r="A7475" t="str">
        <f>"20190312172258452"</f>
        <v>20190312172258452</v>
      </c>
      <c r="B7475" t="str">
        <f>"1552382578448389"</f>
        <v>1552382578448389</v>
      </c>
      <c r="C7475" t="s">
        <v>40</v>
      </c>
      <c r="D7475">
        <v>2.5338310000000002</v>
      </c>
      <c r="E7475">
        <v>0.43909670000000001</v>
      </c>
      <c r="F7475" t="s">
        <v>76</v>
      </c>
      <c r="G7475">
        <v>-236.43870000000001</v>
      </c>
      <c r="H7475" s="1">
        <v>-1.9329440000000001E-6</v>
      </c>
      <c r="I7475">
        <v>-59.348570000000002</v>
      </c>
      <c r="J7475">
        <v>-263.42309999999998</v>
      </c>
      <c r="K7475">
        <v>1.109248</v>
      </c>
      <c r="L7475">
        <v>-64.184019999999904</v>
      </c>
      <c r="M7475">
        <v>0.99892639999999999</v>
      </c>
      <c r="N7475">
        <v>0</v>
      </c>
      <c r="O7475">
        <v>4.5999970000000001E-2</v>
      </c>
      <c r="P7475">
        <v>0.98231999999999997</v>
      </c>
      <c r="Q7475">
        <v>0.1861131</v>
      </c>
      <c r="R7475">
        <v>2.0243980000000002E-2</v>
      </c>
      <c r="S7475">
        <v>3.0667420000000001</v>
      </c>
      <c r="T7475">
        <v>-0.12548389999999901</v>
      </c>
      <c r="U7475">
        <v>0.54763790000000001</v>
      </c>
      <c r="V7475">
        <v>2.505692E-2</v>
      </c>
      <c r="W7475">
        <v>0.19151260000000001</v>
      </c>
      <c r="X7475">
        <v>0.98117019999999999</v>
      </c>
      <c r="Y7475">
        <v>-0.1302537</v>
      </c>
      <c r="Z7475">
        <v>7.7853280000000002E-4</v>
      </c>
      <c r="AA7475">
        <v>0.99148040000000004</v>
      </c>
      <c r="AB7475">
        <v>24</v>
      </c>
      <c r="AC7475">
        <v>26.984399999999901</v>
      </c>
      <c r="AD7475">
        <v>-1.109249932944</v>
      </c>
      <c r="AE7475">
        <v>4.83544999999999</v>
      </c>
      <c r="AF7475">
        <v>-3.5831645673597499</v>
      </c>
      <c r="AG7475">
        <v>-1.109249932944</v>
      </c>
      <c r="AH7475">
        <v>27.133844387280099</v>
      </c>
      <c r="AI7475">
        <v>92.320860278172503</v>
      </c>
      <c r="AJ7475">
        <v>97.522677455127507</v>
      </c>
      <c r="AK7475">
        <v>27.391878631515102</v>
      </c>
      <c r="AL7475">
        <v>78.958928388797602</v>
      </c>
      <c r="AM7475">
        <v>88.537110295183894</v>
      </c>
      <c r="AN7475">
        <v>0.99999994328334096</v>
      </c>
    </row>
    <row r="7476" spans="1:40" x14ac:dyDescent="0.25">
      <c r="A7476" t="str">
        <f>"20190312172258463"</f>
        <v>20190312172258463</v>
      </c>
      <c r="B7476" t="str">
        <f>"1552382578458137"</f>
        <v>1552382578458137</v>
      </c>
      <c r="C7476" t="s">
        <v>40</v>
      </c>
      <c r="D7476">
        <v>3.0283679999999999</v>
      </c>
      <c r="E7476">
        <v>0.43741059999999998</v>
      </c>
      <c r="F7476" t="s">
        <v>76</v>
      </c>
      <c r="G7476">
        <v>-234.26519999999999</v>
      </c>
      <c r="H7476" s="1">
        <v>-1.115442E-6</v>
      </c>
      <c r="I7476">
        <v>-58.700749999999999</v>
      </c>
      <c r="J7476">
        <v>-263.29809999999998</v>
      </c>
      <c r="K7476">
        <v>1.109245</v>
      </c>
      <c r="L7476">
        <v>-64.178380000000004</v>
      </c>
      <c r="M7476">
        <v>0.99893310000000002</v>
      </c>
      <c r="N7476">
        <v>0</v>
      </c>
      <c r="O7476">
        <v>4.5853440000000002E-2</v>
      </c>
      <c r="P7476">
        <v>0.98218260000000002</v>
      </c>
      <c r="Q7476">
        <v>0.1866382</v>
      </c>
      <c r="R7476">
        <v>2.19951E-2</v>
      </c>
      <c r="S7476">
        <v>3.064209</v>
      </c>
      <c r="T7476">
        <v>-0.1165713</v>
      </c>
      <c r="U7476">
        <v>0.57623290000000005</v>
      </c>
      <c r="V7476">
        <v>2.3157939999999998E-2</v>
      </c>
      <c r="W7476">
        <v>0.192027</v>
      </c>
      <c r="X7476">
        <v>0.9811164</v>
      </c>
      <c r="Y7476">
        <v>-0.13948940000000001</v>
      </c>
      <c r="Z7476">
        <v>9.0294959999999999E-4</v>
      </c>
      <c r="AA7476">
        <v>0.99022319999999997</v>
      </c>
      <c r="AB7476">
        <v>24</v>
      </c>
      <c r="AC7476">
        <v>29.032899999999898</v>
      </c>
      <c r="AD7476">
        <v>-1.1092461154419999</v>
      </c>
      <c r="AE7476">
        <v>5.4776300000000004</v>
      </c>
      <c r="AF7476">
        <v>-4.1347617364225204</v>
      </c>
      <c r="AG7476">
        <v>-1.1092461154419999</v>
      </c>
      <c r="AH7476">
        <v>29.2123569342201</v>
      </c>
      <c r="AI7476">
        <v>92.153139259407197</v>
      </c>
      <c r="AJ7476">
        <v>98.056217382548496</v>
      </c>
      <c r="AK7476">
        <v>29.5243709368021</v>
      </c>
      <c r="AL7476">
        <v>78.928898985051205</v>
      </c>
      <c r="AM7476">
        <v>88.647860849578194</v>
      </c>
      <c r="AN7476">
        <v>1.0000000246315</v>
      </c>
    </row>
    <row r="7477" spans="1:40" x14ac:dyDescent="0.25">
      <c r="A7477" t="str">
        <f>"20190312172258474"</f>
        <v>20190312172258474</v>
      </c>
      <c r="B7477" t="str">
        <f>"1552382578467897"</f>
        <v>1552382578467897</v>
      </c>
      <c r="C7477" t="s">
        <v>40</v>
      </c>
      <c r="D7477">
        <v>3.0990289999999998</v>
      </c>
      <c r="E7477">
        <v>0.4359055</v>
      </c>
      <c r="F7477" t="s">
        <v>76</v>
      </c>
      <c r="G7477">
        <v>-233.2406</v>
      </c>
      <c r="H7477" s="1">
        <v>-7.4032989999999997E-7</v>
      </c>
      <c r="I7477">
        <v>-58.337479999999999</v>
      </c>
      <c r="J7477">
        <v>-263.178</v>
      </c>
      <c r="K7477">
        <v>1.109243</v>
      </c>
      <c r="L7477">
        <v>-64.173029999999997</v>
      </c>
      <c r="M7477">
        <v>0.99893949999999998</v>
      </c>
      <c r="N7477">
        <v>0</v>
      </c>
      <c r="O7477">
        <v>4.5712860000000001E-2</v>
      </c>
      <c r="P7477">
        <v>0.98210419999999998</v>
      </c>
      <c r="Q7477">
        <v>0.18685550000000001</v>
      </c>
      <c r="R7477">
        <v>2.3589479999999999E-2</v>
      </c>
      <c r="S7477">
        <v>3.0625610000000001</v>
      </c>
      <c r="T7477">
        <v>-0.1130211</v>
      </c>
      <c r="U7477">
        <v>0.59512330000000002</v>
      </c>
      <c r="V7477">
        <v>2.1423850000000001E-2</v>
      </c>
      <c r="W7477">
        <v>0.19223470000000001</v>
      </c>
      <c r="X7477">
        <v>0.98111510000000002</v>
      </c>
      <c r="Y7477">
        <v>-0.14561499999999999</v>
      </c>
      <c r="Z7477">
        <v>9.9255559999999999E-4</v>
      </c>
      <c r="AA7477">
        <v>0.98934080000000002</v>
      </c>
      <c r="AB7477">
        <v>24</v>
      </c>
      <c r="AC7477">
        <v>29.9374</v>
      </c>
      <c r="AD7477">
        <v>-1.1092437403299</v>
      </c>
      <c r="AE7477">
        <v>5.8355499999999996</v>
      </c>
      <c r="AF7477">
        <v>-4.4550123837189401</v>
      </c>
      <c r="AG7477">
        <v>-1.1092437403299</v>
      </c>
      <c r="AH7477">
        <v>30.133012749533499</v>
      </c>
      <c r="AI7477">
        <v>92.085546613650493</v>
      </c>
      <c r="AJ7477">
        <v>98.409966822848105</v>
      </c>
      <c r="AK7477">
        <v>30.480748258172699</v>
      </c>
      <c r="AL7477">
        <v>78.916772458909506</v>
      </c>
      <c r="AM7477">
        <v>88.749075268354702</v>
      </c>
      <c r="AN7477">
        <v>1.0000000003404601</v>
      </c>
    </row>
    <row r="7478" spans="1:40" x14ac:dyDescent="0.25">
      <c r="A7478" t="str">
        <f>"20190312172258486"</f>
        <v>20190312172258486</v>
      </c>
      <c r="B7478" t="str">
        <f>"1552382578477657"</f>
        <v>1552382578477657</v>
      </c>
      <c r="C7478" t="s">
        <v>40</v>
      </c>
      <c r="D7478">
        <v>3.1410800000000001</v>
      </c>
      <c r="E7478">
        <v>0.43501519999999999</v>
      </c>
      <c r="F7478" t="s">
        <v>76</v>
      </c>
      <c r="G7478">
        <v>-232.93600000000001</v>
      </c>
      <c r="H7478" s="1">
        <v>-6.4734580000000005E-7</v>
      </c>
      <c r="I7478">
        <v>-58.125</v>
      </c>
      <c r="J7478">
        <v>-263.05360000000002</v>
      </c>
      <c r="K7478">
        <v>1.10924</v>
      </c>
      <c r="L7478">
        <v>-64.167479999999998</v>
      </c>
      <c r="M7478">
        <v>0.99894620000000001</v>
      </c>
      <c r="N7478">
        <v>0</v>
      </c>
      <c r="O7478">
        <v>4.5567089999999998E-2</v>
      </c>
      <c r="P7478">
        <v>0.98202199999999995</v>
      </c>
      <c r="Q7478">
        <v>0.18704979999999999</v>
      </c>
      <c r="R7478">
        <v>2.5402640000000001E-2</v>
      </c>
      <c r="S7478">
        <v>3.0612789999999999</v>
      </c>
      <c r="T7478">
        <v>-0.11228440000000001</v>
      </c>
      <c r="U7478">
        <v>0.61221309999999995</v>
      </c>
      <c r="V7478">
        <v>1.946604E-2</v>
      </c>
      <c r="W7478">
        <v>0.19242000000000001</v>
      </c>
      <c r="X7478">
        <v>0.98111959999999998</v>
      </c>
      <c r="Y7478">
        <v>-0.15114810000000001</v>
      </c>
      <c r="Z7478">
        <v>1.091744E-3</v>
      </c>
      <c r="AA7478">
        <v>0.98851049999999996</v>
      </c>
      <c r="AB7478">
        <v>24</v>
      </c>
      <c r="AC7478">
        <v>30.117599999999999</v>
      </c>
      <c r="AD7478">
        <v>-1.1092406473458001</v>
      </c>
      <c r="AE7478">
        <v>6.0424799999999896</v>
      </c>
      <c r="AF7478">
        <v>-4.6577376909021098</v>
      </c>
      <c r="AG7478">
        <v>-1.1092406473458001</v>
      </c>
      <c r="AH7478">
        <v>30.3221181524884</v>
      </c>
      <c r="AI7478">
        <v>92.070787387568004</v>
      </c>
      <c r="AJ7478">
        <v>98.732864867389196</v>
      </c>
      <c r="AK7478">
        <v>30.6978140013982</v>
      </c>
      <c r="AL7478">
        <v>78.905953863006204</v>
      </c>
      <c r="AM7478">
        <v>88.863364241011595</v>
      </c>
      <c r="AN7478">
        <v>1.0000000263087201</v>
      </c>
    </row>
    <row r="7479" spans="1:40" x14ac:dyDescent="0.25">
      <c r="A7479" t="str">
        <f>"20190312172258496"</f>
        <v>20190312172258496</v>
      </c>
      <c r="B7479" t="str">
        <f>"1552382578488393"</f>
        <v>1552382578488393</v>
      </c>
      <c r="C7479" t="s">
        <v>40</v>
      </c>
      <c r="D7479">
        <v>3.0614050000000002</v>
      </c>
      <c r="E7479">
        <v>0.43412840000000003</v>
      </c>
      <c r="F7479" t="s">
        <v>76</v>
      </c>
      <c r="G7479">
        <v>-232.55760000000001</v>
      </c>
      <c r="H7479" s="1">
        <v>-5.1856219999999999E-7</v>
      </c>
      <c r="I7479">
        <v>-57.9358</v>
      </c>
      <c r="J7479">
        <v>-262.93709999999999</v>
      </c>
      <c r="K7479">
        <v>1.1092420000000001</v>
      </c>
      <c r="L7479">
        <v>-64.162289999999999</v>
      </c>
      <c r="M7479">
        <v>0.99895259999999997</v>
      </c>
      <c r="N7479">
        <v>0</v>
      </c>
      <c r="O7479">
        <v>4.5430739999999997E-2</v>
      </c>
      <c r="P7479">
        <v>0.98194459999999995</v>
      </c>
      <c r="Q7479">
        <v>0.18716060000000001</v>
      </c>
      <c r="R7479">
        <v>2.7492030000000001E-2</v>
      </c>
      <c r="S7479">
        <v>3.0599370000000001</v>
      </c>
      <c r="T7479">
        <v>-0.1113002</v>
      </c>
      <c r="U7479">
        <v>0.62527469999999996</v>
      </c>
      <c r="V7479">
        <v>1.724175E-2</v>
      </c>
      <c r="W7479">
        <v>0.1925239</v>
      </c>
      <c r="X7479">
        <v>0.98114080000000004</v>
      </c>
      <c r="Y7479">
        <v>-0.15541720000000001</v>
      </c>
      <c r="Z7479">
        <v>1.1639479999999999E-3</v>
      </c>
      <c r="AA7479">
        <v>0.98784819999999995</v>
      </c>
      <c r="AB7479">
        <v>24</v>
      </c>
      <c r="AC7479">
        <v>30.379499999999901</v>
      </c>
      <c r="AD7479">
        <v>-1.1092425185621999</v>
      </c>
      <c r="AE7479">
        <v>6.2264899999999903</v>
      </c>
      <c r="AF7479">
        <v>-4.8336927692015399</v>
      </c>
      <c r="AG7479">
        <v>-1.1092425185621999</v>
      </c>
      <c r="AH7479">
        <v>30.5918696545763</v>
      </c>
      <c r="AI7479">
        <v>92.051175577588396</v>
      </c>
      <c r="AJ7479">
        <v>98.978835046022795</v>
      </c>
      <c r="AK7479">
        <v>30.991248663366399</v>
      </c>
      <c r="AL7479">
        <v>78.899887105014201</v>
      </c>
      <c r="AM7479">
        <v>88.993235390673107</v>
      </c>
      <c r="AN7479">
        <v>0.99999999971945597</v>
      </c>
    </row>
    <row r="7480" spans="1:40" x14ac:dyDescent="0.25">
      <c r="A7480" t="str">
        <f>"20190312172258507"</f>
        <v>20190312172258507</v>
      </c>
      <c r="B7480" t="str">
        <f>"1552382578498153"</f>
        <v>1552382578498153</v>
      </c>
      <c r="C7480" t="s">
        <v>40</v>
      </c>
      <c r="D7480">
        <v>3.1170849999999999</v>
      </c>
      <c r="E7480">
        <v>0.43381520000000001</v>
      </c>
      <c r="F7480" t="s">
        <v>76</v>
      </c>
      <c r="G7480">
        <v>-232.3175</v>
      </c>
      <c r="H7480" s="1">
        <v>-4.7205969999999998E-7</v>
      </c>
      <c r="I7480">
        <v>-57.766869999999997</v>
      </c>
      <c r="J7480">
        <v>-262.81599999999997</v>
      </c>
      <c r="K7480">
        <v>1.1092360000000001</v>
      </c>
      <c r="L7480">
        <v>-64.15692</v>
      </c>
      <c r="M7480">
        <v>0.99895900000000004</v>
      </c>
      <c r="N7480">
        <v>0</v>
      </c>
      <c r="O7480">
        <v>4.5289139999999999E-2</v>
      </c>
      <c r="P7480">
        <v>0.98184850000000001</v>
      </c>
      <c r="Q7480">
        <v>0.1873619</v>
      </c>
      <c r="R7480">
        <v>2.9486399999999999E-2</v>
      </c>
      <c r="S7480">
        <v>3.058411</v>
      </c>
      <c r="T7480">
        <v>-0.11079559999999999</v>
      </c>
      <c r="U7480">
        <v>0.63879390000000003</v>
      </c>
      <c r="V7480">
        <v>1.510618E-2</v>
      </c>
      <c r="W7480">
        <v>0.1927181</v>
      </c>
      <c r="X7480">
        <v>0.98113790000000001</v>
      </c>
      <c r="Y7480">
        <v>-0.15983800000000001</v>
      </c>
      <c r="Z7480">
        <v>1.2430189999999999E-3</v>
      </c>
      <c r="AA7480">
        <v>0.98714250000000003</v>
      </c>
      <c r="AB7480">
        <v>24</v>
      </c>
      <c r="AC7480">
        <v>30.4984999999999</v>
      </c>
      <c r="AD7480">
        <v>-1.1092364720596899</v>
      </c>
      <c r="AE7480">
        <v>6.3900499999999996</v>
      </c>
      <c r="AF7480">
        <v>-4.9958910652293298</v>
      </c>
      <c r="AG7480">
        <v>-1.1092364720596899</v>
      </c>
      <c r="AH7480">
        <v>30.7176850055987</v>
      </c>
      <c r="AI7480">
        <v>92.041292718291203</v>
      </c>
      <c r="AJ7480">
        <v>99.237640739793406</v>
      </c>
      <c r="AK7480">
        <v>31.141058189948701</v>
      </c>
      <c r="AL7480">
        <v>78.888548155239604</v>
      </c>
      <c r="AM7480">
        <v>89.117909953023798</v>
      </c>
      <c r="AN7480">
        <v>1.0000000207791</v>
      </c>
    </row>
    <row r="7481" spans="1:40" x14ac:dyDescent="0.25">
      <c r="A7481" t="str">
        <f>"20190312172258518"</f>
        <v>20190312172258518</v>
      </c>
      <c r="B7481" t="str">
        <f>"1552382578507913"</f>
        <v>1552382578507913</v>
      </c>
      <c r="C7481" t="s">
        <v>40</v>
      </c>
      <c r="D7481">
        <v>3.124428</v>
      </c>
      <c r="E7481">
        <v>0.43351509999999999</v>
      </c>
      <c r="F7481" t="s">
        <v>76</v>
      </c>
      <c r="G7481">
        <v>-231.87629999999999</v>
      </c>
      <c r="H7481" s="1">
        <v>-3.653868E-7</v>
      </c>
      <c r="I7481">
        <v>-57.603589999999997</v>
      </c>
      <c r="J7481">
        <v>-262.68959999999998</v>
      </c>
      <c r="K7481">
        <v>1.1092340000000001</v>
      </c>
      <c r="L7481">
        <v>-64.151309999999995</v>
      </c>
      <c r="M7481">
        <v>0.99896580000000001</v>
      </c>
      <c r="N7481">
        <v>0</v>
      </c>
      <c r="O7481">
        <v>4.514104E-2</v>
      </c>
      <c r="P7481">
        <v>0.98174799999999995</v>
      </c>
      <c r="Q7481">
        <v>0.18757799999999999</v>
      </c>
      <c r="R7481">
        <v>3.1393570000000003E-2</v>
      </c>
      <c r="S7481">
        <v>3.0569760000000001</v>
      </c>
      <c r="T7481">
        <v>-0.1095974</v>
      </c>
      <c r="U7481">
        <v>0.6474915</v>
      </c>
      <c r="V7481">
        <v>1.305155E-2</v>
      </c>
      <c r="W7481">
        <v>0.19292819999999999</v>
      </c>
      <c r="X7481">
        <v>0.9811261</v>
      </c>
      <c r="Y7481">
        <v>-0.1627654</v>
      </c>
      <c r="Z7481">
        <v>1.286939E-3</v>
      </c>
      <c r="AA7481">
        <v>0.98666390000000004</v>
      </c>
      <c r="AB7481">
        <v>25</v>
      </c>
      <c r="AC7481">
        <v>30.813300000000002</v>
      </c>
      <c r="AD7481">
        <v>-1.1092343653868</v>
      </c>
      <c r="AE7481">
        <v>6.5477199999999902</v>
      </c>
      <c r="AF7481">
        <v>-5.1437024857052798</v>
      </c>
      <c r="AG7481">
        <v>-1.1092343653868</v>
      </c>
      <c r="AH7481">
        <v>31.0389784991497</v>
      </c>
      <c r="AI7481">
        <v>92.0191832635483</v>
      </c>
      <c r="AJ7481">
        <v>99.409401668156804</v>
      </c>
      <c r="AK7481">
        <v>31.481840200494599</v>
      </c>
      <c r="AL7481">
        <v>78.876280173067002</v>
      </c>
      <c r="AM7481">
        <v>89.237860835939699</v>
      </c>
      <c r="AN7481">
        <v>1.00000002870692</v>
      </c>
    </row>
    <row r="7482" spans="1:40" x14ac:dyDescent="0.25">
      <c r="A7482" t="str">
        <f>"20190312172258530"</f>
        <v>20190312172258530</v>
      </c>
      <c r="B7482" t="str">
        <f>"1552382578517674"</f>
        <v>1552382578517674</v>
      </c>
      <c r="C7482" t="s">
        <v>40</v>
      </c>
      <c r="D7482">
        <v>3.2022590000000002</v>
      </c>
      <c r="E7482">
        <v>0.43369999999999997</v>
      </c>
      <c r="F7482" t="s">
        <v>76</v>
      </c>
      <c r="G7482">
        <v>-231.87899999999999</v>
      </c>
      <c r="H7482" s="1">
        <v>-3.8352889999999997E-7</v>
      </c>
      <c r="I7482">
        <v>-57.538829999999997</v>
      </c>
      <c r="J7482">
        <v>-262.57049999999998</v>
      </c>
      <c r="K7482">
        <v>1.109232</v>
      </c>
      <c r="L7482">
        <v>-64.146059999999906</v>
      </c>
      <c r="M7482">
        <v>0.99897219999999998</v>
      </c>
      <c r="N7482">
        <v>0</v>
      </c>
      <c r="O7482">
        <v>4.5001510000000002E-2</v>
      </c>
      <c r="P7482">
        <v>0.98162640000000001</v>
      </c>
      <c r="Q7482">
        <v>0.18784870000000001</v>
      </c>
      <c r="R7482">
        <v>3.3508299999999998E-2</v>
      </c>
      <c r="S7482">
        <v>3.0558169999999998</v>
      </c>
      <c r="T7482">
        <v>-0.1100146</v>
      </c>
      <c r="U7482">
        <v>0.65582280000000004</v>
      </c>
      <c r="V7482">
        <v>1.0796790000000001E-2</v>
      </c>
      <c r="W7482">
        <v>0.1931949</v>
      </c>
      <c r="X7482">
        <v>0.981101</v>
      </c>
      <c r="Y7482">
        <v>-0.1655491</v>
      </c>
      <c r="Z7482">
        <v>1.3464529999999901E-3</v>
      </c>
      <c r="AA7482">
        <v>0.98620059999999998</v>
      </c>
      <c r="AB7482">
        <v>25</v>
      </c>
      <c r="AC7482">
        <v>30.691499999999898</v>
      </c>
      <c r="AD7482">
        <v>-1.10923238352889</v>
      </c>
      <c r="AE7482">
        <v>6.60722999999998</v>
      </c>
      <c r="AF7482">
        <v>-5.2128445715666896</v>
      </c>
      <c r="AG7482">
        <v>-1.10923238352889</v>
      </c>
      <c r="AH7482">
        <v>30.9191481002857</v>
      </c>
      <c r="AI7482">
        <v>92.026050906467603</v>
      </c>
      <c r="AJ7482">
        <v>99.569843241020195</v>
      </c>
      <c r="AK7482">
        <v>31.375115366407599</v>
      </c>
      <c r="AL7482">
        <v>78.860706139384803</v>
      </c>
      <c r="AM7482">
        <v>89.369498625686603</v>
      </c>
      <c r="AN7482">
        <v>1.00000000613065</v>
      </c>
    </row>
    <row r="7483" spans="1:40" x14ac:dyDescent="0.25">
      <c r="A7483" t="str">
        <f>"20190312172258542"</f>
        <v>20190312172258542</v>
      </c>
      <c r="B7483" t="str">
        <f>"1552382578538169"</f>
        <v>1552382578538169</v>
      </c>
      <c r="C7483" t="s">
        <v>40</v>
      </c>
      <c r="D7483">
        <v>3.196815</v>
      </c>
      <c r="E7483">
        <v>0.43410840000000001</v>
      </c>
      <c r="F7483" t="s">
        <v>76</v>
      </c>
      <c r="G7483">
        <v>-231.55439999999999</v>
      </c>
      <c r="H7483" s="1">
        <v>-3.0065409999999998E-7</v>
      </c>
      <c r="I7483">
        <v>-57.435130000000001</v>
      </c>
      <c r="J7483">
        <v>-262.44220000000001</v>
      </c>
      <c r="K7483">
        <v>1.1092310000000001</v>
      </c>
      <c r="L7483">
        <v>-64.140469999999993</v>
      </c>
      <c r="M7483">
        <v>0.99897879999999994</v>
      </c>
      <c r="N7483">
        <v>0</v>
      </c>
      <c r="O7483">
        <v>4.4851790000000002E-2</v>
      </c>
      <c r="P7483">
        <v>0.98146319999999998</v>
      </c>
      <c r="Q7483">
        <v>0.18827859999999999</v>
      </c>
      <c r="R7483">
        <v>3.5791749999999997E-2</v>
      </c>
      <c r="S7483">
        <v>3.0544739999999999</v>
      </c>
      <c r="T7483">
        <v>-0.1092376</v>
      </c>
      <c r="U7483">
        <v>0.6608887</v>
      </c>
      <c r="V7483">
        <v>8.3618649999999996E-3</v>
      </c>
      <c r="W7483">
        <v>0.19362009999999999</v>
      </c>
      <c r="X7483">
        <v>0.98104100000000005</v>
      </c>
      <c r="Y7483">
        <v>-0.16734849999999901</v>
      </c>
      <c r="Z7483">
        <v>1.3743799999999999E-3</v>
      </c>
      <c r="AA7483">
        <v>0.98589680000000002</v>
      </c>
      <c r="AB7483">
        <v>25</v>
      </c>
      <c r="AC7483">
        <v>30.887799999999999</v>
      </c>
      <c r="AD7483">
        <v>-1.1092313006540999</v>
      </c>
      <c r="AE7483">
        <v>6.7053399999999801</v>
      </c>
      <c r="AF7483">
        <v>-5.3066625146827704</v>
      </c>
      <c r="AG7483">
        <v>-1.1092313006540999</v>
      </c>
      <c r="AH7483">
        <v>31.1191397177748</v>
      </c>
      <c r="AI7483">
        <v>92.012398819984895</v>
      </c>
      <c r="AJ7483">
        <v>99.677405572463996</v>
      </c>
      <c r="AK7483">
        <v>31.587844464247301</v>
      </c>
      <c r="AL7483">
        <v>78.835875666456104</v>
      </c>
      <c r="AM7483">
        <v>89.511653466301397</v>
      </c>
      <c r="AN7483">
        <v>1.0000000537956399</v>
      </c>
    </row>
    <row r="7484" spans="1:40" x14ac:dyDescent="0.25">
      <c r="A7484" t="str">
        <f>"20190312172258552"</f>
        <v>20190312172258552</v>
      </c>
      <c r="B7484" t="str">
        <f>"1552382578547935"</f>
        <v>1552382578547935</v>
      </c>
      <c r="C7484" t="s">
        <v>40</v>
      </c>
      <c r="D7484">
        <v>3.2036639999999998</v>
      </c>
      <c r="E7484">
        <v>0.43431399999999998</v>
      </c>
      <c r="F7484" t="s">
        <v>76</v>
      </c>
      <c r="G7484">
        <v>-231.14959999999999</v>
      </c>
      <c r="H7484" s="1">
        <v>-1.910322E-7</v>
      </c>
      <c r="I7484">
        <v>-57.329410000000003</v>
      </c>
      <c r="J7484">
        <v>-262.31709999999998</v>
      </c>
      <c r="K7484">
        <v>1.1092299999999999</v>
      </c>
      <c r="L7484">
        <v>-64.134979999999999</v>
      </c>
      <c r="M7484">
        <v>0.99898540000000002</v>
      </c>
      <c r="N7484">
        <v>0</v>
      </c>
      <c r="O7484">
        <v>4.4705660000000001E-2</v>
      </c>
      <c r="P7484">
        <v>0.98129860000000002</v>
      </c>
      <c r="Q7484">
        <v>0.188691</v>
      </c>
      <c r="R7484">
        <v>3.8063729999999997E-2</v>
      </c>
      <c r="S7484">
        <v>3.053223</v>
      </c>
      <c r="T7484">
        <v>-0.108228</v>
      </c>
      <c r="U7484">
        <v>0.6645508</v>
      </c>
      <c r="V7484">
        <v>5.9415329999999997E-3</v>
      </c>
      <c r="W7484">
        <v>0.19402900000000001</v>
      </c>
      <c r="X7484">
        <v>0.98097780000000001</v>
      </c>
      <c r="Y7484">
        <v>-0.16870579999999999</v>
      </c>
      <c r="Z7484">
        <v>1.3909440000000001E-3</v>
      </c>
      <c r="AA7484">
        <v>0.98566549999999997</v>
      </c>
      <c r="AB7484">
        <v>25</v>
      </c>
      <c r="AC7484">
        <v>31.167499999999901</v>
      </c>
      <c r="AD7484">
        <v>-1.1092301910322</v>
      </c>
      <c r="AE7484">
        <v>6.8055700000000003</v>
      </c>
      <c r="AF7484">
        <v>-5.3988543528883399</v>
      </c>
      <c r="AG7484">
        <v>-1.1092301910322</v>
      </c>
      <c r="AH7484">
        <v>31.402625415902101</v>
      </c>
      <c r="AI7484">
        <v>91.993781923801507</v>
      </c>
      <c r="AJ7484">
        <v>99.755133037159297</v>
      </c>
      <c r="AK7484">
        <v>31.8826426594763</v>
      </c>
      <c r="AL7484">
        <v>78.811993930049496</v>
      </c>
      <c r="AM7484">
        <v>89.652978281367496</v>
      </c>
      <c r="AN7484">
        <v>0.99999999937411499</v>
      </c>
    </row>
    <row r="7485" spans="1:40" x14ac:dyDescent="0.25">
      <c r="A7485" t="str">
        <f>"20190312172258564"</f>
        <v>20190312172258564</v>
      </c>
      <c r="B7485" t="str">
        <f>"1552382578558231"</f>
        <v>1552382578558231</v>
      </c>
      <c r="C7485" t="s">
        <v>40</v>
      </c>
      <c r="D7485">
        <v>3.1570290000000001</v>
      </c>
      <c r="E7485">
        <v>0.43448049999999999</v>
      </c>
      <c r="F7485" t="s">
        <v>76</v>
      </c>
      <c r="G7485">
        <v>-230.76990000000001</v>
      </c>
      <c r="H7485" s="1">
        <v>-9.3674879999999998E-8</v>
      </c>
      <c r="I7485">
        <v>-57.209629999999997</v>
      </c>
      <c r="J7485">
        <v>-262.1934</v>
      </c>
      <c r="K7485">
        <v>1.109229</v>
      </c>
      <c r="L7485">
        <v>-64.129580000000004</v>
      </c>
      <c r="M7485">
        <v>0.99899190000000004</v>
      </c>
      <c r="N7485">
        <v>0</v>
      </c>
      <c r="O7485">
        <v>4.456094E-2</v>
      </c>
      <c r="P7485">
        <v>0.98111340000000002</v>
      </c>
      <c r="Q7485">
        <v>0.18920619999999999</v>
      </c>
      <c r="R7485">
        <v>4.0217839999999998E-2</v>
      </c>
      <c r="S7485">
        <v>3.0518800000000001</v>
      </c>
      <c r="T7485">
        <v>-0.10730679999999999</v>
      </c>
      <c r="U7485">
        <v>0.6699524</v>
      </c>
      <c r="V7485">
        <v>3.6398910000000001E-3</v>
      </c>
      <c r="W7485">
        <v>0.1945402</v>
      </c>
      <c r="X7485">
        <v>0.98088779999999998</v>
      </c>
      <c r="Y7485">
        <v>-0.17060330000000001</v>
      </c>
      <c r="Z7485">
        <v>1.4174319999999999E-3</v>
      </c>
      <c r="AA7485">
        <v>0.98533870000000001</v>
      </c>
      <c r="AB7485">
        <v>25</v>
      </c>
      <c r="AC7485">
        <v>31.423499999999901</v>
      </c>
      <c r="AD7485">
        <v>-1.1092290936748701</v>
      </c>
      <c r="AE7485">
        <v>6.91995</v>
      </c>
      <c r="AF7485">
        <v>-5.5062509373625099</v>
      </c>
      <c r="AG7485">
        <v>-1.1092290936748701</v>
      </c>
      <c r="AH7485">
        <v>31.663020421149799</v>
      </c>
      <c r="AI7485">
        <v>91.976740245538394</v>
      </c>
      <c r="AJ7485">
        <v>99.865172328524494</v>
      </c>
      <c r="AK7485">
        <v>32.1573638651804</v>
      </c>
      <c r="AL7485">
        <v>78.782135467573895</v>
      </c>
      <c r="AM7485">
        <v>89.787387064106497</v>
      </c>
      <c r="AN7485">
        <v>1.0000000072056801</v>
      </c>
    </row>
    <row r="7486" spans="1:40" x14ac:dyDescent="0.25">
      <c r="A7486" t="str">
        <f>"20190312172258574"</f>
        <v>20190312172258574</v>
      </c>
      <c r="B7486" t="str">
        <f>"1552382578567992"</f>
        <v>1552382578567992</v>
      </c>
      <c r="C7486" t="s">
        <v>40</v>
      </c>
      <c r="D7486">
        <v>3.1797960000000001</v>
      </c>
      <c r="E7486">
        <v>0.4346931</v>
      </c>
      <c r="F7486" t="s">
        <v>76</v>
      </c>
      <c r="G7486">
        <v>-230.20160000000001</v>
      </c>
      <c r="H7486" s="1">
        <v>5.6186079999999997E-8</v>
      </c>
      <c r="I7486">
        <v>-57.046039999999998</v>
      </c>
      <c r="J7486">
        <v>-262.0677</v>
      </c>
      <c r="K7486">
        <v>1.109229</v>
      </c>
      <c r="L7486">
        <v>-64.124110000000002</v>
      </c>
      <c r="M7486">
        <v>0.99899850000000001</v>
      </c>
      <c r="N7486">
        <v>0</v>
      </c>
      <c r="O7486">
        <v>4.4414149999999999E-2</v>
      </c>
      <c r="P7486">
        <v>0.9809582</v>
      </c>
      <c r="Q7486">
        <v>0.18953349999999999</v>
      </c>
      <c r="R7486">
        <v>4.2402269999999999E-2</v>
      </c>
      <c r="S7486">
        <v>3.050446</v>
      </c>
      <c r="T7486">
        <v>-0.10576579999999999</v>
      </c>
      <c r="U7486">
        <v>0.67541499999999999</v>
      </c>
      <c r="V7486">
        <v>1.3070379999999999E-3</v>
      </c>
      <c r="W7486">
        <v>0.19486390000000001</v>
      </c>
      <c r="X7486">
        <v>0.98082939999999996</v>
      </c>
      <c r="Y7486">
        <v>-0.1725284</v>
      </c>
      <c r="Z7486">
        <v>1.4354560000000001E-3</v>
      </c>
      <c r="AA7486">
        <v>0.98500350000000003</v>
      </c>
      <c r="AB7486">
        <v>25</v>
      </c>
      <c r="AC7486">
        <v>31.8660999999999</v>
      </c>
      <c r="AD7486">
        <v>-1.10922894381391</v>
      </c>
      <c r="AE7486">
        <v>7.0780699999999896</v>
      </c>
      <c r="AF7486">
        <v>-5.6492354731767502</v>
      </c>
      <c r="AG7486">
        <v>-1.10922894381391</v>
      </c>
      <c r="AH7486">
        <v>32.1119451395532</v>
      </c>
      <c r="AI7486">
        <v>91.948458529080696</v>
      </c>
      <c r="AJ7486">
        <v>99.977559958317599</v>
      </c>
      <c r="AK7486">
        <v>32.623937085012699</v>
      </c>
      <c r="AL7486">
        <v>78.763226650010907</v>
      </c>
      <c r="AM7486">
        <v>89.923648580746899</v>
      </c>
      <c r="AN7486">
        <v>0.99999997988795097</v>
      </c>
    </row>
    <row r="7487" spans="1:40" x14ac:dyDescent="0.25">
      <c r="A7487" t="str">
        <f>"20190312172258586"</f>
        <v>20190312172258586</v>
      </c>
      <c r="B7487" t="str">
        <f>"1552382578577752"</f>
        <v>1552382578577752</v>
      </c>
      <c r="C7487" t="s">
        <v>40</v>
      </c>
      <c r="D7487">
        <v>3.1959469999999999</v>
      </c>
      <c r="E7487">
        <v>0.43490659999999998</v>
      </c>
      <c r="F7487" t="s">
        <v>76</v>
      </c>
      <c r="G7487">
        <v>-230.03530000000001</v>
      </c>
      <c r="H7487" s="1">
        <v>9.3273059999999997E-8</v>
      </c>
      <c r="I7487">
        <v>-56.972700000000003</v>
      </c>
      <c r="J7487">
        <v>-261.94049999999999</v>
      </c>
      <c r="K7487">
        <v>1.109229</v>
      </c>
      <c r="L7487">
        <v>-64.118589999999998</v>
      </c>
      <c r="M7487">
        <v>0.99900509999999998</v>
      </c>
      <c r="N7487">
        <v>0</v>
      </c>
      <c r="O7487">
        <v>4.4265680000000002E-2</v>
      </c>
      <c r="P7487">
        <v>0.98080880000000004</v>
      </c>
      <c r="Q7487">
        <v>0.18984100000000001</v>
      </c>
      <c r="R7487">
        <v>4.4436700000000003E-2</v>
      </c>
      <c r="S7487">
        <v>3.049255</v>
      </c>
      <c r="T7487">
        <v>-0.1055903</v>
      </c>
      <c r="U7487">
        <v>0.68075559999999902</v>
      </c>
      <c r="V7487">
        <v>-8.7764069999999997E-4</v>
      </c>
      <c r="W7487">
        <v>0.19516649999999999</v>
      </c>
      <c r="X7487">
        <v>0.98076980000000002</v>
      </c>
      <c r="Y7487">
        <v>-0.17439859999999999</v>
      </c>
      <c r="Z7487">
        <v>1.4704060000000001E-3</v>
      </c>
      <c r="AA7487">
        <v>0.98467400000000005</v>
      </c>
      <c r="AB7487">
        <v>25</v>
      </c>
      <c r="AC7487">
        <v>31.905199999999901</v>
      </c>
      <c r="AD7487">
        <v>-1.1092289067269401</v>
      </c>
      <c r="AE7487">
        <v>7.1458899999999899</v>
      </c>
      <c r="AF7487">
        <v>-5.7199757500299802</v>
      </c>
      <c r="AG7487">
        <v>-1.1092289067269401</v>
      </c>
      <c r="AH7487">
        <v>32.153240469847603</v>
      </c>
      <c r="AI7487">
        <v>91.945299548966204</v>
      </c>
      <c r="AJ7487">
        <v>100.08723803884899</v>
      </c>
      <c r="AK7487">
        <v>32.676893733344599</v>
      </c>
      <c r="AL7487">
        <v>78.745550541005997</v>
      </c>
      <c r="AM7487">
        <v>90.051271047106994</v>
      </c>
      <c r="AN7487">
        <v>1.0000000667837401</v>
      </c>
    </row>
    <row r="7488" spans="1:40" x14ac:dyDescent="0.25">
      <c r="A7488" t="str">
        <f>"20190312172258596"</f>
        <v>20190312172258596</v>
      </c>
      <c r="B7488" t="str">
        <f>"1552382578587512"</f>
        <v>1552382578587512</v>
      </c>
      <c r="C7488" t="s">
        <v>40</v>
      </c>
      <c r="D7488">
        <v>3.1697989999999998</v>
      </c>
      <c r="E7488">
        <v>0.4350754</v>
      </c>
      <c r="F7488" t="s">
        <v>77</v>
      </c>
      <c r="G7488">
        <v>-229.56829999999999</v>
      </c>
      <c r="H7488" s="1">
        <v>-4.0067579999999996E-6</v>
      </c>
      <c r="I7488">
        <v>-56.837820000000001</v>
      </c>
      <c r="J7488">
        <v>-261.82339999999999</v>
      </c>
      <c r="K7488">
        <v>1.1092280000000001</v>
      </c>
      <c r="L7488">
        <v>-64.113559999999893</v>
      </c>
      <c r="M7488">
        <v>0.99901119999999999</v>
      </c>
      <c r="N7488">
        <v>0</v>
      </c>
      <c r="O7488">
        <v>4.4129019999999998E-2</v>
      </c>
      <c r="P7488">
        <v>0.9806416</v>
      </c>
      <c r="Q7488">
        <v>0.19025139999999999</v>
      </c>
      <c r="R7488">
        <v>4.6332529999999997E-2</v>
      </c>
      <c r="S7488">
        <v>3.0478519999999998</v>
      </c>
      <c r="T7488">
        <v>-0.1044345</v>
      </c>
      <c r="U7488">
        <v>0.68548580000000003</v>
      </c>
      <c r="V7488">
        <v>-2.9126859999999998E-3</v>
      </c>
      <c r="W7488">
        <v>0.19557240000000001</v>
      </c>
      <c r="X7488">
        <v>0.98068489999999997</v>
      </c>
      <c r="Y7488">
        <v>-0.1760852</v>
      </c>
      <c r="Z7488">
        <v>1.4878820000000001E-3</v>
      </c>
      <c r="AA7488">
        <v>0.98437379999999997</v>
      </c>
      <c r="AB7488">
        <v>25</v>
      </c>
      <c r="AC7488">
        <v>32.255099999999999</v>
      </c>
      <c r="AD7488">
        <v>-1.1092320067579999</v>
      </c>
      <c r="AE7488">
        <v>7.2757399999999901</v>
      </c>
      <c r="AF7488">
        <v>-5.8386746334369404</v>
      </c>
      <c r="AG7488">
        <v>-1.1092320067579999</v>
      </c>
      <c r="AH7488">
        <v>32.508169796382397</v>
      </c>
      <c r="AI7488">
        <v>91.923512802422195</v>
      </c>
      <c r="AJ7488">
        <v>100.18212712688501</v>
      </c>
      <c r="AK7488">
        <v>33.046960838031403</v>
      </c>
      <c r="AL7488">
        <v>78.721836005746297</v>
      </c>
      <c r="AM7488">
        <v>90.170170993905501</v>
      </c>
      <c r="AN7488">
        <v>0.99999996023475102</v>
      </c>
    </row>
    <row r="7489" spans="1:40" x14ac:dyDescent="0.25">
      <c r="A7489" t="str">
        <f>"20190312172258608"</f>
        <v>20190312172258608</v>
      </c>
      <c r="B7489" t="str">
        <f>"1552382578598247"</f>
        <v>1552382578598247</v>
      </c>
      <c r="C7489" t="s">
        <v>40</v>
      </c>
      <c r="D7489">
        <v>3.1887259999999999</v>
      </c>
      <c r="E7489">
        <v>0.43517020000000001</v>
      </c>
      <c r="F7489" t="s">
        <v>77</v>
      </c>
      <c r="G7489">
        <v>-229.21809999999999</v>
      </c>
      <c r="H7489" s="1">
        <v>-3.8813420000000003E-6</v>
      </c>
      <c r="I7489">
        <v>-56.725729999999999</v>
      </c>
      <c r="J7489">
        <v>-261.69229999999999</v>
      </c>
      <c r="K7489">
        <v>1.109227</v>
      </c>
      <c r="L7489">
        <v>-64.107910000000004</v>
      </c>
      <c r="M7489">
        <v>0.99901799999999996</v>
      </c>
      <c r="N7489">
        <v>0</v>
      </c>
      <c r="O7489">
        <v>4.3976269999999998E-2</v>
      </c>
      <c r="P7489">
        <v>0.98049620000000004</v>
      </c>
      <c r="Q7489">
        <v>0.19051489999999999</v>
      </c>
      <c r="R7489">
        <v>4.8286999999999997E-2</v>
      </c>
      <c r="S7489">
        <v>3.0467219999999999</v>
      </c>
      <c r="T7489">
        <v>-0.1036497</v>
      </c>
      <c r="U7489">
        <v>0.69033809999999995</v>
      </c>
      <c r="V7489">
        <v>-5.0209440000000003E-3</v>
      </c>
      <c r="W7489">
        <v>0.19583</v>
      </c>
      <c r="X7489">
        <v>0.98062499999999997</v>
      </c>
      <c r="Y7489">
        <v>-0.1778053</v>
      </c>
      <c r="Z7489">
        <v>1.5109959999999999E-3</v>
      </c>
      <c r="AA7489">
        <v>0.98406450000000001</v>
      </c>
      <c r="AB7489">
        <v>25</v>
      </c>
      <c r="AC7489">
        <v>32.474200000000003</v>
      </c>
      <c r="AD7489">
        <v>-1.109230881342</v>
      </c>
      <c r="AE7489">
        <v>7.3821799999999902</v>
      </c>
      <c r="AF7489">
        <v>-5.94033295468933</v>
      </c>
      <c r="AG7489">
        <v>-1.109230881342</v>
      </c>
      <c r="AH7489">
        <v>32.7311166048149</v>
      </c>
      <c r="AI7489">
        <v>91.909790429666003</v>
      </c>
      <c r="AJ7489">
        <v>100.28658031729201</v>
      </c>
      <c r="AK7489">
        <v>33.284289731924297</v>
      </c>
      <c r="AL7489">
        <v>78.706785985380805</v>
      </c>
      <c r="AM7489">
        <v>90.293360241162802</v>
      </c>
      <c r="AN7489">
        <v>0.99999999470182499</v>
      </c>
    </row>
    <row r="7490" spans="1:40" x14ac:dyDescent="0.25">
      <c r="A7490" t="str">
        <f>"20190312172258619"</f>
        <v>20190312172258619</v>
      </c>
      <c r="B7490" t="str">
        <f>"1552382578608008"</f>
        <v>1552382578608008</v>
      </c>
      <c r="C7490" t="s">
        <v>40</v>
      </c>
      <c r="D7490">
        <v>3.2634069999999999</v>
      </c>
      <c r="E7490">
        <v>0.43522810000000001</v>
      </c>
      <c r="F7490" t="s">
        <v>77</v>
      </c>
      <c r="G7490">
        <v>-229.0795</v>
      </c>
      <c r="H7490" s="1">
        <v>-3.8367510000000004E-6</v>
      </c>
      <c r="I7490">
        <v>-56.658369999999998</v>
      </c>
      <c r="J7490">
        <v>-261.56709999999998</v>
      </c>
      <c r="K7490">
        <v>1.1092229999999901</v>
      </c>
      <c r="L7490">
        <v>-64.102509999999995</v>
      </c>
      <c r="M7490">
        <v>0.99902449999999998</v>
      </c>
      <c r="N7490">
        <v>0</v>
      </c>
      <c r="O7490">
        <v>4.3830380000000002E-2</v>
      </c>
      <c r="P7490">
        <v>0.98032370000000002</v>
      </c>
      <c r="Q7490">
        <v>0.19098609999999999</v>
      </c>
      <c r="R7490">
        <v>4.9901639999999997E-2</v>
      </c>
      <c r="S7490">
        <v>3.045563</v>
      </c>
      <c r="T7490">
        <v>-0.1035861</v>
      </c>
      <c r="U7490">
        <v>0.69567869999999998</v>
      </c>
      <c r="V7490">
        <v>-6.7850089999999998E-3</v>
      </c>
      <c r="W7490">
        <v>0.19629530000000001</v>
      </c>
      <c r="X7490">
        <v>0.98052139999999999</v>
      </c>
      <c r="Y7490">
        <v>-0.1796691</v>
      </c>
      <c r="Z7490">
        <v>1.54652E-3</v>
      </c>
      <c r="AA7490">
        <v>0.98372590000000004</v>
      </c>
      <c r="AB7490">
        <v>25</v>
      </c>
      <c r="AC7490">
        <v>32.487599999999901</v>
      </c>
      <c r="AD7490">
        <v>-1.1092268367510001</v>
      </c>
      <c r="AE7490">
        <v>7.4441399999999902</v>
      </c>
      <c r="AF7490">
        <v>-6.0063687815652997</v>
      </c>
      <c r="AG7490">
        <v>-1.1092268367510001</v>
      </c>
      <c r="AH7490">
        <v>32.746392504943202</v>
      </c>
      <c r="AI7490">
        <v>91.908242642000303</v>
      </c>
      <c r="AJ7490">
        <v>100.39370501370099</v>
      </c>
      <c r="AK7490">
        <v>33.311155371786903</v>
      </c>
      <c r="AL7490">
        <v>78.679599205763907</v>
      </c>
      <c r="AM7490">
        <v>90.396468832687702</v>
      </c>
      <c r="AN7490">
        <v>1.00000004850358</v>
      </c>
    </row>
    <row r="7491" spans="1:40" x14ac:dyDescent="0.25">
      <c r="A7491" t="str">
        <f>"20190312172258632"</f>
        <v>20190312172258632</v>
      </c>
      <c r="B7491" t="str">
        <f>"1552382578627528"</f>
        <v>1552382578627528</v>
      </c>
      <c r="C7491" t="s">
        <v>40</v>
      </c>
      <c r="D7491">
        <v>3.2207300000000001</v>
      </c>
      <c r="E7491">
        <v>0.43567739999999999</v>
      </c>
      <c r="F7491" t="s">
        <v>77</v>
      </c>
      <c r="G7491">
        <v>-228.80240000000001</v>
      </c>
      <c r="H7491" s="1">
        <v>-3.7381229999999998E-6</v>
      </c>
      <c r="I7491">
        <v>-56.566749999999999</v>
      </c>
      <c r="J7491">
        <v>-261.4316</v>
      </c>
      <c r="K7491">
        <v>1.1092229999999901</v>
      </c>
      <c r="L7491">
        <v>-64.096739999999997</v>
      </c>
      <c r="M7491">
        <v>0.99903140000000001</v>
      </c>
      <c r="N7491">
        <v>0</v>
      </c>
      <c r="O7491">
        <v>4.3672799999999998E-2</v>
      </c>
      <c r="P7491">
        <v>0.98016780000000003</v>
      </c>
      <c r="Q7491">
        <v>0.1913773</v>
      </c>
      <c r="R7491">
        <v>5.144046E-2</v>
      </c>
      <c r="S7491">
        <v>3.0446469999999999</v>
      </c>
      <c r="T7491">
        <v>-0.1030744</v>
      </c>
      <c r="U7491">
        <v>0.70025630000000005</v>
      </c>
      <c r="V7491">
        <v>-8.4829359999999999E-3</v>
      </c>
      <c r="W7491">
        <v>0.19668099999999999</v>
      </c>
      <c r="X7491">
        <v>0.98043080000000005</v>
      </c>
      <c r="Y7491">
        <v>-0.18129310000000001</v>
      </c>
      <c r="Z7491">
        <v>1.5714710000000001E-3</v>
      </c>
      <c r="AA7491">
        <v>0.98342779999999996</v>
      </c>
      <c r="AB7491">
        <v>25</v>
      </c>
      <c r="AC7491">
        <v>32.629199999999997</v>
      </c>
      <c r="AD7491">
        <v>-1.1092267381230001</v>
      </c>
      <c r="AE7491">
        <v>7.52998999999999</v>
      </c>
      <c r="AF7491">
        <v>-6.0910929213244902</v>
      </c>
      <c r="AG7491">
        <v>-1.1092267381230001</v>
      </c>
      <c r="AH7491">
        <v>32.8908392297528</v>
      </c>
      <c r="AI7491">
        <v>91.899269183091803</v>
      </c>
      <c r="AJ7491">
        <v>100.491808415861</v>
      </c>
      <c r="AK7491">
        <v>33.468479233007002</v>
      </c>
      <c r="AL7491">
        <v>78.6570599043539</v>
      </c>
      <c r="AM7491">
        <v>90.495725249301898</v>
      </c>
      <c r="AN7491">
        <v>0.99999996477640896</v>
      </c>
    </row>
    <row r="7492" spans="1:40" x14ac:dyDescent="0.25">
      <c r="A7492" t="str">
        <f>"20190312172258644"</f>
        <v>20190312172258644</v>
      </c>
      <c r="B7492" t="str">
        <f>"1552382578638263"</f>
        <v>1552382578638263</v>
      </c>
      <c r="C7492" t="s">
        <v>40</v>
      </c>
      <c r="D7492">
        <v>3.2899470000000002</v>
      </c>
      <c r="E7492">
        <v>0.43594129999999998</v>
      </c>
      <c r="F7492" t="s">
        <v>77</v>
      </c>
      <c r="G7492">
        <v>-228.61689999999999</v>
      </c>
      <c r="H7492" s="1">
        <v>-3.665396E-6</v>
      </c>
      <c r="I7492">
        <v>-56.535919999999997</v>
      </c>
      <c r="J7492">
        <v>-261.30009999999999</v>
      </c>
      <c r="K7492">
        <v>1.1092219999999999</v>
      </c>
      <c r="L7492">
        <v>-64.091130000000007</v>
      </c>
      <c r="M7492">
        <v>0.99903799999999998</v>
      </c>
      <c r="N7492">
        <v>0</v>
      </c>
      <c r="O7492">
        <v>4.351998E-2</v>
      </c>
      <c r="P7492">
        <v>0.98002109999999998</v>
      </c>
      <c r="Q7492">
        <v>0.19175500000000001</v>
      </c>
      <c r="R7492">
        <v>5.280646E-2</v>
      </c>
      <c r="S7492">
        <v>3.0439449999999999</v>
      </c>
      <c r="T7492">
        <v>-0.10289379999999999</v>
      </c>
      <c r="U7492">
        <v>0.70135499999999995</v>
      </c>
      <c r="V7492">
        <v>-1.0003430000000001E-2</v>
      </c>
      <c r="W7492">
        <v>0.19705310000000001</v>
      </c>
      <c r="X7492">
        <v>0.98034180000000004</v>
      </c>
      <c r="Y7492">
        <v>-0.18182999999999999</v>
      </c>
      <c r="Z7492">
        <v>1.5830460000000001E-3</v>
      </c>
      <c r="AA7492">
        <v>0.98332869999999994</v>
      </c>
      <c r="AB7492">
        <v>25</v>
      </c>
      <c r="AC7492">
        <v>32.683199999999999</v>
      </c>
      <c r="AD7492">
        <v>-1.109225665396</v>
      </c>
      <c r="AE7492">
        <v>7.5552099999999998</v>
      </c>
      <c r="AF7492">
        <v>-6.1189682382054</v>
      </c>
      <c r="AG7492">
        <v>-1.109225665396</v>
      </c>
      <c r="AH7492">
        <v>32.945018667160298</v>
      </c>
      <c r="AI7492">
        <v>91.895962235276897</v>
      </c>
      <c r="AJ7492">
        <v>100.521805825762</v>
      </c>
      <c r="AK7492">
        <v>33.526801351403599</v>
      </c>
      <c r="AL7492">
        <v>78.635315214806099</v>
      </c>
      <c r="AM7492">
        <v>90.584627145577102</v>
      </c>
      <c r="AN7492">
        <v>1.0000000188292999</v>
      </c>
    </row>
    <row r="7493" spans="1:40" x14ac:dyDescent="0.25">
      <c r="A7493" t="str">
        <f>"20190312172258655"</f>
        <v>20190312172258655</v>
      </c>
      <c r="B7493" t="str">
        <f>"1552382578648024"</f>
        <v>1552382578648024</v>
      </c>
      <c r="C7493" t="s">
        <v>40</v>
      </c>
      <c r="D7493">
        <v>3.2126869999999998</v>
      </c>
      <c r="E7493">
        <v>0.43608229999999998</v>
      </c>
      <c r="F7493" t="s">
        <v>77</v>
      </c>
      <c r="G7493">
        <v>-228.27500000000001</v>
      </c>
      <c r="H7493" s="1">
        <v>-3.5359479999999999E-6</v>
      </c>
      <c r="I7493">
        <v>-56.457859999999997</v>
      </c>
      <c r="J7493">
        <v>-261.16759999999999</v>
      </c>
      <c r="K7493">
        <v>1.109218</v>
      </c>
      <c r="L7493">
        <v>-64.085509999999999</v>
      </c>
      <c r="M7493">
        <v>0.99904479999999996</v>
      </c>
      <c r="N7493">
        <v>0</v>
      </c>
      <c r="O7493">
        <v>4.3366160000000001E-2</v>
      </c>
      <c r="P7493">
        <v>0.97987579999999996</v>
      </c>
      <c r="Q7493">
        <v>0.192215</v>
      </c>
      <c r="R7493">
        <v>5.382576E-2</v>
      </c>
      <c r="S7493">
        <v>3.0432429999999999</v>
      </c>
      <c r="T7493">
        <v>-0.10221429999999999</v>
      </c>
      <c r="U7493">
        <v>0.70339969999999996</v>
      </c>
      <c r="V7493">
        <v>-1.117898E-2</v>
      </c>
      <c r="W7493">
        <v>0.1975075</v>
      </c>
      <c r="X7493">
        <v>0.98023760000000004</v>
      </c>
      <c r="Y7493">
        <v>-0.18265870000000001</v>
      </c>
      <c r="Z7493">
        <v>1.5916529999999999E-3</v>
      </c>
      <c r="AA7493">
        <v>0.98317509999999997</v>
      </c>
      <c r="AB7493">
        <v>25</v>
      </c>
      <c r="AC7493">
        <v>32.892599999999902</v>
      </c>
      <c r="AD7493">
        <v>-1.109221535948</v>
      </c>
      <c r="AE7493">
        <v>7.62765</v>
      </c>
      <c r="AF7493">
        <v>-6.1873504698206796</v>
      </c>
      <c r="AG7493">
        <v>-1.109221535948</v>
      </c>
      <c r="AH7493">
        <v>33.156660058781199</v>
      </c>
      <c r="AI7493">
        <v>91.883564918463094</v>
      </c>
      <c r="AJ7493">
        <v>100.570362797138</v>
      </c>
      <c r="AK7493">
        <v>33.747263363208901</v>
      </c>
      <c r="AL7493">
        <v>78.608757494119601</v>
      </c>
      <c r="AM7493">
        <v>90.653393225672502</v>
      </c>
      <c r="AN7493">
        <v>0.99999996730192398</v>
      </c>
    </row>
    <row r="7494" spans="1:40" x14ac:dyDescent="0.25">
      <c r="A7494" t="str">
        <f>"20190312172258666"</f>
        <v>20190312172258666</v>
      </c>
      <c r="B7494" t="str">
        <f>"1552382578658071"</f>
        <v>1552382578658071</v>
      </c>
      <c r="C7494" t="s">
        <v>40</v>
      </c>
      <c r="D7494">
        <v>3.1054729999999999</v>
      </c>
      <c r="E7494">
        <v>0.43622610000000001</v>
      </c>
      <c r="F7494" t="s">
        <v>77</v>
      </c>
      <c r="G7494">
        <v>-227.86150000000001</v>
      </c>
      <c r="H7494" s="1">
        <v>-3.3797040000000001E-6</v>
      </c>
      <c r="I7494">
        <v>-56.362180000000002</v>
      </c>
      <c r="J7494">
        <v>-261.04059999999998</v>
      </c>
      <c r="K7494">
        <v>1.1092169999999999</v>
      </c>
      <c r="L7494">
        <v>-64.080169999999995</v>
      </c>
      <c r="M7494">
        <v>0.99905120000000003</v>
      </c>
      <c r="N7494">
        <v>0</v>
      </c>
      <c r="O7494">
        <v>4.3218769999999997E-2</v>
      </c>
      <c r="P7494">
        <v>0.97972630000000005</v>
      </c>
      <c r="Q7494">
        <v>0.192633</v>
      </c>
      <c r="R7494">
        <v>5.5037700000000002E-2</v>
      </c>
      <c r="S7494">
        <v>3.042694</v>
      </c>
      <c r="T7494">
        <v>-0.1013333</v>
      </c>
      <c r="U7494">
        <v>0.70556640000000004</v>
      </c>
      <c r="V7494">
        <v>-1.254041E-2</v>
      </c>
      <c r="W7494">
        <v>0.19792019999999999</v>
      </c>
      <c r="X7494">
        <v>0.98013790000000001</v>
      </c>
      <c r="Y7494">
        <v>-0.1835078</v>
      </c>
      <c r="Z7494">
        <v>1.5968779999999999E-3</v>
      </c>
      <c r="AA7494">
        <v>0.98301700000000003</v>
      </c>
      <c r="AB7494">
        <v>25</v>
      </c>
      <c r="AC7494">
        <v>33.179099999999899</v>
      </c>
      <c r="AD7494">
        <v>-1.1092203797039999</v>
      </c>
      <c r="AE7494">
        <v>7.7179899999999897</v>
      </c>
      <c r="AF7494">
        <v>-6.2701496716478502</v>
      </c>
      <c r="AG7494">
        <v>-1.1092203797039999</v>
      </c>
      <c r="AH7494">
        <v>33.446202145041703</v>
      </c>
      <c r="AI7494">
        <v>91.866978621452304</v>
      </c>
      <c r="AJ7494">
        <v>100.617978478835</v>
      </c>
      <c r="AK7494">
        <v>34.0469320891414</v>
      </c>
      <c r="AL7494">
        <v>78.584635555866896</v>
      </c>
      <c r="AM7494">
        <v>90.733032936834604</v>
      </c>
      <c r="AN7494">
        <v>0.99999998523370803</v>
      </c>
    </row>
    <row r="7495" spans="1:40" x14ac:dyDescent="0.25">
      <c r="A7495" t="str">
        <f>"20190312172258676"</f>
        <v>20190312172258676</v>
      </c>
      <c r="B7495" t="str">
        <f>"1552382578667831"</f>
        <v>1552382578667831</v>
      </c>
      <c r="C7495" t="s">
        <v>40</v>
      </c>
      <c r="D7495">
        <v>3.197619</v>
      </c>
      <c r="E7495">
        <v>0.4363631</v>
      </c>
      <c r="F7495" t="s">
        <v>77</v>
      </c>
      <c r="G7495">
        <v>-227.55369999999999</v>
      </c>
      <c r="H7495" s="1">
        <v>-3.2645630000000001E-6</v>
      </c>
      <c r="I7495">
        <v>-56.285919999999997</v>
      </c>
      <c r="J7495">
        <v>-260.91489999999999</v>
      </c>
      <c r="K7495">
        <v>1.109213</v>
      </c>
      <c r="L7495">
        <v>-64.074860000000001</v>
      </c>
      <c r="M7495">
        <v>0.99905750000000004</v>
      </c>
      <c r="N7495">
        <v>0</v>
      </c>
      <c r="O7495">
        <v>4.3073170000000001E-2</v>
      </c>
      <c r="P7495">
        <v>0.97958840000000003</v>
      </c>
      <c r="Q7495">
        <v>0.19302</v>
      </c>
      <c r="R7495">
        <v>5.6123810000000003E-2</v>
      </c>
      <c r="S7495">
        <v>3.0421140000000002</v>
      </c>
      <c r="T7495">
        <v>-0.1007671</v>
      </c>
      <c r="U7495">
        <v>0.70806880000000005</v>
      </c>
      <c r="V7495">
        <v>-1.3774099999999999E-2</v>
      </c>
      <c r="W7495">
        <v>0.1983026</v>
      </c>
      <c r="X7495">
        <v>0.98004409999999997</v>
      </c>
      <c r="Y7495">
        <v>-0.1844597</v>
      </c>
      <c r="Z7495">
        <v>1.608412E-3</v>
      </c>
      <c r="AA7495">
        <v>0.98283869999999895</v>
      </c>
      <c r="AB7495">
        <v>25</v>
      </c>
      <c r="AC7495">
        <v>33.361199999999997</v>
      </c>
      <c r="AD7495">
        <v>-1.1092162645629999</v>
      </c>
      <c r="AE7495">
        <v>7.7889400000000002</v>
      </c>
      <c r="AF7495">
        <v>-6.3380732922489198</v>
      </c>
      <c r="AG7495">
        <v>-1.1092162645629999</v>
      </c>
      <c r="AH7495">
        <v>33.630480539803401</v>
      </c>
      <c r="AI7495">
        <v>91.856414508670895</v>
      </c>
      <c r="AJ7495">
        <v>100.672901900285</v>
      </c>
      <c r="AK7495">
        <v>34.240484154252002</v>
      </c>
      <c r="AL7495">
        <v>78.562283266324897</v>
      </c>
      <c r="AM7495">
        <v>90.805214621542603</v>
      </c>
      <c r="AN7495">
        <v>1.0000000424711799</v>
      </c>
    </row>
    <row r="7496" spans="1:40" x14ac:dyDescent="0.25">
      <c r="A7496" t="str">
        <f>"20190312172258693"</f>
        <v>20190312172258693</v>
      </c>
      <c r="B7496" t="str">
        <f>"1552382578688327"</f>
        <v>1552382578688327</v>
      </c>
      <c r="C7496" t="s">
        <v>40</v>
      </c>
      <c r="D7496">
        <v>3.512194</v>
      </c>
      <c r="E7496">
        <v>0.43668630000000003</v>
      </c>
      <c r="F7496" t="s">
        <v>77</v>
      </c>
      <c r="G7496">
        <v>-227.22659999999999</v>
      </c>
      <c r="H7496" s="1">
        <v>-3.1422979999999999E-6</v>
      </c>
      <c r="I7496">
        <v>-56.204169999999998</v>
      </c>
      <c r="J7496">
        <v>-260.74270000000001</v>
      </c>
      <c r="K7496">
        <v>1.1092139999999999</v>
      </c>
      <c r="L7496">
        <v>-64.067629999999994</v>
      </c>
      <c r="M7496">
        <v>0.99906600000000001</v>
      </c>
      <c r="N7496">
        <v>0</v>
      </c>
      <c r="O7496">
        <v>4.2875709999999997E-2</v>
      </c>
      <c r="P7496">
        <v>0.979518</v>
      </c>
      <c r="Q7496">
        <v>0.1931475</v>
      </c>
      <c r="R7496">
        <v>5.6910589999999997E-2</v>
      </c>
      <c r="S7496">
        <v>3.041534</v>
      </c>
      <c r="T7496">
        <v>-0.1001452</v>
      </c>
      <c r="U7496">
        <v>0.71060179999999995</v>
      </c>
      <c r="V7496">
        <v>-1.4756500000000001E-2</v>
      </c>
      <c r="W7496">
        <v>0.19842360000000001</v>
      </c>
      <c r="X7496">
        <v>0.98000529999999997</v>
      </c>
      <c r="Y7496">
        <v>-0.18547179999999999</v>
      </c>
      <c r="Z7496">
        <v>1.621475E-3</v>
      </c>
      <c r="AA7496">
        <v>0.98264830000000003</v>
      </c>
      <c r="AB7496">
        <v>25</v>
      </c>
      <c r="AC7496">
        <v>33.516100000000002</v>
      </c>
      <c r="AD7496">
        <v>-1.1092171422979999</v>
      </c>
      <c r="AE7496">
        <v>7.8634600000000097</v>
      </c>
      <c r="AF7496">
        <v>-6.4125243000101202</v>
      </c>
      <c r="AG7496">
        <v>-1.1092171422979999</v>
      </c>
      <c r="AH7496">
        <v>33.787358519234999</v>
      </c>
      <c r="AI7496">
        <v>91.847354586745794</v>
      </c>
      <c r="AJ7496">
        <v>100.746388988071</v>
      </c>
      <c r="AK7496">
        <v>34.408377268832503</v>
      </c>
      <c r="AL7496">
        <v>78.555209818052106</v>
      </c>
      <c r="AM7496">
        <v>90.862670110043894</v>
      </c>
      <c r="AN7496">
        <v>1.0000000336786401</v>
      </c>
    </row>
    <row r="7497" spans="1:40" x14ac:dyDescent="0.25">
      <c r="A7497" t="str">
        <f>"20190312172258701"</f>
        <v>20190312172258701</v>
      </c>
      <c r="B7497" t="str">
        <f>"1552382578698087"</f>
        <v>1552382578698087</v>
      </c>
      <c r="C7497" t="s">
        <v>40</v>
      </c>
      <c r="D7497">
        <v>3.0847950000000002</v>
      </c>
      <c r="E7497">
        <v>0.436774</v>
      </c>
      <c r="F7497" t="s">
        <v>77</v>
      </c>
      <c r="G7497">
        <v>-227.6652</v>
      </c>
      <c r="H7497" s="1">
        <v>-3.30079E-6</v>
      </c>
      <c r="I7497">
        <v>-56.338410000000003</v>
      </c>
      <c r="J7497">
        <v>-260.6456</v>
      </c>
      <c r="K7497">
        <v>1.1092139999999999</v>
      </c>
      <c r="L7497">
        <v>-64.063540000000003</v>
      </c>
      <c r="M7497">
        <v>0.99907080000000004</v>
      </c>
      <c r="N7497">
        <v>0</v>
      </c>
      <c r="O7497">
        <v>4.27651E-2</v>
      </c>
      <c r="P7497">
        <v>0.97940700000000003</v>
      </c>
      <c r="Q7497">
        <v>0.19346269999999999</v>
      </c>
      <c r="R7497">
        <v>5.7742179999999997E-2</v>
      </c>
      <c r="S7497">
        <v>3.0415649999999999</v>
      </c>
      <c r="T7497">
        <v>-0.10199569999999999</v>
      </c>
      <c r="U7497">
        <v>0.71072389999999996</v>
      </c>
      <c r="V7497">
        <v>-1.5700840000000001E-2</v>
      </c>
      <c r="W7497">
        <v>0.19873489999999999</v>
      </c>
      <c r="X7497">
        <v>0.97992749999999995</v>
      </c>
      <c r="Y7497">
        <v>-0.1856129</v>
      </c>
      <c r="Z7497">
        <v>1.6573779999999999E-3</v>
      </c>
      <c r="AA7497">
        <v>0.98262159999999998</v>
      </c>
      <c r="AB7497">
        <v>26</v>
      </c>
      <c r="AC7497">
        <v>32.980400000000003</v>
      </c>
      <c r="AD7497">
        <v>-1.1092173007899999</v>
      </c>
      <c r="AE7497">
        <v>7.7251300000000001</v>
      </c>
      <c r="AF7497">
        <v>-6.3008756124904499</v>
      </c>
      <c r="AG7497">
        <v>-1.1092173007899999</v>
      </c>
      <c r="AH7497">
        <v>33.244948646801603</v>
      </c>
      <c r="AI7497">
        <v>91.877564008522597</v>
      </c>
      <c r="AJ7497">
        <v>100.731908376623</v>
      </c>
      <c r="AK7497">
        <v>33.8549554280157</v>
      </c>
      <c r="AL7497">
        <v>78.537010718997095</v>
      </c>
      <c r="AM7497">
        <v>90.917940253654706</v>
      </c>
      <c r="AN7497">
        <v>0.99999999105548198</v>
      </c>
    </row>
    <row r="7498" spans="1:40" x14ac:dyDescent="0.25">
      <c r="A7498" t="str">
        <f>"20190312172258710"</f>
        <v>20190312172258710</v>
      </c>
      <c r="B7498" t="str">
        <f>"1552382578707847"</f>
        <v>1552382578707847</v>
      </c>
      <c r="C7498" t="s">
        <v>40</v>
      </c>
      <c r="D7498">
        <v>3.0806629999999999</v>
      </c>
      <c r="E7498">
        <v>0.43693989999999999</v>
      </c>
      <c r="F7498" t="s">
        <v>77</v>
      </c>
      <c r="G7498">
        <v>-227.42609999999999</v>
      </c>
      <c r="H7498" s="1">
        <v>-3.2114840000000001E-6</v>
      </c>
      <c r="I7498">
        <v>-56.278289999999998</v>
      </c>
      <c r="J7498">
        <v>-260.53109999999998</v>
      </c>
      <c r="K7498">
        <v>1.109213</v>
      </c>
      <c r="L7498">
        <v>-64.058779999999999</v>
      </c>
      <c r="M7498">
        <v>0.99907619999999997</v>
      </c>
      <c r="N7498">
        <v>0</v>
      </c>
      <c r="O7498">
        <v>4.2637929999999997E-2</v>
      </c>
      <c r="P7498">
        <v>0.97932209999999997</v>
      </c>
      <c r="Q7498">
        <v>0.19364600000000001</v>
      </c>
      <c r="R7498">
        <v>5.8562080000000002E-2</v>
      </c>
      <c r="S7498">
        <v>3.0411069999999998</v>
      </c>
      <c r="T7498">
        <v>-0.1015443</v>
      </c>
      <c r="U7498">
        <v>0.71270749999999905</v>
      </c>
      <c r="V7498">
        <v>-1.6649230000000001E-2</v>
      </c>
      <c r="W7498">
        <v>0.1989139</v>
      </c>
      <c r="X7498">
        <v>0.97987559999999996</v>
      </c>
      <c r="Y7498">
        <v>-0.1863785</v>
      </c>
      <c r="Z7498">
        <v>1.666956E-3</v>
      </c>
      <c r="AA7498">
        <v>0.98247660000000003</v>
      </c>
      <c r="AB7498">
        <v>26</v>
      </c>
      <c r="AC7498">
        <v>33.104999999999897</v>
      </c>
      <c r="AD7498">
        <v>-1.1092162114839901</v>
      </c>
      <c r="AE7498">
        <v>7.7804899999999897</v>
      </c>
      <c r="AF7498">
        <v>-6.3551040633755802</v>
      </c>
      <c r="AG7498">
        <v>-1.1092162114839901</v>
      </c>
      <c r="AH7498">
        <v>33.371138759505598</v>
      </c>
      <c r="AI7498">
        <v>91.870156090384498</v>
      </c>
      <c r="AJ7498">
        <v>100.782138493064</v>
      </c>
      <c r="AK7498">
        <v>33.988977777602102</v>
      </c>
      <c r="AL7498">
        <v>78.526546692497604</v>
      </c>
      <c r="AM7498">
        <v>90.973428491530399</v>
      </c>
      <c r="AN7498">
        <v>1.00000006397407</v>
      </c>
    </row>
    <row r="7499" spans="1:40" x14ac:dyDescent="0.25">
      <c r="A7499" t="str">
        <f>"20190312172258722"</f>
        <v>20190312172258722</v>
      </c>
      <c r="B7499" t="str">
        <f>"1552382578717607"</f>
        <v>1552382578717607</v>
      </c>
      <c r="C7499" t="s">
        <v>40</v>
      </c>
      <c r="D7499">
        <v>3.1708989999999999</v>
      </c>
      <c r="E7499">
        <v>0.43706800000000001</v>
      </c>
      <c r="F7499" t="s">
        <v>77</v>
      </c>
      <c r="G7499">
        <v>-227.21449999999999</v>
      </c>
      <c r="H7499" s="1">
        <v>-3.1300830000000001E-6</v>
      </c>
      <c r="I7499">
        <v>-56.235869999999998</v>
      </c>
      <c r="J7499">
        <v>-260.39789999999999</v>
      </c>
      <c r="K7499">
        <v>1.109216</v>
      </c>
      <c r="L7499">
        <v>-64.053219999999996</v>
      </c>
      <c r="M7499">
        <v>0.99908240000000004</v>
      </c>
      <c r="N7499">
        <v>0</v>
      </c>
      <c r="O7499">
        <v>4.2491149999999998E-2</v>
      </c>
      <c r="P7499">
        <v>0.97923159999999998</v>
      </c>
      <c r="Q7499">
        <v>0.1940006</v>
      </c>
      <c r="R7499">
        <v>5.8901000000000002E-2</v>
      </c>
      <c r="S7499">
        <v>3.0406490000000002</v>
      </c>
      <c r="T7499">
        <v>-0.1012328</v>
      </c>
      <c r="U7499">
        <v>0.71395869999999995</v>
      </c>
      <c r="V7499">
        <v>-1.7135790000000001E-2</v>
      </c>
      <c r="W7499">
        <v>0.19926340000000001</v>
      </c>
      <c r="X7499">
        <v>0.97979609999999995</v>
      </c>
      <c r="Y7499">
        <v>-0.18693899999999999</v>
      </c>
      <c r="Z7499">
        <v>1.6760220000000001E-3</v>
      </c>
      <c r="AA7499">
        <v>0.98237010000000002</v>
      </c>
      <c r="AB7499">
        <v>26</v>
      </c>
      <c r="AC7499">
        <v>33.183399999999999</v>
      </c>
      <c r="AD7499">
        <v>-1.1092191300830001</v>
      </c>
      <c r="AE7499">
        <v>7.8173499999999896</v>
      </c>
      <c r="AF7499">
        <v>-6.3935001140206298</v>
      </c>
      <c r="AG7499">
        <v>-1.1092191300830001</v>
      </c>
      <c r="AH7499">
        <v>33.450191638343597</v>
      </c>
      <c r="AI7499">
        <v>91.865504903206897</v>
      </c>
      <c r="AJ7499">
        <v>100.820715156796</v>
      </c>
      <c r="AK7499">
        <v>34.073780703474</v>
      </c>
      <c r="AL7499">
        <v>78.506111640471502</v>
      </c>
      <c r="AM7499">
        <v>91.001951693909206</v>
      </c>
      <c r="AN7499">
        <v>0.99999996772684596</v>
      </c>
    </row>
    <row r="7500" spans="1:40" x14ac:dyDescent="0.25">
      <c r="A7500" t="str">
        <f>"20190312172258734"</f>
        <v>20190312172258734</v>
      </c>
      <c r="B7500" t="str">
        <f>"1552382578728342"</f>
        <v>1552382578728342</v>
      </c>
      <c r="C7500" t="s">
        <v>40</v>
      </c>
      <c r="D7500">
        <v>3.161537</v>
      </c>
      <c r="E7500">
        <v>0.43724279999999999</v>
      </c>
      <c r="F7500" t="s">
        <v>77</v>
      </c>
      <c r="G7500">
        <v>-226.8272</v>
      </c>
      <c r="H7500" s="1">
        <v>-2.978626E-6</v>
      </c>
      <c r="I7500">
        <v>-56.16939</v>
      </c>
      <c r="J7500">
        <v>-260.26650000000001</v>
      </c>
      <c r="K7500">
        <v>1.109216</v>
      </c>
      <c r="L7500">
        <v>-64.047790000000006</v>
      </c>
      <c r="M7500">
        <v>0.99908850000000005</v>
      </c>
      <c r="N7500">
        <v>0</v>
      </c>
      <c r="O7500">
        <v>4.2350640000000002E-2</v>
      </c>
      <c r="P7500">
        <v>0.97918590000000005</v>
      </c>
      <c r="Q7500">
        <v>0.19426740000000001</v>
      </c>
      <c r="R7500">
        <v>5.8782210000000001E-2</v>
      </c>
      <c r="S7500">
        <v>3.0405579999999999</v>
      </c>
      <c r="T7500">
        <v>-0.1004636</v>
      </c>
      <c r="U7500">
        <v>0.71405030000000003</v>
      </c>
      <c r="V7500">
        <v>-1.7159150000000001E-2</v>
      </c>
      <c r="W7500">
        <v>0.19952600000000001</v>
      </c>
      <c r="X7500">
        <v>0.97974229999999995</v>
      </c>
      <c r="Y7500">
        <v>-0.1871128</v>
      </c>
      <c r="Z7500">
        <v>1.6707340000000001E-3</v>
      </c>
      <c r="AA7500">
        <v>0.98233700000000002</v>
      </c>
      <c r="AB7500">
        <v>26</v>
      </c>
      <c r="AC7500">
        <v>33.439300000000003</v>
      </c>
      <c r="AD7500">
        <v>-1.1092189786260001</v>
      </c>
      <c r="AE7500">
        <v>7.8784000000000001</v>
      </c>
      <c r="AF7500">
        <v>-6.4484131700403502</v>
      </c>
      <c r="AG7500">
        <v>-1.1092189786260001</v>
      </c>
      <c r="AH7500">
        <v>33.707818790710199</v>
      </c>
      <c r="AI7500">
        <v>91.851199230821194</v>
      </c>
      <c r="AJ7500">
        <v>100.830015395161</v>
      </c>
      <c r="AK7500">
        <v>34.336998220308203</v>
      </c>
      <c r="AL7500">
        <v>78.4907580282608</v>
      </c>
      <c r="AM7500">
        <v>91.003372387450199</v>
      </c>
      <c r="AN7500">
        <v>1.0000000177570001</v>
      </c>
    </row>
    <row r="7501" spans="1:40" x14ac:dyDescent="0.25">
      <c r="A7501" t="str">
        <f>"20190312172258744"</f>
        <v>20190312172258744</v>
      </c>
      <c r="B7501" t="str">
        <f>"1552382578738103"</f>
        <v>1552382578738103</v>
      </c>
      <c r="C7501" t="s">
        <v>40</v>
      </c>
      <c r="D7501">
        <v>3.2101679999999999</v>
      </c>
      <c r="E7501">
        <v>0.43737219999999999</v>
      </c>
      <c r="F7501" t="s">
        <v>77</v>
      </c>
      <c r="G7501">
        <v>-226.374</v>
      </c>
      <c r="H7501" s="1">
        <v>-2.7984140000000001E-6</v>
      </c>
      <c r="I7501">
        <v>-56.105220000000003</v>
      </c>
      <c r="J7501">
        <v>-260.13639999999998</v>
      </c>
      <c r="K7501">
        <v>1.109219</v>
      </c>
      <c r="L7501">
        <v>-64.042419999999893</v>
      </c>
      <c r="M7501">
        <v>0.99909420000000004</v>
      </c>
      <c r="N7501">
        <v>0</v>
      </c>
      <c r="O7501">
        <v>4.2215370000000002E-2</v>
      </c>
      <c r="P7501">
        <v>0.97918740000000004</v>
      </c>
      <c r="Q7501">
        <v>0.19425999999999999</v>
      </c>
      <c r="R7501">
        <v>5.8779940000000003E-2</v>
      </c>
      <c r="S7501">
        <v>3.0407410000000001</v>
      </c>
      <c r="T7501">
        <v>-9.9516149999999998E-2</v>
      </c>
      <c r="U7501">
        <v>0.71258540000000004</v>
      </c>
      <c r="V7501">
        <v>-1.7290920000000001E-2</v>
      </c>
      <c r="W7501">
        <v>0.1995162</v>
      </c>
      <c r="X7501">
        <v>0.979742</v>
      </c>
      <c r="Y7501">
        <v>-0.18678549999999999</v>
      </c>
      <c r="Z7501">
        <v>1.6540459999999999E-3</v>
      </c>
      <c r="AA7501">
        <v>0.98239929999999998</v>
      </c>
      <c r="AB7501">
        <v>26</v>
      </c>
      <c r="AC7501">
        <v>33.7623999999999</v>
      </c>
      <c r="AD7501">
        <v>-1.109221798414</v>
      </c>
      <c r="AE7501">
        <v>7.93719999999999</v>
      </c>
      <c r="AF7501">
        <v>-6.4981648495344597</v>
      </c>
      <c r="AG7501">
        <v>-1.109221798414</v>
      </c>
      <c r="AH7501">
        <v>34.032567864825403</v>
      </c>
      <c r="AI7501">
        <v>91.833674143368</v>
      </c>
      <c r="AJ7501">
        <v>100.809917429694</v>
      </c>
      <c r="AK7501">
        <v>34.665143803015503</v>
      </c>
      <c r="AL7501">
        <v>78.491331287609199</v>
      </c>
      <c r="AM7501">
        <v>91.011076285900103</v>
      </c>
      <c r="AN7501">
        <v>1.0000000382704399</v>
      </c>
    </row>
    <row r="7502" spans="1:40" x14ac:dyDescent="0.25">
      <c r="A7502" t="str">
        <f>"20190312172258755"</f>
        <v>20190312172258755</v>
      </c>
      <c r="B7502" t="str">
        <f>"1552382578747863"</f>
        <v>1552382578747863</v>
      </c>
      <c r="C7502" t="s">
        <v>40</v>
      </c>
      <c r="D7502">
        <v>3.121677</v>
      </c>
      <c r="E7502">
        <v>0.4375462</v>
      </c>
      <c r="F7502" t="s">
        <v>77</v>
      </c>
      <c r="G7502">
        <v>-226.3887</v>
      </c>
      <c r="H7502" s="1">
        <v>-2.796462E-6</v>
      </c>
      <c r="I7502">
        <v>-56.142580000000002</v>
      </c>
      <c r="J7502">
        <v>-260.01209999999998</v>
      </c>
      <c r="K7502">
        <v>1.1092219999999999</v>
      </c>
      <c r="L7502">
        <v>-64.037289999999999</v>
      </c>
      <c r="M7502">
        <v>0.99909939999999997</v>
      </c>
      <c r="N7502">
        <v>0</v>
      </c>
      <c r="O7502">
        <v>4.2090839999999997E-2</v>
      </c>
      <c r="P7502">
        <v>0.97920839999999998</v>
      </c>
      <c r="Q7502">
        <v>0.19418540000000001</v>
      </c>
      <c r="R7502">
        <v>5.8677510000000002E-2</v>
      </c>
      <c r="S7502">
        <v>3.0408629999999999</v>
      </c>
      <c r="T7502">
        <v>-9.9947449999999993E-2</v>
      </c>
      <c r="U7502">
        <v>0.71182250000000002</v>
      </c>
      <c r="V7502">
        <v>-1.7312689999999999E-2</v>
      </c>
      <c r="W7502">
        <v>0.19943959999999999</v>
      </c>
      <c r="X7502">
        <v>0.97975719999999999</v>
      </c>
      <c r="Y7502">
        <v>-0.18666489999999999</v>
      </c>
      <c r="Z7502">
        <v>1.6632610000000001E-3</v>
      </c>
      <c r="AA7502">
        <v>0.98242220000000002</v>
      </c>
      <c r="AB7502">
        <v>26</v>
      </c>
      <c r="AC7502">
        <v>33.623399999999897</v>
      </c>
      <c r="AD7502">
        <v>-1.1092247964619999</v>
      </c>
      <c r="AE7502">
        <v>7.8947099999999901</v>
      </c>
      <c r="AF7502">
        <v>-6.4657867556197397</v>
      </c>
      <c r="AG7502">
        <v>-1.1092247964619999</v>
      </c>
      <c r="AH7502">
        <v>33.890944482080698</v>
      </c>
      <c r="AI7502">
        <v>91.841389762949305</v>
      </c>
      <c r="AJ7502">
        <v>100.801212544096</v>
      </c>
      <c r="AK7502">
        <v>34.520036151570203</v>
      </c>
      <c r="AL7502">
        <v>78.495810028988899</v>
      </c>
      <c r="AM7502">
        <v>91.012333306611097</v>
      </c>
      <c r="AN7502">
        <v>1.00000002711751</v>
      </c>
    </row>
    <row r="7503" spans="1:40" x14ac:dyDescent="0.25">
      <c r="A7503" t="str">
        <f>"20190312172258766"</f>
        <v>20190312172258766</v>
      </c>
      <c r="B7503" t="str">
        <f>"1552382578757623"</f>
        <v>1552382578757623</v>
      </c>
      <c r="C7503" t="s">
        <v>40</v>
      </c>
      <c r="D7503">
        <v>3.183446</v>
      </c>
      <c r="E7503">
        <v>0.4378089</v>
      </c>
      <c r="F7503" t="s">
        <v>77</v>
      </c>
      <c r="G7503">
        <v>-226.39439999999999</v>
      </c>
      <c r="H7503" s="1">
        <v>-2.7894119999999998E-6</v>
      </c>
      <c r="I7503">
        <v>-56.185549999999999</v>
      </c>
      <c r="J7503">
        <v>-259.88569999999999</v>
      </c>
      <c r="K7503">
        <v>1.109226</v>
      </c>
      <c r="L7503">
        <v>-64.032069999999905</v>
      </c>
      <c r="M7503">
        <v>0.99910469999999896</v>
      </c>
      <c r="N7503">
        <v>0</v>
      </c>
      <c r="O7503">
        <v>4.197145E-2</v>
      </c>
      <c r="P7503">
        <v>0.97922960000000003</v>
      </c>
      <c r="Q7503">
        <v>0.19415479999999999</v>
      </c>
      <c r="R7503">
        <v>5.8426159999999998E-2</v>
      </c>
      <c r="S7503">
        <v>3.0410460000000001</v>
      </c>
      <c r="T7503">
        <v>-0.10034</v>
      </c>
      <c r="U7503">
        <v>0.71026610000000001</v>
      </c>
      <c r="V7503">
        <v>-1.7181060000000001E-2</v>
      </c>
      <c r="W7503">
        <v>0.19940730000000001</v>
      </c>
      <c r="X7503">
        <v>0.97976609999999997</v>
      </c>
      <c r="Y7503">
        <v>-0.18629190000000001</v>
      </c>
      <c r="Z7503">
        <v>1.6675889999999999E-3</v>
      </c>
      <c r="AA7503">
        <v>0.98249299999999995</v>
      </c>
      <c r="AB7503">
        <v>26</v>
      </c>
      <c r="AC7503">
        <v>33.491299999999903</v>
      </c>
      <c r="AD7503">
        <v>-1.1092287894120001</v>
      </c>
      <c r="AE7503">
        <v>7.8465199999999902</v>
      </c>
      <c r="AF7503">
        <v>-6.4272239353863698</v>
      </c>
      <c r="AG7503">
        <v>-1.1092287894120001</v>
      </c>
      <c r="AH7503">
        <v>33.756020207050703</v>
      </c>
      <c r="AI7503">
        <v>91.848880491594002</v>
      </c>
      <c r="AJ7503">
        <v>100.78021250285801</v>
      </c>
      <c r="AK7503">
        <v>34.380350438028998</v>
      </c>
      <c r="AL7503">
        <v>78.497698714645594</v>
      </c>
      <c r="AM7503">
        <v>91.004628901356398</v>
      </c>
      <c r="AN7503">
        <v>1.00000003541261</v>
      </c>
    </row>
    <row r="7504" spans="1:40" x14ac:dyDescent="0.25">
      <c r="A7504" t="str">
        <f>"20190312172258778"</f>
        <v>20190312172258778</v>
      </c>
      <c r="B7504" t="str">
        <f>"1552382578768359"</f>
        <v>1552382578768359</v>
      </c>
      <c r="C7504" t="s">
        <v>40</v>
      </c>
      <c r="D7504">
        <v>3.1985589999999999</v>
      </c>
      <c r="E7504">
        <v>0.43805880000000003</v>
      </c>
      <c r="F7504" t="s">
        <v>77</v>
      </c>
      <c r="G7504">
        <v>-226.65880000000001</v>
      </c>
      <c r="H7504" s="1">
        <v>-2.8763019999999999E-6</v>
      </c>
      <c r="I7504">
        <v>-56.305610000000001</v>
      </c>
      <c r="J7504">
        <v>-259.75189999999998</v>
      </c>
      <c r="K7504">
        <v>1.1092340000000001</v>
      </c>
      <c r="L7504">
        <v>-64.026579999999996</v>
      </c>
      <c r="M7504">
        <v>0.99910960000000004</v>
      </c>
      <c r="N7504">
        <v>0</v>
      </c>
      <c r="O7504">
        <v>4.1850400000000003E-2</v>
      </c>
      <c r="P7504">
        <v>0.97930669999999997</v>
      </c>
      <c r="Q7504">
        <v>0.19384180000000001</v>
      </c>
      <c r="R7504">
        <v>5.8171840000000002E-2</v>
      </c>
      <c r="S7504">
        <v>3.0415649999999999</v>
      </c>
      <c r="T7504">
        <v>-0.1015382</v>
      </c>
      <c r="U7504">
        <v>0.7072754</v>
      </c>
      <c r="V7504">
        <v>-1.704715E-2</v>
      </c>
      <c r="W7504">
        <v>0.19909379999999999</v>
      </c>
      <c r="X7504">
        <v>0.97983220000000004</v>
      </c>
      <c r="Y7504">
        <v>-0.18545610000000001</v>
      </c>
      <c r="Z7504">
        <v>1.6776E-3</v>
      </c>
      <c r="AA7504">
        <v>0.9826511</v>
      </c>
      <c r="AB7504">
        <v>26</v>
      </c>
      <c r="AC7504">
        <v>33.0930999999999</v>
      </c>
      <c r="AD7504">
        <v>-1.109236876302</v>
      </c>
      <c r="AE7504">
        <v>7.7209700000000101</v>
      </c>
      <c r="AF7504">
        <v>-6.3224895035109698</v>
      </c>
      <c r="AG7504">
        <v>-1.109236876302</v>
      </c>
      <c r="AH7504">
        <v>33.351699902041098</v>
      </c>
      <c r="AI7504">
        <v>91.871577462411693</v>
      </c>
      <c r="AJ7504">
        <v>100.734199300212</v>
      </c>
      <c r="AK7504">
        <v>33.963806711344397</v>
      </c>
      <c r="AL7504">
        <v>78.516028571023398</v>
      </c>
      <c r="AM7504">
        <v>90.996733130809005</v>
      </c>
      <c r="AN7504">
        <v>1.0000000433392</v>
      </c>
    </row>
    <row r="7505" spans="1:40" x14ac:dyDescent="0.25">
      <c r="A7505" t="str">
        <f>"20190312172258788"</f>
        <v>20190312172258788</v>
      </c>
      <c r="B7505" t="str">
        <f>"1552382578778119"</f>
        <v>1552382578778119</v>
      </c>
      <c r="C7505" t="s">
        <v>40</v>
      </c>
      <c r="D7505">
        <v>3.202766</v>
      </c>
      <c r="E7505">
        <v>0.43828410000000001</v>
      </c>
      <c r="F7505" t="s">
        <v>77</v>
      </c>
      <c r="G7505">
        <v>-227.0719</v>
      </c>
      <c r="H7505" s="1">
        <v>-3.0196899999999998E-6</v>
      </c>
      <c r="I7505">
        <v>-56.458500000000001</v>
      </c>
      <c r="J7505">
        <v>-259.62459999999999</v>
      </c>
      <c r="K7505">
        <v>1.109248</v>
      </c>
      <c r="L7505">
        <v>-64.021389999999997</v>
      </c>
      <c r="M7505">
        <v>0.9991139</v>
      </c>
      <c r="N7505">
        <v>0</v>
      </c>
      <c r="O7505">
        <v>4.1748960000000002E-2</v>
      </c>
      <c r="P7505">
        <v>0.97938380000000003</v>
      </c>
      <c r="Q7505">
        <v>0.19349959999999999</v>
      </c>
      <c r="R7505">
        <v>5.8012710000000002E-2</v>
      </c>
      <c r="S7505">
        <v>3.041992</v>
      </c>
      <c r="T7505">
        <v>-0.10325239999999999</v>
      </c>
      <c r="U7505">
        <v>0.70446779999999998</v>
      </c>
      <c r="V7505">
        <v>-1.698995E-2</v>
      </c>
      <c r="W7505">
        <v>0.19875219999999999</v>
      </c>
      <c r="X7505">
        <v>0.97990250000000001</v>
      </c>
      <c r="Y7505">
        <v>-0.18466260000000001</v>
      </c>
      <c r="Z7505">
        <v>1.6959410000000001E-3</v>
      </c>
      <c r="AA7505">
        <v>0.98280049999999997</v>
      </c>
      <c r="AB7505">
        <v>26</v>
      </c>
      <c r="AC7505">
        <v>32.552699999999902</v>
      </c>
      <c r="AD7505">
        <v>-1.1092510196900001</v>
      </c>
      <c r="AE7505">
        <v>7.5628899999999897</v>
      </c>
      <c r="AF7505">
        <v>-6.1904154280766397</v>
      </c>
      <c r="AG7505">
        <v>-1.1092510196900001</v>
      </c>
      <c r="AH7505">
        <v>32.803925440349097</v>
      </c>
      <c r="AI7505">
        <v>91.903130199886903</v>
      </c>
      <c r="AJ7505">
        <v>100.686591429733</v>
      </c>
      <c r="AK7505">
        <v>33.401335381880102</v>
      </c>
      <c r="AL7505">
        <v>78.535999458733201</v>
      </c>
      <c r="AM7505">
        <v>90.993318110905307</v>
      </c>
      <c r="AN7505">
        <v>1.00000000245604</v>
      </c>
    </row>
    <row r="7506" spans="1:40" x14ac:dyDescent="0.25">
      <c r="A7506" t="str">
        <f>"20190312172258800"</f>
        <v>20190312172258800</v>
      </c>
      <c r="B7506" t="str">
        <f>"1552382578787879"</f>
        <v>1552382578787879</v>
      </c>
      <c r="C7506" t="s">
        <v>40</v>
      </c>
      <c r="D7506">
        <v>3.1821290000000002</v>
      </c>
      <c r="E7506">
        <v>0.43851210000000002</v>
      </c>
      <c r="F7506" t="s">
        <v>77</v>
      </c>
      <c r="G7506">
        <v>-227.51949999999999</v>
      </c>
      <c r="H7506" s="1">
        <v>-3.1773160000000001E-6</v>
      </c>
      <c r="I7506">
        <v>-56.613990000000001</v>
      </c>
      <c r="J7506">
        <v>-259.4932</v>
      </c>
      <c r="K7506">
        <v>1.1092569999999999</v>
      </c>
      <c r="L7506">
        <v>-64.015990000000002</v>
      </c>
      <c r="M7506">
        <v>0.99911799999999995</v>
      </c>
      <c r="N7506">
        <v>0</v>
      </c>
      <c r="O7506">
        <v>4.1647900000000002E-2</v>
      </c>
      <c r="P7506">
        <v>0.9794311</v>
      </c>
      <c r="Q7506">
        <v>0.1933647</v>
      </c>
      <c r="R7506">
        <v>5.7662129999999999E-2</v>
      </c>
      <c r="S7506">
        <v>3.0423279999999999</v>
      </c>
      <c r="T7506">
        <v>-0.1051141</v>
      </c>
      <c r="U7506">
        <v>0.70193479999999997</v>
      </c>
      <c r="V7506">
        <v>-1.6742300000000002E-2</v>
      </c>
      <c r="W7506">
        <v>0.19861799999999999</v>
      </c>
      <c r="X7506">
        <v>0.97993399999999997</v>
      </c>
      <c r="Y7506">
        <v>-0.18395890000000001</v>
      </c>
      <c r="Z7506">
        <v>1.71791E-3</v>
      </c>
      <c r="AA7506">
        <v>0.98293240000000004</v>
      </c>
      <c r="AB7506">
        <v>26</v>
      </c>
      <c r="AC7506">
        <v>31.973700000000001</v>
      </c>
      <c r="AD7506">
        <v>-1.109260177316</v>
      </c>
      <c r="AE7506">
        <v>7.4020000000000001</v>
      </c>
      <c r="AF7506">
        <v>-6.0570015608725001</v>
      </c>
      <c r="AG7506">
        <v>-1.109260177316</v>
      </c>
      <c r="AH7506">
        <v>32.2174350625939</v>
      </c>
      <c r="AI7506">
        <v>91.938013432258899</v>
      </c>
      <c r="AJ7506">
        <v>100.647540308266</v>
      </c>
      <c r="AK7506">
        <v>32.800622677959097</v>
      </c>
      <c r="AL7506">
        <v>78.5438452785761</v>
      </c>
      <c r="AM7506">
        <v>90.978810622804801</v>
      </c>
      <c r="AN7506">
        <v>1.0000000294446401</v>
      </c>
    </row>
    <row r="7507" spans="1:40" x14ac:dyDescent="0.25">
      <c r="A7507" t="str">
        <f>"20190312172258823"</f>
        <v>20190312172258823</v>
      </c>
      <c r="B7507" t="str">
        <f>"1552382578818136"</f>
        <v>1552382578818136</v>
      </c>
      <c r="C7507" t="s">
        <v>40</v>
      </c>
      <c r="D7507">
        <v>3.1708470000000002</v>
      </c>
      <c r="E7507">
        <v>0.43906020000000001</v>
      </c>
      <c r="F7507" t="s">
        <v>77</v>
      </c>
      <c r="G7507">
        <v>-227.70359999999999</v>
      </c>
      <c r="H7507" s="1">
        <v>-3.2344619999999999E-6</v>
      </c>
      <c r="I7507">
        <v>-56.712859999999999</v>
      </c>
      <c r="J7507">
        <v>-259.22320000000002</v>
      </c>
      <c r="K7507">
        <v>1.1092820000000001</v>
      </c>
      <c r="L7507">
        <v>-64.004909999999995</v>
      </c>
      <c r="M7507">
        <v>0.99912460000000003</v>
      </c>
      <c r="N7507">
        <v>0</v>
      </c>
      <c r="O7507">
        <v>4.1489980000000003E-2</v>
      </c>
      <c r="P7507">
        <v>0.9794853</v>
      </c>
      <c r="Q7507">
        <v>0.1933802</v>
      </c>
      <c r="R7507">
        <v>5.6680399999999999E-2</v>
      </c>
      <c r="S7507">
        <v>3.0428160000000002</v>
      </c>
      <c r="T7507">
        <v>-0.1061754</v>
      </c>
      <c r="U7507">
        <v>0.69903559999999998</v>
      </c>
      <c r="V7507">
        <v>-1.5931049999999999E-2</v>
      </c>
      <c r="W7507">
        <v>0.1986377</v>
      </c>
      <c r="X7507">
        <v>0.97994349999999997</v>
      </c>
      <c r="Y7507">
        <v>-0.18318889999999999</v>
      </c>
      <c r="Z7507">
        <v>1.7273150000000001E-3</v>
      </c>
      <c r="AA7507">
        <v>0.98307619999999896</v>
      </c>
      <c r="AB7507">
        <v>26</v>
      </c>
      <c r="AC7507">
        <v>31.519600000000001</v>
      </c>
      <c r="AD7507">
        <v>-1.1092852344619999</v>
      </c>
      <c r="AE7507">
        <v>7.2920499999999899</v>
      </c>
      <c r="AF7507">
        <v>-5.9709846587210196</v>
      </c>
      <c r="AG7507">
        <v>-1.1092852344619999</v>
      </c>
      <c r="AH7507">
        <v>31.7576734869475</v>
      </c>
      <c r="AI7507">
        <v>91.966088198943098</v>
      </c>
      <c r="AJ7507">
        <v>100.648272253557</v>
      </c>
      <c r="AK7507">
        <v>32.333156307877601</v>
      </c>
      <c r="AL7507">
        <v>78.542693247656302</v>
      </c>
      <c r="AM7507">
        <v>90.931381785588101</v>
      </c>
      <c r="AN7507">
        <v>0.99999999870382095</v>
      </c>
    </row>
    <row r="7508" spans="1:40" x14ac:dyDescent="0.25">
      <c r="A7508" t="str">
        <f>"20190312172258834"</f>
        <v>20190312172258834</v>
      </c>
      <c r="B7508" t="str">
        <f>"1552382578827895"</f>
        <v>1552382578827895</v>
      </c>
      <c r="C7508" t="s">
        <v>40</v>
      </c>
      <c r="D7508">
        <v>3.1990639999999999</v>
      </c>
      <c r="E7508">
        <v>0.43932070000000001</v>
      </c>
      <c r="F7508" t="s">
        <v>77</v>
      </c>
      <c r="G7508">
        <v>-227.77510000000001</v>
      </c>
      <c r="H7508" s="1">
        <v>-3.232592E-6</v>
      </c>
      <c r="I7508">
        <v>-56.859990000000003</v>
      </c>
      <c r="J7508">
        <v>-259.09199999999998</v>
      </c>
      <c r="K7508">
        <v>1.1093</v>
      </c>
      <c r="L7508">
        <v>-63.999540000000003</v>
      </c>
      <c r="M7508">
        <v>0.99912699999999999</v>
      </c>
      <c r="N7508">
        <v>0</v>
      </c>
      <c r="O7508">
        <v>4.1431969999999999E-2</v>
      </c>
      <c r="P7508">
        <v>0.97949019999999998</v>
      </c>
      <c r="Q7508">
        <v>0.19349379999999999</v>
      </c>
      <c r="R7508">
        <v>5.6208760000000003E-2</v>
      </c>
      <c r="S7508">
        <v>3.044006</v>
      </c>
      <c r="T7508">
        <v>-0.1073728</v>
      </c>
      <c r="U7508">
        <v>0.69158940000000002</v>
      </c>
      <c r="V7508">
        <v>-1.552508E-2</v>
      </c>
      <c r="W7508">
        <v>0.1987545</v>
      </c>
      <c r="X7508">
        <v>0.97992630000000003</v>
      </c>
      <c r="Y7508">
        <v>-0.18087549999999999</v>
      </c>
      <c r="Z7508">
        <v>1.7083059999999999E-3</v>
      </c>
      <c r="AA7508">
        <v>0.9835045</v>
      </c>
      <c r="AB7508">
        <v>26</v>
      </c>
      <c r="AC7508">
        <v>31.316899999999901</v>
      </c>
      <c r="AD7508">
        <v>-1.109303232592</v>
      </c>
      <c r="AE7508">
        <v>7.1395499999999998</v>
      </c>
      <c r="AF7508">
        <v>-5.8289275796293198</v>
      </c>
      <c r="AG7508">
        <v>-1.109303232592</v>
      </c>
      <c r="AH7508">
        <v>31.548189993761099</v>
      </c>
      <c r="AI7508">
        <v>91.980324625219893</v>
      </c>
      <c r="AJ7508">
        <v>100.468069152959</v>
      </c>
      <c r="AK7508">
        <v>32.101327733800197</v>
      </c>
      <c r="AL7508">
        <v>78.5358645769508</v>
      </c>
      <c r="AM7508">
        <v>90.907667390171298</v>
      </c>
      <c r="AN7508">
        <v>0.99999996640547195</v>
      </c>
    </row>
    <row r="7509" spans="1:40" x14ac:dyDescent="0.25">
      <c r="A7509" t="str">
        <f>"20190312172258846"</f>
        <v>20190312172258846</v>
      </c>
      <c r="B7509" t="str">
        <f>"1552382578837667"</f>
        <v>1552382578837667</v>
      </c>
      <c r="C7509" t="s">
        <v>40</v>
      </c>
      <c r="D7509">
        <v>3.147243</v>
      </c>
      <c r="E7509">
        <v>0.43955870000000002</v>
      </c>
      <c r="F7509" t="s">
        <v>77</v>
      </c>
      <c r="G7509">
        <v>-227.74930000000001</v>
      </c>
      <c r="H7509" s="1">
        <v>-3.2090640000000002E-6</v>
      </c>
      <c r="I7509">
        <v>-56.916449999999998</v>
      </c>
      <c r="J7509">
        <v>-258.95929999999998</v>
      </c>
      <c r="K7509">
        <v>1.109316</v>
      </c>
      <c r="L7509">
        <v>-63.994109999999999</v>
      </c>
      <c r="M7509">
        <v>0.99912909999999999</v>
      </c>
      <c r="N7509">
        <v>0</v>
      </c>
      <c r="O7509">
        <v>4.138356E-2</v>
      </c>
      <c r="P7509">
        <v>0.97951869999999996</v>
      </c>
      <c r="Q7509">
        <v>0.1934758</v>
      </c>
      <c r="R7509">
        <v>5.5774480000000001E-2</v>
      </c>
      <c r="S7509">
        <v>3.0446170000000001</v>
      </c>
      <c r="T7509">
        <v>-0.1077573</v>
      </c>
      <c r="U7509">
        <v>0.68804929999999997</v>
      </c>
      <c r="V7509">
        <v>-1.514617E-2</v>
      </c>
      <c r="W7509">
        <v>0.1987409</v>
      </c>
      <c r="X7509">
        <v>0.97993509999999995</v>
      </c>
      <c r="Y7509">
        <v>-0.179792799999999</v>
      </c>
      <c r="Z7509">
        <v>1.6970659999999999E-3</v>
      </c>
      <c r="AA7509">
        <v>0.98370299999999999</v>
      </c>
      <c r="AB7509">
        <v>26</v>
      </c>
      <c r="AC7509">
        <v>31.209999999999901</v>
      </c>
      <c r="AD7509">
        <v>-1.1093192090640001</v>
      </c>
      <c r="AE7509">
        <v>7.0776599999999998</v>
      </c>
      <c r="AF7509">
        <v>-5.7730606643661604</v>
      </c>
      <c r="AG7509">
        <v>-1.1093192090640001</v>
      </c>
      <c r="AH7509">
        <v>31.438390420299399</v>
      </c>
      <c r="AI7509">
        <v>91.987664428581198</v>
      </c>
      <c r="AJ7509">
        <v>100.405353145833</v>
      </c>
      <c r="AK7509">
        <v>31.983295808300099</v>
      </c>
      <c r="AL7509">
        <v>78.536660934374197</v>
      </c>
      <c r="AM7509">
        <v>90.885510194272001</v>
      </c>
      <c r="AN7509">
        <v>1.0000000760052401</v>
      </c>
    </row>
    <row r="7510" spans="1:40" x14ac:dyDescent="0.25">
      <c r="A7510" t="str">
        <f>"20190312172258855"</f>
        <v>20190312172258855</v>
      </c>
      <c r="B7510" t="str">
        <f>"1552382578848391"</f>
        <v>1552382578848391</v>
      </c>
      <c r="C7510" t="s">
        <v>40</v>
      </c>
      <c r="D7510">
        <v>3.124933</v>
      </c>
      <c r="E7510">
        <v>0.43968839999999998</v>
      </c>
      <c r="F7510" t="s">
        <v>77</v>
      </c>
      <c r="G7510">
        <v>-227.63200000000001</v>
      </c>
      <c r="H7510" s="1">
        <v>-3.1514559999999999E-6</v>
      </c>
      <c r="I7510">
        <v>-56.949399999999997</v>
      </c>
      <c r="J7510">
        <v>-258.84190000000001</v>
      </c>
      <c r="K7510">
        <v>1.109334</v>
      </c>
      <c r="L7510">
        <v>-63.989260000000002</v>
      </c>
      <c r="M7510">
        <v>0.99913039999999997</v>
      </c>
      <c r="N7510">
        <v>0</v>
      </c>
      <c r="O7510">
        <v>4.134968E-2</v>
      </c>
      <c r="P7510">
        <v>0.97953780000000001</v>
      </c>
      <c r="Q7510">
        <v>0.1935403</v>
      </c>
      <c r="R7510">
        <v>5.5208439999999998E-2</v>
      </c>
      <c r="S7510">
        <v>3.0450439999999999</v>
      </c>
      <c r="T7510">
        <v>-0.1078269</v>
      </c>
      <c r="U7510">
        <v>0.68475339999999996</v>
      </c>
      <c r="V7510">
        <v>-1.4620279999999999E-2</v>
      </c>
      <c r="W7510">
        <v>0.19881009999999999</v>
      </c>
      <c r="X7510">
        <v>0.97992900000000005</v>
      </c>
      <c r="Y7510">
        <v>-0.17878359999999999</v>
      </c>
      <c r="Z7510">
        <v>1.68166E-3</v>
      </c>
      <c r="AA7510">
        <v>0.98388699999999996</v>
      </c>
      <c r="AB7510">
        <v>26</v>
      </c>
      <c r="AC7510">
        <v>31.209900000000001</v>
      </c>
      <c r="AD7510">
        <v>-1.109337151456</v>
      </c>
      <c r="AE7510">
        <v>7.0398599999999902</v>
      </c>
      <c r="AF7510">
        <v>-5.7364045197473503</v>
      </c>
      <c r="AG7510">
        <v>-1.109337151456</v>
      </c>
      <c r="AH7510">
        <v>31.4365125864182</v>
      </c>
      <c r="AI7510">
        <v>91.988221579854397</v>
      </c>
      <c r="AJ7510">
        <v>100.341318332014</v>
      </c>
      <c r="AK7510">
        <v>31.974854015707599</v>
      </c>
      <c r="AL7510">
        <v>78.532614764503705</v>
      </c>
      <c r="AM7510">
        <v>90.854774368497999</v>
      </c>
      <c r="AN7510">
        <v>1.0000000267451401</v>
      </c>
    </row>
    <row r="7511" spans="1:40" x14ac:dyDescent="0.25">
      <c r="A7511" t="str">
        <f>"20190312172258865"</f>
        <v>20190312172258865</v>
      </c>
      <c r="B7511" t="str">
        <f>"1552382578858151"</f>
        <v>1552382578858151</v>
      </c>
      <c r="C7511" t="s">
        <v>40</v>
      </c>
      <c r="D7511">
        <v>2.8191830000000002</v>
      </c>
      <c r="E7511">
        <v>0.43946489999999999</v>
      </c>
      <c r="F7511" t="s">
        <v>77</v>
      </c>
      <c r="G7511">
        <v>-227.3228</v>
      </c>
      <c r="H7511" s="1">
        <v>-3.0232390000000001E-6</v>
      </c>
      <c r="I7511">
        <v>-56.929389999999998</v>
      </c>
      <c r="J7511">
        <v>-258.72230000000002</v>
      </c>
      <c r="K7511">
        <v>1.109348</v>
      </c>
      <c r="L7511">
        <v>-63.984340000000003</v>
      </c>
      <c r="M7511">
        <v>0.9991314</v>
      </c>
      <c r="N7511">
        <v>0</v>
      </c>
      <c r="O7511">
        <v>4.1323350000000002E-2</v>
      </c>
      <c r="P7511">
        <v>0.97959549999999995</v>
      </c>
      <c r="Q7511">
        <v>0.19334779999999999</v>
      </c>
      <c r="R7511">
        <v>5.4860159999999998E-2</v>
      </c>
      <c r="S7511">
        <v>3.0453950000000001</v>
      </c>
      <c r="T7511">
        <v>-0.1071848</v>
      </c>
      <c r="U7511">
        <v>0.68212890000000004</v>
      </c>
      <c r="V7511">
        <v>-1.4303089999999999E-2</v>
      </c>
      <c r="W7511">
        <v>0.19862270000000001</v>
      </c>
      <c r="X7511">
        <v>0.97997160000000005</v>
      </c>
      <c r="Y7511">
        <v>-0.17797929999999901</v>
      </c>
      <c r="Z7511">
        <v>1.6585479999999999E-3</v>
      </c>
      <c r="AA7511">
        <v>0.98403280000000004</v>
      </c>
      <c r="AB7511">
        <v>26</v>
      </c>
      <c r="AC7511">
        <v>31.3995</v>
      </c>
      <c r="AD7511">
        <v>-1.109351023239</v>
      </c>
      <c r="AE7511">
        <v>7.0549499999999901</v>
      </c>
      <c r="AF7511">
        <v>-5.7445465467440897</v>
      </c>
      <c r="AG7511">
        <v>-1.109351023239</v>
      </c>
      <c r="AH7511">
        <v>31.626636959229099</v>
      </c>
      <c r="AI7511">
        <v>91.976595687809393</v>
      </c>
      <c r="AJ7511">
        <v>100.294760713006</v>
      </c>
      <c r="AK7511">
        <v>32.163249836907802</v>
      </c>
      <c r="AL7511">
        <v>78.543569546072206</v>
      </c>
      <c r="AM7511">
        <v>90.836196177863599</v>
      </c>
      <c r="AN7511">
        <v>0.99999994607269704</v>
      </c>
    </row>
    <row r="7512" spans="1:40" x14ac:dyDescent="0.25">
      <c r="A7512" t="str">
        <f>"20190312172258954"</f>
        <v>20190312172258954</v>
      </c>
      <c r="B7512" t="str">
        <f>"1552382578947943"</f>
        <v>1552382578947943</v>
      </c>
      <c r="C7512" t="s">
        <v>40</v>
      </c>
      <c r="D7512">
        <v>3.2686169999999999</v>
      </c>
      <c r="E7512">
        <v>0.43946489999999999</v>
      </c>
      <c r="F7512" t="s">
        <v>77</v>
      </c>
      <c r="G7512">
        <v>-227.76320000000001</v>
      </c>
      <c r="H7512" s="1">
        <v>-3.1868990000000001E-6</v>
      </c>
      <c r="I7512">
        <v>-57.043689999999998</v>
      </c>
      <c r="J7512">
        <v>-257.64800000000002</v>
      </c>
      <c r="K7512">
        <v>1.109418</v>
      </c>
      <c r="L7512">
        <v>-63.939970000000002</v>
      </c>
      <c r="M7512">
        <v>0.99913010000000002</v>
      </c>
      <c r="N7512">
        <v>0</v>
      </c>
      <c r="O7512">
        <v>4.1344880000000001E-2</v>
      </c>
      <c r="P7512">
        <v>0.97995989999999999</v>
      </c>
      <c r="Q7512">
        <v>0.192687</v>
      </c>
      <c r="R7512">
        <v>5.0500209999999997E-2</v>
      </c>
      <c r="S7512">
        <v>3.0457920000000001</v>
      </c>
      <c r="T7512">
        <v>-0.1091394</v>
      </c>
      <c r="U7512">
        <v>0.68283079999999996</v>
      </c>
      <c r="V7512">
        <v>-9.9434610000000007E-3</v>
      </c>
      <c r="W7512">
        <v>0.19803100000000001</v>
      </c>
      <c r="X7512">
        <v>0.9801453</v>
      </c>
      <c r="Y7512">
        <v>-0.17814369999999999</v>
      </c>
      <c r="Z7512">
        <v>1.6906670000000001E-3</v>
      </c>
      <c r="AA7512">
        <v>0.98400299999999996</v>
      </c>
      <c r="AB7512">
        <v>27</v>
      </c>
      <c r="AC7512">
        <v>29.884799999999899</v>
      </c>
      <c r="AD7512">
        <v>-1.109421186899</v>
      </c>
      <c r="AE7512">
        <v>6.8962799999999902</v>
      </c>
      <c r="AF7512">
        <v>-5.6473918893699002</v>
      </c>
      <c r="AG7512">
        <v>-1.109421186899</v>
      </c>
      <c r="AH7512">
        <v>30.104984736536601</v>
      </c>
      <c r="AI7512">
        <v>92.074344286591298</v>
      </c>
      <c r="AJ7512">
        <v>100.62463264474999</v>
      </c>
      <c r="AK7512">
        <v>30.650186891912401</v>
      </c>
      <c r="AL7512">
        <v>78.578158923117499</v>
      </c>
      <c r="AM7512">
        <v>90.581239134005997</v>
      </c>
      <c r="AN7512">
        <v>0.99999997924487405</v>
      </c>
    </row>
    <row r="7513" spans="1:40" x14ac:dyDescent="0.25">
      <c r="A7513" t="str">
        <f>"20190312172258966"</f>
        <v>20190312172258966</v>
      </c>
      <c r="B7513" t="str">
        <f>"1552382578957703"</f>
        <v>1552382578957703</v>
      </c>
      <c r="C7513" t="s">
        <v>40</v>
      </c>
      <c r="D7513">
        <v>3.2123560000000002</v>
      </c>
      <c r="E7513">
        <v>0.55119719999999905</v>
      </c>
      <c r="F7513" t="s">
        <v>77</v>
      </c>
      <c r="G7513">
        <v>-227.6669</v>
      </c>
      <c r="H7513" s="1">
        <v>-3.070811E-6</v>
      </c>
      <c r="I7513">
        <v>-57.381709999999998</v>
      </c>
      <c r="J7513">
        <v>-257.5181</v>
      </c>
      <c r="K7513">
        <v>1.109421</v>
      </c>
      <c r="L7513">
        <v>-63.934570000000001</v>
      </c>
      <c r="M7513">
        <v>0.99912909999999999</v>
      </c>
      <c r="N7513">
        <v>0</v>
      </c>
      <c r="O7513">
        <v>4.1366510000000002E-2</v>
      </c>
      <c r="P7513">
        <v>0.98000480000000001</v>
      </c>
      <c r="Q7513">
        <v>0.19262760000000001</v>
      </c>
      <c r="R7513">
        <v>4.9851949999999999E-2</v>
      </c>
      <c r="S7513">
        <v>3.0491640000000002</v>
      </c>
      <c r="T7513">
        <v>-0.11283120000000001</v>
      </c>
      <c r="U7513">
        <v>0.66699219999999904</v>
      </c>
      <c r="V7513">
        <v>-9.2742780000000004E-3</v>
      </c>
      <c r="W7513">
        <v>0.1979824</v>
      </c>
      <c r="X7513">
        <v>0.98016170000000002</v>
      </c>
      <c r="Y7513">
        <v>-0.17301279999999999</v>
      </c>
      <c r="Z7513">
        <v>1.652281E-3</v>
      </c>
      <c r="AA7513">
        <v>0.98491819999999997</v>
      </c>
      <c r="AB7513">
        <v>27</v>
      </c>
      <c r="AC7513">
        <v>29.851199999999999</v>
      </c>
      <c r="AD7513">
        <v>-1.1094240708109999</v>
      </c>
      <c r="AE7513">
        <v>6.5528599999999901</v>
      </c>
      <c r="AF7513">
        <v>-5.30540126501577</v>
      </c>
      <c r="AG7513">
        <v>-1.1094240708109999</v>
      </c>
      <c r="AH7513">
        <v>30.057113079992099</v>
      </c>
      <c r="AI7513">
        <v>92.081707006813005</v>
      </c>
      <c r="AJ7513">
        <v>100.01020712357</v>
      </c>
      <c r="AK7513">
        <v>30.541908110908199</v>
      </c>
      <c r="AL7513">
        <v>78.5809999909238</v>
      </c>
      <c r="AM7513">
        <v>90.542115785958302</v>
      </c>
      <c r="AN7513">
        <v>1.00000000054453</v>
      </c>
    </row>
    <row r="7514" spans="1:40" x14ac:dyDescent="0.25">
      <c r="A7514" t="str">
        <f>"20190312172258976"</f>
        <v>20190312172258976</v>
      </c>
      <c r="B7514" t="str">
        <f>"1552382578968439"</f>
        <v>1552382578968439</v>
      </c>
      <c r="C7514" t="s">
        <v>40</v>
      </c>
      <c r="D7514">
        <v>3.246273</v>
      </c>
      <c r="E7514">
        <v>0.552068</v>
      </c>
      <c r="F7514" t="s">
        <v>41</v>
      </c>
      <c r="G7514">
        <v>-256.6388</v>
      </c>
      <c r="H7514">
        <v>0.99814959999999997</v>
      </c>
      <c r="I7514">
        <v>-63.9940199999999</v>
      </c>
      <c r="J7514">
        <v>-257.38679999999999</v>
      </c>
      <c r="K7514">
        <v>1.1094219999999999</v>
      </c>
      <c r="L7514">
        <v>-63.929139999999997</v>
      </c>
      <c r="M7514">
        <v>0.99912800000000002</v>
      </c>
      <c r="N7514">
        <v>0</v>
      </c>
      <c r="O7514">
        <v>4.1389570000000001E-2</v>
      </c>
      <c r="P7514">
        <v>0.98004190000000002</v>
      </c>
      <c r="Q7514">
        <v>0.1926484</v>
      </c>
      <c r="R7514">
        <v>4.9033309999999997E-2</v>
      </c>
      <c r="S7514">
        <v>3.1504059999999998</v>
      </c>
      <c r="T7514">
        <v>-0.39863730000000003</v>
      </c>
      <c r="U7514">
        <v>-0.2125244</v>
      </c>
      <c r="V7514">
        <v>-8.4334079999999999E-3</v>
      </c>
      <c r="W7514">
        <v>0.19801369999999999</v>
      </c>
      <c r="X7514">
        <v>0.98016300000000001</v>
      </c>
      <c r="Y7514">
        <v>0.1073636</v>
      </c>
      <c r="Z7514">
        <v>-1.196943E-2</v>
      </c>
      <c r="AA7514">
        <v>0.99414780000000003</v>
      </c>
      <c r="AB7514">
        <v>27</v>
      </c>
      <c r="AC7514">
        <v>0.74799999999999001</v>
      </c>
      <c r="AD7514">
        <v>-0.11127239999999899</v>
      </c>
      <c r="AE7514">
        <v>-6.4879999999988003E-2</v>
      </c>
      <c r="AF7514">
        <v>9.3725652201021803E-2</v>
      </c>
      <c r="AG7514">
        <v>-0.11127239999999899</v>
      </c>
      <c r="AH7514">
        <v>0.72866893942284905</v>
      </c>
      <c r="AI7514">
        <v>98.6124814825192</v>
      </c>
      <c r="AJ7514">
        <v>82.670526683872197</v>
      </c>
      <c r="AK7514">
        <v>0.74305078437606598</v>
      </c>
      <c r="AL7514">
        <v>78.579170719878405</v>
      </c>
      <c r="AM7514">
        <v>90.492965723106593</v>
      </c>
      <c r="AN7514">
        <v>1.00000002716359</v>
      </c>
    </row>
    <row r="7515" spans="1:40" x14ac:dyDescent="0.25">
      <c r="A7515" t="str">
        <f>"20190312172258988"</f>
        <v>20190312172258988</v>
      </c>
      <c r="B7515" t="str">
        <f>"1552382578978199"</f>
        <v>1552382578978199</v>
      </c>
      <c r="C7515" t="s">
        <v>40</v>
      </c>
      <c r="D7515">
        <v>3.2610709999999998</v>
      </c>
      <c r="E7515">
        <v>0.55224039999999996</v>
      </c>
      <c r="F7515" t="s">
        <v>41</v>
      </c>
      <c r="G7515">
        <v>-256.62209999999999</v>
      </c>
      <c r="H7515">
        <v>1.0335920000000001</v>
      </c>
      <c r="I7515">
        <v>-63.984499999999997</v>
      </c>
      <c r="J7515">
        <v>-257.24130000000002</v>
      </c>
      <c r="K7515">
        <v>1.109424</v>
      </c>
      <c r="L7515">
        <v>-63.923070000000003</v>
      </c>
      <c r="M7515">
        <v>0.99912699999999999</v>
      </c>
      <c r="N7515">
        <v>0</v>
      </c>
      <c r="O7515">
        <v>4.141595E-2</v>
      </c>
      <c r="P7515">
        <v>0.98010900000000001</v>
      </c>
      <c r="Q7515">
        <v>0.1924864</v>
      </c>
      <c r="R7515">
        <v>4.8328679999999999E-2</v>
      </c>
      <c r="S7515">
        <v>3.1335299999999999</v>
      </c>
      <c r="T7515">
        <v>-0.31076569999999998</v>
      </c>
      <c r="U7515">
        <v>-0.2263184</v>
      </c>
      <c r="V7515">
        <v>-7.7021950000000002E-3</v>
      </c>
      <c r="W7515">
        <v>0.19786509999999999</v>
      </c>
      <c r="X7515">
        <v>0.98019900000000004</v>
      </c>
      <c r="Y7515">
        <v>0.1125324</v>
      </c>
      <c r="Z7515">
        <v>-9.6520870000000002E-3</v>
      </c>
      <c r="AA7515">
        <v>0.99360110000000001</v>
      </c>
      <c r="AB7515">
        <v>27</v>
      </c>
      <c r="AC7515">
        <v>0.61920000000003395</v>
      </c>
      <c r="AD7515">
        <v>-7.5831999999999899E-2</v>
      </c>
      <c r="AE7515">
        <v>-6.14300000000014E-2</v>
      </c>
      <c r="AF7515">
        <v>8.5748875530179E-2</v>
      </c>
      <c r="AG7515">
        <v>-7.5831999999999899E-2</v>
      </c>
      <c r="AH7515">
        <v>0.60710762725089296</v>
      </c>
      <c r="AI7515">
        <v>97.050506450143104</v>
      </c>
      <c r="AJ7515">
        <v>81.9606284856889</v>
      </c>
      <c r="AK7515">
        <v>0.617805012074926</v>
      </c>
      <c r="AL7515">
        <v>78.587856424478701</v>
      </c>
      <c r="AM7515">
        <v>90.450208767906702</v>
      </c>
      <c r="AN7515">
        <v>1.00000000060341</v>
      </c>
    </row>
    <row r="7516" spans="1:40" x14ac:dyDescent="0.25">
      <c r="A7516" t="str">
        <f>"20190312172258998"</f>
        <v>20190312172258998</v>
      </c>
      <c r="B7516" t="str">
        <f>"1552382578987959"</f>
        <v>1552382578987959</v>
      </c>
      <c r="C7516" t="s">
        <v>40</v>
      </c>
      <c r="D7516">
        <v>3.2717350000000001</v>
      </c>
      <c r="E7516">
        <v>0.55197959999999902</v>
      </c>
      <c r="F7516" t="s">
        <v>41</v>
      </c>
      <c r="G7516">
        <v>-256.37670000000003</v>
      </c>
      <c r="H7516">
        <v>1.036735</v>
      </c>
      <c r="I7516">
        <v>-63.98771</v>
      </c>
      <c r="J7516">
        <v>-257.11430000000001</v>
      </c>
      <c r="K7516">
        <v>1.1094250000000001</v>
      </c>
      <c r="L7516">
        <v>-63.917789999999997</v>
      </c>
      <c r="M7516">
        <v>0.99912599999999996</v>
      </c>
      <c r="N7516">
        <v>0</v>
      </c>
      <c r="O7516">
        <v>4.1439410000000003E-2</v>
      </c>
      <c r="P7516">
        <v>0.98020569999999896</v>
      </c>
      <c r="Q7516">
        <v>0.19218080000000001</v>
      </c>
      <c r="R7516">
        <v>4.7576899999999998E-2</v>
      </c>
      <c r="S7516">
        <v>3.1239469999999998</v>
      </c>
      <c r="T7516">
        <v>-0.262577</v>
      </c>
      <c r="U7516">
        <v>-0.2323914</v>
      </c>
      <c r="V7516">
        <v>-6.9243969999999997E-3</v>
      </c>
      <c r="W7516">
        <v>0.1975711</v>
      </c>
      <c r="X7516">
        <v>0.98026409999999997</v>
      </c>
      <c r="Y7516">
        <v>0.1148988</v>
      </c>
      <c r="Z7516">
        <v>-8.2865209999999998E-3</v>
      </c>
      <c r="AA7516">
        <v>0.99334259999999996</v>
      </c>
      <c r="AB7516">
        <v>27</v>
      </c>
      <c r="AC7516">
        <v>0.73759999999998604</v>
      </c>
      <c r="AD7516">
        <v>-7.2690000000000102E-2</v>
      </c>
      <c r="AE7516">
        <v>-6.9919999999996194E-2</v>
      </c>
      <c r="AF7516">
        <v>9.9468671926646102E-2</v>
      </c>
      <c r="AG7516">
        <v>-7.2690000000000102E-2</v>
      </c>
      <c r="AH7516">
        <v>0.72707050620785796</v>
      </c>
      <c r="AI7516">
        <v>95.656916492531707</v>
      </c>
      <c r="AJ7516">
        <v>82.209870259029699</v>
      </c>
      <c r="AK7516">
        <v>0.73743431829024697</v>
      </c>
      <c r="AL7516">
        <v>78.605040568413699</v>
      </c>
      <c r="AM7516">
        <v>90.404719631403296</v>
      </c>
      <c r="AN7516">
        <v>0.999999996288916</v>
      </c>
    </row>
    <row r="7517" spans="1:40" x14ac:dyDescent="0.25">
      <c r="A7517" t="str">
        <f>"20190312172259010"</f>
        <v>20190312172259010</v>
      </c>
      <c r="B7517" t="str">
        <f>"1552382579008455"</f>
        <v>1552382579008455</v>
      </c>
      <c r="C7517" t="s">
        <v>40</v>
      </c>
      <c r="D7517">
        <v>3.2498100000000001</v>
      </c>
      <c r="E7517">
        <v>0.55151359999999905</v>
      </c>
      <c r="F7517" t="s">
        <v>41</v>
      </c>
      <c r="G7517">
        <v>-256.36680000000001</v>
      </c>
      <c r="H7517">
        <v>1.053787</v>
      </c>
      <c r="I7517">
        <v>-63.974249999999998</v>
      </c>
      <c r="J7517">
        <v>-256.98219999999998</v>
      </c>
      <c r="K7517">
        <v>1.109426</v>
      </c>
      <c r="L7517">
        <v>-63.912289999999999</v>
      </c>
      <c r="M7517">
        <v>0.99912489999999998</v>
      </c>
      <c r="N7517">
        <v>0</v>
      </c>
      <c r="O7517">
        <v>4.1463640000000003E-2</v>
      </c>
      <c r="P7517">
        <v>0.98027489999999995</v>
      </c>
      <c r="Q7517">
        <v>0.1919583</v>
      </c>
      <c r="R7517">
        <v>4.7050170000000002E-2</v>
      </c>
      <c r="S7517">
        <v>3.117416</v>
      </c>
      <c r="T7517">
        <v>-0.23195360000000001</v>
      </c>
      <c r="U7517">
        <v>-0.2341309</v>
      </c>
      <c r="V7517">
        <v>-6.3721740000000004E-3</v>
      </c>
      <c r="W7517">
        <v>0.1973607</v>
      </c>
      <c r="X7517">
        <v>0.98031020000000002</v>
      </c>
      <c r="Y7517">
        <v>0.11574420000000001</v>
      </c>
      <c r="Z7517">
        <v>-7.37118699999999E-3</v>
      </c>
      <c r="AA7517">
        <v>0.99325169999999996</v>
      </c>
      <c r="AB7517">
        <v>27</v>
      </c>
      <c r="AC7517">
        <v>0.61539999999996498</v>
      </c>
      <c r="AD7517">
        <v>-5.5639000000000001E-2</v>
      </c>
      <c r="AE7517">
        <v>-6.1959999999992001E-2</v>
      </c>
      <c r="AF7517">
        <v>8.6722055989246094E-2</v>
      </c>
      <c r="AG7517">
        <v>-5.5639000000000001E-2</v>
      </c>
      <c r="AH7517">
        <v>0.60738656529353896</v>
      </c>
      <c r="AI7517">
        <v>95.181652466232705</v>
      </c>
      <c r="AJ7517">
        <v>81.874284518694097</v>
      </c>
      <c r="AK7517">
        <v>0.61606400074593204</v>
      </c>
      <c r="AL7517">
        <v>78.617337424134206</v>
      </c>
      <c r="AM7517">
        <v>90.372426538653201</v>
      </c>
      <c r="AN7517">
        <v>0.99999996936500701</v>
      </c>
    </row>
    <row r="7518" spans="1:40" x14ac:dyDescent="0.25">
      <c r="A7518" t="str">
        <f>"20190312172259022"</f>
        <v>20190312172259022</v>
      </c>
      <c r="B7518" t="str">
        <f>"1552382579018216"</f>
        <v>1552382579018216</v>
      </c>
      <c r="C7518" t="s">
        <v>40</v>
      </c>
      <c r="D7518">
        <v>3.2218019999999998</v>
      </c>
      <c r="E7518">
        <v>0.55108080000000004</v>
      </c>
      <c r="F7518" t="s">
        <v>41</v>
      </c>
      <c r="G7518">
        <v>-256.12200000000001</v>
      </c>
      <c r="H7518">
        <v>1.0532779999999999</v>
      </c>
      <c r="I7518">
        <v>-63.977060000000002</v>
      </c>
      <c r="J7518">
        <v>-256.83629999999999</v>
      </c>
      <c r="K7518">
        <v>1.109424</v>
      </c>
      <c r="L7518">
        <v>-63.906219999999998</v>
      </c>
      <c r="M7518">
        <v>0.9991236</v>
      </c>
      <c r="N7518">
        <v>0</v>
      </c>
      <c r="O7518">
        <v>4.1490489999999998E-2</v>
      </c>
      <c r="P7518">
        <v>0.9802862</v>
      </c>
      <c r="Q7518">
        <v>0.19203419999999999</v>
      </c>
      <c r="R7518">
        <v>4.6492029999999997E-2</v>
      </c>
      <c r="S7518">
        <v>3.1113279999999999</v>
      </c>
      <c r="T7518">
        <v>-0.20301849999999999</v>
      </c>
      <c r="U7518">
        <v>-0.233429</v>
      </c>
      <c r="V7518">
        <v>-5.7882230000000003E-3</v>
      </c>
      <c r="W7518">
        <v>0.1974505</v>
      </c>
      <c r="X7518">
        <v>0.98029580000000005</v>
      </c>
      <c r="Y7518">
        <v>0.1157928</v>
      </c>
      <c r="Z7518">
        <v>-6.4696939999999998E-3</v>
      </c>
      <c r="AA7518">
        <v>0.99325229999999998</v>
      </c>
      <c r="AB7518">
        <v>27</v>
      </c>
      <c r="AC7518">
        <v>0.71429999999997995</v>
      </c>
      <c r="AD7518">
        <v>-5.61459999999998E-2</v>
      </c>
      <c r="AE7518">
        <v>-7.0839999999996905E-2</v>
      </c>
      <c r="AF7518">
        <v>9.9805475028626203E-2</v>
      </c>
      <c r="AG7518">
        <v>-5.61459999999998E-2</v>
      </c>
      <c r="AH7518">
        <v>0.70642360416525096</v>
      </c>
      <c r="AI7518">
        <v>94.499770136400301</v>
      </c>
      <c r="AJ7518">
        <v>81.958318567044003</v>
      </c>
      <c r="AK7518">
        <v>0.715645033996264</v>
      </c>
      <c r="AL7518">
        <v>78.6120896774556</v>
      </c>
      <c r="AM7518">
        <v>90.338302882417906</v>
      </c>
      <c r="AN7518">
        <v>1.00000002948669</v>
      </c>
    </row>
    <row r="7519" spans="1:40" x14ac:dyDescent="0.25">
      <c r="A7519" t="str">
        <f>"20190312172259033"</f>
        <v>20190312172259033</v>
      </c>
      <c r="B7519" t="str">
        <f>"1552382579027975"</f>
        <v>1552382579027975</v>
      </c>
      <c r="C7519" t="s">
        <v>40</v>
      </c>
      <c r="D7519">
        <v>3.2872439999999998</v>
      </c>
      <c r="E7519">
        <v>0.55076590000000003</v>
      </c>
      <c r="F7519" t="s">
        <v>41</v>
      </c>
      <c r="G7519">
        <v>-255.87870000000001</v>
      </c>
      <c r="H7519">
        <v>1.04946299999999</v>
      </c>
      <c r="I7519">
        <v>-63.977919999999997</v>
      </c>
      <c r="J7519">
        <v>-256.69490000000002</v>
      </c>
      <c r="K7519">
        <v>1.109424</v>
      </c>
      <c r="L7519">
        <v>-63.900300000000001</v>
      </c>
      <c r="M7519">
        <v>0.99912250000000002</v>
      </c>
      <c r="N7519">
        <v>0</v>
      </c>
      <c r="O7519">
        <v>4.1516200000000003E-2</v>
      </c>
      <c r="P7519">
        <v>0.98034239999999995</v>
      </c>
      <c r="Q7519">
        <v>0.1918985</v>
      </c>
      <c r="R7519">
        <v>4.586639E-2</v>
      </c>
      <c r="S7519">
        <v>3.109467</v>
      </c>
      <c r="T7519">
        <v>-0.19461880000000001</v>
      </c>
      <c r="U7519">
        <v>-0.23208619999999999</v>
      </c>
      <c r="V7519">
        <v>-5.1353370000000002E-3</v>
      </c>
      <c r="W7519">
        <v>0.19732849999999999</v>
      </c>
      <c r="X7519">
        <v>0.98032399999999997</v>
      </c>
      <c r="Y7519">
        <v>0.11546339999999999</v>
      </c>
      <c r="Z7519">
        <v>-6.1976569999999996E-3</v>
      </c>
      <c r="AA7519">
        <v>0.99329239999999996</v>
      </c>
      <c r="AB7519">
        <v>27</v>
      </c>
      <c r="AC7519">
        <v>0.81620000000000903</v>
      </c>
      <c r="AD7519">
        <v>-5.9961000000000098E-2</v>
      </c>
      <c r="AE7519">
        <v>-7.7619999999995998E-2</v>
      </c>
      <c r="AF7519">
        <v>0.110846253271237</v>
      </c>
      <c r="AG7519">
        <v>-5.9961000000000098E-2</v>
      </c>
      <c r="AH7519">
        <v>0.80795238095375299</v>
      </c>
      <c r="AI7519">
        <v>94.205094663697494</v>
      </c>
      <c r="AJ7519">
        <v>82.188128996456598</v>
      </c>
      <c r="AK7519">
        <v>0.81772199632522402</v>
      </c>
      <c r="AL7519">
        <v>78.619220020304695</v>
      </c>
      <c r="AM7519">
        <v>90.300135919531996</v>
      </c>
      <c r="AN7519">
        <v>1.00000002678717</v>
      </c>
    </row>
    <row r="7520" spans="1:40" x14ac:dyDescent="0.25">
      <c r="A7520" t="str">
        <f>"20190312172259045"</f>
        <v>20190312172259045</v>
      </c>
      <c r="B7520" t="str">
        <f>"1552382579037735"</f>
        <v>1552382579037735</v>
      </c>
      <c r="C7520" t="s">
        <v>40</v>
      </c>
      <c r="D7520">
        <v>3.2779020000000001</v>
      </c>
      <c r="E7520">
        <v>0.55037550000000002</v>
      </c>
      <c r="F7520" t="s">
        <v>76</v>
      </c>
      <c r="G7520">
        <v>-238.3175</v>
      </c>
      <c r="H7520" s="1">
        <v>-3.571309E-6</v>
      </c>
      <c r="I7520">
        <v>-65.269970000000001</v>
      </c>
      <c r="J7520">
        <v>-256.5598</v>
      </c>
      <c r="K7520">
        <v>1.1094219999999999</v>
      </c>
      <c r="L7520">
        <v>-63.894680000000001</v>
      </c>
      <c r="M7520">
        <v>0.9991215</v>
      </c>
      <c r="N7520">
        <v>0</v>
      </c>
      <c r="O7520">
        <v>4.1540250000000001E-2</v>
      </c>
      <c r="P7520">
        <v>0.98037799999999997</v>
      </c>
      <c r="Q7520">
        <v>0.19188959999999999</v>
      </c>
      <c r="R7520">
        <v>4.5142740000000001E-2</v>
      </c>
      <c r="S7520">
        <v>3.1077119999999998</v>
      </c>
      <c r="T7520">
        <v>-0.18761059999999999</v>
      </c>
      <c r="U7520">
        <v>-0.23162840000000001</v>
      </c>
      <c r="V7520">
        <v>-4.387869E-3</v>
      </c>
      <c r="W7520">
        <v>0.1973327</v>
      </c>
      <c r="X7520">
        <v>0.98032680000000005</v>
      </c>
      <c r="Y7520">
        <v>0.1154047</v>
      </c>
      <c r="Z7520">
        <v>-5.9779630000000002E-3</v>
      </c>
      <c r="AA7520">
        <v>0.99330059999999998</v>
      </c>
      <c r="AB7520">
        <v>27</v>
      </c>
      <c r="AC7520">
        <v>18.2423</v>
      </c>
      <c r="AD7520">
        <v>-1.109425571309</v>
      </c>
      <c r="AE7520">
        <v>-1.3752899999999899</v>
      </c>
      <c r="AF7520">
        <v>2.12409240209475</v>
      </c>
      <c r="AG7520">
        <v>-1.109425571309</v>
      </c>
      <c r="AH7520">
        <v>18.102845816590101</v>
      </c>
      <c r="AI7520">
        <v>93.483127065331402</v>
      </c>
      <c r="AJ7520">
        <v>83.307815040022504</v>
      </c>
      <c r="AK7520">
        <v>18.2607672426474</v>
      </c>
      <c r="AL7520">
        <v>78.618974719232298</v>
      </c>
      <c r="AM7520">
        <v>90.256449885785898</v>
      </c>
      <c r="AN7520">
        <v>1.00000004134094</v>
      </c>
    </row>
    <row r="7521" spans="1:40" x14ac:dyDescent="0.25">
      <c r="A7521" t="str">
        <f>"20190312172259055"</f>
        <v>20190312172259055</v>
      </c>
      <c r="B7521" t="str">
        <f>"1552382579048471"</f>
        <v>1552382579048471</v>
      </c>
      <c r="C7521" t="s">
        <v>40</v>
      </c>
      <c r="D7521">
        <v>3.2680899999999999</v>
      </c>
      <c r="E7521">
        <v>0.54999980000000004</v>
      </c>
      <c r="F7521" t="s">
        <v>41</v>
      </c>
      <c r="G7521">
        <v>-255.62649999999999</v>
      </c>
      <c r="H7521">
        <v>1.054837</v>
      </c>
      <c r="I7521">
        <v>-63.964329999999997</v>
      </c>
      <c r="J7521">
        <v>-256.41879999999998</v>
      </c>
      <c r="K7521">
        <v>1.109415</v>
      </c>
      <c r="L7521">
        <v>-63.888759999999998</v>
      </c>
      <c r="M7521">
        <v>0.99912040000000002</v>
      </c>
      <c r="N7521">
        <v>0</v>
      </c>
      <c r="O7521">
        <v>4.1565659999999997E-2</v>
      </c>
      <c r="P7521">
        <v>0.98046520000000004</v>
      </c>
      <c r="Q7521">
        <v>0.19158919999999999</v>
      </c>
      <c r="R7521">
        <v>4.4518710000000003E-2</v>
      </c>
      <c r="S7521">
        <v>3.1062319999999999</v>
      </c>
      <c r="T7521">
        <v>-0.18160950000000001</v>
      </c>
      <c r="U7521">
        <v>-0.2311096</v>
      </c>
      <c r="V7521">
        <v>-3.7359870000000001E-3</v>
      </c>
      <c r="W7521">
        <v>0.19704659999999999</v>
      </c>
      <c r="X7521">
        <v>0.98038700000000001</v>
      </c>
      <c r="Y7521">
        <v>0.1153178</v>
      </c>
      <c r="Z7521">
        <v>-5.7888030000000004E-3</v>
      </c>
      <c r="AA7521">
        <v>0.99331179999999997</v>
      </c>
      <c r="AB7521">
        <v>27</v>
      </c>
      <c r="AC7521">
        <v>0.79229999999998302</v>
      </c>
      <c r="AD7521">
        <v>-5.4578000000000002E-2</v>
      </c>
      <c r="AE7521">
        <v>-7.5570000000006105E-2</v>
      </c>
      <c r="AF7521">
        <v>0.107930132333649</v>
      </c>
      <c r="AG7521">
        <v>-5.4578000000000002E-2</v>
      </c>
      <c r="AH7521">
        <v>0.78478369349821098</v>
      </c>
      <c r="AI7521">
        <v>93.941265932616602</v>
      </c>
      <c r="AJ7521">
        <v>82.169320282684694</v>
      </c>
      <c r="AK7521">
        <v>0.79404856093960197</v>
      </c>
      <c r="AL7521">
        <v>78.635694810547704</v>
      </c>
      <c r="AM7521">
        <v>90.218337504756093</v>
      </c>
      <c r="AN7521">
        <v>0.99999999496971204</v>
      </c>
    </row>
    <row r="7522" spans="1:40" x14ac:dyDescent="0.25">
      <c r="A7522" t="str">
        <f>"20190312172259066"</f>
        <v>20190312172259066</v>
      </c>
      <c r="B7522" t="str">
        <f>"1552382579058231"</f>
        <v>1552382579058231</v>
      </c>
      <c r="C7522" t="s">
        <v>40</v>
      </c>
      <c r="D7522">
        <v>3.2701319999999998</v>
      </c>
      <c r="E7522">
        <v>0.54978039999999995</v>
      </c>
      <c r="F7522" t="s">
        <v>76</v>
      </c>
      <c r="G7522">
        <v>-237.10230000000001</v>
      </c>
      <c r="H7522" s="1">
        <v>-3.167004E-6</v>
      </c>
      <c r="I7522">
        <v>-65.322069999999997</v>
      </c>
      <c r="J7522">
        <v>-256.29199999999997</v>
      </c>
      <c r="K7522">
        <v>1.1094139999999999</v>
      </c>
      <c r="L7522">
        <v>-63.883510000000001</v>
      </c>
      <c r="M7522">
        <v>0.99911930000000004</v>
      </c>
      <c r="N7522">
        <v>0</v>
      </c>
      <c r="O7522">
        <v>4.1588029999999998E-2</v>
      </c>
      <c r="P7522">
        <v>0.98052099999999998</v>
      </c>
      <c r="Q7522">
        <v>0.1914334</v>
      </c>
      <c r="R7522">
        <v>4.3953260000000001E-2</v>
      </c>
      <c r="S7522">
        <v>3.105057</v>
      </c>
      <c r="T7522">
        <v>-0.17833470000000001</v>
      </c>
      <c r="U7522">
        <v>-0.23040769999999999</v>
      </c>
      <c r="V7522">
        <v>-3.146112E-3</v>
      </c>
      <c r="W7522">
        <v>0.196904</v>
      </c>
      <c r="X7522">
        <v>0.98041769999999995</v>
      </c>
      <c r="Y7522">
        <v>0.1151541</v>
      </c>
      <c r="Z7522">
        <v>-5.6833680000000003E-3</v>
      </c>
      <c r="AA7522">
        <v>0.99333139999999998</v>
      </c>
      <c r="AB7522">
        <v>27</v>
      </c>
      <c r="AC7522">
        <v>19.189699999999998</v>
      </c>
      <c r="AD7522">
        <v>-1.1094171670039901</v>
      </c>
      <c r="AE7522">
        <v>-1.4385599999999901</v>
      </c>
      <c r="AF7522">
        <v>2.2279844815602199</v>
      </c>
      <c r="AG7522">
        <v>-1.1094171670039901</v>
      </c>
      <c r="AH7522">
        <v>19.049953582163301</v>
      </c>
      <c r="AI7522">
        <v>93.310471344580094</v>
      </c>
      <c r="AJ7522">
        <v>83.329285477571503</v>
      </c>
      <c r="AK7522">
        <v>19.2118570883476</v>
      </c>
      <c r="AL7522">
        <v>78.644028226353299</v>
      </c>
      <c r="AM7522">
        <v>90.183858696909098</v>
      </c>
      <c r="AN7522">
        <v>0.99999997485500203</v>
      </c>
    </row>
    <row r="7523" spans="1:40" x14ac:dyDescent="0.25">
      <c r="A7523" t="str">
        <f>"20190312172259076"</f>
        <v>20190312172259076</v>
      </c>
      <c r="B7523" t="str">
        <f>"1552382579067992"</f>
        <v>1552382579067992</v>
      </c>
      <c r="C7523" t="s">
        <v>40</v>
      </c>
      <c r="D7523">
        <v>3.2711860000000001</v>
      </c>
      <c r="E7523">
        <v>0.54963300000000004</v>
      </c>
      <c r="F7523" t="s">
        <v>76</v>
      </c>
      <c r="G7523">
        <v>-236.65260000000001</v>
      </c>
      <c r="H7523" s="1">
        <v>-3.0179069999999999E-6</v>
      </c>
      <c r="I7523">
        <v>-65.344279999999998</v>
      </c>
      <c r="J7523">
        <v>-256.1542</v>
      </c>
      <c r="K7523">
        <v>1.109415</v>
      </c>
      <c r="L7523">
        <v>-63.877749999999999</v>
      </c>
      <c r="M7523">
        <v>0.99911830000000001</v>
      </c>
      <c r="N7523">
        <v>0</v>
      </c>
      <c r="O7523">
        <v>4.1612129999999997E-2</v>
      </c>
      <c r="P7523">
        <v>0.98064240000000003</v>
      </c>
      <c r="Q7523">
        <v>0.19092529999999999</v>
      </c>
      <c r="R7523">
        <v>4.3455189999999998E-2</v>
      </c>
      <c r="S7523">
        <v>3.104187</v>
      </c>
      <c r="T7523">
        <v>-0.17535319999999999</v>
      </c>
      <c r="U7523">
        <v>-0.23089599999999999</v>
      </c>
      <c r="V7523">
        <v>-2.6195039999999999E-3</v>
      </c>
      <c r="W7523">
        <v>0.19641030000000001</v>
      </c>
      <c r="X7523">
        <v>0.98051829999999995</v>
      </c>
      <c r="Y7523">
        <v>0.1153621</v>
      </c>
      <c r="Z7523">
        <v>-5.5972499999999998E-3</v>
      </c>
      <c r="AA7523">
        <v>0.99330779999999996</v>
      </c>
      <c r="AB7523">
        <v>28</v>
      </c>
      <c r="AC7523">
        <v>19.5016</v>
      </c>
      <c r="AD7523">
        <v>-1.1094180179069999</v>
      </c>
      <c r="AE7523">
        <v>-1.4665299999999899</v>
      </c>
      <c r="AF7523">
        <v>2.2694720153979899</v>
      </c>
      <c r="AG7523">
        <v>-1.1094180179069999</v>
      </c>
      <c r="AH7523">
        <v>19.361374557170699</v>
      </c>
      <c r="AI7523">
        <v>93.257243434673398</v>
      </c>
      <c r="AJ7523">
        <v>83.314498421101405</v>
      </c>
      <c r="AK7523">
        <v>19.525474035479601</v>
      </c>
      <c r="AL7523">
        <v>78.672878847147601</v>
      </c>
      <c r="AM7523">
        <v>90.153068195212896</v>
      </c>
      <c r="AN7523">
        <v>1.00000000219109</v>
      </c>
    </row>
    <row r="7524" spans="1:40" x14ac:dyDescent="0.25">
      <c r="A7524" t="str">
        <f>"20190312172259088"</f>
        <v>20190312172259088</v>
      </c>
      <c r="B7524" t="str">
        <f>"1552382579077751"</f>
        <v>1552382579077751</v>
      </c>
      <c r="C7524" t="s">
        <v>40</v>
      </c>
      <c r="D7524">
        <v>3.248923</v>
      </c>
      <c r="E7524">
        <v>0.54951510000000003</v>
      </c>
      <c r="F7524" t="s">
        <v>76</v>
      </c>
      <c r="G7524">
        <v>-236.32759999999999</v>
      </c>
      <c r="H7524" s="1">
        <v>-2.9100169999999999E-6</v>
      </c>
      <c r="I7524">
        <v>-65.359470000000002</v>
      </c>
      <c r="J7524">
        <v>-256.02050000000003</v>
      </c>
      <c r="K7524">
        <v>1.1094170000000001</v>
      </c>
      <c r="L7524">
        <v>-63.872129999999999</v>
      </c>
      <c r="M7524">
        <v>0.99911709999999998</v>
      </c>
      <c r="N7524">
        <v>0</v>
      </c>
      <c r="O7524">
        <v>4.1635159999999997E-2</v>
      </c>
      <c r="P7524">
        <v>0.9807091</v>
      </c>
      <c r="Q7524">
        <v>0.19067529999999999</v>
      </c>
      <c r="R7524">
        <v>4.304268E-2</v>
      </c>
      <c r="S7524">
        <v>3.1033019999999998</v>
      </c>
      <c r="T7524">
        <v>-0.17364889999999999</v>
      </c>
      <c r="U7524">
        <v>-0.23193359999999999</v>
      </c>
      <c r="V7524">
        <v>-2.1819840000000001E-3</v>
      </c>
      <c r="W7524">
        <v>0.19617419999999999</v>
      </c>
      <c r="X7524">
        <v>0.98056659999999995</v>
      </c>
      <c r="Y7524">
        <v>0.1157402</v>
      </c>
      <c r="Z7524">
        <v>-5.5562889999999998E-3</v>
      </c>
      <c r="AA7524">
        <v>0.99326400000000004</v>
      </c>
      <c r="AB7524">
        <v>28</v>
      </c>
      <c r="AC7524">
        <v>19.692900000000002</v>
      </c>
      <c r="AD7524">
        <v>-1.1094199100169999</v>
      </c>
      <c r="AE7524">
        <v>-1.4873399999999899</v>
      </c>
      <c r="AF7524">
        <v>2.2987260293476801</v>
      </c>
      <c r="AG7524">
        <v>-1.1094199100169999</v>
      </c>
      <c r="AH7524">
        <v>19.552194961653601</v>
      </c>
      <c r="AI7524">
        <v>93.225395906119601</v>
      </c>
      <c r="AJ7524">
        <v>83.2945919012855</v>
      </c>
      <c r="AK7524">
        <v>19.718095286139</v>
      </c>
      <c r="AL7524">
        <v>78.686674375846593</v>
      </c>
      <c r="AM7524">
        <v>90.127495947564299</v>
      </c>
      <c r="AN7524">
        <v>0.99999996741768704</v>
      </c>
    </row>
    <row r="7525" spans="1:40" x14ac:dyDescent="0.25">
      <c r="A7525" t="str">
        <f>"20190312172259099"</f>
        <v>20190312172259099</v>
      </c>
      <c r="B7525" t="str">
        <f>"1552382579087510"</f>
        <v>1552382579087510</v>
      </c>
      <c r="C7525" t="s">
        <v>40</v>
      </c>
      <c r="D7525">
        <v>3.2353209999999999</v>
      </c>
      <c r="E7525">
        <v>0.54935469999999997</v>
      </c>
      <c r="F7525" t="s">
        <v>76</v>
      </c>
      <c r="G7525">
        <v>-235.96420000000001</v>
      </c>
      <c r="H7525" s="1">
        <v>-2.7896489999999998E-6</v>
      </c>
      <c r="I7525">
        <v>-65.378069999999994</v>
      </c>
      <c r="J7525">
        <v>-255.88040000000001</v>
      </c>
      <c r="K7525">
        <v>1.1094170000000001</v>
      </c>
      <c r="L7525">
        <v>-63.866300000000003</v>
      </c>
      <c r="M7525">
        <v>0.99911609999999995</v>
      </c>
      <c r="N7525">
        <v>0</v>
      </c>
      <c r="O7525">
        <v>4.1659189999999999E-2</v>
      </c>
      <c r="P7525">
        <v>0.98075440000000003</v>
      </c>
      <c r="Q7525">
        <v>0.19055710000000001</v>
      </c>
      <c r="R7525">
        <v>4.2530199999999997E-2</v>
      </c>
      <c r="S7525">
        <v>3.1025999999999998</v>
      </c>
      <c r="T7525">
        <v>-0.1716213</v>
      </c>
      <c r="U7525">
        <v>-0.23297119999999999</v>
      </c>
      <c r="V7525">
        <v>-1.6447790000000001E-3</v>
      </c>
      <c r="W7525">
        <v>0.19607079999999999</v>
      </c>
      <c r="X7525">
        <v>0.98058840000000003</v>
      </c>
      <c r="Y7525">
        <v>0.1161161</v>
      </c>
      <c r="Z7525">
        <v>-5.5043840000000002E-3</v>
      </c>
      <c r="AA7525">
        <v>0.9932204</v>
      </c>
      <c r="AB7525">
        <v>28</v>
      </c>
      <c r="AC7525">
        <v>19.9162</v>
      </c>
      <c r="AD7525">
        <v>-1.1094197896489999</v>
      </c>
      <c r="AE7525">
        <v>-1.5117699999999901</v>
      </c>
      <c r="AF7525">
        <v>2.3329657275919602</v>
      </c>
      <c r="AG7525">
        <v>-1.1094197896489999</v>
      </c>
      <c r="AH7525">
        <v>19.774920039842499</v>
      </c>
      <c r="AI7525">
        <v>93.188992744442999</v>
      </c>
      <c r="AJ7525">
        <v>83.271574940505005</v>
      </c>
      <c r="AK7525">
        <v>19.942943712951401</v>
      </c>
      <c r="AL7525">
        <v>78.692716891295802</v>
      </c>
      <c r="AM7525">
        <v>90.096104345668905</v>
      </c>
      <c r="AN7525">
        <v>1.0000000370625699</v>
      </c>
    </row>
    <row r="7526" spans="1:40" x14ac:dyDescent="0.25">
      <c r="A7526" t="str">
        <f>"20190312172259111"</f>
        <v>20190312172259111</v>
      </c>
      <c r="B7526" t="str">
        <f>"1552382579108007"</f>
        <v>1552382579108007</v>
      </c>
      <c r="C7526" t="s">
        <v>40</v>
      </c>
      <c r="D7526">
        <v>3.2233540000000001</v>
      </c>
      <c r="E7526">
        <v>0.54907220000000001</v>
      </c>
      <c r="F7526" t="s">
        <v>76</v>
      </c>
      <c r="G7526">
        <v>-235.56030000000001</v>
      </c>
      <c r="H7526" s="1">
        <v>-2.6559779999999999E-6</v>
      </c>
      <c r="I7526">
        <v>-65.399389999999997</v>
      </c>
      <c r="J7526">
        <v>-255.73920000000001</v>
      </c>
      <c r="K7526">
        <v>1.109416</v>
      </c>
      <c r="L7526">
        <v>-63.860379999999999</v>
      </c>
      <c r="M7526">
        <v>0.99911499999999998</v>
      </c>
      <c r="N7526">
        <v>0</v>
      </c>
      <c r="O7526">
        <v>4.168293E-2</v>
      </c>
      <c r="P7526">
        <v>0.98075369999999995</v>
      </c>
      <c r="Q7526">
        <v>0.190716</v>
      </c>
      <c r="R7526">
        <v>4.1826090000000003E-2</v>
      </c>
      <c r="S7526">
        <v>3.1019130000000001</v>
      </c>
      <c r="T7526">
        <v>-0.1693558</v>
      </c>
      <c r="U7526">
        <v>-0.23403930000000001</v>
      </c>
      <c r="V7526">
        <v>-9.1765870000000004E-4</v>
      </c>
      <c r="W7526">
        <v>0.1962448</v>
      </c>
      <c r="X7526">
        <v>0.9805545</v>
      </c>
      <c r="Y7526">
        <v>0.1165018</v>
      </c>
      <c r="Z7526">
        <v>-5.4447599999999999E-3</v>
      </c>
      <c r="AA7526">
        <v>0.99317560000000005</v>
      </c>
      <c r="AB7526">
        <v>28</v>
      </c>
      <c r="AC7526">
        <v>20.178899999999999</v>
      </c>
      <c r="AD7526">
        <v>-1.1094186559779999</v>
      </c>
      <c r="AE7526">
        <v>-1.53900999999999</v>
      </c>
      <c r="AF7526">
        <v>2.3716740013730102</v>
      </c>
      <c r="AG7526">
        <v>-1.1094186559779999</v>
      </c>
      <c r="AH7526">
        <v>20.036994589950801</v>
      </c>
      <c r="AI7526">
        <v>93.147221095508698</v>
      </c>
      <c r="AJ7526">
        <v>83.249606863911694</v>
      </c>
      <c r="AK7526">
        <v>20.207345187350601</v>
      </c>
      <c r="AL7526">
        <v>78.6825494292477</v>
      </c>
      <c r="AM7526">
        <v>90.053620635256493</v>
      </c>
      <c r="AN7526">
        <v>0.99999999554738905</v>
      </c>
    </row>
    <row r="7527" spans="1:40" x14ac:dyDescent="0.25">
      <c r="A7527" t="str">
        <f>"20190312172259122"</f>
        <v>20190312172259122</v>
      </c>
      <c r="B7527" t="str">
        <f>"1552382579117767"</f>
        <v>1552382579117767</v>
      </c>
      <c r="C7527" t="s">
        <v>40</v>
      </c>
      <c r="D7527">
        <v>3.2365719999999998</v>
      </c>
      <c r="E7527">
        <v>0.54885680000000003</v>
      </c>
      <c r="F7527" t="s">
        <v>76</v>
      </c>
      <c r="G7527">
        <v>-234.99369999999999</v>
      </c>
      <c r="H7527" s="1">
        <v>-2.468349E-6</v>
      </c>
      <c r="I7527">
        <v>-65.428600000000003</v>
      </c>
      <c r="J7527">
        <v>-255.59729999999999</v>
      </c>
      <c r="K7527">
        <v>1.1094090000000001</v>
      </c>
      <c r="L7527">
        <v>-63.854430000000001</v>
      </c>
      <c r="M7527">
        <v>0.9991139</v>
      </c>
      <c r="N7527">
        <v>0</v>
      </c>
      <c r="O7527">
        <v>4.1706849999999997E-2</v>
      </c>
      <c r="P7527">
        <v>0.98075409999999996</v>
      </c>
      <c r="Q7527">
        <v>0.19088069999999999</v>
      </c>
      <c r="R7527">
        <v>4.106228E-2</v>
      </c>
      <c r="S7527">
        <v>3.1011510000000002</v>
      </c>
      <c r="T7527">
        <v>-0.16584189999999999</v>
      </c>
      <c r="U7527">
        <v>-0.23443600000000001</v>
      </c>
      <c r="V7527">
        <v>-1.3167690000000001E-4</v>
      </c>
      <c r="W7527">
        <v>0.1964243</v>
      </c>
      <c r="X7527">
        <v>0.98051900000000003</v>
      </c>
      <c r="Y7527">
        <v>0.11667950000000001</v>
      </c>
      <c r="Z7527">
        <v>-5.3392500000000002E-3</v>
      </c>
      <c r="AA7527">
        <v>0.99315529999999996</v>
      </c>
      <c r="AB7527">
        <v>28</v>
      </c>
      <c r="AC7527">
        <v>20.6036</v>
      </c>
      <c r="AD7527">
        <v>-1.109411468349</v>
      </c>
      <c r="AE7527">
        <v>-1.5741699999999901</v>
      </c>
      <c r="AF7527">
        <v>2.4251347572417701</v>
      </c>
      <c r="AG7527">
        <v>-1.109411468349</v>
      </c>
      <c r="AH7527">
        <v>20.4610381096651</v>
      </c>
      <c r="AI7527">
        <v>93.082046452200601</v>
      </c>
      <c r="AJ7527">
        <v>83.240579675825501</v>
      </c>
      <c r="AK7527">
        <v>20.634101698936401</v>
      </c>
      <c r="AL7527">
        <v>78.672060930817096</v>
      </c>
      <c r="AM7527">
        <v>90.0076944256909</v>
      </c>
      <c r="AN7527">
        <v>1.0000000161651399</v>
      </c>
    </row>
    <row r="7528" spans="1:40" x14ac:dyDescent="0.25">
      <c r="A7528" t="str">
        <f>"20190312172259133"</f>
        <v>20190312172259133</v>
      </c>
      <c r="B7528" t="str">
        <f>"1552382579128503"</f>
        <v>1552382579128503</v>
      </c>
      <c r="C7528" t="s">
        <v>40</v>
      </c>
      <c r="D7528">
        <v>3.220202</v>
      </c>
      <c r="E7528">
        <v>0.54868479999999997</v>
      </c>
      <c r="F7528" t="s">
        <v>76</v>
      </c>
      <c r="G7528">
        <v>-234.62309999999999</v>
      </c>
      <c r="H7528" s="1">
        <v>-2.3175229999999998E-6</v>
      </c>
      <c r="I7528">
        <v>-65.446399999999997</v>
      </c>
      <c r="J7528">
        <v>-255.45949999999999</v>
      </c>
      <c r="K7528">
        <v>1.10941</v>
      </c>
      <c r="L7528">
        <v>-63.848660000000002</v>
      </c>
      <c r="M7528">
        <v>0.99911289999999997</v>
      </c>
      <c r="N7528">
        <v>0</v>
      </c>
      <c r="O7528">
        <v>4.1729750000000003E-2</v>
      </c>
      <c r="P7528">
        <v>0.98080869999999998</v>
      </c>
      <c r="Q7528">
        <v>0.1907529</v>
      </c>
      <c r="R7528">
        <v>4.0344100000000001E-2</v>
      </c>
      <c r="S7528">
        <v>3.1006320000000001</v>
      </c>
      <c r="T7528">
        <v>-0.1640056</v>
      </c>
      <c r="U7528">
        <v>-0.23535159999999999</v>
      </c>
      <c r="V7528">
        <v>6.1099629999999895E-4</v>
      </c>
      <c r="W7528">
        <v>0.1963116</v>
      </c>
      <c r="X7528">
        <v>0.98054129999999995</v>
      </c>
      <c r="Y7528">
        <v>0.1170107</v>
      </c>
      <c r="Z7528">
        <v>-5.2909910000000001E-3</v>
      </c>
      <c r="AA7528">
        <v>0.99311660000000002</v>
      </c>
      <c r="AB7528">
        <v>28</v>
      </c>
      <c r="AC7528">
        <v>20.836400000000001</v>
      </c>
      <c r="AD7528">
        <v>-1.109412317523</v>
      </c>
      <c r="AE7528">
        <v>-1.5977399999999999</v>
      </c>
      <c r="AF7528">
        <v>2.4589297946697801</v>
      </c>
      <c r="AG7528">
        <v>-1.109412317523</v>
      </c>
      <c r="AH7528">
        <v>20.6932544181069</v>
      </c>
      <c r="AI7528">
        <v>93.047420238021402</v>
      </c>
      <c r="AJ7528">
        <v>83.223455648874193</v>
      </c>
      <c r="AK7528">
        <v>20.868347079677498</v>
      </c>
      <c r="AL7528">
        <v>78.678645385622204</v>
      </c>
      <c r="AM7528">
        <v>89.9642977763841</v>
      </c>
      <c r="AN7528">
        <v>0.99999992930836101</v>
      </c>
    </row>
    <row r="7529" spans="1:40" x14ac:dyDescent="0.25">
      <c r="A7529" t="str">
        <f>"20190312172259145"</f>
        <v>20190312172259145</v>
      </c>
      <c r="B7529" t="str">
        <f>"1552382579138266"</f>
        <v>1552382579138266</v>
      </c>
      <c r="C7529" t="s">
        <v>40</v>
      </c>
      <c r="D7529">
        <v>3.2191869999999998</v>
      </c>
      <c r="E7529">
        <v>0.54847999999999997</v>
      </c>
      <c r="F7529" t="s">
        <v>76</v>
      </c>
      <c r="G7529">
        <v>-234.3629</v>
      </c>
      <c r="H7529" s="1">
        <v>-2.2086060000000001E-6</v>
      </c>
      <c r="I7529">
        <v>-65.456630000000004</v>
      </c>
      <c r="J7529">
        <v>-255.31819999999999</v>
      </c>
      <c r="K7529">
        <v>1.109413</v>
      </c>
      <c r="L7529">
        <v>-63.842709999999997</v>
      </c>
      <c r="M7529">
        <v>0.999112</v>
      </c>
      <c r="N7529">
        <v>0</v>
      </c>
      <c r="O7529">
        <v>4.1753129999999999E-2</v>
      </c>
      <c r="P7529">
        <v>0.98088629999999999</v>
      </c>
      <c r="Q7529">
        <v>0.190553</v>
      </c>
      <c r="R7529">
        <v>3.9393249999999998E-2</v>
      </c>
      <c r="S7529">
        <v>3.1001280000000002</v>
      </c>
      <c r="T7529">
        <v>-0.16302739999999999</v>
      </c>
      <c r="U7529">
        <v>-0.2362976</v>
      </c>
      <c r="V7529">
        <v>1.5872499999999999E-3</v>
      </c>
      <c r="W7529">
        <v>0.19612750000000001</v>
      </c>
      <c r="X7529">
        <v>0.98057709999999998</v>
      </c>
      <c r="Y7529">
        <v>0.1173495</v>
      </c>
      <c r="Z7529">
        <v>-5.2703849999999998E-3</v>
      </c>
      <c r="AA7529">
        <v>0.99307670000000003</v>
      </c>
      <c r="AB7529">
        <v>28</v>
      </c>
      <c r="AC7529">
        <v>20.955299999999902</v>
      </c>
      <c r="AD7529">
        <v>-1.1094152086059901</v>
      </c>
      <c r="AE7529">
        <v>-1.61392</v>
      </c>
      <c r="AF7529">
        <v>2.4805642027553199</v>
      </c>
      <c r="AG7529">
        <v>-1.1094152086059901</v>
      </c>
      <c r="AH7529">
        <v>20.811650175855199</v>
      </c>
      <c r="AI7529">
        <v>93.029994976882904</v>
      </c>
      <c r="AJ7529">
        <v>83.202917620372006</v>
      </c>
      <c r="AK7529">
        <v>20.988301120177699</v>
      </c>
      <c r="AL7529">
        <v>78.689403268634393</v>
      </c>
      <c r="AM7529">
        <v>89.907255995878103</v>
      </c>
      <c r="AN7529">
        <v>0.99999998233161103</v>
      </c>
    </row>
    <row r="7530" spans="1:40" x14ac:dyDescent="0.25">
      <c r="A7530" t="str">
        <f>"20190312172259155"</f>
        <v>20190312172259155</v>
      </c>
      <c r="B7530" t="str">
        <f>"1552382579148023"</f>
        <v>1552382579148023</v>
      </c>
      <c r="C7530" t="s">
        <v>40</v>
      </c>
      <c r="D7530">
        <v>3.2082299999999999</v>
      </c>
      <c r="E7530">
        <v>0.54832919999999996</v>
      </c>
      <c r="F7530" t="s">
        <v>76</v>
      </c>
      <c r="G7530">
        <v>-234.09049999999999</v>
      </c>
      <c r="H7530" s="1">
        <v>-2.0957589999999998E-6</v>
      </c>
      <c r="I7530">
        <v>-65.47166</v>
      </c>
      <c r="J7530">
        <v>-255.1771</v>
      </c>
      <c r="K7530">
        <v>1.1094189999999999</v>
      </c>
      <c r="L7530">
        <v>-63.836820000000003</v>
      </c>
      <c r="M7530">
        <v>0.99911079999999997</v>
      </c>
      <c r="N7530">
        <v>0</v>
      </c>
      <c r="O7530">
        <v>4.1776510000000003E-2</v>
      </c>
      <c r="P7530">
        <v>0.98094800000000004</v>
      </c>
      <c r="Q7530">
        <v>0.19038869999999999</v>
      </c>
      <c r="R7530">
        <v>3.8642919999999997E-2</v>
      </c>
      <c r="S7530">
        <v>3.099472</v>
      </c>
      <c r="T7530">
        <v>-0.16198679999999999</v>
      </c>
      <c r="U7530">
        <v>-0.23785400000000001</v>
      </c>
      <c r="V7530">
        <v>2.362463E-3</v>
      </c>
      <c r="W7530">
        <v>0.19597829999999999</v>
      </c>
      <c r="X7530">
        <v>0.98060539999999996</v>
      </c>
      <c r="Y7530">
        <v>0.1178863</v>
      </c>
      <c r="Z7530">
        <v>-5.2530179999999999E-3</v>
      </c>
      <c r="AA7530">
        <v>0.99301320000000004</v>
      </c>
      <c r="AB7530">
        <v>28</v>
      </c>
      <c r="AC7530">
        <v>21.086600000000001</v>
      </c>
      <c r="AD7530">
        <v>-1.1094210957590001</v>
      </c>
      <c r="AE7530">
        <v>-1.6348400000000001</v>
      </c>
      <c r="AF7530">
        <v>2.5074521299011301</v>
      </c>
      <c r="AG7530">
        <v>-1.1094210957590001</v>
      </c>
      <c r="AH7530">
        <v>20.942267729643302</v>
      </c>
      <c r="AI7530">
        <v>93.010956308051902</v>
      </c>
      <c r="AJ7530">
        <v>83.172384506857597</v>
      </c>
      <c r="AK7530">
        <v>21.121001610044999</v>
      </c>
      <c r="AL7530">
        <v>78.698121331049705</v>
      </c>
      <c r="AM7530">
        <v>89.861963948726498</v>
      </c>
      <c r="AN7530">
        <v>1.00000001290573</v>
      </c>
    </row>
    <row r="7531" spans="1:40" x14ac:dyDescent="0.25">
      <c r="A7531" t="str">
        <f>"20190312172259166"</f>
        <v>20190312172259166</v>
      </c>
      <c r="B7531" t="str">
        <f>"1552382579157784"</f>
        <v>1552382579157784</v>
      </c>
      <c r="C7531" t="s">
        <v>40</v>
      </c>
      <c r="D7531">
        <v>3.217139</v>
      </c>
      <c r="E7531">
        <v>0.54819700000000005</v>
      </c>
      <c r="F7531" t="s">
        <v>76</v>
      </c>
      <c r="G7531">
        <v>-233.8236</v>
      </c>
      <c r="H7531" s="1">
        <v>-1.985083E-6</v>
      </c>
      <c r="I7531">
        <v>-65.486019999999996</v>
      </c>
      <c r="J7531">
        <v>-255.04300000000001</v>
      </c>
      <c r="K7531">
        <v>1.1094189999999999</v>
      </c>
      <c r="L7531">
        <v>-63.831209999999999</v>
      </c>
      <c r="M7531">
        <v>0.9991099</v>
      </c>
      <c r="N7531">
        <v>0</v>
      </c>
      <c r="O7531">
        <v>4.1798399999999999E-2</v>
      </c>
      <c r="P7531">
        <v>0.98101210000000005</v>
      </c>
      <c r="Q7531">
        <v>0.19025120000000001</v>
      </c>
      <c r="R7531">
        <v>3.7683370000000001E-2</v>
      </c>
      <c r="S7531">
        <v>3.098938</v>
      </c>
      <c r="T7531">
        <v>-0.1610055</v>
      </c>
      <c r="U7531">
        <v>-0.23934939999999999</v>
      </c>
      <c r="V7531">
        <v>3.3453089999999999E-3</v>
      </c>
      <c r="W7531">
        <v>0.1958558</v>
      </c>
      <c r="X7531">
        <v>0.98062700000000003</v>
      </c>
      <c r="Y7531">
        <v>0.1183993</v>
      </c>
      <c r="Z7531">
        <v>-5.2364769999999998E-3</v>
      </c>
      <c r="AA7531">
        <v>0.99295219999999995</v>
      </c>
      <c r="AB7531">
        <v>28</v>
      </c>
      <c r="AC7531">
        <v>21.2194</v>
      </c>
      <c r="AD7531">
        <v>-1.1094209850829999</v>
      </c>
      <c r="AE7531">
        <v>-1.6548099999999899</v>
      </c>
      <c r="AF7531">
        <v>2.5334316594457502</v>
      </c>
      <c r="AG7531">
        <v>-1.1094209850829999</v>
      </c>
      <c r="AH7531">
        <v>21.074425802702599</v>
      </c>
      <c r="AI7531">
        <v>92.991938448195896</v>
      </c>
      <c r="AJ7531">
        <v>83.145164748553498</v>
      </c>
      <c r="AK7531">
        <v>21.2551291176704</v>
      </c>
      <c r="AL7531">
        <v>78.705278616166495</v>
      </c>
      <c r="AM7531">
        <v>89.804542049795003</v>
      </c>
      <c r="AN7531">
        <v>0.99999999930747197</v>
      </c>
    </row>
    <row r="7532" spans="1:40" x14ac:dyDescent="0.25">
      <c r="A7532" t="str">
        <f>"20190312172259177"</f>
        <v>20190312172259177</v>
      </c>
      <c r="B7532" t="str">
        <f>"1552382579167543"</f>
        <v>1552382579167543</v>
      </c>
      <c r="C7532" t="s">
        <v>40</v>
      </c>
      <c r="D7532">
        <v>3.2166079999999999</v>
      </c>
      <c r="E7532">
        <v>0.54816469999999995</v>
      </c>
      <c r="F7532" t="s">
        <v>76</v>
      </c>
      <c r="G7532">
        <v>-233.5573</v>
      </c>
      <c r="H7532" s="1">
        <v>-1.8765229999999999E-6</v>
      </c>
      <c r="I7532">
        <v>-65.507419999999996</v>
      </c>
      <c r="J7532">
        <v>-254.90469999999999</v>
      </c>
      <c r="K7532">
        <v>1.109418</v>
      </c>
      <c r="L7532">
        <v>-63.825380000000003</v>
      </c>
      <c r="M7532">
        <v>0.99910869999999996</v>
      </c>
      <c r="N7532">
        <v>0</v>
      </c>
      <c r="O7532">
        <v>4.1821120000000003E-2</v>
      </c>
      <c r="P7532">
        <v>0.98107630000000001</v>
      </c>
      <c r="Q7532">
        <v>0.1900761</v>
      </c>
      <c r="R7532">
        <v>3.6884489999999999E-2</v>
      </c>
      <c r="S7532">
        <v>3.098373</v>
      </c>
      <c r="T7532">
        <v>-0.15998519999999999</v>
      </c>
      <c r="U7532">
        <v>-0.24172969999999999</v>
      </c>
      <c r="V7532">
        <v>4.1684699999999996E-3</v>
      </c>
      <c r="W7532">
        <v>0.1956958</v>
      </c>
      <c r="X7532">
        <v>0.98065579999999997</v>
      </c>
      <c r="Y7532">
        <v>0.1191956</v>
      </c>
      <c r="Z7532">
        <v>-5.2258199999999999E-3</v>
      </c>
      <c r="AA7532">
        <v>0.99285699999999999</v>
      </c>
      <c r="AB7532">
        <v>28</v>
      </c>
      <c r="AC7532">
        <v>21.3474</v>
      </c>
      <c r="AD7532">
        <v>-1.1094198765229999</v>
      </c>
      <c r="AE7532">
        <v>-1.68203999999999</v>
      </c>
      <c r="AF7532">
        <v>2.5664662833606702</v>
      </c>
      <c r="AG7532">
        <v>-1.1094198765229999</v>
      </c>
      <c r="AH7532">
        <v>21.201468040673198</v>
      </c>
      <c r="AI7532">
        <v>92.973743926202005</v>
      </c>
      <c r="AJ7532">
        <v>83.097851307520401</v>
      </c>
      <c r="AK7532">
        <v>21.385037028860499</v>
      </c>
      <c r="AL7532">
        <v>78.714626965666895</v>
      </c>
      <c r="AM7532">
        <v>89.756454507706906</v>
      </c>
      <c r="AN7532">
        <v>1.0000000101767099</v>
      </c>
    </row>
    <row r="7533" spans="1:40" x14ac:dyDescent="0.25">
      <c r="A7533" t="str">
        <f>"20190312172259189"</f>
        <v>20190312172259189</v>
      </c>
      <c r="B7533" t="str">
        <f>"1552382579178279"</f>
        <v>1552382579178279</v>
      </c>
      <c r="C7533" t="s">
        <v>40</v>
      </c>
      <c r="D7533">
        <v>3.2129379999999998</v>
      </c>
      <c r="E7533">
        <v>0.54815599999999998</v>
      </c>
      <c r="F7533" t="s">
        <v>76</v>
      </c>
      <c r="G7533">
        <v>-233.4641</v>
      </c>
      <c r="H7533" s="1">
        <v>-1.839219E-6</v>
      </c>
      <c r="I7533">
        <v>-65.517430000000004</v>
      </c>
      <c r="J7533">
        <v>-254.76179999999999</v>
      </c>
      <c r="K7533">
        <v>1.1094189999999999</v>
      </c>
      <c r="L7533">
        <v>-63.8193699999999</v>
      </c>
      <c r="M7533">
        <v>0.99910779999999999</v>
      </c>
      <c r="N7533">
        <v>0</v>
      </c>
      <c r="O7533">
        <v>4.1844029999999997E-2</v>
      </c>
      <c r="P7533">
        <v>0.98116190000000003</v>
      </c>
      <c r="Q7533">
        <v>0.18979850000000001</v>
      </c>
      <c r="R7533">
        <v>3.6027579999999997E-2</v>
      </c>
      <c r="S7533">
        <v>3.0981290000000001</v>
      </c>
      <c r="T7533">
        <v>-0.1603098</v>
      </c>
      <c r="U7533">
        <v>-0.2445068</v>
      </c>
      <c r="V7533">
        <v>5.0508360000000004E-3</v>
      </c>
      <c r="W7533">
        <v>0.19543440000000001</v>
      </c>
      <c r="X7533">
        <v>0.98070380000000001</v>
      </c>
      <c r="Y7533">
        <v>0.1201068</v>
      </c>
      <c r="Z7533">
        <v>-5.2613499999999997E-3</v>
      </c>
      <c r="AA7533">
        <v>0.99274709999999999</v>
      </c>
      <c r="AB7533">
        <v>28</v>
      </c>
      <c r="AC7533">
        <v>21.297699999999899</v>
      </c>
      <c r="AD7533">
        <v>-1.1094208392189999</v>
      </c>
      <c r="AE7533">
        <v>-1.6980600000000099</v>
      </c>
      <c r="AF7533">
        <v>2.5808101237722401</v>
      </c>
      <c r="AG7533">
        <v>-1.1094208392189999</v>
      </c>
      <c r="AH7533">
        <v>21.150960814714001</v>
      </c>
      <c r="AI7533">
        <v>92.980490178796899</v>
      </c>
      <c r="AJ7533">
        <v>83.043239863078199</v>
      </c>
      <c r="AK7533">
        <v>21.336694656835299</v>
      </c>
      <c r="AL7533">
        <v>78.7298991943034</v>
      </c>
      <c r="AM7533">
        <v>89.704916992086197</v>
      </c>
      <c r="AN7533">
        <v>1.0000000294910401</v>
      </c>
    </row>
    <row r="7534" spans="1:40" x14ac:dyDescent="0.25">
      <c r="A7534" t="str">
        <f>"20190312172259200"</f>
        <v>20190312172259200</v>
      </c>
      <c r="B7534" t="str">
        <f>"1552382579197799"</f>
        <v>1552382579197799</v>
      </c>
      <c r="C7534" t="s">
        <v>40</v>
      </c>
      <c r="D7534">
        <v>3.2427619999999999</v>
      </c>
      <c r="E7534">
        <v>0.54785329999999999</v>
      </c>
      <c r="F7534" t="s">
        <v>76</v>
      </c>
      <c r="G7534">
        <v>-233.42420000000001</v>
      </c>
      <c r="H7534" s="1">
        <v>-1.823862E-6</v>
      </c>
      <c r="I7534">
        <v>-65.524059999999906</v>
      </c>
      <c r="J7534">
        <v>-254.61949999999999</v>
      </c>
      <c r="K7534">
        <v>1.1094170000000001</v>
      </c>
      <c r="L7534">
        <v>-63.813389999999998</v>
      </c>
      <c r="M7534">
        <v>0.99910659999999896</v>
      </c>
      <c r="N7534">
        <v>0</v>
      </c>
      <c r="O7534">
        <v>4.1867099999999997E-2</v>
      </c>
      <c r="P7534">
        <v>0.98123740000000004</v>
      </c>
      <c r="Q7534">
        <v>0.18955949999999999</v>
      </c>
      <c r="R7534">
        <v>3.5221660000000002E-2</v>
      </c>
      <c r="S7534">
        <v>3.0978089999999998</v>
      </c>
      <c r="T7534">
        <v>-0.16106690000000001</v>
      </c>
      <c r="U7534">
        <v>-0.24749760000000001</v>
      </c>
      <c r="V7534">
        <v>5.8817990000000001E-3</v>
      </c>
      <c r="W7534">
        <v>0.19521140000000001</v>
      </c>
      <c r="X7534">
        <v>0.98074360000000005</v>
      </c>
      <c r="Y7534">
        <v>0.12108670000000001</v>
      </c>
      <c r="Z7534">
        <v>-5.3131380000000002E-3</v>
      </c>
      <c r="AA7534">
        <v>0.9926277</v>
      </c>
      <c r="AB7534">
        <v>28</v>
      </c>
      <c r="AC7534">
        <v>21.1952999999999</v>
      </c>
      <c r="AD7534">
        <v>-1.109418823862</v>
      </c>
      <c r="AE7534">
        <v>-1.7106699999999799</v>
      </c>
      <c r="AF7534">
        <v>2.5895217254638601</v>
      </c>
      <c r="AG7534">
        <v>-1.109418823862</v>
      </c>
      <c r="AH7534">
        <v>21.047800489623398</v>
      </c>
      <c r="AI7534">
        <v>92.994701144223697</v>
      </c>
      <c r="AJ7534">
        <v>82.986117602340002</v>
      </c>
      <c r="AK7534">
        <v>21.2354971296737</v>
      </c>
      <c r="AL7534">
        <v>78.742927289544795</v>
      </c>
      <c r="AM7534">
        <v>89.656384993628095</v>
      </c>
      <c r="AN7534">
        <v>1.00000004759519</v>
      </c>
    </row>
    <row r="7535" spans="1:40" x14ac:dyDescent="0.25">
      <c r="A7535" t="str">
        <f>"20190312172259211"</f>
        <v>20190312172259211</v>
      </c>
      <c r="B7535" t="str">
        <f>"1552382579207559"</f>
        <v>1552382579207559</v>
      </c>
      <c r="C7535" t="s">
        <v>40</v>
      </c>
      <c r="D7535">
        <v>3.1877279999999999</v>
      </c>
      <c r="E7535">
        <v>0.54768719999999904</v>
      </c>
      <c r="F7535" t="s">
        <v>76</v>
      </c>
      <c r="G7535">
        <v>-233.11269999999999</v>
      </c>
      <c r="H7535" s="1">
        <v>-1.6933580000000001E-6</v>
      </c>
      <c r="I7535">
        <v>-65.535780000000003</v>
      </c>
      <c r="J7535">
        <v>-254.47630000000001</v>
      </c>
      <c r="K7535">
        <v>1.109416</v>
      </c>
      <c r="L7535">
        <v>-63.807369999999999</v>
      </c>
      <c r="M7535">
        <v>0.99910560000000004</v>
      </c>
      <c r="N7535">
        <v>0</v>
      </c>
      <c r="O7535">
        <v>4.1890120000000003E-2</v>
      </c>
      <c r="P7535">
        <v>0.98133079999999995</v>
      </c>
      <c r="Q7535">
        <v>0.1892614</v>
      </c>
      <c r="R7535">
        <v>3.4209709999999997E-2</v>
      </c>
      <c r="S7535">
        <v>3.097137</v>
      </c>
      <c r="T7535">
        <v>-0.15976489999999999</v>
      </c>
      <c r="U7535">
        <v>-0.24804689999999999</v>
      </c>
      <c r="V7535">
        <v>6.9193719999999896E-3</v>
      </c>
      <c r="W7535">
        <v>0.19492979999999999</v>
      </c>
      <c r="X7535">
        <v>0.98079280000000002</v>
      </c>
      <c r="Y7535">
        <v>0.1213047</v>
      </c>
      <c r="Z7535">
        <v>-5.2781420000000004E-3</v>
      </c>
      <c r="AA7535">
        <v>0.99260130000000002</v>
      </c>
      <c r="AB7535">
        <v>28</v>
      </c>
      <c r="AC7535">
        <v>21.363600000000002</v>
      </c>
      <c r="AD7535">
        <v>-1.109417693358</v>
      </c>
      <c r="AE7535">
        <v>-1.72841</v>
      </c>
      <c r="AF7535">
        <v>2.6148257386011098</v>
      </c>
      <c r="AG7535">
        <v>-1.109417693358</v>
      </c>
      <c r="AH7535">
        <v>21.215601212031999</v>
      </c>
      <c r="AI7535">
        <v>92.970975707331704</v>
      </c>
      <c r="AJ7535">
        <v>82.9737221712398</v>
      </c>
      <c r="AK7535">
        <v>21.4049026171473</v>
      </c>
      <c r="AL7535">
        <v>78.759377386439795</v>
      </c>
      <c r="AM7535">
        <v>89.595792061902202</v>
      </c>
      <c r="AN7535">
        <v>1.00000001058437</v>
      </c>
    </row>
    <row r="7536" spans="1:40" x14ac:dyDescent="0.25">
      <c r="A7536" t="str">
        <f>"20190312172259224"</f>
        <v>20190312172259224</v>
      </c>
      <c r="B7536" t="str">
        <f>"1552382579218295"</f>
        <v>1552382579218295</v>
      </c>
      <c r="C7536" t="s">
        <v>40</v>
      </c>
      <c r="D7536">
        <v>3.201365</v>
      </c>
      <c r="E7536">
        <v>0.54766490000000001</v>
      </c>
      <c r="F7536" t="s">
        <v>76</v>
      </c>
      <c r="G7536">
        <v>-232.95070000000001</v>
      </c>
      <c r="H7536" s="1">
        <v>-1.627012E-6</v>
      </c>
      <c r="I7536">
        <v>-65.547719999999998</v>
      </c>
      <c r="J7536">
        <v>-254.32089999999999</v>
      </c>
      <c r="K7536">
        <v>1.109415</v>
      </c>
      <c r="L7536">
        <v>-63.800809999999998</v>
      </c>
      <c r="M7536">
        <v>0.9991044</v>
      </c>
      <c r="N7536">
        <v>0</v>
      </c>
      <c r="O7536">
        <v>4.1914979999999998E-2</v>
      </c>
      <c r="P7536">
        <v>0.98143709999999995</v>
      </c>
      <c r="Q7536">
        <v>0.18886130000000001</v>
      </c>
      <c r="R7536">
        <v>3.3360420000000002E-2</v>
      </c>
      <c r="S7536">
        <v>3.0965729999999998</v>
      </c>
      <c r="T7536">
        <v>-0.1595953</v>
      </c>
      <c r="U7536">
        <v>-0.25036619999999998</v>
      </c>
      <c r="V7536">
        <v>7.7968129999999997E-3</v>
      </c>
      <c r="W7536">
        <v>0.19454769999999999</v>
      </c>
      <c r="X7536">
        <v>0.98086209999999996</v>
      </c>
      <c r="Y7536">
        <v>0.1220818</v>
      </c>
      <c r="Z7536">
        <v>-5.2946089999999996E-3</v>
      </c>
      <c r="AA7536">
        <v>0.99250590000000005</v>
      </c>
      <c r="AB7536">
        <v>28</v>
      </c>
      <c r="AC7536">
        <v>21.370199999999901</v>
      </c>
      <c r="AD7536">
        <v>-1.1094166270119901</v>
      </c>
      <c r="AE7536">
        <v>-1.74690999999999</v>
      </c>
      <c r="AF7536">
        <v>2.6340693417701599</v>
      </c>
      <c r="AG7536">
        <v>-1.1094166270119901</v>
      </c>
      <c r="AH7536">
        <v>21.221382163483401</v>
      </c>
      <c r="AI7536">
        <v>92.969849597106901</v>
      </c>
      <c r="AJ7536">
        <v>82.924443789688794</v>
      </c>
      <c r="AK7536">
        <v>21.4129910913482</v>
      </c>
      <c r="AL7536">
        <v>78.781697621491602</v>
      </c>
      <c r="AM7536">
        <v>89.544568935782706</v>
      </c>
      <c r="AN7536">
        <v>1.0000000285423201</v>
      </c>
    </row>
    <row r="7537" spans="1:40" x14ac:dyDescent="0.25">
      <c r="A7537" t="str">
        <f>"20190312172259234"</f>
        <v>20190312172259234</v>
      </c>
      <c r="B7537" t="str">
        <f>"1552382579228055"</f>
        <v>1552382579228055</v>
      </c>
      <c r="C7537" t="s">
        <v>40</v>
      </c>
      <c r="D7537">
        <v>3.215487</v>
      </c>
      <c r="E7537">
        <v>0.54750239999999994</v>
      </c>
      <c r="F7537" t="s">
        <v>76</v>
      </c>
      <c r="G7537">
        <v>-232.94239999999999</v>
      </c>
      <c r="H7537" s="1">
        <v>-1.624021E-6</v>
      </c>
      <c r="I7537">
        <v>-65.549869999999999</v>
      </c>
      <c r="J7537">
        <v>-254.1756</v>
      </c>
      <c r="K7537">
        <v>1.109413</v>
      </c>
      <c r="L7537">
        <v>-63.794710000000002</v>
      </c>
      <c r="M7537">
        <v>0.99910330000000003</v>
      </c>
      <c r="N7537">
        <v>0</v>
      </c>
      <c r="O7537">
        <v>4.1938349999999999E-2</v>
      </c>
      <c r="P7537">
        <v>0.98149430000000004</v>
      </c>
      <c r="Q7537">
        <v>0.1887394</v>
      </c>
      <c r="R7537">
        <v>3.2345520000000003E-2</v>
      </c>
      <c r="S7537">
        <v>3.0962679999999998</v>
      </c>
      <c r="T7537">
        <v>-0.1606774</v>
      </c>
      <c r="U7537">
        <v>-0.25332640000000001</v>
      </c>
      <c r="V7537">
        <v>8.8364719999999997E-3</v>
      </c>
      <c r="W7537">
        <v>0.19444249999999999</v>
      </c>
      <c r="X7537">
        <v>0.98087409999999997</v>
      </c>
      <c r="Y7537">
        <v>0.1230512</v>
      </c>
      <c r="Z7537">
        <v>-5.3570950000000001E-3</v>
      </c>
      <c r="AA7537">
        <v>0.99238590000000004</v>
      </c>
      <c r="AB7537">
        <v>28</v>
      </c>
      <c r="AC7537">
        <v>21.2332</v>
      </c>
      <c r="AD7537">
        <v>-1.1094146240210001</v>
      </c>
      <c r="AE7537">
        <v>-1.7551600000000001</v>
      </c>
      <c r="AF7537">
        <v>2.6369662012176001</v>
      </c>
      <c r="AG7537">
        <v>-1.1094146240210001</v>
      </c>
      <c r="AH7537">
        <v>21.083741417182001</v>
      </c>
      <c r="AI7537">
        <v>92.988850272430099</v>
      </c>
      <c r="AJ7537">
        <v>82.870974047011302</v>
      </c>
      <c r="AK7537">
        <v>21.276948646386099</v>
      </c>
      <c r="AL7537">
        <v>78.787841983052303</v>
      </c>
      <c r="AM7537">
        <v>89.483849297793995</v>
      </c>
      <c r="AN7537">
        <v>0.99999998454723305</v>
      </c>
    </row>
    <row r="7538" spans="1:40" x14ac:dyDescent="0.25">
      <c r="A7538" t="str">
        <f>"20190312172259246"</f>
        <v>20190312172259246</v>
      </c>
      <c r="B7538" t="str">
        <f>"1552382579237815"</f>
        <v>1552382579237815</v>
      </c>
      <c r="C7538" t="s">
        <v>40</v>
      </c>
      <c r="D7538">
        <v>3.1578740000000001</v>
      </c>
      <c r="E7538">
        <v>0.54731940000000001</v>
      </c>
      <c r="F7538" t="s">
        <v>76</v>
      </c>
      <c r="G7538">
        <v>-232.77189999999999</v>
      </c>
      <c r="H7538" s="1">
        <v>-1.5540169999999999E-6</v>
      </c>
      <c r="I7538">
        <v>-65.561689999999999</v>
      </c>
      <c r="J7538">
        <v>-254.03319999999999</v>
      </c>
      <c r="K7538">
        <v>1.1094120000000001</v>
      </c>
      <c r="L7538">
        <v>-63.788730000000001</v>
      </c>
      <c r="M7538">
        <v>0.99910239999999995</v>
      </c>
      <c r="N7538">
        <v>0</v>
      </c>
      <c r="O7538">
        <v>4.1960949999999997E-2</v>
      </c>
      <c r="P7538">
        <v>0.98156949999999998</v>
      </c>
      <c r="Q7538">
        <v>0.18848590000000001</v>
      </c>
      <c r="R7538">
        <v>3.1536559999999998E-2</v>
      </c>
      <c r="S7538">
        <v>3.095825</v>
      </c>
      <c r="T7538">
        <v>-0.1604652</v>
      </c>
      <c r="U7538">
        <v>-0.2555847</v>
      </c>
      <c r="V7538">
        <v>9.6700339999999992E-3</v>
      </c>
      <c r="W7538">
        <v>0.1942053</v>
      </c>
      <c r="X7538">
        <v>0.98091320000000004</v>
      </c>
      <c r="Y7538">
        <v>0.1238037</v>
      </c>
      <c r="Z7538">
        <v>-5.3712650000000001E-3</v>
      </c>
      <c r="AA7538">
        <v>0.99229219999999896</v>
      </c>
      <c r="AB7538">
        <v>28</v>
      </c>
      <c r="AC7538">
        <v>21.261299999999999</v>
      </c>
      <c r="AD7538">
        <v>-1.109413554017</v>
      </c>
      <c r="AE7538">
        <v>-1.7729599999999901</v>
      </c>
      <c r="AF7538">
        <v>2.6563750916607898</v>
      </c>
      <c r="AG7538">
        <v>-1.109413554017</v>
      </c>
      <c r="AH7538">
        <v>21.111093944057799</v>
      </c>
      <c r="AI7538">
        <v>92.984703232801095</v>
      </c>
      <c r="AJ7538">
        <v>82.828255032643497</v>
      </c>
      <c r="AK7538">
        <v>21.306464150024201</v>
      </c>
      <c r="AL7538">
        <v>78.801696335619894</v>
      </c>
      <c r="AM7538">
        <v>89.435185306245998</v>
      </c>
      <c r="AN7538">
        <v>0.99999995701994404</v>
      </c>
    </row>
    <row r="7539" spans="1:40" x14ac:dyDescent="0.25">
      <c r="A7539" t="str">
        <f>"20190312172259257"</f>
        <v>20190312172259257</v>
      </c>
      <c r="B7539" t="str">
        <f>"1552382579247575"</f>
        <v>1552382579247575</v>
      </c>
      <c r="C7539" t="s">
        <v>40</v>
      </c>
      <c r="D7539">
        <v>3.1658110000000002</v>
      </c>
      <c r="E7539">
        <v>0.54727179999999997</v>
      </c>
      <c r="F7539" t="s">
        <v>76</v>
      </c>
      <c r="G7539">
        <v>-232.63499999999999</v>
      </c>
      <c r="H7539" s="1">
        <v>-1.4961899999999999E-6</v>
      </c>
      <c r="I7539">
        <v>-65.564989999999995</v>
      </c>
      <c r="J7539">
        <v>-253.8903</v>
      </c>
      <c r="K7539">
        <v>1.109413</v>
      </c>
      <c r="L7539">
        <v>-63.782679999999999</v>
      </c>
      <c r="M7539">
        <v>0.99910129999999997</v>
      </c>
      <c r="N7539">
        <v>0</v>
      </c>
      <c r="O7539">
        <v>4.198379E-2</v>
      </c>
      <c r="P7539">
        <v>0.9816144</v>
      </c>
      <c r="Q7539">
        <v>0.18840280000000001</v>
      </c>
      <c r="R7539">
        <v>3.062542E-2</v>
      </c>
      <c r="S7539">
        <v>3.0953979999999999</v>
      </c>
      <c r="T7539">
        <v>-0.1604843</v>
      </c>
      <c r="U7539">
        <v>-0.25695800000000002</v>
      </c>
      <c r="V7539">
        <v>1.060469E-2</v>
      </c>
      <c r="W7539">
        <v>0.19413849999999999</v>
      </c>
      <c r="X7539">
        <v>0.98091680000000003</v>
      </c>
      <c r="Y7539">
        <v>0.1242741</v>
      </c>
      <c r="Z7539">
        <v>-5.3858959999999899E-3</v>
      </c>
      <c r="AA7539">
        <v>0.99223329999999998</v>
      </c>
      <c r="AB7539">
        <v>28</v>
      </c>
      <c r="AC7539">
        <v>21.255299999999998</v>
      </c>
      <c r="AD7539">
        <v>-1.1094144961900001</v>
      </c>
      <c r="AE7539">
        <v>-1.7823100000000001</v>
      </c>
      <c r="AF7539">
        <v>2.6659196449900699</v>
      </c>
      <c r="AG7539">
        <v>-1.1094144961900001</v>
      </c>
      <c r="AH7539">
        <v>21.104635307196101</v>
      </c>
      <c r="AI7539">
        <v>92.985436018129107</v>
      </c>
      <c r="AJ7539">
        <v>82.800576702903399</v>
      </c>
      <c r="AK7539">
        <v>21.301257228803401</v>
      </c>
      <c r="AL7539">
        <v>78.805598354475507</v>
      </c>
      <c r="AM7539">
        <v>89.380599547360305</v>
      </c>
      <c r="AN7539">
        <v>0.99999999257724304</v>
      </c>
    </row>
    <row r="7540" spans="1:40" x14ac:dyDescent="0.25">
      <c r="A7540" t="str">
        <f>"20190312172259269"</f>
        <v>20190312172259269</v>
      </c>
      <c r="B7540" t="str">
        <f>"1552382579258312"</f>
        <v>1552382579258312</v>
      </c>
      <c r="C7540" t="s">
        <v>40</v>
      </c>
      <c r="D7540">
        <v>3.183424</v>
      </c>
      <c r="E7540">
        <v>0.54710590000000003</v>
      </c>
      <c r="F7540" t="s">
        <v>76</v>
      </c>
      <c r="G7540">
        <v>-232.5444</v>
      </c>
      <c r="H7540" s="1">
        <v>-1.4594529999999999E-6</v>
      </c>
      <c r="I7540">
        <v>-65.573049999999995</v>
      </c>
      <c r="J7540">
        <v>-253.74719999999999</v>
      </c>
      <c r="K7540">
        <v>1.1094139999999999</v>
      </c>
      <c r="L7540">
        <v>-63.77664</v>
      </c>
      <c r="M7540">
        <v>0.99910010000000005</v>
      </c>
      <c r="N7540">
        <v>0</v>
      </c>
      <c r="O7540">
        <v>4.2006509999999997E-2</v>
      </c>
      <c r="P7540">
        <v>0.98164910000000005</v>
      </c>
      <c r="Q7540">
        <v>0.18836839999999999</v>
      </c>
      <c r="R7540">
        <v>2.9705059999999998E-2</v>
      </c>
      <c r="S7540">
        <v>3.0951689999999998</v>
      </c>
      <c r="T7540">
        <v>-0.16086600000000001</v>
      </c>
      <c r="U7540">
        <v>-0.25961299999999998</v>
      </c>
      <c r="V7540">
        <v>1.1548040000000001E-2</v>
      </c>
      <c r="W7540">
        <v>0.1941206</v>
      </c>
      <c r="X7540">
        <v>0.9809097</v>
      </c>
      <c r="Y7540">
        <v>0.1251456</v>
      </c>
      <c r="Z7540">
        <v>-5.4226750000000001E-3</v>
      </c>
      <c r="AA7540">
        <v>0.99212350000000005</v>
      </c>
      <c r="AB7540">
        <v>28</v>
      </c>
      <c r="AC7540">
        <v>21.2028</v>
      </c>
      <c r="AD7540">
        <v>-1.1094154594529999</v>
      </c>
      <c r="AE7540">
        <v>-1.7964099999999901</v>
      </c>
      <c r="AF7540">
        <v>2.6782151274594699</v>
      </c>
      <c r="AG7540">
        <v>-1.1094154594529999</v>
      </c>
      <c r="AH7540">
        <v>21.051398431282198</v>
      </c>
      <c r="AI7540">
        <v>92.992638010646004</v>
      </c>
      <c r="AJ7540">
        <v>82.749627726375294</v>
      </c>
      <c r="AK7540">
        <v>21.250059172699199</v>
      </c>
      <c r="AL7540">
        <v>78.806643945876104</v>
      </c>
      <c r="AM7540">
        <v>89.325500208520396</v>
      </c>
      <c r="AN7540">
        <v>1.0000000020631401</v>
      </c>
    </row>
    <row r="7541" spans="1:40" x14ac:dyDescent="0.25">
      <c r="A7541" t="str">
        <f>"20190312172259279"</f>
        <v>20190312172259279</v>
      </c>
      <c r="B7541" t="str">
        <f>"1552382579268072"</f>
        <v>1552382579268072</v>
      </c>
      <c r="C7541" t="s">
        <v>40</v>
      </c>
      <c r="D7541">
        <v>3.156094</v>
      </c>
      <c r="E7541">
        <v>0.54693559999999997</v>
      </c>
      <c r="F7541" t="s">
        <v>76</v>
      </c>
      <c r="G7541">
        <v>-232.31880000000001</v>
      </c>
      <c r="H7541" s="1">
        <v>-1.36624E-6</v>
      </c>
      <c r="I7541">
        <v>-65.586429999999993</v>
      </c>
      <c r="J7541">
        <v>-253.6095</v>
      </c>
      <c r="K7541">
        <v>1.1094139999999999</v>
      </c>
      <c r="L7541">
        <v>-63.77084</v>
      </c>
      <c r="M7541">
        <v>0.99909930000000002</v>
      </c>
      <c r="N7541">
        <v>0</v>
      </c>
      <c r="O7541">
        <v>4.2028280000000001E-2</v>
      </c>
      <c r="P7541">
        <v>0.98170389999999996</v>
      </c>
      <c r="Q7541">
        <v>0.18819140000000001</v>
      </c>
      <c r="R7541">
        <v>2.9013009999999999E-2</v>
      </c>
      <c r="S7541">
        <v>3.0947420000000001</v>
      </c>
      <c r="T7541">
        <v>-0.16022459999999999</v>
      </c>
      <c r="U7541">
        <v>-0.26138309999999998</v>
      </c>
      <c r="V7541">
        <v>1.226314E-2</v>
      </c>
      <c r="W7541">
        <v>0.1939593</v>
      </c>
      <c r="X7541">
        <v>0.98093300000000005</v>
      </c>
      <c r="Y7541">
        <v>0.12574299999999999</v>
      </c>
      <c r="Z7541">
        <v>-5.4182509999999998E-3</v>
      </c>
      <c r="AA7541">
        <v>0.99204809999999999</v>
      </c>
      <c r="AB7541">
        <v>29</v>
      </c>
      <c r="AC7541">
        <v>21.290699999999902</v>
      </c>
      <c r="AD7541">
        <v>-1.1094153662399999</v>
      </c>
      <c r="AE7541">
        <v>-1.81559</v>
      </c>
      <c r="AF7541">
        <v>2.7015301874155702</v>
      </c>
      <c r="AG7541">
        <v>-1.1094153662399999</v>
      </c>
      <c r="AH7541">
        <v>21.138597896199901</v>
      </c>
      <c r="AI7541">
        <v>92.980099242267499</v>
      </c>
      <c r="AJ7541">
        <v>82.717032069642897</v>
      </c>
      <c r="AK7541">
        <v>21.339385858679101</v>
      </c>
      <c r="AL7541">
        <v>78.816065610343401</v>
      </c>
      <c r="AM7541">
        <v>89.283753768017206</v>
      </c>
      <c r="AN7541">
        <v>1.0000000725740701</v>
      </c>
    </row>
    <row r="7542" spans="1:40" x14ac:dyDescent="0.25">
      <c r="A7542" t="str">
        <f>"20190312172259291"</f>
        <v>20190312172259291</v>
      </c>
      <c r="B7542" t="str">
        <f>"1552382579287592"</f>
        <v>1552382579287592</v>
      </c>
      <c r="C7542" t="s">
        <v>40</v>
      </c>
      <c r="D7542">
        <v>3.1660949999999999</v>
      </c>
      <c r="E7542">
        <v>0.54672169999999998</v>
      </c>
      <c r="F7542" t="s">
        <v>76</v>
      </c>
      <c r="G7542">
        <v>-232.16579999999999</v>
      </c>
      <c r="H7542" s="1">
        <v>-1.3016909999999999E-6</v>
      </c>
      <c r="I7542">
        <v>-65.590609999999998</v>
      </c>
      <c r="J7542">
        <v>-253.4657</v>
      </c>
      <c r="K7542">
        <v>1.109405</v>
      </c>
      <c r="L7542">
        <v>-63.764800000000001</v>
      </c>
      <c r="M7542">
        <v>0.99909809999999999</v>
      </c>
      <c r="N7542">
        <v>0</v>
      </c>
      <c r="O7542">
        <v>4.2051169999999999E-2</v>
      </c>
      <c r="P7542">
        <v>0.98178140000000003</v>
      </c>
      <c r="Q7542">
        <v>0.18790200000000001</v>
      </c>
      <c r="R7542">
        <v>2.825066E-2</v>
      </c>
      <c r="S7542">
        <v>3.09436</v>
      </c>
      <c r="T7542">
        <v>-0.16009029999999999</v>
      </c>
      <c r="U7542">
        <v>-0.2626038</v>
      </c>
      <c r="V7542">
        <v>1.3050620000000001E-2</v>
      </c>
      <c r="W7542">
        <v>0.193687</v>
      </c>
      <c r="X7542">
        <v>0.98097659999999998</v>
      </c>
      <c r="Y7542">
        <v>0.12616430000000001</v>
      </c>
      <c r="Z7542">
        <v>-5.4263480000000001E-3</v>
      </c>
      <c r="AA7542">
        <v>0.9919945</v>
      </c>
      <c r="AB7542">
        <v>29</v>
      </c>
      <c r="AC7542">
        <v>21.299900000000001</v>
      </c>
      <c r="AD7542">
        <v>-1.1094063016910001</v>
      </c>
      <c r="AE7542">
        <v>-1.8258099999999899</v>
      </c>
      <c r="AF7542">
        <v>2.7125910074392698</v>
      </c>
      <c r="AG7542">
        <v>-1.1094063016910001</v>
      </c>
      <c r="AH7542">
        <v>21.147328806486801</v>
      </c>
      <c r="AI7542">
        <v>92.978670650618795</v>
      </c>
      <c r="AJ7542">
        <v>82.690522037722403</v>
      </c>
      <c r="AK7542">
        <v>21.3494367130737</v>
      </c>
      <c r="AL7542">
        <v>78.831968362918303</v>
      </c>
      <c r="AM7542">
        <v>89.237799009065299</v>
      </c>
      <c r="AN7542">
        <v>1.0000000311994699</v>
      </c>
    </row>
    <row r="7543" spans="1:40" x14ac:dyDescent="0.25">
      <c r="A7543" t="str">
        <f>"20190312172259302"</f>
        <v>20190312172259302</v>
      </c>
      <c r="B7543" t="str">
        <f>"1552382579298327"</f>
        <v>1552382579298327</v>
      </c>
      <c r="C7543" t="s">
        <v>40</v>
      </c>
      <c r="D7543">
        <v>3.1617920000000002</v>
      </c>
      <c r="E7543">
        <v>0.54664159999999995</v>
      </c>
      <c r="F7543" t="s">
        <v>76</v>
      </c>
      <c r="G7543">
        <v>-232.10659999999999</v>
      </c>
      <c r="H7543" s="1">
        <v>-1.2746639999999999E-6</v>
      </c>
      <c r="I7543">
        <v>-65.584329999999994</v>
      </c>
      <c r="J7543">
        <v>-253.32239999999999</v>
      </c>
      <c r="K7543">
        <v>1.1094040000000001</v>
      </c>
      <c r="L7543">
        <v>-63.75873</v>
      </c>
      <c r="M7543">
        <v>0.99909720000000002</v>
      </c>
      <c r="N7543">
        <v>0</v>
      </c>
      <c r="O7543">
        <v>4.207371E-2</v>
      </c>
      <c r="P7543">
        <v>0.98179550000000004</v>
      </c>
      <c r="Q7543">
        <v>0.18792909999999999</v>
      </c>
      <c r="R7543">
        <v>2.7579289999999999E-2</v>
      </c>
      <c r="S7543">
        <v>3.0940089999999998</v>
      </c>
      <c r="T7543">
        <v>-0.1607053</v>
      </c>
      <c r="U7543">
        <v>-0.26358029999999999</v>
      </c>
      <c r="V7543">
        <v>1.3744019999999999E-2</v>
      </c>
      <c r="W7543">
        <v>0.1937305</v>
      </c>
      <c r="X7543">
        <v>0.98095849999999996</v>
      </c>
      <c r="Y7543">
        <v>0.1265047</v>
      </c>
      <c r="Z7543">
        <v>-5.4577019999999896E-3</v>
      </c>
      <c r="AA7543">
        <v>0.99195100000000003</v>
      </c>
      <c r="AB7543">
        <v>29</v>
      </c>
      <c r="AC7543">
        <v>21.215800000000002</v>
      </c>
      <c r="AD7543">
        <v>-1.109405274664</v>
      </c>
      <c r="AE7543">
        <v>-1.8255999999999999</v>
      </c>
      <c r="AF7543">
        <v>2.7092724696284902</v>
      </c>
      <c r="AG7543">
        <v>-1.109405274664</v>
      </c>
      <c r="AH7543">
        <v>21.063030492487702</v>
      </c>
      <c r="AI7543">
        <v>92.990433290415893</v>
      </c>
      <c r="AJ7543">
        <v>82.670466358732</v>
      </c>
      <c r="AK7543">
        <v>21.2655164739915</v>
      </c>
      <c r="AL7543">
        <v>78.829427430768405</v>
      </c>
      <c r="AM7543">
        <v>89.197292425897501</v>
      </c>
      <c r="AN7543">
        <v>0.99999999171913001</v>
      </c>
    </row>
    <row r="7544" spans="1:40" x14ac:dyDescent="0.25">
      <c r="A7544" t="str">
        <f>"20190312172259312"</f>
        <v>20190312172259312</v>
      </c>
      <c r="B7544" t="str">
        <f>"1552382579308087"</f>
        <v>1552382579308087</v>
      </c>
      <c r="C7544" t="s">
        <v>40</v>
      </c>
      <c r="D7544">
        <v>3.1525789999999998</v>
      </c>
      <c r="E7544">
        <v>0.54650399999999999</v>
      </c>
      <c r="F7544" t="s">
        <v>76</v>
      </c>
      <c r="G7544">
        <v>-231.9639</v>
      </c>
      <c r="H7544" s="1">
        <v>-1.214962E-6</v>
      </c>
      <c r="I7544">
        <v>-65.590109999999996</v>
      </c>
      <c r="J7544">
        <v>-253.17400000000001</v>
      </c>
      <c r="K7544">
        <v>1.1094040000000001</v>
      </c>
      <c r="L7544">
        <v>-63.752470000000002</v>
      </c>
      <c r="M7544">
        <v>0.99909599999999998</v>
      </c>
      <c r="N7544">
        <v>0</v>
      </c>
      <c r="O7544">
        <v>4.2097080000000002E-2</v>
      </c>
      <c r="P7544">
        <v>0.98179490000000003</v>
      </c>
      <c r="Q7544">
        <v>0.18802150000000001</v>
      </c>
      <c r="R7544">
        <v>2.6961840000000001E-2</v>
      </c>
      <c r="S7544">
        <v>3.093842</v>
      </c>
      <c r="T7544">
        <v>-0.16070009999999901</v>
      </c>
      <c r="U7544">
        <v>-0.26528930000000001</v>
      </c>
      <c r="V7544">
        <v>1.438384E-2</v>
      </c>
      <c r="W7544">
        <v>0.1938395</v>
      </c>
      <c r="X7544">
        <v>0.98092780000000002</v>
      </c>
      <c r="Y7544">
        <v>0.12707560000000001</v>
      </c>
      <c r="Z7544">
        <v>-5.4736999999999997E-3</v>
      </c>
      <c r="AA7544">
        <v>0.99187789999999998</v>
      </c>
      <c r="AB7544">
        <v>29</v>
      </c>
      <c r="AC7544">
        <v>21.210100000000001</v>
      </c>
      <c r="AD7544">
        <v>-1.109405214962</v>
      </c>
      <c r="AE7544">
        <v>-1.8376399999999999</v>
      </c>
      <c r="AF7544">
        <v>2.7215195907871199</v>
      </c>
      <c r="AG7544">
        <v>-1.109405214962</v>
      </c>
      <c r="AH7544">
        <v>21.0567572133514</v>
      </c>
      <c r="AI7544">
        <v>92.991087667636407</v>
      </c>
      <c r="AJ7544">
        <v>82.635526978856404</v>
      </c>
      <c r="AK7544">
        <v>21.260867177893999</v>
      </c>
      <c r="AL7544">
        <v>78.823061586513802</v>
      </c>
      <c r="AM7544">
        <v>89.159903241736004</v>
      </c>
      <c r="AN7544">
        <v>0.99999999771311698</v>
      </c>
    </row>
    <row r="7545" spans="1:40" x14ac:dyDescent="0.25">
      <c r="A7545" t="str">
        <f>"20190312172259324"</f>
        <v>20190312172259324</v>
      </c>
      <c r="B7545" t="str">
        <f>"1552382579317847"</f>
        <v>1552382579317847</v>
      </c>
      <c r="C7545" t="s">
        <v>40</v>
      </c>
      <c r="D7545">
        <v>3.1441409999999999</v>
      </c>
      <c r="E7545">
        <v>0.54643009999999903</v>
      </c>
      <c r="F7545" t="s">
        <v>76</v>
      </c>
      <c r="G7545">
        <v>-231.69900000000001</v>
      </c>
      <c r="H7545" s="1">
        <v>-1.1048800000000001E-6</v>
      </c>
      <c r="I7545">
        <v>-65.603549999999998</v>
      </c>
      <c r="J7545">
        <v>-253.0256</v>
      </c>
      <c r="K7545">
        <v>1.1094079999999999</v>
      </c>
      <c r="L7545">
        <v>-63.746220000000001</v>
      </c>
      <c r="M7545">
        <v>0.99909490000000001</v>
      </c>
      <c r="N7545">
        <v>0</v>
      </c>
      <c r="O7545">
        <v>4.2120459999999998E-2</v>
      </c>
      <c r="P7545">
        <v>0.98186370000000001</v>
      </c>
      <c r="Q7545">
        <v>0.18776100000000001</v>
      </c>
      <c r="R7545">
        <v>2.6257849999999999E-2</v>
      </c>
      <c r="S7545">
        <v>3.0935519999999999</v>
      </c>
      <c r="T7545">
        <v>-0.15981329999999999</v>
      </c>
      <c r="U7545">
        <v>-0.26666260000000003</v>
      </c>
      <c r="V7545">
        <v>1.5113130000000001E-2</v>
      </c>
      <c r="W7545">
        <v>0.1935963</v>
      </c>
      <c r="X7545">
        <v>0.98096490000000003</v>
      </c>
      <c r="Y7545">
        <v>0.12754560000000001</v>
      </c>
      <c r="Z7545">
        <v>-5.4572580000000004E-3</v>
      </c>
      <c r="AA7545">
        <v>0.99181770000000002</v>
      </c>
      <c r="AB7545">
        <v>29</v>
      </c>
      <c r="AC7545">
        <v>21.3265999999999</v>
      </c>
      <c r="AD7545">
        <v>-1.1094091048800001</v>
      </c>
      <c r="AE7545">
        <v>-1.8573299999999999</v>
      </c>
      <c r="AF7545">
        <v>2.7466070865106902</v>
      </c>
      <c r="AG7545">
        <v>-1.1094091048800001</v>
      </c>
      <c r="AH7545">
        <v>21.172576505905901</v>
      </c>
      <c r="AI7545">
        <v>92.974584836380998</v>
      </c>
      <c r="AJ7545">
        <v>82.6085972716523</v>
      </c>
      <c r="AK7545">
        <v>21.3787893704976</v>
      </c>
      <c r="AL7545">
        <v>78.837265387488401</v>
      </c>
      <c r="AM7545">
        <v>89.117348578527398</v>
      </c>
      <c r="AN7545">
        <v>1.0000000345520399</v>
      </c>
    </row>
    <row r="7546" spans="1:40" x14ac:dyDescent="0.25">
      <c r="A7546" t="str">
        <f>"20190312172259335"</f>
        <v>20190312172259335</v>
      </c>
      <c r="B7546" t="str">
        <f>"1552382579327607"</f>
        <v>1552382579327607</v>
      </c>
      <c r="C7546" t="s">
        <v>40</v>
      </c>
      <c r="D7546">
        <v>3.1497350000000002</v>
      </c>
      <c r="E7546">
        <v>0.54636499999999999</v>
      </c>
      <c r="F7546" t="s">
        <v>76</v>
      </c>
      <c r="G7546">
        <v>-231.64930000000001</v>
      </c>
      <c r="H7546" s="1">
        <v>-1.083152E-6</v>
      </c>
      <c r="I7546">
        <v>-65.602000000000004</v>
      </c>
      <c r="J7546">
        <v>-252.88849999999999</v>
      </c>
      <c r="K7546">
        <v>1.1094079999999999</v>
      </c>
      <c r="L7546">
        <v>-63.740389999999998</v>
      </c>
      <c r="M7546">
        <v>0.99909389999999998</v>
      </c>
      <c r="N7546">
        <v>0</v>
      </c>
      <c r="O7546">
        <v>4.2141869999999998E-2</v>
      </c>
      <c r="P7546">
        <v>0.98188050000000004</v>
      </c>
      <c r="Q7546">
        <v>0.18772349999999999</v>
      </c>
      <c r="R7546">
        <v>2.5899950000000001E-2</v>
      </c>
      <c r="S7546">
        <v>3.0933229999999998</v>
      </c>
      <c r="T7546">
        <v>-0.16054019999999999</v>
      </c>
      <c r="U7546">
        <v>-0.26855469999999998</v>
      </c>
      <c r="V7546">
        <v>1.549233E-2</v>
      </c>
      <c r="W7546">
        <v>0.19357469999999999</v>
      </c>
      <c r="X7546">
        <v>0.98096320000000004</v>
      </c>
      <c r="Y7546">
        <v>0.12817239999999999</v>
      </c>
      <c r="Z7546">
        <v>-5.4996430000000002E-3</v>
      </c>
      <c r="AA7546">
        <v>0.99173670000000003</v>
      </c>
      <c r="AB7546">
        <v>29</v>
      </c>
      <c r="AC7546">
        <v>21.239199999999901</v>
      </c>
      <c r="AD7546">
        <v>-1.109409083152</v>
      </c>
      <c r="AE7546">
        <v>-1.86160999999999</v>
      </c>
      <c r="AF7546">
        <v>2.7475922603042902</v>
      </c>
      <c r="AG7546">
        <v>-1.109409083152</v>
      </c>
      <c r="AH7546">
        <v>21.084789058215101</v>
      </c>
      <c r="AI7546">
        <v>92.986723511759294</v>
      </c>
      <c r="AJ7546">
        <v>82.575532815905405</v>
      </c>
      <c r="AK7546">
        <v>21.291979273240301</v>
      </c>
      <c r="AL7546">
        <v>78.838526315331507</v>
      </c>
      <c r="AM7546">
        <v>89.095204247622306</v>
      </c>
      <c r="AN7546">
        <v>0.99999998826157899</v>
      </c>
    </row>
    <row r="7547" spans="1:40" x14ac:dyDescent="0.25">
      <c r="A7547" t="str">
        <f>"20190312172259346"</f>
        <v>20190312172259346</v>
      </c>
      <c r="B7547" t="str">
        <f>"1552382579338343"</f>
        <v>1552382579338343</v>
      </c>
      <c r="C7547" t="s">
        <v>40</v>
      </c>
      <c r="D7547">
        <v>3.1425369999999999</v>
      </c>
      <c r="E7547">
        <v>0.5462766</v>
      </c>
      <c r="F7547" t="s">
        <v>76</v>
      </c>
      <c r="G7547">
        <v>-231.53800000000001</v>
      </c>
      <c r="H7547" s="1">
        <v>-1.0346879999999999E-6</v>
      </c>
      <c r="I7547">
        <v>-65.599260000000001</v>
      </c>
      <c r="J7547">
        <v>-252.7465</v>
      </c>
      <c r="K7547">
        <v>1.1094120000000001</v>
      </c>
      <c r="L7547">
        <v>-63.734380000000002</v>
      </c>
      <c r="M7547">
        <v>0.9990928</v>
      </c>
      <c r="N7547">
        <v>0</v>
      </c>
      <c r="O7547">
        <v>4.2164229999999997E-2</v>
      </c>
      <c r="P7547">
        <v>0.98188699999999995</v>
      </c>
      <c r="Q7547">
        <v>0.18780330000000001</v>
      </c>
      <c r="R7547">
        <v>2.5052310000000001E-2</v>
      </c>
      <c r="S7547">
        <v>3.093216</v>
      </c>
      <c r="T7547">
        <v>-0.16072879999999901</v>
      </c>
      <c r="U7547">
        <v>-0.26931759999999999</v>
      </c>
      <c r="V7547">
        <v>1.6361629999999999E-2</v>
      </c>
      <c r="W7547">
        <v>0.1936706</v>
      </c>
      <c r="X7547">
        <v>0.98093010000000003</v>
      </c>
      <c r="Y7547">
        <v>0.12843930000000001</v>
      </c>
      <c r="Z7547">
        <v>-5.5143060000000001E-3</v>
      </c>
      <c r="AA7547">
        <v>0.99170199999999997</v>
      </c>
      <c r="AB7547">
        <v>29</v>
      </c>
      <c r="AC7547">
        <v>21.208500000000001</v>
      </c>
      <c r="AD7547">
        <v>-1.109413034688</v>
      </c>
      <c r="AE7547">
        <v>-1.8648799999999901</v>
      </c>
      <c r="AF7547">
        <v>2.7500103806321898</v>
      </c>
      <c r="AG7547">
        <v>-1.109413034688</v>
      </c>
      <c r="AH7547">
        <v>21.053837841873701</v>
      </c>
      <c r="AI7547">
        <v>92.990999595963004</v>
      </c>
      <c r="AJ7547">
        <v>82.558269791562395</v>
      </c>
      <c r="AK7547">
        <v>21.261642510564201</v>
      </c>
      <c r="AL7547">
        <v>78.832925034855293</v>
      </c>
      <c r="AM7547">
        <v>89.044411602414499</v>
      </c>
      <c r="AN7547">
        <v>0.999999932663311</v>
      </c>
    </row>
    <row r="7548" spans="1:40" x14ac:dyDescent="0.25">
      <c r="A7548" t="str">
        <f>"20190312172259356"</f>
        <v>20190312172259356</v>
      </c>
      <c r="B7548" t="str">
        <f>"1552382579348103"</f>
        <v>1552382579348103</v>
      </c>
      <c r="C7548" t="s">
        <v>40</v>
      </c>
      <c r="D7548">
        <v>3.1723569999999999</v>
      </c>
      <c r="E7548">
        <v>0.54620669999999905</v>
      </c>
      <c r="F7548" t="s">
        <v>76</v>
      </c>
      <c r="G7548">
        <v>-231.39429999999999</v>
      </c>
      <c r="H7548" s="1">
        <v>-9.7542559999999991E-7</v>
      </c>
      <c r="I7548">
        <v>-65.608260000000001</v>
      </c>
      <c r="J7548">
        <v>-252.60310000000001</v>
      </c>
      <c r="K7548">
        <v>1.109413</v>
      </c>
      <c r="L7548">
        <v>-63.728299999999997</v>
      </c>
      <c r="M7548">
        <v>0.99909190000000003</v>
      </c>
      <c r="N7548">
        <v>0</v>
      </c>
      <c r="O7548">
        <v>4.2186830000000002E-2</v>
      </c>
      <c r="P7548">
        <v>0.98192040000000003</v>
      </c>
      <c r="Q7548">
        <v>0.18769759999999999</v>
      </c>
      <c r="R7548">
        <v>2.4542959999999999E-2</v>
      </c>
      <c r="S7548">
        <v>3.0930179999999998</v>
      </c>
      <c r="T7548">
        <v>-0.16070619999999999</v>
      </c>
      <c r="U7548">
        <v>-0.27145390000000003</v>
      </c>
      <c r="V7548">
        <v>1.6893760000000001E-2</v>
      </c>
      <c r="W7548">
        <v>0.19358130000000001</v>
      </c>
      <c r="X7548">
        <v>0.9809388</v>
      </c>
      <c r="Y7548">
        <v>0.12914610000000001</v>
      </c>
      <c r="Z7548">
        <v>-5.5332109999999997E-3</v>
      </c>
      <c r="AA7548">
        <v>0.9916102</v>
      </c>
      <c r="AB7548">
        <v>29</v>
      </c>
      <c r="AC7548">
        <v>21.2088</v>
      </c>
      <c r="AD7548">
        <v>-1.1094139754256001</v>
      </c>
      <c r="AE7548">
        <v>-1.8799600000000001</v>
      </c>
      <c r="AF7548">
        <v>2.7655261078893401</v>
      </c>
      <c r="AG7548">
        <v>-1.1094139754256001</v>
      </c>
      <c r="AH7548">
        <v>21.053448696807699</v>
      </c>
      <c r="AI7548">
        <v>92.990773045024198</v>
      </c>
      <c r="AJ7548">
        <v>82.516620885481302</v>
      </c>
      <c r="AK7548">
        <v>21.2632696463032</v>
      </c>
      <c r="AL7548">
        <v>78.838141277548203</v>
      </c>
      <c r="AM7548">
        <v>89.013347755708594</v>
      </c>
      <c r="AN7548">
        <v>1.0000000240910301</v>
      </c>
    </row>
    <row r="7549" spans="1:40" x14ac:dyDescent="0.25">
      <c r="A7549" t="str">
        <f>"20190312172259369"</f>
        <v>20190312172259369</v>
      </c>
      <c r="B7549" t="str">
        <f>"1552382579357863"</f>
        <v>1552382579357863</v>
      </c>
      <c r="C7549" t="s">
        <v>40</v>
      </c>
      <c r="D7549">
        <v>3.151602</v>
      </c>
      <c r="E7549">
        <v>0.54607830000000002</v>
      </c>
      <c r="F7549" t="s">
        <v>76</v>
      </c>
      <c r="G7549">
        <v>-231.32929999999999</v>
      </c>
      <c r="H7549" s="1">
        <v>-9.4607779999999997E-7</v>
      </c>
      <c r="I7549">
        <v>-65.602739999999997</v>
      </c>
      <c r="J7549">
        <v>-252.4563</v>
      </c>
      <c r="K7549">
        <v>1.1094139999999999</v>
      </c>
      <c r="L7549">
        <v>-63.722079999999998</v>
      </c>
      <c r="M7549">
        <v>0.9990907</v>
      </c>
      <c r="N7549">
        <v>0</v>
      </c>
      <c r="O7549">
        <v>4.2210020000000001E-2</v>
      </c>
      <c r="P7549">
        <v>0.98196340000000004</v>
      </c>
      <c r="Q7549">
        <v>0.1875733</v>
      </c>
      <c r="R7549">
        <v>2.3754270000000001E-2</v>
      </c>
      <c r="S7549">
        <v>3.0928800000000001</v>
      </c>
      <c r="T7549">
        <v>-0.16129109999999999</v>
      </c>
      <c r="U7549">
        <v>-0.27252199999999999</v>
      </c>
      <c r="V7549">
        <v>1.7706510000000002E-2</v>
      </c>
      <c r="W7549">
        <v>0.19347410000000001</v>
      </c>
      <c r="X7549">
        <v>0.98094559999999997</v>
      </c>
      <c r="Y7549">
        <v>0.1295105</v>
      </c>
      <c r="Z7549">
        <v>-5.5641739999999999E-3</v>
      </c>
      <c r="AA7549">
        <v>0.99156239999999995</v>
      </c>
      <c r="AB7549">
        <v>29</v>
      </c>
      <c r="AC7549">
        <v>21.126999999999999</v>
      </c>
      <c r="AD7549">
        <v>-1.1094149460778</v>
      </c>
      <c r="AE7549">
        <v>-1.88065999999999</v>
      </c>
      <c r="AF7549">
        <v>2.76321140611102</v>
      </c>
      <c r="AG7549">
        <v>-1.1094149460778</v>
      </c>
      <c r="AH7549">
        <v>20.971412343439098</v>
      </c>
      <c r="AI7549">
        <v>93.0022972936966</v>
      </c>
      <c r="AJ7549">
        <v>82.493896939306893</v>
      </c>
      <c r="AK7549">
        <v>21.1817438960062</v>
      </c>
      <c r="AL7549">
        <v>78.844401569827795</v>
      </c>
      <c r="AM7549">
        <v>88.965897668030706</v>
      </c>
      <c r="AN7549">
        <v>1.0000000090132699</v>
      </c>
    </row>
    <row r="7550" spans="1:40" x14ac:dyDescent="0.25">
      <c r="A7550" t="str">
        <f>"20190312172259379"</f>
        <v>20190312172259379</v>
      </c>
      <c r="B7550" t="str">
        <f>"1552382579367623"</f>
        <v>1552382579367623</v>
      </c>
      <c r="C7550" t="s">
        <v>40</v>
      </c>
      <c r="D7550">
        <v>3.1516769999999998</v>
      </c>
      <c r="E7550">
        <v>0.54597819999999997</v>
      </c>
      <c r="F7550" t="s">
        <v>76</v>
      </c>
      <c r="G7550">
        <v>-231.1772</v>
      </c>
      <c r="H7550" s="1">
        <v>-8.820925E-7</v>
      </c>
      <c r="I7550">
        <v>-65.607479999999995</v>
      </c>
      <c r="J7550">
        <v>-252.3141</v>
      </c>
      <c r="K7550">
        <v>1.1094170000000001</v>
      </c>
      <c r="L7550">
        <v>-63.716059999999999</v>
      </c>
      <c r="M7550">
        <v>0.99908969999999997</v>
      </c>
      <c r="N7550">
        <v>0</v>
      </c>
      <c r="O7550">
        <v>4.223238E-2</v>
      </c>
      <c r="P7550">
        <v>0.98195690000000002</v>
      </c>
      <c r="Q7550">
        <v>0.1876447</v>
      </c>
      <c r="R7550">
        <v>2.3458949999999999E-2</v>
      </c>
      <c r="S7550">
        <v>3.0925289999999999</v>
      </c>
      <c r="T7550">
        <v>-0.16123289999999901</v>
      </c>
      <c r="U7550">
        <v>-0.27401730000000002</v>
      </c>
      <c r="V7550">
        <v>1.8023190000000001E-2</v>
      </c>
      <c r="W7550">
        <v>0.1935617</v>
      </c>
      <c r="X7550">
        <v>0.98092259999999998</v>
      </c>
      <c r="Y7550">
        <v>0.13001770000000001</v>
      </c>
      <c r="Z7550">
        <v>-5.5770359999999996E-3</v>
      </c>
      <c r="AA7550">
        <v>0.99149600000000004</v>
      </c>
      <c r="AB7550">
        <v>29</v>
      </c>
      <c r="AC7550">
        <v>21.136900000000001</v>
      </c>
      <c r="AD7550">
        <v>-1.1094178820925</v>
      </c>
      <c r="AE7550">
        <v>-1.8914200000000101</v>
      </c>
      <c r="AF7550">
        <v>2.7748265145096198</v>
      </c>
      <c r="AG7550">
        <v>-1.1094178820925</v>
      </c>
      <c r="AH7550">
        <v>20.980819521998299</v>
      </c>
      <c r="AI7550">
        <v>93.000769346412397</v>
      </c>
      <c r="AJ7550">
        <v>82.466047853759505</v>
      </c>
      <c r="AK7550">
        <v>21.1925755404433</v>
      </c>
      <c r="AL7550">
        <v>78.839286298016006</v>
      </c>
      <c r="AM7550">
        <v>88.9473822518286</v>
      </c>
      <c r="AN7550">
        <v>1.0000000571377099</v>
      </c>
    </row>
    <row r="7551" spans="1:40" x14ac:dyDescent="0.25">
      <c r="A7551" t="str">
        <f>"20190312172259392"</f>
        <v>20190312172259392</v>
      </c>
      <c r="B7551" t="str">
        <f>"1552382579388119"</f>
        <v>1552382579388119</v>
      </c>
      <c r="C7551" t="s">
        <v>40</v>
      </c>
      <c r="D7551">
        <v>3.12886</v>
      </c>
      <c r="E7551">
        <v>0.54576979999999997</v>
      </c>
      <c r="F7551" t="s">
        <v>76</v>
      </c>
      <c r="G7551">
        <v>-230.93899999999999</v>
      </c>
      <c r="H7551" s="1">
        <v>-7.8095079999999995E-7</v>
      </c>
      <c r="I7551">
        <v>-65.611350000000002</v>
      </c>
      <c r="J7551">
        <v>-252.1652</v>
      </c>
      <c r="K7551">
        <v>1.1094120000000001</v>
      </c>
      <c r="L7551">
        <v>-63.70975</v>
      </c>
      <c r="M7551">
        <v>0.99908859999999999</v>
      </c>
      <c r="N7551">
        <v>0</v>
      </c>
      <c r="O7551">
        <v>4.2254970000000003E-2</v>
      </c>
      <c r="P7551">
        <v>0.98201240000000001</v>
      </c>
      <c r="Q7551">
        <v>0.18739529999999999</v>
      </c>
      <c r="R7551">
        <v>2.3124829999999999E-2</v>
      </c>
      <c r="S7551">
        <v>3.092346</v>
      </c>
      <c r="T7551">
        <v>-0.16050020000000001</v>
      </c>
      <c r="U7551">
        <v>-0.27420040000000001</v>
      </c>
      <c r="V7551">
        <v>1.83818E-2</v>
      </c>
      <c r="W7551">
        <v>0.19333</v>
      </c>
      <c r="X7551">
        <v>0.98096159999999999</v>
      </c>
      <c r="Y7551">
        <v>0.13010550000000001</v>
      </c>
      <c r="Z7551">
        <v>-5.555478E-3</v>
      </c>
      <c r="AA7551">
        <v>0.99148460000000005</v>
      </c>
      <c r="AB7551">
        <v>29</v>
      </c>
      <c r="AC7551">
        <v>21.226199999999899</v>
      </c>
      <c r="AD7551">
        <v>-1.1094127809508001</v>
      </c>
      <c r="AE7551">
        <v>-1.9016</v>
      </c>
      <c r="AF7551">
        <v>2.78927141002083</v>
      </c>
      <c r="AG7551">
        <v>-1.1094127809508001</v>
      </c>
      <c r="AH7551">
        <v>21.069788582861499</v>
      </c>
      <c r="AI7551">
        <v>92.988058323721503</v>
      </c>
      <c r="AJ7551">
        <v>82.458890098956104</v>
      </c>
      <c r="AK7551">
        <v>21.282547372055301</v>
      </c>
      <c r="AL7551">
        <v>78.852816898968797</v>
      </c>
      <c r="AM7551">
        <v>88.926485690509494</v>
      </c>
      <c r="AN7551">
        <v>1.00000002007289</v>
      </c>
    </row>
    <row r="7552" spans="1:40" x14ac:dyDescent="0.25">
      <c r="A7552" t="str">
        <f>"20190312172259402"</f>
        <v>20190312172259402</v>
      </c>
      <c r="B7552" t="str">
        <f>"1552382579397879"</f>
        <v>1552382579397879</v>
      </c>
      <c r="C7552" t="s">
        <v>40</v>
      </c>
      <c r="D7552">
        <v>3.1355300000000002</v>
      </c>
      <c r="E7552">
        <v>0.54563490000000003</v>
      </c>
      <c r="F7552" t="s">
        <v>76</v>
      </c>
      <c r="G7552">
        <v>-230.8647</v>
      </c>
      <c r="H7552" s="1">
        <v>-7.4449110000000004E-7</v>
      </c>
      <c r="I7552">
        <v>-65.594139999999996</v>
      </c>
      <c r="J7552">
        <v>-252.01509999999999</v>
      </c>
      <c r="K7552">
        <v>1.1094120000000001</v>
      </c>
      <c r="L7552">
        <v>-63.7033699999999</v>
      </c>
      <c r="M7552">
        <v>0.99908759999999996</v>
      </c>
      <c r="N7552">
        <v>0</v>
      </c>
      <c r="O7552">
        <v>4.2277019999999998E-2</v>
      </c>
      <c r="P7552">
        <v>0.98202210000000001</v>
      </c>
      <c r="Q7552">
        <v>0.18737590000000001</v>
      </c>
      <c r="R7552">
        <v>2.2865340000000001E-2</v>
      </c>
      <c r="S7552">
        <v>3.092117</v>
      </c>
      <c r="T7552">
        <v>-0.1610499</v>
      </c>
      <c r="U7552">
        <v>-0.27355960000000001</v>
      </c>
      <c r="V7552">
        <v>1.8663409999999998E-2</v>
      </c>
      <c r="W7552">
        <v>0.19332820000000001</v>
      </c>
      <c r="X7552">
        <v>0.98095659999999896</v>
      </c>
      <c r="Y7552">
        <v>0.1299285</v>
      </c>
      <c r="Z7552">
        <v>-5.5714909999999996E-3</v>
      </c>
      <c r="AA7552">
        <v>0.99150769999999999</v>
      </c>
      <c r="AB7552">
        <v>29</v>
      </c>
      <c r="AC7552">
        <v>21.150399999999902</v>
      </c>
      <c r="AD7552">
        <v>-1.1094127444910999</v>
      </c>
      <c r="AE7552">
        <v>-1.8907700000000001</v>
      </c>
      <c r="AF7552">
        <v>2.7756952904908498</v>
      </c>
      <c r="AG7552">
        <v>-1.1094127444910999</v>
      </c>
      <c r="AH7552">
        <v>20.994246730123301</v>
      </c>
      <c r="AI7552">
        <v>92.9988566058272</v>
      </c>
      <c r="AJ7552">
        <v>82.468480744900603</v>
      </c>
      <c r="AK7552">
        <v>21.205982098185999</v>
      </c>
      <c r="AL7552">
        <v>78.852921600854202</v>
      </c>
      <c r="AM7552">
        <v>88.910037786517506</v>
      </c>
      <c r="AN7552">
        <v>0.99999998343581298</v>
      </c>
    </row>
    <row r="7553" spans="1:40" x14ac:dyDescent="0.25">
      <c r="A7553" t="str">
        <f>"20190312172259413"</f>
        <v>20190312172259413</v>
      </c>
      <c r="B7553" t="str">
        <f>"1552382579407639"</f>
        <v>1552382579407639</v>
      </c>
      <c r="C7553" t="s">
        <v>40</v>
      </c>
      <c r="D7553">
        <v>3.1297160000000002</v>
      </c>
      <c r="E7553">
        <v>0.54549820000000004</v>
      </c>
      <c r="F7553" t="s">
        <v>76</v>
      </c>
      <c r="G7553">
        <v>-230.68</v>
      </c>
      <c r="H7553" s="1">
        <v>-6.6369549999999998E-7</v>
      </c>
      <c r="I7553">
        <v>-65.588369999999998</v>
      </c>
      <c r="J7553">
        <v>-251.87020000000001</v>
      </c>
      <c r="K7553">
        <v>1.1094079999999999</v>
      </c>
      <c r="L7553">
        <v>-63.697240000000001</v>
      </c>
      <c r="M7553">
        <v>0.99908669999999999</v>
      </c>
      <c r="N7553">
        <v>0</v>
      </c>
      <c r="O7553">
        <v>4.2296930000000003E-2</v>
      </c>
      <c r="P7553">
        <v>0.98199899999999996</v>
      </c>
      <c r="Q7553">
        <v>0.1874913</v>
      </c>
      <c r="R7553">
        <v>2.2914E-2</v>
      </c>
      <c r="S7553">
        <v>3.0919949999999998</v>
      </c>
      <c r="T7553">
        <v>-0.16078190000000001</v>
      </c>
      <c r="U7553">
        <v>-0.27319339999999998</v>
      </c>
      <c r="V7553">
        <v>1.863389E-2</v>
      </c>
      <c r="W7553">
        <v>0.19345960000000001</v>
      </c>
      <c r="X7553">
        <v>0.98093129999999995</v>
      </c>
      <c r="Y7553">
        <v>0.12983599999999901</v>
      </c>
      <c r="Z7553">
        <v>-5.5611109999999997E-3</v>
      </c>
      <c r="AA7553">
        <v>0.99151990000000001</v>
      </c>
      <c r="AB7553">
        <v>29</v>
      </c>
      <c r="AC7553">
        <v>21.190200000000001</v>
      </c>
      <c r="AD7553">
        <v>-1.1094086636954901</v>
      </c>
      <c r="AE7553">
        <v>-1.89112999999999</v>
      </c>
      <c r="AF7553">
        <v>2.7781795187055098</v>
      </c>
      <c r="AG7553">
        <v>-1.1094086636954901</v>
      </c>
      <c r="AH7553">
        <v>21.034046132753399</v>
      </c>
      <c r="AI7553">
        <v>92.993232926169497</v>
      </c>
      <c r="AJ7553">
        <v>82.475917313927198</v>
      </c>
      <c r="AK7553">
        <v>21.2457093488553</v>
      </c>
      <c r="AL7553">
        <v>78.845248560392903</v>
      </c>
      <c r="AM7553">
        <v>88.911733308861997</v>
      </c>
      <c r="AN7553">
        <v>1.00000002700419</v>
      </c>
    </row>
    <row r="7554" spans="1:40" x14ac:dyDescent="0.25">
      <c r="A7554" t="str">
        <f>"20190312172259425"</f>
        <v>20190312172259425</v>
      </c>
      <c r="B7554" t="str">
        <f>"1552382579417399"</f>
        <v>1552382579417399</v>
      </c>
      <c r="C7554" t="s">
        <v>40</v>
      </c>
      <c r="D7554">
        <v>3.1470470000000001</v>
      </c>
      <c r="E7554">
        <v>0.54537709999999995</v>
      </c>
      <c r="F7554" t="s">
        <v>76</v>
      </c>
      <c r="G7554">
        <v>-230.49619999999999</v>
      </c>
      <c r="H7554" s="1">
        <v>-5.8150509999999898E-7</v>
      </c>
      <c r="I7554">
        <v>-65.575769999999906</v>
      </c>
      <c r="J7554">
        <v>-251.72120000000001</v>
      </c>
      <c r="K7554">
        <v>1.1094029999999999</v>
      </c>
      <c r="L7554">
        <v>-63.690919999999998</v>
      </c>
      <c r="M7554">
        <v>0.99908580000000002</v>
      </c>
      <c r="N7554">
        <v>0</v>
      </c>
      <c r="O7554">
        <v>4.2315810000000002E-2</v>
      </c>
      <c r="P7554">
        <v>0.98205089999999995</v>
      </c>
      <c r="Q7554">
        <v>0.18723600000000001</v>
      </c>
      <c r="R7554">
        <v>2.277914E-2</v>
      </c>
      <c r="S7554">
        <v>3.09198</v>
      </c>
      <c r="T7554">
        <v>-0.1604882</v>
      </c>
      <c r="U7554">
        <v>-0.27175899999999997</v>
      </c>
      <c r="V7554">
        <v>1.8790299999999999E-2</v>
      </c>
      <c r="W7554">
        <v>0.19322239999999999</v>
      </c>
      <c r="X7554">
        <v>0.98097500000000004</v>
      </c>
      <c r="Y7554">
        <v>0.12940019999999999</v>
      </c>
      <c r="Z7554">
        <v>-5.5407969999999897E-3</v>
      </c>
      <c r="AA7554">
        <v>0.99157700000000004</v>
      </c>
      <c r="AB7554">
        <v>29</v>
      </c>
      <c r="AC7554">
        <v>21.225000000000001</v>
      </c>
      <c r="AD7554">
        <v>-1.1094035815051</v>
      </c>
      <c r="AE7554">
        <v>-1.8848499999999899</v>
      </c>
      <c r="AF7554">
        <v>2.7738124890266902</v>
      </c>
      <c r="AG7554">
        <v>-1.1094035815051</v>
      </c>
      <c r="AH7554">
        <v>21.069116467457</v>
      </c>
      <c r="AI7554">
        <v>92.988411087151107</v>
      </c>
      <c r="AJ7554">
        <v>82.499971440379994</v>
      </c>
      <c r="AK7554">
        <v>21.279860919428099</v>
      </c>
      <c r="AL7554">
        <v>78.859099736719799</v>
      </c>
      <c r="AM7554">
        <v>88.902649665055307</v>
      </c>
      <c r="AN7554">
        <v>0.99999996093042398</v>
      </c>
    </row>
    <row r="7555" spans="1:40" x14ac:dyDescent="0.25">
      <c r="A7555" t="str">
        <f>"20190312172259436"</f>
        <v>20190312172259436</v>
      </c>
      <c r="B7555" t="str">
        <f>"1552382579428135"</f>
        <v>1552382579428135</v>
      </c>
      <c r="C7555" t="s">
        <v>40</v>
      </c>
      <c r="D7555">
        <v>3.1426750000000001</v>
      </c>
      <c r="E7555">
        <v>0.54525480000000004</v>
      </c>
      <c r="F7555" t="s">
        <v>76</v>
      </c>
      <c r="G7555">
        <v>-230.44139999999999</v>
      </c>
      <c r="H7555" s="1">
        <v>-5.5247859999999999E-7</v>
      </c>
      <c r="I7555">
        <v>-65.554950000000005</v>
      </c>
      <c r="J7555">
        <v>-251.57069999999999</v>
      </c>
      <c r="K7555">
        <v>1.1093999999999999</v>
      </c>
      <c r="L7555">
        <v>-63.684510000000003</v>
      </c>
      <c r="M7555">
        <v>0.99908490000000005</v>
      </c>
      <c r="N7555">
        <v>0</v>
      </c>
      <c r="O7555">
        <v>4.2333379999999997E-2</v>
      </c>
      <c r="P7555">
        <v>0.98207679999999997</v>
      </c>
      <c r="Q7555">
        <v>0.1870638</v>
      </c>
      <c r="R7555">
        <v>2.307555E-2</v>
      </c>
      <c r="S7555">
        <v>3.0918429999999999</v>
      </c>
      <c r="T7555">
        <v>-0.16119069999999999</v>
      </c>
      <c r="U7555">
        <v>-0.27084350000000001</v>
      </c>
      <c r="V7555">
        <v>1.851359E-2</v>
      </c>
      <c r="W7555">
        <v>0.19306950000000001</v>
      </c>
      <c r="X7555">
        <v>0.98101039999999995</v>
      </c>
      <c r="Y7555">
        <v>0.12912839999999901</v>
      </c>
      <c r="Z7555">
        <v>-5.5591800000000004E-3</v>
      </c>
      <c r="AA7555">
        <v>0.9916123</v>
      </c>
      <c r="AB7555">
        <v>29</v>
      </c>
      <c r="AC7555">
        <v>21.129300000000001</v>
      </c>
      <c r="AD7555">
        <v>-1.1094005524785999</v>
      </c>
      <c r="AE7555">
        <v>-1.8704400000000001</v>
      </c>
      <c r="AF7555">
        <v>2.7557165974147599</v>
      </c>
      <c r="AG7555">
        <v>-1.1094005524785999</v>
      </c>
      <c r="AH7555">
        <v>20.973803047530598</v>
      </c>
      <c r="AI7555">
        <v>93.002061135491502</v>
      </c>
      <c r="AJ7555">
        <v>82.514868549818601</v>
      </c>
      <c r="AK7555">
        <v>21.1831338056415</v>
      </c>
      <c r="AL7555">
        <v>78.868028770657801</v>
      </c>
      <c r="AM7555">
        <v>88.918844623416405</v>
      </c>
      <c r="AN7555">
        <v>0.999999994876549</v>
      </c>
    </row>
    <row r="7556" spans="1:40" x14ac:dyDescent="0.25">
      <c r="A7556" t="str">
        <f>"20190312172259447"</f>
        <v>20190312172259447</v>
      </c>
      <c r="B7556" t="str">
        <f>"1552382579437896"</f>
        <v>1552382579437896</v>
      </c>
      <c r="C7556" t="s">
        <v>40</v>
      </c>
      <c r="D7556">
        <v>3.1221570000000001</v>
      </c>
      <c r="E7556">
        <v>0.54519399999999996</v>
      </c>
      <c r="F7556" t="s">
        <v>76</v>
      </c>
      <c r="G7556">
        <v>-230.3484</v>
      </c>
      <c r="H7556" s="1">
        <v>-5.0572379999999897E-7</v>
      </c>
      <c r="I7556">
        <v>-65.529250000000005</v>
      </c>
      <c r="J7556">
        <v>-251.4265</v>
      </c>
      <c r="K7556">
        <v>1.1093980000000001</v>
      </c>
      <c r="L7556">
        <v>-63.678379999999997</v>
      </c>
      <c r="M7556">
        <v>0.99908419999999998</v>
      </c>
      <c r="N7556">
        <v>0</v>
      </c>
      <c r="O7556">
        <v>4.2347179999999998E-2</v>
      </c>
      <c r="P7556">
        <v>0.982124</v>
      </c>
      <c r="Q7556">
        <v>0.1868167</v>
      </c>
      <c r="R7556">
        <v>2.3073010000000001E-2</v>
      </c>
      <c r="S7556">
        <v>3.0918730000000001</v>
      </c>
      <c r="T7556">
        <v>-0.1616281</v>
      </c>
      <c r="U7556">
        <v>-0.26876830000000002</v>
      </c>
      <c r="V7556">
        <v>1.8532759999999999E-2</v>
      </c>
      <c r="W7556">
        <v>0.1928416</v>
      </c>
      <c r="X7556">
        <v>0.9810548</v>
      </c>
      <c r="Y7556">
        <v>0.12848019999999999</v>
      </c>
      <c r="Z7556">
        <v>-5.5581679999999996E-3</v>
      </c>
      <c r="AA7556">
        <v>0.99169649999999998</v>
      </c>
      <c r="AB7556">
        <v>29</v>
      </c>
      <c r="AC7556">
        <v>21.078099999999999</v>
      </c>
      <c r="AD7556">
        <v>-1.1093985057237901</v>
      </c>
      <c r="AE7556">
        <v>-1.85087</v>
      </c>
      <c r="AF7556">
        <v>2.7343078061872701</v>
      </c>
      <c r="AG7556">
        <v>-1.1093985057237901</v>
      </c>
      <c r="AH7556">
        <v>20.9232923599656</v>
      </c>
      <c r="AI7556">
        <v>93.009562741792095</v>
      </c>
      <c r="AJ7556">
        <v>82.554637679491194</v>
      </c>
      <c r="AK7556">
        <v>21.130342339963899</v>
      </c>
      <c r="AL7556">
        <v>78.881335871652595</v>
      </c>
      <c r="AM7556">
        <v>88.917774370484906</v>
      </c>
      <c r="AN7556">
        <v>0.99999993324340597</v>
      </c>
    </row>
    <row r="7557" spans="1:40" x14ac:dyDescent="0.25">
      <c r="A7557" t="str">
        <f>"20190312172259458"</f>
        <v>20190312172259458</v>
      </c>
      <c r="B7557" t="str">
        <f>"1552382579447655"</f>
        <v>1552382579447655</v>
      </c>
      <c r="C7557" t="s">
        <v>40</v>
      </c>
      <c r="D7557">
        <v>3.1744859999999999</v>
      </c>
      <c r="E7557">
        <v>0.54519399999999996</v>
      </c>
      <c r="F7557" t="s">
        <v>76</v>
      </c>
      <c r="G7557">
        <v>-230.33150000000001</v>
      </c>
      <c r="H7557" s="1">
        <v>-4.9281230000000001E-7</v>
      </c>
      <c r="I7557">
        <v>-65.507900000000006</v>
      </c>
      <c r="J7557">
        <v>-251.2851</v>
      </c>
      <c r="K7557">
        <v>1.1094010000000001</v>
      </c>
      <c r="L7557">
        <v>-63.672359999999998</v>
      </c>
      <c r="M7557">
        <v>0.99908350000000001</v>
      </c>
      <c r="N7557">
        <v>0</v>
      </c>
      <c r="O7557">
        <v>4.2359790000000001E-2</v>
      </c>
      <c r="P7557">
        <v>0.98213419999999896</v>
      </c>
      <c r="Q7557">
        <v>0.18672849999999999</v>
      </c>
      <c r="R7557">
        <v>2.3343659999999999E-2</v>
      </c>
      <c r="S7557">
        <v>3.0918429999999999</v>
      </c>
      <c r="T7557">
        <v>-0.1626021</v>
      </c>
      <c r="U7557">
        <v>-0.26815800000000001</v>
      </c>
      <c r="V7557">
        <v>1.8276980000000002E-2</v>
      </c>
      <c r="W7557">
        <v>0.19277230000000001</v>
      </c>
      <c r="X7557">
        <v>0.98107330000000004</v>
      </c>
      <c r="Y7557">
        <v>0.12829670000000001</v>
      </c>
      <c r="Z7557">
        <v>-5.5875639999999997E-3</v>
      </c>
      <c r="AA7557">
        <v>0.99172009999999999</v>
      </c>
      <c r="AB7557">
        <v>29</v>
      </c>
      <c r="AC7557">
        <v>20.953599999999899</v>
      </c>
      <c r="AD7557">
        <v>-1.1094014928122999</v>
      </c>
      <c r="AE7557">
        <v>-1.8355399999999999</v>
      </c>
      <c r="AF7557">
        <v>2.7139493579965501</v>
      </c>
      <c r="AG7557">
        <v>-1.1094014928122999</v>
      </c>
      <c r="AH7557">
        <v>20.799176167403498</v>
      </c>
      <c r="AI7557">
        <v>93.027573917874406</v>
      </c>
      <c r="AJ7557">
        <v>82.565847291918999</v>
      </c>
      <c r="AK7557">
        <v>21.004809497653401</v>
      </c>
      <c r="AL7557">
        <v>78.885383302412905</v>
      </c>
      <c r="AM7557">
        <v>88.932727356137306</v>
      </c>
      <c r="AN7557">
        <v>1.0000000138090499</v>
      </c>
    </row>
    <row r="7558" spans="1:40" x14ac:dyDescent="0.25">
      <c r="A7558" t="str">
        <f>"20190312172259470"</f>
        <v>20190312172259470</v>
      </c>
      <c r="B7558" t="str">
        <f>"1552382579457416"</f>
        <v>1552382579457416</v>
      </c>
      <c r="C7558" t="s">
        <v>40</v>
      </c>
      <c r="D7558">
        <v>3.100355</v>
      </c>
      <c r="E7558">
        <v>0.52520279999999997</v>
      </c>
      <c r="F7558" t="s">
        <v>76</v>
      </c>
      <c r="G7558">
        <v>-230.2439</v>
      </c>
      <c r="H7558" s="1">
        <v>-4.501425E-7</v>
      </c>
      <c r="I7558">
        <v>-65.488879999999995</v>
      </c>
      <c r="J7558">
        <v>-251.13509999999999</v>
      </c>
      <c r="K7558">
        <v>1.1093980000000001</v>
      </c>
      <c r="L7558">
        <v>-63.666020000000003</v>
      </c>
      <c r="M7558">
        <v>0.99908300000000005</v>
      </c>
      <c r="N7558">
        <v>0</v>
      </c>
      <c r="O7558">
        <v>4.2369410000000003E-2</v>
      </c>
      <c r="P7558">
        <v>0.98218419999999895</v>
      </c>
      <c r="Q7558">
        <v>0.18642839999999999</v>
      </c>
      <c r="R7558">
        <v>2.3639819999999999E-2</v>
      </c>
      <c r="S7558">
        <v>3.0919189999999999</v>
      </c>
      <c r="T7558">
        <v>-0.1630219</v>
      </c>
      <c r="U7558">
        <v>-0.26693729999999999</v>
      </c>
      <c r="V7558">
        <v>1.799456E-2</v>
      </c>
      <c r="W7558">
        <v>0.1924949</v>
      </c>
      <c r="X7558">
        <v>0.98113300000000003</v>
      </c>
      <c r="Y7558">
        <v>0.1279149</v>
      </c>
      <c r="Z7558">
        <v>-5.5923889999999997E-3</v>
      </c>
      <c r="AA7558">
        <v>0.99176940000000002</v>
      </c>
      <c r="AB7558">
        <v>29</v>
      </c>
      <c r="AC7558">
        <v>20.891200000000001</v>
      </c>
      <c r="AD7558">
        <v>-1.1093984501424901</v>
      </c>
      <c r="AE7558">
        <v>-1.8228600000000099</v>
      </c>
      <c r="AF7558">
        <v>2.69883447284744</v>
      </c>
      <c r="AG7558">
        <v>-1.1093984501424901</v>
      </c>
      <c r="AH7558">
        <v>20.7371674492463</v>
      </c>
      <c r="AI7558">
        <v>93.036733350533694</v>
      </c>
      <c r="AJ7558">
        <v>82.584929574809095</v>
      </c>
      <c r="AK7558">
        <v>20.9414561635787</v>
      </c>
      <c r="AL7558">
        <v>78.901580663524896</v>
      </c>
      <c r="AM7558">
        <v>88.949279289895102</v>
      </c>
      <c r="AN7558">
        <v>1.0000000272023</v>
      </c>
    </row>
    <row r="7559" spans="1:40" x14ac:dyDescent="0.25">
      <c r="A7559" t="str">
        <f>"20190312172259480"</f>
        <v>20190312172259480</v>
      </c>
      <c r="B7559" t="str">
        <f>"1552382579477911"</f>
        <v>1552382579477911</v>
      </c>
      <c r="C7559" t="s">
        <v>40</v>
      </c>
      <c r="D7559">
        <v>3.0796100000000002</v>
      </c>
      <c r="E7559">
        <v>0.51512369999999996</v>
      </c>
      <c r="F7559" t="s">
        <v>77</v>
      </c>
      <c r="G7559">
        <v>-225.8278</v>
      </c>
      <c r="H7559" s="1">
        <v>-2.5441259999999998E-6</v>
      </c>
      <c r="I7559">
        <v>-64.547899999999998</v>
      </c>
      <c r="J7559">
        <v>-250.9932</v>
      </c>
      <c r="K7559">
        <v>1.1093949999999999</v>
      </c>
      <c r="L7559">
        <v>-63.659970000000001</v>
      </c>
      <c r="M7559">
        <v>0.99908240000000004</v>
      </c>
      <c r="N7559">
        <v>0</v>
      </c>
      <c r="O7559">
        <v>4.2378190000000003E-2</v>
      </c>
      <c r="P7559">
        <v>0.9821725</v>
      </c>
      <c r="Q7559">
        <v>0.18646470000000001</v>
      </c>
      <c r="R7559">
        <v>2.3838040000000001E-2</v>
      </c>
      <c r="S7559">
        <v>3.0826720000000001</v>
      </c>
      <c r="T7559">
        <v>-0.1351358</v>
      </c>
      <c r="U7559">
        <v>-0.1074219</v>
      </c>
      <c r="V7559">
        <v>1.780619E-2</v>
      </c>
      <c r="W7559">
        <v>0.1925529</v>
      </c>
      <c r="X7559">
        <v>0.98112509999999997</v>
      </c>
      <c r="Y7559">
        <v>7.7033299999999999E-2</v>
      </c>
      <c r="Z7559">
        <v>-3.5433909999999999E-3</v>
      </c>
      <c r="AA7559">
        <v>0.99702219999999997</v>
      </c>
      <c r="AB7559">
        <v>29</v>
      </c>
      <c r="AC7559">
        <v>25.165400000000002</v>
      </c>
      <c r="AD7559">
        <v>-1.109397544126</v>
      </c>
      <c r="AE7559">
        <v>-0.88793000000000399</v>
      </c>
      <c r="AF7559">
        <v>1.94983226193936</v>
      </c>
      <c r="AG7559">
        <v>-1.109397544126</v>
      </c>
      <c r="AH7559">
        <v>25.056527161943301</v>
      </c>
      <c r="AI7559">
        <v>92.527528922288397</v>
      </c>
      <c r="AJ7559">
        <v>85.550362109877597</v>
      </c>
      <c r="AK7559">
        <v>25.156751820889301</v>
      </c>
      <c r="AL7559">
        <v>78.898194644446605</v>
      </c>
      <c r="AM7559">
        <v>88.960267609028307</v>
      </c>
      <c r="AN7559">
        <v>1.00000007077536</v>
      </c>
    </row>
    <row r="7560" spans="1:40" x14ac:dyDescent="0.25">
      <c r="A7560" t="str">
        <f>"20190312172259491"</f>
        <v>20190312172259491</v>
      </c>
      <c r="B7560" t="str">
        <f>"1552382579487674"</f>
        <v>1552382579487674</v>
      </c>
      <c r="C7560" t="s">
        <v>40</v>
      </c>
      <c r="D7560">
        <v>3.0796000000000001</v>
      </c>
      <c r="E7560">
        <v>0.51272689999999999</v>
      </c>
      <c r="F7560" t="s">
        <v>77</v>
      </c>
      <c r="G7560">
        <v>-224.63460000000001</v>
      </c>
      <c r="H7560" s="1">
        <v>-1.8849919999999999E-6</v>
      </c>
      <c r="I7560">
        <v>-63.885640000000002</v>
      </c>
      <c r="J7560">
        <v>-250.84049999999999</v>
      </c>
      <c r="K7560">
        <v>1.1093919999999999</v>
      </c>
      <c r="L7560">
        <v>-63.653500000000001</v>
      </c>
      <c r="M7560">
        <v>0.99908209999999997</v>
      </c>
      <c r="N7560">
        <v>0</v>
      </c>
      <c r="O7560">
        <v>4.2384400000000003E-2</v>
      </c>
      <c r="P7560">
        <v>0.98220099999999999</v>
      </c>
      <c r="Q7560">
        <v>0.1862982</v>
      </c>
      <c r="R7560">
        <v>2.3968320000000001E-2</v>
      </c>
      <c r="S7560">
        <v>3.0797119999999998</v>
      </c>
      <c r="T7560">
        <v>-0.12962099999999999</v>
      </c>
      <c r="U7560">
        <v>-2.6367189999999999E-2</v>
      </c>
      <c r="V7560">
        <v>1.7685030000000001E-2</v>
      </c>
      <c r="W7560">
        <v>0.1924111</v>
      </c>
      <c r="X7560">
        <v>0.981155</v>
      </c>
      <c r="Y7560">
        <v>5.0854690000000001E-2</v>
      </c>
      <c r="Z7560">
        <v>-2.8525059999999999E-3</v>
      </c>
      <c r="AA7560">
        <v>0.99870199999999998</v>
      </c>
      <c r="AB7560">
        <v>30</v>
      </c>
      <c r="AC7560">
        <v>26.2058999999999</v>
      </c>
      <c r="AD7560">
        <v>-1.109393884992</v>
      </c>
      <c r="AE7560">
        <v>-0.23214000000000101</v>
      </c>
      <c r="AF7560">
        <v>1.34027235166325</v>
      </c>
      <c r="AG7560">
        <v>-1.109393884992</v>
      </c>
      <c r="AH7560">
        <v>26.125693196783299</v>
      </c>
      <c r="AI7560">
        <v>92.428341132031505</v>
      </c>
      <c r="AJ7560">
        <v>87.063247734548199</v>
      </c>
      <c r="AK7560">
        <v>26.1835622057263</v>
      </c>
      <c r="AL7560">
        <v>78.906472792883093</v>
      </c>
      <c r="AM7560">
        <v>88.967372263953905</v>
      </c>
      <c r="AN7560">
        <v>0.99999996285715398</v>
      </c>
    </row>
    <row r="7561" spans="1:40" x14ac:dyDescent="0.25">
      <c r="A7561" t="str">
        <f>"20190312172259503"</f>
        <v>20190312172259503</v>
      </c>
      <c r="B7561" t="str">
        <f>"1552382579497435"</f>
        <v>1552382579497435</v>
      </c>
      <c r="C7561" t="s">
        <v>40</v>
      </c>
      <c r="D7561">
        <v>3.053814</v>
      </c>
      <c r="E7561">
        <v>0.51108819999999999</v>
      </c>
      <c r="F7561" t="s">
        <v>77</v>
      </c>
      <c r="G7561">
        <v>-223.9973</v>
      </c>
      <c r="H7561" s="1">
        <v>-1.573153E-6</v>
      </c>
      <c r="I7561">
        <v>-63.71284</v>
      </c>
      <c r="J7561">
        <v>-250.6909</v>
      </c>
      <c r="K7561">
        <v>1.109394</v>
      </c>
      <c r="L7561">
        <v>-63.64716</v>
      </c>
      <c r="M7561">
        <v>0.99908160000000001</v>
      </c>
      <c r="N7561">
        <v>0</v>
      </c>
      <c r="O7561">
        <v>4.2390009999999999E-2</v>
      </c>
      <c r="P7561">
        <v>0.98223689999999997</v>
      </c>
      <c r="Q7561">
        <v>0.1860716</v>
      </c>
      <c r="R7561">
        <v>2.4246960000000001E-2</v>
      </c>
      <c r="S7561">
        <v>3.078659</v>
      </c>
      <c r="T7561">
        <v>-0.12723670000000001</v>
      </c>
      <c r="U7561">
        <v>-6.8054200000000004E-3</v>
      </c>
      <c r="V7561">
        <v>1.741529E-2</v>
      </c>
      <c r="W7561">
        <v>0.19220989999999999</v>
      </c>
      <c r="X7561">
        <v>0.9811993</v>
      </c>
      <c r="Y7561">
        <v>4.4525080000000002E-2</v>
      </c>
      <c r="Z7561">
        <v>-2.6705180000000002E-3</v>
      </c>
      <c r="AA7561">
        <v>0.99900469999999997</v>
      </c>
      <c r="AB7561">
        <v>30</v>
      </c>
      <c r="AC7561">
        <v>26.6936</v>
      </c>
      <c r="AD7561">
        <v>-1.1093955731530001</v>
      </c>
      <c r="AE7561">
        <v>-6.5680000000000405E-2</v>
      </c>
      <c r="AF7561">
        <v>1.19512074607714</v>
      </c>
      <c r="AG7561">
        <v>-1.1093955731530001</v>
      </c>
      <c r="AH7561">
        <v>26.620840087932098</v>
      </c>
      <c r="AI7561">
        <v>92.3839622033193</v>
      </c>
      <c r="AJ7561">
        <v>87.429479072177003</v>
      </c>
      <c r="AK7561">
        <v>26.670736756278199</v>
      </c>
      <c r="AL7561">
        <v>78.918220416563102</v>
      </c>
      <c r="AM7561">
        <v>88.983164933323195</v>
      </c>
      <c r="AN7561">
        <v>1.00000000215214</v>
      </c>
    </row>
    <row r="7562" spans="1:40" x14ac:dyDescent="0.25">
      <c r="A7562" t="str">
        <f>"20190312172259514"</f>
        <v>20190312172259514</v>
      </c>
      <c r="B7562" t="str">
        <f>"1552382579508167"</f>
        <v>1552382579508167</v>
      </c>
      <c r="C7562" t="s">
        <v>40</v>
      </c>
      <c r="D7562">
        <v>3.0839310000000002</v>
      </c>
      <c r="E7562">
        <v>0.51013180000000002</v>
      </c>
      <c r="F7562" t="s">
        <v>77</v>
      </c>
      <c r="G7562">
        <v>-223.6404</v>
      </c>
      <c r="H7562" s="1">
        <v>-1.39125E-6</v>
      </c>
      <c r="I7562">
        <v>-63.583319999999901</v>
      </c>
      <c r="J7562">
        <v>-250.5411</v>
      </c>
      <c r="K7562">
        <v>1.1093930000000001</v>
      </c>
      <c r="L7562">
        <v>-63.640779999999999</v>
      </c>
      <c r="M7562">
        <v>0.99908129999999995</v>
      </c>
      <c r="N7562">
        <v>0</v>
      </c>
      <c r="O7562">
        <v>4.2393720000000003E-2</v>
      </c>
      <c r="P7562">
        <v>0.98223269999999996</v>
      </c>
      <c r="Q7562">
        <v>0.18606149999999999</v>
      </c>
      <c r="R7562">
        <v>2.449962E-2</v>
      </c>
      <c r="S7562">
        <v>3.0780180000000001</v>
      </c>
      <c r="T7562">
        <v>-0.1262355</v>
      </c>
      <c r="U7562">
        <v>7.2631839999999998E-3</v>
      </c>
      <c r="V7562">
        <v>1.7167490000000001E-2</v>
      </c>
      <c r="W7562">
        <v>0.1922258</v>
      </c>
      <c r="X7562">
        <v>0.98120050000000003</v>
      </c>
      <c r="Y7562">
        <v>3.996765E-2</v>
      </c>
      <c r="Z7562">
        <v>-2.5567670000000002E-3</v>
      </c>
      <c r="AA7562">
        <v>0.99919769999999997</v>
      </c>
      <c r="AB7562">
        <v>30</v>
      </c>
      <c r="AC7562">
        <v>26.900700000000001</v>
      </c>
      <c r="AD7562">
        <v>-1.1093943912499999</v>
      </c>
      <c r="AE7562">
        <v>5.7460000000013098E-2</v>
      </c>
      <c r="AF7562">
        <v>1.0811959755513101</v>
      </c>
      <c r="AG7562">
        <v>-1.1093943912499999</v>
      </c>
      <c r="AH7562">
        <v>26.833313828543201</v>
      </c>
      <c r="AI7562">
        <v>92.365566511696102</v>
      </c>
      <c r="AJ7562">
        <v>87.692626618757501</v>
      </c>
      <c r="AK7562">
        <v>26.877992329673202</v>
      </c>
      <c r="AL7562">
        <v>78.917291529207205</v>
      </c>
      <c r="AM7562">
        <v>88.997631605646802</v>
      </c>
      <c r="AN7562">
        <v>0.99999995104939299</v>
      </c>
    </row>
    <row r="7563" spans="1:40" x14ac:dyDescent="0.25">
      <c r="A7563" t="str">
        <f>"20190312172259525"</f>
        <v>20190312172259525</v>
      </c>
      <c r="B7563" t="str">
        <f>"1552382579517927"</f>
        <v>1552382579517927</v>
      </c>
      <c r="C7563" t="s">
        <v>40</v>
      </c>
      <c r="D7563">
        <v>3.0613049999999999</v>
      </c>
      <c r="E7563">
        <v>0.50941069999999999</v>
      </c>
      <c r="F7563" t="s">
        <v>77</v>
      </c>
      <c r="G7563">
        <v>-223.65260000000001</v>
      </c>
      <c r="H7563" s="1">
        <v>-1.378248E-6</v>
      </c>
      <c r="I7563">
        <v>-63.501350000000002</v>
      </c>
      <c r="J7563">
        <v>-250.3938</v>
      </c>
      <c r="K7563">
        <v>1.109391</v>
      </c>
      <c r="L7563">
        <v>-63.634520000000002</v>
      </c>
      <c r="M7563">
        <v>0.999081</v>
      </c>
      <c r="N7563">
        <v>0</v>
      </c>
      <c r="O7563">
        <v>4.2396240000000002E-2</v>
      </c>
      <c r="P7563">
        <v>0.98230390000000001</v>
      </c>
      <c r="Q7563">
        <v>0.18567259999999999</v>
      </c>
      <c r="R7563">
        <v>2.4595579999999999E-2</v>
      </c>
      <c r="S7563">
        <v>3.0779269999999999</v>
      </c>
      <c r="T7563">
        <v>-0.1269921</v>
      </c>
      <c r="U7563">
        <v>1.596069E-2</v>
      </c>
      <c r="V7563">
        <v>1.70779E-2</v>
      </c>
      <c r="W7563">
        <v>0.1918636</v>
      </c>
      <c r="X7563">
        <v>0.98127299999999995</v>
      </c>
      <c r="Y7563">
        <v>3.7148059999999997E-2</v>
      </c>
      <c r="Z7563">
        <v>-2.5140779999999999E-3</v>
      </c>
      <c r="AA7563">
        <v>0.99930660000000004</v>
      </c>
      <c r="AB7563">
        <v>30</v>
      </c>
      <c r="AC7563">
        <v>26.7411999999999</v>
      </c>
      <c r="AD7563">
        <v>-1.109392378248</v>
      </c>
      <c r="AE7563">
        <v>0.13316999999999199</v>
      </c>
      <c r="AF7563">
        <v>0.99897927716252999</v>
      </c>
      <c r="AG7563">
        <v>-1.109392378248</v>
      </c>
      <c r="AH7563">
        <v>26.6768886728069</v>
      </c>
      <c r="AI7563">
        <v>92.379679772064193</v>
      </c>
      <c r="AJ7563">
        <v>87.855425913068501</v>
      </c>
      <c r="AK7563">
        <v>26.718628338791099</v>
      </c>
      <c r="AL7563">
        <v>78.938438199275495</v>
      </c>
      <c r="AM7563">
        <v>89.002935148377603</v>
      </c>
      <c r="AN7563">
        <v>0.99999999810118401</v>
      </c>
    </row>
    <row r="7564" spans="1:40" x14ac:dyDescent="0.25">
      <c r="A7564" t="str">
        <f>"20190312172259536"</f>
        <v>20190312172259536</v>
      </c>
      <c r="B7564" t="str">
        <f>"1552382579527688"</f>
        <v>1552382579527688</v>
      </c>
      <c r="C7564" t="s">
        <v>40</v>
      </c>
      <c r="D7564">
        <v>3.1178149999999998</v>
      </c>
      <c r="E7564">
        <v>0.50904819999999995</v>
      </c>
      <c r="F7564" t="s">
        <v>77</v>
      </c>
      <c r="G7564">
        <v>-223.68190000000001</v>
      </c>
      <c r="H7564" s="1">
        <v>-1.377425E-6</v>
      </c>
      <c r="I7564">
        <v>-63.441160000000004</v>
      </c>
      <c r="J7564">
        <v>-250.24860000000001</v>
      </c>
      <c r="K7564">
        <v>1.1093919999999999</v>
      </c>
      <c r="L7564">
        <v>-63.628390000000003</v>
      </c>
      <c r="M7564">
        <v>0.99908079999999999</v>
      </c>
      <c r="N7564">
        <v>0</v>
      </c>
      <c r="O7564">
        <v>4.2397329999999997E-2</v>
      </c>
      <c r="P7564">
        <v>0.98227549999999997</v>
      </c>
      <c r="Q7564">
        <v>0.18579090000000001</v>
      </c>
      <c r="R7564">
        <v>2.4830080000000001E-2</v>
      </c>
      <c r="S7564">
        <v>3.0776370000000002</v>
      </c>
      <c r="T7564">
        <v>-0.1278195</v>
      </c>
      <c r="U7564">
        <v>2.2277829999999998E-2</v>
      </c>
      <c r="V7564">
        <v>1.6844390000000001E-2</v>
      </c>
      <c r="W7564">
        <v>0.19200819999999999</v>
      </c>
      <c r="X7564">
        <v>0.98124869999999997</v>
      </c>
      <c r="Y7564">
        <v>3.5098369999999997E-2</v>
      </c>
      <c r="Z7564">
        <v>-2.4881479999999999E-3</v>
      </c>
      <c r="AA7564">
        <v>0.99938079999999996</v>
      </c>
      <c r="AB7564">
        <v>30</v>
      </c>
      <c r="AC7564">
        <v>26.566700000000001</v>
      </c>
      <c r="AD7564">
        <v>-1.109393377425</v>
      </c>
      <c r="AE7564">
        <v>0.187230000000006</v>
      </c>
      <c r="AF7564">
        <v>0.93768299781782005</v>
      </c>
      <c r="AG7564">
        <v>-1.109393377425</v>
      </c>
      <c r="AH7564">
        <v>26.504533018419099</v>
      </c>
      <c r="AI7564">
        <v>92.395318738704006</v>
      </c>
      <c r="AJ7564">
        <v>87.973822795912994</v>
      </c>
      <c r="AK7564">
        <v>26.544307743746799</v>
      </c>
      <c r="AL7564">
        <v>78.929995697594194</v>
      </c>
      <c r="AM7564">
        <v>89.016541196870804</v>
      </c>
      <c r="AN7564">
        <v>0.99999994679669901</v>
      </c>
    </row>
    <row r="7565" spans="1:40" x14ac:dyDescent="0.25">
      <c r="A7565" t="str">
        <f>"20190312172259547"</f>
        <v>20190312172259547</v>
      </c>
      <c r="B7565" t="str">
        <f>"1552382579537447"</f>
        <v>1552382579537447</v>
      </c>
      <c r="C7565" t="s">
        <v>40</v>
      </c>
      <c r="D7565">
        <v>3.092457</v>
      </c>
      <c r="E7565">
        <v>0.50863789999999998</v>
      </c>
      <c r="F7565" t="s">
        <v>77</v>
      </c>
      <c r="G7565">
        <v>-223.7483</v>
      </c>
      <c r="H7565" s="1">
        <v>-1.397825E-6</v>
      </c>
      <c r="I7565">
        <v>-63.404780000000002</v>
      </c>
      <c r="J7565">
        <v>-250.10130000000001</v>
      </c>
      <c r="K7565">
        <v>1.109391</v>
      </c>
      <c r="L7565">
        <v>-63.622129999999999</v>
      </c>
      <c r="M7565">
        <v>0.99908079999999999</v>
      </c>
      <c r="N7565">
        <v>0</v>
      </c>
      <c r="O7565">
        <v>4.2393399999999998E-2</v>
      </c>
      <c r="P7565">
        <v>0.98226639999999998</v>
      </c>
      <c r="Q7565">
        <v>0.18584210000000001</v>
      </c>
      <c r="R7565">
        <v>2.4813829999999999E-2</v>
      </c>
      <c r="S7565">
        <v>3.0778500000000002</v>
      </c>
      <c r="T7565">
        <v>-0.12884899999999999</v>
      </c>
      <c r="U7565">
        <v>2.5970460000000001E-2</v>
      </c>
      <c r="V7565">
        <v>1.685766E-2</v>
      </c>
      <c r="W7565">
        <v>0.19208729999999999</v>
      </c>
      <c r="X7565">
        <v>0.98123309999999997</v>
      </c>
      <c r="Y7565">
        <v>3.3895990000000001E-2</v>
      </c>
      <c r="Z7565">
        <v>-2.482653E-3</v>
      </c>
      <c r="AA7565">
        <v>0.99942229999999999</v>
      </c>
      <c r="AB7565">
        <v>30</v>
      </c>
      <c r="AC7565">
        <v>26.353000000000002</v>
      </c>
      <c r="AD7565">
        <v>-1.109392397825</v>
      </c>
      <c r="AE7565">
        <v>0.21735000000000301</v>
      </c>
      <c r="AF7565">
        <v>0.89846906988656905</v>
      </c>
      <c r="AG7565">
        <v>-1.109392397825</v>
      </c>
      <c r="AH7565">
        <v>26.291930851002899</v>
      </c>
      <c r="AI7565">
        <v>92.414763812933401</v>
      </c>
      <c r="AJ7565">
        <v>88.042804025303695</v>
      </c>
      <c r="AK7565">
        <v>26.330659430326001</v>
      </c>
      <c r="AL7565">
        <v>78.925378841275602</v>
      </c>
      <c r="AM7565">
        <v>89.015750936360703</v>
      </c>
      <c r="AN7565">
        <v>1.0000000540287799</v>
      </c>
    </row>
    <row r="7566" spans="1:40" x14ac:dyDescent="0.25">
      <c r="A7566" t="str">
        <f>"20190312172259558"</f>
        <v>20190312172259558</v>
      </c>
      <c r="B7566" t="str">
        <f>"1552382579548184"</f>
        <v>1552382579548184</v>
      </c>
      <c r="C7566" t="s">
        <v>40</v>
      </c>
      <c r="D7566">
        <v>3.1258539999999999</v>
      </c>
      <c r="E7566">
        <v>0.50845850000000004</v>
      </c>
      <c r="F7566" t="s">
        <v>77</v>
      </c>
      <c r="G7566">
        <v>-223.5599</v>
      </c>
      <c r="H7566" s="1">
        <v>-1.3092290000000001E-6</v>
      </c>
      <c r="I7566">
        <v>-63.369750000000003</v>
      </c>
      <c r="J7566">
        <v>-249.9513</v>
      </c>
      <c r="K7566">
        <v>1.1093919999999999</v>
      </c>
      <c r="L7566">
        <v>-63.615780000000001</v>
      </c>
      <c r="M7566">
        <v>0.99908090000000005</v>
      </c>
      <c r="N7566">
        <v>0</v>
      </c>
      <c r="O7566">
        <v>4.2387010000000003E-2</v>
      </c>
      <c r="P7566">
        <v>0.9822746</v>
      </c>
      <c r="Q7566">
        <v>0.18577740000000001</v>
      </c>
      <c r="R7566">
        <v>2.4970699999999998E-2</v>
      </c>
      <c r="S7566">
        <v>3.0777589999999999</v>
      </c>
      <c r="T7566">
        <v>-0.12864600000000001</v>
      </c>
      <c r="U7566">
        <v>2.9266360000000002E-2</v>
      </c>
      <c r="V7566">
        <v>1.669673E-2</v>
      </c>
      <c r="W7566">
        <v>0.19205179999999999</v>
      </c>
      <c r="X7566">
        <v>0.98124279999999997</v>
      </c>
      <c r="Y7566">
        <v>3.282032E-2</v>
      </c>
      <c r="Z7566">
        <v>-2.4560609999999998E-3</v>
      </c>
      <c r="AA7566">
        <v>0.99945830000000002</v>
      </c>
      <c r="AB7566">
        <v>30</v>
      </c>
      <c r="AC7566">
        <v>26.391400000000001</v>
      </c>
      <c r="AD7566">
        <v>-1.109393309229</v>
      </c>
      <c r="AE7566">
        <v>0.246030000000004</v>
      </c>
      <c r="AF7566">
        <v>0.87132688830961003</v>
      </c>
      <c r="AG7566">
        <v>-1.109393309229</v>
      </c>
      <c r="AH7566">
        <v>26.331583993620001</v>
      </c>
      <c r="AI7566">
        <v>92.411221214648904</v>
      </c>
      <c r="AJ7566">
        <v>88.104742066694598</v>
      </c>
      <c r="AK7566">
        <v>26.369343557887799</v>
      </c>
      <c r="AL7566">
        <v>78.927451425560207</v>
      </c>
      <c r="AM7566">
        <v>89.025154786625393</v>
      </c>
      <c r="AN7566">
        <v>1.00000005361388</v>
      </c>
    </row>
    <row r="7567" spans="1:40" x14ac:dyDescent="0.25">
      <c r="A7567" t="str">
        <f>"20190312172259569"</f>
        <v>20190312172259569</v>
      </c>
      <c r="B7567" t="str">
        <f>"1552382579557944"</f>
        <v>1552382579557944</v>
      </c>
      <c r="C7567" t="s">
        <v>40</v>
      </c>
      <c r="D7567">
        <v>3.0852789999999999</v>
      </c>
      <c r="E7567">
        <v>0.50822590000000001</v>
      </c>
      <c r="F7567" t="s">
        <v>77</v>
      </c>
      <c r="G7567">
        <v>-223.5325</v>
      </c>
      <c r="H7567" s="1">
        <v>-1.292479E-6</v>
      </c>
      <c r="I7567">
        <v>-63.347279999999998</v>
      </c>
      <c r="J7567">
        <v>-249.80189999999999</v>
      </c>
      <c r="K7567">
        <v>1.1093839999999999</v>
      </c>
      <c r="L7567">
        <v>-63.609439999999999</v>
      </c>
      <c r="M7567">
        <v>0.99908149999999996</v>
      </c>
      <c r="N7567">
        <v>0</v>
      </c>
      <c r="O7567">
        <v>4.236736E-2</v>
      </c>
      <c r="P7567">
        <v>0.98227419999999999</v>
      </c>
      <c r="Q7567">
        <v>0.18576529999999999</v>
      </c>
      <c r="R7567">
        <v>2.5080330000000001E-2</v>
      </c>
      <c r="S7567">
        <v>3.0777890000000001</v>
      </c>
      <c r="T7567">
        <v>-0.12924430000000001</v>
      </c>
      <c r="U7567">
        <v>3.1280519999999999E-2</v>
      </c>
      <c r="V7567">
        <v>1.6571679999999998E-2</v>
      </c>
      <c r="W7567">
        <v>0.19206860000000001</v>
      </c>
      <c r="X7567">
        <v>0.98124160000000005</v>
      </c>
      <c r="Y7567">
        <v>3.2146750000000002E-2</v>
      </c>
      <c r="Z7567">
        <v>-2.452475E-3</v>
      </c>
      <c r="AA7567">
        <v>0.99948009999999998</v>
      </c>
      <c r="AB7567">
        <v>30</v>
      </c>
      <c r="AC7567">
        <v>26.269399999999901</v>
      </c>
      <c r="AD7567">
        <v>-1.109385292479</v>
      </c>
      <c r="AE7567">
        <v>0.26215999999999401</v>
      </c>
      <c r="AF7567">
        <v>0.84954844842991895</v>
      </c>
      <c r="AG7567">
        <v>-1.109385292479</v>
      </c>
      <c r="AH7567">
        <v>26.210178726012298</v>
      </c>
      <c r="AI7567">
        <v>92.422412848476696</v>
      </c>
      <c r="AJ7567">
        <v>88.143526387212006</v>
      </c>
      <c r="AK7567">
        <v>26.247398673828702</v>
      </c>
      <c r="AL7567">
        <v>78.926470249099594</v>
      </c>
      <c r="AM7567">
        <v>89.032453304351506</v>
      </c>
      <c r="AN7567">
        <v>1.0000000226272701</v>
      </c>
    </row>
    <row r="7568" spans="1:40" x14ac:dyDescent="0.25">
      <c r="A7568" t="str">
        <f>"20190312172259581"</f>
        <v>20190312172259581</v>
      </c>
      <c r="B7568" t="str">
        <f>"1552382579577467"</f>
        <v>1552382579577467</v>
      </c>
      <c r="C7568" t="s">
        <v>40</v>
      </c>
      <c r="D7568">
        <v>3.0791279999999999</v>
      </c>
      <c r="E7568">
        <v>0.50795129999999999</v>
      </c>
      <c r="F7568" t="s">
        <v>77</v>
      </c>
      <c r="G7568">
        <v>-223.3708</v>
      </c>
      <c r="H7568" s="1">
        <v>-1.217394E-6</v>
      </c>
      <c r="I7568">
        <v>-63.321669999999997</v>
      </c>
      <c r="J7568">
        <v>-249.65180000000001</v>
      </c>
      <c r="K7568">
        <v>1.1093759999999999</v>
      </c>
      <c r="L7568">
        <v>-63.603090000000002</v>
      </c>
      <c r="M7568">
        <v>0.99908229999999998</v>
      </c>
      <c r="N7568">
        <v>0</v>
      </c>
      <c r="O7568">
        <v>4.2343749999999999E-2</v>
      </c>
      <c r="P7568">
        <v>0.98229820000000001</v>
      </c>
      <c r="Q7568">
        <v>0.18563560000000001</v>
      </c>
      <c r="R7568">
        <v>2.5093290000000001E-2</v>
      </c>
      <c r="S7568">
        <v>3.077728</v>
      </c>
      <c r="T7568">
        <v>-0.1291803</v>
      </c>
      <c r="U7568">
        <v>3.3508299999999998E-2</v>
      </c>
      <c r="V7568">
        <v>1.6541070000000001E-2</v>
      </c>
      <c r="W7568">
        <v>0.19196750000000001</v>
      </c>
      <c r="X7568">
        <v>0.98126179999999996</v>
      </c>
      <c r="Y7568">
        <v>3.1400289999999997E-2</v>
      </c>
      <c r="Z7568">
        <v>-2.4346459999999999E-3</v>
      </c>
      <c r="AA7568">
        <v>0.9995039</v>
      </c>
      <c r="AB7568">
        <v>30</v>
      </c>
      <c r="AC7568">
        <v>26.280999999999999</v>
      </c>
      <c r="AD7568">
        <v>-1.109377217394</v>
      </c>
      <c r="AE7568">
        <v>0.281420000000004</v>
      </c>
      <c r="AF7568">
        <v>0.83021248088515398</v>
      </c>
      <c r="AG7568">
        <v>-1.109377217394</v>
      </c>
      <c r="AH7568">
        <v>26.222624437753101</v>
      </c>
      <c r="AI7568">
        <v>92.421305156743998</v>
      </c>
      <c r="AJ7568">
        <v>88.186612193702302</v>
      </c>
      <c r="AK7568">
        <v>26.2592079655373</v>
      </c>
      <c r="AL7568">
        <v>78.932371584167299</v>
      </c>
      <c r="AM7568">
        <v>89.034260024431603</v>
      </c>
      <c r="AN7568">
        <v>0.99999992409611405</v>
      </c>
    </row>
    <row r="7569" spans="1:40" x14ac:dyDescent="0.25">
      <c r="A7569" t="str">
        <f>"20190312172259593"</f>
        <v>20190312172259593</v>
      </c>
      <c r="B7569" t="str">
        <f>"1552382579588203"</f>
        <v>1552382579588203</v>
      </c>
      <c r="C7569" t="s">
        <v>40</v>
      </c>
      <c r="D7569">
        <v>3.1066009999999999</v>
      </c>
      <c r="E7569">
        <v>0.50789819999999997</v>
      </c>
      <c r="F7569" t="s">
        <v>77</v>
      </c>
      <c r="G7569">
        <v>-223.4648</v>
      </c>
      <c r="H7569" s="1">
        <v>-1.252698E-6</v>
      </c>
      <c r="I7569">
        <v>-63.299030000000002</v>
      </c>
      <c r="J7569">
        <v>-249.48689999999999</v>
      </c>
      <c r="K7569">
        <v>1.109361</v>
      </c>
      <c r="L7569">
        <v>-63.596130000000002</v>
      </c>
      <c r="M7569">
        <v>0.99908430000000004</v>
      </c>
      <c r="N7569">
        <v>0</v>
      </c>
      <c r="O7569">
        <v>4.2295699999999999E-2</v>
      </c>
      <c r="P7569">
        <v>0.98231880000000005</v>
      </c>
      <c r="Q7569">
        <v>0.18554409999999999</v>
      </c>
      <c r="R7569">
        <v>2.4970610000000001E-2</v>
      </c>
      <c r="S7569">
        <v>3.0777890000000001</v>
      </c>
      <c r="T7569">
        <v>-0.13038640000000001</v>
      </c>
      <c r="U7569">
        <v>3.5736080000000003E-2</v>
      </c>
      <c r="V7569">
        <v>1.6625379999999999E-2</v>
      </c>
      <c r="W7569">
        <v>0.19190760000000001</v>
      </c>
      <c r="X7569">
        <v>0.98127220000000004</v>
      </c>
      <c r="Y7569">
        <v>3.0628570000000001E-2</v>
      </c>
      <c r="Z7569">
        <v>-2.4389189999999999E-3</v>
      </c>
      <c r="AA7569">
        <v>0.99952790000000002</v>
      </c>
      <c r="AB7569">
        <v>30</v>
      </c>
      <c r="AC7569">
        <v>26.022099999999899</v>
      </c>
      <c r="AD7569">
        <v>-1.109362252698</v>
      </c>
      <c r="AE7569">
        <v>0.29709999999999998</v>
      </c>
      <c r="AF7569">
        <v>0.80235367673364599</v>
      </c>
      <c r="AG7569">
        <v>-1.109362252698</v>
      </c>
      <c r="AH7569">
        <v>25.964196679377402</v>
      </c>
      <c r="AI7569">
        <v>92.4454007626464</v>
      </c>
      <c r="AJ7569">
        <v>88.229991292670704</v>
      </c>
      <c r="AK7569">
        <v>26.000268560837402</v>
      </c>
      <c r="AL7569">
        <v>78.935869811942396</v>
      </c>
      <c r="AM7569">
        <v>89.029348863039104</v>
      </c>
      <c r="AN7569">
        <v>1.00000003034537</v>
      </c>
    </row>
    <row r="7570" spans="1:40" x14ac:dyDescent="0.25">
      <c r="A7570" t="str">
        <f>"20190312172259604"</f>
        <v>20190312172259604</v>
      </c>
      <c r="B7570" t="str">
        <f>"1552382579597959"</f>
        <v>1552382579597959</v>
      </c>
      <c r="C7570" t="s">
        <v>40</v>
      </c>
      <c r="D7570">
        <v>3.1020850000000002</v>
      </c>
      <c r="E7570">
        <v>0.50783829999999996</v>
      </c>
      <c r="F7570" t="s">
        <v>77</v>
      </c>
      <c r="G7570">
        <v>-223.39519999999999</v>
      </c>
      <c r="H7570" s="1">
        <v>-1.2215089999999999E-6</v>
      </c>
      <c r="I7570">
        <v>-63.292920000000002</v>
      </c>
      <c r="J7570">
        <v>-249.3433</v>
      </c>
      <c r="K7570">
        <v>1.1093470000000001</v>
      </c>
      <c r="L7570">
        <v>-63.590119999999999</v>
      </c>
      <c r="M7570">
        <v>0.99908609999999998</v>
      </c>
      <c r="N7570">
        <v>0</v>
      </c>
      <c r="O7570">
        <v>4.2245459999999999E-2</v>
      </c>
      <c r="P7570">
        <v>0.98232900000000001</v>
      </c>
      <c r="Q7570">
        <v>0.18548609999999999</v>
      </c>
      <c r="R7570">
        <v>2.499726E-2</v>
      </c>
      <c r="S7570">
        <v>3.0777890000000001</v>
      </c>
      <c r="T7570">
        <v>-0.13086120000000001</v>
      </c>
      <c r="U7570">
        <v>3.5766600000000003E-2</v>
      </c>
      <c r="V7570">
        <v>1.6557840000000001E-2</v>
      </c>
      <c r="W7570">
        <v>0.1918772</v>
      </c>
      <c r="X7570">
        <v>0.98127929999999997</v>
      </c>
      <c r="Y7570">
        <v>3.0568020000000001E-2</v>
      </c>
      <c r="Z7570">
        <v>-2.4443720000000002E-3</v>
      </c>
      <c r="AA7570">
        <v>0.99952969999999997</v>
      </c>
      <c r="AB7570">
        <v>30</v>
      </c>
      <c r="AC7570">
        <v>25.9481</v>
      </c>
      <c r="AD7570">
        <v>-1.10934822150899</v>
      </c>
      <c r="AE7570">
        <v>0.29720000000000302</v>
      </c>
      <c r="AF7570">
        <v>0.79781988055886899</v>
      </c>
      <c r="AG7570">
        <v>-1.10934822150899</v>
      </c>
      <c r="AH7570">
        <v>25.890174366912898</v>
      </c>
      <c r="AI7570">
        <v>92.452359429061502</v>
      </c>
      <c r="AJ7570">
        <v>88.234957775506999</v>
      </c>
      <c r="AK7570">
        <v>25.9262087237516</v>
      </c>
      <c r="AL7570">
        <v>78.937644730896906</v>
      </c>
      <c r="AM7570">
        <v>89.033298341297694</v>
      </c>
      <c r="AN7570">
        <v>1.0000000432768901</v>
      </c>
    </row>
    <row r="7571" spans="1:40" x14ac:dyDescent="0.25">
      <c r="A7571" t="str">
        <f>"20190312172259614"</f>
        <v>20190312172259614</v>
      </c>
      <c r="B7571" t="str">
        <f>"1552382579607719"</f>
        <v>1552382579607719</v>
      </c>
      <c r="C7571" t="s">
        <v>40</v>
      </c>
      <c r="D7571">
        <v>3.1062460000000001</v>
      </c>
      <c r="E7571">
        <v>0.50777910000000004</v>
      </c>
      <c r="F7571" t="s">
        <v>77</v>
      </c>
      <c r="G7571">
        <v>-223.27520000000001</v>
      </c>
      <c r="H7571" s="1">
        <v>-1.1677090000000001E-6</v>
      </c>
      <c r="I7571">
        <v>-63.282530000000001</v>
      </c>
      <c r="J7571">
        <v>-249.1952</v>
      </c>
      <c r="K7571">
        <v>1.109329</v>
      </c>
      <c r="L7571">
        <v>-63.583889999999997</v>
      </c>
      <c r="M7571">
        <v>0.9990888</v>
      </c>
      <c r="N7571">
        <v>0</v>
      </c>
      <c r="O7571">
        <v>4.217854E-2</v>
      </c>
      <c r="P7571">
        <v>0.98234250000000001</v>
      </c>
      <c r="Q7571">
        <v>0.1854256</v>
      </c>
      <c r="R7571">
        <v>2.4914519999999999E-2</v>
      </c>
      <c r="S7571">
        <v>3.0777739999999998</v>
      </c>
      <c r="T7571">
        <v>-0.13097719999999999</v>
      </c>
      <c r="U7571">
        <v>3.6315920000000002E-2</v>
      </c>
      <c r="V7571">
        <v>1.6585010000000001E-2</v>
      </c>
      <c r="W7571">
        <v>0.1918454</v>
      </c>
      <c r="X7571">
        <v>0.98128499999999996</v>
      </c>
      <c r="Y7571">
        <v>3.0322829999999999E-2</v>
      </c>
      <c r="Z7571">
        <v>-2.438487E-3</v>
      </c>
      <c r="AA7571">
        <v>0.99953720000000001</v>
      </c>
      <c r="AB7571">
        <v>30</v>
      </c>
      <c r="AC7571">
        <v>25.919999999999899</v>
      </c>
      <c r="AD7571">
        <v>-1.1093301677089999</v>
      </c>
      <c r="AE7571">
        <v>0.30136000000000202</v>
      </c>
      <c r="AF7571">
        <v>0.79075099262920701</v>
      </c>
      <c r="AG7571">
        <v>-1.1093301677089999</v>
      </c>
      <c r="AH7571">
        <v>25.862278491852098</v>
      </c>
      <c r="AI7571">
        <v>92.454979535927095</v>
      </c>
      <c r="AJ7571">
        <v>88.248700940993999</v>
      </c>
      <c r="AK7571">
        <v>25.898134089996699</v>
      </c>
      <c r="AL7571">
        <v>78.939500580969096</v>
      </c>
      <c r="AM7571">
        <v>89.031717991710906</v>
      </c>
      <c r="AN7571">
        <v>0.999999985641429</v>
      </c>
    </row>
    <row r="7572" spans="1:40" x14ac:dyDescent="0.25">
      <c r="A7572" t="str">
        <f>"20190312172259627"</f>
        <v>20190312172259627</v>
      </c>
      <c r="B7572" t="str">
        <f>"1552382579617479"</f>
        <v>1552382579617479</v>
      </c>
      <c r="C7572" t="s">
        <v>40</v>
      </c>
      <c r="D7572">
        <v>3.0807509999999998</v>
      </c>
      <c r="E7572">
        <v>0.50767280000000004</v>
      </c>
      <c r="F7572" t="s">
        <v>77</v>
      </c>
      <c r="G7572">
        <v>-223.2646</v>
      </c>
      <c r="H7572" s="1">
        <v>-1.1616100000000001E-6</v>
      </c>
      <c r="I7572">
        <v>-63.275620000000004</v>
      </c>
      <c r="J7572">
        <v>-249.03469999999999</v>
      </c>
      <c r="K7572">
        <v>1.109308</v>
      </c>
      <c r="L7572">
        <v>-63.577179999999998</v>
      </c>
      <c r="M7572">
        <v>0.99909230000000004</v>
      </c>
      <c r="N7572">
        <v>0</v>
      </c>
      <c r="O7572">
        <v>4.2086419999999999E-2</v>
      </c>
      <c r="P7572">
        <v>0.98237470000000005</v>
      </c>
      <c r="Q7572">
        <v>0.18526119999999999</v>
      </c>
      <c r="R7572">
        <v>2.486319E-2</v>
      </c>
      <c r="S7572">
        <v>3.0778500000000002</v>
      </c>
      <c r="T7572">
        <v>-0.1316726</v>
      </c>
      <c r="U7572">
        <v>3.6590579999999998E-2</v>
      </c>
      <c r="V7572">
        <v>1.6559239999999999E-2</v>
      </c>
      <c r="W7572">
        <v>0.19171289999999999</v>
      </c>
      <c r="X7572">
        <v>0.9813113</v>
      </c>
      <c r="Y7572">
        <v>3.0141339999999999E-2</v>
      </c>
      <c r="Z7572">
        <v>-2.4435440000000002E-3</v>
      </c>
      <c r="AA7572">
        <v>0.99954270000000001</v>
      </c>
      <c r="AB7572">
        <v>30</v>
      </c>
      <c r="AC7572">
        <v>25.7700999999999</v>
      </c>
      <c r="AD7572">
        <v>-1.1093091616099999</v>
      </c>
      <c r="AE7572">
        <v>0.30156000000000899</v>
      </c>
      <c r="AF7572">
        <v>0.78185337253798504</v>
      </c>
      <c r="AG7572">
        <v>-1.1093091616099999</v>
      </c>
      <c r="AH7572">
        <v>25.712319751515899</v>
      </c>
      <c r="AI7572">
        <v>92.469245635091696</v>
      </c>
      <c r="AJ7572">
        <v>88.258301869459501</v>
      </c>
      <c r="AK7572">
        <v>25.74811155243</v>
      </c>
      <c r="AL7572">
        <v>78.947235521220605</v>
      </c>
      <c r="AM7572">
        <v>89.033248140433201</v>
      </c>
      <c r="AN7572">
        <v>0.99999995598173796</v>
      </c>
    </row>
    <row r="7573" spans="1:40" x14ac:dyDescent="0.25">
      <c r="A7573" t="str">
        <f>"20190312172259637"</f>
        <v>20190312172259637</v>
      </c>
      <c r="B7573" t="str">
        <f>"1552382579628217"</f>
        <v>1552382579628217</v>
      </c>
      <c r="C7573" t="s">
        <v>40</v>
      </c>
      <c r="D7573">
        <v>3.0994950000000001</v>
      </c>
      <c r="E7573">
        <v>0.50765349999999998</v>
      </c>
      <c r="F7573" t="s">
        <v>77</v>
      </c>
      <c r="G7573">
        <v>-223.23859999999999</v>
      </c>
      <c r="H7573" s="1">
        <v>-1.147777E-6</v>
      </c>
      <c r="I7573">
        <v>-63.263599999999997</v>
      </c>
      <c r="J7573">
        <v>-248.88390000000001</v>
      </c>
      <c r="K7573">
        <v>1.109283</v>
      </c>
      <c r="L7573">
        <v>-63.570920000000001</v>
      </c>
      <c r="M7573">
        <v>0.9990964</v>
      </c>
      <c r="N7573">
        <v>0</v>
      </c>
      <c r="O7573">
        <v>4.1986780000000001E-2</v>
      </c>
      <c r="P7573">
        <v>0.98238990000000004</v>
      </c>
      <c r="Q7573">
        <v>0.18520590000000001</v>
      </c>
      <c r="R7573">
        <v>2.468207E-2</v>
      </c>
      <c r="S7573">
        <v>3.0778500000000002</v>
      </c>
      <c r="T7573">
        <v>-0.13235649999999999</v>
      </c>
      <c r="U7573">
        <v>3.7414549999999998E-2</v>
      </c>
      <c r="V7573">
        <v>1.6655570000000001E-2</v>
      </c>
      <c r="W7573">
        <v>0.1916872</v>
      </c>
      <c r="X7573">
        <v>0.98131469999999998</v>
      </c>
      <c r="Y7573">
        <v>2.9773850000000001E-2</v>
      </c>
      <c r="Z7573">
        <v>-2.4440410000000001E-3</v>
      </c>
      <c r="AA7573">
        <v>0.99955369999999999</v>
      </c>
      <c r="AB7573">
        <v>30</v>
      </c>
      <c r="AC7573">
        <v>25.645299999999999</v>
      </c>
      <c r="AD7573">
        <v>-1.1092841477769999</v>
      </c>
      <c r="AE7573">
        <v>0.30731999999999698</v>
      </c>
      <c r="AF7573">
        <v>0.76830073120246201</v>
      </c>
      <c r="AG7573">
        <v>-1.1092841477769999</v>
      </c>
      <c r="AH7573">
        <v>25.587720446373702</v>
      </c>
      <c r="AI7573">
        <v>92.481227293138005</v>
      </c>
      <c r="AJ7573">
        <v>88.280145064540093</v>
      </c>
      <c r="AK7573">
        <v>25.623275258558301</v>
      </c>
      <c r="AL7573">
        <v>78.948735955579494</v>
      </c>
      <c r="AM7573">
        <v>89.027628703796594</v>
      </c>
      <c r="AN7573">
        <v>0.99999996554597603</v>
      </c>
    </row>
    <row r="7574" spans="1:40" x14ac:dyDescent="0.25">
      <c r="A7574" t="str">
        <f>"20190312172259649"</f>
        <v>20190312172259649</v>
      </c>
      <c r="B7574" t="str">
        <f>"1552382579637976"</f>
        <v>1552382579637976</v>
      </c>
      <c r="C7574" t="s">
        <v>40</v>
      </c>
      <c r="D7574">
        <v>3.1299860000000002</v>
      </c>
      <c r="E7574">
        <v>0.50757969999999997</v>
      </c>
      <c r="F7574" t="s">
        <v>77</v>
      </c>
      <c r="G7574">
        <v>-223.0196</v>
      </c>
      <c r="H7574" s="1">
        <v>-1.053287E-6</v>
      </c>
      <c r="I7574">
        <v>-63.261119999999998</v>
      </c>
      <c r="J7574">
        <v>-248.73660000000001</v>
      </c>
      <c r="K7574">
        <v>1.1092550000000001</v>
      </c>
      <c r="L7574">
        <v>-63.56485</v>
      </c>
      <c r="M7574">
        <v>0.99910169999999998</v>
      </c>
      <c r="N7574">
        <v>0</v>
      </c>
      <c r="O7574">
        <v>4.1856869999999997E-2</v>
      </c>
      <c r="P7574">
        <v>0.98242770000000001</v>
      </c>
      <c r="Q7574">
        <v>0.1850205</v>
      </c>
      <c r="R7574">
        <v>2.4568889999999999E-2</v>
      </c>
      <c r="S7574">
        <v>3.077728</v>
      </c>
      <c r="T7574">
        <v>-0.13199939999999999</v>
      </c>
      <c r="U7574">
        <v>3.6865229999999999E-2</v>
      </c>
      <c r="V7574">
        <v>1.6656899999999999E-2</v>
      </c>
      <c r="W7574">
        <v>0.19153229999999999</v>
      </c>
      <c r="X7574">
        <v>0.98134489999999996</v>
      </c>
      <c r="Y7574">
        <v>2.982222E-2</v>
      </c>
      <c r="Z7574">
        <v>-2.433026E-3</v>
      </c>
      <c r="AA7574">
        <v>0.9995522</v>
      </c>
      <c r="AB7574">
        <v>30</v>
      </c>
      <c r="AC7574">
        <v>25.716999999999999</v>
      </c>
      <c r="AD7574">
        <v>-1.1092560532869999</v>
      </c>
      <c r="AE7574">
        <v>0.303730000000001</v>
      </c>
      <c r="AF7574">
        <v>0.77155763270516498</v>
      </c>
      <c r="AG7574">
        <v>-1.1092560532869999</v>
      </c>
      <c r="AH7574">
        <v>25.659442539633599</v>
      </c>
      <c r="AI7574">
        <v>92.474234734299401</v>
      </c>
      <c r="AJ7574">
        <v>88.277683552468901</v>
      </c>
      <c r="AK7574">
        <v>25.6949944856405</v>
      </c>
      <c r="AL7574">
        <v>78.957778375567898</v>
      </c>
      <c r="AM7574">
        <v>89.0275809922679</v>
      </c>
      <c r="AN7574">
        <v>0.999999943508453</v>
      </c>
    </row>
    <row r="7575" spans="1:40" x14ac:dyDescent="0.25">
      <c r="A7575" t="str">
        <f>"20190312172259660"</f>
        <v>20190312172259660</v>
      </c>
      <c r="B7575" t="str">
        <f>"1552382579657495"</f>
        <v>1552382579657495</v>
      </c>
      <c r="C7575" t="s">
        <v>40</v>
      </c>
      <c r="D7575">
        <v>3.1114060000000001</v>
      </c>
      <c r="E7575">
        <v>0.50757299999999905</v>
      </c>
      <c r="F7575" t="s">
        <v>77</v>
      </c>
      <c r="G7575">
        <v>-223.00839999999999</v>
      </c>
      <c r="H7575" s="1">
        <v>-1.0474299999999999E-6</v>
      </c>
      <c r="I7575">
        <v>-63.256419999999999</v>
      </c>
      <c r="J7575">
        <v>-248.58240000000001</v>
      </c>
      <c r="K7575">
        <v>1.1092229999999901</v>
      </c>
      <c r="L7575">
        <v>-63.558500000000002</v>
      </c>
      <c r="M7575">
        <v>0.99910750000000004</v>
      </c>
      <c r="N7575">
        <v>0</v>
      </c>
      <c r="O7575">
        <v>4.1712390000000002E-2</v>
      </c>
      <c r="P7575">
        <v>0.98244960000000003</v>
      </c>
      <c r="Q7575">
        <v>0.1849257</v>
      </c>
      <c r="R7575">
        <v>2.4409009999999998E-2</v>
      </c>
      <c r="S7575">
        <v>3.077728</v>
      </c>
      <c r="T7575">
        <v>-0.13269449999999999</v>
      </c>
      <c r="U7575">
        <v>3.6895749999999998E-2</v>
      </c>
      <c r="V7575">
        <v>1.6691270000000001E-2</v>
      </c>
      <c r="W7575">
        <v>0.19146859999999999</v>
      </c>
      <c r="X7575">
        <v>0.98135680000000003</v>
      </c>
      <c r="Y7575">
        <v>2.9667349999999999E-2</v>
      </c>
      <c r="Z7575">
        <v>-2.4362680000000001E-3</v>
      </c>
      <c r="AA7575">
        <v>0.99955680000000002</v>
      </c>
      <c r="AB7575">
        <v>30</v>
      </c>
      <c r="AC7575">
        <v>25.574000000000002</v>
      </c>
      <c r="AD7575">
        <v>-1.1092240474299999</v>
      </c>
      <c r="AE7575">
        <v>0.30208000000000301</v>
      </c>
      <c r="AF7575">
        <v>0.76352304474993604</v>
      </c>
      <c r="AG7575">
        <v>-1.1092240474299999</v>
      </c>
      <c r="AH7575">
        <v>25.5163463378431</v>
      </c>
      <c r="AI7575">
        <v>92.488032096829798</v>
      </c>
      <c r="AJ7575">
        <v>88.286055619662505</v>
      </c>
      <c r="AK7575">
        <v>25.551854646189899</v>
      </c>
      <c r="AL7575">
        <v>78.961497525886401</v>
      </c>
      <c r="AM7575">
        <v>89.0255866941297</v>
      </c>
      <c r="AN7575">
        <v>0.999999996093206</v>
      </c>
    </row>
    <row r="7576" spans="1:40" x14ac:dyDescent="0.25">
      <c r="A7576" t="str">
        <f>"20190312172259671"</f>
        <v>20190312172259671</v>
      </c>
      <c r="B7576" t="str">
        <f>"1552382579668233"</f>
        <v>1552382579668233</v>
      </c>
      <c r="C7576" t="s">
        <v>40</v>
      </c>
      <c r="D7576">
        <v>3.1338849999999998</v>
      </c>
      <c r="E7576">
        <v>0.50754759999999999</v>
      </c>
      <c r="F7576" t="s">
        <v>77</v>
      </c>
      <c r="G7576">
        <v>-223.0223</v>
      </c>
      <c r="H7576" s="1">
        <v>-1.0531239999999999E-6</v>
      </c>
      <c r="I7576">
        <v>-63.255139999999997</v>
      </c>
      <c r="J7576">
        <v>-248.43029999999999</v>
      </c>
      <c r="K7576">
        <v>1.109186</v>
      </c>
      <c r="L7576">
        <v>-63.552309999999999</v>
      </c>
      <c r="M7576">
        <v>0.99911510000000003</v>
      </c>
      <c r="N7576">
        <v>0</v>
      </c>
      <c r="O7576">
        <v>4.1523270000000001E-2</v>
      </c>
      <c r="P7576">
        <v>0.9824872</v>
      </c>
      <c r="Q7576">
        <v>0.1847462</v>
      </c>
      <c r="R7576">
        <v>2.4245760000000002E-2</v>
      </c>
      <c r="S7576">
        <v>3.0778349999999999</v>
      </c>
      <c r="T7576">
        <v>-0.1335682</v>
      </c>
      <c r="U7576">
        <v>3.6529539999999999E-2</v>
      </c>
      <c r="V7576">
        <v>1.668828E-2</v>
      </c>
      <c r="W7576">
        <v>0.1913231</v>
      </c>
      <c r="X7576">
        <v>0.98138519999999896</v>
      </c>
      <c r="Y7576">
        <v>2.9596859999999999E-2</v>
      </c>
      <c r="Z7576">
        <v>-2.4424859999999998E-3</v>
      </c>
      <c r="AA7576">
        <v>0.99955890000000003</v>
      </c>
      <c r="AB7576">
        <v>30</v>
      </c>
      <c r="AC7576">
        <v>25.407999999999902</v>
      </c>
      <c r="AD7576">
        <v>-1.109187053124</v>
      </c>
      <c r="AE7576">
        <v>0.29716999999999399</v>
      </c>
      <c r="AF7576">
        <v>0.75669132933139005</v>
      </c>
      <c r="AG7576">
        <v>-1.109187053124</v>
      </c>
      <c r="AH7576">
        <v>25.350120622360599</v>
      </c>
      <c r="AI7576">
        <v>92.504247964391297</v>
      </c>
      <c r="AJ7576">
        <v>88.290250740930503</v>
      </c>
      <c r="AK7576">
        <v>25.385655265423701</v>
      </c>
      <c r="AL7576">
        <v>78.969990780604306</v>
      </c>
      <c r="AM7576">
        <v>89.025789400315603</v>
      </c>
      <c r="AN7576">
        <v>0.99999996903100297</v>
      </c>
    </row>
    <row r="7577" spans="1:40" x14ac:dyDescent="0.25">
      <c r="A7577" t="str">
        <f>"20190312172259682"</f>
        <v>20190312172259682</v>
      </c>
      <c r="B7577" t="str">
        <f>"1552382579677991"</f>
        <v>1552382579677991</v>
      </c>
      <c r="C7577" t="s">
        <v>40</v>
      </c>
      <c r="D7577">
        <v>3.1363979999999998</v>
      </c>
      <c r="E7577">
        <v>0.5074959</v>
      </c>
      <c r="F7577" t="s">
        <v>77</v>
      </c>
      <c r="G7577">
        <v>-223.0343</v>
      </c>
      <c r="H7577" s="1">
        <v>-1.0576179999999999E-6</v>
      </c>
      <c r="I7577">
        <v>-63.252160000000003</v>
      </c>
      <c r="J7577">
        <v>-248.27709999999999</v>
      </c>
      <c r="K7577">
        <v>1.109148</v>
      </c>
      <c r="L7577">
        <v>-63.546140000000001</v>
      </c>
      <c r="M7577">
        <v>0.99912319999999999</v>
      </c>
      <c r="N7577">
        <v>0</v>
      </c>
      <c r="O7577">
        <v>4.1321070000000001E-2</v>
      </c>
      <c r="P7577">
        <v>0.98247850000000003</v>
      </c>
      <c r="Q7577">
        <v>0.18478629999999999</v>
      </c>
      <c r="R7577">
        <v>2.4293039999999998E-2</v>
      </c>
      <c r="S7577">
        <v>3.0778500000000002</v>
      </c>
      <c r="T7577">
        <v>-0.1344274</v>
      </c>
      <c r="U7577">
        <v>3.6376949999999998E-2</v>
      </c>
      <c r="V7577">
        <v>1.6460519999999999E-2</v>
      </c>
      <c r="W7577">
        <v>0.19139700000000001</v>
      </c>
      <c r="X7577">
        <v>0.98137470000000004</v>
      </c>
      <c r="Y7577">
        <v>2.9443670000000002E-2</v>
      </c>
      <c r="Z7577">
        <v>-2.4460100000000002E-3</v>
      </c>
      <c r="AA7577">
        <v>0.99956350000000005</v>
      </c>
      <c r="AB7577">
        <v>30</v>
      </c>
      <c r="AC7577">
        <v>25.2427999999999</v>
      </c>
      <c r="AD7577">
        <v>-1.1091490576180001</v>
      </c>
      <c r="AE7577">
        <v>0.29398000000000402</v>
      </c>
      <c r="AF7577">
        <v>0.74791051644492701</v>
      </c>
      <c r="AG7577">
        <v>-1.1091490576180001</v>
      </c>
      <c r="AH7577">
        <v>25.1847709689977</v>
      </c>
      <c r="AI7577">
        <v>92.520593569651297</v>
      </c>
      <c r="AJ7577">
        <v>88.298990864262905</v>
      </c>
      <c r="AK7577">
        <v>25.220274989252001</v>
      </c>
      <c r="AL7577">
        <v>78.965677594561797</v>
      </c>
      <c r="AM7577">
        <v>89.039072541047702</v>
      </c>
      <c r="AN7577">
        <v>1.0000000310638799</v>
      </c>
    </row>
    <row r="7578" spans="1:40" x14ac:dyDescent="0.25">
      <c r="A7578" t="str">
        <f>"20190312172259693"</f>
        <v>20190312172259693</v>
      </c>
      <c r="B7578" t="str">
        <f>"1552382579687766"</f>
        <v>1552382579687766</v>
      </c>
      <c r="C7578" t="s">
        <v>40</v>
      </c>
      <c r="D7578">
        <v>3.1389170000000002</v>
      </c>
      <c r="E7578">
        <v>0.50743389999999999</v>
      </c>
      <c r="F7578" t="s">
        <v>77</v>
      </c>
      <c r="G7578">
        <v>-222.9203</v>
      </c>
      <c r="H7578" s="1">
        <v>-1.0065940000000001E-6</v>
      </c>
      <c r="I7578">
        <v>-63.242690000000003</v>
      </c>
      <c r="J7578">
        <v>-248.12350000000001</v>
      </c>
      <c r="K7578">
        <v>1.10911</v>
      </c>
      <c r="L7578">
        <v>-63.540010000000002</v>
      </c>
      <c r="M7578">
        <v>0.99913280000000004</v>
      </c>
      <c r="N7578">
        <v>0</v>
      </c>
      <c r="O7578">
        <v>4.1082670000000002E-2</v>
      </c>
      <c r="P7578">
        <v>0.98255709999999996</v>
      </c>
      <c r="Q7578">
        <v>0.18439359999999999</v>
      </c>
      <c r="R7578">
        <v>2.409412E-2</v>
      </c>
      <c r="S7578">
        <v>3.0779269999999999</v>
      </c>
      <c r="T7578">
        <v>-0.1346338</v>
      </c>
      <c r="U7578">
        <v>3.6834720000000001E-2</v>
      </c>
      <c r="V7578">
        <v>1.6447320000000001E-2</v>
      </c>
      <c r="W7578">
        <v>0.19103990000000001</v>
      </c>
      <c r="X7578">
        <v>0.98144450000000005</v>
      </c>
      <c r="Y7578">
        <v>2.905721E-2</v>
      </c>
      <c r="Z7578">
        <v>-2.4308340000000002E-3</v>
      </c>
      <c r="AA7578">
        <v>0.99957479999999999</v>
      </c>
      <c r="AB7578">
        <v>30</v>
      </c>
      <c r="AC7578">
        <v>25.203199999999999</v>
      </c>
      <c r="AD7578">
        <v>-1.109111006594</v>
      </c>
      <c r="AE7578">
        <v>0.29731999999999198</v>
      </c>
      <c r="AF7578">
        <v>0.73694255606492198</v>
      </c>
      <c r="AG7578">
        <v>-1.109111006594</v>
      </c>
      <c r="AH7578">
        <v>25.145446466809801</v>
      </c>
      <c r="AI7578">
        <v>92.524472851643495</v>
      </c>
      <c r="AJ7578">
        <v>88.321301804005699</v>
      </c>
      <c r="AK7578">
        <v>25.1806808798151</v>
      </c>
      <c r="AL7578">
        <v>78.986522570639494</v>
      </c>
      <c r="AM7578">
        <v>89.039911255758199</v>
      </c>
      <c r="AN7578">
        <v>1.0000000321537199</v>
      </c>
    </row>
    <row r="7579" spans="1:40" x14ac:dyDescent="0.25">
      <c r="A7579" t="str">
        <f>"20190312172259705"</f>
        <v>20190312172259705</v>
      </c>
      <c r="B7579" t="str">
        <f>"1552382579697511"</f>
        <v>1552382579697511</v>
      </c>
      <c r="C7579" t="s">
        <v>40</v>
      </c>
      <c r="D7579">
        <v>3.08412</v>
      </c>
      <c r="E7579">
        <v>0.50738329999999998</v>
      </c>
      <c r="F7579" t="s">
        <v>77</v>
      </c>
      <c r="G7579">
        <v>-223.01900000000001</v>
      </c>
      <c r="H7579" s="1">
        <v>-1.0484129999999999E-6</v>
      </c>
      <c r="I7579">
        <v>-63.240310000000001</v>
      </c>
      <c r="J7579">
        <v>-247.96629999999999</v>
      </c>
      <c r="K7579">
        <v>1.1090709999999999</v>
      </c>
      <c r="L7579">
        <v>-63.53378</v>
      </c>
      <c r="M7579">
        <v>0.99914360000000002</v>
      </c>
      <c r="N7579">
        <v>0</v>
      </c>
      <c r="O7579">
        <v>4.0812809999999998E-2</v>
      </c>
      <c r="P7579">
        <v>0.98256270000000001</v>
      </c>
      <c r="Q7579">
        <v>0.18439130000000001</v>
      </c>
      <c r="R7579">
        <v>2.3894539999999999E-2</v>
      </c>
      <c r="S7579">
        <v>3.0778810000000001</v>
      </c>
      <c r="T7579">
        <v>-0.13597999999999999</v>
      </c>
      <c r="U7579">
        <v>3.6743159999999997E-2</v>
      </c>
      <c r="V7579">
        <v>1.640192E-2</v>
      </c>
      <c r="W7579">
        <v>0.19107360000000001</v>
      </c>
      <c r="X7579">
        <v>0.98143860000000005</v>
      </c>
      <c r="Y7579">
        <v>2.881595E-2</v>
      </c>
      <c r="Z7579">
        <v>-2.437921E-3</v>
      </c>
      <c r="AA7579">
        <v>0.99958179999999996</v>
      </c>
      <c r="AB7579">
        <v>30</v>
      </c>
      <c r="AC7579">
        <v>24.947299999999899</v>
      </c>
      <c r="AD7579">
        <v>-1.1090720484129999</v>
      </c>
      <c r="AE7579">
        <v>0.293470000000006</v>
      </c>
      <c r="AF7579">
        <v>0.72353776102901102</v>
      </c>
      <c r="AG7579">
        <v>-1.1090720484129999</v>
      </c>
      <c r="AH7579">
        <v>24.889306667004998</v>
      </c>
      <c r="AI7579">
        <v>92.550346607328905</v>
      </c>
      <c r="AJ7579">
        <v>88.334867710792494</v>
      </c>
      <c r="AK7579">
        <v>24.924508702568801</v>
      </c>
      <c r="AL7579">
        <v>78.984554378678794</v>
      </c>
      <c r="AM7579">
        <v>89.042555167061195</v>
      </c>
      <c r="AN7579">
        <v>0.99999993458330105</v>
      </c>
    </row>
    <row r="7580" spans="1:40" x14ac:dyDescent="0.25">
      <c r="A7580" t="str">
        <f>"20190312172259716"</f>
        <v>20190312172259716</v>
      </c>
      <c r="B7580" t="str">
        <f>"1552382579708247"</f>
        <v>1552382579708247</v>
      </c>
      <c r="C7580" t="s">
        <v>40</v>
      </c>
      <c r="D7580">
        <v>3.1054729999999999</v>
      </c>
      <c r="E7580">
        <v>0.50736840000000005</v>
      </c>
      <c r="F7580" t="s">
        <v>77</v>
      </c>
      <c r="G7580">
        <v>-222.86279999999999</v>
      </c>
      <c r="H7580" s="1">
        <v>-9.8067329999999991E-7</v>
      </c>
      <c r="I7580">
        <v>-63.237090000000002</v>
      </c>
      <c r="J7580">
        <v>-247.8227</v>
      </c>
      <c r="K7580">
        <v>1.1090329999999999</v>
      </c>
      <c r="L7580">
        <v>-63.52814</v>
      </c>
      <c r="M7580">
        <v>0.9991544</v>
      </c>
      <c r="N7580">
        <v>0</v>
      </c>
      <c r="O7580">
        <v>4.0541140000000003E-2</v>
      </c>
      <c r="P7580">
        <v>0.98257070000000002</v>
      </c>
      <c r="Q7580">
        <v>0.18437729999999999</v>
      </c>
      <c r="R7580">
        <v>2.36689E-2</v>
      </c>
      <c r="S7580">
        <v>3.0778660000000002</v>
      </c>
      <c r="T7580">
        <v>-0.13597979999999901</v>
      </c>
      <c r="U7580">
        <v>3.6376949999999998E-2</v>
      </c>
      <c r="V7580">
        <v>1.6379950000000001E-2</v>
      </c>
      <c r="W7580">
        <v>0.19109280000000001</v>
      </c>
      <c r="X7580">
        <v>0.98143530000000001</v>
      </c>
      <c r="Y7580">
        <v>2.8663439999999998E-2</v>
      </c>
      <c r="Z7580">
        <v>-2.422577E-3</v>
      </c>
      <c r="AA7580">
        <v>0.99958619999999998</v>
      </c>
      <c r="AB7580">
        <v>30</v>
      </c>
      <c r="AC7580">
        <v>24.959900000000001</v>
      </c>
      <c r="AD7580">
        <v>-1.1090339806732901</v>
      </c>
      <c r="AE7580">
        <v>0.29104999999999798</v>
      </c>
      <c r="AF7580">
        <v>0.71969515174097498</v>
      </c>
      <c r="AG7580">
        <v>-1.1090339806732901</v>
      </c>
      <c r="AH7580">
        <v>24.9020221849972</v>
      </c>
      <c r="AI7580">
        <v>92.548971155312699</v>
      </c>
      <c r="AJ7580">
        <v>88.344551329062298</v>
      </c>
      <c r="AK7580">
        <v>24.937093382826799</v>
      </c>
      <c r="AL7580">
        <v>78.983434429105898</v>
      </c>
      <c r="AM7580">
        <v>89.043834190028093</v>
      </c>
      <c r="AN7580">
        <v>1.00000000452996</v>
      </c>
    </row>
    <row r="7581" spans="1:40" x14ac:dyDescent="0.25">
      <c r="A7581" t="str">
        <f>"20190312172259727"</f>
        <v>20190312172259727</v>
      </c>
      <c r="B7581" t="str">
        <f>"1552382579718008"</f>
        <v>1552382579718008</v>
      </c>
      <c r="C7581" t="s">
        <v>40</v>
      </c>
      <c r="D7581">
        <v>3.141629</v>
      </c>
      <c r="E7581">
        <v>0.50733760000000006</v>
      </c>
      <c r="F7581" t="s">
        <v>77</v>
      </c>
      <c r="G7581">
        <v>-222.73099999999999</v>
      </c>
      <c r="H7581" s="1">
        <v>-9.239853E-7</v>
      </c>
      <c r="I7581">
        <v>-63.236310000000003</v>
      </c>
      <c r="J7581">
        <v>-247.67060000000001</v>
      </c>
      <c r="K7581">
        <v>1.1089869999999999</v>
      </c>
      <c r="L7581">
        <v>-63.522280000000002</v>
      </c>
      <c r="M7581">
        <v>0.99916729999999998</v>
      </c>
      <c r="N7581">
        <v>0</v>
      </c>
      <c r="O7581">
        <v>4.021624E-2</v>
      </c>
      <c r="P7581">
        <v>0.98261960000000004</v>
      </c>
      <c r="Q7581">
        <v>0.18416930000000001</v>
      </c>
      <c r="R7581">
        <v>2.3246260000000001E-2</v>
      </c>
      <c r="S7581">
        <v>3.0778810000000001</v>
      </c>
      <c r="T7581">
        <v>-0.136040299999999</v>
      </c>
      <c r="U7581">
        <v>3.5797120000000002E-2</v>
      </c>
      <c r="V7581">
        <v>1.6506079999999999E-2</v>
      </c>
      <c r="W7581">
        <v>0.19091920000000001</v>
      </c>
      <c r="X7581">
        <v>0.98146690000000003</v>
      </c>
      <c r="Y7581">
        <v>2.8527139999999999E-2</v>
      </c>
      <c r="Z7581">
        <v>-2.4062950000000001E-3</v>
      </c>
      <c r="AA7581">
        <v>0.99959010000000004</v>
      </c>
      <c r="AB7581">
        <v>30</v>
      </c>
      <c r="AC7581">
        <v>24.939599999999999</v>
      </c>
      <c r="AD7581">
        <v>-1.1089879239853</v>
      </c>
      <c r="AE7581">
        <v>0.285970000000006</v>
      </c>
      <c r="AF7581">
        <v>0.71584678690551395</v>
      </c>
      <c r="AG7581">
        <v>-1.1089879239853</v>
      </c>
      <c r="AH7581">
        <v>24.881731395035001</v>
      </c>
      <c r="AI7581">
        <v>92.550950890427799</v>
      </c>
      <c r="AJ7581">
        <v>88.352056436978003</v>
      </c>
      <c r="AK7581">
        <v>24.916718244033198</v>
      </c>
      <c r="AL7581">
        <v>78.993566749086895</v>
      </c>
      <c r="AM7581">
        <v>89.036503856622502</v>
      </c>
      <c r="AN7581">
        <v>0.99999993370060603</v>
      </c>
    </row>
    <row r="7582" spans="1:40" x14ac:dyDescent="0.25">
      <c r="A7582" t="str">
        <f>"20190312172259738"</f>
        <v>20190312172259738</v>
      </c>
      <c r="B7582" t="str">
        <f>"1552382579727768"</f>
        <v>1552382579727768</v>
      </c>
      <c r="C7582" t="s">
        <v>40</v>
      </c>
      <c r="D7582">
        <v>3.1175760000000001</v>
      </c>
      <c r="E7582">
        <v>0.50729389999999996</v>
      </c>
      <c r="F7582" t="s">
        <v>77</v>
      </c>
      <c r="G7582">
        <v>-222.74979999999999</v>
      </c>
      <c r="H7582" s="1">
        <v>-9.3310190000000002E-7</v>
      </c>
      <c r="I7582">
        <v>-63.24109</v>
      </c>
      <c r="J7582">
        <v>-247.51599999999999</v>
      </c>
      <c r="K7582">
        <v>1.1089439999999999</v>
      </c>
      <c r="L7582">
        <v>-63.516359999999999</v>
      </c>
      <c r="M7582">
        <v>0.99918119999999999</v>
      </c>
      <c r="N7582">
        <v>0</v>
      </c>
      <c r="O7582">
        <v>3.9865440000000002E-2</v>
      </c>
      <c r="P7582">
        <v>0.98264059999999998</v>
      </c>
      <c r="Q7582">
        <v>0.18409880000000001</v>
      </c>
      <c r="R7582">
        <v>2.292717E-2</v>
      </c>
      <c r="S7582">
        <v>3.0779109999999998</v>
      </c>
      <c r="T7582">
        <v>-0.1369687</v>
      </c>
      <c r="U7582">
        <v>3.4729000000000003E-2</v>
      </c>
      <c r="V7582">
        <v>1.6502760000000002E-2</v>
      </c>
      <c r="W7582">
        <v>0.19088359999999999</v>
      </c>
      <c r="X7582">
        <v>0.98147390000000001</v>
      </c>
      <c r="Y7582">
        <v>2.852259E-2</v>
      </c>
      <c r="Z7582">
        <v>-2.4069920000000002E-3</v>
      </c>
      <c r="AA7582">
        <v>0.99959030000000004</v>
      </c>
      <c r="AB7582">
        <v>31</v>
      </c>
      <c r="AC7582">
        <v>24.766200000000001</v>
      </c>
      <c r="AD7582">
        <v>-1.1089449331018999</v>
      </c>
      <c r="AE7582">
        <v>0.27526999999999802</v>
      </c>
      <c r="AF7582">
        <v>0.71086277042016299</v>
      </c>
      <c r="AG7582">
        <v>-1.1089449331018999</v>
      </c>
      <c r="AH7582">
        <v>24.707953548356301</v>
      </c>
      <c r="AI7582">
        <v>92.568768982976295</v>
      </c>
      <c r="AJ7582">
        <v>88.352020366353301</v>
      </c>
      <c r="AK7582">
        <v>24.7430405021443</v>
      </c>
      <c r="AL7582">
        <v>78.995644910252807</v>
      </c>
      <c r="AM7582">
        <v>89.036704484896504</v>
      </c>
      <c r="AN7582">
        <v>0.999999953108892</v>
      </c>
    </row>
    <row r="7583" spans="1:40" x14ac:dyDescent="0.25">
      <c r="A7583" t="str">
        <f>"20190312172259749"</f>
        <v>20190312172259749</v>
      </c>
      <c r="B7583" t="str">
        <f>"1552382579737528"</f>
        <v>1552382579737528</v>
      </c>
      <c r="C7583" t="s">
        <v>40</v>
      </c>
      <c r="D7583">
        <v>3.1395529999999998</v>
      </c>
      <c r="E7583">
        <v>0.50733629999999996</v>
      </c>
      <c r="F7583" t="s">
        <v>77</v>
      </c>
      <c r="G7583">
        <v>-222.65260000000001</v>
      </c>
      <c r="H7583" s="1">
        <v>-8.9097969999999902E-7</v>
      </c>
      <c r="I7583">
        <v>-63.239269999999998</v>
      </c>
      <c r="J7583">
        <v>-247.36609999999999</v>
      </c>
      <c r="K7583">
        <v>1.1088960000000001</v>
      </c>
      <c r="L7583">
        <v>-63.510739999999998</v>
      </c>
      <c r="M7583">
        <v>0.99919639999999998</v>
      </c>
      <c r="N7583">
        <v>0</v>
      </c>
      <c r="O7583">
        <v>3.9473069999999999E-2</v>
      </c>
      <c r="P7583">
        <v>0.98265499999999995</v>
      </c>
      <c r="Q7583">
        <v>0.18407290000000001</v>
      </c>
      <c r="R7583">
        <v>2.249344E-2</v>
      </c>
      <c r="S7583">
        <v>3.0779109999999998</v>
      </c>
      <c r="T7583">
        <v>-0.1372795</v>
      </c>
      <c r="U7583">
        <v>3.4301760000000001E-2</v>
      </c>
      <c r="V7583">
        <v>1.6574490000000001E-2</v>
      </c>
      <c r="W7583">
        <v>0.19089059999999999</v>
      </c>
      <c r="X7583">
        <v>0.98147139999999999</v>
      </c>
      <c r="Y7583">
        <v>2.826915E-2</v>
      </c>
      <c r="Z7583">
        <v>-2.3893230000000001E-3</v>
      </c>
      <c r="AA7583">
        <v>0.99959750000000003</v>
      </c>
      <c r="AB7583">
        <v>31</v>
      </c>
      <c r="AC7583">
        <v>24.7134999999999</v>
      </c>
      <c r="AD7583">
        <v>-1.1088968909796999</v>
      </c>
      <c r="AE7583">
        <v>0.27147000000000698</v>
      </c>
      <c r="AF7583">
        <v>0.702867992741535</v>
      </c>
      <c r="AG7583">
        <v>-1.1088968909796999</v>
      </c>
      <c r="AH7583">
        <v>24.655321057642901</v>
      </c>
      <c r="AI7583">
        <v>92.574153209221194</v>
      </c>
      <c r="AJ7583">
        <v>88.367067889765096</v>
      </c>
      <c r="AK7583">
        <v>24.690251764319701</v>
      </c>
      <c r="AL7583">
        <v>78.995237093806196</v>
      </c>
      <c r="AM7583">
        <v>89.032515807173098</v>
      </c>
      <c r="AN7583">
        <v>1.00000002195253</v>
      </c>
    </row>
    <row r="7584" spans="1:40" x14ac:dyDescent="0.25">
      <c r="A7584" t="str">
        <f>"20190312172259760"</f>
        <v>20190312172259760</v>
      </c>
      <c r="B7584" t="str">
        <f>"1552382579758024"</f>
        <v>1552382579758024</v>
      </c>
      <c r="C7584" t="s">
        <v>40</v>
      </c>
      <c r="D7584">
        <v>3.1571050000000001</v>
      </c>
      <c r="E7584">
        <v>0.507328</v>
      </c>
      <c r="F7584" t="s">
        <v>77</v>
      </c>
      <c r="G7584">
        <v>-222.6422</v>
      </c>
      <c r="H7584" s="1">
        <v>-8.8844150000000002E-7</v>
      </c>
      <c r="I7584">
        <v>-63.247970000000002</v>
      </c>
      <c r="J7584">
        <v>-247.21289999999999</v>
      </c>
      <c r="K7584">
        <v>1.1088450000000001</v>
      </c>
      <c r="L7584">
        <v>-63.505040000000001</v>
      </c>
      <c r="M7584">
        <v>0.9992124</v>
      </c>
      <c r="N7584">
        <v>0</v>
      </c>
      <c r="O7584">
        <v>3.905993E-2</v>
      </c>
      <c r="P7584">
        <v>0.98266089999999995</v>
      </c>
      <c r="Q7584">
        <v>0.18405959999999999</v>
      </c>
      <c r="R7584">
        <v>2.2357080000000001E-2</v>
      </c>
      <c r="S7584">
        <v>3.0780789999999998</v>
      </c>
      <c r="T7584">
        <v>-0.13805519999999999</v>
      </c>
      <c r="U7584">
        <v>3.2714840000000002E-2</v>
      </c>
      <c r="V7584">
        <v>1.632867E-2</v>
      </c>
      <c r="W7584">
        <v>0.1909103</v>
      </c>
      <c r="X7584">
        <v>0.98147169999999895</v>
      </c>
      <c r="Y7584">
        <v>2.8371299999999901E-2</v>
      </c>
      <c r="Z7584">
        <v>-2.3864730000000001E-3</v>
      </c>
      <c r="AA7584">
        <v>0.9995946</v>
      </c>
      <c r="AB7584">
        <v>31</v>
      </c>
      <c r="AC7584">
        <v>24.570699999999899</v>
      </c>
      <c r="AD7584">
        <v>-1.1088458884415</v>
      </c>
      <c r="AE7584">
        <v>0.25707000000000502</v>
      </c>
      <c r="AF7584">
        <v>0.70145105248249595</v>
      </c>
      <c r="AG7584">
        <v>-1.1088458884415</v>
      </c>
      <c r="AH7584">
        <v>24.512073812468302</v>
      </c>
      <c r="AI7584">
        <v>92.589049058477599</v>
      </c>
      <c r="AJ7584">
        <v>88.360839647386996</v>
      </c>
      <c r="AK7584">
        <v>24.5471655262117</v>
      </c>
      <c r="AL7584">
        <v>78.994087343276902</v>
      </c>
      <c r="AM7584">
        <v>89.046862407735503</v>
      </c>
      <c r="AN7584">
        <v>1.0000000330054699</v>
      </c>
    </row>
    <row r="7585" spans="1:40" x14ac:dyDescent="0.25">
      <c r="A7585" t="str">
        <f>"20190312172259771"</f>
        <v>20190312172259771</v>
      </c>
      <c r="B7585" t="str">
        <f>"1552382579767784"</f>
        <v>1552382579767784</v>
      </c>
      <c r="C7585" t="s">
        <v>40</v>
      </c>
      <c r="D7585">
        <v>3.1364390000000002</v>
      </c>
      <c r="E7585">
        <v>0.50728669999999998</v>
      </c>
      <c r="F7585" t="s">
        <v>77</v>
      </c>
      <c r="G7585">
        <v>-222.6018</v>
      </c>
      <c r="H7585" s="1">
        <v>-8.7083060000000003E-7</v>
      </c>
      <c r="I7585">
        <v>-63.246639999999999</v>
      </c>
      <c r="J7585">
        <v>-247.05330000000001</v>
      </c>
      <c r="K7585">
        <v>1.108789</v>
      </c>
      <c r="L7585">
        <v>-63.499270000000003</v>
      </c>
      <c r="M7585">
        <v>0.99923150000000005</v>
      </c>
      <c r="N7585">
        <v>0</v>
      </c>
      <c r="O7585">
        <v>3.8564689999999999E-2</v>
      </c>
      <c r="P7585">
        <v>0.98271569999999997</v>
      </c>
      <c r="Q7585">
        <v>0.18380099999999999</v>
      </c>
      <c r="R7585">
        <v>2.2081119999999999E-2</v>
      </c>
      <c r="S7585">
        <v>3.0781860000000001</v>
      </c>
      <c r="T7585">
        <v>-0.13868659999999999</v>
      </c>
      <c r="U7585">
        <v>3.2318119999999999E-2</v>
      </c>
      <c r="V7585">
        <v>1.6146029999999999E-2</v>
      </c>
      <c r="W7585">
        <v>0.19068560000000001</v>
      </c>
      <c r="X7585">
        <v>0.98151840000000001</v>
      </c>
      <c r="Y7585">
        <v>2.8005329999999998E-2</v>
      </c>
      <c r="Z7585">
        <v>-2.3667699999999998E-3</v>
      </c>
      <c r="AA7585">
        <v>0.99960499999999997</v>
      </c>
      <c r="AB7585">
        <v>31</v>
      </c>
      <c r="AC7585">
        <v>24.451499999999999</v>
      </c>
      <c r="AD7585">
        <v>-1.1087898708306001</v>
      </c>
      <c r="AE7585">
        <v>0.25262999999999602</v>
      </c>
      <c r="AF7585">
        <v>0.68912873491105797</v>
      </c>
      <c r="AG7585">
        <v>-1.1087898708306001</v>
      </c>
      <c r="AH7585">
        <v>24.392898729106999</v>
      </c>
      <c r="AI7585">
        <v>92.601576612807193</v>
      </c>
      <c r="AJ7585">
        <v>88.381755730978796</v>
      </c>
      <c r="AK7585">
        <v>24.4278083707771</v>
      </c>
      <c r="AL7585">
        <v>79.007202618291302</v>
      </c>
      <c r="AM7585">
        <v>89.057566375564505</v>
      </c>
      <c r="AN7585">
        <v>1.0000000309353301</v>
      </c>
    </row>
    <row r="7586" spans="1:40" x14ac:dyDescent="0.25">
      <c r="A7586" t="str">
        <f>"20190312172259783"</f>
        <v>20190312172259783</v>
      </c>
      <c r="B7586" t="str">
        <f>"1552382579777543"</f>
        <v>1552382579777543</v>
      </c>
      <c r="C7586" t="s">
        <v>40</v>
      </c>
      <c r="D7586">
        <v>3.1512609999999999</v>
      </c>
      <c r="E7586">
        <v>0.50727690000000003</v>
      </c>
      <c r="F7586" t="s">
        <v>77</v>
      </c>
      <c r="G7586">
        <v>-222.6199</v>
      </c>
      <c r="H7586" s="1">
        <v>-8.7861359999999898E-7</v>
      </c>
      <c r="I7586">
        <v>-63.246619999999901</v>
      </c>
      <c r="J7586">
        <v>-246.89680000000001</v>
      </c>
      <c r="K7586">
        <v>1.108733</v>
      </c>
      <c r="L7586">
        <v>-63.493650000000002</v>
      </c>
      <c r="M7586">
        <v>0.99925050000000004</v>
      </c>
      <c r="N7586">
        <v>0</v>
      </c>
      <c r="O7586">
        <v>3.806081E-2</v>
      </c>
      <c r="P7586">
        <v>0.98276580000000002</v>
      </c>
      <c r="Q7586">
        <v>0.183587</v>
      </c>
      <c r="R7586">
        <v>2.161737E-2</v>
      </c>
      <c r="S7586">
        <v>3.078201</v>
      </c>
      <c r="T7586">
        <v>-0.13968939999999999</v>
      </c>
      <c r="U7586">
        <v>3.1829830000000003E-2</v>
      </c>
      <c r="V7586">
        <v>1.614237E-2</v>
      </c>
      <c r="W7586">
        <v>0.19050439999999999</v>
      </c>
      <c r="X7586">
        <v>0.98155360000000003</v>
      </c>
      <c r="Y7586">
        <v>2.7659759999999999E-2</v>
      </c>
      <c r="Z7586">
        <v>-2.3531820000000001E-3</v>
      </c>
      <c r="AA7586">
        <v>0.99961460000000002</v>
      </c>
      <c r="AB7586">
        <v>31</v>
      </c>
      <c r="AC7586">
        <v>24.276900000000001</v>
      </c>
      <c r="AD7586">
        <v>-1.1087338786136001</v>
      </c>
      <c r="AE7586">
        <v>0.24703000000000899</v>
      </c>
      <c r="AF7586">
        <v>0.67576115130210901</v>
      </c>
      <c r="AG7586">
        <v>-1.1087338786136001</v>
      </c>
      <c r="AH7586">
        <v>24.218202506104902</v>
      </c>
      <c r="AI7586">
        <v>92.620210253091699</v>
      </c>
      <c r="AJ7586">
        <v>88.401689051737804</v>
      </c>
      <c r="AK7586">
        <v>24.252984900294202</v>
      </c>
      <c r="AL7586">
        <v>79.017777983459297</v>
      </c>
      <c r="AM7586">
        <v>89.057813752294194</v>
      </c>
      <c r="AN7586">
        <v>0.99999998610076801</v>
      </c>
    </row>
    <row r="7587" spans="1:40" x14ac:dyDescent="0.25">
      <c r="A7587" t="str">
        <f>"20190312172259794"</f>
        <v>20190312172259794</v>
      </c>
      <c r="B7587" t="str">
        <f>"1552382579788279"</f>
        <v>1552382579788279</v>
      </c>
      <c r="C7587" t="s">
        <v>40</v>
      </c>
      <c r="D7587">
        <v>3.1269770000000001</v>
      </c>
      <c r="E7587">
        <v>0.50726709999999997</v>
      </c>
      <c r="F7587" t="s">
        <v>77</v>
      </c>
      <c r="G7587">
        <v>-222.60059999999999</v>
      </c>
      <c r="H7587" s="1">
        <v>-8.7212940000000001E-7</v>
      </c>
      <c r="I7587">
        <v>-63.2547</v>
      </c>
      <c r="J7587">
        <v>-246.75460000000001</v>
      </c>
      <c r="K7587">
        <v>1.1086860000000001</v>
      </c>
      <c r="L7587">
        <v>-63.488709999999998</v>
      </c>
      <c r="M7587">
        <v>0.99926899999999996</v>
      </c>
      <c r="N7587">
        <v>0</v>
      </c>
      <c r="O7587">
        <v>3.7564489999999999E-2</v>
      </c>
      <c r="P7587">
        <v>0.98277999999999999</v>
      </c>
      <c r="Q7587">
        <v>0.1835569</v>
      </c>
      <c r="R7587">
        <v>2.1218810000000001E-2</v>
      </c>
      <c r="S7587">
        <v>3.0781710000000002</v>
      </c>
      <c r="T7587">
        <v>-0.14046989999999901</v>
      </c>
      <c r="U7587">
        <v>3.0273439999999999E-2</v>
      </c>
      <c r="V7587">
        <v>1.607722E-2</v>
      </c>
      <c r="W7587">
        <v>0.19050349999999999</v>
      </c>
      <c r="X7587">
        <v>0.98155490000000001</v>
      </c>
      <c r="Y7587">
        <v>2.76683E-2</v>
      </c>
      <c r="Z7587">
        <v>-2.343922E-3</v>
      </c>
      <c r="AA7587">
        <v>0.99961440000000001</v>
      </c>
      <c r="AB7587">
        <v>31</v>
      </c>
      <c r="AC7587">
        <v>24.154</v>
      </c>
      <c r="AD7587">
        <v>-1.1086868721293901</v>
      </c>
      <c r="AE7587">
        <v>0.234009999999997</v>
      </c>
      <c r="AF7587">
        <v>0.67209482706563906</v>
      </c>
      <c r="AG7587">
        <v>-1.1086868721293901</v>
      </c>
      <c r="AH7587">
        <v>24.094981610567501</v>
      </c>
      <c r="AI7587">
        <v>92.633480295214596</v>
      </c>
      <c r="AJ7587">
        <v>88.402231004146103</v>
      </c>
      <c r="AK7587">
        <v>24.1298370663912</v>
      </c>
      <c r="AL7587">
        <v>79.017831123320704</v>
      </c>
      <c r="AM7587">
        <v>89.061616941919695</v>
      </c>
      <c r="AN7587">
        <v>1.00000004111459</v>
      </c>
    </row>
    <row r="7588" spans="1:40" x14ac:dyDescent="0.25">
      <c r="A7588" t="str">
        <f>"20190312172259804"</f>
        <v>20190312172259804</v>
      </c>
      <c r="B7588" t="str">
        <f>"1552382579798039"</f>
        <v>1552382579798039</v>
      </c>
      <c r="C7588" t="s">
        <v>40</v>
      </c>
      <c r="D7588">
        <v>3.1413160000000002</v>
      </c>
      <c r="E7588">
        <v>0.50727489999999997</v>
      </c>
      <c r="F7588" t="s">
        <v>77</v>
      </c>
      <c r="G7588">
        <v>-222.47130000000001</v>
      </c>
      <c r="H7588" s="1">
        <v>-8.1725929999999995E-7</v>
      </c>
      <c r="I7588">
        <v>-63.25759</v>
      </c>
      <c r="J7588">
        <v>-246.60380000000001</v>
      </c>
      <c r="K7588">
        <v>1.108633</v>
      </c>
      <c r="L7588">
        <v>-63.483519999999999</v>
      </c>
      <c r="M7588">
        <v>0.99928939999999999</v>
      </c>
      <c r="N7588">
        <v>0</v>
      </c>
      <c r="O7588">
        <v>3.7012620000000003E-2</v>
      </c>
      <c r="P7588">
        <v>0.98281189999999996</v>
      </c>
      <c r="Q7588">
        <v>0.18342910000000001</v>
      </c>
      <c r="R7588">
        <v>2.0849489999999998E-2</v>
      </c>
      <c r="S7588">
        <v>3.0781710000000002</v>
      </c>
      <c r="T7588">
        <v>-0.14053759999999901</v>
      </c>
      <c r="U7588">
        <v>2.9296880000000001E-2</v>
      </c>
      <c r="V7588">
        <v>1.5930280000000002E-2</v>
      </c>
      <c r="W7588">
        <v>0.1904071</v>
      </c>
      <c r="X7588">
        <v>0.981576</v>
      </c>
      <c r="Y7588">
        <v>2.7434099999999999E-2</v>
      </c>
      <c r="Z7588">
        <v>-2.3145449999999999E-3</v>
      </c>
      <c r="AA7588">
        <v>0.99962090000000003</v>
      </c>
      <c r="AB7588">
        <v>31</v>
      </c>
      <c r="AC7588">
        <v>24.1325</v>
      </c>
      <c r="AD7588">
        <v>-1.1086338172593</v>
      </c>
      <c r="AE7588">
        <v>0.22592999999999799</v>
      </c>
      <c r="AF7588">
        <v>0.666049009791993</v>
      </c>
      <c r="AG7588">
        <v>-1.1086338172593</v>
      </c>
      <c r="AH7588">
        <v>24.073524888067201</v>
      </c>
      <c r="AI7588">
        <v>92.635714782152803</v>
      </c>
      <c r="AJ7588">
        <v>88.415185789704907</v>
      </c>
      <c r="AK7588">
        <v>24.1082411378476</v>
      </c>
      <c r="AL7588">
        <v>79.023457415707298</v>
      </c>
      <c r="AM7588">
        <v>89.070211896128001</v>
      </c>
      <c r="AN7588">
        <v>1.00000004066364</v>
      </c>
    </row>
    <row r="7589" spans="1:40" x14ac:dyDescent="0.25">
      <c r="A7589" t="str">
        <f>"20190312172259815"</f>
        <v>20190312172259815</v>
      </c>
      <c r="B7589" t="str">
        <f>"1552382579807799"</f>
        <v>1552382579807799</v>
      </c>
      <c r="C7589" t="s">
        <v>40</v>
      </c>
      <c r="D7589">
        <v>3.1600890000000001</v>
      </c>
      <c r="E7589">
        <v>0.50725869999999995</v>
      </c>
      <c r="F7589" t="s">
        <v>77</v>
      </c>
      <c r="G7589">
        <v>-222.42160000000001</v>
      </c>
      <c r="H7589" s="1">
        <v>-7.9693050000000004E-7</v>
      </c>
      <c r="I7589">
        <v>-63.262</v>
      </c>
      <c r="J7589">
        <v>-246.447</v>
      </c>
      <c r="K7589">
        <v>1.108576</v>
      </c>
      <c r="L7589">
        <v>-63.478270000000002</v>
      </c>
      <c r="M7589">
        <v>0.99931139999999996</v>
      </c>
      <c r="N7589">
        <v>0</v>
      </c>
      <c r="O7589">
        <v>3.6402900000000002E-2</v>
      </c>
      <c r="P7589">
        <v>0.9828635</v>
      </c>
      <c r="Q7589">
        <v>0.18322869999999999</v>
      </c>
      <c r="R7589">
        <v>2.0163980000000001E-2</v>
      </c>
      <c r="S7589">
        <v>3.078201</v>
      </c>
      <c r="T7589">
        <v>-0.14112</v>
      </c>
      <c r="U7589">
        <v>2.8198239999999999E-2</v>
      </c>
      <c r="V7589">
        <v>1.6043979999999999E-2</v>
      </c>
      <c r="W7589">
        <v>0.19023899999999999</v>
      </c>
      <c r="X7589">
        <v>0.98160670000000005</v>
      </c>
      <c r="Y7589">
        <v>2.7181380000000002E-2</v>
      </c>
      <c r="Z7589">
        <v>-2.2904000000000002E-3</v>
      </c>
      <c r="AA7589">
        <v>0.99962790000000001</v>
      </c>
      <c r="AB7589">
        <v>31</v>
      </c>
      <c r="AC7589">
        <v>24.025399999999902</v>
      </c>
      <c r="AD7589">
        <v>-1.1085767969305</v>
      </c>
      <c r="AE7589">
        <v>0.21626999999999399</v>
      </c>
      <c r="AF7589">
        <v>0.65709125041067695</v>
      </c>
      <c r="AG7589">
        <v>-1.1085767969305</v>
      </c>
      <c r="AH7589">
        <v>23.966326180636202</v>
      </c>
      <c r="AI7589">
        <v>92.647369519513205</v>
      </c>
      <c r="AJ7589">
        <v>88.429499548039402</v>
      </c>
      <c r="AK7589">
        <v>24.000947940085801</v>
      </c>
      <c r="AL7589">
        <v>79.033267709371401</v>
      </c>
      <c r="AM7589">
        <v>89.063606131236199</v>
      </c>
      <c r="AN7589">
        <v>0.99999999995006505</v>
      </c>
    </row>
    <row r="7590" spans="1:40" x14ac:dyDescent="0.25">
      <c r="A7590" t="str">
        <f>"20190312172259827"</f>
        <v>20190312172259827</v>
      </c>
      <c r="B7590" t="str">
        <f>"1552382579817560"</f>
        <v>1552382579817560</v>
      </c>
      <c r="C7590" t="s">
        <v>40</v>
      </c>
      <c r="D7590">
        <v>3.111129</v>
      </c>
      <c r="E7590">
        <v>0.50728229999999996</v>
      </c>
      <c r="F7590" t="s">
        <v>77</v>
      </c>
      <c r="G7590">
        <v>-222.399</v>
      </c>
      <c r="H7590" s="1">
        <v>-7.8953940000000001E-7</v>
      </c>
      <c r="I7590">
        <v>-63.272280000000002</v>
      </c>
      <c r="J7590">
        <v>-246.2912</v>
      </c>
      <c r="K7590">
        <v>1.108519</v>
      </c>
      <c r="L7590">
        <v>-63.473210000000002</v>
      </c>
      <c r="M7590">
        <v>0.99933479999999997</v>
      </c>
      <c r="N7590">
        <v>0</v>
      </c>
      <c r="O7590">
        <v>3.57559E-2</v>
      </c>
      <c r="P7590">
        <v>0.98292239999999997</v>
      </c>
      <c r="Q7590">
        <v>0.18296770000000001</v>
      </c>
      <c r="R7590">
        <v>1.9665599999999998E-2</v>
      </c>
      <c r="S7590">
        <v>3.078217</v>
      </c>
      <c r="T7590">
        <v>-0.14190159999999999</v>
      </c>
      <c r="U7590">
        <v>2.6367189999999999E-2</v>
      </c>
      <c r="V7590">
        <v>1.593398E-2</v>
      </c>
      <c r="W7590">
        <v>0.19001009999999999</v>
      </c>
      <c r="X7590">
        <v>0.98165279999999999</v>
      </c>
      <c r="Y7590">
        <v>2.7128820000000001E-2</v>
      </c>
      <c r="Z7590">
        <v>-2.2720660000000001E-3</v>
      </c>
      <c r="AA7590">
        <v>0.9996294</v>
      </c>
      <c r="AB7590">
        <v>31</v>
      </c>
      <c r="AC7590">
        <v>23.892199999999999</v>
      </c>
      <c r="AD7590">
        <v>-1.1085197895393999</v>
      </c>
      <c r="AE7590">
        <v>0.200929999999992</v>
      </c>
      <c r="AF7590">
        <v>0.65210393574683201</v>
      </c>
      <c r="AG7590">
        <v>-1.1085197895393999</v>
      </c>
      <c r="AH7590">
        <v>23.832805841850501</v>
      </c>
      <c r="AI7590">
        <v>92.662047147596695</v>
      </c>
      <c r="AJ7590">
        <v>88.432686282401093</v>
      </c>
      <c r="AK7590">
        <v>23.8674818521385</v>
      </c>
      <c r="AL7590">
        <v>79.046626096637496</v>
      </c>
      <c r="AM7590">
        <v>89.070068725991405</v>
      </c>
      <c r="AN7590">
        <v>0.99999997478424496</v>
      </c>
    </row>
    <row r="7591" spans="1:40" x14ac:dyDescent="0.25">
      <c r="A7591" t="str">
        <f>"20190312172259838"</f>
        <v>20190312172259838</v>
      </c>
      <c r="B7591" t="str">
        <f>"1552382579828296"</f>
        <v>1552382579828296</v>
      </c>
      <c r="C7591" t="s">
        <v>40</v>
      </c>
      <c r="D7591">
        <v>3.1448260000000001</v>
      </c>
      <c r="E7591">
        <v>0.5072603</v>
      </c>
      <c r="F7591" t="s">
        <v>77</v>
      </c>
      <c r="G7591">
        <v>-222.60679999999999</v>
      </c>
      <c r="H7591" s="1">
        <v>-8.8117619999999999E-7</v>
      </c>
      <c r="I7591">
        <v>-63.28349</v>
      </c>
      <c r="J7591">
        <v>-246.1354</v>
      </c>
      <c r="K7591">
        <v>1.108463</v>
      </c>
      <c r="L7591">
        <v>-63.468200000000003</v>
      </c>
      <c r="M7591">
        <v>0.99935819999999997</v>
      </c>
      <c r="N7591">
        <v>0</v>
      </c>
      <c r="O7591">
        <v>3.5085650000000003E-2</v>
      </c>
      <c r="P7591">
        <v>0.98297299999999999</v>
      </c>
      <c r="Q7591">
        <v>0.1827693</v>
      </c>
      <c r="R7591">
        <v>1.896892E-2</v>
      </c>
      <c r="S7591">
        <v>3.0784609999999999</v>
      </c>
      <c r="T7591">
        <v>-0.1440835</v>
      </c>
      <c r="U7591">
        <v>2.4658200000000002E-2</v>
      </c>
      <c r="V7591">
        <v>1.599919E-2</v>
      </c>
      <c r="W7591">
        <v>0.18984300000000001</v>
      </c>
      <c r="X7591">
        <v>0.98168409999999995</v>
      </c>
      <c r="Y7591">
        <v>2.7012769999999998E-2</v>
      </c>
      <c r="Z7591">
        <v>-2.272741E-3</v>
      </c>
      <c r="AA7591">
        <v>0.99963250000000003</v>
      </c>
      <c r="AB7591">
        <v>31</v>
      </c>
      <c r="AC7591">
        <v>23.528600000000001</v>
      </c>
      <c r="AD7591">
        <v>-1.1084638811762</v>
      </c>
      <c r="AE7591">
        <v>0.18471000000000201</v>
      </c>
      <c r="AF7591">
        <v>0.63952217735758199</v>
      </c>
      <c r="AG7591">
        <v>-1.1084638811762</v>
      </c>
      <c r="AH7591">
        <v>23.468509098351799</v>
      </c>
      <c r="AI7591">
        <v>92.703180780011706</v>
      </c>
      <c r="AJ7591">
        <v>88.439063352362894</v>
      </c>
      <c r="AK7591">
        <v>23.5033742277705</v>
      </c>
      <c r="AL7591">
        <v>79.056378057580702</v>
      </c>
      <c r="AM7591">
        <v>89.066293409737099</v>
      </c>
      <c r="AN7591">
        <v>1.0000000054612299</v>
      </c>
    </row>
    <row r="7592" spans="1:40" x14ac:dyDescent="0.25">
      <c r="A7592" t="str">
        <f>"20190312172259849"</f>
        <v>20190312172259849</v>
      </c>
      <c r="B7592" t="str">
        <f>"1552382579838056"</f>
        <v>1552382579838056</v>
      </c>
      <c r="C7592" t="s">
        <v>40</v>
      </c>
      <c r="D7592">
        <v>3.154436</v>
      </c>
      <c r="E7592">
        <v>0.50726470000000001</v>
      </c>
      <c r="F7592" t="s">
        <v>77</v>
      </c>
      <c r="G7592">
        <v>-222.57300000000001</v>
      </c>
      <c r="H7592" s="1">
        <v>-8.6886939999999896E-7</v>
      </c>
      <c r="I7592">
        <v>-63.293480000000002</v>
      </c>
      <c r="J7592">
        <v>-245.98920000000001</v>
      </c>
      <c r="K7592">
        <v>1.108409</v>
      </c>
      <c r="L7592">
        <v>-63.463749999999997</v>
      </c>
      <c r="M7592">
        <v>0.99938150000000003</v>
      </c>
      <c r="N7592">
        <v>0</v>
      </c>
      <c r="O7592">
        <v>3.4404459999999998E-2</v>
      </c>
      <c r="P7592">
        <v>0.98301470000000002</v>
      </c>
      <c r="Q7592">
        <v>0.18261179999999999</v>
      </c>
      <c r="R7592">
        <v>1.8305780000000001E-2</v>
      </c>
      <c r="S7592">
        <v>3.0784609999999999</v>
      </c>
      <c r="T7592">
        <v>-0.14482200000000001</v>
      </c>
      <c r="U7592">
        <v>2.2827150000000001E-2</v>
      </c>
      <c r="V7592">
        <v>1.601851E-2</v>
      </c>
      <c r="W7592">
        <v>0.1897142</v>
      </c>
      <c r="X7592">
        <v>0.98170860000000004</v>
      </c>
      <c r="Y7592">
        <v>2.6926100000000001E-2</v>
      </c>
      <c r="Z7592">
        <v>-2.2503380000000002E-3</v>
      </c>
      <c r="AA7592">
        <v>0.99963489999999999</v>
      </c>
      <c r="AB7592">
        <v>31</v>
      </c>
      <c r="AC7592">
        <v>23.4162</v>
      </c>
      <c r="AD7592">
        <v>-1.1084098688694</v>
      </c>
      <c r="AE7592">
        <v>0.17026999999999501</v>
      </c>
      <c r="AF7592">
        <v>0.63405325644200605</v>
      </c>
      <c r="AG7592">
        <v>-1.1084098688694</v>
      </c>
      <c r="AH7592">
        <v>23.3558660545064</v>
      </c>
      <c r="AI7592">
        <v>92.716073895127295</v>
      </c>
      <c r="AJ7592">
        <v>88.444945056467006</v>
      </c>
      <c r="AK7592">
        <v>23.390747639300798</v>
      </c>
      <c r="AL7592">
        <v>79.063893433354295</v>
      </c>
      <c r="AM7592">
        <v>89.065189427952205</v>
      </c>
      <c r="AN7592">
        <v>0.99999992282910699</v>
      </c>
    </row>
    <row r="7593" spans="1:40" x14ac:dyDescent="0.25">
      <c r="A7593" t="str">
        <f>"20190312172259860"</f>
        <v>20190312172259860</v>
      </c>
      <c r="B7593" t="str">
        <f>"1552382579857575"</f>
        <v>1552382579857575</v>
      </c>
      <c r="C7593" t="s">
        <v>40</v>
      </c>
      <c r="D7593">
        <v>3.1589369999999999</v>
      </c>
      <c r="E7593">
        <v>0.50725070000000005</v>
      </c>
      <c r="F7593" t="s">
        <v>77</v>
      </c>
      <c r="G7593">
        <v>-222.52289999999999</v>
      </c>
      <c r="H7593" s="1">
        <v>-8.5020280000000002E-7</v>
      </c>
      <c r="I7593">
        <v>-63.306019999999997</v>
      </c>
      <c r="J7593">
        <v>-245.83</v>
      </c>
      <c r="K7593">
        <v>1.1083529999999999</v>
      </c>
      <c r="L7593">
        <v>-63.458860000000001</v>
      </c>
      <c r="M7593">
        <v>0.99940700000000005</v>
      </c>
      <c r="N7593">
        <v>0</v>
      </c>
      <c r="O7593">
        <v>3.365083E-2</v>
      </c>
      <c r="P7593">
        <v>0.98303870000000004</v>
      </c>
      <c r="Q7593">
        <v>0.18255779999999999</v>
      </c>
      <c r="R7593">
        <v>1.7546969999999999E-2</v>
      </c>
      <c r="S7593">
        <v>3.0784449999999999</v>
      </c>
      <c r="T7593">
        <v>-0.14540790000000001</v>
      </c>
      <c r="U7593">
        <v>2.0690920000000002E-2</v>
      </c>
      <c r="V7593">
        <v>1.6064019999999998E-2</v>
      </c>
      <c r="W7593">
        <v>0.18969030000000001</v>
      </c>
      <c r="X7593">
        <v>0.98171249999999999</v>
      </c>
      <c r="Y7593">
        <v>2.6866250000000001E-2</v>
      </c>
      <c r="Z7593">
        <v>-2.2224810000000001E-3</v>
      </c>
      <c r="AA7593">
        <v>0.99963659999999999</v>
      </c>
      <c r="AB7593">
        <v>31</v>
      </c>
      <c r="AC7593">
        <v>23.307099999999998</v>
      </c>
      <c r="AD7593">
        <v>-1.1083538502028001</v>
      </c>
      <c r="AE7593">
        <v>0.15283999999999701</v>
      </c>
      <c r="AF7593">
        <v>0.63014575593615696</v>
      </c>
      <c r="AG7593">
        <v>-1.1083538502028001</v>
      </c>
      <c r="AH7593">
        <v>23.246474979426502</v>
      </c>
      <c r="AI7593">
        <v>92.728700939649499</v>
      </c>
      <c r="AJ7593">
        <v>88.447254777062994</v>
      </c>
      <c r="AK7593">
        <v>23.2814117033329</v>
      </c>
      <c r="AL7593">
        <v>79.065288402727205</v>
      </c>
      <c r="AM7593">
        <v>89.062537745519407</v>
      </c>
      <c r="AN7593">
        <v>0.999999947654448</v>
      </c>
    </row>
    <row r="7594" spans="1:40" x14ac:dyDescent="0.25">
      <c r="A7594" t="str">
        <f>"20190312172259871"</f>
        <v>20190312172259871</v>
      </c>
      <c r="B7594" t="str">
        <f>"1552382579868313"</f>
        <v>1552382579868313</v>
      </c>
      <c r="C7594" t="s">
        <v>40</v>
      </c>
      <c r="D7594">
        <v>3.1780409999999999</v>
      </c>
      <c r="E7594">
        <v>0.5072527</v>
      </c>
      <c r="F7594" t="s">
        <v>77</v>
      </c>
      <c r="G7594">
        <v>-222.39070000000001</v>
      </c>
      <c r="H7594" s="1">
        <v>-7.9588219999999904E-7</v>
      </c>
      <c r="I7594">
        <v>-63.316890000000001</v>
      </c>
      <c r="J7594">
        <v>-245.6799</v>
      </c>
      <c r="K7594">
        <v>1.108298</v>
      </c>
      <c r="L7594">
        <v>-63.454560000000001</v>
      </c>
      <c r="M7594">
        <v>0.99943249999999995</v>
      </c>
      <c r="N7594">
        <v>0</v>
      </c>
      <c r="O7594">
        <v>3.288054E-2</v>
      </c>
      <c r="P7594">
        <v>0.98308720000000005</v>
      </c>
      <c r="Q7594">
        <v>0.18239359999999999</v>
      </c>
      <c r="R7594">
        <v>1.6506219999999999E-2</v>
      </c>
      <c r="S7594">
        <v>3.0784609999999999</v>
      </c>
      <c r="T7594">
        <v>-0.14556839999999999</v>
      </c>
      <c r="U7594">
        <v>1.8646240000000001E-2</v>
      </c>
      <c r="V7594">
        <v>1.6374349999999999E-2</v>
      </c>
      <c r="W7594">
        <v>0.189555</v>
      </c>
      <c r="X7594">
        <v>0.98173359999999998</v>
      </c>
      <c r="Y7594">
        <v>2.6760570000000001E-2</v>
      </c>
      <c r="Z7594">
        <v>-2.1860450000000002E-3</v>
      </c>
      <c r="AA7594">
        <v>0.99963950000000001</v>
      </c>
      <c r="AB7594">
        <v>31</v>
      </c>
      <c r="AC7594">
        <v>23.289199999999902</v>
      </c>
      <c r="AD7594">
        <v>-1.1082987958821999</v>
      </c>
      <c r="AE7594">
        <v>0.13766999999999899</v>
      </c>
      <c r="AF7594">
        <v>0.62676704938438199</v>
      </c>
      <c r="AG7594">
        <v>-1.1082987958821999</v>
      </c>
      <c r="AH7594">
        <v>23.2285303049742</v>
      </c>
      <c r="AI7594">
        <v>92.730679481142005</v>
      </c>
      <c r="AJ7594">
        <v>88.454383690188905</v>
      </c>
      <c r="AK7594">
        <v>23.263400080045301</v>
      </c>
      <c r="AL7594">
        <v>79.073184781836702</v>
      </c>
      <c r="AM7594">
        <v>89.0444514027146</v>
      </c>
      <c r="AN7594">
        <v>1.0000000393659401</v>
      </c>
    </row>
    <row r="7595" spans="1:40" x14ac:dyDescent="0.25">
      <c r="A7595" t="str">
        <f>"20190312172259882"</f>
        <v>20190312172259882</v>
      </c>
      <c r="B7595" t="str">
        <f>"1552382579878072"</f>
        <v>1552382579878072</v>
      </c>
      <c r="C7595" t="s">
        <v>40</v>
      </c>
      <c r="D7595">
        <v>3.1854719999999999</v>
      </c>
      <c r="E7595">
        <v>0.50731079999999995</v>
      </c>
      <c r="F7595" t="s">
        <v>77</v>
      </c>
      <c r="G7595">
        <v>-222.33410000000001</v>
      </c>
      <c r="H7595" s="1">
        <v>-7.7609680000000001E-7</v>
      </c>
      <c r="I7595">
        <v>-63.33699</v>
      </c>
      <c r="J7595">
        <v>-245.52269999999999</v>
      </c>
      <c r="K7595">
        <v>1.1082419999999999</v>
      </c>
      <c r="L7595">
        <v>-63.450099999999999</v>
      </c>
      <c r="M7595">
        <v>0.99945890000000004</v>
      </c>
      <c r="N7595">
        <v>0</v>
      </c>
      <c r="O7595">
        <v>3.2061609999999997E-2</v>
      </c>
      <c r="P7595">
        <v>0.98312630000000001</v>
      </c>
      <c r="Q7595">
        <v>0.1822242</v>
      </c>
      <c r="R7595">
        <v>1.6035110000000002E-2</v>
      </c>
      <c r="S7595">
        <v>3.0784449999999999</v>
      </c>
      <c r="T7595">
        <v>-0.14614360000000001</v>
      </c>
      <c r="U7595">
        <v>1.550293E-2</v>
      </c>
      <c r="V7595">
        <v>1.606807E-2</v>
      </c>
      <c r="W7595">
        <v>0.1894169</v>
      </c>
      <c r="X7595">
        <v>0.98176529999999995</v>
      </c>
      <c r="Y7595">
        <v>2.6962300000000002E-2</v>
      </c>
      <c r="Z7595">
        <v>-2.1606440000000002E-3</v>
      </c>
      <c r="AA7595">
        <v>0.99963409999999997</v>
      </c>
      <c r="AB7595">
        <v>31</v>
      </c>
      <c r="AC7595">
        <v>23.188599999999902</v>
      </c>
      <c r="AD7595">
        <v>-1.1082427760968001</v>
      </c>
      <c r="AE7595">
        <v>0.113109999999998</v>
      </c>
      <c r="AF7595">
        <v>0.62899539000628901</v>
      </c>
      <c r="AG7595">
        <v>-1.1082427760968001</v>
      </c>
      <c r="AH7595">
        <v>23.127479648479799</v>
      </c>
      <c r="AI7595">
        <v>92.742438137964697</v>
      </c>
      <c r="AJ7595">
        <v>88.442117339998106</v>
      </c>
      <c r="AK7595">
        <v>23.162559274446899</v>
      </c>
      <c r="AL7595">
        <v>79.0812431583457</v>
      </c>
      <c r="AM7595">
        <v>89.062351859332395</v>
      </c>
      <c r="AN7595">
        <v>1.0000000245816101</v>
      </c>
    </row>
    <row r="7596" spans="1:40" x14ac:dyDescent="0.25">
      <c r="A7596" t="str">
        <f>"20190312172259893"</f>
        <v>20190312172259893</v>
      </c>
      <c r="B7596" t="str">
        <f>"1552382579887832"</f>
        <v>1552382579887832</v>
      </c>
      <c r="C7596" t="s">
        <v>40</v>
      </c>
      <c r="D7596">
        <v>3.19387</v>
      </c>
      <c r="E7596">
        <v>0.5073569</v>
      </c>
      <c r="F7596" t="s">
        <v>77</v>
      </c>
      <c r="G7596">
        <v>-222.35839999999999</v>
      </c>
      <c r="H7596" s="1">
        <v>-7.8906589999999996E-7</v>
      </c>
      <c r="I7596">
        <v>-63.348610000000001</v>
      </c>
      <c r="J7596">
        <v>-245.36420000000001</v>
      </c>
      <c r="K7596">
        <v>1.1081829999999999</v>
      </c>
      <c r="L7596">
        <v>-63.445799999999998</v>
      </c>
      <c r="M7596">
        <v>0.99948599999999999</v>
      </c>
      <c r="N7596">
        <v>0</v>
      </c>
      <c r="O7596">
        <v>3.119102E-2</v>
      </c>
      <c r="P7596">
        <v>0.98314409999999997</v>
      </c>
      <c r="Q7596">
        <v>0.18219150000000001</v>
      </c>
      <c r="R7596">
        <v>1.530484E-2</v>
      </c>
      <c r="S7596">
        <v>3.0785680000000002</v>
      </c>
      <c r="T7596">
        <v>-0.14728640000000001</v>
      </c>
      <c r="U7596">
        <v>1.3488770000000001E-2</v>
      </c>
      <c r="V7596">
        <v>1.5968880000000001E-2</v>
      </c>
      <c r="W7596">
        <v>0.189416</v>
      </c>
      <c r="X7596">
        <v>0.9817671</v>
      </c>
      <c r="Y7596">
        <v>2.6745979999999999E-2</v>
      </c>
      <c r="Z7596">
        <v>-2.1306599999999999E-3</v>
      </c>
      <c r="AA7596">
        <v>0.99963999999999997</v>
      </c>
      <c r="AB7596">
        <v>31</v>
      </c>
      <c r="AC7596">
        <v>23.005800000000001</v>
      </c>
      <c r="AD7596">
        <v>-1.1081837890659001</v>
      </c>
      <c r="AE7596">
        <v>9.7189999999997598E-2</v>
      </c>
      <c r="AF7596">
        <v>0.61901505082198405</v>
      </c>
      <c r="AG7596">
        <v>-1.1081837890659001</v>
      </c>
      <c r="AH7596">
        <v>22.9443997379582</v>
      </c>
      <c r="AI7596">
        <v>92.764156406934902</v>
      </c>
      <c r="AJ7596">
        <v>88.454596807338106</v>
      </c>
      <c r="AK7596">
        <v>22.979484987238301</v>
      </c>
      <c r="AL7596">
        <v>79.081295761831896</v>
      </c>
      <c r="AM7596">
        <v>89.068140750927199</v>
      </c>
      <c r="AN7596">
        <v>1.0000000324134299</v>
      </c>
    </row>
    <row r="7597" spans="1:40" x14ac:dyDescent="0.25">
      <c r="A7597" t="str">
        <f>"20190312172259905"</f>
        <v>20190312172259905</v>
      </c>
      <c r="B7597" t="str">
        <f>"1552382579897592"</f>
        <v>1552382579897592</v>
      </c>
      <c r="C7597" t="s">
        <v>40</v>
      </c>
      <c r="D7597">
        <v>3.183284</v>
      </c>
      <c r="E7597">
        <v>0.50737730000000003</v>
      </c>
      <c r="F7597" t="s">
        <v>77</v>
      </c>
      <c r="G7597">
        <v>-222.30099999999999</v>
      </c>
      <c r="H7597" s="1">
        <v>-7.6808790000000005E-7</v>
      </c>
      <c r="I7597">
        <v>-63.364870000000003</v>
      </c>
      <c r="J7597">
        <v>-245.20760000000001</v>
      </c>
      <c r="K7597">
        <v>1.1081299999999901</v>
      </c>
      <c r="L7597">
        <v>-63.441740000000003</v>
      </c>
      <c r="M7597">
        <v>0.99951299999999998</v>
      </c>
      <c r="N7597">
        <v>0</v>
      </c>
      <c r="O7597">
        <v>3.0307199999999999E-2</v>
      </c>
      <c r="P7597">
        <v>0.98316550000000003</v>
      </c>
      <c r="Q7597">
        <v>0.18214359999999999</v>
      </c>
      <c r="R7597">
        <v>1.4469600000000001E-2</v>
      </c>
      <c r="S7597">
        <v>3.078659</v>
      </c>
      <c r="T7597">
        <v>-0.14792930000000001</v>
      </c>
      <c r="U7597">
        <v>1.0803220000000001E-2</v>
      </c>
      <c r="V7597">
        <v>1.5960780000000001E-2</v>
      </c>
      <c r="W7597">
        <v>0.18939819999999999</v>
      </c>
      <c r="X7597">
        <v>0.98177060000000005</v>
      </c>
      <c r="Y7597">
        <v>2.6734620000000001E-2</v>
      </c>
      <c r="Z7597">
        <v>-2.0971929999999998E-3</v>
      </c>
      <c r="AA7597">
        <v>0.99964030000000004</v>
      </c>
      <c r="AB7597">
        <v>31</v>
      </c>
      <c r="AC7597">
        <v>22.906600000000001</v>
      </c>
      <c r="AD7597">
        <v>-1.10813076808789</v>
      </c>
      <c r="AE7597">
        <v>7.68700000000066E-2</v>
      </c>
      <c r="AF7597">
        <v>0.61597787443832097</v>
      </c>
      <c r="AG7597">
        <v>-1.10813076808789</v>
      </c>
      <c r="AH7597">
        <v>22.8449445266357</v>
      </c>
      <c r="AI7597">
        <v>92.776039885545401</v>
      </c>
      <c r="AJ7597">
        <v>88.455483960337801</v>
      </c>
      <c r="AK7597">
        <v>22.880097748175</v>
      </c>
      <c r="AL7597">
        <v>79.082333714318693</v>
      </c>
      <c r="AM7597">
        <v>89.0686166605322</v>
      </c>
      <c r="AN7597">
        <v>0.99999996784290301</v>
      </c>
    </row>
    <row r="7598" spans="1:40" x14ac:dyDescent="0.25">
      <c r="A7598" t="str">
        <f>"20190312172259916"</f>
        <v>20190312172259916</v>
      </c>
      <c r="B7598" t="str">
        <f>"1552382579907353"</f>
        <v>1552382579907353</v>
      </c>
      <c r="C7598" t="s">
        <v>40</v>
      </c>
      <c r="D7598">
        <v>3.1869339999999999</v>
      </c>
      <c r="E7598">
        <v>0.50736409999999998</v>
      </c>
      <c r="F7598" t="s">
        <v>77</v>
      </c>
      <c r="G7598">
        <v>-222.23500000000001</v>
      </c>
      <c r="H7598" s="1">
        <v>-7.4343599999999999E-7</v>
      </c>
      <c r="I7598">
        <v>-63.381399999999999</v>
      </c>
      <c r="J7598">
        <v>-245.04830000000001</v>
      </c>
      <c r="K7598">
        <v>1.1080779999999999</v>
      </c>
      <c r="L7598">
        <v>-63.437739999999998</v>
      </c>
      <c r="M7598">
        <v>0.9995406</v>
      </c>
      <c r="N7598">
        <v>0</v>
      </c>
      <c r="O7598">
        <v>2.9377730000000001E-2</v>
      </c>
      <c r="P7598">
        <v>0.98317069999999995</v>
      </c>
      <c r="Q7598">
        <v>0.1821721</v>
      </c>
      <c r="R7598">
        <v>1.374244E-2</v>
      </c>
      <c r="S7598">
        <v>3.0787659999999999</v>
      </c>
      <c r="T7598">
        <v>-0.1485108</v>
      </c>
      <c r="U7598">
        <v>8.0871580000000005E-3</v>
      </c>
      <c r="V7598">
        <v>1.5799299999999999E-2</v>
      </c>
      <c r="W7598">
        <v>0.18945770000000001</v>
      </c>
      <c r="X7598">
        <v>0.98176180000000002</v>
      </c>
      <c r="Y7598">
        <v>2.668765E-2</v>
      </c>
      <c r="Z7598">
        <v>-2.0594369999999999E-3</v>
      </c>
      <c r="AA7598">
        <v>0.99964169999999997</v>
      </c>
      <c r="AB7598">
        <v>31</v>
      </c>
      <c r="AC7598">
        <v>22.813300000000002</v>
      </c>
      <c r="AD7598">
        <v>-1.108078743436</v>
      </c>
      <c r="AE7598">
        <v>5.6340000000005802E-2</v>
      </c>
      <c r="AF7598">
        <v>0.61246098814177996</v>
      </c>
      <c r="AG7598">
        <v>-1.108078743436</v>
      </c>
      <c r="AH7598">
        <v>22.751433107989499</v>
      </c>
      <c r="AI7598">
        <v>92.787304440827796</v>
      </c>
      <c r="AJ7598">
        <v>88.457989142766493</v>
      </c>
      <c r="AK7598">
        <v>22.786633262309099</v>
      </c>
      <c r="AL7598">
        <v>79.078862496120394</v>
      </c>
      <c r="AM7598">
        <v>89.078029847831701</v>
      </c>
      <c r="AN7598">
        <v>1.0000000349545</v>
      </c>
    </row>
    <row r="7599" spans="1:40" x14ac:dyDescent="0.25">
      <c r="A7599" t="str">
        <f>"20190312172259927"</f>
        <v>20190312172259927</v>
      </c>
      <c r="B7599" t="str">
        <f>"1552382579918088"</f>
        <v>1552382579918088</v>
      </c>
      <c r="C7599" t="s">
        <v>40</v>
      </c>
      <c r="D7599">
        <v>3.1794500000000001</v>
      </c>
      <c r="E7599">
        <v>0.50735779999999997</v>
      </c>
      <c r="F7599" t="s">
        <v>77</v>
      </c>
      <c r="G7599">
        <v>-222.0746</v>
      </c>
      <c r="H7599" s="1">
        <v>-6.7755919999999904E-7</v>
      </c>
      <c r="I7599">
        <v>-63.394480000000001</v>
      </c>
      <c r="J7599">
        <v>-244.892</v>
      </c>
      <c r="K7599">
        <v>1.1080319999999999</v>
      </c>
      <c r="L7599">
        <v>-63.434019999999997</v>
      </c>
      <c r="M7599">
        <v>0.99956769999999995</v>
      </c>
      <c r="N7599">
        <v>0</v>
      </c>
      <c r="O7599">
        <v>2.843093E-2</v>
      </c>
      <c r="P7599">
        <v>0.9831529</v>
      </c>
      <c r="Q7599">
        <v>0.1823216</v>
      </c>
      <c r="R7599">
        <v>1.301482E-2</v>
      </c>
      <c r="S7599">
        <v>3.0787810000000002</v>
      </c>
      <c r="T7599">
        <v>-0.1484975</v>
      </c>
      <c r="U7599">
        <v>5.7983399999999999E-3</v>
      </c>
      <c r="V7599">
        <v>1.561978E-2</v>
      </c>
      <c r="W7599">
        <v>0.18963840000000001</v>
      </c>
      <c r="X7599">
        <v>0.98172969999999904</v>
      </c>
      <c r="Y7599">
        <v>2.6485290000000002E-2</v>
      </c>
      <c r="Z7599">
        <v>-2.0087439999999998E-3</v>
      </c>
      <c r="AA7599">
        <v>0.99964719999999996</v>
      </c>
      <c r="AB7599">
        <v>31</v>
      </c>
      <c r="AC7599">
        <v>22.8173999999999</v>
      </c>
      <c r="AD7599">
        <v>-1.1080326775592</v>
      </c>
      <c r="AE7599">
        <v>3.9539999999995197E-2</v>
      </c>
      <c r="AF7599">
        <v>0.60778084388893305</v>
      </c>
      <c r="AG7599">
        <v>-1.1080326775592</v>
      </c>
      <c r="AH7599">
        <v>22.7556387324376</v>
      </c>
      <c r="AI7599">
        <v>92.786690144297296</v>
      </c>
      <c r="AJ7599">
        <v>88.470049532457594</v>
      </c>
      <c r="AK7599">
        <v>22.790704861630498</v>
      </c>
      <c r="AL7599">
        <v>79.068317075317694</v>
      </c>
      <c r="AM7599">
        <v>89.088474184064495</v>
      </c>
      <c r="AN7599">
        <v>0.99999995207194703</v>
      </c>
    </row>
    <row r="7600" spans="1:40" x14ac:dyDescent="0.25">
      <c r="A7600" t="str">
        <f>"20190312172259937"</f>
        <v>20190312172259937</v>
      </c>
      <c r="B7600" t="str">
        <f>"1552382579927848"</f>
        <v>1552382579927848</v>
      </c>
      <c r="C7600" t="s">
        <v>40</v>
      </c>
      <c r="D7600">
        <v>3.2391809999999999</v>
      </c>
      <c r="E7600">
        <v>0.50734599999999996</v>
      </c>
      <c r="F7600" t="s">
        <v>77</v>
      </c>
      <c r="G7600">
        <v>-221.864</v>
      </c>
      <c r="H7600" s="1">
        <v>-5.9024829999999996E-7</v>
      </c>
      <c r="I7600">
        <v>-63.408230000000003</v>
      </c>
      <c r="J7600">
        <v>-244.744</v>
      </c>
      <c r="K7600">
        <v>1.1079870000000001</v>
      </c>
      <c r="L7600">
        <v>-63.430599999999998</v>
      </c>
      <c r="M7600">
        <v>0.99959290000000001</v>
      </c>
      <c r="N7600">
        <v>0</v>
      </c>
      <c r="O7600">
        <v>2.7517079999999999E-2</v>
      </c>
      <c r="P7600">
        <v>0.98311990000000005</v>
      </c>
      <c r="Q7600">
        <v>0.18253549999999999</v>
      </c>
      <c r="R7600">
        <v>1.2488610000000001E-2</v>
      </c>
      <c r="S7600">
        <v>3.0788730000000002</v>
      </c>
      <c r="T7600">
        <v>-0.1481451</v>
      </c>
      <c r="U7600">
        <v>3.4484860000000002E-3</v>
      </c>
      <c r="V7600">
        <v>1.526977E-2</v>
      </c>
      <c r="W7600">
        <v>0.18988179999999999</v>
      </c>
      <c r="X7600">
        <v>0.98168820000000001</v>
      </c>
      <c r="Y7600">
        <v>2.6335919999999999E-2</v>
      </c>
      <c r="Z7600">
        <v>-1.9564029999999998E-3</v>
      </c>
      <c r="AA7600">
        <v>0.99965130000000002</v>
      </c>
      <c r="AB7600">
        <v>31</v>
      </c>
      <c r="AC7600">
        <v>22.88</v>
      </c>
      <c r="AD7600">
        <v>-1.1079875902483001</v>
      </c>
      <c r="AE7600">
        <v>2.2369999999995099E-2</v>
      </c>
      <c r="AF7600">
        <v>0.60582644640924799</v>
      </c>
      <c r="AG7600">
        <v>-1.1079875902483001</v>
      </c>
      <c r="AH7600">
        <v>22.818440164005398</v>
      </c>
      <c r="AI7600">
        <v>92.778931437756498</v>
      </c>
      <c r="AJ7600">
        <v>88.479162214749906</v>
      </c>
      <c r="AK7600">
        <v>22.853355852075801</v>
      </c>
      <c r="AL7600">
        <v>79.054113657212994</v>
      </c>
      <c r="AM7600">
        <v>89.108858773601</v>
      </c>
      <c r="AN7600">
        <v>0.99999999293316599</v>
      </c>
    </row>
    <row r="7601" spans="1:40" x14ac:dyDescent="0.25">
      <c r="A7601" t="str">
        <f>"20190312172259949"</f>
        <v>20190312172259949</v>
      </c>
      <c r="B7601" t="str">
        <f>"1552382579937607"</f>
        <v>1552382579937607</v>
      </c>
      <c r="C7601" t="s">
        <v>40</v>
      </c>
      <c r="D7601">
        <v>3.1721569999999999</v>
      </c>
      <c r="E7601">
        <v>0.50735719999999995</v>
      </c>
      <c r="F7601" t="s">
        <v>77</v>
      </c>
      <c r="G7601">
        <v>-221.69040000000001</v>
      </c>
      <c r="H7601" s="1">
        <v>-5.1776920000000002E-7</v>
      </c>
      <c r="I7601">
        <v>-63.417119999999997</v>
      </c>
      <c r="J7601">
        <v>-244.5881</v>
      </c>
      <c r="K7601">
        <v>1.107942</v>
      </c>
      <c r="L7601">
        <v>-63.427250000000001</v>
      </c>
      <c r="M7601">
        <v>0.99961979999999995</v>
      </c>
      <c r="N7601">
        <v>0</v>
      </c>
      <c r="O7601">
        <v>2.6513479999999999E-2</v>
      </c>
      <c r="P7601">
        <v>0.98311870000000001</v>
      </c>
      <c r="Q7601">
        <v>0.18259520000000001</v>
      </c>
      <c r="R7601">
        <v>1.1686719999999999E-2</v>
      </c>
      <c r="S7601">
        <v>3.078964</v>
      </c>
      <c r="T7601">
        <v>-0.14797929999999901</v>
      </c>
      <c r="U7601">
        <v>1.8005370000000001E-3</v>
      </c>
      <c r="V7601">
        <v>1.510793E-2</v>
      </c>
      <c r="W7601">
        <v>0.18997310000000001</v>
      </c>
      <c r="X7601">
        <v>0.98167309999999997</v>
      </c>
      <c r="Y7601">
        <v>2.586919E-2</v>
      </c>
      <c r="Z7601">
        <v>-1.8947580000000001E-3</v>
      </c>
      <c r="AA7601">
        <v>0.99966350000000004</v>
      </c>
      <c r="AB7601">
        <v>31</v>
      </c>
      <c r="AC7601">
        <v>22.897699999999901</v>
      </c>
      <c r="AD7601">
        <v>-1.1079425177691999</v>
      </c>
      <c r="AE7601">
        <v>1.01300000000037E-2</v>
      </c>
      <c r="AF7601">
        <v>0.59559421950331703</v>
      </c>
      <c r="AG7601">
        <v>-1.1079425177691999</v>
      </c>
      <c r="AH7601">
        <v>22.836452380302699</v>
      </c>
      <c r="AI7601">
        <v>92.776664403978998</v>
      </c>
      <c r="AJ7601">
        <v>88.506015721724296</v>
      </c>
      <c r="AK7601">
        <v>22.8710696386247</v>
      </c>
      <c r="AL7601">
        <v>79.048786223641201</v>
      </c>
      <c r="AM7601">
        <v>89.118288669917604</v>
      </c>
      <c r="AN7601">
        <v>1.0000000517680501</v>
      </c>
    </row>
    <row r="7602" spans="1:40" x14ac:dyDescent="0.25">
      <c r="A7602" t="str">
        <f>"20190312172259960"</f>
        <v>20190312172259960</v>
      </c>
      <c r="B7602" t="str">
        <f>"1552382579947369"</f>
        <v>1552382579947369</v>
      </c>
      <c r="C7602" t="s">
        <v>40</v>
      </c>
      <c r="D7602">
        <v>3.1464750000000001</v>
      </c>
      <c r="E7602">
        <v>0.50733170000000005</v>
      </c>
      <c r="F7602" t="s">
        <v>77</v>
      </c>
      <c r="G7602">
        <v>-221.53639999999999</v>
      </c>
      <c r="H7602" s="1">
        <v>-4.551648E-7</v>
      </c>
      <c r="I7602">
        <v>-63.432729999999999</v>
      </c>
      <c r="J7602">
        <v>-244.43510000000001</v>
      </c>
      <c r="K7602">
        <v>1.10789</v>
      </c>
      <c r="L7602">
        <v>-63.424039999999998</v>
      </c>
      <c r="M7602">
        <v>0.99964560000000002</v>
      </c>
      <c r="N7602">
        <v>0</v>
      </c>
      <c r="O7602">
        <v>2.5519549999999998E-2</v>
      </c>
      <c r="P7602">
        <v>0.98305960000000003</v>
      </c>
      <c r="Q7602">
        <v>0.1829508</v>
      </c>
      <c r="R7602">
        <v>1.109867E-2</v>
      </c>
      <c r="S7602">
        <v>3.0790250000000001</v>
      </c>
      <c r="T7602">
        <v>-0.1479885</v>
      </c>
      <c r="U7602">
        <v>-7.3242190000000001E-4</v>
      </c>
      <c r="V7602">
        <v>1.4740970000000001E-2</v>
      </c>
      <c r="W7602">
        <v>0.1903598</v>
      </c>
      <c r="X7602">
        <v>0.98160369999999997</v>
      </c>
      <c r="Y7602">
        <v>2.569896E-2</v>
      </c>
      <c r="Z7602">
        <v>-1.8430199999999999E-3</v>
      </c>
      <c r="AA7602">
        <v>0.999668</v>
      </c>
      <c r="AB7602">
        <v>31</v>
      </c>
      <c r="AC7602">
        <v>22.898700000000002</v>
      </c>
      <c r="AD7602">
        <v>-1.1078904551647999</v>
      </c>
      <c r="AE7602">
        <v>-8.6900000000014101E-3</v>
      </c>
      <c r="AF7602">
        <v>0.59168343229033105</v>
      </c>
      <c r="AG7602">
        <v>-1.1078904551647999</v>
      </c>
      <c r="AH7602">
        <v>22.837561125712799</v>
      </c>
      <c r="AI7602">
        <v>92.776411966559095</v>
      </c>
      <c r="AJ7602">
        <v>88.515893133666395</v>
      </c>
      <c r="AK7602">
        <v>22.872072680790399</v>
      </c>
      <c r="AL7602">
        <v>79.0262173985994</v>
      </c>
      <c r="AM7602">
        <v>89.139640686719105</v>
      </c>
      <c r="AN7602">
        <v>0.99999998675313495</v>
      </c>
    </row>
    <row r="7603" spans="1:40" x14ac:dyDescent="0.25">
      <c r="A7603" t="str">
        <f>"20190312172259971"</f>
        <v>20190312172259971</v>
      </c>
      <c r="B7603" t="str">
        <f>"1552382579967863"</f>
        <v>1552382579967863</v>
      </c>
      <c r="C7603" t="s">
        <v>40</v>
      </c>
      <c r="D7603">
        <v>3.152542</v>
      </c>
      <c r="E7603">
        <v>0.50734409999999996</v>
      </c>
      <c r="F7603" t="s">
        <v>77</v>
      </c>
      <c r="G7603">
        <v>-221.21279999999999</v>
      </c>
      <c r="H7603" s="1">
        <v>-3.1784759999999998E-7</v>
      </c>
      <c r="I7603">
        <v>-63.439459999999997</v>
      </c>
      <c r="J7603">
        <v>-244.27510000000001</v>
      </c>
      <c r="K7603">
        <v>1.1078460000000001</v>
      </c>
      <c r="L7603">
        <v>-63.420990000000003</v>
      </c>
      <c r="M7603">
        <v>0.99967240000000002</v>
      </c>
      <c r="N7603">
        <v>0</v>
      </c>
      <c r="O7603">
        <v>2.4433819999999998E-2</v>
      </c>
      <c r="P7603">
        <v>0.98303589999999996</v>
      </c>
      <c r="Q7603">
        <v>0.1831217</v>
      </c>
      <c r="R7603">
        <v>1.035138E-2</v>
      </c>
      <c r="S7603">
        <v>3.0790709999999999</v>
      </c>
      <c r="T7603">
        <v>-0.14689669999999999</v>
      </c>
      <c r="U7603">
        <v>-2.0446779999999999E-3</v>
      </c>
      <c r="V7603">
        <v>1.4443279999999999E-2</v>
      </c>
      <c r="W7603">
        <v>0.19056290000000001</v>
      </c>
      <c r="X7603">
        <v>0.98156869999999996</v>
      </c>
      <c r="Y7603">
        <v>2.5042109999999999E-2</v>
      </c>
      <c r="Z7603">
        <v>-1.7619949999999999E-3</v>
      </c>
      <c r="AA7603">
        <v>0.99968489999999999</v>
      </c>
      <c r="AB7603">
        <v>31</v>
      </c>
      <c r="AC7603">
        <v>23.0623</v>
      </c>
      <c r="AD7603">
        <v>-1.1078463178475999</v>
      </c>
      <c r="AE7603">
        <v>-1.8469999999993499E-2</v>
      </c>
      <c r="AF7603">
        <v>0.58064107178941105</v>
      </c>
      <c r="AG7603">
        <v>-1.1078463178475999</v>
      </c>
      <c r="AH7603">
        <v>23.001884743657101</v>
      </c>
      <c r="AI7603">
        <v>92.756545344909895</v>
      </c>
      <c r="AJ7603">
        <v>88.5539785324722</v>
      </c>
      <c r="AK7603">
        <v>23.0358670181676</v>
      </c>
      <c r="AL7603">
        <v>79.014363452651395</v>
      </c>
      <c r="AM7603">
        <v>89.156982828707299</v>
      </c>
      <c r="AN7603">
        <v>0.99999997000662799</v>
      </c>
    </row>
    <row r="7604" spans="1:40" x14ac:dyDescent="0.25">
      <c r="A7604" t="str">
        <f>"20190312172259983"</f>
        <v>20190312172259983</v>
      </c>
      <c r="B7604" t="str">
        <f>"1552382579977624"</f>
        <v>1552382579977624</v>
      </c>
      <c r="C7604" t="s">
        <v>40</v>
      </c>
      <c r="D7604">
        <v>3.2399279999999999</v>
      </c>
      <c r="E7604">
        <v>0.5073607</v>
      </c>
      <c r="F7604" t="s">
        <v>77</v>
      </c>
      <c r="G7604">
        <v>-221.0401</v>
      </c>
      <c r="H7604" s="1">
        <v>-2.4695420000000001E-7</v>
      </c>
      <c r="I7604">
        <v>-63.453919999999997</v>
      </c>
      <c r="J7604">
        <v>-244.11080000000001</v>
      </c>
      <c r="K7604">
        <v>1.1077999999999999</v>
      </c>
      <c r="L7604">
        <v>-63.417969999999997</v>
      </c>
      <c r="M7604">
        <v>0.99969920000000001</v>
      </c>
      <c r="N7604">
        <v>0</v>
      </c>
      <c r="O7604">
        <v>2.3306629999999998E-2</v>
      </c>
      <c r="P7604">
        <v>0.98297520000000005</v>
      </c>
      <c r="Q7604">
        <v>0.1834855</v>
      </c>
      <c r="R7604">
        <v>9.6611249999999996E-3</v>
      </c>
      <c r="S7604">
        <v>3.0791780000000002</v>
      </c>
      <c r="T7604">
        <v>-0.14681520000000001</v>
      </c>
      <c r="U7604">
        <v>-4.3640140000000003E-3</v>
      </c>
      <c r="V7604">
        <v>1.404817E-2</v>
      </c>
      <c r="W7604">
        <v>0.1909594</v>
      </c>
      <c r="X7604">
        <v>0.98149739999999996</v>
      </c>
      <c r="Y7604">
        <v>2.466966E-2</v>
      </c>
      <c r="Z7604">
        <v>-1.69838E-3</v>
      </c>
      <c r="AA7604">
        <v>0.99969419999999998</v>
      </c>
      <c r="AB7604">
        <v>31</v>
      </c>
      <c r="AC7604">
        <v>23.070699999999999</v>
      </c>
      <c r="AD7604">
        <v>-1.1078002469542001</v>
      </c>
      <c r="AE7604">
        <v>-3.5949999999999697E-2</v>
      </c>
      <c r="AF7604">
        <v>0.57233655147596196</v>
      </c>
      <c r="AG7604">
        <v>-1.1078002469542001</v>
      </c>
      <c r="AH7604">
        <v>23.0105397966454</v>
      </c>
      <c r="AI7604">
        <v>92.755421216478794</v>
      </c>
      <c r="AJ7604">
        <v>88.575187316840797</v>
      </c>
      <c r="AK7604">
        <v>23.0442993438357</v>
      </c>
      <c r="AL7604">
        <v>78.991220969825804</v>
      </c>
      <c r="AM7604">
        <v>89.179981635070106</v>
      </c>
      <c r="AN7604">
        <v>0.99999999486773405</v>
      </c>
    </row>
    <row r="7605" spans="1:40" x14ac:dyDescent="0.25">
      <c r="A7605" t="str">
        <f>"20190312172259994"</f>
        <v>20190312172259994</v>
      </c>
      <c r="B7605" t="str">
        <f>"1552382579987384"</f>
        <v>1552382579987384</v>
      </c>
      <c r="C7605" t="s">
        <v>40</v>
      </c>
      <c r="D7605">
        <v>3.1959499999999998</v>
      </c>
      <c r="E7605">
        <v>0.50735370000000002</v>
      </c>
      <c r="F7605" t="s">
        <v>77</v>
      </c>
      <c r="G7605">
        <v>-220.67679999999999</v>
      </c>
      <c r="H7605" s="1">
        <v>-9.4623150000000001E-8</v>
      </c>
      <c r="I7605">
        <v>-63.469760000000001</v>
      </c>
      <c r="J7605">
        <v>-243.94380000000001</v>
      </c>
      <c r="K7605">
        <v>1.1077600000000001</v>
      </c>
      <c r="L7605">
        <v>-63.41516</v>
      </c>
      <c r="M7605">
        <v>0.99972550000000004</v>
      </c>
      <c r="N7605">
        <v>0</v>
      </c>
      <c r="O7605">
        <v>2.2128970000000001E-2</v>
      </c>
      <c r="P7605">
        <v>0.98291870000000003</v>
      </c>
      <c r="Q7605">
        <v>0.18381430000000001</v>
      </c>
      <c r="R7605">
        <v>9.1277700000000003E-3</v>
      </c>
      <c r="S7605">
        <v>3.0792079999999999</v>
      </c>
      <c r="T7605">
        <v>-0.1455641</v>
      </c>
      <c r="U7605">
        <v>-6.8054200000000004E-3</v>
      </c>
      <c r="V7605">
        <v>1.3446369999999999E-2</v>
      </c>
      <c r="W7605">
        <v>0.19132209999999999</v>
      </c>
      <c r="X7605">
        <v>0.98143519999999895</v>
      </c>
      <c r="Y7605">
        <v>2.4287309999999999E-2</v>
      </c>
      <c r="Z7605">
        <v>-1.6192450000000001E-3</v>
      </c>
      <c r="AA7605">
        <v>0.99970369999999997</v>
      </c>
      <c r="AB7605">
        <v>31</v>
      </c>
      <c r="AC7605">
        <v>23.266999999999999</v>
      </c>
      <c r="AD7605">
        <v>-1.1077600946231401</v>
      </c>
      <c r="AE7605">
        <v>-5.4600000000000599E-2</v>
      </c>
      <c r="AF7605">
        <v>0.56818866812527502</v>
      </c>
      <c r="AG7605">
        <v>-1.1077600946231401</v>
      </c>
      <c r="AH7605">
        <v>23.2074877289478</v>
      </c>
      <c r="AI7605">
        <v>92.732000552134593</v>
      </c>
      <c r="AJ7605">
        <v>88.597508238034607</v>
      </c>
      <c r="AK7605">
        <v>23.240857503093299</v>
      </c>
      <c r="AL7605">
        <v>78.970049515182893</v>
      </c>
      <c r="AM7605">
        <v>89.215055613385005</v>
      </c>
      <c r="AN7605">
        <v>1.00000000130681</v>
      </c>
    </row>
    <row r="7606" spans="1:40" x14ac:dyDescent="0.25">
      <c r="A7606" t="str">
        <f>"20190312172300005"</f>
        <v>20190312172300005</v>
      </c>
      <c r="B7606" t="str">
        <f>"1552382579998120"</f>
        <v>1552382579998120</v>
      </c>
      <c r="C7606" t="s">
        <v>40</v>
      </c>
      <c r="D7606">
        <v>3.1782859999999999</v>
      </c>
      <c r="E7606">
        <v>0.50731899999999996</v>
      </c>
      <c r="F7606" t="s">
        <v>77</v>
      </c>
      <c r="G7606">
        <v>-220.3707</v>
      </c>
      <c r="H7606" s="1">
        <v>3.4386290000000001E-8</v>
      </c>
      <c r="I7606">
        <v>-63.480110000000003</v>
      </c>
      <c r="J7606">
        <v>-243.78559999999999</v>
      </c>
      <c r="K7606">
        <v>1.107723</v>
      </c>
      <c r="L7606">
        <v>-63.412689999999998</v>
      </c>
      <c r="M7606">
        <v>0.99974980000000002</v>
      </c>
      <c r="N7606">
        <v>0</v>
      </c>
      <c r="O7606">
        <v>2.0995550000000002E-2</v>
      </c>
      <c r="P7606">
        <v>0.98291539999999999</v>
      </c>
      <c r="Q7606">
        <v>0.18385770000000001</v>
      </c>
      <c r="R7606">
        <v>8.6016140000000005E-3</v>
      </c>
      <c r="S7606">
        <v>3.0792540000000002</v>
      </c>
      <c r="T7606">
        <v>-0.14470189999999999</v>
      </c>
      <c r="U7606">
        <v>-8.4838869999999903E-3</v>
      </c>
      <c r="V7606">
        <v>1.2878250000000001E-2</v>
      </c>
      <c r="W7606">
        <v>0.1913984</v>
      </c>
      <c r="X7606">
        <v>0.98142790000000002</v>
      </c>
      <c r="Y7606">
        <v>2.370133E-2</v>
      </c>
      <c r="Z7606">
        <v>-1.5426540000000001E-3</v>
      </c>
      <c r="AA7606">
        <v>0.99971790000000005</v>
      </c>
      <c r="AB7606">
        <v>31</v>
      </c>
      <c r="AC7606">
        <v>23.4148999999999</v>
      </c>
      <c r="AD7606">
        <v>-1.10772296561371</v>
      </c>
      <c r="AE7606">
        <v>-6.7419999999991306E-2</v>
      </c>
      <c r="AF7606">
        <v>0.55778012112667696</v>
      </c>
      <c r="AG7606">
        <v>-1.10772296561371</v>
      </c>
      <c r="AH7606">
        <v>23.3560502360776</v>
      </c>
      <c r="AI7606">
        <v>92.714597541553601</v>
      </c>
      <c r="AJ7606">
        <v>88.631944487310705</v>
      </c>
      <c r="AK7606">
        <v>23.3889557582688</v>
      </c>
      <c r="AL7606">
        <v>78.965595074169997</v>
      </c>
      <c r="AM7606">
        <v>89.248210666599604</v>
      </c>
      <c r="AN7606">
        <v>0.99999995987201495</v>
      </c>
    </row>
    <row r="7607" spans="1:40" x14ac:dyDescent="0.25">
      <c r="A7607" t="str">
        <f>"20190312172300015"</f>
        <v>20190312172300015</v>
      </c>
      <c r="B7607" t="str">
        <f>"1552382580007880"</f>
        <v>1552382580007880</v>
      </c>
      <c r="C7607" t="s">
        <v>40</v>
      </c>
      <c r="D7607">
        <v>3.1727409999999998</v>
      </c>
      <c r="E7607">
        <v>0.50728079999999998</v>
      </c>
      <c r="F7607" t="s">
        <v>77</v>
      </c>
      <c r="G7607">
        <v>-220.19479999999999</v>
      </c>
      <c r="H7607" s="1">
        <v>1.078237E-7</v>
      </c>
      <c r="I7607">
        <v>-63.489139999999999</v>
      </c>
      <c r="J7607">
        <v>-243.63499999999999</v>
      </c>
      <c r="K7607">
        <v>1.1076870000000001</v>
      </c>
      <c r="L7607">
        <v>-63.410490000000003</v>
      </c>
      <c r="M7607">
        <v>0.99977179999999999</v>
      </c>
      <c r="N7607">
        <v>0</v>
      </c>
      <c r="O7607">
        <v>1.9900399999999999E-2</v>
      </c>
      <c r="P7607">
        <v>0.98287159999999996</v>
      </c>
      <c r="Q7607">
        <v>0.18411089999999999</v>
      </c>
      <c r="R7607">
        <v>8.1355560000000004E-3</v>
      </c>
      <c r="S7607">
        <v>3.0792999999999999</v>
      </c>
      <c r="T7607">
        <v>-0.14459060000000001</v>
      </c>
      <c r="U7607">
        <v>-9.9792479999999996E-3</v>
      </c>
      <c r="V7607">
        <v>1.2286389999999999E-2</v>
      </c>
      <c r="W7607">
        <v>0.19168250000000001</v>
      </c>
      <c r="X7607">
        <v>0.98138009999999998</v>
      </c>
      <c r="Y7607">
        <v>2.3093619999999999E-2</v>
      </c>
      <c r="Z7607">
        <v>-1.475798E-3</v>
      </c>
      <c r="AA7607">
        <v>0.99973219999999996</v>
      </c>
      <c r="AB7607">
        <v>32</v>
      </c>
      <c r="AC7607">
        <v>23.440200000000001</v>
      </c>
      <c r="AD7607">
        <v>-1.1076868921762999</v>
      </c>
      <c r="AE7607">
        <v>-7.8649999999996098E-2</v>
      </c>
      <c r="AF7607">
        <v>0.54390326394504596</v>
      </c>
      <c r="AG7607">
        <v>-1.1076868921762999</v>
      </c>
      <c r="AH7607">
        <v>23.381778931558799</v>
      </c>
      <c r="AI7607">
        <v>92.711566289408594</v>
      </c>
      <c r="AJ7607">
        <v>88.667434910199901</v>
      </c>
      <c r="AK7607">
        <v>23.414320127134101</v>
      </c>
      <c r="AL7607">
        <v>78.949010925460797</v>
      </c>
      <c r="AM7607">
        <v>89.282722854353395</v>
      </c>
      <c r="AN7607">
        <v>1.00000001843074</v>
      </c>
    </row>
    <row r="7608" spans="1:40" x14ac:dyDescent="0.25">
      <c r="A7608" t="str">
        <f>"20190312172300028"</f>
        <v>20190312172300028</v>
      </c>
      <c r="B7608" t="str">
        <f>"1552382580017640"</f>
        <v>1552382580017640</v>
      </c>
      <c r="C7608" t="s">
        <v>40</v>
      </c>
      <c r="D7608">
        <v>3.1583230000000002</v>
      </c>
      <c r="E7608">
        <v>0.50723320000000005</v>
      </c>
      <c r="F7608" t="s">
        <v>78</v>
      </c>
      <c r="G7608">
        <v>-219.93190000000001</v>
      </c>
      <c r="H7608" s="1">
        <v>-3.7918030000000001E-6</v>
      </c>
      <c r="I7608">
        <v>-63.496870000000001</v>
      </c>
      <c r="J7608">
        <v>-243.47640000000001</v>
      </c>
      <c r="K7608">
        <v>1.1076490000000001</v>
      </c>
      <c r="L7608">
        <v>-63.4084199999999</v>
      </c>
      <c r="M7608">
        <v>0.99979439999999997</v>
      </c>
      <c r="N7608">
        <v>0</v>
      </c>
      <c r="O7608">
        <v>1.8727830000000001E-2</v>
      </c>
      <c r="P7608">
        <v>0.98285650000000002</v>
      </c>
      <c r="Q7608">
        <v>0.18422079999999999</v>
      </c>
      <c r="R7608">
        <v>7.4974200000000003E-3</v>
      </c>
      <c r="S7608">
        <v>3.079361</v>
      </c>
      <c r="T7608">
        <v>-0.14390459999999999</v>
      </c>
      <c r="U7608">
        <v>-1.1230469999999999E-2</v>
      </c>
      <c r="V7608">
        <v>1.1789320000000001E-2</v>
      </c>
      <c r="W7608">
        <v>0.19182479999999999</v>
      </c>
      <c r="X7608">
        <v>0.98135830000000002</v>
      </c>
      <c r="Y7608">
        <v>2.2329809999999999E-2</v>
      </c>
      <c r="Z7608">
        <v>-1.3961760000000001E-3</v>
      </c>
      <c r="AA7608">
        <v>0.99974969999999996</v>
      </c>
      <c r="AB7608">
        <v>32</v>
      </c>
      <c r="AC7608">
        <v>23.544499999999999</v>
      </c>
      <c r="AD7608">
        <v>-1.1076527918029999</v>
      </c>
      <c r="AE7608">
        <v>-8.8450000000001694E-2</v>
      </c>
      <c r="AF7608">
        <v>0.528216150522687</v>
      </c>
      <c r="AG7608">
        <v>-1.1076527918029999</v>
      </c>
      <c r="AH7608">
        <v>23.486732937625799</v>
      </c>
      <c r="AI7608">
        <v>92.699431797893993</v>
      </c>
      <c r="AJ7608">
        <v>88.711636261718098</v>
      </c>
      <c r="AK7608">
        <v>23.518769761452699</v>
      </c>
      <c r="AL7608">
        <v>78.940702558825905</v>
      </c>
      <c r="AM7608">
        <v>89.311723569822504</v>
      </c>
      <c r="AN7608">
        <v>0.999999927469993</v>
      </c>
    </row>
    <row r="7609" spans="1:40" x14ac:dyDescent="0.25">
      <c r="A7609" t="str">
        <f>"20190312172300039"</f>
        <v>20190312172300039</v>
      </c>
      <c r="B7609" t="str">
        <f>"1552382580028376"</f>
        <v>1552382580028376</v>
      </c>
      <c r="C7609" t="s">
        <v>40</v>
      </c>
      <c r="D7609">
        <v>3.16323</v>
      </c>
      <c r="E7609">
        <v>0.50723030000000002</v>
      </c>
      <c r="F7609" t="s">
        <v>78</v>
      </c>
      <c r="G7609">
        <v>-219.7397</v>
      </c>
      <c r="H7609" s="1">
        <v>-3.7281630000000002E-6</v>
      </c>
      <c r="I7609">
        <v>-63.506920000000001</v>
      </c>
      <c r="J7609">
        <v>-243.31479999999999</v>
      </c>
      <c r="K7609">
        <v>1.1076159999999999</v>
      </c>
      <c r="L7609">
        <v>-63.40643</v>
      </c>
      <c r="M7609">
        <v>0.99981589999999998</v>
      </c>
      <c r="N7609">
        <v>0</v>
      </c>
      <c r="O7609">
        <v>1.7523190000000001E-2</v>
      </c>
      <c r="P7609">
        <v>0.98280710000000004</v>
      </c>
      <c r="Q7609">
        <v>0.1845088</v>
      </c>
      <c r="R7609">
        <v>6.8640489999999997E-3</v>
      </c>
      <c r="S7609">
        <v>3.0793759999999999</v>
      </c>
      <c r="T7609">
        <v>-0.1436962</v>
      </c>
      <c r="U7609">
        <v>-1.2786870000000001E-2</v>
      </c>
      <c r="V7609">
        <v>1.125609E-2</v>
      </c>
      <c r="W7609">
        <v>0.19214629999999999</v>
      </c>
      <c r="X7609">
        <v>0.98130170000000005</v>
      </c>
      <c r="Y7609">
        <v>2.1632709999999999E-2</v>
      </c>
      <c r="Z7609">
        <v>-1.3217140000000001E-3</v>
      </c>
      <c r="AA7609">
        <v>0.99976509999999996</v>
      </c>
      <c r="AB7609">
        <v>32</v>
      </c>
      <c r="AC7609">
        <v>23.5750999999999</v>
      </c>
      <c r="AD7609">
        <v>-1.107619728163</v>
      </c>
      <c r="AE7609">
        <v>-0.10048999999998599</v>
      </c>
      <c r="AF7609">
        <v>0.51246696660918101</v>
      </c>
      <c r="AG7609">
        <v>-1.107619728163</v>
      </c>
      <c r="AH7609">
        <v>23.517807573685801</v>
      </c>
      <c r="AI7609">
        <v>92.695831548323</v>
      </c>
      <c r="AJ7609">
        <v>88.751688557337005</v>
      </c>
      <c r="AK7609">
        <v>23.549452582321202</v>
      </c>
      <c r="AL7609">
        <v>78.921933206504903</v>
      </c>
      <c r="AM7609">
        <v>89.342813562972296</v>
      </c>
      <c r="AN7609">
        <v>0.99999996329433305</v>
      </c>
    </row>
    <row r="7610" spans="1:40" x14ac:dyDescent="0.25">
      <c r="A7610" t="str">
        <f>"20190312172300050"</f>
        <v>20190312172300050</v>
      </c>
      <c r="B7610" t="str">
        <f>"1552382580038137"</f>
        <v>1552382580038137</v>
      </c>
      <c r="C7610" t="s">
        <v>40</v>
      </c>
      <c r="D7610">
        <v>3.1697190000000002</v>
      </c>
      <c r="E7610">
        <v>0.50720319999999997</v>
      </c>
      <c r="F7610" t="s">
        <v>78</v>
      </c>
      <c r="G7610">
        <v>-219.5033</v>
      </c>
      <c r="H7610" s="1">
        <v>-3.6499669999999999E-6</v>
      </c>
      <c r="I7610">
        <v>-63.519629999999999</v>
      </c>
      <c r="J7610">
        <v>-243.15899999999999</v>
      </c>
      <c r="K7610">
        <v>1.1075900000000001</v>
      </c>
      <c r="L7610">
        <v>-63.404850000000003</v>
      </c>
      <c r="M7610">
        <v>0.99983569999999999</v>
      </c>
      <c r="N7610">
        <v>0</v>
      </c>
      <c r="O7610">
        <v>1.63401E-2</v>
      </c>
      <c r="P7610">
        <v>0.98277409999999998</v>
      </c>
      <c r="Q7610">
        <v>0.18470510000000001</v>
      </c>
      <c r="R7610">
        <v>6.2710450000000003E-3</v>
      </c>
      <c r="S7610">
        <v>3.0794679999999999</v>
      </c>
      <c r="T7610">
        <v>-0.14324489999999901</v>
      </c>
      <c r="U7610">
        <v>-1.464844E-2</v>
      </c>
      <c r="V7610">
        <v>1.0701240000000001E-2</v>
      </c>
      <c r="W7610">
        <v>0.1923742</v>
      </c>
      <c r="X7610">
        <v>0.98126329999999995</v>
      </c>
      <c r="Y7610">
        <v>2.1056100000000001E-2</v>
      </c>
      <c r="Z7610">
        <v>-1.249125E-3</v>
      </c>
      <c r="AA7610">
        <v>0.99977749999999999</v>
      </c>
      <c r="AB7610">
        <v>32</v>
      </c>
      <c r="AC7610">
        <v>23.6557</v>
      </c>
      <c r="AD7610">
        <v>-1.107593649967</v>
      </c>
      <c r="AE7610">
        <v>-0.114780000000003</v>
      </c>
      <c r="AF7610">
        <v>0.50021650754123004</v>
      </c>
      <c r="AG7610">
        <v>-1.107593649967</v>
      </c>
      <c r="AH7610">
        <v>23.598932547754298</v>
      </c>
      <c r="AI7610">
        <v>92.686548885650495</v>
      </c>
      <c r="AJ7610">
        <v>88.785707636682105</v>
      </c>
      <c r="AK7610">
        <v>23.6302051967672</v>
      </c>
      <c r="AL7610">
        <v>78.908627748695494</v>
      </c>
      <c r="AM7610">
        <v>89.375181378715695</v>
      </c>
      <c r="AN7610">
        <v>1.0000000066450301</v>
      </c>
    </row>
    <row r="7611" spans="1:40" x14ac:dyDescent="0.25">
      <c r="A7611" t="str">
        <f>"20190312172300061"</f>
        <v>20190312172300061</v>
      </c>
      <c r="B7611" t="str">
        <f>"1552382580057656"</f>
        <v>1552382580057656</v>
      </c>
      <c r="C7611" t="s">
        <v>40</v>
      </c>
      <c r="D7611">
        <v>3.1855329999999999</v>
      </c>
      <c r="E7611">
        <v>0.50716890000000003</v>
      </c>
      <c r="F7611" t="s">
        <v>78</v>
      </c>
      <c r="G7611">
        <v>-219.26169999999999</v>
      </c>
      <c r="H7611" s="1">
        <v>-3.5697939999999999E-6</v>
      </c>
      <c r="I7611">
        <v>-63.531010000000002</v>
      </c>
      <c r="J7611">
        <v>-242.99709999999999</v>
      </c>
      <c r="K7611">
        <v>1.107567</v>
      </c>
      <c r="L7611">
        <v>-63.403230000000001</v>
      </c>
      <c r="M7611">
        <v>0.99985469999999999</v>
      </c>
      <c r="N7611">
        <v>0</v>
      </c>
      <c r="O7611">
        <v>1.510562E-2</v>
      </c>
      <c r="P7611">
        <v>0.98274919999999999</v>
      </c>
      <c r="Q7611">
        <v>0.18485740000000001</v>
      </c>
      <c r="R7611">
        <v>5.6377320000000003E-3</v>
      </c>
      <c r="S7611">
        <v>3.079529</v>
      </c>
      <c r="T7611">
        <v>-0.1427302</v>
      </c>
      <c r="U7611">
        <v>-1.6265870000000002E-2</v>
      </c>
      <c r="V7611">
        <v>1.013614E-2</v>
      </c>
      <c r="W7611">
        <v>0.19255990000000001</v>
      </c>
      <c r="X7611">
        <v>0.98123289999999996</v>
      </c>
      <c r="Y7611">
        <v>2.0349079999999999E-2</v>
      </c>
      <c r="Z7611">
        <v>-1.1710589999999999E-3</v>
      </c>
      <c r="AA7611">
        <v>0.99979229999999997</v>
      </c>
      <c r="AB7611">
        <v>32</v>
      </c>
      <c r="AC7611">
        <v>23.735399999999998</v>
      </c>
      <c r="AD7611">
        <v>-1.1075705697939999</v>
      </c>
      <c r="AE7611">
        <v>-0.12777999999998699</v>
      </c>
      <c r="AF7611">
        <v>0.485257941589746</v>
      </c>
      <c r="AG7611">
        <v>-1.1075705697939999</v>
      </c>
      <c r="AH7611">
        <v>23.679202486474001</v>
      </c>
      <c r="AI7611">
        <v>92.677438530497795</v>
      </c>
      <c r="AJ7611">
        <v>88.826001808386195</v>
      </c>
      <c r="AK7611">
        <v>23.710057322418798</v>
      </c>
      <c r="AL7611">
        <v>78.897785469372394</v>
      </c>
      <c r="AM7611">
        <v>89.408155406826694</v>
      </c>
      <c r="AN7611">
        <v>1.00000003023225</v>
      </c>
    </row>
    <row r="7612" spans="1:40" x14ac:dyDescent="0.25">
      <c r="A7612" t="str">
        <f>"20190312172300073"</f>
        <v>20190312172300073</v>
      </c>
      <c r="B7612" t="str">
        <f>"1552382580067416"</f>
        <v>1552382580067416</v>
      </c>
      <c r="C7612" t="s">
        <v>40</v>
      </c>
      <c r="D7612">
        <v>3.1863790000000001</v>
      </c>
      <c r="E7612">
        <v>0.50716329999999998</v>
      </c>
      <c r="F7612" t="s">
        <v>78</v>
      </c>
      <c r="G7612">
        <v>-219.09710000000001</v>
      </c>
      <c r="H7612" s="1">
        <v>-3.5155690000000001E-6</v>
      </c>
      <c r="I7612">
        <v>-63.541240000000002</v>
      </c>
      <c r="J7612">
        <v>-242.83109999999999</v>
      </c>
      <c r="K7612">
        <v>1.1075429999999999</v>
      </c>
      <c r="L7612">
        <v>-63.401980000000002</v>
      </c>
      <c r="M7612">
        <v>0.99987320000000002</v>
      </c>
      <c r="N7612">
        <v>0</v>
      </c>
      <c r="O7612">
        <v>1.382219E-2</v>
      </c>
      <c r="P7612">
        <v>0.982765</v>
      </c>
      <c r="Q7612">
        <v>0.18478729999999999</v>
      </c>
      <c r="R7612">
        <v>5.1866270000000001E-3</v>
      </c>
      <c r="S7612">
        <v>3.0796199999999998</v>
      </c>
      <c r="T7612">
        <v>-0.14271519999999999</v>
      </c>
      <c r="U7612">
        <v>-1.7791749999999999E-2</v>
      </c>
      <c r="V7612">
        <v>9.3387169999999999E-3</v>
      </c>
      <c r="W7612">
        <v>0.1925239</v>
      </c>
      <c r="X7612">
        <v>0.9812478</v>
      </c>
      <c r="Y7612">
        <v>1.9563170000000001E-2</v>
      </c>
      <c r="Z7612">
        <v>-1.093257E-3</v>
      </c>
      <c r="AA7612">
        <v>0.99980800000000003</v>
      </c>
      <c r="AB7612">
        <v>32</v>
      </c>
      <c r="AC7612">
        <v>23.733999999999899</v>
      </c>
      <c r="AD7612">
        <v>-1.1075465155690001</v>
      </c>
      <c r="AE7612">
        <v>-0.13925999999999999</v>
      </c>
      <c r="AF7612">
        <v>0.46629742669336099</v>
      </c>
      <c r="AG7612">
        <v>-1.1075465155690001</v>
      </c>
      <c r="AH7612">
        <v>23.6782471395918</v>
      </c>
      <c r="AI7612">
        <v>92.677531289322403</v>
      </c>
      <c r="AJ7612">
        <v>88.871815914421106</v>
      </c>
      <c r="AK7612">
        <v>23.708721605727199</v>
      </c>
      <c r="AL7612">
        <v>78.899886595074705</v>
      </c>
      <c r="AM7612">
        <v>89.454721920299207</v>
      </c>
      <c r="AN7612">
        <v>0.99999995435562705</v>
      </c>
    </row>
    <row r="7613" spans="1:40" x14ac:dyDescent="0.25">
      <c r="A7613" t="str">
        <f>"20190312172300084"</f>
        <v>20190312172300084</v>
      </c>
      <c r="B7613" t="str">
        <f>"1552382580078152"</f>
        <v>1552382580078152</v>
      </c>
      <c r="C7613" t="s">
        <v>40</v>
      </c>
      <c r="D7613">
        <v>3.2602039999999999</v>
      </c>
      <c r="E7613">
        <v>0.50715829999999995</v>
      </c>
      <c r="F7613" t="s">
        <v>78</v>
      </c>
      <c r="G7613">
        <v>-219.02449999999999</v>
      </c>
      <c r="H7613" s="1">
        <v>-3.492813E-6</v>
      </c>
      <c r="I7613">
        <v>-63.552190000000003</v>
      </c>
      <c r="J7613">
        <v>-242.67750000000001</v>
      </c>
      <c r="K7613">
        <v>1.1075219999999999</v>
      </c>
      <c r="L7613">
        <v>-63.400880000000001</v>
      </c>
      <c r="M7613">
        <v>0.99988860000000002</v>
      </c>
      <c r="N7613">
        <v>0</v>
      </c>
      <c r="O7613">
        <v>1.2630799999999999E-2</v>
      </c>
      <c r="P7613">
        <v>0.98272700000000002</v>
      </c>
      <c r="Q7613">
        <v>0.18500230000000001</v>
      </c>
      <c r="R7613">
        <v>4.703306E-3</v>
      </c>
      <c r="S7613">
        <v>3.0796510000000001</v>
      </c>
      <c r="T7613">
        <v>-0.1432735</v>
      </c>
      <c r="U7613">
        <v>-1.9439700000000001E-2</v>
      </c>
      <c r="V7613">
        <v>8.6627149999999997E-3</v>
      </c>
      <c r="W7613">
        <v>0.19277</v>
      </c>
      <c r="X7613">
        <v>0.98120569999999896</v>
      </c>
      <c r="Y7613">
        <v>1.8908520000000002E-2</v>
      </c>
      <c r="Z7613">
        <v>-1.026903E-3</v>
      </c>
      <c r="AA7613">
        <v>0.99982070000000001</v>
      </c>
      <c r="AB7613">
        <v>32</v>
      </c>
      <c r="AC7613">
        <v>23.652999999999999</v>
      </c>
      <c r="AD7613">
        <v>-1.1075254928129901</v>
      </c>
      <c r="AE7613">
        <v>-0.151309999999995</v>
      </c>
      <c r="AF7613">
        <v>0.44907913478573402</v>
      </c>
      <c r="AG7613">
        <v>-1.1075254928129901</v>
      </c>
      <c r="AH7613">
        <v>23.5974670319324</v>
      </c>
      <c r="AI7613">
        <v>92.6866672139531</v>
      </c>
      <c r="AJ7613">
        <v>88.909745971446796</v>
      </c>
      <c r="AK7613">
        <v>23.627711169507499</v>
      </c>
      <c r="AL7613">
        <v>78.885517115538505</v>
      </c>
      <c r="AM7613">
        <v>89.494169149674804</v>
      </c>
      <c r="AN7613">
        <v>0.99999997062182999</v>
      </c>
    </row>
    <row r="7614" spans="1:40" x14ac:dyDescent="0.25">
      <c r="A7614" t="str">
        <f>"20190312172300094"</f>
        <v>20190312172300094</v>
      </c>
      <c r="B7614" t="str">
        <f>"1552382580087913"</f>
        <v>1552382580087913</v>
      </c>
      <c r="C7614" t="s">
        <v>40</v>
      </c>
      <c r="D7614">
        <v>3.1588020000000001</v>
      </c>
      <c r="E7614">
        <v>0.50713799999999998</v>
      </c>
      <c r="F7614" t="s">
        <v>78</v>
      </c>
      <c r="G7614">
        <v>-218.73840000000001</v>
      </c>
      <c r="H7614" s="1">
        <v>-3.3980950000000002E-6</v>
      </c>
      <c r="I7614">
        <v>-63.56711</v>
      </c>
      <c r="J7614">
        <v>-242.51480000000001</v>
      </c>
      <c r="K7614">
        <v>1.1075029999999999</v>
      </c>
      <c r="L7614">
        <v>-63.39996</v>
      </c>
      <c r="M7614">
        <v>0.99990369999999995</v>
      </c>
      <c r="N7614">
        <v>0</v>
      </c>
      <c r="O7614">
        <v>1.1359380000000001E-2</v>
      </c>
      <c r="P7614">
        <v>0.98270729999999995</v>
      </c>
      <c r="Q7614">
        <v>0.18511910000000001</v>
      </c>
      <c r="R7614">
        <v>4.1877490000000002E-3</v>
      </c>
      <c r="S7614">
        <v>3.079666</v>
      </c>
      <c r="T7614">
        <v>-0.1424782</v>
      </c>
      <c r="U7614">
        <v>-2.139282E-2</v>
      </c>
      <c r="V7614">
        <v>7.9395890000000004E-3</v>
      </c>
      <c r="W7614">
        <v>0.1929198</v>
      </c>
      <c r="X7614">
        <v>0.98118240000000001</v>
      </c>
      <c r="Y7614">
        <v>1.8273629999999999E-2</v>
      </c>
      <c r="Z7614">
        <v>-9.4773489999999997E-4</v>
      </c>
      <c r="AA7614">
        <v>0.99983259999999996</v>
      </c>
      <c r="AB7614">
        <v>32</v>
      </c>
      <c r="AC7614">
        <v>23.776399999999899</v>
      </c>
      <c r="AD7614">
        <v>-1.107506398095</v>
      </c>
      <c r="AE7614">
        <v>-0.16714999999999899</v>
      </c>
      <c r="AF7614">
        <v>0.43628639540199599</v>
      </c>
      <c r="AG7614">
        <v>-1.107506398095</v>
      </c>
      <c r="AH7614">
        <v>23.7215010038143</v>
      </c>
      <c r="AI7614">
        <v>92.6726255812072</v>
      </c>
      <c r="AJ7614">
        <v>88.946333493296393</v>
      </c>
      <c r="AK7614">
        <v>23.7513478799541</v>
      </c>
      <c r="AL7614">
        <v>78.876770283400802</v>
      </c>
      <c r="AM7614">
        <v>89.536380786714702</v>
      </c>
      <c r="AN7614">
        <v>0.99999999418764396</v>
      </c>
    </row>
    <row r="7615" spans="1:40" x14ac:dyDescent="0.25">
      <c r="A7615" t="str">
        <f>"20190312172300106"</f>
        <v>20190312172300106</v>
      </c>
      <c r="B7615" t="str">
        <f>"1552382580097672"</f>
        <v>1552382580097672</v>
      </c>
      <c r="C7615" t="s">
        <v>40</v>
      </c>
      <c r="D7615">
        <v>3.1597379999999999</v>
      </c>
      <c r="E7615">
        <v>0.50710770000000005</v>
      </c>
      <c r="F7615" t="s">
        <v>78</v>
      </c>
      <c r="G7615">
        <v>-218.529</v>
      </c>
      <c r="H7615" s="1">
        <v>-3.3291309999999998E-6</v>
      </c>
      <c r="I7615">
        <v>-63.5800699999999</v>
      </c>
      <c r="J7615">
        <v>-242.36330000000001</v>
      </c>
      <c r="K7615">
        <v>1.1074870000000001</v>
      </c>
      <c r="L7615">
        <v>-63.399320000000003</v>
      </c>
      <c r="M7615">
        <v>0.99991620000000003</v>
      </c>
      <c r="N7615">
        <v>0</v>
      </c>
      <c r="O7615">
        <v>1.017201E-2</v>
      </c>
      <c r="P7615">
        <v>0.98264910000000005</v>
      </c>
      <c r="Q7615">
        <v>0.18544070000000001</v>
      </c>
      <c r="R7615">
        <v>3.5634460000000001E-3</v>
      </c>
      <c r="S7615">
        <v>3.0796809999999999</v>
      </c>
      <c r="T7615">
        <v>-0.1421992</v>
      </c>
      <c r="U7615">
        <v>-2.3132320000000001E-2</v>
      </c>
      <c r="V7615">
        <v>7.4065609999999999E-3</v>
      </c>
      <c r="W7615">
        <v>0.19327159999999999</v>
      </c>
      <c r="X7615">
        <v>0.98111740000000003</v>
      </c>
      <c r="Y7615">
        <v>1.765307E-2</v>
      </c>
      <c r="Z7615">
        <v>-8.7676029999999997E-4</v>
      </c>
      <c r="AA7615">
        <v>0.99984379999999995</v>
      </c>
      <c r="AB7615">
        <v>32</v>
      </c>
      <c r="AC7615">
        <v>23.834299999999899</v>
      </c>
      <c r="AD7615">
        <v>-1.1074903291310001</v>
      </c>
      <c r="AE7615">
        <v>-0.180749999999996</v>
      </c>
      <c r="AF7615">
        <v>0.422279463456671</v>
      </c>
      <c r="AG7615">
        <v>-1.1074903291310001</v>
      </c>
      <c r="AH7615">
        <v>23.779887696573098</v>
      </c>
      <c r="AI7615">
        <v>92.666064850398698</v>
      </c>
      <c r="AJ7615">
        <v>88.982657588035593</v>
      </c>
      <c r="AK7615">
        <v>23.809408090836801</v>
      </c>
      <c r="AL7615">
        <v>78.856227750851801</v>
      </c>
      <c r="AM7615">
        <v>89.567476201212202</v>
      </c>
      <c r="AN7615">
        <v>1.0000000605475801</v>
      </c>
    </row>
    <row r="7616" spans="1:40" x14ac:dyDescent="0.25">
      <c r="A7616" t="str">
        <f>"20190312172300116"</f>
        <v>20190312172300116</v>
      </c>
      <c r="B7616" t="str">
        <f>"1552382580107433"</f>
        <v>1552382580107433</v>
      </c>
      <c r="C7616" t="s">
        <v>40</v>
      </c>
      <c r="D7616">
        <v>3.2553700000000001</v>
      </c>
      <c r="E7616">
        <v>0.50708339999999996</v>
      </c>
      <c r="F7616" t="s">
        <v>78</v>
      </c>
      <c r="G7616">
        <v>-218.21520000000001</v>
      </c>
      <c r="H7616" s="1">
        <v>-3.2251790000000001E-6</v>
      </c>
      <c r="I7616">
        <v>-63.595950000000002</v>
      </c>
      <c r="J7616">
        <v>-242.2039</v>
      </c>
      <c r="K7616">
        <v>1.1074740000000001</v>
      </c>
      <c r="L7616">
        <v>-63.398829999999997</v>
      </c>
      <c r="M7616">
        <v>0.99992809999999999</v>
      </c>
      <c r="N7616">
        <v>0</v>
      </c>
      <c r="O7616">
        <v>8.9174089999999994E-3</v>
      </c>
      <c r="P7616">
        <v>0.98257050000000001</v>
      </c>
      <c r="Q7616">
        <v>0.18586749999999999</v>
      </c>
      <c r="R7616">
        <v>2.98205E-3</v>
      </c>
      <c r="S7616">
        <v>3.0797270000000001</v>
      </c>
      <c r="T7616">
        <v>-0.14124349999999999</v>
      </c>
      <c r="U7616">
        <v>-2.5085449999999999E-2</v>
      </c>
      <c r="V7616">
        <v>6.7647119999999896E-3</v>
      </c>
      <c r="W7616">
        <v>0.1937305</v>
      </c>
      <c r="X7616">
        <v>0.98103149999999995</v>
      </c>
      <c r="Y7616">
        <v>1.7034879999999999E-2</v>
      </c>
      <c r="Z7616">
        <v>-7.9918269999999997E-4</v>
      </c>
      <c r="AA7616">
        <v>0.99985460000000004</v>
      </c>
      <c r="AB7616">
        <v>32</v>
      </c>
      <c r="AC7616">
        <v>23.988699999999898</v>
      </c>
      <c r="AD7616">
        <v>-1.1074772251789999</v>
      </c>
      <c r="AE7616">
        <v>-0.19711999999999799</v>
      </c>
      <c r="AF7616">
        <v>0.410161943693584</v>
      </c>
      <c r="AG7616">
        <v>-1.1074772251789999</v>
      </c>
      <c r="AH7616">
        <v>23.934977734830699</v>
      </c>
      <c r="AI7616">
        <v>92.648811762139005</v>
      </c>
      <c r="AJ7616">
        <v>89.018246494046593</v>
      </c>
      <c r="AK7616">
        <v>23.964096014479399</v>
      </c>
      <c r="AL7616">
        <v>78.829427931497506</v>
      </c>
      <c r="AM7616">
        <v>89.604922671335402</v>
      </c>
      <c r="AN7616">
        <v>1.0000000359754699</v>
      </c>
    </row>
    <row r="7617" spans="1:40" x14ac:dyDescent="0.25">
      <c r="A7617" t="str">
        <f>"20190312172300127"</f>
        <v>20190312172300127</v>
      </c>
      <c r="B7617" t="str">
        <f>"1552382580118169"</f>
        <v>1552382580118169</v>
      </c>
      <c r="C7617" t="s">
        <v>40</v>
      </c>
      <c r="D7617">
        <v>3.205095</v>
      </c>
      <c r="E7617">
        <v>0.50705020000000001</v>
      </c>
      <c r="F7617" t="s">
        <v>78</v>
      </c>
      <c r="G7617">
        <v>-217.8134</v>
      </c>
      <c r="H7617" s="1">
        <v>-3.0909669999999999E-6</v>
      </c>
      <c r="I7617">
        <v>-63.610250000000001</v>
      </c>
      <c r="J7617">
        <v>-242.04900000000001</v>
      </c>
      <c r="K7617">
        <v>1.107467</v>
      </c>
      <c r="L7617">
        <v>-63.398560000000003</v>
      </c>
      <c r="M7617">
        <v>0.99993790000000005</v>
      </c>
      <c r="N7617">
        <v>0</v>
      </c>
      <c r="O7617">
        <v>7.6958209999999899E-3</v>
      </c>
      <c r="P7617">
        <v>0.98251920000000004</v>
      </c>
      <c r="Q7617">
        <v>0.18615119999999999</v>
      </c>
      <c r="R7617">
        <v>2.0814829999999999E-3</v>
      </c>
      <c r="S7617">
        <v>3.0797270000000001</v>
      </c>
      <c r="T7617">
        <v>-0.139838299999999</v>
      </c>
      <c r="U7617">
        <v>-2.6702879999999998E-2</v>
      </c>
      <c r="V7617">
        <v>6.4728059999999898E-3</v>
      </c>
      <c r="W7617">
        <v>0.19404350000000001</v>
      </c>
      <c r="X7617">
        <v>0.98097160000000005</v>
      </c>
      <c r="Y7617">
        <v>1.634097E-2</v>
      </c>
      <c r="Z7617">
        <v>-7.2005379999999996E-4</v>
      </c>
      <c r="AA7617">
        <v>0.99986620000000004</v>
      </c>
      <c r="AB7617">
        <v>32</v>
      </c>
      <c r="AC7617">
        <v>24.235600000000002</v>
      </c>
      <c r="AD7617">
        <v>-1.1074700909670001</v>
      </c>
      <c r="AE7617">
        <v>-0.21169000000000401</v>
      </c>
      <c r="AF7617">
        <v>0.39737292841489602</v>
      </c>
      <c r="AG7617">
        <v>-1.1074700909670001</v>
      </c>
      <c r="AH7617">
        <v>24.182760306493901</v>
      </c>
      <c r="AI7617">
        <v>92.621723522104602</v>
      </c>
      <c r="AJ7617">
        <v>89.0585961844819</v>
      </c>
      <c r="AK7617">
        <v>24.211366985115902</v>
      </c>
      <c r="AL7617">
        <v>78.811147376417097</v>
      </c>
      <c r="AM7617">
        <v>89.621947176383401</v>
      </c>
      <c r="AN7617">
        <v>1.0000000285581601</v>
      </c>
    </row>
    <row r="7618" spans="1:40" x14ac:dyDescent="0.25">
      <c r="A7618" t="str">
        <f>"20190312172300138"</f>
        <v>20190312172300138</v>
      </c>
      <c r="B7618" t="str">
        <f>"1552382580127929"</f>
        <v>1552382580127929</v>
      </c>
      <c r="C7618" t="s">
        <v>40</v>
      </c>
      <c r="D7618">
        <v>3.1948129999999999</v>
      </c>
      <c r="E7618">
        <v>0.50703759999999998</v>
      </c>
      <c r="F7618" t="s">
        <v>78</v>
      </c>
      <c r="G7618">
        <v>-217.50049999999999</v>
      </c>
      <c r="H7618" s="1">
        <v>-2.9880879999999999E-6</v>
      </c>
      <c r="I7618">
        <v>-63.630560000000003</v>
      </c>
      <c r="J7618">
        <v>-241.8905</v>
      </c>
      <c r="K7618">
        <v>1.107459</v>
      </c>
      <c r="L7618">
        <v>-63.398409999999998</v>
      </c>
      <c r="M7618">
        <v>0.99994640000000001</v>
      </c>
      <c r="N7618">
        <v>0</v>
      </c>
      <c r="O7618">
        <v>6.4443759999999999E-3</v>
      </c>
      <c r="P7618">
        <v>0.98247240000000002</v>
      </c>
      <c r="Q7618">
        <v>0.18640370000000001</v>
      </c>
      <c r="R7618">
        <v>1.249156E-3</v>
      </c>
      <c r="S7618">
        <v>3.079742</v>
      </c>
      <c r="T7618">
        <v>-0.13893810000000001</v>
      </c>
      <c r="U7618">
        <v>-2.9113770000000001E-2</v>
      </c>
      <c r="V7618">
        <v>6.0833069999999996E-3</v>
      </c>
      <c r="W7618">
        <v>0.194326</v>
      </c>
      <c r="X7618">
        <v>0.98091819999999996</v>
      </c>
      <c r="Y7618">
        <v>1.5874300000000001E-2</v>
      </c>
      <c r="Z7618">
        <v>-6.4846779999999996E-4</v>
      </c>
      <c r="AA7618">
        <v>0.99987380000000003</v>
      </c>
      <c r="AB7618">
        <v>32</v>
      </c>
      <c r="AC7618">
        <v>24.39</v>
      </c>
      <c r="AD7618">
        <v>-1.1074619880879999</v>
      </c>
      <c r="AE7618">
        <v>-0.232149999999997</v>
      </c>
      <c r="AF7618">
        <v>0.38852769983173702</v>
      </c>
      <c r="AG7618">
        <v>-1.1074619880879999</v>
      </c>
      <c r="AH7618">
        <v>24.3378236549093</v>
      </c>
      <c r="AI7618">
        <v>92.605043530979898</v>
      </c>
      <c r="AJ7618">
        <v>89.085410964623605</v>
      </c>
      <c r="AK7618">
        <v>24.366105271176501</v>
      </c>
      <c r="AL7618">
        <v>78.794647572720507</v>
      </c>
      <c r="AM7618">
        <v>89.6446764386111</v>
      </c>
      <c r="AN7618">
        <v>1.0000000579956401</v>
      </c>
    </row>
    <row r="7619" spans="1:40" x14ac:dyDescent="0.25">
      <c r="A7619" t="str">
        <f>"20190312172300150"</f>
        <v>20190312172300150</v>
      </c>
      <c r="B7619" t="str">
        <f>"1552382580137688"</f>
        <v>1552382580137688</v>
      </c>
      <c r="C7619" t="s">
        <v>40</v>
      </c>
      <c r="D7619">
        <v>3.17997</v>
      </c>
      <c r="E7619">
        <v>0.50699189999999905</v>
      </c>
      <c r="F7619" t="s">
        <v>78</v>
      </c>
      <c r="G7619">
        <v>-217.22389999999999</v>
      </c>
      <c r="H7619" s="1">
        <v>-2.897591E-6</v>
      </c>
      <c r="I7619">
        <v>-63.65108</v>
      </c>
      <c r="J7619">
        <v>-241.7286</v>
      </c>
      <c r="K7619">
        <v>1.1074520000000001</v>
      </c>
      <c r="L7619">
        <v>-63.398589999999999</v>
      </c>
      <c r="M7619">
        <v>0.9999536</v>
      </c>
      <c r="N7619">
        <v>0</v>
      </c>
      <c r="O7619">
        <v>5.1639959999999997E-3</v>
      </c>
      <c r="P7619">
        <v>0.98245360000000004</v>
      </c>
      <c r="Q7619">
        <v>0.18650639999999999</v>
      </c>
      <c r="R7619">
        <v>4.4738219999999998E-4</v>
      </c>
      <c r="S7619">
        <v>3.0798030000000001</v>
      </c>
      <c r="T7619">
        <v>-0.13827439999999999</v>
      </c>
      <c r="U7619">
        <v>-3.1555180000000002E-2</v>
      </c>
      <c r="V7619">
        <v>5.6332439999999999E-3</v>
      </c>
      <c r="W7619">
        <v>0.1944593</v>
      </c>
      <c r="X7619">
        <v>0.98089440000000006</v>
      </c>
      <c r="Y7619">
        <v>1.538836E-2</v>
      </c>
      <c r="Z7619">
        <v>-5.7699849999999996E-4</v>
      </c>
      <c r="AA7619">
        <v>0.99988140000000003</v>
      </c>
      <c r="AB7619">
        <v>32</v>
      </c>
      <c r="AC7619">
        <v>24.5047</v>
      </c>
      <c r="AD7619">
        <v>-1.1074548975909999</v>
      </c>
      <c r="AE7619">
        <v>-0.25249000000000099</v>
      </c>
      <c r="AF7619">
        <v>0.37826049089171798</v>
      </c>
      <c r="AG7619">
        <v>-1.1074548975909999</v>
      </c>
      <c r="AH7619">
        <v>24.4531301338702</v>
      </c>
      <c r="AI7619">
        <v>92.592780057893094</v>
      </c>
      <c r="AJ7619">
        <v>89.113773935247806</v>
      </c>
      <c r="AK7619">
        <v>24.4811174314646</v>
      </c>
      <c r="AL7619">
        <v>78.786860726590106</v>
      </c>
      <c r="AM7619">
        <v>89.670955856371705</v>
      </c>
      <c r="AN7619">
        <v>0.99999998837290605</v>
      </c>
    </row>
    <row r="7620" spans="1:40" x14ac:dyDescent="0.25">
      <c r="A7620" t="str">
        <f>"20190312172300161"</f>
        <v>20190312172300161</v>
      </c>
      <c r="B7620" t="str">
        <f>"1552382580158184"</f>
        <v>1552382580158184</v>
      </c>
      <c r="C7620" t="s">
        <v>40</v>
      </c>
      <c r="D7620">
        <v>3.1573600000000002</v>
      </c>
      <c r="E7620">
        <v>0.50689030000000002</v>
      </c>
      <c r="F7620" t="s">
        <v>78</v>
      </c>
      <c r="G7620">
        <v>-217.03550000000001</v>
      </c>
      <c r="H7620" s="1">
        <v>-2.8365369999999998E-6</v>
      </c>
      <c r="I7620">
        <v>-63.668170000000003</v>
      </c>
      <c r="J7620">
        <v>-241.56890000000001</v>
      </c>
      <c r="K7620">
        <v>1.1074459999999999</v>
      </c>
      <c r="L7620">
        <v>-63.398829999999997</v>
      </c>
      <c r="M7620">
        <v>0.99995909999999999</v>
      </c>
      <c r="N7620">
        <v>0</v>
      </c>
      <c r="O7620">
        <v>3.9006169999999999E-3</v>
      </c>
      <c r="P7620">
        <v>0.98245340000000003</v>
      </c>
      <c r="Q7620">
        <v>0.18650829999999999</v>
      </c>
      <c r="R7620">
        <v>-2.3335310000000001E-4</v>
      </c>
      <c r="S7620">
        <v>3.0798190000000001</v>
      </c>
      <c r="T7620">
        <v>-0.1381259</v>
      </c>
      <c r="U7620">
        <v>-3.363037E-2</v>
      </c>
      <c r="V7620">
        <v>5.078061E-3</v>
      </c>
      <c r="W7620">
        <v>0.19449159999999999</v>
      </c>
      <c r="X7620">
        <v>0.98089099999999996</v>
      </c>
      <c r="Y7620">
        <v>1.4800580000000001E-2</v>
      </c>
      <c r="Z7620">
        <v>-5.0656789999999996E-4</v>
      </c>
      <c r="AA7620">
        <v>0.99989030000000001</v>
      </c>
      <c r="AB7620">
        <v>32</v>
      </c>
      <c r="AC7620">
        <v>24.5334</v>
      </c>
      <c r="AD7620">
        <v>-1.1074488365370001</v>
      </c>
      <c r="AE7620">
        <v>-0.26933999999999197</v>
      </c>
      <c r="AF7620">
        <v>0.36429431527109402</v>
      </c>
      <c r="AG7620">
        <v>-1.1074488365370001</v>
      </c>
      <c r="AH7620">
        <v>24.482282152690999</v>
      </c>
      <c r="AI7620">
        <v>92.5897058883439</v>
      </c>
      <c r="AJ7620">
        <v>89.147506496138405</v>
      </c>
      <c r="AK7620">
        <v>24.510024330417501</v>
      </c>
      <c r="AL7620">
        <v>78.784973746349905</v>
      </c>
      <c r="AM7620">
        <v>89.703383083167694</v>
      </c>
      <c r="AN7620">
        <v>0.99999996152753901</v>
      </c>
    </row>
    <row r="7621" spans="1:40" x14ac:dyDescent="0.25">
      <c r="A7621" t="str">
        <f>"20190312172300172"</f>
        <v>20190312172300172</v>
      </c>
      <c r="B7621" t="str">
        <f>"1552382580167943"</f>
        <v>1552382580167943</v>
      </c>
      <c r="C7621" t="s">
        <v>40</v>
      </c>
      <c r="D7621">
        <v>3.1505899999999998</v>
      </c>
      <c r="E7621">
        <v>0.50683889999999998</v>
      </c>
      <c r="F7621" t="s">
        <v>78</v>
      </c>
      <c r="G7621">
        <v>-216.91300000000001</v>
      </c>
      <c r="H7621" s="1">
        <v>-2.796876E-6</v>
      </c>
      <c r="I7621">
        <v>-63.679729999999999</v>
      </c>
      <c r="J7621">
        <v>-241.4008</v>
      </c>
      <c r="K7621">
        <v>1.107437</v>
      </c>
      <c r="L7621">
        <v>-63.399410000000003</v>
      </c>
      <c r="M7621">
        <v>0.9999633</v>
      </c>
      <c r="N7621">
        <v>0</v>
      </c>
      <c r="O7621">
        <v>2.5685870000000002E-3</v>
      </c>
      <c r="P7621">
        <v>0.98241000000000001</v>
      </c>
      <c r="Q7621">
        <v>0.1867365</v>
      </c>
      <c r="R7621">
        <v>-6.7599019999999997E-4</v>
      </c>
      <c r="S7621">
        <v>3.079834</v>
      </c>
      <c r="T7621">
        <v>-0.13833380000000001</v>
      </c>
      <c r="U7621">
        <v>-3.5095210000000002E-2</v>
      </c>
      <c r="V7621">
        <v>4.2180509999999996E-3</v>
      </c>
      <c r="W7621">
        <v>0.1947526</v>
      </c>
      <c r="X7621">
        <v>0.98084329999999997</v>
      </c>
      <c r="Y7621">
        <v>1.394624E-2</v>
      </c>
      <c r="Z7621">
        <v>-4.2834969999999998E-4</v>
      </c>
      <c r="AA7621">
        <v>0.99990270000000003</v>
      </c>
      <c r="AB7621">
        <v>32</v>
      </c>
      <c r="AC7621">
        <v>24.4878</v>
      </c>
      <c r="AD7621">
        <v>-1.1074397968759999</v>
      </c>
      <c r="AE7621">
        <v>-0.28032000000001001</v>
      </c>
      <c r="AF7621">
        <v>0.34251978329002403</v>
      </c>
      <c r="AG7621">
        <v>-1.1074397968759999</v>
      </c>
      <c r="AH7621">
        <v>24.437026537824899</v>
      </c>
      <c r="AI7621">
        <v>92.594506458587503</v>
      </c>
      <c r="AJ7621">
        <v>89.196970509885205</v>
      </c>
      <c r="AK7621">
        <v>24.464505078092301</v>
      </c>
      <c r="AL7621">
        <v>78.769728155405204</v>
      </c>
      <c r="AM7621">
        <v>89.753604851810195</v>
      </c>
      <c r="AN7621">
        <v>0.99999997315794298</v>
      </c>
    </row>
    <row r="7622" spans="1:40" x14ac:dyDescent="0.25">
      <c r="A7622" t="str">
        <f>"20190312172300184"</f>
        <v>20190312172300184</v>
      </c>
      <c r="B7622" t="str">
        <f>"1552382580177707"</f>
        <v>1552382580177707</v>
      </c>
      <c r="C7622" t="s">
        <v>40</v>
      </c>
      <c r="D7622">
        <v>3.1594899999999999</v>
      </c>
      <c r="E7622">
        <v>0.50679419999999997</v>
      </c>
      <c r="F7622" t="s">
        <v>78</v>
      </c>
      <c r="G7622">
        <v>-216.6301</v>
      </c>
      <c r="H7622" s="1">
        <v>-2.6942270000000001E-6</v>
      </c>
      <c r="I7622">
        <v>-63.694380000000002</v>
      </c>
      <c r="J7622">
        <v>-241.24170000000001</v>
      </c>
      <c r="K7622">
        <v>1.1074310000000001</v>
      </c>
      <c r="L7622">
        <v>-63.400149999999996</v>
      </c>
      <c r="M7622">
        <v>0.99996549999999995</v>
      </c>
      <c r="N7622">
        <v>0</v>
      </c>
      <c r="O7622">
        <v>1.308647E-3</v>
      </c>
      <c r="P7622">
        <v>0.98239469999999995</v>
      </c>
      <c r="Q7622">
        <v>0.1868138</v>
      </c>
      <c r="R7622">
        <v>-1.2487380000000001E-3</v>
      </c>
      <c r="S7622">
        <v>3.0798649999999999</v>
      </c>
      <c r="T7622">
        <v>-0.13769339999999999</v>
      </c>
      <c r="U7622">
        <v>-3.668213E-2</v>
      </c>
      <c r="V7622">
        <v>3.5577999999999999E-3</v>
      </c>
      <c r="W7622">
        <v>0.1948587</v>
      </c>
      <c r="X7622">
        <v>0.9808249</v>
      </c>
      <c r="Y7622">
        <v>1.320356E-2</v>
      </c>
      <c r="Z7622">
        <v>-3.5346930000000002E-4</v>
      </c>
      <c r="AA7622">
        <v>0.99991269999999999</v>
      </c>
      <c r="AB7622">
        <v>32</v>
      </c>
      <c r="AC7622">
        <v>24.611599999999999</v>
      </c>
      <c r="AD7622">
        <v>-1.107433694227</v>
      </c>
      <c r="AE7622">
        <v>-0.29423000000000599</v>
      </c>
      <c r="AF7622">
        <v>0.32577922469649201</v>
      </c>
      <c r="AG7622">
        <v>-1.107433694227</v>
      </c>
      <c r="AH7622">
        <v>24.561471924676201</v>
      </c>
      <c r="AI7622">
        <v>92.581390975655694</v>
      </c>
      <c r="AJ7622">
        <v>89.240082997366798</v>
      </c>
      <c r="AK7622">
        <v>24.588583623238801</v>
      </c>
      <c r="AL7622">
        <v>78.763530954965105</v>
      </c>
      <c r="AM7622">
        <v>89.792168785370094</v>
      </c>
      <c r="AN7622">
        <v>1.0000000276832599</v>
      </c>
    </row>
    <row r="7623" spans="1:40" x14ac:dyDescent="0.25">
      <c r="A7623" t="str">
        <f>"20190312172300194"</f>
        <v>20190312172300194</v>
      </c>
      <c r="B7623" t="str">
        <f>"1552382580187464"</f>
        <v>1552382580187464</v>
      </c>
      <c r="C7623" t="s">
        <v>40</v>
      </c>
      <c r="D7623">
        <v>3.1924950000000001</v>
      </c>
      <c r="E7623">
        <v>0.50675170000000003</v>
      </c>
      <c r="F7623" t="s">
        <v>78</v>
      </c>
      <c r="G7623">
        <v>-216.4331</v>
      </c>
      <c r="H7623" s="1">
        <v>-2.613926E-6</v>
      </c>
      <c r="I7623">
        <v>-63.710320000000003</v>
      </c>
      <c r="J7623">
        <v>-241.08019999999999</v>
      </c>
      <c r="K7623">
        <v>1.107424</v>
      </c>
      <c r="L7623">
        <v>-63.401090000000003</v>
      </c>
      <c r="M7623">
        <v>0.99996620000000003</v>
      </c>
      <c r="N7623">
        <v>0</v>
      </c>
      <c r="O7623" s="1">
        <v>2.940703E-5</v>
      </c>
      <c r="P7623">
        <v>0.98239489999999996</v>
      </c>
      <c r="Q7623">
        <v>0.18680469999999999</v>
      </c>
      <c r="R7623">
        <v>-2.0811839999999998E-3</v>
      </c>
      <c r="S7623">
        <v>3.0798649999999999</v>
      </c>
      <c r="T7623">
        <v>-0.13748179999999999</v>
      </c>
      <c r="U7623">
        <v>-3.8513180000000001E-2</v>
      </c>
      <c r="V7623">
        <v>3.137674E-3</v>
      </c>
      <c r="W7623">
        <v>0.19487750000000001</v>
      </c>
      <c r="X7623">
        <v>0.98082259999999999</v>
      </c>
      <c r="Y7623">
        <v>1.2520770000000001E-2</v>
      </c>
      <c r="Z7623">
        <v>-2.806188E-4</v>
      </c>
      <c r="AA7623">
        <v>0.99992159999999997</v>
      </c>
      <c r="AB7623">
        <v>32</v>
      </c>
      <c r="AC7623">
        <v>24.647099999999899</v>
      </c>
      <c r="AD7623">
        <v>-1.1074266139260001</v>
      </c>
      <c r="AE7623">
        <v>-0.30922999999999201</v>
      </c>
      <c r="AF7623">
        <v>0.30933043723617498</v>
      </c>
      <c r="AG7623">
        <v>-1.1074266139260001</v>
      </c>
      <c r="AH7623">
        <v>24.597440829951299</v>
      </c>
      <c r="AI7623">
        <v>92.577627718842393</v>
      </c>
      <c r="AJ7623">
        <v>89.279502512762704</v>
      </c>
      <c r="AK7623">
        <v>24.6243004856501</v>
      </c>
      <c r="AL7623">
        <v>78.762432754123296</v>
      </c>
      <c r="AM7623">
        <v>89.816710112070396</v>
      </c>
      <c r="AN7623">
        <v>1.0000000288375599</v>
      </c>
    </row>
    <row r="7624" spans="1:40" x14ac:dyDescent="0.25">
      <c r="A7624" t="str">
        <f>"20190312172300206"</f>
        <v>20190312172300206</v>
      </c>
      <c r="B7624" t="str">
        <f>"1552382580198200"</f>
        <v>1552382580198200</v>
      </c>
      <c r="C7624" t="s">
        <v>40</v>
      </c>
      <c r="D7624">
        <v>3.167643</v>
      </c>
      <c r="E7624">
        <v>0.50670740000000003</v>
      </c>
      <c r="F7624" t="s">
        <v>78</v>
      </c>
      <c r="G7624">
        <v>-216.2816</v>
      </c>
      <c r="H7624" s="1">
        <v>-2.554711E-6</v>
      </c>
      <c r="I7624">
        <v>-63.732030000000002</v>
      </c>
      <c r="J7624">
        <v>-240.92009999999999</v>
      </c>
      <c r="K7624">
        <v>1.1074200000000001</v>
      </c>
      <c r="L7624">
        <v>-63.4022199999999</v>
      </c>
      <c r="M7624">
        <v>0.9999652</v>
      </c>
      <c r="N7624">
        <v>0</v>
      </c>
      <c r="O7624">
        <v>-1.2384939999999999E-3</v>
      </c>
      <c r="P7624">
        <v>0.98243820000000004</v>
      </c>
      <c r="Q7624">
        <v>0.1865697</v>
      </c>
      <c r="R7624">
        <v>-2.6653599999999999E-3</v>
      </c>
      <c r="S7624">
        <v>3.0798190000000001</v>
      </c>
      <c r="T7624">
        <v>-0.1375343</v>
      </c>
      <c r="U7624">
        <v>-4.110718E-2</v>
      </c>
      <c r="V7624">
        <v>2.4788169999999999E-3</v>
      </c>
      <c r="W7624">
        <v>0.1946707</v>
      </c>
      <c r="X7624">
        <v>0.98086549999999995</v>
      </c>
      <c r="Y7624">
        <v>1.2096829999999999E-2</v>
      </c>
      <c r="Z7624">
        <v>-2.146765E-4</v>
      </c>
      <c r="AA7624">
        <v>0.9999268</v>
      </c>
      <c r="AB7624">
        <v>32</v>
      </c>
      <c r="AC7624">
        <v>24.638500000000001</v>
      </c>
      <c r="AD7624">
        <v>-1.1074225547109999</v>
      </c>
      <c r="AE7624">
        <v>-0.32981000000000898</v>
      </c>
      <c r="AF7624">
        <v>0.298690761780666</v>
      </c>
      <c r="AG7624">
        <v>-1.1074225547109999</v>
      </c>
      <c r="AH7624">
        <v>24.589222897104602</v>
      </c>
      <c r="AI7624">
        <v>92.578492220721003</v>
      </c>
      <c r="AJ7624">
        <v>89.304049646574796</v>
      </c>
      <c r="AK7624">
        <v>24.6159599359714</v>
      </c>
      <c r="AL7624">
        <v>78.774512294560495</v>
      </c>
      <c r="AM7624">
        <v>89.855203950049798</v>
      </c>
      <c r="AN7624">
        <v>0.99999997753122905</v>
      </c>
    </row>
    <row r="7625" spans="1:40" x14ac:dyDescent="0.25">
      <c r="A7625" t="str">
        <f>"20190312172300216"</f>
        <v>20190312172300216</v>
      </c>
      <c r="B7625" t="str">
        <f>"1552382580207960"</f>
        <v>1552382580207960</v>
      </c>
      <c r="C7625" t="s">
        <v>40</v>
      </c>
      <c r="D7625">
        <v>3.184018</v>
      </c>
      <c r="E7625">
        <v>0.50666230000000001</v>
      </c>
      <c r="F7625" t="s">
        <v>78</v>
      </c>
      <c r="G7625">
        <v>-216.30080000000001</v>
      </c>
      <c r="H7625" s="1">
        <v>-2.565989E-6</v>
      </c>
      <c r="I7625">
        <v>-63.74344</v>
      </c>
      <c r="J7625">
        <v>-240.75890000000001</v>
      </c>
      <c r="K7625">
        <v>1.107415</v>
      </c>
      <c r="L7625">
        <v>-63.403530000000003</v>
      </c>
      <c r="M7625">
        <v>0.99996249999999998</v>
      </c>
      <c r="N7625">
        <v>0</v>
      </c>
      <c r="O7625">
        <v>-2.5159850000000001E-3</v>
      </c>
      <c r="P7625">
        <v>0.98244410000000004</v>
      </c>
      <c r="Q7625">
        <v>0.18652640000000001</v>
      </c>
      <c r="R7625">
        <v>-3.413363E-3</v>
      </c>
      <c r="S7625">
        <v>3.0798489999999998</v>
      </c>
      <c r="T7625">
        <v>-0.13853689999999999</v>
      </c>
      <c r="U7625">
        <v>-4.2694089999999997E-2</v>
      </c>
      <c r="V7625">
        <v>1.9753370000000002E-3</v>
      </c>
      <c r="W7625">
        <v>0.19465479999999999</v>
      </c>
      <c r="X7625">
        <v>0.98086980000000001</v>
      </c>
      <c r="Y7625">
        <v>1.1336280000000001E-2</v>
      </c>
      <c r="Z7625">
        <v>-1.4170750000000001E-4</v>
      </c>
      <c r="AA7625">
        <v>0.99993569999999998</v>
      </c>
      <c r="AB7625">
        <v>32</v>
      </c>
      <c r="AC7625">
        <v>24.458100000000002</v>
      </c>
      <c r="AD7625">
        <v>-1.107417565989</v>
      </c>
      <c r="AE7625">
        <v>-0.33990999999999599</v>
      </c>
      <c r="AF7625">
        <v>0.277801185147866</v>
      </c>
      <c r="AG7625">
        <v>-1.107417565989</v>
      </c>
      <c r="AH7625">
        <v>24.408846637680199</v>
      </c>
      <c r="AI7625">
        <v>92.597532423848406</v>
      </c>
      <c r="AJ7625">
        <v>89.347935258833004</v>
      </c>
      <c r="AK7625">
        <v>24.435534398611502</v>
      </c>
      <c r="AL7625">
        <v>78.775441079463207</v>
      </c>
      <c r="AM7625">
        <v>89.884614328820604</v>
      </c>
      <c r="AN7625">
        <v>0.99999997883567104</v>
      </c>
    </row>
    <row r="7626" spans="1:40" x14ac:dyDescent="0.25">
      <c r="A7626" t="str">
        <f>"20190312172300229"</f>
        <v>20190312172300229</v>
      </c>
      <c r="B7626" t="str">
        <f>"1552382580217720"</f>
        <v>1552382580217720</v>
      </c>
      <c r="C7626" t="s">
        <v>40</v>
      </c>
      <c r="D7626">
        <v>3.1920639999999998</v>
      </c>
      <c r="E7626">
        <v>0.50660989999999995</v>
      </c>
      <c r="F7626" t="s">
        <v>78</v>
      </c>
      <c r="G7626">
        <v>-216.19120000000001</v>
      </c>
      <c r="H7626" s="1">
        <v>-2.5239239999999999E-6</v>
      </c>
      <c r="I7626">
        <v>-63.762059999999998</v>
      </c>
      <c r="J7626">
        <v>-240.5916</v>
      </c>
      <c r="K7626">
        <v>1.107405</v>
      </c>
      <c r="L7626">
        <v>-63.405180000000001</v>
      </c>
      <c r="M7626">
        <v>0.99995820000000002</v>
      </c>
      <c r="N7626">
        <v>0</v>
      </c>
      <c r="O7626">
        <v>-3.8397259999999999E-3</v>
      </c>
      <c r="P7626">
        <v>0.98244880000000001</v>
      </c>
      <c r="Q7626">
        <v>0.18648809999999999</v>
      </c>
      <c r="R7626">
        <v>-4.0812189999999996E-3</v>
      </c>
      <c r="S7626">
        <v>3.0798030000000001</v>
      </c>
      <c r="T7626">
        <v>-0.1388257</v>
      </c>
      <c r="U7626">
        <v>-4.4952390000000002E-2</v>
      </c>
      <c r="V7626">
        <v>1.3461320000000001E-3</v>
      </c>
      <c r="W7626">
        <v>0.1946436</v>
      </c>
      <c r="X7626">
        <v>0.98087310000000005</v>
      </c>
      <c r="Y7626">
        <v>1.074774E-2</v>
      </c>
      <c r="Z7626" s="1">
        <v>-6.9110120000000002E-5</v>
      </c>
      <c r="AA7626">
        <v>0.9999422</v>
      </c>
      <c r="AB7626">
        <v>32</v>
      </c>
      <c r="AC7626">
        <v>24.400399999999902</v>
      </c>
      <c r="AD7626">
        <v>-1.107407523924</v>
      </c>
      <c r="AE7626">
        <v>-0.35687999999999598</v>
      </c>
      <c r="AF7626">
        <v>0.26264242282252898</v>
      </c>
      <c r="AG7626">
        <v>-1.107407523924</v>
      </c>
      <c r="AH7626">
        <v>24.351442570812001</v>
      </c>
      <c r="AI7626">
        <v>92.603640800740905</v>
      </c>
      <c r="AJ7626">
        <v>89.3820604739103</v>
      </c>
      <c r="AK7626">
        <v>24.378024689171699</v>
      </c>
      <c r="AL7626">
        <v>78.776095440513998</v>
      </c>
      <c r="AM7626">
        <v>89.921368387158296</v>
      </c>
      <c r="AN7626">
        <v>0.99999999069796497</v>
      </c>
    </row>
    <row r="7627" spans="1:40" x14ac:dyDescent="0.25">
      <c r="A7627" t="str">
        <f>"20190312172300240"</f>
        <v>20190312172300240</v>
      </c>
      <c r="B7627" t="str">
        <f>"1552382580227481"</f>
        <v>1552382580227481</v>
      </c>
      <c r="C7627" t="s">
        <v>40</v>
      </c>
      <c r="D7627">
        <v>3.1689099999999999</v>
      </c>
      <c r="E7627">
        <v>0.50656769999999995</v>
      </c>
      <c r="F7627" t="s">
        <v>78</v>
      </c>
      <c r="G7627">
        <v>-216.07310000000001</v>
      </c>
      <c r="H7627" s="1">
        <v>-2.4774129999999999E-6</v>
      </c>
      <c r="I7627">
        <v>-63.777569999999997</v>
      </c>
      <c r="J7627">
        <v>-240.4281</v>
      </c>
      <c r="K7627">
        <v>1.107399</v>
      </c>
      <c r="L7627">
        <v>-63.406889999999997</v>
      </c>
      <c r="M7627">
        <v>0.99995230000000002</v>
      </c>
      <c r="N7627">
        <v>0</v>
      </c>
      <c r="O7627">
        <v>-5.1342509999999899E-3</v>
      </c>
      <c r="P7627">
        <v>0.98249330000000001</v>
      </c>
      <c r="Q7627">
        <v>0.18624560000000001</v>
      </c>
      <c r="R7627">
        <v>-4.4604359999999999E-3</v>
      </c>
      <c r="S7627">
        <v>3.0798190000000001</v>
      </c>
      <c r="T7627">
        <v>-0.13910349999999999</v>
      </c>
      <c r="U7627">
        <v>-4.6783449999999997E-2</v>
      </c>
      <c r="V7627">
        <v>4.554831E-4</v>
      </c>
      <c r="W7627">
        <v>0.1944294</v>
      </c>
      <c r="X7627">
        <v>0.98091640000000002</v>
      </c>
      <c r="Y7627">
        <v>1.0049529999999999E-2</v>
      </c>
      <c r="Z7627" s="1">
        <v>4.9472870000000003E-6</v>
      </c>
      <c r="AA7627">
        <v>0.99994950000000005</v>
      </c>
      <c r="AB7627">
        <v>32</v>
      </c>
      <c r="AC7627">
        <v>24.354999999999901</v>
      </c>
      <c r="AD7627">
        <v>-1.1074014774130001</v>
      </c>
      <c r="AE7627">
        <v>-0.37067999999999302</v>
      </c>
      <c r="AF7627">
        <v>0.2451194606755</v>
      </c>
      <c r="AG7627">
        <v>-1.1074014774130001</v>
      </c>
      <c r="AH7627">
        <v>24.306341817349701</v>
      </c>
      <c r="AI7627">
        <v>92.608470052953393</v>
      </c>
      <c r="AJ7627">
        <v>89.422215214009</v>
      </c>
      <c r="AK7627">
        <v>24.332790101507499</v>
      </c>
      <c r="AL7627">
        <v>78.788607239073897</v>
      </c>
      <c r="AM7627">
        <v>89.973395023883896</v>
      </c>
      <c r="AN7627">
        <v>0.99999999141908702</v>
      </c>
    </row>
    <row r="7628" spans="1:40" x14ac:dyDescent="0.25">
      <c r="A7628" t="str">
        <f>"20190312172300251"</f>
        <v>20190312172300251</v>
      </c>
      <c r="B7628" t="str">
        <f>"1552382580247975"</f>
        <v>1552382580247975</v>
      </c>
      <c r="C7628" t="s">
        <v>40</v>
      </c>
      <c r="D7628">
        <v>3.1599919999999999</v>
      </c>
      <c r="E7628">
        <v>0.5064746</v>
      </c>
      <c r="F7628" t="s">
        <v>78</v>
      </c>
      <c r="G7628">
        <v>-216.06720000000001</v>
      </c>
      <c r="H7628" s="1">
        <v>-2.477647E-6</v>
      </c>
      <c r="I7628">
        <v>-63.787990000000001</v>
      </c>
      <c r="J7628">
        <v>-240.25579999999999</v>
      </c>
      <c r="K7628">
        <v>1.107394</v>
      </c>
      <c r="L7628">
        <v>-63.409089999999999</v>
      </c>
      <c r="M7628">
        <v>0.9999441</v>
      </c>
      <c r="N7628">
        <v>0</v>
      </c>
      <c r="O7628">
        <v>-6.4976749999999996E-3</v>
      </c>
      <c r="P7628">
        <v>0.98246999999999995</v>
      </c>
      <c r="Q7628">
        <v>0.1863523</v>
      </c>
      <c r="R7628">
        <v>-5.0895389999999997E-3</v>
      </c>
      <c r="S7628">
        <v>3.0797729999999999</v>
      </c>
      <c r="T7628">
        <v>-0.14000079999999901</v>
      </c>
      <c r="U7628">
        <v>-4.8187260000000003E-2</v>
      </c>
      <c r="V7628">
        <v>-2.5099660000000001E-4</v>
      </c>
      <c r="W7628">
        <v>0.19456309999999999</v>
      </c>
      <c r="X7628">
        <v>0.98089000000000004</v>
      </c>
      <c r="Y7628">
        <v>9.1442859999999997E-3</v>
      </c>
      <c r="Z7628" s="1">
        <v>8.7485629999999997E-5</v>
      </c>
      <c r="AA7628">
        <v>0.99995820000000002</v>
      </c>
      <c r="AB7628">
        <v>32</v>
      </c>
      <c r="AC7628">
        <v>24.188599999999902</v>
      </c>
      <c r="AD7628">
        <v>-1.107396477647</v>
      </c>
      <c r="AE7628">
        <v>-0.37890000000000101</v>
      </c>
      <c r="AF7628">
        <v>0.22125324519359499</v>
      </c>
      <c r="AG7628">
        <v>-1.107396477647</v>
      </c>
      <c r="AH7628">
        <v>24.1399671894752</v>
      </c>
      <c r="AI7628">
        <v>92.626434113794005</v>
      </c>
      <c r="AJ7628">
        <v>89.474874091700002</v>
      </c>
      <c r="AK7628">
        <v>24.166367039051501</v>
      </c>
      <c r="AL7628">
        <v>78.780798065652803</v>
      </c>
      <c r="AM7628">
        <v>90.014661221480694</v>
      </c>
      <c r="AN7628">
        <v>1.0000000274904499</v>
      </c>
    </row>
    <row r="7629" spans="1:40" x14ac:dyDescent="0.25">
      <c r="A7629" t="str">
        <f>"20190312172300262"</f>
        <v>20190312172300262</v>
      </c>
      <c r="B7629" t="str">
        <f>"1552382580258272"</f>
        <v>1552382580258272</v>
      </c>
      <c r="C7629" t="s">
        <v>40</v>
      </c>
      <c r="D7629">
        <v>3.160104</v>
      </c>
      <c r="E7629">
        <v>0.50640399999999997</v>
      </c>
      <c r="F7629" t="s">
        <v>78</v>
      </c>
      <c r="G7629">
        <v>-215.8579</v>
      </c>
      <c r="H7629" s="1">
        <v>-2.3918760000000001E-6</v>
      </c>
      <c r="I7629">
        <v>-63.803089999999997</v>
      </c>
      <c r="J7629">
        <v>-240.1146</v>
      </c>
      <c r="K7629">
        <v>1.107391</v>
      </c>
      <c r="L7629">
        <v>-63.410919999999997</v>
      </c>
      <c r="M7629">
        <v>0.99993589999999999</v>
      </c>
      <c r="N7629">
        <v>0</v>
      </c>
      <c r="O7629">
        <v>-7.6152399999999997E-3</v>
      </c>
      <c r="P7629">
        <v>0.98248829999999998</v>
      </c>
      <c r="Q7629">
        <v>0.18624060000000001</v>
      </c>
      <c r="R7629">
        <v>-5.5914099999999998E-3</v>
      </c>
      <c r="S7629">
        <v>3.0797729999999999</v>
      </c>
      <c r="T7629">
        <v>-0.13978769999999999</v>
      </c>
      <c r="U7629">
        <v>-4.974365E-2</v>
      </c>
      <c r="V7629">
        <v>-8.4502229999999995E-4</v>
      </c>
      <c r="W7629">
        <v>0.19447329999999999</v>
      </c>
      <c r="X7629">
        <v>0.98090739999999998</v>
      </c>
      <c r="Y7629">
        <v>8.5336919999999903E-3</v>
      </c>
      <c r="Z7629">
        <v>1.5189629999999999E-4</v>
      </c>
      <c r="AA7629">
        <v>0.99996359999999995</v>
      </c>
      <c r="AB7629">
        <v>32</v>
      </c>
      <c r="AC7629">
        <v>24.256699999999899</v>
      </c>
      <c r="AD7629">
        <v>-1.1073933918759999</v>
      </c>
      <c r="AE7629">
        <v>-0.39217000000000701</v>
      </c>
      <c r="AF7629">
        <v>0.207000233019001</v>
      </c>
      <c r="AG7629">
        <v>-1.1073933918759999</v>
      </c>
      <c r="AH7629">
        <v>24.2085407927806</v>
      </c>
      <c r="AI7629">
        <v>92.619011749210301</v>
      </c>
      <c r="AJ7629">
        <v>89.510092294617806</v>
      </c>
      <c r="AK7629">
        <v>24.234739869380999</v>
      </c>
      <c r="AL7629">
        <v>78.786042571454004</v>
      </c>
      <c r="AM7629">
        <v>90.049358583090907</v>
      </c>
      <c r="AN7629">
        <v>0.99999995292516697</v>
      </c>
    </row>
    <row r="7630" spans="1:40" x14ac:dyDescent="0.25">
      <c r="A7630" t="str">
        <f>"20190312172300272"</f>
        <v>20190312172300272</v>
      </c>
      <c r="B7630" t="str">
        <f>"1552382580268021"</f>
        <v>1552382580268021</v>
      </c>
      <c r="C7630" t="s">
        <v>40</v>
      </c>
      <c r="D7630">
        <v>3.1730239999999998</v>
      </c>
      <c r="E7630">
        <v>0.5063415</v>
      </c>
      <c r="F7630" t="s">
        <v>78</v>
      </c>
      <c r="G7630">
        <v>-215.7962</v>
      </c>
      <c r="H7630" s="1">
        <v>-2.3685209999999998E-6</v>
      </c>
      <c r="I7630">
        <v>-63.814729999999997</v>
      </c>
      <c r="J7630">
        <v>-239.94929999999999</v>
      </c>
      <c r="K7630">
        <v>1.1073900000000001</v>
      </c>
      <c r="L7630">
        <v>-63.413420000000002</v>
      </c>
      <c r="M7630">
        <v>0.99992499999999995</v>
      </c>
      <c r="N7630">
        <v>0</v>
      </c>
      <c r="O7630">
        <v>-8.9224899999999999E-3</v>
      </c>
      <c r="P7630">
        <v>0.98248409999999997</v>
      </c>
      <c r="Q7630">
        <v>0.18625549999999999</v>
      </c>
      <c r="R7630">
        <v>-5.8390819999999998E-3</v>
      </c>
      <c r="S7630">
        <v>3.079758</v>
      </c>
      <c r="T7630">
        <v>-0.14024410000000001</v>
      </c>
      <c r="U7630">
        <v>-5.1147459999999999E-2</v>
      </c>
      <c r="V7630">
        <v>-1.8782289999999999E-3</v>
      </c>
      <c r="W7630">
        <v>0.19451499999999999</v>
      </c>
      <c r="X7630">
        <v>0.98089769999999998</v>
      </c>
      <c r="Y7630">
        <v>7.6843819999999896E-3</v>
      </c>
      <c r="Z7630">
        <v>2.3121059999999999E-4</v>
      </c>
      <c r="AA7630">
        <v>0.99997040000000004</v>
      </c>
      <c r="AB7630">
        <v>32</v>
      </c>
      <c r="AC7630">
        <v>24.153099999999899</v>
      </c>
      <c r="AD7630">
        <v>-1.1073923685210001</v>
      </c>
      <c r="AE7630">
        <v>-0.40131000000000899</v>
      </c>
      <c r="AF7630">
        <v>0.185391040129566</v>
      </c>
      <c r="AG7630">
        <v>-1.1073923685210001</v>
      </c>
      <c r="AH7630">
        <v>24.105061576962701</v>
      </c>
      <c r="AI7630">
        <v>92.630254906929693</v>
      </c>
      <c r="AJ7630">
        <v>89.559349197404302</v>
      </c>
      <c r="AK7630">
        <v>24.1311972625641</v>
      </c>
      <c r="AL7630">
        <v>78.783606851818803</v>
      </c>
      <c r="AM7630">
        <v>90.1097101799066</v>
      </c>
      <c r="AN7630">
        <v>0.99999995541723197</v>
      </c>
    </row>
    <row r="7631" spans="1:40" x14ac:dyDescent="0.25">
      <c r="A7631" t="str">
        <f>"20190312172300284"</f>
        <v>20190312172300284</v>
      </c>
      <c r="B7631" t="str">
        <f>"1552382580277781"</f>
        <v>1552382580277781</v>
      </c>
      <c r="C7631" t="s">
        <v>40</v>
      </c>
      <c r="D7631">
        <v>3.168488</v>
      </c>
      <c r="E7631">
        <v>0.50626949999999904</v>
      </c>
      <c r="F7631" t="s">
        <v>78</v>
      </c>
      <c r="G7631">
        <v>-215.6353</v>
      </c>
      <c r="H7631" s="1">
        <v>-2.301734E-6</v>
      </c>
      <c r="I7631">
        <v>-63.823180000000001</v>
      </c>
      <c r="J7631">
        <v>-239.78729999999999</v>
      </c>
      <c r="K7631">
        <v>1.107389</v>
      </c>
      <c r="L7631">
        <v>-63.416020000000003</v>
      </c>
      <c r="M7631">
        <v>0.99991229999999998</v>
      </c>
      <c r="N7631">
        <v>0</v>
      </c>
      <c r="O7631">
        <v>-1.020253E-2</v>
      </c>
      <c r="P7631">
        <v>0.98244039999999999</v>
      </c>
      <c r="Q7631">
        <v>0.18646560000000001</v>
      </c>
      <c r="R7631">
        <v>-6.4650319999999999E-3</v>
      </c>
      <c r="S7631">
        <v>3.079758</v>
      </c>
      <c r="T7631">
        <v>-0.1402688</v>
      </c>
      <c r="U7631">
        <v>-5.1910400000000002E-2</v>
      </c>
      <c r="V7631">
        <v>-2.5057949999999999E-3</v>
      </c>
      <c r="W7631">
        <v>0.1947624</v>
      </c>
      <c r="X7631">
        <v>0.98084720000000003</v>
      </c>
      <c r="Y7631">
        <v>6.6543150000000001E-3</v>
      </c>
      <c r="Z7631">
        <v>3.1295779999999999E-4</v>
      </c>
      <c r="AA7631">
        <v>0.99997780000000003</v>
      </c>
      <c r="AB7631">
        <v>32</v>
      </c>
      <c r="AC7631">
        <v>24.151999999999902</v>
      </c>
      <c r="AD7631">
        <v>-1.107391301734</v>
      </c>
      <c r="AE7631">
        <v>-0.40716000000001101</v>
      </c>
      <c r="AF7631">
        <v>0.16038144214261099</v>
      </c>
      <c r="AG7631">
        <v>-1.107391301734</v>
      </c>
      <c r="AH7631">
        <v>24.104236983007699</v>
      </c>
      <c r="AI7631">
        <v>92.630361770777</v>
      </c>
      <c r="AJ7631">
        <v>89.618778883078207</v>
      </c>
      <c r="AK7631">
        <v>24.130194326510001</v>
      </c>
      <c r="AL7631">
        <v>78.769155438365601</v>
      </c>
      <c r="AM7631">
        <v>90.146374649874801</v>
      </c>
      <c r="AN7631">
        <v>0.99999995060508995</v>
      </c>
    </row>
    <row r="7632" spans="1:40" x14ac:dyDescent="0.25">
      <c r="A7632" t="str">
        <f>"20190312172300294"</f>
        <v>20190312172300294</v>
      </c>
      <c r="B7632" t="str">
        <f>"1552382580288518"</f>
        <v>1552382580288518</v>
      </c>
      <c r="C7632" t="s">
        <v>40</v>
      </c>
      <c r="D7632">
        <v>3.1888480000000001</v>
      </c>
      <c r="E7632">
        <v>0.50620790000000004</v>
      </c>
      <c r="F7632" t="s">
        <v>78</v>
      </c>
      <c r="G7632">
        <v>-215.34229999999999</v>
      </c>
      <c r="H7632" s="1">
        <v>-2.1802030000000002E-6</v>
      </c>
      <c r="I7632">
        <v>-63.838889999999999</v>
      </c>
      <c r="J7632">
        <v>-239.6301</v>
      </c>
      <c r="K7632">
        <v>1.107402</v>
      </c>
      <c r="L7632">
        <v>-63.418700000000001</v>
      </c>
      <c r="M7632">
        <v>0.99989839999999997</v>
      </c>
      <c r="N7632">
        <v>0</v>
      </c>
      <c r="O7632">
        <v>-1.144266E-2</v>
      </c>
      <c r="P7632">
        <v>0.98239849999999995</v>
      </c>
      <c r="Q7632">
        <v>0.18666279999999999</v>
      </c>
      <c r="R7632">
        <v>-7.087538E-3</v>
      </c>
      <c r="S7632">
        <v>3.079758</v>
      </c>
      <c r="T7632">
        <v>-0.1395169</v>
      </c>
      <c r="U7632">
        <v>-5.3283690000000002E-2</v>
      </c>
      <c r="V7632">
        <v>-3.096812E-3</v>
      </c>
      <c r="W7632">
        <v>0.19501640000000001</v>
      </c>
      <c r="X7632">
        <v>0.98079510000000003</v>
      </c>
      <c r="Y7632">
        <v>5.8619040000000002E-3</v>
      </c>
      <c r="Z7632">
        <v>3.8536190000000001E-4</v>
      </c>
      <c r="AA7632">
        <v>0.99998279999999995</v>
      </c>
      <c r="AB7632">
        <v>32</v>
      </c>
      <c r="AC7632">
        <v>24.287800000000001</v>
      </c>
      <c r="AD7632">
        <v>-1.1074041802029999</v>
      </c>
      <c r="AE7632">
        <v>-0.42018999999999801</v>
      </c>
      <c r="AF7632">
        <v>0.14194041662179999</v>
      </c>
      <c r="AG7632">
        <v>-1.1074041802029999</v>
      </c>
      <c r="AH7632">
        <v>24.240638983276799</v>
      </c>
      <c r="AI7632">
        <v>92.615624761160007</v>
      </c>
      <c r="AJ7632">
        <v>89.664509921701494</v>
      </c>
      <c r="AK7632">
        <v>24.266336135019699</v>
      </c>
      <c r="AL7632">
        <v>78.7543184476649</v>
      </c>
      <c r="AM7632">
        <v>90.180907987719095</v>
      </c>
      <c r="AN7632">
        <v>1.00000000734876</v>
      </c>
    </row>
    <row r="7633" spans="1:40" x14ac:dyDescent="0.25">
      <c r="A7633" t="str">
        <f>"20190312172300306"</f>
        <v>20190312172300306</v>
      </c>
      <c r="B7633" t="str">
        <f>"1552382580298277"</f>
        <v>1552382580298277</v>
      </c>
      <c r="C7633" t="s">
        <v>40</v>
      </c>
      <c r="D7633">
        <v>3.1781579999999998</v>
      </c>
      <c r="E7633">
        <v>0.50614389999999998</v>
      </c>
      <c r="F7633" t="s">
        <v>78</v>
      </c>
      <c r="G7633">
        <v>-215.09209999999999</v>
      </c>
      <c r="H7633" s="1">
        <v>-2.076847E-6</v>
      </c>
      <c r="I7633">
        <v>-63.853879999999997</v>
      </c>
      <c r="J7633">
        <v>-239.46809999999999</v>
      </c>
      <c r="K7633">
        <v>1.1074189999999999</v>
      </c>
      <c r="L7633">
        <v>-63.421719999999901</v>
      </c>
      <c r="M7633">
        <v>0.99988250000000001</v>
      </c>
      <c r="N7633">
        <v>0</v>
      </c>
      <c r="O7633">
        <v>-1.2717020000000001E-2</v>
      </c>
      <c r="P7633">
        <v>0.98234849999999996</v>
      </c>
      <c r="Q7633">
        <v>0.18690319999999999</v>
      </c>
      <c r="R7633">
        <v>-7.699198E-3</v>
      </c>
      <c r="S7633">
        <v>3.0797729999999999</v>
      </c>
      <c r="T7633">
        <v>-0.13899029999999901</v>
      </c>
      <c r="U7633">
        <v>-5.4626460000000002E-2</v>
      </c>
      <c r="V7633">
        <v>-3.7326030000000001E-3</v>
      </c>
      <c r="W7633">
        <v>0.19535069999999999</v>
      </c>
      <c r="X7633">
        <v>0.9807264</v>
      </c>
      <c r="Y7633">
        <v>5.0252869999999998E-3</v>
      </c>
      <c r="Z7633">
        <v>4.6024720000000001E-4</v>
      </c>
      <c r="AA7633">
        <v>0.99998719999999996</v>
      </c>
      <c r="AB7633">
        <v>32</v>
      </c>
      <c r="AC7633">
        <v>24.376000000000001</v>
      </c>
      <c r="AD7633">
        <v>-1.1074210768469901</v>
      </c>
      <c r="AE7633">
        <v>-0.43216000000000998</v>
      </c>
      <c r="AF7633">
        <v>0.12187215549406701</v>
      </c>
      <c r="AG7633">
        <v>-1.1074210768469901</v>
      </c>
      <c r="AH7633">
        <v>24.329325780640399</v>
      </c>
      <c r="AI7633">
        <v>92.606154961752395</v>
      </c>
      <c r="AJ7633">
        <v>89.712992385889294</v>
      </c>
      <c r="AK7633">
        <v>24.3548214365095</v>
      </c>
      <c r="AL7633">
        <v>78.734789337242105</v>
      </c>
      <c r="AM7633">
        <v>90.218064248995006</v>
      </c>
      <c r="AN7633">
        <v>1.0000000499863</v>
      </c>
    </row>
    <row r="7634" spans="1:40" x14ac:dyDescent="0.25">
      <c r="A7634" t="str">
        <f>"20190312172300316"</f>
        <v>20190312172300316</v>
      </c>
      <c r="B7634" t="str">
        <f>"1552382580308038"</f>
        <v>1552382580308038</v>
      </c>
      <c r="C7634" t="s">
        <v>40</v>
      </c>
      <c r="D7634">
        <v>3.1888179999999999</v>
      </c>
      <c r="E7634">
        <v>0.50610949999999999</v>
      </c>
      <c r="F7634" t="s">
        <v>78</v>
      </c>
      <c r="G7634">
        <v>-214.8236</v>
      </c>
      <c r="H7634" s="1">
        <v>-1.965636E-6</v>
      </c>
      <c r="I7634">
        <v>-63.8688</v>
      </c>
      <c r="J7634">
        <v>-239.30950000000001</v>
      </c>
      <c r="K7634">
        <v>1.107443</v>
      </c>
      <c r="L7634">
        <v>-63.424869999999999</v>
      </c>
      <c r="M7634">
        <v>0.9998648</v>
      </c>
      <c r="N7634">
        <v>0</v>
      </c>
      <c r="O7634">
        <v>-1.396153E-2</v>
      </c>
      <c r="P7634">
        <v>0.98230269999999997</v>
      </c>
      <c r="Q7634">
        <v>0.1871169</v>
      </c>
      <c r="R7634">
        <v>-8.3108169999999999E-3</v>
      </c>
      <c r="S7634">
        <v>3.0798190000000001</v>
      </c>
      <c r="T7634">
        <v>-0.13839409999999999</v>
      </c>
      <c r="U7634">
        <v>-5.5877690000000001E-2</v>
      </c>
      <c r="V7634">
        <v>-4.3379109999999999E-3</v>
      </c>
      <c r="W7634">
        <v>0.19568459999999999</v>
      </c>
      <c r="X7634">
        <v>0.98065729999999995</v>
      </c>
      <c r="Y7634">
        <v>4.1885150000000003E-3</v>
      </c>
      <c r="Z7634">
        <v>5.3294110000000003E-4</v>
      </c>
      <c r="AA7634">
        <v>0.99999110000000002</v>
      </c>
      <c r="AB7634">
        <v>32</v>
      </c>
      <c r="AC7634">
        <v>24.485900000000001</v>
      </c>
      <c r="AD7634">
        <v>-1.1074449656359999</v>
      </c>
      <c r="AE7634">
        <v>-0.44393000000000099</v>
      </c>
      <c r="AF7634">
        <v>0.10180502231040001</v>
      </c>
      <c r="AG7634">
        <v>-1.1074449656359999</v>
      </c>
      <c r="AH7634">
        <v>24.439734920580399</v>
      </c>
      <c r="AI7634">
        <v>92.594463415151594</v>
      </c>
      <c r="AJ7634">
        <v>89.761332747953801</v>
      </c>
      <c r="AK7634">
        <v>24.465024864134499</v>
      </c>
      <c r="AL7634">
        <v>78.715281329102893</v>
      </c>
      <c r="AM7634">
        <v>90.253444675450098</v>
      </c>
      <c r="AN7634">
        <v>1.0000000100961399</v>
      </c>
    </row>
    <row r="7635" spans="1:40" x14ac:dyDescent="0.25">
      <c r="A7635" t="str">
        <f>"20190312172300328"</f>
        <v>20190312172300328</v>
      </c>
      <c r="B7635" t="str">
        <f>"1552382580317799"</f>
        <v>1552382580317799</v>
      </c>
      <c r="C7635" t="s">
        <v>40</v>
      </c>
      <c r="D7635">
        <v>3.2033999999999998</v>
      </c>
      <c r="E7635">
        <v>0.50606070000000003</v>
      </c>
      <c r="F7635" t="s">
        <v>78</v>
      </c>
      <c r="G7635">
        <v>-214.5958</v>
      </c>
      <c r="H7635" s="1">
        <v>-1.8726019999999999E-6</v>
      </c>
      <c r="I7635">
        <v>-63.886420000000001</v>
      </c>
      <c r="J7635">
        <v>-239.14779999999999</v>
      </c>
      <c r="K7635">
        <v>1.1074850000000001</v>
      </c>
      <c r="L7635">
        <v>-63.428280000000001</v>
      </c>
      <c r="M7635">
        <v>0.99984479999999998</v>
      </c>
      <c r="N7635">
        <v>0</v>
      </c>
      <c r="O7635">
        <v>-1.522533E-2</v>
      </c>
      <c r="P7635">
        <v>0.98225419999999997</v>
      </c>
      <c r="Q7635">
        <v>0.18734790000000001</v>
      </c>
      <c r="R7635">
        <v>-8.8066789999999995E-3</v>
      </c>
      <c r="S7635">
        <v>3.0798489999999998</v>
      </c>
      <c r="T7635">
        <v>-0.13801060000000001</v>
      </c>
      <c r="U7635">
        <v>-5.7525630000000001E-2</v>
      </c>
      <c r="V7635">
        <v>-5.0786629999999998E-3</v>
      </c>
      <c r="W7635">
        <v>0.19608439999999999</v>
      </c>
      <c r="X7635">
        <v>0.9805739</v>
      </c>
      <c r="Y7635">
        <v>3.46117E-3</v>
      </c>
      <c r="Z7635">
        <v>6.0433790000000002E-4</v>
      </c>
      <c r="AA7635">
        <v>0.99999380000000004</v>
      </c>
      <c r="AB7635">
        <v>32</v>
      </c>
      <c r="AC7635">
        <v>24.5519999999999</v>
      </c>
      <c r="AD7635">
        <v>-1.107486872602</v>
      </c>
      <c r="AE7635">
        <v>-0.458139999999986</v>
      </c>
      <c r="AF7635">
        <v>8.4088867265934605E-2</v>
      </c>
      <c r="AG7635">
        <v>-1.107486872602</v>
      </c>
      <c r="AH7635">
        <v>24.506283582398801</v>
      </c>
      <c r="AI7635">
        <v>92.587532526549097</v>
      </c>
      <c r="AJ7635">
        <v>89.803400696250193</v>
      </c>
      <c r="AK7635">
        <v>24.531439687297901</v>
      </c>
      <c r="AL7635">
        <v>78.691922151533504</v>
      </c>
      <c r="AM7635">
        <v>90.296748010141002</v>
      </c>
      <c r="AN7635">
        <v>1.0000000290512101</v>
      </c>
    </row>
    <row r="7636" spans="1:40" x14ac:dyDescent="0.25">
      <c r="A7636" t="str">
        <f>"20190312172300339"</f>
        <v>20190312172300339</v>
      </c>
      <c r="B7636" t="str">
        <f>"1552382580328533"</f>
        <v>1552382580328533</v>
      </c>
      <c r="C7636" t="s">
        <v>40</v>
      </c>
      <c r="D7636">
        <v>3.1457359999999999</v>
      </c>
      <c r="E7636">
        <v>0.50600339999999999</v>
      </c>
      <c r="F7636" t="s">
        <v>78</v>
      </c>
      <c r="G7636">
        <v>-214.31659999999999</v>
      </c>
      <c r="H7636" s="1">
        <v>-1.7573469999999999E-6</v>
      </c>
      <c r="I7636">
        <v>-63.903350000000003</v>
      </c>
      <c r="J7636">
        <v>-238.9863</v>
      </c>
      <c r="K7636">
        <v>1.107524</v>
      </c>
      <c r="L7636">
        <v>-63.431849999999997</v>
      </c>
      <c r="M7636">
        <v>0.99982320000000002</v>
      </c>
      <c r="N7636">
        <v>0</v>
      </c>
      <c r="O7636">
        <v>-1.6486629999999999E-2</v>
      </c>
      <c r="P7636">
        <v>0.98214360000000001</v>
      </c>
      <c r="Q7636">
        <v>0.18789159999999999</v>
      </c>
      <c r="R7636">
        <v>-9.5446690000000004E-3</v>
      </c>
      <c r="S7636">
        <v>3.0798649999999999</v>
      </c>
      <c r="T7636">
        <v>-0.13736370000000001</v>
      </c>
      <c r="U7636">
        <v>-5.892944E-2</v>
      </c>
      <c r="V7636">
        <v>-5.5720619999999896E-3</v>
      </c>
      <c r="W7636">
        <v>0.19681100000000001</v>
      </c>
      <c r="X7636">
        <v>0.98042560000000001</v>
      </c>
      <c r="Y7636">
        <v>2.6571310000000001E-3</v>
      </c>
      <c r="Z7636">
        <v>6.7563679999999905E-4</v>
      </c>
      <c r="AA7636">
        <v>0.9999962</v>
      </c>
      <c r="AB7636">
        <v>32</v>
      </c>
      <c r="AC7636">
        <v>24.669699999999999</v>
      </c>
      <c r="AD7636">
        <v>-1.1075257573470001</v>
      </c>
      <c r="AE7636">
        <v>-0.47150000000000603</v>
      </c>
      <c r="AF7636">
        <v>6.4568977240003697E-2</v>
      </c>
      <c r="AG7636">
        <v>-1.1075257573470001</v>
      </c>
      <c r="AH7636">
        <v>24.624508293051999</v>
      </c>
      <c r="AI7636">
        <v>92.575222880564795</v>
      </c>
      <c r="AJ7636">
        <v>89.849762628334801</v>
      </c>
      <c r="AK7636">
        <v>24.649486630163199</v>
      </c>
      <c r="AL7636">
        <v>78.649463226543105</v>
      </c>
      <c r="AM7636">
        <v>90.325626134744198</v>
      </c>
      <c r="AN7636">
        <v>0.99999998736564499</v>
      </c>
    </row>
    <row r="7637" spans="1:40" x14ac:dyDescent="0.25">
      <c r="A7637" t="str">
        <f>"20190312172300350"</f>
        <v>20190312172300350</v>
      </c>
      <c r="B7637" t="str">
        <f>"1552382580348054"</f>
        <v>1552382580348054</v>
      </c>
      <c r="C7637" t="s">
        <v>40</v>
      </c>
      <c r="D7637">
        <v>3.1645509999999999</v>
      </c>
      <c r="E7637">
        <v>0.50590570000000001</v>
      </c>
      <c r="F7637" t="s">
        <v>78</v>
      </c>
      <c r="G7637">
        <v>-213.84950000000001</v>
      </c>
      <c r="H7637" s="1">
        <v>-1.5641129999999999E-6</v>
      </c>
      <c r="I7637">
        <v>-63.930190000000003</v>
      </c>
      <c r="J7637">
        <v>-238.82329999999999</v>
      </c>
      <c r="K7637">
        <v>1.107559</v>
      </c>
      <c r="L7637">
        <v>-63.4358199999999</v>
      </c>
      <c r="M7637">
        <v>0.9997994</v>
      </c>
      <c r="N7637">
        <v>0</v>
      </c>
      <c r="O7637">
        <v>-1.7769980000000001E-2</v>
      </c>
      <c r="P7637">
        <v>0.98203090000000004</v>
      </c>
      <c r="Q7637">
        <v>0.18844069999999999</v>
      </c>
      <c r="R7637">
        <v>-1.027115E-2</v>
      </c>
      <c r="S7637">
        <v>3.079895</v>
      </c>
      <c r="T7637">
        <v>-0.13570019999999999</v>
      </c>
      <c r="U7637">
        <v>-6.1065670000000002E-2</v>
      </c>
      <c r="V7637">
        <v>-6.0989590000000002E-3</v>
      </c>
      <c r="W7637">
        <v>0.19754070000000001</v>
      </c>
      <c r="X7637">
        <v>0.98027569999999997</v>
      </c>
      <c r="Y7637">
        <v>2.0681470000000002E-3</v>
      </c>
      <c r="Z7637">
        <v>7.3692240000000002E-4</v>
      </c>
      <c r="AA7637">
        <v>0.99999760000000004</v>
      </c>
      <c r="AB7637">
        <v>32</v>
      </c>
      <c r="AC7637">
        <v>24.973799999999901</v>
      </c>
      <c r="AD7637">
        <v>-1.107560564113</v>
      </c>
      <c r="AE7637">
        <v>-0.49437000000001002</v>
      </c>
      <c r="AF7637">
        <v>5.0389989003164097E-2</v>
      </c>
      <c r="AG7637">
        <v>-1.107560564113</v>
      </c>
      <c r="AH7637">
        <v>24.929628647058699</v>
      </c>
      <c r="AI7637">
        <v>92.543829082357306</v>
      </c>
      <c r="AJ7637">
        <v>89.884188817708605</v>
      </c>
      <c r="AK7637">
        <v>24.954270456866102</v>
      </c>
      <c r="AL7637">
        <v>78.606817267834103</v>
      </c>
      <c r="AM7637">
        <v>90.356471247132902</v>
      </c>
      <c r="AN7637">
        <v>0.99999998673393098</v>
      </c>
    </row>
    <row r="7638" spans="1:40" x14ac:dyDescent="0.25">
      <c r="A7638" t="str">
        <f>"20190312172300362"</f>
        <v>20190312172300362</v>
      </c>
      <c r="B7638" t="str">
        <f>"1552382580358347"</f>
        <v>1552382580358347</v>
      </c>
      <c r="C7638" t="s">
        <v>40</v>
      </c>
      <c r="D7638">
        <v>3.1804429999999999</v>
      </c>
      <c r="E7638">
        <v>0.50584249999999997</v>
      </c>
      <c r="F7638" t="s">
        <v>78</v>
      </c>
      <c r="G7638">
        <v>-213.43389999999999</v>
      </c>
      <c r="H7638" s="1">
        <v>-1.391923E-6</v>
      </c>
      <c r="I7638">
        <v>-63.953240000000001</v>
      </c>
      <c r="J7638">
        <v>-238.65539999999999</v>
      </c>
      <c r="K7638">
        <v>1.107593</v>
      </c>
      <c r="L7638">
        <v>-63.43994</v>
      </c>
      <c r="M7638">
        <v>0.99977340000000003</v>
      </c>
      <c r="N7638">
        <v>0</v>
      </c>
      <c r="O7638">
        <v>-1.909257E-2</v>
      </c>
      <c r="P7638">
        <v>0.98187000000000002</v>
      </c>
      <c r="Q7638">
        <v>0.18922169999999999</v>
      </c>
      <c r="R7638">
        <v>-1.124206E-2</v>
      </c>
      <c r="S7638">
        <v>3.0800019999999999</v>
      </c>
      <c r="T7638">
        <v>-0.13435859999999999</v>
      </c>
      <c r="U7638">
        <v>-6.2774659999999996E-2</v>
      </c>
      <c r="V7638">
        <v>-6.4169439999999999E-3</v>
      </c>
      <c r="W7638">
        <v>0.1985016</v>
      </c>
      <c r="X7638">
        <v>0.98007949999999999</v>
      </c>
      <c r="Y7638">
        <v>1.3008819999999999E-3</v>
      </c>
      <c r="Z7638">
        <v>8.0399219999999997E-4</v>
      </c>
      <c r="AA7638">
        <v>0.99999879999999997</v>
      </c>
      <c r="AB7638">
        <v>32</v>
      </c>
      <c r="AC7638">
        <v>25.221499999999899</v>
      </c>
      <c r="AD7638">
        <v>-1.107594391923</v>
      </c>
      <c r="AE7638">
        <v>-0.51330000000000098</v>
      </c>
      <c r="AF7638">
        <v>3.1580955422817199E-2</v>
      </c>
      <c r="AG7638">
        <v>-1.107594391923</v>
      </c>
      <c r="AH7638">
        <v>25.178166879880202</v>
      </c>
      <c r="AI7638">
        <v>92.518830975833794</v>
      </c>
      <c r="AJ7638">
        <v>89.928133985351906</v>
      </c>
      <c r="AK7638">
        <v>25.202536581163098</v>
      </c>
      <c r="AL7638">
        <v>78.550649009905598</v>
      </c>
      <c r="AM7638">
        <v>90.375131359270497</v>
      </c>
      <c r="AN7638">
        <v>0.99999994434655304</v>
      </c>
    </row>
    <row r="7639" spans="1:40" x14ac:dyDescent="0.25">
      <c r="A7639" t="str">
        <f>"20190312172300372"</f>
        <v>20190312172300372</v>
      </c>
      <c r="B7639" t="str">
        <f>"1552382580368098"</f>
        <v>1552382580368098</v>
      </c>
      <c r="C7639" t="s">
        <v>40</v>
      </c>
      <c r="D7639">
        <v>3.187961</v>
      </c>
      <c r="E7639">
        <v>0.50579739999999995</v>
      </c>
      <c r="F7639" t="s">
        <v>78</v>
      </c>
      <c r="G7639">
        <v>-212.80760000000001</v>
      </c>
      <c r="H7639" s="1">
        <v>-1.132815E-6</v>
      </c>
      <c r="I7639">
        <v>-63.989229999999999</v>
      </c>
      <c r="J7639">
        <v>-238.49080000000001</v>
      </c>
      <c r="K7639">
        <v>1.107618</v>
      </c>
      <c r="L7639">
        <v>-63.444339999999997</v>
      </c>
      <c r="M7639">
        <v>0.99974620000000003</v>
      </c>
      <c r="N7639">
        <v>0</v>
      </c>
      <c r="O7639">
        <v>-2.038937E-2</v>
      </c>
      <c r="P7639">
        <v>0.98178339999999997</v>
      </c>
      <c r="Q7639">
        <v>0.1896215</v>
      </c>
      <c r="R7639">
        <v>-1.204276E-2</v>
      </c>
      <c r="S7639">
        <v>3.0800779999999999</v>
      </c>
      <c r="T7639">
        <v>-0.13198299999999999</v>
      </c>
      <c r="U7639">
        <v>-6.5460210000000005E-2</v>
      </c>
      <c r="V7639">
        <v>-6.8830189999999998E-3</v>
      </c>
      <c r="W7639">
        <v>0.19905970000000001</v>
      </c>
      <c r="X7639">
        <v>0.97996320000000003</v>
      </c>
      <c r="Y7639">
        <v>8.7575399999999996E-4</v>
      </c>
      <c r="Z7639">
        <v>8.5439100000000003E-4</v>
      </c>
      <c r="AA7639">
        <v>0.99999919999999998</v>
      </c>
      <c r="AB7639">
        <v>32</v>
      </c>
      <c r="AC7639">
        <v>25.683199999999999</v>
      </c>
      <c r="AD7639">
        <v>-1.107619132815</v>
      </c>
      <c r="AE7639">
        <v>-0.54489000000000198</v>
      </c>
      <c r="AF7639">
        <v>2.1049276103422301E-2</v>
      </c>
      <c r="AG7639">
        <v>-1.107619132815</v>
      </c>
      <c r="AH7639">
        <v>25.641302797867802</v>
      </c>
      <c r="AI7639">
        <v>92.473448895994807</v>
      </c>
      <c r="AJ7639">
        <v>89.952965166351902</v>
      </c>
      <c r="AK7639">
        <v>25.665223014564798</v>
      </c>
      <c r="AL7639">
        <v>78.518021836937095</v>
      </c>
      <c r="AM7639">
        <v>90.402424758469806</v>
      </c>
      <c r="AN7639">
        <v>1.0000000067344399</v>
      </c>
    </row>
    <row r="7640" spans="1:40" x14ac:dyDescent="0.25">
      <c r="A7640" t="str">
        <f>"20190312172300384"</f>
        <v>20190312172300384</v>
      </c>
      <c r="B7640" t="str">
        <f>"1552382580377858"</f>
        <v>1552382580377858</v>
      </c>
      <c r="C7640" t="s">
        <v>40</v>
      </c>
      <c r="D7640">
        <v>3.2566959999999998</v>
      </c>
      <c r="E7640">
        <v>0.50574180000000002</v>
      </c>
      <c r="F7640" t="s">
        <v>78</v>
      </c>
      <c r="G7640">
        <v>-212.4682</v>
      </c>
      <c r="H7640" s="1">
        <v>-9.945395000000001E-7</v>
      </c>
      <c r="I7640">
        <v>-64.016649999999998</v>
      </c>
      <c r="J7640">
        <v>-238.32900000000001</v>
      </c>
      <c r="K7640">
        <v>1.10764</v>
      </c>
      <c r="L7640">
        <v>-63.448790000000002</v>
      </c>
      <c r="M7640">
        <v>0.99971810000000005</v>
      </c>
      <c r="N7640">
        <v>0</v>
      </c>
      <c r="O7640">
        <v>-2.1659270000000001E-2</v>
      </c>
      <c r="P7640">
        <v>0.98163639999999996</v>
      </c>
      <c r="Q7640">
        <v>0.1903243</v>
      </c>
      <c r="R7640">
        <v>-1.2891039999999999E-2</v>
      </c>
      <c r="S7640">
        <v>3.0801850000000002</v>
      </c>
      <c r="T7640">
        <v>-0.13110450000000001</v>
      </c>
      <c r="U7640">
        <v>-6.7749019999999993E-2</v>
      </c>
      <c r="V7640">
        <v>-7.27285E-3</v>
      </c>
      <c r="W7640">
        <v>0.19990959999999999</v>
      </c>
      <c r="X7640">
        <v>0.97978730000000003</v>
      </c>
      <c r="Y7640">
        <v>3.4886589999999902E-4</v>
      </c>
      <c r="Z7640">
        <v>9.1388720000000001E-4</v>
      </c>
      <c r="AA7640">
        <v>0.99999950000000004</v>
      </c>
      <c r="AB7640">
        <v>32</v>
      </c>
      <c r="AC7640">
        <v>25.860800000000001</v>
      </c>
      <c r="AD7640">
        <v>-1.1076409945395</v>
      </c>
      <c r="AE7640">
        <v>-0.56785999999999504</v>
      </c>
      <c r="AF7640">
        <v>7.5603662132873702E-3</v>
      </c>
      <c r="AG7640">
        <v>-1.1076409945395</v>
      </c>
      <c r="AH7640">
        <v>25.819689766042</v>
      </c>
      <c r="AI7640">
        <v>92.4564301088664</v>
      </c>
      <c r="AJ7640">
        <v>89.983222995042198</v>
      </c>
      <c r="AK7640">
        <v>25.843438342190002</v>
      </c>
      <c r="AL7640">
        <v>78.468326652448894</v>
      </c>
      <c r="AM7640">
        <v>90.425292261834002</v>
      </c>
      <c r="AN7640">
        <v>0.99999994788028401</v>
      </c>
    </row>
    <row r="7641" spans="1:40" x14ac:dyDescent="0.25">
      <c r="A7641" t="str">
        <f>"20190312172300395"</f>
        <v>20190312172300395</v>
      </c>
      <c r="B7641" t="str">
        <f>"1552382580387619"</f>
        <v>1552382580387619</v>
      </c>
      <c r="C7641" t="s">
        <v>40</v>
      </c>
      <c r="D7641">
        <v>3.2197179999999999</v>
      </c>
      <c r="E7641">
        <v>0.5056908</v>
      </c>
      <c r="F7641" t="s">
        <v>78</v>
      </c>
      <c r="G7641">
        <v>-211.8699</v>
      </c>
      <c r="H7641" s="1">
        <v>-7.4692260000000003E-7</v>
      </c>
      <c r="I7641">
        <v>-64.050629999999998</v>
      </c>
      <c r="J7641">
        <v>-238.16800000000001</v>
      </c>
      <c r="K7641">
        <v>1.107653</v>
      </c>
      <c r="L7641">
        <v>-63.45346</v>
      </c>
      <c r="M7641">
        <v>0.99968889999999999</v>
      </c>
      <c r="N7641">
        <v>0</v>
      </c>
      <c r="O7641">
        <v>-2.291632E-2</v>
      </c>
      <c r="P7641">
        <v>0.98154470000000005</v>
      </c>
      <c r="Q7641">
        <v>0.19074169999999999</v>
      </c>
      <c r="R7641">
        <v>-1.3704890000000001E-2</v>
      </c>
      <c r="S7641">
        <v>3.0801850000000002</v>
      </c>
      <c r="T7641">
        <v>-0.12894420000000001</v>
      </c>
      <c r="U7641">
        <v>-7.0068359999999996E-2</v>
      </c>
      <c r="V7641">
        <v>-7.6877639999999997E-3</v>
      </c>
      <c r="W7641">
        <v>0.20046549999999999</v>
      </c>
      <c r="X7641">
        <v>0.97967059999999995</v>
      </c>
      <c r="Y7641">
        <v>-1.5506259999999999E-4</v>
      </c>
      <c r="Z7641">
        <v>9.6195470000000002E-4</v>
      </c>
      <c r="AA7641">
        <v>0.99999950000000004</v>
      </c>
      <c r="AB7641">
        <v>32</v>
      </c>
      <c r="AC7641">
        <v>26.298100000000002</v>
      </c>
      <c r="AD7641">
        <v>-1.1076537469226</v>
      </c>
      <c r="AE7641">
        <v>-0.59716999999999798</v>
      </c>
      <c r="AF7641">
        <v>-5.6616907156628003E-3</v>
      </c>
      <c r="AG7641">
        <v>-1.1076537469226</v>
      </c>
      <c r="AH7641">
        <v>26.258319839399501</v>
      </c>
      <c r="AI7641">
        <v>92.415473698131294</v>
      </c>
      <c r="AJ7641">
        <v>90.012353836036397</v>
      </c>
      <c r="AK7641">
        <v>26.281672124619799</v>
      </c>
      <c r="AL7641">
        <v>78.435818498573894</v>
      </c>
      <c r="AM7641">
        <v>90.449607643537007</v>
      </c>
      <c r="AN7641">
        <v>1.0000000014549599</v>
      </c>
    </row>
    <row r="7642" spans="1:40" x14ac:dyDescent="0.25">
      <c r="A7642" t="str">
        <f>"20190312172300407"</f>
        <v>20190312172300407</v>
      </c>
      <c r="B7642" t="str">
        <f>"1552382580398355"</f>
        <v>1552382580398355</v>
      </c>
      <c r="C7642" t="s">
        <v>40</v>
      </c>
      <c r="D7642">
        <v>3.1753130000000001</v>
      </c>
      <c r="E7642">
        <v>0.50564240000000005</v>
      </c>
      <c r="F7642" t="s">
        <v>78</v>
      </c>
      <c r="G7642">
        <v>-211.4436</v>
      </c>
      <c r="H7642" s="1">
        <v>-5.718883E-7</v>
      </c>
      <c r="I7642">
        <v>-64.080129999999997</v>
      </c>
      <c r="J7642">
        <v>-238.00800000000001</v>
      </c>
      <c r="K7642">
        <v>1.1076760000000001</v>
      </c>
      <c r="L7642">
        <v>-63.45834</v>
      </c>
      <c r="M7642">
        <v>0.99965820000000005</v>
      </c>
      <c r="N7642">
        <v>0</v>
      </c>
      <c r="O7642">
        <v>-2.4154499999999999E-2</v>
      </c>
      <c r="P7642">
        <v>0.98146979999999995</v>
      </c>
      <c r="Q7642">
        <v>0.19108130000000001</v>
      </c>
      <c r="R7642">
        <v>-1.4325009999999999E-2</v>
      </c>
      <c r="S7642">
        <v>3.0801850000000002</v>
      </c>
      <c r="T7642">
        <v>-0.12766549999999999</v>
      </c>
      <c r="U7642">
        <v>-7.2235110000000005E-2</v>
      </c>
      <c r="V7642">
        <v>-8.2816179999999993E-3</v>
      </c>
      <c r="W7642">
        <v>0.2009378</v>
      </c>
      <c r="X7642">
        <v>0.97956900000000002</v>
      </c>
      <c r="Y7642">
        <v>-6.8949820000000005E-4</v>
      </c>
      <c r="Z7642">
        <v>1.01476E-3</v>
      </c>
      <c r="AA7642">
        <v>0.99999919999999998</v>
      </c>
      <c r="AB7642">
        <v>32</v>
      </c>
      <c r="AC7642">
        <v>26.5643999999999</v>
      </c>
      <c r="AD7642">
        <v>-1.1076765718882999</v>
      </c>
      <c r="AE7642">
        <v>-0.62179000000001095</v>
      </c>
      <c r="AF7642">
        <v>-2.0038509768317201E-2</v>
      </c>
      <c r="AG7642">
        <v>-1.1076765718882999</v>
      </c>
      <c r="AH7642">
        <v>26.525573612129101</v>
      </c>
      <c r="AI7642">
        <v>92.391213998168794</v>
      </c>
      <c r="AJ7642">
        <v>90.043283581189797</v>
      </c>
      <c r="AK7642">
        <v>26.548698732372301</v>
      </c>
      <c r="AL7642">
        <v>78.408195687335294</v>
      </c>
      <c r="AM7642">
        <v>90.484386964327797</v>
      </c>
      <c r="AN7642">
        <v>1.00000000521326</v>
      </c>
    </row>
    <row r="7643" spans="1:40" x14ac:dyDescent="0.25">
      <c r="A7643" t="str">
        <f>"20190312172300416"</f>
        <v>20190312172300416</v>
      </c>
      <c r="B7643" t="str">
        <f>"1552382580408116"</f>
        <v>1552382580408116</v>
      </c>
      <c r="C7643" t="s">
        <v>40</v>
      </c>
      <c r="D7643">
        <v>3.1744129999999999</v>
      </c>
      <c r="E7643">
        <v>0.50558559999999997</v>
      </c>
      <c r="F7643" t="s">
        <v>78</v>
      </c>
      <c r="G7643">
        <v>-211.0806</v>
      </c>
      <c r="H7643" s="1">
        <v>-4.2290899999999999E-7</v>
      </c>
      <c r="I7643">
        <v>-64.105509999999995</v>
      </c>
      <c r="J7643">
        <v>-237.8493</v>
      </c>
      <c r="K7643">
        <v>1.1076979999999901</v>
      </c>
      <c r="L7643">
        <v>-63.463290000000001</v>
      </c>
      <c r="M7643">
        <v>0.99962669999999998</v>
      </c>
      <c r="N7643">
        <v>0</v>
      </c>
      <c r="O7643">
        <v>-2.5375439999999999E-2</v>
      </c>
      <c r="P7643">
        <v>0.98138829999999999</v>
      </c>
      <c r="Q7643">
        <v>0.19144849999999999</v>
      </c>
      <c r="R7643">
        <v>-1.4985709999999999E-2</v>
      </c>
      <c r="S7643">
        <v>3.0802309999999999</v>
      </c>
      <c r="T7643">
        <v>-0.1267075</v>
      </c>
      <c r="U7643">
        <v>-7.403564E-2</v>
      </c>
      <c r="V7643">
        <v>-8.8183280000000003E-3</v>
      </c>
      <c r="W7643">
        <v>0.2014329</v>
      </c>
      <c r="X7643">
        <v>0.97946259999999996</v>
      </c>
      <c r="Y7643">
        <v>-1.3257810000000001E-3</v>
      </c>
      <c r="Z7643">
        <v>1.070388E-3</v>
      </c>
      <c r="AA7643">
        <v>0.99999859999999896</v>
      </c>
      <c r="AB7643">
        <v>32</v>
      </c>
      <c r="AC7643">
        <v>26.7686999999999</v>
      </c>
      <c r="AD7643">
        <v>-1.1076984229089999</v>
      </c>
      <c r="AE7643">
        <v>-0.64221999999999402</v>
      </c>
      <c r="AF7643">
        <v>-3.7225487658682603E-2</v>
      </c>
      <c r="AG7643">
        <v>-1.1076984229089999</v>
      </c>
      <c r="AH7643">
        <v>26.730631380502</v>
      </c>
      <c r="AI7643">
        <v>92.372936543956996</v>
      </c>
      <c r="AJ7643">
        <v>90.079790930636406</v>
      </c>
      <c r="AK7643">
        <v>26.753598552967102</v>
      </c>
      <c r="AL7643">
        <v>78.379236130440702</v>
      </c>
      <c r="AM7643">
        <v>90.515833198530601</v>
      </c>
      <c r="AN7643">
        <v>0.99999998045494198</v>
      </c>
    </row>
    <row r="7644" spans="1:40" x14ac:dyDescent="0.25">
      <c r="A7644" t="str">
        <f>"20190312172300428"</f>
        <v>20190312172300428</v>
      </c>
      <c r="B7644" t="str">
        <f>"1552382580417875"</f>
        <v>1552382580417875</v>
      </c>
      <c r="C7644" t="s">
        <v>40</v>
      </c>
      <c r="D7644">
        <v>3.1975730000000002</v>
      </c>
      <c r="E7644">
        <v>0.50553199999999998</v>
      </c>
      <c r="F7644" t="s">
        <v>78</v>
      </c>
      <c r="G7644">
        <v>-210.69980000000001</v>
      </c>
      <c r="H7644" s="1">
        <v>-2.6568739999999998E-7</v>
      </c>
      <c r="I7644">
        <v>-64.128690000000006</v>
      </c>
      <c r="J7644">
        <v>-237.68889999999999</v>
      </c>
      <c r="K7644">
        <v>1.107728</v>
      </c>
      <c r="L7644">
        <v>-63.468600000000002</v>
      </c>
      <c r="M7644">
        <v>0.99959390000000004</v>
      </c>
      <c r="N7644">
        <v>0</v>
      </c>
      <c r="O7644">
        <v>-2.6590180000000001E-2</v>
      </c>
      <c r="P7644">
        <v>0.9813788</v>
      </c>
      <c r="Q7644">
        <v>0.19144230000000001</v>
      </c>
      <c r="R7644">
        <v>-1.5674480000000001E-2</v>
      </c>
      <c r="S7644">
        <v>3.0802610000000001</v>
      </c>
      <c r="T7644">
        <v>-0.12567420000000001</v>
      </c>
      <c r="U7644">
        <v>-7.5500490000000003E-2</v>
      </c>
      <c r="V7644">
        <v>-9.3299820000000006E-3</v>
      </c>
      <c r="W7644">
        <v>0.2015478</v>
      </c>
      <c r="X7644">
        <v>0.97943429999999998</v>
      </c>
      <c r="Y7644">
        <v>-2.0647310000000002E-3</v>
      </c>
      <c r="Z7644">
        <v>1.1262310000000001E-3</v>
      </c>
      <c r="AA7644">
        <v>0.99999729999999998</v>
      </c>
      <c r="AB7644">
        <v>32</v>
      </c>
      <c r="AC7644">
        <v>26.989099999999901</v>
      </c>
      <c r="AD7644">
        <v>-1.1077282656873999</v>
      </c>
      <c r="AE7644">
        <v>-0.66009000000000295</v>
      </c>
      <c r="AF7644">
        <v>-5.77289350321799E-2</v>
      </c>
      <c r="AG7644">
        <v>-1.1077282656873999</v>
      </c>
      <c r="AH7644">
        <v>26.951733985048001</v>
      </c>
      <c r="AI7644">
        <v>92.353552003374901</v>
      </c>
      <c r="AJ7644">
        <v>90.122723802358294</v>
      </c>
      <c r="AK7644">
        <v>26.974550215737299</v>
      </c>
      <c r="AL7644">
        <v>78.372515890395903</v>
      </c>
      <c r="AM7644">
        <v>90.545776702980902</v>
      </c>
      <c r="AN7644">
        <v>1.00000005613272</v>
      </c>
    </row>
    <row r="7645" spans="1:40" x14ac:dyDescent="0.25">
      <c r="A7645" t="str">
        <f>"20190312172300440"</f>
        <v>20190312172300440</v>
      </c>
      <c r="B7645" t="str">
        <f>"1552382580427635"</f>
        <v>1552382580427635</v>
      </c>
      <c r="C7645" t="s">
        <v>40</v>
      </c>
      <c r="D7645">
        <v>3.160107</v>
      </c>
      <c r="E7645">
        <v>0.50547449999999905</v>
      </c>
      <c r="F7645" t="s">
        <v>78</v>
      </c>
      <c r="G7645">
        <v>-210.57849999999999</v>
      </c>
      <c r="H7645" s="1">
        <v>-2.18776E-7</v>
      </c>
      <c r="I7645">
        <v>-64.147819999999996</v>
      </c>
      <c r="J7645">
        <v>-237.523</v>
      </c>
      <c r="K7645">
        <v>1.1077570000000001</v>
      </c>
      <c r="L7645">
        <v>-63.4741199999999</v>
      </c>
      <c r="M7645">
        <v>0.99955850000000002</v>
      </c>
      <c r="N7645">
        <v>0</v>
      </c>
      <c r="O7645">
        <v>-2.784039E-2</v>
      </c>
      <c r="P7645">
        <v>0.98124579999999995</v>
      </c>
      <c r="Q7645">
        <v>0.1920781</v>
      </c>
      <c r="R7645">
        <v>-1.6199350000000001E-2</v>
      </c>
      <c r="S7645">
        <v>3.0802459999999998</v>
      </c>
      <c r="T7645">
        <v>-0.12585839999999901</v>
      </c>
      <c r="U7645">
        <v>-7.7178960000000005E-2</v>
      </c>
      <c r="V7645">
        <v>-1.0034059999999999E-2</v>
      </c>
      <c r="W7645">
        <v>0.20230670000000001</v>
      </c>
      <c r="X7645">
        <v>0.9792708</v>
      </c>
      <c r="Y7645">
        <v>-2.7691080000000002E-3</v>
      </c>
      <c r="Z7645">
        <v>1.1932939999999999E-3</v>
      </c>
      <c r="AA7645">
        <v>0.99999550000000004</v>
      </c>
      <c r="AB7645">
        <v>32</v>
      </c>
      <c r="AC7645">
        <v>26.944500000000001</v>
      </c>
      <c r="AD7645">
        <v>-1.1077572187760001</v>
      </c>
      <c r="AE7645">
        <v>-0.67370000000000296</v>
      </c>
      <c r="AF7645">
        <v>-7.66175392391579E-2</v>
      </c>
      <c r="AG7645">
        <v>-1.1077572187760001</v>
      </c>
      <c r="AH7645">
        <v>26.907360222397401</v>
      </c>
      <c r="AI7645">
        <v>92.357486346470793</v>
      </c>
      <c r="AJ7645">
        <v>90.163146802009194</v>
      </c>
      <c r="AK7645">
        <v>26.9302623537336</v>
      </c>
      <c r="AL7645">
        <v>78.328118818728996</v>
      </c>
      <c r="AM7645">
        <v>90.5870584221922</v>
      </c>
      <c r="AN7645">
        <v>0.99999999147880603</v>
      </c>
    </row>
    <row r="7646" spans="1:40" x14ac:dyDescent="0.25">
      <c r="A7646" t="str">
        <f>"20190312172300453"</f>
        <v>20190312172300453</v>
      </c>
      <c r="B7646" t="str">
        <f>"1552382580448131"</f>
        <v>1552382580448131</v>
      </c>
      <c r="C7646" t="s">
        <v>40</v>
      </c>
      <c r="D7646">
        <v>3.1600579999999998</v>
      </c>
      <c r="E7646">
        <v>0.50535079999999999</v>
      </c>
      <c r="F7646" t="s">
        <v>43</v>
      </c>
      <c r="G7646">
        <v>-208.77160000000001</v>
      </c>
      <c r="H7646">
        <v>-0.05</v>
      </c>
      <c r="I7646">
        <v>-64.203339999999997</v>
      </c>
      <c r="J7646">
        <v>-237.35810000000001</v>
      </c>
      <c r="K7646">
        <v>1.107799</v>
      </c>
      <c r="L7646">
        <v>-63.479979999999998</v>
      </c>
      <c r="M7646">
        <v>0.99952289999999999</v>
      </c>
      <c r="N7646">
        <v>0</v>
      </c>
      <c r="O7646">
        <v>-2.9048299999999999E-2</v>
      </c>
      <c r="P7646">
        <v>0.98118640000000001</v>
      </c>
      <c r="Q7646">
        <v>0.1923058</v>
      </c>
      <c r="R7646">
        <v>-1.7080959999999999E-2</v>
      </c>
      <c r="S7646">
        <v>3.0803069999999999</v>
      </c>
      <c r="T7646">
        <v>-0.1240373</v>
      </c>
      <c r="U7646">
        <v>-7.8125E-2</v>
      </c>
      <c r="V7646">
        <v>-1.035225E-2</v>
      </c>
      <c r="W7646">
        <v>0.20264289999999999</v>
      </c>
      <c r="X7646">
        <v>0.97919800000000001</v>
      </c>
      <c r="Y7646">
        <v>-3.6701899999999998E-3</v>
      </c>
      <c r="Z7646">
        <v>1.2427370000000001E-3</v>
      </c>
      <c r="AA7646">
        <v>0.99999249999999995</v>
      </c>
      <c r="AB7646">
        <v>32</v>
      </c>
      <c r="AC7646">
        <v>28.586500000000001</v>
      </c>
      <c r="AD7646">
        <v>-1.157799</v>
      </c>
      <c r="AE7646">
        <v>-0.72335999999999201</v>
      </c>
      <c r="AF7646">
        <v>-0.107204514564573</v>
      </c>
      <c r="AG7646">
        <v>-1.157799</v>
      </c>
      <c r="AH7646">
        <v>28.5486483088198</v>
      </c>
      <c r="AI7646">
        <v>92.322358506978404</v>
      </c>
      <c r="AJ7646">
        <v>90.215153351275603</v>
      </c>
      <c r="AK7646">
        <v>28.572317224772299</v>
      </c>
      <c r="AL7646">
        <v>78.308448878139203</v>
      </c>
      <c r="AM7646">
        <v>90.605718288185301</v>
      </c>
      <c r="AN7646">
        <v>1.00000001860223</v>
      </c>
    </row>
    <row r="7647" spans="1:40" x14ac:dyDescent="0.25">
      <c r="A7647" t="str">
        <f>"20190312172300463"</f>
        <v>20190312172300463</v>
      </c>
      <c r="B7647" t="str">
        <f>"1552382580457890"</f>
        <v>1552382580457890</v>
      </c>
      <c r="C7647" t="s">
        <v>40</v>
      </c>
      <c r="D7647">
        <v>3.185848</v>
      </c>
      <c r="E7647">
        <v>0.50535079999999999</v>
      </c>
      <c r="F7647" t="s">
        <v>64</v>
      </c>
      <c r="G7647">
        <v>-209.75489999999999</v>
      </c>
      <c r="H7647" s="1">
        <v>-1.08925E-6</v>
      </c>
      <c r="I7647">
        <v>-64.192099999999996</v>
      </c>
      <c r="J7647">
        <v>-237.19139999999999</v>
      </c>
      <c r="K7647">
        <v>1.1078440000000001</v>
      </c>
      <c r="L7647">
        <v>-63.485959999999999</v>
      </c>
      <c r="M7647">
        <v>0.99948599999999999</v>
      </c>
      <c r="N7647">
        <v>0</v>
      </c>
      <c r="O7647">
        <v>-3.0256129999999999E-2</v>
      </c>
      <c r="P7647">
        <v>0.98110600000000003</v>
      </c>
      <c r="Q7647">
        <v>0.19263530000000001</v>
      </c>
      <c r="R7647">
        <v>-1.79607E-2</v>
      </c>
      <c r="S7647">
        <v>3.0803530000000001</v>
      </c>
      <c r="T7647">
        <v>-0.12362380000000001</v>
      </c>
      <c r="U7647">
        <v>-7.9467769999999993E-2</v>
      </c>
      <c r="V7647">
        <v>-1.067157E-2</v>
      </c>
      <c r="W7647">
        <v>0.20307900000000001</v>
      </c>
      <c r="X7647">
        <v>0.97910419999999998</v>
      </c>
      <c r="Y7647">
        <v>-4.4419749999999999E-3</v>
      </c>
      <c r="Z7647">
        <v>1.3024740000000001E-3</v>
      </c>
      <c r="AA7647">
        <v>0.99998929999999997</v>
      </c>
      <c r="AB7647">
        <v>32</v>
      </c>
      <c r="AC7647">
        <v>27.436499999999899</v>
      </c>
      <c r="AD7647">
        <v>-1.10784508925</v>
      </c>
      <c r="AE7647">
        <v>-0.70613999999999699</v>
      </c>
      <c r="AF7647">
        <v>-0.124149966292996</v>
      </c>
      <c r="AG7647">
        <v>-1.10784508925</v>
      </c>
      <c r="AH7647">
        <v>27.4006587043529</v>
      </c>
      <c r="AI7647">
        <v>92.315259818455203</v>
      </c>
      <c r="AJ7647">
        <v>90.259600343778104</v>
      </c>
      <c r="AK7647">
        <v>27.4233264099806</v>
      </c>
      <c r="AL7647">
        <v>78.282931384551404</v>
      </c>
      <c r="AM7647">
        <v>90.624460309356806</v>
      </c>
      <c r="AN7647">
        <v>0.99999999855245203</v>
      </c>
    </row>
    <row r="7648" spans="1:40" x14ac:dyDescent="0.25">
      <c r="A7648" t="str">
        <f>"20190312172300474"</f>
        <v>20190312172300474</v>
      </c>
      <c r="B7648" t="str">
        <f>"1552382580467652"</f>
        <v>1552382580467652</v>
      </c>
      <c r="C7648" t="s">
        <v>40</v>
      </c>
      <c r="D7648">
        <v>3.1548370000000001</v>
      </c>
      <c r="E7648">
        <v>0.49889470000000002</v>
      </c>
      <c r="F7648" t="s">
        <v>64</v>
      </c>
      <c r="G7648">
        <v>-209.36150000000001</v>
      </c>
      <c r="H7648" s="1">
        <v>-1.247335E-6</v>
      </c>
      <c r="I7648">
        <v>-64.22157</v>
      </c>
      <c r="J7648">
        <v>-237.02959999999999</v>
      </c>
      <c r="K7648">
        <v>1.1078939999999999</v>
      </c>
      <c r="L7648">
        <v>-63.491999999999997</v>
      </c>
      <c r="M7648">
        <v>0.9994499</v>
      </c>
      <c r="N7648">
        <v>0</v>
      </c>
      <c r="O7648">
        <v>-3.1397109999999999E-2</v>
      </c>
      <c r="P7648">
        <v>0.98108399999999996</v>
      </c>
      <c r="Q7648">
        <v>0.19268089999999999</v>
      </c>
      <c r="R7648">
        <v>-1.866758E-2</v>
      </c>
      <c r="S7648">
        <v>3.080368</v>
      </c>
      <c r="T7648">
        <v>-0.12262240000000001</v>
      </c>
      <c r="U7648">
        <v>-8.1420899999999893E-2</v>
      </c>
      <c r="V7648">
        <v>-1.11045E-2</v>
      </c>
      <c r="W7648">
        <v>0.20322100000000001</v>
      </c>
      <c r="X7648">
        <v>0.97906990000000005</v>
      </c>
      <c r="Y7648">
        <v>-4.9492449999999997E-3</v>
      </c>
      <c r="Z7648">
        <v>1.347375E-3</v>
      </c>
      <c r="AA7648">
        <v>0.99998679999999995</v>
      </c>
      <c r="AB7648">
        <v>32</v>
      </c>
      <c r="AC7648">
        <v>27.6680999999999</v>
      </c>
      <c r="AD7648">
        <v>-1.1078952473350001</v>
      </c>
      <c r="AE7648">
        <v>-0.72957000000000205</v>
      </c>
      <c r="AF7648">
        <v>-0.139314457842899</v>
      </c>
      <c r="AG7648">
        <v>-1.1078952473350001</v>
      </c>
      <c r="AH7648">
        <v>27.633089678621701</v>
      </c>
      <c r="AI7648">
        <v>92.295904562369699</v>
      </c>
      <c r="AJ7648">
        <v>90.2888588617745</v>
      </c>
      <c r="AK7648">
        <v>27.655641116849601</v>
      </c>
      <c r="AL7648">
        <v>78.274621858672305</v>
      </c>
      <c r="AM7648">
        <v>90.649814384075199</v>
      </c>
      <c r="AN7648">
        <v>0.99999997692362896</v>
      </c>
    </row>
    <row r="7649" spans="1:40" x14ac:dyDescent="0.25">
      <c r="A7649" t="str">
        <f>"20190312172300486"</f>
        <v>20190312172300486</v>
      </c>
      <c r="B7649" t="str">
        <f>"1552382580478387"</f>
        <v>1552382580478387</v>
      </c>
      <c r="C7649" t="s">
        <v>40</v>
      </c>
      <c r="D7649">
        <v>3.1698430000000002</v>
      </c>
      <c r="E7649">
        <v>0.49873450000000003</v>
      </c>
      <c r="F7649" t="s">
        <v>78</v>
      </c>
      <c r="G7649">
        <v>-212.9795</v>
      </c>
      <c r="H7649" s="1">
        <v>-1.1387119999999999E-6</v>
      </c>
      <c r="I7649">
        <v>-63.73413</v>
      </c>
      <c r="J7649">
        <v>-236.86670000000001</v>
      </c>
      <c r="K7649">
        <v>1.107947</v>
      </c>
      <c r="L7649">
        <v>-63.498199999999997</v>
      </c>
      <c r="M7649">
        <v>0.999413</v>
      </c>
      <c r="N7649">
        <v>0</v>
      </c>
      <c r="O7649">
        <v>-3.2515549999999997E-2</v>
      </c>
      <c r="P7649">
        <v>0.98111519999999997</v>
      </c>
      <c r="Q7649">
        <v>0.19246460000000001</v>
      </c>
      <c r="R7649">
        <v>-1.9254400000000001E-2</v>
      </c>
      <c r="S7649">
        <v>3.085159</v>
      </c>
      <c r="T7649">
        <v>-0.14212130000000001</v>
      </c>
      <c r="U7649">
        <v>-3.106689E-2</v>
      </c>
      <c r="V7649">
        <v>-1.164075E-2</v>
      </c>
      <c r="W7649">
        <v>0.20309730000000001</v>
      </c>
      <c r="X7649">
        <v>0.9790894</v>
      </c>
      <c r="Y7649">
        <v>-2.2393630000000001E-2</v>
      </c>
      <c r="Z7649">
        <v>2.012369E-3</v>
      </c>
      <c r="AA7649">
        <v>0.99974719999999995</v>
      </c>
      <c r="AB7649">
        <v>32</v>
      </c>
      <c r="AC7649">
        <v>23.8872</v>
      </c>
      <c r="AD7649">
        <v>-1.107948138712</v>
      </c>
      <c r="AE7649">
        <v>-0.23593000000000999</v>
      </c>
      <c r="AF7649">
        <v>-0.53978427489164904</v>
      </c>
      <c r="AG7649">
        <v>-1.107948138712</v>
      </c>
      <c r="AH7649">
        <v>23.830976076657102</v>
      </c>
      <c r="AI7649">
        <v>92.661193166551001</v>
      </c>
      <c r="AJ7649">
        <v>91.297557987889306</v>
      </c>
      <c r="AK7649">
        <v>23.8628233222245</v>
      </c>
      <c r="AL7649">
        <v>78.281861010284402</v>
      </c>
      <c r="AM7649">
        <v>90.681178267556604</v>
      </c>
      <c r="AN7649">
        <v>1.0000000367601001</v>
      </c>
    </row>
    <row r="7650" spans="1:40" x14ac:dyDescent="0.25">
      <c r="A7650" t="str">
        <f>"20190312172300496"</f>
        <v>20190312172300496</v>
      </c>
      <c r="B7650" t="str">
        <f>"1552382580488147"</f>
        <v>1552382580488147</v>
      </c>
      <c r="C7650" t="s">
        <v>40</v>
      </c>
      <c r="D7650">
        <v>3.1917629999999999</v>
      </c>
      <c r="E7650">
        <v>0.49907760000000001</v>
      </c>
      <c r="F7650" t="s">
        <v>78</v>
      </c>
      <c r="G7650">
        <v>-213.64109999999999</v>
      </c>
      <c r="H7650" s="1">
        <v>-1.421713E-6</v>
      </c>
      <c r="I7650">
        <v>-63.73104</v>
      </c>
      <c r="J7650">
        <v>-236.7037</v>
      </c>
      <c r="K7650">
        <v>1.1080049999999999</v>
      </c>
      <c r="L7650">
        <v>-63.504550000000002</v>
      </c>
      <c r="M7650">
        <v>0.99937609999999999</v>
      </c>
      <c r="N7650">
        <v>0</v>
      </c>
      <c r="O7650">
        <v>-3.3604050000000003E-2</v>
      </c>
      <c r="P7650">
        <v>0.98116219999999998</v>
      </c>
      <c r="Q7650">
        <v>0.1921966</v>
      </c>
      <c r="R7650">
        <v>-1.9528650000000002E-2</v>
      </c>
      <c r="S7650">
        <v>3.086014</v>
      </c>
      <c r="T7650">
        <v>-0.1472144</v>
      </c>
      <c r="U7650">
        <v>-3.0944820000000001E-2</v>
      </c>
      <c r="V7650">
        <v>-1.246384E-2</v>
      </c>
      <c r="W7650">
        <v>0.20291790000000001</v>
      </c>
      <c r="X7650">
        <v>0.9791164</v>
      </c>
      <c r="Y7650">
        <v>-2.3518130000000002E-2</v>
      </c>
      <c r="Z7650">
        <v>2.1625070000000001E-3</v>
      </c>
      <c r="AA7650">
        <v>0.99972110000000003</v>
      </c>
      <c r="AB7650">
        <v>32</v>
      </c>
      <c r="AC7650">
        <v>23.0626</v>
      </c>
      <c r="AD7650">
        <v>-1.1080064217129999</v>
      </c>
      <c r="AE7650">
        <v>-0.226489999999998</v>
      </c>
      <c r="AF7650">
        <v>-0.547417082233014</v>
      </c>
      <c r="AG7650">
        <v>-1.1080064217129999</v>
      </c>
      <c r="AH7650">
        <v>23.004092434383299</v>
      </c>
      <c r="AI7650">
        <v>92.756776505433606</v>
      </c>
      <c r="AJ7650">
        <v>91.3631822342698</v>
      </c>
      <c r="AK7650">
        <v>23.0372657323331</v>
      </c>
      <c r="AL7650">
        <v>78.292357703558196</v>
      </c>
      <c r="AM7650">
        <v>90.729317636636907</v>
      </c>
      <c r="AN7650">
        <v>0.99999997309845701</v>
      </c>
    </row>
    <row r="7651" spans="1:40" x14ac:dyDescent="0.25">
      <c r="A7651" t="str">
        <f>"20190312172300507"</f>
        <v>20190312172300507</v>
      </c>
      <c r="B7651" t="str">
        <f>"1552382580497906"</f>
        <v>1552382580497906</v>
      </c>
      <c r="C7651" t="s">
        <v>40</v>
      </c>
      <c r="D7651">
        <v>3.1709339999999999</v>
      </c>
      <c r="E7651">
        <v>0.49931680000000001</v>
      </c>
      <c r="F7651" t="s">
        <v>78</v>
      </c>
      <c r="G7651">
        <v>-214.61340000000001</v>
      </c>
      <c r="H7651" s="1">
        <v>-1.843606E-6</v>
      </c>
      <c r="I7651">
        <v>-63.74906</v>
      </c>
      <c r="J7651">
        <v>-236.55250000000001</v>
      </c>
      <c r="K7651">
        <v>1.1080639999999999</v>
      </c>
      <c r="L7651">
        <v>-63.510590000000001</v>
      </c>
      <c r="M7651">
        <v>0.99934259999999997</v>
      </c>
      <c r="N7651">
        <v>0</v>
      </c>
      <c r="O7651">
        <v>-3.456364E-2</v>
      </c>
      <c r="P7651">
        <v>0.98123740000000004</v>
      </c>
      <c r="Q7651">
        <v>0.1917835</v>
      </c>
      <c r="R7651">
        <v>-1.9814310000000002E-2</v>
      </c>
      <c r="S7651">
        <v>3.08725</v>
      </c>
      <c r="T7651">
        <v>-0.15485019999999999</v>
      </c>
      <c r="U7651">
        <v>-3.4179689999999999E-2</v>
      </c>
      <c r="V7651">
        <v>-1.315202E-2</v>
      </c>
      <c r="W7651">
        <v>0.20258039999999999</v>
      </c>
      <c r="X7651">
        <v>0.97917730000000003</v>
      </c>
      <c r="Y7651">
        <v>-2.342677E-2</v>
      </c>
      <c r="Z7651">
        <v>2.319396E-3</v>
      </c>
      <c r="AA7651">
        <v>0.99972280000000002</v>
      </c>
      <c r="AB7651">
        <v>32</v>
      </c>
      <c r="AC7651">
        <v>21.9391</v>
      </c>
      <c r="AD7651">
        <v>-1.108065843606</v>
      </c>
      <c r="AE7651">
        <v>-0.23846999999999899</v>
      </c>
      <c r="AF7651">
        <v>-0.51869008360486402</v>
      </c>
      <c r="AG7651">
        <v>-1.108065843606</v>
      </c>
      <c r="AH7651">
        <v>21.878429574001402</v>
      </c>
      <c r="AI7651">
        <v>92.898540199142204</v>
      </c>
      <c r="AJ7651">
        <v>91.358104178506906</v>
      </c>
      <c r="AK7651">
        <v>21.912611207729999</v>
      </c>
      <c r="AL7651">
        <v>78.312105364664106</v>
      </c>
      <c r="AM7651">
        <v>90.769533695792305</v>
      </c>
      <c r="AN7651">
        <v>0.99999998946476498</v>
      </c>
    </row>
    <row r="7652" spans="1:40" x14ac:dyDescent="0.25">
      <c r="A7652" t="str">
        <f>"20190312172300517"</f>
        <v>20190312172300517</v>
      </c>
      <c r="B7652" t="str">
        <f>"1552382580507667"</f>
        <v>1552382580507667</v>
      </c>
      <c r="C7652" t="s">
        <v>40</v>
      </c>
      <c r="D7652">
        <v>3.1620680000000001</v>
      </c>
      <c r="E7652">
        <v>0.49905359999999999</v>
      </c>
      <c r="F7652" t="s">
        <v>78</v>
      </c>
      <c r="G7652">
        <v>-215.18260000000001</v>
      </c>
      <c r="H7652" s="1">
        <v>-2.0919560000000001E-6</v>
      </c>
      <c r="I7652">
        <v>-63.764609999999998</v>
      </c>
      <c r="J7652">
        <v>-236.39500000000001</v>
      </c>
      <c r="K7652">
        <v>1.1081259999999999</v>
      </c>
      <c r="L7652">
        <v>-63.516969999999901</v>
      </c>
      <c r="M7652">
        <v>0.99930759999999996</v>
      </c>
      <c r="N7652">
        <v>0</v>
      </c>
      <c r="O7652">
        <v>-3.5539349999999997E-2</v>
      </c>
      <c r="P7652">
        <v>0.98127640000000005</v>
      </c>
      <c r="Q7652">
        <v>0.19158749999999999</v>
      </c>
      <c r="R7652">
        <v>-1.9780369999999999E-2</v>
      </c>
      <c r="S7652">
        <v>3.0879059999999998</v>
      </c>
      <c r="T7652">
        <v>-0.1601137</v>
      </c>
      <c r="U7652">
        <v>-3.6712649999999999E-2</v>
      </c>
      <c r="V7652">
        <v>-1.4176299999999999E-2</v>
      </c>
      <c r="W7652">
        <v>0.2024608</v>
      </c>
      <c r="X7652">
        <v>0.97918769999999999</v>
      </c>
      <c r="Y7652">
        <v>-2.3578780000000001E-2</v>
      </c>
      <c r="Z7652">
        <v>2.4520729999999999E-3</v>
      </c>
      <c r="AA7652">
        <v>0.99971900000000002</v>
      </c>
      <c r="AB7652">
        <v>32</v>
      </c>
      <c r="AC7652">
        <v>21.212399999999999</v>
      </c>
      <c r="AD7652">
        <v>-1.1081280919559999</v>
      </c>
      <c r="AE7652">
        <v>-0.247640000000004</v>
      </c>
      <c r="AF7652">
        <v>-0.50505897603413397</v>
      </c>
      <c r="AG7652">
        <v>-1.1081280919559999</v>
      </c>
      <c r="AH7652">
        <v>21.150089227782999</v>
      </c>
      <c r="AI7652">
        <v>92.9983333007429</v>
      </c>
      <c r="AJ7652">
        <v>91.367949269048395</v>
      </c>
      <c r="AK7652">
        <v>21.1851199378393</v>
      </c>
      <c r="AL7652">
        <v>78.319102445806806</v>
      </c>
      <c r="AM7652">
        <v>90.829448140794</v>
      </c>
      <c r="AN7652">
        <v>0.99999994742480802</v>
      </c>
    </row>
    <row r="7653" spans="1:40" x14ac:dyDescent="0.25">
      <c r="A7653" t="str">
        <f>"20190312172300529"</f>
        <v>20190312172300529</v>
      </c>
      <c r="B7653" t="str">
        <f>"1552382580518403"</f>
        <v>1552382580518403</v>
      </c>
      <c r="C7653" t="s">
        <v>40</v>
      </c>
      <c r="D7653">
        <v>3.190312</v>
      </c>
      <c r="E7653">
        <v>0.49891479999999999</v>
      </c>
      <c r="F7653" t="s">
        <v>78</v>
      </c>
      <c r="G7653">
        <v>-214.8638</v>
      </c>
      <c r="H7653" s="1">
        <v>-1.9539079999999998E-6</v>
      </c>
      <c r="I7653">
        <v>-63.759950000000003</v>
      </c>
      <c r="J7653">
        <v>-236.23580000000001</v>
      </c>
      <c r="K7653">
        <v>1.108201</v>
      </c>
      <c r="L7653">
        <v>-63.523589999999999</v>
      </c>
      <c r="M7653">
        <v>0.999274</v>
      </c>
      <c r="N7653">
        <v>0</v>
      </c>
      <c r="O7653">
        <v>-3.6447180000000003E-2</v>
      </c>
      <c r="P7653">
        <v>0.98136290000000004</v>
      </c>
      <c r="Q7653">
        <v>0.19112889999999999</v>
      </c>
      <c r="R7653">
        <v>-1.9912289999999999E-2</v>
      </c>
      <c r="S7653">
        <v>3.0875699999999999</v>
      </c>
      <c r="T7653">
        <v>-0.15890460000000001</v>
      </c>
      <c r="U7653">
        <v>-3.4851069999999998E-2</v>
      </c>
      <c r="V7653">
        <v>-1.4976410000000001E-2</v>
      </c>
      <c r="W7653">
        <v>0.20207140000000001</v>
      </c>
      <c r="X7653">
        <v>0.97925629999999997</v>
      </c>
      <c r="Y7653">
        <v>-2.508637E-2</v>
      </c>
      <c r="Z7653">
        <v>2.519294E-3</v>
      </c>
      <c r="AA7653">
        <v>0.99968210000000002</v>
      </c>
      <c r="AB7653">
        <v>32</v>
      </c>
      <c r="AC7653">
        <v>21.372</v>
      </c>
      <c r="AD7653">
        <v>-1.1082029539080001</v>
      </c>
      <c r="AE7653">
        <v>-0.23635999999999699</v>
      </c>
      <c r="AF7653">
        <v>-0.54133879233183002</v>
      </c>
      <c r="AG7653">
        <v>-1.1082029539080001</v>
      </c>
      <c r="AH7653">
        <v>21.309125848184699</v>
      </c>
      <c r="AI7653">
        <v>92.976085351604794</v>
      </c>
      <c r="AJ7653">
        <v>91.455233713484702</v>
      </c>
      <c r="AK7653">
        <v>21.344788729076399</v>
      </c>
      <c r="AL7653">
        <v>78.341885196632703</v>
      </c>
      <c r="AM7653">
        <v>90.876193692877493</v>
      </c>
      <c r="AN7653">
        <v>1.00000002232206</v>
      </c>
    </row>
    <row r="7654" spans="1:40" x14ac:dyDescent="0.25">
      <c r="A7654" t="str">
        <f>"20190312172300540"</f>
        <v>20190312172300540</v>
      </c>
      <c r="B7654" t="str">
        <f>"1552382580537924"</f>
        <v>1552382580537924</v>
      </c>
      <c r="C7654" t="s">
        <v>40</v>
      </c>
      <c r="D7654">
        <v>3.1796500000000001</v>
      </c>
      <c r="E7654">
        <v>0.4988937</v>
      </c>
      <c r="F7654" t="s">
        <v>78</v>
      </c>
      <c r="G7654">
        <v>-214.8381</v>
      </c>
      <c r="H7654" s="1">
        <v>-1.943043E-6</v>
      </c>
      <c r="I7654">
        <v>-63.760420000000003</v>
      </c>
      <c r="J7654">
        <v>-236.07390000000001</v>
      </c>
      <c r="K7654">
        <v>1.1082799999999999</v>
      </c>
      <c r="L7654">
        <v>-63.530360000000002</v>
      </c>
      <c r="M7654">
        <v>0.99924000000000002</v>
      </c>
      <c r="N7654">
        <v>0</v>
      </c>
      <c r="O7654">
        <v>-3.7350519999999998E-2</v>
      </c>
      <c r="P7654">
        <v>0.98133530000000002</v>
      </c>
      <c r="Q7654">
        <v>0.1912431</v>
      </c>
      <c r="R7654">
        <v>-2.0183860000000001E-2</v>
      </c>
      <c r="S7654">
        <v>3.087402</v>
      </c>
      <c r="T7654">
        <v>-0.15989890000000001</v>
      </c>
      <c r="U7654">
        <v>-3.4179689999999999E-2</v>
      </c>
      <c r="V7654">
        <v>-1.5628139999999999E-2</v>
      </c>
      <c r="W7654">
        <v>0.20225209999999999</v>
      </c>
      <c r="X7654">
        <v>0.97920879999999999</v>
      </c>
      <c r="Y7654">
        <v>-2.620312E-2</v>
      </c>
      <c r="Z7654">
        <v>2.6108049999999999E-3</v>
      </c>
      <c r="AA7654">
        <v>0.99965320000000002</v>
      </c>
      <c r="AB7654">
        <v>32</v>
      </c>
      <c r="AC7654">
        <v>21.235800000000001</v>
      </c>
      <c r="AD7654">
        <v>-1.108281943043</v>
      </c>
      <c r="AE7654">
        <v>-0.23006000000000101</v>
      </c>
      <c r="AF7654">
        <v>-0.56178807005862696</v>
      </c>
      <c r="AG7654">
        <v>-1.108281943043</v>
      </c>
      <c r="AH7654">
        <v>21.1719140548519</v>
      </c>
      <c r="AI7654">
        <v>92.995463259780493</v>
      </c>
      <c r="AJ7654">
        <v>91.519963387545303</v>
      </c>
      <c r="AK7654">
        <v>21.2083436280858</v>
      </c>
      <c r="AL7654">
        <v>78.331313450133507</v>
      </c>
      <c r="AM7654">
        <v>90.914361112174205</v>
      </c>
      <c r="AN7654">
        <v>1.0000000123558499</v>
      </c>
    </row>
    <row r="7655" spans="1:40" x14ac:dyDescent="0.25">
      <c r="A7655" t="str">
        <f>"20190312172300551"</f>
        <v>20190312172300551</v>
      </c>
      <c r="B7655" t="str">
        <f>"1552382580547686"</f>
        <v>1552382580547686</v>
      </c>
      <c r="C7655" t="s">
        <v>40</v>
      </c>
      <c r="D7655">
        <v>3.1697700000000002</v>
      </c>
      <c r="E7655">
        <v>0.4988088</v>
      </c>
      <c r="F7655" t="s">
        <v>78</v>
      </c>
      <c r="G7655">
        <v>-214.44059999999999</v>
      </c>
      <c r="H7655" s="1">
        <v>-1.7759720000000001E-6</v>
      </c>
      <c r="I7655">
        <v>-63.77346</v>
      </c>
      <c r="J7655">
        <v>-235.90719999999999</v>
      </c>
      <c r="K7655">
        <v>1.1083799999999999</v>
      </c>
      <c r="L7655">
        <v>-63.537480000000002</v>
      </c>
      <c r="M7655">
        <v>0.99920880000000001</v>
      </c>
      <c r="N7655">
        <v>0</v>
      </c>
      <c r="O7655">
        <v>-3.8159609999999997E-2</v>
      </c>
      <c r="P7655">
        <v>0.98129540000000004</v>
      </c>
      <c r="Q7655">
        <v>0.1914265</v>
      </c>
      <c r="R7655">
        <v>-2.038856E-2</v>
      </c>
      <c r="S7655">
        <v>3.0871729999999999</v>
      </c>
      <c r="T7655">
        <v>-0.1581572</v>
      </c>
      <c r="U7655">
        <v>-3.4698489999999999E-2</v>
      </c>
      <c r="V7655">
        <v>-1.626466E-2</v>
      </c>
      <c r="W7655">
        <v>0.20249400000000001</v>
      </c>
      <c r="X7655">
        <v>0.97914840000000003</v>
      </c>
      <c r="Y7655">
        <v>-2.6843720000000001E-2</v>
      </c>
      <c r="Z7655">
        <v>2.640388E-3</v>
      </c>
      <c r="AA7655">
        <v>0.99963619999999997</v>
      </c>
      <c r="AB7655">
        <v>32</v>
      </c>
      <c r="AC7655">
        <v>21.4666</v>
      </c>
      <c r="AD7655">
        <v>-1.1083817759719901</v>
      </c>
      <c r="AE7655">
        <v>-0.235979999999997</v>
      </c>
      <c r="AF7655">
        <v>-0.58184944050700105</v>
      </c>
      <c r="AG7655">
        <v>-1.1083817759719901</v>
      </c>
      <c r="AH7655">
        <v>21.402916214458401</v>
      </c>
      <c r="AI7655">
        <v>92.963405850693206</v>
      </c>
      <c r="AJ7655">
        <v>91.557232100192095</v>
      </c>
      <c r="AK7655">
        <v>21.4394934971853</v>
      </c>
      <c r="AL7655">
        <v>78.317160309002603</v>
      </c>
      <c r="AM7655">
        <v>90.951654188334004</v>
      </c>
      <c r="AN7655">
        <v>0.99999997421173703</v>
      </c>
    </row>
    <row r="7656" spans="1:40" x14ac:dyDescent="0.25">
      <c r="A7656" t="str">
        <f>"20190312172300564"</f>
        <v>20190312172300564</v>
      </c>
      <c r="B7656" t="str">
        <f>"1552382580558422"</f>
        <v>1552382580558422</v>
      </c>
      <c r="C7656" t="s">
        <v>40</v>
      </c>
      <c r="D7656">
        <v>3.1873300000000002</v>
      </c>
      <c r="E7656">
        <v>0.4987317</v>
      </c>
      <c r="F7656" t="s">
        <v>78</v>
      </c>
      <c r="G7656">
        <v>-214.1311</v>
      </c>
      <c r="H7656" s="1">
        <v>-1.6443249999999999E-6</v>
      </c>
      <c r="I7656">
        <v>-63.777650000000001</v>
      </c>
      <c r="J7656">
        <v>-235.73660000000001</v>
      </c>
      <c r="K7656">
        <v>1.108479</v>
      </c>
      <c r="L7656">
        <v>-63.544800000000002</v>
      </c>
      <c r="M7656">
        <v>0.99917750000000005</v>
      </c>
      <c r="N7656">
        <v>0</v>
      </c>
      <c r="O7656">
        <v>-3.8950619999999998E-2</v>
      </c>
      <c r="P7656">
        <v>0.98122569999999998</v>
      </c>
      <c r="Q7656">
        <v>0.1917471</v>
      </c>
      <c r="R7656">
        <v>-2.0717800000000001E-2</v>
      </c>
      <c r="S7656">
        <v>3.0871430000000002</v>
      </c>
      <c r="T7656">
        <v>-0.15713250000000001</v>
      </c>
      <c r="U7656">
        <v>-3.4057619999999997E-2</v>
      </c>
      <c r="V7656">
        <v>-1.6759630000000001E-2</v>
      </c>
      <c r="W7656">
        <v>0.20287079999999999</v>
      </c>
      <c r="X7656">
        <v>0.97906210000000005</v>
      </c>
      <c r="Y7656">
        <v>-2.7841270000000001E-2</v>
      </c>
      <c r="Z7656">
        <v>2.6889150000000001E-3</v>
      </c>
      <c r="AA7656">
        <v>0.99960879999999996</v>
      </c>
      <c r="AB7656">
        <v>32</v>
      </c>
      <c r="AC7656">
        <v>21.605499999999999</v>
      </c>
      <c r="AD7656">
        <v>-1.1084806443249999</v>
      </c>
      <c r="AE7656">
        <v>-0.232849999999999</v>
      </c>
      <c r="AF7656">
        <v>-0.60732940144978498</v>
      </c>
      <c r="AG7656">
        <v>-1.1084806443249999</v>
      </c>
      <c r="AH7656">
        <v>21.541476495585499</v>
      </c>
      <c r="AI7656">
        <v>92.9445583177679</v>
      </c>
      <c r="AJ7656">
        <v>91.614940184789702</v>
      </c>
      <c r="AK7656">
        <v>21.578526083830901</v>
      </c>
      <c r="AL7656">
        <v>78.295114227603193</v>
      </c>
      <c r="AM7656">
        <v>90.980696002712804</v>
      </c>
      <c r="AN7656">
        <v>1.0000000211733899</v>
      </c>
    </row>
    <row r="7657" spans="1:40" x14ac:dyDescent="0.25">
      <c r="A7657" t="str">
        <f>"20190312172300574"</f>
        <v>20190312172300574</v>
      </c>
      <c r="B7657" t="str">
        <f>"1552382580568074"</f>
        <v>1552382580568074</v>
      </c>
      <c r="C7657" t="s">
        <v>40</v>
      </c>
      <c r="D7657">
        <v>3.256211</v>
      </c>
      <c r="E7657">
        <v>0.49860890000000002</v>
      </c>
      <c r="F7657" t="s">
        <v>78</v>
      </c>
      <c r="G7657">
        <v>-213.8083</v>
      </c>
      <c r="H7657" s="1">
        <v>-1.507477E-6</v>
      </c>
      <c r="I7657">
        <v>-63.783830000000002</v>
      </c>
      <c r="J7657">
        <v>-235.57660000000001</v>
      </c>
      <c r="K7657">
        <v>1.1085830000000001</v>
      </c>
      <c r="L7657">
        <v>-63.551760000000002</v>
      </c>
      <c r="M7657">
        <v>0.99915069999999995</v>
      </c>
      <c r="N7657">
        <v>0</v>
      </c>
      <c r="O7657">
        <v>-3.9616440000000003E-2</v>
      </c>
      <c r="P7657">
        <v>0.98119259999999997</v>
      </c>
      <c r="Q7657">
        <v>0.1918938</v>
      </c>
      <c r="R7657">
        <v>-2.0926150000000001E-2</v>
      </c>
      <c r="S7657">
        <v>3.0872039999999998</v>
      </c>
      <c r="T7657">
        <v>-0.1560589</v>
      </c>
      <c r="U7657">
        <v>-3.3660889999999999E-2</v>
      </c>
      <c r="V7657">
        <v>-1.725378E-2</v>
      </c>
      <c r="W7657">
        <v>0.203066</v>
      </c>
      <c r="X7657">
        <v>0.97901300000000002</v>
      </c>
      <c r="Y7657">
        <v>-2.863537E-2</v>
      </c>
      <c r="Z7657">
        <v>2.72419E-3</v>
      </c>
      <c r="AA7657">
        <v>0.99958619999999998</v>
      </c>
      <c r="AB7657">
        <v>32</v>
      </c>
      <c r="AC7657">
        <v>21.7683</v>
      </c>
      <c r="AD7657">
        <v>-1.108584507477</v>
      </c>
      <c r="AE7657">
        <v>-0.23207000000000699</v>
      </c>
      <c r="AF7657">
        <v>-0.62891921032460696</v>
      </c>
      <c r="AG7657">
        <v>-1.108584507477</v>
      </c>
      <c r="AH7657">
        <v>21.7041196715072</v>
      </c>
      <c r="AI7657">
        <v>92.922739284856505</v>
      </c>
      <c r="AJ7657">
        <v>91.659792538589201</v>
      </c>
      <c r="AK7657">
        <v>21.741511210089399</v>
      </c>
      <c r="AL7657">
        <v>78.2836917847427</v>
      </c>
      <c r="AM7657">
        <v>91.009656098763102</v>
      </c>
      <c r="AN7657">
        <v>0.999999973724643</v>
      </c>
    </row>
    <row r="7658" spans="1:40" x14ac:dyDescent="0.25">
      <c r="A7658" t="str">
        <f>"20190312172300585"</f>
        <v>20190312172300585</v>
      </c>
      <c r="B7658" t="str">
        <f>"1552382580577834"</f>
        <v>1552382580577834</v>
      </c>
      <c r="C7658" t="s">
        <v>40</v>
      </c>
      <c r="D7658">
        <v>3.1916549999999999</v>
      </c>
      <c r="E7658">
        <v>0.49856220000000001</v>
      </c>
      <c r="F7658" t="s">
        <v>78</v>
      </c>
      <c r="G7658">
        <v>-213.54939999999999</v>
      </c>
      <c r="H7658" s="1">
        <v>-1.3964789999999999E-6</v>
      </c>
      <c r="I7658">
        <v>-63.784030000000001</v>
      </c>
      <c r="J7658">
        <v>-235.42179999999999</v>
      </c>
      <c r="K7658">
        <v>1.1086879999999999</v>
      </c>
      <c r="L7658">
        <v>-63.558500000000002</v>
      </c>
      <c r="M7658">
        <v>0.99912679999999998</v>
      </c>
      <c r="N7658">
        <v>0</v>
      </c>
      <c r="O7658">
        <v>-4.0201439999999998E-2</v>
      </c>
      <c r="P7658">
        <v>0.98128159999999998</v>
      </c>
      <c r="Q7658">
        <v>0.19147500000000001</v>
      </c>
      <c r="R7658">
        <v>-2.059035E-2</v>
      </c>
      <c r="S7658">
        <v>3.087189</v>
      </c>
      <c r="T7658">
        <v>-0.15537190000000001</v>
      </c>
      <c r="U7658">
        <v>-3.2562260000000003E-2</v>
      </c>
      <c r="V7658">
        <v>-1.8218740000000001E-2</v>
      </c>
      <c r="W7658">
        <v>0.20269380000000001</v>
      </c>
      <c r="X7658">
        <v>0.97907270000000002</v>
      </c>
      <c r="Y7658">
        <v>-2.95751E-2</v>
      </c>
      <c r="Z7658">
        <v>2.765272E-3</v>
      </c>
      <c r="AA7658">
        <v>0.99955870000000002</v>
      </c>
      <c r="AB7658">
        <v>32</v>
      </c>
      <c r="AC7658">
        <v>21.872399999999999</v>
      </c>
      <c r="AD7658">
        <v>-1.1086893964789999</v>
      </c>
      <c r="AE7658">
        <v>-0.22552999999999901</v>
      </c>
      <c r="AF7658">
        <v>-0.65233533801522703</v>
      </c>
      <c r="AG7658">
        <v>-1.1086893964789999</v>
      </c>
      <c r="AH7658">
        <v>21.807756904156602</v>
      </c>
      <c r="AI7658">
        <v>92.909068210072505</v>
      </c>
      <c r="AJ7658">
        <v>91.713377490663206</v>
      </c>
      <c r="AK7658">
        <v>21.845663065283102</v>
      </c>
      <c r="AL7658">
        <v>78.305470799965207</v>
      </c>
      <c r="AM7658">
        <v>91.066045914534101</v>
      </c>
      <c r="AN7658">
        <v>1.00000002546545</v>
      </c>
    </row>
    <row r="7659" spans="1:40" x14ac:dyDescent="0.25">
      <c r="A7659" t="str">
        <f>"20190312172300596"</f>
        <v>20190312172300596</v>
      </c>
      <c r="B7659" t="str">
        <f>"1552382580588570"</f>
        <v>1552382580588570</v>
      </c>
      <c r="C7659" t="s">
        <v>40</v>
      </c>
      <c r="D7659">
        <v>3.1746059999999998</v>
      </c>
      <c r="E7659">
        <v>0.49847390000000003</v>
      </c>
      <c r="F7659" t="s">
        <v>78</v>
      </c>
      <c r="G7659">
        <v>-213.5625</v>
      </c>
      <c r="H7659" s="1">
        <v>-1.4005810000000001E-6</v>
      </c>
      <c r="I7659">
        <v>-63.778419999999997</v>
      </c>
      <c r="J7659">
        <v>-235.26220000000001</v>
      </c>
      <c r="K7659">
        <v>1.108795</v>
      </c>
      <c r="L7659">
        <v>-63.565489999999997</v>
      </c>
      <c r="M7659">
        <v>0.99910429999999995</v>
      </c>
      <c r="N7659">
        <v>0</v>
      </c>
      <c r="O7659">
        <v>-4.0746060000000001E-2</v>
      </c>
      <c r="P7659">
        <v>0.98140479999999997</v>
      </c>
      <c r="Q7659">
        <v>0.19090119999999999</v>
      </c>
      <c r="R7659">
        <v>-2.0035480000000001E-2</v>
      </c>
      <c r="S7659">
        <v>3.0871430000000002</v>
      </c>
      <c r="T7659">
        <v>-0.15657789999999999</v>
      </c>
      <c r="U7659">
        <v>-3.106689E-2</v>
      </c>
      <c r="V7659">
        <v>-1.936703E-2</v>
      </c>
      <c r="W7659">
        <v>0.20216480000000001</v>
      </c>
      <c r="X7659">
        <v>0.97916000000000003</v>
      </c>
      <c r="Y7659">
        <v>-3.0600530000000001E-2</v>
      </c>
      <c r="Z7659">
        <v>2.8403360000000002E-3</v>
      </c>
      <c r="AA7659">
        <v>0.99952759999999996</v>
      </c>
      <c r="AB7659">
        <v>32</v>
      </c>
      <c r="AC7659">
        <v>21.6997</v>
      </c>
      <c r="AD7659">
        <v>-1.108796400581</v>
      </c>
      <c r="AE7659">
        <v>-0.21292999999999199</v>
      </c>
      <c r="AF7659">
        <v>-0.66973330479763205</v>
      </c>
      <c r="AG7659">
        <v>-1.108796400581</v>
      </c>
      <c r="AH7659">
        <v>21.633874207065301</v>
      </c>
      <c r="AI7659">
        <v>92.932598791241404</v>
      </c>
      <c r="AJ7659">
        <v>91.773174786411005</v>
      </c>
      <c r="AK7659">
        <v>21.672620639060298</v>
      </c>
      <c r="AL7659">
        <v>78.336420695549094</v>
      </c>
      <c r="AM7659">
        <v>91.133118601451699</v>
      </c>
      <c r="AN7659">
        <v>0.99999999690503005</v>
      </c>
    </row>
    <row r="7660" spans="1:40" x14ac:dyDescent="0.25">
      <c r="A7660" t="str">
        <f>"20190312172300607"</f>
        <v>20190312172300607</v>
      </c>
      <c r="B7660" t="str">
        <f>"1552382580598331"</f>
        <v>1552382580598331</v>
      </c>
      <c r="C7660" t="s">
        <v>40</v>
      </c>
      <c r="D7660">
        <v>3.257898</v>
      </c>
      <c r="E7660">
        <v>0.4983957</v>
      </c>
      <c r="F7660" t="s">
        <v>78</v>
      </c>
      <c r="G7660">
        <v>-213.648</v>
      </c>
      <c r="H7660" s="1">
        <v>-1.434991E-6</v>
      </c>
      <c r="I7660">
        <v>-63.7699199999999</v>
      </c>
      <c r="J7660">
        <v>-235.10480000000001</v>
      </c>
      <c r="K7660">
        <v>1.108908</v>
      </c>
      <c r="L7660">
        <v>-63.572420000000001</v>
      </c>
      <c r="M7660">
        <v>0.99908549999999996</v>
      </c>
      <c r="N7660">
        <v>0</v>
      </c>
      <c r="O7660">
        <v>-4.1190400000000002E-2</v>
      </c>
      <c r="P7660">
        <v>0.98155680000000001</v>
      </c>
      <c r="Q7660">
        <v>0.1902276</v>
      </c>
      <c r="R7660">
        <v>-1.8974810000000002E-2</v>
      </c>
      <c r="S7660">
        <v>3.0870510000000002</v>
      </c>
      <c r="T7660">
        <v>-0.15836349999999999</v>
      </c>
      <c r="U7660">
        <v>-2.920532E-2</v>
      </c>
      <c r="V7660">
        <v>-2.0925470000000002E-2</v>
      </c>
      <c r="W7660">
        <v>0.2015381</v>
      </c>
      <c r="X7660">
        <v>0.97925720000000005</v>
      </c>
      <c r="Y7660">
        <v>-3.1643400000000002E-2</v>
      </c>
      <c r="Z7660">
        <v>2.9222800000000002E-3</v>
      </c>
      <c r="AA7660">
        <v>0.99949500000000002</v>
      </c>
      <c r="AB7660">
        <v>32</v>
      </c>
      <c r="AC7660">
        <v>21.456800000000001</v>
      </c>
      <c r="AD7660">
        <v>-1.108909434991</v>
      </c>
      <c r="AE7660">
        <v>-0.19749999999999801</v>
      </c>
      <c r="AF7660">
        <v>-0.68471127509893404</v>
      </c>
      <c r="AG7660">
        <v>-1.108909434991</v>
      </c>
      <c r="AH7660">
        <v>21.3895979403807</v>
      </c>
      <c r="AI7660">
        <v>92.966234256581899</v>
      </c>
      <c r="AJ7660">
        <v>91.833492811110204</v>
      </c>
      <c r="AK7660">
        <v>21.429265263102199</v>
      </c>
      <c r="AL7660">
        <v>78.373083494679406</v>
      </c>
      <c r="AM7660">
        <v>91.224150996950698</v>
      </c>
      <c r="AN7660">
        <v>1.0000000723990801</v>
      </c>
    </row>
    <row r="7661" spans="1:40" x14ac:dyDescent="0.25">
      <c r="A7661" t="str">
        <f>"20190312172300618"</f>
        <v>20190312172300618</v>
      </c>
      <c r="B7661" t="str">
        <f>"1552382580608091"</f>
        <v>1552382580608091</v>
      </c>
      <c r="C7661" t="s">
        <v>40</v>
      </c>
      <c r="D7661">
        <v>3.2554259999999999</v>
      </c>
      <c r="E7661">
        <v>0.4984439</v>
      </c>
      <c r="F7661" t="s">
        <v>78</v>
      </c>
      <c r="G7661">
        <v>-213.7861</v>
      </c>
      <c r="H7661" s="1">
        <v>-1.489058E-6</v>
      </c>
      <c r="I7661">
        <v>-63.750450000000001</v>
      </c>
      <c r="J7661">
        <v>-234.93969999999999</v>
      </c>
      <c r="K7661">
        <v>1.1090359999999999</v>
      </c>
      <c r="L7661">
        <v>-63.579680000000003</v>
      </c>
      <c r="M7661">
        <v>0.99906729999999999</v>
      </c>
      <c r="N7661">
        <v>0</v>
      </c>
      <c r="O7661">
        <v>-4.1611660000000002E-2</v>
      </c>
      <c r="P7661">
        <v>0.98171730000000001</v>
      </c>
      <c r="Q7661">
        <v>0.1894739</v>
      </c>
      <c r="R7661">
        <v>-1.8196799999999999E-2</v>
      </c>
      <c r="S7661">
        <v>3.0869749999999998</v>
      </c>
      <c r="T7661">
        <v>-0.16057070000000001</v>
      </c>
      <c r="U7661">
        <v>-2.5787350000000001E-2</v>
      </c>
      <c r="V7661">
        <v>-2.2183410000000001E-2</v>
      </c>
      <c r="W7661">
        <v>0.20083409999999999</v>
      </c>
      <c r="X7661">
        <v>0.97937410000000003</v>
      </c>
      <c r="Y7661">
        <v>-3.3165859999999998E-2</v>
      </c>
      <c r="Z7661">
        <v>3.024508E-3</v>
      </c>
      <c r="AA7661">
        <v>0.99944529999999998</v>
      </c>
      <c r="AB7661">
        <v>32</v>
      </c>
      <c r="AC7661">
        <v>21.153599999999901</v>
      </c>
      <c r="AD7661">
        <v>-1.1090374890579999</v>
      </c>
      <c r="AE7661">
        <v>-0.17076999999999701</v>
      </c>
      <c r="AF7661">
        <v>-0.70772769408287395</v>
      </c>
      <c r="AG7661">
        <v>-1.1090374890579999</v>
      </c>
      <c r="AH7661">
        <v>21.084431535772101</v>
      </c>
      <c r="AI7661">
        <v>93.009281691770596</v>
      </c>
      <c r="AJ7661">
        <v>91.922489158240495</v>
      </c>
      <c r="AK7661">
        <v>21.125437174831902</v>
      </c>
      <c r="AL7661">
        <v>78.414261234395994</v>
      </c>
      <c r="AM7661">
        <v>91.297561851359902</v>
      </c>
      <c r="AN7661">
        <v>1.0000000335764201</v>
      </c>
    </row>
    <row r="7662" spans="1:40" x14ac:dyDescent="0.25">
      <c r="A7662" t="str">
        <f>"20190312172300629"</f>
        <v>20190312172300629</v>
      </c>
      <c r="B7662" t="str">
        <f>"1552382580617851"</f>
        <v>1552382580617851</v>
      </c>
      <c r="C7662" t="s">
        <v>40</v>
      </c>
      <c r="D7662">
        <v>3.1491280000000001</v>
      </c>
      <c r="E7662">
        <v>0.4984847</v>
      </c>
      <c r="F7662" t="s">
        <v>78</v>
      </c>
      <c r="G7662">
        <v>-213.88740000000001</v>
      </c>
      <c r="H7662" s="1">
        <v>-1.5308729999999999E-6</v>
      </c>
      <c r="I7662">
        <v>-63.744259999999997</v>
      </c>
      <c r="J7662">
        <v>-234.78210000000001</v>
      </c>
      <c r="K7662">
        <v>1.108994</v>
      </c>
      <c r="L7662">
        <v>-63.586669999999998</v>
      </c>
      <c r="M7662">
        <v>0.99905809999999995</v>
      </c>
      <c r="N7662">
        <v>0</v>
      </c>
      <c r="O7662">
        <v>-4.1945339999999998E-2</v>
      </c>
      <c r="P7662">
        <v>0.98174859999999997</v>
      </c>
      <c r="Q7662">
        <v>0.1893907</v>
      </c>
      <c r="R7662">
        <v>-1.7354700000000001E-2</v>
      </c>
      <c r="S7662">
        <v>3.086792</v>
      </c>
      <c r="T7662">
        <v>-0.16261239999999999</v>
      </c>
      <c r="U7662">
        <v>-2.4139399999999998E-2</v>
      </c>
      <c r="V7662">
        <v>-2.3394359999999999E-2</v>
      </c>
      <c r="W7662">
        <v>0.20034969999999999</v>
      </c>
      <c r="X7662">
        <v>0.97944509999999996</v>
      </c>
      <c r="Y7662">
        <v>-3.4028240000000001E-2</v>
      </c>
      <c r="Z7662">
        <v>3.103349E-3</v>
      </c>
      <c r="AA7662">
        <v>0.99941610000000003</v>
      </c>
      <c r="AB7662">
        <v>32</v>
      </c>
      <c r="AC7662">
        <v>20.8947</v>
      </c>
      <c r="AD7662">
        <v>-1.108995530873</v>
      </c>
      <c r="AE7662">
        <v>-0.15758999999999801</v>
      </c>
      <c r="AF7662">
        <v>-0.71701840403613504</v>
      </c>
      <c r="AG7662">
        <v>-1.108995530873</v>
      </c>
      <c r="AH7662">
        <v>20.824260354084501</v>
      </c>
      <c r="AI7662">
        <v>93.046603792601402</v>
      </c>
      <c r="AJ7662">
        <v>91.972022256451893</v>
      </c>
      <c r="AK7662">
        <v>20.8660922497222</v>
      </c>
      <c r="AL7662">
        <v>78.442590737306006</v>
      </c>
      <c r="AM7662">
        <v>91.368267886357799</v>
      </c>
      <c r="AN7662">
        <v>1.0000000011419501</v>
      </c>
    </row>
    <row r="7663" spans="1:40" x14ac:dyDescent="0.25">
      <c r="A7663" t="str">
        <f>"20190312172300642"</f>
        <v>20190312172300642</v>
      </c>
      <c r="B7663" t="str">
        <f>"1552382580638346"</f>
        <v>1552382580638346</v>
      </c>
      <c r="C7663" t="s">
        <v>40</v>
      </c>
      <c r="D7663">
        <v>3.154649</v>
      </c>
      <c r="E7663">
        <v>0.49854680000000001</v>
      </c>
      <c r="F7663" t="s">
        <v>78</v>
      </c>
      <c r="G7663">
        <v>-213.73429999999999</v>
      </c>
      <c r="H7663" s="1">
        <v>-1.4623829999999999E-6</v>
      </c>
      <c r="I7663">
        <v>-63.733730000000001</v>
      </c>
      <c r="J7663">
        <v>-234.60579999999999</v>
      </c>
      <c r="K7663">
        <v>1.108922</v>
      </c>
      <c r="L7663">
        <v>-63.59451</v>
      </c>
      <c r="M7663">
        <v>0.99904899999999996</v>
      </c>
      <c r="N7663">
        <v>0</v>
      </c>
      <c r="O7663">
        <v>-4.2299440000000001E-2</v>
      </c>
      <c r="P7663">
        <v>0.98174170000000005</v>
      </c>
      <c r="Q7663">
        <v>0.18949489999999999</v>
      </c>
      <c r="R7663">
        <v>-1.658544E-2</v>
      </c>
      <c r="S7663">
        <v>3.0867770000000001</v>
      </c>
      <c r="T7663">
        <v>-0.16263949999999999</v>
      </c>
      <c r="U7663">
        <v>-2.157593E-2</v>
      </c>
      <c r="V7663">
        <v>-2.4551969999999999E-2</v>
      </c>
      <c r="W7663">
        <v>0.19992499999999999</v>
      </c>
      <c r="X7663">
        <v>0.97950360000000003</v>
      </c>
      <c r="Y7663">
        <v>-3.5209940000000002E-2</v>
      </c>
      <c r="Z7663">
        <v>3.153627E-3</v>
      </c>
      <c r="AA7663">
        <v>0.99937500000000001</v>
      </c>
      <c r="AB7663">
        <v>32</v>
      </c>
      <c r="AC7663">
        <v>20.871500000000001</v>
      </c>
      <c r="AD7663">
        <v>-1.108923462383</v>
      </c>
      <c r="AE7663">
        <v>-0.13922000000000101</v>
      </c>
      <c r="AF7663">
        <v>-0.74171306960016903</v>
      </c>
      <c r="AG7663">
        <v>-1.108923462383</v>
      </c>
      <c r="AH7663">
        <v>20.799992986397601</v>
      </c>
      <c r="AI7663">
        <v>93.049822934610106</v>
      </c>
      <c r="AJ7663">
        <v>92.042261715711206</v>
      </c>
      <c r="AK7663">
        <v>20.842733931930098</v>
      </c>
      <c r="AL7663">
        <v>78.467427354465897</v>
      </c>
      <c r="AM7663">
        <v>91.435859715229896</v>
      </c>
      <c r="AN7663">
        <v>1.00000005363441</v>
      </c>
    </row>
    <row r="7664" spans="1:40" x14ac:dyDescent="0.25">
      <c r="A7664" t="str">
        <f>"20190312172300652"</f>
        <v>20190312172300652</v>
      </c>
      <c r="B7664" t="str">
        <f>"1552382580648106"</f>
        <v>1552382580648106</v>
      </c>
      <c r="C7664" t="s">
        <v>40</v>
      </c>
      <c r="D7664">
        <v>3.2560020000000001</v>
      </c>
      <c r="E7664">
        <v>0.49859429999999999</v>
      </c>
      <c r="F7664" t="s">
        <v>78</v>
      </c>
      <c r="G7664">
        <v>-213.54810000000001</v>
      </c>
      <c r="H7664" s="1">
        <v>-1.3804339999999901E-6</v>
      </c>
      <c r="I7664">
        <v>-63.725819999999999</v>
      </c>
      <c r="J7664">
        <v>-234.43639999999999</v>
      </c>
      <c r="K7664">
        <v>1.108827</v>
      </c>
      <c r="L7664">
        <v>-63.602049999999998</v>
      </c>
      <c r="M7664">
        <v>0.99904360000000003</v>
      </c>
      <c r="N7664">
        <v>0</v>
      </c>
      <c r="O7664">
        <v>-4.2578909999999998E-2</v>
      </c>
      <c r="P7664">
        <v>0.98170999999999997</v>
      </c>
      <c r="Q7664">
        <v>0.18973689999999999</v>
      </c>
      <c r="R7664">
        <v>-1.5662229999999999E-2</v>
      </c>
      <c r="S7664">
        <v>3.0868530000000001</v>
      </c>
      <c r="T7664">
        <v>-0.16255710000000001</v>
      </c>
      <c r="U7664">
        <v>-1.9256590000000001E-2</v>
      </c>
      <c r="V7664">
        <v>-2.5781510000000001E-2</v>
      </c>
      <c r="W7664">
        <v>0.19953109999999999</v>
      </c>
      <c r="X7664">
        <v>0.97955230000000004</v>
      </c>
      <c r="Y7664">
        <v>-3.6238529999999998E-2</v>
      </c>
      <c r="Z7664">
        <v>3.193717E-3</v>
      </c>
      <c r="AA7664">
        <v>0.99933810000000001</v>
      </c>
      <c r="AB7664">
        <v>33</v>
      </c>
      <c r="AC7664">
        <v>20.888299999999902</v>
      </c>
      <c r="AD7664">
        <v>-1.108828380434</v>
      </c>
      <c r="AE7664">
        <v>-0.12377000000000001</v>
      </c>
      <c r="AF7664">
        <v>-0.76363553915401094</v>
      </c>
      <c r="AG7664">
        <v>-1.108828380434</v>
      </c>
      <c r="AH7664">
        <v>20.815970080411301</v>
      </c>
      <c r="AI7664">
        <v>93.047112975690695</v>
      </c>
      <c r="AJ7664">
        <v>92.100958138275004</v>
      </c>
      <c r="AK7664">
        <v>20.859464278894901</v>
      </c>
      <c r="AL7664">
        <v>78.490459934599201</v>
      </c>
      <c r="AM7664">
        <v>91.5076589197527</v>
      </c>
      <c r="AN7664">
        <v>1.0000000272801799</v>
      </c>
    </row>
    <row r="7665" spans="1:40" x14ac:dyDescent="0.25">
      <c r="A7665" t="str">
        <f>"20190312172300665"</f>
        <v>20190312172300665</v>
      </c>
      <c r="B7665" t="str">
        <f>"1552382580657867"</f>
        <v>1552382580657867</v>
      </c>
      <c r="C7665" t="s">
        <v>40</v>
      </c>
      <c r="D7665">
        <v>3.1730179999999999</v>
      </c>
      <c r="E7665">
        <v>0.49861870000000003</v>
      </c>
      <c r="F7665" t="s">
        <v>78</v>
      </c>
      <c r="G7665">
        <v>-213.26650000000001</v>
      </c>
      <c r="H7665" s="1">
        <v>-1.2570129999999999E-6</v>
      </c>
      <c r="I7665">
        <v>-63.716059999999999</v>
      </c>
      <c r="J7665">
        <v>-234.2637</v>
      </c>
      <c r="K7665">
        <v>1.108741</v>
      </c>
      <c r="L7665">
        <v>-63.609740000000002</v>
      </c>
      <c r="M7665">
        <v>0.99903900000000001</v>
      </c>
      <c r="N7665">
        <v>0</v>
      </c>
      <c r="O7665">
        <v>-4.2838319999999999E-2</v>
      </c>
      <c r="P7665">
        <v>0.98163529999999999</v>
      </c>
      <c r="Q7665">
        <v>0.19022919999999999</v>
      </c>
      <c r="R7665">
        <v>-1.4328240000000001E-2</v>
      </c>
      <c r="S7665">
        <v>3.0868530000000001</v>
      </c>
      <c r="T7665">
        <v>-0.16168170000000001</v>
      </c>
      <c r="U7665">
        <v>-1.663208E-2</v>
      </c>
      <c r="V7665">
        <v>-2.7400830000000001E-2</v>
      </c>
      <c r="W7665">
        <v>0.1993723</v>
      </c>
      <c r="X7665">
        <v>0.97954059999999998</v>
      </c>
      <c r="Y7665">
        <v>-3.7346659999999997E-2</v>
      </c>
      <c r="Z7665">
        <v>3.2191139999999999E-3</v>
      </c>
      <c r="AA7665">
        <v>0.9992972</v>
      </c>
      <c r="AB7665">
        <v>33</v>
      </c>
      <c r="AC7665">
        <v>20.9971999999999</v>
      </c>
      <c r="AD7665">
        <v>-1.1087422570130001</v>
      </c>
      <c r="AE7665">
        <v>-0.106319999999996</v>
      </c>
      <c r="AF7665">
        <v>-0.79109529196003903</v>
      </c>
      <c r="AG7665">
        <v>-1.1087422570130001</v>
      </c>
      <c r="AH7665">
        <v>20.924136921339201</v>
      </c>
      <c r="AI7665">
        <v>93.031029101213207</v>
      </c>
      <c r="AJ7665">
        <v>92.165195302146003</v>
      </c>
      <c r="AK7665">
        <v>20.968420232730899</v>
      </c>
      <c r="AL7665">
        <v>78.499744201379698</v>
      </c>
      <c r="AM7665">
        <v>91.602325224910302</v>
      </c>
      <c r="AN7665">
        <v>0.999999953270168</v>
      </c>
    </row>
    <row r="7666" spans="1:40" x14ac:dyDescent="0.25">
      <c r="A7666" t="str">
        <f>"20190312172300676"</f>
        <v>20190312172300676</v>
      </c>
      <c r="B7666" t="str">
        <f>"1552382580667626"</f>
        <v>1552382580667626</v>
      </c>
      <c r="C7666" t="s">
        <v>40</v>
      </c>
      <c r="D7666">
        <v>3.1642380000000001</v>
      </c>
      <c r="E7666">
        <v>0.49864449999999999</v>
      </c>
      <c r="F7666" t="s">
        <v>78</v>
      </c>
      <c r="G7666">
        <v>-212.94579999999999</v>
      </c>
      <c r="H7666" s="1">
        <v>-1.1148140000000001E-6</v>
      </c>
      <c r="I7666">
        <v>-63.698619999999998</v>
      </c>
      <c r="J7666">
        <v>-234.09809999999999</v>
      </c>
      <c r="K7666">
        <v>1.108673</v>
      </c>
      <c r="L7666">
        <v>-63.617130000000003</v>
      </c>
      <c r="M7666">
        <v>0.99903549999999997</v>
      </c>
      <c r="N7666">
        <v>0</v>
      </c>
      <c r="O7666">
        <v>-4.3054120000000001E-2</v>
      </c>
      <c r="P7666">
        <v>0.98160440000000004</v>
      </c>
      <c r="Q7666">
        <v>0.19048770000000001</v>
      </c>
      <c r="R7666">
        <v>-1.294476E-2</v>
      </c>
      <c r="S7666">
        <v>3.0870359999999999</v>
      </c>
      <c r="T7666">
        <v>-0.1605567</v>
      </c>
      <c r="U7666">
        <v>-1.287842E-2</v>
      </c>
      <c r="V7666">
        <v>-2.9027069999999999E-2</v>
      </c>
      <c r="W7666">
        <v>0.1990017</v>
      </c>
      <c r="X7666">
        <v>0.97956909999999997</v>
      </c>
      <c r="Y7666">
        <v>-3.8776900000000003E-2</v>
      </c>
      <c r="Z7666">
        <v>3.2449430000000001E-3</v>
      </c>
      <c r="AA7666">
        <v>0.99924259999999998</v>
      </c>
      <c r="AB7666">
        <v>33</v>
      </c>
      <c r="AC7666">
        <v>21.1523</v>
      </c>
      <c r="AD7666">
        <v>-1.108674114814</v>
      </c>
      <c r="AE7666">
        <v>-8.1489999999995094E-2</v>
      </c>
      <c r="AF7666">
        <v>-0.82704108996383296</v>
      </c>
      <c r="AG7666">
        <v>-1.108674114814</v>
      </c>
      <c r="AH7666">
        <v>21.078287774781899</v>
      </c>
      <c r="AI7666">
        <v>93.008553662519205</v>
      </c>
      <c r="AJ7666">
        <v>92.2469410120476</v>
      </c>
      <c r="AK7666">
        <v>21.123621156749302</v>
      </c>
      <c r="AL7666">
        <v>78.521411994944501</v>
      </c>
      <c r="AM7666">
        <v>91.697319841814604</v>
      </c>
      <c r="AN7666">
        <v>0.99999993453524005</v>
      </c>
    </row>
    <row r="7667" spans="1:40" x14ac:dyDescent="0.25">
      <c r="A7667" t="str">
        <f>"20190312172300687"</f>
        <v>20190312172300687</v>
      </c>
      <c r="B7667" t="str">
        <f>"1552382580678363"</f>
        <v>1552382580678363</v>
      </c>
      <c r="C7667" t="s">
        <v>40</v>
      </c>
      <c r="D7667">
        <v>3.217597</v>
      </c>
      <c r="E7667">
        <v>0.49871179999999898</v>
      </c>
      <c r="F7667" t="s">
        <v>78</v>
      </c>
      <c r="G7667">
        <v>-212.6533</v>
      </c>
      <c r="H7667" s="1">
        <v>-9.8498909999999995E-7</v>
      </c>
      <c r="I7667">
        <v>-63.682360000000003</v>
      </c>
      <c r="J7667">
        <v>-233.93</v>
      </c>
      <c r="K7667">
        <v>1.108622</v>
      </c>
      <c r="L7667">
        <v>-63.624600000000001</v>
      </c>
      <c r="M7667">
        <v>0.99903350000000002</v>
      </c>
      <c r="N7667">
        <v>0</v>
      </c>
      <c r="O7667">
        <v>-4.3225840000000001E-2</v>
      </c>
      <c r="P7667">
        <v>0.98158500000000004</v>
      </c>
      <c r="Q7667">
        <v>0.19070529999999999</v>
      </c>
      <c r="R7667">
        <v>-1.1075410000000001E-2</v>
      </c>
      <c r="S7667">
        <v>3.0870820000000001</v>
      </c>
      <c r="T7667">
        <v>-0.15959849999999901</v>
      </c>
      <c r="U7667">
        <v>-9.399414E-3</v>
      </c>
      <c r="V7667">
        <v>-3.1097960000000001E-2</v>
      </c>
      <c r="W7667">
        <v>0.1985886</v>
      </c>
      <c r="X7667">
        <v>0.9795895</v>
      </c>
      <c r="Y7667">
        <v>-4.0073900000000003E-2</v>
      </c>
      <c r="Z7667">
        <v>3.2679330000000002E-3</v>
      </c>
      <c r="AA7667">
        <v>0.99919139999999995</v>
      </c>
      <c r="AB7667">
        <v>33</v>
      </c>
      <c r="AC7667">
        <v>21.276700000000002</v>
      </c>
      <c r="AD7667">
        <v>-1.1086229849891001</v>
      </c>
      <c r="AE7667">
        <v>-5.7759999999994698E-2</v>
      </c>
      <c r="AF7667">
        <v>-0.85969247386401904</v>
      </c>
      <c r="AG7667">
        <v>-1.1086229849891001</v>
      </c>
      <c r="AH7667">
        <v>21.201747858403099</v>
      </c>
      <c r="AI7667">
        <v>92.9907727887242</v>
      </c>
      <c r="AJ7667">
        <v>92.321968080441493</v>
      </c>
      <c r="AK7667">
        <v>21.248111170731502</v>
      </c>
      <c r="AL7667">
        <v>78.545564271651301</v>
      </c>
      <c r="AM7667">
        <v>91.818295989867295</v>
      </c>
      <c r="AN7667">
        <v>1.00000005183818</v>
      </c>
    </row>
    <row r="7668" spans="1:40" x14ac:dyDescent="0.25">
      <c r="A7668" t="str">
        <f>"20190312172300696"</f>
        <v>20190312172300696</v>
      </c>
      <c r="B7668" t="str">
        <f>"1552382580688123"</f>
        <v>1552382580688123</v>
      </c>
      <c r="C7668" t="s">
        <v>40</v>
      </c>
      <c r="D7668">
        <v>3.1761849999999998</v>
      </c>
      <c r="E7668">
        <v>0.49873089999999998</v>
      </c>
      <c r="F7668" t="s">
        <v>78</v>
      </c>
      <c r="G7668">
        <v>-212.50110000000001</v>
      </c>
      <c r="H7668" s="1">
        <v>-9.1359449999999998E-7</v>
      </c>
      <c r="I7668">
        <v>-63.659500000000001</v>
      </c>
      <c r="J7668">
        <v>-233.77369999999999</v>
      </c>
      <c r="K7668">
        <v>1.108582</v>
      </c>
      <c r="L7668">
        <v>-63.63156</v>
      </c>
      <c r="M7668">
        <v>0.99903200000000003</v>
      </c>
      <c r="N7668">
        <v>0</v>
      </c>
      <c r="O7668">
        <v>-4.3362730000000002E-2</v>
      </c>
      <c r="P7668">
        <v>0.98158190000000001</v>
      </c>
      <c r="Q7668">
        <v>0.19081899999999999</v>
      </c>
      <c r="R7668">
        <v>-9.2409069999999996E-3</v>
      </c>
      <c r="S7668">
        <v>3.087234</v>
      </c>
      <c r="T7668">
        <v>-0.15971740000000001</v>
      </c>
      <c r="U7668">
        <v>-5.0353999999999998E-3</v>
      </c>
      <c r="V7668">
        <v>-3.3097960000000003E-2</v>
      </c>
      <c r="W7668">
        <v>0.1981203</v>
      </c>
      <c r="X7668">
        <v>0.97961869999999995</v>
      </c>
      <c r="Y7668">
        <v>-4.1620740000000003E-2</v>
      </c>
      <c r="Z7668">
        <v>3.3172750000000002E-3</v>
      </c>
      <c r="AA7668">
        <v>0.99912800000000002</v>
      </c>
      <c r="AB7668">
        <v>33</v>
      </c>
      <c r="AC7668">
        <v>21.272599999999901</v>
      </c>
      <c r="AD7668">
        <v>-1.1085829135945</v>
      </c>
      <c r="AE7668">
        <v>-2.7940000000000902E-2</v>
      </c>
      <c r="AF7668">
        <v>-0.89212671953881495</v>
      </c>
      <c r="AG7668">
        <v>-1.1085829135945</v>
      </c>
      <c r="AH7668">
        <v>21.196237065896501</v>
      </c>
      <c r="AI7668">
        <v>92.991251249904295</v>
      </c>
      <c r="AJ7668">
        <v>92.410094991262497</v>
      </c>
      <c r="AK7668">
        <v>21.243947653713299</v>
      </c>
      <c r="AL7668">
        <v>78.572938795554293</v>
      </c>
      <c r="AM7668">
        <v>91.935092012460103</v>
      </c>
      <c r="AN7668">
        <v>0.99999996280896997</v>
      </c>
    </row>
    <row r="7669" spans="1:40" x14ac:dyDescent="0.25">
      <c r="A7669" t="str">
        <f>"20190312172300709"</f>
        <v>20190312172300709</v>
      </c>
      <c r="B7669" t="str">
        <f>"1552382580697883"</f>
        <v>1552382580697883</v>
      </c>
      <c r="C7669" t="s">
        <v>40</v>
      </c>
      <c r="D7669">
        <v>3.1564390000000002</v>
      </c>
      <c r="E7669">
        <v>0.49873089999999998</v>
      </c>
      <c r="F7669" t="s">
        <v>78</v>
      </c>
      <c r="G7669">
        <v>-212.2868</v>
      </c>
      <c r="H7669" s="1">
        <v>-8.1537390000000004E-7</v>
      </c>
      <c r="I7669">
        <v>-63.635750000000002</v>
      </c>
      <c r="J7669">
        <v>-233.60509999999999</v>
      </c>
      <c r="K7669">
        <v>1.1085590000000001</v>
      </c>
      <c r="L7669">
        <v>-63.639009999999999</v>
      </c>
      <c r="M7669">
        <v>0.99903319999999995</v>
      </c>
      <c r="N7669">
        <v>0</v>
      </c>
      <c r="O7669">
        <v>-4.343698E-2</v>
      </c>
      <c r="P7669">
        <v>0.98149529999999996</v>
      </c>
      <c r="Q7669">
        <v>0.19133710000000001</v>
      </c>
      <c r="R7669">
        <v>-7.559774E-3</v>
      </c>
      <c r="S7669">
        <v>3.087234</v>
      </c>
      <c r="T7669">
        <v>-0.1592808</v>
      </c>
      <c r="U7669">
        <v>-6.1035159999999996E-4</v>
      </c>
      <c r="V7669">
        <v>-3.4883940000000002E-2</v>
      </c>
      <c r="W7669">
        <v>0.19802259999999999</v>
      </c>
      <c r="X7669">
        <v>0.97957649999999996</v>
      </c>
      <c r="Y7669">
        <v>-4.3125360000000001E-2</v>
      </c>
      <c r="Z7669">
        <v>3.3508430000000001E-3</v>
      </c>
      <c r="AA7669">
        <v>0.99906399999999995</v>
      </c>
      <c r="AB7669">
        <v>33</v>
      </c>
      <c r="AC7669">
        <v>21.318299999999901</v>
      </c>
      <c r="AD7669">
        <v>-1.1085598153739</v>
      </c>
      <c r="AE7669">
        <v>3.25999999999737E-3</v>
      </c>
      <c r="AF7669">
        <v>-0.92677470755245395</v>
      </c>
      <c r="AG7669">
        <v>-1.1085598153739</v>
      </c>
      <c r="AH7669">
        <v>21.240601159882601</v>
      </c>
      <c r="AI7669">
        <v>92.984756092751695</v>
      </c>
      <c r="AJ7669">
        <v>92.498357763743499</v>
      </c>
      <c r="AK7669">
        <v>21.289691257884101</v>
      </c>
      <c r="AL7669">
        <v>78.578649932711798</v>
      </c>
      <c r="AM7669">
        <v>92.039512263688806</v>
      </c>
      <c r="AN7669">
        <v>0.99999997936646601</v>
      </c>
    </row>
    <row r="7670" spans="1:40" x14ac:dyDescent="0.25">
      <c r="A7670" t="str">
        <f>"20190312172300721"</f>
        <v>20190312172300721</v>
      </c>
      <c r="B7670" t="str">
        <f>"1552382580718379"</f>
        <v>1552382580718379</v>
      </c>
      <c r="C7670" t="s">
        <v>40</v>
      </c>
      <c r="D7670">
        <v>3.0591279999999998</v>
      </c>
      <c r="E7670">
        <v>0.49786180000000002</v>
      </c>
      <c r="F7670" t="s">
        <v>78</v>
      </c>
      <c r="G7670">
        <v>-211.8998</v>
      </c>
      <c r="H7670" s="1">
        <v>-6.427258E-7</v>
      </c>
      <c r="I7670">
        <v>-63.610840000000003</v>
      </c>
      <c r="J7670">
        <v>-233.4265</v>
      </c>
      <c r="K7670">
        <v>1.1085370000000001</v>
      </c>
      <c r="L7670">
        <v>-63.646909999999998</v>
      </c>
      <c r="M7670">
        <v>0.99903520000000001</v>
      </c>
      <c r="N7670">
        <v>0</v>
      </c>
      <c r="O7670">
        <v>-4.3488520000000003E-2</v>
      </c>
      <c r="P7670">
        <v>0.98138829999999999</v>
      </c>
      <c r="Q7670">
        <v>0.19194810000000001</v>
      </c>
      <c r="R7670">
        <v>-5.7611669999999898E-3</v>
      </c>
      <c r="S7670">
        <v>3.0873110000000001</v>
      </c>
      <c r="T7670">
        <v>-0.15767929999999999</v>
      </c>
      <c r="U7670">
        <v>3.9978030000000003E-3</v>
      </c>
      <c r="V7670">
        <v>-3.6767939999999999E-2</v>
      </c>
      <c r="W7670">
        <v>0.19798850000000001</v>
      </c>
      <c r="X7670">
        <v>0.97951449999999995</v>
      </c>
      <c r="Y7670">
        <v>-4.4668100000000002E-2</v>
      </c>
      <c r="Z7670">
        <v>3.3591189999999998E-3</v>
      </c>
      <c r="AA7670">
        <v>0.99899629999999995</v>
      </c>
      <c r="AB7670">
        <v>34</v>
      </c>
      <c r="AC7670">
        <v>21.526700000000002</v>
      </c>
      <c r="AD7670">
        <v>-1.1085376427258</v>
      </c>
      <c r="AE7670">
        <v>3.6069999999995099E-2</v>
      </c>
      <c r="AF7670">
        <v>-0.96964638055522201</v>
      </c>
      <c r="AG7670">
        <v>-1.1085376427258</v>
      </c>
      <c r="AH7670">
        <v>21.447888709554899</v>
      </c>
      <c r="AI7670">
        <v>92.955695383230207</v>
      </c>
      <c r="AJ7670">
        <v>92.588545742544198</v>
      </c>
      <c r="AK7670">
        <v>21.4983952867677</v>
      </c>
      <c r="AL7670">
        <v>78.5806433253005</v>
      </c>
      <c r="AM7670">
        <v>92.149696797163998</v>
      </c>
      <c r="AN7670">
        <v>0.99999999162717101</v>
      </c>
    </row>
    <row r="7671" spans="1:40" x14ac:dyDescent="0.25">
      <c r="A7671" t="str">
        <f>"20190312172300732"</f>
        <v>20190312172300732</v>
      </c>
      <c r="B7671" t="str">
        <f>"1552382580728138"</f>
        <v>1552382580728138</v>
      </c>
      <c r="C7671" t="s">
        <v>40</v>
      </c>
      <c r="D7671">
        <v>3.1510959999999999</v>
      </c>
      <c r="E7671">
        <v>0.4672519</v>
      </c>
      <c r="F7671" t="s">
        <v>78</v>
      </c>
      <c r="G7671">
        <v>-211.44540000000001</v>
      </c>
      <c r="H7671" s="1">
        <v>-4.267071E-7</v>
      </c>
      <c r="I7671">
        <v>-63.531700000000001</v>
      </c>
      <c r="J7671">
        <v>-233.26169999999999</v>
      </c>
      <c r="K7671">
        <v>1.1085469999999999</v>
      </c>
      <c r="L7671">
        <v>-63.654110000000003</v>
      </c>
      <c r="M7671">
        <v>0.9990407</v>
      </c>
      <c r="N7671">
        <v>0</v>
      </c>
      <c r="O7671">
        <v>-4.3436210000000003E-2</v>
      </c>
      <c r="P7671">
        <v>0.9812824</v>
      </c>
      <c r="Q7671">
        <v>0.19253680000000001</v>
      </c>
      <c r="R7671">
        <v>-3.803697E-3</v>
      </c>
      <c r="S7671">
        <v>3.0874480000000002</v>
      </c>
      <c r="T7671">
        <v>-0.1557037</v>
      </c>
      <c r="U7671">
        <v>1.6174319999999999E-2</v>
      </c>
      <c r="V7671">
        <v>-3.8708810000000003E-2</v>
      </c>
      <c r="W7671">
        <v>0.19801179999999999</v>
      </c>
      <c r="X7671">
        <v>0.97943500000000006</v>
      </c>
      <c r="Y7671">
        <v>-4.8553140000000002E-2</v>
      </c>
      <c r="Z7671">
        <v>3.4122250000000001E-3</v>
      </c>
      <c r="AA7671">
        <v>0.9988148</v>
      </c>
      <c r="AB7671">
        <v>34</v>
      </c>
      <c r="AC7671">
        <v>21.816299999999899</v>
      </c>
      <c r="AD7671">
        <v>-1.1085474267071</v>
      </c>
      <c r="AE7671">
        <v>0.122409999999995</v>
      </c>
      <c r="AF7671">
        <v>-1.0671712443893899</v>
      </c>
      <c r="AG7671">
        <v>-1.1085474267071</v>
      </c>
      <c r="AH7671">
        <v>21.7342772216046</v>
      </c>
      <c r="AI7671">
        <v>92.916309057017202</v>
      </c>
      <c r="AJ7671">
        <v>92.811013272994103</v>
      </c>
      <c r="AK7671">
        <v>21.788679129485399</v>
      </c>
      <c r="AL7671">
        <v>78.579281258970795</v>
      </c>
      <c r="AM7671">
        <v>92.263241354664004</v>
      </c>
      <c r="AN7671">
        <v>0.99999998206792795</v>
      </c>
    </row>
    <row r="7672" spans="1:40" x14ac:dyDescent="0.25">
      <c r="A7672" t="str">
        <f>"20190312172300743"</f>
        <v>20190312172300743</v>
      </c>
      <c r="B7672" t="str">
        <f>"1552382580737898"</f>
        <v>1552382580737898</v>
      </c>
      <c r="C7672" t="s">
        <v>40</v>
      </c>
      <c r="D7672">
        <v>3.086951</v>
      </c>
      <c r="E7672">
        <v>0.46642709999999998</v>
      </c>
      <c r="F7672" t="s">
        <v>64</v>
      </c>
      <c r="G7672">
        <v>-206.78890000000001</v>
      </c>
      <c r="H7672" s="1">
        <v>-2.150348E-6</v>
      </c>
      <c r="I7672">
        <v>-61.3726699999999</v>
      </c>
      <c r="J7672">
        <v>-233.08340000000001</v>
      </c>
      <c r="K7672">
        <v>1.108568</v>
      </c>
      <c r="L7672">
        <v>-63.661929999999998</v>
      </c>
      <c r="M7672">
        <v>0.99904800000000005</v>
      </c>
      <c r="N7672">
        <v>0</v>
      </c>
      <c r="O7672">
        <v>-4.3340089999999998E-2</v>
      </c>
      <c r="P7672">
        <v>0.98110730000000002</v>
      </c>
      <c r="Q7672">
        <v>0.19345809999999999</v>
      </c>
      <c r="R7672">
        <v>-1.6042319999999999E-3</v>
      </c>
      <c r="S7672">
        <v>3.0836030000000001</v>
      </c>
      <c r="T7672">
        <v>-0.12912580000000001</v>
      </c>
      <c r="U7672">
        <v>0.26574710000000001</v>
      </c>
      <c r="V7672">
        <v>-4.0850549999999999E-2</v>
      </c>
      <c r="W7672">
        <v>0.1983414</v>
      </c>
      <c r="X7672">
        <v>0.97928139999999997</v>
      </c>
      <c r="Y7672">
        <v>-0.1288125</v>
      </c>
      <c r="Z7672">
        <v>4.5020069999999997E-3</v>
      </c>
      <c r="AA7672">
        <v>0.9916587</v>
      </c>
      <c r="AB7672">
        <v>34</v>
      </c>
      <c r="AC7672">
        <v>26.294499999999999</v>
      </c>
      <c r="AD7672">
        <v>-1.1085701503479899</v>
      </c>
      <c r="AE7672">
        <v>2.2892600000000098</v>
      </c>
      <c r="AF7672">
        <v>-3.4206946312411199</v>
      </c>
      <c r="AG7672">
        <v>-1.1085701503479899</v>
      </c>
      <c r="AH7672">
        <v>26.124488947719701</v>
      </c>
      <c r="AI7672">
        <v>92.409298063308398</v>
      </c>
      <c r="AJ7672">
        <v>97.459769626963507</v>
      </c>
      <c r="AK7672">
        <v>26.370798287461302</v>
      </c>
      <c r="AL7672">
        <v>78.560015450251299</v>
      </c>
      <c r="AM7672">
        <v>92.388698381965099</v>
      </c>
      <c r="AN7672">
        <v>1.0000000693876001</v>
      </c>
    </row>
    <row r="7673" spans="1:40" x14ac:dyDescent="0.25">
      <c r="A7673" t="str">
        <f>"20190312172300754"</f>
        <v>20190312172300754</v>
      </c>
      <c r="B7673" t="str">
        <f>"1552382580747659"</f>
        <v>1552382580747659</v>
      </c>
      <c r="C7673" t="s">
        <v>40</v>
      </c>
      <c r="D7673">
        <v>3.1306259999999999</v>
      </c>
      <c r="E7673">
        <v>0.46563690000000002</v>
      </c>
      <c r="F7673" t="s">
        <v>64</v>
      </c>
      <c r="G7673">
        <v>-203.87020000000001</v>
      </c>
      <c r="H7673" s="1">
        <v>-3.76767E-6</v>
      </c>
      <c r="I7673">
        <v>-61.020049999999998</v>
      </c>
      <c r="J7673">
        <v>-232.90819999999999</v>
      </c>
      <c r="K7673">
        <v>1.108617</v>
      </c>
      <c r="L7673">
        <v>-63.669460000000001</v>
      </c>
      <c r="M7673">
        <v>0.99905849999999996</v>
      </c>
      <c r="N7673">
        <v>0</v>
      </c>
      <c r="O7673">
        <v>-4.3155579999999999E-2</v>
      </c>
      <c r="P7673">
        <v>0.98107520000000004</v>
      </c>
      <c r="Q7673">
        <v>0.19362689999999999</v>
      </c>
      <c r="R7673">
        <v>5.8725100000000001E-4</v>
      </c>
      <c r="S7673">
        <v>3.081299</v>
      </c>
      <c r="T7673">
        <v>-0.116928</v>
      </c>
      <c r="U7673">
        <v>0.27865600000000001</v>
      </c>
      <c r="V7673">
        <v>-4.2907830000000001E-2</v>
      </c>
      <c r="W7673">
        <v>0.19797729999999999</v>
      </c>
      <c r="X7673">
        <v>0.979267</v>
      </c>
      <c r="Y7673">
        <v>-0.13283800000000001</v>
      </c>
      <c r="Z7673">
        <v>4.1485749999999998E-3</v>
      </c>
      <c r="AA7673">
        <v>0.99112909999999999</v>
      </c>
      <c r="AB7673">
        <v>34</v>
      </c>
      <c r="AC7673">
        <v>29.037999999999901</v>
      </c>
      <c r="AD7673">
        <v>-1.10862076767</v>
      </c>
      <c r="AE7673">
        <v>2.64941</v>
      </c>
      <c r="AF7673">
        <v>-3.89447609869412</v>
      </c>
      <c r="AG7673">
        <v>-1.10862076767</v>
      </c>
      <c r="AH7673">
        <v>28.8548975548877</v>
      </c>
      <c r="AI7673">
        <v>92.180501326935598</v>
      </c>
      <c r="AJ7673">
        <v>97.686624269372601</v>
      </c>
      <c r="AK7673">
        <v>29.1376233930099</v>
      </c>
      <c r="AL7673">
        <v>78.581297807311799</v>
      </c>
      <c r="AM7673">
        <v>92.508882752967295</v>
      </c>
      <c r="AN7673">
        <v>0.999999975239799</v>
      </c>
    </row>
    <row r="7674" spans="1:40" x14ac:dyDescent="0.25">
      <c r="A7674" t="str">
        <f>"20190312172300765"</f>
        <v>20190312172300765</v>
      </c>
      <c r="B7674" t="str">
        <f>"1552382580758394"</f>
        <v>1552382580758394</v>
      </c>
      <c r="C7674" t="s">
        <v>40</v>
      </c>
      <c r="D7674">
        <v>3.091574</v>
      </c>
      <c r="E7674">
        <v>0.46523120000000001</v>
      </c>
      <c r="F7674" t="s">
        <v>64</v>
      </c>
      <c r="G7674">
        <v>-202.98339999999999</v>
      </c>
      <c r="H7674" s="1">
        <v>-4.2089849999999996E-6</v>
      </c>
      <c r="I7674">
        <v>-60.838639999999998</v>
      </c>
      <c r="J7674">
        <v>-232.75219999999999</v>
      </c>
      <c r="K7674">
        <v>1.1086849999999999</v>
      </c>
      <c r="L7674">
        <v>-63.676119999999997</v>
      </c>
      <c r="M7674">
        <v>0.99907000000000001</v>
      </c>
      <c r="N7674">
        <v>0</v>
      </c>
      <c r="O7674">
        <v>-4.2930469999999998E-2</v>
      </c>
      <c r="P7674">
        <v>0.98113539999999999</v>
      </c>
      <c r="Q7674">
        <v>0.19329560000000001</v>
      </c>
      <c r="R7674">
        <v>3.2239439999999999E-3</v>
      </c>
      <c r="S7674">
        <v>3.0802149999999999</v>
      </c>
      <c r="T7674">
        <v>-0.11411209999999999</v>
      </c>
      <c r="U7674">
        <v>0.29138180000000002</v>
      </c>
      <c r="V7674">
        <v>-4.5373209999999997E-2</v>
      </c>
      <c r="W7674">
        <v>0.19722519999999999</v>
      </c>
      <c r="X7674">
        <v>0.9793077</v>
      </c>
      <c r="Y7674">
        <v>-0.13670829999999901</v>
      </c>
      <c r="Z7674">
        <v>4.1126080000000002E-3</v>
      </c>
      <c r="AA7674">
        <v>0.99060280000000001</v>
      </c>
      <c r="AB7674">
        <v>34</v>
      </c>
      <c r="AC7674">
        <v>29.768799999999999</v>
      </c>
      <c r="AD7674">
        <v>-1.108689208985</v>
      </c>
      <c r="AE7674">
        <v>2.83747999999999</v>
      </c>
      <c r="AF7674">
        <v>-4.1072171616335096</v>
      </c>
      <c r="AG7674">
        <v>-1.108689208985</v>
      </c>
      <c r="AH7674">
        <v>29.5788808009261</v>
      </c>
      <c r="AI7674">
        <v>92.126200964180498</v>
      </c>
      <c r="AJ7674">
        <v>97.905336936724893</v>
      </c>
      <c r="AK7674">
        <v>29.8832497230527</v>
      </c>
      <c r="AL7674">
        <v>78.625257466704099</v>
      </c>
      <c r="AM7674">
        <v>92.652726635375203</v>
      </c>
      <c r="AN7674">
        <v>1.0000000394900099</v>
      </c>
    </row>
    <row r="7675" spans="1:40" x14ac:dyDescent="0.25">
      <c r="A7675" t="str">
        <f>"20190312172300775"</f>
        <v>20190312172300775</v>
      </c>
      <c r="B7675" t="str">
        <f>"1552382580768155"</f>
        <v>1552382580768155</v>
      </c>
      <c r="C7675" t="s">
        <v>40</v>
      </c>
      <c r="D7675">
        <v>3.113858</v>
      </c>
      <c r="E7675">
        <v>0.46513500000000002</v>
      </c>
      <c r="F7675" t="s">
        <v>64</v>
      </c>
      <c r="G7675">
        <v>-203.261</v>
      </c>
      <c r="H7675" s="1">
        <v>-4.0644579999999999E-6</v>
      </c>
      <c r="I7675">
        <v>-60.78539</v>
      </c>
      <c r="J7675">
        <v>-232.58019999999999</v>
      </c>
      <c r="K7675">
        <v>1.1087819999999999</v>
      </c>
      <c r="L7675">
        <v>-63.68338</v>
      </c>
      <c r="M7675">
        <v>0.999085</v>
      </c>
      <c r="N7675">
        <v>0</v>
      </c>
      <c r="O7675">
        <v>-4.2618610000000001E-2</v>
      </c>
      <c r="P7675">
        <v>0.981101</v>
      </c>
      <c r="Q7675">
        <v>0.19340270000000001</v>
      </c>
      <c r="R7675">
        <v>6.0162180000000003E-3</v>
      </c>
      <c r="S7675">
        <v>3.0794830000000002</v>
      </c>
      <c r="T7675">
        <v>-0.1157696</v>
      </c>
      <c r="U7675">
        <v>0.30184939999999999</v>
      </c>
      <c r="V7675">
        <v>-4.7913520000000001E-2</v>
      </c>
      <c r="W7675">
        <v>0.19692409999999999</v>
      </c>
      <c r="X7675">
        <v>0.97924730000000004</v>
      </c>
      <c r="Y7675">
        <v>-0.13975129999999999</v>
      </c>
      <c r="Z7675">
        <v>4.2179829999999998E-3</v>
      </c>
      <c r="AA7675">
        <v>0.99017759999999999</v>
      </c>
      <c r="AB7675">
        <v>34</v>
      </c>
      <c r="AC7675">
        <v>29.319199999999899</v>
      </c>
      <c r="AD7675">
        <v>-1.1087860644580001</v>
      </c>
      <c r="AE7675">
        <v>2.8979900000000001</v>
      </c>
      <c r="AF7675">
        <v>-4.1390461370646499</v>
      </c>
      <c r="AG7675">
        <v>-1.1087860644580001</v>
      </c>
      <c r="AH7675">
        <v>29.127796563138801</v>
      </c>
      <c r="AI7675">
        <v>92.158322069450094</v>
      </c>
      <c r="AJ7675">
        <v>98.087557866287696</v>
      </c>
      <c r="AK7675">
        <v>29.441291447303801</v>
      </c>
      <c r="AL7675">
        <v>78.642854338648206</v>
      </c>
      <c r="AM7675">
        <v>92.801187074029301</v>
      </c>
      <c r="AN7675">
        <v>1.0000000405584399</v>
      </c>
    </row>
    <row r="7676" spans="1:40" x14ac:dyDescent="0.25">
      <c r="A7676" t="str">
        <f>"20190312172300787"</f>
        <v>20190312172300787</v>
      </c>
      <c r="B7676" t="str">
        <f>"1552382580777914"</f>
        <v>1552382580777914</v>
      </c>
      <c r="C7676" t="s">
        <v>40</v>
      </c>
      <c r="D7676">
        <v>3.220599</v>
      </c>
      <c r="E7676">
        <v>0.46518929999999997</v>
      </c>
      <c r="F7676" t="s">
        <v>64</v>
      </c>
      <c r="G7676">
        <v>-203.14160000000001</v>
      </c>
      <c r="H7676" s="1">
        <v>-4.121382E-6</v>
      </c>
      <c r="I7676">
        <v>-60.718640000000001</v>
      </c>
      <c r="J7676">
        <v>-232.4092</v>
      </c>
      <c r="K7676">
        <v>1.108932</v>
      </c>
      <c r="L7676">
        <v>-63.690429999999999</v>
      </c>
      <c r="M7676">
        <v>0.99910239999999995</v>
      </c>
      <c r="N7676">
        <v>0</v>
      </c>
      <c r="O7676">
        <v>-4.2233680000000003E-2</v>
      </c>
      <c r="P7676">
        <v>0.98114760000000001</v>
      </c>
      <c r="Q7676">
        <v>0.1930557</v>
      </c>
      <c r="R7676">
        <v>8.8958289999999992E-3</v>
      </c>
      <c r="S7676">
        <v>3.078751</v>
      </c>
      <c r="T7676">
        <v>-0.1159593</v>
      </c>
      <c r="U7676">
        <v>0.31005860000000002</v>
      </c>
      <c r="V7676">
        <v>-5.0478309999999998E-2</v>
      </c>
      <c r="W7676">
        <v>0.1962864</v>
      </c>
      <c r="X7676">
        <v>0.97924639999999996</v>
      </c>
      <c r="Y7676">
        <v>-0.14200489999999999</v>
      </c>
      <c r="Z7676">
        <v>4.2532129999999996E-3</v>
      </c>
      <c r="AA7676">
        <v>0.98985679999999998</v>
      </c>
      <c r="AB7676">
        <v>34</v>
      </c>
      <c r="AC7676">
        <v>29.267599999999899</v>
      </c>
      <c r="AD7676">
        <v>-1.1089361213819999</v>
      </c>
      <c r="AE7676">
        <v>2.9717899999999999</v>
      </c>
      <c r="AF7676">
        <v>-4.1992564872381104</v>
      </c>
      <c r="AG7676">
        <v>-1.1089361213819999</v>
      </c>
      <c r="AH7676">
        <v>29.074661549539901</v>
      </c>
      <c r="AI7676">
        <v>92.161848346925794</v>
      </c>
      <c r="AJ7676">
        <v>98.2184045780335</v>
      </c>
      <c r="AK7676">
        <v>29.397269236907199</v>
      </c>
      <c r="AL7676">
        <v>78.680118254718394</v>
      </c>
      <c r="AM7676">
        <v>92.950877813210298</v>
      </c>
      <c r="AN7676">
        <v>0.999999961259187</v>
      </c>
    </row>
    <row r="7677" spans="1:40" x14ac:dyDescent="0.25">
      <c r="A7677" t="str">
        <f>"20190312172300797"</f>
        <v>20190312172300797</v>
      </c>
      <c r="B7677" t="str">
        <f>"1552382580787675"</f>
        <v>1552382580787675</v>
      </c>
      <c r="C7677" t="s">
        <v>40</v>
      </c>
      <c r="D7677">
        <v>3.133645</v>
      </c>
      <c r="E7677">
        <v>0.46537879999999998</v>
      </c>
      <c r="F7677" t="s">
        <v>64</v>
      </c>
      <c r="G7677">
        <v>-204.0788</v>
      </c>
      <c r="H7677" s="1">
        <v>-3.646917E-6</v>
      </c>
      <c r="I7677">
        <v>-60.77075</v>
      </c>
      <c r="J7677">
        <v>-232.25389999999999</v>
      </c>
      <c r="K7677">
        <v>1.1090799999999901</v>
      </c>
      <c r="L7677">
        <v>-63.696750000000002</v>
      </c>
      <c r="M7677">
        <v>0.99911899999999998</v>
      </c>
      <c r="N7677">
        <v>0</v>
      </c>
      <c r="O7677">
        <v>-4.1850819999999997E-2</v>
      </c>
      <c r="P7677">
        <v>0.98109400000000002</v>
      </c>
      <c r="Q7677">
        <v>0.19322139999999999</v>
      </c>
      <c r="R7677">
        <v>1.0967630000000001E-2</v>
      </c>
      <c r="S7677">
        <v>3.0784609999999999</v>
      </c>
      <c r="T7677">
        <v>-0.1205</v>
      </c>
      <c r="U7677">
        <v>0.31726070000000001</v>
      </c>
      <c r="V7677">
        <v>-5.2231159999999999E-2</v>
      </c>
      <c r="W7677">
        <v>0.1962392</v>
      </c>
      <c r="X7677">
        <v>0.97916400000000003</v>
      </c>
      <c r="Y7677">
        <v>-0.14391509999999999</v>
      </c>
      <c r="Z7677">
        <v>4.4418679999999999E-3</v>
      </c>
      <c r="AA7677">
        <v>0.98958009999999996</v>
      </c>
      <c r="AB7677">
        <v>35</v>
      </c>
      <c r="AC7677">
        <v>28.175099999999901</v>
      </c>
      <c r="AD7677">
        <v>-1.10908364691699</v>
      </c>
      <c r="AE7677">
        <v>2.9260000000000002</v>
      </c>
      <c r="AF7677">
        <v>-4.0963135954853502</v>
      </c>
      <c r="AG7677">
        <v>-1.10908364691699</v>
      </c>
      <c r="AH7677">
        <v>27.985057858769299</v>
      </c>
      <c r="AI7677">
        <v>92.245612877026602</v>
      </c>
      <c r="AJ7677">
        <v>98.327533044516599</v>
      </c>
      <c r="AK7677">
        <v>28.3050051221879</v>
      </c>
      <c r="AL7677">
        <v>78.682877023716799</v>
      </c>
      <c r="AM7677">
        <v>93.0534123237003</v>
      </c>
      <c r="AN7677">
        <v>1.00000002829379</v>
      </c>
    </row>
    <row r="7678" spans="1:40" x14ac:dyDescent="0.25">
      <c r="A7678" t="str">
        <f>"20190312172300810"</f>
        <v>20190312172300810</v>
      </c>
      <c r="B7678" t="str">
        <f>"1552382580798411"</f>
        <v>1552382580798411</v>
      </c>
      <c r="C7678" t="s">
        <v>40</v>
      </c>
      <c r="D7678">
        <v>3.1941609999999998</v>
      </c>
      <c r="E7678">
        <v>0.46537879999999998</v>
      </c>
      <c r="F7678" t="s">
        <v>64</v>
      </c>
      <c r="G7678">
        <v>-203.8631</v>
      </c>
      <c r="H7678" s="1">
        <v>-3.7546009999999998E-6</v>
      </c>
      <c r="I7678">
        <v>-60.733179999999997</v>
      </c>
      <c r="J7678">
        <v>-232.0658</v>
      </c>
      <c r="K7678">
        <v>1.1092949999999999</v>
      </c>
      <c r="L7678">
        <v>-63.704189999999997</v>
      </c>
      <c r="M7678">
        <v>0.99914170000000002</v>
      </c>
      <c r="N7678">
        <v>0</v>
      </c>
      <c r="O7678">
        <v>-4.1313860000000001E-2</v>
      </c>
      <c r="P7678">
        <v>0.98109900000000005</v>
      </c>
      <c r="Q7678">
        <v>0.19296260000000001</v>
      </c>
      <c r="R7678">
        <v>1.451207E-2</v>
      </c>
      <c r="S7678">
        <v>3.0779109999999998</v>
      </c>
      <c r="T7678">
        <v>-0.1202385</v>
      </c>
      <c r="U7678">
        <v>0.32128909999999899</v>
      </c>
      <c r="V7678">
        <v>-5.5319340000000002E-2</v>
      </c>
      <c r="W7678">
        <v>0.1958763</v>
      </c>
      <c r="X7678">
        <v>0.97906700000000002</v>
      </c>
      <c r="Y7678">
        <v>-0.14468300000000001</v>
      </c>
      <c r="Z7678">
        <v>4.4267689999999997E-3</v>
      </c>
      <c r="AA7678">
        <v>0.98946820000000002</v>
      </c>
      <c r="AB7678">
        <v>35</v>
      </c>
      <c r="AC7678">
        <v>28.2027</v>
      </c>
      <c r="AD7678">
        <v>-1.109298754601</v>
      </c>
      <c r="AE7678">
        <v>2.9710100000000002</v>
      </c>
      <c r="AF7678">
        <v>-4.1273257794781397</v>
      </c>
      <c r="AG7678">
        <v>-1.109298754601</v>
      </c>
      <c r="AH7678">
        <v>28.013013391379602</v>
      </c>
      <c r="AI7678">
        <v>92.243499184818305</v>
      </c>
      <c r="AJ7678">
        <v>98.381431245261197</v>
      </c>
      <c r="AK7678">
        <v>28.337153722322199</v>
      </c>
      <c r="AL7678">
        <v>78.704080544675406</v>
      </c>
      <c r="AM7678">
        <v>93.233893310742303</v>
      </c>
      <c r="AN7678">
        <v>0.999999972384362</v>
      </c>
    </row>
    <row r="7679" spans="1:40" x14ac:dyDescent="0.25">
      <c r="A7679" t="str">
        <f>"20190312172300820"</f>
        <v>20190312172300820</v>
      </c>
      <c r="B7679" t="str">
        <f>"1552382580817931"</f>
        <v>1552382580817931</v>
      </c>
      <c r="C7679" t="s">
        <v>40</v>
      </c>
      <c r="D7679">
        <v>3.1592410000000002</v>
      </c>
      <c r="E7679">
        <v>0.4659278</v>
      </c>
      <c r="F7679" t="s">
        <v>64</v>
      </c>
      <c r="G7679">
        <v>-204.00020000000001</v>
      </c>
      <c r="H7679" s="1">
        <v>-3.681945E-6</v>
      </c>
      <c r="I7679">
        <v>-60.684690000000003</v>
      </c>
      <c r="J7679">
        <v>-231.89089999999999</v>
      </c>
      <c r="K7679">
        <v>1.109499</v>
      </c>
      <c r="L7679">
        <v>-63.711030000000001</v>
      </c>
      <c r="M7679">
        <v>0.99916329999999998</v>
      </c>
      <c r="N7679">
        <v>0</v>
      </c>
      <c r="O7679">
        <v>-4.0789680000000002E-2</v>
      </c>
      <c r="P7679">
        <v>0.98105279999999995</v>
      </c>
      <c r="Q7679">
        <v>0.19294610000000001</v>
      </c>
      <c r="R7679">
        <v>1.7530009999999999E-2</v>
      </c>
      <c r="S7679">
        <v>3.076797</v>
      </c>
      <c r="T7679">
        <v>-0.1216111</v>
      </c>
      <c r="U7679">
        <v>0.33102419999999999</v>
      </c>
      <c r="V7679">
        <v>-5.7885770000000003E-2</v>
      </c>
      <c r="W7679">
        <v>0.1958095</v>
      </c>
      <c r="X7679">
        <v>0.97893200000000002</v>
      </c>
      <c r="Y7679">
        <v>-0.14729139999999999</v>
      </c>
      <c r="Z7679">
        <v>4.508878E-3</v>
      </c>
      <c r="AA7679">
        <v>0.98908289999999999</v>
      </c>
      <c r="AB7679">
        <v>35</v>
      </c>
      <c r="AC7679">
        <v>27.890699999999899</v>
      </c>
      <c r="AD7679">
        <v>-1.109502681945</v>
      </c>
      <c r="AE7679">
        <v>3.0263399999999998</v>
      </c>
      <c r="AF7679">
        <v>-4.1549804575652196</v>
      </c>
      <c r="AG7679">
        <v>-1.109502681945</v>
      </c>
      <c r="AH7679">
        <v>27.7007182096063</v>
      </c>
      <c r="AI7679">
        <v>92.268305875992695</v>
      </c>
      <c r="AJ7679">
        <v>98.530508151084206</v>
      </c>
      <c r="AK7679">
        <v>28.032564066314201</v>
      </c>
      <c r="AL7679">
        <v>78.707983702446796</v>
      </c>
      <c r="AM7679">
        <v>93.384047972759006</v>
      </c>
      <c r="AN7679">
        <v>0.99999999164137099</v>
      </c>
    </row>
    <row r="7680" spans="1:40" x14ac:dyDescent="0.25">
      <c r="A7680" t="str">
        <f>"20190312172300831"</f>
        <v>20190312172300831</v>
      </c>
      <c r="B7680" t="str">
        <f>"1552382580827690"</f>
        <v>1552382580827690</v>
      </c>
      <c r="C7680" t="s">
        <v>40</v>
      </c>
      <c r="D7680">
        <v>3.180145</v>
      </c>
      <c r="E7680">
        <v>0.46628150000000002</v>
      </c>
      <c r="F7680" t="s">
        <v>64</v>
      </c>
      <c r="G7680">
        <v>-203.727</v>
      </c>
      <c r="H7680" s="1">
        <v>-3.8187910000000001E-6</v>
      </c>
      <c r="I7680">
        <v>-60.644179999999999</v>
      </c>
      <c r="J7680">
        <v>-231.71690000000001</v>
      </c>
      <c r="K7680">
        <v>1.1096980000000001</v>
      </c>
      <c r="L7680">
        <v>-63.717529999999996</v>
      </c>
      <c r="M7680">
        <v>0.99918720000000005</v>
      </c>
      <c r="N7680">
        <v>0</v>
      </c>
      <c r="O7680">
        <v>-4.0194010000000002E-2</v>
      </c>
      <c r="P7680">
        <v>0.98098640000000004</v>
      </c>
      <c r="Q7680">
        <v>0.19299549999999999</v>
      </c>
      <c r="R7680">
        <v>2.0459910000000001E-2</v>
      </c>
      <c r="S7680">
        <v>3.0757750000000001</v>
      </c>
      <c r="T7680">
        <v>-0.121168899999999</v>
      </c>
      <c r="U7680">
        <v>0.33493040000000002</v>
      </c>
      <c r="V7680">
        <v>-6.028352E-2</v>
      </c>
      <c r="W7680">
        <v>0.1959226</v>
      </c>
      <c r="X7680">
        <v>0.97876470000000004</v>
      </c>
      <c r="Y7680">
        <v>-0.14797920000000001</v>
      </c>
      <c r="Z7680">
        <v>4.4837849999999997E-3</v>
      </c>
      <c r="AA7680">
        <v>0.98898030000000003</v>
      </c>
      <c r="AB7680">
        <v>35</v>
      </c>
      <c r="AC7680">
        <v>27.989899999999999</v>
      </c>
      <c r="AD7680">
        <v>-1.1097018187909999</v>
      </c>
      <c r="AE7680">
        <v>3.0733499999999898</v>
      </c>
      <c r="AF7680">
        <v>-4.18939135290326</v>
      </c>
      <c r="AG7680">
        <v>-1.1097018187909999</v>
      </c>
      <c r="AH7680">
        <v>27.8005725107944</v>
      </c>
      <c r="AI7680">
        <v>92.260340194288602</v>
      </c>
      <c r="AJ7680">
        <v>98.569673868187294</v>
      </c>
      <c r="AK7680">
        <v>28.1363513974777</v>
      </c>
      <c r="AL7680">
        <v>78.701376256307</v>
      </c>
      <c r="AM7680">
        <v>93.524476932172206</v>
      </c>
      <c r="AN7680">
        <v>1.00000005297021</v>
      </c>
    </row>
    <row r="7681" spans="1:40" x14ac:dyDescent="0.25">
      <c r="A7681" t="str">
        <f>"20190312172300844"</f>
        <v>20190312172300844</v>
      </c>
      <c r="B7681" t="str">
        <f>"1552382580838430"</f>
        <v>1552382580838430</v>
      </c>
      <c r="C7681" t="s">
        <v>40</v>
      </c>
      <c r="D7681">
        <v>3.126579</v>
      </c>
      <c r="E7681">
        <v>0.46659</v>
      </c>
      <c r="F7681" t="s">
        <v>64</v>
      </c>
      <c r="G7681">
        <v>-203.63159999999999</v>
      </c>
      <c r="H7681" s="1">
        <v>-3.8654509999999998E-6</v>
      </c>
      <c r="I7681">
        <v>-60.61045</v>
      </c>
      <c r="J7681">
        <v>-231.53970000000001</v>
      </c>
      <c r="K7681">
        <v>1.1098920000000001</v>
      </c>
      <c r="L7681">
        <v>-63.724060000000001</v>
      </c>
      <c r="M7681">
        <v>0.99921210000000005</v>
      </c>
      <c r="N7681">
        <v>0</v>
      </c>
      <c r="O7681">
        <v>-3.9560339999999999E-2</v>
      </c>
      <c r="P7681">
        <v>0.9808732</v>
      </c>
      <c r="Q7681">
        <v>0.19323750000000001</v>
      </c>
      <c r="R7681">
        <v>2.3394640000000001E-2</v>
      </c>
      <c r="S7681">
        <v>3.0749209999999998</v>
      </c>
      <c r="T7681">
        <v>-0.1214958</v>
      </c>
      <c r="U7681">
        <v>0.34017940000000002</v>
      </c>
      <c r="V7681">
        <v>-6.2643539999999998E-2</v>
      </c>
      <c r="W7681">
        <v>0.19624710000000001</v>
      </c>
      <c r="X7681">
        <v>0.97855139999999996</v>
      </c>
      <c r="Y7681">
        <v>-0.1490485</v>
      </c>
      <c r="Z7681">
        <v>4.4928019999999997E-3</v>
      </c>
      <c r="AA7681">
        <v>0.98881969999999997</v>
      </c>
      <c r="AB7681">
        <v>35</v>
      </c>
      <c r="AC7681">
        <v>27.908100000000001</v>
      </c>
      <c r="AD7681">
        <v>-1.1098958654510001</v>
      </c>
      <c r="AE7681">
        <v>3.1136099999999902</v>
      </c>
      <c r="AF7681">
        <v>-4.20865743387865</v>
      </c>
      <c r="AG7681">
        <v>-1.1098958654510001</v>
      </c>
      <c r="AH7681">
        <v>27.719773429626802</v>
      </c>
      <c r="AI7681">
        <v>92.266937999154607</v>
      </c>
      <c r="AJ7681">
        <v>98.633209753559996</v>
      </c>
      <c r="AK7681">
        <v>28.059410279222401</v>
      </c>
      <c r="AL7681">
        <v>78.682414970894797</v>
      </c>
      <c r="AM7681">
        <v>93.662883180530699</v>
      </c>
      <c r="AN7681">
        <v>0.99999998990204997</v>
      </c>
    </row>
    <row r="7682" spans="1:40" x14ac:dyDescent="0.25">
      <c r="A7682" t="str">
        <f>"20190312172300855"</f>
        <v>20190312172300855</v>
      </c>
      <c r="B7682" t="str">
        <f>"1552382580848187"</f>
        <v>1552382580848187</v>
      </c>
      <c r="C7682" t="s">
        <v>40</v>
      </c>
      <c r="D7682">
        <v>3.107262</v>
      </c>
      <c r="E7682">
        <v>0.4667655</v>
      </c>
      <c r="F7682" t="s">
        <v>64</v>
      </c>
      <c r="G7682">
        <v>-203.25649999999999</v>
      </c>
      <c r="H7682" s="1">
        <v>-4.0524469999999998E-6</v>
      </c>
      <c r="I7682">
        <v>-60.539650000000002</v>
      </c>
      <c r="J7682">
        <v>-231.35319999999999</v>
      </c>
      <c r="K7682">
        <v>1.110069</v>
      </c>
      <c r="L7682">
        <v>-63.7307699999999</v>
      </c>
      <c r="M7682">
        <v>0.99924020000000002</v>
      </c>
      <c r="N7682">
        <v>0</v>
      </c>
      <c r="O7682">
        <v>-3.8831949999999997E-2</v>
      </c>
      <c r="P7682">
        <v>0.98077449999999999</v>
      </c>
      <c r="Q7682">
        <v>0.19332009999999999</v>
      </c>
      <c r="R7682">
        <v>2.662933E-2</v>
      </c>
      <c r="S7682">
        <v>3.0739749999999999</v>
      </c>
      <c r="T7682">
        <v>-0.12063</v>
      </c>
      <c r="U7682">
        <v>0.34609990000000002</v>
      </c>
      <c r="V7682">
        <v>-6.5201709999999996E-2</v>
      </c>
      <c r="W7682">
        <v>0.1964622</v>
      </c>
      <c r="X7682">
        <v>0.97834109999999996</v>
      </c>
      <c r="Y7682">
        <v>-0.1502435</v>
      </c>
      <c r="Z7682">
        <v>4.4565789999999996E-3</v>
      </c>
      <c r="AA7682">
        <v>0.98863900000000005</v>
      </c>
      <c r="AB7682">
        <v>35</v>
      </c>
      <c r="AC7682">
        <v>28.096699999999998</v>
      </c>
      <c r="AD7682">
        <v>-1.1100730524469999</v>
      </c>
      <c r="AE7682">
        <v>3.19111999999999</v>
      </c>
      <c r="AF7682">
        <v>-4.2731834629798202</v>
      </c>
      <c r="AG7682">
        <v>-1.1100730524469999</v>
      </c>
      <c r="AH7682">
        <v>27.908580434065701</v>
      </c>
      <c r="AI7682">
        <v>92.251545967198794</v>
      </c>
      <c r="AJ7682">
        <v>98.705156452926701</v>
      </c>
      <c r="AK7682">
        <v>28.255640515386801</v>
      </c>
      <c r="AL7682">
        <v>78.669845893346505</v>
      </c>
      <c r="AM7682">
        <v>93.812848676660096</v>
      </c>
      <c r="AN7682">
        <v>0.99999998348248698</v>
      </c>
    </row>
    <row r="7683" spans="1:40" x14ac:dyDescent="0.25">
      <c r="A7683" t="str">
        <f>"20190312172300866"</f>
        <v>20190312172300866</v>
      </c>
      <c r="B7683" t="str">
        <f>"1552382580857947"</f>
        <v>1552382580857947</v>
      </c>
      <c r="C7683" t="s">
        <v>40</v>
      </c>
      <c r="D7683">
        <v>3.247166</v>
      </c>
      <c r="E7683">
        <v>0.4671768</v>
      </c>
      <c r="F7683" t="s">
        <v>64</v>
      </c>
      <c r="G7683">
        <v>-202.61080000000001</v>
      </c>
      <c r="H7683" s="1">
        <v>-4.3746270000000001E-6</v>
      </c>
      <c r="I7683">
        <v>-60.421869999999998</v>
      </c>
      <c r="J7683">
        <v>-231.18389999999999</v>
      </c>
      <c r="K7683">
        <v>1.110198</v>
      </c>
      <c r="L7683">
        <v>-63.736660000000001</v>
      </c>
      <c r="M7683">
        <v>0.9992666</v>
      </c>
      <c r="N7683">
        <v>0</v>
      </c>
      <c r="O7683">
        <v>-3.8127420000000002E-2</v>
      </c>
      <c r="P7683">
        <v>0.98061050000000005</v>
      </c>
      <c r="Q7683">
        <v>0.19368360000000001</v>
      </c>
      <c r="R7683">
        <v>2.983303E-2</v>
      </c>
      <c r="S7683">
        <v>3.0726170000000002</v>
      </c>
      <c r="T7683">
        <v>-0.11866889999999899</v>
      </c>
      <c r="U7683">
        <v>0.35372920000000002</v>
      </c>
      <c r="V7683">
        <v>-6.7737989999999998E-2</v>
      </c>
      <c r="W7683">
        <v>0.1969601</v>
      </c>
      <c r="X7683">
        <v>0.97806859999999995</v>
      </c>
      <c r="Y7683">
        <v>-0.15202209999999999</v>
      </c>
      <c r="Z7683">
        <v>4.3926069999999998E-3</v>
      </c>
      <c r="AA7683">
        <v>0.98836729999999995</v>
      </c>
      <c r="AB7683">
        <v>35</v>
      </c>
      <c r="AC7683">
        <v>28.573099999999901</v>
      </c>
      <c r="AD7683">
        <v>-1.110202374627</v>
      </c>
      <c r="AE7683">
        <v>3.3147899999999999</v>
      </c>
      <c r="AF7683">
        <v>-4.3952577790345497</v>
      </c>
      <c r="AG7683">
        <v>-1.110202374627</v>
      </c>
      <c r="AH7683">
        <v>28.383656988799402</v>
      </c>
      <c r="AI7683">
        <v>92.213577576903901</v>
      </c>
      <c r="AJ7683">
        <v>98.802435663120605</v>
      </c>
      <c r="AK7683">
        <v>28.743396186160901</v>
      </c>
      <c r="AL7683">
        <v>78.640749459513302</v>
      </c>
      <c r="AM7683">
        <v>93.961801331221295</v>
      </c>
      <c r="AN7683">
        <v>0.99999995129360297</v>
      </c>
    </row>
    <row r="7684" spans="1:40" x14ac:dyDescent="0.25">
      <c r="A7684" t="str">
        <f>"20190312172300878"</f>
        <v>20190312172300878</v>
      </c>
      <c r="B7684" t="str">
        <f>"1552382580867706"</f>
        <v>1552382580867706</v>
      </c>
      <c r="C7684" t="s">
        <v>40</v>
      </c>
      <c r="D7684">
        <v>3.1648209999999999</v>
      </c>
      <c r="E7684">
        <v>0.46746789999999999</v>
      </c>
      <c r="F7684" t="s">
        <v>64</v>
      </c>
      <c r="G7684">
        <v>-202.0241</v>
      </c>
      <c r="H7684" s="1">
        <v>-4.6848520000000002E-6</v>
      </c>
      <c r="I7684">
        <v>-60.322819999999901</v>
      </c>
      <c r="J7684">
        <v>-230.99449999999999</v>
      </c>
      <c r="K7684">
        <v>1.1103259999999999</v>
      </c>
      <c r="L7684">
        <v>-63.743160000000003</v>
      </c>
      <c r="M7684">
        <v>0.99929699999999999</v>
      </c>
      <c r="N7684">
        <v>0</v>
      </c>
      <c r="O7684">
        <v>-3.7306199999999998E-2</v>
      </c>
      <c r="P7684">
        <v>0.98049529999999996</v>
      </c>
      <c r="Q7684">
        <v>0.19372310000000001</v>
      </c>
      <c r="R7684">
        <v>3.3170449999999997E-2</v>
      </c>
      <c r="S7684">
        <v>3.071472</v>
      </c>
      <c r="T7684">
        <v>-0.1169404</v>
      </c>
      <c r="U7684">
        <v>0.35958859999999998</v>
      </c>
      <c r="V7684">
        <v>-7.0291969999999995E-2</v>
      </c>
      <c r="W7684">
        <v>0.19716349999999999</v>
      </c>
      <c r="X7684">
        <v>0.97784749999999998</v>
      </c>
      <c r="Y7684">
        <v>-0.1531158</v>
      </c>
      <c r="Z7684">
        <v>4.3193870000000001E-3</v>
      </c>
      <c r="AA7684">
        <v>0.98819880000000004</v>
      </c>
      <c r="AB7684">
        <v>35</v>
      </c>
      <c r="AC7684">
        <v>28.970399999999898</v>
      </c>
      <c r="AD7684">
        <v>-1.11033068485199</v>
      </c>
      <c r="AE7684">
        <v>3.4203399999999999</v>
      </c>
      <c r="AF7684">
        <v>-4.4922339927729302</v>
      </c>
      <c r="AG7684">
        <v>-1.11033068485199</v>
      </c>
      <c r="AH7684">
        <v>28.780936658267301</v>
      </c>
      <c r="AI7684">
        <v>92.182896269242406</v>
      </c>
      <c r="AJ7684">
        <v>98.871355587878796</v>
      </c>
      <c r="AK7684">
        <v>29.1505628659678</v>
      </c>
      <c r="AL7684">
        <v>78.628863772939695</v>
      </c>
      <c r="AM7684">
        <v>94.111599784681403</v>
      </c>
      <c r="AN7684">
        <v>1.00000007001748</v>
      </c>
    </row>
    <row r="7685" spans="1:40" x14ac:dyDescent="0.25">
      <c r="A7685" t="str">
        <f>"20190312172300891"</f>
        <v>20190312172300891</v>
      </c>
      <c r="B7685" t="str">
        <f>"1552382580878443"</f>
        <v>1552382580878443</v>
      </c>
      <c r="C7685" t="s">
        <v>40</v>
      </c>
      <c r="D7685">
        <v>3.1644610000000002</v>
      </c>
      <c r="E7685">
        <v>0.46781509999999998</v>
      </c>
      <c r="F7685" t="s">
        <v>64</v>
      </c>
      <c r="G7685">
        <v>-201.79820000000001</v>
      </c>
      <c r="H7685" s="1">
        <v>-4.81509E-6</v>
      </c>
      <c r="I7685">
        <v>-60.254440000000002</v>
      </c>
      <c r="J7685">
        <v>-230.8168</v>
      </c>
      <c r="K7685">
        <v>1.110417</v>
      </c>
      <c r="L7685">
        <v>-63.749049999999997</v>
      </c>
      <c r="M7685">
        <v>0.99932650000000001</v>
      </c>
      <c r="N7685">
        <v>0</v>
      </c>
      <c r="O7685">
        <v>-3.6488939999999997E-2</v>
      </c>
      <c r="P7685">
        <v>0.98041900000000004</v>
      </c>
      <c r="Q7685">
        <v>0.19352900000000001</v>
      </c>
      <c r="R7685">
        <v>3.640674E-2</v>
      </c>
      <c r="S7685">
        <v>3.0703429999999998</v>
      </c>
      <c r="T7685">
        <v>-0.1167649</v>
      </c>
      <c r="U7685">
        <v>0.36688229999999999</v>
      </c>
      <c r="V7685">
        <v>-7.2739189999999995E-2</v>
      </c>
      <c r="W7685">
        <v>0.197134</v>
      </c>
      <c r="X7685">
        <v>0.97767440000000005</v>
      </c>
      <c r="Y7685">
        <v>-0.15466429999999901</v>
      </c>
      <c r="Z7685">
        <v>4.3122539999999997E-3</v>
      </c>
      <c r="AA7685">
        <v>0.98795770000000005</v>
      </c>
      <c r="AB7685">
        <v>35</v>
      </c>
      <c r="AC7685">
        <v>29.0185999999999</v>
      </c>
      <c r="AD7685">
        <v>-1.11042181509</v>
      </c>
      <c r="AE7685">
        <v>3.49460999999999</v>
      </c>
      <c r="AF7685">
        <v>-4.5445892974383897</v>
      </c>
      <c r="AG7685">
        <v>-1.11042181509</v>
      </c>
      <c r="AH7685">
        <v>28.830147567212101</v>
      </c>
      <c r="AI7685">
        <v>92.178836067311593</v>
      </c>
      <c r="AJ7685">
        <v>98.958007274207105</v>
      </c>
      <c r="AK7685">
        <v>29.207254873353801</v>
      </c>
      <c r="AL7685">
        <v>78.630587236947903</v>
      </c>
      <c r="AM7685">
        <v>94.254979136537202</v>
      </c>
      <c r="AN7685">
        <v>1.0000000180666</v>
      </c>
    </row>
    <row r="7686" spans="1:40" x14ac:dyDescent="0.25">
      <c r="A7686" t="str">
        <f>"20190312172300900"</f>
        <v>20190312172300900</v>
      </c>
      <c r="B7686" t="str">
        <f>"1552382580897963"</f>
        <v>1552382580897963</v>
      </c>
      <c r="C7686" t="s">
        <v>40</v>
      </c>
      <c r="D7686">
        <v>3.1408659999999999</v>
      </c>
      <c r="E7686">
        <v>0.46859970000000001</v>
      </c>
      <c r="F7686" t="s">
        <v>64</v>
      </c>
      <c r="G7686">
        <v>-201.78819999999999</v>
      </c>
      <c r="H7686" s="1">
        <v>-4.8290179999999999E-6</v>
      </c>
      <c r="I7686">
        <v>-60.214689999999997</v>
      </c>
      <c r="J7686">
        <v>-230.6559</v>
      </c>
      <c r="K7686">
        <v>1.110493</v>
      </c>
      <c r="L7686">
        <v>-63.754359999999998</v>
      </c>
      <c r="M7686">
        <v>0.99935280000000004</v>
      </c>
      <c r="N7686">
        <v>0</v>
      </c>
      <c r="O7686">
        <v>-3.5741780000000001E-2</v>
      </c>
      <c r="P7686">
        <v>0.98029840000000001</v>
      </c>
      <c r="Q7686">
        <v>0.19353890000000001</v>
      </c>
      <c r="R7686">
        <v>3.947138E-2</v>
      </c>
      <c r="S7686">
        <v>3.0691989999999998</v>
      </c>
      <c r="T7686">
        <v>-0.1174051</v>
      </c>
      <c r="U7686">
        <v>0.37368770000000001</v>
      </c>
      <c r="V7686">
        <v>-7.5080530000000006E-2</v>
      </c>
      <c r="W7686">
        <v>0.19729389999999999</v>
      </c>
      <c r="X7686">
        <v>0.97746509999999998</v>
      </c>
      <c r="Y7686">
        <v>-0.15612609999999999</v>
      </c>
      <c r="Z7686">
        <v>4.3362870000000003E-3</v>
      </c>
      <c r="AA7686">
        <v>0.98772760000000004</v>
      </c>
      <c r="AB7686">
        <v>35</v>
      </c>
      <c r="AC7686">
        <v>28.867699999999999</v>
      </c>
      <c r="AD7686">
        <v>-1.1104978290180001</v>
      </c>
      <c r="AE7686">
        <v>3.5396699999999899</v>
      </c>
      <c r="AF7686">
        <v>-4.5625480438730399</v>
      </c>
      <c r="AG7686">
        <v>-1.1104978290180001</v>
      </c>
      <c r="AH7686">
        <v>28.6809256252963</v>
      </c>
      <c r="AI7686">
        <v>92.189822104681795</v>
      </c>
      <c r="AJ7686">
        <v>99.038846679714894</v>
      </c>
      <c r="AK7686">
        <v>29.062786253294401</v>
      </c>
      <c r="AL7686">
        <v>78.621241846004594</v>
      </c>
      <c r="AM7686">
        <v>94.392348240235904</v>
      </c>
      <c r="AN7686">
        <v>0.99999999534015005</v>
      </c>
    </row>
    <row r="7687" spans="1:40" x14ac:dyDescent="0.25">
      <c r="A7687" t="str">
        <f>"20190312172300910"</f>
        <v>20190312172300910</v>
      </c>
      <c r="B7687" t="str">
        <f>"1552382580897963"</f>
        <v>1552382580897963</v>
      </c>
      <c r="C7687" t="s">
        <v>40</v>
      </c>
      <c r="D7687">
        <v>3.1408659999999999</v>
      </c>
      <c r="E7687">
        <v>0.46859970000000001</v>
      </c>
      <c r="F7687" t="s">
        <v>64</v>
      </c>
      <c r="G7687">
        <v>-201.51259999999999</v>
      </c>
      <c r="H7687" s="1">
        <v>-4.977064E-6</v>
      </c>
      <c r="I7687">
        <v>-60.180309999999999</v>
      </c>
      <c r="J7687">
        <v>-230.4975</v>
      </c>
      <c r="K7687">
        <v>1.11054599999999</v>
      </c>
      <c r="L7687">
        <v>-63.759340000000002</v>
      </c>
      <c r="M7687">
        <v>0.99937900000000002</v>
      </c>
      <c r="N7687">
        <v>0</v>
      </c>
      <c r="O7687">
        <v>-3.498188E-2</v>
      </c>
      <c r="P7687">
        <v>0.98014650000000003</v>
      </c>
      <c r="Q7687">
        <v>0.19369040000000001</v>
      </c>
      <c r="R7687">
        <v>4.2390459999999998E-2</v>
      </c>
      <c r="S7687">
        <v>3.0682369999999999</v>
      </c>
      <c r="T7687">
        <v>-0.1169145</v>
      </c>
      <c r="U7687">
        <v>0.3762817</v>
      </c>
      <c r="V7687">
        <v>-7.7258709999999994E-2</v>
      </c>
      <c r="W7687">
        <v>0.1975973</v>
      </c>
      <c r="X7687">
        <v>0.97723409999999999</v>
      </c>
      <c r="Y7687">
        <v>-0.1562365</v>
      </c>
      <c r="Z7687">
        <v>4.29255E-3</v>
      </c>
      <c r="AA7687">
        <v>0.98771039999999999</v>
      </c>
      <c r="AB7687">
        <v>35</v>
      </c>
      <c r="AC7687">
        <v>28.9849</v>
      </c>
      <c r="AD7687">
        <v>-1.1105509770640001</v>
      </c>
      <c r="AE7687">
        <v>3.5790299999999999</v>
      </c>
      <c r="AF7687">
        <v>-4.5841661608860003</v>
      </c>
      <c r="AG7687">
        <v>-1.1105509770640001</v>
      </c>
      <c r="AH7687">
        <v>28.800312449588699</v>
      </c>
      <c r="AI7687">
        <v>92.180826787461001</v>
      </c>
      <c r="AJ7687">
        <v>99.043942097983901</v>
      </c>
      <c r="AK7687">
        <v>29.184000754817699</v>
      </c>
      <c r="AL7687">
        <v>78.603509777853802</v>
      </c>
      <c r="AM7687">
        <v>94.5203191244957</v>
      </c>
      <c r="AN7687">
        <v>1.0000000437204799</v>
      </c>
    </row>
    <row r="7688" spans="1:40" x14ac:dyDescent="0.25">
      <c r="A7688" t="str">
        <f>"20190312172300921"</f>
        <v>20190312172300921</v>
      </c>
      <c r="B7688" t="str">
        <f>"1552382580918459"</f>
        <v>1552382580918459</v>
      </c>
      <c r="C7688" t="s">
        <v>40</v>
      </c>
      <c r="D7688">
        <v>3.1236130000000002</v>
      </c>
      <c r="E7688">
        <v>0.4693505</v>
      </c>
      <c r="F7688" t="s">
        <v>64</v>
      </c>
      <c r="G7688">
        <v>-201.29689999999999</v>
      </c>
      <c r="H7688" s="1">
        <v>-5.1058119999999998E-6</v>
      </c>
      <c r="I7688">
        <v>-60.095350000000003</v>
      </c>
      <c r="J7688">
        <v>-230.32749999999999</v>
      </c>
      <c r="K7688">
        <v>1.110606</v>
      </c>
      <c r="L7688">
        <v>-63.764679999999998</v>
      </c>
      <c r="M7688">
        <v>0.99940649999999998</v>
      </c>
      <c r="N7688">
        <v>0</v>
      </c>
      <c r="O7688">
        <v>-3.416537E-2</v>
      </c>
      <c r="P7688">
        <v>0.98005629999999999</v>
      </c>
      <c r="Q7688">
        <v>0.19347690000000001</v>
      </c>
      <c r="R7688">
        <v>4.5350349999999998E-2</v>
      </c>
      <c r="S7688">
        <v>3.0671689999999998</v>
      </c>
      <c r="T7688">
        <v>-0.11665</v>
      </c>
      <c r="U7688">
        <v>0.38485720000000001</v>
      </c>
      <c r="V7688">
        <v>-7.9424750000000002E-2</v>
      </c>
      <c r="W7688">
        <v>0.19754679999999999</v>
      </c>
      <c r="X7688">
        <v>0.97707060000000001</v>
      </c>
      <c r="Y7688">
        <v>-0.1581902</v>
      </c>
      <c r="Z7688">
        <v>4.2896610000000002E-3</v>
      </c>
      <c r="AA7688">
        <v>0.98739929999999998</v>
      </c>
      <c r="AB7688">
        <v>35</v>
      </c>
      <c r="AC7688">
        <v>29.0306</v>
      </c>
      <c r="AD7688">
        <v>-1.1106111058120001</v>
      </c>
      <c r="AE7688">
        <v>3.66933</v>
      </c>
      <c r="AF7688">
        <v>-4.65233664974836</v>
      </c>
      <c r="AG7688">
        <v>-1.1106111058120001</v>
      </c>
      <c r="AH7688">
        <v>28.846730993352601</v>
      </c>
      <c r="AI7688">
        <v>92.176722773806702</v>
      </c>
      <c r="AJ7688">
        <v>99.161646463649006</v>
      </c>
      <c r="AK7688">
        <v>29.240581087485101</v>
      </c>
      <c r="AL7688">
        <v>78.6064608129806</v>
      </c>
      <c r="AM7688">
        <v>94.647278376069195</v>
      </c>
      <c r="AN7688">
        <v>0.99999999324358102</v>
      </c>
    </row>
    <row r="7689" spans="1:40" x14ac:dyDescent="0.25">
      <c r="A7689" t="str">
        <f>"20190312172300932"</f>
        <v>20190312172300932</v>
      </c>
      <c r="B7689" t="str">
        <f>"1552382580928219"</f>
        <v>1552382580928219</v>
      </c>
      <c r="C7689" t="s">
        <v>40</v>
      </c>
      <c r="D7689">
        <v>3.144466</v>
      </c>
      <c r="E7689">
        <v>0.46968169999999998</v>
      </c>
      <c r="F7689" t="s">
        <v>64</v>
      </c>
      <c r="G7689">
        <v>-201.25360000000001</v>
      </c>
      <c r="H7689" s="1">
        <v>-5.1292090000000004E-6</v>
      </c>
      <c r="I7689">
        <v>-60.089440000000003</v>
      </c>
      <c r="J7689">
        <v>-230.1508</v>
      </c>
      <c r="K7689">
        <v>1.110657</v>
      </c>
      <c r="L7689">
        <v>-63.770020000000002</v>
      </c>
      <c r="M7689">
        <v>0.9994345</v>
      </c>
      <c r="N7689">
        <v>0</v>
      </c>
      <c r="O7689">
        <v>-3.3309650000000003E-2</v>
      </c>
      <c r="P7689">
        <v>0.9799776</v>
      </c>
      <c r="Q7689">
        <v>0.19322600000000001</v>
      </c>
      <c r="R7689">
        <v>4.8036740000000001E-2</v>
      </c>
      <c r="S7689">
        <v>3.0662539999999998</v>
      </c>
      <c r="T7689">
        <v>-0.117129399999999</v>
      </c>
      <c r="U7689">
        <v>0.3876038</v>
      </c>
      <c r="V7689">
        <v>-8.1278879999999998E-2</v>
      </c>
      <c r="W7689">
        <v>0.1974631</v>
      </c>
      <c r="X7689">
        <v>0.976935</v>
      </c>
      <c r="Y7689">
        <v>-0.15825129999999901</v>
      </c>
      <c r="Z7689">
        <v>4.2769139999999997E-3</v>
      </c>
      <c r="AA7689">
        <v>0.98738959999999998</v>
      </c>
      <c r="AB7689">
        <v>35</v>
      </c>
      <c r="AC7689">
        <v>28.897200000000002</v>
      </c>
      <c r="AD7689">
        <v>-1.110662129209</v>
      </c>
      <c r="AE7689">
        <v>3.6805799999999902</v>
      </c>
      <c r="AF7689">
        <v>-4.6343665198176103</v>
      </c>
      <c r="AG7689">
        <v>-1.110662129209</v>
      </c>
      <c r="AH7689">
        <v>28.716819329138399</v>
      </c>
      <c r="AI7689">
        <v>92.186625178094701</v>
      </c>
      <c r="AJ7689">
        <v>99.167444705962197</v>
      </c>
      <c r="AK7689">
        <v>29.1095626175943</v>
      </c>
      <c r="AL7689">
        <v>78.611352486702998</v>
      </c>
      <c r="AM7689">
        <v>94.755931841423305</v>
      </c>
      <c r="AN7689">
        <v>0.99999996321033102</v>
      </c>
    </row>
    <row r="7690" spans="1:40" x14ac:dyDescent="0.25">
      <c r="A7690" t="str">
        <f>"20190312172300943"</f>
        <v>20190312172300943</v>
      </c>
      <c r="B7690" t="str">
        <f>"1552382580937978"</f>
        <v>1552382580937978</v>
      </c>
      <c r="C7690" t="s">
        <v>40</v>
      </c>
      <c r="D7690">
        <v>3.1694270000000002</v>
      </c>
      <c r="E7690">
        <v>0.46968169999999998</v>
      </c>
      <c r="F7690" t="s">
        <v>64</v>
      </c>
      <c r="G7690">
        <v>-201.2645</v>
      </c>
      <c r="H7690" s="1">
        <v>-5.1286210000000003E-6</v>
      </c>
      <c r="I7690">
        <v>-60.067</v>
      </c>
      <c r="J7690">
        <v>-229.97499999999999</v>
      </c>
      <c r="K7690">
        <v>1.1107070000000001</v>
      </c>
      <c r="L7690">
        <v>-63.775239999999997</v>
      </c>
      <c r="M7690">
        <v>0.99946159999999995</v>
      </c>
      <c r="N7690">
        <v>0</v>
      </c>
      <c r="O7690">
        <v>-3.2460250000000003E-2</v>
      </c>
      <c r="P7690">
        <v>0.97996899999999998</v>
      </c>
      <c r="Q7690">
        <v>0.1925433</v>
      </c>
      <c r="R7690">
        <v>5.0871479999999997E-2</v>
      </c>
      <c r="S7690">
        <v>3.0652620000000002</v>
      </c>
      <c r="T7690">
        <v>-0.11785760000000001</v>
      </c>
      <c r="U7690">
        <v>0.39294430000000002</v>
      </c>
      <c r="V7690">
        <v>-8.3288860000000006E-2</v>
      </c>
      <c r="W7690">
        <v>0.19694420000000001</v>
      </c>
      <c r="X7690">
        <v>0.97687049999999997</v>
      </c>
      <c r="Y7690">
        <v>-0.15914300000000001</v>
      </c>
      <c r="Z7690">
        <v>4.288933E-3</v>
      </c>
      <c r="AA7690">
        <v>0.98724619999999996</v>
      </c>
      <c r="AB7690">
        <v>35</v>
      </c>
      <c r="AC7690">
        <v>28.7105</v>
      </c>
      <c r="AD7690">
        <v>-1.110712128621</v>
      </c>
      <c r="AE7690">
        <v>3.70824</v>
      </c>
      <c r="AF7690">
        <v>-4.6314285557975001</v>
      </c>
      <c r="AG7690">
        <v>-1.110712128621</v>
      </c>
      <c r="AH7690">
        <v>28.5329949082629</v>
      </c>
      <c r="AI7690">
        <v>92.200472919044699</v>
      </c>
      <c r="AJ7690">
        <v>99.219745741459803</v>
      </c>
      <c r="AK7690">
        <v>28.927765387860202</v>
      </c>
      <c r="AL7690">
        <v>78.641679372202404</v>
      </c>
      <c r="AM7690">
        <v>94.873303948528005</v>
      </c>
      <c r="AN7690">
        <v>1.0000000129419899</v>
      </c>
    </row>
    <row r="7691" spans="1:40" x14ac:dyDescent="0.25">
      <c r="A7691" t="str">
        <f>"20190312172300954"</f>
        <v>20190312172300954</v>
      </c>
      <c r="B7691" t="str">
        <f>"1552382580947739"</f>
        <v>1552382580947739</v>
      </c>
      <c r="C7691" t="s">
        <v>40</v>
      </c>
      <c r="D7691">
        <v>3.3366889999999998</v>
      </c>
      <c r="E7691">
        <v>0.4782264</v>
      </c>
      <c r="F7691" t="s">
        <v>64</v>
      </c>
      <c r="G7691">
        <v>-201.64449999999999</v>
      </c>
      <c r="H7691" s="1">
        <v>-4.9356860000000001E-6</v>
      </c>
      <c r="I7691">
        <v>-60.063929999999999</v>
      </c>
      <c r="J7691">
        <v>-229.79490000000001</v>
      </c>
      <c r="K7691">
        <v>1.1107499999999999</v>
      </c>
      <c r="L7691">
        <v>-63.780430000000003</v>
      </c>
      <c r="M7691">
        <v>0.99948859999999995</v>
      </c>
      <c r="N7691">
        <v>0</v>
      </c>
      <c r="O7691">
        <v>-3.1593690000000001E-2</v>
      </c>
      <c r="P7691">
        <v>0.97991320000000004</v>
      </c>
      <c r="Q7691">
        <v>0.19212799999999999</v>
      </c>
      <c r="R7691">
        <v>5.345159E-2</v>
      </c>
      <c r="S7691">
        <v>3.0641020000000001</v>
      </c>
      <c r="T7691">
        <v>-0.1201296</v>
      </c>
      <c r="U7691">
        <v>0.40139770000000002</v>
      </c>
      <c r="V7691">
        <v>-8.5027779999999997E-2</v>
      </c>
      <c r="W7691">
        <v>0.19669130000000001</v>
      </c>
      <c r="X7691">
        <v>0.97677170000000002</v>
      </c>
      <c r="Y7691">
        <v>-0.16100629999999999</v>
      </c>
      <c r="Z7691">
        <v>4.374953E-3</v>
      </c>
      <c r="AA7691">
        <v>0.98694369999999998</v>
      </c>
      <c r="AB7691">
        <v>35</v>
      </c>
      <c r="AC7691">
        <v>28.150400000000001</v>
      </c>
      <c r="AD7691">
        <v>-1.11075493568599</v>
      </c>
      <c r="AE7691">
        <v>3.7164999999999901</v>
      </c>
      <c r="AF7691">
        <v>-4.5969959503317597</v>
      </c>
      <c r="AG7691">
        <v>-1.11075493568599</v>
      </c>
      <c r="AH7691">
        <v>27.9761169574852</v>
      </c>
      <c r="AI7691">
        <v>92.243603163404202</v>
      </c>
      <c r="AJ7691">
        <v>99.331373486984006</v>
      </c>
      <c r="AK7691">
        <v>28.373037699784799</v>
      </c>
      <c r="AL7691">
        <v>78.656459237485393</v>
      </c>
      <c r="AM7691">
        <v>94.975044961790601</v>
      </c>
      <c r="AN7691">
        <v>1.00000007239415</v>
      </c>
    </row>
    <row r="7692" spans="1:40" x14ac:dyDescent="0.25">
      <c r="A7692" t="str">
        <f>"20190312172300966"</f>
        <v>20190312172300966</v>
      </c>
      <c r="B7692" t="str">
        <f>"1552382580958475"</f>
        <v>1552382580958475</v>
      </c>
      <c r="C7692" t="s">
        <v>40</v>
      </c>
      <c r="D7692">
        <v>3.1259600000000001</v>
      </c>
      <c r="E7692">
        <v>0.47893210000000003</v>
      </c>
      <c r="F7692" t="s">
        <v>64</v>
      </c>
      <c r="G7692">
        <v>-202.7107</v>
      </c>
      <c r="H7692" s="1">
        <v>-4.3438940000000003E-6</v>
      </c>
      <c r="I7692">
        <v>-60.769080000000002</v>
      </c>
      <c r="J7692">
        <v>-229.62479999999999</v>
      </c>
      <c r="K7692">
        <v>1.1107880000000001</v>
      </c>
      <c r="L7692">
        <v>-63.785159999999998</v>
      </c>
      <c r="M7692">
        <v>0.99951310000000004</v>
      </c>
      <c r="N7692">
        <v>0</v>
      </c>
      <c r="O7692">
        <v>-3.078005E-2</v>
      </c>
      <c r="P7692">
        <v>0.97984819999999995</v>
      </c>
      <c r="Q7692">
        <v>0.1918117</v>
      </c>
      <c r="R7692">
        <v>5.5729430000000003E-2</v>
      </c>
      <c r="S7692">
        <v>3.0675509999999999</v>
      </c>
      <c r="T7692">
        <v>-0.12580369999999999</v>
      </c>
      <c r="U7692">
        <v>0.34106449999999999</v>
      </c>
      <c r="V7692">
        <v>-8.6516449999999995E-2</v>
      </c>
      <c r="W7692">
        <v>0.19652249999999999</v>
      </c>
      <c r="X7692">
        <v>0.97667490000000001</v>
      </c>
      <c r="Y7692">
        <v>-0.14090059999999999</v>
      </c>
      <c r="Z7692">
        <v>4.1375020000000004E-3</v>
      </c>
      <c r="AA7692">
        <v>0.99001510000000004</v>
      </c>
      <c r="AB7692">
        <v>35</v>
      </c>
      <c r="AC7692">
        <v>26.914099999999902</v>
      </c>
      <c r="AD7692">
        <v>-1.1107923438939999</v>
      </c>
      <c r="AE7692">
        <v>3.0160799999999899</v>
      </c>
      <c r="AF7692">
        <v>-3.8366249699878501</v>
      </c>
      <c r="AG7692">
        <v>-1.1107923438939999</v>
      </c>
      <c r="AH7692">
        <v>26.763488560590499</v>
      </c>
      <c r="AI7692">
        <v>92.352618243914193</v>
      </c>
      <c r="AJ7692">
        <v>98.157939781759495</v>
      </c>
      <c r="AK7692">
        <v>27.059894137347399</v>
      </c>
      <c r="AL7692">
        <v>78.666322739358293</v>
      </c>
      <c r="AM7692">
        <v>95.062198695967197</v>
      </c>
      <c r="AN7692">
        <v>1.00000002470843</v>
      </c>
    </row>
    <row r="7693" spans="1:40" x14ac:dyDescent="0.25">
      <c r="A7693" t="str">
        <f>"20190312172300976"</f>
        <v>20190312172300976</v>
      </c>
      <c r="B7693" t="str">
        <f>"1552382580968235"</f>
        <v>1552382580968235</v>
      </c>
      <c r="C7693" t="s">
        <v>40</v>
      </c>
      <c r="D7693">
        <v>3.1703079999999999</v>
      </c>
      <c r="E7693">
        <v>0.47924440000000001</v>
      </c>
      <c r="F7693" t="s">
        <v>64</v>
      </c>
      <c r="G7693">
        <v>-202.886</v>
      </c>
      <c r="H7693" s="1">
        <v>-4.256313E-6</v>
      </c>
      <c r="I7693">
        <v>-60.799079999999996</v>
      </c>
      <c r="J7693">
        <v>-229.4564</v>
      </c>
      <c r="K7693">
        <v>1.110824</v>
      </c>
      <c r="L7693">
        <v>-63.789729999999999</v>
      </c>
      <c r="M7693">
        <v>0.9995368</v>
      </c>
      <c r="N7693">
        <v>0</v>
      </c>
      <c r="O7693">
        <v>-2.997882E-2</v>
      </c>
      <c r="P7693">
        <v>0.97976430000000003</v>
      </c>
      <c r="Q7693">
        <v>0.1916564</v>
      </c>
      <c r="R7693">
        <v>5.7706260000000002E-2</v>
      </c>
      <c r="S7693">
        <v>3.0671689999999998</v>
      </c>
      <c r="T7693">
        <v>-0.12741720000000001</v>
      </c>
      <c r="U7693">
        <v>0.34252929999999998</v>
      </c>
      <c r="V7693">
        <v>-8.7716299999999997E-2</v>
      </c>
      <c r="W7693">
        <v>0.1965094</v>
      </c>
      <c r="X7693">
        <v>0.97657050000000001</v>
      </c>
      <c r="Y7693">
        <v>-0.14058479999999901</v>
      </c>
      <c r="Z7693">
        <v>4.1512099999999998E-3</v>
      </c>
      <c r="AA7693">
        <v>0.99005989999999999</v>
      </c>
      <c r="AB7693">
        <v>35</v>
      </c>
      <c r="AC7693">
        <v>26.570399999999999</v>
      </c>
      <c r="AD7693">
        <v>-1.1108282563130001</v>
      </c>
      <c r="AE7693">
        <v>2.99065</v>
      </c>
      <c r="AF7693">
        <v>-3.77934295490526</v>
      </c>
      <c r="AG7693">
        <v>-1.1108282563130001</v>
      </c>
      <c r="AH7693">
        <v>26.423194471769001</v>
      </c>
      <c r="AI7693">
        <v>92.383066387977493</v>
      </c>
      <c r="AJ7693">
        <v>98.139879101926596</v>
      </c>
      <c r="AK7693">
        <v>26.715212495481602</v>
      </c>
      <c r="AL7693">
        <v>78.667088158328497</v>
      </c>
      <c r="AM7693">
        <v>95.132576953494606</v>
      </c>
      <c r="AN7693">
        <v>1.00000001752215</v>
      </c>
    </row>
    <row r="7694" spans="1:40" x14ac:dyDescent="0.25">
      <c r="A7694" t="str">
        <f>"20190312172300988"</f>
        <v>20190312172300988</v>
      </c>
      <c r="B7694" t="str">
        <f>"1552382580977995"</f>
        <v>1552382580977995</v>
      </c>
      <c r="C7694" t="s">
        <v>40</v>
      </c>
      <c r="D7694">
        <v>3.2126229999999998</v>
      </c>
      <c r="E7694">
        <v>0.47891660000000003</v>
      </c>
      <c r="F7694" t="s">
        <v>64</v>
      </c>
      <c r="G7694">
        <v>-203.23750000000001</v>
      </c>
      <c r="H7694" s="1">
        <v>-4.0787969999999999E-6</v>
      </c>
      <c r="I7694">
        <v>-60.826569999999997</v>
      </c>
      <c r="J7694">
        <v>-229.2706</v>
      </c>
      <c r="K7694">
        <v>1.1108530000000001</v>
      </c>
      <c r="L7694">
        <v>-63.794589999999999</v>
      </c>
      <c r="M7694">
        <v>0.99956179999999994</v>
      </c>
      <c r="N7694">
        <v>0</v>
      </c>
      <c r="O7694">
        <v>-2.9100460000000002E-2</v>
      </c>
      <c r="P7694">
        <v>0.97965400000000002</v>
      </c>
      <c r="Q7694">
        <v>0.191548</v>
      </c>
      <c r="R7694">
        <v>5.9897430000000002E-2</v>
      </c>
      <c r="S7694">
        <v>3.066986</v>
      </c>
      <c r="T7694">
        <v>-0.12994030000000001</v>
      </c>
      <c r="U7694">
        <v>0.3466187</v>
      </c>
      <c r="V7694">
        <v>-8.9055679999999998E-2</v>
      </c>
      <c r="W7694">
        <v>0.19654869999999999</v>
      </c>
      <c r="X7694">
        <v>0.97644129999999996</v>
      </c>
      <c r="Y7694">
        <v>-0.14101959999999999</v>
      </c>
      <c r="Z7694">
        <v>4.2053630000000002E-3</v>
      </c>
      <c r="AA7694">
        <v>0.98999789999999999</v>
      </c>
      <c r="AB7694">
        <v>35</v>
      </c>
      <c r="AC7694">
        <v>26.033099999999902</v>
      </c>
      <c r="AD7694">
        <v>-1.110857078797</v>
      </c>
      <c r="AE7694">
        <v>2.9680200000000001</v>
      </c>
      <c r="AF7694">
        <v>-3.7176669865115302</v>
      </c>
      <c r="AG7694">
        <v>-1.110857078797</v>
      </c>
      <c r="AH7694">
        <v>25.889168041138198</v>
      </c>
      <c r="AI7694">
        <v>92.432033682381999</v>
      </c>
      <c r="AJ7694">
        <v>98.171771293852501</v>
      </c>
      <c r="AK7694">
        <v>26.178313030720702</v>
      </c>
      <c r="AL7694">
        <v>78.664790975293101</v>
      </c>
      <c r="AM7694">
        <v>95.211206076263295</v>
      </c>
      <c r="AN7694">
        <v>0.99999995897881999</v>
      </c>
    </row>
    <row r="7695" spans="1:40" x14ac:dyDescent="0.25">
      <c r="A7695" t="str">
        <f>"20190312172300998"</f>
        <v>20190312172300998</v>
      </c>
      <c r="B7695" t="str">
        <f>"1552382580987755"</f>
        <v>1552382580987755</v>
      </c>
      <c r="C7695" t="s">
        <v>40</v>
      </c>
      <c r="D7695">
        <v>3.1826910000000002</v>
      </c>
      <c r="E7695">
        <v>0.4793229</v>
      </c>
      <c r="F7695" t="s">
        <v>64</v>
      </c>
      <c r="G7695">
        <v>-202.2756</v>
      </c>
      <c r="H7695" s="1">
        <v>-4.5589690000000001E-6</v>
      </c>
      <c r="I7695">
        <v>-60.655360000000002</v>
      </c>
      <c r="J7695">
        <v>-229.10380000000001</v>
      </c>
      <c r="K7695">
        <v>1.1108819999999999</v>
      </c>
      <c r="L7695">
        <v>-63.79889</v>
      </c>
      <c r="M7695">
        <v>0.99958369999999996</v>
      </c>
      <c r="N7695">
        <v>0</v>
      </c>
      <c r="O7695">
        <v>-2.8314599999999902E-2</v>
      </c>
      <c r="P7695">
        <v>0.979599</v>
      </c>
      <c r="Q7695">
        <v>0.19137850000000001</v>
      </c>
      <c r="R7695">
        <v>6.1321010000000002E-2</v>
      </c>
      <c r="S7695">
        <v>3.0651549999999999</v>
      </c>
      <c r="T7695">
        <v>-0.126133</v>
      </c>
      <c r="U7695">
        <v>0.35644530000000002</v>
      </c>
      <c r="V7695">
        <v>-8.9718469999999995E-2</v>
      </c>
      <c r="W7695">
        <v>0.19650989999999999</v>
      </c>
      <c r="X7695">
        <v>0.97638849999999999</v>
      </c>
      <c r="Y7695">
        <v>-0.14344670000000001</v>
      </c>
      <c r="Z7695">
        <v>4.1014570000000002E-3</v>
      </c>
      <c r="AA7695">
        <v>0.98964949999999996</v>
      </c>
      <c r="AB7695">
        <v>35</v>
      </c>
      <c r="AC7695">
        <v>26.828199999999999</v>
      </c>
      <c r="AD7695">
        <v>-1.110886558969</v>
      </c>
      <c r="AE7695">
        <v>3.1435300000000002</v>
      </c>
      <c r="AF7695">
        <v>-3.8953226483820198</v>
      </c>
      <c r="AG7695">
        <v>-1.110886558969</v>
      </c>
      <c r="AH7695">
        <v>26.683303156095899</v>
      </c>
      <c r="AI7695">
        <v>92.3590014736602</v>
      </c>
      <c r="AJ7695">
        <v>98.305570925290894</v>
      </c>
      <c r="AK7695">
        <v>26.9890028493461</v>
      </c>
      <c r="AL7695">
        <v>78.667059012780001</v>
      </c>
      <c r="AM7695">
        <v>95.250056467418105</v>
      </c>
      <c r="AN7695">
        <v>1.0000000237947</v>
      </c>
    </row>
    <row r="7696" spans="1:40" x14ac:dyDescent="0.25">
      <c r="A7696" t="str">
        <f>"20190312172301010"</f>
        <v>20190312172301010</v>
      </c>
      <c r="B7696" t="str">
        <f>"1552382580998492"</f>
        <v>1552382580998492</v>
      </c>
      <c r="C7696" t="s">
        <v>40</v>
      </c>
      <c r="D7696">
        <v>3.1706620000000001</v>
      </c>
      <c r="E7696">
        <v>0.47977890000000001</v>
      </c>
      <c r="F7696" t="s">
        <v>64</v>
      </c>
      <c r="G7696">
        <v>-202.65860000000001</v>
      </c>
      <c r="H7696" s="1">
        <v>-4.3669520000000002E-6</v>
      </c>
      <c r="I7696">
        <v>-60.708629999999999</v>
      </c>
      <c r="J7696">
        <v>-228.92760000000001</v>
      </c>
      <c r="K7696">
        <v>1.110903</v>
      </c>
      <c r="L7696">
        <v>-63.803159999999998</v>
      </c>
      <c r="M7696">
        <v>0.99960599999999999</v>
      </c>
      <c r="N7696">
        <v>0</v>
      </c>
      <c r="O7696">
        <v>-2.7488450000000001E-2</v>
      </c>
      <c r="P7696">
        <v>0.97951010000000005</v>
      </c>
      <c r="Q7696">
        <v>0.19128719999999999</v>
      </c>
      <c r="R7696">
        <v>6.3004450000000004E-2</v>
      </c>
      <c r="S7696">
        <v>3.0652159999999999</v>
      </c>
      <c r="T7696">
        <v>-0.1287605</v>
      </c>
      <c r="U7696">
        <v>0.35818480000000003</v>
      </c>
      <c r="V7696">
        <v>-9.0601440000000005E-2</v>
      </c>
      <c r="W7696">
        <v>0.19654550000000001</v>
      </c>
      <c r="X7696">
        <v>0.97629980000000005</v>
      </c>
      <c r="Y7696">
        <v>-0.14317559999999999</v>
      </c>
      <c r="Z7696">
        <v>4.1463409999999996E-3</v>
      </c>
      <c r="AA7696">
        <v>0.98968860000000003</v>
      </c>
      <c r="AB7696">
        <v>35</v>
      </c>
      <c r="AC7696">
        <v>26.268999999999998</v>
      </c>
      <c r="AD7696">
        <v>-1.110907366952</v>
      </c>
      <c r="AE7696">
        <v>3.09452999999999</v>
      </c>
      <c r="AF7696">
        <v>-3.8087479405465401</v>
      </c>
      <c r="AG7696">
        <v>-1.110907366952</v>
      </c>
      <c r="AH7696">
        <v>26.127919953020999</v>
      </c>
      <c r="AI7696">
        <v>92.409204075822203</v>
      </c>
      <c r="AJ7696">
        <v>98.293765805287407</v>
      </c>
      <c r="AK7696">
        <v>26.427426608053199</v>
      </c>
      <c r="AL7696">
        <v>78.664978750354706</v>
      </c>
      <c r="AM7696">
        <v>95.301911161927094</v>
      </c>
      <c r="AN7696">
        <v>1.0000000269901801</v>
      </c>
    </row>
    <row r="7697" spans="1:40" x14ac:dyDescent="0.25">
      <c r="A7697" t="str">
        <f>"20190312172301021"</f>
        <v>20190312172301021</v>
      </c>
      <c r="B7697" t="str">
        <f>"1552382581018010"</f>
        <v>1552382581018010</v>
      </c>
      <c r="C7697" t="s">
        <v>40</v>
      </c>
      <c r="D7697">
        <v>3.149826</v>
      </c>
      <c r="E7697">
        <v>0.48048940000000001</v>
      </c>
      <c r="F7697" t="s">
        <v>64</v>
      </c>
      <c r="G7697">
        <v>-202.7381</v>
      </c>
      <c r="H7697" s="1">
        <v>-4.3274299999999998E-6</v>
      </c>
      <c r="I7697">
        <v>-60.725610000000003</v>
      </c>
      <c r="J7697">
        <v>-228.74870000000001</v>
      </c>
      <c r="K7697">
        <v>1.1109260000000001</v>
      </c>
      <c r="L7697">
        <v>-63.807459999999999</v>
      </c>
      <c r="M7697">
        <v>0.99962770000000001</v>
      </c>
      <c r="N7697">
        <v>0</v>
      </c>
      <c r="O7697">
        <v>-2.6649900000000001E-2</v>
      </c>
      <c r="P7697">
        <v>0.97946259999999996</v>
      </c>
      <c r="Q7697">
        <v>0.19084100000000001</v>
      </c>
      <c r="R7697">
        <v>6.5059400000000003E-2</v>
      </c>
      <c r="S7697">
        <v>3.0649869999999999</v>
      </c>
      <c r="T7697">
        <v>-0.13001019999999999</v>
      </c>
      <c r="U7697">
        <v>0.3601685</v>
      </c>
      <c r="V7697">
        <v>-9.1842930000000003E-2</v>
      </c>
      <c r="W7697">
        <v>0.1962238</v>
      </c>
      <c r="X7697">
        <v>0.97624849999999996</v>
      </c>
      <c r="Y7697">
        <v>-0.14298379999999999</v>
      </c>
      <c r="Z7697">
        <v>4.1472080000000003E-3</v>
      </c>
      <c r="AA7697">
        <v>0.98971640000000005</v>
      </c>
      <c r="AB7697">
        <v>35</v>
      </c>
      <c r="AC7697">
        <v>26.0106</v>
      </c>
      <c r="AD7697">
        <v>-1.11093032742999</v>
      </c>
      <c r="AE7697">
        <v>3.0818500000000002</v>
      </c>
      <c r="AF7697">
        <v>-3.7671701940589601</v>
      </c>
      <c r="AG7697">
        <v>-1.11093032742999</v>
      </c>
      <c r="AH7697">
        <v>25.872685457567702</v>
      </c>
      <c r="AI7697">
        <v>92.433051295291506</v>
      </c>
      <c r="AJ7697">
        <v>98.284286371912899</v>
      </c>
      <c r="AK7697">
        <v>26.169096091566601</v>
      </c>
      <c r="AL7697">
        <v>78.683776762971405</v>
      </c>
      <c r="AM7697">
        <v>95.374420225111507</v>
      </c>
      <c r="AN7697">
        <v>1.0000000186148299</v>
      </c>
    </row>
    <row r="7698" spans="1:40" x14ac:dyDescent="0.25">
      <c r="A7698" t="str">
        <f>"20190312172301032"</f>
        <v>20190312172301032</v>
      </c>
      <c r="B7698" t="str">
        <f>"1552382581027774"</f>
        <v>1552382581027774</v>
      </c>
      <c r="C7698" t="s">
        <v>40</v>
      </c>
      <c r="D7698">
        <v>3.176355</v>
      </c>
      <c r="E7698">
        <v>0.48091620000000002</v>
      </c>
      <c r="F7698" t="s">
        <v>64</v>
      </c>
      <c r="G7698">
        <v>-203.09559999999999</v>
      </c>
      <c r="H7698" s="1">
        <v>-4.148779E-6</v>
      </c>
      <c r="I7698">
        <v>-60.786380000000001</v>
      </c>
      <c r="J7698">
        <v>-228.57429999999999</v>
      </c>
      <c r="K7698">
        <v>1.1109450000000001</v>
      </c>
      <c r="L7698">
        <v>-63.811430000000001</v>
      </c>
      <c r="M7698">
        <v>0.99964850000000005</v>
      </c>
      <c r="N7698">
        <v>0</v>
      </c>
      <c r="O7698">
        <v>-2.5834010000000001E-2</v>
      </c>
      <c r="P7698">
        <v>0.97947930000000005</v>
      </c>
      <c r="Q7698">
        <v>0.19023699999999999</v>
      </c>
      <c r="R7698">
        <v>6.6559670000000001E-2</v>
      </c>
      <c r="S7698">
        <v>3.0647890000000002</v>
      </c>
      <c r="T7698">
        <v>-0.13272329999999999</v>
      </c>
      <c r="U7698">
        <v>0.36093140000000001</v>
      </c>
      <c r="V7698">
        <v>-9.2550869999999993E-2</v>
      </c>
      <c r="W7698">
        <v>0.19573370000000001</v>
      </c>
      <c r="X7698">
        <v>0.97628000000000004</v>
      </c>
      <c r="Y7698">
        <v>-0.1424213</v>
      </c>
      <c r="Z7698">
        <v>4.1865399999999999E-3</v>
      </c>
      <c r="AA7698">
        <v>0.98979729999999999</v>
      </c>
      <c r="AB7698">
        <v>35</v>
      </c>
      <c r="AC7698">
        <v>25.4787</v>
      </c>
      <c r="AD7698">
        <v>-1.110949148779</v>
      </c>
      <c r="AE7698">
        <v>3.0250499999999998</v>
      </c>
      <c r="AF7698">
        <v>-3.6753784169364798</v>
      </c>
      <c r="AG7698">
        <v>-1.110949148779</v>
      </c>
      <c r="AH7698">
        <v>25.344529646929001</v>
      </c>
      <c r="AI7698">
        <v>92.483940344838402</v>
      </c>
      <c r="AJ7698">
        <v>98.251320741698706</v>
      </c>
      <c r="AK7698">
        <v>25.633723832929899</v>
      </c>
      <c r="AL7698">
        <v>78.712412420224396</v>
      </c>
      <c r="AM7698">
        <v>95.415428052573404</v>
      </c>
      <c r="AN7698">
        <v>0.99999999162672304</v>
      </c>
    </row>
    <row r="7699" spans="1:40" x14ac:dyDescent="0.25">
      <c r="A7699" t="str">
        <f>"20190312172301043"</f>
        <v>20190312172301043</v>
      </c>
      <c r="B7699" t="str">
        <f>"1552382581038510"</f>
        <v>1552382581038510</v>
      </c>
      <c r="C7699" t="s">
        <v>40</v>
      </c>
      <c r="D7699">
        <v>3.1891120000000002</v>
      </c>
      <c r="E7699">
        <v>0.48134369999999999</v>
      </c>
      <c r="F7699" t="s">
        <v>64</v>
      </c>
      <c r="G7699">
        <v>-203.5325</v>
      </c>
      <c r="H7699" s="1">
        <v>-3.9301669999999998E-6</v>
      </c>
      <c r="I7699">
        <v>-60.855229999999999</v>
      </c>
      <c r="J7699">
        <v>-228.3999</v>
      </c>
      <c r="K7699">
        <v>1.110962</v>
      </c>
      <c r="L7699">
        <v>-63.815309999999997</v>
      </c>
      <c r="M7699">
        <v>0.99966860000000002</v>
      </c>
      <c r="N7699">
        <v>0</v>
      </c>
      <c r="O7699">
        <v>-2.501776E-2</v>
      </c>
      <c r="P7699">
        <v>0.97935819999999996</v>
      </c>
      <c r="Q7699">
        <v>0.19022539999999999</v>
      </c>
      <c r="R7699">
        <v>6.8354620000000005E-2</v>
      </c>
      <c r="S7699">
        <v>3.064667</v>
      </c>
      <c r="T7699">
        <v>-0.1359601</v>
      </c>
      <c r="U7699">
        <v>0.36178589999999999</v>
      </c>
      <c r="V7699">
        <v>-9.3552200000000002E-2</v>
      </c>
      <c r="W7699">
        <v>0.19583049999999999</v>
      </c>
      <c r="X7699">
        <v>0.97616519999999996</v>
      </c>
      <c r="Y7699">
        <v>-0.1418836</v>
      </c>
      <c r="Z7699">
        <v>4.2406730000000004E-3</v>
      </c>
      <c r="AA7699">
        <v>0.98987420000000004</v>
      </c>
      <c r="AB7699">
        <v>35</v>
      </c>
      <c r="AC7699">
        <v>24.8674</v>
      </c>
      <c r="AD7699">
        <v>-1.1109659301670001</v>
      </c>
      <c r="AE7699">
        <v>2.9600799999999898</v>
      </c>
      <c r="AF7699">
        <v>-3.5742573515419398</v>
      </c>
      <c r="AG7699">
        <v>-1.1109659301670001</v>
      </c>
      <c r="AH7699">
        <v>24.736877696109001</v>
      </c>
      <c r="AI7699">
        <v>92.545105925840105</v>
      </c>
      <c r="AJ7699">
        <v>98.221824775627098</v>
      </c>
      <c r="AK7699">
        <v>25.018446775635301</v>
      </c>
      <c r="AL7699">
        <v>78.706757384804405</v>
      </c>
      <c r="AM7699">
        <v>95.474304718004404</v>
      </c>
      <c r="AN7699">
        <v>1.00000004827306</v>
      </c>
    </row>
    <row r="7700" spans="1:40" x14ac:dyDescent="0.25">
      <c r="A7700" t="str">
        <f>"20190312172301055"</f>
        <v>20190312172301055</v>
      </c>
      <c r="B7700" t="str">
        <f>"1552382581048267"</f>
        <v>1552382581048267</v>
      </c>
      <c r="C7700" t="s">
        <v>40</v>
      </c>
      <c r="D7700">
        <v>3.1599409999999999</v>
      </c>
      <c r="E7700">
        <v>0.4817418</v>
      </c>
      <c r="F7700" t="s">
        <v>64</v>
      </c>
      <c r="G7700">
        <v>-203.53919999999999</v>
      </c>
      <c r="H7700" s="1">
        <v>-3.9273999999999999E-6</v>
      </c>
      <c r="I7700">
        <v>-60.866410000000002</v>
      </c>
      <c r="J7700">
        <v>-228.21770000000001</v>
      </c>
      <c r="K7700">
        <v>1.110976</v>
      </c>
      <c r="L7700">
        <v>-63.81915</v>
      </c>
      <c r="M7700">
        <v>0.99968880000000004</v>
      </c>
      <c r="N7700">
        <v>0</v>
      </c>
      <c r="O7700">
        <v>-2.4164560000000002E-2</v>
      </c>
      <c r="P7700">
        <v>0.97929049999999995</v>
      </c>
      <c r="Q7700">
        <v>0.18997739999999999</v>
      </c>
      <c r="R7700">
        <v>6.9993109999999997E-2</v>
      </c>
      <c r="S7700">
        <v>3.064438</v>
      </c>
      <c r="T7700">
        <v>-0.1369426</v>
      </c>
      <c r="U7700">
        <v>0.36349490000000001</v>
      </c>
      <c r="V7700">
        <v>-9.4360139999999995E-2</v>
      </c>
      <c r="W7700">
        <v>0.1956898</v>
      </c>
      <c r="X7700">
        <v>0.97611559999999997</v>
      </c>
      <c r="Y7700">
        <v>-0.14159050000000001</v>
      </c>
      <c r="Z7700">
        <v>4.2269489999999998E-3</v>
      </c>
      <c r="AA7700">
        <v>0.98991629999999997</v>
      </c>
      <c r="AB7700">
        <v>36</v>
      </c>
      <c r="AC7700">
        <v>24.6785</v>
      </c>
      <c r="AD7700">
        <v>-1.1109799273999901</v>
      </c>
      <c r="AE7700">
        <v>2.9527399999999999</v>
      </c>
      <c r="AF7700">
        <v>-3.54115894982194</v>
      </c>
      <c r="AG7700">
        <v>-1.1109799273999901</v>
      </c>
      <c r="AH7700">
        <v>24.5508870501796</v>
      </c>
      <c r="AI7700">
        <v>92.564485381473901</v>
      </c>
      <c r="AJ7700">
        <v>98.207595063622506</v>
      </c>
      <c r="AK7700">
        <v>24.829823560743801</v>
      </c>
      <c r="AL7700">
        <v>78.714977392733999</v>
      </c>
      <c r="AM7700">
        <v>95.521570092014699</v>
      </c>
      <c r="AN7700">
        <v>0.99999999920410898</v>
      </c>
    </row>
    <row r="7701" spans="1:40" x14ac:dyDescent="0.25">
      <c r="A7701" t="str">
        <f>"20190312172301066"</f>
        <v>20190312172301066</v>
      </c>
      <c r="B7701" t="str">
        <f>"1552382581058027"</f>
        <v>1552382581058027</v>
      </c>
      <c r="C7701" t="s">
        <v>40</v>
      </c>
      <c r="D7701">
        <v>3.1584620000000001</v>
      </c>
      <c r="E7701">
        <v>0.4820893</v>
      </c>
      <c r="F7701" t="s">
        <v>64</v>
      </c>
      <c r="G7701">
        <v>-203.72640000000001</v>
      </c>
      <c r="H7701" s="1">
        <v>-3.8340750000000002E-6</v>
      </c>
      <c r="I7701">
        <v>-60.901969999999999</v>
      </c>
      <c r="J7701">
        <v>-228.03460000000001</v>
      </c>
      <c r="K7701">
        <v>1.1109880000000001</v>
      </c>
      <c r="L7701">
        <v>-63.822879999999998</v>
      </c>
      <c r="M7701">
        <v>0.99970840000000005</v>
      </c>
      <c r="N7701">
        <v>0</v>
      </c>
      <c r="O7701">
        <v>-2.3305880000000001E-2</v>
      </c>
      <c r="P7701">
        <v>0.97910459999999999</v>
      </c>
      <c r="Q7701">
        <v>0.19037119999999999</v>
      </c>
      <c r="R7701">
        <v>7.150542E-2</v>
      </c>
      <c r="S7701">
        <v>3.0643009999999999</v>
      </c>
      <c r="T7701">
        <v>-0.13900319999999999</v>
      </c>
      <c r="U7701">
        <v>0.36499019999999999</v>
      </c>
      <c r="V7701">
        <v>-9.5036159999999995E-2</v>
      </c>
      <c r="W7701">
        <v>0.196184</v>
      </c>
      <c r="X7701">
        <v>0.97595080000000001</v>
      </c>
      <c r="Y7701">
        <v>-0.14121810000000001</v>
      </c>
      <c r="Z7701">
        <v>4.2433319999999998E-3</v>
      </c>
      <c r="AA7701">
        <v>0.9899694</v>
      </c>
      <c r="AB7701">
        <v>36</v>
      </c>
      <c r="AC7701">
        <v>24.308199999999999</v>
      </c>
      <c r="AD7701">
        <v>-1.11099183407499</v>
      </c>
      <c r="AE7701">
        <v>2.9209100000000001</v>
      </c>
      <c r="AF7701">
        <v>-3.47948707926346</v>
      </c>
      <c r="AG7701">
        <v>-1.11099183407499</v>
      </c>
      <c r="AH7701">
        <v>24.183723254007301</v>
      </c>
      <c r="AI7701">
        <v>92.603526980248006</v>
      </c>
      <c r="AJ7701">
        <v>98.187371832537593</v>
      </c>
      <c r="AK7701">
        <v>24.4579967212475</v>
      </c>
      <c r="AL7701">
        <v>78.686102109622098</v>
      </c>
      <c r="AM7701">
        <v>95.5618140725324</v>
      </c>
      <c r="AN7701">
        <v>0.999999998792092</v>
      </c>
    </row>
    <row r="7702" spans="1:40" x14ac:dyDescent="0.25">
      <c r="A7702" t="str">
        <f>"20190312172301076"</f>
        <v>20190312172301076</v>
      </c>
      <c r="B7702" t="str">
        <f>"1552382581067787"</f>
        <v>1552382581067787</v>
      </c>
      <c r="C7702" t="s">
        <v>40</v>
      </c>
      <c r="D7702">
        <v>3.1772960000000001</v>
      </c>
      <c r="E7702">
        <v>0.48236329999999999</v>
      </c>
      <c r="F7702" t="s">
        <v>64</v>
      </c>
      <c r="G7702">
        <v>-203.45160000000001</v>
      </c>
      <c r="H7702" s="1">
        <v>-3.972866E-6</v>
      </c>
      <c r="I7702">
        <v>-60.880670000000002</v>
      </c>
      <c r="J7702">
        <v>-227.8648</v>
      </c>
      <c r="K7702">
        <v>1.1109960000000001</v>
      </c>
      <c r="L7702">
        <v>-63.8262</v>
      </c>
      <c r="M7702">
        <v>0.99972620000000001</v>
      </c>
      <c r="N7702">
        <v>0</v>
      </c>
      <c r="O7702">
        <v>-2.250918E-2</v>
      </c>
      <c r="P7702">
        <v>0.97899290000000005</v>
      </c>
      <c r="Q7702">
        <v>0.19043689999999999</v>
      </c>
      <c r="R7702">
        <v>7.2851059999999995E-2</v>
      </c>
      <c r="S7702">
        <v>3.0641479999999999</v>
      </c>
      <c r="T7702">
        <v>-0.1384792</v>
      </c>
      <c r="U7702">
        <v>0.36672969999999999</v>
      </c>
      <c r="V7702">
        <v>-9.5605019999999999E-2</v>
      </c>
      <c r="W7702">
        <v>0.19634019999999999</v>
      </c>
      <c r="X7702">
        <v>0.97586379999999995</v>
      </c>
      <c r="Y7702">
        <v>-0.14099139999999999</v>
      </c>
      <c r="Z7702">
        <v>4.1864420000000003E-3</v>
      </c>
      <c r="AA7702">
        <v>0.99000200000000005</v>
      </c>
      <c r="AB7702">
        <v>36</v>
      </c>
      <c r="AC7702">
        <v>24.4131999999999</v>
      </c>
      <c r="AD7702">
        <v>-1.1109999728659901</v>
      </c>
      <c r="AE7702">
        <v>2.9455300000000002</v>
      </c>
      <c r="AF7702">
        <v>-3.48719768012882</v>
      </c>
      <c r="AG7702">
        <v>-1.1109999728659901</v>
      </c>
      <c r="AH7702">
        <v>24.291126567888799</v>
      </c>
      <c r="AI7702">
        <v>92.592166347864605</v>
      </c>
      <c r="AJ7702">
        <v>98.169479558975496</v>
      </c>
      <c r="AK7702">
        <v>24.565294594960498</v>
      </c>
      <c r="AL7702">
        <v>78.676974727804705</v>
      </c>
      <c r="AM7702">
        <v>95.595390566909103</v>
      </c>
      <c r="AN7702">
        <v>0.999999975067839</v>
      </c>
    </row>
    <row r="7703" spans="1:40" x14ac:dyDescent="0.25">
      <c r="A7703" t="str">
        <f>"20190312172301089"</f>
        <v>20190312172301089</v>
      </c>
      <c r="B7703" t="str">
        <f>"1552382581077546"</f>
        <v>1552382581077546</v>
      </c>
      <c r="C7703" t="s">
        <v>40</v>
      </c>
      <c r="D7703">
        <v>3.1629749999999999</v>
      </c>
      <c r="E7703">
        <v>0.48272690000000001</v>
      </c>
      <c r="F7703" t="s">
        <v>64</v>
      </c>
      <c r="G7703">
        <v>-203.05879999999999</v>
      </c>
      <c r="H7703" s="1">
        <v>-4.170747E-6</v>
      </c>
      <c r="I7703">
        <v>-60.842010000000002</v>
      </c>
      <c r="J7703">
        <v>-227.68379999999999</v>
      </c>
      <c r="K7703">
        <v>1.1109979999999999</v>
      </c>
      <c r="L7703">
        <v>-63.829560000000001</v>
      </c>
      <c r="M7703">
        <v>0.99974439999999998</v>
      </c>
      <c r="N7703">
        <v>0</v>
      </c>
      <c r="O7703">
        <v>-2.1659319999999999E-2</v>
      </c>
      <c r="P7703">
        <v>0.97888019999999998</v>
      </c>
      <c r="Q7703">
        <v>0.1904343</v>
      </c>
      <c r="R7703">
        <v>7.435319E-2</v>
      </c>
      <c r="S7703">
        <v>3.063644</v>
      </c>
      <c r="T7703">
        <v>-0.1372131</v>
      </c>
      <c r="U7703">
        <v>0.36856080000000002</v>
      </c>
      <c r="V7703">
        <v>-9.6278030000000001E-2</v>
      </c>
      <c r="W7703">
        <v>0.19642570000000001</v>
      </c>
      <c r="X7703">
        <v>0.97578039999999999</v>
      </c>
      <c r="Y7703">
        <v>-0.1407563</v>
      </c>
      <c r="Z7703">
        <v>4.1055670000000001E-3</v>
      </c>
      <c r="AA7703">
        <v>0.99003580000000002</v>
      </c>
      <c r="AB7703">
        <v>36</v>
      </c>
      <c r="AC7703">
        <v>24.625</v>
      </c>
      <c r="AD7703">
        <v>-1.1110021707469999</v>
      </c>
      <c r="AE7703">
        <v>2.9875500000000001</v>
      </c>
      <c r="AF7703">
        <v>-3.51317364123287</v>
      </c>
      <c r="AG7703">
        <v>-1.1110021707469999</v>
      </c>
      <c r="AH7703">
        <v>24.505355489921602</v>
      </c>
      <c r="AI7703">
        <v>92.569611221521996</v>
      </c>
      <c r="AJ7703">
        <v>98.158532471855494</v>
      </c>
      <c r="AK7703">
        <v>24.7808224751377</v>
      </c>
      <c r="AL7703">
        <v>78.6719783848405</v>
      </c>
      <c r="AM7703">
        <v>95.635005129519101</v>
      </c>
      <c r="AN7703">
        <v>0.99999995185266399</v>
      </c>
    </row>
    <row r="7704" spans="1:40" x14ac:dyDescent="0.25">
      <c r="A7704" t="str">
        <f>"20190312172301099"</f>
        <v>20190312172301099</v>
      </c>
      <c r="B7704" t="str">
        <f>"1552382581088283"</f>
        <v>1552382581088283</v>
      </c>
      <c r="C7704" t="s">
        <v>40</v>
      </c>
      <c r="D7704">
        <v>3.1728830000000001</v>
      </c>
      <c r="E7704">
        <v>0.48305579999999998</v>
      </c>
      <c r="F7704" t="s">
        <v>64</v>
      </c>
      <c r="G7704">
        <v>-202.94749999999999</v>
      </c>
      <c r="H7704" s="1">
        <v>-4.2273180000000002E-6</v>
      </c>
      <c r="I7704">
        <v>-60.839399999999998</v>
      </c>
      <c r="J7704">
        <v>-227.5061</v>
      </c>
      <c r="K7704">
        <v>1.1110009999999999</v>
      </c>
      <c r="L7704">
        <v>-63.832819999999998</v>
      </c>
      <c r="M7704">
        <v>0.99976140000000002</v>
      </c>
      <c r="N7704">
        <v>0</v>
      </c>
      <c r="O7704">
        <v>-2.0823879999999999E-2</v>
      </c>
      <c r="P7704">
        <v>0.97881739999999995</v>
      </c>
      <c r="Q7704">
        <v>0.190302</v>
      </c>
      <c r="R7704">
        <v>7.5509060000000003E-2</v>
      </c>
      <c r="S7704">
        <v>3.063339</v>
      </c>
      <c r="T7704">
        <v>-0.13758600000000001</v>
      </c>
      <c r="U7704">
        <v>0.37030030000000003</v>
      </c>
      <c r="V7704">
        <v>-9.6619540000000004E-2</v>
      </c>
      <c r="W7704">
        <v>0.19637940000000001</v>
      </c>
      <c r="X7704">
        <v>0.97575599999999996</v>
      </c>
      <c r="Y7704">
        <v>-0.14049510000000001</v>
      </c>
      <c r="Z7704">
        <v>4.0737539999999997E-3</v>
      </c>
      <c r="AA7704">
        <v>0.99007299999999998</v>
      </c>
      <c r="AB7704">
        <v>36</v>
      </c>
      <c r="AC7704">
        <v>24.558599999999998</v>
      </c>
      <c r="AD7704">
        <v>-1.111005227318</v>
      </c>
      <c r="AE7704">
        <v>2.99342</v>
      </c>
      <c r="AF7704">
        <v>-3.49713501284922</v>
      </c>
      <c r="AG7704">
        <v>-1.111005227318</v>
      </c>
      <c r="AH7704">
        <v>24.441649415960299</v>
      </c>
      <c r="AI7704">
        <v>92.576408883274595</v>
      </c>
      <c r="AJ7704">
        <v>98.142670067286602</v>
      </c>
      <c r="AK7704">
        <v>24.715552028751699</v>
      </c>
      <c r="AL7704">
        <v>78.674684287013804</v>
      </c>
      <c r="AM7704">
        <v>95.655004353520894</v>
      </c>
      <c r="AN7704">
        <v>0.99999998789508504</v>
      </c>
    </row>
    <row r="7705" spans="1:40" x14ac:dyDescent="0.25">
      <c r="A7705" t="str">
        <f>"20190312172301110"</f>
        <v>20190312172301110</v>
      </c>
      <c r="B7705" t="str">
        <f>"1552382581098043"</f>
        <v>1552382581098043</v>
      </c>
      <c r="C7705" t="s">
        <v>40</v>
      </c>
      <c r="D7705">
        <v>3.1847989999999999</v>
      </c>
      <c r="E7705">
        <v>0.48305579999999998</v>
      </c>
      <c r="F7705" t="s">
        <v>64</v>
      </c>
      <c r="G7705">
        <v>-202.976</v>
      </c>
      <c r="H7705" s="1">
        <v>-4.214015E-6</v>
      </c>
      <c r="I7705">
        <v>-60.86045</v>
      </c>
      <c r="J7705">
        <v>-227.3383</v>
      </c>
      <c r="K7705">
        <v>1.111003</v>
      </c>
      <c r="L7705">
        <v>-63.835599999999999</v>
      </c>
      <c r="M7705">
        <v>0.99977709999999997</v>
      </c>
      <c r="N7705">
        <v>0</v>
      </c>
      <c r="O7705">
        <v>-2.0035279999999999E-2</v>
      </c>
      <c r="P7705">
        <v>0.97870500000000005</v>
      </c>
      <c r="Q7705">
        <v>0.19008900000000001</v>
      </c>
      <c r="R7705">
        <v>7.7479179999999995E-2</v>
      </c>
      <c r="S7705">
        <v>3.0632630000000001</v>
      </c>
      <c r="T7705">
        <v>-0.1387399</v>
      </c>
      <c r="U7705">
        <v>0.3711853</v>
      </c>
      <c r="V7705">
        <v>-9.7818559999999999E-2</v>
      </c>
      <c r="W7705">
        <v>0.1962354</v>
      </c>
      <c r="X7705">
        <v>0.97566549999999996</v>
      </c>
      <c r="Y7705">
        <v>-0.1399976</v>
      </c>
      <c r="Z7705">
        <v>4.0611120000000004E-3</v>
      </c>
      <c r="AA7705">
        <v>0.99014349999999995</v>
      </c>
      <c r="AB7705">
        <v>36</v>
      </c>
      <c r="AC7705">
        <v>24.362300000000001</v>
      </c>
      <c r="AD7705">
        <v>-1.111007214015</v>
      </c>
      <c r="AE7705">
        <v>2.9751500000000002</v>
      </c>
      <c r="AF7705">
        <v>-3.4555881786441001</v>
      </c>
      <c r="AG7705">
        <v>-1.111007214015</v>
      </c>
      <c r="AH7705">
        <v>24.248112964547001</v>
      </c>
      <c r="AI7705">
        <v>92.597156486366899</v>
      </c>
      <c r="AJ7705">
        <v>98.110585298533195</v>
      </c>
      <c r="AK7705">
        <v>24.518287236905699</v>
      </c>
      <c r="AL7705">
        <v>78.683098573015698</v>
      </c>
      <c r="AM7705">
        <v>95.725245476858404</v>
      </c>
      <c r="AN7705">
        <v>0.99999998539194102</v>
      </c>
    </row>
    <row r="7706" spans="1:40" x14ac:dyDescent="0.25">
      <c r="A7706" t="str">
        <f>"20190312172301121"</f>
        <v>20190312172301121</v>
      </c>
      <c r="B7706" t="str">
        <f>"1552382581117566"</f>
        <v>1552382581117566</v>
      </c>
      <c r="C7706" t="s">
        <v>40</v>
      </c>
      <c r="D7706">
        <v>3.1946409999999998</v>
      </c>
      <c r="E7706">
        <v>0.48916300000000001</v>
      </c>
      <c r="F7706" t="s">
        <v>64</v>
      </c>
      <c r="G7706">
        <v>-202.9469</v>
      </c>
      <c r="H7706" s="1">
        <v>-4.2273140000000001E-6</v>
      </c>
      <c r="I7706">
        <v>-60.834090000000003</v>
      </c>
      <c r="J7706">
        <v>-227.15700000000001</v>
      </c>
      <c r="K7706">
        <v>1.1110070000000001</v>
      </c>
      <c r="L7706">
        <v>-63.838590000000003</v>
      </c>
      <c r="M7706">
        <v>0.9997933</v>
      </c>
      <c r="N7706">
        <v>0</v>
      </c>
      <c r="O7706">
        <v>-1.9182919999999999E-2</v>
      </c>
      <c r="P7706">
        <v>0.97860530000000001</v>
      </c>
      <c r="Q7706">
        <v>0.18989800000000001</v>
      </c>
      <c r="R7706">
        <v>7.9189800000000005E-2</v>
      </c>
      <c r="S7706">
        <v>3.0625149999999999</v>
      </c>
      <c r="T7706">
        <v>-0.139494799999999</v>
      </c>
      <c r="U7706">
        <v>0.37686160000000002</v>
      </c>
      <c r="V7706">
        <v>-9.8696430000000002E-2</v>
      </c>
      <c r="W7706">
        <v>0.1961195</v>
      </c>
      <c r="X7706">
        <v>0.97560040000000003</v>
      </c>
      <c r="Y7706">
        <v>-0.14098849999999999</v>
      </c>
      <c r="Z7706">
        <v>4.0675169999999997E-3</v>
      </c>
      <c r="AA7706">
        <v>0.99000290000000002</v>
      </c>
      <c r="AB7706">
        <v>36</v>
      </c>
      <c r="AC7706">
        <v>24.210100000000001</v>
      </c>
      <c r="AD7706">
        <v>-1.111011227314</v>
      </c>
      <c r="AE7706">
        <v>3.0045000000000002</v>
      </c>
      <c r="AF7706">
        <v>-3.4611995831321498</v>
      </c>
      <c r="AG7706">
        <v>-1.111011227314</v>
      </c>
      <c r="AH7706">
        <v>24.0980295186585</v>
      </c>
      <c r="AI7706">
        <v>92.612908844423998</v>
      </c>
      <c r="AJ7706">
        <v>98.173492550365907</v>
      </c>
      <c r="AK7706">
        <v>24.3706642335335</v>
      </c>
      <c r="AL7706">
        <v>78.689870824131205</v>
      </c>
      <c r="AM7706">
        <v>95.776663458442698</v>
      </c>
      <c r="AN7706">
        <v>0.99999999202757694</v>
      </c>
    </row>
    <row r="7707" spans="1:40" x14ac:dyDescent="0.25">
      <c r="A7707" t="str">
        <f>"20190312172301133"</f>
        <v>20190312172301133</v>
      </c>
      <c r="B7707" t="str">
        <f>"1552382581128299"</f>
        <v>1552382581128299</v>
      </c>
      <c r="C7707" t="s">
        <v>40</v>
      </c>
      <c r="D7707">
        <v>3.1772879999999999</v>
      </c>
      <c r="E7707">
        <v>0.48930610000000002</v>
      </c>
      <c r="F7707" t="s">
        <v>64</v>
      </c>
      <c r="G7707">
        <v>-203.3091</v>
      </c>
      <c r="H7707" s="1">
        <v>-4.066702E-6</v>
      </c>
      <c r="I7707">
        <v>-61.24653</v>
      </c>
      <c r="J7707">
        <v>-226.97479999999999</v>
      </c>
      <c r="K7707">
        <v>1.1110070000000001</v>
      </c>
      <c r="L7707">
        <v>-63.841340000000002</v>
      </c>
      <c r="M7707">
        <v>0.99980880000000005</v>
      </c>
      <c r="N7707">
        <v>0</v>
      </c>
      <c r="O7707">
        <v>-1.8326249999999999E-2</v>
      </c>
      <c r="P7707">
        <v>0.97856799999999999</v>
      </c>
      <c r="Q7707">
        <v>0.18919320000000001</v>
      </c>
      <c r="R7707">
        <v>8.1308099999999994E-2</v>
      </c>
      <c r="S7707">
        <v>3.0663299999999998</v>
      </c>
      <c r="T7707">
        <v>-0.14285210000000001</v>
      </c>
      <c r="U7707">
        <v>0.33328249999999998</v>
      </c>
      <c r="V7707">
        <v>-9.9977010000000005E-2</v>
      </c>
      <c r="W7707">
        <v>0.19548170000000001</v>
      </c>
      <c r="X7707">
        <v>0.97559799999999997</v>
      </c>
      <c r="Y7707">
        <v>-0.12610089999999999</v>
      </c>
      <c r="Z7707">
        <v>3.778156E-3</v>
      </c>
      <c r="AA7707">
        <v>0.99201019999999895</v>
      </c>
      <c r="AB7707">
        <v>36</v>
      </c>
      <c r="AC7707">
        <v>23.665699999999902</v>
      </c>
      <c r="AD7707">
        <v>-1.1110110667019999</v>
      </c>
      <c r="AE7707">
        <v>2.5948099999999901</v>
      </c>
      <c r="AF7707">
        <v>-3.0215077384595399</v>
      </c>
      <c r="AG7707">
        <v>-1.1110110667019999</v>
      </c>
      <c r="AH7707">
        <v>23.562857130879902</v>
      </c>
      <c r="AI7707">
        <v>92.677658153219099</v>
      </c>
      <c r="AJ7707">
        <v>97.3072633694903</v>
      </c>
      <c r="AK7707">
        <v>23.781759623168401</v>
      </c>
      <c r="AL7707">
        <v>78.727135211102294</v>
      </c>
      <c r="AM7707">
        <v>95.851112879393597</v>
      </c>
      <c r="AN7707">
        <v>0.99999997758371395</v>
      </c>
    </row>
    <row r="7708" spans="1:40" x14ac:dyDescent="0.25">
      <c r="A7708" t="str">
        <f>"20190312172301144"</f>
        <v>20190312172301144</v>
      </c>
      <c r="B7708" t="str">
        <f>"1552382581138058"</f>
        <v>1552382581138058</v>
      </c>
      <c r="C7708" t="s">
        <v>40</v>
      </c>
      <c r="D7708">
        <v>3.1894130000000001</v>
      </c>
      <c r="E7708">
        <v>0.48946309999999899</v>
      </c>
      <c r="F7708" t="s">
        <v>64</v>
      </c>
      <c r="G7708">
        <v>-203.7807</v>
      </c>
      <c r="H7708" s="1">
        <v>-3.8284929999999999E-6</v>
      </c>
      <c r="I7708">
        <v>-61.282209999999999</v>
      </c>
      <c r="J7708">
        <v>-226.79130000000001</v>
      </c>
      <c r="K7708">
        <v>1.1110059999999999</v>
      </c>
      <c r="L7708">
        <v>-63.844059999999999</v>
      </c>
      <c r="M7708">
        <v>0.99982360000000003</v>
      </c>
      <c r="N7708">
        <v>0</v>
      </c>
      <c r="O7708">
        <v>-1.7463869999999999E-2</v>
      </c>
      <c r="P7708">
        <v>0.97853599999999996</v>
      </c>
      <c r="Q7708">
        <v>0.18827969999999999</v>
      </c>
      <c r="R7708">
        <v>8.3775429999999998E-2</v>
      </c>
      <c r="S7708">
        <v>3.0659939999999999</v>
      </c>
      <c r="T7708">
        <v>-0.14686250000000001</v>
      </c>
      <c r="U7708">
        <v>0.33828740000000002</v>
      </c>
      <c r="V7708">
        <v>-0.1015993</v>
      </c>
      <c r="W7708">
        <v>0.1946309</v>
      </c>
      <c r="X7708">
        <v>0.97560049999999998</v>
      </c>
      <c r="Y7708">
        <v>-0.1268484</v>
      </c>
      <c r="Z7708">
        <v>3.860849E-3</v>
      </c>
      <c r="AA7708">
        <v>0.99191459999999998</v>
      </c>
      <c r="AB7708">
        <v>36</v>
      </c>
      <c r="AC7708">
        <v>23.0106</v>
      </c>
      <c r="AD7708">
        <v>-1.1110098284929999</v>
      </c>
      <c r="AE7708">
        <v>2.5618500000000002</v>
      </c>
      <c r="AF7708">
        <v>-2.9565151645301602</v>
      </c>
      <c r="AG7708">
        <v>-1.1110098284929999</v>
      </c>
      <c r="AH7708">
        <v>22.909596698740401</v>
      </c>
      <c r="AI7708">
        <v>92.753606645807906</v>
      </c>
      <c r="AJ7708">
        <v>97.353457255573701</v>
      </c>
      <c r="AK7708">
        <v>23.126282573211899</v>
      </c>
      <c r="AL7708">
        <v>78.776837052540301</v>
      </c>
      <c r="AM7708">
        <v>95.945366897022197</v>
      </c>
      <c r="AN7708">
        <v>0.99999997029777399</v>
      </c>
    </row>
    <row r="7709" spans="1:40" x14ac:dyDescent="0.25">
      <c r="A7709" t="str">
        <f>"20190312172301154"</f>
        <v>20190312172301154</v>
      </c>
      <c r="B7709" t="str">
        <f>"1552382581147819"</f>
        <v>1552382581147819</v>
      </c>
      <c r="C7709" t="s">
        <v>40</v>
      </c>
      <c r="D7709">
        <v>3.381799</v>
      </c>
      <c r="E7709">
        <v>0.4895273</v>
      </c>
      <c r="F7709" t="s">
        <v>64</v>
      </c>
      <c r="G7709">
        <v>-204.2063</v>
      </c>
      <c r="H7709" s="1">
        <v>-3.6131409999999998E-6</v>
      </c>
      <c r="I7709">
        <v>-61.308450000000001</v>
      </c>
      <c r="J7709">
        <v>-226.61349999999999</v>
      </c>
      <c r="K7709">
        <v>1.111002</v>
      </c>
      <c r="L7709">
        <v>-63.846469999999997</v>
      </c>
      <c r="M7709">
        <v>0.99983750000000005</v>
      </c>
      <c r="N7709">
        <v>0</v>
      </c>
      <c r="O7709">
        <v>-1.6628420000000001E-2</v>
      </c>
      <c r="P7709">
        <v>0.97843080000000004</v>
      </c>
      <c r="Q7709">
        <v>0.18778010000000001</v>
      </c>
      <c r="R7709">
        <v>8.6093489999999995E-2</v>
      </c>
      <c r="S7709">
        <v>3.065369</v>
      </c>
      <c r="T7709">
        <v>-0.1507925</v>
      </c>
      <c r="U7709">
        <v>0.34414670000000003</v>
      </c>
      <c r="V7709">
        <v>-0.10309989999999999</v>
      </c>
      <c r="W7709">
        <v>0.19418759999999999</v>
      </c>
      <c r="X7709">
        <v>0.9755315</v>
      </c>
      <c r="Y7709">
        <v>-0.1279053</v>
      </c>
      <c r="Z7709">
        <v>3.9493690000000003E-3</v>
      </c>
      <c r="AA7709">
        <v>0.99177859999999995</v>
      </c>
      <c r="AB7709">
        <v>36</v>
      </c>
      <c r="AC7709">
        <v>22.4071999999999</v>
      </c>
      <c r="AD7709">
        <v>-1.111005613141</v>
      </c>
      <c r="AE7709">
        <v>2.5380199999999902</v>
      </c>
      <c r="AF7709">
        <v>-2.9032274717741999</v>
      </c>
      <c r="AG7709">
        <v>-1.111005613141</v>
      </c>
      <c r="AH7709">
        <v>22.3077502205328</v>
      </c>
      <c r="AI7709">
        <v>92.827373933574805</v>
      </c>
      <c r="AJ7709">
        <v>97.415044716905996</v>
      </c>
      <c r="AK7709">
        <v>22.5232942334592</v>
      </c>
      <c r="AL7709">
        <v>78.802731324993104</v>
      </c>
      <c r="AM7709">
        <v>96.032959374633606</v>
      </c>
      <c r="AN7709">
        <v>1.0000000604329999</v>
      </c>
    </row>
    <row r="7710" spans="1:40" x14ac:dyDescent="0.25">
      <c r="A7710" t="str">
        <f>"20190312172301166"</f>
        <v>20190312172301166</v>
      </c>
      <c r="B7710" t="str">
        <f>"1552382581158556"</f>
        <v>1552382581158556</v>
      </c>
      <c r="C7710" t="s">
        <v>40</v>
      </c>
      <c r="D7710">
        <v>3.1860249999999999</v>
      </c>
      <c r="E7710">
        <v>0.48963459999999998</v>
      </c>
      <c r="F7710" t="s">
        <v>64</v>
      </c>
      <c r="G7710">
        <v>-204.108</v>
      </c>
      <c r="H7710" s="1">
        <v>-3.661199E-6</v>
      </c>
      <c r="I7710">
        <v>-61.273690000000002</v>
      </c>
      <c r="J7710">
        <v>-226.43719999999999</v>
      </c>
      <c r="K7710">
        <v>1.111002</v>
      </c>
      <c r="L7710">
        <v>-63.848750000000003</v>
      </c>
      <c r="M7710">
        <v>0.99985060000000003</v>
      </c>
      <c r="N7710">
        <v>0</v>
      </c>
      <c r="O7710">
        <v>-1.5800350000000001E-2</v>
      </c>
      <c r="P7710">
        <v>0.97830589999999995</v>
      </c>
      <c r="Q7710">
        <v>0.18735579999999999</v>
      </c>
      <c r="R7710">
        <v>8.8406120000000005E-2</v>
      </c>
      <c r="S7710">
        <v>3.064346</v>
      </c>
      <c r="T7710">
        <v>-0.15127449999999901</v>
      </c>
      <c r="U7710">
        <v>0.35031129999999999</v>
      </c>
      <c r="V7710">
        <v>-0.10460129999999999</v>
      </c>
      <c r="W7710">
        <v>0.19381519999999999</v>
      </c>
      <c r="X7710">
        <v>0.97544569999999997</v>
      </c>
      <c r="Y7710">
        <v>-0.1290888</v>
      </c>
      <c r="Z7710">
        <v>3.9512100000000001E-3</v>
      </c>
      <c r="AA7710">
        <v>0.99162519999999998</v>
      </c>
      <c r="AB7710">
        <v>36</v>
      </c>
      <c r="AC7710">
        <v>22.329199999999901</v>
      </c>
      <c r="AD7710">
        <v>-1.111005661199</v>
      </c>
      <c r="AE7710">
        <v>2.5750600000000001</v>
      </c>
      <c r="AF7710">
        <v>-2.92042137228787</v>
      </c>
      <c r="AG7710">
        <v>-1.111005661199</v>
      </c>
      <c r="AH7710">
        <v>22.231410123165301</v>
      </c>
      <c r="AI7710">
        <v>92.836622784345707</v>
      </c>
      <c r="AJ7710">
        <v>97.483787832834807</v>
      </c>
      <c r="AK7710">
        <v>22.449917385935102</v>
      </c>
      <c r="AL7710">
        <v>78.824481251916694</v>
      </c>
      <c r="AM7710">
        <v>96.120687012019104</v>
      </c>
      <c r="AN7710">
        <v>1.0000000386806001</v>
      </c>
    </row>
    <row r="7711" spans="1:40" x14ac:dyDescent="0.25">
      <c r="A7711" t="str">
        <f>"20190312172301177"</f>
        <v>20190312172301177</v>
      </c>
      <c r="B7711" t="str">
        <f>"1552382581168315"</f>
        <v>1552382581168315</v>
      </c>
      <c r="C7711" t="s">
        <v>40</v>
      </c>
      <c r="D7711">
        <v>3.1736870000000001</v>
      </c>
      <c r="E7711">
        <v>0.48986800000000003</v>
      </c>
      <c r="F7711" t="s">
        <v>64</v>
      </c>
      <c r="G7711">
        <v>-204.28809999999999</v>
      </c>
      <c r="H7711" s="1">
        <v>-3.5693689999999999E-6</v>
      </c>
      <c r="I7711">
        <v>-61.273009999999999</v>
      </c>
      <c r="J7711">
        <v>-226.26070000000001</v>
      </c>
      <c r="K7711">
        <v>1.111002</v>
      </c>
      <c r="L7711">
        <v>-63.85089</v>
      </c>
      <c r="M7711">
        <v>0.9998629</v>
      </c>
      <c r="N7711">
        <v>0</v>
      </c>
      <c r="O7711">
        <v>-1.497157E-2</v>
      </c>
      <c r="P7711">
        <v>0.97816570000000003</v>
      </c>
      <c r="Q7711">
        <v>0.18695429999999999</v>
      </c>
      <c r="R7711">
        <v>9.0774160000000007E-2</v>
      </c>
      <c r="S7711">
        <v>3.0637819999999998</v>
      </c>
      <c r="T7711">
        <v>-0.1536807</v>
      </c>
      <c r="U7711">
        <v>0.35629270000000002</v>
      </c>
      <c r="V7711">
        <v>-0.106158</v>
      </c>
      <c r="W7711">
        <v>0.19346240000000001</v>
      </c>
      <c r="X7711">
        <v>0.97534750000000003</v>
      </c>
      <c r="Y7711">
        <v>-0.130192</v>
      </c>
      <c r="Z7711">
        <v>4.0004079999999996E-3</v>
      </c>
      <c r="AA7711">
        <v>0.99148069999999999</v>
      </c>
      <c r="AB7711">
        <v>36</v>
      </c>
      <c r="AC7711">
        <v>21.9726</v>
      </c>
      <c r="AD7711">
        <v>-1.111005569369</v>
      </c>
      <c r="AE7711">
        <v>2.5778799999999999</v>
      </c>
      <c r="AF7711">
        <v>-2.89925190413057</v>
      </c>
      <c r="AG7711">
        <v>-1.111005569369</v>
      </c>
      <c r="AH7711">
        <v>21.876370702019202</v>
      </c>
      <c r="AI7711">
        <v>92.882147597881897</v>
      </c>
      <c r="AJ7711">
        <v>97.549354485617499</v>
      </c>
      <c r="AK7711">
        <v>22.095601147534701</v>
      </c>
      <c r="AL7711">
        <v>78.845084551155196</v>
      </c>
      <c r="AM7711">
        <v>96.211690119019593</v>
      </c>
      <c r="AN7711">
        <v>0.99999998346700403</v>
      </c>
    </row>
    <row r="7712" spans="1:40" x14ac:dyDescent="0.25">
      <c r="A7712" t="str">
        <f>"20190312172301188"</f>
        <v>20190312172301188</v>
      </c>
      <c r="B7712" t="str">
        <f>"1552382581178075"</f>
        <v>1552382581178075</v>
      </c>
      <c r="C7712" t="s">
        <v>40</v>
      </c>
      <c r="D7712">
        <v>3.2081940000000002</v>
      </c>
      <c r="E7712">
        <v>0.49013200000000001</v>
      </c>
      <c r="F7712" t="s">
        <v>64</v>
      </c>
      <c r="G7712">
        <v>-204.37860000000001</v>
      </c>
      <c r="H7712" s="1">
        <v>-3.5229909999999999E-6</v>
      </c>
      <c r="I7712">
        <v>-61.268169999999998</v>
      </c>
      <c r="J7712">
        <v>-226.07730000000001</v>
      </c>
      <c r="K7712">
        <v>1.1110070000000001</v>
      </c>
      <c r="L7712">
        <v>-63.852910000000001</v>
      </c>
      <c r="M7712">
        <v>0.99987499999999996</v>
      </c>
      <c r="N7712">
        <v>0</v>
      </c>
      <c r="O7712">
        <v>-1.4111429999999999E-2</v>
      </c>
      <c r="P7712">
        <v>0.97789760000000003</v>
      </c>
      <c r="Q7712">
        <v>0.18708859999999999</v>
      </c>
      <c r="R7712">
        <v>9.3350340000000004E-2</v>
      </c>
      <c r="S7712">
        <v>3.0631560000000002</v>
      </c>
      <c r="T7712">
        <v>-0.1555242</v>
      </c>
      <c r="U7712">
        <v>0.36154170000000002</v>
      </c>
      <c r="V7712">
        <v>-0.107893</v>
      </c>
      <c r="W7712">
        <v>0.1936407</v>
      </c>
      <c r="X7712">
        <v>0.97512169999999998</v>
      </c>
      <c r="Y7712">
        <v>-0.13103389999999901</v>
      </c>
      <c r="Z7712">
        <v>4.0265329999999997E-3</v>
      </c>
      <c r="AA7712">
        <v>0.99136970000000002</v>
      </c>
      <c r="AB7712">
        <v>36</v>
      </c>
      <c r="AC7712">
        <v>21.698699999999999</v>
      </c>
      <c r="AD7712">
        <v>-1.1110105229909999</v>
      </c>
      <c r="AE7712">
        <v>2.5847399999999898</v>
      </c>
      <c r="AF7712">
        <v>-2.8832371093964402</v>
      </c>
      <c r="AG7712">
        <v>-1.1110105229909999</v>
      </c>
      <c r="AH7712">
        <v>21.604218495089601</v>
      </c>
      <c r="AI7712">
        <v>92.918051772327004</v>
      </c>
      <c r="AJ7712">
        <v>97.601612681219194</v>
      </c>
      <c r="AK7712">
        <v>21.824061432161699</v>
      </c>
      <c r="AL7712">
        <v>78.834671713647396</v>
      </c>
      <c r="AM7712">
        <v>96.3138481661817</v>
      </c>
      <c r="AN7712">
        <v>0.99999997497818904</v>
      </c>
    </row>
    <row r="7713" spans="1:40" x14ac:dyDescent="0.25">
      <c r="A7713" t="str">
        <f>"20190312172301198"</f>
        <v>20190312172301198</v>
      </c>
      <c r="B7713" t="str">
        <f>"1552382581187835"</f>
        <v>1552382581187835</v>
      </c>
      <c r="C7713" t="s">
        <v>40</v>
      </c>
      <c r="D7713">
        <v>3.1981890000000002</v>
      </c>
      <c r="E7713">
        <v>0.49033159999999998</v>
      </c>
      <c r="F7713" t="s">
        <v>64</v>
      </c>
      <c r="G7713">
        <v>-204.2576</v>
      </c>
      <c r="H7713" s="1">
        <v>-3.5828709999999999E-6</v>
      </c>
      <c r="I7713">
        <v>-61.237259999999999</v>
      </c>
      <c r="J7713">
        <v>-225.90539999999999</v>
      </c>
      <c r="K7713">
        <v>1.111008</v>
      </c>
      <c r="L7713">
        <v>-63.85474</v>
      </c>
      <c r="M7713">
        <v>0.99988569999999999</v>
      </c>
      <c r="N7713">
        <v>0</v>
      </c>
      <c r="O7713">
        <v>-1.330434E-2</v>
      </c>
      <c r="P7713">
        <v>0.97759160000000001</v>
      </c>
      <c r="Q7713">
        <v>0.18744839999999999</v>
      </c>
      <c r="R7713">
        <v>9.5801380000000005E-2</v>
      </c>
      <c r="S7713">
        <v>3.062576</v>
      </c>
      <c r="T7713">
        <v>-0.1559392</v>
      </c>
      <c r="U7713">
        <v>0.36712650000000002</v>
      </c>
      <c r="V7713">
        <v>-0.1095555</v>
      </c>
      <c r="W7713">
        <v>0.19403970000000001</v>
      </c>
      <c r="X7713">
        <v>0.97485699999999997</v>
      </c>
      <c r="Y7713">
        <v>-0.13203679999999901</v>
      </c>
      <c r="Z7713">
        <v>4.0220809999999899E-3</v>
      </c>
      <c r="AA7713">
        <v>0.99123660000000002</v>
      </c>
      <c r="AB7713">
        <v>36</v>
      </c>
      <c r="AC7713">
        <v>21.647799999999901</v>
      </c>
      <c r="AD7713">
        <v>-1.1110115828710001</v>
      </c>
      <c r="AE7713">
        <v>2.61748</v>
      </c>
      <c r="AF7713">
        <v>-2.8977428743022902</v>
      </c>
      <c r="AG7713">
        <v>-1.1110115828710001</v>
      </c>
      <c r="AH7713">
        <v>21.555101927675299</v>
      </c>
      <c r="AI7713">
        <v>92.924316908121</v>
      </c>
      <c r="AJ7713">
        <v>97.656607650695804</v>
      </c>
      <c r="AK7713">
        <v>21.777366223106799</v>
      </c>
      <c r="AL7713">
        <v>78.811368899945506</v>
      </c>
      <c r="AM7713">
        <v>96.412059199697893</v>
      </c>
      <c r="AN7713">
        <v>0.99999999160266995</v>
      </c>
    </row>
    <row r="7714" spans="1:40" x14ac:dyDescent="0.25">
      <c r="A7714" t="str">
        <f>"20190312172301210"</f>
        <v>20190312172301210</v>
      </c>
      <c r="B7714" t="str">
        <f>"1552382581208331"</f>
        <v>1552382581208331</v>
      </c>
      <c r="C7714" t="s">
        <v>40</v>
      </c>
      <c r="D7714">
        <v>3.2241460000000002</v>
      </c>
      <c r="E7714">
        <v>0.49064469999999999</v>
      </c>
      <c r="F7714" t="s">
        <v>64</v>
      </c>
      <c r="G7714">
        <v>-203.99180000000001</v>
      </c>
      <c r="H7714" s="1">
        <v>-3.7152769999999998E-6</v>
      </c>
      <c r="I7714">
        <v>-61.184939999999997</v>
      </c>
      <c r="J7714">
        <v>-225.726</v>
      </c>
      <c r="K7714">
        <v>1.1110120000000001</v>
      </c>
      <c r="L7714">
        <v>-63.856380000000001</v>
      </c>
      <c r="M7714">
        <v>0.99989609999999995</v>
      </c>
      <c r="N7714">
        <v>0</v>
      </c>
      <c r="O7714">
        <v>-1.246303E-2</v>
      </c>
      <c r="P7714">
        <v>0.97731199999999996</v>
      </c>
      <c r="Q7714">
        <v>0.1875677</v>
      </c>
      <c r="R7714">
        <v>9.838674E-2</v>
      </c>
      <c r="S7714">
        <v>3.061966</v>
      </c>
      <c r="T7714">
        <v>-0.1552405</v>
      </c>
      <c r="U7714">
        <v>0.37304690000000001</v>
      </c>
      <c r="V7714">
        <v>-0.11131779999999999</v>
      </c>
      <c r="W7714">
        <v>0.19419549999999999</v>
      </c>
      <c r="X7714">
        <v>0.97462629999999995</v>
      </c>
      <c r="Y7714">
        <v>-0.1331164</v>
      </c>
      <c r="Z7714">
        <v>3.9891789999999998E-3</v>
      </c>
      <c r="AA7714">
        <v>0.99109239999999998</v>
      </c>
      <c r="AB7714">
        <v>36</v>
      </c>
      <c r="AC7714">
        <v>21.734199999999898</v>
      </c>
      <c r="AD7714">
        <v>-1.1110157152769999</v>
      </c>
      <c r="AE7714">
        <v>2.6714399999999898</v>
      </c>
      <c r="AF7714">
        <v>-2.9345594810571201</v>
      </c>
      <c r="AG7714">
        <v>-1.1110157152769999</v>
      </c>
      <c r="AH7714">
        <v>21.6435022563392</v>
      </c>
      <c r="AI7714">
        <v>92.911960250735504</v>
      </c>
      <c r="AJ7714">
        <v>97.721428890284201</v>
      </c>
      <c r="AK7714">
        <v>21.869777895251101</v>
      </c>
      <c r="AL7714">
        <v>78.802269045981106</v>
      </c>
      <c r="AM7714">
        <v>96.5158520671188</v>
      </c>
      <c r="AN7714">
        <v>0.999999984734389</v>
      </c>
    </row>
    <row r="7715" spans="1:40" x14ac:dyDescent="0.25">
      <c r="A7715" t="str">
        <f>"20190312172301221"</f>
        <v>20190312172301221</v>
      </c>
      <c r="B7715" t="str">
        <f>"1552382581218091"</f>
        <v>1552382581218091</v>
      </c>
      <c r="C7715" t="s">
        <v>40</v>
      </c>
      <c r="D7715">
        <v>3.3755899999999999</v>
      </c>
      <c r="E7715">
        <v>0.49064469999999999</v>
      </c>
      <c r="F7715" t="s">
        <v>64</v>
      </c>
      <c r="G7715">
        <v>-203.65710000000001</v>
      </c>
      <c r="H7715" s="1">
        <v>-3.8824640000000004E-6</v>
      </c>
      <c r="I7715">
        <v>-61.127540000000003</v>
      </c>
      <c r="J7715">
        <v>-225.5385</v>
      </c>
      <c r="K7715">
        <v>1.1110150000000001</v>
      </c>
      <c r="L7715">
        <v>-63.858029999999999</v>
      </c>
      <c r="M7715">
        <v>0.99990650000000003</v>
      </c>
      <c r="N7715">
        <v>0</v>
      </c>
      <c r="O7715">
        <v>-1.158345E-2</v>
      </c>
      <c r="P7715">
        <v>0.97689110000000001</v>
      </c>
      <c r="Q7715">
        <v>0.1880655</v>
      </c>
      <c r="R7715">
        <v>0.1015648</v>
      </c>
      <c r="S7715">
        <v>3.0611109999999999</v>
      </c>
      <c r="T7715">
        <v>-0.15410550000000001</v>
      </c>
      <c r="U7715">
        <v>0.3785095</v>
      </c>
      <c r="V7715">
        <v>-0.113636</v>
      </c>
      <c r="W7715">
        <v>0.19472729999999999</v>
      </c>
      <c r="X7715">
        <v>0.97425260000000002</v>
      </c>
      <c r="Y7715">
        <v>-0.13402269999999999</v>
      </c>
      <c r="Z7715">
        <v>3.9393329999999997E-3</v>
      </c>
      <c r="AA7715">
        <v>0.99097040000000003</v>
      </c>
      <c r="AB7715">
        <v>36</v>
      </c>
      <c r="AC7715">
        <v>21.8813999999999</v>
      </c>
      <c r="AD7715">
        <v>-1.1110188824639999</v>
      </c>
      <c r="AE7715">
        <v>2.7304900000000001</v>
      </c>
      <c r="AF7715">
        <v>-2.97622037480969</v>
      </c>
      <c r="AG7715">
        <v>-1.1110188824639999</v>
      </c>
      <c r="AH7715">
        <v>21.7929804443644</v>
      </c>
      <c r="AI7715">
        <v>92.891650715072402</v>
      </c>
      <c r="AJ7715">
        <v>97.776652400084998</v>
      </c>
      <c r="AK7715">
        <v>22.0233114523014</v>
      </c>
      <c r="AL7715">
        <v>78.771206283875202</v>
      </c>
      <c r="AM7715">
        <v>96.652869904621497</v>
      </c>
      <c r="AN7715">
        <v>0.99999999523402505</v>
      </c>
    </row>
    <row r="7716" spans="1:40" x14ac:dyDescent="0.25">
      <c r="A7716" t="str">
        <f>"20190312172301232"</f>
        <v>20190312172301232</v>
      </c>
      <c r="B7716" t="str">
        <f>"1552382581227855"</f>
        <v>1552382581227855</v>
      </c>
      <c r="C7716" t="s">
        <v>40</v>
      </c>
      <c r="D7716">
        <v>3.2196579999999999</v>
      </c>
      <c r="E7716">
        <v>0.49396200000000001</v>
      </c>
      <c r="F7716" t="s">
        <v>64</v>
      </c>
      <c r="G7716">
        <v>-203.25470000000001</v>
      </c>
      <c r="H7716" s="1">
        <v>-4.0818630000000003E-6</v>
      </c>
      <c r="I7716">
        <v>-61.03004</v>
      </c>
      <c r="J7716">
        <v>-225.35810000000001</v>
      </c>
      <c r="K7716">
        <v>1.1110199999999999</v>
      </c>
      <c r="L7716">
        <v>-63.859409999999997</v>
      </c>
      <c r="M7716">
        <v>0.99991549999999996</v>
      </c>
      <c r="N7716">
        <v>0</v>
      </c>
      <c r="O7716">
        <v>-1.0737719999999999E-2</v>
      </c>
      <c r="P7716">
        <v>0.97647629999999996</v>
      </c>
      <c r="Q7716">
        <v>0.18846550000000001</v>
      </c>
      <c r="R7716">
        <v>0.10476009999999999</v>
      </c>
      <c r="S7716">
        <v>3.0599820000000002</v>
      </c>
      <c r="T7716">
        <v>-0.15256359999999999</v>
      </c>
      <c r="U7716">
        <v>0.38833620000000002</v>
      </c>
      <c r="V7716">
        <v>-0.1160046</v>
      </c>
      <c r="W7716">
        <v>0.1951552</v>
      </c>
      <c r="X7716">
        <v>0.97388770000000002</v>
      </c>
      <c r="Y7716">
        <v>-0.1363637</v>
      </c>
      <c r="Z7716">
        <v>3.9167220000000001E-3</v>
      </c>
      <c r="AA7716">
        <v>0.99065110000000001</v>
      </c>
      <c r="AB7716">
        <v>36</v>
      </c>
      <c r="AC7716">
        <v>22.103399999999901</v>
      </c>
      <c r="AD7716">
        <v>-1.1110240818629999</v>
      </c>
      <c r="AE7716">
        <v>2.8293699999999902</v>
      </c>
      <c r="AF7716">
        <v>-3.05894935944709</v>
      </c>
      <c r="AG7716">
        <v>-1.1110240818629999</v>
      </c>
      <c r="AH7716">
        <v>22.017013440700399</v>
      </c>
      <c r="AI7716">
        <v>92.861374866044699</v>
      </c>
      <c r="AJ7716">
        <v>97.909794479483494</v>
      </c>
      <c r="AK7716">
        <v>22.256244663961699</v>
      </c>
      <c r="AL7716">
        <v>78.746209183081803</v>
      </c>
      <c r="AM7716">
        <v>96.792779302106098</v>
      </c>
      <c r="AN7716">
        <v>0.999999935759743</v>
      </c>
    </row>
    <row r="7717" spans="1:40" x14ac:dyDescent="0.25">
      <c r="A7717" t="str">
        <f>"20190312172301244"</f>
        <v>20190312172301244</v>
      </c>
      <c r="B7717" t="str">
        <f>"1552382581237611"</f>
        <v>1552382581237611</v>
      </c>
      <c r="C7717" t="s">
        <v>40</v>
      </c>
      <c r="D7717">
        <v>3.1734749999999998</v>
      </c>
      <c r="E7717">
        <v>0.49432189999999998</v>
      </c>
      <c r="F7717" t="s">
        <v>64</v>
      </c>
      <c r="G7717">
        <v>-203.16300000000001</v>
      </c>
      <c r="H7717" s="1">
        <v>-4.1363340000000002E-6</v>
      </c>
      <c r="I7717">
        <v>-61.163690000000003</v>
      </c>
      <c r="J7717">
        <v>-225.1729</v>
      </c>
      <c r="K7717">
        <v>1.111024</v>
      </c>
      <c r="L7717">
        <v>-63.860719999999901</v>
      </c>
      <c r="M7717">
        <v>0.99992429999999999</v>
      </c>
      <c r="N7717">
        <v>0</v>
      </c>
      <c r="O7717">
        <v>-9.8694649999999991E-3</v>
      </c>
      <c r="P7717">
        <v>0.97598989999999997</v>
      </c>
      <c r="Q7717">
        <v>0.18922169999999999</v>
      </c>
      <c r="R7717">
        <v>0.1078853</v>
      </c>
      <c r="S7717">
        <v>3.0619350000000001</v>
      </c>
      <c r="T7717">
        <v>-0.15327170000000001</v>
      </c>
      <c r="U7717">
        <v>0.37188719999999997</v>
      </c>
      <c r="V7717">
        <v>-0.11828370000000001</v>
      </c>
      <c r="W7717">
        <v>0.19593849999999999</v>
      </c>
      <c r="X7717">
        <v>0.97345630000000005</v>
      </c>
      <c r="Y7717">
        <v>-0.1301879</v>
      </c>
      <c r="Z7717">
        <v>3.736484E-3</v>
      </c>
      <c r="AA7717">
        <v>0.99148230000000004</v>
      </c>
      <c r="AB7717">
        <v>36</v>
      </c>
      <c r="AC7717">
        <v>22.009899999999998</v>
      </c>
      <c r="AD7717">
        <v>-1.111028136334</v>
      </c>
      <c r="AE7717">
        <v>2.69702999999999</v>
      </c>
      <c r="AF7717">
        <v>-2.9068331497961601</v>
      </c>
      <c r="AG7717">
        <v>-1.111028136334</v>
      </c>
      <c r="AH7717">
        <v>21.9271632494304</v>
      </c>
      <c r="AI7717">
        <v>92.875526365324504</v>
      </c>
      <c r="AJ7717">
        <v>97.551536585296006</v>
      </c>
      <c r="AK7717">
        <v>22.146885800212399</v>
      </c>
      <c r="AL7717">
        <v>78.700447198756194</v>
      </c>
      <c r="AM7717">
        <v>96.927990038122502</v>
      </c>
      <c r="AN7717">
        <v>1.0000000487388101</v>
      </c>
    </row>
    <row r="7718" spans="1:40" x14ac:dyDescent="0.25">
      <c r="A7718" t="str">
        <f>"20190312172301256"</f>
        <v>20190312172301256</v>
      </c>
      <c r="B7718" t="str">
        <f>"1552382581248347"</f>
        <v>1552382581248347</v>
      </c>
      <c r="C7718" t="s">
        <v>40</v>
      </c>
      <c r="D7718">
        <v>3.217114</v>
      </c>
      <c r="E7718">
        <v>0.4946605</v>
      </c>
      <c r="F7718" t="s">
        <v>64</v>
      </c>
      <c r="G7718">
        <v>-202.8817</v>
      </c>
      <c r="H7718" s="1">
        <v>-4.2761529999999996E-6</v>
      </c>
      <c r="I7718">
        <v>-61.103670000000001</v>
      </c>
      <c r="J7718">
        <v>-224.9906</v>
      </c>
      <c r="K7718">
        <v>1.1110340000000001</v>
      </c>
      <c r="L7718">
        <v>-63.861820000000002</v>
      </c>
      <c r="M7718">
        <v>0.99993200000000004</v>
      </c>
      <c r="N7718">
        <v>0</v>
      </c>
      <c r="O7718">
        <v>-9.0150300000000003E-3</v>
      </c>
      <c r="P7718">
        <v>0.97556089999999995</v>
      </c>
      <c r="Q7718">
        <v>0.18958449999999999</v>
      </c>
      <c r="R7718">
        <v>0.1110802</v>
      </c>
      <c r="S7718">
        <v>3.0615389999999998</v>
      </c>
      <c r="T7718">
        <v>-0.15259229999999999</v>
      </c>
      <c r="U7718">
        <v>0.3786621</v>
      </c>
      <c r="V7718">
        <v>-0.1206443</v>
      </c>
      <c r="W7718">
        <v>0.19632520000000001</v>
      </c>
      <c r="X7718">
        <v>0.97308859999999997</v>
      </c>
      <c r="Y7718">
        <v>-0.13151849999999901</v>
      </c>
      <c r="Z7718">
        <v>3.710526E-3</v>
      </c>
      <c r="AA7718">
        <v>0.99130680000000004</v>
      </c>
      <c r="AB7718">
        <v>36</v>
      </c>
      <c r="AC7718">
        <v>22.108899999999998</v>
      </c>
      <c r="AD7718">
        <v>-1.111038276153</v>
      </c>
      <c r="AE7718">
        <v>2.7581500000000001</v>
      </c>
      <c r="AF7718">
        <v>-2.9500200606490701</v>
      </c>
      <c r="AG7718">
        <v>-1.111038276153</v>
      </c>
      <c r="AH7718">
        <v>22.028358958107599</v>
      </c>
      <c r="AI7718">
        <v>92.861859054121197</v>
      </c>
      <c r="AJ7718">
        <v>97.6276218069778</v>
      </c>
      <c r="AK7718">
        <v>22.252766632411099</v>
      </c>
      <c r="AL7718">
        <v>78.677851823389901</v>
      </c>
      <c r="AM7718">
        <v>97.067511514465806</v>
      </c>
      <c r="AN7718">
        <v>1.0000000273637399</v>
      </c>
    </row>
    <row r="7719" spans="1:40" x14ac:dyDescent="0.25">
      <c r="A7719" t="str">
        <f>"20190312172301267"</f>
        <v>20190312172301267</v>
      </c>
      <c r="B7719" t="str">
        <f>"1552382581258107"</f>
        <v>1552382581258107</v>
      </c>
      <c r="C7719" t="s">
        <v>40</v>
      </c>
      <c r="D7719">
        <v>3.1935250000000002</v>
      </c>
      <c r="E7719">
        <v>0.49421409999999999</v>
      </c>
      <c r="F7719" t="s">
        <v>64</v>
      </c>
      <c r="G7719">
        <v>-202.785</v>
      </c>
      <c r="H7719" s="1">
        <v>-4.3231329999999996E-6</v>
      </c>
      <c r="I7719">
        <v>-61.063490000000002</v>
      </c>
      <c r="J7719">
        <v>-224.8074</v>
      </c>
      <c r="K7719">
        <v>1.1110409999999999</v>
      </c>
      <c r="L7719">
        <v>-63.862789999999997</v>
      </c>
      <c r="M7719">
        <v>0.99993909999999997</v>
      </c>
      <c r="N7719">
        <v>0</v>
      </c>
      <c r="O7719">
        <v>-8.1564199999999993E-3</v>
      </c>
      <c r="P7719">
        <v>0.97498479999999998</v>
      </c>
      <c r="Q7719">
        <v>0.19053400000000001</v>
      </c>
      <c r="R7719">
        <v>0.1144628</v>
      </c>
      <c r="S7719">
        <v>3.0609890000000002</v>
      </c>
      <c r="T7719">
        <v>-0.15315399999999901</v>
      </c>
      <c r="U7719">
        <v>0.38574219999999998</v>
      </c>
      <c r="V7719">
        <v>-0.12319049999999999</v>
      </c>
      <c r="W7719">
        <v>0.19729479999999999</v>
      </c>
      <c r="X7719">
        <v>0.97257329999999997</v>
      </c>
      <c r="Y7719">
        <v>-0.1329446</v>
      </c>
      <c r="Z7719">
        <v>3.7170380000000002E-3</v>
      </c>
      <c r="AA7719">
        <v>0.99111649999999996</v>
      </c>
      <c r="AB7719">
        <v>36</v>
      </c>
      <c r="AC7719">
        <v>22.022400000000001</v>
      </c>
      <c r="AD7719">
        <v>-1.111045323133</v>
      </c>
      <c r="AE7719">
        <v>2.7993000000000001</v>
      </c>
      <c r="AF7719">
        <v>-2.97139303682071</v>
      </c>
      <c r="AG7719">
        <v>-1.111045323133</v>
      </c>
      <c r="AH7719">
        <v>21.943869469898601</v>
      </c>
      <c r="AI7719">
        <v>92.872312687354096</v>
      </c>
      <c r="AJ7719">
        <v>97.711449813494895</v>
      </c>
      <c r="AK7719">
        <v>22.171986956546501</v>
      </c>
      <c r="AL7719">
        <v>78.621189076349694</v>
      </c>
      <c r="AM7719">
        <v>97.218898020545893</v>
      </c>
      <c r="AN7719">
        <v>0.99999998063508899</v>
      </c>
    </row>
    <row r="7720" spans="1:40" x14ac:dyDescent="0.25">
      <c r="A7720" t="str">
        <f>"20190312172301277"</f>
        <v>20190312172301277</v>
      </c>
      <c r="B7720" t="str">
        <f>"1552382581267867"</f>
        <v>1552382581267867</v>
      </c>
      <c r="C7720" t="s">
        <v>40</v>
      </c>
      <c r="D7720">
        <v>3.231236</v>
      </c>
      <c r="E7720">
        <v>0.49421409999999999</v>
      </c>
      <c r="F7720" t="s">
        <v>64</v>
      </c>
      <c r="G7720">
        <v>-202.2295</v>
      </c>
      <c r="H7720" s="1">
        <v>-4.5975560000000003E-6</v>
      </c>
      <c r="I7720">
        <v>-60.915300000000002</v>
      </c>
      <c r="J7720">
        <v>-224.6292</v>
      </c>
      <c r="K7720">
        <v>1.1110500000000001</v>
      </c>
      <c r="L7720">
        <v>-63.863619999999997</v>
      </c>
      <c r="M7720">
        <v>0.99994530000000004</v>
      </c>
      <c r="N7720">
        <v>0</v>
      </c>
      <c r="O7720">
        <v>-7.3217680000000002E-3</v>
      </c>
      <c r="P7720">
        <v>0.97441909999999998</v>
      </c>
      <c r="Q7720">
        <v>0.19134409999999999</v>
      </c>
      <c r="R7720">
        <v>0.1178763</v>
      </c>
      <c r="S7720">
        <v>3.0595249999999998</v>
      </c>
      <c r="T7720">
        <v>-0.15055779999999999</v>
      </c>
      <c r="U7720">
        <v>0.39941409999999999</v>
      </c>
      <c r="V7720">
        <v>-0.12579209999999999</v>
      </c>
      <c r="W7720">
        <v>0.19812260000000001</v>
      </c>
      <c r="X7720">
        <v>0.97207189999999999</v>
      </c>
      <c r="Y7720">
        <v>-0.13653499999999999</v>
      </c>
      <c r="Z7720">
        <v>3.7018379999999998E-3</v>
      </c>
      <c r="AA7720">
        <v>0.99062830000000002</v>
      </c>
      <c r="AB7720">
        <v>36</v>
      </c>
      <c r="AC7720">
        <v>22.399699999999999</v>
      </c>
      <c r="AD7720">
        <v>-1.111054597556</v>
      </c>
      <c r="AE7720">
        <v>2.9483199999999901</v>
      </c>
      <c r="AF7720">
        <v>-3.1047424625055502</v>
      </c>
      <c r="AG7720">
        <v>-1.111054597556</v>
      </c>
      <c r="AH7720">
        <v>22.323524986507</v>
      </c>
      <c r="AI7720">
        <v>92.822173096063196</v>
      </c>
      <c r="AJ7720">
        <v>97.917871335105502</v>
      </c>
      <c r="AK7720">
        <v>22.565762471063099</v>
      </c>
      <c r="AL7720">
        <v>78.572804756737497</v>
      </c>
      <c r="AM7720">
        <v>97.373450998590499</v>
      </c>
      <c r="AN7720">
        <v>0.99999999791139005</v>
      </c>
    </row>
    <row r="7721" spans="1:40" x14ac:dyDescent="0.25">
      <c r="A7721" t="str">
        <f>"20190312172301290"</f>
        <v>20190312172301290</v>
      </c>
      <c r="B7721" t="str">
        <f>"1552382581277626"</f>
        <v>1552382581277626</v>
      </c>
      <c r="C7721" t="s">
        <v>40</v>
      </c>
      <c r="D7721">
        <v>3.1686920000000001</v>
      </c>
      <c r="E7721">
        <v>0.46956769999999998</v>
      </c>
      <c r="F7721" t="s">
        <v>64</v>
      </c>
      <c r="G7721">
        <v>-201.6763</v>
      </c>
      <c r="H7721" s="1">
        <v>-4.8719529999999999E-6</v>
      </c>
      <c r="I7721">
        <v>-60.786430000000003</v>
      </c>
      <c r="J7721">
        <v>-224.44460000000001</v>
      </c>
      <c r="K7721">
        <v>1.111059</v>
      </c>
      <c r="L7721">
        <v>-63.864229999999999</v>
      </c>
      <c r="M7721">
        <v>0.99995100000000003</v>
      </c>
      <c r="N7721">
        <v>0</v>
      </c>
      <c r="O7721">
        <v>-6.4567139999999997E-3</v>
      </c>
      <c r="P7721">
        <v>0.9738057</v>
      </c>
      <c r="Q7721">
        <v>0.19211339999999999</v>
      </c>
      <c r="R7721">
        <v>0.12163549999999999</v>
      </c>
      <c r="S7721">
        <v>3.058243</v>
      </c>
      <c r="T7721">
        <v>-0.14803659999999999</v>
      </c>
      <c r="U7721">
        <v>0.41000370000000003</v>
      </c>
      <c r="V7721">
        <v>-0.12870989999999999</v>
      </c>
      <c r="W7721">
        <v>0.19890550000000001</v>
      </c>
      <c r="X7721">
        <v>0.97152989999999995</v>
      </c>
      <c r="Y7721">
        <v>-0.1391057</v>
      </c>
      <c r="Z7721">
        <v>3.6608420000000001E-3</v>
      </c>
      <c r="AA7721">
        <v>0.99027080000000001</v>
      </c>
      <c r="AB7721">
        <v>36</v>
      </c>
      <c r="AC7721">
        <v>22.7683</v>
      </c>
      <c r="AD7721">
        <v>-1.1110638719529999</v>
      </c>
      <c r="AE7721">
        <v>3.0777999999999999</v>
      </c>
      <c r="AF7721">
        <v>-3.2172246399287698</v>
      </c>
      <c r="AG7721">
        <v>-1.1110638719529999</v>
      </c>
      <c r="AH7721">
        <v>22.694878524460002</v>
      </c>
      <c r="AI7721">
        <v>92.775067269798498</v>
      </c>
      <c r="AJ7721">
        <v>98.068485176290295</v>
      </c>
      <c r="AK7721">
        <v>22.948692959541699</v>
      </c>
      <c r="AL7721">
        <v>78.527036946744104</v>
      </c>
      <c r="AM7721">
        <v>97.546693450701994</v>
      </c>
      <c r="AN7721">
        <v>0.99999999144113405</v>
      </c>
    </row>
    <row r="7722" spans="1:40" x14ac:dyDescent="0.25">
      <c r="A7722" t="str">
        <f>"20190312172301303"</f>
        <v>20190312172301303</v>
      </c>
      <c r="B7722" t="str">
        <f>"1552382581298122"</f>
        <v>1552382581298122</v>
      </c>
      <c r="C7722" t="s">
        <v>40</v>
      </c>
      <c r="D7722">
        <v>3.0450370000000002</v>
      </c>
      <c r="E7722">
        <v>0.45523829999999998</v>
      </c>
      <c r="F7722" t="s">
        <v>64</v>
      </c>
      <c r="G7722">
        <v>-202.83449999999999</v>
      </c>
      <c r="H7722" s="1">
        <v>-4.4606799999999998E-6</v>
      </c>
      <c r="I7722">
        <v>-59.471640000000001</v>
      </c>
      <c r="J7722">
        <v>-224.22370000000001</v>
      </c>
      <c r="K7722">
        <v>1.1110679999999999</v>
      </c>
      <c r="L7722">
        <v>-63.864840000000001</v>
      </c>
      <c r="M7722">
        <v>0.99995690000000004</v>
      </c>
      <c r="N7722">
        <v>0</v>
      </c>
      <c r="O7722">
        <v>-5.4222719999999997E-3</v>
      </c>
      <c r="P7722">
        <v>0.97307379999999999</v>
      </c>
      <c r="Q7722">
        <v>0.1930386</v>
      </c>
      <c r="R7722">
        <v>0.12595039999999999</v>
      </c>
      <c r="S7722">
        <v>3.034424</v>
      </c>
      <c r="T7722">
        <v>-0.15601180000000001</v>
      </c>
      <c r="U7722">
        <v>0.61679079999999997</v>
      </c>
      <c r="V7722">
        <v>-0.1320202</v>
      </c>
      <c r="W7722">
        <v>0.199847</v>
      </c>
      <c r="X7722">
        <v>0.97089230000000004</v>
      </c>
      <c r="Y7722">
        <v>-0.2042361</v>
      </c>
      <c r="Z7722">
        <v>5.4696559999999998E-3</v>
      </c>
      <c r="AA7722">
        <v>0.97890639999999995</v>
      </c>
      <c r="AB7722">
        <v>36</v>
      </c>
      <c r="AC7722">
        <v>21.389199999999999</v>
      </c>
      <c r="AD7722">
        <v>-1.11107246068</v>
      </c>
      <c r="AE7722">
        <v>4.3932000000000002</v>
      </c>
      <c r="AF7722">
        <v>-4.4974723233252298</v>
      </c>
      <c r="AG7722">
        <v>-1.11107246068</v>
      </c>
      <c r="AH7722">
        <v>21.309890126056398</v>
      </c>
      <c r="AI7722">
        <v>92.920413966787294</v>
      </c>
      <c r="AJ7722">
        <v>101.91743799438299</v>
      </c>
      <c r="AK7722">
        <v>21.807639865344299</v>
      </c>
      <c r="AL7722">
        <v>78.471987931999195</v>
      </c>
      <c r="AM7722">
        <v>97.743484910801996</v>
      </c>
      <c r="AN7722">
        <v>1.0000000074081601</v>
      </c>
    </row>
    <row r="7723" spans="1:40" x14ac:dyDescent="0.25">
      <c r="A7723" t="str">
        <f>"20190312172301313"</f>
        <v>20190312172301313</v>
      </c>
      <c r="B7723" t="str">
        <f>"1552382581307883"</f>
        <v>1552382581307883</v>
      </c>
      <c r="C7723" t="s">
        <v>40</v>
      </c>
      <c r="D7723">
        <v>3.0477240000000001</v>
      </c>
      <c r="E7723">
        <v>0.4499512</v>
      </c>
      <c r="F7723" t="s">
        <v>64</v>
      </c>
      <c r="G7723">
        <v>-204.0538</v>
      </c>
      <c r="H7723" s="1">
        <v>-3.9667209999999996E-6</v>
      </c>
      <c r="I7723">
        <v>-58.897329999999997</v>
      </c>
      <c r="J7723">
        <v>-224.0393</v>
      </c>
      <c r="K7723">
        <v>1.111073</v>
      </c>
      <c r="L7723">
        <v>-63.865139999999997</v>
      </c>
      <c r="M7723">
        <v>0.99996110000000005</v>
      </c>
      <c r="N7723">
        <v>0</v>
      </c>
      <c r="O7723">
        <v>-4.5588829999999997E-3</v>
      </c>
      <c r="P7723">
        <v>0.97232470000000004</v>
      </c>
      <c r="Q7723">
        <v>0.19385930000000001</v>
      </c>
      <c r="R7723">
        <v>0.13039729999999999</v>
      </c>
      <c r="S7723">
        <v>3.0197449999999999</v>
      </c>
      <c r="T7723">
        <v>-0.16634470000000001</v>
      </c>
      <c r="U7723">
        <v>0.74371339999999997</v>
      </c>
      <c r="V7723">
        <v>-0.13562869999999999</v>
      </c>
      <c r="W7723">
        <v>0.2006744</v>
      </c>
      <c r="X7723">
        <v>0.97022399999999998</v>
      </c>
      <c r="Y7723">
        <v>-0.2432078</v>
      </c>
      <c r="Z7723">
        <v>6.8425339999999999E-3</v>
      </c>
      <c r="AA7723">
        <v>0.96995010000000004</v>
      </c>
      <c r="AB7723">
        <v>36</v>
      </c>
      <c r="AC7723">
        <v>19.985499999999998</v>
      </c>
      <c r="AD7723">
        <v>-1.1110769667210001</v>
      </c>
      <c r="AE7723">
        <v>4.9678100000000001</v>
      </c>
      <c r="AF7723">
        <v>-5.0441896180244603</v>
      </c>
      <c r="AG7723">
        <v>-1.1110769667210001</v>
      </c>
      <c r="AH7723">
        <v>19.904704270301</v>
      </c>
      <c r="AI7723">
        <v>93.097219593682198</v>
      </c>
      <c r="AJ7723">
        <v>104.22035580362601</v>
      </c>
      <c r="AK7723">
        <v>20.563939141533702</v>
      </c>
      <c r="AL7723">
        <v>78.423600948600296</v>
      </c>
      <c r="AM7723">
        <v>97.957872200382695</v>
      </c>
      <c r="AN7723">
        <v>0.99999998462752404</v>
      </c>
    </row>
    <row r="7724" spans="1:40" x14ac:dyDescent="0.25">
      <c r="A7724" t="str">
        <f>"20190312172301325"</f>
        <v>20190312172301325</v>
      </c>
      <c r="B7724" t="str">
        <f>"1552382581317643"</f>
        <v>1552382581317643</v>
      </c>
      <c r="C7724" t="s">
        <v>40</v>
      </c>
      <c r="D7724">
        <v>3.0639240000000001</v>
      </c>
      <c r="E7724">
        <v>0.4467062</v>
      </c>
      <c r="F7724" t="s">
        <v>64</v>
      </c>
      <c r="G7724">
        <v>-203.2663</v>
      </c>
      <c r="H7724" s="1">
        <v>-4.4893569999999996E-6</v>
      </c>
      <c r="I7724">
        <v>-58.350009999999997</v>
      </c>
      <c r="J7724">
        <v>-223.86439999999999</v>
      </c>
      <c r="K7724">
        <v>1.111083</v>
      </c>
      <c r="L7724">
        <v>-63.865259999999999</v>
      </c>
      <c r="M7724">
        <v>0.99996419999999997</v>
      </c>
      <c r="N7724">
        <v>0</v>
      </c>
      <c r="O7724">
        <v>-3.7398349999999999E-3</v>
      </c>
      <c r="P7724">
        <v>0.97163699999999997</v>
      </c>
      <c r="Q7724">
        <v>0.19419790000000001</v>
      </c>
      <c r="R7724">
        <v>0.1349398</v>
      </c>
      <c r="S7724">
        <v>3.0103149999999999</v>
      </c>
      <c r="T7724">
        <v>-0.1610116</v>
      </c>
      <c r="U7724">
        <v>0.79922490000000002</v>
      </c>
      <c r="V7724">
        <v>-0.1393752</v>
      </c>
      <c r="W7724">
        <v>0.20101720000000001</v>
      </c>
      <c r="X7724">
        <v>0.96962190000000004</v>
      </c>
      <c r="Y7724">
        <v>-0.2598665</v>
      </c>
      <c r="Z7724">
        <v>7.0232430000000002E-3</v>
      </c>
      <c r="AA7724">
        <v>0.96561900000000001</v>
      </c>
      <c r="AB7724">
        <v>36</v>
      </c>
      <c r="AC7724">
        <v>20.598099999999899</v>
      </c>
      <c r="AD7724">
        <v>-1.111087489357</v>
      </c>
      <c r="AE7724">
        <v>5.51525</v>
      </c>
      <c r="AF7724">
        <v>-5.5771052322392398</v>
      </c>
      <c r="AG7724">
        <v>-1.111087489357</v>
      </c>
      <c r="AH7724">
        <v>20.521612789465099</v>
      </c>
      <c r="AI7724">
        <v>92.990827475116504</v>
      </c>
      <c r="AJ7724">
        <v>105.203916735224</v>
      </c>
      <c r="AK7724">
        <v>21.2949573763652</v>
      </c>
      <c r="AL7724">
        <v>78.403551524857207</v>
      </c>
      <c r="AM7724">
        <v>98.179769729152994</v>
      </c>
      <c r="AN7724">
        <v>0.99999999501524495</v>
      </c>
    </row>
    <row r="7725" spans="1:40" x14ac:dyDescent="0.25">
      <c r="A7725" t="str">
        <f>"20190312172301334"</f>
        <v>20190312172301334</v>
      </c>
      <c r="B7725" t="str">
        <f>"1552382581328379"</f>
        <v>1552382581328379</v>
      </c>
      <c r="C7725" t="s">
        <v>40</v>
      </c>
      <c r="D7725">
        <v>3.0392960000000002</v>
      </c>
      <c r="E7725">
        <v>0.4444536</v>
      </c>
      <c r="F7725" t="s">
        <v>64</v>
      </c>
      <c r="G7725">
        <v>-202.58269999999999</v>
      </c>
      <c r="H7725" s="1">
        <v>-4.9330059999999998E-6</v>
      </c>
      <c r="I7725">
        <v>-57.920059999999999</v>
      </c>
      <c r="J7725">
        <v>-223.721</v>
      </c>
      <c r="K7725">
        <v>1.111089</v>
      </c>
      <c r="L7725">
        <v>-63.865259999999999</v>
      </c>
      <c r="M7725">
        <v>0.99996640000000003</v>
      </c>
      <c r="N7725">
        <v>0</v>
      </c>
      <c r="O7725">
        <v>-3.0688360000000001E-3</v>
      </c>
      <c r="P7725">
        <v>0.9709835</v>
      </c>
      <c r="Q7725">
        <v>0.19456200000000001</v>
      </c>
      <c r="R7725">
        <v>0.1390575</v>
      </c>
      <c r="S7725">
        <v>3.0024109999999999</v>
      </c>
      <c r="T7725">
        <v>-0.15675159999999999</v>
      </c>
      <c r="U7725">
        <v>0.83874509999999902</v>
      </c>
      <c r="V7725">
        <v>-0.14284259999999999</v>
      </c>
      <c r="W7725">
        <v>0.20138059999999999</v>
      </c>
      <c r="X7725">
        <v>0.96904170000000001</v>
      </c>
      <c r="Y7725">
        <v>-0.27166319999999999</v>
      </c>
      <c r="Z7725">
        <v>7.1110219999999998E-3</v>
      </c>
      <c r="AA7725">
        <v>0.9623661</v>
      </c>
      <c r="AB7725">
        <v>37</v>
      </c>
      <c r="AC7725">
        <v>21.138299999999902</v>
      </c>
      <c r="AD7725">
        <v>-1.1110939330059999</v>
      </c>
      <c r="AE7725">
        <v>5.9451999999999998</v>
      </c>
      <c r="AF7725">
        <v>-5.9946953629714104</v>
      </c>
      <c r="AG7725">
        <v>-1.1110939330059999</v>
      </c>
      <c r="AH7725">
        <v>21.0660188022953</v>
      </c>
      <c r="AI7725">
        <v>92.904091498497394</v>
      </c>
      <c r="AJ7725">
        <v>105.884607976818</v>
      </c>
      <c r="AK7725">
        <v>21.9305278185786</v>
      </c>
      <c r="AL7725">
        <v>78.382295449152394</v>
      </c>
      <c r="AM7725">
        <v>98.3853580850528</v>
      </c>
      <c r="AN7725">
        <v>0.99999998538500501</v>
      </c>
    </row>
    <row r="7726" spans="1:40" x14ac:dyDescent="0.25">
      <c r="A7726" t="str">
        <f>"20190312172301345"</f>
        <v>20190312172301345</v>
      </c>
      <c r="B7726" t="str">
        <f>"1552382581338139"</f>
        <v>1552382581338139</v>
      </c>
      <c r="C7726" t="s">
        <v>40</v>
      </c>
      <c r="D7726">
        <v>3.045814</v>
      </c>
      <c r="E7726">
        <v>0.44297379999999997</v>
      </c>
      <c r="F7726" t="s">
        <v>64</v>
      </c>
      <c r="G7726">
        <v>-202.24180000000001</v>
      </c>
      <c r="H7726" s="1">
        <v>-5.1705209999999998E-6</v>
      </c>
      <c r="I7726">
        <v>-57.632129999999997</v>
      </c>
      <c r="J7726">
        <v>-223.53200000000001</v>
      </c>
      <c r="K7726">
        <v>1.1110910000000001</v>
      </c>
      <c r="L7726">
        <v>-63.8651699999999</v>
      </c>
      <c r="M7726">
        <v>0.99996859999999999</v>
      </c>
      <c r="N7726">
        <v>0</v>
      </c>
      <c r="O7726">
        <v>-2.1842229999999999E-3</v>
      </c>
      <c r="P7726">
        <v>0.9702189</v>
      </c>
      <c r="Q7726">
        <v>0.19467380000000001</v>
      </c>
      <c r="R7726">
        <v>0.14414589999999999</v>
      </c>
      <c r="S7726">
        <v>2.9961850000000001</v>
      </c>
      <c r="T7726">
        <v>-0.15498960000000001</v>
      </c>
      <c r="U7726">
        <v>0.86947629999999998</v>
      </c>
      <c r="V7726">
        <v>-0.1470727</v>
      </c>
      <c r="W7726">
        <v>0.20149320000000001</v>
      </c>
      <c r="X7726">
        <v>0.9683853</v>
      </c>
      <c r="Y7726">
        <v>-0.28044520000000001</v>
      </c>
      <c r="Z7726">
        <v>7.213148E-3</v>
      </c>
      <c r="AA7726">
        <v>0.95984290000000005</v>
      </c>
      <c r="AB7726">
        <v>37</v>
      </c>
      <c r="AC7726">
        <v>21.290199999999999</v>
      </c>
      <c r="AD7726">
        <v>-1.1110961705210001</v>
      </c>
      <c r="AE7726">
        <v>6.2330399999999804</v>
      </c>
      <c r="AF7726">
        <v>-6.2638156937490299</v>
      </c>
      <c r="AG7726">
        <v>-1.1110961705210001</v>
      </c>
      <c r="AH7726">
        <v>21.223293973202999</v>
      </c>
      <c r="AI7726">
        <v>92.874489944667403</v>
      </c>
      <c r="AJ7726">
        <v>106.44337040644101</v>
      </c>
      <c r="AK7726">
        <v>22.156220995882801</v>
      </c>
      <c r="AL7726">
        <v>78.375708973014596</v>
      </c>
      <c r="AM7726">
        <v>98.635754936785204</v>
      </c>
      <c r="AN7726">
        <v>0.99999998899380904</v>
      </c>
    </row>
    <row r="7727" spans="1:40" x14ac:dyDescent="0.25">
      <c r="A7727" t="str">
        <f>"20190312172301355"</f>
        <v>20190312172301355</v>
      </c>
      <c r="B7727" t="str">
        <f>"1552382581347899"</f>
        <v>1552382581347899</v>
      </c>
      <c r="C7727" t="s">
        <v>40</v>
      </c>
      <c r="D7727">
        <v>3.018561</v>
      </c>
      <c r="E7727">
        <v>0.44184240000000002</v>
      </c>
      <c r="F7727" t="s">
        <v>64</v>
      </c>
      <c r="G7727">
        <v>-202.3295</v>
      </c>
      <c r="H7727" s="1">
        <v>-5.1540150000000003E-6</v>
      </c>
      <c r="I7727">
        <v>-57.505209999999998</v>
      </c>
      <c r="J7727">
        <v>-223.3544</v>
      </c>
      <c r="K7727">
        <v>1.111097</v>
      </c>
      <c r="L7727">
        <v>-63.864930000000001</v>
      </c>
      <c r="M7727">
        <v>0.99996980000000002</v>
      </c>
      <c r="N7727">
        <v>0</v>
      </c>
      <c r="O7727">
        <v>-1.353487E-3</v>
      </c>
      <c r="P7727">
        <v>0.96957969999999905</v>
      </c>
      <c r="Q7727">
        <v>0.194493</v>
      </c>
      <c r="R7727">
        <v>0.14862</v>
      </c>
      <c r="S7727">
        <v>2.9902799999999998</v>
      </c>
      <c r="T7727">
        <v>-0.156702799999999</v>
      </c>
      <c r="U7727">
        <v>0.89697269999999896</v>
      </c>
      <c r="V7727">
        <v>-0.15074089999999901</v>
      </c>
      <c r="W7727">
        <v>0.20131379999999999</v>
      </c>
      <c r="X7727">
        <v>0.96785840000000001</v>
      </c>
      <c r="Y7727">
        <v>-0.28824670000000002</v>
      </c>
      <c r="Z7727">
        <v>7.4546040000000001E-3</v>
      </c>
      <c r="AA7727">
        <v>0.95752720000000002</v>
      </c>
      <c r="AB7727">
        <v>37</v>
      </c>
      <c r="AC7727">
        <v>21.024899999999999</v>
      </c>
      <c r="AD7727">
        <v>-1.1111021540149999</v>
      </c>
      <c r="AE7727">
        <v>6.3597200000000003</v>
      </c>
      <c r="AF7727">
        <v>-6.3718683091898596</v>
      </c>
      <c r="AG7727">
        <v>-1.1111021540149999</v>
      </c>
      <c r="AH7727">
        <v>20.962635831181</v>
      </c>
      <c r="AI7727">
        <v>92.903148629376204</v>
      </c>
      <c r="AJ7727">
        <v>106.907337779838</v>
      </c>
      <c r="AK7727">
        <v>21.937806516081501</v>
      </c>
      <c r="AL7727">
        <v>78.386202693427094</v>
      </c>
      <c r="AM7727">
        <v>98.852515836343201</v>
      </c>
      <c r="AN7727">
        <v>0.99999997372690397</v>
      </c>
    </row>
    <row r="7728" spans="1:40" x14ac:dyDescent="0.25">
      <c r="A7728" t="str">
        <f>"20190312172301367"</f>
        <v>20190312172301367</v>
      </c>
      <c r="B7728" t="str">
        <f>"1552382581357659"</f>
        <v>1552382581357659</v>
      </c>
      <c r="C7728" t="s">
        <v>40</v>
      </c>
      <c r="D7728">
        <v>3.0321150000000001</v>
      </c>
      <c r="E7728">
        <v>0.44086989999999998</v>
      </c>
      <c r="F7728" t="s">
        <v>64</v>
      </c>
      <c r="G7728">
        <v>-202.572</v>
      </c>
      <c r="H7728" s="1">
        <v>-5.0405019999999999E-6</v>
      </c>
      <c r="I7728">
        <v>-57.459800000000001</v>
      </c>
      <c r="J7728">
        <v>-223.17359999999999</v>
      </c>
      <c r="K7728">
        <v>1.1110990000000001</v>
      </c>
      <c r="L7728">
        <v>-63.864469999999997</v>
      </c>
      <c r="M7728">
        <v>0.99997040000000004</v>
      </c>
      <c r="N7728">
        <v>0</v>
      </c>
      <c r="O7728">
        <v>-5.0784929999999999E-4</v>
      </c>
      <c r="P7728">
        <v>0.96885849999999996</v>
      </c>
      <c r="Q7728">
        <v>0.19455230000000001</v>
      </c>
      <c r="R7728">
        <v>0.15317520000000001</v>
      </c>
      <c r="S7728">
        <v>2.9851230000000002</v>
      </c>
      <c r="T7728">
        <v>-0.1595953</v>
      </c>
      <c r="U7728">
        <v>0.92001339999999998</v>
      </c>
      <c r="V7728">
        <v>-0.1544779</v>
      </c>
      <c r="W7728">
        <v>0.20137269999999999</v>
      </c>
      <c r="X7728">
        <v>0.96725669999999997</v>
      </c>
      <c r="Y7728">
        <v>-0.29462899999999997</v>
      </c>
      <c r="Z7728">
        <v>7.7187069999999896E-3</v>
      </c>
      <c r="AA7728">
        <v>0.95558050000000005</v>
      </c>
      <c r="AB7728">
        <v>37</v>
      </c>
      <c r="AC7728">
        <v>20.601599999999902</v>
      </c>
      <c r="AD7728">
        <v>-1.1111040405020001</v>
      </c>
      <c r="AE7728">
        <v>6.4046699999999896</v>
      </c>
      <c r="AF7728">
        <v>-6.3981614526491297</v>
      </c>
      <c r="AG7728">
        <v>-1.1111040405020001</v>
      </c>
      <c r="AH7728">
        <v>20.543853947116801</v>
      </c>
      <c r="AI7728">
        <v>92.956022056141194</v>
      </c>
      <c r="AJ7728">
        <v>107.29863601618</v>
      </c>
      <c r="AK7728">
        <v>21.5457874574927</v>
      </c>
      <c r="AL7728">
        <v>78.382757192190397</v>
      </c>
      <c r="AM7728">
        <v>99.073921075095399</v>
      </c>
      <c r="AN7728">
        <v>0.99999995479429304</v>
      </c>
    </row>
    <row r="7729" spans="1:40" x14ac:dyDescent="0.25">
      <c r="A7729" t="str">
        <f>"20190312172301378"</f>
        <v>20190312172301378</v>
      </c>
      <c r="B7729" t="str">
        <f>"1552382581368396"</f>
        <v>1552382581368396</v>
      </c>
      <c r="C7729" t="s">
        <v>40</v>
      </c>
      <c r="D7729">
        <v>3.0048680000000001</v>
      </c>
      <c r="E7729">
        <v>0.4399034</v>
      </c>
      <c r="F7729" t="s">
        <v>64</v>
      </c>
      <c r="G7729">
        <v>-202.5121</v>
      </c>
      <c r="H7729" s="1">
        <v>-5.0997679999999998E-6</v>
      </c>
      <c r="I7729">
        <v>-57.330179999999999</v>
      </c>
      <c r="J7729">
        <v>-222.9958</v>
      </c>
      <c r="K7729">
        <v>1.1111040000000001</v>
      </c>
      <c r="L7729">
        <v>-63.863919999999901</v>
      </c>
      <c r="M7729">
        <v>0.99997029999999998</v>
      </c>
      <c r="N7729">
        <v>0</v>
      </c>
      <c r="O7729">
        <v>3.236639E-4</v>
      </c>
      <c r="P7729">
        <v>0.96815189999999995</v>
      </c>
      <c r="Q7729">
        <v>0.19424939999999999</v>
      </c>
      <c r="R7729">
        <v>0.1579526</v>
      </c>
      <c r="S7729">
        <v>2.9796299999999998</v>
      </c>
      <c r="T7729">
        <v>-0.1602343</v>
      </c>
      <c r="U7729">
        <v>0.94232179999999999</v>
      </c>
      <c r="V7729">
        <v>-0.15845010000000001</v>
      </c>
      <c r="W7729">
        <v>0.2010681</v>
      </c>
      <c r="X7729">
        <v>0.96667740000000002</v>
      </c>
      <c r="Y7729">
        <v>-0.30083130000000002</v>
      </c>
      <c r="Z7729">
        <v>7.8738230000000003E-3</v>
      </c>
      <c r="AA7729">
        <v>0.95364490000000002</v>
      </c>
      <c r="AB7729">
        <v>37</v>
      </c>
      <c r="AC7729">
        <v>20.483699999999999</v>
      </c>
      <c r="AD7729">
        <v>-1.111109099768</v>
      </c>
      <c r="AE7729">
        <v>6.5337399999999803</v>
      </c>
      <c r="AF7729">
        <v>-6.5097244671920302</v>
      </c>
      <c r="AG7729">
        <v>-1.111109099768</v>
      </c>
      <c r="AH7729">
        <v>20.431249122646001</v>
      </c>
      <c r="AI7729">
        <v>92.966202116492298</v>
      </c>
      <c r="AJ7729">
        <v>107.672715252006</v>
      </c>
      <c r="AK7729">
        <v>21.472005420592801</v>
      </c>
      <c r="AL7729">
        <v>78.400574505388306</v>
      </c>
      <c r="AM7729">
        <v>99.308693142199601</v>
      </c>
      <c r="AN7729">
        <v>1.00000000534919</v>
      </c>
    </row>
    <row r="7730" spans="1:40" x14ac:dyDescent="0.25">
      <c r="A7730" t="str">
        <f>"20190312172301389"</f>
        <v>20190312172301389</v>
      </c>
      <c r="B7730" t="str">
        <f>"1552382581378156"</f>
        <v>1552382581378156</v>
      </c>
      <c r="C7730" t="s">
        <v>40</v>
      </c>
      <c r="D7730">
        <v>2.9784030000000001</v>
      </c>
      <c r="E7730">
        <v>0.43910070000000001</v>
      </c>
      <c r="F7730" t="s">
        <v>64</v>
      </c>
      <c r="G7730">
        <v>-202.56620000000001</v>
      </c>
      <c r="H7730" s="1">
        <v>-5.093898E-6</v>
      </c>
      <c r="I7730">
        <v>-57.232329999999997</v>
      </c>
      <c r="J7730">
        <v>-222.80340000000001</v>
      </c>
      <c r="K7730">
        <v>1.1111040000000001</v>
      </c>
      <c r="L7730">
        <v>-63.863100000000003</v>
      </c>
      <c r="M7730">
        <v>0.99996940000000001</v>
      </c>
      <c r="N7730">
        <v>0</v>
      </c>
      <c r="O7730">
        <v>1.2228880000000001E-3</v>
      </c>
      <c r="P7730">
        <v>0.96738009999999997</v>
      </c>
      <c r="Q7730">
        <v>0.19433839999999999</v>
      </c>
      <c r="R7730">
        <v>0.16250619999999999</v>
      </c>
      <c r="S7730">
        <v>2.9736630000000002</v>
      </c>
      <c r="T7730">
        <v>-0.16172919999999999</v>
      </c>
      <c r="U7730">
        <v>0.96527099999999999</v>
      </c>
      <c r="V7730">
        <v>-0.16213629999999901</v>
      </c>
      <c r="W7730">
        <v>0.20115549999999999</v>
      </c>
      <c r="X7730">
        <v>0.96604780000000001</v>
      </c>
      <c r="Y7730">
        <v>-0.30717529999999998</v>
      </c>
      <c r="Z7730">
        <v>8.0736650000000007E-3</v>
      </c>
      <c r="AA7730">
        <v>0.95161870000000004</v>
      </c>
      <c r="AB7730">
        <v>37</v>
      </c>
      <c r="AC7730">
        <v>20.237200000000001</v>
      </c>
      <c r="AD7730">
        <v>-1.1111090938979999</v>
      </c>
      <c r="AE7730">
        <v>6.6307699999999903</v>
      </c>
      <c r="AF7730">
        <v>-6.58808218220606</v>
      </c>
      <c r="AG7730">
        <v>-1.1111090938979999</v>
      </c>
      <c r="AH7730">
        <v>20.1903310223326</v>
      </c>
      <c r="AI7730">
        <v>92.994815856334796</v>
      </c>
      <c r="AJ7730">
        <v>108.07144598223</v>
      </c>
      <c r="AK7730">
        <v>21.2670368657556</v>
      </c>
      <c r="AL7730">
        <v>78.395462735657205</v>
      </c>
      <c r="AM7730">
        <v>99.527422026194799</v>
      </c>
      <c r="AN7730">
        <v>1.0000000334213801</v>
      </c>
    </row>
    <row r="7731" spans="1:40" x14ac:dyDescent="0.25">
      <c r="A7731" t="str">
        <f>"20190312172301400"</f>
        <v>20190312172301400</v>
      </c>
      <c r="B7731" t="str">
        <f>"1552382581397675"</f>
        <v>1552382581397675</v>
      </c>
      <c r="C7731" t="s">
        <v>40</v>
      </c>
      <c r="D7731">
        <v>2.989827</v>
      </c>
      <c r="E7731">
        <v>0.4380675</v>
      </c>
      <c r="F7731" t="s">
        <v>64</v>
      </c>
      <c r="G7731">
        <v>-202.4119</v>
      </c>
      <c r="H7731" s="1">
        <v>-5.2044149999999999E-6</v>
      </c>
      <c r="I7731">
        <v>-57.088529999999999</v>
      </c>
      <c r="J7731">
        <v>-222.631</v>
      </c>
      <c r="K7731">
        <v>1.111108</v>
      </c>
      <c r="L7731">
        <v>-63.862340000000003</v>
      </c>
      <c r="M7731">
        <v>0.99996810000000003</v>
      </c>
      <c r="N7731">
        <v>0</v>
      </c>
      <c r="O7731">
        <v>2.028537E-3</v>
      </c>
      <c r="P7731">
        <v>0.96660639999999998</v>
      </c>
      <c r="Q7731">
        <v>0.19443450000000001</v>
      </c>
      <c r="R7731">
        <v>0.16693520000000001</v>
      </c>
      <c r="S7731">
        <v>2.9680330000000001</v>
      </c>
      <c r="T7731">
        <v>-0.16172449999999999</v>
      </c>
      <c r="U7731">
        <v>0.98605350000000003</v>
      </c>
      <c r="V7731">
        <v>-0.16578899999999999</v>
      </c>
      <c r="W7731">
        <v>0.20124700000000001</v>
      </c>
      <c r="X7731">
        <v>0.96540859999999995</v>
      </c>
      <c r="Y7731">
        <v>-0.31293949999999998</v>
      </c>
      <c r="Z7731">
        <v>8.1894959999999992E-3</v>
      </c>
      <c r="AA7731">
        <v>0.94973770000000002</v>
      </c>
      <c r="AB7731">
        <v>37</v>
      </c>
      <c r="AC7731">
        <v>20.219099999999901</v>
      </c>
      <c r="AD7731">
        <v>-1.1111132044149901</v>
      </c>
      <c r="AE7731">
        <v>6.7738099999999903</v>
      </c>
      <c r="AF7731">
        <v>-6.7145485898605504</v>
      </c>
      <c r="AG7731">
        <v>-1.1111132044149901</v>
      </c>
      <c r="AH7731">
        <v>20.178013250770899</v>
      </c>
      <c r="AI7731">
        <v>92.990907503861195</v>
      </c>
      <c r="AJ7731">
        <v>108.405667740571</v>
      </c>
      <c r="AK7731">
        <v>21.2948809357298</v>
      </c>
      <c r="AL7731">
        <v>78.390110991586099</v>
      </c>
      <c r="AM7731">
        <v>99.744319562297306</v>
      </c>
      <c r="AN7731">
        <v>1.00000005624197</v>
      </c>
    </row>
    <row r="7732" spans="1:40" x14ac:dyDescent="0.25">
      <c r="A7732" t="str">
        <f>"20190312172301413"</f>
        <v>20190312172301413</v>
      </c>
      <c r="B7732" t="str">
        <f>"1552382581408411"</f>
        <v>1552382581408411</v>
      </c>
      <c r="C7732" t="s">
        <v>40</v>
      </c>
      <c r="D7732">
        <v>2.966037</v>
      </c>
      <c r="E7732">
        <v>0.43788840000000001</v>
      </c>
      <c r="F7732" t="s">
        <v>64</v>
      </c>
      <c r="G7732">
        <v>-202.38140000000001</v>
      </c>
      <c r="H7732" s="1">
        <v>-5.2464890000000004E-6</v>
      </c>
      <c r="I7732">
        <v>-56.968730000000001</v>
      </c>
      <c r="J7732">
        <v>-222.42420000000001</v>
      </c>
      <c r="K7732">
        <v>1.1111139999999999</v>
      </c>
      <c r="L7732">
        <v>-63.861080000000001</v>
      </c>
      <c r="M7732">
        <v>0.99996549999999995</v>
      </c>
      <c r="N7732">
        <v>0</v>
      </c>
      <c r="O7732">
        <v>2.9946389999999999E-3</v>
      </c>
      <c r="P7732">
        <v>0.9657521</v>
      </c>
      <c r="Q7732">
        <v>0.19477369999999999</v>
      </c>
      <c r="R7732">
        <v>0.1714243</v>
      </c>
      <c r="S7732">
        <v>2.962189</v>
      </c>
      <c r="T7732">
        <v>-0.16253790000000001</v>
      </c>
      <c r="U7732">
        <v>1.0084229999999901</v>
      </c>
      <c r="V7732">
        <v>-0.16934949999999999</v>
      </c>
      <c r="W7732">
        <v>0.20158419999999999</v>
      </c>
      <c r="X7732">
        <v>0.96472000000000002</v>
      </c>
      <c r="Y7732">
        <v>-0.31900679999999998</v>
      </c>
      <c r="Z7732">
        <v>8.3466449999999998E-3</v>
      </c>
      <c r="AA7732">
        <v>0.94771570000000005</v>
      </c>
      <c r="AB7732">
        <v>37</v>
      </c>
      <c r="AC7732">
        <v>20.0428</v>
      </c>
      <c r="AD7732">
        <v>-1.1111192464889901</v>
      </c>
      <c r="AE7732">
        <v>6.8923499999999898</v>
      </c>
      <c r="AF7732">
        <v>-6.8135706160107601</v>
      </c>
      <c r="AG7732">
        <v>-1.1111192464889901</v>
      </c>
      <c r="AH7732">
        <v>20.0083618950408</v>
      </c>
      <c r="AI7732">
        <v>93.009171486971795</v>
      </c>
      <c r="AJ7732">
        <v>108.805564922277</v>
      </c>
      <c r="AK7732">
        <v>21.165865827841799</v>
      </c>
      <c r="AL7732">
        <v>78.370386673658103</v>
      </c>
      <c r="AM7732">
        <v>99.956410088453495</v>
      </c>
      <c r="AN7732">
        <v>1.00000006061994</v>
      </c>
    </row>
    <row r="7733" spans="1:40" x14ac:dyDescent="0.25">
      <c r="A7733" t="str">
        <f>"20190312172301424"</f>
        <v>20190312172301424</v>
      </c>
      <c r="B7733" t="str">
        <f>"1552382581418171"</f>
        <v>1552382581418171</v>
      </c>
      <c r="C7733" t="s">
        <v>40</v>
      </c>
      <c r="D7733">
        <v>3.0038749999999999</v>
      </c>
      <c r="E7733">
        <v>0.43775500000000001</v>
      </c>
      <c r="F7733" t="s">
        <v>64</v>
      </c>
      <c r="G7733">
        <v>-202.23349999999999</v>
      </c>
      <c r="H7733" s="1">
        <v>-5.3438119999999999E-6</v>
      </c>
      <c r="I7733">
        <v>-56.869770000000003</v>
      </c>
      <c r="J7733">
        <v>-222.2517</v>
      </c>
      <c r="K7733">
        <v>1.11112099999999</v>
      </c>
      <c r="L7733">
        <v>-63.859949999999998</v>
      </c>
      <c r="M7733">
        <v>0.99996260000000003</v>
      </c>
      <c r="N7733">
        <v>0</v>
      </c>
      <c r="O7733">
        <v>3.8009469999999998E-3</v>
      </c>
      <c r="P7733">
        <v>0.96496930000000003</v>
      </c>
      <c r="Q7733">
        <v>0.1947334</v>
      </c>
      <c r="R7733">
        <v>0.17582210000000001</v>
      </c>
      <c r="S7733">
        <v>2.9574280000000002</v>
      </c>
      <c r="T7733">
        <v>-0.1627506</v>
      </c>
      <c r="U7733">
        <v>1.0240479999999901</v>
      </c>
      <c r="V7733">
        <v>-0.1729726</v>
      </c>
      <c r="W7733">
        <v>0.20153799999999999</v>
      </c>
      <c r="X7733">
        <v>0.96408660000000002</v>
      </c>
      <c r="Y7733">
        <v>-0.32317709999999999</v>
      </c>
      <c r="Z7733">
        <v>8.43164699999999E-3</v>
      </c>
      <c r="AA7733">
        <v>0.9463009</v>
      </c>
      <c r="AB7733">
        <v>37</v>
      </c>
      <c r="AC7733">
        <v>20.0182</v>
      </c>
      <c r="AD7733">
        <v>-1.11112634381199</v>
      </c>
      <c r="AE7733">
        <v>6.9901799999999996</v>
      </c>
      <c r="AF7733">
        <v>-6.89510474796566</v>
      </c>
      <c r="AG7733">
        <v>-1.11112634381199</v>
      </c>
      <c r="AH7733">
        <v>19.9897325751542</v>
      </c>
      <c r="AI7733">
        <v>93.007938960314505</v>
      </c>
      <c r="AJ7733">
        <v>109.03096874508699</v>
      </c>
      <c r="AK7733">
        <v>21.174665987059001</v>
      </c>
      <c r="AL7733">
        <v>78.373088833203198</v>
      </c>
      <c r="AM7733">
        <v>100.17156201496</v>
      </c>
      <c r="AN7733">
        <v>1.00000002904715</v>
      </c>
    </row>
    <row r="7734" spans="1:40" x14ac:dyDescent="0.25">
      <c r="A7734" t="str">
        <f>"20190312172301434"</f>
        <v>20190312172301434</v>
      </c>
      <c r="B7734" t="str">
        <f>"1552382581427931"</f>
        <v>1552382581427931</v>
      </c>
      <c r="C7734" t="s">
        <v>40</v>
      </c>
      <c r="D7734">
        <v>3.0047670000000002</v>
      </c>
      <c r="E7734">
        <v>0.43769659999999999</v>
      </c>
      <c r="F7734" t="s">
        <v>64</v>
      </c>
      <c r="G7734">
        <v>-202.2638</v>
      </c>
      <c r="H7734" s="1">
        <v>-5.3370190000000002E-6</v>
      </c>
      <c r="I7734">
        <v>-56.830779999999997</v>
      </c>
      <c r="J7734">
        <v>-222.06700000000001</v>
      </c>
      <c r="K7734">
        <v>1.111127</v>
      </c>
      <c r="L7734">
        <v>-63.858550000000001</v>
      </c>
      <c r="M7734">
        <v>0.99995880000000004</v>
      </c>
      <c r="N7734">
        <v>0</v>
      </c>
      <c r="O7734">
        <v>4.6646550000000002E-3</v>
      </c>
      <c r="P7734">
        <v>0.96411659999999999</v>
      </c>
      <c r="Q7734">
        <v>0.19509660000000001</v>
      </c>
      <c r="R7734">
        <v>0.18004629999999999</v>
      </c>
      <c r="S7734">
        <v>2.95282</v>
      </c>
      <c r="T7734">
        <v>-0.16414709999999999</v>
      </c>
      <c r="U7734">
        <v>1.038422</v>
      </c>
      <c r="V7734">
        <v>-0.1763702</v>
      </c>
      <c r="W7734">
        <v>0.2018962</v>
      </c>
      <c r="X7734">
        <v>0.96339580000000002</v>
      </c>
      <c r="Y7734">
        <v>-0.32690770000000002</v>
      </c>
      <c r="Z7734">
        <v>8.5638309999999992E-3</v>
      </c>
      <c r="AA7734">
        <v>0.94501749999999995</v>
      </c>
      <c r="AB7734">
        <v>37</v>
      </c>
      <c r="AC7734">
        <v>19.8032</v>
      </c>
      <c r="AD7734">
        <v>-1.111132337019</v>
      </c>
      <c r="AE7734">
        <v>7.0277699999999896</v>
      </c>
      <c r="AF7734">
        <v>-6.9159781931449196</v>
      </c>
      <c r="AG7734">
        <v>-1.111132337019</v>
      </c>
      <c r="AH7734">
        <v>19.780460423867702</v>
      </c>
      <c r="AI7734">
        <v>93.035298869198897</v>
      </c>
      <c r="AJ7734">
        <v>109.271508674712</v>
      </c>
      <c r="AK7734">
        <v>20.9840888298401</v>
      </c>
      <c r="AL7734">
        <v>78.352134350426695</v>
      </c>
      <c r="AM7734">
        <v>100.37433646057799</v>
      </c>
      <c r="AN7734">
        <v>0.99999999524006</v>
      </c>
    </row>
    <row r="7735" spans="1:40" x14ac:dyDescent="0.25">
      <c r="A7735" t="str">
        <f>"20190312172301445"</f>
        <v>20190312172301445</v>
      </c>
      <c r="B7735" t="str">
        <f>"1552382581437691"</f>
        <v>1552382581437691</v>
      </c>
      <c r="C7735" t="s">
        <v>40</v>
      </c>
      <c r="D7735">
        <v>3.0432929999999998</v>
      </c>
      <c r="E7735">
        <v>0.43782840000000001</v>
      </c>
      <c r="F7735" t="s">
        <v>64</v>
      </c>
      <c r="G7735">
        <v>-202.1634</v>
      </c>
      <c r="H7735" s="1">
        <v>-5.4038900000000002E-6</v>
      </c>
      <c r="I7735">
        <v>-56.759929999999997</v>
      </c>
      <c r="J7735">
        <v>-221.88849999999999</v>
      </c>
      <c r="K7735">
        <v>1.1111359999999999</v>
      </c>
      <c r="L7735">
        <v>-63.857059999999997</v>
      </c>
      <c r="M7735">
        <v>0.99995449999999997</v>
      </c>
      <c r="N7735">
        <v>0</v>
      </c>
      <c r="O7735">
        <v>5.5030410000000002E-3</v>
      </c>
      <c r="P7735">
        <v>0.96338080000000004</v>
      </c>
      <c r="Q7735">
        <v>0.194967</v>
      </c>
      <c r="R7735">
        <v>0.1840802</v>
      </c>
      <c r="S7735">
        <v>2.9485779999999999</v>
      </c>
      <c r="T7735">
        <v>-0.1646058</v>
      </c>
      <c r="U7735">
        <v>1.0516049999999999</v>
      </c>
      <c r="V7735">
        <v>-0.17960110000000001</v>
      </c>
      <c r="W7735">
        <v>0.20176079999999999</v>
      </c>
      <c r="X7735">
        <v>0.96282710000000005</v>
      </c>
      <c r="Y7735">
        <v>-0.33028639999999998</v>
      </c>
      <c r="Z7735">
        <v>8.6392159999999999E-3</v>
      </c>
      <c r="AA7735">
        <v>0.94384129999999999</v>
      </c>
      <c r="AB7735">
        <v>37</v>
      </c>
      <c r="AC7735">
        <v>19.725100000000001</v>
      </c>
      <c r="AD7735">
        <v>-1.11114140389</v>
      </c>
      <c r="AE7735">
        <v>7.0971299999999902</v>
      </c>
      <c r="AF7735">
        <v>-6.9688920388215996</v>
      </c>
      <c r="AG7735">
        <v>-1.11114140389</v>
      </c>
      <c r="AH7735">
        <v>19.708487127851001</v>
      </c>
      <c r="AI7735">
        <v>93.042620214588695</v>
      </c>
      <c r="AJ7735">
        <v>109.473519434504</v>
      </c>
      <c r="AK7735">
        <v>20.933813707417499</v>
      </c>
      <c r="AL7735">
        <v>78.360055259583504</v>
      </c>
      <c r="AM7735">
        <v>100.56624176259</v>
      </c>
      <c r="AN7735">
        <v>1.00000000001613</v>
      </c>
    </row>
    <row r="7736" spans="1:40" x14ac:dyDescent="0.25">
      <c r="A7736" t="str">
        <f>"20190312172301456"</f>
        <v>20190312172301456</v>
      </c>
      <c r="B7736" t="str">
        <f>"1552382581448429"</f>
        <v>1552382581448429</v>
      </c>
      <c r="C7736" t="s">
        <v>40</v>
      </c>
      <c r="D7736">
        <v>3.052222</v>
      </c>
      <c r="E7736">
        <v>0.4379535</v>
      </c>
      <c r="F7736" t="s">
        <v>64</v>
      </c>
      <c r="G7736">
        <v>-202.27619999999999</v>
      </c>
      <c r="H7736" s="1">
        <v>-5.3418449999999898E-6</v>
      </c>
      <c r="I7736">
        <v>-56.780360000000002</v>
      </c>
      <c r="J7736">
        <v>-221.7056</v>
      </c>
      <c r="K7736">
        <v>1.111145</v>
      </c>
      <c r="L7736">
        <v>-63.855379999999997</v>
      </c>
      <c r="M7736">
        <v>0.99994910000000004</v>
      </c>
      <c r="N7736">
        <v>0</v>
      </c>
      <c r="O7736">
        <v>6.3653340000000003E-3</v>
      </c>
      <c r="P7736">
        <v>0.96255710000000005</v>
      </c>
      <c r="Q7736">
        <v>0.1951291</v>
      </c>
      <c r="R7736">
        <v>0.18817120000000001</v>
      </c>
      <c r="S7736">
        <v>2.944763</v>
      </c>
      <c r="T7736">
        <v>-0.16683719999999999</v>
      </c>
      <c r="U7736">
        <v>1.0625610000000001</v>
      </c>
      <c r="V7736">
        <v>-0.18286930000000001</v>
      </c>
      <c r="W7736">
        <v>0.20191580000000001</v>
      </c>
      <c r="X7736">
        <v>0.96217920000000001</v>
      </c>
      <c r="Y7736">
        <v>-0.33295350000000001</v>
      </c>
      <c r="Z7736">
        <v>8.7873889999999996E-3</v>
      </c>
      <c r="AA7736">
        <v>0.94290229999999997</v>
      </c>
      <c r="AB7736">
        <v>37</v>
      </c>
      <c r="AC7736">
        <v>19.429400000000001</v>
      </c>
      <c r="AD7736">
        <v>-1.1111503418449999</v>
      </c>
      <c r="AE7736">
        <v>7.0750200000000003</v>
      </c>
      <c r="AF7736">
        <v>-6.9311831149070997</v>
      </c>
      <c r="AG7736">
        <v>-1.1111503418449999</v>
      </c>
      <c r="AH7736">
        <v>19.417969453753599</v>
      </c>
      <c r="AI7736">
        <v>93.084825286082904</v>
      </c>
      <c r="AJ7736">
        <v>109.643863685375</v>
      </c>
      <c r="AK7736">
        <v>20.647844734050601</v>
      </c>
      <c r="AL7736">
        <v>78.350987700790199</v>
      </c>
      <c r="AM7736">
        <v>100.761142561385</v>
      </c>
      <c r="AN7736">
        <v>0.99999999204238499</v>
      </c>
    </row>
    <row r="7737" spans="1:40" x14ac:dyDescent="0.25">
      <c r="A7737" t="str">
        <f>"20190312172301468"</f>
        <v>20190312172301468</v>
      </c>
      <c r="B7737" t="str">
        <f>"1552382581458187"</f>
        <v>1552382581458187</v>
      </c>
      <c r="C7737" t="s">
        <v>40</v>
      </c>
      <c r="D7737">
        <v>3.0646070000000001</v>
      </c>
      <c r="E7737">
        <v>0.4381525</v>
      </c>
      <c r="F7737" t="s">
        <v>64</v>
      </c>
      <c r="G7737">
        <v>-202.11859999999999</v>
      </c>
      <c r="H7737" s="1">
        <v>-5.4394449999999997E-6</v>
      </c>
      <c r="I7737">
        <v>-56.7025199999999</v>
      </c>
      <c r="J7737">
        <v>-221.5111</v>
      </c>
      <c r="K7737">
        <v>1.1111599999999999</v>
      </c>
      <c r="L7737">
        <v>-63.853389999999997</v>
      </c>
      <c r="M7737">
        <v>0.99994280000000002</v>
      </c>
      <c r="N7737">
        <v>0</v>
      </c>
      <c r="O7737">
        <v>7.29261699999999E-3</v>
      </c>
      <c r="P7737">
        <v>0.96178149999999996</v>
      </c>
      <c r="Q7737">
        <v>0.19495180000000001</v>
      </c>
      <c r="R7737">
        <v>0.19227710000000001</v>
      </c>
      <c r="S7737">
        <v>2.940582</v>
      </c>
      <c r="T7737">
        <v>-0.16681609999999999</v>
      </c>
      <c r="U7737">
        <v>1.0738529999999999</v>
      </c>
      <c r="V7737">
        <v>-0.1860918</v>
      </c>
      <c r="W7737">
        <v>0.2017304</v>
      </c>
      <c r="X7737">
        <v>0.96160009999999996</v>
      </c>
      <c r="Y7737">
        <v>-0.33570129999999998</v>
      </c>
      <c r="Z7737">
        <v>8.8169900000000002E-3</v>
      </c>
      <c r="AA7737">
        <v>0.94192730000000002</v>
      </c>
      <c r="AB7737">
        <v>37</v>
      </c>
      <c r="AC7737">
        <v>19.392499999999998</v>
      </c>
      <c r="AD7737">
        <v>-1.1111654394449999</v>
      </c>
      <c r="AE7737">
        <v>7.1508700000000101</v>
      </c>
      <c r="AF7737">
        <v>-6.9890539361809099</v>
      </c>
      <c r="AG7737">
        <v>-1.1111654394449999</v>
      </c>
      <c r="AH7737">
        <v>19.388099702156499</v>
      </c>
      <c r="AI7737">
        <v>93.086148272215596</v>
      </c>
      <c r="AJ7737">
        <v>109.82330232954899</v>
      </c>
      <c r="AK7737">
        <v>20.639282294145399</v>
      </c>
      <c r="AL7737">
        <v>78.361833999125594</v>
      </c>
      <c r="AM7737">
        <v>100.952664252427</v>
      </c>
      <c r="AN7737">
        <v>1.0000000323156999</v>
      </c>
    </row>
    <row r="7738" spans="1:40" x14ac:dyDescent="0.25">
      <c r="A7738" t="str">
        <f>"20190312172301478"</f>
        <v>20190312172301478</v>
      </c>
      <c r="B7738" t="str">
        <f>"1552382581467947"</f>
        <v>1552382581467947</v>
      </c>
      <c r="C7738" t="s">
        <v>40</v>
      </c>
      <c r="D7738">
        <v>2.9929429999999999</v>
      </c>
      <c r="E7738">
        <v>0.43827949999999999</v>
      </c>
      <c r="F7738" t="s">
        <v>64</v>
      </c>
      <c r="G7738">
        <v>-202.12540000000001</v>
      </c>
      <c r="H7738" s="1">
        <v>-5.4378249999999999E-6</v>
      </c>
      <c r="I7738">
        <v>-56.69408</v>
      </c>
      <c r="J7738">
        <v>-221.33099999999999</v>
      </c>
      <c r="K7738">
        <v>1.1111719999999901</v>
      </c>
      <c r="L7738">
        <v>-63.8514699999999</v>
      </c>
      <c r="M7738">
        <v>0.99993609999999999</v>
      </c>
      <c r="N7738">
        <v>0</v>
      </c>
      <c r="O7738">
        <v>8.1557720000000004E-3</v>
      </c>
      <c r="P7738">
        <v>0.96082440000000002</v>
      </c>
      <c r="Q7738">
        <v>0.1957528</v>
      </c>
      <c r="R7738">
        <v>0.1962083</v>
      </c>
      <c r="S7738">
        <v>2.936493</v>
      </c>
      <c r="T7738">
        <v>-0.1683162</v>
      </c>
      <c r="U7738">
        <v>1.084473</v>
      </c>
      <c r="V7738">
        <v>-0.1892084</v>
      </c>
      <c r="W7738">
        <v>0.2025197</v>
      </c>
      <c r="X7738">
        <v>0.9608257</v>
      </c>
      <c r="Y7738">
        <v>-0.33829949999999998</v>
      </c>
      <c r="Z7738">
        <v>8.9266199999999997E-3</v>
      </c>
      <c r="AA7738">
        <v>0.94099619999999995</v>
      </c>
      <c r="AB7738">
        <v>37</v>
      </c>
      <c r="AC7738">
        <v>19.205599999999901</v>
      </c>
      <c r="AD7738">
        <v>-1.1111774378249999</v>
      </c>
      <c r="AE7738">
        <v>7.1573899999999799</v>
      </c>
      <c r="AF7738">
        <v>-6.9799949361790903</v>
      </c>
      <c r="AG7738">
        <v>-1.1111774378249999</v>
      </c>
      <c r="AH7738">
        <v>19.206883865904</v>
      </c>
      <c r="AI7738">
        <v>93.112328983833294</v>
      </c>
      <c r="AJ7738">
        <v>109.971706764831</v>
      </c>
      <c r="AK7738">
        <v>20.466055615231301</v>
      </c>
      <c r="AL7738">
        <v>78.315657392777894</v>
      </c>
      <c r="AM7738">
        <v>101.14029818784999</v>
      </c>
      <c r="AN7738">
        <v>1.0000000366495601</v>
      </c>
    </row>
    <row r="7739" spans="1:40" x14ac:dyDescent="0.25">
      <c r="A7739" t="str">
        <f>"20190312172301490"</f>
        <v>20190312172301490</v>
      </c>
      <c r="B7739" t="str">
        <f>"1552382581477707"</f>
        <v>1552382581477707</v>
      </c>
      <c r="C7739" t="s">
        <v>40</v>
      </c>
      <c r="D7739">
        <v>3.215789</v>
      </c>
      <c r="E7739">
        <v>0.43890970000000001</v>
      </c>
      <c r="F7739" t="s">
        <v>64</v>
      </c>
      <c r="G7739">
        <v>-201.82499999999999</v>
      </c>
      <c r="H7739" s="1">
        <v>-5.6136690000000003E-6</v>
      </c>
      <c r="I7739">
        <v>-56.56718</v>
      </c>
      <c r="J7739">
        <v>-221.1473</v>
      </c>
      <c r="K7739">
        <v>1.111197</v>
      </c>
      <c r="L7739">
        <v>-63.849209999999999</v>
      </c>
      <c r="M7739">
        <v>0.99992809999999999</v>
      </c>
      <c r="N7739">
        <v>0</v>
      </c>
      <c r="O7739">
        <v>9.0577609999999992E-3</v>
      </c>
      <c r="P7739">
        <v>0.95991649999999995</v>
      </c>
      <c r="Q7739">
        <v>0.1962264</v>
      </c>
      <c r="R7739">
        <v>0.2001394</v>
      </c>
      <c r="S7739">
        <v>2.932709</v>
      </c>
      <c r="T7739">
        <v>-0.167064299999999</v>
      </c>
      <c r="U7739">
        <v>1.0951839999999999</v>
      </c>
      <c r="V7739">
        <v>-0.19229099999999999</v>
      </c>
      <c r="W7739">
        <v>0.20297870000000001</v>
      </c>
      <c r="X7739">
        <v>0.96011659999999999</v>
      </c>
      <c r="Y7739">
        <v>-0.34086830000000001</v>
      </c>
      <c r="Z7739">
        <v>8.8866799999999992E-3</v>
      </c>
      <c r="AA7739">
        <v>0.94006909999999999</v>
      </c>
      <c r="AB7739">
        <v>37</v>
      </c>
      <c r="AC7739">
        <v>19.322299999999998</v>
      </c>
      <c r="AD7739">
        <v>-1.1112026136689901</v>
      </c>
      <c r="AE7739">
        <v>7.28202999999999</v>
      </c>
      <c r="AF7739">
        <v>-7.0861878587128899</v>
      </c>
      <c r="AG7739">
        <v>-1.1112026136689901</v>
      </c>
      <c r="AH7739">
        <v>19.331485291229399</v>
      </c>
      <c r="AI7739">
        <v>93.089246805409005</v>
      </c>
      <c r="AJ7739">
        <v>110.131016860809</v>
      </c>
      <c r="AK7739">
        <v>20.619290802125398</v>
      </c>
      <c r="AL7739">
        <v>78.288800801041404</v>
      </c>
      <c r="AM7739">
        <v>101.325291297307</v>
      </c>
      <c r="AN7739">
        <v>1.00000003346512</v>
      </c>
    </row>
    <row r="7740" spans="1:40" x14ac:dyDescent="0.25">
      <c r="A7740" t="str">
        <f>"20190312172301503"</f>
        <v>20190312172301503</v>
      </c>
      <c r="B7740" t="str">
        <f>"1552382581498203"</f>
        <v>1552382581498203</v>
      </c>
      <c r="C7740" t="s">
        <v>40</v>
      </c>
      <c r="D7740">
        <v>3.13625</v>
      </c>
      <c r="E7740">
        <v>0.4398668</v>
      </c>
      <c r="F7740" t="s">
        <v>64</v>
      </c>
      <c r="G7740">
        <v>-201.68260000000001</v>
      </c>
      <c r="H7740" s="1">
        <v>-5.6744089999999999E-6</v>
      </c>
      <c r="I7740">
        <v>-56.523240000000001</v>
      </c>
      <c r="J7740">
        <v>-220.93979999999999</v>
      </c>
      <c r="K7740">
        <v>1.111229</v>
      </c>
      <c r="L7740">
        <v>-63.846559999999997</v>
      </c>
      <c r="M7740">
        <v>0.99991799999999997</v>
      </c>
      <c r="N7740">
        <v>0</v>
      </c>
      <c r="O7740">
        <v>1.008732E-2</v>
      </c>
      <c r="P7740">
        <v>0.95909359999999999</v>
      </c>
      <c r="Q7740">
        <v>0.19641059999999999</v>
      </c>
      <c r="R7740">
        <v>0.2038683</v>
      </c>
      <c r="S7740">
        <v>2.9295499999999999</v>
      </c>
      <c r="T7740">
        <v>-0.16724240000000001</v>
      </c>
      <c r="U7740">
        <v>1.1026</v>
      </c>
      <c r="V7740">
        <v>-0.19505069999999999</v>
      </c>
      <c r="W7740">
        <v>0.2031491</v>
      </c>
      <c r="X7740">
        <v>0.95952369999999998</v>
      </c>
      <c r="Y7740">
        <v>-0.34231640000000002</v>
      </c>
      <c r="Z7740">
        <v>8.8844919999999904E-3</v>
      </c>
      <c r="AA7740">
        <v>0.93954280000000001</v>
      </c>
      <c r="AB7740">
        <v>37</v>
      </c>
      <c r="AC7740">
        <v>19.257199999999902</v>
      </c>
      <c r="AD7740">
        <v>-1.111234674409</v>
      </c>
      <c r="AE7740">
        <v>7.3233199999999901</v>
      </c>
      <c r="AF7740">
        <v>-7.1080096394196302</v>
      </c>
      <c r="AG7740">
        <v>-1.111234674409</v>
      </c>
      <c r="AH7740">
        <v>19.2740244096216</v>
      </c>
      <c r="AI7740">
        <v>93.096300138933202</v>
      </c>
      <c r="AJ7740">
        <v>110.243318636738</v>
      </c>
      <c r="AK7740">
        <v>20.572959448712801</v>
      </c>
      <c r="AL7740">
        <v>78.278829839067299</v>
      </c>
      <c r="AM7740">
        <v>101.490446770985</v>
      </c>
      <c r="AN7740">
        <v>1.0000000316314901</v>
      </c>
    </row>
    <row r="7741" spans="1:40" x14ac:dyDescent="0.25">
      <c r="A7741" t="str">
        <f>"20190312172301513"</f>
        <v>20190312172301513</v>
      </c>
      <c r="B7741" t="str">
        <f>"1552382581507963"</f>
        <v>1552382581507963</v>
      </c>
      <c r="C7741" t="s">
        <v>40</v>
      </c>
      <c r="D7741">
        <v>3.127205</v>
      </c>
      <c r="E7741">
        <v>0.44031969999999998</v>
      </c>
      <c r="F7741" t="s">
        <v>64</v>
      </c>
      <c r="G7741">
        <v>-201.79130000000001</v>
      </c>
      <c r="H7741" s="1">
        <v>-5.6201660000000003E-6</v>
      </c>
      <c r="I7741">
        <v>-56.607170000000004</v>
      </c>
      <c r="J7741">
        <v>-220.75989999999999</v>
      </c>
      <c r="K7741">
        <v>1.111264</v>
      </c>
      <c r="L7741">
        <v>-63.843989999999998</v>
      </c>
      <c r="M7741">
        <v>0.99990840000000003</v>
      </c>
      <c r="N7741">
        <v>0</v>
      </c>
      <c r="O7741">
        <v>1.100485E-2</v>
      </c>
      <c r="P7741">
        <v>0.95823800000000003</v>
      </c>
      <c r="Q7741">
        <v>0.1967045</v>
      </c>
      <c r="R7741">
        <v>0.20757519999999999</v>
      </c>
      <c r="S7741">
        <v>2.9274749999999998</v>
      </c>
      <c r="T7741">
        <v>-0.16988919999999999</v>
      </c>
      <c r="U7741">
        <v>1.106781</v>
      </c>
      <c r="V7741">
        <v>-0.1979002</v>
      </c>
      <c r="W7741">
        <v>0.20342360000000001</v>
      </c>
      <c r="X7741">
        <v>0.95888189999999995</v>
      </c>
      <c r="Y7741">
        <v>-0.34283360000000002</v>
      </c>
      <c r="Z7741">
        <v>8.9917899999999995E-3</v>
      </c>
      <c r="AA7741">
        <v>0.93935310000000005</v>
      </c>
      <c r="AB7741">
        <v>37</v>
      </c>
      <c r="AC7741">
        <v>18.968599999999899</v>
      </c>
      <c r="AD7741">
        <v>-1.1112696201659999</v>
      </c>
      <c r="AE7741">
        <v>7.2368199999999998</v>
      </c>
      <c r="AF7741">
        <v>-7.0066362612877997</v>
      </c>
      <c r="AG7741">
        <v>-1.1112696201659999</v>
      </c>
      <c r="AH7741">
        <v>18.9901978189076</v>
      </c>
      <c r="AI7741">
        <v>93.142406992634307</v>
      </c>
      <c r="AJ7741">
        <v>110.2520778085</v>
      </c>
      <c r="AK7741">
        <v>20.272037023149402</v>
      </c>
      <c r="AL7741">
        <v>78.262767246170696</v>
      </c>
      <c r="AM7741">
        <v>101.661337597258</v>
      </c>
      <c r="AN7741">
        <v>1.0000000741723001</v>
      </c>
    </row>
    <row r="7742" spans="1:40" x14ac:dyDescent="0.25">
      <c r="A7742" t="str">
        <f>"20190312172301524"</f>
        <v>20190312172301524</v>
      </c>
      <c r="B7742" t="str">
        <f>"1552382581517723"</f>
        <v>1552382581517723</v>
      </c>
      <c r="C7742" t="s">
        <v>40</v>
      </c>
      <c r="D7742">
        <v>3.2089530000000002</v>
      </c>
      <c r="E7742">
        <v>0.44031969999999998</v>
      </c>
      <c r="F7742" t="s">
        <v>64</v>
      </c>
      <c r="G7742">
        <v>-201.65450000000001</v>
      </c>
      <c r="H7742" s="1">
        <v>-5.6792559999999996E-6</v>
      </c>
      <c r="I7742">
        <v>-56.56044</v>
      </c>
      <c r="J7742">
        <v>-220.58680000000001</v>
      </c>
      <c r="K7742">
        <v>1.111297</v>
      </c>
      <c r="L7742">
        <v>-63.841430000000003</v>
      </c>
      <c r="M7742">
        <v>0.99989799999999995</v>
      </c>
      <c r="N7742">
        <v>0</v>
      </c>
      <c r="O7742">
        <v>1.190242E-2</v>
      </c>
      <c r="P7742">
        <v>0.95734680000000005</v>
      </c>
      <c r="Q7742">
        <v>0.1968009</v>
      </c>
      <c r="R7742">
        <v>0.21155760000000001</v>
      </c>
      <c r="S7742">
        <v>2.9241640000000002</v>
      </c>
      <c r="T7742">
        <v>-0.1700844</v>
      </c>
      <c r="U7742">
        <v>1.1147769999999999</v>
      </c>
      <c r="V7742">
        <v>-0.20104630000000001</v>
      </c>
      <c r="W7742">
        <v>0.20349780000000001</v>
      </c>
      <c r="X7742">
        <v>0.95821140000000005</v>
      </c>
      <c r="Y7742">
        <v>-0.34458359999999999</v>
      </c>
      <c r="Z7742">
        <v>9.0061900000000007E-3</v>
      </c>
      <c r="AA7742">
        <v>0.93871249999999995</v>
      </c>
      <c r="AB7742">
        <v>37</v>
      </c>
      <c r="AC7742">
        <v>18.932300000000001</v>
      </c>
      <c r="AD7742">
        <v>-1.1113026792559999</v>
      </c>
      <c r="AE7742">
        <v>7.2809900000000001</v>
      </c>
      <c r="AF7742">
        <v>-7.0340136895578</v>
      </c>
      <c r="AG7742">
        <v>-1.1113026792559999</v>
      </c>
      <c r="AH7742">
        <v>18.9607104121575</v>
      </c>
      <c r="AI7742">
        <v>93.145315856759197</v>
      </c>
      <c r="AJ7742">
        <v>110.353765081441</v>
      </c>
      <c r="AK7742">
        <v>20.253910278351398</v>
      </c>
      <c r="AL7742">
        <v>78.258424527713601</v>
      </c>
      <c r="AM7742">
        <v>101.849579483797</v>
      </c>
      <c r="AN7742">
        <v>1.0000000282192401</v>
      </c>
    </row>
    <row r="7743" spans="1:40" x14ac:dyDescent="0.25">
      <c r="A7743" t="str">
        <f>"20190312172301534"</f>
        <v>20190312172301534</v>
      </c>
      <c r="B7743" t="str">
        <f>"1552382581528459"</f>
        <v>1552382581528459</v>
      </c>
      <c r="C7743" t="s">
        <v>40</v>
      </c>
      <c r="D7743">
        <v>3.1344500000000002</v>
      </c>
      <c r="E7743">
        <v>0.4539415</v>
      </c>
      <c r="F7743" t="s">
        <v>64</v>
      </c>
      <c r="G7743">
        <v>-201.4803</v>
      </c>
      <c r="H7743" s="1">
        <v>-5.7598219999999997E-6</v>
      </c>
      <c r="I7743">
        <v>-56.466529999999999</v>
      </c>
      <c r="J7743">
        <v>-220.40450000000001</v>
      </c>
      <c r="K7743">
        <v>1.111337</v>
      </c>
      <c r="L7743">
        <v>-63.838500000000003</v>
      </c>
      <c r="M7743">
        <v>0.99988589999999999</v>
      </c>
      <c r="N7743">
        <v>0</v>
      </c>
      <c r="O7743">
        <v>1.286939E-2</v>
      </c>
      <c r="P7743">
        <v>0.95652130000000002</v>
      </c>
      <c r="Q7743">
        <v>0.19700229999999999</v>
      </c>
      <c r="R7743">
        <v>0.2150753</v>
      </c>
      <c r="S7743">
        <v>2.919556</v>
      </c>
      <c r="T7743">
        <v>-0.16981260000000001</v>
      </c>
      <c r="U7743">
        <v>1.1269229999999999</v>
      </c>
      <c r="V7743">
        <v>-0.2036645</v>
      </c>
      <c r="W7743">
        <v>0.2036771</v>
      </c>
      <c r="X7743">
        <v>0.95762009999999997</v>
      </c>
      <c r="Y7743">
        <v>-0.34756890000000001</v>
      </c>
      <c r="Z7743">
        <v>9.0281589999999991E-3</v>
      </c>
      <c r="AA7743">
        <v>0.93761099999999997</v>
      </c>
      <c r="AB7743">
        <v>37</v>
      </c>
      <c r="AC7743">
        <v>18.924199999999999</v>
      </c>
      <c r="AD7743">
        <v>-1.111342759822</v>
      </c>
      <c r="AE7743">
        <v>7.3719699999999904</v>
      </c>
      <c r="AF7743">
        <v>-7.1065295048534098</v>
      </c>
      <c r="AG7743">
        <v>-1.111342759822</v>
      </c>
      <c r="AH7743">
        <v>18.960733396454501</v>
      </c>
      <c r="AI7743">
        <v>93.141497900059093</v>
      </c>
      <c r="AJ7743">
        <v>110.546121721284</v>
      </c>
      <c r="AK7743">
        <v>20.279232117232201</v>
      </c>
      <c r="AL7743">
        <v>78.247930382848494</v>
      </c>
      <c r="AM7743">
        <v>102.006643938221</v>
      </c>
      <c r="AN7743">
        <v>0.99999992277433203</v>
      </c>
    </row>
    <row r="7744" spans="1:40" x14ac:dyDescent="0.25">
      <c r="A7744" t="str">
        <f>"20190312172301547"</f>
        <v>20190312172301547</v>
      </c>
      <c r="B7744" t="str">
        <f>"1552382581538219"</f>
        <v>1552382581538219</v>
      </c>
      <c r="C7744" t="s">
        <v>40</v>
      </c>
      <c r="D7744">
        <v>3.1751299999999998</v>
      </c>
      <c r="E7744">
        <v>0.45335330000000001</v>
      </c>
      <c r="F7744" t="s">
        <v>64</v>
      </c>
      <c r="G7744">
        <v>-203.62649999999999</v>
      </c>
      <c r="H7744" s="1">
        <v>-4.3933129999999997E-6</v>
      </c>
      <c r="I7744">
        <v>-57.955350000000003</v>
      </c>
      <c r="J7744">
        <v>-220.20320000000001</v>
      </c>
      <c r="K7744">
        <v>1.111386</v>
      </c>
      <c r="L7744">
        <v>-63.835019999999901</v>
      </c>
      <c r="M7744">
        <v>0.99987110000000001</v>
      </c>
      <c r="N7744">
        <v>0</v>
      </c>
      <c r="O7744">
        <v>1.3970379999999999E-2</v>
      </c>
      <c r="P7744">
        <v>0.95562290000000005</v>
      </c>
      <c r="Q7744">
        <v>0.19727030000000001</v>
      </c>
      <c r="R7744">
        <v>0.21879080000000001</v>
      </c>
      <c r="S7744">
        <v>2.9443969999999999</v>
      </c>
      <c r="T7744">
        <v>-0.1950306</v>
      </c>
      <c r="U7744">
        <v>1.03244</v>
      </c>
      <c r="V7744">
        <v>-0.2063596</v>
      </c>
      <c r="W7744">
        <v>0.20391799999999999</v>
      </c>
      <c r="X7744">
        <v>0.9569917</v>
      </c>
      <c r="Y7744">
        <v>-0.31708629999999999</v>
      </c>
      <c r="Z7744">
        <v>9.289851E-3</v>
      </c>
      <c r="AA7744">
        <v>0.94835119999999895</v>
      </c>
      <c r="AB7744">
        <v>37</v>
      </c>
      <c r="AC7744">
        <v>16.576699999999999</v>
      </c>
      <c r="AD7744">
        <v>-1.111390393313</v>
      </c>
      <c r="AE7744">
        <v>5.8796699999999902</v>
      </c>
      <c r="AF7744">
        <v>-5.6250466842885798</v>
      </c>
      <c r="AG7744">
        <v>-1.111390393313</v>
      </c>
      <c r="AH7744">
        <v>16.590982244166099</v>
      </c>
      <c r="AI7744">
        <v>93.630010670358402</v>
      </c>
      <c r="AJ7744">
        <v>108.728838535601</v>
      </c>
      <c r="AK7744">
        <v>17.5538323631339</v>
      </c>
      <c r="AL7744">
        <v>78.2338325631967</v>
      </c>
      <c r="AM7744">
        <v>102.168576286491</v>
      </c>
      <c r="AN7744">
        <v>0.99999997455252398</v>
      </c>
    </row>
    <row r="7745" spans="1:40" x14ac:dyDescent="0.25">
      <c r="A7745" t="str">
        <f>"20190312172301556"</f>
        <v>20190312172301556</v>
      </c>
      <c r="B7745" t="str">
        <f>"1552382581547980"</f>
        <v>1552382581547980</v>
      </c>
      <c r="C7745" t="s">
        <v>40</v>
      </c>
      <c r="D7745">
        <v>3.1333880000000001</v>
      </c>
      <c r="E7745">
        <v>0.45350649999999998</v>
      </c>
      <c r="F7745" t="s">
        <v>64</v>
      </c>
      <c r="G7745">
        <v>-203.327</v>
      </c>
      <c r="H7745" s="1">
        <v>-4.5768669999999999E-6</v>
      </c>
      <c r="I7745">
        <v>-57.815840000000001</v>
      </c>
      <c r="J7745">
        <v>-220.03380000000001</v>
      </c>
      <c r="K7745">
        <v>1.111434</v>
      </c>
      <c r="L7745">
        <v>-63.832000000000001</v>
      </c>
      <c r="M7745">
        <v>0.99985740000000001</v>
      </c>
      <c r="N7745">
        <v>0</v>
      </c>
      <c r="O7745">
        <v>1.4915309999999999E-2</v>
      </c>
      <c r="P7745">
        <v>0.95486769999999999</v>
      </c>
      <c r="Q7745">
        <v>0.19750809999999999</v>
      </c>
      <c r="R7745">
        <v>0.22185289999999999</v>
      </c>
      <c r="S7745">
        <v>2.93927</v>
      </c>
      <c r="T7745">
        <v>-0.19356689999999999</v>
      </c>
      <c r="U7745">
        <v>1.04834</v>
      </c>
      <c r="V7745">
        <v>-0.20854809999999999</v>
      </c>
      <c r="W7745">
        <v>0.20413129999999999</v>
      </c>
      <c r="X7745">
        <v>0.95647170000000004</v>
      </c>
      <c r="Y7745">
        <v>-0.32126440000000001</v>
      </c>
      <c r="Z7745">
        <v>9.30046E-3</v>
      </c>
      <c r="AA7745">
        <v>0.94694389999999995</v>
      </c>
      <c r="AB7745">
        <v>37</v>
      </c>
      <c r="AC7745">
        <v>16.706800000000001</v>
      </c>
      <c r="AD7745">
        <v>-1.1114385768670001</v>
      </c>
      <c r="AE7745">
        <v>6.0161599999999904</v>
      </c>
      <c r="AF7745">
        <v>-5.7437933414505702</v>
      </c>
      <c r="AG7745">
        <v>-1.1114385768670001</v>
      </c>
      <c r="AH7745">
        <v>16.729137368846299</v>
      </c>
      <c r="AI7745">
        <v>93.595553775755405</v>
      </c>
      <c r="AJ7745">
        <v>108.949431048113</v>
      </c>
      <c r="AK7745">
        <v>17.7225984202421</v>
      </c>
      <c r="AL7745">
        <v>78.221349153284294</v>
      </c>
      <c r="AM7745">
        <v>102.300202650873</v>
      </c>
      <c r="AN7745">
        <v>1.0000000052770901</v>
      </c>
    </row>
    <row r="7746" spans="1:40" x14ac:dyDescent="0.25">
      <c r="A7746" t="str">
        <f>"20190312172301568"</f>
        <v>20190312172301568</v>
      </c>
      <c r="B7746" t="str">
        <f>"1552382581557740"</f>
        <v>1552382581557740</v>
      </c>
      <c r="C7746" t="s">
        <v>40</v>
      </c>
      <c r="D7746">
        <v>3.215427</v>
      </c>
      <c r="E7746">
        <v>0.45410590000000001</v>
      </c>
      <c r="F7746" t="s">
        <v>64</v>
      </c>
      <c r="G7746">
        <v>-203.21379999999999</v>
      </c>
      <c r="H7746" s="1">
        <v>-4.6425640000000001E-6</v>
      </c>
      <c r="I7746">
        <v>-57.779710000000001</v>
      </c>
      <c r="J7746">
        <v>-219.8486</v>
      </c>
      <c r="K7746">
        <v>1.11148799999999</v>
      </c>
      <c r="L7746">
        <v>-63.8283699999999</v>
      </c>
      <c r="M7746">
        <v>0.99984050000000002</v>
      </c>
      <c r="N7746">
        <v>0</v>
      </c>
      <c r="O7746">
        <v>1.5997609999999999E-2</v>
      </c>
      <c r="P7746">
        <v>0.95410220000000001</v>
      </c>
      <c r="Q7746">
        <v>0.19784660000000001</v>
      </c>
      <c r="R7746">
        <v>0.22482369999999999</v>
      </c>
      <c r="S7746">
        <v>2.9364469999999998</v>
      </c>
      <c r="T7746">
        <v>-0.19403509999999999</v>
      </c>
      <c r="U7746">
        <v>1.05661</v>
      </c>
      <c r="V7746">
        <v>-0.21052180000000001</v>
      </c>
      <c r="W7746">
        <v>0.20444129999999999</v>
      </c>
      <c r="X7746">
        <v>0.95597299999999996</v>
      </c>
      <c r="Y7746">
        <v>-0.32288620000000001</v>
      </c>
      <c r="Z7746">
        <v>9.3097830000000003E-3</v>
      </c>
      <c r="AA7746">
        <v>0.94639200000000001</v>
      </c>
      <c r="AB7746">
        <v>37</v>
      </c>
      <c r="AC7746">
        <v>16.634799999999998</v>
      </c>
      <c r="AD7746">
        <v>-1.1114926425639899</v>
      </c>
      <c r="AE7746">
        <v>6.0486599999999902</v>
      </c>
      <c r="AF7746">
        <v>-5.7590513792340401</v>
      </c>
      <c r="AG7746">
        <v>-1.1114926425639899</v>
      </c>
      <c r="AH7746">
        <v>16.663729842818999</v>
      </c>
      <c r="AI7746">
        <v>93.607296408509796</v>
      </c>
      <c r="AJ7746">
        <v>109.065353361167</v>
      </c>
      <c r="AK7746">
        <v>17.665842209121799</v>
      </c>
      <c r="AL7746">
        <v>78.203205056047196</v>
      </c>
      <c r="AM7746">
        <v>102.419293983844</v>
      </c>
      <c r="AN7746">
        <v>1.0000000250749601</v>
      </c>
    </row>
    <row r="7747" spans="1:40" x14ac:dyDescent="0.25">
      <c r="A7747" t="str">
        <f>"20190312172301579"</f>
        <v>20190312172301579</v>
      </c>
      <c r="B7747" t="str">
        <f>"1552382581567499"</f>
        <v>1552382581567499</v>
      </c>
      <c r="C7747" t="s">
        <v>40</v>
      </c>
      <c r="D7747">
        <v>3.2127400000000002</v>
      </c>
      <c r="E7747">
        <v>0.45452120000000001</v>
      </c>
      <c r="F7747" t="s">
        <v>64</v>
      </c>
      <c r="G7747">
        <v>-203.04040000000001</v>
      </c>
      <c r="H7747" s="1">
        <v>-4.7372960000000003E-6</v>
      </c>
      <c r="I7747">
        <v>-57.750860000000003</v>
      </c>
      <c r="J7747">
        <v>-219.66159999999999</v>
      </c>
      <c r="K7747">
        <v>1.1115440000000001</v>
      </c>
      <c r="L7747">
        <v>-63.824620000000003</v>
      </c>
      <c r="M7747">
        <v>0.99982199999999999</v>
      </c>
      <c r="N7747">
        <v>0</v>
      </c>
      <c r="O7747">
        <v>1.7105909999999998E-2</v>
      </c>
      <c r="P7747">
        <v>0.95337269999999996</v>
      </c>
      <c r="Q7747">
        <v>0.19803409999999999</v>
      </c>
      <c r="R7747">
        <v>0.22773479999999999</v>
      </c>
      <c r="S7747">
        <v>2.9345249999999998</v>
      </c>
      <c r="T7747">
        <v>-0.19405410000000001</v>
      </c>
      <c r="U7747">
        <v>1.0610660000000001</v>
      </c>
      <c r="V7747">
        <v>-0.2124124</v>
      </c>
      <c r="W7747">
        <v>0.20459849999999999</v>
      </c>
      <c r="X7747">
        <v>0.95552099999999995</v>
      </c>
      <c r="Y7747">
        <v>-0.32330720000000002</v>
      </c>
      <c r="Z7747">
        <v>9.2567229999999997E-3</v>
      </c>
      <c r="AA7747">
        <v>0.9462488</v>
      </c>
      <c r="AB7747">
        <v>37</v>
      </c>
      <c r="AC7747">
        <v>16.621199999999899</v>
      </c>
      <c r="AD7747">
        <v>-1.111548737296</v>
      </c>
      <c r="AE7747">
        <v>6.07376</v>
      </c>
      <c r="AF7747">
        <v>-5.7657927752769798</v>
      </c>
      <c r="AG7747">
        <v>-1.111548737296</v>
      </c>
      <c r="AH7747">
        <v>16.656949007541101</v>
      </c>
      <c r="AI7747">
        <v>93.608336251676704</v>
      </c>
      <c r="AJ7747">
        <v>109.093264114636</v>
      </c>
      <c r="AK7747">
        <v>17.661649333022201</v>
      </c>
      <c r="AL7747">
        <v>78.194003096597598</v>
      </c>
      <c r="AM7747">
        <v>102.533058935837</v>
      </c>
      <c r="AN7747">
        <v>0.99999997765850401</v>
      </c>
    </row>
    <row r="7748" spans="1:40" x14ac:dyDescent="0.25">
      <c r="A7748" t="str">
        <f>"20190312172301590"</f>
        <v>20190312172301590</v>
      </c>
      <c r="B7748" t="str">
        <f>"1552382581587996"</f>
        <v>1552382581587996</v>
      </c>
      <c r="C7748" t="s">
        <v>40</v>
      </c>
      <c r="D7748">
        <v>3.2153740000000002</v>
      </c>
      <c r="E7748">
        <v>0.45488339999999999</v>
      </c>
      <c r="F7748" t="s">
        <v>64</v>
      </c>
      <c r="G7748">
        <v>-202.83600000000001</v>
      </c>
      <c r="H7748" s="1">
        <v>-4.8518370000000002E-6</v>
      </c>
      <c r="I7748">
        <v>-57.703870000000002</v>
      </c>
      <c r="J7748">
        <v>-219.4785</v>
      </c>
      <c r="K7748">
        <v>1.111612</v>
      </c>
      <c r="L7748">
        <v>-63.820500000000003</v>
      </c>
      <c r="M7748">
        <v>0.99980139999999995</v>
      </c>
      <c r="N7748">
        <v>0</v>
      </c>
      <c r="O7748">
        <v>1.826537E-2</v>
      </c>
      <c r="P7748">
        <v>0.95274309999999995</v>
      </c>
      <c r="Q7748">
        <v>0.1984476</v>
      </c>
      <c r="R7748">
        <v>0.2299986</v>
      </c>
      <c r="S7748">
        <v>2.932159</v>
      </c>
      <c r="T7748">
        <v>-0.1937075</v>
      </c>
      <c r="U7748">
        <v>1.0666500000000001</v>
      </c>
      <c r="V7748">
        <v>-0.2136122</v>
      </c>
      <c r="W7748">
        <v>0.20498079999999999</v>
      </c>
      <c r="X7748">
        <v>0.95517149999999995</v>
      </c>
      <c r="Y7748">
        <v>-0.32404909999999998</v>
      </c>
      <c r="Z7748">
        <v>9.1940140000000004E-3</v>
      </c>
      <c r="AA7748">
        <v>0.94599560000000005</v>
      </c>
      <c r="AB7748">
        <v>37</v>
      </c>
      <c r="AC7748">
        <v>16.642499999999998</v>
      </c>
      <c r="AD7748">
        <v>-1.111616851837</v>
      </c>
      <c r="AE7748">
        <v>6.1166299999999998</v>
      </c>
      <c r="AF7748">
        <v>-5.7888653478968797</v>
      </c>
      <c r="AG7748">
        <v>-1.111616851837</v>
      </c>
      <c r="AH7748">
        <v>16.685865796911699</v>
      </c>
      <c r="AI7748">
        <v>93.601449469877494</v>
      </c>
      <c r="AJ7748">
        <v>109.133310665498</v>
      </c>
      <c r="AK7748">
        <v>17.696462116307799</v>
      </c>
      <c r="AL7748">
        <v>78.171624267100299</v>
      </c>
      <c r="AM7748">
        <v>102.606059903077</v>
      </c>
      <c r="AN7748">
        <v>0.99999994738486297</v>
      </c>
    </row>
    <row r="7749" spans="1:40" x14ac:dyDescent="0.25">
      <c r="A7749" t="str">
        <f>"20190312172301601"</f>
        <v>20190312172301601</v>
      </c>
      <c r="B7749" t="str">
        <f>"1552382581597759"</f>
        <v>1552382581597759</v>
      </c>
      <c r="C7749" t="s">
        <v>40</v>
      </c>
      <c r="D7749">
        <v>3.2169620000000001</v>
      </c>
      <c r="E7749">
        <v>0.45519539999999997</v>
      </c>
      <c r="F7749" t="s">
        <v>64</v>
      </c>
      <c r="G7749">
        <v>-202.63560000000001</v>
      </c>
      <c r="H7749" s="1">
        <v>-4.9623949999999998E-6</v>
      </c>
      <c r="I7749">
        <v>-57.665900000000001</v>
      </c>
      <c r="J7749">
        <v>-219.29220000000001</v>
      </c>
      <c r="K7749">
        <v>1.1116779999999999</v>
      </c>
      <c r="L7749">
        <v>-63.816249999999997</v>
      </c>
      <c r="M7749">
        <v>0.99977859999999996</v>
      </c>
      <c r="N7749">
        <v>0</v>
      </c>
      <c r="O7749">
        <v>1.9462920000000002E-2</v>
      </c>
      <c r="P7749">
        <v>0.95225979999999999</v>
      </c>
      <c r="Q7749">
        <v>0.1986648</v>
      </c>
      <c r="R7749">
        <v>0.23180519999999999</v>
      </c>
      <c r="S7749">
        <v>2.9305729999999999</v>
      </c>
      <c r="T7749">
        <v>-0.19341469999999999</v>
      </c>
      <c r="U7749">
        <v>1.070862</v>
      </c>
      <c r="V7749">
        <v>-0.2143177</v>
      </c>
      <c r="W7749">
        <v>0.20516799999999999</v>
      </c>
      <c r="X7749">
        <v>0.95497330000000002</v>
      </c>
      <c r="Y7749">
        <v>-0.32428400000000002</v>
      </c>
      <c r="Z7749">
        <v>9.1137809999999996E-3</v>
      </c>
      <c r="AA7749">
        <v>0.94591590000000003</v>
      </c>
      <c r="AB7749">
        <v>37</v>
      </c>
      <c r="AC7749">
        <v>16.656599999999901</v>
      </c>
      <c r="AD7749">
        <v>-1.111682962395</v>
      </c>
      <c r="AE7749">
        <v>6.1503499999999898</v>
      </c>
      <c r="AF7749">
        <v>-5.8022439813861002</v>
      </c>
      <c r="AG7749">
        <v>-1.111682962395</v>
      </c>
      <c r="AH7749">
        <v>16.707659115953799</v>
      </c>
      <c r="AI7749">
        <v>93.596590490185406</v>
      </c>
      <c r="AJ7749">
        <v>109.15111651408201</v>
      </c>
      <c r="AK7749">
        <v>17.721392365255198</v>
      </c>
      <c r="AL7749">
        <v>78.160666147688602</v>
      </c>
      <c r="AM7749">
        <v>102.64889735283801</v>
      </c>
      <c r="AN7749">
        <v>0.99999999423509001</v>
      </c>
    </row>
    <row r="7750" spans="1:40" x14ac:dyDescent="0.25">
      <c r="A7750" t="str">
        <f>"20190312172301613"</f>
        <v>20190312172301613</v>
      </c>
      <c r="B7750" t="str">
        <f>"1552382581607515"</f>
        <v>1552382581607515</v>
      </c>
      <c r="C7750" t="s">
        <v>40</v>
      </c>
      <c r="D7750">
        <v>3.21631</v>
      </c>
      <c r="E7750">
        <v>0.45559450000000001</v>
      </c>
      <c r="F7750" t="s">
        <v>64</v>
      </c>
      <c r="G7750">
        <v>-202.3759</v>
      </c>
      <c r="H7750" s="1">
        <v>-5.1066469999999998E-6</v>
      </c>
      <c r="I7750">
        <v>-57.612119999999997</v>
      </c>
      <c r="J7750">
        <v>-219.09209999999999</v>
      </c>
      <c r="K7750">
        <v>1.1117649999999999</v>
      </c>
      <c r="L7750">
        <v>-63.811279999999996</v>
      </c>
      <c r="M7750">
        <v>0.99975099999999995</v>
      </c>
      <c r="N7750">
        <v>0</v>
      </c>
      <c r="O7750">
        <v>2.08314E-2</v>
      </c>
      <c r="P7750">
        <v>0.95168129999999995</v>
      </c>
      <c r="Q7750">
        <v>0.198824</v>
      </c>
      <c r="R7750">
        <v>0.23403379999999999</v>
      </c>
      <c r="S7750">
        <v>2.9290620000000001</v>
      </c>
      <c r="T7750">
        <v>-0.19248850000000001</v>
      </c>
      <c r="U7750">
        <v>1.074249</v>
      </c>
      <c r="V7750">
        <v>-0.21529209999999999</v>
      </c>
      <c r="W7750">
        <v>0.2052879</v>
      </c>
      <c r="X7750">
        <v>0.95472840000000003</v>
      </c>
      <c r="Y7750">
        <v>-0.3241195</v>
      </c>
      <c r="Z7750">
        <v>8.9807949999999998E-3</v>
      </c>
      <c r="AA7750">
        <v>0.94597350000000002</v>
      </c>
      <c r="AB7750">
        <v>38</v>
      </c>
      <c r="AC7750">
        <v>16.716199999999901</v>
      </c>
      <c r="AD7750">
        <v>-1.1117701066469901</v>
      </c>
      <c r="AE7750">
        <v>6.19916</v>
      </c>
      <c r="AF7750">
        <v>-5.8269231722260502</v>
      </c>
      <c r="AG7750">
        <v>-1.1117701066469901</v>
      </c>
      <c r="AH7750">
        <v>16.776476770998201</v>
      </c>
      <c r="AI7750">
        <v>93.5821042043777</v>
      </c>
      <c r="AJ7750">
        <v>109.15349416676899</v>
      </c>
      <c r="AK7750">
        <v>17.794359760129101</v>
      </c>
      <c r="AL7750">
        <v>78.153647813277502</v>
      </c>
      <c r="AM7750">
        <v>102.707696346682</v>
      </c>
      <c r="AN7750">
        <v>1.00000006398768</v>
      </c>
    </row>
    <row r="7751" spans="1:40" x14ac:dyDescent="0.25">
      <c r="A7751" t="str">
        <f>"20190312172301625"</f>
        <v>20190312172301625</v>
      </c>
      <c r="B7751" t="str">
        <f>"1552382581618251"</f>
        <v>1552382581618251</v>
      </c>
      <c r="C7751" t="s">
        <v>40</v>
      </c>
      <c r="D7751">
        <v>3.2146919999999999</v>
      </c>
      <c r="E7751">
        <v>0.45590589999999998</v>
      </c>
      <c r="F7751" t="s">
        <v>64</v>
      </c>
      <c r="G7751">
        <v>-202.10659999999999</v>
      </c>
      <c r="H7751" s="1">
        <v>-5.2562109999999998E-6</v>
      </c>
      <c r="I7751">
        <v>-57.556379999999997</v>
      </c>
      <c r="J7751">
        <v>-218.9111</v>
      </c>
      <c r="K7751">
        <v>1.1118459999999999</v>
      </c>
      <c r="L7751">
        <v>-63.806550000000001</v>
      </c>
      <c r="M7751">
        <v>0.99972360000000005</v>
      </c>
      <c r="N7751">
        <v>0</v>
      </c>
      <c r="O7751">
        <v>2.2105260000000002E-2</v>
      </c>
      <c r="P7751">
        <v>0.9513317</v>
      </c>
      <c r="Q7751">
        <v>0.19870950000000001</v>
      </c>
      <c r="R7751">
        <v>0.2355477</v>
      </c>
      <c r="S7751">
        <v>2.927292</v>
      </c>
      <c r="T7751">
        <v>-0.191603</v>
      </c>
      <c r="U7751">
        <v>1.0779719999999999</v>
      </c>
      <c r="V7751">
        <v>-0.21563479999999999</v>
      </c>
      <c r="W7751">
        <v>0.2051404</v>
      </c>
      <c r="X7751">
        <v>0.9546827</v>
      </c>
      <c r="Y7751">
        <v>-0.32416650000000002</v>
      </c>
      <c r="Z7751">
        <v>8.863737E-3</v>
      </c>
      <c r="AA7751">
        <v>0.94595850000000004</v>
      </c>
      <c r="AB7751">
        <v>38</v>
      </c>
      <c r="AC7751">
        <v>16.804500000000001</v>
      </c>
      <c r="AD7751">
        <v>-1.1118512562109999</v>
      </c>
      <c r="AE7751">
        <v>6.25016999999999</v>
      </c>
      <c r="AF7751">
        <v>-5.8546478760427503</v>
      </c>
      <c r="AG7751">
        <v>-1.1118512562109999</v>
      </c>
      <c r="AH7751">
        <v>16.8736690295781</v>
      </c>
      <c r="AI7751">
        <v>93.562177383686702</v>
      </c>
      <c r="AJ7751">
        <v>109.13521253752999</v>
      </c>
      <c r="AK7751">
        <v>17.895078135848799</v>
      </c>
      <c r="AL7751">
        <v>78.162281997791695</v>
      </c>
      <c r="AM7751">
        <v>102.727855367971</v>
      </c>
      <c r="AN7751">
        <v>1.00000000418124</v>
      </c>
    </row>
    <row r="7752" spans="1:40" x14ac:dyDescent="0.25">
      <c r="A7752" t="str">
        <f>"20190312172301635"</f>
        <v>20190312172301635</v>
      </c>
      <c r="B7752" t="str">
        <f>"1552382581628012"</f>
        <v>1552382581628012</v>
      </c>
      <c r="C7752" t="s">
        <v>40</v>
      </c>
      <c r="D7752">
        <v>3.2157710000000002</v>
      </c>
      <c r="E7752">
        <v>0.45617069999999998</v>
      </c>
      <c r="F7752" t="s">
        <v>64</v>
      </c>
      <c r="G7752">
        <v>-201.9426</v>
      </c>
      <c r="H7752" s="1">
        <v>-5.3431690000000001E-6</v>
      </c>
      <c r="I7752">
        <v>-57.541170000000001</v>
      </c>
      <c r="J7752">
        <v>-218.72409999999999</v>
      </c>
      <c r="K7752">
        <v>1.1119349999999999</v>
      </c>
      <c r="L7752">
        <v>-63.801419999999901</v>
      </c>
      <c r="M7752">
        <v>0.99969229999999998</v>
      </c>
      <c r="N7752">
        <v>0</v>
      </c>
      <c r="O7752">
        <v>2.3475019999999999E-2</v>
      </c>
      <c r="P7752">
        <v>0.95112839999999998</v>
      </c>
      <c r="Q7752">
        <v>0.19855110000000001</v>
      </c>
      <c r="R7752">
        <v>0.23650060000000001</v>
      </c>
      <c r="S7752">
        <v>2.9260100000000002</v>
      </c>
      <c r="T7752">
        <v>-0.19172429999999999</v>
      </c>
      <c r="U7752">
        <v>1.0803830000000001</v>
      </c>
      <c r="V7752">
        <v>-0.21532490000000001</v>
      </c>
      <c r="W7752">
        <v>0.20495050000000001</v>
      </c>
      <c r="X7752">
        <v>0.95479349999999996</v>
      </c>
      <c r="Y7752">
        <v>-0.32369360000000003</v>
      </c>
      <c r="Z7752">
        <v>8.7701659999999994E-3</v>
      </c>
      <c r="AA7752">
        <v>0.94612130000000005</v>
      </c>
      <c r="AB7752">
        <v>38</v>
      </c>
      <c r="AC7752">
        <v>16.781499999999902</v>
      </c>
      <c r="AD7752">
        <v>-1.111940343169</v>
      </c>
      <c r="AE7752">
        <v>6.2602499999999903</v>
      </c>
      <c r="AF7752">
        <v>-5.8420505384729804</v>
      </c>
      <c r="AG7752">
        <v>-1.111940343169</v>
      </c>
      <c r="AH7752">
        <v>16.858864658649701</v>
      </c>
      <c r="AI7752">
        <v>93.566069510035902</v>
      </c>
      <c r="AJ7752">
        <v>109.112578426772</v>
      </c>
      <c r="AK7752">
        <v>17.877004318383602</v>
      </c>
      <c r="AL7752">
        <v>78.173399503840599</v>
      </c>
      <c r="AM7752">
        <v>102.708731074263</v>
      </c>
      <c r="AN7752">
        <v>1.00000007382625</v>
      </c>
    </row>
    <row r="7753" spans="1:40" x14ac:dyDescent="0.25">
      <c r="A7753" t="str">
        <f>"20190312172301646"</f>
        <v>20190312172301646</v>
      </c>
      <c r="B7753" t="str">
        <f>"1552382581637771"</f>
        <v>1552382581637771</v>
      </c>
      <c r="C7753" t="s">
        <v>40</v>
      </c>
      <c r="D7753">
        <v>3.1518519999999999</v>
      </c>
      <c r="E7753">
        <v>0.4563316</v>
      </c>
      <c r="F7753" t="s">
        <v>64</v>
      </c>
      <c r="G7753">
        <v>-201.78749999999999</v>
      </c>
      <c r="H7753" s="1">
        <v>-5.42266999999999E-6</v>
      </c>
      <c r="I7753">
        <v>-57.539070000000002</v>
      </c>
      <c r="J7753">
        <v>-218.54</v>
      </c>
      <c r="K7753">
        <v>1.112028</v>
      </c>
      <c r="L7753">
        <v>-63.796019999999999</v>
      </c>
      <c r="M7753">
        <v>0.99965800000000005</v>
      </c>
      <c r="N7753">
        <v>0</v>
      </c>
      <c r="O7753">
        <v>2.4882970000000001E-2</v>
      </c>
      <c r="P7753">
        <v>0.95071760000000005</v>
      </c>
      <c r="Q7753">
        <v>0.1989119</v>
      </c>
      <c r="R7753">
        <v>0.237845</v>
      </c>
      <c r="S7753">
        <v>2.9252929999999999</v>
      </c>
      <c r="T7753">
        <v>-0.19205459999999999</v>
      </c>
      <c r="U7753">
        <v>1.0816349999999999</v>
      </c>
      <c r="V7753">
        <v>-0.2153796</v>
      </c>
      <c r="W7753">
        <v>0.20527480000000001</v>
      </c>
      <c r="X7753">
        <v>0.95471139999999999</v>
      </c>
      <c r="Y7753">
        <v>-0.3227949</v>
      </c>
      <c r="Z7753">
        <v>8.6689279999999994E-3</v>
      </c>
      <c r="AA7753">
        <v>0.94642930000000003</v>
      </c>
      <c r="AB7753">
        <v>38</v>
      </c>
      <c r="AC7753">
        <v>16.752499999999898</v>
      </c>
      <c r="AD7753">
        <v>-1.1120334226699999</v>
      </c>
      <c r="AE7753">
        <v>6.2569499999999998</v>
      </c>
      <c r="AF7753">
        <v>-5.81565851856287</v>
      </c>
      <c r="AG7753">
        <v>-1.1120334226699999</v>
      </c>
      <c r="AH7753">
        <v>16.837898649073701</v>
      </c>
      <c r="AI7753">
        <v>93.572046742945005</v>
      </c>
      <c r="AJ7753">
        <v>109.054451328233</v>
      </c>
      <c r="AK7753">
        <v>17.848622727094298</v>
      </c>
      <c r="AL7753">
        <v>78.154413788979397</v>
      </c>
      <c r="AM7753">
        <v>102.71291226501</v>
      </c>
      <c r="AN7753">
        <v>0.99999998645057997</v>
      </c>
    </row>
    <row r="7754" spans="1:40" x14ac:dyDescent="0.25">
      <c r="A7754" t="str">
        <f>"20190312172301659"</f>
        <v>20190312172301659</v>
      </c>
      <c r="B7754" t="str">
        <f>"1552382581647532"</f>
        <v>1552382581647532</v>
      </c>
      <c r="C7754" t="s">
        <v>40</v>
      </c>
      <c r="D7754">
        <v>3.1621570000000001</v>
      </c>
      <c r="E7754">
        <v>0.45657690000000001</v>
      </c>
      <c r="F7754" t="s">
        <v>64</v>
      </c>
      <c r="G7754">
        <v>-201.4734</v>
      </c>
      <c r="H7754" s="1">
        <v>-5.5998409999999998E-6</v>
      </c>
      <c r="I7754">
        <v>-57.461759999999998</v>
      </c>
      <c r="J7754">
        <v>-218.321</v>
      </c>
      <c r="K7754">
        <v>1.1121379999999901</v>
      </c>
      <c r="L7754">
        <v>-63.789340000000003</v>
      </c>
      <c r="M7754">
        <v>0.99961350000000004</v>
      </c>
      <c r="N7754">
        <v>0</v>
      </c>
      <c r="O7754">
        <v>2.6605670000000001E-2</v>
      </c>
      <c r="P7754">
        <v>0.95033179999999995</v>
      </c>
      <c r="Q7754">
        <v>0.19913139999999999</v>
      </c>
      <c r="R7754">
        <v>0.2391991</v>
      </c>
      <c r="S7754">
        <v>2.9239039999999998</v>
      </c>
      <c r="T7754">
        <v>-0.19051689999999999</v>
      </c>
      <c r="U7754">
        <v>1.085205</v>
      </c>
      <c r="V7754">
        <v>-0.21515300000000001</v>
      </c>
      <c r="W7754">
        <v>0.20545079999999999</v>
      </c>
      <c r="X7754">
        <v>0.95472469999999998</v>
      </c>
      <c r="Y7754">
        <v>-0.3223395</v>
      </c>
      <c r="Z7754">
        <v>8.4791239999999993E-3</v>
      </c>
      <c r="AA7754">
        <v>0.94658620000000004</v>
      </c>
      <c r="AB7754">
        <v>38</v>
      </c>
      <c r="AC7754">
        <v>16.8476</v>
      </c>
      <c r="AD7754">
        <v>-1.1121435998410001</v>
      </c>
      <c r="AE7754">
        <v>6.3275800000000002</v>
      </c>
      <c r="AF7754">
        <v>-5.8547250984630503</v>
      </c>
      <c r="AG7754">
        <v>-1.1121435998410001</v>
      </c>
      <c r="AH7754">
        <v>16.945278404587501</v>
      </c>
      <c r="AI7754">
        <v>93.549692439800694</v>
      </c>
      <c r="AJ7754">
        <v>109.06042810817399</v>
      </c>
      <c r="AK7754">
        <v>17.962659312424201</v>
      </c>
      <c r="AL7754">
        <v>78.144110867173495</v>
      </c>
      <c r="AM7754">
        <v>102.699799908125</v>
      </c>
      <c r="AN7754">
        <v>1.0000000487098599</v>
      </c>
    </row>
    <row r="7755" spans="1:40" x14ac:dyDescent="0.25">
      <c r="A7755" t="str">
        <f>"20190312172301669"</f>
        <v>20190312172301669</v>
      </c>
      <c r="B7755" t="str">
        <f>"1552382581658268"</f>
        <v>1552382581658268</v>
      </c>
      <c r="C7755" t="s">
        <v>40</v>
      </c>
      <c r="D7755">
        <v>3.1877680000000002</v>
      </c>
      <c r="E7755">
        <v>0.45680340000000003</v>
      </c>
      <c r="F7755" t="s">
        <v>64</v>
      </c>
      <c r="G7755">
        <v>-201.18819999999999</v>
      </c>
      <c r="H7755" s="1">
        <v>-5.7231679999999996E-6</v>
      </c>
      <c r="I7755">
        <v>-57.4090699999999</v>
      </c>
      <c r="J7755">
        <v>-218.16739999999999</v>
      </c>
      <c r="K7755">
        <v>1.1122259999999999</v>
      </c>
      <c r="L7755">
        <v>-63.784210000000002</v>
      </c>
      <c r="M7755">
        <v>0.99957799999999997</v>
      </c>
      <c r="N7755">
        <v>0</v>
      </c>
      <c r="O7755">
        <v>2.790426E-2</v>
      </c>
      <c r="P7755">
        <v>0.95004049999999995</v>
      </c>
      <c r="Q7755">
        <v>0.19971920000000001</v>
      </c>
      <c r="R7755">
        <v>0.239866</v>
      </c>
      <c r="S7755">
        <v>2.9226070000000002</v>
      </c>
      <c r="T7755">
        <v>-0.1897152</v>
      </c>
      <c r="U7755">
        <v>1.088379</v>
      </c>
      <c r="V7755">
        <v>-0.2146324</v>
      </c>
      <c r="W7755">
        <v>0.20600750000000001</v>
      </c>
      <c r="X7755">
        <v>0.95472190000000001</v>
      </c>
      <c r="Y7755">
        <v>-0.32215719999999998</v>
      </c>
      <c r="Z7755">
        <v>8.3585020000000003E-3</v>
      </c>
      <c r="AA7755">
        <v>0.94664930000000003</v>
      </c>
      <c r="AB7755">
        <v>38</v>
      </c>
      <c r="AC7755">
        <v>16.979199999999899</v>
      </c>
      <c r="AD7755">
        <v>-1.1122317231679999</v>
      </c>
      <c r="AE7755">
        <v>6.37514</v>
      </c>
      <c r="AF7755">
        <v>-5.8767486640904796</v>
      </c>
      <c r="AG7755">
        <v>-1.1122317231679999</v>
      </c>
      <c r="AH7755">
        <v>17.086229435062901</v>
      </c>
      <c r="AI7755">
        <v>93.522451618147997</v>
      </c>
      <c r="AJ7755">
        <v>108.98047560053099</v>
      </c>
      <c r="AK7755">
        <v>18.1028304575423</v>
      </c>
      <c r="AL7755">
        <v>78.111516889057199</v>
      </c>
      <c r="AM7755">
        <v>102.67009967336701</v>
      </c>
      <c r="AN7755">
        <v>1.0000000317627999</v>
      </c>
    </row>
    <row r="7756" spans="1:40" x14ac:dyDescent="0.25">
      <c r="A7756" t="str">
        <f>"20190312172301680"</f>
        <v>20190312172301680</v>
      </c>
      <c r="B7756" t="str">
        <f>"1552382581668028"</f>
        <v>1552382581668028</v>
      </c>
      <c r="C7756" t="s">
        <v>40</v>
      </c>
      <c r="D7756">
        <v>3.2071139999999998</v>
      </c>
      <c r="E7756">
        <v>0.45701429999999998</v>
      </c>
      <c r="F7756" t="s">
        <v>64</v>
      </c>
      <c r="G7756">
        <v>-200.8322</v>
      </c>
      <c r="H7756" s="1">
        <v>-5.8719959999999997E-6</v>
      </c>
      <c r="I7756">
        <v>-57.318779999999997</v>
      </c>
      <c r="J7756">
        <v>-217.97239999999999</v>
      </c>
      <c r="K7756">
        <v>1.112341</v>
      </c>
      <c r="L7756">
        <v>-63.777650000000001</v>
      </c>
      <c r="M7756">
        <v>0.99953049999999999</v>
      </c>
      <c r="N7756">
        <v>0</v>
      </c>
      <c r="O7756">
        <v>2.9561629999999998E-2</v>
      </c>
      <c r="P7756">
        <v>0.94967619999999997</v>
      </c>
      <c r="Q7756">
        <v>0.2000017</v>
      </c>
      <c r="R7756">
        <v>0.24107000000000001</v>
      </c>
      <c r="S7756">
        <v>2.9220280000000001</v>
      </c>
      <c r="T7756">
        <v>-0.1874779</v>
      </c>
      <c r="U7756">
        <v>1.0898129999999999</v>
      </c>
      <c r="V7756">
        <v>-0.2143186</v>
      </c>
      <c r="W7756">
        <v>0.20624780000000001</v>
      </c>
      <c r="X7756">
        <v>0.95474049999999999</v>
      </c>
      <c r="Y7756">
        <v>-0.32107469999999999</v>
      </c>
      <c r="Z7756">
        <v>8.1249189999999995E-3</v>
      </c>
      <c r="AA7756">
        <v>0.94701900000000006</v>
      </c>
      <c r="AB7756">
        <v>38</v>
      </c>
      <c r="AC7756">
        <v>17.140199999999901</v>
      </c>
      <c r="AD7756">
        <v>-1.1123468719959999</v>
      </c>
      <c r="AE7756">
        <v>6.4588699999999903</v>
      </c>
      <c r="AF7756">
        <v>-5.9274781730796402</v>
      </c>
      <c r="AG7756">
        <v>-1.1123468719959999</v>
      </c>
      <c r="AH7756">
        <v>17.2599956986347</v>
      </c>
      <c r="AI7756">
        <v>93.487997056759298</v>
      </c>
      <c r="AJ7756">
        <v>108.953646387986</v>
      </c>
      <c r="AK7756">
        <v>18.2833192985536</v>
      </c>
      <c r="AL7756">
        <v>78.097446410620194</v>
      </c>
      <c r="AM7756">
        <v>102.651933753159</v>
      </c>
      <c r="AN7756">
        <v>1.0000000198255199</v>
      </c>
    </row>
    <row r="7757" spans="1:40" x14ac:dyDescent="0.25">
      <c r="A7757" t="str">
        <f>"20190312172301691"</f>
        <v>20190312172301691</v>
      </c>
      <c r="B7757" t="str">
        <f>"1552382581687547"</f>
        <v>1552382581687547</v>
      </c>
      <c r="C7757" t="s">
        <v>40</v>
      </c>
      <c r="D7757">
        <v>3.2743890000000002</v>
      </c>
      <c r="E7757">
        <v>0.45725199999999999</v>
      </c>
      <c r="F7757" t="s">
        <v>64</v>
      </c>
      <c r="G7757">
        <v>-200.5847</v>
      </c>
      <c r="H7757" s="1">
        <v>-5.9727590000000002E-6</v>
      </c>
      <c r="I7757">
        <v>-57.273350000000001</v>
      </c>
      <c r="J7757">
        <v>-217.78290000000001</v>
      </c>
      <c r="K7757">
        <v>1.1124590000000001</v>
      </c>
      <c r="L7757">
        <v>-63.770629999999997</v>
      </c>
      <c r="M7757">
        <v>0.99947739999999996</v>
      </c>
      <c r="N7757">
        <v>0</v>
      </c>
      <c r="O7757">
        <v>3.1298020000000003E-2</v>
      </c>
      <c r="P7757">
        <v>0.94932030000000001</v>
      </c>
      <c r="Q7757">
        <v>0.20045969999999999</v>
      </c>
      <c r="R7757">
        <v>0.242089</v>
      </c>
      <c r="S7757">
        <v>2.920944</v>
      </c>
      <c r="T7757">
        <v>-0.1868621</v>
      </c>
      <c r="U7757">
        <v>1.092651</v>
      </c>
      <c r="V7757">
        <v>-0.21374940000000001</v>
      </c>
      <c r="W7757">
        <v>0.2066635</v>
      </c>
      <c r="X7757">
        <v>0.95477820000000002</v>
      </c>
      <c r="Y7757">
        <v>-0.32035989999999998</v>
      </c>
      <c r="Z7757">
        <v>7.9706489999999998E-3</v>
      </c>
      <c r="AA7757">
        <v>0.9472623</v>
      </c>
      <c r="AB7757">
        <v>38</v>
      </c>
      <c r="AC7757">
        <v>17.1982</v>
      </c>
      <c r="AD7757">
        <v>-1.1124649727589999</v>
      </c>
      <c r="AE7757">
        <v>6.4972799999999999</v>
      </c>
      <c r="AF7757">
        <v>-5.9340816008091499</v>
      </c>
      <c r="AG7757">
        <v>-1.1124649727589999</v>
      </c>
      <c r="AH7757">
        <v>17.329679104698599</v>
      </c>
      <c r="AI7757">
        <v>93.475437515460001</v>
      </c>
      <c r="AJ7757">
        <v>108.902386002016</v>
      </c>
      <c r="AK7757">
        <v>18.35125828472</v>
      </c>
      <c r="AL7757">
        <v>78.073104001787499</v>
      </c>
      <c r="AM7757">
        <v>102.61892722294699</v>
      </c>
      <c r="AN7757">
        <v>1.0000000097139199</v>
      </c>
    </row>
    <row r="7758" spans="1:40" x14ac:dyDescent="0.25">
      <c r="A7758" t="str">
        <f>"20190312172301704"</f>
        <v>20190312172301704</v>
      </c>
      <c r="B7758" t="str">
        <f>"1552382581698283"</f>
        <v>1552382581698283</v>
      </c>
      <c r="C7758" t="s">
        <v>40</v>
      </c>
      <c r="D7758">
        <v>3.156425</v>
      </c>
      <c r="E7758">
        <v>0.45726329999999998</v>
      </c>
      <c r="F7758" t="s">
        <v>64</v>
      </c>
      <c r="G7758">
        <v>-200.3081</v>
      </c>
      <c r="H7758" s="1">
        <v>-6.08614299999999E-6</v>
      </c>
      <c r="I7758">
        <v>-57.217750000000002</v>
      </c>
      <c r="J7758">
        <v>-217.58879999999999</v>
      </c>
      <c r="K7758">
        <v>1.1125849999999999</v>
      </c>
      <c r="L7758">
        <v>-63.763280000000002</v>
      </c>
      <c r="M7758">
        <v>0.9994189</v>
      </c>
      <c r="N7758">
        <v>0</v>
      </c>
      <c r="O7758">
        <v>3.3109060000000003E-2</v>
      </c>
      <c r="P7758">
        <v>0.94894160000000005</v>
      </c>
      <c r="Q7758">
        <v>0.2007332</v>
      </c>
      <c r="R7758">
        <v>0.24334359999999999</v>
      </c>
      <c r="S7758">
        <v>2.920166</v>
      </c>
      <c r="T7758">
        <v>-0.1859007</v>
      </c>
      <c r="U7758">
        <v>1.095032</v>
      </c>
      <c r="V7758">
        <v>-0.21334729999999999</v>
      </c>
      <c r="W7758">
        <v>0.2068921</v>
      </c>
      <c r="X7758">
        <v>0.95481859999999996</v>
      </c>
      <c r="Y7758">
        <v>-0.31941360000000002</v>
      </c>
      <c r="Z7758">
        <v>7.7904630000000001E-3</v>
      </c>
      <c r="AA7758">
        <v>0.94758339999999996</v>
      </c>
      <c r="AB7758">
        <v>38</v>
      </c>
      <c r="AC7758">
        <v>17.2806999999999</v>
      </c>
      <c r="AD7758">
        <v>-1.112591086143</v>
      </c>
      <c r="AE7758">
        <v>6.5455299999999896</v>
      </c>
      <c r="AF7758">
        <v>-5.9482116175545103</v>
      </c>
      <c r="AG7758">
        <v>-1.112591086143</v>
      </c>
      <c r="AH7758">
        <v>17.4247815933991</v>
      </c>
      <c r="AI7758">
        <v>93.458023010951905</v>
      </c>
      <c r="AJ7758">
        <v>108.848111766901</v>
      </c>
      <c r="AK7758">
        <v>18.4456524403404</v>
      </c>
      <c r="AL7758">
        <v>78.059716565682905</v>
      </c>
      <c r="AM7758">
        <v>102.59543103308999</v>
      </c>
      <c r="AN7758">
        <v>0.99999998518282995</v>
      </c>
    </row>
    <row r="7759" spans="1:40" x14ac:dyDescent="0.25">
      <c r="A7759" t="str">
        <f>"20190312172301713"</f>
        <v>20190312172301713</v>
      </c>
      <c r="B7759" t="str">
        <f>"1552382581708042"</f>
        <v>1552382581708042</v>
      </c>
      <c r="C7759" t="s">
        <v>40</v>
      </c>
      <c r="D7759">
        <v>3.1783999999999999</v>
      </c>
      <c r="E7759">
        <v>0.4572756</v>
      </c>
      <c r="F7759" t="s">
        <v>64</v>
      </c>
      <c r="G7759">
        <v>-200.03270000000001</v>
      </c>
      <c r="H7759" s="1">
        <v>-6.2012820000000002E-6</v>
      </c>
      <c r="I7759">
        <v>-57.147799999999997</v>
      </c>
      <c r="J7759">
        <v>-217.39930000000001</v>
      </c>
      <c r="K7759">
        <v>1.1127119999999999</v>
      </c>
      <c r="L7759">
        <v>-63.755580000000002</v>
      </c>
      <c r="M7759">
        <v>0.99935549999999995</v>
      </c>
      <c r="N7759">
        <v>0</v>
      </c>
      <c r="O7759">
        <v>3.4967570000000003E-2</v>
      </c>
      <c r="P7759">
        <v>0.94851110000000005</v>
      </c>
      <c r="Q7759">
        <v>0.20111589999999999</v>
      </c>
      <c r="R7759">
        <v>0.24470210000000001</v>
      </c>
      <c r="S7759">
        <v>2.9185490000000001</v>
      </c>
      <c r="T7759">
        <v>-0.18495819999999999</v>
      </c>
      <c r="U7759">
        <v>1.0997619999999999</v>
      </c>
      <c r="V7759">
        <v>-0.21300659999999999</v>
      </c>
      <c r="W7759">
        <v>0.20723030000000001</v>
      </c>
      <c r="X7759">
        <v>0.95482129999999998</v>
      </c>
      <c r="Y7759">
        <v>-0.31917859999999998</v>
      </c>
      <c r="Z7759">
        <v>7.6323669999999897E-3</v>
      </c>
      <c r="AA7759">
        <v>0.94766379999999995</v>
      </c>
      <c r="AB7759">
        <v>38</v>
      </c>
      <c r="AC7759">
        <v>17.366599999999998</v>
      </c>
      <c r="AD7759">
        <v>-1.1127182012820001</v>
      </c>
      <c r="AE7759">
        <v>6.60778</v>
      </c>
      <c r="AF7759">
        <v>-5.9750239101400204</v>
      </c>
      <c r="AG7759">
        <v>-1.1127182012820001</v>
      </c>
      <c r="AH7759">
        <v>17.524200827949599</v>
      </c>
      <c r="AI7759">
        <v>93.439270206912894</v>
      </c>
      <c r="AJ7759">
        <v>108.82724229999199</v>
      </c>
      <c r="AK7759">
        <v>18.548225445592301</v>
      </c>
      <c r="AL7759">
        <v>78.039909599542796</v>
      </c>
      <c r="AM7759">
        <v>102.57592292866001</v>
      </c>
      <c r="AN7759">
        <v>0.99999996190766904</v>
      </c>
    </row>
    <row r="7760" spans="1:40" x14ac:dyDescent="0.25">
      <c r="A7760" t="str">
        <f>"20190312172301725"</f>
        <v>20190312172301725</v>
      </c>
      <c r="B7760" t="str">
        <f>"1552382581717804"</f>
        <v>1552382581717804</v>
      </c>
      <c r="C7760" t="s">
        <v>40</v>
      </c>
      <c r="D7760">
        <v>3.3103410000000002</v>
      </c>
      <c r="E7760">
        <v>0.457376</v>
      </c>
      <c r="F7760" t="s">
        <v>64</v>
      </c>
      <c r="G7760">
        <v>-199.75659999999999</v>
      </c>
      <c r="H7760" s="1">
        <v>-8.425783E-6</v>
      </c>
      <c r="I7760">
        <v>-57.07461</v>
      </c>
      <c r="J7760">
        <v>-217.21340000000001</v>
      </c>
      <c r="K7760">
        <v>1.112849</v>
      </c>
      <c r="L7760">
        <v>-63.747709999999998</v>
      </c>
      <c r="M7760">
        <v>0.99928760000000005</v>
      </c>
      <c r="N7760">
        <v>0</v>
      </c>
      <c r="O7760">
        <v>3.6848569999999997E-2</v>
      </c>
      <c r="P7760">
        <v>0.94806000000000001</v>
      </c>
      <c r="Q7760">
        <v>0.2016511</v>
      </c>
      <c r="R7760">
        <v>0.2460059</v>
      </c>
      <c r="S7760">
        <v>2.9169160000000001</v>
      </c>
      <c r="T7760">
        <v>-0.1839691</v>
      </c>
      <c r="U7760">
        <v>1.104584</v>
      </c>
      <c r="V7760">
        <v>-0.2125929</v>
      </c>
      <c r="W7760">
        <v>0.20772189999999999</v>
      </c>
      <c r="X7760">
        <v>0.95480670000000001</v>
      </c>
      <c r="Y7760">
        <v>-0.31894980000000001</v>
      </c>
      <c r="Z7760">
        <v>7.4723690000000004E-3</v>
      </c>
      <c r="AA7760">
        <v>0.94774219999999998</v>
      </c>
      <c r="AB7760">
        <v>38</v>
      </c>
      <c r="AC7760">
        <v>17.456800000000001</v>
      </c>
      <c r="AD7760">
        <v>-1.112857425783</v>
      </c>
      <c r="AE7760">
        <v>6.67309999999999</v>
      </c>
      <c r="AF7760">
        <v>-6.0039990913496704</v>
      </c>
      <c r="AG7760">
        <v>-1.112857425783</v>
      </c>
      <c r="AH7760">
        <v>17.628338930823698</v>
      </c>
      <c r="AI7760">
        <v>93.419814014123304</v>
      </c>
      <c r="AJ7760">
        <v>108.808222047398</v>
      </c>
      <c r="AK7760">
        <v>18.655958570897401</v>
      </c>
      <c r="AL7760">
        <v>78.011116696401203</v>
      </c>
      <c r="AM7760">
        <v>102.552458677834</v>
      </c>
      <c r="AN7760">
        <v>0.99999998161745396</v>
      </c>
    </row>
    <row r="7761" spans="1:40" x14ac:dyDescent="0.25">
      <c r="A7761" t="str">
        <f>"20190312172301738"</f>
        <v>20190312172301738</v>
      </c>
      <c r="B7761" t="str">
        <f>"1552382581727563"</f>
        <v>1552382581727563</v>
      </c>
      <c r="C7761" t="s">
        <v>40</v>
      </c>
      <c r="D7761">
        <v>3.162919</v>
      </c>
      <c r="E7761">
        <v>0.45734900000000001</v>
      </c>
      <c r="F7761" t="s">
        <v>64</v>
      </c>
      <c r="G7761">
        <v>-199.44589999999999</v>
      </c>
      <c r="H7761" s="1">
        <v>-8.4196190000000001E-6</v>
      </c>
      <c r="I7761">
        <v>-56.992629999999998</v>
      </c>
      <c r="J7761">
        <v>-216.98830000000001</v>
      </c>
      <c r="K7761">
        <v>1.113003</v>
      </c>
      <c r="L7761">
        <v>-63.737699999999997</v>
      </c>
      <c r="M7761">
        <v>0.99919800000000003</v>
      </c>
      <c r="N7761">
        <v>0</v>
      </c>
      <c r="O7761">
        <v>3.9202029999999999E-2</v>
      </c>
      <c r="P7761">
        <v>0.9474631</v>
      </c>
      <c r="Q7761">
        <v>0.20210159999999999</v>
      </c>
      <c r="R7761">
        <v>0.2479287</v>
      </c>
      <c r="S7761">
        <v>2.9155880000000001</v>
      </c>
      <c r="T7761">
        <v>-0.18261649999999999</v>
      </c>
      <c r="U7761">
        <v>1.10849</v>
      </c>
      <c r="V7761">
        <v>-0.21236569999999999</v>
      </c>
      <c r="W7761">
        <v>0.208117</v>
      </c>
      <c r="X7761">
        <v>0.95477129999999999</v>
      </c>
      <c r="Y7761">
        <v>-0.31798340000000003</v>
      </c>
      <c r="Z7761">
        <v>7.2480369999999997E-3</v>
      </c>
      <c r="AA7761">
        <v>0.94806860000000004</v>
      </c>
      <c r="AB7761">
        <v>38</v>
      </c>
      <c r="AC7761">
        <v>17.542400000000001</v>
      </c>
      <c r="AD7761">
        <v>-1.113011419619</v>
      </c>
      <c r="AE7761">
        <v>6.7450699999999904</v>
      </c>
      <c r="AF7761">
        <v>-6.03101323041599</v>
      </c>
      <c r="AG7761">
        <v>-1.113011419619</v>
      </c>
      <c r="AH7761">
        <v>17.731159872603701</v>
      </c>
      <c r="AI7761">
        <v>93.400966185195003</v>
      </c>
      <c r="AJ7761">
        <v>108.785039254517</v>
      </c>
      <c r="AK7761">
        <v>18.761821484959398</v>
      </c>
      <c r="AL7761">
        <v>77.987974261596904</v>
      </c>
      <c r="AM7761">
        <v>102.53991846103401</v>
      </c>
      <c r="AN7761">
        <v>1.0000000557645801</v>
      </c>
    </row>
    <row r="7762" spans="1:40" x14ac:dyDescent="0.25">
      <c r="A7762" t="str">
        <f>"20190312172301747"</f>
        <v>20190312172301747</v>
      </c>
      <c r="B7762" t="str">
        <f>"1552382581738300"</f>
        <v>1552382581738300</v>
      </c>
      <c r="C7762" t="s">
        <v>40</v>
      </c>
      <c r="D7762">
        <v>3.2075200000000001</v>
      </c>
      <c r="E7762">
        <v>0.45739030000000003</v>
      </c>
      <c r="F7762" t="s">
        <v>64</v>
      </c>
      <c r="G7762">
        <v>-199.15280000000001</v>
      </c>
      <c r="H7762" s="1">
        <v>-8.4157430000000007E-6</v>
      </c>
      <c r="I7762">
        <v>-56.909750000000003</v>
      </c>
      <c r="J7762">
        <v>-216.84399999999999</v>
      </c>
      <c r="K7762">
        <v>1.113103</v>
      </c>
      <c r="L7762">
        <v>-63.730829999999997</v>
      </c>
      <c r="M7762">
        <v>0.99913419999999997</v>
      </c>
      <c r="N7762">
        <v>0</v>
      </c>
      <c r="O7762">
        <v>4.0791380000000002E-2</v>
      </c>
      <c r="P7762">
        <v>0.94700549999999994</v>
      </c>
      <c r="Q7762">
        <v>0.2024775</v>
      </c>
      <c r="R7762">
        <v>0.249366</v>
      </c>
      <c r="S7762">
        <v>2.913284</v>
      </c>
      <c r="T7762">
        <v>-0.1818024</v>
      </c>
      <c r="U7762">
        <v>1.1152949999999999</v>
      </c>
      <c r="V7762">
        <v>-0.21235280000000001</v>
      </c>
      <c r="W7762">
        <v>0.2084551</v>
      </c>
      <c r="X7762">
        <v>0.9547004</v>
      </c>
      <c r="Y7762">
        <v>-0.31866319999999998</v>
      </c>
      <c r="Z7762">
        <v>7.1434019999999897E-3</v>
      </c>
      <c r="AA7762">
        <v>0.94784109999999999</v>
      </c>
      <c r="AB7762">
        <v>38</v>
      </c>
      <c r="AC7762">
        <v>17.691199999999998</v>
      </c>
      <c r="AD7762">
        <v>-1.113111415743</v>
      </c>
      <c r="AE7762">
        <v>6.8210800000000003</v>
      </c>
      <c r="AF7762">
        <v>-6.0728001484314102</v>
      </c>
      <c r="AG7762">
        <v>-1.113111415743</v>
      </c>
      <c r="AH7762">
        <v>17.8930574837538</v>
      </c>
      <c r="AI7762">
        <v>93.371327700583294</v>
      </c>
      <c r="AJ7762">
        <v>108.746914998588</v>
      </c>
      <c r="AK7762">
        <v>18.928270517497499</v>
      </c>
      <c r="AL7762">
        <v>77.968168065317897</v>
      </c>
      <c r="AM7762">
        <v>102.540082581739</v>
      </c>
      <c r="AN7762">
        <v>1.0000000470720001</v>
      </c>
    </row>
    <row r="7763" spans="1:40" x14ac:dyDescent="0.25">
      <c r="A7763" t="str">
        <f>"20190312172301757"</f>
        <v>20190312172301757</v>
      </c>
      <c r="B7763" t="str">
        <f>"1552382581748060"</f>
        <v>1552382581748060</v>
      </c>
      <c r="C7763" t="s">
        <v>40</v>
      </c>
      <c r="D7763">
        <v>3.2112229999999999</v>
      </c>
      <c r="E7763">
        <v>0.45742670000000002</v>
      </c>
      <c r="F7763" t="s">
        <v>64</v>
      </c>
      <c r="G7763">
        <v>-198.91929999999999</v>
      </c>
      <c r="H7763" s="1">
        <v>-8.4154889999999992E-6</v>
      </c>
      <c r="I7763">
        <v>-56.835650000000001</v>
      </c>
      <c r="J7763">
        <v>-216.65729999999999</v>
      </c>
      <c r="K7763">
        <v>1.1132310000000001</v>
      </c>
      <c r="L7763">
        <v>-63.7217699999999</v>
      </c>
      <c r="M7763">
        <v>0.99904709999999997</v>
      </c>
      <c r="N7763">
        <v>0</v>
      </c>
      <c r="O7763">
        <v>4.2867549999999997E-2</v>
      </c>
      <c r="P7763">
        <v>0.94635309999999995</v>
      </c>
      <c r="Q7763">
        <v>0.2032176</v>
      </c>
      <c r="R7763">
        <v>0.25123379999999901</v>
      </c>
      <c r="S7763">
        <v>2.9116059999999999</v>
      </c>
      <c r="T7763">
        <v>-0.18080930000000001</v>
      </c>
      <c r="U7763">
        <v>1.120026</v>
      </c>
      <c r="V7763">
        <v>-0.2123313</v>
      </c>
      <c r="W7763">
        <v>0.20914579999999999</v>
      </c>
      <c r="X7763">
        <v>0.95455409999999996</v>
      </c>
      <c r="Y7763">
        <v>-0.3182275</v>
      </c>
      <c r="Z7763">
        <v>6.9694259999999999E-3</v>
      </c>
      <c r="AA7763">
        <v>0.94798870000000002</v>
      </c>
      <c r="AB7763">
        <v>38</v>
      </c>
      <c r="AC7763">
        <v>17.738</v>
      </c>
      <c r="AD7763">
        <v>-1.113239415489</v>
      </c>
      <c r="AE7763">
        <v>6.8861199999999902</v>
      </c>
      <c r="AF7763">
        <v>-6.0985044709924496</v>
      </c>
      <c r="AG7763">
        <v>-1.113239415489</v>
      </c>
      <c r="AH7763">
        <v>17.955433726332</v>
      </c>
      <c r="AI7763">
        <v>93.3597705046827</v>
      </c>
      <c r="AJ7763">
        <v>108.759888120729</v>
      </c>
      <c r="AK7763">
        <v>18.995490493262199</v>
      </c>
      <c r="AL7763">
        <v>77.927701819171403</v>
      </c>
      <c r="AM7763">
        <v>102.540714077225</v>
      </c>
      <c r="AN7763">
        <v>1.00000003822206</v>
      </c>
    </row>
    <row r="7764" spans="1:40" x14ac:dyDescent="0.25">
      <c r="A7764" t="str">
        <f>"20190312172301769"</f>
        <v>20190312172301769</v>
      </c>
      <c r="B7764" t="str">
        <f>"1552382581757820"</f>
        <v>1552382581757820</v>
      </c>
      <c r="C7764" t="s">
        <v>40</v>
      </c>
      <c r="D7764">
        <v>3.2007219999999998</v>
      </c>
      <c r="E7764">
        <v>0.4573566</v>
      </c>
      <c r="F7764" t="s">
        <v>64</v>
      </c>
      <c r="G7764">
        <v>-198.50559999999999</v>
      </c>
      <c r="H7764" s="1">
        <v>-8.4179729999999992E-6</v>
      </c>
      <c r="I7764">
        <v>-56.695999999999998</v>
      </c>
      <c r="J7764">
        <v>-216.46879999999999</v>
      </c>
      <c r="K7764">
        <v>1.1133649999999999</v>
      </c>
      <c r="L7764">
        <v>-63.711979999999997</v>
      </c>
      <c r="M7764">
        <v>0.99895009999999995</v>
      </c>
      <c r="N7764">
        <v>0</v>
      </c>
      <c r="O7764">
        <v>4.5071519999999997E-2</v>
      </c>
      <c r="P7764">
        <v>0.94569040000000004</v>
      </c>
      <c r="Q7764">
        <v>0.2036965</v>
      </c>
      <c r="R7764">
        <v>0.25333299999999997</v>
      </c>
      <c r="S7764">
        <v>2.9094389999999999</v>
      </c>
      <c r="T7764">
        <v>-0.17843619999999999</v>
      </c>
      <c r="U7764">
        <v>1.1261289999999999</v>
      </c>
      <c r="V7764">
        <v>-0.21242059999999999</v>
      </c>
      <c r="W7764">
        <v>0.20957239999999999</v>
      </c>
      <c r="X7764">
        <v>0.95444059999999997</v>
      </c>
      <c r="Y7764">
        <v>-0.31811929999999999</v>
      </c>
      <c r="Z7764">
        <v>6.7474839999999998E-3</v>
      </c>
      <c r="AA7764">
        <v>0.9480267</v>
      </c>
      <c r="AB7764">
        <v>38</v>
      </c>
      <c r="AC7764">
        <v>17.963200000000001</v>
      </c>
      <c r="AD7764">
        <v>-1.1133734179729999</v>
      </c>
      <c r="AE7764">
        <v>7.0159799999999901</v>
      </c>
      <c r="AF7764">
        <v>-6.1785994631334997</v>
      </c>
      <c r="AG7764">
        <v>-1.1133734179729999</v>
      </c>
      <c r="AH7764">
        <v>18.200510377548301</v>
      </c>
      <c r="AI7764">
        <v>93.315203588113505</v>
      </c>
      <c r="AJ7764">
        <v>108.751012525836</v>
      </c>
      <c r="AK7764">
        <v>19.252876920006699</v>
      </c>
      <c r="AL7764">
        <v>77.902704784022305</v>
      </c>
      <c r="AM7764">
        <v>102.54726605268399</v>
      </c>
      <c r="AN7764">
        <v>0.99999998053723904</v>
      </c>
    </row>
    <row r="7765" spans="1:40" x14ac:dyDescent="0.25">
      <c r="A7765" t="str">
        <f>"20190312172301780"</f>
        <v>20190312172301780</v>
      </c>
      <c r="B7765" t="str">
        <f>"1552382581767579"</f>
        <v>1552382581767579</v>
      </c>
      <c r="C7765" t="s">
        <v>40</v>
      </c>
      <c r="D7765">
        <v>3.185873</v>
      </c>
      <c r="E7765">
        <v>0.45727839999999997</v>
      </c>
      <c r="F7765" t="s">
        <v>64</v>
      </c>
      <c r="G7765">
        <v>-198.1942</v>
      </c>
      <c r="H7765" s="1">
        <v>-8.4232079999999995E-6</v>
      </c>
      <c r="I7765">
        <v>-56.581290000000003</v>
      </c>
      <c r="J7765">
        <v>-216.28219999999999</v>
      </c>
      <c r="K7765">
        <v>1.1134999999999999</v>
      </c>
      <c r="L7765">
        <v>-63.702120000000001</v>
      </c>
      <c r="M7765">
        <v>0.99884799999999996</v>
      </c>
      <c r="N7765">
        <v>0</v>
      </c>
      <c r="O7765">
        <v>4.7276899999999997E-2</v>
      </c>
      <c r="P7765">
        <v>0.94503090000000001</v>
      </c>
      <c r="Q7765">
        <v>0.20409150000000001</v>
      </c>
      <c r="R7765">
        <v>0.2554671</v>
      </c>
      <c r="S7765">
        <v>2.9066160000000001</v>
      </c>
      <c r="T7765">
        <v>-0.1770852</v>
      </c>
      <c r="U7765">
        <v>1.134155</v>
      </c>
      <c r="V7765">
        <v>-0.21254390000000001</v>
      </c>
      <c r="W7765">
        <v>0.20991509999999999</v>
      </c>
      <c r="X7765">
        <v>0.95433789999999996</v>
      </c>
      <c r="Y7765">
        <v>-0.31861970000000001</v>
      </c>
      <c r="Z7765">
        <v>6.5852100000000002E-3</v>
      </c>
      <c r="AA7765">
        <v>0.94785980000000003</v>
      </c>
      <c r="AB7765">
        <v>38</v>
      </c>
      <c r="AC7765">
        <v>18.087999999999901</v>
      </c>
      <c r="AD7765">
        <v>-1.1135084232079999</v>
      </c>
      <c r="AE7765">
        <v>7.12082999999999</v>
      </c>
      <c r="AF7765">
        <v>-6.237228143306</v>
      </c>
      <c r="AG7765">
        <v>-1.1135084232079999</v>
      </c>
      <c r="AH7765">
        <v>18.344244296775098</v>
      </c>
      <c r="AI7765">
        <v>93.289147016126094</v>
      </c>
      <c r="AJ7765">
        <v>108.7785513994</v>
      </c>
      <c r="AK7765">
        <v>19.407581372751501</v>
      </c>
      <c r="AL7765">
        <v>77.882623593053907</v>
      </c>
      <c r="AM7765">
        <v>102.555626503016</v>
      </c>
      <c r="AN7765">
        <v>1.00000004300581</v>
      </c>
    </row>
    <row r="7766" spans="1:40" x14ac:dyDescent="0.25">
      <c r="A7766" t="str">
        <f>"20190312172301791"</f>
        <v>20190312172301791</v>
      </c>
      <c r="B7766" t="str">
        <f>"1552382581788075"</f>
        <v>1552382581788075</v>
      </c>
      <c r="C7766" t="s">
        <v>40</v>
      </c>
      <c r="D7766">
        <v>3.212739</v>
      </c>
      <c r="E7766">
        <v>0.4573178</v>
      </c>
      <c r="F7766" t="s">
        <v>64</v>
      </c>
      <c r="G7766">
        <v>-197.953</v>
      </c>
      <c r="H7766" s="1">
        <v>-8.4271909999999999E-6</v>
      </c>
      <c r="I7766">
        <v>-56.492640000000002</v>
      </c>
      <c r="J7766">
        <v>-216.08789999999999</v>
      </c>
      <c r="K7766">
        <v>1.1136440000000001</v>
      </c>
      <c r="L7766">
        <v>-63.690980000000003</v>
      </c>
      <c r="M7766">
        <v>0.99873009999999995</v>
      </c>
      <c r="N7766">
        <v>0</v>
      </c>
      <c r="O7766">
        <v>4.9697089999999999E-2</v>
      </c>
      <c r="P7766">
        <v>0.94423710000000005</v>
      </c>
      <c r="Q7766">
        <v>0.2043642</v>
      </c>
      <c r="R7766">
        <v>0.2581698</v>
      </c>
      <c r="S7766">
        <v>2.9038539999999999</v>
      </c>
      <c r="T7766">
        <v>-0.1764106</v>
      </c>
      <c r="U7766">
        <v>1.1421809999999999</v>
      </c>
      <c r="V7766">
        <v>-0.21303939999999999</v>
      </c>
      <c r="W7766">
        <v>0.2101295</v>
      </c>
      <c r="X7766">
        <v>0.95418020000000003</v>
      </c>
      <c r="Y7766">
        <v>-0.31890600000000002</v>
      </c>
      <c r="Z7766">
        <v>6.430341E-3</v>
      </c>
      <c r="AA7766">
        <v>0.94776459999999996</v>
      </c>
      <c r="AB7766">
        <v>38</v>
      </c>
      <c r="AC7766">
        <v>18.134899999999899</v>
      </c>
      <c r="AD7766">
        <v>-1.113652427191</v>
      </c>
      <c r="AE7766">
        <v>7.19834</v>
      </c>
      <c r="AF7766">
        <v>-6.2677429096859099</v>
      </c>
      <c r="AG7766">
        <v>-1.113652427191</v>
      </c>
      <c r="AH7766">
        <v>18.4102612948688</v>
      </c>
      <c r="AI7766">
        <v>93.277364155550202</v>
      </c>
      <c r="AJ7766">
        <v>108.80105627636701</v>
      </c>
      <c r="AK7766">
        <v>19.479798352545899</v>
      </c>
      <c r="AL7766">
        <v>77.870058907099306</v>
      </c>
      <c r="AM7766">
        <v>102.585979513711</v>
      </c>
      <c r="AN7766">
        <v>1.0000000233973201</v>
      </c>
    </row>
    <row r="7767" spans="1:40" x14ac:dyDescent="0.25">
      <c r="A7767" t="str">
        <f>"20190312172301803"</f>
        <v>20190312172301803</v>
      </c>
      <c r="B7767" t="str">
        <f>"1552382581797835"</f>
        <v>1552382581797835</v>
      </c>
      <c r="C7767" t="s">
        <v>40</v>
      </c>
      <c r="D7767">
        <v>3.2277499999999999</v>
      </c>
      <c r="E7767">
        <v>0.45724039999999999</v>
      </c>
      <c r="F7767" t="s">
        <v>64</v>
      </c>
      <c r="G7767">
        <v>-197.71940000000001</v>
      </c>
      <c r="H7767" s="1">
        <v>-8.4328979999999997E-6</v>
      </c>
      <c r="I7767">
        <v>-56.401539999999997</v>
      </c>
      <c r="J7767">
        <v>-215.8963</v>
      </c>
      <c r="K7767">
        <v>1.11378</v>
      </c>
      <c r="L7767">
        <v>-63.679780000000001</v>
      </c>
      <c r="M7767">
        <v>0.99860689999999996</v>
      </c>
      <c r="N7767">
        <v>0</v>
      </c>
      <c r="O7767">
        <v>5.2114460000000001E-2</v>
      </c>
      <c r="P7767">
        <v>0.94348560000000004</v>
      </c>
      <c r="Q7767">
        <v>0.20472489999999999</v>
      </c>
      <c r="R7767">
        <v>0.26062030000000003</v>
      </c>
      <c r="S7767">
        <v>2.900528</v>
      </c>
      <c r="T7767">
        <v>-0.17585479999999901</v>
      </c>
      <c r="U7767">
        <v>1.151062</v>
      </c>
      <c r="V7767">
        <v>-0.21328440000000001</v>
      </c>
      <c r="W7767">
        <v>0.21043529999999999</v>
      </c>
      <c r="X7767">
        <v>0.95405810000000002</v>
      </c>
      <c r="Y7767">
        <v>-0.31949729999999998</v>
      </c>
      <c r="Z7767">
        <v>6.2905110000000004E-3</v>
      </c>
      <c r="AA7767">
        <v>0.94756629999999997</v>
      </c>
      <c r="AB7767">
        <v>38</v>
      </c>
      <c r="AC7767">
        <v>18.1768999999999</v>
      </c>
      <c r="AD7767">
        <v>-1.1137884328979999</v>
      </c>
      <c r="AE7767">
        <v>7.2782400000000003</v>
      </c>
      <c r="AF7767">
        <v>-6.30064958287495</v>
      </c>
      <c r="AG7767">
        <v>-1.1137884328979999</v>
      </c>
      <c r="AH7767">
        <v>18.4717413146562</v>
      </c>
      <c r="AI7767">
        <v>93.266232520320699</v>
      </c>
      <c r="AJ7767">
        <v>108.834338309579</v>
      </c>
      <c r="AK7767">
        <v>19.548502168580999</v>
      </c>
      <c r="AL7767">
        <v>77.852137522915697</v>
      </c>
      <c r="AM7767">
        <v>102.60155279960399</v>
      </c>
      <c r="AN7767">
        <v>1.0000000544725201</v>
      </c>
    </row>
    <row r="7768" spans="1:40" x14ac:dyDescent="0.25">
      <c r="A7768" t="str">
        <f>"20190312172301814"</f>
        <v>20190312172301814</v>
      </c>
      <c r="B7768" t="str">
        <f>"1552382581807596"</f>
        <v>1552382581807596</v>
      </c>
      <c r="C7768" t="s">
        <v>40</v>
      </c>
      <c r="D7768">
        <v>3.2381169999999999</v>
      </c>
      <c r="E7768">
        <v>0.45724039999999999</v>
      </c>
      <c r="F7768" t="s">
        <v>64</v>
      </c>
      <c r="G7768">
        <v>-197.5</v>
      </c>
      <c r="H7768" s="1">
        <v>-8.4389040000000007E-6</v>
      </c>
      <c r="I7768">
        <v>-56.31409</v>
      </c>
      <c r="J7768">
        <v>-215.69909999999999</v>
      </c>
      <c r="K7768">
        <v>1.1139190000000001</v>
      </c>
      <c r="L7768">
        <v>-63.667569999999998</v>
      </c>
      <c r="M7768">
        <v>0.99846919999999995</v>
      </c>
      <c r="N7768">
        <v>0</v>
      </c>
      <c r="O7768">
        <v>5.4684839999999998E-2</v>
      </c>
      <c r="P7768">
        <v>0.94265750000000004</v>
      </c>
      <c r="Q7768">
        <v>0.20480880000000001</v>
      </c>
      <c r="R7768">
        <v>0.2635342</v>
      </c>
      <c r="S7768">
        <v>2.8973390000000001</v>
      </c>
      <c r="T7768">
        <v>-0.17541689999999999</v>
      </c>
      <c r="U7768">
        <v>1.1600649999999999</v>
      </c>
      <c r="V7768">
        <v>-0.2138495</v>
      </c>
      <c r="W7768">
        <v>0.21046239999999999</v>
      </c>
      <c r="X7768">
        <v>0.95392549999999998</v>
      </c>
      <c r="Y7768">
        <v>-0.3199613</v>
      </c>
      <c r="Z7768">
        <v>6.1425859999999898E-3</v>
      </c>
      <c r="AA7768">
        <v>0.94741070000000005</v>
      </c>
      <c r="AB7768">
        <v>38</v>
      </c>
      <c r="AC7768">
        <v>18.199099999999898</v>
      </c>
      <c r="AD7768">
        <v>-1.1139274389039999</v>
      </c>
      <c r="AE7768">
        <v>7.3534799999999896</v>
      </c>
      <c r="AF7768">
        <v>-6.3268506158141697</v>
      </c>
      <c r="AG7768">
        <v>-1.1139274389039999</v>
      </c>
      <c r="AH7768">
        <v>18.514376547238001</v>
      </c>
      <c r="AI7768">
        <v>93.258506937505203</v>
      </c>
      <c r="AJ7768">
        <v>108.8666504601</v>
      </c>
      <c r="AK7768">
        <v>19.597245010125398</v>
      </c>
      <c r="AL7768">
        <v>77.850547887278097</v>
      </c>
      <c r="AM7768">
        <v>102.63557014259401</v>
      </c>
      <c r="AN7768">
        <v>0.99999994500712797</v>
      </c>
    </row>
    <row r="7769" spans="1:40" x14ac:dyDescent="0.25">
      <c r="A7769" t="str">
        <f>"20190312172301826"</f>
        <v>20190312172301826</v>
      </c>
      <c r="B7769" t="str">
        <f>"1552382581818331"</f>
        <v>1552382581818331</v>
      </c>
      <c r="C7769" t="s">
        <v>40</v>
      </c>
      <c r="D7769">
        <v>3.2064900000000001</v>
      </c>
      <c r="E7769">
        <v>0.45717659999999999</v>
      </c>
      <c r="F7769" t="s">
        <v>64</v>
      </c>
      <c r="G7769">
        <v>-197.2791</v>
      </c>
      <c r="H7769" s="1">
        <v>-8.4458369999999992E-6</v>
      </c>
      <c r="I7769">
        <v>-56.223550000000003</v>
      </c>
      <c r="J7769">
        <v>-215.5128</v>
      </c>
      <c r="K7769">
        <v>1.114042</v>
      </c>
      <c r="L7769">
        <v>-63.655610000000003</v>
      </c>
      <c r="M7769">
        <v>0.99833000000000005</v>
      </c>
      <c r="N7769">
        <v>0</v>
      </c>
      <c r="O7769">
        <v>5.7166710000000003E-2</v>
      </c>
      <c r="P7769">
        <v>0.94172959999999994</v>
      </c>
      <c r="Q7769">
        <v>0.20522609999999999</v>
      </c>
      <c r="R7769">
        <v>0.26651049999999998</v>
      </c>
      <c r="S7769">
        <v>2.8935849999999999</v>
      </c>
      <c r="T7769">
        <v>-0.17498540000000001</v>
      </c>
      <c r="U7769">
        <v>1.169373</v>
      </c>
      <c r="V7769">
        <v>-0.21456729999999999</v>
      </c>
      <c r="W7769">
        <v>0.2108245</v>
      </c>
      <c r="X7769">
        <v>0.95368439999999999</v>
      </c>
      <c r="Y7769">
        <v>-0.32065769999999999</v>
      </c>
      <c r="Z7769">
        <v>6.0082929999999996E-3</v>
      </c>
      <c r="AA7769">
        <v>0.94717609999999997</v>
      </c>
      <c r="AB7769">
        <v>38</v>
      </c>
      <c r="AC7769">
        <v>18.233699999999999</v>
      </c>
      <c r="AD7769">
        <v>-1.114050445837</v>
      </c>
      <c r="AE7769">
        <v>7.4320599999999901</v>
      </c>
      <c r="AF7769">
        <v>-6.3571580052186301</v>
      </c>
      <c r="AG7769">
        <v>-1.114050445837</v>
      </c>
      <c r="AH7769">
        <v>18.5693167673044</v>
      </c>
      <c r="AI7769">
        <v>93.2486282534677</v>
      </c>
      <c r="AJ7769">
        <v>108.898508204122</v>
      </c>
      <c r="AK7769">
        <v>19.658944313051901</v>
      </c>
      <c r="AL7769">
        <v>77.829325773258205</v>
      </c>
      <c r="AM7769">
        <v>102.679715015735</v>
      </c>
      <c r="AN7769">
        <v>1.0000000154164399</v>
      </c>
    </row>
    <row r="7770" spans="1:40" x14ac:dyDescent="0.25">
      <c r="A7770" t="str">
        <f>"20190312172301835"</f>
        <v>20190312172301835</v>
      </c>
      <c r="B7770" t="str">
        <f>"1552382581828092"</f>
        <v>1552382581828092</v>
      </c>
      <c r="C7770" t="s">
        <v>40</v>
      </c>
      <c r="D7770">
        <v>3.1867040000000002</v>
      </c>
      <c r="E7770">
        <v>0.45712809999999998</v>
      </c>
      <c r="F7770" t="s">
        <v>64</v>
      </c>
      <c r="G7770">
        <v>-197.0367</v>
      </c>
      <c r="H7770" s="1">
        <v>-8.457288E-6</v>
      </c>
      <c r="I7770">
        <v>-56.113280000000003</v>
      </c>
      <c r="J7770">
        <v>-215.32830000000001</v>
      </c>
      <c r="K7770">
        <v>1.114166</v>
      </c>
      <c r="L7770">
        <v>-63.643279999999997</v>
      </c>
      <c r="M7770">
        <v>0.99818340000000005</v>
      </c>
      <c r="N7770">
        <v>0</v>
      </c>
      <c r="O7770">
        <v>5.9669060000000003E-2</v>
      </c>
      <c r="P7770">
        <v>0.9407626</v>
      </c>
      <c r="Q7770">
        <v>0.20571800000000001</v>
      </c>
      <c r="R7770">
        <v>0.26952939999999997</v>
      </c>
      <c r="S7770">
        <v>2.8897400000000002</v>
      </c>
      <c r="T7770">
        <v>-0.17424289999999901</v>
      </c>
      <c r="U7770">
        <v>1.179657</v>
      </c>
      <c r="V7770">
        <v>-0.2153109</v>
      </c>
      <c r="W7770">
        <v>0.2112627</v>
      </c>
      <c r="X7770">
        <v>0.95341980000000004</v>
      </c>
      <c r="Y7770">
        <v>-0.32161990000000001</v>
      </c>
      <c r="Z7770">
        <v>5.8703599999999998E-3</v>
      </c>
      <c r="AA7770">
        <v>0.94685070000000005</v>
      </c>
      <c r="AB7770">
        <v>38</v>
      </c>
      <c r="AC7770">
        <v>18.291599999999999</v>
      </c>
      <c r="AD7770">
        <v>-1.1141744572879999</v>
      </c>
      <c r="AE7770">
        <v>7.53</v>
      </c>
      <c r="AF7770">
        <v>-6.4047819226029299</v>
      </c>
      <c r="AG7770">
        <v>-1.1141744572879999</v>
      </c>
      <c r="AH7770">
        <v>18.6491633886599</v>
      </c>
      <c r="AI7770">
        <v>93.234030751391899</v>
      </c>
      <c r="AJ7770">
        <v>108.954283196216</v>
      </c>
      <c r="AK7770">
        <v>19.749782563215899</v>
      </c>
      <c r="AL7770">
        <v>77.803640215419904</v>
      </c>
      <c r="AM7770">
        <v>102.725645538089</v>
      </c>
      <c r="AN7770">
        <v>1.00000001355107</v>
      </c>
    </row>
    <row r="7771" spans="1:40" x14ac:dyDescent="0.25">
      <c r="A7771" t="str">
        <f>"20190312172301847"</f>
        <v>20190312172301847</v>
      </c>
      <c r="B7771" t="str">
        <f>"1552382581837851"</f>
        <v>1552382581837851</v>
      </c>
      <c r="C7771" t="s">
        <v>40</v>
      </c>
      <c r="D7771">
        <v>3.2056710000000002</v>
      </c>
      <c r="E7771">
        <v>0.45708029999999999</v>
      </c>
      <c r="F7771" t="s">
        <v>64</v>
      </c>
      <c r="G7771">
        <v>-196.79480000000001</v>
      </c>
      <c r="H7771" s="1">
        <v>-8.4688809999999992E-6</v>
      </c>
      <c r="I7771">
        <v>-56.002719999999997</v>
      </c>
      <c r="J7771">
        <v>-215.1454</v>
      </c>
      <c r="K7771">
        <v>1.114285</v>
      </c>
      <c r="L7771">
        <v>-63.630429999999997</v>
      </c>
      <c r="M7771">
        <v>0.99802789999999997</v>
      </c>
      <c r="N7771">
        <v>0</v>
      </c>
      <c r="O7771">
        <v>6.221467E-2</v>
      </c>
      <c r="P7771">
        <v>0.93980260000000004</v>
      </c>
      <c r="Q7771">
        <v>0.20613770000000001</v>
      </c>
      <c r="R7771">
        <v>0.27254040000000002</v>
      </c>
      <c r="S7771">
        <v>2.8859710000000001</v>
      </c>
      <c r="T7771">
        <v>-0.17349489999999901</v>
      </c>
      <c r="U7771">
        <v>1.1897580000000001</v>
      </c>
      <c r="V7771">
        <v>-0.21600420000000001</v>
      </c>
      <c r="W7771">
        <v>0.21163129999999999</v>
      </c>
      <c r="X7771">
        <v>0.95318119999999995</v>
      </c>
      <c r="Y7771">
        <v>-0.32247979999999998</v>
      </c>
      <c r="Z7771">
        <v>5.7275969999999897E-3</v>
      </c>
      <c r="AA7771">
        <v>0.94655900000000004</v>
      </c>
      <c r="AB7771">
        <v>38</v>
      </c>
      <c r="AC7771">
        <v>18.350599999999901</v>
      </c>
      <c r="AD7771">
        <v>-1.114293468881</v>
      </c>
      <c r="AE7771">
        <v>7.6277100000000004</v>
      </c>
      <c r="AF7771">
        <v>-6.4509344641743498</v>
      </c>
      <c r="AG7771">
        <v>-1.114293468881</v>
      </c>
      <c r="AH7771">
        <v>18.7307310915625</v>
      </c>
      <c r="AI7771">
        <v>93.219363311902299</v>
      </c>
      <c r="AJ7771">
        <v>109.003901031391</v>
      </c>
      <c r="AK7771">
        <v>19.841786527938702</v>
      </c>
      <c r="AL7771">
        <v>77.782032393415705</v>
      </c>
      <c r="AM7771">
        <v>102.768372160038</v>
      </c>
      <c r="AN7771">
        <v>1.0000000107953799</v>
      </c>
    </row>
    <row r="7772" spans="1:40" x14ac:dyDescent="0.25">
      <c r="A7772" t="str">
        <f>"20190312172301858"</f>
        <v>20190312172301858</v>
      </c>
      <c r="B7772" t="str">
        <f>"1552382581847612"</f>
        <v>1552382581847612</v>
      </c>
      <c r="C7772" t="s">
        <v>40</v>
      </c>
      <c r="D7772">
        <v>3.2798850000000002</v>
      </c>
      <c r="E7772">
        <v>0.45708029999999999</v>
      </c>
      <c r="F7772" t="s">
        <v>64</v>
      </c>
      <c r="G7772">
        <v>-196.56569999999999</v>
      </c>
      <c r="H7772" s="1">
        <v>-8.480909E-6</v>
      </c>
      <c r="I7772">
        <v>-55.895029999999998</v>
      </c>
      <c r="J7772">
        <v>-214.94720000000001</v>
      </c>
      <c r="K7772">
        <v>1.114414</v>
      </c>
      <c r="L7772">
        <v>-63.616239999999998</v>
      </c>
      <c r="M7772">
        <v>0.99784989999999996</v>
      </c>
      <c r="N7772">
        <v>0</v>
      </c>
      <c r="O7772">
        <v>6.5002699999999997E-2</v>
      </c>
      <c r="P7772">
        <v>0.93859890000000001</v>
      </c>
      <c r="Q7772">
        <v>0.20706649999999999</v>
      </c>
      <c r="R7772">
        <v>0.27596320000000002</v>
      </c>
      <c r="S7772">
        <v>2.8820950000000001</v>
      </c>
      <c r="T7772">
        <v>-0.17285010000000001</v>
      </c>
      <c r="U7772">
        <v>1.199921</v>
      </c>
      <c r="V7772">
        <v>-0.2169044</v>
      </c>
      <c r="W7772">
        <v>0.21250179999999999</v>
      </c>
      <c r="X7772">
        <v>0.95278300000000005</v>
      </c>
      <c r="Y7772">
        <v>-0.32313809999999998</v>
      </c>
      <c r="Z7772">
        <v>5.5696139999999996E-3</v>
      </c>
      <c r="AA7772">
        <v>0.94633540000000005</v>
      </c>
      <c r="AB7772">
        <v>38</v>
      </c>
      <c r="AC7772">
        <v>18.381499999999999</v>
      </c>
      <c r="AD7772">
        <v>-1.114422480909</v>
      </c>
      <c r="AE7772">
        <v>7.7212099999999904</v>
      </c>
      <c r="AF7772">
        <v>-6.4897136407360296</v>
      </c>
      <c r="AG7772">
        <v>-1.114422480909</v>
      </c>
      <c r="AH7772">
        <v>18.7858446883975</v>
      </c>
      <c r="AI7772">
        <v>93.209268488896896</v>
      </c>
      <c r="AJ7772">
        <v>109.057863099738</v>
      </c>
      <c r="AK7772">
        <v>19.906438186207598</v>
      </c>
      <c r="AL7772">
        <v>77.730995329252593</v>
      </c>
      <c r="AM7772">
        <v>102.825010357244</v>
      </c>
      <c r="AN7772">
        <v>0.99999998941579904</v>
      </c>
    </row>
    <row r="7773" spans="1:40" x14ac:dyDescent="0.25">
      <c r="A7773" t="str">
        <f>"20190312172301871"</f>
        <v>20190312172301871</v>
      </c>
      <c r="B7773" t="str">
        <f>"1552382581858348"</f>
        <v>1552382581858348</v>
      </c>
      <c r="C7773" t="s">
        <v>40</v>
      </c>
      <c r="D7773">
        <v>3.2065160000000001</v>
      </c>
      <c r="E7773">
        <v>0.45479229999999998</v>
      </c>
      <c r="F7773" t="s">
        <v>64</v>
      </c>
      <c r="G7773">
        <v>-196.04839999999999</v>
      </c>
      <c r="H7773" s="1">
        <v>-8.5045650000000008E-6</v>
      </c>
      <c r="I7773">
        <v>-55.661869999999901</v>
      </c>
      <c r="J7773">
        <v>-214.7559</v>
      </c>
      <c r="K7773">
        <v>1.1145309999999999</v>
      </c>
      <c r="L7773">
        <v>-63.601619999999997</v>
      </c>
      <c r="M7773">
        <v>0.99766560000000004</v>
      </c>
      <c r="N7773">
        <v>0</v>
      </c>
      <c r="O7773">
        <v>6.7771440000000002E-2</v>
      </c>
      <c r="P7773">
        <v>0.93747320000000001</v>
      </c>
      <c r="Q7773">
        <v>0.207755</v>
      </c>
      <c r="R7773">
        <v>0.27925250000000001</v>
      </c>
      <c r="S7773">
        <v>2.8775789999999999</v>
      </c>
      <c r="T7773">
        <v>-0.16968459999999999</v>
      </c>
      <c r="U7773">
        <v>1.2111510000000001</v>
      </c>
      <c r="V7773">
        <v>-0.21767980000000001</v>
      </c>
      <c r="W7773">
        <v>0.21313960000000001</v>
      </c>
      <c r="X7773">
        <v>0.95246359999999997</v>
      </c>
      <c r="Y7773">
        <v>-0.32419740000000002</v>
      </c>
      <c r="Z7773">
        <v>5.3465860000000004E-3</v>
      </c>
      <c r="AA7773">
        <v>0.94597430000000005</v>
      </c>
      <c r="AB7773">
        <v>38</v>
      </c>
      <c r="AC7773">
        <v>18.7075</v>
      </c>
      <c r="AD7773">
        <v>-1.1145395045649999</v>
      </c>
      <c r="AE7773">
        <v>7.9397500000000001</v>
      </c>
      <c r="AF7773">
        <v>-6.6336635168425797</v>
      </c>
      <c r="AG7773">
        <v>-1.1145395045649999</v>
      </c>
      <c r="AH7773">
        <v>19.145011403261499</v>
      </c>
      <c r="AI7773">
        <v>93.148505939247997</v>
      </c>
      <c r="AJ7773">
        <v>109.11097949069099</v>
      </c>
      <c r="AK7773">
        <v>20.292342190908801</v>
      </c>
      <c r="AL7773">
        <v>77.693594760804302</v>
      </c>
      <c r="AM7773">
        <v>102.873505693916</v>
      </c>
      <c r="AN7773">
        <v>0.99999994687057803</v>
      </c>
    </row>
    <row r="7774" spans="1:40" x14ac:dyDescent="0.25">
      <c r="A7774" t="str">
        <f>"20190312172301882"</f>
        <v>20190312172301882</v>
      </c>
      <c r="B7774" t="str">
        <f>"1552382581877868"</f>
        <v>1552382581877868</v>
      </c>
      <c r="C7774" t="s">
        <v>40</v>
      </c>
      <c r="D7774">
        <v>3.2878199999999902</v>
      </c>
      <c r="E7774">
        <v>0.45514890000000002</v>
      </c>
      <c r="F7774" t="s">
        <v>64</v>
      </c>
      <c r="G7774">
        <v>-199.52099999999999</v>
      </c>
      <c r="H7774" s="1">
        <v>-8.4176230000000001E-6</v>
      </c>
      <c r="I7774">
        <v>-57.022370000000002</v>
      </c>
      <c r="J7774">
        <v>-214.55500000000001</v>
      </c>
      <c r="K7774">
        <v>1.1146480000000001</v>
      </c>
      <c r="L7774">
        <v>-63.585999999999999</v>
      </c>
      <c r="M7774">
        <v>0.99746219999999997</v>
      </c>
      <c r="N7774">
        <v>0</v>
      </c>
      <c r="O7774">
        <v>7.0699049999999999E-2</v>
      </c>
      <c r="P7774">
        <v>0.9361408</v>
      </c>
      <c r="Q7774">
        <v>0.2086074</v>
      </c>
      <c r="R7774">
        <v>0.283060799999999</v>
      </c>
      <c r="S7774">
        <v>2.8766780000000001</v>
      </c>
      <c r="T7774">
        <v>-0.21045</v>
      </c>
      <c r="U7774">
        <v>1.24231</v>
      </c>
      <c r="V7774">
        <v>-0.21884200000000001</v>
      </c>
      <c r="W7774">
        <v>0.21393300000000001</v>
      </c>
      <c r="X7774">
        <v>0.95201930000000001</v>
      </c>
      <c r="Y7774">
        <v>-0.32998529999999998</v>
      </c>
      <c r="Z7774">
        <v>6.6166230000000003E-3</v>
      </c>
      <c r="AA7774">
        <v>0.94396290000000005</v>
      </c>
      <c r="AB7774">
        <v>38</v>
      </c>
      <c r="AC7774">
        <v>15.034000000000001</v>
      </c>
      <c r="AD7774">
        <v>-1.1146564176229901</v>
      </c>
      <c r="AE7774">
        <v>6.5636300000000096</v>
      </c>
      <c r="AF7774">
        <v>-5.4590726539729104</v>
      </c>
      <c r="AG7774">
        <v>-1.1146564176229901</v>
      </c>
      <c r="AH7774">
        <v>15.389382925358101</v>
      </c>
      <c r="AI7774">
        <v>93.905100379674494</v>
      </c>
      <c r="AJ7774">
        <v>109.53111226687599</v>
      </c>
      <c r="AK7774">
        <v>16.366949623983299</v>
      </c>
      <c r="AL7774">
        <v>77.647063057838906</v>
      </c>
      <c r="AM7774">
        <v>102.94576574328801</v>
      </c>
      <c r="AN7774">
        <v>0.99999994851274299</v>
      </c>
    </row>
    <row r="7775" spans="1:40" x14ac:dyDescent="0.25">
      <c r="A7775" t="str">
        <f>"20190312172301893"</f>
        <v>20190312172301893</v>
      </c>
      <c r="B7775" t="str">
        <f>"1552382581887628"</f>
        <v>1552382581887628</v>
      </c>
      <c r="C7775" t="s">
        <v>40</v>
      </c>
      <c r="D7775">
        <v>3.2066129999999999</v>
      </c>
      <c r="E7775">
        <v>0.45533630000000003</v>
      </c>
      <c r="F7775" t="s">
        <v>64</v>
      </c>
      <c r="G7775">
        <v>-199.2252</v>
      </c>
      <c r="H7775" s="1">
        <v>-8.4253840000000002E-6</v>
      </c>
      <c r="I7775">
        <v>-56.905470000000001</v>
      </c>
      <c r="J7775">
        <v>-214.36449999999999</v>
      </c>
      <c r="K7775">
        <v>1.1147560000000001</v>
      </c>
      <c r="L7775">
        <v>-63.570399999999999</v>
      </c>
      <c r="M7775">
        <v>0.9972569</v>
      </c>
      <c r="N7775">
        <v>0</v>
      </c>
      <c r="O7775">
        <v>7.3534479999999999E-2</v>
      </c>
      <c r="P7775">
        <v>0.9349577</v>
      </c>
      <c r="Q7775">
        <v>0.2091933</v>
      </c>
      <c r="R7775">
        <v>0.28651779999999999</v>
      </c>
      <c r="S7775">
        <v>2.8726349999999998</v>
      </c>
      <c r="T7775">
        <v>-0.20887500000000001</v>
      </c>
      <c r="U7775">
        <v>1.251862</v>
      </c>
      <c r="V7775">
        <v>-0.2197257</v>
      </c>
      <c r="W7775">
        <v>0.21446960000000001</v>
      </c>
      <c r="X7775">
        <v>0.95169499999999996</v>
      </c>
      <c r="Y7775">
        <v>-0.33044030000000002</v>
      </c>
      <c r="Z7775">
        <v>6.3923440000000003E-3</v>
      </c>
      <c r="AA7775">
        <v>0.94380529999999996</v>
      </c>
      <c r="AB7775">
        <v>38</v>
      </c>
      <c r="AC7775">
        <v>15.139299999999899</v>
      </c>
      <c r="AD7775">
        <v>-1.1147644253839999</v>
      </c>
      <c r="AE7775">
        <v>6.66493</v>
      </c>
      <c r="AF7775">
        <v>-5.5085660297682804</v>
      </c>
      <c r="AG7775">
        <v>-1.1147644253839999</v>
      </c>
      <c r="AH7775">
        <v>15.517951772445</v>
      </c>
      <c r="AI7775">
        <v>93.872914199291003</v>
      </c>
      <c r="AJ7775">
        <v>109.543856163825</v>
      </c>
      <c r="AK7775">
        <v>16.504357807571601</v>
      </c>
      <c r="AL7775">
        <v>77.615588011396596</v>
      </c>
      <c r="AM7775">
        <v>103.000548529906</v>
      </c>
      <c r="AN7775">
        <v>0.99999998279482405</v>
      </c>
    </row>
    <row r="7776" spans="1:40" x14ac:dyDescent="0.25">
      <c r="A7776" t="str">
        <f>"20190312172301906"</f>
        <v>20190312172301906</v>
      </c>
      <c r="B7776" t="str">
        <f>"1552382581898364"</f>
        <v>1552382581898364</v>
      </c>
      <c r="C7776" t="s">
        <v>40</v>
      </c>
      <c r="D7776">
        <v>3.209095</v>
      </c>
      <c r="E7776">
        <v>0.45589150000000001</v>
      </c>
      <c r="F7776" t="s">
        <v>64</v>
      </c>
      <c r="G7776">
        <v>-198.9135</v>
      </c>
      <c r="H7776" s="1">
        <v>-8.4359E-6</v>
      </c>
      <c r="I7776">
        <v>-56.77563</v>
      </c>
      <c r="J7776">
        <v>-214.1617</v>
      </c>
      <c r="K7776">
        <v>1.1148610000000001</v>
      </c>
      <c r="L7776">
        <v>-63.553280000000001</v>
      </c>
      <c r="M7776">
        <v>0.99702769999999996</v>
      </c>
      <c r="N7776">
        <v>0</v>
      </c>
      <c r="O7776">
        <v>7.6578389999999996E-2</v>
      </c>
      <c r="P7776">
        <v>0.93363479999999999</v>
      </c>
      <c r="Q7776">
        <v>0.21012149999999999</v>
      </c>
      <c r="R7776">
        <v>0.29012939999999998</v>
      </c>
      <c r="S7776">
        <v>2.8684539999999998</v>
      </c>
      <c r="T7776">
        <v>-0.20695520000000001</v>
      </c>
      <c r="U7776">
        <v>1.261444</v>
      </c>
      <c r="V7776">
        <v>-0.2205828</v>
      </c>
      <c r="W7776">
        <v>0.21534690000000001</v>
      </c>
      <c r="X7776">
        <v>0.95129859999999999</v>
      </c>
      <c r="Y7776">
        <v>-0.33072449999999998</v>
      </c>
      <c r="Z7776">
        <v>6.1404659999999998E-3</v>
      </c>
      <c r="AA7776">
        <v>0.94370730000000003</v>
      </c>
      <c r="AB7776">
        <v>38</v>
      </c>
      <c r="AC7776">
        <v>15.248199999999899</v>
      </c>
      <c r="AD7776">
        <v>-1.1148694359</v>
      </c>
      <c r="AE7776">
        <v>6.7776500000000004</v>
      </c>
      <c r="AF7776">
        <v>-5.5651799271681304</v>
      </c>
      <c r="AG7776">
        <v>-1.1148694359</v>
      </c>
      <c r="AH7776">
        <v>15.6525906395576</v>
      </c>
      <c r="AI7776">
        <v>93.839380805508398</v>
      </c>
      <c r="AJ7776">
        <v>109.572522584654</v>
      </c>
      <c r="AK7776">
        <v>16.649857513216901</v>
      </c>
      <c r="AL7776">
        <v>77.564120584737694</v>
      </c>
      <c r="AM7776">
        <v>103.05477970552199</v>
      </c>
      <c r="AN7776">
        <v>1.0000000426786999</v>
      </c>
    </row>
    <row r="7777" spans="1:40" x14ac:dyDescent="0.25">
      <c r="A7777" t="str">
        <f>"20190312172301916"</f>
        <v>20190312172301916</v>
      </c>
      <c r="B7777" t="str">
        <f>"1552382581908124"</f>
        <v>1552382581908124</v>
      </c>
      <c r="C7777" t="s">
        <v>40</v>
      </c>
      <c r="D7777">
        <v>3.1972119999999999</v>
      </c>
      <c r="E7777">
        <v>0.45608409999999999</v>
      </c>
      <c r="F7777" t="s">
        <v>64</v>
      </c>
      <c r="G7777">
        <v>-198.38470000000001</v>
      </c>
      <c r="H7777" s="1">
        <v>-8.4499679999999995E-6</v>
      </c>
      <c r="I7777">
        <v>-56.566079999999999</v>
      </c>
      <c r="J7777">
        <v>-213.964</v>
      </c>
      <c r="K7777">
        <v>1.11496</v>
      </c>
      <c r="L7777">
        <v>-63.536009999999997</v>
      </c>
      <c r="M7777">
        <v>0.99679240000000002</v>
      </c>
      <c r="N7777">
        <v>0</v>
      </c>
      <c r="O7777">
        <v>7.9580170000000006E-2</v>
      </c>
      <c r="P7777">
        <v>0.93240100000000004</v>
      </c>
      <c r="Q7777">
        <v>0.2107221</v>
      </c>
      <c r="R7777">
        <v>0.29364010000000001</v>
      </c>
      <c r="S7777">
        <v>2.8645939999999999</v>
      </c>
      <c r="T7777">
        <v>-0.20242370000000001</v>
      </c>
      <c r="U7777">
        <v>1.2686459999999999</v>
      </c>
      <c r="V7777">
        <v>-0.22136819999999999</v>
      </c>
      <c r="W7777">
        <v>0.21590139999999999</v>
      </c>
      <c r="X7777">
        <v>0.95099040000000001</v>
      </c>
      <c r="Y7777">
        <v>-0.33036769999999999</v>
      </c>
      <c r="Z7777">
        <v>5.7985950000000001E-3</v>
      </c>
      <c r="AA7777">
        <v>0.94383450000000002</v>
      </c>
      <c r="AB7777">
        <v>38</v>
      </c>
      <c r="AC7777">
        <v>15.5793</v>
      </c>
      <c r="AD7777">
        <v>-1.1149684499679999</v>
      </c>
      <c r="AE7777">
        <v>6.96992999999999</v>
      </c>
      <c r="AF7777">
        <v>-5.6837187886713298</v>
      </c>
      <c r="AG7777">
        <v>-1.1149684499679999</v>
      </c>
      <c r="AH7777">
        <v>16.016222096560199</v>
      </c>
      <c r="AI7777">
        <v>93.753588092055097</v>
      </c>
      <c r="AJ7777">
        <v>109.538380849974</v>
      </c>
      <c r="AK7777">
        <v>17.0313588465355</v>
      </c>
      <c r="AL7777">
        <v>77.5315843997288</v>
      </c>
      <c r="AM7777">
        <v>103.103760736941</v>
      </c>
      <c r="AN7777">
        <v>1.00000001769267</v>
      </c>
    </row>
    <row r="7778" spans="1:40" x14ac:dyDescent="0.25">
      <c r="A7778" t="str">
        <f>"20190312172301927"</f>
        <v>20190312172301927</v>
      </c>
      <c r="B7778" t="str">
        <f>"1552382581917884"</f>
        <v>1552382581917884</v>
      </c>
      <c r="C7778" t="s">
        <v>40</v>
      </c>
      <c r="D7778">
        <v>3.190474</v>
      </c>
      <c r="E7778">
        <v>0.4562195</v>
      </c>
      <c r="F7778" t="s">
        <v>64</v>
      </c>
      <c r="G7778">
        <v>-198.20050000000001</v>
      </c>
      <c r="H7778" s="1">
        <v>-8.4555549999999994E-6</v>
      </c>
      <c r="I7778">
        <v>-56.491149999999998</v>
      </c>
      <c r="J7778">
        <v>-213.77760000000001</v>
      </c>
      <c r="K7778">
        <v>1.1150450000000001</v>
      </c>
      <c r="L7778">
        <v>-63.519039999999997</v>
      </c>
      <c r="M7778">
        <v>0.9965598</v>
      </c>
      <c r="N7778">
        <v>0</v>
      </c>
      <c r="O7778">
        <v>8.2440260000000001E-2</v>
      </c>
      <c r="P7778">
        <v>0.93110760000000004</v>
      </c>
      <c r="Q7778">
        <v>0.21145839999999999</v>
      </c>
      <c r="R7778">
        <v>0.2971935</v>
      </c>
      <c r="S7778">
        <v>2.8606259999999999</v>
      </c>
      <c r="T7778">
        <v>-0.20233519999999999</v>
      </c>
      <c r="U7778">
        <v>1.2784420000000001</v>
      </c>
      <c r="V7778">
        <v>-0.22233439999999999</v>
      </c>
      <c r="W7778">
        <v>0.2165937</v>
      </c>
      <c r="X7778">
        <v>0.95060750000000005</v>
      </c>
      <c r="Y7778">
        <v>-0.3308468</v>
      </c>
      <c r="Z7778">
        <v>5.6251239999999996E-3</v>
      </c>
      <c r="AA7778">
        <v>0.9436677</v>
      </c>
      <c r="AB7778">
        <v>38</v>
      </c>
      <c r="AC7778">
        <v>15.5771</v>
      </c>
      <c r="AD7778">
        <v>-1.115053455555</v>
      </c>
      <c r="AE7778">
        <v>7.0278900000000002</v>
      </c>
      <c r="AF7778">
        <v>-5.6954904128734398</v>
      </c>
      <c r="AG7778">
        <v>-1.115053455555</v>
      </c>
      <c r="AH7778">
        <v>16.035204198471099</v>
      </c>
      <c r="AI7778">
        <v>93.749072238462205</v>
      </c>
      <c r="AJ7778">
        <v>109.554358967285</v>
      </c>
      <c r="AK7778">
        <v>17.053144253730501</v>
      </c>
      <c r="AL7778">
        <v>77.490957234232695</v>
      </c>
      <c r="AM7778">
        <v>103.164084209064</v>
      </c>
      <c r="AN7778">
        <v>1.00000001767965</v>
      </c>
    </row>
    <row r="7779" spans="1:40" x14ac:dyDescent="0.25">
      <c r="A7779" t="str">
        <f>"20190312172301938"</f>
        <v>20190312172301938</v>
      </c>
      <c r="B7779" t="str">
        <f>"1552382581927644"</f>
        <v>1552382581927644</v>
      </c>
      <c r="C7779" t="s">
        <v>40</v>
      </c>
      <c r="D7779">
        <v>3.1929959999999999</v>
      </c>
      <c r="E7779">
        <v>0.45633240000000003</v>
      </c>
      <c r="F7779" t="s">
        <v>64</v>
      </c>
      <c r="G7779">
        <v>-197.9734</v>
      </c>
      <c r="H7779" s="1">
        <v>-8.4663959999999998E-6</v>
      </c>
      <c r="I7779">
        <v>-56.387469999999901</v>
      </c>
      <c r="J7779">
        <v>-213.59899999999999</v>
      </c>
      <c r="K7779">
        <v>1.1151219999999999</v>
      </c>
      <c r="L7779">
        <v>-63.502499999999998</v>
      </c>
      <c r="M7779">
        <v>0.9963282</v>
      </c>
      <c r="N7779">
        <v>0</v>
      </c>
      <c r="O7779">
        <v>8.5193430000000001E-2</v>
      </c>
      <c r="P7779">
        <v>0.92984199999999995</v>
      </c>
      <c r="Q7779">
        <v>0.2122627</v>
      </c>
      <c r="R7779">
        <v>0.30056389999999999</v>
      </c>
      <c r="S7779">
        <v>2.8563540000000001</v>
      </c>
      <c r="T7779">
        <v>-0.20152690000000001</v>
      </c>
      <c r="U7779">
        <v>1.28891</v>
      </c>
      <c r="V7779">
        <v>-0.22321940000000001</v>
      </c>
      <c r="W7779">
        <v>0.2173562</v>
      </c>
      <c r="X7779">
        <v>0.95022589999999996</v>
      </c>
      <c r="Y7779">
        <v>-0.33165029999999901</v>
      </c>
      <c r="Z7779">
        <v>5.4506199999999998E-3</v>
      </c>
      <c r="AA7779">
        <v>0.94338659999999996</v>
      </c>
      <c r="AB7779">
        <v>39</v>
      </c>
      <c r="AC7779">
        <v>15.6256</v>
      </c>
      <c r="AD7779">
        <v>-1.115130466396</v>
      </c>
      <c r="AE7779">
        <v>7.11503</v>
      </c>
      <c r="AF7779">
        <v>-5.7337272121354497</v>
      </c>
      <c r="AG7779">
        <v>-1.115130466396</v>
      </c>
      <c r="AH7779">
        <v>16.107017617752401</v>
      </c>
      <c r="AI7779">
        <v>93.731732866301698</v>
      </c>
      <c r="AJ7779">
        <v>109.594558024721</v>
      </c>
      <c r="AK7779">
        <v>17.133451498132299</v>
      </c>
      <c r="AL7779">
        <v>77.446202034284696</v>
      </c>
      <c r="AM7779">
        <v>103.21976913664</v>
      </c>
      <c r="AN7779">
        <v>0.99999993962280298</v>
      </c>
    </row>
    <row r="7780" spans="1:40" x14ac:dyDescent="0.25">
      <c r="A7780" t="str">
        <f>"20190312172301949"</f>
        <v>20190312172301949</v>
      </c>
      <c r="B7780" t="str">
        <f>"1552382581938380"</f>
        <v>1552382581938380</v>
      </c>
      <c r="C7780" t="s">
        <v>40</v>
      </c>
      <c r="D7780">
        <v>3.19285</v>
      </c>
      <c r="E7780">
        <v>0.45637070000000002</v>
      </c>
      <c r="F7780" t="s">
        <v>64</v>
      </c>
      <c r="G7780">
        <v>-197.70740000000001</v>
      </c>
      <c r="H7780" s="1">
        <v>-8.4792940000000005E-6</v>
      </c>
      <c r="I7780">
        <v>-56.265500000000003</v>
      </c>
      <c r="J7780">
        <v>-213.4221</v>
      </c>
      <c r="K7780">
        <v>1.1151899999999999</v>
      </c>
      <c r="L7780">
        <v>-63.485320000000002</v>
      </c>
      <c r="M7780">
        <v>0.99608890000000005</v>
      </c>
      <c r="N7780">
        <v>0</v>
      </c>
      <c r="O7780">
        <v>8.7944549999999996E-2</v>
      </c>
      <c r="P7780">
        <v>0.92872529999999998</v>
      </c>
      <c r="Q7780">
        <v>0.2127551</v>
      </c>
      <c r="R7780">
        <v>0.30365199999999998</v>
      </c>
      <c r="S7780">
        <v>2.8522029999999998</v>
      </c>
      <c r="T7780">
        <v>-0.2001425</v>
      </c>
      <c r="U7780">
        <v>1.298889</v>
      </c>
      <c r="V7780">
        <v>-0.22380610000000001</v>
      </c>
      <c r="W7780">
        <v>0.2178165</v>
      </c>
      <c r="X7780">
        <v>0.94998249999999995</v>
      </c>
      <c r="Y7780">
        <v>-0.3323081</v>
      </c>
      <c r="Z7780">
        <v>5.2573309999999996E-3</v>
      </c>
      <c r="AA7780">
        <v>0.9431562</v>
      </c>
      <c r="AB7780">
        <v>39</v>
      </c>
      <c r="AC7780">
        <v>15.714699999999899</v>
      </c>
      <c r="AD7780">
        <v>-1.115198479294</v>
      </c>
      <c r="AE7780">
        <v>7.2198199999999897</v>
      </c>
      <c r="AF7780">
        <v>-5.7857124284278303</v>
      </c>
      <c r="AG7780">
        <v>-1.115198479294</v>
      </c>
      <c r="AH7780">
        <v>16.221319999939301</v>
      </c>
      <c r="AI7780">
        <v>93.704922795369995</v>
      </c>
      <c r="AJ7780">
        <v>109.629962439843</v>
      </c>
      <c r="AK7780">
        <v>17.2583127359866</v>
      </c>
      <c r="AL7780">
        <v>77.419181841649902</v>
      </c>
      <c r="AM7780">
        <v>103.256566499435</v>
      </c>
      <c r="AN7780">
        <v>0.99999997418785402</v>
      </c>
    </row>
    <row r="7781" spans="1:40" x14ac:dyDescent="0.25">
      <c r="A7781" t="str">
        <f>"20190312172301958"</f>
        <v>20190312172301958</v>
      </c>
      <c r="B7781" t="str">
        <f>"1552382581948140"</f>
        <v>1552382581948140</v>
      </c>
      <c r="C7781" t="s">
        <v>40</v>
      </c>
      <c r="D7781">
        <v>3.197727</v>
      </c>
      <c r="E7781">
        <v>0.45643030000000001</v>
      </c>
      <c r="F7781" t="s">
        <v>64</v>
      </c>
      <c r="G7781">
        <v>-197.53880000000001</v>
      </c>
      <c r="H7781" s="1">
        <v>-8.4874579999999997E-6</v>
      </c>
      <c r="I7781">
        <v>-56.188209999999998</v>
      </c>
      <c r="J7781">
        <v>-213.2346</v>
      </c>
      <c r="K7781">
        <v>1.115262</v>
      </c>
      <c r="L7781">
        <v>-63.466920000000002</v>
      </c>
      <c r="M7781">
        <v>0.99582649999999995</v>
      </c>
      <c r="N7781">
        <v>0</v>
      </c>
      <c r="O7781">
        <v>9.0865950000000001E-2</v>
      </c>
      <c r="P7781">
        <v>0.92752860000000004</v>
      </c>
      <c r="Q7781">
        <v>0.21313750000000001</v>
      </c>
      <c r="R7781">
        <v>0.30702299999999999</v>
      </c>
      <c r="S7781">
        <v>2.8482210000000001</v>
      </c>
      <c r="T7781">
        <v>-0.19997970000000001</v>
      </c>
      <c r="U7781">
        <v>1.3085329999999999</v>
      </c>
      <c r="V7781">
        <v>-0.2245212</v>
      </c>
      <c r="W7781">
        <v>0.21816369999999999</v>
      </c>
      <c r="X7781">
        <v>0.94973410000000003</v>
      </c>
      <c r="Y7781">
        <v>-0.33268520000000001</v>
      </c>
      <c r="Z7781">
        <v>5.0763889999999997E-3</v>
      </c>
      <c r="AA7781">
        <v>0.94302430000000004</v>
      </c>
      <c r="AB7781">
        <v>39</v>
      </c>
      <c r="AC7781">
        <v>15.695799999999901</v>
      </c>
      <c r="AD7781">
        <v>-1.1152704874579999</v>
      </c>
      <c r="AE7781">
        <v>7.2787099999999896</v>
      </c>
      <c r="AF7781">
        <v>-5.7982377063375798</v>
      </c>
      <c r="AG7781">
        <v>-1.1152704874579999</v>
      </c>
      <c r="AH7781">
        <v>16.224856231676402</v>
      </c>
      <c r="AI7781">
        <v>93.703544057179798</v>
      </c>
      <c r="AJ7781">
        <v>109.665242702464</v>
      </c>
      <c r="AK7781">
        <v>17.2658434053468</v>
      </c>
      <c r="AL7781">
        <v>77.398799070536398</v>
      </c>
      <c r="AM7781">
        <v>103.300775454654</v>
      </c>
      <c r="AN7781">
        <v>1.0000000149749699</v>
      </c>
    </row>
    <row r="7782" spans="1:40" x14ac:dyDescent="0.25">
      <c r="A7782" t="str">
        <f>"20190312172301971"</f>
        <v>20190312172301971</v>
      </c>
      <c r="B7782" t="str">
        <f>"1552382581967659"</f>
        <v>1552382581967659</v>
      </c>
      <c r="C7782" t="s">
        <v>40</v>
      </c>
      <c r="D7782">
        <v>3.2870469999999998</v>
      </c>
      <c r="E7782">
        <v>0.45653300000000002</v>
      </c>
      <c r="F7782" t="s">
        <v>64</v>
      </c>
      <c r="G7782">
        <v>-197.37809999999999</v>
      </c>
      <c r="H7782" s="1">
        <v>-8.4950000000000008E-6</v>
      </c>
      <c r="I7782">
        <v>-56.11524</v>
      </c>
      <c r="J7782">
        <v>-213.0361</v>
      </c>
      <c r="K7782">
        <v>1.1153249999999999</v>
      </c>
      <c r="L7782">
        <v>-63.44641</v>
      </c>
      <c r="M7782">
        <v>0.99553720000000001</v>
      </c>
      <c r="N7782">
        <v>0</v>
      </c>
      <c r="O7782">
        <v>9.3982170000000004E-2</v>
      </c>
      <c r="P7782">
        <v>0.92624839999999997</v>
      </c>
      <c r="Q7782">
        <v>0.21344250000000001</v>
      </c>
      <c r="R7782">
        <v>0.3106544</v>
      </c>
      <c r="S7782">
        <v>2.8439030000000001</v>
      </c>
      <c r="T7782">
        <v>-0.2000266</v>
      </c>
      <c r="U7782">
        <v>1.3185420000000001</v>
      </c>
      <c r="V7782">
        <v>-0.2253163</v>
      </c>
      <c r="W7782">
        <v>0.2184363</v>
      </c>
      <c r="X7782">
        <v>0.94948310000000002</v>
      </c>
      <c r="Y7782">
        <v>-0.33301799999999998</v>
      </c>
      <c r="Z7782">
        <v>4.8868319999999998E-3</v>
      </c>
      <c r="AA7782">
        <v>0.94290779999999996</v>
      </c>
      <c r="AB7782">
        <v>39</v>
      </c>
      <c r="AC7782">
        <v>15.657999999999999</v>
      </c>
      <c r="AD7782">
        <v>-1.115333495</v>
      </c>
      <c r="AE7782">
        <v>7.3311699999999904</v>
      </c>
      <c r="AF7782">
        <v>-5.8029431477828703</v>
      </c>
      <c r="AG7782">
        <v>-1.115333495</v>
      </c>
      <c r="AH7782">
        <v>16.2102552601153</v>
      </c>
      <c r="AI7782">
        <v>93.706361922011197</v>
      </c>
      <c r="AJ7782">
        <v>109.696339022385</v>
      </c>
      <c r="AK7782">
        <v>17.253709559963202</v>
      </c>
      <c r="AL7782">
        <v>77.382794100023204</v>
      </c>
      <c r="AM7782">
        <v>103.349596901685</v>
      </c>
      <c r="AN7782">
        <v>1.0000000046944899</v>
      </c>
    </row>
    <row r="7783" spans="1:40" x14ac:dyDescent="0.25">
      <c r="A7783" t="str">
        <f>"20190312172301983"</f>
        <v>20190312172301983</v>
      </c>
      <c r="B7783" t="str">
        <f>"1552382581978395"</f>
        <v>1552382581978395</v>
      </c>
      <c r="C7783" t="s">
        <v>40</v>
      </c>
      <c r="D7783">
        <v>3.2055479999999998</v>
      </c>
      <c r="E7783">
        <v>0.4566984</v>
      </c>
      <c r="F7783" t="s">
        <v>64</v>
      </c>
      <c r="G7783">
        <v>-197.35499999999999</v>
      </c>
      <c r="H7783" s="1">
        <v>-8.4952660000000001E-6</v>
      </c>
      <c r="I7783">
        <v>-56.107080000000003</v>
      </c>
      <c r="J7783">
        <v>-212.8451</v>
      </c>
      <c r="K7783">
        <v>1.1153850000000001</v>
      </c>
      <c r="L7783">
        <v>-63.426419999999901</v>
      </c>
      <c r="M7783">
        <v>0.99524900000000005</v>
      </c>
      <c r="N7783">
        <v>0</v>
      </c>
      <c r="O7783">
        <v>9.6983490000000006E-2</v>
      </c>
      <c r="P7783">
        <v>0.92491460000000003</v>
      </c>
      <c r="Q7783">
        <v>0.213703</v>
      </c>
      <c r="R7783">
        <v>0.31442639999999999</v>
      </c>
      <c r="S7783">
        <v>2.839661</v>
      </c>
      <c r="T7783">
        <v>-0.2019745</v>
      </c>
      <c r="U7783">
        <v>1.3290709999999999</v>
      </c>
      <c r="V7783">
        <v>-0.22636519999999999</v>
      </c>
      <c r="W7783">
        <v>0.21866250000000001</v>
      </c>
      <c r="X7783">
        <v>0.94918150000000001</v>
      </c>
      <c r="Y7783">
        <v>-0.33357999999999999</v>
      </c>
      <c r="Z7783">
        <v>4.7566969999999998E-3</v>
      </c>
      <c r="AA7783">
        <v>0.94270980000000004</v>
      </c>
      <c r="AB7783">
        <v>39</v>
      </c>
      <c r="AC7783">
        <v>15.4901</v>
      </c>
      <c r="AD7783">
        <v>-1.1153934952660001</v>
      </c>
      <c r="AE7783">
        <v>7.3193399999999897</v>
      </c>
      <c r="AF7783">
        <v>-5.7580883943723604</v>
      </c>
      <c r="AG7783">
        <v>-1.1153934952660001</v>
      </c>
      <c r="AH7783">
        <v>16.058887872203801</v>
      </c>
      <c r="AI7783">
        <v>93.740710887316197</v>
      </c>
      <c r="AJ7783">
        <v>109.725845778695</v>
      </c>
      <c r="AK7783">
        <v>17.096419633908798</v>
      </c>
      <c r="AL7783">
        <v>77.369512750097897</v>
      </c>
      <c r="AM7783">
        <v>103.41360956408801</v>
      </c>
      <c r="AN7783">
        <v>1.00000000630976</v>
      </c>
    </row>
    <row r="7784" spans="1:40" x14ac:dyDescent="0.25">
      <c r="A7784" t="str">
        <f>"20190312172301994"</f>
        <v>20190312172301994</v>
      </c>
      <c r="B7784" t="str">
        <f>"1552382581988156"</f>
        <v>1552382581988156</v>
      </c>
      <c r="C7784" t="s">
        <v>40</v>
      </c>
      <c r="D7784">
        <v>3.219465</v>
      </c>
      <c r="E7784">
        <v>0.45645219999999997</v>
      </c>
      <c r="F7784" t="s">
        <v>64</v>
      </c>
      <c r="G7784">
        <v>-197.24520000000001</v>
      </c>
      <c r="H7784" s="1">
        <v>-8.5000919999999999E-6</v>
      </c>
      <c r="I7784">
        <v>-56.058129999999998</v>
      </c>
      <c r="J7784">
        <v>-212.6422</v>
      </c>
      <c r="K7784">
        <v>1.1154329999999999</v>
      </c>
      <c r="L7784">
        <v>-63.404299999999999</v>
      </c>
      <c r="M7784">
        <v>0.99493180000000003</v>
      </c>
      <c r="N7784">
        <v>0</v>
      </c>
      <c r="O7784">
        <v>0.1001852</v>
      </c>
      <c r="P7784">
        <v>0.92355620000000005</v>
      </c>
      <c r="Q7784">
        <v>0.21388090000000001</v>
      </c>
      <c r="R7784">
        <v>0.31827509999999998</v>
      </c>
      <c r="S7784">
        <v>2.8351289999999998</v>
      </c>
      <c r="T7784">
        <v>-0.20271130000000001</v>
      </c>
      <c r="U7784">
        <v>1.3391109999999999</v>
      </c>
      <c r="V7784">
        <v>-0.22730230000000001</v>
      </c>
      <c r="W7784">
        <v>0.21881129999999999</v>
      </c>
      <c r="X7784">
        <v>0.94892319999999997</v>
      </c>
      <c r="Y7784">
        <v>-0.33386120000000002</v>
      </c>
      <c r="Z7784">
        <v>4.5732999999999998E-3</v>
      </c>
      <c r="AA7784">
        <v>0.94261119999999998</v>
      </c>
      <c r="AB7784">
        <v>39</v>
      </c>
      <c r="AC7784">
        <v>15.396999999999901</v>
      </c>
      <c r="AD7784">
        <v>-1.1154415000919999</v>
      </c>
      <c r="AE7784">
        <v>7.3461699999999901</v>
      </c>
      <c r="AF7784">
        <v>-5.7420508844989699</v>
      </c>
      <c r="AG7784">
        <v>-1.1154415000919999</v>
      </c>
      <c r="AH7784">
        <v>15.9871861769417</v>
      </c>
      <c r="AI7784">
        <v>93.756880498206698</v>
      </c>
      <c r="AJ7784">
        <v>109.75655384324</v>
      </c>
      <c r="AK7784">
        <v>17.023674102745801</v>
      </c>
      <c r="AL7784">
        <v>77.360775219738002</v>
      </c>
      <c r="AM7784">
        <v>103.47065225535199</v>
      </c>
      <c r="AN7784">
        <v>0.99999998004560897</v>
      </c>
    </row>
    <row r="7785" spans="1:40" x14ac:dyDescent="0.25">
      <c r="A7785" t="str">
        <f>"20190312172302004"</f>
        <v>20190312172302004</v>
      </c>
      <c r="B7785" t="str">
        <f>"1552382581997915"</f>
        <v>1552382581997915</v>
      </c>
      <c r="C7785" t="s">
        <v>40</v>
      </c>
      <c r="D7785">
        <v>3.0588150000000001</v>
      </c>
      <c r="E7785">
        <v>0.45645219999999997</v>
      </c>
      <c r="F7785" t="s">
        <v>64</v>
      </c>
      <c r="G7785">
        <v>-197.10149999999999</v>
      </c>
      <c r="H7785" s="1">
        <v>-8.5133690000000007E-6</v>
      </c>
      <c r="I7785">
        <v>-55.974249999999998</v>
      </c>
      <c r="J7785">
        <v>-212.4573</v>
      </c>
      <c r="K7785">
        <v>1.1154790000000001</v>
      </c>
      <c r="L7785">
        <v>-63.383699999999997</v>
      </c>
      <c r="M7785">
        <v>0.99463279999999998</v>
      </c>
      <c r="N7785">
        <v>0</v>
      </c>
      <c r="O7785">
        <v>0.1031087</v>
      </c>
      <c r="P7785">
        <v>0.92227429999999999</v>
      </c>
      <c r="Q7785">
        <v>0.21427170000000001</v>
      </c>
      <c r="R7785">
        <v>0.32171090000000002</v>
      </c>
      <c r="S7785">
        <v>2.8291780000000002</v>
      </c>
      <c r="T7785">
        <v>-0.20306469999999999</v>
      </c>
      <c r="U7785">
        <v>1.3526309999999999</v>
      </c>
      <c r="V7785">
        <v>-0.2280876</v>
      </c>
      <c r="W7785">
        <v>0.21917700000000001</v>
      </c>
      <c r="X7785">
        <v>0.9486504</v>
      </c>
      <c r="Y7785">
        <v>-0.33552969999999999</v>
      </c>
      <c r="Z7785">
        <v>4.4468349999999997E-3</v>
      </c>
      <c r="AA7785">
        <v>0.9420191</v>
      </c>
      <c r="AB7785">
        <v>39</v>
      </c>
      <c r="AC7785">
        <v>15.3558</v>
      </c>
      <c r="AD7785">
        <v>-1.1154875133689901</v>
      </c>
      <c r="AE7785">
        <v>7.4094499999999996</v>
      </c>
      <c r="AF7785">
        <v>-5.7619168143079502</v>
      </c>
      <c r="AG7785">
        <v>-1.1154875133689901</v>
      </c>
      <c r="AH7785">
        <v>15.969599885779401</v>
      </c>
      <c r="AI7785">
        <v>93.759201519135999</v>
      </c>
      <c r="AJ7785">
        <v>109.83971414585599</v>
      </c>
      <c r="AK7785">
        <v>17.013880165305402</v>
      </c>
      <c r="AL7785">
        <v>77.339301737396198</v>
      </c>
      <c r="AM7785">
        <v>103.519231031092</v>
      </c>
      <c r="AN7785">
        <v>1.00000004601145</v>
      </c>
    </row>
    <row r="7786" spans="1:40" x14ac:dyDescent="0.25">
      <c r="A7786" t="str">
        <f>"20190312172302015"</f>
        <v>20190312172302015</v>
      </c>
      <c r="B7786" t="str">
        <f>"1552382582007676"</f>
        <v>1552382582007676</v>
      </c>
      <c r="C7786" t="s">
        <v>40</v>
      </c>
      <c r="D7786">
        <v>3.050948</v>
      </c>
      <c r="E7786">
        <v>0.4383416</v>
      </c>
      <c r="F7786" t="s">
        <v>64</v>
      </c>
      <c r="G7786">
        <v>-196.85</v>
      </c>
      <c r="H7786" s="1">
        <v>-8.5286159999999902E-6</v>
      </c>
      <c r="I7786">
        <v>-55.850230000000003</v>
      </c>
      <c r="J7786">
        <v>-212.27070000000001</v>
      </c>
      <c r="K7786">
        <v>1.115524</v>
      </c>
      <c r="L7786">
        <v>-63.362340000000003</v>
      </c>
      <c r="M7786">
        <v>0.99432180000000003</v>
      </c>
      <c r="N7786">
        <v>0</v>
      </c>
      <c r="O7786">
        <v>0.1060648</v>
      </c>
      <c r="P7786">
        <v>0.92106370000000004</v>
      </c>
      <c r="Q7786">
        <v>0.2143399</v>
      </c>
      <c r="R7786">
        <v>0.3251155</v>
      </c>
      <c r="S7786">
        <v>2.8242189999999998</v>
      </c>
      <c r="T7786">
        <v>-0.20185339999999999</v>
      </c>
      <c r="U7786">
        <v>1.3632200000000001</v>
      </c>
      <c r="V7786">
        <v>-0.22880020000000001</v>
      </c>
      <c r="W7786">
        <v>0.21922449999999999</v>
      </c>
      <c r="X7786">
        <v>0.94846779999999997</v>
      </c>
      <c r="Y7786">
        <v>-0.3362522</v>
      </c>
      <c r="Z7786">
        <v>4.2519009999999998E-3</v>
      </c>
      <c r="AA7786">
        <v>0.9417624</v>
      </c>
      <c r="AB7786">
        <v>39</v>
      </c>
      <c r="AC7786">
        <v>15.4207</v>
      </c>
      <c r="AD7786">
        <v>-1.1155325286160001</v>
      </c>
      <c r="AE7786">
        <v>7.5121099999999998</v>
      </c>
      <c r="AF7786">
        <v>-5.8095076749665102</v>
      </c>
      <c r="AG7786">
        <v>-1.1155325286160001</v>
      </c>
      <c r="AH7786">
        <v>16.062573916610301</v>
      </c>
      <c r="AI7786">
        <v>93.736613365052094</v>
      </c>
      <c r="AJ7786">
        <v>109.884031157599</v>
      </c>
      <c r="AK7786">
        <v>17.117274113434799</v>
      </c>
      <c r="AL7786">
        <v>77.336512275665697</v>
      </c>
      <c r="AM7786">
        <v>103.562425187242</v>
      </c>
      <c r="AN7786">
        <v>1.00000004027856</v>
      </c>
    </row>
    <row r="7787" spans="1:40" x14ac:dyDescent="0.25">
      <c r="A7787" t="str">
        <f>"20190312172302027"</f>
        <v>20190312172302027</v>
      </c>
      <c r="B7787" t="str">
        <f>"1552382582018412"</f>
        <v>1552382582018412</v>
      </c>
      <c r="C7787" t="s">
        <v>40</v>
      </c>
      <c r="D7787">
        <v>3.2629229999999998</v>
      </c>
      <c r="E7787">
        <v>0.4381061</v>
      </c>
      <c r="F7787" t="s">
        <v>64</v>
      </c>
      <c r="G7787">
        <v>-191.47710000000001</v>
      </c>
      <c r="H7787" s="1">
        <v>-9.3536809999999996E-6</v>
      </c>
      <c r="I7787">
        <v>-52.023159999999997</v>
      </c>
      <c r="J7787">
        <v>-212.07900000000001</v>
      </c>
      <c r="K7787">
        <v>1.115567</v>
      </c>
      <c r="L7787">
        <v>-63.3397199999999</v>
      </c>
      <c r="M7787">
        <v>0.9939926</v>
      </c>
      <c r="N7787">
        <v>0</v>
      </c>
      <c r="O7787">
        <v>0.1091049</v>
      </c>
      <c r="P7787">
        <v>0.91991489999999998</v>
      </c>
      <c r="Q7787">
        <v>0.21429110000000001</v>
      </c>
      <c r="R7787">
        <v>0.32838390000000001</v>
      </c>
      <c r="S7787">
        <v>2.7602389999999999</v>
      </c>
      <c r="T7787">
        <v>-0.1480815</v>
      </c>
      <c r="U7787">
        <v>1.5052190000000001</v>
      </c>
      <c r="V7787">
        <v>-0.2292893</v>
      </c>
      <c r="W7787">
        <v>0.2191594</v>
      </c>
      <c r="X7787">
        <v>0.94836469999999995</v>
      </c>
      <c r="Y7787">
        <v>-0.3798163</v>
      </c>
      <c r="Z7787">
        <v>4.0962799999999999E-3</v>
      </c>
      <c r="AA7787">
        <v>0.92505289999999996</v>
      </c>
      <c r="AB7787">
        <v>39</v>
      </c>
      <c r="AC7787">
        <v>20.601900000000001</v>
      </c>
      <c r="AD7787">
        <v>-1.1155763536809999</v>
      </c>
      <c r="AE7787">
        <v>11.3165599999999</v>
      </c>
      <c r="AF7787">
        <v>-8.9809159701211705</v>
      </c>
      <c r="AG7787">
        <v>-1.1155763536809999</v>
      </c>
      <c r="AH7787">
        <v>21.664840769320801</v>
      </c>
      <c r="AI7787">
        <v>92.723357150480695</v>
      </c>
      <c r="AJ7787">
        <v>112.51590138120601</v>
      </c>
      <c r="AK7787">
        <v>23.479069143032302</v>
      </c>
      <c r="AL7787">
        <v>77.340334871585199</v>
      </c>
      <c r="AM7787">
        <v>103.59176568162199</v>
      </c>
      <c r="AN7787">
        <v>1.0000000149544599</v>
      </c>
    </row>
    <row r="7788" spans="1:40" x14ac:dyDescent="0.25">
      <c r="A7788" t="str">
        <f>"20190312172302036"</f>
        <v>20190312172302036</v>
      </c>
      <c r="B7788" t="str">
        <f>"1552382582028172"</f>
        <v>1552382582028172</v>
      </c>
      <c r="C7788" t="s">
        <v>40</v>
      </c>
      <c r="D7788">
        <v>3.0957629999999998</v>
      </c>
      <c r="E7788">
        <v>0.43836190000000003</v>
      </c>
      <c r="F7788" t="s">
        <v>64</v>
      </c>
      <c r="G7788">
        <v>-190.87110000000001</v>
      </c>
      <c r="H7788" s="1">
        <v>-9.425667E-6</v>
      </c>
      <c r="I7788">
        <v>-51.658659999999998</v>
      </c>
      <c r="J7788">
        <v>-211.89179999999999</v>
      </c>
      <c r="K7788">
        <v>1.1156010000000001</v>
      </c>
      <c r="L7788">
        <v>-63.31729</v>
      </c>
      <c r="M7788">
        <v>0.99366200000000005</v>
      </c>
      <c r="N7788">
        <v>0</v>
      </c>
      <c r="O7788">
        <v>0.1120753</v>
      </c>
      <c r="P7788">
        <v>0.91870240000000003</v>
      </c>
      <c r="Q7788">
        <v>0.21409810000000001</v>
      </c>
      <c r="R7788">
        <v>0.3318855</v>
      </c>
      <c r="S7788">
        <v>2.7535099999999999</v>
      </c>
      <c r="T7788">
        <v>-0.1448401</v>
      </c>
      <c r="U7788">
        <v>1.516602</v>
      </c>
      <c r="V7788">
        <v>-0.23008200000000001</v>
      </c>
      <c r="W7788">
        <v>0.21894630000000001</v>
      </c>
      <c r="X7788">
        <v>0.94822189999999995</v>
      </c>
      <c r="Y7788">
        <v>-0.38095469999999998</v>
      </c>
      <c r="Z7788">
        <v>3.8967110000000002E-3</v>
      </c>
      <c r="AA7788">
        <v>0.92458549999999995</v>
      </c>
      <c r="AB7788">
        <v>39</v>
      </c>
      <c r="AC7788">
        <v>21.020699999999898</v>
      </c>
      <c r="AD7788">
        <v>-1.1156104256669901</v>
      </c>
      <c r="AE7788">
        <v>11.65863</v>
      </c>
      <c r="AF7788">
        <v>-9.2093450068711</v>
      </c>
      <c r="AG7788">
        <v>-1.1156104256669901</v>
      </c>
      <c r="AH7788">
        <v>22.147241202355499</v>
      </c>
      <c r="AI7788">
        <v>92.662995768669305</v>
      </c>
      <c r="AJ7788">
        <v>112.57869282125699</v>
      </c>
      <c r="AK7788">
        <v>24.011599591713001</v>
      </c>
      <c r="AL7788">
        <v>77.352848204432505</v>
      </c>
      <c r="AM7788">
        <v>103.638980427866</v>
      </c>
      <c r="AN7788">
        <v>0.99999999032364995</v>
      </c>
    </row>
    <row r="7789" spans="1:40" x14ac:dyDescent="0.25">
      <c r="A7789" t="str">
        <f>"20190312172302048"</f>
        <v>20190312172302048</v>
      </c>
      <c r="B7789" t="str">
        <f>"1552382582037932"</f>
        <v>1552382582037932</v>
      </c>
      <c r="C7789" t="s">
        <v>40</v>
      </c>
      <c r="D7789">
        <v>3.0712809999999999</v>
      </c>
      <c r="E7789">
        <v>0.43793559999999998</v>
      </c>
      <c r="F7789" t="s">
        <v>64</v>
      </c>
      <c r="G7789">
        <v>-190.97620000000001</v>
      </c>
      <c r="H7789" s="1">
        <v>-9.4151849999999999E-6</v>
      </c>
      <c r="I7789">
        <v>-51.716380000000001</v>
      </c>
      <c r="J7789">
        <v>-211.703</v>
      </c>
      <c r="K7789">
        <v>1.115634</v>
      </c>
      <c r="L7789">
        <v>-63.293790000000001</v>
      </c>
      <c r="M7789">
        <v>0.99331910000000001</v>
      </c>
      <c r="N7789">
        <v>0</v>
      </c>
      <c r="O7789">
        <v>0.11507439999999999</v>
      </c>
      <c r="P7789">
        <v>0.91765099999999999</v>
      </c>
      <c r="Q7789">
        <v>0.21350379999999999</v>
      </c>
      <c r="R7789">
        <v>0.33516089999999998</v>
      </c>
      <c r="S7789">
        <v>2.74884</v>
      </c>
      <c r="T7789">
        <v>-0.1466199</v>
      </c>
      <c r="U7789">
        <v>1.5246580000000001</v>
      </c>
      <c r="V7789">
        <v>-0.23059830000000001</v>
      </c>
      <c r="W7789">
        <v>0.21833859999999999</v>
      </c>
      <c r="X7789">
        <v>0.94823659999999999</v>
      </c>
      <c r="Y7789">
        <v>-0.38089840000000003</v>
      </c>
      <c r="Z7789">
        <v>3.800328E-3</v>
      </c>
      <c r="AA7789">
        <v>0.92460909999999996</v>
      </c>
      <c r="AB7789">
        <v>39</v>
      </c>
      <c r="AC7789">
        <v>20.726800000000001</v>
      </c>
      <c r="AD7789">
        <v>-1.1156434151850001</v>
      </c>
      <c r="AE7789">
        <v>11.57741</v>
      </c>
      <c r="AF7789">
        <v>-9.0951958352955398</v>
      </c>
      <c r="AG7789">
        <v>-1.1156434151850001</v>
      </c>
      <c r="AH7789">
        <v>21.873110757756699</v>
      </c>
      <c r="AI7789">
        <v>92.696408071548802</v>
      </c>
      <c r="AJ7789">
        <v>112.57833712178601</v>
      </c>
      <c r="AK7789">
        <v>23.7149788474145</v>
      </c>
      <c r="AL7789">
        <v>77.388530104850901</v>
      </c>
      <c r="AM7789">
        <v>103.66823528195999</v>
      </c>
      <c r="AN7789">
        <v>0.99999998489620401</v>
      </c>
    </row>
    <row r="7790" spans="1:40" x14ac:dyDescent="0.25">
      <c r="A7790" t="str">
        <f>"20190312172302060"</f>
        <v>20190312172302060</v>
      </c>
      <c r="B7790" t="str">
        <f>"1552382582047692"</f>
        <v>1552382582047692</v>
      </c>
      <c r="C7790" t="s">
        <v>40</v>
      </c>
      <c r="D7790">
        <v>3.1146120000000002</v>
      </c>
      <c r="E7790">
        <v>0.43753619999999999</v>
      </c>
      <c r="F7790" t="s">
        <v>64</v>
      </c>
      <c r="G7790">
        <v>-191.04849999999999</v>
      </c>
      <c r="H7790" s="1">
        <v>-9.4242030000000002E-6</v>
      </c>
      <c r="I7790">
        <v>-51.711440000000003</v>
      </c>
      <c r="J7790">
        <v>-211.51179999999999</v>
      </c>
      <c r="K7790">
        <v>1.1156680000000001</v>
      </c>
      <c r="L7790">
        <v>-63.26981</v>
      </c>
      <c r="M7790">
        <v>0.99296240000000002</v>
      </c>
      <c r="N7790">
        <v>0</v>
      </c>
      <c r="O7790">
        <v>0.1181126</v>
      </c>
      <c r="P7790">
        <v>0.91651559999999999</v>
      </c>
      <c r="Q7790">
        <v>0.21285190000000001</v>
      </c>
      <c r="R7790">
        <v>0.33866400000000002</v>
      </c>
      <c r="S7790">
        <v>2.7420650000000002</v>
      </c>
      <c r="T7790">
        <v>-0.14811150000000001</v>
      </c>
      <c r="U7790">
        <v>1.5376590000000001</v>
      </c>
      <c r="V7790">
        <v>-0.2313132</v>
      </c>
      <c r="W7790">
        <v>0.21767039999999999</v>
      </c>
      <c r="X7790">
        <v>0.94821610000000001</v>
      </c>
      <c r="Y7790">
        <v>-0.38237539999999998</v>
      </c>
      <c r="Z7790">
        <v>3.7308739999999999E-3</v>
      </c>
      <c r="AA7790">
        <v>0.92399949999999997</v>
      </c>
      <c r="AB7790">
        <v>39</v>
      </c>
      <c r="AC7790">
        <v>20.4633</v>
      </c>
      <c r="AD7790">
        <v>-1.1156774242030001</v>
      </c>
      <c r="AE7790">
        <v>11.558369999999901</v>
      </c>
      <c r="AF7790">
        <v>-9.0400211941226107</v>
      </c>
      <c r="AG7790">
        <v>-1.1156774242030001</v>
      </c>
      <c r="AH7790">
        <v>21.636531574356901</v>
      </c>
      <c r="AI7790">
        <v>92.724000867723902</v>
      </c>
      <c r="AJ7790">
        <v>112.675799537842</v>
      </c>
      <c r="AK7790">
        <v>23.475651596349898</v>
      </c>
      <c r="AL7790">
        <v>77.427758694181094</v>
      </c>
      <c r="AM7790">
        <v>103.709298182694</v>
      </c>
      <c r="AN7790">
        <v>0.99999998591480499</v>
      </c>
    </row>
    <row r="7791" spans="1:40" x14ac:dyDescent="0.25">
      <c r="A7791" t="str">
        <f>"20190312172302071"</f>
        <v>20190312172302071</v>
      </c>
      <c r="B7791" t="str">
        <f>"1552382582068188"</f>
        <v>1552382582068188</v>
      </c>
      <c r="C7791" t="s">
        <v>40</v>
      </c>
      <c r="D7791">
        <v>3.1108750000000001</v>
      </c>
      <c r="E7791">
        <v>0.43749840000000001</v>
      </c>
      <c r="F7791" t="s">
        <v>41</v>
      </c>
      <c r="G7791">
        <v>-210.49950000000001</v>
      </c>
      <c r="H7791">
        <v>1.0594699999999999</v>
      </c>
      <c r="I7791">
        <v>-62.695839999999997</v>
      </c>
      <c r="J7791">
        <v>-211.3116</v>
      </c>
      <c r="K7791">
        <v>1.115572</v>
      </c>
      <c r="L7791">
        <v>-63.24371</v>
      </c>
      <c r="M7791">
        <v>0.9925235</v>
      </c>
      <c r="N7791">
        <v>0</v>
      </c>
      <c r="O7791">
        <v>0.121759199999999</v>
      </c>
      <c r="P7791">
        <v>0.91502939999999999</v>
      </c>
      <c r="Q7791">
        <v>0.21281939999999999</v>
      </c>
      <c r="R7791">
        <v>0.34267950000000003</v>
      </c>
      <c r="S7791">
        <v>2.7353519999999998</v>
      </c>
      <c r="T7791">
        <v>-0.1518563</v>
      </c>
      <c r="U7791">
        <v>1.5511779999999999</v>
      </c>
      <c r="V7791">
        <v>-0.2319697</v>
      </c>
      <c r="W7791">
        <v>0.21743950000000001</v>
      </c>
      <c r="X7791">
        <v>0.94810870000000003</v>
      </c>
      <c r="Y7791">
        <v>-0.3833995</v>
      </c>
      <c r="Z7791">
        <v>3.6715189999999998E-3</v>
      </c>
      <c r="AA7791">
        <v>0.92357529999999999</v>
      </c>
      <c r="AB7791">
        <v>39</v>
      </c>
      <c r="AC7791">
        <v>0.81209999999998606</v>
      </c>
      <c r="AD7791">
        <v>-5.6101999999999798E-2</v>
      </c>
      <c r="AE7791">
        <v>0.54786999999999597</v>
      </c>
      <c r="AF7791">
        <v>-0.44345477206335099</v>
      </c>
      <c r="AG7791">
        <v>-5.6101999999999798E-2</v>
      </c>
      <c r="AH7791">
        <v>0.86991480984747305</v>
      </c>
      <c r="AI7791">
        <v>93.288404906708493</v>
      </c>
      <c r="AJ7791">
        <v>117.01103379216001</v>
      </c>
      <c r="AK7791">
        <v>0.97803442969137</v>
      </c>
      <c r="AL7791">
        <v>77.441313023567901</v>
      </c>
      <c r="AM7791">
        <v>103.748231135366</v>
      </c>
      <c r="AN7791">
        <v>0.99999999244701498</v>
      </c>
    </row>
    <row r="7792" spans="1:40" x14ac:dyDescent="0.25">
      <c r="A7792" t="str">
        <f>"20190312172302083"</f>
        <v>20190312172302083</v>
      </c>
      <c r="B7792" t="str">
        <f>"1552382582077965"</f>
        <v>1552382582077965</v>
      </c>
      <c r="C7792" t="s">
        <v>40</v>
      </c>
      <c r="D7792">
        <v>3.0906709999999999</v>
      </c>
      <c r="E7792">
        <v>0.43736910000000001</v>
      </c>
      <c r="F7792" t="s">
        <v>64</v>
      </c>
      <c r="G7792">
        <v>-191.31800000000001</v>
      </c>
      <c r="H7792" s="1">
        <v>-9.4235970000000008E-6</v>
      </c>
      <c r="I7792">
        <v>-51.78716</v>
      </c>
      <c r="J7792">
        <v>-211.1163</v>
      </c>
      <c r="K7792">
        <v>1.115526</v>
      </c>
      <c r="L7792">
        <v>-63.217959999999998</v>
      </c>
      <c r="M7792">
        <v>0.99209999999999998</v>
      </c>
      <c r="N7792">
        <v>0</v>
      </c>
      <c r="O7792">
        <v>0.12517059999999999</v>
      </c>
      <c r="P7792">
        <v>0.91364639999999997</v>
      </c>
      <c r="Q7792">
        <v>0.21251590000000001</v>
      </c>
      <c r="R7792">
        <v>0.34653610000000001</v>
      </c>
      <c r="S7792">
        <v>2.7284700000000002</v>
      </c>
      <c r="T7792">
        <v>-0.1522406</v>
      </c>
      <c r="U7792">
        <v>1.5634459999999999</v>
      </c>
      <c r="V7792">
        <v>-0.23269529999999999</v>
      </c>
      <c r="W7792">
        <v>0.21702060000000001</v>
      </c>
      <c r="X7792">
        <v>0.94802690000000001</v>
      </c>
      <c r="Y7792">
        <v>-0.3843568</v>
      </c>
      <c r="Z7792">
        <v>3.537395E-3</v>
      </c>
      <c r="AA7792">
        <v>0.92317780000000005</v>
      </c>
      <c r="AB7792">
        <v>39</v>
      </c>
      <c r="AC7792">
        <v>19.798300000000001</v>
      </c>
      <c r="AD7792">
        <v>-1.1155354235969901</v>
      </c>
      <c r="AE7792">
        <v>11.4307999999999</v>
      </c>
      <c r="AF7792">
        <v>-8.8415891755208804</v>
      </c>
      <c r="AG7792">
        <v>-1.1155354235969901</v>
      </c>
      <c r="AH7792">
        <v>21.023372582326299</v>
      </c>
      <c r="AI7792">
        <v>92.800227135959503</v>
      </c>
      <c r="AJ7792">
        <v>112.809673783017</v>
      </c>
      <c r="AK7792">
        <v>22.834191756339798</v>
      </c>
      <c r="AL7792">
        <v>77.465901778309899</v>
      </c>
      <c r="AM7792">
        <v>103.79074081794199</v>
      </c>
      <c r="AN7792">
        <v>1.0000000232950199</v>
      </c>
    </row>
    <row r="7793" spans="1:40" x14ac:dyDescent="0.25">
      <c r="A7793" t="str">
        <f>"20190312172302094"</f>
        <v>20190312172302094</v>
      </c>
      <c r="B7793" t="str">
        <f>"1552382582087707"</f>
        <v>1552382582087707</v>
      </c>
      <c r="C7793" t="s">
        <v>40</v>
      </c>
      <c r="D7793">
        <v>3.0919349999999999</v>
      </c>
      <c r="E7793">
        <v>0.43726320000000002</v>
      </c>
      <c r="F7793" t="s">
        <v>41</v>
      </c>
      <c r="G7793">
        <v>-210.1532</v>
      </c>
      <c r="H7793">
        <v>1.0610170000000001</v>
      </c>
      <c r="I7793">
        <v>-62.660200000000003</v>
      </c>
      <c r="J7793">
        <v>-210.92080000000001</v>
      </c>
      <c r="K7793">
        <v>1.11561</v>
      </c>
      <c r="L7793">
        <v>-63.191409999999998</v>
      </c>
      <c r="M7793">
        <v>0.99171469999999995</v>
      </c>
      <c r="N7793">
        <v>0</v>
      </c>
      <c r="O7793">
        <v>0.1281766</v>
      </c>
      <c r="P7793">
        <v>0.91255410000000003</v>
      </c>
      <c r="Q7793">
        <v>0.21199180000000001</v>
      </c>
      <c r="R7793">
        <v>0.3497208</v>
      </c>
      <c r="S7793">
        <v>2.721603</v>
      </c>
      <c r="T7793">
        <v>-0.15403839999999999</v>
      </c>
      <c r="U7793">
        <v>1.57605</v>
      </c>
      <c r="V7793">
        <v>-0.23314940000000001</v>
      </c>
      <c r="W7793">
        <v>0.21660679999999999</v>
      </c>
      <c r="X7793">
        <v>0.94801000000000002</v>
      </c>
      <c r="Y7793">
        <v>-0.38576549999999998</v>
      </c>
      <c r="Z7793">
        <v>3.466355E-3</v>
      </c>
      <c r="AA7793">
        <v>0.92259040000000003</v>
      </c>
      <c r="AB7793">
        <v>39</v>
      </c>
      <c r="AC7793">
        <v>0.76760000000001505</v>
      </c>
      <c r="AD7793">
        <v>-5.4592999999999801E-2</v>
      </c>
      <c r="AE7793">
        <v>0.53120999999999396</v>
      </c>
      <c r="AF7793">
        <v>-0.42697561564536402</v>
      </c>
      <c r="AG7793">
        <v>-5.4592999999999801E-2</v>
      </c>
      <c r="AH7793">
        <v>0.826532091806363</v>
      </c>
      <c r="AI7793">
        <v>93.358438783590202</v>
      </c>
      <c r="AJ7793">
        <v>117.320281911104</v>
      </c>
      <c r="AK7793">
        <v>0.93190335914757805</v>
      </c>
      <c r="AL7793">
        <v>77.490188873594505</v>
      </c>
      <c r="AM7793">
        <v>103.816859715047</v>
      </c>
      <c r="AN7793">
        <v>1.0000000543132901</v>
      </c>
    </row>
    <row r="7794" spans="1:40" x14ac:dyDescent="0.25">
      <c r="A7794" t="str">
        <f>"20190312172302106"</f>
        <v>20190312172302106</v>
      </c>
      <c r="B7794" t="str">
        <f>"1552382582097468"</f>
        <v>1552382582097468</v>
      </c>
      <c r="C7794" t="s">
        <v>40</v>
      </c>
      <c r="D7794">
        <v>3.2052679999999998</v>
      </c>
      <c r="E7794">
        <v>0.43762459999999997</v>
      </c>
      <c r="F7794" t="s">
        <v>64</v>
      </c>
      <c r="G7794">
        <v>-191.62370000000001</v>
      </c>
      <c r="H7794" s="1">
        <v>-9.4066579999999993E-6</v>
      </c>
      <c r="I7794">
        <v>-51.917729999999999</v>
      </c>
      <c r="J7794">
        <v>-210.71729999999999</v>
      </c>
      <c r="K7794">
        <v>1.1157330000000001</v>
      </c>
      <c r="L7794">
        <v>-63.163150000000002</v>
      </c>
      <c r="M7794">
        <v>0.99132439999999999</v>
      </c>
      <c r="N7794">
        <v>0</v>
      </c>
      <c r="O7794">
        <v>0.1311456</v>
      </c>
      <c r="P7794">
        <v>0.91141309999999998</v>
      </c>
      <c r="Q7794">
        <v>0.21144840000000001</v>
      </c>
      <c r="R7794">
        <v>0.35300959999999998</v>
      </c>
      <c r="S7794">
        <v>2.715897</v>
      </c>
      <c r="T7794">
        <v>-0.1570136</v>
      </c>
      <c r="U7794">
        <v>1.58667</v>
      </c>
      <c r="V7794">
        <v>-0.23376540000000001</v>
      </c>
      <c r="W7794">
        <v>0.21620819999999999</v>
      </c>
      <c r="X7794">
        <v>0.94794920000000005</v>
      </c>
      <c r="Y7794">
        <v>-0.38652789999999998</v>
      </c>
      <c r="Z7794">
        <v>3.4020080000000002E-3</v>
      </c>
      <c r="AA7794">
        <v>0.92227139999999996</v>
      </c>
      <c r="AB7794">
        <v>39</v>
      </c>
      <c r="AC7794">
        <v>19.093599999999899</v>
      </c>
      <c r="AD7794">
        <v>-1.115742406658</v>
      </c>
      <c r="AE7794">
        <v>11.245419999999999</v>
      </c>
      <c r="AF7794">
        <v>-8.6222895653989102</v>
      </c>
      <c r="AG7794">
        <v>-1.115742406658</v>
      </c>
      <c r="AH7794">
        <v>20.351924448942</v>
      </c>
      <c r="AI7794">
        <v>92.889787724211899</v>
      </c>
      <c r="AJ7794">
        <v>112.960414294659</v>
      </c>
      <c r="AK7794">
        <v>22.1311903711266</v>
      </c>
      <c r="AL7794">
        <v>77.513580188194993</v>
      </c>
      <c r="AM7794">
        <v>103.852815035153</v>
      </c>
      <c r="AN7794">
        <v>0.99999996688251902</v>
      </c>
    </row>
    <row r="7795" spans="1:40" x14ac:dyDescent="0.25">
      <c r="A7795" t="str">
        <f>"20190312172302116"</f>
        <v>20190312172302116</v>
      </c>
      <c r="B7795" t="str">
        <f>"1552382582108203"</f>
        <v>1552382582108203</v>
      </c>
      <c r="C7795" t="s">
        <v>40</v>
      </c>
      <c r="D7795">
        <v>3.197184</v>
      </c>
      <c r="E7795">
        <v>0.43793270000000001</v>
      </c>
      <c r="F7795" t="s">
        <v>41</v>
      </c>
      <c r="G7795">
        <v>-209.74039999999999</v>
      </c>
      <c r="H7795">
        <v>1.058057</v>
      </c>
      <c r="I7795">
        <v>-62.588859999999997</v>
      </c>
      <c r="J7795">
        <v>-210.52850000000001</v>
      </c>
      <c r="K7795">
        <v>1.115875</v>
      </c>
      <c r="L7795">
        <v>-63.136409999999998</v>
      </c>
      <c r="M7795">
        <v>0.99097199999999996</v>
      </c>
      <c r="N7795">
        <v>0</v>
      </c>
      <c r="O7795">
        <v>0.133765</v>
      </c>
      <c r="P7795">
        <v>0.91048189999999996</v>
      </c>
      <c r="Q7795">
        <v>0.21086579999999999</v>
      </c>
      <c r="R7795">
        <v>0.35575040000000002</v>
      </c>
      <c r="S7795">
        <v>2.7113040000000002</v>
      </c>
      <c r="T7795">
        <v>-0.16007160000000001</v>
      </c>
      <c r="U7795">
        <v>1.5940859999999999</v>
      </c>
      <c r="V7795">
        <v>-0.23415459999999999</v>
      </c>
      <c r="W7795">
        <v>0.21579110000000001</v>
      </c>
      <c r="X7795">
        <v>0.94794820000000002</v>
      </c>
      <c r="Y7795">
        <v>-0.38663809999999998</v>
      </c>
      <c r="Z7795">
        <v>3.3347189999999999E-3</v>
      </c>
      <c r="AA7795">
        <v>0.92222550000000003</v>
      </c>
      <c r="AB7795">
        <v>39</v>
      </c>
      <c r="AC7795">
        <v>0.78810000000001401</v>
      </c>
      <c r="AD7795">
        <v>-5.7817999999999897E-2</v>
      </c>
      <c r="AE7795">
        <v>0.54755000000000098</v>
      </c>
      <c r="AF7795">
        <v>-0.43562300559254602</v>
      </c>
      <c r="AG7795">
        <v>-5.7817999999999897E-2</v>
      </c>
      <c r="AH7795">
        <v>0.851173070738386</v>
      </c>
      <c r="AI7795">
        <v>93.460362861626194</v>
      </c>
      <c r="AJ7795">
        <v>117.10297333559301</v>
      </c>
      <c r="AK7795">
        <v>0.95791749147601302</v>
      </c>
      <c r="AL7795">
        <v>77.538056250177902</v>
      </c>
      <c r="AM7795">
        <v>103.875002412207</v>
      </c>
      <c r="AN7795">
        <v>0.99999998271180401</v>
      </c>
    </row>
    <row r="7796" spans="1:40" x14ac:dyDescent="0.25">
      <c r="A7796" t="str">
        <f>"20190312172302127"</f>
        <v>20190312172302127</v>
      </c>
      <c r="B7796" t="str">
        <f>"1552382582117965"</f>
        <v>1552382582117965</v>
      </c>
      <c r="C7796" t="s">
        <v>40</v>
      </c>
      <c r="D7796">
        <v>3.214512</v>
      </c>
      <c r="E7796">
        <v>0.43829609999999902</v>
      </c>
      <c r="F7796" t="s">
        <v>64</v>
      </c>
      <c r="G7796">
        <v>-191.958</v>
      </c>
      <c r="H7796" s="1">
        <v>-9.3519889999999995E-6</v>
      </c>
      <c r="I7796">
        <v>-52.159950000000002</v>
      </c>
      <c r="J7796">
        <v>-210.35169999999999</v>
      </c>
      <c r="K7796">
        <v>1.1159760000000001</v>
      </c>
      <c r="L7796">
        <v>-63.11063</v>
      </c>
      <c r="M7796">
        <v>0.99063250000000003</v>
      </c>
      <c r="N7796">
        <v>0</v>
      </c>
      <c r="O7796">
        <v>0.13624810000000001</v>
      </c>
      <c r="P7796">
        <v>0.90957580000000005</v>
      </c>
      <c r="Q7796">
        <v>0.21057439999999999</v>
      </c>
      <c r="R7796">
        <v>0.35823260000000001</v>
      </c>
      <c r="S7796">
        <v>2.7073670000000001</v>
      </c>
      <c r="T7796">
        <v>-0.16268389999999999</v>
      </c>
      <c r="U7796">
        <v>1.60025</v>
      </c>
      <c r="V7796">
        <v>-0.2344107</v>
      </c>
      <c r="W7796">
        <v>0.21558060000000001</v>
      </c>
      <c r="X7796">
        <v>0.94793280000000002</v>
      </c>
      <c r="Y7796">
        <v>-0.38646320000000001</v>
      </c>
      <c r="Z7796">
        <v>3.2524009999999998E-3</v>
      </c>
      <c r="AA7796">
        <v>0.92229910000000004</v>
      </c>
      <c r="AB7796">
        <v>39</v>
      </c>
      <c r="AC7796">
        <v>18.3936999999999</v>
      </c>
      <c r="AD7796">
        <v>-1.115985351989</v>
      </c>
      <c r="AE7796">
        <v>10.95068</v>
      </c>
      <c r="AF7796">
        <v>-8.3197305580134699</v>
      </c>
      <c r="AG7796">
        <v>-1.115985351989</v>
      </c>
      <c r="AH7796">
        <v>19.660797205926801</v>
      </c>
      <c r="AI7796">
        <v>92.992372049352795</v>
      </c>
      <c r="AJ7796">
        <v>112.936304733556</v>
      </c>
      <c r="AK7796">
        <v>21.377798919355001</v>
      </c>
      <c r="AL7796">
        <v>77.550407726538594</v>
      </c>
      <c r="AM7796">
        <v>103.88980742515299</v>
      </c>
      <c r="AN7796">
        <v>0.99999998234334397</v>
      </c>
    </row>
    <row r="7797" spans="1:40" x14ac:dyDescent="0.25">
      <c r="A7797" t="str">
        <f>"20190312172302138"</f>
        <v>20190312172302138</v>
      </c>
      <c r="B7797" t="str">
        <f>"1552382582127724"</f>
        <v>1552382582127724</v>
      </c>
      <c r="C7797" t="s">
        <v>40</v>
      </c>
      <c r="D7797">
        <v>3.2324540000000002</v>
      </c>
      <c r="E7797">
        <v>0.438724</v>
      </c>
      <c r="F7797" t="s">
        <v>64</v>
      </c>
      <c r="G7797">
        <v>-191.94409999999999</v>
      </c>
      <c r="H7797" s="1">
        <v>-9.3414750000000002E-6</v>
      </c>
      <c r="I7797">
        <v>-52.185040000000001</v>
      </c>
      <c r="J7797">
        <v>-210.16380000000001</v>
      </c>
      <c r="K7797">
        <v>1.116066</v>
      </c>
      <c r="L7797">
        <v>-63.082889999999999</v>
      </c>
      <c r="M7797">
        <v>0.99026250000000005</v>
      </c>
      <c r="N7797">
        <v>0</v>
      </c>
      <c r="O7797">
        <v>0.138902</v>
      </c>
      <c r="P7797">
        <v>0.90855600000000003</v>
      </c>
      <c r="Q7797">
        <v>0.21061650000000001</v>
      </c>
      <c r="R7797">
        <v>0.3607863</v>
      </c>
      <c r="S7797">
        <v>2.7041019999999998</v>
      </c>
      <c r="T7797">
        <v>-0.16393949999999999</v>
      </c>
      <c r="U7797">
        <v>1.6049800000000001</v>
      </c>
      <c r="V7797">
        <v>-0.23459720000000001</v>
      </c>
      <c r="W7797">
        <v>0.21567890000000001</v>
      </c>
      <c r="X7797">
        <v>0.94786440000000005</v>
      </c>
      <c r="Y7797">
        <v>-0.38567279999999998</v>
      </c>
      <c r="Z7797">
        <v>3.112732E-3</v>
      </c>
      <c r="AA7797">
        <v>0.92263039999999996</v>
      </c>
      <c r="AB7797">
        <v>39</v>
      </c>
      <c r="AC7797">
        <v>18.2197</v>
      </c>
      <c r="AD7797">
        <v>-1.116075341475</v>
      </c>
      <c r="AE7797">
        <v>10.897849999999901</v>
      </c>
      <c r="AF7797">
        <v>-8.2385680386944404</v>
      </c>
      <c r="AG7797">
        <v>-1.116075341475</v>
      </c>
      <c r="AH7797">
        <v>19.5029649143749</v>
      </c>
      <c r="AI7797">
        <v>93.017582874085505</v>
      </c>
      <c r="AJ7797">
        <v>112.900481422684</v>
      </c>
      <c r="AK7797">
        <v>21.201067613386499</v>
      </c>
      <c r="AL7797">
        <v>77.544641067327404</v>
      </c>
      <c r="AM7797">
        <v>103.901394114681</v>
      </c>
      <c r="AN7797">
        <v>1.0000000774702</v>
      </c>
    </row>
    <row r="7798" spans="1:40" x14ac:dyDescent="0.25">
      <c r="A7798" t="str">
        <f>"20190312172302150"</f>
        <v>20190312172302150</v>
      </c>
      <c r="B7798" t="str">
        <f>"1552382582138460"</f>
        <v>1552382582138460</v>
      </c>
      <c r="C7798" t="s">
        <v>40</v>
      </c>
      <c r="D7798">
        <v>3.2044999999999999</v>
      </c>
      <c r="E7798">
        <v>0.43910399999999999</v>
      </c>
      <c r="F7798" t="s">
        <v>64</v>
      </c>
      <c r="G7798">
        <v>-191.79320000000001</v>
      </c>
      <c r="H7798" s="1">
        <v>-9.3447200000000002E-6</v>
      </c>
      <c r="I7798">
        <v>-52.134639999999997</v>
      </c>
      <c r="J7798">
        <v>-209.97020000000001</v>
      </c>
      <c r="K7798">
        <v>1.1161080000000001</v>
      </c>
      <c r="L7798">
        <v>-63.053310000000003</v>
      </c>
      <c r="M7798">
        <v>0.98985489999999998</v>
      </c>
      <c r="N7798">
        <v>0</v>
      </c>
      <c r="O7798">
        <v>0.14177379999999901</v>
      </c>
      <c r="P7798">
        <v>0.90750399999999998</v>
      </c>
      <c r="Q7798">
        <v>0.2104663</v>
      </c>
      <c r="R7798">
        <v>0.36351139999999998</v>
      </c>
      <c r="S7798">
        <v>2.7008209999999999</v>
      </c>
      <c r="T7798">
        <v>-0.16408320000000001</v>
      </c>
      <c r="U7798">
        <v>1.6095889999999999</v>
      </c>
      <c r="V7798">
        <v>-0.2347293</v>
      </c>
      <c r="W7798">
        <v>0.21552109999999999</v>
      </c>
      <c r="X7798">
        <v>0.94786749999999997</v>
      </c>
      <c r="Y7798">
        <v>-0.38465529999999998</v>
      </c>
      <c r="Z7798">
        <v>2.9322609999999998E-3</v>
      </c>
      <c r="AA7798">
        <v>0.92305559999999998</v>
      </c>
      <c r="AB7798">
        <v>39</v>
      </c>
      <c r="AC7798">
        <v>18.1769999999999</v>
      </c>
      <c r="AD7798">
        <v>-1.1161173447199999</v>
      </c>
      <c r="AE7798">
        <v>10.918669999999899</v>
      </c>
      <c r="AF7798">
        <v>-8.2084941920916705</v>
      </c>
      <c r="AG7798">
        <v>-1.1161173447199999</v>
      </c>
      <c r="AH7798">
        <v>19.487436641184601</v>
      </c>
      <c r="AI7798">
        <v>93.021399240397002</v>
      </c>
      <c r="AJ7798">
        <v>112.841789464448</v>
      </c>
      <c r="AK7798">
        <v>21.175109956573401</v>
      </c>
      <c r="AL7798">
        <v>77.553899030849095</v>
      </c>
      <c r="AM7798">
        <v>103.90887432089001</v>
      </c>
      <c r="AN7798">
        <v>0.99999999318997401</v>
      </c>
    </row>
    <row r="7799" spans="1:40" x14ac:dyDescent="0.25">
      <c r="A7799" t="str">
        <f>"20190312172302160"</f>
        <v>20190312172302160</v>
      </c>
      <c r="B7799" t="str">
        <f>"1552382582157980"</f>
        <v>1552382582157980</v>
      </c>
      <c r="C7799" t="s">
        <v>40</v>
      </c>
      <c r="D7799">
        <v>3.1680890000000002</v>
      </c>
      <c r="E7799">
        <v>0.4394825</v>
      </c>
      <c r="F7799" t="s">
        <v>64</v>
      </c>
      <c r="G7799">
        <v>-191.7602</v>
      </c>
      <c r="H7799" s="1">
        <v>-9.3359490000000006E-6</v>
      </c>
      <c r="I7799">
        <v>-52.149700000000003</v>
      </c>
      <c r="J7799">
        <v>-209.77940000000001</v>
      </c>
      <c r="K7799">
        <v>1.116141</v>
      </c>
      <c r="L7799">
        <v>-63.02393</v>
      </c>
      <c r="M7799">
        <v>0.98944030000000005</v>
      </c>
      <c r="N7799">
        <v>0</v>
      </c>
      <c r="O7799">
        <v>0.1446384</v>
      </c>
      <c r="P7799">
        <v>0.90661340000000001</v>
      </c>
      <c r="Q7799">
        <v>0.21047460000000001</v>
      </c>
      <c r="R7799">
        <v>0.36572199999999999</v>
      </c>
      <c r="S7799">
        <v>2.6971889999999998</v>
      </c>
      <c r="T7799">
        <v>-0.16531399999999999</v>
      </c>
      <c r="U7799">
        <v>1.6149899999999999</v>
      </c>
      <c r="V7799">
        <v>-0.23433390000000001</v>
      </c>
      <c r="W7799">
        <v>0.21552009999999999</v>
      </c>
      <c r="X7799">
        <v>0.94796559999999996</v>
      </c>
      <c r="Y7799">
        <v>-0.3838917</v>
      </c>
      <c r="Z7799">
        <v>2.77728E-3</v>
      </c>
      <c r="AA7799">
        <v>0.92337389999999997</v>
      </c>
      <c r="AB7799">
        <v>39</v>
      </c>
      <c r="AC7799">
        <v>18.019200000000001</v>
      </c>
      <c r="AD7799">
        <v>-1.1161503359489999</v>
      </c>
      <c r="AE7799">
        <v>10.874230000000001</v>
      </c>
      <c r="AF7799">
        <v>-8.1306226008817397</v>
      </c>
      <c r="AG7799">
        <v>-1.1161503359489999</v>
      </c>
      <c r="AH7799">
        <v>19.3481862710059</v>
      </c>
      <c r="AI7799">
        <v>93.044272091175102</v>
      </c>
      <c r="AJ7799">
        <v>112.793441411109</v>
      </c>
      <c r="AK7799">
        <v>21.016782042642699</v>
      </c>
      <c r="AL7799">
        <v>77.553958227766103</v>
      </c>
      <c r="AM7799">
        <v>103.88497098251599</v>
      </c>
      <c r="AN7799">
        <v>1.00000003448828</v>
      </c>
    </row>
    <row r="7800" spans="1:40" x14ac:dyDescent="0.25">
      <c r="A7800" t="str">
        <f>"20190312172302173"</f>
        <v>20190312172302173</v>
      </c>
      <c r="B7800" t="str">
        <f>"1552382582168366"</f>
        <v>1552382582168366</v>
      </c>
      <c r="C7800" t="s">
        <v>40</v>
      </c>
      <c r="D7800">
        <v>3.1888299999999998</v>
      </c>
      <c r="E7800">
        <v>0.44576529999999998</v>
      </c>
      <c r="F7800" t="s">
        <v>41</v>
      </c>
      <c r="G7800">
        <v>-208.7912</v>
      </c>
      <c r="H7800">
        <v>1.055337</v>
      </c>
      <c r="I7800">
        <v>-62.430219999999998</v>
      </c>
      <c r="J7800">
        <v>-209.5745</v>
      </c>
      <c r="K7800">
        <v>1.1161369999999999</v>
      </c>
      <c r="L7800">
        <v>-62.991210000000002</v>
      </c>
      <c r="M7800">
        <v>0.98896059999999997</v>
      </c>
      <c r="N7800">
        <v>0</v>
      </c>
      <c r="O7800">
        <v>0.14788200000000001</v>
      </c>
      <c r="P7800">
        <v>0.90536490000000003</v>
      </c>
      <c r="Q7800">
        <v>0.21083460000000001</v>
      </c>
      <c r="R7800">
        <v>0.36859649999999999</v>
      </c>
      <c r="S7800">
        <v>2.6944270000000001</v>
      </c>
      <c r="T7800">
        <v>-0.16578979999999999</v>
      </c>
      <c r="U7800">
        <v>1.618927</v>
      </c>
      <c r="V7800">
        <v>-0.23426849999999999</v>
      </c>
      <c r="W7800">
        <v>0.21586739999999999</v>
      </c>
      <c r="X7800">
        <v>0.94790269999999999</v>
      </c>
      <c r="Y7800">
        <v>-0.38227729999999999</v>
      </c>
      <c r="Z7800">
        <v>2.5621870000000001E-3</v>
      </c>
      <c r="AA7800">
        <v>0.92404410000000003</v>
      </c>
      <c r="AB7800">
        <v>39</v>
      </c>
      <c r="AC7800">
        <v>0.783299999999997</v>
      </c>
      <c r="AD7800">
        <v>-6.0800000000000097E-2</v>
      </c>
      <c r="AE7800">
        <v>0.56098999999999599</v>
      </c>
      <c r="AF7800">
        <v>-0.43723910284720502</v>
      </c>
      <c r="AG7800">
        <v>-6.0800000000000097E-2</v>
      </c>
      <c r="AH7800">
        <v>0.85424896080977197</v>
      </c>
      <c r="AI7800">
        <v>93.6252280435248</v>
      </c>
      <c r="AJ7800">
        <v>117.105199389212</v>
      </c>
      <c r="AK7800">
        <v>0.96156952952098296</v>
      </c>
      <c r="AL7800">
        <v>77.533579235318697</v>
      </c>
      <c r="AM7800">
        <v>103.882131219366</v>
      </c>
      <c r="AN7800">
        <v>0.99999999657115002</v>
      </c>
    </row>
    <row r="7801" spans="1:40" x14ac:dyDescent="0.25">
      <c r="A7801" t="str">
        <f>"20190312172302183"</f>
        <v>20190312172302183</v>
      </c>
      <c r="B7801" t="str">
        <f>"1552382582178115"</f>
        <v>1552382582178115</v>
      </c>
      <c r="C7801" t="s">
        <v>40</v>
      </c>
      <c r="D7801">
        <v>3.3325480000000001</v>
      </c>
      <c r="E7801">
        <v>0.44497049999999999</v>
      </c>
      <c r="F7801" t="s">
        <v>64</v>
      </c>
      <c r="G7801">
        <v>-192.4263</v>
      </c>
      <c r="H7801" s="1">
        <v>-9.1006769999999995E-6</v>
      </c>
      <c r="I7801">
        <v>-52.979799999999997</v>
      </c>
      <c r="J7801">
        <v>-209.38380000000001</v>
      </c>
      <c r="K7801">
        <v>1.1161289999999999</v>
      </c>
      <c r="L7801">
        <v>-62.9604199999999</v>
      </c>
      <c r="M7801">
        <v>0.98849739999999997</v>
      </c>
      <c r="N7801">
        <v>0</v>
      </c>
      <c r="O7801">
        <v>0.15094669999999999</v>
      </c>
      <c r="P7801">
        <v>0.90446499999999996</v>
      </c>
      <c r="Q7801">
        <v>0.21086060000000001</v>
      </c>
      <c r="R7801">
        <v>0.370784</v>
      </c>
      <c r="S7801">
        <v>2.7104339999999998</v>
      </c>
      <c r="T7801">
        <v>-0.1764174</v>
      </c>
      <c r="U7801">
        <v>1.5823969999999901</v>
      </c>
      <c r="V7801">
        <v>-0.23363339999999999</v>
      </c>
      <c r="W7801">
        <v>0.21590239999999999</v>
      </c>
      <c r="X7801">
        <v>0.94805150000000005</v>
      </c>
      <c r="Y7801">
        <v>-0.36770599999999998</v>
      </c>
      <c r="Z7801">
        <v>2.1001489999999999E-3</v>
      </c>
      <c r="AA7801">
        <v>0.92993970000000004</v>
      </c>
      <c r="AB7801">
        <v>39</v>
      </c>
      <c r="AC7801">
        <v>16.9575</v>
      </c>
      <c r="AD7801">
        <v>-1.1161381006769999</v>
      </c>
      <c r="AE7801">
        <v>9.9806199999999894</v>
      </c>
      <c r="AF7801">
        <v>-7.2830256849144401</v>
      </c>
      <c r="AG7801">
        <v>-1.1161381006769999</v>
      </c>
      <c r="AH7801">
        <v>18.211193370816201</v>
      </c>
      <c r="AI7801">
        <v>93.256993998259603</v>
      </c>
      <c r="AJ7801">
        <v>111.797472135596</v>
      </c>
      <c r="AK7801">
        <v>19.645248569976602</v>
      </c>
      <c r="AL7801">
        <v>77.531525866879093</v>
      </c>
      <c r="AM7801">
        <v>103.843857326771</v>
      </c>
      <c r="AN7801">
        <v>1.0000000292867799</v>
      </c>
    </row>
    <row r="7802" spans="1:40" x14ac:dyDescent="0.25">
      <c r="A7802" t="str">
        <f>"20190312172302194"</f>
        <v>20190312172302194</v>
      </c>
      <c r="B7802" t="str">
        <f>"1552382582187876"</f>
        <v>1552382582187876</v>
      </c>
      <c r="C7802" t="s">
        <v>40</v>
      </c>
      <c r="D7802">
        <v>3.3271850000000001</v>
      </c>
      <c r="E7802">
        <v>0.44450820000000002</v>
      </c>
      <c r="F7802" t="s">
        <v>64</v>
      </c>
      <c r="G7802">
        <v>-192.88220000000001</v>
      </c>
      <c r="H7802" s="1">
        <v>-9.0563440000000004E-6</v>
      </c>
      <c r="I7802">
        <v>-53.226990000000001</v>
      </c>
      <c r="J7802">
        <v>-209.18870000000001</v>
      </c>
      <c r="K7802">
        <v>1.1161080000000001</v>
      </c>
      <c r="L7802">
        <v>-62.928130000000003</v>
      </c>
      <c r="M7802">
        <v>0.98799809999999999</v>
      </c>
      <c r="N7802">
        <v>0</v>
      </c>
      <c r="O7802">
        <v>0.15418009999999999</v>
      </c>
      <c r="P7802">
        <v>0.90335969999999999</v>
      </c>
      <c r="Q7802">
        <v>0.2108111</v>
      </c>
      <c r="R7802">
        <v>0.37349719999999997</v>
      </c>
      <c r="S7802">
        <v>2.7053379999999998</v>
      </c>
      <c r="T7802">
        <v>-0.1829838</v>
      </c>
      <c r="U7802">
        <v>1.595734</v>
      </c>
      <c r="V7802">
        <v>-0.2333749</v>
      </c>
      <c r="W7802">
        <v>0.21587439999999999</v>
      </c>
      <c r="X7802">
        <v>0.94812149999999995</v>
      </c>
      <c r="Y7802">
        <v>-0.36881239999999998</v>
      </c>
      <c r="Z7802">
        <v>2.0182690000000001E-3</v>
      </c>
      <c r="AA7802">
        <v>0.92950169999999999</v>
      </c>
      <c r="AB7802">
        <v>39</v>
      </c>
      <c r="AC7802">
        <v>16.3065</v>
      </c>
      <c r="AD7802">
        <v>-1.1161170563439999</v>
      </c>
      <c r="AE7802">
        <v>9.7011400000000005</v>
      </c>
      <c r="AF7802">
        <v>-7.0464998678706801</v>
      </c>
      <c r="AG7802">
        <v>-1.1161170563439999</v>
      </c>
      <c r="AH7802">
        <v>17.546576203070401</v>
      </c>
      <c r="AI7802">
        <v>93.378074069841503</v>
      </c>
      <c r="AJ7802">
        <v>111.87981770750601</v>
      </c>
      <c r="AK7802">
        <v>18.941520903072099</v>
      </c>
      <c r="AL7802">
        <v>77.5331683922862</v>
      </c>
      <c r="AM7802">
        <v>103.82814649301601</v>
      </c>
      <c r="AN7802">
        <v>0.99999998964380998</v>
      </c>
    </row>
    <row r="7803" spans="1:40" x14ac:dyDescent="0.25">
      <c r="A7803" t="str">
        <f>"20190312172302206"</f>
        <v>20190312172302206</v>
      </c>
      <c r="B7803" t="str">
        <f>"1552382582197636"</f>
        <v>1552382582197636</v>
      </c>
      <c r="C7803" t="s">
        <v>40</v>
      </c>
      <c r="D7803">
        <v>3.211319</v>
      </c>
      <c r="E7803">
        <v>0.44471040000000001</v>
      </c>
      <c r="F7803" t="s">
        <v>64</v>
      </c>
      <c r="G7803">
        <v>-192.9657</v>
      </c>
      <c r="H7803" s="1">
        <v>-9.0492779999999997E-6</v>
      </c>
      <c r="I7803">
        <v>-53.269379999999998</v>
      </c>
      <c r="J7803">
        <v>-209.0001</v>
      </c>
      <c r="K7803">
        <v>1.116096</v>
      </c>
      <c r="L7803">
        <v>-62.896329999999999</v>
      </c>
      <c r="M7803">
        <v>0.98749640000000005</v>
      </c>
      <c r="N7803">
        <v>0</v>
      </c>
      <c r="O7803">
        <v>0.1573599</v>
      </c>
      <c r="P7803">
        <v>0.90223750000000003</v>
      </c>
      <c r="Q7803">
        <v>0.21088689999999999</v>
      </c>
      <c r="R7803">
        <v>0.37615739999999998</v>
      </c>
      <c r="S7803">
        <v>2.699738</v>
      </c>
      <c r="T7803">
        <v>-0.1857386</v>
      </c>
      <c r="U7803">
        <v>1.607361</v>
      </c>
      <c r="V7803">
        <v>-0.2331202</v>
      </c>
      <c r="W7803">
        <v>0.2159797</v>
      </c>
      <c r="X7803">
        <v>0.94816020000000001</v>
      </c>
      <c r="Y7803">
        <v>-0.3696178</v>
      </c>
      <c r="Z7803">
        <v>1.8805860000000001E-3</v>
      </c>
      <c r="AA7803">
        <v>0.92918199999999995</v>
      </c>
      <c r="AB7803">
        <v>39</v>
      </c>
      <c r="AC7803">
        <v>16.034400000000002</v>
      </c>
      <c r="AD7803">
        <v>-1.116105049278</v>
      </c>
      <c r="AE7803">
        <v>9.6269500000000008</v>
      </c>
      <c r="AF7803">
        <v>-6.9589334818989599</v>
      </c>
      <c r="AG7803">
        <v>-1.116105049278</v>
      </c>
      <c r="AH7803">
        <v>17.288009127919999</v>
      </c>
      <c r="AI7803">
        <v>93.427327627883699</v>
      </c>
      <c r="AJ7803">
        <v>111.926239243686</v>
      </c>
      <c r="AK7803">
        <v>18.669432377379898</v>
      </c>
      <c r="AL7803">
        <v>77.526989659708804</v>
      </c>
      <c r="AM7803">
        <v>103.813090900535</v>
      </c>
      <c r="AN7803">
        <v>1.00000001166208</v>
      </c>
    </row>
    <row r="7804" spans="1:40" x14ac:dyDescent="0.25">
      <c r="A7804" t="str">
        <f>"20190312172302217"</f>
        <v>20190312172302217</v>
      </c>
      <c r="B7804" t="str">
        <f>"1552382582208372"</f>
        <v>1552382582208372</v>
      </c>
      <c r="C7804" t="s">
        <v>40</v>
      </c>
      <c r="D7804">
        <v>3.502548</v>
      </c>
      <c r="E7804">
        <v>0.44526589999999999</v>
      </c>
      <c r="F7804" t="s">
        <v>64</v>
      </c>
      <c r="G7804">
        <v>-192.49969999999999</v>
      </c>
      <c r="H7804" s="1">
        <v>-9.0942190000000004E-6</v>
      </c>
      <c r="I7804">
        <v>-53.01773</v>
      </c>
      <c r="J7804">
        <v>-208.80940000000001</v>
      </c>
      <c r="K7804">
        <v>1.1160870000000001</v>
      </c>
      <c r="L7804">
        <v>-62.863680000000002</v>
      </c>
      <c r="M7804">
        <v>0.98697089999999998</v>
      </c>
      <c r="N7804">
        <v>0</v>
      </c>
      <c r="O7804">
        <v>0.16062089999999901</v>
      </c>
      <c r="P7804">
        <v>0.90098480000000003</v>
      </c>
      <c r="Q7804">
        <v>0.21061179999999999</v>
      </c>
      <c r="R7804">
        <v>0.37930120000000001</v>
      </c>
      <c r="S7804">
        <v>2.6949920000000001</v>
      </c>
      <c r="T7804">
        <v>-0.1822926</v>
      </c>
      <c r="U7804">
        <v>1.613464</v>
      </c>
      <c r="V7804">
        <v>-0.23327880000000001</v>
      </c>
      <c r="W7804">
        <v>0.21573429999999999</v>
      </c>
      <c r="X7804">
        <v>0.94817700000000005</v>
      </c>
      <c r="Y7804">
        <v>-0.3688379</v>
      </c>
      <c r="Z7804">
        <v>1.6264579999999999E-3</v>
      </c>
      <c r="AA7804">
        <v>0.92949230000000005</v>
      </c>
      <c r="AB7804">
        <v>39</v>
      </c>
      <c r="AC7804">
        <v>16.309699999999999</v>
      </c>
      <c r="AD7804">
        <v>-1.1160960942189999</v>
      </c>
      <c r="AE7804">
        <v>9.8459499999999895</v>
      </c>
      <c r="AF7804">
        <v>-7.0740260019130696</v>
      </c>
      <c r="AG7804">
        <v>-1.1160960942189999</v>
      </c>
      <c r="AH7804">
        <v>17.618984871958599</v>
      </c>
      <c r="AI7804">
        <v>93.364262385350798</v>
      </c>
      <c r="AJ7804">
        <v>111.875470526952</v>
      </c>
      <c r="AK7804">
        <v>19.0188365124047</v>
      </c>
      <c r="AL7804">
        <v>77.541388803857799</v>
      </c>
      <c r="AM7804">
        <v>103.821892654412</v>
      </c>
      <c r="AN7804">
        <v>0.99999995502746397</v>
      </c>
    </row>
    <row r="7805" spans="1:40" x14ac:dyDescent="0.25">
      <c r="A7805" t="str">
        <f>"20190312172302227"</f>
        <v>20190312172302227</v>
      </c>
      <c r="B7805" t="str">
        <f>"1552382582218132"</f>
        <v>1552382582218132</v>
      </c>
      <c r="C7805" t="s">
        <v>40</v>
      </c>
      <c r="D7805">
        <v>3.187961</v>
      </c>
      <c r="E7805">
        <v>0.44593080000000002</v>
      </c>
      <c r="F7805" t="s">
        <v>64</v>
      </c>
      <c r="G7805">
        <v>-192.09549999999999</v>
      </c>
      <c r="H7805" s="1">
        <v>-9.1290220000000004E-6</v>
      </c>
      <c r="I7805">
        <v>-52.810949999999998</v>
      </c>
      <c r="J7805">
        <v>-208.6276</v>
      </c>
      <c r="K7805">
        <v>1.116079</v>
      </c>
      <c r="L7805">
        <v>-62.831699999999998</v>
      </c>
      <c r="M7805">
        <v>0.98647249999999997</v>
      </c>
      <c r="N7805">
        <v>0</v>
      </c>
      <c r="O7805">
        <v>0.1636543</v>
      </c>
      <c r="P7805">
        <v>0.89978340000000001</v>
      </c>
      <c r="Q7805">
        <v>0.2106074</v>
      </c>
      <c r="R7805">
        <v>0.3821444</v>
      </c>
      <c r="S7805">
        <v>2.6904599999999999</v>
      </c>
      <c r="T7805">
        <v>-0.17965880000000001</v>
      </c>
      <c r="U7805">
        <v>1.6181950000000001</v>
      </c>
      <c r="V7805">
        <v>-0.23336080000000001</v>
      </c>
      <c r="W7805">
        <v>0.21570539999999999</v>
      </c>
      <c r="X7805">
        <v>0.94816339999999999</v>
      </c>
      <c r="Y7805">
        <v>-0.36788700000000002</v>
      </c>
      <c r="Z7805">
        <v>1.3949329999999999E-3</v>
      </c>
      <c r="AA7805">
        <v>0.92986950000000002</v>
      </c>
      <c r="AB7805">
        <v>39</v>
      </c>
      <c r="AC7805">
        <v>16.5321</v>
      </c>
      <c r="AD7805">
        <v>-1.1160881290219999</v>
      </c>
      <c r="AE7805">
        <v>10.02075</v>
      </c>
      <c r="AF7805">
        <v>-7.1561137597168596</v>
      </c>
      <c r="AG7805">
        <v>-1.1160881290219999</v>
      </c>
      <c r="AH7805">
        <v>17.889574947778499</v>
      </c>
      <c r="AI7805">
        <v>93.315161585238997</v>
      </c>
      <c r="AJ7805">
        <v>111.802192997096</v>
      </c>
      <c r="AK7805">
        <v>19.300064991236098</v>
      </c>
      <c r="AL7805">
        <v>77.543084613979801</v>
      </c>
      <c r="AM7805">
        <v>103.826755500045</v>
      </c>
      <c r="AN7805">
        <v>0.99999995783267903</v>
      </c>
    </row>
    <row r="7806" spans="1:40" x14ac:dyDescent="0.25">
      <c r="A7806" t="str">
        <f>"20190312172302238"</f>
        <v>20190312172302238</v>
      </c>
      <c r="B7806" t="str">
        <f>"1552382582227892"</f>
        <v>1552382582227892</v>
      </c>
      <c r="C7806" t="s">
        <v>40</v>
      </c>
      <c r="D7806">
        <v>3.2377410000000002</v>
      </c>
      <c r="E7806">
        <v>0.44606580000000001</v>
      </c>
      <c r="F7806" t="s">
        <v>64</v>
      </c>
      <c r="G7806">
        <v>-191.82730000000001</v>
      </c>
      <c r="H7806" s="1">
        <v>-9.1445410000000008E-6</v>
      </c>
      <c r="I7806">
        <v>-52.694580000000002</v>
      </c>
      <c r="J7806">
        <v>-208.4332</v>
      </c>
      <c r="K7806">
        <v>1.1160669999999999</v>
      </c>
      <c r="L7806">
        <v>-62.79721</v>
      </c>
      <c r="M7806">
        <v>0.98593529999999996</v>
      </c>
      <c r="N7806">
        <v>0</v>
      </c>
      <c r="O7806">
        <v>0.16686319999999999</v>
      </c>
      <c r="P7806">
        <v>0.89841849999999901</v>
      </c>
      <c r="Q7806">
        <v>0.21061170000000001</v>
      </c>
      <c r="R7806">
        <v>0.38534000000000002</v>
      </c>
      <c r="S7806">
        <v>2.6872560000000001</v>
      </c>
      <c r="T7806">
        <v>-0.1785215</v>
      </c>
      <c r="U7806">
        <v>1.6214599999999999</v>
      </c>
      <c r="V7806">
        <v>-0.23365089999999999</v>
      </c>
      <c r="W7806">
        <v>0.2156565</v>
      </c>
      <c r="X7806">
        <v>0.94810309999999998</v>
      </c>
      <c r="Y7806">
        <v>-0.3661913</v>
      </c>
      <c r="Z7806">
        <v>1.1454379999999999E-3</v>
      </c>
      <c r="AA7806">
        <v>0.93053889999999995</v>
      </c>
      <c r="AB7806">
        <v>39</v>
      </c>
      <c r="AC7806">
        <v>16.605899999999899</v>
      </c>
      <c r="AD7806">
        <v>-1.1160761445409999</v>
      </c>
      <c r="AE7806">
        <v>10.1026299999999</v>
      </c>
      <c r="AF7806">
        <v>-7.1663166921064096</v>
      </c>
      <c r="AG7806">
        <v>-1.1160761445409999</v>
      </c>
      <c r="AH7806">
        <v>17.999554633280798</v>
      </c>
      <c r="AI7806">
        <v>93.297040344716294</v>
      </c>
      <c r="AJ7806">
        <v>111.709408374567</v>
      </c>
      <c r="AK7806">
        <v>19.405815826407199</v>
      </c>
      <c r="AL7806">
        <v>77.545954173160098</v>
      </c>
      <c r="AM7806">
        <v>103.84412987723201</v>
      </c>
      <c r="AN7806">
        <v>0.99999997864633405</v>
      </c>
    </row>
    <row r="7807" spans="1:40" x14ac:dyDescent="0.25">
      <c r="A7807" t="str">
        <f>"20190312172302250"</f>
        <v>20190312172302250</v>
      </c>
      <c r="B7807" t="str">
        <f>"1552382582237652"</f>
        <v>1552382582237652</v>
      </c>
      <c r="C7807" t="s">
        <v>40</v>
      </c>
      <c r="D7807">
        <v>3.4225219999999998</v>
      </c>
      <c r="E7807">
        <v>0.44644630000000002</v>
      </c>
      <c r="F7807" t="s">
        <v>64</v>
      </c>
      <c r="G7807">
        <v>-191.7466</v>
      </c>
      <c r="H7807" s="1">
        <v>-9.1501459999999999E-6</v>
      </c>
      <c r="I7807">
        <v>-52.656999999999996</v>
      </c>
      <c r="J7807">
        <v>-208.23949999999999</v>
      </c>
      <c r="K7807">
        <v>1.1160410000000001</v>
      </c>
      <c r="L7807">
        <v>-62.761839999999999</v>
      </c>
      <c r="M7807">
        <v>0.98535490000000003</v>
      </c>
      <c r="N7807">
        <v>0</v>
      </c>
      <c r="O7807">
        <v>0.17025499999999999</v>
      </c>
      <c r="P7807">
        <v>0.89697850000000001</v>
      </c>
      <c r="Q7807">
        <v>0.21073710000000001</v>
      </c>
      <c r="R7807">
        <v>0.38861240000000002</v>
      </c>
      <c r="S7807">
        <v>2.682159</v>
      </c>
      <c r="T7807">
        <v>-0.17939530000000001</v>
      </c>
      <c r="U7807">
        <v>1.6299129999999999</v>
      </c>
      <c r="V7807">
        <v>-0.23384389999999999</v>
      </c>
      <c r="W7807">
        <v>0.21581910000000001</v>
      </c>
      <c r="X7807">
        <v>0.94801860000000004</v>
      </c>
      <c r="Y7807">
        <v>-0.36591849999999998</v>
      </c>
      <c r="Z7807">
        <v>9.4246960000000002E-4</v>
      </c>
      <c r="AA7807">
        <v>0.93064650000000004</v>
      </c>
      <c r="AB7807">
        <v>39</v>
      </c>
      <c r="AC7807">
        <v>16.492899999999899</v>
      </c>
      <c r="AD7807">
        <v>-1.1160501501459901</v>
      </c>
      <c r="AE7807">
        <v>10.104839999999999</v>
      </c>
      <c r="AF7807">
        <v>-7.1254501749135501</v>
      </c>
      <c r="AG7807">
        <v>-1.1160501501459901</v>
      </c>
      <c r="AH7807">
        <v>17.912921351968901</v>
      </c>
      <c r="AI7807">
        <v>93.313277726662903</v>
      </c>
      <c r="AJ7807">
        <v>111.691806787232</v>
      </c>
      <c r="AK7807">
        <v>19.310369222121</v>
      </c>
      <c r="AL7807">
        <v>77.536414228719806</v>
      </c>
      <c r="AM7807">
        <v>103.85631230562301</v>
      </c>
      <c r="AN7807">
        <v>1.00000005971898</v>
      </c>
    </row>
    <row r="7808" spans="1:40" x14ac:dyDescent="0.25">
      <c r="A7808" t="str">
        <f>"20190312172302262"</f>
        <v>20190312172302262</v>
      </c>
      <c r="B7808" t="str">
        <f>"1552382582258148"</f>
        <v>1552382582258148</v>
      </c>
      <c r="C7808" t="s">
        <v>40</v>
      </c>
      <c r="D7808">
        <v>3.20452</v>
      </c>
      <c r="E7808">
        <v>0.44689889999999999</v>
      </c>
      <c r="F7808" t="s">
        <v>64</v>
      </c>
      <c r="G7808">
        <v>-191.35890000000001</v>
      </c>
      <c r="H7808" s="1">
        <v>-9.1900690000000005E-6</v>
      </c>
      <c r="I7808">
        <v>-52.440660000000001</v>
      </c>
      <c r="J7808">
        <v>-208.04079999999999</v>
      </c>
      <c r="K7808">
        <v>1.11602</v>
      </c>
      <c r="L7808">
        <v>-62.725160000000002</v>
      </c>
      <c r="M7808">
        <v>0.98473739999999998</v>
      </c>
      <c r="N7808">
        <v>0</v>
      </c>
      <c r="O7808">
        <v>0.17378850000000001</v>
      </c>
      <c r="P7808">
        <v>0.89537129999999998</v>
      </c>
      <c r="Q7808">
        <v>0.2108709</v>
      </c>
      <c r="R7808">
        <v>0.39222940000000001</v>
      </c>
      <c r="S7808">
        <v>2.6770170000000002</v>
      </c>
      <c r="T7808">
        <v>-0.17698839999999999</v>
      </c>
      <c r="U7808">
        <v>1.6367799999999999</v>
      </c>
      <c r="V7808">
        <v>-0.2342689</v>
      </c>
      <c r="W7808">
        <v>0.2160039</v>
      </c>
      <c r="X7808">
        <v>0.94787149999999998</v>
      </c>
      <c r="Y7808">
        <v>-0.36512729999999999</v>
      </c>
      <c r="Z7808">
        <v>6.9988329999999999E-4</v>
      </c>
      <c r="AA7808">
        <v>0.93095729999999999</v>
      </c>
      <c r="AB7808">
        <v>39</v>
      </c>
      <c r="AC7808">
        <v>16.681899999999899</v>
      </c>
      <c r="AD7808">
        <v>-1.116029190069</v>
      </c>
      <c r="AE7808">
        <v>10.2844999999999</v>
      </c>
      <c r="AF7808">
        <v>-7.2053665506390603</v>
      </c>
      <c r="AG7808">
        <v>-1.116029190069</v>
      </c>
      <c r="AH7808">
        <v>18.156553752232998</v>
      </c>
      <c r="AI7808">
        <v>93.269902469485302</v>
      </c>
      <c r="AJ7808">
        <v>111.64548450765599</v>
      </c>
      <c r="AK7808">
        <v>19.565870091562001</v>
      </c>
      <c r="AL7808">
        <v>77.525569324550005</v>
      </c>
      <c r="AM7808">
        <v>103.88259327346201</v>
      </c>
      <c r="AN7808">
        <v>0.99999999141733398</v>
      </c>
    </row>
    <row r="7809" spans="1:40" x14ac:dyDescent="0.25">
      <c r="A7809" t="str">
        <f>"20190312172302272"</f>
        <v>20190312172302272</v>
      </c>
      <c r="B7809" t="str">
        <f>"1552382582267908"</f>
        <v>1552382582267908</v>
      </c>
      <c r="C7809" t="s">
        <v>40</v>
      </c>
      <c r="D7809">
        <v>3.4300549999999999</v>
      </c>
      <c r="E7809">
        <v>0.44729170000000001</v>
      </c>
      <c r="F7809" t="s">
        <v>41</v>
      </c>
      <c r="G7809">
        <v>-207.00890000000001</v>
      </c>
      <c r="H7809">
        <v>1.0483819999999999</v>
      </c>
      <c r="I7809">
        <v>-62.0901</v>
      </c>
      <c r="J7809">
        <v>-207.8484</v>
      </c>
      <c r="K7809">
        <v>1.116004</v>
      </c>
      <c r="L7809">
        <v>-62.688690000000001</v>
      </c>
      <c r="M7809">
        <v>0.98409550000000001</v>
      </c>
      <c r="N7809">
        <v>0</v>
      </c>
      <c r="O7809">
        <v>0.17738289999999901</v>
      </c>
      <c r="P7809">
        <v>0.89366429999999997</v>
      </c>
      <c r="Q7809">
        <v>0.21111559999999999</v>
      </c>
      <c r="R7809">
        <v>0.39597260000000001</v>
      </c>
      <c r="S7809">
        <v>2.6714630000000001</v>
      </c>
      <c r="T7809">
        <v>-0.1751191</v>
      </c>
      <c r="U7809">
        <v>1.644409</v>
      </c>
      <c r="V7809">
        <v>-0.23478109999999999</v>
      </c>
      <c r="W7809">
        <v>0.21633260000000001</v>
      </c>
      <c r="X7809">
        <v>0.94766980000000001</v>
      </c>
      <c r="Y7809">
        <v>-0.36453210000000003</v>
      </c>
      <c r="Z7809">
        <v>4.6720639999999999E-4</v>
      </c>
      <c r="AA7809">
        <v>0.93119070000000004</v>
      </c>
      <c r="AB7809">
        <v>39</v>
      </c>
      <c r="AC7809">
        <v>0.83949999999998604</v>
      </c>
      <c r="AD7809">
        <v>-6.7622000000000002E-2</v>
      </c>
      <c r="AE7809">
        <v>0.59859000000000095</v>
      </c>
      <c r="AF7809">
        <v>-0.43829160127461603</v>
      </c>
      <c r="AG7809">
        <v>-6.7622000000000002E-2</v>
      </c>
      <c r="AH7809">
        <v>0.92837703118324699</v>
      </c>
      <c r="AI7809">
        <v>93.768485614717505</v>
      </c>
      <c r="AJ7809">
        <v>115.272238492469</v>
      </c>
      <c r="AK7809">
        <v>1.0288615915955299</v>
      </c>
      <c r="AL7809">
        <v>77.506280293678103</v>
      </c>
      <c r="AM7809">
        <v>103.914613993955</v>
      </c>
      <c r="AN7809">
        <v>1.000000004286</v>
      </c>
    </row>
    <row r="7810" spans="1:40" x14ac:dyDescent="0.25">
      <c r="A7810" t="str">
        <f>"20190312172302285"</f>
        <v>20190312172302285</v>
      </c>
      <c r="B7810" t="str">
        <f>"1552382582278309"</f>
        <v>1552382582278309</v>
      </c>
      <c r="C7810" t="s">
        <v>40</v>
      </c>
      <c r="D7810">
        <v>3.2242839999999999</v>
      </c>
      <c r="E7810">
        <v>0.44760359999999999</v>
      </c>
      <c r="F7810" t="s">
        <v>64</v>
      </c>
      <c r="G7810">
        <v>-190.75620000000001</v>
      </c>
      <c r="H7810" s="1">
        <v>-9.2566250000000005E-6</v>
      </c>
      <c r="I7810">
        <v>-52.092030000000001</v>
      </c>
      <c r="J7810">
        <v>-207.6378</v>
      </c>
      <c r="K7810">
        <v>1.1160110000000001</v>
      </c>
      <c r="L7810">
        <v>-62.64819</v>
      </c>
      <c r="M7810">
        <v>0.98337140000000001</v>
      </c>
      <c r="N7810">
        <v>0</v>
      </c>
      <c r="O7810">
        <v>0.18134810000000001</v>
      </c>
      <c r="P7810">
        <v>0.89188539999999905</v>
      </c>
      <c r="Q7810">
        <v>0.21107049999999999</v>
      </c>
      <c r="R7810">
        <v>0.39998719999999999</v>
      </c>
      <c r="S7810">
        <v>2.6657869999999999</v>
      </c>
      <c r="T7810">
        <v>-0.1740592</v>
      </c>
      <c r="U7810">
        <v>1.6527099999999999</v>
      </c>
      <c r="V7810">
        <v>-0.2352253</v>
      </c>
      <c r="W7810">
        <v>0.21636559999999999</v>
      </c>
      <c r="X7810">
        <v>0.94755210000000001</v>
      </c>
      <c r="Y7810">
        <v>-0.36377090000000001</v>
      </c>
      <c r="Z7810">
        <v>2.1390149999999999E-4</v>
      </c>
      <c r="AA7810">
        <v>0.93148839999999999</v>
      </c>
      <c r="AB7810">
        <v>39</v>
      </c>
      <c r="AC7810">
        <v>16.881599999999899</v>
      </c>
      <c r="AD7810">
        <v>-1.1160202566249999</v>
      </c>
      <c r="AE7810">
        <v>10.556159999999901</v>
      </c>
      <c r="AF7810">
        <v>-7.2965972281387304</v>
      </c>
      <c r="AG7810">
        <v>-1.1160202566249999</v>
      </c>
      <c r="AH7810">
        <v>18.458095502367001</v>
      </c>
      <c r="AI7810">
        <v>93.218264302018596</v>
      </c>
      <c r="AJ7810">
        <v>111.56918810018399</v>
      </c>
      <c r="AK7810">
        <v>19.8793139191819</v>
      </c>
      <c r="AL7810">
        <v>77.504343591508999</v>
      </c>
      <c r="AM7810">
        <v>103.94157835067099</v>
      </c>
      <c r="AN7810">
        <v>0.99999999841892995</v>
      </c>
    </row>
    <row r="7811" spans="1:40" x14ac:dyDescent="0.25">
      <c r="A7811" t="str">
        <f>"20190312172302295"</f>
        <v>20190312172302295</v>
      </c>
      <c r="B7811" t="str">
        <f>"1552382582288065"</f>
        <v>1552382582288065</v>
      </c>
      <c r="C7811" t="s">
        <v>40</v>
      </c>
      <c r="D7811">
        <v>3.2279059999999999</v>
      </c>
      <c r="E7811">
        <v>0.44796439999999998</v>
      </c>
      <c r="F7811" t="s">
        <v>64</v>
      </c>
      <c r="G7811">
        <v>-190.5617</v>
      </c>
      <c r="H7811" s="1">
        <v>-9.2800570000000002E-6</v>
      </c>
      <c r="I7811">
        <v>-51.974139999999998</v>
      </c>
      <c r="J7811">
        <v>-207.44659999999999</v>
      </c>
      <c r="K7811">
        <v>1.11605</v>
      </c>
      <c r="L7811">
        <v>-62.610689999999998</v>
      </c>
      <c r="M7811">
        <v>0.98269189999999995</v>
      </c>
      <c r="N7811">
        <v>0</v>
      </c>
      <c r="O7811">
        <v>0.18499119999999999</v>
      </c>
      <c r="P7811">
        <v>0.89017769999999996</v>
      </c>
      <c r="Q7811">
        <v>0.2111624</v>
      </c>
      <c r="R7811">
        <v>0.40372570000000002</v>
      </c>
      <c r="S7811">
        <v>2.6593019999999998</v>
      </c>
      <c r="T7811">
        <v>-0.17380029999999999</v>
      </c>
      <c r="U7811">
        <v>1.6622920000000001</v>
      </c>
      <c r="V7811">
        <v>-0.2357166</v>
      </c>
      <c r="W7811">
        <v>0.2165058</v>
      </c>
      <c r="X7811">
        <v>0.94739799999999996</v>
      </c>
      <c r="Y7811">
        <v>-0.363759</v>
      </c>
      <c r="Z7811" s="1">
        <v>4.4107440000000003E-6</v>
      </c>
      <c r="AA7811">
        <v>0.93149309999999996</v>
      </c>
      <c r="AB7811">
        <v>39</v>
      </c>
      <c r="AC7811">
        <v>16.884899999999899</v>
      </c>
      <c r="AD7811">
        <v>-1.1160592800569999</v>
      </c>
      <c r="AE7811">
        <v>10.63655</v>
      </c>
      <c r="AF7811">
        <v>-7.3063886853603099</v>
      </c>
      <c r="AG7811">
        <v>-1.1160592800569999</v>
      </c>
      <c r="AH7811">
        <v>18.503329182181101</v>
      </c>
      <c r="AI7811">
        <v>93.211004075068203</v>
      </c>
      <c r="AJ7811">
        <v>111.547520465601</v>
      </c>
      <c r="AK7811">
        <v>19.924911411655401</v>
      </c>
      <c r="AL7811">
        <v>77.496116017301603</v>
      </c>
      <c r="AM7811">
        <v>103.97174122212201</v>
      </c>
      <c r="AN7811">
        <v>1.00000002367659</v>
      </c>
    </row>
    <row r="7812" spans="1:40" x14ac:dyDescent="0.25">
      <c r="A7812" t="str">
        <f>"20190312172302307"</f>
        <v>20190312172302307</v>
      </c>
      <c r="B7812" t="str">
        <f>"1552382582297826"</f>
        <v>1552382582297826</v>
      </c>
      <c r="C7812" t="s">
        <v>40</v>
      </c>
      <c r="D7812">
        <v>3.2126999999999999</v>
      </c>
      <c r="E7812">
        <v>0.4482719</v>
      </c>
      <c r="F7812" t="s">
        <v>64</v>
      </c>
      <c r="G7812">
        <v>-190.34049999999999</v>
      </c>
      <c r="H7812" s="1">
        <v>-9.3073399999999992E-6</v>
      </c>
      <c r="I7812">
        <v>-51.838329999999999</v>
      </c>
      <c r="J7812">
        <v>-207.25989999999999</v>
      </c>
      <c r="K7812">
        <v>1.1161239999999999</v>
      </c>
      <c r="L7812">
        <v>-62.573270000000001</v>
      </c>
      <c r="M7812">
        <v>0.98201859999999996</v>
      </c>
      <c r="N7812">
        <v>0</v>
      </c>
      <c r="O7812">
        <v>0.1885289</v>
      </c>
      <c r="P7812">
        <v>0.88836749999999998</v>
      </c>
      <c r="Q7812">
        <v>0.2113399</v>
      </c>
      <c r="R7812">
        <v>0.40760109999999999</v>
      </c>
      <c r="S7812">
        <v>2.6533660000000001</v>
      </c>
      <c r="T7812">
        <v>-0.17311509999999999</v>
      </c>
      <c r="U7812">
        <v>1.6709290000000001</v>
      </c>
      <c r="V7812">
        <v>-0.23648379999999999</v>
      </c>
      <c r="W7812">
        <v>0.2166961</v>
      </c>
      <c r="X7812">
        <v>0.94716319999999998</v>
      </c>
      <c r="Y7812">
        <v>-0.36352230000000002</v>
      </c>
      <c r="Z7812">
        <v>-2.0490680000000001E-4</v>
      </c>
      <c r="AA7812">
        <v>0.93158549999999996</v>
      </c>
      <c r="AB7812">
        <v>39</v>
      </c>
      <c r="AC7812">
        <v>16.9193999999999</v>
      </c>
      <c r="AD7812">
        <v>-1.1161333073399999</v>
      </c>
      <c r="AE7812">
        <v>10.7349399999999</v>
      </c>
      <c r="AF7812">
        <v>-7.3297269791499797</v>
      </c>
      <c r="AG7812">
        <v>-1.1161333073399999</v>
      </c>
      <c r="AH7812">
        <v>18.582254338615598</v>
      </c>
      <c r="AI7812">
        <v>93.198064826975596</v>
      </c>
      <c r="AJ7812">
        <v>111.52663989942999</v>
      </c>
      <c r="AK7812">
        <v>20.006769540673801</v>
      </c>
      <c r="AL7812">
        <v>77.484946649879802</v>
      </c>
      <c r="AM7812">
        <v>104.01876351083401</v>
      </c>
      <c r="AN7812">
        <v>0.99999995742594405</v>
      </c>
    </row>
    <row r="7813" spans="1:40" x14ac:dyDescent="0.25">
      <c r="A7813" t="str">
        <f>"20190312172302318"</f>
        <v>20190312172302318</v>
      </c>
      <c r="B7813" t="str">
        <f>"1552382582307586"</f>
        <v>1552382582307586</v>
      </c>
      <c r="C7813" t="s">
        <v>40</v>
      </c>
      <c r="D7813">
        <v>3.3539680000000001</v>
      </c>
      <c r="E7813">
        <v>0.44856259999999998</v>
      </c>
      <c r="F7813" t="s">
        <v>64</v>
      </c>
      <c r="G7813">
        <v>-190.13409999999999</v>
      </c>
      <c r="H7813" s="1">
        <v>-9.3359029999999997E-6</v>
      </c>
      <c r="I7813">
        <v>-51.703060000000001</v>
      </c>
      <c r="J7813">
        <v>-207.06790000000001</v>
      </c>
      <c r="K7813">
        <v>1.116217</v>
      </c>
      <c r="L7813">
        <v>-62.534300000000002</v>
      </c>
      <c r="M7813">
        <v>0.9813153</v>
      </c>
      <c r="N7813">
        <v>0</v>
      </c>
      <c r="O7813">
        <v>0.1921534</v>
      </c>
      <c r="P7813">
        <v>0.88664690000000002</v>
      </c>
      <c r="Q7813">
        <v>0.21132319999999999</v>
      </c>
      <c r="R7813">
        <v>0.41133930000000002</v>
      </c>
      <c r="S7813">
        <v>2.647125</v>
      </c>
      <c r="T7813">
        <v>-0.17252049999999999</v>
      </c>
      <c r="U7813">
        <v>1.6802060000000001</v>
      </c>
      <c r="V7813">
        <v>-0.23702519999999999</v>
      </c>
      <c r="W7813">
        <v>0.21668119999999999</v>
      </c>
      <c r="X7813">
        <v>0.94703130000000002</v>
      </c>
      <c r="Y7813">
        <v>-0.36341050000000003</v>
      </c>
      <c r="Z7813">
        <v>-4.1415640000000002E-4</v>
      </c>
      <c r="AA7813">
        <v>0.93162900000000004</v>
      </c>
      <c r="AB7813">
        <v>39</v>
      </c>
      <c r="AC7813">
        <v>16.933800000000002</v>
      </c>
      <c r="AD7813">
        <v>-1.116226335903</v>
      </c>
      <c r="AE7813">
        <v>10.831239999999999</v>
      </c>
      <c r="AF7813">
        <v>-7.3526611239684101</v>
      </c>
      <c r="AG7813">
        <v>-1.116226335903</v>
      </c>
      <c r="AH7813">
        <v>18.642083386546201</v>
      </c>
      <c r="AI7813">
        <v>93.188126214639297</v>
      </c>
      <c r="AJ7813">
        <v>111.52487045427701</v>
      </c>
      <c r="AK7813">
        <v>20.0707463694757</v>
      </c>
      <c r="AL7813">
        <v>77.485821491435402</v>
      </c>
      <c r="AM7813">
        <v>104.05146720583799</v>
      </c>
      <c r="AN7813">
        <v>0.99999998552408398</v>
      </c>
    </row>
    <row r="7814" spans="1:40" x14ac:dyDescent="0.25">
      <c r="A7814" t="str">
        <f>"20190312172302330"</f>
        <v>20190312172302330</v>
      </c>
      <c r="B7814" t="str">
        <f>"1552382582318322"</f>
        <v>1552382582318322</v>
      </c>
      <c r="C7814" t="s">
        <v>40</v>
      </c>
      <c r="D7814">
        <v>3.3508559999999998</v>
      </c>
      <c r="E7814">
        <v>0.44876149999999998</v>
      </c>
      <c r="F7814" t="s">
        <v>64</v>
      </c>
      <c r="G7814">
        <v>-189.9538</v>
      </c>
      <c r="H7814" s="1">
        <v>-1.0170919999999999E-5</v>
      </c>
      <c r="I7814">
        <v>-51.588520000000003</v>
      </c>
      <c r="J7814">
        <v>-206.87960000000001</v>
      </c>
      <c r="K7814">
        <v>1.1163299999999901</v>
      </c>
      <c r="L7814">
        <v>-62.494959999999999</v>
      </c>
      <c r="M7814">
        <v>0.98061830000000005</v>
      </c>
      <c r="N7814">
        <v>0</v>
      </c>
      <c r="O7814">
        <v>0.1956753</v>
      </c>
      <c r="P7814">
        <v>0.88489229999999997</v>
      </c>
      <c r="Q7814">
        <v>0.2111884</v>
      </c>
      <c r="R7814">
        <v>0.41516890000000001</v>
      </c>
      <c r="S7814">
        <v>2.6409449999999999</v>
      </c>
      <c r="T7814">
        <v>-0.1722494</v>
      </c>
      <c r="U7814">
        <v>1.689087</v>
      </c>
      <c r="V7814">
        <v>-0.23777139999999999</v>
      </c>
      <c r="W7814">
        <v>0.21652479999999999</v>
      </c>
      <c r="X7814">
        <v>0.94688000000000005</v>
      </c>
      <c r="Y7814">
        <v>-0.3632841</v>
      </c>
      <c r="Z7814">
        <v>-6.179251E-4</v>
      </c>
      <c r="AA7814">
        <v>0.93167820000000001</v>
      </c>
      <c r="AB7814">
        <v>39</v>
      </c>
      <c r="AC7814">
        <v>16.925799999999999</v>
      </c>
      <c r="AD7814">
        <v>-1.11634017091999</v>
      </c>
      <c r="AE7814">
        <v>10.9064399999999</v>
      </c>
      <c r="AF7814">
        <v>-7.3608332403317398</v>
      </c>
      <c r="AG7814">
        <v>-1.11634017091999</v>
      </c>
      <c r="AH7814">
        <v>18.675392559568898</v>
      </c>
      <c r="AI7814">
        <v>93.183063683904606</v>
      </c>
      <c r="AJ7814">
        <v>111.51168620081199</v>
      </c>
      <c r="AK7814">
        <v>20.1046852405896</v>
      </c>
      <c r="AL7814">
        <v>77.495000405345095</v>
      </c>
      <c r="AM7814">
        <v>104.09610572849201</v>
      </c>
      <c r="AN7814">
        <v>0.99999998103649901</v>
      </c>
    </row>
    <row r="7815" spans="1:40" x14ac:dyDescent="0.25">
      <c r="A7815" t="str">
        <f>"20190312172302339"</f>
        <v>20190312172302339</v>
      </c>
      <c r="B7815" t="str">
        <f>"1552382582328081"</f>
        <v>1552382582328081</v>
      </c>
      <c r="C7815" t="s">
        <v>40</v>
      </c>
      <c r="D7815">
        <v>3.340249</v>
      </c>
      <c r="E7815">
        <v>0.44901999999999997</v>
      </c>
      <c r="F7815" t="s">
        <v>64</v>
      </c>
      <c r="G7815">
        <v>-189.83</v>
      </c>
      <c r="H7815" s="1">
        <v>-1.016987E-5</v>
      </c>
      <c r="I7815">
        <v>-51.496000000000002</v>
      </c>
      <c r="J7815">
        <v>-206.69730000000001</v>
      </c>
      <c r="K7815">
        <v>1.116447</v>
      </c>
      <c r="L7815">
        <v>-62.456699999999998</v>
      </c>
      <c r="M7815">
        <v>0.97993339999999995</v>
      </c>
      <c r="N7815">
        <v>0</v>
      </c>
      <c r="O7815">
        <v>0.19907430000000001</v>
      </c>
      <c r="P7815">
        <v>0.88327919999999904</v>
      </c>
      <c r="Q7815">
        <v>0.21129899999999999</v>
      </c>
      <c r="R7815">
        <v>0.41853390000000001</v>
      </c>
      <c r="S7815">
        <v>2.634125</v>
      </c>
      <c r="T7815">
        <v>-0.17247170000000001</v>
      </c>
      <c r="U7815">
        <v>1.6993100000000001</v>
      </c>
      <c r="V7815">
        <v>-0.2381588</v>
      </c>
      <c r="W7815">
        <v>0.21661659999999999</v>
      </c>
      <c r="X7815">
        <v>0.94676170000000004</v>
      </c>
      <c r="Y7815">
        <v>-0.36370920000000001</v>
      </c>
      <c r="Z7815">
        <v>-8.0000519999999997E-4</v>
      </c>
      <c r="AA7815">
        <v>0.93151220000000001</v>
      </c>
      <c r="AB7815">
        <v>39</v>
      </c>
      <c r="AC7815">
        <v>16.8673</v>
      </c>
      <c r="AD7815">
        <v>-1.1164571698700001</v>
      </c>
      <c r="AE7815">
        <v>10.9606999999999</v>
      </c>
      <c r="AF7815">
        <v>-7.36060520027715</v>
      </c>
      <c r="AG7815">
        <v>-1.1164571698700001</v>
      </c>
      <c r="AH7815">
        <v>18.654296116178699</v>
      </c>
      <c r="AI7815">
        <v>93.186518815536701</v>
      </c>
      <c r="AJ7815">
        <v>111.53318207740899</v>
      </c>
      <c r="AK7815">
        <v>20.085013047458599</v>
      </c>
      <c r="AL7815">
        <v>77.489613550335605</v>
      </c>
      <c r="AM7815">
        <v>104.11984827115</v>
      </c>
      <c r="AN7815">
        <v>1.0000000409999401</v>
      </c>
    </row>
    <row r="7816" spans="1:40" x14ac:dyDescent="0.25">
      <c r="A7816" t="str">
        <f>"20190312172302351"</f>
        <v>20190312172302351</v>
      </c>
      <c r="B7816" t="str">
        <f>"1552382582347602"</f>
        <v>1552382582347602</v>
      </c>
      <c r="C7816" t="s">
        <v>40</v>
      </c>
      <c r="D7816">
        <v>3.3583059999999998</v>
      </c>
      <c r="E7816">
        <v>0.44945400000000002</v>
      </c>
      <c r="F7816" t="s">
        <v>64</v>
      </c>
      <c r="G7816">
        <v>-189.60640000000001</v>
      </c>
      <c r="H7816" s="1">
        <v>-1.0174550000000001E-5</v>
      </c>
      <c r="I7816">
        <v>-51.350439999999999</v>
      </c>
      <c r="J7816">
        <v>-206.50210000000001</v>
      </c>
      <c r="K7816">
        <v>1.116574</v>
      </c>
      <c r="L7816">
        <v>-62.414279999999998</v>
      </c>
      <c r="M7816">
        <v>0.97918780000000005</v>
      </c>
      <c r="N7816">
        <v>0</v>
      </c>
      <c r="O7816">
        <v>0.20270759999999999</v>
      </c>
      <c r="P7816">
        <v>0.88150729999999999</v>
      </c>
      <c r="Q7816">
        <v>0.21143139999999999</v>
      </c>
      <c r="R7816">
        <v>0.42218699999999998</v>
      </c>
      <c r="S7816">
        <v>2.6282350000000001</v>
      </c>
      <c r="T7816">
        <v>-0.17168839999999999</v>
      </c>
      <c r="U7816">
        <v>1.707916</v>
      </c>
      <c r="V7816">
        <v>-0.23863970000000001</v>
      </c>
      <c r="W7816">
        <v>0.2167231</v>
      </c>
      <c r="X7816">
        <v>0.94661620000000002</v>
      </c>
      <c r="Y7816">
        <v>-0.36336000000000002</v>
      </c>
      <c r="Z7816">
        <v>-1.0134059999999999E-3</v>
      </c>
      <c r="AA7816">
        <v>0.93164829999999998</v>
      </c>
      <c r="AB7816">
        <v>39</v>
      </c>
      <c r="AC7816">
        <v>16.895700000000001</v>
      </c>
      <c r="AD7816">
        <v>-1.11658417455</v>
      </c>
      <c r="AE7816">
        <v>11.063840000000001</v>
      </c>
      <c r="AF7816">
        <v>-7.3864855532017097</v>
      </c>
      <c r="AG7816">
        <v>-1.11658417455</v>
      </c>
      <c r="AH7816">
        <v>18.730481344476999</v>
      </c>
      <c r="AI7816">
        <v>93.174185992326699</v>
      </c>
      <c r="AJ7816">
        <v>111.522115273517</v>
      </c>
      <c r="AK7816">
        <v>20.1652637087223</v>
      </c>
      <c r="AL7816">
        <v>77.483362793442595</v>
      </c>
      <c r="AM7816">
        <v>104.14930310841601</v>
      </c>
      <c r="AN7816">
        <v>1.0000000192960601</v>
      </c>
    </row>
    <row r="7817" spans="1:40" x14ac:dyDescent="0.25">
      <c r="A7817" t="str">
        <f>"20190312172302363"</f>
        <v>20190312172302363</v>
      </c>
      <c r="B7817" t="str">
        <f>"1552382582358339"</f>
        <v>1552382582358339</v>
      </c>
      <c r="C7817" t="s">
        <v>40</v>
      </c>
      <c r="D7817">
        <v>3.2646459999999999</v>
      </c>
      <c r="E7817">
        <v>0.44945400000000002</v>
      </c>
      <c r="F7817" t="s">
        <v>64</v>
      </c>
      <c r="G7817">
        <v>-189.40770000000001</v>
      </c>
      <c r="H7817" s="1">
        <v>-1.01806E-5</v>
      </c>
      <c r="I7817">
        <v>-51.22719</v>
      </c>
      <c r="J7817">
        <v>-206.3058</v>
      </c>
      <c r="K7817">
        <v>1.1167</v>
      </c>
      <c r="L7817">
        <v>-62.371279999999999</v>
      </c>
      <c r="M7817">
        <v>0.97842249999999997</v>
      </c>
      <c r="N7817">
        <v>0</v>
      </c>
      <c r="O7817">
        <v>0.20636699999999999</v>
      </c>
      <c r="P7817">
        <v>0.87977530000000004</v>
      </c>
      <c r="Q7817">
        <v>0.2112945</v>
      </c>
      <c r="R7817">
        <v>0.42585220000000001</v>
      </c>
      <c r="S7817">
        <v>2.6223749999999999</v>
      </c>
      <c r="T7817">
        <v>-0.17128979999999999</v>
      </c>
      <c r="U7817">
        <v>1.716156</v>
      </c>
      <c r="V7817">
        <v>-0.23909340000000001</v>
      </c>
      <c r="W7817">
        <v>0.21656300000000001</v>
      </c>
      <c r="X7817">
        <v>0.94653830000000005</v>
      </c>
      <c r="Y7817">
        <v>-0.36288680000000001</v>
      </c>
      <c r="Z7817">
        <v>-1.2329719999999999E-3</v>
      </c>
      <c r="AA7817">
        <v>0.93183240000000001</v>
      </c>
      <c r="AB7817">
        <v>39</v>
      </c>
      <c r="AC7817">
        <v>16.898099999999999</v>
      </c>
      <c r="AD7817">
        <v>-1.1167101805999999</v>
      </c>
      <c r="AE7817">
        <v>11.14409</v>
      </c>
      <c r="AF7817">
        <v>-7.3942920501414502</v>
      </c>
      <c r="AG7817">
        <v>-1.1167101805999999</v>
      </c>
      <c r="AH7817">
        <v>18.777066531313299</v>
      </c>
      <c r="AI7817">
        <v>93.167290155277598</v>
      </c>
      <c r="AJ7817">
        <v>111.494211825184</v>
      </c>
      <c r="AK7817">
        <v>20.211403317721601</v>
      </c>
      <c r="AL7817">
        <v>77.492758374253398</v>
      </c>
      <c r="AM7817">
        <v>104.176239874308</v>
      </c>
      <c r="AN7817">
        <v>0.99999997012972397</v>
      </c>
    </row>
    <row r="7818" spans="1:40" x14ac:dyDescent="0.25">
      <c r="A7818" t="str">
        <f>"20190312172302375"</f>
        <v>20190312172302375</v>
      </c>
      <c r="B7818" t="str">
        <f>"1552382582368098"</f>
        <v>1552382582368098</v>
      </c>
      <c r="C7818" t="s">
        <v>40</v>
      </c>
      <c r="D7818">
        <v>3.5834299999999999</v>
      </c>
      <c r="E7818">
        <v>0.4461929</v>
      </c>
      <c r="F7818" t="s">
        <v>64</v>
      </c>
      <c r="G7818">
        <v>-189.27099999999999</v>
      </c>
      <c r="H7818" s="1">
        <v>-1.017703E-5</v>
      </c>
      <c r="I7818">
        <v>-51.117289999999997</v>
      </c>
      <c r="J7818">
        <v>-206.06710000000001</v>
      </c>
      <c r="K7818">
        <v>1.116846</v>
      </c>
      <c r="L7818">
        <v>-62.317599999999999</v>
      </c>
      <c r="M7818">
        <v>0.97746489999999997</v>
      </c>
      <c r="N7818">
        <v>0</v>
      </c>
      <c r="O7818">
        <v>0.21085280000000001</v>
      </c>
      <c r="P7818">
        <v>0.87765559999999998</v>
      </c>
      <c r="Q7818">
        <v>0.21134240000000001</v>
      </c>
      <c r="R7818">
        <v>0.43018040000000002</v>
      </c>
      <c r="S7818">
        <v>2.6149290000000001</v>
      </c>
      <c r="T7818">
        <v>-0.17142019999999999</v>
      </c>
      <c r="U7818">
        <v>1.7275389999999999</v>
      </c>
      <c r="V7818">
        <v>-0.23948710000000001</v>
      </c>
      <c r="W7818">
        <v>0.2165937</v>
      </c>
      <c r="X7818">
        <v>0.94643180000000005</v>
      </c>
      <c r="Y7818">
        <v>-0.36266320000000002</v>
      </c>
      <c r="Z7818">
        <v>-1.4955509999999999E-3</v>
      </c>
      <c r="AA7818">
        <v>0.9319191</v>
      </c>
      <c r="AB7818">
        <v>40</v>
      </c>
      <c r="AC7818">
        <v>16.796099999999999</v>
      </c>
      <c r="AD7818">
        <v>-1.1168561770299901</v>
      </c>
      <c r="AE7818">
        <v>11.200309999999901</v>
      </c>
      <c r="AF7818">
        <v>-7.3841882811119</v>
      </c>
      <c r="AG7818">
        <v>-1.1168561770299901</v>
      </c>
      <c r="AH7818">
        <v>18.7228831603224</v>
      </c>
      <c r="AI7818">
        <v>93.176203089096703</v>
      </c>
      <c r="AJ7818">
        <v>111.523966758269</v>
      </c>
      <c r="AK7818">
        <v>20.1573797435621</v>
      </c>
      <c r="AL7818">
        <v>77.490957352692803</v>
      </c>
      <c r="AM7818">
        <v>104.200172820417</v>
      </c>
      <c r="AN7818">
        <v>1.00000002699866</v>
      </c>
    </row>
    <row r="7819" spans="1:40" x14ac:dyDescent="0.25">
      <c r="A7819" t="str">
        <f>"20190312172302385"</f>
        <v>20190312172302385</v>
      </c>
      <c r="B7819" t="str">
        <f>"1552382582377850"</f>
        <v>1552382582377850</v>
      </c>
      <c r="C7819" t="s">
        <v>40</v>
      </c>
      <c r="D7819">
        <v>3.1627200000000002</v>
      </c>
      <c r="E7819">
        <v>0.44675219999999999</v>
      </c>
      <c r="F7819" t="s">
        <v>64</v>
      </c>
      <c r="G7819">
        <v>-183.84569999999999</v>
      </c>
      <c r="H7819" s="1">
        <v>-4.0457010000000003E-6</v>
      </c>
      <c r="I7819">
        <v>-47.204369999999997</v>
      </c>
      <c r="J7819">
        <v>-205.91759999999999</v>
      </c>
      <c r="K7819">
        <v>1.11693</v>
      </c>
      <c r="L7819">
        <v>-62.283329999999999</v>
      </c>
      <c r="M7819">
        <v>0.97684749999999998</v>
      </c>
      <c r="N7819">
        <v>0</v>
      </c>
      <c r="O7819">
        <v>0.21369279999999999</v>
      </c>
      <c r="P7819">
        <v>0.87617559999999906</v>
      </c>
      <c r="Q7819">
        <v>0.21129100000000001</v>
      </c>
      <c r="R7819">
        <v>0.43321179999999898</v>
      </c>
      <c r="S7819">
        <v>2.5870669999999998</v>
      </c>
      <c r="T7819">
        <v>-0.1300267</v>
      </c>
      <c r="U7819">
        <v>1.7595209999999999</v>
      </c>
      <c r="V7819">
        <v>-0.2400437</v>
      </c>
      <c r="W7819">
        <v>0.2165318</v>
      </c>
      <c r="X7819">
        <v>0.9463049</v>
      </c>
      <c r="Y7819">
        <v>-0.37254530000000002</v>
      </c>
      <c r="Z7819">
        <v>-1.0360600000000001E-3</v>
      </c>
      <c r="AA7819">
        <v>0.92801339999999999</v>
      </c>
      <c r="AB7819">
        <v>40</v>
      </c>
      <c r="AC7819">
        <v>22.071899999999999</v>
      </c>
      <c r="AD7819">
        <v>-1.116934045701</v>
      </c>
      <c r="AE7819">
        <v>15.07896</v>
      </c>
      <c r="AF7819">
        <v>-9.9963079140596705</v>
      </c>
      <c r="AG7819">
        <v>-1.116934045701</v>
      </c>
      <c r="AH7819">
        <v>24.741242253120799</v>
      </c>
      <c r="AI7819">
        <v>92.396844604432303</v>
      </c>
      <c r="AJ7819">
        <v>112.000392557653</v>
      </c>
      <c r="AK7819">
        <v>26.707728877662898</v>
      </c>
      <c r="AL7819">
        <v>77.494589588885304</v>
      </c>
      <c r="AM7819">
        <v>104.23366746928301</v>
      </c>
      <c r="AN7819">
        <v>0.99999998104246901</v>
      </c>
    </row>
    <row r="7820" spans="1:40" x14ac:dyDescent="0.25">
      <c r="A7820" t="str">
        <f>"20190312172302396"</f>
        <v>20190312172302396</v>
      </c>
      <c r="B7820" t="str">
        <f>"1552382582387610"</f>
        <v>1552382582387610</v>
      </c>
      <c r="C7820" t="s">
        <v>40</v>
      </c>
      <c r="D7820">
        <v>3.2464949999999999</v>
      </c>
      <c r="E7820">
        <v>0.44675219999999999</v>
      </c>
      <c r="F7820" t="s">
        <v>64</v>
      </c>
      <c r="G7820">
        <v>-184.29730000000001</v>
      </c>
      <c r="H7820" s="1">
        <v>-3.9711099999999998E-6</v>
      </c>
      <c r="I7820">
        <v>-47.512320000000003</v>
      </c>
      <c r="J7820">
        <v>-205.7346</v>
      </c>
      <c r="K7820">
        <v>1.1170199999999999</v>
      </c>
      <c r="L7820">
        <v>-62.240839999999999</v>
      </c>
      <c r="M7820">
        <v>0.97607529999999998</v>
      </c>
      <c r="N7820">
        <v>0</v>
      </c>
      <c r="O7820">
        <v>0.21718999999999999</v>
      </c>
      <c r="P7820">
        <v>0.87446229999999903</v>
      </c>
      <c r="Q7820">
        <v>0.2111461</v>
      </c>
      <c r="R7820">
        <v>0.43673000000000001</v>
      </c>
      <c r="S7820">
        <v>2.58345</v>
      </c>
      <c r="T7820">
        <v>-0.13346450000000001</v>
      </c>
      <c r="U7820">
        <v>1.765015</v>
      </c>
      <c r="V7820">
        <v>-0.2404926</v>
      </c>
      <c r="W7820">
        <v>0.2163833</v>
      </c>
      <c r="X7820">
        <v>0.94622490000000004</v>
      </c>
      <c r="Y7820">
        <v>-0.37116870000000002</v>
      </c>
      <c r="Z7820">
        <v>-1.2508840000000001E-3</v>
      </c>
      <c r="AA7820">
        <v>0.92856459999999996</v>
      </c>
      <c r="AB7820">
        <v>40</v>
      </c>
      <c r="AC7820">
        <v>21.4373</v>
      </c>
      <c r="AD7820">
        <v>-1.1170239711100001</v>
      </c>
      <c r="AE7820">
        <v>14.72852</v>
      </c>
      <c r="AF7820">
        <v>-9.7027939729136001</v>
      </c>
      <c r="AG7820">
        <v>-1.1170239711100001</v>
      </c>
      <c r="AH7820">
        <v>24.080164532842701</v>
      </c>
      <c r="AI7820">
        <v>92.463700249811396</v>
      </c>
      <c r="AJ7820">
        <v>111.946339049569</v>
      </c>
      <c r="AK7820">
        <v>25.985501291328202</v>
      </c>
      <c r="AL7820">
        <v>77.503304770868795</v>
      </c>
      <c r="AM7820">
        <v>104.260357305913</v>
      </c>
      <c r="AN7820">
        <v>0.99999999227683001</v>
      </c>
    </row>
    <row r="7821" spans="1:40" x14ac:dyDescent="0.25">
      <c r="A7821" t="str">
        <f>"20190312172302408"</f>
        <v>20190312172302408</v>
      </c>
      <c r="B7821" t="str">
        <f>"1552382582398346"</f>
        <v>1552382582398346</v>
      </c>
      <c r="C7821" t="s">
        <v>40</v>
      </c>
      <c r="D7821">
        <v>3.243754</v>
      </c>
      <c r="E7821">
        <v>0.44741619999999999</v>
      </c>
      <c r="F7821" t="s">
        <v>64</v>
      </c>
      <c r="G7821">
        <v>-184.23929999999999</v>
      </c>
      <c r="H7821" s="1">
        <v>-4.0026039999999997E-6</v>
      </c>
      <c r="I7821">
        <v>-47.429229999999997</v>
      </c>
      <c r="J7821">
        <v>-205.5343</v>
      </c>
      <c r="K7821">
        <v>1.1171169999999999</v>
      </c>
      <c r="L7821">
        <v>-62.193359999999998</v>
      </c>
      <c r="M7821">
        <v>0.97520150000000005</v>
      </c>
      <c r="N7821">
        <v>0</v>
      </c>
      <c r="O7821">
        <v>0.2210773</v>
      </c>
      <c r="P7821">
        <v>0.87251909999999899</v>
      </c>
      <c r="Q7821">
        <v>0.21138599999999999</v>
      </c>
      <c r="R7821">
        <v>0.4404844</v>
      </c>
      <c r="S7821">
        <v>2.5764010000000002</v>
      </c>
      <c r="T7821">
        <v>-0.133885</v>
      </c>
      <c r="U7821">
        <v>1.775299</v>
      </c>
      <c r="V7821">
        <v>-0.24085000000000001</v>
      </c>
      <c r="W7821">
        <v>0.21662999999999999</v>
      </c>
      <c r="X7821">
        <v>0.94607750000000002</v>
      </c>
      <c r="Y7821">
        <v>-0.37117159999999999</v>
      </c>
      <c r="Z7821">
        <v>-1.42822E-3</v>
      </c>
      <c r="AA7821">
        <v>0.92856320000000003</v>
      </c>
      <c r="AB7821">
        <v>40</v>
      </c>
      <c r="AC7821">
        <v>21.295000000000002</v>
      </c>
      <c r="AD7821">
        <v>-1.1171210026039999</v>
      </c>
      <c r="AE7821">
        <v>14.76413</v>
      </c>
      <c r="AF7821">
        <v>-9.6727008740300899</v>
      </c>
      <c r="AG7821">
        <v>-1.1171210026039999</v>
      </c>
      <c r="AH7821">
        <v>23.987630977294302</v>
      </c>
      <c r="AI7821">
        <v>92.473150082739494</v>
      </c>
      <c r="AJ7821">
        <v>111.961116739424</v>
      </c>
      <c r="AK7821">
        <v>25.888521422355701</v>
      </c>
      <c r="AL7821">
        <v>77.488826054155993</v>
      </c>
      <c r="AM7821">
        <v>104.28281752049</v>
      </c>
      <c r="AN7821">
        <v>0.999999957703124</v>
      </c>
    </row>
    <row r="7822" spans="1:40" x14ac:dyDescent="0.25">
      <c r="A7822" t="str">
        <f>"20190312172302417"</f>
        <v>20190312172302417</v>
      </c>
      <c r="B7822" t="str">
        <f>"1552382582408106"</f>
        <v>1552382582408106</v>
      </c>
      <c r="C7822" t="s">
        <v>40</v>
      </c>
      <c r="D7822">
        <v>3.2957209999999999</v>
      </c>
      <c r="E7822">
        <v>0.44786809999999999</v>
      </c>
      <c r="F7822" t="s">
        <v>64</v>
      </c>
      <c r="G7822">
        <v>-184.334</v>
      </c>
      <c r="H7822" s="1">
        <v>-3.9833789999999999E-6</v>
      </c>
      <c r="I7822">
        <v>-47.50094</v>
      </c>
      <c r="J7822">
        <v>-205.36189999999999</v>
      </c>
      <c r="K7822">
        <v>1.1171990000000001</v>
      </c>
      <c r="L7822">
        <v>-62.152070000000002</v>
      </c>
      <c r="M7822">
        <v>0.97443120000000005</v>
      </c>
      <c r="N7822">
        <v>0</v>
      </c>
      <c r="O7822">
        <v>0.2244459</v>
      </c>
      <c r="P7822">
        <v>0.8708728</v>
      </c>
      <c r="Q7822">
        <v>0.21126710000000001</v>
      </c>
      <c r="R7822">
        <v>0.44378689999999998</v>
      </c>
      <c r="S7822">
        <v>2.571472</v>
      </c>
      <c r="T7822">
        <v>-0.13550019999999999</v>
      </c>
      <c r="U7822">
        <v>1.7821039999999999</v>
      </c>
      <c r="V7822">
        <v>-0.24119209999999999</v>
      </c>
      <c r="W7822">
        <v>0.21651970000000001</v>
      </c>
      <c r="X7822">
        <v>0.94601570000000001</v>
      </c>
      <c r="Y7822">
        <v>-0.37045630000000002</v>
      </c>
      <c r="Z7822">
        <v>-1.614618E-3</v>
      </c>
      <c r="AA7822">
        <v>0.92884849999999997</v>
      </c>
      <c r="AB7822">
        <v>40</v>
      </c>
      <c r="AC7822">
        <v>21.027899999999899</v>
      </c>
      <c r="AD7822">
        <v>-1.117202983379</v>
      </c>
      <c r="AE7822">
        <v>14.651129999999901</v>
      </c>
      <c r="AF7822">
        <v>-9.5392806736051092</v>
      </c>
      <c r="AG7822">
        <v>-1.117202983379</v>
      </c>
      <c r="AH7822">
        <v>23.734808305419701</v>
      </c>
      <c r="AI7822">
        <v>92.500791053184201</v>
      </c>
      <c r="AJ7822">
        <v>111.89573737581</v>
      </c>
      <c r="AK7822">
        <v>25.604436013529199</v>
      </c>
      <c r="AL7822">
        <v>77.495300680905501</v>
      </c>
      <c r="AM7822">
        <v>104.30316887214499</v>
      </c>
      <c r="AN7822">
        <v>1.0000000571184899</v>
      </c>
    </row>
    <row r="7823" spans="1:40" x14ac:dyDescent="0.25">
      <c r="A7823" t="str">
        <f>"20190312172302429"</f>
        <v>20190312172302429</v>
      </c>
      <c r="B7823" t="str">
        <f>"1552382582417867"</f>
        <v>1552382582417867</v>
      </c>
      <c r="C7823" t="s">
        <v>40</v>
      </c>
      <c r="D7823">
        <v>3.2537219999999998</v>
      </c>
      <c r="E7823">
        <v>0.44786809999999999</v>
      </c>
      <c r="F7823" t="s">
        <v>64</v>
      </c>
      <c r="G7823">
        <v>-184.72460000000001</v>
      </c>
      <c r="H7823" s="1">
        <v>-3.9184009999999999E-6</v>
      </c>
      <c r="I7823">
        <v>-47.768070000000002</v>
      </c>
      <c r="J7823">
        <v>-205.17019999999999</v>
      </c>
      <c r="K7823">
        <v>1.1172869999999999</v>
      </c>
      <c r="L7823">
        <v>-62.104950000000002</v>
      </c>
      <c r="M7823">
        <v>0.9735433</v>
      </c>
      <c r="N7823">
        <v>0</v>
      </c>
      <c r="O7823">
        <v>0.2282633</v>
      </c>
      <c r="P7823">
        <v>0.86908180000000002</v>
      </c>
      <c r="Q7823">
        <v>0.21122460000000001</v>
      </c>
      <c r="R7823">
        <v>0.44730429999999999</v>
      </c>
      <c r="S7823">
        <v>2.5668329999999999</v>
      </c>
      <c r="T7823">
        <v>-0.1389562</v>
      </c>
      <c r="U7823">
        <v>1.7890630000000001</v>
      </c>
      <c r="V7823">
        <v>-0.24134349999999999</v>
      </c>
      <c r="W7823">
        <v>0.21649779999999999</v>
      </c>
      <c r="X7823">
        <v>0.94598199999999999</v>
      </c>
      <c r="Y7823">
        <v>-0.3692954</v>
      </c>
      <c r="Z7823">
        <v>-1.8606969999999999E-3</v>
      </c>
      <c r="AA7823">
        <v>0.92931019999999998</v>
      </c>
      <c r="AB7823">
        <v>40</v>
      </c>
      <c r="AC7823">
        <v>20.445599999999899</v>
      </c>
      <c r="AD7823">
        <v>-1.117290918401</v>
      </c>
      <c r="AE7823">
        <v>14.336879999999899</v>
      </c>
      <c r="AF7823">
        <v>-9.2725382096495093</v>
      </c>
      <c r="AG7823">
        <v>-1.117290918401</v>
      </c>
      <c r="AH7823">
        <v>23.1322182667591</v>
      </c>
      <c r="AI7823">
        <v>92.5669924503771</v>
      </c>
      <c r="AJ7823">
        <v>111.84335664944</v>
      </c>
      <c r="AK7823">
        <v>24.946499269170701</v>
      </c>
      <c r="AL7823">
        <v>77.496584752705701</v>
      </c>
      <c r="AM7823">
        <v>104.31226737358899</v>
      </c>
      <c r="AN7823">
        <v>0.99999996336054398</v>
      </c>
    </row>
    <row r="7824" spans="1:40" x14ac:dyDescent="0.25">
      <c r="A7824" t="str">
        <f>"20190312172302441"</f>
        <v>20190312172302441</v>
      </c>
      <c r="B7824" t="str">
        <f>"1552382582438364"</f>
        <v>1552382582438364</v>
      </c>
      <c r="C7824" t="s">
        <v>40</v>
      </c>
      <c r="D7824">
        <v>3.2124769999999998</v>
      </c>
      <c r="E7824">
        <v>0.4479476</v>
      </c>
      <c r="F7824" t="s">
        <v>64</v>
      </c>
      <c r="G7824">
        <v>-184.58869999999999</v>
      </c>
      <c r="H7824" s="1">
        <v>-3.9624170000000002E-6</v>
      </c>
      <c r="I7824">
        <v>-47.632710000000003</v>
      </c>
      <c r="J7824">
        <v>-204.9717</v>
      </c>
      <c r="K7824">
        <v>1.11737999999999</v>
      </c>
      <c r="L7824">
        <v>-62.055819999999997</v>
      </c>
      <c r="M7824">
        <v>0.97260279999999999</v>
      </c>
      <c r="N7824">
        <v>0</v>
      </c>
      <c r="O7824">
        <v>0.23223450000000001</v>
      </c>
      <c r="P7824">
        <v>0.86725940000000001</v>
      </c>
      <c r="Q7824">
        <v>0.21151200000000001</v>
      </c>
      <c r="R7824">
        <v>0.45069239999999999</v>
      </c>
      <c r="S7824">
        <v>2.5594329999999998</v>
      </c>
      <c r="T7824">
        <v>-0.13894210000000001</v>
      </c>
      <c r="U7824">
        <v>1.7997129999999999</v>
      </c>
      <c r="V7824">
        <v>-0.24123339999999999</v>
      </c>
      <c r="W7824">
        <v>0.21681210000000001</v>
      </c>
      <c r="X7824">
        <v>0.94593819999999995</v>
      </c>
      <c r="Y7824">
        <v>-0.36935839999999998</v>
      </c>
      <c r="Z7824">
        <v>-2.0432279999999998E-3</v>
      </c>
      <c r="AA7824">
        <v>0.92928480000000002</v>
      </c>
      <c r="AB7824">
        <v>40</v>
      </c>
      <c r="AC7824">
        <v>20.382999999999999</v>
      </c>
      <c r="AD7824">
        <v>-1.1173839624170001</v>
      </c>
      <c r="AE7824">
        <v>14.423109999999999</v>
      </c>
      <c r="AF7824">
        <v>-9.2762611599542506</v>
      </c>
      <c r="AG7824">
        <v>-1.1173839624170001</v>
      </c>
      <c r="AH7824">
        <v>23.129076004241099</v>
      </c>
      <c r="AI7824">
        <v>92.567363447660796</v>
      </c>
      <c r="AJ7824">
        <v>111.853989969116</v>
      </c>
      <c r="AK7824">
        <v>24.944973939395201</v>
      </c>
      <c r="AL7824">
        <v>77.478139777219496</v>
      </c>
      <c r="AM7824">
        <v>104.30664145591101</v>
      </c>
      <c r="AN7824">
        <v>1.0000000591006</v>
      </c>
    </row>
    <row r="7825" spans="1:40" x14ac:dyDescent="0.25">
      <c r="A7825" t="str">
        <f>"20190312172302453"</f>
        <v>20190312172302453</v>
      </c>
      <c r="B7825" t="str">
        <f>"1552382582448122"</f>
        <v>1552382582448122</v>
      </c>
      <c r="C7825" t="s">
        <v>40</v>
      </c>
      <c r="D7825">
        <v>3.264818</v>
      </c>
      <c r="E7825">
        <v>0.44807580000000002</v>
      </c>
      <c r="F7825" t="s">
        <v>41</v>
      </c>
      <c r="G7825">
        <v>-204.02340000000001</v>
      </c>
      <c r="H7825">
        <v>1.064743</v>
      </c>
      <c r="I7825">
        <v>-61.383490000000002</v>
      </c>
      <c r="J7825">
        <v>-204.7654</v>
      </c>
      <c r="K7825">
        <v>1.1174789999999999</v>
      </c>
      <c r="L7825">
        <v>-62.003230000000002</v>
      </c>
      <c r="M7825">
        <v>0.97158580000000005</v>
      </c>
      <c r="N7825">
        <v>0</v>
      </c>
      <c r="O7825">
        <v>0.23645040000000001</v>
      </c>
      <c r="P7825">
        <v>0.86528780000000005</v>
      </c>
      <c r="Q7825">
        <v>0.21153449999999999</v>
      </c>
      <c r="R7825">
        <v>0.45445619999999998</v>
      </c>
      <c r="S7825">
        <v>2.5530849999999998</v>
      </c>
      <c r="T7825">
        <v>-0.1417099</v>
      </c>
      <c r="U7825">
        <v>1.8100890000000001</v>
      </c>
      <c r="V7825">
        <v>-0.24128330000000001</v>
      </c>
      <c r="W7825">
        <v>0.21686420000000001</v>
      </c>
      <c r="X7825">
        <v>0.94591349999999996</v>
      </c>
      <c r="Y7825">
        <v>-0.36893169999999997</v>
      </c>
      <c r="Z7825">
        <v>-2.2934420000000001E-3</v>
      </c>
      <c r="AA7825">
        <v>0.92945370000000005</v>
      </c>
      <c r="AB7825">
        <v>40</v>
      </c>
      <c r="AC7825">
        <v>0.74199999999999</v>
      </c>
      <c r="AD7825">
        <v>-5.2736000000000102E-2</v>
      </c>
      <c r="AE7825">
        <v>0.61973999999999996</v>
      </c>
      <c r="AF7825">
        <v>-0.42544240385493398</v>
      </c>
      <c r="AG7825">
        <v>-5.2736000000000102E-2</v>
      </c>
      <c r="AH7825">
        <v>0.86492946820668903</v>
      </c>
      <c r="AI7825">
        <v>93.131589567675903</v>
      </c>
      <c r="AJ7825">
        <v>116.191698102712</v>
      </c>
      <c r="AK7825">
        <v>0.96534206873324002</v>
      </c>
      <c r="AL7825">
        <v>77.475081552944403</v>
      </c>
      <c r="AM7825">
        <v>104.30983762395699</v>
      </c>
      <c r="AN7825">
        <v>1.0000000307913799</v>
      </c>
    </row>
    <row r="7826" spans="1:40" x14ac:dyDescent="0.25">
      <c r="A7826" t="str">
        <f>"20190312172302463"</f>
        <v>20190312172302463</v>
      </c>
      <c r="B7826" t="str">
        <f>"1552382582457882"</f>
        <v>1552382582457882</v>
      </c>
      <c r="C7826" t="s">
        <v>40</v>
      </c>
      <c r="D7826">
        <v>3.2371660000000002</v>
      </c>
      <c r="E7826">
        <v>0.44922659999999998</v>
      </c>
      <c r="F7826" t="s">
        <v>64</v>
      </c>
      <c r="G7826">
        <v>-185.21539999999999</v>
      </c>
      <c r="H7826" s="1">
        <v>-3.8775809999999996E-6</v>
      </c>
      <c r="I7826">
        <v>-48.021410000000003</v>
      </c>
      <c r="J7826">
        <v>-204.58699999999999</v>
      </c>
      <c r="K7826">
        <v>1.117567</v>
      </c>
      <c r="L7826">
        <v>-61.95731</v>
      </c>
      <c r="M7826">
        <v>0.97068509999999997</v>
      </c>
      <c r="N7826">
        <v>0</v>
      </c>
      <c r="O7826">
        <v>0.24011759999999999</v>
      </c>
      <c r="P7826">
        <v>0.86370440000000004</v>
      </c>
      <c r="Q7826">
        <v>0.21146809999999999</v>
      </c>
      <c r="R7826">
        <v>0.45748879999999997</v>
      </c>
      <c r="S7826">
        <v>2.5462189999999998</v>
      </c>
      <c r="T7826">
        <v>-0.1455427</v>
      </c>
      <c r="U7826">
        <v>1.8210139999999999</v>
      </c>
      <c r="V7826">
        <v>-0.24105960000000001</v>
      </c>
      <c r="W7826">
        <v>0.21682969999999999</v>
      </c>
      <c r="X7826">
        <v>0.9459784</v>
      </c>
      <c r="Y7826">
        <v>-0.36924309999999999</v>
      </c>
      <c r="Z7826">
        <v>-2.5254309999999999E-3</v>
      </c>
      <c r="AA7826">
        <v>0.92932939999999997</v>
      </c>
      <c r="AB7826">
        <v>40</v>
      </c>
      <c r="AC7826">
        <v>19.371600000000001</v>
      </c>
      <c r="AD7826">
        <v>-1.117570877581</v>
      </c>
      <c r="AE7826">
        <v>13.9359</v>
      </c>
      <c r="AF7826">
        <v>-8.8569889857184307</v>
      </c>
      <c r="AG7826">
        <v>-1.117570877581</v>
      </c>
      <c r="AH7826">
        <v>22.102764666730401</v>
      </c>
      <c r="AI7826">
        <v>92.687174306781202</v>
      </c>
      <c r="AJ7826">
        <v>111.836894598008</v>
      </c>
      <c r="AK7826">
        <v>23.8375213575661</v>
      </c>
      <c r="AL7826">
        <v>77.477105937005305</v>
      </c>
      <c r="AM7826">
        <v>104.296174082227</v>
      </c>
      <c r="AN7826">
        <v>0.99999999141040496</v>
      </c>
    </row>
    <row r="7827" spans="1:40" x14ac:dyDescent="0.25">
      <c r="A7827" t="str">
        <f>"20190312172302474"</f>
        <v>20190312172302474</v>
      </c>
      <c r="B7827" t="str">
        <f>"1552382582467642"</f>
        <v>1552382582467642</v>
      </c>
      <c r="C7827" t="s">
        <v>40</v>
      </c>
      <c r="D7827">
        <v>3.3904399999999999</v>
      </c>
      <c r="E7827">
        <v>0.44922659999999998</v>
      </c>
      <c r="F7827" t="s">
        <v>64</v>
      </c>
      <c r="G7827">
        <v>-185.82599999999999</v>
      </c>
      <c r="H7827" s="1">
        <v>-3.7164909999999999E-6</v>
      </c>
      <c r="I7827">
        <v>-48.522919999999999</v>
      </c>
      <c r="J7827">
        <v>-204.39529999999999</v>
      </c>
      <c r="K7827">
        <v>1.1176649999999999</v>
      </c>
      <c r="L7827">
        <v>-61.906950000000002</v>
      </c>
      <c r="M7827">
        <v>0.96968759999999998</v>
      </c>
      <c r="N7827">
        <v>0</v>
      </c>
      <c r="O7827">
        <v>0.2441111</v>
      </c>
      <c r="P7827">
        <v>0.86189319999999903</v>
      </c>
      <c r="Q7827">
        <v>0.2116653</v>
      </c>
      <c r="R7827">
        <v>0.46080140000000003</v>
      </c>
      <c r="S7827">
        <v>2.545166</v>
      </c>
      <c r="T7827">
        <v>-0.15161229999999901</v>
      </c>
      <c r="U7827">
        <v>1.82254</v>
      </c>
      <c r="V7827">
        <v>-0.24085300000000001</v>
      </c>
      <c r="W7827">
        <v>0.21706059999999999</v>
      </c>
      <c r="X7827">
        <v>0.94597799999999999</v>
      </c>
      <c r="Y7827">
        <v>-0.36596210000000001</v>
      </c>
      <c r="Z7827">
        <v>-2.9189530000000002E-3</v>
      </c>
      <c r="AA7827">
        <v>0.93062509999999998</v>
      </c>
      <c r="AB7827">
        <v>40</v>
      </c>
      <c r="AC7827">
        <v>18.569299999999998</v>
      </c>
      <c r="AD7827">
        <v>-1.117668716491</v>
      </c>
      <c r="AE7827">
        <v>13.384029999999999</v>
      </c>
      <c r="AF7827">
        <v>-8.4257560597123806</v>
      </c>
      <c r="AG7827">
        <v>-1.117668716491</v>
      </c>
      <c r="AH7827">
        <v>21.224239352072299</v>
      </c>
      <c r="AI7827">
        <v>92.802064243908703</v>
      </c>
      <c r="AJ7827">
        <v>111.652455069906</v>
      </c>
      <c r="AK7827">
        <v>22.862871311619099</v>
      </c>
      <c r="AL7827">
        <v>77.463552717761203</v>
      </c>
      <c r="AM7827">
        <v>104.28442898249099</v>
      </c>
      <c r="AN7827">
        <v>0.99999992408267702</v>
      </c>
    </row>
    <row r="7828" spans="1:40" x14ac:dyDescent="0.25">
      <c r="A7828" t="str">
        <f>"20190312172302486"</f>
        <v>20190312172302486</v>
      </c>
      <c r="B7828" t="str">
        <f>"1552382582478378"</f>
        <v>1552382582478378</v>
      </c>
      <c r="C7828" t="s">
        <v>40</v>
      </c>
      <c r="D7828">
        <v>3.3197220000000001</v>
      </c>
      <c r="E7828">
        <v>0.45947399999999999</v>
      </c>
      <c r="F7828" t="s">
        <v>64</v>
      </c>
      <c r="G7828">
        <v>-185.5941</v>
      </c>
      <c r="H7828" s="1">
        <v>-3.7787080000000001E-6</v>
      </c>
      <c r="I7828">
        <v>-48.3307</v>
      </c>
      <c r="J7828">
        <v>-204.2062</v>
      </c>
      <c r="K7828">
        <v>1.1177649999999999</v>
      </c>
      <c r="L7828">
        <v>-61.856479999999998</v>
      </c>
      <c r="M7828">
        <v>0.96867630000000005</v>
      </c>
      <c r="N7828">
        <v>0</v>
      </c>
      <c r="O7828">
        <v>0.24809039999999999</v>
      </c>
      <c r="P7828">
        <v>0.8602419</v>
      </c>
      <c r="Q7828">
        <v>0.21147679999999999</v>
      </c>
      <c r="R7828">
        <v>0.46396280000000001</v>
      </c>
      <c r="S7828">
        <v>2.5379489999999998</v>
      </c>
      <c r="T7828">
        <v>-0.1508726</v>
      </c>
      <c r="U7828">
        <v>1.8326420000000001</v>
      </c>
      <c r="V7828">
        <v>-0.2404683</v>
      </c>
      <c r="W7828">
        <v>0.2169112</v>
      </c>
      <c r="X7828">
        <v>0.94611020000000001</v>
      </c>
      <c r="Y7828">
        <v>-0.36583759999999999</v>
      </c>
      <c r="Z7828">
        <v>-3.1088449999999998E-3</v>
      </c>
      <c r="AA7828">
        <v>0.93067350000000004</v>
      </c>
      <c r="AB7828">
        <v>40</v>
      </c>
      <c r="AC7828">
        <v>18.612100000000002</v>
      </c>
      <c r="AD7828">
        <v>-1.117768778708</v>
      </c>
      <c r="AE7828">
        <v>13.525779999999999</v>
      </c>
      <c r="AF7828">
        <v>-8.4651374780445305</v>
      </c>
      <c r="AG7828">
        <v>-1.117768778708</v>
      </c>
      <c r="AH7828">
        <v>21.335614435403102</v>
      </c>
      <c r="AI7828">
        <v>92.787925527809094</v>
      </c>
      <c r="AJ7828">
        <v>111.64124217263399</v>
      </c>
      <c r="AK7828">
        <v>22.9807833395868</v>
      </c>
      <c r="AL7828">
        <v>77.472322484872095</v>
      </c>
      <c r="AM7828">
        <v>104.260633319368</v>
      </c>
      <c r="AN7828">
        <v>0.99999999126718497</v>
      </c>
    </row>
    <row r="7829" spans="1:40" x14ac:dyDescent="0.25">
      <c r="A7829" t="str">
        <f>"20190312172302497"</f>
        <v>20190312172302497</v>
      </c>
      <c r="B7829" t="str">
        <f>"1552382582488138"</f>
        <v>1552382582488138</v>
      </c>
      <c r="C7829" t="s">
        <v>40</v>
      </c>
      <c r="D7829">
        <v>3.4061020000000002</v>
      </c>
      <c r="E7829">
        <v>0.45841169999999998</v>
      </c>
      <c r="F7829" t="s">
        <v>64</v>
      </c>
      <c r="G7829">
        <v>-188.3245</v>
      </c>
      <c r="H7829" s="1">
        <v>-1.028797E-5</v>
      </c>
      <c r="I7829">
        <v>-50.91816</v>
      </c>
      <c r="J7829">
        <v>-204.00710000000001</v>
      </c>
      <c r="K7829">
        <v>1.117875</v>
      </c>
      <c r="L7829">
        <v>-61.802579999999999</v>
      </c>
      <c r="M7829">
        <v>0.96758310000000003</v>
      </c>
      <c r="N7829">
        <v>0</v>
      </c>
      <c r="O7829">
        <v>0.25231720000000002</v>
      </c>
      <c r="P7829">
        <v>0.8584598</v>
      </c>
      <c r="Q7829">
        <v>0.21171280000000001</v>
      </c>
      <c r="R7829">
        <v>0.46714539999999999</v>
      </c>
      <c r="S7829">
        <v>2.5753020000000002</v>
      </c>
      <c r="T7829">
        <v>-0.1812539</v>
      </c>
      <c r="U7829">
        <v>1.773712</v>
      </c>
      <c r="V7829">
        <v>-0.2399048</v>
      </c>
      <c r="W7829">
        <v>0.21719189999999999</v>
      </c>
      <c r="X7829">
        <v>0.9461889</v>
      </c>
      <c r="Y7829">
        <v>-0.34090520000000002</v>
      </c>
      <c r="Z7829">
        <v>-4.7664990000000004E-3</v>
      </c>
      <c r="AA7829">
        <v>0.94008559999999997</v>
      </c>
      <c r="AB7829">
        <v>40</v>
      </c>
      <c r="AC7829">
        <v>15.682600000000001</v>
      </c>
      <c r="AD7829">
        <v>-1.1178852879700001</v>
      </c>
      <c r="AE7829">
        <v>10.88442</v>
      </c>
      <c r="AF7829">
        <v>-6.5525120828693204</v>
      </c>
      <c r="AG7829">
        <v>-1.1178852879700001</v>
      </c>
      <c r="AH7829">
        <v>17.860363646640501</v>
      </c>
      <c r="AI7829">
        <v>93.362866913776003</v>
      </c>
      <c r="AJ7829">
        <v>110.14679975028</v>
      </c>
      <c r="AK7829">
        <v>19.057220985848002</v>
      </c>
      <c r="AL7829">
        <v>77.455847331898596</v>
      </c>
      <c r="AM7829">
        <v>104.227438891853</v>
      </c>
      <c r="AN7829">
        <v>1.0000000344859199</v>
      </c>
    </row>
    <row r="7830" spans="1:40" x14ac:dyDescent="0.25">
      <c r="A7830" t="str">
        <f>"20190312172302511"</f>
        <v>20190312172302511</v>
      </c>
      <c r="B7830" t="str">
        <f>"1552382582508633"</f>
        <v>1552382582508633</v>
      </c>
      <c r="C7830" t="s">
        <v>40</v>
      </c>
      <c r="D7830">
        <v>3.3987020000000001</v>
      </c>
      <c r="E7830">
        <v>0.46796779999999999</v>
      </c>
      <c r="F7830" t="s">
        <v>64</v>
      </c>
      <c r="G7830">
        <v>-188.37379999999999</v>
      </c>
      <c r="H7830" s="1">
        <v>-1.0267080000000001E-5</v>
      </c>
      <c r="I7830">
        <v>-50.884030000000003</v>
      </c>
      <c r="J7830">
        <v>-203.7808</v>
      </c>
      <c r="K7830">
        <v>1.1180079999999999</v>
      </c>
      <c r="L7830">
        <v>-61.739780000000003</v>
      </c>
      <c r="M7830">
        <v>0.96629370000000003</v>
      </c>
      <c r="N7830">
        <v>0</v>
      </c>
      <c r="O7830">
        <v>0.2572065</v>
      </c>
      <c r="P7830">
        <v>0.85617009999999905</v>
      </c>
      <c r="Q7830">
        <v>0.21206659999999999</v>
      </c>
      <c r="R7830">
        <v>0.47116950000000002</v>
      </c>
      <c r="S7830">
        <v>2.5650019999999998</v>
      </c>
      <c r="T7830">
        <v>-0.1834151</v>
      </c>
      <c r="U7830">
        <v>1.7914429999999999</v>
      </c>
      <c r="V7830">
        <v>-0.2396479</v>
      </c>
      <c r="W7830">
        <v>0.21759029999999999</v>
      </c>
      <c r="X7830">
        <v>0.94616239999999996</v>
      </c>
      <c r="Y7830">
        <v>-0.34229609999999999</v>
      </c>
      <c r="Z7830">
        <v>-5.0771929999999998E-3</v>
      </c>
      <c r="AA7830">
        <v>0.93957840000000004</v>
      </c>
      <c r="AB7830">
        <v>40</v>
      </c>
      <c r="AC7830">
        <v>15.407</v>
      </c>
      <c r="AD7830">
        <v>-1.1180182670800001</v>
      </c>
      <c r="AE7830">
        <v>10.85575</v>
      </c>
      <c r="AF7830">
        <v>-6.5045698005111001</v>
      </c>
      <c r="AG7830">
        <v>-1.1180182670800001</v>
      </c>
      <c r="AH7830">
        <v>17.6189310867511</v>
      </c>
      <c r="AI7830">
        <v>93.406703475914199</v>
      </c>
      <c r="AJ7830">
        <v>110.263174251705</v>
      </c>
      <c r="AK7830">
        <v>18.814519015242698</v>
      </c>
      <c r="AL7830">
        <v>77.432460597693606</v>
      </c>
      <c r="AM7830">
        <v>104.21320315799601</v>
      </c>
      <c r="AN7830">
        <v>0.99999997090112902</v>
      </c>
    </row>
    <row r="7831" spans="1:40" x14ac:dyDescent="0.25">
      <c r="A7831" t="str">
        <f>"20190312172302522"</f>
        <v>20190312172302522</v>
      </c>
      <c r="B7831" t="str">
        <f>"1552382582518394"</f>
        <v>1552382582518394</v>
      </c>
      <c r="C7831" t="s">
        <v>40</v>
      </c>
      <c r="D7831">
        <v>3.351407</v>
      </c>
      <c r="E7831">
        <v>0.46888190000000002</v>
      </c>
      <c r="F7831" t="s">
        <v>64</v>
      </c>
      <c r="G7831">
        <v>-184.1942</v>
      </c>
      <c r="H7831" s="1">
        <v>-3.2972299999999999E-6</v>
      </c>
      <c r="I7831">
        <v>-48.618229999999997</v>
      </c>
      <c r="J7831">
        <v>-203.58930000000001</v>
      </c>
      <c r="K7831">
        <v>1.1181239999999999</v>
      </c>
      <c r="L7831">
        <v>-61.685969999999998</v>
      </c>
      <c r="M7831">
        <v>0.96517339999999996</v>
      </c>
      <c r="N7831">
        <v>0</v>
      </c>
      <c r="O7831">
        <v>0.26137519999999997</v>
      </c>
      <c r="P7831">
        <v>0.85439129999999996</v>
      </c>
      <c r="Q7831">
        <v>0.21230280000000001</v>
      </c>
      <c r="R7831">
        <v>0.47428169999999997</v>
      </c>
      <c r="S7831">
        <v>2.5868530000000001</v>
      </c>
      <c r="T7831">
        <v>-0.14765909999999999</v>
      </c>
      <c r="U7831">
        <v>1.7330019999999999</v>
      </c>
      <c r="V7831">
        <v>-0.23907610000000001</v>
      </c>
      <c r="W7831">
        <v>0.21787419999999999</v>
      </c>
      <c r="X7831">
        <v>0.94624169999999996</v>
      </c>
      <c r="Y7831">
        <v>-0.31999159999999999</v>
      </c>
      <c r="Z7831">
        <v>-4.871645E-3</v>
      </c>
      <c r="AA7831">
        <v>0.94740780000000002</v>
      </c>
      <c r="AB7831">
        <v>40</v>
      </c>
      <c r="AC7831">
        <v>19.395099999999999</v>
      </c>
      <c r="AD7831">
        <v>-1.11812729722999</v>
      </c>
      <c r="AE7831">
        <v>13.067739999999899</v>
      </c>
      <c r="AF7831">
        <v>-7.5264976520639602</v>
      </c>
      <c r="AG7831">
        <v>-1.11812729722999</v>
      </c>
      <c r="AH7831">
        <v>22.086097341730799</v>
      </c>
      <c r="AI7831">
        <v>92.743501712271694</v>
      </c>
      <c r="AJ7831">
        <v>108.81807744758299</v>
      </c>
      <c r="AK7831">
        <v>23.360095705021099</v>
      </c>
      <c r="AL7831">
        <v>77.4157942354623</v>
      </c>
      <c r="AM7831">
        <v>104.179519534577</v>
      </c>
      <c r="AN7831">
        <v>0.99999995171786804</v>
      </c>
    </row>
    <row r="7832" spans="1:40" x14ac:dyDescent="0.25">
      <c r="A7832" t="str">
        <f>"20190312172302533"</f>
        <v>20190312172302533</v>
      </c>
      <c r="B7832" t="str">
        <f>"1552382582528155"</f>
        <v>1552382582528155</v>
      </c>
      <c r="C7832" t="s">
        <v>40</v>
      </c>
      <c r="D7832">
        <v>3.3382290000000001</v>
      </c>
      <c r="E7832">
        <v>0.46968179999999998</v>
      </c>
      <c r="F7832" t="s">
        <v>64</v>
      </c>
      <c r="G7832">
        <v>-183.40119999999999</v>
      </c>
      <c r="H7832" s="1">
        <v>-3.4150369999999999E-6</v>
      </c>
      <c r="I7832">
        <v>-48.121279999999999</v>
      </c>
      <c r="J7832">
        <v>-203.41030000000001</v>
      </c>
      <c r="K7832">
        <v>1.1182399999999999</v>
      </c>
      <c r="L7832">
        <v>-61.634520000000002</v>
      </c>
      <c r="M7832">
        <v>0.9640898</v>
      </c>
      <c r="N7832">
        <v>0</v>
      </c>
      <c r="O7832">
        <v>0.26534029999999997</v>
      </c>
      <c r="P7832">
        <v>0.852697699999999</v>
      </c>
      <c r="Q7832">
        <v>0.2125455</v>
      </c>
      <c r="R7832">
        <v>0.47721200000000003</v>
      </c>
      <c r="S7832">
        <v>2.5832820000000001</v>
      </c>
      <c r="T7832">
        <v>-0.14307639999999999</v>
      </c>
      <c r="U7832">
        <v>1.7357479999999901</v>
      </c>
      <c r="V7832">
        <v>-0.23850560000000001</v>
      </c>
      <c r="W7832">
        <v>0.2181651</v>
      </c>
      <c r="X7832">
        <v>0.94631869999999996</v>
      </c>
      <c r="Y7832">
        <v>-0.31740590000000002</v>
      </c>
      <c r="Z7832">
        <v>-4.9752059999999898E-3</v>
      </c>
      <c r="AA7832">
        <v>0.94827669999999997</v>
      </c>
      <c r="AB7832">
        <v>40</v>
      </c>
      <c r="AC7832">
        <v>20.0091</v>
      </c>
      <c r="AD7832">
        <v>-1.118243415037</v>
      </c>
      <c r="AE7832">
        <v>13.5132399999999</v>
      </c>
      <c r="AF7832">
        <v>-7.7027179469525802</v>
      </c>
      <c r="AG7832">
        <v>-1.118243415037</v>
      </c>
      <c r="AH7832">
        <v>22.828643442824699</v>
      </c>
      <c r="AI7832">
        <v>92.657383468326998</v>
      </c>
      <c r="AJ7832">
        <v>108.645146728415</v>
      </c>
      <c r="AK7832">
        <v>24.119064939279902</v>
      </c>
      <c r="AL7832">
        <v>77.398716774791495</v>
      </c>
      <c r="AM7832">
        <v>104.145938558974</v>
      </c>
      <c r="AN7832">
        <v>1.0000000070295201</v>
      </c>
    </row>
    <row r="7833" spans="1:40" x14ac:dyDescent="0.25">
      <c r="A7833" t="str">
        <f>"20190312172302541"</f>
        <v>20190312172302541</v>
      </c>
      <c r="B7833" t="str">
        <f>"1552382582537913"</f>
        <v>1552382582537913</v>
      </c>
      <c r="C7833" t="s">
        <v>40</v>
      </c>
      <c r="D7833">
        <v>3.4758290000000001</v>
      </c>
      <c r="E7833">
        <v>0.4707056</v>
      </c>
      <c r="F7833" t="s">
        <v>64</v>
      </c>
      <c r="G7833">
        <v>-183.04259999999999</v>
      </c>
      <c r="H7833" s="1">
        <v>-3.4625709999999999E-6</v>
      </c>
      <c r="I7833">
        <v>-47.90625</v>
      </c>
      <c r="J7833">
        <v>-203.25890000000001</v>
      </c>
      <c r="K7833">
        <v>1.1183399999999999</v>
      </c>
      <c r="L7833">
        <v>-61.590670000000003</v>
      </c>
      <c r="M7833">
        <v>0.96315459999999997</v>
      </c>
      <c r="N7833">
        <v>0</v>
      </c>
      <c r="O7833">
        <v>0.26871129999999999</v>
      </c>
      <c r="P7833">
        <v>0.85103669999999998</v>
      </c>
      <c r="Q7833">
        <v>0.2129141</v>
      </c>
      <c r="R7833">
        <v>0.4800044</v>
      </c>
      <c r="S7833">
        <v>2.5802459999999998</v>
      </c>
      <c r="T7833">
        <v>-0.14166219999999999</v>
      </c>
      <c r="U7833">
        <v>1.739136</v>
      </c>
      <c r="V7833">
        <v>-0.23837269999999999</v>
      </c>
      <c r="W7833">
        <v>0.2185666</v>
      </c>
      <c r="X7833">
        <v>0.94625959999999998</v>
      </c>
      <c r="Y7833">
        <v>-0.315467</v>
      </c>
      <c r="Z7833">
        <v>-5.1333780000000001E-3</v>
      </c>
      <c r="AA7833">
        <v>0.94892270000000001</v>
      </c>
      <c r="AB7833">
        <v>40</v>
      </c>
      <c r="AC7833">
        <v>20.2163</v>
      </c>
      <c r="AD7833">
        <v>-1.11834346257099</v>
      </c>
      <c r="AE7833">
        <v>13.6844199999999</v>
      </c>
      <c r="AF7833">
        <v>-7.7321308842879004</v>
      </c>
      <c r="AG7833">
        <v>-1.11834346257099</v>
      </c>
      <c r="AH7833">
        <v>23.1015747598207</v>
      </c>
      <c r="AI7833">
        <v>92.628416338707495</v>
      </c>
      <c r="AJ7833">
        <v>108.505469125689</v>
      </c>
      <c r="AK7833">
        <v>24.386867295649498</v>
      </c>
      <c r="AL7833">
        <v>77.375144393325897</v>
      </c>
      <c r="AM7833">
        <v>104.139219968315</v>
      </c>
      <c r="AN7833">
        <v>1.0000000666665001</v>
      </c>
    </row>
    <row r="7834" spans="1:40" x14ac:dyDescent="0.25">
      <c r="A7834" t="str">
        <f>"20190312172302552"</f>
        <v>20190312172302552</v>
      </c>
      <c r="B7834" t="str">
        <f>"1552382582548650"</f>
        <v>1552382582548650</v>
      </c>
      <c r="C7834" t="s">
        <v>40</v>
      </c>
      <c r="D7834">
        <v>3.4050820000000002</v>
      </c>
      <c r="E7834">
        <v>0.47104390000000002</v>
      </c>
      <c r="F7834" t="s">
        <v>64</v>
      </c>
      <c r="G7834">
        <v>-182.65029999999999</v>
      </c>
      <c r="H7834" s="1">
        <v>-3.5092249999999998E-6</v>
      </c>
      <c r="I7834">
        <v>-47.680050000000001</v>
      </c>
      <c r="J7834">
        <v>-203.07490000000001</v>
      </c>
      <c r="K7834">
        <v>1.118465</v>
      </c>
      <c r="L7834">
        <v>-61.53613</v>
      </c>
      <c r="M7834">
        <v>0.96198070000000002</v>
      </c>
      <c r="N7834">
        <v>0</v>
      </c>
      <c r="O7834">
        <v>0.27288000000000001</v>
      </c>
      <c r="P7834">
        <v>0.84912189999999999</v>
      </c>
      <c r="Q7834">
        <v>0.21274470000000001</v>
      </c>
      <c r="R7834">
        <v>0.483458</v>
      </c>
      <c r="S7834">
        <v>2.5784760000000002</v>
      </c>
      <c r="T7834">
        <v>-0.1399232</v>
      </c>
      <c r="U7834">
        <v>1.740448</v>
      </c>
      <c r="V7834">
        <v>-0.23815890000000001</v>
      </c>
      <c r="W7834">
        <v>0.21844189999999999</v>
      </c>
      <c r="X7834">
        <v>0.94634220000000002</v>
      </c>
      <c r="Y7834">
        <v>-0.31199700000000002</v>
      </c>
      <c r="Z7834">
        <v>-5.3486469999999998E-3</v>
      </c>
      <c r="AA7834">
        <v>0.95006809999999997</v>
      </c>
      <c r="AB7834">
        <v>40</v>
      </c>
      <c r="AC7834">
        <v>20.424600000000002</v>
      </c>
      <c r="AD7834">
        <v>-1.118468509225</v>
      </c>
      <c r="AE7834">
        <v>13.85608</v>
      </c>
      <c r="AF7834">
        <v>-7.7404235957762602</v>
      </c>
      <c r="AG7834">
        <v>-1.118468509225</v>
      </c>
      <c r="AH7834">
        <v>23.382617968813499</v>
      </c>
      <c r="AI7834">
        <v>92.600010575858704</v>
      </c>
      <c r="AJ7834">
        <v>108.31625959768</v>
      </c>
      <c r="AK7834">
        <v>24.655870544834901</v>
      </c>
      <c r="AL7834">
        <v>77.382465787170801</v>
      </c>
      <c r="AM7834">
        <v>104.125862576233</v>
      </c>
      <c r="AN7834">
        <v>1.0000000424128199</v>
      </c>
    </row>
    <row r="7835" spans="1:40" x14ac:dyDescent="0.25">
      <c r="A7835" t="str">
        <f>"20190312172302564"</f>
        <v>20190312172302564</v>
      </c>
      <c r="B7835" t="str">
        <f>"1552382582558410"</f>
        <v>1552382582558410</v>
      </c>
      <c r="C7835" t="s">
        <v>40</v>
      </c>
      <c r="D7835">
        <v>3.4612029999999998</v>
      </c>
      <c r="E7835">
        <v>0.47132469999999999</v>
      </c>
      <c r="F7835" t="s">
        <v>64</v>
      </c>
      <c r="G7835">
        <v>-182.85820000000001</v>
      </c>
      <c r="H7835" s="1">
        <v>-3.4865730000000001E-6</v>
      </c>
      <c r="I7835">
        <v>-47.796430000000001</v>
      </c>
      <c r="J7835">
        <v>-202.88300000000001</v>
      </c>
      <c r="K7835">
        <v>1.1185940000000001</v>
      </c>
      <c r="L7835">
        <v>-61.478639999999999</v>
      </c>
      <c r="M7835">
        <v>0.96072519999999995</v>
      </c>
      <c r="N7835">
        <v>0</v>
      </c>
      <c r="O7835">
        <v>0.2772636</v>
      </c>
      <c r="P7835">
        <v>0.84703050000000002</v>
      </c>
      <c r="Q7835">
        <v>0.21277090000000001</v>
      </c>
      <c r="R7835">
        <v>0.48710160000000002</v>
      </c>
      <c r="S7835">
        <v>2.5730740000000001</v>
      </c>
      <c r="T7835">
        <v>-0.1423529</v>
      </c>
      <c r="U7835">
        <v>1.748718</v>
      </c>
      <c r="V7835">
        <v>-0.2379703</v>
      </c>
      <c r="W7835">
        <v>0.21851409999999999</v>
      </c>
      <c r="X7835">
        <v>0.94637289999999996</v>
      </c>
      <c r="Y7835">
        <v>-0.31068449999999997</v>
      </c>
      <c r="Z7835">
        <v>-5.6819130000000002E-3</v>
      </c>
      <c r="AA7835">
        <v>0.95049609999999995</v>
      </c>
      <c r="AB7835">
        <v>40</v>
      </c>
      <c r="AC7835">
        <v>20.0247999999999</v>
      </c>
      <c r="AD7835">
        <v>-1.118597486573</v>
      </c>
      <c r="AE7835">
        <v>13.68221</v>
      </c>
      <c r="AF7835">
        <v>-7.5770782999004798</v>
      </c>
      <c r="AG7835">
        <v>-1.118597486573</v>
      </c>
      <c r="AH7835">
        <v>22.984534192923402</v>
      </c>
      <c r="AI7835">
        <v>92.646363718029605</v>
      </c>
      <c r="AJ7835">
        <v>108.24531340750001</v>
      </c>
      <c r="AK7835">
        <v>24.227096152148601</v>
      </c>
      <c r="AL7835">
        <v>77.378225701934397</v>
      </c>
      <c r="AM7835">
        <v>104.114683913731</v>
      </c>
      <c r="AN7835">
        <v>0.99999997071765401</v>
      </c>
    </row>
    <row r="7836" spans="1:40" x14ac:dyDescent="0.25">
      <c r="A7836" t="str">
        <f>"20190312172302575"</f>
        <v>20190312172302575</v>
      </c>
      <c r="B7836" t="str">
        <f>"1552382582568170"</f>
        <v>1552382582568170</v>
      </c>
      <c r="C7836" t="s">
        <v>40</v>
      </c>
      <c r="D7836">
        <v>3.4672420000000002</v>
      </c>
      <c r="E7836">
        <v>0.47162349999999997</v>
      </c>
      <c r="F7836" t="s">
        <v>64</v>
      </c>
      <c r="G7836">
        <v>-183.07390000000001</v>
      </c>
      <c r="H7836" s="1">
        <v>-3.4656010000000001E-6</v>
      </c>
      <c r="I7836">
        <v>-47.912889999999997</v>
      </c>
      <c r="J7836">
        <v>-202.69139999999999</v>
      </c>
      <c r="K7836">
        <v>1.1187279999999999</v>
      </c>
      <c r="L7836">
        <v>-61.420099999999998</v>
      </c>
      <c r="M7836">
        <v>0.95943120000000004</v>
      </c>
      <c r="N7836">
        <v>0</v>
      </c>
      <c r="O7836">
        <v>0.28170390000000001</v>
      </c>
      <c r="P7836">
        <v>0.84482539999999995</v>
      </c>
      <c r="Q7836">
        <v>0.21298739999999999</v>
      </c>
      <c r="R7836">
        <v>0.49082219999999999</v>
      </c>
      <c r="S7836">
        <v>2.5671689999999998</v>
      </c>
      <c r="T7836">
        <v>-0.14496489999999901</v>
      </c>
      <c r="U7836">
        <v>1.758057</v>
      </c>
      <c r="V7836">
        <v>-0.23783599999999999</v>
      </c>
      <c r="W7836">
        <v>0.21877650000000001</v>
      </c>
      <c r="X7836">
        <v>0.94634609999999997</v>
      </c>
      <c r="Y7836">
        <v>-0.30966529999999998</v>
      </c>
      <c r="Z7836">
        <v>-6.0262639999999999E-3</v>
      </c>
      <c r="AA7836">
        <v>0.95082650000000002</v>
      </c>
      <c r="AB7836">
        <v>40</v>
      </c>
      <c r="AC7836">
        <v>19.6174999999999</v>
      </c>
      <c r="AD7836">
        <v>-1.1187314656009999</v>
      </c>
      <c r="AE7836">
        <v>13.507209999999899</v>
      </c>
      <c r="AF7836">
        <v>-7.41704951392102</v>
      </c>
      <c r="AG7836">
        <v>-1.1187314656009999</v>
      </c>
      <c r="AH7836">
        <v>22.578386652966302</v>
      </c>
      <c r="AI7836">
        <v>92.6951449740193</v>
      </c>
      <c r="AJ7836">
        <v>108.185465217542</v>
      </c>
      <c r="AK7836">
        <v>23.7917575524577</v>
      </c>
      <c r="AL7836">
        <v>77.3628192693903</v>
      </c>
      <c r="AM7836">
        <v>104.107419888965</v>
      </c>
      <c r="AN7836">
        <v>1.00000003041672</v>
      </c>
    </row>
    <row r="7837" spans="1:40" x14ac:dyDescent="0.25">
      <c r="A7837" t="str">
        <f>"20190312172302586"</f>
        <v>20190312172302586</v>
      </c>
      <c r="B7837" t="str">
        <f>"1552382582577930"</f>
        <v>1552382582577930</v>
      </c>
      <c r="C7837" t="s">
        <v>40</v>
      </c>
      <c r="D7837">
        <v>3.482164</v>
      </c>
      <c r="E7837">
        <v>0.47185939999999998</v>
      </c>
      <c r="F7837" t="s">
        <v>64</v>
      </c>
      <c r="G7837">
        <v>-183.0909</v>
      </c>
      <c r="H7837" s="1">
        <v>-3.4815099999999999E-6</v>
      </c>
      <c r="I7837">
        <v>-47.892409999999998</v>
      </c>
      <c r="J7837">
        <v>-202.51339999999999</v>
      </c>
      <c r="K7837">
        <v>1.1188469999999999</v>
      </c>
      <c r="L7837">
        <v>-61.364719999999998</v>
      </c>
      <c r="M7837">
        <v>0.95819049999999995</v>
      </c>
      <c r="N7837">
        <v>0</v>
      </c>
      <c r="O7837">
        <v>0.28589109999999901</v>
      </c>
      <c r="P7837">
        <v>0.842813699999999</v>
      </c>
      <c r="Q7837">
        <v>0.2128584</v>
      </c>
      <c r="R7837">
        <v>0.49432399999999999</v>
      </c>
      <c r="S7837">
        <v>2.5609890000000002</v>
      </c>
      <c r="T7837">
        <v>-0.14617260000000001</v>
      </c>
      <c r="U7837">
        <v>1.76751699999999</v>
      </c>
      <c r="V7837">
        <v>-0.23767579999999999</v>
      </c>
      <c r="W7837">
        <v>0.2186932</v>
      </c>
      <c r="X7837">
        <v>0.94640559999999996</v>
      </c>
      <c r="Y7837">
        <v>-0.30896879999999999</v>
      </c>
      <c r="Z7837">
        <v>-6.2986140000000001E-3</v>
      </c>
      <c r="AA7837">
        <v>0.95105139999999999</v>
      </c>
      <c r="AB7837">
        <v>40</v>
      </c>
      <c r="AC7837">
        <v>19.4224999999999</v>
      </c>
      <c r="AD7837">
        <v>-1.11885048151</v>
      </c>
      <c r="AE7837">
        <v>13.47231</v>
      </c>
      <c r="AF7837">
        <v>-7.34037860955232</v>
      </c>
      <c r="AG7837">
        <v>-1.11885048151</v>
      </c>
      <c r="AH7837">
        <v>22.413393785548301</v>
      </c>
      <c r="AI7837">
        <v>92.716048755422605</v>
      </c>
      <c r="AJ7837">
        <v>108.13360329551</v>
      </c>
      <c r="AK7837">
        <v>23.611294024631601</v>
      </c>
      <c r="AL7837">
        <v>77.3677104541663</v>
      </c>
      <c r="AM7837">
        <v>104.097445555403</v>
      </c>
      <c r="AN7837">
        <v>1.0000000306716099</v>
      </c>
    </row>
    <row r="7838" spans="1:40" x14ac:dyDescent="0.25">
      <c r="A7838" t="str">
        <f>"20190312172302597"</f>
        <v>20190312172302597</v>
      </c>
      <c r="B7838" t="str">
        <f>"1552382582587690"</f>
        <v>1552382582587690</v>
      </c>
      <c r="C7838" t="s">
        <v>40</v>
      </c>
      <c r="D7838">
        <v>3.3376549999999998</v>
      </c>
      <c r="E7838">
        <v>0.47227590000000003</v>
      </c>
      <c r="F7838" t="s">
        <v>64</v>
      </c>
      <c r="G7838">
        <v>-183.36429999999999</v>
      </c>
      <c r="H7838" s="1">
        <v>-3.4496719999999998E-6</v>
      </c>
      <c r="I7838">
        <v>-48.04889</v>
      </c>
      <c r="J7838">
        <v>-202.32560000000001</v>
      </c>
      <c r="K7838">
        <v>1.118981</v>
      </c>
      <c r="L7838">
        <v>-61.305570000000003</v>
      </c>
      <c r="M7838">
        <v>0.95684789999999997</v>
      </c>
      <c r="N7838">
        <v>0</v>
      </c>
      <c r="O7838">
        <v>0.29034850000000001</v>
      </c>
      <c r="P7838">
        <v>0.84064139999999998</v>
      </c>
      <c r="Q7838">
        <v>0.2125919</v>
      </c>
      <c r="R7838">
        <v>0.49812319999999999</v>
      </c>
      <c r="S7838">
        <v>2.5551149999999998</v>
      </c>
      <c r="T7838">
        <v>-0.14929100000000001</v>
      </c>
      <c r="U7838">
        <v>1.776764</v>
      </c>
      <c r="V7838">
        <v>-0.2375786</v>
      </c>
      <c r="W7838">
        <v>0.218474</v>
      </c>
      <c r="X7838">
        <v>0.94648060000000001</v>
      </c>
      <c r="Y7838">
        <v>-0.30789080000000002</v>
      </c>
      <c r="Z7838">
        <v>-6.6824600000000003E-3</v>
      </c>
      <c r="AA7838">
        <v>0.95139830000000003</v>
      </c>
      <c r="AB7838">
        <v>40</v>
      </c>
      <c r="AC7838">
        <v>18.961300000000001</v>
      </c>
      <c r="AD7838">
        <v>-1.1189844496720001</v>
      </c>
      <c r="AE7838">
        <v>13.2566799999999</v>
      </c>
      <c r="AF7838">
        <v>-7.1629874998992697</v>
      </c>
      <c r="AG7838">
        <v>-1.1189844496720001</v>
      </c>
      <c r="AH7838">
        <v>21.942346723551399</v>
      </c>
      <c r="AI7838">
        <v>92.775459518266999</v>
      </c>
      <c r="AJ7838">
        <v>108.079055432226</v>
      </c>
      <c r="AK7838">
        <v>23.109026285390499</v>
      </c>
      <c r="AL7838">
        <v>77.380580564580498</v>
      </c>
      <c r="AM7838">
        <v>104.090837835622</v>
      </c>
      <c r="AN7838">
        <v>1.0000000030151599</v>
      </c>
    </row>
    <row r="7839" spans="1:40" x14ac:dyDescent="0.25">
      <c r="A7839" t="str">
        <f>"20190312172302608"</f>
        <v>20190312172302608</v>
      </c>
      <c r="B7839" t="str">
        <f>"1552382582598426"</f>
        <v>1552382582598426</v>
      </c>
      <c r="C7839" t="s">
        <v>40</v>
      </c>
      <c r="D7839">
        <v>3.4437600000000002</v>
      </c>
      <c r="E7839">
        <v>0.4727073</v>
      </c>
      <c r="F7839" t="s">
        <v>64</v>
      </c>
      <c r="G7839">
        <v>-183.042</v>
      </c>
      <c r="H7839" s="1">
        <v>-3.5265590000000002E-6</v>
      </c>
      <c r="I7839">
        <v>-47.797919999999998</v>
      </c>
      <c r="J7839">
        <v>-202.14760000000001</v>
      </c>
      <c r="K7839">
        <v>1.1191089999999999</v>
      </c>
      <c r="L7839">
        <v>-61.248260000000002</v>
      </c>
      <c r="M7839">
        <v>0.95552879999999996</v>
      </c>
      <c r="N7839">
        <v>0</v>
      </c>
      <c r="O7839">
        <v>0.29465599999999997</v>
      </c>
      <c r="P7839">
        <v>0.83833899999999995</v>
      </c>
      <c r="Q7839">
        <v>0.21282139999999999</v>
      </c>
      <c r="R7839">
        <v>0.50189110000000003</v>
      </c>
      <c r="S7839">
        <v>2.5483699999999998</v>
      </c>
      <c r="T7839">
        <v>-0.14787620000000001</v>
      </c>
      <c r="U7839">
        <v>1.7850649999999999</v>
      </c>
      <c r="V7839">
        <v>-0.23764540000000001</v>
      </c>
      <c r="W7839">
        <v>0.2187462</v>
      </c>
      <c r="X7839">
        <v>0.94640089999999999</v>
      </c>
      <c r="Y7839">
        <v>-0.30687140000000002</v>
      </c>
      <c r="Z7839">
        <v>-6.8602799999999999E-3</v>
      </c>
      <c r="AA7839">
        <v>0.95172630000000003</v>
      </c>
      <c r="AB7839">
        <v>40</v>
      </c>
      <c r="AC7839">
        <v>19.105599999999999</v>
      </c>
      <c r="AD7839">
        <v>-1.1191125265589901</v>
      </c>
      <c r="AE7839">
        <v>13.450339999999899</v>
      </c>
      <c r="AF7839">
        <v>-7.2065900266845704</v>
      </c>
      <c r="AG7839">
        <v>-1.1191125265589901</v>
      </c>
      <c r="AH7839">
        <v>22.169899075922299</v>
      </c>
      <c r="AI7839">
        <v>92.748448156711902</v>
      </c>
      <c r="AJ7839">
        <v>108.007370526545</v>
      </c>
      <c r="AK7839">
        <v>23.338632729797801</v>
      </c>
      <c r="AL7839">
        <v>77.364597390499299</v>
      </c>
      <c r="AM7839">
        <v>104.09578151272299</v>
      </c>
      <c r="AN7839">
        <v>0.99999994983820295</v>
      </c>
    </row>
    <row r="7840" spans="1:40" x14ac:dyDescent="0.25">
      <c r="A7840" t="str">
        <f>"20190312172302618"</f>
        <v>20190312172302618</v>
      </c>
      <c r="B7840" t="str">
        <f>"1552382582608187"</f>
        <v>1552382582608187</v>
      </c>
      <c r="C7840" t="s">
        <v>40</v>
      </c>
      <c r="D7840">
        <v>3.4954480000000001</v>
      </c>
      <c r="E7840">
        <v>0.47302949999999999</v>
      </c>
      <c r="F7840" t="s">
        <v>64</v>
      </c>
      <c r="G7840">
        <v>-182.9777</v>
      </c>
      <c r="H7840" s="1">
        <v>-3.554946E-6</v>
      </c>
      <c r="I7840">
        <v>-47.725819999999999</v>
      </c>
      <c r="J7840">
        <v>-201.96260000000001</v>
      </c>
      <c r="K7840">
        <v>1.119245</v>
      </c>
      <c r="L7840">
        <v>-61.188200000000002</v>
      </c>
      <c r="M7840">
        <v>0.95412810000000003</v>
      </c>
      <c r="N7840">
        <v>0</v>
      </c>
      <c r="O7840">
        <v>0.29915540000000002</v>
      </c>
      <c r="P7840">
        <v>0.83602540000000003</v>
      </c>
      <c r="Q7840">
        <v>0.21260109999999999</v>
      </c>
      <c r="R7840">
        <v>0.5058281</v>
      </c>
      <c r="S7840">
        <v>2.542465</v>
      </c>
      <c r="T7840">
        <v>-0.1484259</v>
      </c>
      <c r="U7840">
        <v>1.7934570000000001</v>
      </c>
      <c r="V7840">
        <v>-0.23767830000000001</v>
      </c>
      <c r="W7840">
        <v>0.21857270000000001</v>
      </c>
      <c r="X7840">
        <v>0.94643279999999996</v>
      </c>
      <c r="Y7840">
        <v>-0.30553049999999998</v>
      </c>
      <c r="Z7840">
        <v>-7.1436080000000001E-3</v>
      </c>
      <c r="AA7840">
        <v>0.95215550000000004</v>
      </c>
      <c r="AB7840">
        <v>40</v>
      </c>
      <c r="AC7840">
        <v>18.9849</v>
      </c>
      <c r="AD7840">
        <v>-1.1192485549460001</v>
      </c>
      <c r="AE7840">
        <v>13.46238</v>
      </c>
      <c r="AF7840">
        <v>-7.1493868608062998</v>
      </c>
      <c r="AG7840">
        <v>-1.1192485549460001</v>
      </c>
      <c r="AH7840">
        <v>22.091889937119699</v>
      </c>
      <c r="AI7840">
        <v>92.759638406018496</v>
      </c>
      <c r="AJ7840">
        <v>107.932640320784</v>
      </c>
      <c r="AK7840">
        <v>23.2468933581893</v>
      </c>
      <c r="AL7840">
        <v>77.374785658453206</v>
      </c>
      <c r="AM7840">
        <v>104.097198924263</v>
      </c>
      <c r="AN7840">
        <v>1.0000000221960099</v>
      </c>
    </row>
    <row r="7841" spans="1:40" x14ac:dyDescent="0.25">
      <c r="A7841" t="str">
        <f>"20190312172302630"</f>
        <v>20190312172302630</v>
      </c>
      <c r="B7841" t="str">
        <f>"1552382582627707"</f>
        <v>1552382582627707</v>
      </c>
      <c r="C7841" t="s">
        <v>40</v>
      </c>
      <c r="D7841">
        <v>3.4716629999999999</v>
      </c>
      <c r="E7841">
        <v>0.4735606</v>
      </c>
      <c r="F7841" t="s">
        <v>64</v>
      </c>
      <c r="G7841">
        <v>-183.1317</v>
      </c>
      <c r="H7841" s="1">
        <v>-3.5472519999999998E-6</v>
      </c>
      <c r="I7841">
        <v>-47.796689999999998</v>
      </c>
      <c r="J7841">
        <v>-201.7773</v>
      </c>
      <c r="K7841">
        <v>1.1193869999999999</v>
      </c>
      <c r="L7841">
        <v>-61.126399999999997</v>
      </c>
      <c r="M7841">
        <v>0.9526675</v>
      </c>
      <c r="N7841">
        <v>0</v>
      </c>
      <c r="O7841">
        <v>0.30376989999999998</v>
      </c>
      <c r="P7841">
        <v>0.83365959999999995</v>
      </c>
      <c r="Q7841">
        <v>0.21261430000000001</v>
      </c>
      <c r="R7841">
        <v>0.50971250000000001</v>
      </c>
      <c r="S7841">
        <v>2.5356900000000002</v>
      </c>
      <c r="T7841">
        <v>-0.15071399999999999</v>
      </c>
      <c r="U7841">
        <v>1.803253</v>
      </c>
      <c r="V7841">
        <v>-0.23756720000000001</v>
      </c>
      <c r="W7841">
        <v>0.21864149999999999</v>
      </c>
      <c r="X7841">
        <v>0.94644479999999997</v>
      </c>
      <c r="Y7841">
        <v>-0.3045716</v>
      </c>
      <c r="Z7841">
        <v>-7.5115210000000002E-3</v>
      </c>
      <c r="AA7841">
        <v>0.95245979999999997</v>
      </c>
      <c r="AB7841">
        <v>40</v>
      </c>
      <c r="AC7841">
        <v>18.645600000000002</v>
      </c>
      <c r="AD7841">
        <v>-1.119390547252</v>
      </c>
      <c r="AE7841">
        <v>13.329709999999899</v>
      </c>
      <c r="AF7841">
        <v>-7.0185911043197802</v>
      </c>
      <c r="AG7841">
        <v>-1.119390547252</v>
      </c>
      <c r="AH7841">
        <v>21.761934985535301</v>
      </c>
      <c r="AI7841">
        <v>92.802671982222193</v>
      </c>
      <c r="AJ7841">
        <v>107.875386758296</v>
      </c>
      <c r="AK7841">
        <v>22.8931315158408</v>
      </c>
      <c r="AL7841">
        <v>77.370745970080307</v>
      </c>
      <c r="AM7841">
        <v>104.090700373472</v>
      </c>
      <c r="AN7841">
        <v>1.00000001974256</v>
      </c>
    </row>
    <row r="7842" spans="1:40" x14ac:dyDescent="0.25">
      <c r="A7842" t="str">
        <f>"20190312172302642"</f>
        <v>20190312172302642</v>
      </c>
      <c r="B7842" t="str">
        <f>"1552382582638455"</f>
        <v>1552382582638455</v>
      </c>
      <c r="C7842" t="s">
        <v>40</v>
      </c>
      <c r="D7842">
        <v>3.4712779999999999</v>
      </c>
      <c r="E7842">
        <v>0.4825585</v>
      </c>
      <c r="F7842" t="s">
        <v>64</v>
      </c>
      <c r="G7842">
        <v>-182.9836</v>
      </c>
      <c r="H7842" s="1">
        <v>-3.5906599999999999E-6</v>
      </c>
      <c r="I7842">
        <v>-47.66771</v>
      </c>
      <c r="J7842">
        <v>-201.59039999999999</v>
      </c>
      <c r="K7842">
        <v>1.119529</v>
      </c>
      <c r="L7842">
        <v>-61.063600000000001</v>
      </c>
      <c r="M7842">
        <v>0.95116160000000005</v>
      </c>
      <c r="N7842">
        <v>0</v>
      </c>
      <c r="O7842">
        <v>0.30844759999999999</v>
      </c>
      <c r="P7842">
        <v>0.83116480000000004</v>
      </c>
      <c r="Q7842">
        <v>0.2128381</v>
      </c>
      <c r="R7842">
        <v>0.51367799999999997</v>
      </c>
      <c r="S7842">
        <v>2.52948</v>
      </c>
      <c r="T7842">
        <v>-0.15066089999999999</v>
      </c>
      <c r="U7842">
        <v>1.8114319999999999</v>
      </c>
      <c r="V7842">
        <v>-0.23751359999999999</v>
      </c>
      <c r="W7842">
        <v>0.2189188</v>
      </c>
      <c r="X7842">
        <v>0.94639410000000002</v>
      </c>
      <c r="Y7842">
        <v>-0.303039</v>
      </c>
      <c r="Z7842">
        <v>-7.7852959999999997E-3</v>
      </c>
      <c r="AA7842">
        <v>0.95294639999999997</v>
      </c>
      <c r="AB7842">
        <v>40</v>
      </c>
      <c r="AC7842">
        <v>18.6068</v>
      </c>
      <c r="AD7842">
        <v>-1.11953259066</v>
      </c>
      <c r="AE7842">
        <v>13.39589</v>
      </c>
      <c r="AF7842">
        <v>-6.98630686387044</v>
      </c>
      <c r="AG7842">
        <v>-1.11953259066</v>
      </c>
      <c r="AH7842">
        <v>21.7797296102442</v>
      </c>
      <c r="AI7842">
        <v>92.802163895887503</v>
      </c>
      <c r="AJ7842">
        <v>107.78473725895699</v>
      </c>
      <c r="AK7842">
        <v>22.900184687313399</v>
      </c>
      <c r="AL7842">
        <v>77.354462776143194</v>
      </c>
      <c r="AM7842">
        <v>104.088372474208</v>
      </c>
      <c r="AN7842">
        <v>0.99999997184660405</v>
      </c>
    </row>
    <row r="7843" spans="1:40" x14ac:dyDescent="0.25">
      <c r="A7843" t="str">
        <f>"20190312172302653"</f>
        <v>20190312172302653</v>
      </c>
      <c r="B7843" t="str">
        <f>"1552382582648202"</f>
        <v>1552382582648202</v>
      </c>
      <c r="C7843" t="s">
        <v>40</v>
      </c>
      <c r="D7843">
        <v>3.4809950000000001</v>
      </c>
      <c r="E7843">
        <v>0.48179529999999898</v>
      </c>
      <c r="F7843" t="s">
        <v>64</v>
      </c>
      <c r="G7843">
        <v>-182.6311</v>
      </c>
      <c r="H7843" s="1">
        <v>-3.3141880000000001E-6</v>
      </c>
      <c r="I7843">
        <v>-48.00235</v>
      </c>
      <c r="J7843">
        <v>-201.39439999999999</v>
      </c>
      <c r="K7843">
        <v>1.119678</v>
      </c>
      <c r="L7843">
        <v>-60.996090000000002</v>
      </c>
      <c r="M7843">
        <v>0.94951960000000002</v>
      </c>
      <c r="N7843">
        <v>0</v>
      </c>
      <c r="O7843">
        <v>0.31346059999999998</v>
      </c>
      <c r="P7843">
        <v>0.82854459999999996</v>
      </c>
      <c r="Q7843">
        <v>0.21297540000000001</v>
      </c>
      <c r="R7843">
        <v>0.5178372</v>
      </c>
      <c r="S7843">
        <v>2.5586700000000002</v>
      </c>
      <c r="T7843">
        <v>-0.15108769999999999</v>
      </c>
      <c r="U7843">
        <v>1.7626949999999999</v>
      </c>
      <c r="V7843">
        <v>-0.2373497</v>
      </c>
      <c r="W7843">
        <v>0.21911939999999999</v>
      </c>
      <c r="X7843">
        <v>0.94638880000000003</v>
      </c>
      <c r="Y7843">
        <v>-0.2805937</v>
      </c>
      <c r="Z7843">
        <v>-8.6271809999999994E-3</v>
      </c>
      <c r="AA7843">
        <v>0.95978779999999997</v>
      </c>
      <c r="AB7843">
        <v>40</v>
      </c>
      <c r="AC7843">
        <v>18.763299999999902</v>
      </c>
      <c r="AD7843">
        <v>-1.119681314188</v>
      </c>
      <c r="AE7843">
        <v>12.993740000000001</v>
      </c>
      <c r="AF7843">
        <v>-6.4412532389456203</v>
      </c>
      <c r="AG7843">
        <v>-1.119681314188</v>
      </c>
      <c r="AH7843">
        <v>21.838283205453799</v>
      </c>
      <c r="AI7843">
        <v>92.815364874475605</v>
      </c>
      <c r="AJ7843">
        <v>106.433548312008</v>
      </c>
      <c r="AK7843">
        <v>22.795921628553899</v>
      </c>
      <c r="AL7843">
        <v>77.342683297504806</v>
      </c>
      <c r="AM7843">
        <v>104.079113053074</v>
      </c>
      <c r="AN7843">
        <v>0.99999997615594405</v>
      </c>
    </row>
    <row r="7844" spans="1:40" x14ac:dyDescent="0.25">
      <c r="A7844" t="str">
        <f>"20190312172302664"</f>
        <v>20190312172302664</v>
      </c>
      <c r="B7844" t="str">
        <f>"1552382582657962"</f>
        <v>1552382582657962</v>
      </c>
      <c r="C7844" t="s">
        <v>40</v>
      </c>
      <c r="D7844">
        <v>3.3709709999999999</v>
      </c>
      <c r="E7844">
        <v>0.48209299999999999</v>
      </c>
      <c r="F7844" t="s">
        <v>64</v>
      </c>
      <c r="G7844">
        <v>-183.6728</v>
      </c>
      <c r="H7844" s="1">
        <v>-3.1889090000000001E-6</v>
      </c>
      <c r="I7844">
        <v>-48.605350000000001</v>
      </c>
      <c r="J7844">
        <v>-201.21379999999999</v>
      </c>
      <c r="K7844">
        <v>1.1198159999999999</v>
      </c>
      <c r="L7844">
        <v>-60.933109999999999</v>
      </c>
      <c r="M7844">
        <v>0.94796630000000004</v>
      </c>
      <c r="N7844">
        <v>0</v>
      </c>
      <c r="O7844">
        <v>0.31812230000000002</v>
      </c>
      <c r="P7844">
        <v>0.82600239999999903</v>
      </c>
      <c r="Q7844">
        <v>0.21283779999999999</v>
      </c>
      <c r="R7844">
        <v>0.52193889999999998</v>
      </c>
      <c r="S7844">
        <v>2.548508</v>
      </c>
      <c r="T7844">
        <v>-0.1610193</v>
      </c>
      <c r="U7844">
        <v>1.7818909999999999</v>
      </c>
      <c r="V7844">
        <v>-0.2374423</v>
      </c>
      <c r="W7844">
        <v>0.21903520000000001</v>
      </c>
      <c r="X7844">
        <v>0.94638509999999998</v>
      </c>
      <c r="Y7844">
        <v>-0.28254170000000001</v>
      </c>
      <c r="Z7844">
        <v>-9.3877240000000001E-3</v>
      </c>
      <c r="AA7844">
        <v>0.95920910000000004</v>
      </c>
      <c r="AB7844">
        <v>40</v>
      </c>
      <c r="AC7844">
        <v>17.540999999999901</v>
      </c>
      <c r="AD7844">
        <v>-1.1198191889089999</v>
      </c>
      <c r="AE7844">
        <v>12.3277599999999</v>
      </c>
      <c r="AF7844">
        <v>-6.0899864706819002</v>
      </c>
      <c r="AG7844">
        <v>-1.1198191889089999</v>
      </c>
      <c r="AH7844">
        <v>20.495722680695</v>
      </c>
      <c r="AI7844">
        <v>92.998047990018705</v>
      </c>
      <c r="AJ7844">
        <v>106.548501283131</v>
      </c>
      <c r="AK7844">
        <v>21.410665062834699</v>
      </c>
      <c r="AL7844">
        <v>77.3476281637478</v>
      </c>
      <c r="AM7844">
        <v>104.08444019562199</v>
      </c>
      <c r="AN7844">
        <v>1.0000000110851699</v>
      </c>
    </row>
    <row r="7845" spans="1:40" x14ac:dyDescent="0.25">
      <c r="A7845" t="str">
        <f>"20190312172302675"</f>
        <v>20190312172302675</v>
      </c>
      <c r="B7845" t="str">
        <f>"1552382582667722"</f>
        <v>1552382582667722</v>
      </c>
      <c r="C7845" t="s">
        <v>40</v>
      </c>
      <c r="D7845">
        <v>3.5040969999999998</v>
      </c>
      <c r="E7845">
        <v>0.48197099999999998</v>
      </c>
      <c r="F7845" t="s">
        <v>64</v>
      </c>
      <c r="G7845">
        <v>-183.90280000000001</v>
      </c>
      <c r="H7845" s="1">
        <v>-3.1722170000000001E-6</v>
      </c>
      <c r="I7845">
        <v>-48.71996</v>
      </c>
      <c r="J7845">
        <v>-201.03059999999999</v>
      </c>
      <c r="K7845">
        <v>1.1199520000000001</v>
      </c>
      <c r="L7845">
        <v>-60.868040000000001</v>
      </c>
      <c r="M7845">
        <v>0.94634090000000004</v>
      </c>
      <c r="N7845">
        <v>0</v>
      </c>
      <c r="O7845">
        <v>0.32291979999999998</v>
      </c>
      <c r="P7845">
        <v>0.82343699999999997</v>
      </c>
      <c r="Q7845">
        <v>0.212892</v>
      </c>
      <c r="R7845">
        <v>0.5259549</v>
      </c>
      <c r="S7845">
        <v>2.5413670000000002</v>
      </c>
      <c r="T7845">
        <v>-0.1643966</v>
      </c>
      <c r="U7845">
        <v>1.79296899999999</v>
      </c>
      <c r="V7845">
        <v>-0.2373286</v>
      </c>
      <c r="W7845">
        <v>0.2191506</v>
      </c>
      <c r="X7845">
        <v>0.94638690000000003</v>
      </c>
      <c r="Y7845">
        <v>-0.28175250000000002</v>
      </c>
      <c r="Z7845">
        <v>-9.8694899999999999E-3</v>
      </c>
      <c r="AA7845">
        <v>0.95943639999999997</v>
      </c>
      <c r="AB7845">
        <v>39</v>
      </c>
      <c r="AC7845">
        <v>17.127799999999901</v>
      </c>
      <c r="AD7845">
        <v>-1.119955172217</v>
      </c>
      <c r="AE7845">
        <v>12.14808</v>
      </c>
      <c r="AF7845">
        <v>-5.9488792708414797</v>
      </c>
      <c r="AG7845">
        <v>-1.119955172217</v>
      </c>
      <c r="AH7845">
        <v>20.076112181813901</v>
      </c>
      <c r="AI7845">
        <v>93.061644967369006</v>
      </c>
      <c r="AJ7845">
        <v>106.50541497992501</v>
      </c>
      <c r="AK7845">
        <v>20.968875613718499</v>
      </c>
      <c r="AL7845">
        <v>77.340851536858196</v>
      </c>
      <c r="AM7845">
        <v>104.07793835401699</v>
      </c>
      <c r="AN7845">
        <v>1.00000000717496</v>
      </c>
    </row>
    <row r="7846" spans="1:40" x14ac:dyDescent="0.25">
      <c r="A7846" t="str">
        <f>"20190312172302687"</f>
        <v>20190312172302687</v>
      </c>
      <c r="B7846" t="str">
        <f>"1552382582678458"</f>
        <v>1552382582678458</v>
      </c>
      <c r="C7846" t="s">
        <v>40</v>
      </c>
      <c r="D7846">
        <v>3.3499979999999998</v>
      </c>
      <c r="E7846">
        <v>0.48263460000000002</v>
      </c>
      <c r="F7846" t="s">
        <v>64</v>
      </c>
      <c r="G7846">
        <v>-184.35769999999999</v>
      </c>
      <c r="H7846" s="1">
        <v>-3.120684E-6</v>
      </c>
      <c r="I7846">
        <v>-48.977890000000002</v>
      </c>
      <c r="J7846">
        <v>-200.84440000000001</v>
      </c>
      <c r="K7846">
        <v>1.1200909999999999</v>
      </c>
      <c r="L7846">
        <v>-60.800750000000001</v>
      </c>
      <c r="M7846">
        <v>0.94463799999999998</v>
      </c>
      <c r="N7846">
        <v>0</v>
      </c>
      <c r="O7846">
        <v>0.32786300000000002</v>
      </c>
      <c r="P7846">
        <v>0.82066419999999995</v>
      </c>
      <c r="Q7846">
        <v>0.2130078</v>
      </c>
      <c r="R7846">
        <v>0.53022440000000004</v>
      </c>
      <c r="S7846">
        <v>2.5333100000000002</v>
      </c>
      <c r="T7846">
        <v>-0.17016800000000001</v>
      </c>
      <c r="U7846">
        <v>1.80661</v>
      </c>
      <c r="V7846">
        <v>-0.2373759</v>
      </c>
      <c r="W7846">
        <v>0.21932589999999999</v>
      </c>
      <c r="X7846">
        <v>0.94633440000000002</v>
      </c>
      <c r="Y7846">
        <v>-0.28161449999999999</v>
      </c>
      <c r="Z7846">
        <v>-1.049839E-2</v>
      </c>
      <c r="AA7846">
        <v>0.95947020000000005</v>
      </c>
      <c r="AB7846">
        <v>39</v>
      </c>
      <c r="AC7846">
        <v>16.486699999999999</v>
      </c>
      <c r="AD7846">
        <v>-1.120094120684</v>
      </c>
      <c r="AE7846">
        <v>11.82286</v>
      </c>
      <c r="AF7846">
        <v>-5.7459044807404496</v>
      </c>
      <c r="AG7846">
        <v>-1.120094120684</v>
      </c>
      <c r="AH7846">
        <v>19.392732709339601</v>
      </c>
      <c r="AI7846">
        <v>93.1697315561062</v>
      </c>
      <c r="AJ7846">
        <v>106.50411586099899</v>
      </c>
      <c r="AK7846">
        <v>20.2570508978201</v>
      </c>
      <c r="AL7846">
        <v>77.330556819743094</v>
      </c>
      <c r="AM7846">
        <v>104.081382587793</v>
      </c>
      <c r="AN7846">
        <v>0.999999982467489</v>
      </c>
    </row>
    <row r="7847" spans="1:40" x14ac:dyDescent="0.25">
      <c r="A7847" t="str">
        <f>"20190312172302697"</f>
        <v>20190312172302697</v>
      </c>
      <c r="B7847" t="str">
        <f>"1552382582688218"</f>
        <v>1552382582688218</v>
      </c>
      <c r="C7847" t="s">
        <v>40</v>
      </c>
      <c r="D7847">
        <v>3.3599230000000002</v>
      </c>
      <c r="E7847">
        <v>0.48323519999999998</v>
      </c>
      <c r="F7847" t="s">
        <v>64</v>
      </c>
      <c r="G7847">
        <v>-184.14109999999999</v>
      </c>
      <c r="H7847" s="1">
        <v>-3.1781410000000002E-6</v>
      </c>
      <c r="I7847">
        <v>-48.799480000000003</v>
      </c>
      <c r="J7847">
        <v>-200.66849999999999</v>
      </c>
      <c r="K7847">
        <v>1.120225</v>
      </c>
      <c r="L7847">
        <v>-60.736449999999998</v>
      </c>
      <c r="M7847">
        <v>0.94298859999999995</v>
      </c>
      <c r="N7847">
        <v>0</v>
      </c>
      <c r="O7847">
        <v>0.33257189999999998</v>
      </c>
      <c r="P7847">
        <v>0.81811769999999995</v>
      </c>
      <c r="Q7847">
        <v>0.21268619999999999</v>
      </c>
      <c r="R7847">
        <v>0.53427340000000001</v>
      </c>
      <c r="S7847">
        <v>2.5266570000000002</v>
      </c>
      <c r="T7847">
        <v>-0.16943359999999999</v>
      </c>
      <c r="U7847">
        <v>1.815399</v>
      </c>
      <c r="V7847">
        <v>-0.2373586</v>
      </c>
      <c r="W7847">
        <v>0.2190645</v>
      </c>
      <c r="X7847">
        <v>0.94639930000000005</v>
      </c>
      <c r="Y7847">
        <v>-0.28023199999999998</v>
      </c>
      <c r="Z7847">
        <v>-1.076099E-2</v>
      </c>
      <c r="AA7847">
        <v>0.95987199999999995</v>
      </c>
      <c r="AB7847">
        <v>39</v>
      </c>
      <c r="AC7847">
        <v>16.5274</v>
      </c>
      <c r="AD7847">
        <v>-1.120228178141</v>
      </c>
      <c r="AE7847">
        <v>11.936970000000001</v>
      </c>
      <c r="AF7847">
        <v>-5.7430237137067799</v>
      </c>
      <c r="AG7847">
        <v>-1.120228178141</v>
      </c>
      <c r="AH7847">
        <v>19.497830152367399</v>
      </c>
      <c r="AI7847">
        <v>93.154549289603395</v>
      </c>
      <c r="AJ7847">
        <v>106.412169297601</v>
      </c>
      <c r="AK7847">
        <v>20.356881224732501</v>
      </c>
      <c r="AL7847">
        <v>77.345907438019793</v>
      </c>
      <c r="AM7847">
        <v>104.079469989929</v>
      </c>
      <c r="AN7847">
        <v>0.99999999759735003</v>
      </c>
    </row>
    <row r="7848" spans="1:40" x14ac:dyDescent="0.25">
      <c r="A7848" t="str">
        <f>"20190312172302709"</f>
        <v>20190312172302709</v>
      </c>
      <c r="B7848" t="str">
        <f>"1552382582697978"</f>
        <v>1552382582697978</v>
      </c>
      <c r="C7848" t="s">
        <v>40</v>
      </c>
      <c r="D7848">
        <v>3.4530759999999998</v>
      </c>
      <c r="E7848">
        <v>0.48352869999999998</v>
      </c>
      <c r="F7848" t="s">
        <v>64</v>
      </c>
      <c r="G7848">
        <v>-184.10239999999999</v>
      </c>
      <c r="H7848" s="1">
        <v>-3.2002319999999999E-6</v>
      </c>
      <c r="I7848">
        <v>-48.747590000000002</v>
      </c>
      <c r="J7848">
        <v>-200.47839999999999</v>
      </c>
      <c r="K7848">
        <v>1.1203650000000001</v>
      </c>
      <c r="L7848">
        <v>-60.665219999999998</v>
      </c>
      <c r="M7848">
        <v>0.94114120000000001</v>
      </c>
      <c r="N7848">
        <v>0</v>
      </c>
      <c r="O7848">
        <v>0.33775880000000003</v>
      </c>
      <c r="P7848">
        <v>0.81513950000000002</v>
      </c>
      <c r="Q7848">
        <v>0.21267040000000001</v>
      </c>
      <c r="R7848">
        <v>0.53881230000000002</v>
      </c>
      <c r="S7848">
        <v>2.520187</v>
      </c>
      <c r="T7848">
        <v>-0.17041919999999999</v>
      </c>
      <c r="U7848">
        <v>1.8238529999999999</v>
      </c>
      <c r="V7848">
        <v>-0.23747460000000001</v>
      </c>
      <c r="W7848">
        <v>0.2191129</v>
      </c>
      <c r="X7848">
        <v>0.94635899999999995</v>
      </c>
      <c r="Y7848">
        <v>-0.27823880000000001</v>
      </c>
      <c r="Z7848">
        <v>-1.117747E-2</v>
      </c>
      <c r="AA7848">
        <v>0.96044689999999999</v>
      </c>
      <c r="AB7848">
        <v>39</v>
      </c>
      <c r="AC7848">
        <v>16.376000000000001</v>
      </c>
      <c r="AD7848">
        <v>-1.1203682002319999</v>
      </c>
      <c r="AE7848">
        <v>11.9176299999999</v>
      </c>
      <c r="AF7848">
        <v>-5.6681794651208701</v>
      </c>
      <c r="AG7848">
        <v>-1.1203682002319999</v>
      </c>
      <c r="AH7848">
        <v>19.379784537400699</v>
      </c>
      <c r="AI7848">
        <v>93.175891472402498</v>
      </c>
      <c r="AJ7848">
        <v>106.303088153818</v>
      </c>
      <c r="AK7848">
        <v>20.222747886204399</v>
      </c>
      <c r="AL7848">
        <v>77.343065337821898</v>
      </c>
      <c r="AM7848">
        <v>104.08665289777601</v>
      </c>
      <c r="AN7848">
        <v>1.0000000027362801</v>
      </c>
    </row>
    <row r="7849" spans="1:40" x14ac:dyDescent="0.25">
      <c r="A7849" t="str">
        <f>"20190312172302722"</f>
        <v>20190312172302722</v>
      </c>
      <c r="B7849" t="str">
        <f>"1552382582718475"</f>
        <v>1552382582718475</v>
      </c>
      <c r="C7849" t="s">
        <v>40</v>
      </c>
      <c r="D7849">
        <v>3.393005</v>
      </c>
      <c r="E7849">
        <v>0.48461480000000001</v>
      </c>
      <c r="F7849" t="s">
        <v>64</v>
      </c>
      <c r="G7849">
        <v>-184.2235</v>
      </c>
      <c r="H7849" s="1">
        <v>-3.2071850000000002E-6</v>
      </c>
      <c r="I7849">
        <v>-48.781359999999999</v>
      </c>
      <c r="J7849">
        <v>-200.29050000000001</v>
      </c>
      <c r="K7849">
        <v>1.120503</v>
      </c>
      <c r="L7849">
        <v>-60.594239999999999</v>
      </c>
      <c r="M7849">
        <v>0.93927380000000005</v>
      </c>
      <c r="N7849">
        <v>0</v>
      </c>
      <c r="O7849">
        <v>0.3429123</v>
      </c>
      <c r="P7849">
        <v>0.81208279999999999</v>
      </c>
      <c r="Q7849">
        <v>0.21261840000000001</v>
      </c>
      <c r="R7849">
        <v>0.5434291</v>
      </c>
      <c r="S7849">
        <v>2.5117189999999998</v>
      </c>
      <c r="T7849">
        <v>-0.1731202</v>
      </c>
      <c r="U7849">
        <v>1.8363039999999999</v>
      </c>
      <c r="V7849">
        <v>-0.23772019999999999</v>
      </c>
      <c r="W7849">
        <v>0.21912029999999999</v>
      </c>
      <c r="X7849">
        <v>0.94629560000000001</v>
      </c>
      <c r="Y7849">
        <v>-0.27762979999999998</v>
      </c>
      <c r="Z7849">
        <v>-1.1670720000000001E-2</v>
      </c>
      <c r="AA7849">
        <v>0.96061719999999895</v>
      </c>
      <c r="AB7849">
        <v>39</v>
      </c>
      <c r="AC7849">
        <v>16.067</v>
      </c>
      <c r="AD7849">
        <v>-1.120506207185</v>
      </c>
      <c r="AE7849">
        <v>11.81288</v>
      </c>
      <c r="AF7849">
        <v>-5.5688668925354197</v>
      </c>
      <c r="AG7849">
        <v>-1.120506207185</v>
      </c>
      <c r="AH7849">
        <v>19.083530008572801</v>
      </c>
      <c r="AI7849">
        <v>93.226062464574994</v>
      </c>
      <c r="AJ7849">
        <v>106.26805517203999</v>
      </c>
      <c r="AK7849">
        <v>19.911025343141301</v>
      </c>
      <c r="AL7849">
        <v>77.342630508865497</v>
      </c>
      <c r="AM7849">
        <v>104.101547682465</v>
      </c>
      <c r="AN7849">
        <v>0.99999998096974396</v>
      </c>
    </row>
    <row r="7850" spans="1:40" x14ac:dyDescent="0.25">
      <c r="A7850" t="str">
        <f>"20190312172302733"</f>
        <v>20190312172302733</v>
      </c>
      <c r="B7850" t="str">
        <f>"1552382582728234"</f>
        <v>1552382582728234</v>
      </c>
      <c r="C7850" t="s">
        <v>40</v>
      </c>
      <c r="D7850">
        <v>3.5572409999999999</v>
      </c>
      <c r="E7850">
        <v>0.48444920000000002</v>
      </c>
      <c r="F7850" t="s">
        <v>64</v>
      </c>
      <c r="G7850">
        <v>-184.12139999999999</v>
      </c>
      <c r="H7850" s="1">
        <v>-3.2327380000000002E-6</v>
      </c>
      <c r="I7850">
        <v>-48.699829999999999</v>
      </c>
      <c r="J7850">
        <v>-200.09460000000001</v>
      </c>
      <c r="K7850">
        <v>1.120641</v>
      </c>
      <c r="L7850">
        <v>-60.518250000000002</v>
      </c>
      <c r="M7850">
        <v>0.93724850000000004</v>
      </c>
      <c r="N7850">
        <v>0</v>
      </c>
      <c r="O7850">
        <v>0.34840389999999999</v>
      </c>
      <c r="P7850">
        <v>0.80884829999999996</v>
      </c>
      <c r="Q7850">
        <v>0.21229000000000001</v>
      </c>
      <c r="R7850">
        <v>0.54835869999999998</v>
      </c>
      <c r="S7850">
        <v>2.5060419999999999</v>
      </c>
      <c r="T7850">
        <v>-0.1736665</v>
      </c>
      <c r="U7850">
        <v>1.8435060000000001</v>
      </c>
      <c r="V7850">
        <v>-0.2379696</v>
      </c>
      <c r="W7850">
        <v>0.21885879999999999</v>
      </c>
      <c r="X7850">
        <v>0.94629350000000001</v>
      </c>
      <c r="Y7850">
        <v>-0.27484649999999999</v>
      </c>
      <c r="Z7850">
        <v>-1.210816E-2</v>
      </c>
      <c r="AA7850">
        <v>0.96141189999999999</v>
      </c>
      <c r="AB7850">
        <v>39</v>
      </c>
      <c r="AC7850">
        <v>15.9732</v>
      </c>
      <c r="AD7850">
        <v>-1.120644232738</v>
      </c>
      <c r="AE7850">
        <v>11.81842</v>
      </c>
      <c r="AF7850">
        <v>-5.4946896907422804</v>
      </c>
      <c r="AG7850">
        <v>-1.120644232738</v>
      </c>
      <c r="AH7850">
        <v>19.0296295534081</v>
      </c>
      <c r="AI7850">
        <v>93.238234406609607</v>
      </c>
      <c r="AJ7850">
        <v>106.10575123967401</v>
      </c>
      <c r="AK7850">
        <v>19.838706087692799</v>
      </c>
      <c r="AL7850">
        <v>77.357986920327306</v>
      </c>
      <c r="AM7850">
        <v>104.115781019967</v>
      </c>
      <c r="AN7850">
        <v>1.0000000465019201</v>
      </c>
    </row>
    <row r="7851" spans="1:40" x14ac:dyDescent="0.25">
      <c r="A7851" t="str">
        <f>"20190312172302744"</f>
        <v>20190312172302744</v>
      </c>
      <c r="B7851" t="str">
        <f>"1552382582737994"</f>
        <v>1552382582737994</v>
      </c>
      <c r="C7851" t="s">
        <v>40</v>
      </c>
      <c r="D7851">
        <v>3.539717</v>
      </c>
      <c r="E7851">
        <v>0.48462850000000002</v>
      </c>
      <c r="F7851" t="s">
        <v>64</v>
      </c>
      <c r="G7851">
        <v>-184.18020000000001</v>
      </c>
      <c r="H7851" s="1">
        <v>-3.2749729999999999E-6</v>
      </c>
      <c r="I7851">
        <v>-48.650550000000003</v>
      </c>
      <c r="J7851">
        <v>-199.9126</v>
      </c>
      <c r="K7851">
        <v>1.1207750000000001</v>
      </c>
      <c r="L7851">
        <v>-60.446840000000002</v>
      </c>
      <c r="M7851">
        <v>0.93531940000000002</v>
      </c>
      <c r="N7851">
        <v>0</v>
      </c>
      <c r="O7851">
        <v>0.35354449999999998</v>
      </c>
      <c r="P7851">
        <v>0.80562080000000003</v>
      </c>
      <c r="Q7851">
        <v>0.21250189999999999</v>
      </c>
      <c r="R7851">
        <v>0.5530081</v>
      </c>
      <c r="S7851">
        <v>2.4941409999999999</v>
      </c>
      <c r="T7851">
        <v>-0.17562910000000001</v>
      </c>
      <c r="U7851">
        <v>1.8599239999999999</v>
      </c>
      <c r="V7851">
        <v>-0.23831579999999999</v>
      </c>
      <c r="W7851">
        <v>0.21912770000000001</v>
      </c>
      <c r="X7851">
        <v>0.94614410000000004</v>
      </c>
      <c r="Y7851">
        <v>-0.27584049999999999</v>
      </c>
      <c r="Z7851">
        <v>-1.2521300000000001E-2</v>
      </c>
      <c r="AA7851">
        <v>0.96112189999999997</v>
      </c>
      <c r="AB7851">
        <v>39</v>
      </c>
      <c r="AC7851">
        <v>15.732399999999901</v>
      </c>
      <c r="AD7851">
        <v>-1.120778274973</v>
      </c>
      <c r="AE7851">
        <v>11.796290000000001</v>
      </c>
      <c r="AF7851">
        <v>-5.4539802284570396</v>
      </c>
      <c r="AG7851">
        <v>-1.120778274973</v>
      </c>
      <c r="AH7851">
        <v>18.8259095128487</v>
      </c>
      <c r="AI7851">
        <v>93.272752338941203</v>
      </c>
      <c r="AJ7851">
        <v>106.15662321121999</v>
      </c>
      <c r="AK7851">
        <v>19.632037929364799</v>
      </c>
      <c r="AL7851">
        <v>77.3421963804158</v>
      </c>
      <c r="AM7851">
        <v>104.13763667904399</v>
      </c>
      <c r="AN7851">
        <v>1.00000001370087</v>
      </c>
    </row>
    <row r="7852" spans="1:40" x14ac:dyDescent="0.25">
      <c r="A7852" t="str">
        <f>"20190312172302753"</f>
        <v>20190312172302753</v>
      </c>
      <c r="B7852" t="str">
        <f>"1552382582747754"</f>
        <v>1552382582747754</v>
      </c>
      <c r="C7852" t="s">
        <v>40</v>
      </c>
      <c r="D7852">
        <v>3.5631129999999902</v>
      </c>
      <c r="E7852">
        <v>0.48486689999999999</v>
      </c>
      <c r="F7852" t="s">
        <v>64</v>
      </c>
      <c r="G7852">
        <v>-184.24950000000001</v>
      </c>
      <c r="H7852" s="1">
        <v>-3.2993450000000001E-6</v>
      </c>
      <c r="I7852">
        <v>-48.63541</v>
      </c>
      <c r="J7852">
        <v>-199.7552</v>
      </c>
      <c r="K7852">
        <v>1.120889</v>
      </c>
      <c r="L7852">
        <v>-60.383879999999998</v>
      </c>
      <c r="M7852">
        <v>0.93360189999999998</v>
      </c>
      <c r="N7852">
        <v>0</v>
      </c>
      <c r="O7852">
        <v>0.3580508</v>
      </c>
      <c r="P7852">
        <v>0.8027746</v>
      </c>
      <c r="Q7852">
        <v>0.21239060000000001</v>
      </c>
      <c r="R7852">
        <v>0.55717419999999995</v>
      </c>
      <c r="S7852">
        <v>2.4846189999999999</v>
      </c>
      <c r="T7852">
        <v>-0.1777871</v>
      </c>
      <c r="U7852">
        <v>1.8736269999999999</v>
      </c>
      <c r="V7852">
        <v>-0.23869770000000001</v>
      </c>
      <c r="W7852">
        <v>0.21906500000000001</v>
      </c>
      <c r="X7852">
        <v>0.94606230000000002</v>
      </c>
      <c r="Y7852">
        <v>-0.27636329999999998</v>
      </c>
      <c r="Z7852">
        <v>-1.292866E-2</v>
      </c>
      <c r="AA7852">
        <v>0.96096630000000005</v>
      </c>
      <c r="AB7852">
        <v>39</v>
      </c>
      <c r="AC7852">
        <v>15.5056999999999</v>
      </c>
      <c r="AD7852">
        <v>-1.1208922993449999</v>
      </c>
      <c r="AE7852">
        <v>11.748469999999999</v>
      </c>
      <c r="AF7852">
        <v>-5.3991482213449702</v>
      </c>
      <c r="AG7852">
        <v>-1.1208922993449999</v>
      </c>
      <c r="AH7852">
        <v>18.622624335754601</v>
      </c>
      <c r="AI7852">
        <v>93.308542247844699</v>
      </c>
      <c r="AJ7852">
        <v>106.168149305646</v>
      </c>
      <c r="AK7852">
        <v>19.421877824078202</v>
      </c>
      <c r="AL7852">
        <v>77.345877732828299</v>
      </c>
      <c r="AM7852">
        <v>104.16055667393201</v>
      </c>
      <c r="AN7852">
        <v>0.99999997084578895</v>
      </c>
    </row>
    <row r="7853" spans="1:40" x14ac:dyDescent="0.25">
      <c r="A7853" t="str">
        <f>"20190312172302764"</f>
        <v>20190312172302764</v>
      </c>
      <c r="B7853" t="str">
        <f>"1552382582758490"</f>
        <v>1552382582758490</v>
      </c>
      <c r="C7853" t="s">
        <v>40</v>
      </c>
      <c r="D7853">
        <v>3.4327339999999902</v>
      </c>
      <c r="E7853">
        <v>0.48533920000000003</v>
      </c>
      <c r="F7853" t="s">
        <v>64</v>
      </c>
      <c r="G7853">
        <v>-184.29769999999999</v>
      </c>
      <c r="H7853" s="1">
        <v>-3.321451E-6</v>
      </c>
      <c r="I7853">
        <v>-48.616190000000003</v>
      </c>
      <c r="J7853">
        <v>-199.5907</v>
      </c>
      <c r="K7853">
        <v>1.1210059999999999</v>
      </c>
      <c r="L7853">
        <v>-60.31729</v>
      </c>
      <c r="M7853">
        <v>0.93176380000000003</v>
      </c>
      <c r="N7853">
        <v>0</v>
      </c>
      <c r="O7853">
        <v>0.36280250000000003</v>
      </c>
      <c r="P7853">
        <v>0.79969290000000004</v>
      </c>
      <c r="Q7853">
        <v>0.2122483</v>
      </c>
      <c r="R7853">
        <v>0.56164209999999903</v>
      </c>
      <c r="S7853">
        <v>2.476181</v>
      </c>
      <c r="T7853">
        <v>-0.17955889999999999</v>
      </c>
      <c r="U7853">
        <v>1.8851009999999999</v>
      </c>
      <c r="V7853">
        <v>-0.23919560000000001</v>
      </c>
      <c r="W7853">
        <v>0.2189682</v>
      </c>
      <c r="X7853">
        <v>0.94595899999999999</v>
      </c>
      <c r="Y7853">
        <v>-0.2758738</v>
      </c>
      <c r="Z7853">
        <v>-1.33592E-2</v>
      </c>
      <c r="AA7853">
        <v>0.96110099999999998</v>
      </c>
      <c r="AB7853">
        <v>39</v>
      </c>
      <c r="AC7853">
        <v>15.292999999999999</v>
      </c>
      <c r="AD7853">
        <v>-1.121009321451</v>
      </c>
      <c r="AE7853">
        <v>11.701099999999901</v>
      </c>
      <c r="AF7853">
        <v>-5.3367460786490897</v>
      </c>
      <c r="AG7853">
        <v>-1.121009321451</v>
      </c>
      <c r="AH7853">
        <v>18.4339395461915</v>
      </c>
      <c r="AI7853">
        <v>93.343051615281695</v>
      </c>
      <c r="AJ7853">
        <v>106.146075778605</v>
      </c>
      <c r="AK7853">
        <v>19.223622130061798</v>
      </c>
      <c r="AL7853">
        <v>77.351562586327404</v>
      </c>
      <c r="AM7853">
        <v>104.190389322461</v>
      </c>
      <c r="AN7853">
        <v>1.00000001867579</v>
      </c>
    </row>
    <row r="7854" spans="1:40" x14ac:dyDescent="0.25">
      <c r="A7854" t="str">
        <f>"20190312172302776"</f>
        <v>20190312172302776</v>
      </c>
      <c r="B7854" t="str">
        <f>"1552382582768250"</f>
        <v>1552382582768250</v>
      </c>
      <c r="C7854" t="s">
        <v>40</v>
      </c>
      <c r="D7854">
        <v>3.5129229999999998</v>
      </c>
      <c r="E7854">
        <v>0.48578729999999998</v>
      </c>
      <c r="F7854" t="s">
        <v>64</v>
      </c>
      <c r="G7854">
        <v>-184.25749999999999</v>
      </c>
      <c r="H7854" s="1">
        <v>-3.3586220000000001E-6</v>
      </c>
      <c r="I7854">
        <v>-48.538269999999997</v>
      </c>
      <c r="J7854">
        <v>-199.4023</v>
      </c>
      <c r="K7854">
        <v>1.121138</v>
      </c>
      <c r="L7854">
        <v>-60.239809999999999</v>
      </c>
      <c r="M7854">
        <v>0.92959950000000002</v>
      </c>
      <c r="N7854">
        <v>0</v>
      </c>
      <c r="O7854">
        <v>0.3683072</v>
      </c>
      <c r="P7854">
        <v>0.79613919999999905</v>
      </c>
      <c r="Q7854">
        <v>0.21245790000000001</v>
      </c>
      <c r="R7854">
        <v>0.56658980000000003</v>
      </c>
      <c r="S7854">
        <v>2.4678499999999999</v>
      </c>
      <c r="T7854">
        <v>-0.18042459999999999</v>
      </c>
      <c r="U7854">
        <v>1.895813</v>
      </c>
      <c r="V7854">
        <v>-0.23955950000000001</v>
      </c>
      <c r="W7854">
        <v>0.21923329999999999</v>
      </c>
      <c r="X7854">
        <v>0.94580549999999997</v>
      </c>
      <c r="Y7854">
        <v>-0.27438960000000001</v>
      </c>
      <c r="Z7854">
        <v>-1.380283E-2</v>
      </c>
      <c r="AA7854">
        <v>0.96151949999999997</v>
      </c>
      <c r="AB7854">
        <v>39</v>
      </c>
      <c r="AC7854">
        <v>15.1448</v>
      </c>
      <c r="AD7854">
        <v>-1.121141358622</v>
      </c>
      <c r="AE7854">
        <v>11.7015399999999</v>
      </c>
      <c r="AF7854">
        <v>-5.28219623938526</v>
      </c>
      <c r="AG7854">
        <v>-1.121141358622</v>
      </c>
      <c r="AH7854">
        <v>18.327257665038399</v>
      </c>
      <c r="AI7854">
        <v>93.364017178950306</v>
      </c>
      <c r="AJ7854">
        <v>106.077791351847</v>
      </c>
      <c r="AK7854">
        <v>19.106201312089699</v>
      </c>
      <c r="AL7854">
        <v>77.335995225614298</v>
      </c>
      <c r="AM7854">
        <v>104.213316846361</v>
      </c>
      <c r="AN7854">
        <v>1.00000001884969</v>
      </c>
    </row>
    <row r="7855" spans="1:40" x14ac:dyDescent="0.25">
      <c r="A7855" t="str">
        <f>"20190312172302786"</f>
        <v>20190312172302786</v>
      </c>
      <c r="B7855" t="str">
        <f>"1552382582778010"</f>
        <v>1552382582778010</v>
      </c>
      <c r="C7855" t="s">
        <v>40</v>
      </c>
      <c r="D7855">
        <v>3.452007</v>
      </c>
      <c r="E7855">
        <v>0.48632189999999997</v>
      </c>
      <c r="F7855" t="s">
        <v>64</v>
      </c>
      <c r="G7855">
        <v>-184.16890000000001</v>
      </c>
      <c r="H7855" s="1">
        <v>-3.4115860000000001E-6</v>
      </c>
      <c r="I7855">
        <v>-48.415520000000001</v>
      </c>
      <c r="J7855">
        <v>-199.2363</v>
      </c>
      <c r="K7855">
        <v>1.121254</v>
      </c>
      <c r="L7855">
        <v>-60.170169999999999</v>
      </c>
      <c r="M7855">
        <v>0.92763300000000004</v>
      </c>
      <c r="N7855">
        <v>0</v>
      </c>
      <c r="O7855">
        <v>0.37322759999999999</v>
      </c>
      <c r="P7855">
        <v>0.79321149999999996</v>
      </c>
      <c r="Q7855">
        <v>0.21231659999999999</v>
      </c>
      <c r="R7855">
        <v>0.57073399999999996</v>
      </c>
      <c r="S7855">
        <v>2.45845</v>
      </c>
      <c r="T7855">
        <v>-0.1809357</v>
      </c>
      <c r="U7855">
        <v>1.908264</v>
      </c>
      <c r="V7855">
        <v>-0.23952119999999999</v>
      </c>
      <c r="W7855">
        <v>0.21915009999999999</v>
      </c>
      <c r="X7855">
        <v>0.94583450000000002</v>
      </c>
      <c r="Y7855">
        <v>-0.27412180000000003</v>
      </c>
      <c r="Z7855">
        <v>-1.415051E-2</v>
      </c>
      <c r="AA7855">
        <v>0.96159090000000003</v>
      </c>
      <c r="AB7855">
        <v>39</v>
      </c>
      <c r="AC7855">
        <v>15.0673999999999</v>
      </c>
      <c r="AD7855">
        <v>-1.1212574115859999</v>
      </c>
      <c r="AE7855">
        <v>11.7546499999999</v>
      </c>
      <c r="AF7855">
        <v>-5.2628373605489003</v>
      </c>
      <c r="AG7855">
        <v>-1.1212574115859999</v>
      </c>
      <c r="AH7855">
        <v>18.3029880278375</v>
      </c>
      <c r="AI7855">
        <v>93.369419101024405</v>
      </c>
      <c r="AJ7855">
        <v>106.042049106858</v>
      </c>
      <c r="AK7855">
        <v>19.077579668652699</v>
      </c>
      <c r="AL7855">
        <v>77.340881275691899</v>
      </c>
      <c r="AM7855">
        <v>104.21071845780899</v>
      </c>
      <c r="AN7855">
        <v>1.00000003648484</v>
      </c>
    </row>
    <row r="7856" spans="1:40" x14ac:dyDescent="0.25">
      <c r="A7856" t="str">
        <f>"20190312172302797"</f>
        <v>20190312172302797</v>
      </c>
      <c r="B7856" t="str">
        <f>"1552382582787770"</f>
        <v>1552382582787770</v>
      </c>
      <c r="C7856" t="s">
        <v>40</v>
      </c>
      <c r="D7856">
        <v>3.4960689999999999</v>
      </c>
      <c r="E7856">
        <v>0.48666949999999998</v>
      </c>
      <c r="F7856" t="s">
        <v>64</v>
      </c>
      <c r="G7856">
        <v>-184.1377</v>
      </c>
      <c r="H7856" s="1">
        <v>-3.438379E-6</v>
      </c>
      <c r="I7856">
        <v>-48.358539999999998</v>
      </c>
      <c r="J7856">
        <v>-199.05</v>
      </c>
      <c r="K7856">
        <v>1.1213789999999999</v>
      </c>
      <c r="L7856">
        <v>-60.091279999999998</v>
      </c>
      <c r="M7856">
        <v>0.92537740000000002</v>
      </c>
      <c r="N7856">
        <v>0</v>
      </c>
      <c r="O7856">
        <v>0.37878070000000003</v>
      </c>
      <c r="P7856">
        <v>0.78970689999999999</v>
      </c>
      <c r="Q7856">
        <v>0.21200079999999999</v>
      </c>
      <c r="R7856">
        <v>0.57568989999999998</v>
      </c>
      <c r="S7856">
        <v>2.451111</v>
      </c>
      <c r="T7856">
        <v>-0.18202599999999999</v>
      </c>
      <c r="U7856">
        <v>1.917511</v>
      </c>
      <c r="V7856">
        <v>-0.2398004</v>
      </c>
      <c r="W7856">
        <v>0.21888769999999999</v>
      </c>
      <c r="X7856">
        <v>0.94582449999999996</v>
      </c>
      <c r="Y7856">
        <v>-0.2720167</v>
      </c>
      <c r="Z7856">
        <v>-1.4639320000000001E-2</v>
      </c>
      <c r="AA7856">
        <v>0.96218119999999996</v>
      </c>
      <c r="AB7856">
        <v>39</v>
      </c>
      <c r="AC7856">
        <v>14.9123</v>
      </c>
      <c r="AD7856">
        <v>-1.1213824383789901</v>
      </c>
      <c r="AE7856">
        <v>11.73274</v>
      </c>
      <c r="AF7856">
        <v>-5.1911156418467801</v>
      </c>
      <c r="AG7856">
        <v>-1.1213824383789901</v>
      </c>
      <c r="AH7856">
        <v>18.181977770084501</v>
      </c>
      <c r="AI7856">
        <v>93.393989841812797</v>
      </c>
      <c r="AJ7856">
        <v>105.934513285444</v>
      </c>
      <c r="AK7856">
        <v>18.9417395138878</v>
      </c>
      <c r="AL7856">
        <v>77.3562895971328</v>
      </c>
      <c r="AM7856">
        <v>104.226755474166</v>
      </c>
      <c r="AN7856">
        <v>1.0000000209258399</v>
      </c>
    </row>
    <row r="7857" spans="1:40" x14ac:dyDescent="0.25">
      <c r="A7857" t="str">
        <f>"20190312172302808"</f>
        <v>20190312172302808</v>
      </c>
      <c r="B7857" t="str">
        <f>"1552382582798506"</f>
        <v>1552382582798506</v>
      </c>
      <c r="C7857" t="s">
        <v>40</v>
      </c>
      <c r="D7857">
        <v>3.4985560000000002</v>
      </c>
      <c r="E7857">
        <v>0.48701369999999999</v>
      </c>
      <c r="F7857" t="s">
        <v>64</v>
      </c>
      <c r="G7857">
        <v>-184.11930000000001</v>
      </c>
      <c r="H7857" s="1">
        <v>-3.479267E-6</v>
      </c>
      <c r="I7857">
        <v>-48.282539999999997</v>
      </c>
      <c r="J7857">
        <v>-198.88919999999999</v>
      </c>
      <c r="K7857">
        <v>1.1214869999999999</v>
      </c>
      <c r="L7857">
        <v>-60.0214199999999</v>
      </c>
      <c r="M7857">
        <v>0.9233614</v>
      </c>
      <c r="N7857">
        <v>0</v>
      </c>
      <c r="O7857">
        <v>0.38366479999999997</v>
      </c>
      <c r="P7857">
        <v>0.78675410000000001</v>
      </c>
      <c r="Q7857">
        <v>0.21193770000000001</v>
      </c>
      <c r="R7857">
        <v>0.57974169999999903</v>
      </c>
      <c r="S7857">
        <v>2.4408259999999999</v>
      </c>
      <c r="T7857">
        <v>-0.1833196</v>
      </c>
      <c r="U7857">
        <v>1.93045</v>
      </c>
      <c r="V7857">
        <v>-0.2397126</v>
      </c>
      <c r="W7857">
        <v>0.21887699999999999</v>
      </c>
      <c r="X7857">
        <v>0.94584919999999995</v>
      </c>
      <c r="Y7857">
        <v>-0.2720513</v>
      </c>
      <c r="Z7857">
        <v>-1.504642E-2</v>
      </c>
      <c r="AA7857">
        <v>0.9621651</v>
      </c>
      <c r="AB7857">
        <v>39</v>
      </c>
      <c r="AC7857">
        <v>14.7698999999999</v>
      </c>
      <c r="AD7857">
        <v>-1.121490479267</v>
      </c>
      <c r="AE7857">
        <v>11.738879999999901</v>
      </c>
      <c r="AF7857">
        <v>-5.1548538379758604</v>
      </c>
      <c r="AG7857">
        <v>-1.121490479267</v>
      </c>
      <c r="AH7857">
        <v>18.079726762104499</v>
      </c>
      <c r="AI7857">
        <v>93.413818846206993</v>
      </c>
      <c r="AJ7857">
        <v>105.91379976438699</v>
      </c>
      <c r="AK7857">
        <v>18.833660790678401</v>
      </c>
      <c r="AL7857">
        <v>77.356917505562805</v>
      </c>
      <c r="AM7857">
        <v>104.22140156864</v>
      </c>
      <c r="AN7857">
        <v>0.99999999043419996</v>
      </c>
    </row>
    <row r="7858" spans="1:40" x14ac:dyDescent="0.25">
      <c r="A7858" t="str">
        <f>"20190312172302819"</f>
        <v>20190312172302819</v>
      </c>
      <c r="B7858" t="str">
        <f>"1552382582808266"</f>
        <v>1552382582808266</v>
      </c>
      <c r="C7858" t="s">
        <v>40</v>
      </c>
      <c r="D7858">
        <v>3.4642119999999998</v>
      </c>
      <c r="E7858">
        <v>0.48701369999999999</v>
      </c>
      <c r="F7858" t="s">
        <v>64</v>
      </c>
      <c r="G7858">
        <v>-184.10300000000001</v>
      </c>
      <c r="H7858" s="1">
        <v>-3.5096280000000002E-6</v>
      </c>
      <c r="I7858">
        <v>-48.225140000000003</v>
      </c>
      <c r="J7858">
        <v>-198.7054</v>
      </c>
      <c r="K7858">
        <v>1.1216109999999999</v>
      </c>
      <c r="L7858">
        <v>-59.941220000000001</v>
      </c>
      <c r="M7858">
        <v>0.92101569999999999</v>
      </c>
      <c r="N7858">
        <v>0</v>
      </c>
      <c r="O7858">
        <v>0.38925749999999998</v>
      </c>
      <c r="P7858">
        <v>0.78336190000000006</v>
      </c>
      <c r="Q7858">
        <v>0.21183569999999999</v>
      </c>
      <c r="R7858">
        <v>0.58435409999999999</v>
      </c>
      <c r="S7858">
        <v>2.432709</v>
      </c>
      <c r="T7858">
        <v>-0.1845145</v>
      </c>
      <c r="U7858">
        <v>1.940796</v>
      </c>
      <c r="V7858">
        <v>-0.2395842</v>
      </c>
      <c r="W7858">
        <v>0.21883369999999999</v>
      </c>
      <c r="X7858">
        <v>0.9458917</v>
      </c>
      <c r="Y7858">
        <v>-0.2702929</v>
      </c>
      <c r="Z7858">
        <v>-1.554521E-2</v>
      </c>
      <c r="AA7858">
        <v>0.96265259999999997</v>
      </c>
      <c r="AB7858">
        <v>39</v>
      </c>
      <c r="AC7858">
        <v>14.602399999999999</v>
      </c>
      <c r="AD7858">
        <v>-1.1216145096279999</v>
      </c>
      <c r="AE7858">
        <v>11.7160799999999</v>
      </c>
      <c r="AF7858">
        <v>-5.0888676026800104</v>
      </c>
      <c r="AG7858">
        <v>-1.1216145096279999</v>
      </c>
      <c r="AH7858">
        <v>17.9470745839293</v>
      </c>
      <c r="AI7858">
        <v>93.440787253110599</v>
      </c>
      <c r="AJ7858">
        <v>105.830609820669</v>
      </c>
      <c r="AK7858">
        <v>18.688287206347599</v>
      </c>
      <c r="AL7858">
        <v>77.359459436792804</v>
      </c>
      <c r="AM7858">
        <v>104.213480024855</v>
      </c>
      <c r="AN7858">
        <v>0.99999994263710801</v>
      </c>
    </row>
    <row r="7859" spans="1:40" x14ac:dyDescent="0.25">
      <c r="A7859" t="str">
        <f>"20190312172302831"</f>
        <v>20190312172302831</v>
      </c>
      <c r="B7859" t="str">
        <f>"1552382582818027"</f>
        <v>1552382582818027</v>
      </c>
      <c r="C7859" t="s">
        <v>40</v>
      </c>
      <c r="D7859">
        <v>3.4757980000000002</v>
      </c>
      <c r="E7859">
        <v>0.49628709999999998</v>
      </c>
      <c r="F7859" t="s">
        <v>64</v>
      </c>
      <c r="G7859">
        <v>-184.0137</v>
      </c>
      <c r="H7859" s="1">
        <v>-3.5763200000000001E-6</v>
      </c>
      <c r="I7859">
        <v>-48.078919999999997</v>
      </c>
      <c r="J7859">
        <v>-198.52940000000001</v>
      </c>
      <c r="K7859">
        <v>1.1217330000000001</v>
      </c>
      <c r="L7859">
        <v>-59.862209999999997</v>
      </c>
      <c r="M7859">
        <v>0.91868289999999997</v>
      </c>
      <c r="N7859">
        <v>0</v>
      </c>
      <c r="O7859">
        <v>0.3947272</v>
      </c>
      <c r="P7859">
        <v>0.77991630000000001</v>
      </c>
      <c r="Q7859">
        <v>0.21183830000000001</v>
      </c>
      <c r="R7859">
        <v>0.58894409999999997</v>
      </c>
      <c r="S7859">
        <v>2.4212799999999999</v>
      </c>
      <c r="T7859">
        <v>-0.1848496</v>
      </c>
      <c r="U7859">
        <v>1.954987</v>
      </c>
      <c r="V7859">
        <v>-0.23957600000000001</v>
      </c>
      <c r="W7859">
        <v>0.21888299999999999</v>
      </c>
      <c r="X7859">
        <v>0.94588240000000001</v>
      </c>
      <c r="Y7859">
        <v>-0.27021230000000002</v>
      </c>
      <c r="Z7859">
        <v>-1.591948E-2</v>
      </c>
      <c r="AA7859">
        <v>0.96266910000000006</v>
      </c>
      <c r="AB7859">
        <v>39</v>
      </c>
      <c r="AC7859">
        <v>14.515700000000001</v>
      </c>
      <c r="AD7859">
        <v>-1.12173657632</v>
      </c>
      <c r="AE7859">
        <v>11.7832899999999</v>
      </c>
      <c r="AF7859">
        <v>-5.07762791240682</v>
      </c>
      <c r="AG7859">
        <v>-1.12173657632</v>
      </c>
      <c r="AH7859">
        <v>17.923897518184798</v>
      </c>
      <c r="AI7859">
        <v>93.445834657678603</v>
      </c>
      <c r="AJ7859">
        <v>105.816797910387</v>
      </c>
      <c r="AK7859">
        <v>18.662976729501001</v>
      </c>
      <c r="AL7859">
        <v>77.356564938631806</v>
      </c>
      <c r="AM7859">
        <v>104.21314734865901</v>
      </c>
      <c r="AN7859">
        <v>0.99999997104737903</v>
      </c>
    </row>
    <row r="7860" spans="1:40" x14ac:dyDescent="0.25">
      <c r="A7860" t="str">
        <f>"20190312172302843"</f>
        <v>20190312172302843</v>
      </c>
      <c r="B7860" t="str">
        <f>"1552382582838522"</f>
        <v>1552382582838522</v>
      </c>
      <c r="C7860" t="s">
        <v>40</v>
      </c>
      <c r="D7860">
        <v>3.5054750000000001</v>
      </c>
      <c r="E7860">
        <v>0.49728729999999899</v>
      </c>
      <c r="F7860" t="s">
        <v>64</v>
      </c>
      <c r="G7860">
        <v>-184.29810000000001</v>
      </c>
      <c r="H7860" s="1">
        <v>-3.220389E-6</v>
      </c>
      <c r="I7860">
        <v>-48.78707</v>
      </c>
      <c r="J7860">
        <v>-198.34899999999999</v>
      </c>
      <c r="K7860">
        <v>1.1218539999999999</v>
      </c>
      <c r="L7860">
        <v>-59.780549999999998</v>
      </c>
      <c r="M7860">
        <v>0.9162418</v>
      </c>
      <c r="N7860">
        <v>0</v>
      </c>
      <c r="O7860">
        <v>0.40035660000000001</v>
      </c>
      <c r="P7860">
        <v>0.77629440000000005</v>
      </c>
      <c r="Q7860">
        <v>0.21211389999999999</v>
      </c>
      <c r="R7860">
        <v>0.59361160000000002</v>
      </c>
      <c r="S7860">
        <v>2.4558870000000002</v>
      </c>
      <c r="T7860">
        <v>-0.19357669999999999</v>
      </c>
      <c r="U7860">
        <v>1.911224</v>
      </c>
      <c r="V7860">
        <v>-0.2395466</v>
      </c>
      <c r="W7860">
        <v>0.21920400000000001</v>
      </c>
      <c r="X7860">
        <v>0.94581550000000003</v>
      </c>
      <c r="Y7860">
        <v>-0.247033</v>
      </c>
      <c r="Z7860">
        <v>-1.7735339999999999E-2</v>
      </c>
      <c r="AA7860">
        <v>0.96884479999999995</v>
      </c>
      <c r="AB7860">
        <v>39</v>
      </c>
      <c r="AC7860">
        <v>14.0509</v>
      </c>
      <c r="AD7860">
        <v>-1.121857220389</v>
      </c>
      <c r="AE7860">
        <v>10.9934799999999</v>
      </c>
      <c r="AF7860">
        <v>-4.4302765067630299</v>
      </c>
      <c r="AG7860">
        <v>-1.121857220389</v>
      </c>
      <c r="AH7860">
        <v>17.209147791186901</v>
      </c>
      <c r="AI7860">
        <v>93.612355477002893</v>
      </c>
      <c r="AJ7860">
        <v>104.436595901982</v>
      </c>
      <c r="AK7860">
        <v>17.805636221383001</v>
      </c>
      <c r="AL7860">
        <v>77.337715133651699</v>
      </c>
      <c r="AM7860">
        <v>104.21243830962599</v>
      </c>
      <c r="AN7860">
        <v>0.99999996361390397</v>
      </c>
    </row>
    <row r="7861" spans="1:40" x14ac:dyDescent="0.25">
      <c r="A7861" t="str">
        <f>"20190312172302854"</f>
        <v>20190312172302854</v>
      </c>
      <c r="B7861" t="str">
        <f>"1552382582848282"</f>
        <v>1552382582848282</v>
      </c>
      <c r="C7861" t="s">
        <v>40</v>
      </c>
      <c r="D7861">
        <v>3.5755859999999999</v>
      </c>
      <c r="E7861">
        <v>0.49734659999999897</v>
      </c>
      <c r="F7861" t="s">
        <v>64</v>
      </c>
      <c r="G7861">
        <v>-183.9727</v>
      </c>
      <c r="H7861" s="1">
        <v>-3.3095830000000002E-6</v>
      </c>
      <c r="I7861">
        <v>-48.514130000000002</v>
      </c>
      <c r="J7861">
        <v>-198.1644</v>
      </c>
      <c r="K7861">
        <v>1.121974</v>
      </c>
      <c r="L7861">
        <v>-59.6952199999999</v>
      </c>
      <c r="M7861">
        <v>0.91366179999999997</v>
      </c>
      <c r="N7861">
        <v>0</v>
      </c>
      <c r="O7861">
        <v>0.4062057</v>
      </c>
      <c r="P7861">
        <v>0.77242330000000003</v>
      </c>
      <c r="Q7861">
        <v>0.21225060000000001</v>
      </c>
      <c r="R7861">
        <v>0.59859149999999905</v>
      </c>
      <c r="S7861">
        <v>2.4490970000000001</v>
      </c>
      <c r="T7861">
        <v>-0.19111620000000001</v>
      </c>
      <c r="U7861">
        <v>1.9193119999999999</v>
      </c>
      <c r="V7861">
        <v>-0.23966689999999999</v>
      </c>
      <c r="W7861">
        <v>0.21937760000000001</v>
      </c>
      <c r="X7861">
        <v>0.94574480000000005</v>
      </c>
      <c r="Y7861">
        <v>-0.24413000000000001</v>
      </c>
      <c r="Z7861">
        <v>-1.7976450000000001E-2</v>
      </c>
      <c r="AA7861">
        <v>0.96957590000000005</v>
      </c>
      <c r="AB7861">
        <v>39</v>
      </c>
      <c r="AC7861">
        <v>14.1916999999999</v>
      </c>
      <c r="AD7861">
        <v>-1.1219773095829999</v>
      </c>
      <c r="AE7861">
        <v>11.1810899999999</v>
      </c>
      <c r="AF7861">
        <v>-4.4343719249125604</v>
      </c>
      <c r="AG7861">
        <v>-1.1219773095829999</v>
      </c>
      <c r="AH7861">
        <v>17.442886554960801</v>
      </c>
      <c r="AI7861">
        <v>93.567200756418501</v>
      </c>
      <c r="AJ7861">
        <v>104.263709335513</v>
      </c>
      <c r="AK7861">
        <v>18.032658673110401</v>
      </c>
      <c r="AL7861">
        <v>77.327520789292507</v>
      </c>
      <c r="AM7861">
        <v>104.220306230096</v>
      </c>
      <c r="AN7861">
        <v>0.99999999053220501</v>
      </c>
    </row>
    <row r="7862" spans="1:40" x14ac:dyDescent="0.25">
      <c r="A7862" t="str">
        <f>"20190312172302865"</f>
        <v>20190312172302865</v>
      </c>
      <c r="B7862" t="str">
        <f>"1552382582858042"</f>
        <v>1552382582858042</v>
      </c>
      <c r="C7862" t="s">
        <v>40</v>
      </c>
      <c r="D7862">
        <v>3.5081630000000001</v>
      </c>
      <c r="E7862">
        <v>0.4981236</v>
      </c>
      <c r="F7862" t="s">
        <v>64</v>
      </c>
      <c r="G7862">
        <v>-183.31309999999999</v>
      </c>
      <c r="H7862" s="1">
        <v>-3.5223499999999998E-6</v>
      </c>
      <c r="I7862">
        <v>-47.9069</v>
      </c>
      <c r="J7862">
        <v>-197.99279999999999</v>
      </c>
      <c r="K7862">
        <v>1.1220859999999999</v>
      </c>
      <c r="L7862">
        <v>-59.614719999999998</v>
      </c>
      <c r="M7862">
        <v>0.91120049999999997</v>
      </c>
      <c r="N7862">
        <v>0</v>
      </c>
      <c r="O7862">
        <v>0.4116939</v>
      </c>
      <c r="P7862">
        <v>0.76874379999999998</v>
      </c>
      <c r="Q7862">
        <v>0.21250079999999999</v>
      </c>
      <c r="R7862">
        <v>0.60322180000000003</v>
      </c>
      <c r="S7862">
        <v>2.4360050000000002</v>
      </c>
      <c r="T7862">
        <v>-0.1840338</v>
      </c>
      <c r="U7862">
        <v>1.933594</v>
      </c>
      <c r="V7862">
        <v>-0.2397569</v>
      </c>
      <c r="W7862">
        <v>0.21965899999999999</v>
      </c>
      <c r="X7862">
        <v>0.94565670000000002</v>
      </c>
      <c r="Y7862">
        <v>-0.24430859999999999</v>
      </c>
      <c r="Z7862">
        <v>-1.7657030000000001E-2</v>
      </c>
      <c r="AA7862">
        <v>0.96953679999999998</v>
      </c>
      <c r="AB7862">
        <v>39</v>
      </c>
      <c r="AC7862">
        <v>14.679699999999899</v>
      </c>
      <c r="AD7862">
        <v>-1.12208952235</v>
      </c>
      <c r="AE7862">
        <v>11.7078199999999</v>
      </c>
      <c r="AF7862">
        <v>-4.6086828938631301</v>
      </c>
      <c r="AG7862">
        <v>-1.12208952235</v>
      </c>
      <c r="AH7862">
        <v>18.133448067284899</v>
      </c>
      <c r="AI7862">
        <v>93.432083502018401</v>
      </c>
      <c r="AJ7862">
        <v>104.26001364966299</v>
      </c>
      <c r="AK7862">
        <v>18.743558406057101</v>
      </c>
      <c r="AL7862">
        <v>77.310995048319299</v>
      </c>
      <c r="AM7862">
        <v>104.226701010943</v>
      </c>
      <c r="AN7862">
        <v>1.0000000208167401</v>
      </c>
    </row>
    <row r="7863" spans="1:40" x14ac:dyDescent="0.25">
      <c r="A7863" t="str">
        <f>"20190312172302877"</f>
        <v>20190312172302877</v>
      </c>
      <c r="B7863" t="str">
        <f>"1552382582867802"</f>
        <v>1552382582867802</v>
      </c>
      <c r="C7863" t="s">
        <v>40</v>
      </c>
      <c r="D7863">
        <v>3.4864060000000001</v>
      </c>
      <c r="E7863">
        <v>0.498838</v>
      </c>
      <c r="F7863" t="s">
        <v>64</v>
      </c>
      <c r="G7863">
        <v>-183.291</v>
      </c>
      <c r="H7863" s="1">
        <v>-3.5523299999999998E-6</v>
      </c>
      <c r="I7863">
        <v>-47.847920000000002</v>
      </c>
      <c r="J7863">
        <v>-197.80840000000001</v>
      </c>
      <c r="K7863">
        <v>1.1222030000000001</v>
      </c>
      <c r="L7863">
        <v>-59.526949999999999</v>
      </c>
      <c r="M7863">
        <v>0.90848649999999997</v>
      </c>
      <c r="N7863">
        <v>0</v>
      </c>
      <c r="O7863">
        <v>0.41764489999999999</v>
      </c>
      <c r="P7863">
        <v>0.76467769999999902</v>
      </c>
      <c r="Q7863">
        <v>0.21268980000000001</v>
      </c>
      <c r="R7863">
        <v>0.6083018</v>
      </c>
      <c r="S7863">
        <v>2.428528</v>
      </c>
      <c r="T7863">
        <v>-0.18535209999999999</v>
      </c>
      <c r="U7863">
        <v>1.943695</v>
      </c>
      <c r="V7863">
        <v>-0.2399279</v>
      </c>
      <c r="W7863">
        <v>0.2198763</v>
      </c>
      <c r="X7863">
        <v>0.94556280000000004</v>
      </c>
      <c r="Y7863">
        <v>-0.2418952</v>
      </c>
      <c r="Z7863">
        <v>-1.8223240000000002E-2</v>
      </c>
      <c r="AA7863">
        <v>0.97013119999999997</v>
      </c>
      <c r="AB7863">
        <v>39</v>
      </c>
      <c r="AC7863">
        <v>14.5174</v>
      </c>
      <c r="AD7863">
        <v>-1.12220655233</v>
      </c>
      <c r="AE7863">
        <v>11.6790299999999</v>
      </c>
      <c r="AF7863">
        <v>-4.5311971996711602</v>
      </c>
      <c r="AG7863">
        <v>-1.12220655233</v>
      </c>
      <c r="AH7863">
        <v>18.003273054769299</v>
      </c>
      <c r="AI7863">
        <v>93.459221855054295</v>
      </c>
      <c r="AJ7863">
        <v>104.127201702364</v>
      </c>
      <c r="AK7863">
        <v>18.598627269048201</v>
      </c>
      <c r="AL7863">
        <v>77.298232351559406</v>
      </c>
      <c r="AM7863">
        <v>104.23779172355199</v>
      </c>
      <c r="AN7863">
        <v>0.99999999662197003</v>
      </c>
    </row>
    <row r="7864" spans="1:40" x14ac:dyDescent="0.25">
      <c r="A7864" t="str">
        <f>"20190312172302888"</f>
        <v>20190312172302888</v>
      </c>
      <c r="B7864" t="str">
        <f>"1552382582878538"</f>
        <v>1552382582878538</v>
      </c>
      <c r="C7864" t="s">
        <v>40</v>
      </c>
      <c r="D7864">
        <v>3.5197470000000002</v>
      </c>
      <c r="E7864">
        <v>0.4997761</v>
      </c>
      <c r="F7864" t="s">
        <v>64</v>
      </c>
      <c r="G7864">
        <v>-183.23990000000001</v>
      </c>
      <c r="H7864" s="1">
        <v>-3.5981010000000001E-6</v>
      </c>
      <c r="I7864">
        <v>-47.751420000000003</v>
      </c>
      <c r="J7864">
        <v>-197.64410000000001</v>
      </c>
      <c r="K7864">
        <v>1.1223050000000001</v>
      </c>
      <c r="L7864">
        <v>-59.446959999999997</v>
      </c>
      <c r="M7864">
        <v>0.90599070000000004</v>
      </c>
      <c r="N7864">
        <v>0</v>
      </c>
      <c r="O7864">
        <v>0.42302859999999998</v>
      </c>
      <c r="P7864">
        <v>0.76111709999999999</v>
      </c>
      <c r="Q7864">
        <v>0.21276819999999999</v>
      </c>
      <c r="R7864">
        <v>0.61272389999999999</v>
      </c>
      <c r="S7864">
        <v>2.419403</v>
      </c>
      <c r="T7864">
        <v>-0.18636520000000001</v>
      </c>
      <c r="U7864">
        <v>1.9555659999999999</v>
      </c>
      <c r="V7864">
        <v>-0.23986569999999999</v>
      </c>
      <c r="W7864">
        <v>0.21998280000000001</v>
      </c>
      <c r="X7864">
        <v>0.9455538</v>
      </c>
      <c r="Y7864">
        <v>-0.24081730000000001</v>
      </c>
      <c r="Z7864">
        <v>-1.8691760000000002E-2</v>
      </c>
      <c r="AA7864">
        <v>0.97039050000000004</v>
      </c>
      <c r="AB7864">
        <v>39</v>
      </c>
      <c r="AC7864">
        <v>14.404199999999999</v>
      </c>
      <c r="AD7864">
        <v>-1.1223085981009999</v>
      </c>
      <c r="AE7864">
        <v>11.6955399999999</v>
      </c>
      <c r="AF7864">
        <v>-4.4867587141252301</v>
      </c>
      <c r="AG7864">
        <v>-1.1223085981009999</v>
      </c>
      <c r="AH7864">
        <v>17.934052380494698</v>
      </c>
      <c r="AI7864">
        <v>93.4740881422142</v>
      </c>
      <c r="AJ7864">
        <v>104.04600222034399</v>
      </c>
      <c r="AK7864">
        <v>18.520821124736301</v>
      </c>
      <c r="AL7864">
        <v>77.291977080638901</v>
      </c>
      <c r="AM7864">
        <v>104.23438066116</v>
      </c>
      <c r="AN7864">
        <v>0.99999998751338504</v>
      </c>
    </row>
    <row r="7865" spans="1:40" x14ac:dyDescent="0.25">
      <c r="A7865" t="str">
        <f>"20190312172302898"</f>
        <v>20190312172302898</v>
      </c>
      <c r="B7865" t="str">
        <f>"1552382582888298"</f>
        <v>1552382582888298</v>
      </c>
      <c r="C7865" t="s">
        <v>40</v>
      </c>
      <c r="D7865">
        <v>3.5232049999999999</v>
      </c>
      <c r="E7865">
        <v>0.50055899999999998</v>
      </c>
      <c r="F7865" t="s">
        <v>64</v>
      </c>
      <c r="G7865">
        <v>-183.1711</v>
      </c>
      <c r="H7865" s="1">
        <v>-3.6319770000000001E-6</v>
      </c>
      <c r="I7865">
        <v>-47.668320000000001</v>
      </c>
      <c r="J7865">
        <v>-197.48159999999999</v>
      </c>
      <c r="K7865">
        <v>1.122406</v>
      </c>
      <c r="L7865">
        <v>-59.367370000000001</v>
      </c>
      <c r="M7865">
        <v>0.90347759999999999</v>
      </c>
      <c r="N7865">
        <v>0</v>
      </c>
      <c r="O7865">
        <v>0.42836649999999998</v>
      </c>
      <c r="P7865">
        <v>0.75732860000000002</v>
      </c>
      <c r="Q7865">
        <v>0.21291070000000001</v>
      </c>
      <c r="R7865">
        <v>0.61735119999999999</v>
      </c>
      <c r="S7865">
        <v>2.4129939999999999</v>
      </c>
      <c r="T7865">
        <v>-0.18711520000000001</v>
      </c>
      <c r="U7865">
        <v>1.963776</v>
      </c>
      <c r="V7865">
        <v>-0.24012700000000001</v>
      </c>
      <c r="W7865">
        <v>0.22014</v>
      </c>
      <c r="X7865">
        <v>0.94545089999999998</v>
      </c>
      <c r="Y7865">
        <v>-0.23835110000000001</v>
      </c>
      <c r="Z7865">
        <v>-1.9174739999999999E-2</v>
      </c>
      <c r="AA7865">
        <v>0.97098980000000001</v>
      </c>
      <c r="AB7865">
        <v>39</v>
      </c>
      <c r="AC7865">
        <v>14.3104999999999</v>
      </c>
      <c r="AD7865">
        <v>-1.1224096319769901</v>
      </c>
      <c r="AE7865">
        <v>11.6990499999999</v>
      </c>
      <c r="AF7865">
        <v>-4.4238899853055198</v>
      </c>
      <c r="AG7865">
        <v>-1.1224096319769901</v>
      </c>
      <c r="AH7865">
        <v>17.876846463636099</v>
      </c>
      <c r="AI7865">
        <v>93.487704393892599</v>
      </c>
      <c r="AJ7865">
        <v>103.899449600495</v>
      </c>
      <c r="AK7865">
        <v>18.450264102946001</v>
      </c>
      <c r="AL7865">
        <v>77.282744002243305</v>
      </c>
      <c r="AM7865">
        <v>104.25074350213001</v>
      </c>
      <c r="AN7865">
        <v>1.0000000000199001</v>
      </c>
    </row>
    <row r="7866" spans="1:40" x14ac:dyDescent="0.25">
      <c r="A7866" t="str">
        <f>"20190312172302910"</f>
        <v>20190312172302910</v>
      </c>
      <c r="B7866" t="str">
        <f>"1552382582898059"</f>
        <v>1552382582898059</v>
      </c>
      <c r="C7866" t="s">
        <v>40</v>
      </c>
      <c r="D7866">
        <v>3.5247769999999998</v>
      </c>
      <c r="E7866">
        <v>0.50127699999999997</v>
      </c>
      <c r="F7866" t="s">
        <v>64</v>
      </c>
      <c r="G7866">
        <v>-183.10839999999999</v>
      </c>
      <c r="H7866" s="1">
        <v>-3.6744069999999999E-6</v>
      </c>
      <c r="I7866">
        <v>-47.57311</v>
      </c>
      <c r="J7866">
        <v>-197.2946</v>
      </c>
      <c r="K7866">
        <v>1.1225229999999999</v>
      </c>
      <c r="L7866">
        <v>-59.273350000000001</v>
      </c>
      <c r="M7866">
        <v>0.90048240000000002</v>
      </c>
      <c r="N7866">
        <v>0</v>
      </c>
      <c r="O7866">
        <v>0.43462440000000002</v>
      </c>
      <c r="P7866">
        <v>0.75301929999999995</v>
      </c>
      <c r="Q7866">
        <v>0.21315229999999999</v>
      </c>
      <c r="R7866">
        <v>0.62251749999999995</v>
      </c>
      <c r="S7866">
        <v>2.4052280000000001</v>
      </c>
      <c r="T7866">
        <v>-0.1878252</v>
      </c>
      <c r="U7866">
        <v>1.9736629999999999</v>
      </c>
      <c r="V7866">
        <v>-0.24013580000000001</v>
      </c>
      <c r="W7866">
        <v>0.2204023</v>
      </c>
      <c r="X7866">
        <v>0.94538750000000005</v>
      </c>
      <c r="Y7866">
        <v>-0.23555029999999999</v>
      </c>
      <c r="Z7866">
        <v>-1.9724419999999999E-2</v>
      </c>
      <c r="AA7866">
        <v>0.97166200000000003</v>
      </c>
      <c r="AB7866">
        <v>39</v>
      </c>
      <c r="AC7866">
        <v>14.186199999999999</v>
      </c>
      <c r="AD7866">
        <v>-1.1225266744069999</v>
      </c>
      <c r="AE7866">
        <v>11.7002399999999</v>
      </c>
      <c r="AF7866">
        <v>-4.3544743196564504</v>
      </c>
      <c r="AG7866">
        <v>-1.1225266744069999</v>
      </c>
      <c r="AH7866">
        <v>17.795401781606799</v>
      </c>
      <c r="AI7866">
        <v>93.506237155720697</v>
      </c>
      <c r="AJ7866">
        <v>103.74990038155801</v>
      </c>
      <c r="AK7866">
        <v>18.354776961437601</v>
      </c>
      <c r="AL7866">
        <v>77.267336262244598</v>
      </c>
      <c r="AM7866">
        <v>104.25216126412199</v>
      </c>
      <c r="AN7866">
        <v>0.99999995072158798</v>
      </c>
    </row>
    <row r="7867" spans="1:40" x14ac:dyDescent="0.25">
      <c r="A7867" t="str">
        <f>"20190312172302923"</f>
        <v>20190312172302923</v>
      </c>
      <c r="B7867" t="str">
        <f>"1552382582918555"</f>
        <v>1552382582918555</v>
      </c>
      <c r="C7867" t="s">
        <v>40</v>
      </c>
      <c r="D7867">
        <v>3.5392950000000001</v>
      </c>
      <c r="E7867">
        <v>0.50272109999999903</v>
      </c>
      <c r="F7867" t="s">
        <v>64</v>
      </c>
      <c r="G7867">
        <v>-183.0635</v>
      </c>
      <c r="H7867" s="1">
        <v>-3.7229859999999998E-6</v>
      </c>
      <c r="I7867">
        <v>-47.474159999999998</v>
      </c>
      <c r="J7867">
        <v>-197.10820000000001</v>
      </c>
      <c r="K7867">
        <v>1.1226419999999999</v>
      </c>
      <c r="L7867">
        <v>-59.17868</v>
      </c>
      <c r="M7867">
        <v>0.8974278</v>
      </c>
      <c r="N7867">
        <v>0</v>
      </c>
      <c r="O7867">
        <v>0.44089410000000001</v>
      </c>
      <c r="P7867">
        <v>0.74868710000000005</v>
      </c>
      <c r="Q7867">
        <v>0.2132761</v>
      </c>
      <c r="R7867">
        <v>0.62767910000000005</v>
      </c>
      <c r="S7867">
        <v>2.395508</v>
      </c>
      <c r="T7867">
        <v>-0.18895380000000001</v>
      </c>
      <c r="U7867">
        <v>1.986145</v>
      </c>
      <c r="V7867">
        <v>-0.24012339999999999</v>
      </c>
      <c r="W7867">
        <v>0.22054470000000001</v>
      </c>
      <c r="X7867">
        <v>0.94535749999999996</v>
      </c>
      <c r="Y7867">
        <v>-0.23372490000000001</v>
      </c>
      <c r="Z7867">
        <v>-2.0294059999999999E-2</v>
      </c>
      <c r="AA7867">
        <v>0.97209100000000004</v>
      </c>
      <c r="AB7867">
        <v>39</v>
      </c>
      <c r="AC7867">
        <v>14.044700000000001</v>
      </c>
      <c r="AD7867">
        <v>-1.1226457229859901</v>
      </c>
      <c r="AE7867">
        <v>11.70452</v>
      </c>
      <c r="AF7867">
        <v>-4.2960457407145096</v>
      </c>
      <c r="AG7867">
        <v>-1.1226457229859901</v>
      </c>
      <c r="AH7867">
        <v>17.699912319515398</v>
      </c>
      <c r="AI7867">
        <v>93.527081217023607</v>
      </c>
      <c r="AJ7867">
        <v>103.64276350934099</v>
      </c>
      <c r="AK7867">
        <v>18.248376326242902</v>
      </c>
      <c r="AL7867">
        <v>77.258972244928401</v>
      </c>
      <c r="AM7867">
        <v>104.251889131939</v>
      </c>
      <c r="AN7867">
        <v>1.0000000073659401</v>
      </c>
    </row>
    <row r="7868" spans="1:40" x14ac:dyDescent="0.25">
      <c r="A7868" t="str">
        <f>"20190312172302935"</f>
        <v>20190312172302935</v>
      </c>
      <c r="B7868" t="str">
        <f>"1552382582928315"</f>
        <v>1552382582928315</v>
      </c>
      <c r="C7868" t="s">
        <v>40</v>
      </c>
      <c r="D7868">
        <v>3.579647</v>
      </c>
      <c r="E7868">
        <v>0.5024651</v>
      </c>
      <c r="F7868" t="s">
        <v>64</v>
      </c>
      <c r="G7868">
        <v>-183.09039999999999</v>
      </c>
      <c r="H7868" s="1">
        <v>-3.7262150000000002E-6</v>
      </c>
      <c r="I7868">
        <v>-47.4788</v>
      </c>
      <c r="J7868">
        <v>-196.92339999999999</v>
      </c>
      <c r="K7868">
        <v>1.1227549999999999</v>
      </c>
      <c r="L7868">
        <v>-59.082790000000003</v>
      </c>
      <c r="M7868">
        <v>0.89430030000000005</v>
      </c>
      <c r="N7868">
        <v>0</v>
      </c>
      <c r="O7868">
        <v>0.44720090000000001</v>
      </c>
      <c r="P7868">
        <v>0.7441934</v>
      </c>
      <c r="Q7868">
        <v>0.21340229999999999</v>
      </c>
      <c r="R7868">
        <v>0.63295789999999996</v>
      </c>
      <c r="S7868">
        <v>2.3895110000000002</v>
      </c>
      <c r="T7868">
        <v>-0.19136829999999999</v>
      </c>
      <c r="U7868">
        <v>1.9943850000000001</v>
      </c>
      <c r="V7868">
        <v>-0.24023710000000001</v>
      </c>
      <c r="W7868">
        <v>0.22068090000000001</v>
      </c>
      <c r="X7868">
        <v>0.94529680000000005</v>
      </c>
      <c r="Y7868">
        <v>-0.23007720000000001</v>
      </c>
      <c r="Z7868">
        <v>-2.1062910000000001E-2</v>
      </c>
      <c r="AA7868">
        <v>0.97294440000000004</v>
      </c>
      <c r="AB7868">
        <v>39</v>
      </c>
      <c r="AC7868">
        <v>13.832999999999901</v>
      </c>
      <c r="AD7868">
        <v>-1.1227587262150001</v>
      </c>
      <c r="AE7868">
        <v>11.60399</v>
      </c>
      <c r="AF7868">
        <v>-4.1756748228792899</v>
      </c>
      <c r="AG7868">
        <v>-1.1227587262150001</v>
      </c>
      <c r="AH7868">
        <v>17.494615931294401</v>
      </c>
      <c r="AI7868">
        <v>93.571989829714198</v>
      </c>
      <c r="AJ7868">
        <v>103.424386095274</v>
      </c>
      <c r="AK7868">
        <v>18.0210552956041</v>
      </c>
      <c r="AL7868">
        <v>77.250971102230693</v>
      </c>
      <c r="AM7868">
        <v>104.25924060218701</v>
      </c>
      <c r="AN7868">
        <v>0.99999998196572903</v>
      </c>
    </row>
    <row r="7869" spans="1:40" x14ac:dyDescent="0.25">
      <c r="A7869" t="str">
        <f>"20190312172302947"</f>
        <v>20190312172302947</v>
      </c>
      <c r="B7869" t="str">
        <f>"1552382582938074"</f>
        <v>1552382582938074</v>
      </c>
      <c r="C7869" t="s">
        <v>40</v>
      </c>
      <c r="D7869">
        <v>3.525147</v>
      </c>
      <c r="E7869">
        <v>0.5024651</v>
      </c>
      <c r="F7869" t="s">
        <v>64</v>
      </c>
      <c r="G7869">
        <v>-183.12899999999999</v>
      </c>
      <c r="H7869" s="1">
        <v>-3.7886239999999998E-6</v>
      </c>
      <c r="I7869">
        <v>-47.387889999999999</v>
      </c>
      <c r="J7869">
        <v>-196.74180000000001</v>
      </c>
      <c r="K7869">
        <v>1.122865</v>
      </c>
      <c r="L7869">
        <v>-58.986910000000002</v>
      </c>
      <c r="M7869">
        <v>0.89113909999999996</v>
      </c>
      <c r="N7869">
        <v>0</v>
      </c>
      <c r="O7869">
        <v>0.4534648</v>
      </c>
      <c r="P7869">
        <v>0.73969759999999996</v>
      </c>
      <c r="Q7869">
        <v>0.21346290000000001</v>
      </c>
      <c r="R7869">
        <v>0.63818569999999997</v>
      </c>
      <c r="S7869">
        <v>2.3744510000000001</v>
      </c>
      <c r="T7869">
        <v>-0.1932622</v>
      </c>
      <c r="U7869">
        <v>2.0130620000000001</v>
      </c>
      <c r="V7869">
        <v>-0.2403361</v>
      </c>
      <c r="W7869">
        <v>0.2207488</v>
      </c>
      <c r="X7869">
        <v>0.94525579999999998</v>
      </c>
      <c r="Y7869">
        <v>-0.2307611</v>
      </c>
      <c r="Z7869">
        <v>-2.1659029999999999E-2</v>
      </c>
      <c r="AA7869">
        <v>0.97276929999999995</v>
      </c>
      <c r="AB7869">
        <v>39</v>
      </c>
      <c r="AC7869">
        <v>13.612799999999901</v>
      </c>
      <c r="AD7869">
        <v>-1.1228687886239901</v>
      </c>
      <c r="AE7869">
        <v>11.5990199999999</v>
      </c>
      <c r="AF7869">
        <v>-4.1475661925496796</v>
      </c>
      <c r="AG7869">
        <v>-1.1228687886239901</v>
      </c>
      <c r="AH7869">
        <v>17.324446528584399</v>
      </c>
      <c r="AI7869">
        <v>93.606748858170604</v>
      </c>
      <c r="AJ7869">
        <v>103.46351675660399</v>
      </c>
      <c r="AK7869">
        <v>17.849358172209602</v>
      </c>
      <c r="AL7869">
        <v>77.246982590612504</v>
      </c>
      <c r="AM7869">
        <v>104.26547042610299</v>
      </c>
      <c r="AN7869">
        <v>1.0000000005491401</v>
      </c>
    </row>
    <row r="7870" spans="1:40" x14ac:dyDescent="0.25">
      <c r="A7870" t="str">
        <f>"20190312172302961"</f>
        <v>20190312172302961</v>
      </c>
      <c r="B7870" t="str">
        <f>"1552382582958570"</f>
        <v>1552382582958570</v>
      </c>
      <c r="C7870" t="s">
        <v>40</v>
      </c>
      <c r="D7870">
        <v>3.5330010000000001</v>
      </c>
      <c r="E7870">
        <v>0.48063709999999998</v>
      </c>
      <c r="F7870" t="s">
        <v>64</v>
      </c>
      <c r="G7870">
        <v>-183.01679999999999</v>
      </c>
      <c r="H7870" s="1">
        <v>-3.8862339999999998E-6</v>
      </c>
      <c r="I7870">
        <v>-47.180840000000003</v>
      </c>
      <c r="J7870">
        <v>-196.5352</v>
      </c>
      <c r="K7870">
        <v>1.1229899999999999</v>
      </c>
      <c r="L7870">
        <v>-58.876309999999997</v>
      </c>
      <c r="M7870">
        <v>0.88744869999999898</v>
      </c>
      <c r="N7870">
        <v>0</v>
      </c>
      <c r="O7870">
        <v>0.4606423</v>
      </c>
      <c r="P7870">
        <v>0.73440839999999996</v>
      </c>
      <c r="Q7870">
        <v>0.21320939999999999</v>
      </c>
      <c r="R7870">
        <v>0.64434930000000001</v>
      </c>
      <c r="S7870">
        <v>2.359985</v>
      </c>
      <c r="T7870">
        <v>-0.19307489999999999</v>
      </c>
      <c r="U7870">
        <v>2.0300289999999999</v>
      </c>
      <c r="V7870">
        <v>-0.24064140000000001</v>
      </c>
      <c r="W7870">
        <v>0.22049489999999999</v>
      </c>
      <c r="X7870">
        <v>0.94523740000000001</v>
      </c>
      <c r="Y7870">
        <v>-0.2298866</v>
      </c>
      <c r="Z7870">
        <v>-2.2134310000000001E-2</v>
      </c>
      <c r="AA7870">
        <v>0.97296570000000004</v>
      </c>
      <c r="AB7870">
        <v>39</v>
      </c>
      <c r="AC7870">
        <v>13.5184</v>
      </c>
      <c r="AD7870">
        <v>-1.1229938862340001</v>
      </c>
      <c r="AE7870">
        <v>11.695469999999901</v>
      </c>
      <c r="AF7870">
        <v>-4.1361638480111296</v>
      </c>
      <c r="AG7870">
        <v>-1.1229938862340001</v>
      </c>
      <c r="AH7870">
        <v>17.318080983812699</v>
      </c>
      <c r="AI7870">
        <v>93.608936347965994</v>
      </c>
      <c r="AJ7870">
        <v>103.432602337004</v>
      </c>
      <c r="AK7870">
        <v>17.840540787992001</v>
      </c>
      <c r="AL7870">
        <v>77.261897666768107</v>
      </c>
      <c r="AM7870">
        <v>104.28311754896001</v>
      </c>
      <c r="AN7870">
        <v>1.0000000133393601</v>
      </c>
    </row>
    <row r="7871" spans="1:40" x14ac:dyDescent="0.25">
      <c r="A7871" t="str">
        <f>"20190312172302975"</f>
        <v>20190312172302975</v>
      </c>
      <c r="B7871" t="str">
        <f>"1552382582968331"</f>
        <v>1552382582968331</v>
      </c>
      <c r="C7871" t="s">
        <v>40</v>
      </c>
      <c r="D7871">
        <v>3.4841000000000002</v>
      </c>
      <c r="E7871">
        <v>0.48009990000000002</v>
      </c>
      <c r="F7871" t="s">
        <v>64</v>
      </c>
      <c r="G7871">
        <v>-185.6464</v>
      </c>
      <c r="H7871" s="1">
        <v>-3.8549960000000002E-6</v>
      </c>
      <c r="I7871">
        <v>-48.22034</v>
      </c>
      <c r="J7871">
        <v>-196.31360000000001</v>
      </c>
      <c r="K7871">
        <v>1.1231230000000001</v>
      </c>
      <c r="L7871">
        <v>-58.7545199999999</v>
      </c>
      <c r="M7871">
        <v>0.88333649999999997</v>
      </c>
      <c r="N7871">
        <v>0</v>
      </c>
      <c r="O7871">
        <v>0.46847680000000003</v>
      </c>
      <c r="P7871">
        <v>0.72861450000000005</v>
      </c>
      <c r="Q7871">
        <v>0.2131624</v>
      </c>
      <c r="R7871">
        <v>0.65090919999999997</v>
      </c>
      <c r="S7871">
        <v>2.2338260000000001</v>
      </c>
      <c r="T7871">
        <v>-0.23038149999999999</v>
      </c>
      <c r="U7871">
        <v>2.1860659999999998</v>
      </c>
      <c r="V7871">
        <v>-0.24082029999999999</v>
      </c>
      <c r="W7871">
        <v>0.220447</v>
      </c>
      <c r="X7871">
        <v>0.94520300000000002</v>
      </c>
      <c r="Y7871">
        <v>-0.28341690000000003</v>
      </c>
      <c r="Z7871">
        <v>-2.5072690000000002E-2</v>
      </c>
      <c r="AA7871">
        <v>0.95866899999999999</v>
      </c>
      <c r="AB7871">
        <v>39</v>
      </c>
      <c r="AC7871">
        <v>10.667199999999999</v>
      </c>
      <c r="AD7871">
        <v>-1.1231268549959901</v>
      </c>
      <c r="AE7871">
        <v>10.5341799999999</v>
      </c>
      <c r="AF7871">
        <v>-4.2843749139599199</v>
      </c>
      <c r="AG7871">
        <v>-1.1231268549959901</v>
      </c>
      <c r="AH7871">
        <v>14.2793728290518</v>
      </c>
      <c r="AI7871">
        <v>94.308288233156304</v>
      </c>
      <c r="AJ7871">
        <v>106.701316955764</v>
      </c>
      <c r="AK7871">
        <v>14.9505107179268</v>
      </c>
      <c r="AL7871">
        <v>77.264711248317397</v>
      </c>
      <c r="AM7871">
        <v>104.293799979092</v>
      </c>
      <c r="AN7871">
        <v>1.0000000039550401</v>
      </c>
    </row>
    <row r="7872" spans="1:40" x14ac:dyDescent="0.25">
      <c r="A7872" t="str">
        <f>"20190312172302989"</f>
        <v>20190312172302989</v>
      </c>
      <c r="B7872" t="str">
        <f>"1552382582978091"</f>
        <v>1552382582978091</v>
      </c>
      <c r="C7872" t="s">
        <v>40</v>
      </c>
      <c r="D7872">
        <v>3.4783750000000002</v>
      </c>
      <c r="E7872">
        <v>0.47979709999999998</v>
      </c>
      <c r="F7872" t="s">
        <v>64</v>
      </c>
      <c r="G7872">
        <v>-185.36160000000001</v>
      </c>
      <c r="H7872" s="1">
        <v>-4.0091140000000003E-6</v>
      </c>
      <c r="I7872">
        <v>-47.813330000000001</v>
      </c>
      <c r="J7872">
        <v>-196.1174</v>
      </c>
      <c r="K7872">
        <v>1.1232470000000001</v>
      </c>
      <c r="L7872">
        <v>-58.644559999999998</v>
      </c>
      <c r="M7872">
        <v>0.87958040000000004</v>
      </c>
      <c r="N7872">
        <v>0</v>
      </c>
      <c r="O7872">
        <v>0.4754892</v>
      </c>
      <c r="P7872">
        <v>0.72305699999999995</v>
      </c>
      <c r="Q7872">
        <v>0.21294640000000001</v>
      </c>
      <c r="R7872">
        <v>0.65714719999999904</v>
      </c>
      <c r="S7872">
        <v>2.2107239999999999</v>
      </c>
      <c r="T7872">
        <v>-0.2267113</v>
      </c>
      <c r="U7872">
        <v>2.2085569999999999</v>
      </c>
      <c r="V7872">
        <v>-0.2414541</v>
      </c>
      <c r="W7872">
        <v>0.22021070000000001</v>
      </c>
      <c r="X7872">
        <v>0.94509639999999995</v>
      </c>
      <c r="Y7872">
        <v>-0.28567320000000002</v>
      </c>
      <c r="Z7872">
        <v>-2.5149950000000001E-2</v>
      </c>
      <c r="AA7872">
        <v>0.95799699999999999</v>
      </c>
      <c r="AB7872">
        <v>39</v>
      </c>
      <c r="AC7872">
        <v>10.755799999999899</v>
      </c>
      <c r="AD7872">
        <v>-1.12325100911399</v>
      </c>
      <c r="AE7872">
        <v>10.8312299999999</v>
      </c>
      <c r="AF7872">
        <v>-4.3894503538196803</v>
      </c>
      <c r="AG7872">
        <v>-1.12325100911399</v>
      </c>
      <c r="AH7872">
        <v>14.5338386471847</v>
      </c>
      <c r="AI7872">
        <v>94.231298847534404</v>
      </c>
      <c r="AJ7872">
        <v>106.80515098521499</v>
      </c>
      <c r="AK7872">
        <v>15.2237128539828</v>
      </c>
      <c r="AL7872">
        <v>77.278591543260703</v>
      </c>
      <c r="AM7872">
        <v>104.331421331054</v>
      </c>
      <c r="AN7872">
        <v>1.00000002004712</v>
      </c>
    </row>
    <row r="7873" spans="1:40" x14ac:dyDescent="0.25">
      <c r="A7873" t="str">
        <f>"20190312172303001"</f>
        <v>20190312172303001</v>
      </c>
      <c r="B7873" t="str">
        <f>"1552382582998587"</f>
        <v>1552382582998587</v>
      </c>
      <c r="C7873" t="s">
        <v>40</v>
      </c>
      <c r="D7873">
        <v>3.6000589999999901</v>
      </c>
      <c r="E7873">
        <v>0.47963709999999998</v>
      </c>
      <c r="F7873" t="s">
        <v>64</v>
      </c>
      <c r="G7873">
        <v>-185.27529999999999</v>
      </c>
      <c r="H7873" s="1">
        <v>-4.0943290000000001E-6</v>
      </c>
      <c r="I7873">
        <v>-47.613460000000003</v>
      </c>
      <c r="J7873">
        <v>-195.93950000000001</v>
      </c>
      <c r="K7873">
        <v>1.123351</v>
      </c>
      <c r="L7873">
        <v>-58.543700000000001</v>
      </c>
      <c r="M7873">
        <v>0.87609490000000001</v>
      </c>
      <c r="N7873">
        <v>0</v>
      </c>
      <c r="O7873">
        <v>0.4818789</v>
      </c>
      <c r="P7873">
        <v>0.71802410000000005</v>
      </c>
      <c r="Q7873">
        <v>0.21327019999999999</v>
      </c>
      <c r="R7873">
        <v>0.66253850000000003</v>
      </c>
      <c r="S7873">
        <v>2.1904140000000001</v>
      </c>
      <c r="T7873">
        <v>-0.22692989999999999</v>
      </c>
      <c r="U7873">
        <v>2.2286069999999998</v>
      </c>
      <c r="V7873">
        <v>-0.241762</v>
      </c>
      <c r="W7873">
        <v>0.22052189999999999</v>
      </c>
      <c r="X7873">
        <v>0.94494509999999998</v>
      </c>
      <c r="Y7873">
        <v>-0.28745609999999999</v>
      </c>
      <c r="Z7873">
        <v>-2.561428E-2</v>
      </c>
      <c r="AA7873">
        <v>0.95745130000000001</v>
      </c>
      <c r="AB7873">
        <v>39</v>
      </c>
      <c r="AC7873">
        <v>10.664199999999999</v>
      </c>
      <c r="AD7873">
        <v>-1.123355094329</v>
      </c>
      <c r="AE7873">
        <v>10.93024</v>
      </c>
      <c r="AF7873">
        <v>-4.4137454963603799</v>
      </c>
      <c r="AG7873">
        <v>-1.123355094329</v>
      </c>
      <c r="AH7873">
        <v>14.5330879451813</v>
      </c>
      <c r="AI7873">
        <v>94.229934070992599</v>
      </c>
      <c r="AJ7873">
        <v>106.89370441146799</v>
      </c>
      <c r="AK7873">
        <v>15.230026959824199</v>
      </c>
      <c r="AL7873">
        <v>77.2603115654356</v>
      </c>
      <c r="AM7873">
        <v>104.351145067286</v>
      </c>
      <c r="AN7873">
        <v>1.00000000751881</v>
      </c>
    </row>
    <row r="7874" spans="1:40" x14ac:dyDescent="0.25">
      <c r="A7874" t="str">
        <f>"20190312172303010"</f>
        <v>20190312172303010</v>
      </c>
      <c r="B7874" t="str">
        <f>"1552382582998587"</f>
        <v>1552382582998587</v>
      </c>
      <c r="C7874" t="s">
        <v>40</v>
      </c>
      <c r="D7874">
        <v>3.6000589999999901</v>
      </c>
      <c r="E7874">
        <v>0.47963709999999998</v>
      </c>
      <c r="F7874" t="s">
        <v>64</v>
      </c>
      <c r="G7874">
        <v>-185.37530000000001</v>
      </c>
      <c r="H7874" s="1">
        <v>-4.1072180000000003E-6</v>
      </c>
      <c r="I7874">
        <v>-47.62323</v>
      </c>
      <c r="J7874">
        <v>-195.79660000000001</v>
      </c>
      <c r="K7874">
        <v>1.1234360000000001</v>
      </c>
      <c r="L7874">
        <v>-58.460540000000002</v>
      </c>
      <c r="M7874">
        <v>0.873198699999999</v>
      </c>
      <c r="N7874">
        <v>0</v>
      </c>
      <c r="O7874">
        <v>0.48710569999999997</v>
      </c>
      <c r="P7874">
        <v>0.71394259999999998</v>
      </c>
      <c r="Q7874">
        <v>0.21354609999999999</v>
      </c>
      <c r="R7874">
        <v>0.6668463</v>
      </c>
      <c r="S7874">
        <v>2.1735530000000001</v>
      </c>
      <c r="T7874">
        <v>-0.23112730000000001</v>
      </c>
      <c r="U7874">
        <v>2.2468569999999999</v>
      </c>
      <c r="V7874">
        <v>-0.24189620000000001</v>
      </c>
      <c r="W7874">
        <v>0.22078929999999999</v>
      </c>
      <c r="X7874">
        <v>0.94484829999999997</v>
      </c>
      <c r="Y7874">
        <v>-0.28935319999999998</v>
      </c>
      <c r="Z7874">
        <v>-2.642748E-2</v>
      </c>
      <c r="AA7874">
        <v>0.95685759999999997</v>
      </c>
      <c r="AB7874">
        <v>39</v>
      </c>
      <c r="AC7874">
        <v>10.4213</v>
      </c>
      <c r="AD7874">
        <v>-1.123440107218</v>
      </c>
      <c r="AE7874">
        <v>10.83731</v>
      </c>
      <c r="AF7874">
        <v>-4.36304302829212</v>
      </c>
      <c r="AG7874">
        <v>-1.123440107218</v>
      </c>
      <c r="AH7874">
        <v>14.300747746421299</v>
      </c>
      <c r="AI7874">
        <v>94.297068623228697</v>
      </c>
      <c r="AJ7874">
        <v>106.966525775675</v>
      </c>
      <c r="AK7874">
        <v>14.993653599040099</v>
      </c>
      <c r="AL7874">
        <v>77.244603378566595</v>
      </c>
      <c r="AM7874">
        <v>104.360192201758</v>
      </c>
      <c r="AN7874">
        <v>0.99999999829090902</v>
      </c>
    </row>
    <row r="7875" spans="1:40" x14ac:dyDescent="0.25">
      <c r="A7875" t="str">
        <f>"20190312172303022"</f>
        <v>20190312172303022</v>
      </c>
      <c r="B7875" t="str">
        <f>"1552382583018107"</f>
        <v>1552382583018107</v>
      </c>
      <c r="C7875" t="s">
        <v>40</v>
      </c>
      <c r="D7875">
        <v>3.4766550000000001</v>
      </c>
      <c r="E7875">
        <v>0.48061809999999999</v>
      </c>
      <c r="F7875" t="s">
        <v>64</v>
      </c>
      <c r="G7875">
        <v>-185.2586</v>
      </c>
      <c r="H7875" s="1">
        <v>-4.1803380000000002E-6</v>
      </c>
      <c r="I7875">
        <v>-47.436610000000002</v>
      </c>
      <c r="J7875">
        <v>-195.637</v>
      </c>
      <c r="K7875">
        <v>1.1235310000000001</v>
      </c>
      <c r="L7875">
        <v>-58.367310000000003</v>
      </c>
      <c r="M7875">
        <v>0.86991879999999999</v>
      </c>
      <c r="N7875">
        <v>0</v>
      </c>
      <c r="O7875">
        <v>0.49293769999999998</v>
      </c>
      <c r="P7875">
        <v>0.70931769999999905</v>
      </c>
      <c r="Q7875">
        <v>0.2135676</v>
      </c>
      <c r="R7875">
        <v>0.67175689999999999</v>
      </c>
      <c r="S7875">
        <v>2.1601870000000001</v>
      </c>
      <c r="T7875">
        <v>-0.2302942</v>
      </c>
      <c r="U7875">
        <v>2.2597960000000001</v>
      </c>
      <c r="V7875">
        <v>-0.2421507</v>
      </c>
      <c r="W7875">
        <v>0.22079670000000001</v>
      </c>
      <c r="X7875">
        <v>0.94478139999999999</v>
      </c>
      <c r="Y7875">
        <v>-0.28865229999999997</v>
      </c>
      <c r="Z7875">
        <v>-2.682035E-2</v>
      </c>
      <c r="AA7875">
        <v>0.95705830000000003</v>
      </c>
      <c r="AB7875">
        <v>39</v>
      </c>
      <c r="AC7875">
        <v>10.378399999999999</v>
      </c>
      <c r="AD7875">
        <v>-1.123535180338</v>
      </c>
      <c r="AE7875">
        <v>10.9307</v>
      </c>
      <c r="AF7875">
        <v>-4.36919782175453</v>
      </c>
      <c r="AG7875">
        <v>-1.123535180338</v>
      </c>
      <c r="AH7875">
        <v>14.338679280375199</v>
      </c>
      <c r="AI7875">
        <v>94.286555033086003</v>
      </c>
      <c r="AJ7875">
        <v>106.94671822240301</v>
      </c>
      <c r="AK7875">
        <v>15.031631462104899</v>
      </c>
      <c r="AL7875">
        <v>77.244168930066905</v>
      </c>
      <c r="AM7875">
        <v>104.375650565417</v>
      </c>
      <c r="AN7875">
        <v>1.00000001901366</v>
      </c>
    </row>
    <row r="7876" spans="1:40" x14ac:dyDescent="0.25">
      <c r="A7876" t="str">
        <f>"20190312172303034"</f>
        <v>20190312172303034</v>
      </c>
      <c r="B7876" t="str">
        <f>"1552382583027866"</f>
        <v>1552382583027866</v>
      </c>
      <c r="C7876" t="s">
        <v>40</v>
      </c>
      <c r="D7876">
        <v>3.4434650000000002</v>
      </c>
      <c r="E7876">
        <v>0.48100409999999999</v>
      </c>
      <c r="F7876" t="s">
        <v>64</v>
      </c>
      <c r="G7876">
        <v>-185.18530000000001</v>
      </c>
      <c r="H7876" s="1">
        <v>-4.2165929999999996E-6</v>
      </c>
      <c r="I7876">
        <v>-47.338639999999998</v>
      </c>
      <c r="J7876">
        <v>-195.45240000000001</v>
      </c>
      <c r="K7876">
        <v>1.1236409999999999</v>
      </c>
      <c r="L7876">
        <v>-58.256770000000003</v>
      </c>
      <c r="M7876">
        <v>0.86599959999999898</v>
      </c>
      <c r="N7876">
        <v>0</v>
      </c>
      <c r="O7876">
        <v>0.49978909999999999</v>
      </c>
      <c r="P7876">
        <v>0.70393119999999998</v>
      </c>
      <c r="Q7876">
        <v>0.21378069999999999</v>
      </c>
      <c r="R7876">
        <v>0.67733199999999905</v>
      </c>
      <c r="S7876">
        <v>2.1502379999999999</v>
      </c>
      <c r="T7876">
        <v>-0.23114419999999999</v>
      </c>
      <c r="U7876">
        <v>2.2689210000000002</v>
      </c>
      <c r="V7876">
        <v>-0.24224570000000001</v>
      </c>
      <c r="W7876">
        <v>0.22099859999999999</v>
      </c>
      <c r="X7876">
        <v>0.94470980000000004</v>
      </c>
      <c r="Y7876">
        <v>-0.28524860000000002</v>
      </c>
      <c r="Z7876">
        <v>-2.7585370000000001E-2</v>
      </c>
      <c r="AA7876">
        <v>0.95805649999999998</v>
      </c>
      <c r="AB7876">
        <v>39</v>
      </c>
      <c r="AC7876">
        <v>10.267099999999999</v>
      </c>
      <c r="AD7876">
        <v>-1.123645216593</v>
      </c>
      <c r="AE7876">
        <v>10.9181299999999</v>
      </c>
      <c r="AF7876">
        <v>-4.3000933660296496</v>
      </c>
      <c r="AG7876">
        <v>-1.123645216593</v>
      </c>
      <c r="AH7876">
        <v>14.2696908635636</v>
      </c>
      <c r="AI7876">
        <v>94.311636487895996</v>
      </c>
      <c r="AJ7876">
        <v>106.76989347939001</v>
      </c>
      <c r="AK7876">
        <v>14.9458174373641</v>
      </c>
      <c r="AL7876">
        <v>77.232307445770402</v>
      </c>
      <c r="AM7876">
        <v>104.382101264743</v>
      </c>
      <c r="AN7876">
        <v>0.99999998329324402</v>
      </c>
    </row>
    <row r="7877" spans="1:40" x14ac:dyDescent="0.25">
      <c r="A7877" t="str">
        <f>"20190312172303045"</f>
        <v>20190312172303045</v>
      </c>
      <c r="B7877" t="str">
        <f>"1552382583038602"</f>
        <v>1552382583038602</v>
      </c>
      <c r="C7877" t="s">
        <v>40</v>
      </c>
      <c r="D7877">
        <v>3.5105870000000001</v>
      </c>
      <c r="E7877">
        <v>0.4812264</v>
      </c>
      <c r="F7877" t="s">
        <v>64</v>
      </c>
      <c r="G7877">
        <v>-185.1053</v>
      </c>
      <c r="H7877" s="1">
        <v>-4.2797839999999996E-6</v>
      </c>
      <c r="I7877">
        <v>-47.184759999999997</v>
      </c>
      <c r="J7877">
        <v>-195.3048</v>
      </c>
      <c r="K7877">
        <v>1.123729</v>
      </c>
      <c r="L7877">
        <v>-58.167270000000002</v>
      </c>
      <c r="M7877">
        <v>0.86279399999999995</v>
      </c>
      <c r="N7877">
        <v>0</v>
      </c>
      <c r="O7877">
        <v>0.50530149999999996</v>
      </c>
      <c r="P7877">
        <v>0.69960169999999999</v>
      </c>
      <c r="Q7877">
        <v>0.21414059999999999</v>
      </c>
      <c r="R7877">
        <v>0.68169009999999997</v>
      </c>
      <c r="S7877">
        <v>2.1344759999999998</v>
      </c>
      <c r="T7877">
        <v>-0.23179179999999999</v>
      </c>
      <c r="U7877">
        <v>2.2839969999999998</v>
      </c>
      <c r="V7877">
        <v>-0.2422028</v>
      </c>
      <c r="W7877">
        <v>0.22135199999999999</v>
      </c>
      <c r="X7877">
        <v>0.94463810000000004</v>
      </c>
      <c r="Y7877">
        <v>-0.2858329</v>
      </c>
      <c r="Z7877">
        <v>-2.808335E-2</v>
      </c>
      <c r="AA7877">
        <v>0.95786789999999999</v>
      </c>
      <c r="AB7877">
        <v>39</v>
      </c>
      <c r="AC7877">
        <v>10.1995</v>
      </c>
      <c r="AD7877">
        <v>-1.1237332797840001</v>
      </c>
      <c r="AE7877">
        <v>10.9825099999999</v>
      </c>
      <c r="AF7877">
        <v>-4.2982152144101802</v>
      </c>
      <c r="AG7877">
        <v>-1.1237332797840001</v>
      </c>
      <c r="AH7877">
        <v>14.271168684541299</v>
      </c>
      <c r="AI7877">
        <v>94.311721446072596</v>
      </c>
      <c r="AJ7877">
        <v>106.76134135612099</v>
      </c>
      <c r="AK7877">
        <v>14.9466948231412</v>
      </c>
      <c r="AL7877">
        <v>77.211545418042604</v>
      </c>
      <c r="AM7877">
        <v>104.380706100449</v>
      </c>
      <c r="AN7877">
        <v>1.00000002210172</v>
      </c>
    </row>
    <row r="7878" spans="1:40" x14ac:dyDescent="0.25">
      <c r="A7878" t="str">
        <f>"20190312172303056"</f>
        <v>20190312172303056</v>
      </c>
      <c r="B7878" t="str">
        <f>"1552382583048362"</f>
        <v>1552382583048362</v>
      </c>
      <c r="C7878" t="s">
        <v>40</v>
      </c>
      <c r="D7878">
        <v>3.4495089999999902</v>
      </c>
      <c r="E7878">
        <v>0.48173759999999999</v>
      </c>
      <c r="F7878" t="s">
        <v>64</v>
      </c>
      <c r="G7878">
        <v>-184.8536</v>
      </c>
      <c r="H7878" s="1">
        <v>-4.4003769999999998E-6</v>
      </c>
      <c r="I7878">
        <v>-46.856110000000001</v>
      </c>
      <c r="J7878">
        <v>-195.14169999999999</v>
      </c>
      <c r="K7878">
        <v>1.1238269999999999</v>
      </c>
      <c r="L7878">
        <v>-58.066800000000001</v>
      </c>
      <c r="M7878">
        <v>0.85916719999999902</v>
      </c>
      <c r="N7878">
        <v>0</v>
      </c>
      <c r="O7878">
        <v>0.51144219999999996</v>
      </c>
      <c r="P7878">
        <v>0.69466470000000002</v>
      </c>
      <c r="Q7878">
        <v>0.21449969999999999</v>
      </c>
      <c r="R7878">
        <v>0.68660810000000005</v>
      </c>
      <c r="S7878">
        <v>2.1210939999999998</v>
      </c>
      <c r="T7878">
        <v>-0.22806419999999999</v>
      </c>
      <c r="U7878">
        <v>2.2956240000000001</v>
      </c>
      <c r="V7878">
        <v>-0.2422503</v>
      </c>
      <c r="W7878">
        <v>0.22169939999999999</v>
      </c>
      <c r="X7878">
        <v>0.94454439999999995</v>
      </c>
      <c r="Y7878">
        <v>-0.28442810000000002</v>
      </c>
      <c r="Z7878">
        <v>-2.817101E-2</v>
      </c>
      <c r="AA7878">
        <v>0.95828340000000001</v>
      </c>
      <c r="AB7878">
        <v>38</v>
      </c>
      <c r="AC7878">
        <v>10.288099999999901</v>
      </c>
      <c r="AD7878">
        <v>-1.123831400377</v>
      </c>
      <c r="AE7878">
        <v>11.21069</v>
      </c>
      <c r="AF7878">
        <v>-4.3469406648151203</v>
      </c>
      <c r="AG7878">
        <v>-1.123831400377</v>
      </c>
      <c r="AH7878">
        <v>14.4956270934983</v>
      </c>
      <c r="AI7878">
        <v>94.247090307070295</v>
      </c>
      <c r="AJ7878">
        <v>106.69290726500699</v>
      </c>
      <c r="AK7878">
        <v>15.175048434639599</v>
      </c>
      <c r="AL7878">
        <v>77.191133148062505</v>
      </c>
      <c r="AM7878">
        <v>104.384777049718</v>
      </c>
      <c r="AN7878">
        <v>0.99999997769090399</v>
      </c>
    </row>
    <row r="7879" spans="1:40" x14ac:dyDescent="0.25">
      <c r="A7879" t="str">
        <f>"20190312172303070"</f>
        <v>20190312172303070</v>
      </c>
      <c r="B7879" t="str">
        <f>"1552382583058123"</f>
        <v>1552382583058123</v>
      </c>
      <c r="C7879" t="s">
        <v>40</v>
      </c>
      <c r="D7879">
        <v>3.6078169999999998</v>
      </c>
      <c r="E7879">
        <v>0.4820316</v>
      </c>
      <c r="F7879" t="s">
        <v>64</v>
      </c>
      <c r="G7879">
        <v>-184.745</v>
      </c>
      <c r="H7879" s="1">
        <v>-4.4684640000000004E-6</v>
      </c>
      <c r="I7879">
        <v>-46.682389999999998</v>
      </c>
      <c r="J7879">
        <v>-194.93459999999999</v>
      </c>
      <c r="K7879">
        <v>1.1239490000000001</v>
      </c>
      <c r="L7879">
        <v>-57.936549999999997</v>
      </c>
      <c r="M7879">
        <v>0.85441919999999905</v>
      </c>
      <c r="N7879">
        <v>0</v>
      </c>
      <c r="O7879">
        <v>0.51933359999999995</v>
      </c>
      <c r="P7879">
        <v>0.68845840000000003</v>
      </c>
      <c r="Q7879">
        <v>0.21493670000000001</v>
      </c>
      <c r="R7879">
        <v>0.69269569999999903</v>
      </c>
      <c r="S7879">
        <v>2.107742</v>
      </c>
      <c r="T7879">
        <v>-0.2278366</v>
      </c>
      <c r="U7879">
        <v>2.3079830000000001</v>
      </c>
      <c r="V7879">
        <v>-0.2420156</v>
      </c>
      <c r="W7879">
        <v>0.2221303</v>
      </c>
      <c r="X7879">
        <v>0.94450330000000005</v>
      </c>
      <c r="Y7879">
        <v>-0.28119499999999997</v>
      </c>
      <c r="Z7879">
        <v>-2.8873530000000001E-2</v>
      </c>
      <c r="AA7879">
        <v>0.95921619999999996</v>
      </c>
      <c r="AB7879">
        <v>38</v>
      </c>
      <c r="AC7879">
        <v>10.189599999999899</v>
      </c>
      <c r="AD7879">
        <v>-1.123953468464</v>
      </c>
      <c r="AE7879">
        <v>11.254159999999899</v>
      </c>
      <c r="AF7879">
        <v>-4.3009585816417202</v>
      </c>
      <c r="AG7879">
        <v>-1.123953468464</v>
      </c>
      <c r="AH7879">
        <v>14.473420430524101</v>
      </c>
      <c r="AI7879">
        <v>94.257200526706001</v>
      </c>
      <c r="AJ7879">
        <v>106.549977841621</v>
      </c>
      <c r="AK7879">
        <v>15.1407204280041</v>
      </c>
      <c r="AL7879">
        <v>77.165812734295301</v>
      </c>
      <c r="AM7879">
        <v>104.372017566415</v>
      </c>
      <c r="AN7879">
        <v>0.999999952266168</v>
      </c>
    </row>
    <row r="7880" spans="1:40" x14ac:dyDescent="0.25">
      <c r="A7880" t="str">
        <f>"20190312172303080"</f>
        <v>20190312172303080</v>
      </c>
      <c r="B7880" t="str">
        <f>"1552382583078619"</f>
        <v>1552382583078619</v>
      </c>
      <c r="C7880" t="s">
        <v>40</v>
      </c>
      <c r="D7880">
        <v>3.4610259999999999</v>
      </c>
      <c r="E7880">
        <v>0.4831607</v>
      </c>
      <c r="F7880" t="s">
        <v>64</v>
      </c>
      <c r="G7880">
        <v>-184.70070000000001</v>
      </c>
      <c r="H7880" s="1">
        <v>-4.529392E-6</v>
      </c>
      <c r="I7880">
        <v>-46.545630000000003</v>
      </c>
      <c r="J7880">
        <v>-194.78989999999999</v>
      </c>
      <c r="K7880">
        <v>1.1240349999999999</v>
      </c>
      <c r="L7880">
        <v>-57.844729999999998</v>
      </c>
      <c r="M7880">
        <v>0.85103419999999896</v>
      </c>
      <c r="N7880">
        <v>0</v>
      </c>
      <c r="O7880">
        <v>0.52486089999999996</v>
      </c>
      <c r="P7880">
        <v>0.68398780000000003</v>
      </c>
      <c r="Q7880">
        <v>0.2153767</v>
      </c>
      <c r="R7880">
        <v>0.6969746</v>
      </c>
      <c r="S7880">
        <v>2.08934</v>
      </c>
      <c r="T7880">
        <v>-0.22946540000000001</v>
      </c>
      <c r="U7880">
        <v>2.3255620000000001</v>
      </c>
      <c r="V7880">
        <v>-0.24191550000000001</v>
      </c>
      <c r="W7880">
        <v>0.2225627</v>
      </c>
      <c r="X7880">
        <v>0.94442720000000002</v>
      </c>
      <c r="Y7880">
        <v>-0.2827943</v>
      </c>
      <c r="Z7880">
        <v>-2.946033E-2</v>
      </c>
      <c r="AA7880">
        <v>0.95872800000000002</v>
      </c>
      <c r="AB7880">
        <v>38</v>
      </c>
      <c r="AC7880">
        <v>10.0891999999999</v>
      </c>
      <c r="AD7880">
        <v>-1.124039529392</v>
      </c>
      <c r="AE7880">
        <v>11.299099999999999</v>
      </c>
      <c r="AF7880">
        <v>-4.2973972662954401</v>
      </c>
      <c r="AG7880">
        <v>-1.124039529392</v>
      </c>
      <c r="AH7880">
        <v>14.439106032107199</v>
      </c>
      <c r="AI7880">
        <v>94.267072086525502</v>
      </c>
      <c r="AJ7880">
        <v>106.57416916888999</v>
      </c>
      <c r="AK7880">
        <v>15.1069146795245</v>
      </c>
      <c r="AL7880">
        <v>77.140402576299095</v>
      </c>
      <c r="AM7880">
        <v>104.36742893501901</v>
      </c>
      <c r="AN7880">
        <v>1.0000000003356899</v>
      </c>
    </row>
    <row r="7881" spans="1:40" x14ac:dyDescent="0.25">
      <c r="A7881" t="str">
        <f>"20190312172303091"</f>
        <v>20190312172303091</v>
      </c>
      <c r="B7881" t="str">
        <f>"1552382583078619"</f>
        <v>1552382583078619</v>
      </c>
      <c r="C7881" t="s">
        <v>40</v>
      </c>
      <c r="D7881">
        <v>3.4610259999999999</v>
      </c>
      <c r="E7881">
        <v>0.4831607</v>
      </c>
      <c r="F7881" t="s">
        <v>64</v>
      </c>
      <c r="G7881">
        <v>-184.5675</v>
      </c>
      <c r="H7881" s="1">
        <v>-4.585155E-6</v>
      </c>
      <c r="I7881">
        <v>-46.387709999999998</v>
      </c>
      <c r="J7881">
        <v>-194.6438</v>
      </c>
      <c r="K7881">
        <v>1.1241209999999999</v>
      </c>
      <c r="L7881">
        <v>-57.749510000000001</v>
      </c>
      <c r="M7881">
        <v>0.84750709999999996</v>
      </c>
      <c r="N7881">
        <v>0</v>
      </c>
      <c r="O7881">
        <v>0.53053640000000002</v>
      </c>
      <c r="P7881">
        <v>0.67950180000000004</v>
      </c>
      <c r="Q7881">
        <v>0.2154924</v>
      </c>
      <c r="R7881">
        <v>0.70131330000000003</v>
      </c>
      <c r="S7881">
        <v>2.081207</v>
      </c>
      <c r="T7881">
        <v>-0.22884789999999999</v>
      </c>
      <c r="U7881">
        <v>2.3325809999999998</v>
      </c>
      <c r="V7881">
        <v>-0.24168400000000001</v>
      </c>
      <c r="W7881">
        <v>0.22267519999999999</v>
      </c>
      <c r="X7881">
        <v>0.94445999999999997</v>
      </c>
      <c r="Y7881">
        <v>-0.27969110000000003</v>
      </c>
      <c r="Z7881">
        <v>-2.9937129999999999E-2</v>
      </c>
      <c r="AA7881">
        <v>0.95962320000000001</v>
      </c>
      <c r="AB7881">
        <v>38</v>
      </c>
      <c r="AC7881">
        <v>10.0763</v>
      </c>
      <c r="AD7881">
        <v>-1.1241255851549901</v>
      </c>
      <c r="AE7881">
        <v>11.361800000000001</v>
      </c>
      <c r="AF7881">
        <v>-4.2605801087612596</v>
      </c>
      <c r="AG7881">
        <v>-1.1241255851549901</v>
      </c>
      <c r="AH7881">
        <v>14.490102923218901</v>
      </c>
      <c r="AI7881">
        <v>94.256571508303693</v>
      </c>
      <c r="AJ7881">
        <v>106.385118946932</v>
      </c>
      <c r="AK7881">
        <v>15.145272659145199</v>
      </c>
      <c r="AL7881">
        <v>77.133791482823696</v>
      </c>
      <c r="AM7881">
        <v>104.353770547759</v>
      </c>
      <c r="AN7881">
        <v>1.0000000460755101</v>
      </c>
    </row>
    <row r="7882" spans="1:40" x14ac:dyDescent="0.25">
      <c r="A7882" t="str">
        <f>"20190312172303100"</f>
        <v>20190312172303100</v>
      </c>
      <c r="B7882" t="str">
        <f>"1552382583088379"</f>
        <v>1552382583088379</v>
      </c>
      <c r="C7882" t="s">
        <v>40</v>
      </c>
      <c r="D7882">
        <v>3.4522560000000002</v>
      </c>
      <c r="E7882">
        <v>0.48363</v>
      </c>
      <c r="F7882" t="s">
        <v>64</v>
      </c>
      <c r="G7882">
        <v>-184.47630000000001</v>
      </c>
      <c r="H7882" s="1">
        <v>-4.6602589999999996E-6</v>
      </c>
      <c r="I7882">
        <v>-46.206180000000003</v>
      </c>
      <c r="J7882">
        <v>-194.51259999999999</v>
      </c>
      <c r="K7882">
        <v>1.1241989999999999</v>
      </c>
      <c r="L7882">
        <v>-57.663910000000001</v>
      </c>
      <c r="M7882">
        <v>0.84430239999999901</v>
      </c>
      <c r="N7882">
        <v>0</v>
      </c>
      <c r="O7882">
        <v>0.53562069999999995</v>
      </c>
      <c r="P7882">
        <v>0.67528940000000004</v>
      </c>
      <c r="Q7882">
        <v>0.21553420000000001</v>
      </c>
      <c r="R7882">
        <v>0.70535760000000003</v>
      </c>
      <c r="S7882">
        <v>2.0662989999999999</v>
      </c>
      <c r="T7882">
        <v>-0.2284496</v>
      </c>
      <c r="U7882">
        <v>2.3458860000000001</v>
      </c>
      <c r="V7882">
        <v>-0.24169669999999999</v>
      </c>
      <c r="W7882">
        <v>0.2227054</v>
      </c>
      <c r="X7882">
        <v>0.9444496</v>
      </c>
      <c r="Y7882">
        <v>-0.28006150000000002</v>
      </c>
      <c r="Z7882">
        <v>-3.0276540000000001E-2</v>
      </c>
      <c r="AA7882">
        <v>0.95950449999999998</v>
      </c>
      <c r="AB7882">
        <v>38</v>
      </c>
      <c r="AC7882">
        <v>10.036299999999899</v>
      </c>
      <c r="AD7882">
        <v>-1.124203660259</v>
      </c>
      <c r="AE7882">
        <v>11.4577299999999</v>
      </c>
      <c r="AF7882">
        <v>-4.2754163136274199</v>
      </c>
      <c r="AG7882">
        <v>-1.124203660259</v>
      </c>
      <c r="AH7882">
        <v>14.5334285999065</v>
      </c>
      <c r="AI7882">
        <v>94.244057174145695</v>
      </c>
      <c r="AJ7882">
        <v>106.392727851134</v>
      </c>
      <c r="AK7882">
        <v>15.1909040347555</v>
      </c>
      <c r="AL7882">
        <v>77.132016219786095</v>
      </c>
      <c r="AM7882">
        <v>104.354645177526</v>
      </c>
      <c r="AN7882">
        <v>1.0000000184600999</v>
      </c>
    </row>
    <row r="7883" spans="1:40" x14ac:dyDescent="0.25">
      <c r="A7883" t="str">
        <f>"20190312172303110"</f>
        <v>20190312172303110</v>
      </c>
      <c r="B7883" t="str">
        <f>"1552382583098139"</f>
        <v>1552382583098139</v>
      </c>
      <c r="C7883" t="s">
        <v>40</v>
      </c>
      <c r="D7883">
        <v>3.6010699999999898</v>
      </c>
      <c r="E7883">
        <v>0.48388589999999998</v>
      </c>
      <c r="F7883" t="s">
        <v>64</v>
      </c>
      <c r="G7883">
        <v>-184.40389999999999</v>
      </c>
      <c r="H7883" s="1">
        <v>-4.7129199999999999E-6</v>
      </c>
      <c r="I7883">
        <v>-46.075920000000004</v>
      </c>
      <c r="J7883">
        <v>-194.3639</v>
      </c>
      <c r="K7883">
        <v>1.1242799999999999</v>
      </c>
      <c r="L7883">
        <v>-57.56418</v>
      </c>
      <c r="M7883">
        <v>0.84055469999999899</v>
      </c>
      <c r="N7883">
        <v>0</v>
      </c>
      <c r="O7883">
        <v>0.54148169999999995</v>
      </c>
      <c r="P7883">
        <v>0.67042889999999999</v>
      </c>
      <c r="Q7883">
        <v>0.21598919999999999</v>
      </c>
      <c r="R7883">
        <v>0.70984069999999899</v>
      </c>
      <c r="S7883">
        <v>2.054932</v>
      </c>
      <c r="T7883">
        <v>-0.2285326</v>
      </c>
      <c r="U7883">
        <v>2.3556520000000001</v>
      </c>
      <c r="V7883">
        <v>-0.2415592</v>
      </c>
      <c r="W7883">
        <v>0.22315209999999999</v>
      </c>
      <c r="X7883">
        <v>0.94437930000000003</v>
      </c>
      <c r="Y7883">
        <v>-0.27799669999999999</v>
      </c>
      <c r="Z7883">
        <v>-3.0822829999999999E-2</v>
      </c>
      <c r="AA7883">
        <v>0.96008740000000004</v>
      </c>
      <c r="AB7883">
        <v>38</v>
      </c>
      <c r="AC7883">
        <v>9.9600000000000009</v>
      </c>
      <c r="AD7883">
        <v>-1.12428471292</v>
      </c>
      <c r="AE7883">
        <v>11.48826</v>
      </c>
      <c r="AF7883">
        <v>-4.2407322353637298</v>
      </c>
      <c r="AG7883">
        <v>-1.12428471292</v>
      </c>
      <c r="AH7883">
        <v>14.515180298471501</v>
      </c>
      <c r="AI7883">
        <v>94.2519876926617</v>
      </c>
      <c r="AJ7883">
        <v>106.28616805409099</v>
      </c>
      <c r="AK7883">
        <v>15.163716071758101</v>
      </c>
      <c r="AL7883">
        <v>77.105761043467695</v>
      </c>
      <c r="AM7883">
        <v>104.347839971601</v>
      </c>
      <c r="AN7883">
        <v>0.99999998455376904</v>
      </c>
    </row>
    <row r="7884" spans="1:40" x14ac:dyDescent="0.25">
      <c r="A7884" t="str">
        <f>"20190312172303123"</f>
        <v>20190312172303123</v>
      </c>
      <c r="B7884" t="str">
        <f>"1552382583118635"</f>
        <v>1552382583118635</v>
      </c>
      <c r="C7884" t="s">
        <v>40</v>
      </c>
      <c r="D7884">
        <v>3.4529879999999999</v>
      </c>
      <c r="E7884">
        <v>0.4848731</v>
      </c>
      <c r="F7884" t="s">
        <v>64</v>
      </c>
      <c r="G7884">
        <v>-184.36519999999999</v>
      </c>
      <c r="H7884" s="1">
        <v>-4.7644249999999997E-6</v>
      </c>
      <c r="I7884">
        <v>-45.959890000000001</v>
      </c>
      <c r="J7884">
        <v>-194.19229999999999</v>
      </c>
      <c r="K7884">
        <v>1.1243669999999999</v>
      </c>
      <c r="L7884">
        <v>-57.448180000000001</v>
      </c>
      <c r="M7884">
        <v>0.83615360000000005</v>
      </c>
      <c r="N7884">
        <v>0</v>
      </c>
      <c r="O7884">
        <v>0.54825219999999997</v>
      </c>
      <c r="P7884">
        <v>0.66473740000000003</v>
      </c>
      <c r="Q7884">
        <v>0.2159826</v>
      </c>
      <c r="R7884">
        <v>0.71517529999999996</v>
      </c>
      <c r="S7884">
        <v>2.0408629999999999</v>
      </c>
      <c r="T7884">
        <v>-0.22948180000000001</v>
      </c>
      <c r="U7884">
        <v>2.3685909999999999</v>
      </c>
      <c r="V7884">
        <v>-0.2415312</v>
      </c>
      <c r="W7884">
        <v>0.22313069999999999</v>
      </c>
      <c r="X7884">
        <v>0.94439150000000005</v>
      </c>
      <c r="Y7884">
        <v>-0.27612619999999999</v>
      </c>
      <c r="Z7884">
        <v>-3.1547209999999999E-2</v>
      </c>
      <c r="AA7884">
        <v>0.96060350000000005</v>
      </c>
      <c r="AB7884">
        <v>38</v>
      </c>
      <c r="AC7884">
        <v>9.8270999999999997</v>
      </c>
      <c r="AD7884">
        <v>-1.124371764425</v>
      </c>
      <c r="AE7884">
        <v>11.488289999999999</v>
      </c>
      <c r="AF7884">
        <v>-4.1956009615581804</v>
      </c>
      <c r="AG7884">
        <v>-1.124371764425</v>
      </c>
      <c r="AH7884">
        <v>14.437521782765</v>
      </c>
      <c r="AI7884">
        <v>94.276882661788207</v>
      </c>
      <c r="AJ7884">
        <v>106.204073601658</v>
      </c>
      <c r="AK7884">
        <v>15.076780641804101</v>
      </c>
      <c r="AL7884">
        <v>77.107018665539499</v>
      </c>
      <c r="AM7884">
        <v>104.346067830428</v>
      </c>
      <c r="AN7884">
        <v>0.99999996756408904</v>
      </c>
    </row>
    <row r="7885" spans="1:40" x14ac:dyDescent="0.25">
      <c r="A7885" t="str">
        <f>"20190312172303134"</f>
        <v>20190312172303134</v>
      </c>
      <c r="B7885" t="str">
        <f>"1552382583128394"</f>
        <v>1552382583128394</v>
      </c>
      <c r="C7885" t="s">
        <v>40</v>
      </c>
      <c r="D7885">
        <v>3.4837839999999902</v>
      </c>
      <c r="E7885">
        <v>0.4848731</v>
      </c>
      <c r="F7885" t="s">
        <v>64</v>
      </c>
      <c r="G7885">
        <v>-184.3064</v>
      </c>
      <c r="H7885" s="1">
        <v>-4.8113979999999997E-6</v>
      </c>
      <c r="I7885">
        <v>-45.845730000000003</v>
      </c>
      <c r="J7885">
        <v>-194.0361</v>
      </c>
      <c r="K7885">
        <v>1.124452</v>
      </c>
      <c r="L7885">
        <v>-57.340449999999997</v>
      </c>
      <c r="M7885">
        <v>0.83203470000000002</v>
      </c>
      <c r="N7885">
        <v>0</v>
      </c>
      <c r="O7885">
        <v>0.55448199999999903</v>
      </c>
      <c r="P7885">
        <v>0.65941329999999998</v>
      </c>
      <c r="Q7885">
        <v>0.21589990000000001</v>
      </c>
      <c r="R7885">
        <v>0.72011199999999997</v>
      </c>
      <c r="S7885">
        <v>2.0276640000000001</v>
      </c>
      <c r="T7885">
        <v>-0.2306153</v>
      </c>
      <c r="U7885">
        <v>2.3797299999999999</v>
      </c>
      <c r="V7885">
        <v>-0.24155019999999999</v>
      </c>
      <c r="W7885">
        <v>0.22303310000000001</v>
      </c>
      <c r="X7885">
        <v>0.94440970000000002</v>
      </c>
      <c r="Y7885">
        <v>-0.27427360000000001</v>
      </c>
      <c r="Z7885">
        <v>-3.2265130000000003E-2</v>
      </c>
      <c r="AA7885">
        <v>0.96111029999999997</v>
      </c>
      <c r="AB7885">
        <v>38</v>
      </c>
      <c r="AC7885">
        <v>9.7296999999999993</v>
      </c>
      <c r="AD7885">
        <v>-1.124456811398</v>
      </c>
      <c r="AE7885">
        <v>11.494719999999999</v>
      </c>
      <c r="AF7885">
        <v>-4.14650401730281</v>
      </c>
      <c r="AG7885">
        <v>-1.124456811398</v>
      </c>
      <c r="AH7885">
        <v>14.3907727201971</v>
      </c>
      <c r="AI7885">
        <v>94.293865535410404</v>
      </c>
      <c r="AJ7885">
        <v>106.073611598447</v>
      </c>
      <c r="AK7885">
        <v>15.018396657785299</v>
      </c>
      <c r="AL7885">
        <v>77.112755358575996</v>
      </c>
      <c r="AM7885">
        <v>104.346884701107</v>
      </c>
      <c r="AN7885">
        <v>0.99999997213486902</v>
      </c>
    </row>
    <row r="7886" spans="1:40" x14ac:dyDescent="0.25">
      <c r="A7886" t="str">
        <f>"20190312172303146"</f>
        <v>20190312172303146</v>
      </c>
      <c r="B7886" t="str">
        <f>"1552382583138154"</f>
        <v>1552382583138154</v>
      </c>
      <c r="C7886" t="s">
        <v>40</v>
      </c>
      <c r="D7886">
        <v>3.5420970000000001</v>
      </c>
      <c r="E7886">
        <v>0.49576930000000002</v>
      </c>
      <c r="F7886" t="s">
        <v>64</v>
      </c>
      <c r="G7886">
        <v>-184.24760000000001</v>
      </c>
      <c r="H7886" s="1">
        <v>-4.8853480000000001E-6</v>
      </c>
      <c r="I7886">
        <v>-45.677990000000001</v>
      </c>
      <c r="J7886">
        <v>-193.8733</v>
      </c>
      <c r="K7886">
        <v>1.12453799999999</v>
      </c>
      <c r="L7886">
        <v>-57.226320000000001</v>
      </c>
      <c r="M7886">
        <v>0.82763589999999998</v>
      </c>
      <c r="N7886">
        <v>0</v>
      </c>
      <c r="O7886">
        <v>0.56102540000000001</v>
      </c>
      <c r="P7886">
        <v>0.6537269</v>
      </c>
      <c r="Q7886">
        <v>0.2159633</v>
      </c>
      <c r="R7886">
        <v>0.72525919999999999</v>
      </c>
      <c r="S7886">
        <v>2.0099330000000002</v>
      </c>
      <c r="T7886">
        <v>-0.2308906</v>
      </c>
      <c r="U7886">
        <v>2.394714</v>
      </c>
      <c r="V7886">
        <v>-0.24157139999999999</v>
      </c>
      <c r="W7886">
        <v>0.22307959999999999</v>
      </c>
      <c r="X7886">
        <v>0.94439329999999999</v>
      </c>
      <c r="Y7886">
        <v>-0.27384140000000001</v>
      </c>
      <c r="Z7886">
        <v>-3.2844999999999999E-2</v>
      </c>
      <c r="AA7886">
        <v>0.96121389999999995</v>
      </c>
      <c r="AB7886">
        <v>38</v>
      </c>
      <c r="AC7886">
        <v>9.6256999999999895</v>
      </c>
      <c r="AD7886">
        <v>-1.12454288534799</v>
      </c>
      <c r="AE7886">
        <v>11.548329999999901</v>
      </c>
      <c r="AF7886">
        <v>-4.1349746083350096</v>
      </c>
      <c r="AG7886">
        <v>-1.12454288534799</v>
      </c>
      <c r="AH7886">
        <v>14.3670417031678</v>
      </c>
      <c r="AI7886">
        <v>94.301631528147993</v>
      </c>
      <c r="AJ7886">
        <v>106.05633412122</v>
      </c>
      <c r="AK7886">
        <v>14.992481416134</v>
      </c>
      <c r="AL7886">
        <v>77.110022311357795</v>
      </c>
      <c r="AM7886">
        <v>104.348330768474</v>
      </c>
      <c r="AN7886">
        <v>0.99999997715950395</v>
      </c>
    </row>
    <row r="7887" spans="1:40" x14ac:dyDescent="0.25">
      <c r="A7887" t="str">
        <f>"20190312172303157"</f>
        <v>20190312172303157</v>
      </c>
      <c r="B7887" t="str">
        <f>"1552382583147915"</f>
        <v>1552382583147915</v>
      </c>
      <c r="C7887" t="s">
        <v>40</v>
      </c>
      <c r="D7887">
        <v>3.5005679999999999</v>
      </c>
      <c r="E7887">
        <v>0.49632009999999999</v>
      </c>
      <c r="F7887" t="s">
        <v>64</v>
      </c>
      <c r="G7887">
        <v>-184.9348</v>
      </c>
      <c r="H7887" s="1">
        <v>-4.3439659999999997E-6</v>
      </c>
      <c r="I7887">
        <v>-46.996920000000003</v>
      </c>
      <c r="J7887">
        <v>-193.7115</v>
      </c>
      <c r="K7887">
        <v>1.1246210000000001</v>
      </c>
      <c r="L7887">
        <v>-57.111420000000003</v>
      </c>
      <c r="M7887">
        <v>0.82316859999999903</v>
      </c>
      <c r="N7887">
        <v>0</v>
      </c>
      <c r="O7887">
        <v>0.56755889999999998</v>
      </c>
      <c r="P7887">
        <v>0.64790590000000003</v>
      </c>
      <c r="Q7887">
        <v>0.21564949999999999</v>
      </c>
      <c r="R7887">
        <v>0.73055680000000001</v>
      </c>
      <c r="S7887">
        <v>2.0596619999999999</v>
      </c>
      <c r="T7887">
        <v>-0.25912370000000001</v>
      </c>
      <c r="U7887">
        <v>2.3571170000000001</v>
      </c>
      <c r="V7887">
        <v>-0.2417639</v>
      </c>
      <c r="W7887">
        <v>0.22274360000000001</v>
      </c>
      <c r="X7887">
        <v>0.94442340000000002</v>
      </c>
      <c r="Y7887">
        <v>-0.24722440000000001</v>
      </c>
      <c r="Z7887">
        <v>-3.8343910000000002E-2</v>
      </c>
      <c r="AA7887">
        <v>0.96819929999999998</v>
      </c>
      <c r="AB7887">
        <v>38</v>
      </c>
      <c r="AC7887">
        <v>8.7766999999999999</v>
      </c>
      <c r="AD7887">
        <v>-1.1246253439659999</v>
      </c>
      <c r="AE7887">
        <v>10.1144999999999</v>
      </c>
      <c r="AF7887">
        <v>-3.3216701388223302</v>
      </c>
      <c r="AG7887">
        <v>-1.1246253439659999</v>
      </c>
      <c r="AH7887">
        <v>12.876219443852699</v>
      </c>
      <c r="AI7887">
        <v>94.834144749165503</v>
      </c>
      <c r="AJ7887">
        <v>104.465182565384</v>
      </c>
      <c r="AK7887">
        <v>13.345235173712201</v>
      </c>
      <c r="AL7887">
        <v>77.129771233782606</v>
      </c>
      <c r="AM7887">
        <v>104.35885313288</v>
      </c>
      <c r="AN7887">
        <v>1.00000002657586</v>
      </c>
    </row>
    <row r="7888" spans="1:40" x14ac:dyDescent="0.25">
      <c r="A7888" t="str">
        <f>"20190312172303170"</f>
        <v>20190312172303170</v>
      </c>
      <c r="B7888" t="str">
        <f>"1552382583157675"</f>
        <v>1552382583157675</v>
      </c>
      <c r="C7888" t="s">
        <v>40</v>
      </c>
      <c r="D7888">
        <v>3.4722529999999998</v>
      </c>
      <c r="E7888">
        <v>0.49674410000000002</v>
      </c>
      <c r="F7888" t="s">
        <v>64</v>
      </c>
      <c r="G7888">
        <v>-184.8492</v>
      </c>
      <c r="H7888" s="1">
        <v>-4.4118660000000004E-6</v>
      </c>
      <c r="I7888">
        <v>-46.831690000000002</v>
      </c>
      <c r="J7888">
        <v>-193.56180000000001</v>
      </c>
      <c r="K7888">
        <v>1.1246989999999999</v>
      </c>
      <c r="L7888">
        <v>-57.002560000000003</v>
      </c>
      <c r="M7888">
        <v>0.81891130000000001</v>
      </c>
      <c r="N7888">
        <v>0</v>
      </c>
      <c r="O7888">
        <v>0.57368350000000001</v>
      </c>
      <c r="P7888">
        <v>0.64229250000000004</v>
      </c>
      <c r="Q7888">
        <v>0.21518880000000001</v>
      </c>
      <c r="R7888">
        <v>0.73563179999999995</v>
      </c>
      <c r="S7888">
        <v>2.0436860000000001</v>
      </c>
      <c r="T7888">
        <v>-0.25934279999999998</v>
      </c>
      <c r="U7888">
        <v>2.3705440000000002</v>
      </c>
      <c r="V7888">
        <v>-0.242091</v>
      </c>
      <c r="W7888">
        <v>0.22225590000000001</v>
      </c>
      <c r="X7888">
        <v>0.94445449999999997</v>
      </c>
      <c r="Y7888">
        <v>-0.24646850000000001</v>
      </c>
      <c r="Z7888">
        <v>-3.8957140000000001E-2</v>
      </c>
      <c r="AA7888">
        <v>0.96836750000000005</v>
      </c>
      <c r="AB7888">
        <v>38</v>
      </c>
      <c r="AC7888">
        <v>8.7126000000000001</v>
      </c>
      <c r="AD7888">
        <v>-1.124703411866</v>
      </c>
      <c r="AE7888">
        <v>10.170869999999899</v>
      </c>
      <c r="AF7888">
        <v>-3.3078880011084602</v>
      </c>
      <c r="AG7888">
        <v>-1.124703411866</v>
      </c>
      <c r="AH7888">
        <v>12.8806238850861</v>
      </c>
      <c r="AI7888">
        <v>94.834178426557102</v>
      </c>
      <c r="AJ7888">
        <v>104.402945728868</v>
      </c>
      <c r="AK7888">
        <v>13.3460688017704</v>
      </c>
      <c r="AL7888">
        <v>77.158432766762701</v>
      </c>
      <c r="AM7888">
        <v>104.377021651362</v>
      </c>
      <c r="AN7888">
        <v>1.0000000199680199</v>
      </c>
    </row>
    <row r="7889" spans="1:40" x14ac:dyDescent="0.25">
      <c r="A7889" t="str">
        <f>"20190312172303182"</f>
        <v>20190312172303182</v>
      </c>
      <c r="B7889" t="str">
        <f>"1552382583178171"</f>
        <v>1552382583178171</v>
      </c>
      <c r="C7889" t="s">
        <v>40</v>
      </c>
      <c r="D7889">
        <v>3.4805169999999999</v>
      </c>
      <c r="E7889">
        <v>0.49747540000000001</v>
      </c>
      <c r="F7889" t="s">
        <v>64</v>
      </c>
      <c r="G7889">
        <v>-184.86170000000001</v>
      </c>
      <c r="H7889" s="1">
        <v>-4.4420890000000001E-6</v>
      </c>
      <c r="I7889">
        <v>-46.776069999999997</v>
      </c>
      <c r="J7889">
        <v>-193.398</v>
      </c>
      <c r="K7889">
        <v>1.124787</v>
      </c>
      <c r="L7889">
        <v>-56.882510000000003</v>
      </c>
      <c r="M7889">
        <v>0.81417130000000004</v>
      </c>
      <c r="N7889">
        <v>0</v>
      </c>
      <c r="O7889">
        <v>0.58038990000000001</v>
      </c>
      <c r="P7889">
        <v>0.6361445</v>
      </c>
      <c r="Q7889">
        <v>0.21496319999999999</v>
      </c>
      <c r="R7889">
        <v>0.74102029999999997</v>
      </c>
      <c r="S7889">
        <v>2.028168</v>
      </c>
      <c r="T7889">
        <v>-0.26219130000000002</v>
      </c>
      <c r="U7889">
        <v>2.3840029999999999</v>
      </c>
      <c r="V7889">
        <v>-0.24229390000000001</v>
      </c>
      <c r="W7889">
        <v>0.2220048</v>
      </c>
      <c r="X7889">
        <v>0.94446149999999995</v>
      </c>
      <c r="Y7889">
        <v>-0.24490029999999999</v>
      </c>
      <c r="Z7889">
        <v>-4.0046850000000002E-2</v>
      </c>
      <c r="AA7889">
        <v>0.9687209</v>
      </c>
      <c r="AB7889">
        <v>38</v>
      </c>
      <c r="AC7889">
        <v>8.5362999999999793</v>
      </c>
      <c r="AD7889">
        <v>-1.1247914420889999</v>
      </c>
      <c r="AE7889">
        <v>10.1064399999999</v>
      </c>
      <c r="AF7889">
        <v>-3.2509361510201198</v>
      </c>
      <c r="AG7889">
        <v>-1.1247914420889999</v>
      </c>
      <c r="AH7889">
        <v>12.725440089675001</v>
      </c>
      <c r="AI7889">
        <v>94.894799727571396</v>
      </c>
      <c r="AJ7889">
        <v>104.330698494904</v>
      </c>
      <c r="AK7889">
        <v>13.1822064587881</v>
      </c>
      <c r="AL7889">
        <v>77.173188051932698</v>
      </c>
      <c r="AM7889">
        <v>104.388468967981</v>
      </c>
      <c r="AN7889">
        <v>0.99999999509124904</v>
      </c>
    </row>
    <row r="7890" spans="1:40" x14ac:dyDescent="0.25">
      <c r="A7890" t="str">
        <f>"20190312172303192"</f>
        <v>20190312172303192</v>
      </c>
      <c r="B7890" t="str">
        <f>"1552382583187930"</f>
        <v>1552382583187930</v>
      </c>
      <c r="C7890" t="s">
        <v>40</v>
      </c>
      <c r="D7890">
        <v>3.572444</v>
      </c>
      <c r="E7890">
        <v>0.49763190000000002</v>
      </c>
      <c r="F7890" t="s">
        <v>64</v>
      </c>
      <c r="G7890">
        <v>-184.74629999999999</v>
      </c>
      <c r="H7890" s="1">
        <v>-4.5199060000000003E-6</v>
      </c>
      <c r="I7890">
        <v>-46.58061</v>
      </c>
      <c r="J7890">
        <v>-193.2433</v>
      </c>
      <c r="K7890">
        <v>1.124871</v>
      </c>
      <c r="L7890">
        <v>-56.766300000000001</v>
      </c>
      <c r="M7890">
        <v>0.80955469999999996</v>
      </c>
      <c r="N7890">
        <v>0</v>
      </c>
      <c r="O7890">
        <v>0.58681119999999898</v>
      </c>
      <c r="P7890">
        <v>0.62998520000000002</v>
      </c>
      <c r="Q7890">
        <v>0.21494070000000001</v>
      </c>
      <c r="R7890">
        <v>0.746270199999999</v>
      </c>
      <c r="S7890">
        <v>2.01268</v>
      </c>
      <c r="T7890">
        <v>-0.26166519999999999</v>
      </c>
      <c r="U7890">
        <v>2.396576</v>
      </c>
      <c r="V7890">
        <v>-0.2426982</v>
      </c>
      <c r="W7890">
        <v>0.22194949999999999</v>
      </c>
      <c r="X7890">
        <v>0.94437070000000001</v>
      </c>
      <c r="Y7890">
        <v>-0.24342</v>
      </c>
      <c r="Z7890">
        <v>-4.0607270000000001E-2</v>
      </c>
      <c r="AA7890">
        <v>0.9690706</v>
      </c>
      <c r="AB7890">
        <v>38</v>
      </c>
      <c r="AC7890">
        <v>8.4970000000000105</v>
      </c>
      <c r="AD7890">
        <v>-1.1248755199060001</v>
      </c>
      <c r="AE7890">
        <v>10.185689999999999</v>
      </c>
      <c r="AF7890">
        <v>-3.2369062219643299</v>
      </c>
      <c r="AG7890">
        <v>-1.1248755199060001</v>
      </c>
      <c r="AH7890">
        <v>12.7658167852106</v>
      </c>
      <c r="AI7890">
        <v>94.881970055622702</v>
      </c>
      <c r="AJ7890">
        <v>104.228080756689</v>
      </c>
      <c r="AK7890">
        <v>13.217752646295001</v>
      </c>
      <c r="AL7890">
        <v>77.176437745558204</v>
      </c>
      <c r="AM7890">
        <v>104.412806866107</v>
      </c>
      <c r="AN7890">
        <v>1.0000000079259801</v>
      </c>
    </row>
    <row r="7891" spans="1:40" x14ac:dyDescent="0.25">
      <c r="A7891" t="str">
        <f>"20190312172303204"</f>
        <v>20190312172303204</v>
      </c>
      <c r="B7891" t="str">
        <f>"1552382583197691"</f>
        <v>1552382583197691</v>
      </c>
      <c r="C7891" t="s">
        <v>40</v>
      </c>
      <c r="D7891">
        <v>3.4633060000000002</v>
      </c>
      <c r="E7891">
        <v>0.49716090000000002</v>
      </c>
      <c r="F7891" t="s">
        <v>64</v>
      </c>
      <c r="G7891">
        <v>-184.78639999999999</v>
      </c>
      <c r="H7891" s="1">
        <v>-4.5495439999999998E-6</v>
      </c>
      <c r="I7891">
        <v>-46.535899999999998</v>
      </c>
      <c r="J7891">
        <v>-193.1061</v>
      </c>
      <c r="K7891">
        <v>1.1249450000000001</v>
      </c>
      <c r="L7891">
        <v>-56.662170000000003</v>
      </c>
      <c r="M7891">
        <v>0.80538509999999996</v>
      </c>
      <c r="N7891">
        <v>0</v>
      </c>
      <c r="O7891">
        <v>0.59252019999999905</v>
      </c>
      <c r="P7891">
        <v>0.62439820000000001</v>
      </c>
      <c r="Q7891">
        <v>0.2152377</v>
      </c>
      <c r="R7891">
        <v>0.75086589999999998</v>
      </c>
      <c r="S7891">
        <v>1.9944759999999999</v>
      </c>
      <c r="T7891">
        <v>-0.26528869999999999</v>
      </c>
      <c r="U7891">
        <v>2.4127200000000002</v>
      </c>
      <c r="V7891">
        <v>-0.2430533</v>
      </c>
      <c r="W7891">
        <v>0.22221540000000001</v>
      </c>
      <c r="X7891">
        <v>0.94421679999999997</v>
      </c>
      <c r="Y7891">
        <v>-0.2441266</v>
      </c>
      <c r="Z7891">
        <v>-4.1657569999999998E-2</v>
      </c>
      <c r="AA7891">
        <v>0.96884820000000005</v>
      </c>
      <c r="AB7891">
        <v>38</v>
      </c>
      <c r="AC7891">
        <v>8.3197000000000099</v>
      </c>
      <c r="AD7891">
        <v>-1.1249495495440001</v>
      </c>
      <c r="AE7891">
        <v>10.1262699999999</v>
      </c>
      <c r="AF7891">
        <v>-3.20280165758418</v>
      </c>
      <c r="AG7891">
        <v>-1.1249495495440001</v>
      </c>
      <c r="AH7891">
        <v>12.6094207315268</v>
      </c>
      <c r="AI7891">
        <v>94.942031029210099</v>
      </c>
      <c r="AJ7891">
        <v>104.25177891509099</v>
      </c>
      <c r="AK7891">
        <v>13.058366709948899</v>
      </c>
      <c r="AL7891">
        <v>77.1608122146</v>
      </c>
      <c r="AM7891">
        <v>104.43526867951999</v>
      </c>
      <c r="AN7891">
        <v>0.99999997802014395</v>
      </c>
    </row>
    <row r="7892" spans="1:40" x14ac:dyDescent="0.25">
      <c r="A7892" t="str">
        <f>"20190312172303215"</f>
        <v>20190312172303215</v>
      </c>
      <c r="B7892" t="str">
        <f>"1552382583208427"</f>
        <v>1552382583208427</v>
      </c>
      <c r="C7892" t="s">
        <v>40</v>
      </c>
      <c r="D7892">
        <v>3.4995370000000001</v>
      </c>
      <c r="E7892">
        <v>0.49716090000000002</v>
      </c>
      <c r="F7892" t="s">
        <v>64</v>
      </c>
      <c r="G7892">
        <v>-184.74850000000001</v>
      </c>
      <c r="H7892" s="1">
        <v>-4.6233049999999998E-6</v>
      </c>
      <c r="I7892">
        <v>-46.375920000000001</v>
      </c>
      <c r="J7892">
        <v>-192.9487</v>
      </c>
      <c r="K7892">
        <v>1.1250309999999999</v>
      </c>
      <c r="L7892">
        <v>-56.540439999999997</v>
      </c>
      <c r="M7892">
        <v>0.80048059999999999</v>
      </c>
      <c r="N7892">
        <v>0</v>
      </c>
      <c r="O7892">
        <v>0.59912860000000001</v>
      </c>
      <c r="P7892">
        <v>0.61797760000000002</v>
      </c>
      <c r="Q7892">
        <v>0.21578559999999999</v>
      </c>
      <c r="R7892">
        <v>0.75600279999999997</v>
      </c>
      <c r="S7892">
        <v>1.974243</v>
      </c>
      <c r="T7892">
        <v>-0.26573799999999997</v>
      </c>
      <c r="U7892">
        <v>2.42984</v>
      </c>
      <c r="V7892">
        <v>-0.2432704</v>
      </c>
      <c r="W7892">
        <v>0.22273519999999999</v>
      </c>
      <c r="X7892">
        <v>0.9440385</v>
      </c>
      <c r="Y7892">
        <v>-0.24436479999999999</v>
      </c>
      <c r="Z7892">
        <v>-4.2324239999999999E-2</v>
      </c>
      <c r="AA7892">
        <v>0.96875919999999904</v>
      </c>
      <c r="AB7892">
        <v>38</v>
      </c>
      <c r="AC7892">
        <v>8.2001999999999899</v>
      </c>
      <c r="AD7892">
        <v>-1.1250356233049901</v>
      </c>
      <c r="AE7892">
        <v>10.16452</v>
      </c>
      <c r="AF7892">
        <v>-3.20022286228907</v>
      </c>
      <c r="AG7892">
        <v>-1.1250356233049901</v>
      </c>
      <c r="AH7892">
        <v>12.562476338901</v>
      </c>
      <c r="AI7892">
        <v>94.959907266003398</v>
      </c>
      <c r="AJ7892">
        <v>104.291810469374</v>
      </c>
      <c r="AK7892">
        <v>13.0124149675404</v>
      </c>
      <c r="AL7892">
        <v>77.130265530507899</v>
      </c>
      <c r="AM7892">
        <v>104.45023759470099</v>
      </c>
      <c r="AN7892">
        <v>1.00000007315872</v>
      </c>
    </row>
    <row r="7893" spans="1:40" x14ac:dyDescent="0.25">
      <c r="A7893" t="str">
        <f>"20190312172303225"</f>
        <v>20190312172303225</v>
      </c>
      <c r="B7893" t="str">
        <f>"1552382583218187"</f>
        <v>1552382583218187</v>
      </c>
      <c r="C7893" t="s">
        <v>40</v>
      </c>
      <c r="D7893">
        <v>3.4193720000000001</v>
      </c>
      <c r="E7893">
        <v>0.47134609999999899</v>
      </c>
      <c r="F7893" t="s">
        <v>64</v>
      </c>
      <c r="G7893">
        <v>-184.62029999999999</v>
      </c>
      <c r="H7893" s="1">
        <v>-4.731364E-6</v>
      </c>
      <c r="I7893">
        <v>-46.115850000000002</v>
      </c>
      <c r="J7893">
        <v>-192.80330000000001</v>
      </c>
      <c r="K7893">
        <v>1.125111</v>
      </c>
      <c r="L7893">
        <v>-56.426180000000002</v>
      </c>
      <c r="M7893">
        <v>0.79584370000000004</v>
      </c>
      <c r="N7893">
        <v>0</v>
      </c>
      <c r="O7893">
        <v>0.60527350000000002</v>
      </c>
      <c r="P7893">
        <v>0.61213759999999995</v>
      </c>
      <c r="Q7893">
        <v>0.2162133</v>
      </c>
      <c r="R7893">
        <v>0.76061769999999995</v>
      </c>
      <c r="S7893">
        <v>1.9542539999999999</v>
      </c>
      <c r="T7893">
        <v>-0.26399050000000002</v>
      </c>
      <c r="U7893">
        <v>2.4461360000000001</v>
      </c>
      <c r="V7893">
        <v>-0.2432339</v>
      </c>
      <c r="W7893">
        <v>0.2231466</v>
      </c>
      <c r="X7893">
        <v>0.94395070000000003</v>
      </c>
      <c r="Y7893">
        <v>-0.24488109999999999</v>
      </c>
      <c r="Z7893">
        <v>-4.259193E-2</v>
      </c>
      <c r="AA7893">
        <v>0.96861710000000001</v>
      </c>
      <c r="AB7893">
        <v>38</v>
      </c>
      <c r="AC7893">
        <v>8.1830000000000194</v>
      </c>
      <c r="AD7893">
        <v>-1.1251157313639999</v>
      </c>
      <c r="AE7893">
        <v>10.31033</v>
      </c>
      <c r="AF7893">
        <v>-3.2293146844536098</v>
      </c>
      <c r="AG7893">
        <v>-1.1251157313639999</v>
      </c>
      <c r="AH7893">
        <v>12.662212592658401</v>
      </c>
      <c r="AI7893">
        <v>94.921039867985399</v>
      </c>
      <c r="AJ7893">
        <v>104.307465743832</v>
      </c>
      <c r="AK7893">
        <v>13.1158677365193</v>
      </c>
      <c r="AL7893">
        <v>77.106084912999293</v>
      </c>
      <c r="AM7893">
        <v>104.449447867985</v>
      </c>
      <c r="AN7893">
        <v>1.00000002961562</v>
      </c>
    </row>
    <row r="7894" spans="1:40" x14ac:dyDescent="0.25">
      <c r="A7894" t="str">
        <f>"20190312172303236"</f>
        <v>20190312172303236</v>
      </c>
      <c r="B7894" t="str">
        <f>"1552382583227947"</f>
        <v>1552382583227947</v>
      </c>
      <c r="C7894" t="s">
        <v>40</v>
      </c>
      <c r="D7894">
        <v>3.3990879999999999</v>
      </c>
      <c r="E7894">
        <v>0.46723219999999999</v>
      </c>
      <c r="F7894" t="s">
        <v>64</v>
      </c>
      <c r="G7894">
        <v>-182.9795</v>
      </c>
      <c r="H7894" s="1">
        <v>-6.34105E-6</v>
      </c>
      <c r="I7894">
        <v>-42.091970000000003</v>
      </c>
      <c r="J7894">
        <v>-192.6591</v>
      </c>
      <c r="K7894">
        <v>1.125186</v>
      </c>
      <c r="L7894">
        <v>-56.311369999999997</v>
      </c>
      <c r="M7894">
        <v>0.79115190000000002</v>
      </c>
      <c r="N7894">
        <v>0</v>
      </c>
      <c r="O7894">
        <v>0.61139259999999995</v>
      </c>
      <c r="P7894">
        <v>0.60616359999999903</v>
      </c>
      <c r="Q7894">
        <v>0.21618989999999999</v>
      </c>
      <c r="R7894">
        <v>0.76539380000000001</v>
      </c>
      <c r="S7894">
        <v>1.767593</v>
      </c>
      <c r="T7894">
        <v>-0.2024406</v>
      </c>
      <c r="U7894">
        <v>2.579132</v>
      </c>
      <c r="V7894">
        <v>-0.24339179999999999</v>
      </c>
      <c r="W7894">
        <v>0.22310050000000001</v>
      </c>
      <c r="X7894">
        <v>0.94392089999999995</v>
      </c>
      <c r="Y7894">
        <v>-0.30740260000000003</v>
      </c>
      <c r="Z7894">
        <v>-3.1474490000000001E-2</v>
      </c>
      <c r="AA7894">
        <v>0.95105890000000004</v>
      </c>
      <c r="AB7894">
        <v>38</v>
      </c>
      <c r="AC7894">
        <v>9.67959999999999</v>
      </c>
      <c r="AD7894">
        <v>-1.12519234105</v>
      </c>
      <c r="AE7894">
        <v>14.219399999999901</v>
      </c>
      <c r="AF7894">
        <v>-5.3096906539172597</v>
      </c>
      <c r="AG7894">
        <v>-1.12519234105</v>
      </c>
      <c r="AH7894">
        <v>16.284263008695699</v>
      </c>
      <c r="AI7894">
        <v>93.758529344357896</v>
      </c>
      <c r="AJ7894">
        <v>108.059215357573</v>
      </c>
      <c r="AK7894">
        <v>17.164967066121299</v>
      </c>
      <c r="AL7894">
        <v>77.108794608082306</v>
      </c>
      <c r="AM7894">
        <v>104.458872279864</v>
      </c>
      <c r="AN7894">
        <v>1.0000000334321399</v>
      </c>
    </row>
    <row r="7895" spans="1:40" x14ac:dyDescent="0.25">
      <c r="A7895" t="str">
        <f>"20190312172303247"</f>
        <v>20190312172303247</v>
      </c>
      <c r="B7895" t="str">
        <f>"1552382583237707"</f>
        <v>1552382583237707</v>
      </c>
      <c r="C7895" t="s">
        <v>40</v>
      </c>
      <c r="D7895">
        <v>3.5438109999999998</v>
      </c>
      <c r="E7895">
        <v>0.46542159999999999</v>
      </c>
      <c r="F7895" t="s">
        <v>64</v>
      </c>
      <c r="G7895">
        <v>-182.73140000000001</v>
      </c>
      <c r="H7895" s="1">
        <v>-6.6229269999999901E-6</v>
      </c>
      <c r="I7895">
        <v>-41.243920000000003</v>
      </c>
      <c r="J7895">
        <v>-192.52930000000001</v>
      </c>
      <c r="K7895">
        <v>1.1252549999999999</v>
      </c>
      <c r="L7895">
        <v>-56.205840000000002</v>
      </c>
      <c r="M7895">
        <v>0.78681579999999995</v>
      </c>
      <c r="N7895">
        <v>0</v>
      </c>
      <c r="O7895">
        <v>0.61696229999999996</v>
      </c>
      <c r="P7895">
        <v>0.60077049999999999</v>
      </c>
      <c r="Q7895">
        <v>0.2163543</v>
      </c>
      <c r="R7895">
        <v>0.76958800000000005</v>
      </c>
      <c r="S7895">
        <v>1.72087099999999</v>
      </c>
      <c r="T7895">
        <v>-0.19504050000000001</v>
      </c>
      <c r="U7895">
        <v>2.6117859999999999</v>
      </c>
      <c r="V7895">
        <v>-0.2433679</v>
      </c>
      <c r="W7895">
        <v>0.2232507</v>
      </c>
      <c r="X7895">
        <v>0.94389149999999999</v>
      </c>
      <c r="Y7895">
        <v>-0.31796550000000001</v>
      </c>
      <c r="Z7895">
        <v>-3.042682E-2</v>
      </c>
      <c r="AA7895">
        <v>0.94761390000000001</v>
      </c>
      <c r="AB7895">
        <v>38</v>
      </c>
      <c r="AC7895">
        <v>9.7978999999999896</v>
      </c>
      <c r="AD7895">
        <v>-1.1252616229269901</v>
      </c>
      <c r="AE7895">
        <v>14.961919999999999</v>
      </c>
      <c r="AF7895">
        <v>-5.7055511692497696</v>
      </c>
      <c r="AG7895">
        <v>-1.1252616229269901</v>
      </c>
      <c r="AH7895">
        <v>16.875636625602699</v>
      </c>
      <c r="AI7895">
        <v>93.614404988472401</v>
      </c>
      <c r="AJ7895">
        <v>108.680085740818</v>
      </c>
      <c r="AK7895">
        <v>17.849555719522598</v>
      </c>
      <c r="AL7895">
        <v>77.099965500137401</v>
      </c>
      <c r="AM7895">
        <v>104.457943432821</v>
      </c>
      <c r="AN7895">
        <v>0.99999998678657398</v>
      </c>
    </row>
    <row r="7896" spans="1:40" x14ac:dyDescent="0.25">
      <c r="A7896" t="str">
        <f>"20190312172303259"</f>
        <v>20190312172303259</v>
      </c>
      <c r="B7896" t="str">
        <f>"1552382583248443"</f>
        <v>1552382583248443</v>
      </c>
      <c r="C7896" t="s">
        <v>40</v>
      </c>
      <c r="D7896">
        <v>3.5295239999999999</v>
      </c>
      <c r="E7896">
        <v>0.46385280000000001</v>
      </c>
      <c r="F7896" t="s">
        <v>64</v>
      </c>
      <c r="G7896">
        <v>-182.4658</v>
      </c>
      <c r="H7896" s="1">
        <v>-6.8274540000000003E-6</v>
      </c>
      <c r="I7896">
        <v>-40.543689999999998</v>
      </c>
      <c r="J7896">
        <v>-192.3793</v>
      </c>
      <c r="K7896">
        <v>1.125335</v>
      </c>
      <c r="L7896">
        <v>-56.082979999999999</v>
      </c>
      <c r="M7896">
        <v>0.78172619999999904</v>
      </c>
      <c r="N7896">
        <v>0</v>
      </c>
      <c r="O7896">
        <v>0.6233976</v>
      </c>
      <c r="P7896">
        <v>0.59439709999999901</v>
      </c>
      <c r="Q7896">
        <v>0.21707319999999999</v>
      </c>
      <c r="R7896">
        <v>0.77431989999999995</v>
      </c>
      <c r="S7896">
        <v>1.690796</v>
      </c>
      <c r="T7896">
        <v>-0.18905820000000001</v>
      </c>
      <c r="U7896">
        <v>2.6314389999999999</v>
      </c>
      <c r="V7896">
        <v>-0.24332780000000001</v>
      </c>
      <c r="W7896">
        <v>0.22395109999999999</v>
      </c>
      <c r="X7896">
        <v>0.94373600000000002</v>
      </c>
      <c r="Y7896">
        <v>-0.3210517</v>
      </c>
      <c r="Z7896">
        <v>-2.985488E-2</v>
      </c>
      <c r="AA7896">
        <v>0.94659099999999996</v>
      </c>
      <c r="AB7896">
        <v>38</v>
      </c>
      <c r="AC7896">
        <v>9.9135000000000009</v>
      </c>
      <c r="AD7896">
        <v>-1.1253418274539999</v>
      </c>
      <c r="AE7896">
        <v>15.539289999999999</v>
      </c>
      <c r="AF7896">
        <v>-5.9460885552178304</v>
      </c>
      <c r="AG7896">
        <v>-1.1253418274539999</v>
      </c>
      <c r="AH7896">
        <v>17.3744740825862</v>
      </c>
      <c r="AI7896">
        <v>93.506729945512902</v>
      </c>
      <c r="AJ7896">
        <v>108.89255101217501</v>
      </c>
      <c r="AK7896">
        <v>18.3982258107017</v>
      </c>
      <c r="AL7896">
        <v>77.0587942502994</v>
      </c>
      <c r="AM7896">
        <v>104.45794305040501</v>
      </c>
      <c r="AN7896">
        <v>1.00000007557002</v>
      </c>
    </row>
    <row r="7897" spans="1:40" x14ac:dyDescent="0.25">
      <c r="A7897" t="str">
        <f>"20190312172303270"</f>
        <v>20190312172303270</v>
      </c>
      <c r="B7897" t="str">
        <f>"1552382583258203"</f>
        <v>1552382583258203</v>
      </c>
      <c r="C7897" t="s">
        <v>40</v>
      </c>
      <c r="D7897">
        <v>3.5734659999999998</v>
      </c>
      <c r="E7897">
        <v>0.46305780000000002</v>
      </c>
      <c r="F7897" t="s">
        <v>64</v>
      </c>
      <c r="G7897">
        <v>-182.72800000000001</v>
      </c>
      <c r="H7897" s="1">
        <v>-6.8193379999999999E-6</v>
      </c>
      <c r="I7897">
        <v>-40.656010000000002</v>
      </c>
      <c r="J7897">
        <v>-192.2337</v>
      </c>
      <c r="K7897">
        <v>1.1254139999999999</v>
      </c>
      <c r="L7897">
        <v>-55.960450000000002</v>
      </c>
      <c r="M7897">
        <v>0.77662659999999994</v>
      </c>
      <c r="N7897">
        <v>0</v>
      </c>
      <c r="O7897">
        <v>0.62973859999999904</v>
      </c>
      <c r="P7897">
        <v>0.58817419999999998</v>
      </c>
      <c r="Q7897">
        <v>0.2178969</v>
      </c>
      <c r="R7897">
        <v>0.77882739999999995</v>
      </c>
      <c r="S7897">
        <v>1.6604000000000001</v>
      </c>
      <c r="T7897">
        <v>-0.19360150000000001</v>
      </c>
      <c r="U7897">
        <v>2.6540219999999999</v>
      </c>
      <c r="V7897">
        <v>-0.24310280000000001</v>
      </c>
      <c r="W7897">
        <v>0.2247652</v>
      </c>
      <c r="X7897">
        <v>0.94360040000000001</v>
      </c>
      <c r="Y7897">
        <v>-0.32478370000000001</v>
      </c>
      <c r="Z7897">
        <v>-3.088933E-2</v>
      </c>
      <c r="AA7897">
        <v>0.94528380000000001</v>
      </c>
      <c r="AB7897">
        <v>38</v>
      </c>
      <c r="AC7897">
        <v>9.5057000000000098</v>
      </c>
      <c r="AD7897">
        <v>-1.125420819338</v>
      </c>
      <c r="AE7897">
        <v>15.30444</v>
      </c>
      <c r="AF7897">
        <v>-5.8776210849963597</v>
      </c>
      <c r="AG7897">
        <v>-1.125420819338</v>
      </c>
      <c r="AH7897">
        <v>16.956396810270899</v>
      </c>
      <c r="AI7897">
        <v>93.588367510876296</v>
      </c>
      <c r="AJ7897">
        <v>109.11792704585901</v>
      </c>
      <c r="AK7897">
        <v>17.981445838050899</v>
      </c>
      <c r="AL7897">
        <v>77.010929070465906</v>
      </c>
      <c r="AM7897">
        <v>104.447122656345</v>
      </c>
      <c r="AN7897">
        <v>1.00000004068951</v>
      </c>
    </row>
    <row r="7898" spans="1:40" x14ac:dyDescent="0.25">
      <c r="A7898" t="str">
        <f>"20190312172303283"</f>
        <v>20190312172303283</v>
      </c>
      <c r="B7898" t="str">
        <f>"1552382583278699"</f>
        <v>1552382583278699</v>
      </c>
      <c r="C7898" t="s">
        <v>40</v>
      </c>
      <c r="D7898">
        <v>3.4257219999999999</v>
      </c>
      <c r="E7898">
        <v>0.46324870000000001</v>
      </c>
      <c r="F7898" t="s">
        <v>64</v>
      </c>
      <c r="G7898">
        <v>-182.94390000000001</v>
      </c>
      <c r="H7898" s="1">
        <v>-6.8006349999999996E-6</v>
      </c>
      <c r="I7898">
        <v>-40.78445</v>
      </c>
      <c r="J7898">
        <v>-192.07640000000001</v>
      </c>
      <c r="K7898">
        <v>1.1254959999999901</v>
      </c>
      <c r="L7898">
        <v>-55.826900000000002</v>
      </c>
      <c r="M7898">
        <v>0.77102139999999997</v>
      </c>
      <c r="N7898">
        <v>0</v>
      </c>
      <c r="O7898">
        <v>0.6365883</v>
      </c>
      <c r="P7898">
        <v>0.58108510000000002</v>
      </c>
      <c r="Q7898">
        <v>0.21885209999999999</v>
      </c>
      <c r="R7898">
        <v>0.78386469999999997</v>
      </c>
      <c r="S7898">
        <v>1.63569599999999</v>
      </c>
      <c r="T7898">
        <v>-0.19815869999999999</v>
      </c>
      <c r="U7898">
        <v>2.6721189999999999</v>
      </c>
      <c r="V7898">
        <v>-0.24318680000000001</v>
      </c>
      <c r="W7898">
        <v>0.22569529999999999</v>
      </c>
      <c r="X7898">
        <v>0.94335670000000005</v>
      </c>
      <c r="Y7898">
        <v>-0.32564900000000002</v>
      </c>
      <c r="Z7898">
        <v>-3.2058940000000001E-2</v>
      </c>
      <c r="AA7898">
        <v>0.94494710000000004</v>
      </c>
      <c r="AB7898">
        <v>38</v>
      </c>
      <c r="AC7898">
        <v>9.1324999999999896</v>
      </c>
      <c r="AD7898">
        <v>-1.1255028006350001</v>
      </c>
      <c r="AE7898">
        <v>15.042450000000001</v>
      </c>
      <c r="AF7898">
        <v>-5.7616536616451599</v>
      </c>
      <c r="AG7898">
        <v>-1.1255028006350001</v>
      </c>
      <c r="AH7898">
        <v>16.551832318908001</v>
      </c>
      <c r="AI7898">
        <v>93.674439154924599</v>
      </c>
      <c r="AJ7898">
        <v>109.19288617080601</v>
      </c>
      <c r="AK7898">
        <v>17.562077399448899</v>
      </c>
      <c r="AL7898">
        <v>76.956232680299607</v>
      </c>
      <c r="AM7898">
        <v>104.45548258884899</v>
      </c>
      <c r="AN7898">
        <v>1.0000000257856001</v>
      </c>
    </row>
    <row r="7899" spans="1:40" x14ac:dyDescent="0.25">
      <c r="A7899" t="str">
        <f>"20190312172303294"</f>
        <v>20190312172303294</v>
      </c>
      <c r="B7899" t="str">
        <f>"1552382583288458"</f>
        <v>1552382583288458</v>
      </c>
      <c r="C7899" t="s">
        <v>40</v>
      </c>
      <c r="D7899">
        <v>3.4148369999999999</v>
      </c>
      <c r="E7899">
        <v>0.46355249999999998</v>
      </c>
      <c r="F7899" t="s">
        <v>64</v>
      </c>
      <c r="G7899">
        <v>-182.9614</v>
      </c>
      <c r="H7899" s="1">
        <v>-6.8455129999999997E-6</v>
      </c>
      <c r="I7899">
        <v>-40.656269999999999</v>
      </c>
      <c r="J7899">
        <v>-191.9308</v>
      </c>
      <c r="K7899">
        <v>1.125569</v>
      </c>
      <c r="L7899">
        <v>-55.700560000000003</v>
      </c>
      <c r="M7899">
        <v>0.76568570000000002</v>
      </c>
      <c r="N7899">
        <v>0</v>
      </c>
      <c r="O7899">
        <v>0.64299549999999905</v>
      </c>
      <c r="P7899">
        <v>0.57451619999999903</v>
      </c>
      <c r="Q7899">
        <v>0.21953619999999999</v>
      </c>
      <c r="R7899">
        <v>0.78850169999999997</v>
      </c>
      <c r="S7899">
        <v>1.6140289999999999</v>
      </c>
      <c r="T7899">
        <v>-0.19929839999999999</v>
      </c>
      <c r="U7899">
        <v>2.68634</v>
      </c>
      <c r="V7899">
        <v>-0.24312339999999999</v>
      </c>
      <c r="W7899">
        <v>0.22636319999999999</v>
      </c>
      <c r="X7899">
        <v>0.94321299999999997</v>
      </c>
      <c r="Y7899">
        <v>-0.32558690000000001</v>
      </c>
      <c r="Z7899">
        <v>-3.26983E-2</v>
      </c>
      <c r="AA7899">
        <v>0.94494650000000002</v>
      </c>
      <c r="AB7899">
        <v>38</v>
      </c>
      <c r="AC7899">
        <v>8.9694000000000091</v>
      </c>
      <c r="AD7899">
        <v>-1.1255758455130001</v>
      </c>
      <c r="AE7899">
        <v>15.044289999999901</v>
      </c>
      <c r="AF7899">
        <v>-5.7290661567870496</v>
      </c>
      <c r="AG7899">
        <v>-1.1255758455130001</v>
      </c>
      <c r="AH7899">
        <v>16.4754474020441</v>
      </c>
      <c r="AI7899">
        <v>93.692082806409601</v>
      </c>
      <c r="AJ7899">
        <v>109.17427919982499</v>
      </c>
      <c r="AK7899">
        <v>17.479401794980401</v>
      </c>
      <c r="AL7899">
        <v>76.916948151301597</v>
      </c>
      <c r="AM7899">
        <v>104.45398135422001</v>
      </c>
      <c r="AN7899">
        <v>1.00000002465539</v>
      </c>
    </row>
    <row r="7900" spans="1:40" x14ac:dyDescent="0.25">
      <c r="A7900" t="str">
        <f>"20190312172303306"</f>
        <v>20190312172303306</v>
      </c>
      <c r="B7900" t="str">
        <f>"1552382583298219"</f>
        <v>1552382583298219</v>
      </c>
      <c r="C7900" t="s">
        <v>40</v>
      </c>
      <c r="D7900">
        <v>3.4321540000000001</v>
      </c>
      <c r="E7900">
        <v>0.46389069999999999</v>
      </c>
      <c r="F7900" t="s">
        <v>64</v>
      </c>
      <c r="G7900">
        <v>-182.94120000000001</v>
      </c>
      <c r="H7900" s="1">
        <v>-6.9007690000000003E-6</v>
      </c>
      <c r="I7900">
        <v>-40.484409999999997</v>
      </c>
      <c r="J7900">
        <v>-191.78540000000001</v>
      </c>
      <c r="K7900">
        <v>1.125642</v>
      </c>
      <c r="L7900">
        <v>-55.572360000000003</v>
      </c>
      <c r="M7900">
        <v>0.76023580000000002</v>
      </c>
      <c r="N7900">
        <v>0</v>
      </c>
      <c r="O7900">
        <v>0.64942909999999998</v>
      </c>
      <c r="P7900">
        <v>0.56798169999999903</v>
      </c>
      <c r="Q7900">
        <v>0.2197925</v>
      </c>
      <c r="R7900">
        <v>0.79315080000000004</v>
      </c>
      <c r="S7900">
        <v>1.5943149999999999</v>
      </c>
      <c r="T7900">
        <v>-0.19962260000000001</v>
      </c>
      <c r="U7900">
        <v>2.6986080000000001</v>
      </c>
      <c r="V7900">
        <v>-0.2429598</v>
      </c>
      <c r="W7900">
        <v>0.2266089</v>
      </c>
      <c r="X7900">
        <v>0.94319609999999998</v>
      </c>
      <c r="Y7900">
        <v>-0.32462279999999999</v>
      </c>
      <c r="Z7900">
        <v>-3.3238919999999998E-2</v>
      </c>
      <c r="AA7900">
        <v>0.94525930000000002</v>
      </c>
      <c r="AB7900">
        <v>38</v>
      </c>
      <c r="AC7900">
        <v>8.8442000000000007</v>
      </c>
      <c r="AD7900">
        <v>-1.125648900769</v>
      </c>
      <c r="AE7900">
        <v>15.087949999999999</v>
      </c>
      <c r="AF7900">
        <v>-5.7039013961791802</v>
      </c>
      <c r="AG7900">
        <v>-1.125648900769</v>
      </c>
      <c r="AH7900">
        <v>16.456400196250001</v>
      </c>
      <c r="AI7900">
        <v>93.697870612173205</v>
      </c>
      <c r="AJ7900">
        <v>109.116667845574</v>
      </c>
      <c r="AK7900">
        <v>17.4532141453737</v>
      </c>
      <c r="AL7900">
        <v>76.902494283335798</v>
      </c>
      <c r="AM7900">
        <v>104.44491016337599</v>
      </c>
      <c r="AN7900">
        <v>0.99999997051522904</v>
      </c>
    </row>
    <row r="7901" spans="1:40" x14ac:dyDescent="0.25">
      <c r="A7901" t="str">
        <f>"20190312172303316"</f>
        <v>20190312172303316</v>
      </c>
      <c r="B7901" t="str">
        <f>"1552382583307979"</f>
        <v>1552382583307979</v>
      </c>
      <c r="C7901" t="s">
        <v>40</v>
      </c>
      <c r="D7901">
        <v>3.4253930000000001</v>
      </c>
      <c r="E7901">
        <v>0.46423130000000001</v>
      </c>
      <c r="F7901" t="s">
        <v>42</v>
      </c>
      <c r="G7901">
        <v>-182.95419999999999</v>
      </c>
      <c r="H7901" s="1">
        <v>-1.869405E-6</v>
      </c>
      <c r="I7901">
        <v>-40.367519999999999</v>
      </c>
      <c r="J7901">
        <v>-191.64879999999999</v>
      </c>
      <c r="K7901">
        <v>1.1257079999999999</v>
      </c>
      <c r="L7901">
        <v>-55.450290000000003</v>
      </c>
      <c r="M7901">
        <v>0.75501219999999902</v>
      </c>
      <c r="N7901">
        <v>0</v>
      </c>
      <c r="O7901">
        <v>0.65549409999999997</v>
      </c>
      <c r="P7901">
        <v>0.56162670000000003</v>
      </c>
      <c r="Q7901">
        <v>0.2204255</v>
      </c>
      <c r="R7901">
        <v>0.79748859999999999</v>
      </c>
      <c r="S7901">
        <v>1.5743560000000001</v>
      </c>
      <c r="T7901">
        <v>-0.20067119999999999</v>
      </c>
      <c r="U7901">
        <v>2.7106020000000002</v>
      </c>
      <c r="V7901">
        <v>-0.2428757</v>
      </c>
      <c r="W7901">
        <v>0.2272284</v>
      </c>
      <c r="X7901">
        <v>0.94306869999999998</v>
      </c>
      <c r="Y7901">
        <v>-0.32408369999999997</v>
      </c>
      <c r="Z7901">
        <v>-3.386753E-2</v>
      </c>
      <c r="AA7901">
        <v>0.94542199999999998</v>
      </c>
      <c r="AB7901">
        <v>38</v>
      </c>
      <c r="AC7901">
        <v>8.6945999999999994</v>
      </c>
      <c r="AD7901">
        <v>-1.1257098694049901</v>
      </c>
      <c r="AE7901">
        <v>15.08277</v>
      </c>
      <c r="AF7901">
        <v>-5.6655364805942199</v>
      </c>
      <c r="AG7901">
        <v>-1.1257098694049901</v>
      </c>
      <c r="AH7901">
        <v>16.3850260260946</v>
      </c>
      <c r="AI7901">
        <v>93.715086680044493</v>
      </c>
      <c r="AJ7901">
        <v>109.07411887254401</v>
      </c>
      <c r="AK7901">
        <v>17.373387815818099</v>
      </c>
      <c r="AL7901">
        <v>76.866048707818294</v>
      </c>
      <c r="AM7901">
        <v>104.441988331232</v>
      </c>
      <c r="AN7901">
        <v>0.99999996216836895</v>
      </c>
    </row>
    <row r="7902" spans="1:40" x14ac:dyDescent="0.25">
      <c r="A7902" t="str">
        <f>"20190312172303329"</f>
        <v>20190312172303329</v>
      </c>
      <c r="B7902" t="str">
        <f>"1552382583317740"</f>
        <v>1552382583317740</v>
      </c>
      <c r="C7902" t="s">
        <v>40</v>
      </c>
      <c r="D7902">
        <v>3.438806</v>
      </c>
      <c r="E7902">
        <v>0.46461999999999998</v>
      </c>
      <c r="F7902" t="s">
        <v>42</v>
      </c>
      <c r="G7902">
        <v>-182.8914</v>
      </c>
      <c r="H7902" s="1">
        <v>-1.9682399999999999E-6</v>
      </c>
      <c r="I7902">
        <v>-40.126170000000002</v>
      </c>
      <c r="J7902">
        <v>-191.5069</v>
      </c>
      <c r="K7902">
        <v>1.125775</v>
      </c>
      <c r="L7902">
        <v>-55.320650000000001</v>
      </c>
      <c r="M7902">
        <v>0.74943700000000002</v>
      </c>
      <c r="N7902">
        <v>0</v>
      </c>
      <c r="O7902">
        <v>0.66186049999999996</v>
      </c>
      <c r="P7902">
        <v>0.55496990000000002</v>
      </c>
      <c r="Q7902">
        <v>0.22055630000000001</v>
      </c>
      <c r="R7902">
        <v>0.80209929999999996</v>
      </c>
      <c r="S7902">
        <v>1.555374</v>
      </c>
      <c r="T7902">
        <v>-0.19993469999999999</v>
      </c>
      <c r="U7902">
        <v>2.7216800000000001</v>
      </c>
      <c r="V7902">
        <v>-0.24276039999999999</v>
      </c>
      <c r="W7902">
        <v>0.2273482</v>
      </c>
      <c r="X7902">
        <v>0.94306959999999995</v>
      </c>
      <c r="Y7902">
        <v>-0.32271109999999997</v>
      </c>
      <c r="Z7902">
        <v>-3.4242189999999999E-2</v>
      </c>
      <c r="AA7902">
        <v>0.94587790000000005</v>
      </c>
      <c r="AB7902">
        <v>38</v>
      </c>
      <c r="AC7902">
        <v>8.6154999999999902</v>
      </c>
      <c r="AD7902">
        <v>-1.1257769682400001</v>
      </c>
      <c r="AE7902">
        <v>15.19448</v>
      </c>
      <c r="AF7902">
        <v>-5.6623350721313104</v>
      </c>
      <c r="AG7902">
        <v>-1.1257769682400001</v>
      </c>
      <c r="AH7902">
        <v>16.4474309111773</v>
      </c>
      <c r="AI7902">
        <v>93.702965012694307</v>
      </c>
      <c r="AJ7902">
        <v>108.99698042039</v>
      </c>
      <c r="AK7902">
        <v>17.4312190000946</v>
      </c>
      <c r="AL7902">
        <v>76.859001279295796</v>
      </c>
      <c r="AM7902">
        <v>104.43540564187499</v>
      </c>
      <c r="AN7902">
        <v>1.00000004314777</v>
      </c>
    </row>
    <row r="7903" spans="1:40" x14ac:dyDescent="0.25">
      <c r="A7903" t="str">
        <f>"20190312172303342"</f>
        <v>20190312172303342</v>
      </c>
      <c r="B7903" t="str">
        <f>"1552382583338236"</f>
        <v>1552382583338236</v>
      </c>
      <c r="C7903" t="s">
        <v>40</v>
      </c>
      <c r="D7903">
        <v>3.4254199999999999</v>
      </c>
      <c r="E7903">
        <v>0.46545839999999999</v>
      </c>
      <c r="F7903" t="s">
        <v>42</v>
      </c>
      <c r="G7903">
        <v>-182.93459999999999</v>
      </c>
      <c r="H7903" s="1">
        <v>-1.9791050000000002E-6</v>
      </c>
      <c r="I7903">
        <v>-40.060459999999999</v>
      </c>
      <c r="J7903">
        <v>-191.35429999999999</v>
      </c>
      <c r="K7903">
        <v>1.125847</v>
      </c>
      <c r="L7903">
        <v>-55.179659999999998</v>
      </c>
      <c r="M7903">
        <v>0.74332509999999996</v>
      </c>
      <c r="N7903">
        <v>0</v>
      </c>
      <c r="O7903">
        <v>0.66871669999999905</v>
      </c>
      <c r="P7903">
        <v>0.54770559999999902</v>
      </c>
      <c r="Q7903">
        <v>0.22074250000000001</v>
      </c>
      <c r="R7903">
        <v>0.80702629999999997</v>
      </c>
      <c r="S7903">
        <v>1.5354000000000001</v>
      </c>
      <c r="T7903">
        <v>-0.20163970000000001</v>
      </c>
      <c r="U7903">
        <v>2.733276</v>
      </c>
      <c r="V7903">
        <v>-0.2426229</v>
      </c>
      <c r="W7903">
        <v>0.2275228</v>
      </c>
      <c r="X7903">
        <v>0.94306279999999998</v>
      </c>
      <c r="Y7903">
        <v>-0.32100030000000002</v>
      </c>
      <c r="Z7903">
        <v>-3.5080050000000002E-2</v>
      </c>
      <c r="AA7903">
        <v>0.94642919999999997</v>
      </c>
      <c r="AB7903">
        <v>38</v>
      </c>
      <c r="AC7903">
        <v>8.4197000000000006</v>
      </c>
      <c r="AD7903">
        <v>-1.1258489791049999</v>
      </c>
      <c r="AE7903">
        <v>15.119199999999999</v>
      </c>
      <c r="AF7903">
        <v>-5.5852491402193998</v>
      </c>
      <c r="AG7903">
        <v>-1.1258489791049999</v>
      </c>
      <c r="AH7903">
        <v>16.302376540390501</v>
      </c>
      <c r="AI7903">
        <v>93.737964809352803</v>
      </c>
      <c r="AJ7903">
        <v>108.91163270504801</v>
      </c>
      <c r="AK7903">
        <v>17.269337704346</v>
      </c>
      <c r="AL7903">
        <v>76.848727238431707</v>
      </c>
      <c r="AM7903">
        <v>104.427670443891</v>
      </c>
      <c r="AN7903">
        <v>0.99999997043404398</v>
      </c>
    </row>
    <row r="7904" spans="1:40" x14ac:dyDescent="0.25">
      <c r="A7904" t="str">
        <f>"20190312172303358"</f>
        <v>20190312172303358</v>
      </c>
      <c r="B7904" t="str">
        <f>"1552382583347995"</f>
        <v>1552382583347995</v>
      </c>
      <c r="C7904" t="s">
        <v>40</v>
      </c>
      <c r="D7904">
        <v>3.504991</v>
      </c>
      <c r="E7904">
        <v>0.46588410000000002</v>
      </c>
      <c r="F7904" t="s">
        <v>42</v>
      </c>
      <c r="G7904">
        <v>-182.97550000000001</v>
      </c>
      <c r="H7904" s="1">
        <v>-1.9826680000000001E-6</v>
      </c>
      <c r="I7904">
        <v>-40.018050000000002</v>
      </c>
      <c r="J7904">
        <v>-191.14490000000001</v>
      </c>
      <c r="K7904">
        <v>1.125942</v>
      </c>
      <c r="L7904">
        <v>-54.981290000000001</v>
      </c>
      <c r="M7904">
        <v>0.73466339999999997</v>
      </c>
      <c r="N7904">
        <v>0</v>
      </c>
      <c r="O7904">
        <v>0.67822009999999999</v>
      </c>
      <c r="P7904">
        <v>0.53740290000000002</v>
      </c>
      <c r="Q7904">
        <v>0.22064780000000001</v>
      </c>
      <c r="R7904">
        <v>0.81394880000000003</v>
      </c>
      <c r="S7904">
        <v>1.5164029999999999</v>
      </c>
      <c r="T7904">
        <v>-0.20375679999999999</v>
      </c>
      <c r="U7904">
        <v>2.7439580000000001</v>
      </c>
      <c r="V7904">
        <v>-0.24255589999999999</v>
      </c>
      <c r="W7904">
        <v>0.2274082</v>
      </c>
      <c r="X7904">
        <v>0.94310769999999999</v>
      </c>
      <c r="Y7904">
        <v>-0.31541950000000002</v>
      </c>
      <c r="Z7904">
        <v>-3.62993E-2</v>
      </c>
      <c r="AA7904">
        <v>0.94825780000000004</v>
      </c>
      <c r="AB7904">
        <v>38</v>
      </c>
      <c r="AC7904">
        <v>8.1693999999999907</v>
      </c>
      <c r="AD7904">
        <v>-1.125943982668</v>
      </c>
      <c r="AE7904">
        <v>14.963240000000001</v>
      </c>
      <c r="AF7904">
        <v>-5.4293937651405697</v>
      </c>
      <c r="AG7904">
        <v>-1.125943982668</v>
      </c>
      <c r="AH7904">
        <v>16.082298497372999</v>
      </c>
      <c r="AI7904">
        <v>93.795054083746095</v>
      </c>
      <c r="AJ7904">
        <v>108.654713596477</v>
      </c>
      <c r="AK7904">
        <v>17.011360658914398</v>
      </c>
      <c r="AL7904">
        <v>76.855470405491502</v>
      </c>
      <c r="AM7904">
        <v>104.423194440134</v>
      </c>
      <c r="AN7904">
        <v>0.99999999392566996</v>
      </c>
    </row>
    <row r="7905" spans="1:40" x14ac:dyDescent="0.25">
      <c r="A7905" t="str">
        <f>"20190312172303372"</f>
        <v>20190312172303372</v>
      </c>
      <c r="B7905" t="str">
        <f>"1552382583368491"</f>
        <v>1552382583368491</v>
      </c>
      <c r="C7905" t="s">
        <v>40</v>
      </c>
      <c r="D7905">
        <v>3.3988679999999998</v>
      </c>
      <c r="E7905">
        <v>0.46686260000000002</v>
      </c>
      <c r="F7905" t="s">
        <v>42</v>
      </c>
      <c r="G7905">
        <v>-183.0505</v>
      </c>
      <c r="H7905" s="1">
        <v>-1.9959950000000001E-6</v>
      </c>
      <c r="I7905">
        <v>-39.920209999999997</v>
      </c>
      <c r="J7905">
        <v>-190.9984</v>
      </c>
      <c r="K7905">
        <v>1.126009</v>
      </c>
      <c r="L7905">
        <v>-54.838529999999999</v>
      </c>
      <c r="M7905">
        <v>0.72838819999999904</v>
      </c>
      <c r="N7905">
        <v>0</v>
      </c>
      <c r="O7905">
        <v>0.68495430000000002</v>
      </c>
      <c r="P7905">
        <v>0.53007299999999902</v>
      </c>
      <c r="Q7905">
        <v>0.22081590000000001</v>
      </c>
      <c r="R7905">
        <v>0.81869590000000003</v>
      </c>
      <c r="S7905">
        <v>1.4842679999999999</v>
      </c>
      <c r="T7905">
        <v>-0.20646429999999999</v>
      </c>
      <c r="U7905">
        <v>2.761749</v>
      </c>
      <c r="V7905">
        <v>-0.2423544</v>
      </c>
      <c r="W7905">
        <v>0.22756970000000001</v>
      </c>
      <c r="X7905">
        <v>0.94312050000000003</v>
      </c>
      <c r="Y7905">
        <v>-0.31780799999999998</v>
      </c>
      <c r="Z7905">
        <v>-3.7224519999999997E-2</v>
      </c>
      <c r="AA7905">
        <v>0.94742409999999999</v>
      </c>
      <c r="AB7905">
        <v>38</v>
      </c>
      <c r="AC7905">
        <v>7.9478999999999997</v>
      </c>
      <c r="AD7905">
        <v>-1.126010995995</v>
      </c>
      <c r="AE7905">
        <v>14.91832</v>
      </c>
      <c r="AF7905">
        <v>-5.3992027494576904</v>
      </c>
      <c r="AG7905">
        <v>-1.126010995995</v>
      </c>
      <c r="AH7905">
        <v>15.9391020360372</v>
      </c>
      <c r="AI7905">
        <v>93.827955750134507</v>
      </c>
      <c r="AJ7905">
        <v>108.71326844150499</v>
      </c>
      <c r="AK7905">
        <v>16.866364896090001</v>
      </c>
      <c r="AL7905">
        <v>76.845967409029598</v>
      </c>
      <c r="AM7905">
        <v>104.411524337868</v>
      </c>
      <c r="AN7905">
        <v>0.99999995053884805</v>
      </c>
    </row>
    <row r="7906" spans="1:40" x14ac:dyDescent="0.25">
      <c r="A7906" t="str">
        <f>"20190312172303385"</f>
        <v>20190312172303385</v>
      </c>
      <c r="B7906" t="str">
        <f>"1552382583378251"</f>
        <v>1552382583378251</v>
      </c>
      <c r="C7906" t="s">
        <v>40</v>
      </c>
      <c r="D7906">
        <v>3.4352619999999998</v>
      </c>
      <c r="E7906">
        <v>0.46686260000000002</v>
      </c>
      <c r="F7906" t="s">
        <v>42</v>
      </c>
      <c r="G7906">
        <v>-183.11949999999999</v>
      </c>
      <c r="H7906" s="1">
        <v>-1.968396E-6</v>
      </c>
      <c r="I7906">
        <v>-39.947389999999999</v>
      </c>
      <c r="J7906">
        <v>-190.84520000000001</v>
      </c>
      <c r="K7906">
        <v>1.126082</v>
      </c>
      <c r="L7906">
        <v>-54.68741</v>
      </c>
      <c r="M7906">
        <v>0.72169490000000003</v>
      </c>
      <c r="N7906">
        <v>0</v>
      </c>
      <c r="O7906">
        <v>0.69200249999999996</v>
      </c>
      <c r="P7906">
        <v>0.52205109999999999</v>
      </c>
      <c r="Q7906">
        <v>0.2208551</v>
      </c>
      <c r="R7906">
        <v>0.82382379999999999</v>
      </c>
      <c r="S7906">
        <v>1.466385</v>
      </c>
      <c r="T7906">
        <v>-0.20956910000000001</v>
      </c>
      <c r="U7906">
        <v>2.7714840000000001</v>
      </c>
      <c r="V7906">
        <v>-0.2424338</v>
      </c>
      <c r="W7906">
        <v>0.22758880000000001</v>
      </c>
      <c r="X7906">
        <v>0.94309560000000003</v>
      </c>
      <c r="Y7906">
        <v>-0.31476569999999998</v>
      </c>
      <c r="Z7906">
        <v>-3.8402390000000002E-2</v>
      </c>
      <c r="AA7906">
        <v>0.94839220000000002</v>
      </c>
      <c r="AB7906">
        <v>37</v>
      </c>
      <c r="AC7906">
        <v>7.7257000000000096</v>
      </c>
      <c r="AD7906">
        <v>-1.126083968396</v>
      </c>
      <c r="AE7906">
        <v>14.7400199999999</v>
      </c>
      <c r="AF7906">
        <v>-5.2682372136441504</v>
      </c>
      <c r="AG7906">
        <v>-1.126083968396</v>
      </c>
      <c r="AH7906">
        <v>15.7060971827248</v>
      </c>
      <c r="AI7906">
        <v>93.888709024023498</v>
      </c>
      <c r="AJ7906">
        <v>108.542804520061</v>
      </c>
      <c r="AK7906">
        <v>16.604333083755598</v>
      </c>
      <c r="AL7906">
        <v>76.844845035419397</v>
      </c>
      <c r="AM7906">
        <v>104.416413859847</v>
      </c>
      <c r="AN7906">
        <v>1.0000000600036101</v>
      </c>
    </row>
    <row r="7907" spans="1:40" x14ac:dyDescent="0.25">
      <c r="A7907" t="str">
        <f>"20190312172303396"</f>
        <v>20190312172303396</v>
      </c>
      <c r="B7907" t="str">
        <f>"1552382583388011"</f>
        <v>1552382583388011</v>
      </c>
      <c r="C7907" t="s">
        <v>40</v>
      </c>
      <c r="D7907">
        <v>3.4396550000000001</v>
      </c>
      <c r="E7907">
        <v>0.47748400000000002</v>
      </c>
      <c r="F7907" t="s">
        <v>42</v>
      </c>
      <c r="G7907">
        <v>-183.10390000000001</v>
      </c>
      <c r="H7907" s="1">
        <v>-2.057163E-6</v>
      </c>
      <c r="I7907">
        <v>-39.698700000000002</v>
      </c>
      <c r="J7907">
        <v>-190.7071</v>
      </c>
      <c r="K7907">
        <v>1.1261479999999999</v>
      </c>
      <c r="L7907">
        <v>-54.548580000000001</v>
      </c>
      <c r="M7907">
        <v>0.71550740000000002</v>
      </c>
      <c r="N7907">
        <v>0</v>
      </c>
      <c r="O7907">
        <v>0.69839770000000001</v>
      </c>
      <c r="P7907">
        <v>0.51496140000000001</v>
      </c>
      <c r="Q7907">
        <v>0.22044730000000001</v>
      </c>
      <c r="R7907">
        <v>0.82838259999999897</v>
      </c>
      <c r="S7907">
        <v>1.438828</v>
      </c>
      <c r="T7907">
        <v>-0.2093005</v>
      </c>
      <c r="U7907">
        <v>2.7858890000000001</v>
      </c>
      <c r="V7907">
        <v>-0.2422329</v>
      </c>
      <c r="W7907">
        <v>0.2271764</v>
      </c>
      <c r="X7907">
        <v>0.94324649999999999</v>
      </c>
      <c r="Y7907">
        <v>-0.31572869999999997</v>
      </c>
      <c r="Z7907">
        <v>-3.8820939999999998E-2</v>
      </c>
      <c r="AA7907">
        <v>0.94805499999999998</v>
      </c>
      <c r="AB7907">
        <v>37</v>
      </c>
      <c r="AC7907">
        <v>7.6031999999999798</v>
      </c>
      <c r="AD7907">
        <v>-1.1261500571630001</v>
      </c>
      <c r="AE7907">
        <v>14.849880000000001</v>
      </c>
      <c r="AF7907">
        <v>-5.2917996459171004</v>
      </c>
      <c r="AG7907">
        <v>-1.1261500571630001</v>
      </c>
      <c r="AH7907">
        <v>15.7418310935767</v>
      </c>
      <c r="AI7907">
        <v>93.879277331075897</v>
      </c>
      <c r="AJ7907">
        <v>108.58066953362</v>
      </c>
      <c r="AK7907">
        <v>16.645618150807</v>
      </c>
      <c r="AL7907">
        <v>76.869107631116904</v>
      </c>
      <c r="AM7907">
        <v>104.402755927109</v>
      </c>
      <c r="AN7907">
        <v>0.99999992716080699</v>
      </c>
    </row>
    <row r="7908" spans="1:40" x14ac:dyDescent="0.25">
      <c r="A7908" t="str">
        <f>"20190312172303415"</f>
        <v>20190312172303415</v>
      </c>
      <c r="B7908" t="str">
        <f>"1552382583408507"</f>
        <v>1552382583408507</v>
      </c>
      <c r="C7908" t="s">
        <v>40</v>
      </c>
      <c r="D7908">
        <v>3.3766519999999902</v>
      </c>
      <c r="E7908">
        <v>0.47797990000000001</v>
      </c>
      <c r="F7908" t="s">
        <v>64</v>
      </c>
      <c r="G7908">
        <v>-183.84610000000001</v>
      </c>
      <c r="H7908" s="1">
        <v>-6.5490770000000001E-6</v>
      </c>
      <c r="I7908">
        <v>-41.839089999999999</v>
      </c>
      <c r="J7908">
        <v>-190.50309999999999</v>
      </c>
      <c r="K7908">
        <v>1.126239</v>
      </c>
      <c r="L7908">
        <v>-54.338439999999999</v>
      </c>
      <c r="M7908">
        <v>0.70607500000000001</v>
      </c>
      <c r="N7908">
        <v>0</v>
      </c>
      <c r="O7908">
        <v>0.70793159999999999</v>
      </c>
      <c r="P7908">
        <v>0.5039439</v>
      </c>
      <c r="Q7908">
        <v>0.22022230000000001</v>
      </c>
      <c r="R7908">
        <v>0.83519019999999999</v>
      </c>
      <c r="S7908">
        <v>1.4900819999999999</v>
      </c>
      <c r="T7908">
        <v>-0.24458160000000001</v>
      </c>
      <c r="U7908">
        <v>2.760284</v>
      </c>
      <c r="V7908">
        <v>-0.2421624</v>
      </c>
      <c r="W7908">
        <v>0.22693450000000001</v>
      </c>
      <c r="X7908">
        <v>0.94332289999999996</v>
      </c>
      <c r="Y7908">
        <v>-0.28575689999999998</v>
      </c>
      <c r="Z7908">
        <v>-4.7061560000000002E-2</v>
      </c>
      <c r="AA7908">
        <v>0.95714589999999999</v>
      </c>
      <c r="AB7908">
        <v>37</v>
      </c>
      <c r="AC7908">
        <v>6.6569999999999796</v>
      </c>
      <c r="AD7908">
        <v>-1.126245549077</v>
      </c>
      <c r="AE7908">
        <v>12.49935</v>
      </c>
      <c r="AF7908">
        <v>-4.0875236634991996</v>
      </c>
      <c r="AG7908">
        <v>-1.126245549077</v>
      </c>
      <c r="AH7908">
        <v>13.465829267037799</v>
      </c>
      <c r="AI7908">
        <v>94.575710515419502</v>
      </c>
      <c r="AJ7908">
        <v>106.885554705413</v>
      </c>
      <c r="AK7908">
        <v>14.117536491381699</v>
      </c>
      <c r="AL7908">
        <v>76.883340081908102</v>
      </c>
      <c r="AM7908">
        <v>104.39762073103699</v>
      </c>
      <c r="AN7908">
        <v>0.99999999446420995</v>
      </c>
    </row>
    <row r="7909" spans="1:40" x14ac:dyDescent="0.25">
      <c r="A7909" t="str">
        <f>"20190312172303427"</f>
        <v>20190312172303427</v>
      </c>
      <c r="B7909" t="str">
        <f>"1552382583418267"</f>
        <v>1552382583418267</v>
      </c>
      <c r="C7909" t="s">
        <v>40</v>
      </c>
      <c r="D7909">
        <v>3.4191560000000001</v>
      </c>
      <c r="E7909">
        <v>0.4785257</v>
      </c>
      <c r="F7909" t="s">
        <v>64</v>
      </c>
      <c r="G7909">
        <v>-183.80109999999999</v>
      </c>
      <c r="H7909" s="1">
        <v>-6.6384919999999998E-6</v>
      </c>
      <c r="I7909">
        <v>-41.55686</v>
      </c>
      <c r="J7909">
        <v>-190.3674</v>
      </c>
      <c r="K7909">
        <v>1.126298</v>
      </c>
      <c r="L7909">
        <v>-54.195529999999998</v>
      </c>
      <c r="M7909">
        <v>0.69961030000000002</v>
      </c>
      <c r="N7909">
        <v>0</v>
      </c>
      <c r="O7909">
        <v>0.71432039999999997</v>
      </c>
      <c r="P7909">
        <v>0.49649409999999999</v>
      </c>
      <c r="Q7909">
        <v>0.2197771</v>
      </c>
      <c r="R7909">
        <v>0.83975689999999903</v>
      </c>
      <c r="S7909">
        <v>1.4564820000000001</v>
      </c>
      <c r="T7909">
        <v>-0.24475720000000001</v>
      </c>
      <c r="U7909">
        <v>2.7777099999999999</v>
      </c>
      <c r="V7909">
        <v>-0.2420784</v>
      </c>
      <c r="W7909">
        <v>0.22648119999999999</v>
      </c>
      <c r="X7909">
        <v>0.9434534</v>
      </c>
      <c r="Y7909">
        <v>-0.2886012</v>
      </c>
      <c r="Z7909">
        <v>-4.7588760000000001E-2</v>
      </c>
      <c r="AA7909">
        <v>0.95626599999999995</v>
      </c>
      <c r="AB7909">
        <v>37</v>
      </c>
      <c r="AC7909">
        <v>6.5663000000000098</v>
      </c>
      <c r="AD7909">
        <v>-1.1263046384919999</v>
      </c>
      <c r="AE7909">
        <v>12.638669999999999</v>
      </c>
      <c r="AF7909">
        <v>-4.1265019245408103</v>
      </c>
      <c r="AG7909">
        <v>-1.1263046384919999</v>
      </c>
      <c r="AH7909">
        <v>13.539229486286301</v>
      </c>
      <c r="AI7909">
        <v>94.549690603851701</v>
      </c>
      <c r="AJ7909">
        <v>106.950233154857</v>
      </c>
      <c r="AK7909">
        <v>14.198849085550901</v>
      </c>
      <c r="AL7909">
        <v>76.910006678131197</v>
      </c>
      <c r="AM7909">
        <v>104.390925900448</v>
      </c>
      <c r="AN7909">
        <v>1.00000000183578</v>
      </c>
    </row>
    <row r="7910" spans="1:40" x14ac:dyDescent="0.25">
      <c r="A7910" t="str">
        <f>"20190312172303437"</f>
        <v>20190312172303437</v>
      </c>
      <c r="B7910" t="str">
        <f>"1552382583428027"</f>
        <v>1552382583428027</v>
      </c>
      <c r="C7910" t="s">
        <v>40</v>
      </c>
      <c r="D7910">
        <v>3.5973950000000001</v>
      </c>
      <c r="E7910">
        <v>0.47857820000000001</v>
      </c>
      <c r="F7910" t="s">
        <v>64</v>
      </c>
      <c r="G7910">
        <v>-183.63310000000001</v>
      </c>
      <c r="H7910" s="1">
        <v>-6.7678669999999998E-6</v>
      </c>
      <c r="I7910">
        <v>-41.113930000000003</v>
      </c>
      <c r="J7910">
        <v>-190.2405</v>
      </c>
      <c r="K7910">
        <v>1.1263529999999999</v>
      </c>
      <c r="L7910">
        <v>-54.060029999999998</v>
      </c>
      <c r="M7910">
        <v>0.69344399999999995</v>
      </c>
      <c r="N7910">
        <v>0</v>
      </c>
      <c r="O7910">
        <v>0.72030749999999999</v>
      </c>
      <c r="P7910">
        <v>0.48932819999999999</v>
      </c>
      <c r="Q7910">
        <v>0.21928810000000001</v>
      </c>
      <c r="R7910">
        <v>0.84407980000000005</v>
      </c>
      <c r="S7910">
        <v>1.434723</v>
      </c>
      <c r="T7910">
        <v>-0.2399579</v>
      </c>
      <c r="U7910">
        <v>2.7870180000000002</v>
      </c>
      <c r="V7910">
        <v>-0.24210200000000001</v>
      </c>
      <c r="W7910">
        <v>0.2259796</v>
      </c>
      <c r="X7910">
        <v>0.94356759999999995</v>
      </c>
      <c r="Y7910">
        <v>-0.28755370000000002</v>
      </c>
      <c r="Z7910">
        <v>-4.7241930000000001E-2</v>
      </c>
      <c r="AA7910">
        <v>0.95659870000000002</v>
      </c>
      <c r="AB7910">
        <v>37</v>
      </c>
      <c r="AC7910">
        <v>6.6073999999999797</v>
      </c>
      <c r="AD7910">
        <v>-1.1263597678669901</v>
      </c>
      <c r="AE7910">
        <v>12.946099999999999</v>
      </c>
      <c r="AF7910">
        <v>-4.1934694028768797</v>
      </c>
      <c r="AG7910">
        <v>-1.1263597678669901</v>
      </c>
      <c r="AH7910">
        <v>13.8260390842373</v>
      </c>
      <c r="AI7910">
        <v>94.457739326947106</v>
      </c>
      <c r="AJ7910">
        <v>106.872671069202</v>
      </c>
      <c r="AK7910">
        <v>14.491833173149301</v>
      </c>
      <c r="AL7910">
        <v>76.939510981911994</v>
      </c>
      <c r="AM7910">
        <v>104.39060103064899</v>
      </c>
      <c r="AN7910">
        <v>0.99999998689495895</v>
      </c>
    </row>
    <row r="7911" spans="1:40" x14ac:dyDescent="0.25">
      <c r="A7911" t="str">
        <f>"20190312172303449"</f>
        <v>20190312172303449</v>
      </c>
      <c r="B7911" t="str">
        <f>"1552382583437786"</f>
        <v>1552382583437786</v>
      </c>
      <c r="C7911" t="s">
        <v>40</v>
      </c>
      <c r="D7911">
        <v>3.4315069999999999</v>
      </c>
      <c r="E7911">
        <v>0.47982789999999997</v>
      </c>
      <c r="F7911" t="s">
        <v>64</v>
      </c>
      <c r="G7911">
        <v>-183.6591</v>
      </c>
      <c r="H7911" s="1">
        <v>-6.80778199999999E-6</v>
      </c>
      <c r="I7911">
        <v>-41.003430000000002</v>
      </c>
      <c r="J7911">
        <v>-190.11850000000001</v>
      </c>
      <c r="K7911">
        <v>1.126406</v>
      </c>
      <c r="L7911">
        <v>-53.926450000000003</v>
      </c>
      <c r="M7911">
        <v>0.68733979999999995</v>
      </c>
      <c r="N7911">
        <v>0</v>
      </c>
      <c r="O7911">
        <v>0.72613409999999901</v>
      </c>
      <c r="P7911">
        <v>0.48215409999999997</v>
      </c>
      <c r="Q7911">
        <v>0.21903439999999999</v>
      </c>
      <c r="R7911">
        <v>0.84826369999999895</v>
      </c>
      <c r="S7911">
        <v>1.4108579999999999</v>
      </c>
      <c r="T7911">
        <v>-0.2414608</v>
      </c>
      <c r="U7911">
        <v>2.7989809999999999</v>
      </c>
      <c r="V7911">
        <v>-0.24220520000000001</v>
      </c>
      <c r="W7911">
        <v>0.22571060000000001</v>
      </c>
      <c r="X7911">
        <v>0.94360549999999999</v>
      </c>
      <c r="Y7911">
        <v>-0.28763369999999999</v>
      </c>
      <c r="Z7911">
        <v>-4.8052989999999997E-2</v>
      </c>
      <c r="AA7911">
        <v>0.9565342</v>
      </c>
      <c r="AB7911">
        <v>37</v>
      </c>
      <c r="AC7911">
        <v>6.4594000000000102</v>
      </c>
      <c r="AD7911">
        <v>-1.1264128077819999</v>
      </c>
      <c r="AE7911">
        <v>12.923019999999999</v>
      </c>
      <c r="AF7911">
        <v>-4.1673976762984797</v>
      </c>
      <c r="AG7911">
        <v>-1.1264128077819999</v>
      </c>
      <c r="AH7911">
        <v>13.7421407130244</v>
      </c>
      <c r="AI7911">
        <v>94.485110739065107</v>
      </c>
      <c r="AJ7911">
        <v>106.870284115987</v>
      </c>
      <c r="AK7911">
        <v>14.4042507817143</v>
      </c>
      <c r="AL7911">
        <v>76.955332317194006</v>
      </c>
      <c r="AM7911">
        <v>104.395926161584</v>
      </c>
      <c r="AN7911">
        <v>0.99999998674482404</v>
      </c>
    </row>
    <row r="7912" spans="1:40" x14ac:dyDescent="0.25">
      <c r="A7912" t="str">
        <f>"20190312172303461"</f>
        <v>20190312172303461</v>
      </c>
      <c r="B7912" t="str">
        <f>"1552382583458283"</f>
        <v>1552382583458283</v>
      </c>
      <c r="C7912" t="s">
        <v>40</v>
      </c>
      <c r="D7912">
        <v>3.7757510000000001</v>
      </c>
      <c r="E7912">
        <v>0.48191539999999999</v>
      </c>
      <c r="F7912" t="s">
        <v>64</v>
      </c>
      <c r="G7912">
        <v>-183.6677</v>
      </c>
      <c r="H7912" s="1">
        <v>-6.8253109999999998E-6</v>
      </c>
      <c r="I7912">
        <v>-40.953940000000003</v>
      </c>
      <c r="J7912">
        <v>-189.98699999999999</v>
      </c>
      <c r="K7912">
        <v>1.126468</v>
      </c>
      <c r="L7912">
        <v>-53.781309999999998</v>
      </c>
      <c r="M7912">
        <v>0.68065969999999998</v>
      </c>
      <c r="N7912">
        <v>0</v>
      </c>
      <c r="O7912">
        <v>0.73239900000000002</v>
      </c>
      <c r="P7912">
        <v>0.47458430000000001</v>
      </c>
      <c r="Q7912">
        <v>0.2183968</v>
      </c>
      <c r="R7912">
        <v>0.85268549999999999</v>
      </c>
      <c r="S7912">
        <v>1.3954930000000001</v>
      </c>
      <c r="T7912">
        <v>-0.24367620000000001</v>
      </c>
      <c r="U7912">
        <v>2.8063349999999998</v>
      </c>
      <c r="V7912">
        <v>-0.24208150000000001</v>
      </c>
      <c r="W7912">
        <v>0.22506760000000001</v>
      </c>
      <c r="X7912">
        <v>0.94379080000000004</v>
      </c>
      <c r="Y7912">
        <v>-0.28408329999999998</v>
      </c>
      <c r="Z7912">
        <v>-4.9157850000000003E-2</v>
      </c>
      <c r="AA7912">
        <v>0.95753860000000002</v>
      </c>
      <c r="AB7912">
        <v>37</v>
      </c>
      <c r="AC7912">
        <v>6.3192999999999904</v>
      </c>
      <c r="AD7912">
        <v>-1.126474825311</v>
      </c>
      <c r="AE7912">
        <v>12.827369999999901</v>
      </c>
      <c r="AF7912">
        <v>-4.0781199321342703</v>
      </c>
      <c r="AG7912">
        <v>-1.126474825311</v>
      </c>
      <c r="AH7912">
        <v>13.613575985951799</v>
      </c>
      <c r="AI7912">
        <v>94.5321448294482</v>
      </c>
      <c r="AJ7912">
        <v>106.676256185879</v>
      </c>
      <c r="AK7912">
        <v>14.2558570011843</v>
      </c>
      <c r="AL7912">
        <v>76.993146361743101</v>
      </c>
      <c r="AM7912">
        <v>104.38617135034301</v>
      </c>
      <c r="AN7912">
        <v>0.99999997568832399</v>
      </c>
    </row>
    <row r="7913" spans="1:40" x14ac:dyDescent="0.25">
      <c r="A7913" t="str">
        <f>"20190312172303472"</f>
        <v>20190312172303472</v>
      </c>
      <c r="B7913" t="str">
        <f>"1552382583468043"</f>
        <v>1552382583468043</v>
      </c>
      <c r="C7913" t="s">
        <v>40</v>
      </c>
      <c r="D7913">
        <v>3.50082</v>
      </c>
      <c r="E7913">
        <v>0.4828131</v>
      </c>
      <c r="F7913" t="s">
        <v>64</v>
      </c>
      <c r="G7913">
        <v>-183.76429999999999</v>
      </c>
      <c r="H7913" s="1">
        <v>-6.772026E-6</v>
      </c>
      <c r="I7913">
        <v>-41.145580000000002</v>
      </c>
      <c r="J7913">
        <v>-189.85640000000001</v>
      </c>
      <c r="K7913">
        <v>1.126522</v>
      </c>
      <c r="L7913">
        <v>-53.633029999999998</v>
      </c>
      <c r="M7913">
        <v>0.67380649999999997</v>
      </c>
      <c r="N7913">
        <v>0</v>
      </c>
      <c r="O7913">
        <v>0.73870819999999904</v>
      </c>
      <c r="P7913">
        <v>0.46643810000000002</v>
      </c>
      <c r="Q7913">
        <v>0.2180378</v>
      </c>
      <c r="R7913">
        <v>0.85726019999999903</v>
      </c>
      <c r="S7913">
        <v>1.38472</v>
      </c>
      <c r="T7913">
        <v>-0.25067159999999999</v>
      </c>
      <c r="U7913">
        <v>2.811798</v>
      </c>
      <c r="V7913">
        <v>-0.24236360000000001</v>
      </c>
      <c r="W7913">
        <v>0.22468579999999999</v>
      </c>
      <c r="X7913">
        <v>0.94380940000000002</v>
      </c>
      <c r="Y7913">
        <v>-0.27889239999999998</v>
      </c>
      <c r="Z7913">
        <v>-5.1290540000000003E-2</v>
      </c>
      <c r="AA7913">
        <v>0.95895169999999996</v>
      </c>
      <c r="AB7913">
        <v>37</v>
      </c>
      <c r="AC7913">
        <v>6.0921000000000101</v>
      </c>
      <c r="AD7913">
        <v>-1.126528772026</v>
      </c>
      <c r="AE7913">
        <v>12.487450000000001</v>
      </c>
      <c r="AF7913">
        <v>-3.8888537305633499</v>
      </c>
      <c r="AG7913">
        <v>-1.126528772026</v>
      </c>
      <c r="AH7913">
        <v>13.2443792801123</v>
      </c>
      <c r="AI7913">
        <v>94.665670812720506</v>
      </c>
      <c r="AJ7913">
        <v>106.363449541848</v>
      </c>
      <c r="AK7913">
        <v>13.849398287556999</v>
      </c>
      <c r="AL7913">
        <v>77.015597278381307</v>
      </c>
      <c r="AM7913">
        <v>104.401966753252</v>
      </c>
      <c r="AN7913">
        <v>1.0000000034274801</v>
      </c>
    </row>
    <row r="7914" spans="1:40" x14ac:dyDescent="0.25">
      <c r="A7914" t="str">
        <f>"20190312172303485"</f>
        <v>20190312172303485</v>
      </c>
      <c r="B7914" t="str">
        <f>"1552382583477803"</f>
        <v>1552382583477803</v>
      </c>
      <c r="C7914" t="s">
        <v>40</v>
      </c>
      <c r="D7914">
        <v>3.4021110000000001</v>
      </c>
      <c r="E7914">
        <v>0.48373139999999998</v>
      </c>
      <c r="F7914" t="s">
        <v>64</v>
      </c>
      <c r="G7914">
        <v>-183.7895</v>
      </c>
      <c r="H7914" s="1">
        <v>-6.7963319999999997E-6</v>
      </c>
      <c r="I7914">
        <v>-41.081429999999997</v>
      </c>
      <c r="J7914">
        <v>-189.72730000000001</v>
      </c>
      <c r="K7914">
        <v>1.1265769999999999</v>
      </c>
      <c r="L7914">
        <v>-53.484470000000002</v>
      </c>
      <c r="M7914">
        <v>0.66689719999999997</v>
      </c>
      <c r="N7914">
        <v>0</v>
      </c>
      <c r="O7914">
        <v>0.74495119999999904</v>
      </c>
      <c r="P7914">
        <v>0.45850410000000003</v>
      </c>
      <c r="Q7914">
        <v>0.2175589</v>
      </c>
      <c r="R7914">
        <v>0.8616509</v>
      </c>
      <c r="S7914">
        <v>1.363937</v>
      </c>
      <c r="T7914">
        <v>-0.2532625</v>
      </c>
      <c r="U7914">
        <v>2.8218079999999999</v>
      </c>
      <c r="V7914">
        <v>-0.24238080000000001</v>
      </c>
      <c r="W7914">
        <v>0.22419639999999999</v>
      </c>
      <c r="X7914">
        <v>0.94392129999999996</v>
      </c>
      <c r="Y7914">
        <v>-0.27703309999999998</v>
      </c>
      <c r="Z7914">
        <v>-5.245462E-2</v>
      </c>
      <c r="AA7914">
        <v>0.95942749999999999</v>
      </c>
      <c r="AB7914">
        <v>37</v>
      </c>
      <c r="AC7914">
        <v>5.93780000000001</v>
      </c>
      <c r="AD7914">
        <v>-1.126583796332</v>
      </c>
      <c r="AE7914">
        <v>12.403039999999899</v>
      </c>
      <c r="AF7914">
        <v>-3.82309017507135</v>
      </c>
      <c r="AG7914">
        <v>-1.126583796332</v>
      </c>
      <c r="AH7914">
        <v>13.113496829994499</v>
      </c>
      <c r="AI7914">
        <v>94.714894102783603</v>
      </c>
      <c r="AJ7914">
        <v>106.253440733777</v>
      </c>
      <c r="AK7914">
        <v>13.705802006710901</v>
      </c>
      <c r="AL7914">
        <v>77.044371228604405</v>
      </c>
      <c r="AM7914">
        <v>104.40130988717701</v>
      </c>
      <c r="AN7914">
        <v>0.99999994928764302</v>
      </c>
    </row>
    <row r="7915" spans="1:40" x14ac:dyDescent="0.25">
      <c r="A7915" t="str">
        <f>"20190312172303497"</f>
        <v>20190312172303497</v>
      </c>
      <c r="B7915" t="str">
        <f>"1552382583488539"</f>
        <v>1552382583488539</v>
      </c>
      <c r="C7915" t="s">
        <v>40</v>
      </c>
      <c r="D7915">
        <v>3.4569030000000001</v>
      </c>
      <c r="E7915">
        <v>0.48452889999999998</v>
      </c>
      <c r="F7915" t="s">
        <v>64</v>
      </c>
      <c r="G7915">
        <v>-183.8201</v>
      </c>
      <c r="H7915" s="1">
        <v>-6.8125889999999997E-6</v>
      </c>
      <c r="I7915">
        <v>-41.04316</v>
      </c>
      <c r="J7915">
        <v>-189.5994</v>
      </c>
      <c r="K7915">
        <v>1.126633</v>
      </c>
      <c r="L7915">
        <v>-53.334690000000002</v>
      </c>
      <c r="M7915">
        <v>0.65989219999999904</v>
      </c>
      <c r="N7915">
        <v>0</v>
      </c>
      <c r="O7915">
        <v>0.75116289999999997</v>
      </c>
      <c r="P7915">
        <v>0.45040249999999998</v>
      </c>
      <c r="Q7915">
        <v>0.2173166</v>
      </c>
      <c r="R7915">
        <v>0.86597409999999997</v>
      </c>
      <c r="S7915">
        <v>1.3442379999999901</v>
      </c>
      <c r="T7915">
        <v>-0.25636569999999997</v>
      </c>
      <c r="U7915">
        <v>2.8311459999999999</v>
      </c>
      <c r="V7915">
        <v>-0.24245800000000001</v>
      </c>
      <c r="W7915">
        <v>0.22394040000000001</v>
      </c>
      <c r="X7915">
        <v>0.94396230000000003</v>
      </c>
      <c r="Y7915">
        <v>-0.27473969999999998</v>
      </c>
      <c r="Z7915">
        <v>-5.3747700000000002E-2</v>
      </c>
      <c r="AA7915">
        <v>0.96001519999999996</v>
      </c>
      <c r="AB7915">
        <v>37</v>
      </c>
      <c r="AC7915">
        <v>5.7793000000000001</v>
      </c>
      <c r="AD7915">
        <v>-1.126639812589</v>
      </c>
      <c r="AE7915">
        <v>12.29153</v>
      </c>
      <c r="AF7915">
        <v>-3.7446831264620402</v>
      </c>
      <c r="AG7915">
        <v>-1.126639812589</v>
      </c>
      <c r="AH7915">
        <v>12.959424911962</v>
      </c>
      <c r="AI7915">
        <v>94.774213645829605</v>
      </c>
      <c r="AJ7915">
        <v>106.116883685384</v>
      </c>
      <c r="AK7915">
        <v>13.5365676237997</v>
      </c>
      <c r="AL7915">
        <v>77.059422351717899</v>
      </c>
      <c r="AM7915">
        <v>104.405106293968</v>
      </c>
      <c r="AN7915">
        <v>1.00000000416872</v>
      </c>
    </row>
    <row r="7916" spans="1:40" x14ac:dyDescent="0.25">
      <c r="A7916" t="str">
        <f>"20190312172303516"</f>
        <v>20190312172303516</v>
      </c>
      <c r="B7916" t="str">
        <f>"1552382583508059"</f>
        <v>1552382583508059</v>
      </c>
      <c r="C7916" t="s">
        <v>40</v>
      </c>
      <c r="D7916">
        <v>3.5266709999999999</v>
      </c>
      <c r="E7916">
        <v>0.4857416</v>
      </c>
      <c r="F7916" t="s">
        <v>64</v>
      </c>
      <c r="G7916">
        <v>-183.8458</v>
      </c>
      <c r="H7916" s="1">
        <v>-6.8354650000000001E-6</v>
      </c>
      <c r="I7916">
        <v>-40.983440000000002</v>
      </c>
      <c r="J7916">
        <v>-189.40219999999999</v>
      </c>
      <c r="K7916">
        <v>1.126722</v>
      </c>
      <c r="L7916">
        <v>-53.097290000000001</v>
      </c>
      <c r="M7916">
        <v>0.64871469999999998</v>
      </c>
      <c r="N7916">
        <v>0</v>
      </c>
      <c r="O7916">
        <v>0.76083599999999996</v>
      </c>
      <c r="P7916">
        <v>0.43748670000000001</v>
      </c>
      <c r="Q7916">
        <v>0.2176235</v>
      </c>
      <c r="R7916">
        <v>0.87249379999999999</v>
      </c>
      <c r="S7916">
        <v>1.3234410000000001</v>
      </c>
      <c r="T7916">
        <v>-0.25914680000000001</v>
      </c>
      <c r="U7916">
        <v>2.8410030000000002</v>
      </c>
      <c r="V7916">
        <v>-0.24254010000000001</v>
      </c>
      <c r="W7916">
        <v>0.2242276</v>
      </c>
      <c r="X7916">
        <v>0.94387299999999996</v>
      </c>
      <c r="Y7916">
        <v>-0.26760810000000002</v>
      </c>
      <c r="Z7916">
        <v>-5.5453929999999999E-2</v>
      </c>
      <c r="AA7916">
        <v>0.96193079999999997</v>
      </c>
      <c r="AB7916">
        <v>37</v>
      </c>
      <c r="AC7916">
        <v>5.5563999999999902</v>
      </c>
      <c r="AD7916">
        <v>-1.126728835465</v>
      </c>
      <c r="AE7916">
        <v>12.113849999999999</v>
      </c>
      <c r="AF7916">
        <v>-3.6056928034246001</v>
      </c>
      <c r="AG7916">
        <v>-1.126728835465</v>
      </c>
      <c r="AH7916">
        <v>12.732079589788301</v>
      </c>
      <c r="AI7916">
        <v>94.866807747141294</v>
      </c>
      <c r="AJ7916">
        <v>105.81198808603899</v>
      </c>
      <c r="AK7916">
        <v>13.280677284763801</v>
      </c>
      <c r="AL7916">
        <v>77.042537282918502</v>
      </c>
      <c r="AM7916">
        <v>104.411087557863</v>
      </c>
      <c r="AN7916">
        <v>0.99999997841938404</v>
      </c>
    </row>
    <row r="7917" spans="1:40" x14ac:dyDescent="0.25">
      <c r="A7917" t="str">
        <f>"20190312172303530"</f>
        <v>20190312172303530</v>
      </c>
      <c r="B7917" t="str">
        <f>"1552382583517819"</f>
        <v>1552382583517819</v>
      </c>
      <c r="C7917" t="s">
        <v>40</v>
      </c>
      <c r="D7917">
        <v>3.4394200000000001</v>
      </c>
      <c r="E7917">
        <v>0.4857416</v>
      </c>
      <c r="F7917" t="s">
        <v>64</v>
      </c>
      <c r="G7917">
        <v>-183.89349999999999</v>
      </c>
      <c r="H7917" s="1">
        <v>-6.8676479999999997E-6</v>
      </c>
      <c r="I7917">
        <v>-40.90334</v>
      </c>
      <c r="J7917">
        <v>-189.26429999999999</v>
      </c>
      <c r="K7917">
        <v>1.1267830000000001</v>
      </c>
      <c r="L7917">
        <v>-52.926540000000003</v>
      </c>
      <c r="M7917">
        <v>0.64062140000000001</v>
      </c>
      <c r="N7917">
        <v>0</v>
      </c>
      <c r="O7917">
        <v>0.76766239999999997</v>
      </c>
      <c r="P7917">
        <v>0.4282126</v>
      </c>
      <c r="Q7917">
        <v>0.21812680000000001</v>
      </c>
      <c r="R7917">
        <v>0.87695769999999995</v>
      </c>
      <c r="S7917">
        <v>1.29071</v>
      </c>
      <c r="T7917">
        <v>-0.26399640000000002</v>
      </c>
      <c r="U7917">
        <v>2.8570859999999998</v>
      </c>
      <c r="V7917">
        <v>-0.2425263</v>
      </c>
      <c r="W7917">
        <v>0.22471969999999999</v>
      </c>
      <c r="X7917">
        <v>0.94375960000000003</v>
      </c>
      <c r="Y7917">
        <v>-0.2686307</v>
      </c>
      <c r="Z7917">
        <v>-5.7104179999999997E-2</v>
      </c>
      <c r="AA7917">
        <v>0.96154910000000005</v>
      </c>
      <c r="AB7917">
        <v>37</v>
      </c>
      <c r="AC7917">
        <v>5.3708</v>
      </c>
      <c r="AD7917">
        <v>-1.1267898676479999</v>
      </c>
      <c r="AE7917">
        <v>12.023199999999999</v>
      </c>
      <c r="AF7917">
        <v>-3.5538711841980302</v>
      </c>
      <c r="AG7917">
        <v>-1.1267898676479999</v>
      </c>
      <c r="AH7917">
        <v>12.5801883578622</v>
      </c>
      <c r="AI7917">
        <v>94.9264456138024</v>
      </c>
      <c r="AJ7917">
        <v>105.774850871132</v>
      </c>
      <c r="AK7917">
        <v>13.121005865367099</v>
      </c>
      <c r="AL7917">
        <v>77.013604806614296</v>
      </c>
      <c r="AM7917">
        <v>104.411961138921</v>
      </c>
      <c r="AN7917">
        <v>1.00000006617596</v>
      </c>
    </row>
    <row r="7918" spans="1:40" x14ac:dyDescent="0.25">
      <c r="A7918" t="str">
        <f>"20190312172303551"</f>
        <v>20190312172303551</v>
      </c>
      <c r="B7918" t="str">
        <f>"1552382583538315"</f>
        <v>1552382583538315</v>
      </c>
      <c r="C7918" t="s">
        <v>40</v>
      </c>
      <c r="D7918">
        <v>3.4421210000000002</v>
      </c>
      <c r="E7918">
        <v>0.496508</v>
      </c>
      <c r="F7918" t="s">
        <v>64</v>
      </c>
      <c r="G7918">
        <v>-183.851</v>
      </c>
      <c r="H7918" s="1">
        <v>-6.9652169999999997E-6</v>
      </c>
      <c r="I7918">
        <v>-40.597569999999997</v>
      </c>
      <c r="J7918">
        <v>-189.05860000000001</v>
      </c>
      <c r="K7918">
        <v>1.1268800000000001</v>
      </c>
      <c r="L7918">
        <v>-52.665559999999999</v>
      </c>
      <c r="M7918">
        <v>0.62815330000000003</v>
      </c>
      <c r="N7918">
        <v>0</v>
      </c>
      <c r="O7918">
        <v>0.77789680000000005</v>
      </c>
      <c r="P7918">
        <v>0.4140335</v>
      </c>
      <c r="Q7918">
        <v>0.2196612</v>
      </c>
      <c r="R7918">
        <v>0.88336019999999904</v>
      </c>
      <c r="S7918">
        <v>1.260437</v>
      </c>
      <c r="T7918">
        <v>-0.26236369999999998</v>
      </c>
      <c r="U7918">
        <v>2.8706969999999998</v>
      </c>
      <c r="V7918">
        <v>-0.24237529999999999</v>
      </c>
      <c r="W7918">
        <v>0.2262411</v>
      </c>
      <c r="X7918">
        <v>0.94343480000000002</v>
      </c>
      <c r="Y7918">
        <v>-0.26327909999999999</v>
      </c>
      <c r="Z7918">
        <v>-5.7894059999999997E-2</v>
      </c>
      <c r="AA7918">
        <v>0.96298099999999998</v>
      </c>
      <c r="AB7918">
        <v>37</v>
      </c>
      <c r="AC7918">
        <v>5.20760000000001</v>
      </c>
      <c r="AD7918">
        <v>-1.1268869652169999</v>
      </c>
      <c r="AE7918">
        <v>12.067989999999901</v>
      </c>
      <c r="AF7918">
        <v>-3.5043425413149598</v>
      </c>
      <c r="AG7918">
        <v>-1.1268869652169999</v>
      </c>
      <c r="AH7918">
        <v>12.5683350820117</v>
      </c>
      <c r="AI7918">
        <v>94.936184846654896</v>
      </c>
      <c r="AJ7918">
        <v>105.579699906714</v>
      </c>
      <c r="AK7918">
        <v>13.0963100762379</v>
      </c>
      <c r="AL7918">
        <v>76.924130250496802</v>
      </c>
      <c r="AM7918">
        <v>104.408113775904</v>
      </c>
      <c r="AN7918">
        <v>1.0000000216151601</v>
      </c>
    </row>
    <row r="7919" spans="1:40" x14ac:dyDescent="0.25">
      <c r="A7919" t="str">
        <f>"20190312172303565"</f>
        <v>20190312172303565</v>
      </c>
      <c r="B7919" t="str">
        <f>"1552382583557875"</f>
        <v>1552382583557875</v>
      </c>
      <c r="C7919" t="s">
        <v>40</v>
      </c>
      <c r="D7919">
        <v>3.5047929999999998</v>
      </c>
      <c r="E7919">
        <v>0.4962781</v>
      </c>
      <c r="F7919" t="s">
        <v>64</v>
      </c>
      <c r="G7919">
        <v>-184.0616</v>
      </c>
      <c r="H7919" s="1">
        <v>-6.6404589999999997E-6</v>
      </c>
      <c r="I7919">
        <v>-41.638530000000003</v>
      </c>
      <c r="J7919">
        <v>-188.9195</v>
      </c>
      <c r="K7919">
        <v>1.1269400000000001</v>
      </c>
      <c r="L7919">
        <v>-52.484219999999901</v>
      </c>
      <c r="M7919">
        <v>0.61942719999999996</v>
      </c>
      <c r="N7919">
        <v>0</v>
      </c>
      <c r="O7919">
        <v>0.78486239999999996</v>
      </c>
      <c r="P7919">
        <v>0.40398719999999999</v>
      </c>
      <c r="Q7919">
        <v>0.2198889</v>
      </c>
      <c r="R7919">
        <v>0.88794329999999999</v>
      </c>
      <c r="S7919">
        <v>1.2965390000000001</v>
      </c>
      <c r="T7919">
        <v>-0.29238920000000002</v>
      </c>
      <c r="U7919">
        <v>2.861145</v>
      </c>
      <c r="V7919">
        <v>-0.24255019999999999</v>
      </c>
      <c r="W7919">
        <v>0.22645100000000001</v>
      </c>
      <c r="X7919">
        <v>0.9433395</v>
      </c>
      <c r="Y7919">
        <v>-0.24137359999999999</v>
      </c>
      <c r="Z7919">
        <v>-6.5767450000000005E-2</v>
      </c>
      <c r="AA7919">
        <v>0.96820119999999998</v>
      </c>
      <c r="AB7919">
        <v>37</v>
      </c>
      <c r="AC7919">
        <v>4.8578999999999999</v>
      </c>
      <c r="AD7919">
        <v>-1.1269466404590001</v>
      </c>
      <c r="AE7919">
        <v>10.8456899999999</v>
      </c>
      <c r="AF7919">
        <v>-2.8798720834928901</v>
      </c>
      <c r="AG7919">
        <v>-1.1269466404590001</v>
      </c>
      <c r="AH7919">
        <v>11.420523592015</v>
      </c>
      <c r="AI7919">
        <v>95.465541263223798</v>
      </c>
      <c r="AJ7919">
        <v>104.153006741727</v>
      </c>
      <c r="AK7919">
        <v>11.8318228123774</v>
      </c>
      <c r="AL7919">
        <v>76.911783588500498</v>
      </c>
      <c r="AM7919">
        <v>104.419473386167</v>
      </c>
      <c r="AN7919">
        <v>1.00000003359064</v>
      </c>
    </row>
    <row r="7920" spans="1:40" x14ac:dyDescent="0.25">
      <c r="A7920" t="str">
        <f>"20190312172303583"</f>
        <v>20190312172303583</v>
      </c>
      <c r="B7920" t="str">
        <f>"1552382583578331"</f>
        <v>1552382583578331</v>
      </c>
      <c r="C7920" t="s">
        <v>40</v>
      </c>
      <c r="D7920">
        <v>3.417783</v>
      </c>
      <c r="E7920">
        <v>0.4625745</v>
      </c>
      <c r="F7920" t="s">
        <v>64</v>
      </c>
      <c r="G7920">
        <v>-184.0616</v>
      </c>
      <c r="H7920" s="1">
        <v>-6.7131869999999998E-6</v>
      </c>
      <c r="I7920">
        <v>-41.421259999999997</v>
      </c>
      <c r="J7920">
        <v>-188.7501</v>
      </c>
      <c r="K7920">
        <v>1.1270089999999999</v>
      </c>
      <c r="L7920">
        <v>-52.257629999999999</v>
      </c>
      <c r="M7920">
        <v>0.60845289999999996</v>
      </c>
      <c r="N7920">
        <v>0</v>
      </c>
      <c r="O7920">
        <v>0.79339969999999904</v>
      </c>
      <c r="P7920">
        <v>0.39155240000000002</v>
      </c>
      <c r="Q7920">
        <v>0.22017510000000001</v>
      </c>
      <c r="R7920">
        <v>0.89342579999999905</v>
      </c>
      <c r="S7920">
        <v>1.2630920000000001</v>
      </c>
      <c r="T7920">
        <v>-0.29301919999999998</v>
      </c>
      <c r="U7920">
        <v>2.8764949999999998</v>
      </c>
      <c r="V7920">
        <v>-0.24261050000000001</v>
      </c>
      <c r="W7920">
        <v>0.2267237</v>
      </c>
      <c r="X7920">
        <v>0.9432585</v>
      </c>
      <c r="Y7920">
        <v>-0.23924339999999999</v>
      </c>
      <c r="Z7920">
        <v>-6.6879560000000005E-2</v>
      </c>
      <c r="AA7920">
        <v>0.9686536</v>
      </c>
      <c r="AB7920">
        <v>37</v>
      </c>
      <c r="AC7920">
        <v>4.6885000000000003</v>
      </c>
      <c r="AD7920">
        <v>-1.127015713187</v>
      </c>
      <c r="AE7920">
        <v>10.836370000000001</v>
      </c>
      <c r="AF7920">
        <v>-2.8480514521940101</v>
      </c>
      <c r="AG7920">
        <v>-1.127015713187</v>
      </c>
      <c r="AH7920">
        <v>11.3486352385972</v>
      </c>
      <c r="AI7920">
        <v>95.501847051292998</v>
      </c>
      <c r="AJ7920">
        <v>104.08799046117301</v>
      </c>
      <c r="AK7920">
        <v>11.7547047292072</v>
      </c>
      <c r="AL7920">
        <v>76.895741939854304</v>
      </c>
      <c r="AM7920">
        <v>104.424095538088</v>
      </c>
      <c r="AN7920">
        <v>1.00000004433709</v>
      </c>
    </row>
    <row r="7921" spans="1:40" x14ac:dyDescent="0.25">
      <c r="A7921" t="str">
        <f>"20190312172303595"</f>
        <v>20190312172303595</v>
      </c>
      <c r="B7921" t="str">
        <f>"1552382583588091"</f>
        <v>1552382583588091</v>
      </c>
      <c r="C7921" t="s">
        <v>40</v>
      </c>
      <c r="D7921">
        <v>3.3457509999999999</v>
      </c>
      <c r="E7921">
        <v>0.45666760000000001</v>
      </c>
      <c r="F7921" t="s">
        <v>42</v>
      </c>
      <c r="G7921">
        <v>-183.7552</v>
      </c>
      <c r="H7921" s="1">
        <v>-2.8341940000000002E-6</v>
      </c>
      <c r="I7921">
        <v>-36.906120000000001</v>
      </c>
      <c r="J7921">
        <v>-188.61840000000001</v>
      </c>
      <c r="K7921">
        <v>1.127059</v>
      </c>
      <c r="L7921">
        <v>-52.076259999999998</v>
      </c>
      <c r="M7921">
        <v>0.59961889999999995</v>
      </c>
      <c r="N7921">
        <v>0</v>
      </c>
      <c r="O7921">
        <v>0.80009640000000004</v>
      </c>
      <c r="P7921">
        <v>0.38152520000000001</v>
      </c>
      <c r="Q7921">
        <v>0.22042909999999999</v>
      </c>
      <c r="R7921">
        <v>0.89769120000000002</v>
      </c>
      <c r="S7921">
        <v>0.97157289999999996</v>
      </c>
      <c r="T7921">
        <v>-0.21921959999999999</v>
      </c>
      <c r="U7921">
        <v>2.986084</v>
      </c>
      <c r="V7921">
        <v>-0.24271789999999999</v>
      </c>
      <c r="W7921">
        <v>0.22696459999999999</v>
      </c>
      <c r="X7921">
        <v>0.94317289999999998</v>
      </c>
      <c r="Y7921">
        <v>-0.32310800000000001</v>
      </c>
      <c r="Z7921">
        <v>-4.8813500000000003E-2</v>
      </c>
      <c r="AA7921">
        <v>0.94510240000000001</v>
      </c>
      <c r="AB7921">
        <v>37</v>
      </c>
      <c r="AC7921">
        <v>4.8632</v>
      </c>
      <c r="AD7921">
        <v>-1.127061834194</v>
      </c>
      <c r="AE7921">
        <v>15.1701399999999</v>
      </c>
      <c r="AF7921">
        <v>-5.1801342235768804</v>
      </c>
      <c r="AG7921">
        <v>-1.127061834194</v>
      </c>
      <c r="AH7921">
        <v>14.980937297344401</v>
      </c>
      <c r="AI7921">
        <v>94.067021485956701</v>
      </c>
      <c r="AJ7921">
        <v>109.074449810961</v>
      </c>
      <c r="AK7921">
        <v>15.891272487102301</v>
      </c>
      <c r="AL7921">
        <v>76.881569532715801</v>
      </c>
      <c r="AM7921">
        <v>104.431469269079</v>
      </c>
      <c r="AN7921">
        <v>1.00000001396399</v>
      </c>
    </row>
    <row r="7922" spans="1:40" x14ac:dyDescent="0.25">
      <c r="A7922" t="str">
        <f>"20190312172303608"</f>
        <v>20190312172303608</v>
      </c>
      <c r="B7922" t="str">
        <f>"1552382583597851"</f>
        <v>1552382583597851</v>
      </c>
      <c r="C7922" t="s">
        <v>40</v>
      </c>
      <c r="D7922">
        <v>3.2933050000000001</v>
      </c>
      <c r="E7922">
        <v>0.45352629999999999</v>
      </c>
      <c r="F7922" t="s">
        <v>42</v>
      </c>
      <c r="G7922">
        <v>-183.56630000000001</v>
      </c>
      <c r="H7922" s="1">
        <v>-3.517278E-6</v>
      </c>
      <c r="I7922">
        <v>-35.046590000000002</v>
      </c>
      <c r="J7922">
        <v>-188.5051</v>
      </c>
      <c r="K7922">
        <v>1.127105</v>
      </c>
      <c r="L7922">
        <v>-51.916499999999999</v>
      </c>
      <c r="M7922">
        <v>0.59179820000000005</v>
      </c>
      <c r="N7922">
        <v>0</v>
      </c>
      <c r="O7922">
        <v>0.8058978</v>
      </c>
      <c r="P7922">
        <v>0.37266139999999998</v>
      </c>
      <c r="Q7922">
        <v>0.22049569999999999</v>
      </c>
      <c r="R7922">
        <v>0.90139069999999999</v>
      </c>
      <c r="S7922">
        <v>0.89331050000000001</v>
      </c>
      <c r="T7922">
        <v>-0.19928609999999999</v>
      </c>
      <c r="U7922">
        <v>3.0111690000000002</v>
      </c>
      <c r="V7922">
        <v>-0.24284510000000001</v>
      </c>
      <c r="W7922">
        <v>0.22702040000000001</v>
      </c>
      <c r="X7922">
        <v>0.94312669999999998</v>
      </c>
      <c r="Y7922">
        <v>-0.33850849999999999</v>
      </c>
      <c r="Z7922">
        <v>-4.4515180000000001E-2</v>
      </c>
      <c r="AA7922">
        <v>0.93990980000000002</v>
      </c>
      <c r="AB7922">
        <v>37</v>
      </c>
      <c r="AC7922">
        <v>4.9387999999999801</v>
      </c>
      <c r="AD7922">
        <v>-1.127108517278</v>
      </c>
      <c r="AE7922">
        <v>16.869909999999901</v>
      </c>
      <c r="AF7922">
        <v>-5.9797406202029197</v>
      </c>
      <c r="AG7922">
        <v>-1.127108517278</v>
      </c>
      <c r="AH7922">
        <v>16.453058908718699</v>
      </c>
      <c r="AI7922">
        <v>93.683851627138097</v>
      </c>
      <c r="AJ7922">
        <v>109.973294832101</v>
      </c>
      <c r="AK7922">
        <v>17.542258091488499</v>
      </c>
      <c r="AL7922">
        <v>76.878286394784297</v>
      </c>
      <c r="AM7922">
        <v>104.43939394893</v>
      </c>
      <c r="AN7922">
        <v>0.99999998843152904</v>
      </c>
    </row>
    <row r="7923" spans="1:40" x14ac:dyDescent="0.25">
      <c r="A7923" t="str">
        <f>"20190312172303628"</f>
        <v>20190312172303628</v>
      </c>
      <c r="B7923" t="str">
        <f>"1552382583618347"</f>
        <v>1552382583618347</v>
      </c>
      <c r="C7923" t="s">
        <v>40</v>
      </c>
      <c r="D7923">
        <v>3.3185669999999998</v>
      </c>
      <c r="E7923">
        <v>0.45061639999999997</v>
      </c>
      <c r="F7923" t="s">
        <v>42</v>
      </c>
      <c r="G7923">
        <v>-183.49950000000001</v>
      </c>
      <c r="H7923" s="1">
        <v>-3.9391330000000004E-6</v>
      </c>
      <c r="I7923">
        <v>-33.872839999999997</v>
      </c>
      <c r="J7923">
        <v>-188.3279</v>
      </c>
      <c r="K7923">
        <v>1.127167</v>
      </c>
      <c r="L7923">
        <v>-51.660580000000003</v>
      </c>
      <c r="M7923">
        <v>0.57919960000000004</v>
      </c>
      <c r="N7923">
        <v>0</v>
      </c>
      <c r="O7923">
        <v>0.81499869999999996</v>
      </c>
      <c r="P7923">
        <v>0.35836600000000002</v>
      </c>
      <c r="Q7923">
        <v>0.22111220000000001</v>
      </c>
      <c r="R7923">
        <v>0.90701880000000001</v>
      </c>
      <c r="S7923">
        <v>0.83979799999999905</v>
      </c>
      <c r="T7923">
        <v>-0.1890992</v>
      </c>
      <c r="U7923">
        <v>3.0272519999999998</v>
      </c>
      <c r="V7923">
        <v>-0.24307300000000001</v>
      </c>
      <c r="W7923">
        <v>0.2276166</v>
      </c>
      <c r="X7923">
        <v>0.94292430000000005</v>
      </c>
      <c r="Y7923">
        <v>-0.34057490000000001</v>
      </c>
      <c r="Z7923">
        <v>-4.2876709999999998E-2</v>
      </c>
      <c r="AA7923">
        <v>0.93923920000000005</v>
      </c>
      <c r="AB7923">
        <v>37</v>
      </c>
      <c r="AC7923">
        <v>4.8283999999999798</v>
      </c>
      <c r="AD7923">
        <v>-1.12717093913299</v>
      </c>
      <c r="AE7923">
        <v>17.7877399999999</v>
      </c>
      <c r="AF7923">
        <v>-6.3447543914381903</v>
      </c>
      <c r="AG7923">
        <v>-1.12717093913299</v>
      </c>
      <c r="AH7923">
        <v>17.231784238292299</v>
      </c>
      <c r="AI7923">
        <v>93.512613000511706</v>
      </c>
      <c r="AJ7923">
        <v>110.213740398368</v>
      </c>
      <c r="AK7923">
        <v>18.3973044397477</v>
      </c>
      <c r="AL7923">
        <v>76.843208714766703</v>
      </c>
      <c r="AM7923">
        <v>104.455349710501</v>
      </c>
      <c r="AN7923">
        <v>1.0000000177275199</v>
      </c>
    </row>
    <row r="7924" spans="1:40" x14ac:dyDescent="0.25">
      <c r="A7924" t="str">
        <f>"20190312172303641"</f>
        <v>20190312172303641</v>
      </c>
      <c r="B7924" t="str">
        <f>"1552382583628107"</f>
        <v>1552382583628107</v>
      </c>
      <c r="C7924" t="s">
        <v>40</v>
      </c>
      <c r="D7924">
        <v>3.4207869999999998</v>
      </c>
      <c r="E7924">
        <v>0.45072590000000001</v>
      </c>
      <c r="F7924" t="s">
        <v>42</v>
      </c>
      <c r="G7924">
        <v>-183.54839999999999</v>
      </c>
      <c r="H7924" s="1">
        <v>-4.4082730000000001E-6</v>
      </c>
      <c r="I7924">
        <v>-32.759039999999999</v>
      </c>
      <c r="J7924">
        <v>-188.21100000000001</v>
      </c>
      <c r="K7924">
        <v>1.127208</v>
      </c>
      <c r="L7924">
        <v>-51.487699999999997</v>
      </c>
      <c r="M7924">
        <v>0.57063469999999905</v>
      </c>
      <c r="N7924">
        <v>0</v>
      </c>
      <c r="O7924">
        <v>0.82101789999999997</v>
      </c>
      <c r="P7924">
        <v>0.34909759999999901</v>
      </c>
      <c r="Q7924">
        <v>0.2210136</v>
      </c>
      <c r="R7924">
        <v>0.91065030000000002</v>
      </c>
      <c r="S7924">
        <v>0.77056880000000005</v>
      </c>
      <c r="T7924">
        <v>-0.18172779999999999</v>
      </c>
      <c r="U7924">
        <v>3.0473940000000002</v>
      </c>
      <c r="V7924">
        <v>-0.24285080000000001</v>
      </c>
      <c r="W7924">
        <v>0.2275247</v>
      </c>
      <c r="X7924">
        <v>0.9430037</v>
      </c>
      <c r="Y7924">
        <v>-0.35222730000000002</v>
      </c>
      <c r="Z7924">
        <v>-4.1410379999999997E-2</v>
      </c>
      <c r="AA7924">
        <v>0.93499790000000005</v>
      </c>
      <c r="AB7924">
        <v>37</v>
      </c>
      <c r="AC7924">
        <v>4.6625999999999896</v>
      </c>
      <c r="AD7924">
        <v>-1.127212408273</v>
      </c>
      <c r="AE7924">
        <v>18.728660000000001</v>
      </c>
      <c r="AF7924">
        <v>-6.8368730948779399</v>
      </c>
      <c r="AG7924">
        <v>-1.127212408273</v>
      </c>
      <c r="AH7924">
        <v>17.9786383821789</v>
      </c>
      <c r="AI7924">
        <v>93.3538698210956</v>
      </c>
      <c r="AJ7924">
        <v>110.82068711012001</v>
      </c>
      <c r="AK7924">
        <v>19.267715993495099</v>
      </c>
      <c r="AL7924">
        <v>76.848615695493706</v>
      </c>
      <c r="AM7924">
        <v>104.44152337374599</v>
      </c>
      <c r="AN7924">
        <v>0.999999989192209</v>
      </c>
    </row>
    <row r="7925" spans="1:40" x14ac:dyDescent="0.25">
      <c r="A7925" t="str">
        <f>"20190312172303654"</f>
        <v>20190312172303654</v>
      </c>
      <c r="B7925" t="str">
        <f>"1552382583648604"</f>
        <v>1552382583648604</v>
      </c>
      <c r="C7925" t="s">
        <v>40</v>
      </c>
      <c r="D7925">
        <v>3.4023859999999999</v>
      </c>
      <c r="E7925">
        <v>0.45132030000000001</v>
      </c>
      <c r="F7925" t="s">
        <v>42</v>
      </c>
      <c r="G7925">
        <v>-183.6404</v>
      </c>
      <c r="H7925" s="1">
        <v>-4.4474290000000001E-6</v>
      </c>
      <c r="I7925">
        <v>-32.629730000000002</v>
      </c>
      <c r="J7925">
        <v>-188.0907</v>
      </c>
      <c r="K7925">
        <v>1.1272470000000001</v>
      </c>
      <c r="L7925">
        <v>-51.304169999999999</v>
      </c>
      <c r="M7925">
        <v>0.56151079999999998</v>
      </c>
      <c r="N7925">
        <v>0</v>
      </c>
      <c r="O7925">
        <v>0.82728429999999997</v>
      </c>
      <c r="P7925">
        <v>0.339028</v>
      </c>
      <c r="Q7925">
        <v>0.22108230000000001</v>
      </c>
      <c r="R7925">
        <v>0.91443030000000003</v>
      </c>
      <c r="S7925">
        <v>0.74038700000000002</v>
      </c>
      <c r="T7925">
        <v>-0.18259929999999999</v>
      </c>
      <c r="U7925">
        <v>3.05484</v>
      </c>
      <c r="V7925">
        <v>-0.24283579999999999</v>
      </c>
      <c r="W7925">
        <v>0.22759019999999999</v>
      </c>
      <c r="X7925">
        <v>0.94299180000000005</v>
      </c>
      <c r="Y7925">
        <v>-0.35111930000000002</v>
      </c>
      <c r="Z7925">
        <v>-4.2088170000000001E-2</v>
      </c>
      <c r="AA7925">
        <v>0.93538429999999995</v>
      </c>
      <c r="AB7925">
        <v>36</v>
      </c>
      <c r="AC7925">
        <v>4.4502999999999897</v>
      </c>
      <c r="AD7925">
        <v>-1.1272514474290001</v>
      </c>
      <c r="AE7925">
        <v>18.674440000000001</v>
      </c>
      <c r="AF7925">
        <v>-6.7818953317461501</v>
      </c>
      <c r="AG7925">
        <v>-1.1272514474290001</v>
      </c>
      <c r="AH7925">
        <v>17.889032032686401</v>
      </c>
      <c r="AI7925">
        <v>93.372051472759793</v>
      </c>
      <c r="AJ7925">
        <v>110.762175224001</v>
      </c>
      <c r="AK7925">
        <v>19.164609758170698</v>
      </c>
      <c r="AL7925">
        <v>76.844762256192993</v>
      </c>
      <c r="AM7925">
        <v>104.440843285667</v>
      </c>
      <c r="AN7925">
        <v>1.0000000298824501</v>
      </c>
    </row>
    <row r="7926" spans="1:40" x14ac:dyDescent="0.25">
      <c r="A7926" t="str">
        <f>"20190312172303673"</f>
        <v>20190312172303673</v>
      </c>
      <c r="B7926" t="str">
        <f>"1552382583668123"</f>
        <v>1552382583668123</v>
      </c>
      <c r="C7926" t="s">
        <v>40</v>
      </c>
      <c r="D7926">
        <v>3.5751249999999999</v>
      </c>
      <c r="E7926">
        <v>0.45157829999999899</v>
      </c>
      <c r="F7926" t="s">
        <v>42</v>
      </c>
      <c r="G7926">
        <v>-183.6464</v>
      </c>
      <c r="H7926" s="1">
        <v>-4.6407479999999999E-6</v>
      </c>
      <c r="I7926">
        <v>-32.17662</v>
      </c>
      <c r="J7926">
        <v>-187.9392</v>
      </c>
      <c r="K7926">
        <v>1.1272850000000001</v>
      </c>
      <c r="L7926">
        <v>-51.0672</v>
      </c>
      <c r="M7926">
        <v>0.54966939999999997</v>
      </c>
      <c r="N7926">
        <v>0</v>
      </c>
      <c r="O7926">
        <v>0.83519829999999995</v>
      </c>
      <c r="P7926">
        <v>0.32678570000000001</v>
      </c>
      <c r="Q7926">
        <v>0.22004750000000001</v>
      </c>
      <c r="R7926">
        <v>0.91912470000000002</v>
      </c>
      <c r="S7926">
        <v>0.71113590000000004</v>
      </c>
      <c r="T7926">
        <v>-0.1803757</v>
      </c>
      <c r="U7926">
        <v>3.0606689999999999</v>
      </c>
      <c r="V7926">
        <v>-0.2421172</v>
      </c>
      <c r="W7926">
        <v>0.2265894</v>
      </c>
      <c r="X7926">
        <v>0.94341750000000002</v>
      </c>
      <c r="Y7926">
        <v>-0.34664970000000001</v>
      </c>
      <c r="Z7926">
        <v>-4.2245400000000002E-2</v>
      </c>
      <c r="AA7926">
        <v>0.93704279999999995</v>
      </c>
      <c r="AB7926">
        <v>36</v>
      </c>
      <c r="AC7926">
        <v>4.2927999999999997</v>
      </c>
      <c r="AD7926">
        <v>-1.127289640748</v>
      </c>
      <c r="AE7926">
        <v>18.89058</v>
      </c>
      <c r="AF7926">
        <v>-6.7763334248963503</v>
      </c>
      <c r="AG7926">
        <v>-1.127289640748</v>
      </c>
      <c r="AH7926">
        <v>18.0785712202143</v>
      </c>
      <c r="AI7926">
        <v>93.341600458969396</v>
      </c>
      <c r="AJ7926">
        <v>110.54734573968901</v>
      </c>
      <c r="AK7926">
        <v>19.339705633330201</v>
      </c>
      <c r="AL7926">
        <v>76.903642275903096</v>
      </c>
      <c r="AM7926">
        <v>104.39366159580599</v>
      </c>
      <c r="AN7926">
        <v>1.00000003701722</v>
      </c>
    </row>
    <row r="7927" spans="1:40" x14ac:dyDescent="0.25">
      <c r="A7927" t="str">
        <f>"20190312172303686"</f>
        <v>20190312172303686</v>
      </c>
      <c r="B7927" t="str">
        <f>"1552382583677883"</f>
        <v>1552382583677883</v>
      </c>
      <c r="C7927" t="s">
        <v>40</v>
      </c>
      <c r="D7927">
        <v>3.4094519999999902</v>
      </c>
      <c r="E7927">
        <v>0.45203650000000001</v>
      </c>
      <c r="F7927" t="s">
        <v>42</v>
      </c>
      <c r="G7927">
        <v>-183.77420000000001</v>
      </c>
      <c r="H7927" s="1">
        <v>-4.6798109999999997E-6</v>
      </c>
      <c r="I7927">
        <v>-32.032719999999998</v>
      </c>
      <c r="J7927">
        <v>-187.81819999999999</v>
      </c>
      <c r="K7927">
        <v>1.127318</v>
      </c>
      <c r="L7927">
        <v>-50.872439999999997</v>
      </c>
      <c r="M7927">
        <v>0.53989189999999998</v>
      </c>
      <c r="N7927">
        <v>0</v>
      </c>
      <c r="O7927">
        <v>0.8415513</v>
      </c>
      <c r="P7927">
        <v>0.31660519999999998</v>
      </c>
      <c r="Q7927">
        <v>0.21939520000000001</v>
      </c>
      <c r="R7927">
        <v>0.9228364</v>
      </c>
      <c r="S7927">
        <v>0.67147829999999997</v>
      </c>
      <c r="T7927">
        <v>-0.18174090000000001</v>
      </c>
      <c r="U7927">
        <v>3.0687259999999998</v>
      </c>
      <c r="V7927">
        <v>-0.24162159999999999</v>
      </c>
      <c r="W7927">
        <v>0.22595999999999999</v>
      </c>
      <c r="X7927">
        <v>0.94369539999999996</v>
      </c>
      <c r="Y7927">
        <v>-0.34778320000000001</v>
      </c>
      <c r="Z7927">
        <v>-4.3024189999999997E-2</v>
      </c>
      <c r="AA7927">
        <v>0.93658730000000001</v>
      </c>
      <c r="AB7927">
        <v>36</v>
      </c>
      <c r="AC7927">
        <v>4.0439999999999801</v>
      </c>
      <c r="AD7927">
        <v>-1.1273226798109901</v>
      </c>
      <c r="AE7927">
        <v>18.83972</v>
      </c>
      <c r="AF7927">
        <v>-6.7461309916886201</v>
      </c>
      <c r="AG7927">
        <v>-1.1273226798109901</v>
      </c>
      <c r="AH7927">
        <v>17.979154037928701</v>
      </c>
      <c r="AI7927">
        <v>93.359701241546801</v>
      </c>
      <c r="AJ7927">
        <v>110.567075366552</v>
      </c>
      <c r="AK7927">
        <v>19.236192962772201</v>
      </c>
      <c r="AL7927">
        <v>76.940663487770195</v>
      </c>
      <c r="AM7927">
        <v>104.361363738566</v>
      </c>
      <c r="AN7927">
        <v>0.99999996358385901</v>
      </c>
    </row>
    <row r="7928" spans="1:40" x14ac:dyDescent="0.25">
      <c r="A7928" t="str">
        <f>"20190312172303701"</f>
        <v>20190312172303701</v>
      </c>
      <c r="B7928" t="str">
        <f>"1552382583698379"</f>
        <v>1552382583698379</v>
      </c>
      <c r="C7928" t="s">
        <v>40</v>
      </c>
      <c r="D7928">
        <v>3.4223840000000001</v>
      </c>
      <c r="E7928">
        <v>0.45292660000000001</v>
      </c>
      <c r="F7928" t="s">
        <v>42</v>
      </c>
      <c r="G7928">
        <v>-183.869</v>
      </c>
      <c r="H7928" s="1">
        <v>-4.7113959999999901E-6</v>
      </c>
      <c r="I7928">
        <v>-31.919889999999999</v>
      </c>
      <c r="J7928">
        <v>-187.703</v>
      </c>
      <c r="K7928">
        <v>1.1273470000000001</v>
      </c>
      <c r="L7928">
        <v>-50.683230000000002</v>
      </c>
      <c r="M7928">
        <v>0.53034969999999904</v>
      </c>
      <c r="N7928">
        <v>0</v>
      </c>
      <c r="O7928">
        <v>0.84759680000000004</v>
      </c>
      <c r="P7928">
        <v>0.30692720000000001</v>
      </c>
      <c r="Q7928">
        <v>0.21876409999999999</v>
      </c>
      <c r="R7928">
        <v>0.9262494</v>
      </c>
      <c r="S7928">
        <v>0.64064030000000005</v>
      </c>
      <c r="T7928">
        <v>-0.1828785</v>
      </c>
      <c r="U7928">
        <v>3.074554</v>
      </c>
      <c r="V7928">
        <v>-0.24090919999999999</v>
      </c>
      <c r="W7928">
        <v>0.2253627</v>
      </c>
      <c r="X7928">
        <v>0.94402030000000003</v>
      </c>
      <c r="Y7928">
        <v>-0.34655190000000002</v>
      </c>
      <c r="Z7928">
        <v>-4.3774590000000002E-2</v>
      </c>
      <c r="AA7928">
        <v>0.93700890000000003</v>
      </c>
      <c r="AB7928">
        <v>36</v>
      </c>
      <c r="AC7928">
        <v>3.8339999999999699</v>
      </c>
      <c r="AD7928">
        <v>-1.1273517113960001</v>
      </c>
      <c r="AE7928">
        <v>18.763339999999999</v>
      </c>
      <c r="AF7928">
        <v>-6.6793352206791701</v>
      </c>
      <c r="AG7928">
        <v>-1.1273517113960001</v>
      </c>
      <c r="AH7928">
        <v>17.8779269656489</v>
      </c>
      <c r="AI7928">
        <v>93.380551662749497</v>
      </c>
      <c r="AJ7928">
        <v>110.486086708401</v>
      </c>
      <c r="AK7928">
        <v>19.118177566401801</v>
      </c>
      <c r="AL7928">
        <v>76.975792306276404</v>
      </c>
      <c r="AM7928">
        <v>104.316038441936</v>
      </c>
      <c r="AN7928">
        <v>0.99999995800400898</v>
      </c>
    </row>
    <row r="7929" spans="1:40" x14ac:dyDescent="0.25">
      <c r="A7929" t="str">
        <f>"20190312172303717"</f>
        <v>20190312172303717</v>
      </c>
      <c r="B7929" t="str">
        <f>"1552382583708139"</f>
        <v>1552382583708139</v>
      </c>
      <c r="C7929" t="s">
        <v>40</v>
      </c>
      <c r="D7929">
        <v>3.4099360000000001</v>
      </c>
      <c r="E7929">
        <v>0.4535727</v>
      </c>
      <c r="F7929" t="s">
        <v>42</v>
      </c>
      <c r="G7929">
        <v>-183.96010000000001</v>
      </c>
      <c r="H7929" s="1">
        <v>-4.688181E-6</v>
      </c>
      <c r="I7929">
        <v>-31.936340000000001</v>
      </c>
      <c r="J7929">
        <v>-187.5643</v>
      </c>
      <c r="K7929">
        <v>1.1273839999999999</v>
      </c>
      <c r="L7929">
        <v>-50.447360000000003</v>
      </c>
      <c r="M7929">
        <v>0.51841570000000003</v>
      </c>
      <c r="N7929">
        <v>0</v>
      </c>
      <c r="O7929">
        <v>0.85494769999999898</v>
      </c>
      <c r="P7929">
        <v>0.29502420000000001</v>
      </c>
      <c r="Q7929">
        <v>0.21765190000000001</v>
      </c>
      <c r="R7929">
        <v>0.93037000000000003</v>
      </c>
      <c r="S7929">
        <v>0.61471560000000003</v>
      </c>
      <c r="T7929">
        <v>-0.18515209999999999</v>
      </c>
      <c r="U7929">
        <v>3.0789179999999998</v>
      </c>
      <c r="V7929">
        <v>-0.23988899999999999</v>
      </c>
      <c r="W7929">
        <v>0.22430140000000001</v>
      </c>
      <c r="X7929">
        <v>0.94453279999999995</v>
      </c>
      <c r="Y7929">
        <v>-0.34124700000000002</v>
      </c>
      <c r="Z7929">
        <v>-4.4976950000000002E-2</v>
      </c>
      <c r="AA7929">
        <v>0.93889699999999998</v>
      </c>
      <c r="AB7929">
        <v>36</v>
      </c>
      <c r="AC7929">
        <v>3.6041999999999899</v>
      </c>
      <c r="AD7929">
        <v>-1.127388688181</v>
      </c>
      <c r="AE7929">
        <v>18.511019999999899</v>
      </c>
      <c r="AF7929">
        <v>-6.4928058148476699</v>
      </c>
      <c r="AG7929">
        <v>-1.127388688181</v>
      </c>
      <c r="AH7929">
        <v>17.634147085347902</v>
      </c>
      <c r="AI7929">
        <v>93.433326454970896</v>
      </c>
      <c r="AJ7929">
        <v>110.213457582233</v>
      </c>
      <c r="AK7929">
        <v>18.825266957768299</v>
      </c>
      <c r="AL7929">
        <v>77.038199018379402</v>
      </c>
      <c r="AM7929">
        <v>104.25046885776</v>
      </c>
      <c r="AN7929">
        <v>1.0000000303193901</v>
      </c>
    </row>
    <row r="7930" spans="1:40" x14ac:dyDescent="0.25">
      <c r="A7930" t="str">
        <f>"20190312172303731"</f>
        <v>20190312172303731</v>
      </c>
      <c r="B7930" t="str">
        <f>"1552382583727659"</f>
        <v>1552382583727659</v>
      </c>
      <c r="C7930" t="s">
        <v>40</v>
      </c>
      <c r="D7930">
        <v>3.3994010000000001</v>
      </c>
      <c r="E7930">
        <v>0.45483639999999997</v>
      </c>
      <c r="F7930" t="s">
        <v>42</v>
      </c>
      <c r="G7930">
        <v>-184.09350000000001</v>
      </c>
      <c r="H7930" s="1">
        <v>-4.6480750000000004E-6</v>
      </c>
      <c r="I7930">
        <v>-31.974689999999999</v>
      </c>
      <c r="J7930">
        <v>-187.4631</v>
      </c>
      <c r="K7930">
        <v>1.1274150000000001</v>
      </c>
      <c r="L7930">
        <v>-50.269379999999998</v>
      </c>
      <c r="M7930">
        <v>0.50938409999999901</v>
      </c>
      <c r="N7930">
        <v>0</v>
      </c>
      <c r="O7930">
        <v>0.86035899999999998</v>
      </c>
      <c r="P7930">
        <v>0.28569749999999999</v>
      </c>
      <c r="Q7930">
        <v>0.21747939999999999</v>
      </c>
      <c r="R7930">
        <v>0.93331649999999999</v>
      </c>
      <c r="S7930">
        <v>0.57960509999999998</v>
      </c>
      <c r="T7930">
        <v>-0.1882643</v>
      </c>
      <c r="U7930">
        <v>3.084778</v>
      </c>
      <c r="V7930">
        <v>-0.2394241</v>
      </c>
      <c r="W7930">
        <v>0.22415089999999999</v>
      </c>
      <c r="X7930">
        <v>0.94468649999999998</v>
      </c>
      <c r="Y7930">
        <v>-0.34200009999999997</v>
      </c>
      <c r="Z7930">
        <v>-4.6150299999999998E-2</v>
      </c>
      <c r="AA7930">
        <v>0.93856600000000001</v>
      </c>
      <c r="AB7930">
        <v>36</v>
      </c>
      <c r="AC7930">
        <v>3.3695999999999899</v>
      </c>
      <c r="AD7930">
        <v>-1.1274196480750001</v>
      </c>
      <c r="AE7930">
        <v>18.294689999999999</v>
      </c>
      <c r="AF7930">
        <v>-6.3974560953083</v>
      </c>
      <c r="AG7930">
        <v>-1.1274196480750001</v>
      </c>
      <c r="AH7930">
        <v>17.395235836453999</v>
      </c>
      <c r="AI7930">
        <v>93.480938639944497</v>
      </c>
      <c r="AJ7930">
        <v>110.19203766820701</v>
      </c>
      <c r="AK7930">
        <v>18.5685957832066</v>
      </c>
      <c r="AL7930">
        <v>77.047047654520696</v>
      </c>
      <c r="AM7930">
        <v>104.221753224507</v>
      </c>
      <c r="AN7930">
        <v>1.0000000544569301</v>
      </c>
    </row>
    <row r="7931" spans="1:40" x14ac:dyDescent="0.25">
      <c r="A7931" t="str">
        <f>"20190312172303752"</f>
        <v>20190312172303752</v>
      </c>
      <c r="B7931" t="str">
        <f>"1552382583748155"</f>
        <v>1552382583748155</v>
      </c>
      <c r="C7931" t="s">
        <v>40</v>
      </c>
      <c r="D7931">
        <v>3.4035630000000001</v>
      </c>
      <c r="E7931">
        <v>0.45603470000000002</v>
      </c>
      <c r="F7931" t="s">
        <v>42</v>
      </c>
      <c r="G7931">
        <v>-184.1258</v>
      </c>
      <c r="H7931" s="1">
        <v>-4.7077389999999999E-6</v>
      </c>
      <c r="I7931">
        <v>-31.82226</v>
      </c>
      <c r="J7931">
        <v>-187.30600000000001</v>
      </c>
      <c r="K7931">
        <v>1.1274630000000001</v>
      </c>
      <c r="L7931">
        <v>-49.985779999999998</v>
      </c>
      <c r="M7931">
        <v>0.4949267</v>
      </c>
      <c r="N7931">
        <v>0</v>
      </c>
      <c r="O7931">
        <v>0.86875579999999997</v>
      </c>
      <c r="P7931">
        <v>0.27153919999999998</v>
      </c>
      <c r="Q7931">
        <v>0.2192828</v>
      </c>
      <c r="R7931">
        <v>0.93711339999999999</v>
      </c>
      <c r="S7931">
        <v>0.55853269999999899</v>
      </c>
      <c r="T7931">
        <v>-0.18868679999999999</v>
      </c>
      <c r="U7931">
        <v>3.0873409999999999</v>
      </c>
      <c r="V7931">
        <v>-0.23781179999999999</v>
      </c>
      <c r="W7931">
        <v>0.22602420000000001</v>
      </c>
      <c r="X7931">
        <v>0.94464740000000003</v>
      </c>
      <c r="Y7931">
        <v>-0.33261499999999999</v>
      </c>
      <c r="Z7931">
        <v>-4.7082079999999998E-2</v>
      </c>
      <c r="AA7931">
        <v>0.94188669999999997</v>
      </c>
      <c r="AB7931">
        <v>36</v>
      </c>
      <c r="AC7931">
        <v>3.1801999999999802</v>
      </c>
      <c r="AD7931">
        <v>-1.1274677077389901</v>
      </c>
      <c r="AE7931">
        <v>18.163519999999998</v>
      </c>
      <c r="AF7931">
        <v>-6.2045664412208597</v>
      </c>
      <c r="AG7931">
        <v>-1.1274677077389901</v>
      </c>
      <c r="AH7931">
        <v>17.291683127339098</v>
      </c>
      <c r="AI7931">
        <v>93.511932540854801</v>
      </c>
      <c r="AJ7931">
        <v>109.738898062039</v>
      </c>
      <c r="AK7931">
        <v>18.4057092645685</v>
      </c>
      <c r="AL7931">
        <v>76.936888567155407</v>
      </c>
      <c r="AM7931">
        <v>104.13039251022199</v>
      </c>
      <c r="AN7931">
        <v>1.00000005076581</v>
      </c>
    </row>
    <row r="7932" spans="1:40" x14ac:dyDescent="0.25">
      <c r="A7932" t="str">
        <f>"20190312172303774"</f>
        <v>20190312172303774</v>
      </c>
      <c r="B7932" t="str">
        <f>"1552382583768651"</f>
        <v>1552382583768651</v>
      </c>
      <c r="C7932" t="s">
        <v>40</v>
      </c>
      <c r="D7932">
        <v>3.3488039999999999</v>
      </c>
      <c r="E7932">
        <v>0.45727790000000001</v>
      </c>
      <c r="F7932" t="s">
        <v>42</v>
      </c>
      <c r="G7932">
        <v>-184.0658</v>
      </c>
      <c r="H7932" s="1">
        <v>-5.1596230000000001E-6</v>
      </c>
      <c r="I7932">
        <v>-30.79372</v>
      </c>
      <c r="J7932">
        <v>-187.13720000000001</v>
      </c>
      <c r="K7932">
        <v>1.1275029999999999</v>
      </c>
      <c r="L7932">
        <v>-49.66818</v>
      </c>
      <c r="M7932">
        <v>0.47866180000000003</v>
      </c>
      <c r="N7932">
        <v>0</v>
      </c>
      <c r="O7932">
        <v>0.87782179999999999</v>
      </c>
      <c r="P7932">
        <v>0.25507180000000002</v>
      </c>
      <c r="Q7932">
        <v>0.21933040000000001</v>
      </c>
      <c r="R7932">
        <v>0.9417179</v>
      </c>
      <c r="S7932">
        <v>0.52210999999999996</v>
      </c>
      <c r="T7932">
        <v>-0.18167559999999999</v>
      </c>
      <c r="U7932">
        <v>3.0925289999999999</v>
      </c>
      <c r="V7932">
        <v>-0.2367928</v>
      </c>
      <c r="W7932">
        <v>0.2261203</v>
      </c>
      <c r="X7932">
        <v>0.94488030000000001</v>
      </c>
      <c r="Y7932">
        <v>-0.3260768</v>
      </c>
      <c r="Z7932">
        <v>-4.613834E-2</v>
      </c>
      <c r="AA7932">
        <v>0.94421670000000002</v>
      </c>
      <c r="AB7932">
        <v>36</v>
      </c>
      <c r="AC7932">
        <v>3.0714000000000099</v>
      </c>
      <c r="AD7932">
        <v>-1.1275081596230001</v>
      </c>
      <c r="AE7932">
        <v>18.874459999999999</v>
      </c>
      <c r="AF7932">
        <v>-6.3173672024800798</v>
      </c>
      <c r="AG7932">
        <v>-1.1275081596230001</v>
      </c>
      <c r="AH7932">
        <v>17.9788836713915</v>
      </c>
      <c r="AI7932">
        <v>93.386052273233503</v>
      </c>
      <c r="AJ7932">
        <v>109.360305066499</v>
      </c>
      <c r="AK7932">
        <v>19.0898051611433</v>
      </c>
      <c r="AL7932">
        <v>76.931235438784995</v>
      </c>
      <c r="AM7932">
        <v>104.06892489847399</v>
      </c>
      <c r="AN7932">
        <v>1.0000000007660099</v>
      </c>
    </row>
    <row r="7933" spans="1:40" x14ac:dyDescent="0.25">
      <c r="A7933" t="str">
        <f>"20190312172303797"</f>
        <v>20190312172303797</v>
      </c>
      <c r="B7933" t="str">
        <f>"1552382583788172"</f>
        <v>1552382583788172</v>
      </c>
      <c r="C7933" t="s">
        <v>40</v>
      </c>
      <c r="D7933">
        <v>3.4005990000000001</v>
      </c>
      <c r="E7933">
        <v>0.45796750000000003</v>
      </c>
      <c r="F7933" t="s">
        <v>42</v>
      </c>
      <c r="G7933">
        <v>-184.14590000000001</v>
      </c>
      <c r="H7933" s="1">
        <v>-1.5773849999999999E-6</v>
      </c>
      <c r="I7933">
        <v>-30.293880000000001</v>
      </c>
      <c r="J7933">
        <v>-186.9726</v>
      </c>
      <c r="K7933">
        <v>1.127535</v>
      </c>
      <c r="L7933">
        <v>-49.343960000000003</v>
      </c>
      <c r="M7933">
        <v>0.46198139999999999</v>
      </c>
      <c r="N7933">
        <v>0</v>
      </c>
      <c r="O7933">
        <v>0.88671339999999998</v>
      </c>
      <c r="P7933">
        <v>0.23874039999999999</v>
      </c>
      <c r="Q7933">
        <v>0.2207102</v>
      </c>
      <c r="R7933">
        <v>0.94566910000000004</v>
      </c>
      <c r="S7933">
        <v>0.47833249999999999</v>
      </c>
      <c r="T7933">
        <v>-0.1802956</v>
      </c>
      <c r="U7933">
        <v>3.0980829999999999</v>
      </c>
      <c r="V7933">
        <v>-0.23520289999999999</v>
      </c>
      <c r="W7933">
        <v>0.22757069999999999</v>
      </c>
      <c r="X7933">
        <v>0.94492920000000002</v>
      </c>
      <c r="Y7933">
        <v>-0.32148409999999999</v>
      </c>
      <c r="Z7933">
        <v>-4.6547760000000001E-2</v>
      </c>
      <c r="AA7933">
        <v>0.94577020000000001</v>
      </c>
      <c r="AB7933">
        <v>36</v>
      </c>
      <c r="AC7933">
        <v>2.8266999999999798</v>
      </c>
      <c r="AD7933">
        <v>-1.1275365773849999</v>
      </c>
      <c r="AE7933">
        <v>19.050080000000001</v>
      </c>
      <c r="AF7933">
        <v>-6.2737886875994597</v>
      </c>
      <c r="AG7933">
        <v>-1.1275365773849999</v>
      </c>
      <c r="AH7933">
        <v>18.138514077486398</v>
      </c>
      <c r="AI7933">
        <v>93.362130399737495</v>
      </c>
      <c r="AJ7933">
        <v>109.07959072764</v>
      </c>
      <c r="AK7933">
        <v>19.2259578739049</v>
      </c>
      <c r="AL7933">
        <v>76.845909370138799</v>
      </c>
      <c r="AM7933">
        <v>103.977482387596</v>
      </c>
      <c r="AN7933">
        <v>1.0000000103397699</v>
      </c>
    </row>
    <row r="7934" spans="1:40" x14ac:dyDescent="0.25">
      <c r="A7934" t="str">
        <f>"20190312172303810"</f>
        <v>20190312172303810</v>
      </c>
      <c r="B7934" t="str">
        <f>"1552382583807691"</f>
        <v>1552382583807691</v>
      </c>
      <c r="C7934" t="s">
        <v>40</v>
      </c>
      <c r="D7934">
        <v>3.3946999999999998</v>
      </c>
      <c r="E7934">
        <v>0.47478039999999999</v>
      </c>
      <c r="F7934" t="s">
        <v>42</v>
      </c>
      <c r="G7934">
        <v>-184.2148</v>
      </c>
      <c r="H7934" s="1">
        <v>-1.8512979999999999E-6</v>
      </c>
      <c r="I7934">
        <v>-29.435099999999998</v>
      </c>
      <c r="J7934">
        <v>-186.87979999999999</v>
      </c>
      <c r="K7934">
        <v>1.127553</v>
      </c>
      <c r="L7934">
        <v>-49.153080000000003</v>
      </c>
      <c r="M7934">
        <v>0.45213389999999998</v>
      </c>
      <c r="N7934">
        <v>0</v>
      </c>
      <c r="O7934">
        <v>0.89177469999999903</v>
      </c>
      <c r="P7934">
        <v>0.2289813</v>
      </c>
      <c r="Q7934">
        <v>0.22151080000000001</v>
      </c>
      <c r="R7934">
        <v>0.94789270000000003</v>
      </c>
      <c r="S7934">
        <v>0.43008420000000003</v>
      </c>
      <c r="T7934">
        <v>-0.17584159999999999</v>
      </c>
      <c r="U7934">
        <v>3.1048279999999999</v>
      </c>
      <c r="V7934">
        <v>-0.23443439999999999</v>
      </c>
      <c r="W7934">
        <v>0.22840540000000001</v>
      </c>
      <c r="X7934">
        <v>0.94491879999999995</v>
      </c>
      <c r="Y7934">
        <v>-0.32568709999999901</v>
      </c>
      <c r="Z7934">
        <v>-4.572234E-2</v>
      </c>
      <c r="AA7934">
        <v>0.94437150000000003</v>
      </c>
      <c r="AB7934">
        <v>36</v>
      </c>
      <c r="AC7934">
        <v>2.6649999999999898</v>
      </c>
      <c r="AD7934">
        <v>-1.127554851298</v>
      </c>
      <c r="AE7934">
        <v>19.717980000000001</v>
      </c>
      <c r="AF7934">
        <v>-6.5186767570087101</v>
      </c>
      <c r="AG7934">
        <v>-1.127554851298</v>
      </c>
      <c r="AH7934">
        <v>18.731717755372699</v>
      </c>
      <c r="AI7934">
        <v>93.253810414976002</v>
      </c>
      <c r="AJ7934">
        <v>109.18800295033</v>
      </c>
      <c r="AK7934">
        <v>19.8655927843092</v>
      </c>
      <c r="AL7934">
        <v>76.79679121577</v>
      </c>
      <c r="AM7934">
        <v>103.933742028281</v>
      </c>
      <c r="AN7934">
        <v>1.0000000266229701</v>
      </c>
    </row>
    <row r="7935" spans="1:40" x14ac:dyDescent="0.25">
      <c r="A7935" t="str">
        <f>"20190312172303830"</f>
        <v>20190312172303830</v>
      </c>
      <c r="B7935" t="str">
        <f>"1552382583818427"</f>
        <v>1552382583818427</v>
      </c>
      <c r="C7935" t="s">
        <v>40</v>
      </c>
      <c r="D7935">
        <v>3.381961</v>
      </c>
      <c r="E7935">
        <v>0.47596709999999898</v>
      </c>
      <c r="F7935" t="s">
        <v>42</v>
      </c>
      <c r="G7935">
        <v>-183.69</v>
      </c>
      <c r="H7935" s="1">
        <v>-5.3250569999999999E-6</v>
      </c>
      <c r="I7935">
        <v>-30.56344</v>
      </c>
      <c r="J7935">
        <v>-186.7526</v>
      </c>
      <c r="K7935">
        <v>1.1275710000000001</v>
      </c>
      <c r="L7935">
        <v>-48.883389999999999</v>
      </c>
      <c r="M7935">
        <v>0.43817519999999999</v>
      </c>
      <c r="N7935">
        <v>0</v>
      </c>
      <c r="O7935">
        <v>0.89871529999999999</v>
      </c>
      <c r="P7935">
        <v>0.2162501</v>
      </c>
      <c r="Q7935">
        <v>0.2210249</v>
      </c>
      <c r="R7935">
        <v>0.95099100000000003</v>
      </c>
      <c r="S7935">
        <v>0.52864069999999996</v>
      </c>
      <c r="T7935">
        <v>-0.18687090000000001</v>
      </c>
      <c r="U7935">
        <v>3.0808719999999998</v>
      </c>
      <c r="V7935">
        <v>-0.23240640000000001</v>
      </c>
      <c r="W7935">
        <v>0.22801730000000001</v>
      </c>
      <c r="X7935">
        <v>0.9455133</v>
      </c>
      <c r="Y7935">
        <v>-0.28013739999999998</v>
      </c>
      <c r="Z7935">
        <v>-4.9907720000000003E-2</v>
      </c>
      <c r="AA7935">
        <v>0.95866169999999995</v>
      </c>
      <c r="AB7935">
        <v>36</v>
      </c>
      <c r="AC7935">
        <v>3.0626000000000002</v>
      </c>
      <c r="AD7935">
        <v>-1.1275763250569999</v>
      </c>
      <c r="AE7935">
        <v>18.319949999999999</v>
      </c>
      <c r="AF7935">
        <v>-5.2563974065243997</v>
      </c>
      <c r="AG7935">
        <v>-1.1275763250569999</v>
      </c>
      <c r="AH7935">
        <v>17.743773678532499</v>
      </c>
      <c r="AI7935">
        <v>93.486743207005603</v>
      </c>
      <c r="AJ7935">
        <v>106.501342362608</v>
      </c>
      <c r="AK7935">
        <v>18.540297905349998</v>
      </c>
      <c r="AL7935">
        <v>76.819630202456196</v>
      </c>
      <c r="AM7935">
        <v>103.80948980882199</v>
      </c>
      <c r="AN7935">
        <v>1.0000000121685699</v>
      </c>
    </row>
    <row r="7936" spans="1:40" x14ac:dyDescent="0.25">
      <c r="A7936" t="str">
        <f>"20190312172303844"</f>
        <v>20190312172303844</v>
      </c>
      <c r="B7936" t="str">
        <f>"1552382583837948"</f>
        <v>1552382583837948</v>
      </c>
      <c r="C7936" t="s">
        <v>40</v>
      </c>
      <c r="D7936">
        <v>3.373675</v>
      </c>
      <c r="E7936">
        <v>0.47672130000000001</v>
      </c>
      <c r="F7936" t="s">
        <v>42</v>
      </c>
      <c r="G7936">
        <v>-183.78880000000001</v>
      </c>
      <c r="H7936" s="1">
        <v>-5.3643309999999901E-6</v>
      </c>
      <c r="I7936">
        <v>-30.431069999999998</v>
      </c>
      <c r="J7936">
        <v>-186.66</v>
      </c>
      <c r="K7936">
        <v>1.127578</v>
      </c>
      <c r="L7936">
        <v>-48.680419999999998</v>
      </c>
      <c r="M7936">
        <v>0.42764020000000003</v>
      </c>
      <c r="N7936">
        <v>0</v>
      </c>
      <c r="O7936">
        <v>0.90377560000000001</v>
      </c>
      <c r="P7936">
        <v>0.20615749999999999</v>
      </c>
      <c r="Q7936">
        <v>0.22012989999999999</v>
      </c>
      <c r="R7936">
        <v>0.95343690000000003</v>
      </c>
      <c r="S7936">
        <v>0.49563600000000002</v>
      </c>
      <c r="T7936">
        <v>-0.18856100000000001</v>
      </c>
      <c r="U7936">
        <v>3.0857239999999999</v>
      </c>
      <c r="V7936">
        <v>-0.2314311</v>
      </c>
      <c r="W7936">
        <v>0.22717180000000001</v>
      </c>
      <c r="X7936">
        <v>0.94595589999999996</v>
      </c>
      <c r="Y7936">
        <v>-0.27915230000000002</v>
      </c>
      <c r="Z7936">
        <v>-5.0776219999999997E-2</v>
      </c>
      <c r="AA7936">
        <v>0.95890339999999996</v>
      </c>
      <c r="AB7936">
        <v>36</v>
      </c>
      <c r="AC7936">
        <v>2.87119999999998</v>
      </c>
      <c r="AD7936">
        <v>-1.127583364331</v>
      </c>
      <c r="AE7936">
        <v>18.24935</v>
      </c>
      <c r="AF7936">
        <v>-5.1907140387916</v>
      </c>
      <c r="AG7936">
        <v>-1.127583364331</v>
      </c>
      <c r="AH7936">
        <v>17.658151209449599</v>
      </c>
      <c r="AI7936">
        <v>93.505796717666996</v>
      </c>
      <c r="AJ7936">
        <v>106.380999361364</v>
      </c>
      <c r="AK7936">
        <v>18.439773876374201</v>
      </c>
      <c r="AL7936">
        <v>76.869378877112098</v>
      </c>
      <c r="AM7936">
        <v>103.74755200494501</v>
      </c>
      <c r="AN7936">
        <v>0.99999997275362895</v>
      </c>
    </row>
    <row r="7937" spans="1:40" x14ac:dyDescent="0.25">
      <c r="A7937" t="str">
        <f>"20190312172303864"</f>
        <v>20190312172303864</v>
      </c>
      <c r="B7937" t="str">
        <f>"1552382583858443"</f>
        <v>1552382583858443</v>
      </c>
      <c r="C7937" t="s">
        <v>40</v>
      </c>
      <c r="D7937">
        <v>3.3410690000000001</v>
      </c>
      <c r="E7937">
        <v>0.46215440000000002</v>
      </c>
      <c r="F7937" t="s">
        <v>42</v>
      </c>
      <c r="G7937">
        <v>-183.8853</v>
      </c>
      <c r="H7937" s="1">
        <v>-1.6204369999999999E-6</v>
      </c>
      <c r="I7937">
        <v>-30.37115</v>
      </c>
      <c r="J7937">
        <v>-186.5343</v>
      </c>
      <c r="K7937">
        <v>1.1275850000000001</v>
      </c>
      <c r="L7937">
        <v>-48.393219999999999</v>
      </c>
      <c r="M7937">
        <v>0.4126959</v>
      </c>
      <c r="N7937">
        <v>0</v>
      </c>
      <c r="O7937">
        <v>0.91069650000000002</v>
      </c>
      <c r="P7937">
        <v>0.19264139999999999</v>
      </c>
      <c r="Q7937">
        <v>0.21936810000000001</v>
      </c>
      <c r="R7937">
        <v>0.95643449999999997</v>
      </c>
      <c r="S7937">
        <v>0.46817019999999998</v>
      </c>
      <c r="T7937">
        <v>-0.190249</v>
      </c>
      <c r="U7937">
        <v>3.0892029999999999</v>
      </c>
      <c r="V7937">
        <v>-0.2292806</v>
      </c>
      <c r="W7937">
        <v>0.2265151</v>
      </c>
      <c r="X7937">
        <v>0.9466369</v>
      </c>
      <c r="Y7937">
        <v>-0.27182719999999999</v>
      </c>
      <c r="Z7937">
        <v>-5.1889369999999997E-2</v>
      </c>
      <c r="AA7937">
        <v>0.96094610000000003</v>
      </c>
      <c r="AB7937">
        <v>36</v>
      </c>
      <c r="AC7937">
        <v>2.649</v>
      </c>
      <c r="AD7937">
        <v>-1.127586620437</v>
      </c>
      <c r="AE7937">
        <v>18.022069999999999</v>
      </c>
      <c r="AF7937">
        <v>-5.0068031862251097</v>
      </c>
      <c r="AG7937">
        <v>-1.127586620437</v>
      </c>
      <c r="AH7937">
        <v>17.441782261219299</v>
      </c>
      <c r="AI7937">
        <v>93.555734218915902</v>
      </c>
      <c r="AJ7937">
        <v>106.01654942744101</v>
      </c>
      <c r="AK7937">
        <v>18.1811797796504</v>
      </c>
      <c r="AL7937">
        <v>76.908013198181195</v>
      </c>
      <c r="AM7937">
        <v>103.61515328346</v>
      </c>
      <c r="AN7937">
        <v>1.0000000522529799</v>
      </c>
    </row>
    <row r="7938" spans="1:40" x14ac:dyDescent="0.25">
      <c r="A7938" t="str">
        <f>"20190312172303886"</f>
        <v>20190312172303886</v>
      </c>
      <c r="B7938" t="str">
        <f>"1552382583877964"</f>
        <v>1552382583877964</v>
      </c>
      <c r="C7938" t="s">
        <v>40</v>
      </c>
      <c r="D7938">
        <v>3.3442989999999999</v>
      </c>
      <c r="E7938">
        <v>0.46179930000000002</v>
      </c>
      <c r="F7938" t="s">
        <v>42</v>
      </c>
      <c r="G7938">
        <v>-184.84979999999999</v>
      </c>
      <c r="H7938" s="1">
        <v>-4.7326070000000002E-6</v>
      </c>
      <c r="I7938">
        <v>-31.46491</v>
      </c>
      <c r="J7938">
        <v>-186.3998</v>
      </c>
      <c r="K7938">
        <v>1.1275900000000001</v>
      </c>
      <c r="L7938">
        <v>-48.070369999999997</v>
      </c>
      <c r="M7938">
        <v>0.39584999999999998</v>
      </c>
      <c r="N7938">
        <v>0</v>
      </c>
      <c r="O7938">
        <v>0.91814399999999996</v>
      </c>
      <c r="P7938">
        <v>0.17780399999999999</v>
      </c>
      <c r="Q7938">
        <v>0.2185472</v>
      </c>
      <c r="R7938">
        <v>0.95949099999999998</v>
      </c>
      <c r="S7938">
        <v>0.31063839999999998</v>
      </c>
      <c r="T7938">
        <v>-0.20794190000000001</v>
      </c>
      <c r="U7938">
        <v>3.1217959999999998</v>
      </c>
      <c r="V7938">
        <v>-0.2265402</v>
      </c>
      <c r="W7938">
        <v>0.22582859999999999</v>
      </c>
      <c r="X7938">
        <v>0.94746030000000003</v>
      </c>
      <c r="Y7938">
        <v>-0.30319180000000001</v>
      </c>
      <c r="Z7938">
        <v>-5.6674629999999997E-2</v>
      </c>
      <c r="AA7938">
        <v>0.9512427</v>
      </c>
      <c r="AB7938">
        <v>36</v>
      </c>
      <c r="AC7938">
        <v>1.55000000000001</v>
      </c>
      <c r="AD7938">
        <v>-1.1275947326069999</v>
      </c>
      <c r="AE7938">
        <v>16.605460000000001</v>
      </c>
      <c r="AF7938">
        <v>-5.1275186029894204</v>
      </c>
      <c r="AG7938">
        <v>-1.1275947326069999</v>
      </c>
      <c r="AH7938">
        <v>15.790083788299899</v>
      </c>
      <c r="AI7938">
        <v>93.885574485558905</v>
      </c>
      <c r="AJ7938">
        <v>107.990183945103</v>
      </c>
      <c r="AK7938">
        <v>16.640001891422301</v>
      </c>
      <c r="AL7938">
        <v>76.948392661221604</v>
      </c>
      <c r="AM7938">
        <v>103.44710528216299</v>
      </c>
      <c r="AN7938">
        <v>1.00000001943504</v>
      </c>
    </row>
    <row r="7939" spans="1:40" x14ac:dyDescent="0.25">
      <c r="A7939" t="str">
        <f>"20190312172303910"</f>
        <v>20190312172303910</v>
      </c>
      <c r="B7939" t="str">
        <f>"1552382583898459"</f>
        <v>1552382583898459</v>
      </c>
      <c r="C7939" t="s">
        <v>40</v>
      </c>
      <c r="D7939">
        <v>3.4898380000000002</v>
      </c>
      <c r="E7939">
        <v>0.46137869999999997</v>
      </c>
      <c r="F7939" t="s">
        <v>42</v>
      </c>
      <c r="G7939">
        <v>-185.01249999999999</v>
      </c>
      <c r="H7939" s="1">
        <v>-4.7925479999999999E-6</v>
      </c>
      <c r="I7939">
        <v>-31.257940000000001</v>
      </c>
      <c r="J7939">
        <v>-186.2663</v>
      </c>
      <c r="K7939">
        <v>1.1276029999999999</v>
      </c>
      <c r="L7939">
        <v>-47.731960000000001</v>
      </c>
      <c r="M7939">
        <v>0.3781369</v>
      </c>
      <c r="N7939">
        <v>0</v>
      </c>
      <c r="O7939">
        <v>0.92557979999999995</v>
      </c>
      <c r="P7939">
        <v>0.1622815</v>
      </c>
      <c r="Q7939">
        <v>0.2175491</v>
      </c>
      <c r="R7939">
        <v>0.96246410000000004</v>
      </c>
      <c r="S7939">
        <v>0.25801089999999999</v>
      </c>
      <c r="T7939">
        <v>-0.20969950000000001</v>
      </c>
      <c r="U7939">
        <v>3.126617</v>
      </c>
      <c r="V7939">
        <v>-0.2236783</v>
      </c>
      <c r="W7939">
        <v>0.2249719</v>
      </c>
      <c r="X7939">
        <v>0.94834359999999995</v>
      </c>
      <c r="Y7939">
        <v>-0.30091069999999998</v>
      </c>
      <c r="Z7939">
        <v>-5.7860679999999998E-2</v>
      </c>
      <c r="AA7939">
        <v>0.95189539999999995</v>
      </c>
      <c r="AB7939">
        <v>36</v>
      </c>
      <c r="AC7939">
        <v>1.25380000000001</v>
      </c>
      <c r="AD7939">
        <v>-1.1276077925479999</v>
      </c>
      <c r="AE7939">
        <v>16.474019999999999</v>
      </c>
      <c r="AF7939">
        <v>-5.0462343728493204</v>
      </c>
      <c r="AG7939">
        <v>-1.1276077925479999</v>
      </c>
      <c r="AH7939">
        <v>15.651694092844901</v>
      </c>
      <c r="AI7939">
        <v>93.922527408789406</v>
      </c>
      <c r="AJ7939">
        <v>107.869746511804</v>
      </c>
      <c r="AK7939">
        <v>16.483674003556899</v>
      </c>
      <c r="AL7939">
        <v>76.998773691777799</v>
      </c>
      <c r="AM7939">
        <v>103.271351081197</v>
      </c>
      <c r="AN7939">
        <v>0.99999996067072905</v>
      </c>
    </row>
    <row r="7940" spans="1:40" x14ac:dyDescent="0.25">
      <c r="A7940" t="str">
        <f>"20190312172303930"</f>
        <v>20190312172303930</v>
      </c>
      <c r="B7940" t="str">
        <f>"1552382583927739"</f>
        <v>1552382583927739</v>
      </c>
      <c r="C7940" t="s">
        <v>40</v>
      </c>
      <c r="D7940">
        <v>3.3604970000000001</v>
      </c>
      <c r="E7940">
        <v>0.4626461</v>
      </c>
      <c r="F7940" t="s">
        <v>42</v>
      </c>
      <c r="G7940">
        <v>-185.2088</v>
      </c>
      <c r="H7940" s="1">
        <v>-4.723816E-6</v>
      </c>
      <c r="I7940">
        <v>-31.336980000000001</v>
      </c>
      <c r="J7940">
        <v>-186.15479999999999</v>
      </c>
      <c r="K7940">
        <v>1.127605</v>
      </c>
      <c r="L7940">
        <v>-47.433590000000002</v>
      </c>
      <c r="M7940">
        <v>0.36248249999999999</v>
      </c>
      <c r="N7940">
        <v>0</v>
      </c>
      <c r="O7940">
        <v>0.93182169999999998</v>
      </c>
      <c r="P7940">
        <v>0.1482125</v>
      </c>
      <c r="Q7940">
        <v>0.216722</v>
      </c>
      <c r="R7940">
        <v>0.96491689999999997</v>
      </c>
      <c r="S7940">
        <v>0.2019958</v>
      </c>
      <c r="T7940">
        <v>-0.2153854</v>
      </c>
      <c r="U7940">
        <v>3.1316220000000001</v>
      </c>
      <c r="V7940">
        <v>-0.22156390000000001</v>
      </c>
      <c r="W7940">
        <v>0.2242508</v>
      </c>
      <c r="X7940">
        <v>0.94901060000000004</v>
      </c>
      <c r="Y7940">
        <v>-0.30190209999999901</v>
      </c>
      <c r="Z7940">
        <v>-5.9984669999999997E-2</v>
      </c>
      <c r="AA7940">
        <v>0.95144989999999996</v>
      </c>
      <c r="AB7940">
        <v>36</v>
      </c>
      <c r="AC7940">
        <v>0.94599999999999795</v>
      </c>
      <c r="AD7940">
        <v>-1.1276097238160001</v>
      </c>
      <c r="AE7940">
        <v>16.096609999999998</v>
      </c>
      <c r="AF7940">
        <v>-4.9299062222914101</v>
      </c>
      <c r="AG7940">
        <v>-1.1276097238160001</v>
      </c>
      <c r="AH7940">
        <v>15.2698173085044</v>
      </c>
      <c r="AI7940">
        <v>94.019792630464707</v>
      </c>
      <c r="AJ7940">
        <v>107.892829134385</v>
      </c>
      <c r="AK7940">
        <v>16.085484129640999</v>
      </c>
      <c r="AL7940">
        <v>77.041174242335899</v>
      </c>
      <c r="AM7940">
        <v>103.141356315076</v>
      </c>
      <c r="AN7940">
        <v>1.0000000509981</v>
      </c>
    </row>
    <row r="7941" spans="1:40" x14ac:dyDescent="0.25">
      <c r="A7941" t="str">
        <f>"20190312172303947"</f>
        <v>20190312172303947</v>
      </c>
      <c r="B7941" t="str">
        <f>"1552382583938475"</f>
        <v>1552382583938475</v>
      </c>
      <c r="C7941" t="s">
        <v>40</v>
      </c>
      <c r="D7941">
        <v>3.331941</v>
      </c>
      <c r="E7941">
        <v>0.46313589999999999</v>
      </c>
      <c r="F7941" t="s">
        <v>42</v>
      </c>
      <c r="G7941">
        <v>-185.28989999999999</v>
      </c>
      <c r="H7941" s="1">
        <v>-4.8242710000000004E-6</v>
      </c>
      <c r="I7941">
        <v>-31.06925</v>
      </c>
      <c r="J7941">
        <v>-186.0677</v>
      </c>
      <c r="K7941">
        <v>1.1275980000000001</v>
      </c>
      <c r="L7941">
        <v>-47.189390000000003</v>
      </c>
      <c r="M7941">
        <v>0.34964780000000001</v>
      </c>
      <c r="N7941">
        <v>0</v>
      </c>
      <c r="O7941">
        <v>0.93671320000000002</v>
      </c>
      <c r="P7941">
        <v>0.13586970000000001</v>
      </c>
      <c r="Q7941">
        <v>0.21615719999999999</v>
      </c>
      <c r="R7941">
        <v>0.96685860000000001</v>
      </c>
      <c r="S7941">
        <v>0.16552729999999999</v>
      </c>
      <c r="T7941">
        <v>-0.21582499999999999</v>
      </c>
      <c r="U7941">
        <v>3.1321409999999998</v>
      </c>
      <c r="V7941">
        <v>-0.22066930000000001</v>
      </c>
      <c r="W7941">
        <v>0.2237345</v>
      </c>
      <c r="X7941">
        <v>0.94934079999999998</v>
      </c>
      <c r="Y7941">
        <v>-0.29985719999999999</v>
      </c>
      <c r="Z7941">
        <v>-6.0635290000000001E-2</v>
      </c>
      <c r="AA7941">
        <v>0.95205519999999999</v>
      </c>
      <c r="AB7941">
        <v>36</v>
      </c>
      <c r="AC7941">
        <v>0.77780000000001304</v>
      </c>
      <c r="AD7941">
        <v>-1.1276028242709999</v>
      </c>
      <c r="AE7941">
        <v>16.120139999999999</v>
      </c>
      <c r="AF7941">
        <v>-4.88472321387205</v>
      </c>
      <c r="AG7941">
        <v>-1.1276028242709999</v>
      </c>
      <c r="AH7941">
        <v>15.299636912726999</v>
      </c>
      <c r="AI7941">
        <v>94.016130820291494</v>
      </c>
      <c r="AJ7941">
        <v>107.706750458979</v>
      </c>
      <c r="AK7941">
        <v>16.1000279088803</v>
      </c>
      <c r="AL7941">
        <v>77.071526765288198</v>
      </c>
      <c r="AM7941">
        <v>103.085730369003</v>
      </c>
      <c r="AN7941">
        <v>1.0000000104986899</v>
      </c>
    </row>
    <row r="7942" spans="1:40" x14ac:dyDescent="0.25">
      <c r="A7942" t="str">
        <f>"20190312172303965"</f>
        <v>20190312172303965</v>
      </c>
      <c r="B7942" t="str">
        <f>"1552382583957995"</f>
        <v>1552382583957995</v>
      </c>
      <c r="C7942" t="s">
        <v>40</v>
      </c>
      <c r="D7942">
        <v>3.3668710000000002</v>
      </c>
      <c r="E7942">
        <v>0.46407480000000001</v>
      </c>
      <c r="F7942" t="s">
        <v>42</v>
      </c>
      <c r="G7942">
        <v>-185.3913</v>
      </c>
      <c r="H7942" s="1">
        <v>-4.9129799999999997E-6</v>
      </c>
      <c r="I7942">
        <v>-30.82056</v>
      </c>
      <c r="J7942">
        <v>-185.97499999999999</v>
      </c>
      <c r="K7942">
        <v>1.127586</v>
      </c>
      <c r="L7942">
        <v>-46.916780000000003</v>
      </c>
      <c r="M7942">
        <v>0.33530409999999999</v>
      </c>
      <c r="N7942">
        <v>0</v>
      </c>
      <c r="O7942">
        <v>0.94194290000000003</v>
      </c>
      <c r="P7942">
        <v>0.1229866</v>
      </c>
      <c r="Q7942">
        <v>0.21590680000000001</v>
      </c>
      <c r="R7942">
        <v>0.96863750000000004</v>
      </c>
      <c r="S7942">
        <v>0.1294556</v>
      </c>
      <c r="T7942">
        <v>-0.21581700000000001</v>
      </c>
      <c r="U7942">
        <v>3.1329039999999999</v>
      </c>
      <c r="V7942">
        <v>-0.21880740000000001</v>
      </c>
      <c r="W7942">
        <v>0.22357830000000001</v>
      </c>
      <c r="X7942">
        <v>0.9498084</v>
      </c>
      <c r="Y7942">
        <v>-0.29623949999999999</v>
      </c>
      <c r="Z7942">
        <v>-6.1205490000000001E-2</v>
      </c>
      <c r="AA7942">
        <v>0.95315059999999996</v>
      </c>
      <c r="AB7942">
        <v>35</v>
      </c>
      <c r="AC7942">
        <v>0.583699999999993</v>
      </c>
      <c r="AD7942">
        <v>-1.1275909129799999</v>
      </c>
      <c r="AE7942">
        <v>16.096219999999999</v>
      </c>
      <c r="AF7942">
        <v>-4.8244349263767399</v>
      </c>
      <c r="AG7942">
        <v>-1.1275909129799999</v>
      </c>
      <c r="AH7942">
        <v>15.284942981883701</v>
      </c>
      <c r="AI7942">
        <v>94.024141855569795</v>
      </c>
      <c r="AJ7942">
        <v>107.517424282615</v>
      </c>
      <c r="AK7942">
        <v>16.067859707668401</v>
      </c>
      <c r="AL7942">
        <v>77.080708379197702</v>
      </c>
      <c r="AM7942">
        <v>102.97289944544499</v>
      </c>
      <c r="AN7942">
        <v>0.999999965618104</v>
      </c>
    </row>
    <row r="7943" spans="1:40" x14ac:dyDescent="0.25">
      <c r="A7943" t="str">
        <f>"20190312172303989"</f>
        <v>20190312172303989</v>
      </c>
      <c r="B7943" t="str">
        <f>"1552382583978491"</f>
        <v>1552382583978491</v>
      </c>
      <c r="C7943" t="s">
        <v>40</v>
      </c>
      <c r="D7943">
        <v>3.3684759999999998</v>
      </c>
      <c r="E7943">
        <v>0.46458169999999999</v>
      </c>
      <c r="F7943" t="s">
        <v>42</v>
      </c>
      <c r="G7943">
        <v>-185.4759</v>
      </c>
      <c r="H7943" s="1">
        <v>-5.0140580000000001E-6</v>
      </c>
      <c r="I7943">
        <v>-30.549949999999999</v>
      </c>
      <c r="J7943">
        <v>-185.8699</v>
      </c>
      <c r="K7943">
        <v>1.1275710000000001</v>
      </c>
      <c r="L7943">
        <v>-46.58896</v>
      </c>
      <c r="M7943">
        <v>0.31804179999999999</v>
      </c>
      <c r="N7943">
        <v>0</v>
      </c>
      <c r="O7943">
        <v>0.94791069999999999</v>
      </c>
      <c r="P7943">
        <v>0.1077581</v>
      </c>
      <c r="Q7943">
        <v>0.21705089999999999</v>
      </c>
      <c r="R7943">
        <v>0.97019440000000001</v>
      </c>
      <c r="S7943">
        <v>9.553528E-2</v>
      </c>
      <c r="T7943">
        <v>-0.21585579999999999</v>
      </c>
      <c r="U7943">
        <v>3.1331180000000001</v>
      </c>
      <c r="V7943">
        <v>-0.21632309999999999</v>
      </c>
      <c r="W7943">
        <v>0.22484280000000001</v>
      </c>
      <c r="X7943">
        <v>0.95007900000000001</v>
      </c>
      <c r="Y7943">
        <v>-0.28909430000000003</v>
      </c>
      <c r="Z7943">
        <v>-6.1908629999999999E-2</v>
      </c>
      <c r="AA7943">
        <v>0.9552967</v>
      </c>
      <c r="AB7943">
        <v>35</v>
      </c>
      <c r="AC7943">
        <v>0.39400000000000501</v>
      </c>
      <c r="AD7943">
        <v>-1.12757601405799</v>
      </c>
      <c r="AE7943">
        <v>16.039010000000001</v>
      </c>
      <c r="AF7943">
        <v>-4.7051024992924901</v>
      </c>
      <c r="AG7943">
        <v>-1.12757601405799</v>
      </c>
      <c r="AH7943">
        <v>15.255915242385299</v>
      </c>
      <c r="AI7943">
        <v>94.039979903055695</v>
      </c>
      <c r="AJ7943">
        <v>107.140373805262</v>
      </c>
      <c r="AK7943">
        <v>16.0047607629471</v>
      </c>
      <c r="AL7943">
        <v>77.006366079861294</v>
      </c>
      <c r="AM7943">
        <v>102.826975501311</v>
      </c>
      <c r="AN7943">
        <v>1.0000000372732201</v>
      </c>
    </row>
    <row r="7944" spans="1:40" x14ac:dyDescent="0.25">
      <c r="A7944" t="str">
        <f>"20190312172304009"</f>
        <v>20190312172304009</v>
      </c>
      <c r="B7944" t="str">
        <f>"1552382583997842"</f>
        <v>1552382583997842</v>
      </c>
      <c r="C7944" t="s">
        <v>40</v>
      </c>
      <c r="D7944">
        <v>3.404096</v>
      </c>
      <c r="E7944">
        <v>0.4741783</v>
      </c>
      <c r="F7944" t="s">
        <v>42</v>
      </c>
      <c r="G7944">
        <v>-185.60409999999999</v>
      </c>
      <c r="H7944" s="1">
        <v>-1.3381379999999999E-6</v>
      </c>
      <c r="I7944">
        <v>-29.85679</v>
      </c>
      <c r="J7944">
        <v>-185.77500000000001</v>
      </c>
      <c r="K7944">
        <v>1.1275489999999999</v>
      </c>
      <c r="L7944">
        <v>-46.273499999999999</v>
      </c>
      <c r="M7944">
        <v>0.30141780000000001</v>
      </c>
      <c r="N7944">
        <v>0</v>
      </c>
      <c r="O7944">
        <v>0.95332720000000004</v>
      </c>
      <c r="P7944">
        <v>9.2685420000000004E-2</v>
      </c>
      <c r="Q7944">
        <v>0.21779899999999999</v>
      </c>
      <c r="R7944">
        <v>0.97158270000000002</v>
      </c>
      <c r="S7944">
        <v>4.9789430000000003E-2</v>
      </c>
      <c r="T7944">
        <v>-0.21119060000000001</v>
      </c>
      <c r="U7944">
        <v>3.1338810000000001</v>
      </c>
      <c r="V7944">
        <v>-0.21441740000000001</v>
      </c>
      <c r="W7944">
        <v>0.22568550000000001</v>
      </c>
      <c r="X7944">
        <v>0.95031109999999996</v>
      </c>
      <c r="Y7944">
        <v>-0.28629729999999998</v>
      </c>
      <c r="Z7944">
        <v>-6.1141260000000003E-2</v>
      </c>
      <c r="AA7944">
        <v>0.95618809999999999</v>
      </c>
      <c r="AB7944">
        <v>35</v>
      </c>
      <c r="AC7944">
        <v>0.17090000000001701</v>
      </c>
      <c r="AD7944">
        <v>-1.1275503381380001</v>
      </c>
      <c r="AE7944">
        <v>16.416709999999899</v>
      </c>
      <c r="AF7944">
        <v>-4.7636483711722901</v>
      </c>
      <c r="AG7944">
        <v>-1.1275503381380001</v>
      </c>
      <c r="AH7944">
        <v>15.630750679985301</v>
      </c>
      <c r="AI7944">
        <v>93.947341758500798</v>
      </c>
      <c r="AJ7944">
        <v>106.949194118015</v>
      </c>
      <c r="AK7944">
        <v>16.379379792564499</v>
      </c>
      <c r="AL7944">
        <v>76.956808396377696</v>
      </c>
      <c r="AM7944">
        <v>102.714661661097</v>
      </c>
      <c r="AN7944">
        <v>0.99999997655810902</v>
      </c>
    </row>
    <row r="7945" spans="1:40" x14ac:dyDescent="0.25">
      <c r="A7945" t="str">
        <f>"20190312172304031"</f>
        <v>20190312172304031</v>
      </c>
      <c r="B7945" t="str">
        <f>"1552382584028098"</f>
        <v>1552382584028098</v>
      </c>
      <c r="C7945" t="s">
        <v>40</v>
      </c>
      <c r="D7945">
        <v>3.392118</v>
      </c>
      <c r="E7945">
        <v>0.47644409999999998</v>
      </c>
      <c r="F7945" t="s">
        <v>42</v>
      </c>
      <c r="G7945">
        <v>-185.35550000000001</v>
      </c>
      <c r="H7945" s="1">
        <v>-1.603991E-6</v>
      </c>
      <c r="I7945">
        <v>-29.269970000000001</v>
      </c>
      <c r="J7945">
        <v>-185.685</v>
      </c>
      <c r="K7945">
        <v>1.1275109999999999</v>
      </c>
      <c r="L7945">
        <v>-45.953830000000004</v>
      </c>
      <c r="M7945">
        <v>0.28457070000000001</v>
      </c>
      <c r="N7945">
        <v>0</v>
      </c>
      <c r="O7945">
        <v>0.95849119999999999</v>
      </c>
      <c r="P7945">
        <v>7.7331449999999996E-2</v>
      </c>
      <c r="Q7945">
        <v>0.21845229999999999</v>
      </c>
      <c r="R7945">
        <v>0.9727787</v>
      </c>
      <c r="S7945">
        <v>7.7148439999999999E-2</v>
      </c>
      <c r="T7945">
        <v>-0.2073507</v>
      </c>
      <c r="U7945">
        <v>3.126862</v>
      </c>
      <c r="V7945">
        <v>-0.21263850000000001</v>
      </c>
      <c r="W7945">
        <v>0.22642780000000001</v>
      </c>
      <c r="X7945">
        <v>0.9505342</v>
      </c>
      <c r="Y7945">
        <v>-0.26092029999999999</v>
      </c>
      <c r="Z7945">
        <v>-6.0915360000000002E-2</v>
      </c>
      <c r="AA7945">
        <v>0.96343650000000003</v>
      </c>
      <c r="AB7945">
        <v>35</v>
      </c>
      <c r="AC7945">
        <v>0.32949999999999502</v>
      </c>
      <c r="AD7945">
        <v>-1.127512603991</v>
      </c>
      <c r="AE7945">
        <v>16.6838599999999</v>
      </c>
      <c r="AF7945">
        <v>-4.4124663995204001</v>
      </c>
      <c r="AG7945">
        <v>-1.127512603991</v>
      </c>
      <c r="AH7945">
        <v>16.0145131715311</v>
      </c>
      <c r="AI7945">
        <v>93.883071702843793</v>
      </c>
      <c r="AJ7945">
        <v>105.404437877221</v>
      </c>
      <c r="AK7945">
        <v>16.649497785825201</v>
      </c>
      <c r="AL7945">
        <v>76.913147489275801</v>
      </c>
      <c r="AM7945">
        <v>102.609697940792</v>
      </c>
      <c r="AN7945">
        <v>0.99999997283236397</v>
      </c>
    </row>
    <row r="7946" spans="1:40" x14ac:dyDescent="0.25">
      <c r="A7946" t="str">
        <f>"20190312172304045"</f>
        <v>20190312172304045</v>
      </c>
      <c r="B7946" t="str">
        <f>"1552382584037859"</f>
        <v>1552382584037859</v>
      </c>
      <c r="C7946" t="s">
        <v>40</v>
      </c>
      <c r="D7946">
        <v>3.4128970000000001</v>
      </c>
      <c r="E7946">
        <v>0.47692050000000002</v>
      </c>
      <c r="F7946" t="s">
        <v>42</v>
      </c>
      <c r="G7946">
        <v>-185.4417</v>
      </c>
      <c r="H7946" s="1">
        <v>-1.5412200000000001E-6</v>
      </c>
      <c r="I7946">
        <v>-29.386990000000001</v>
      </c>
      <c r="J7946">
        <v>-185.62559999999999</v>
      </c>
      <c r="K7946">
        <v>1.127483</v>
      </c>
      <c r="L7946">
        <v>-45.730739999999997</v>
      </c>
      <c r="M7946">
        <v>0.27281739999999999</v>
      </c>
      <c r="N7946">
        <v>0</v>
      </c>
      <c r="O7946">
        <v>0.9619027</v>
      </c>
      <c r="P7946">
        <v>6.6175529999999996E-2</v>
      </c>
      <c r="Q7946">
        <v>0.21905549999999999</v>
      </c>
      <c r="R7946">
        <v>0.97346569999999999</v>
      </c>
      <c r="S7946">
        <v>4.5928959999999998E-2</v>
      </c>
      <c r="T7946">
        <v>-0.21289230000000001</v>
      </c>
      <c r="U7946">
        <v>3.128082</v>
      </c>
      <c r="V7946">
        <v>-0.21186930000000001</v>
      </c>
      <c r="W7946">
        <v>0.22707060000000001</v>
      </c>
      <c r="X7946">
        <v>0.95055259999999997</v>
      </c>
      <c r="Y7946">
        <v>-0.25872590000000001</v>
      </c>
      <c r="Z7946">
        <v>-6.2882740000000006E-2</v>
      </c>
      <c r="AA7946">
        <v>0.96390180000000003</v>
      </c>
      <c r="AB7946">
        <v>35</v>
      </c>
      <c r="AC7946">
        <v>0.18389999999999401</v>
      </c>
      <c r="AD7946">
        <v>-1.1274845412200001</v>
      </c>
      <c r="AE7946">
        <v>16.34375</v>
      </c>
      <c r="AF7946">
        <v>-4.2623555274500999</v>
      </c>
      <c r="AG7946">
        <v>-1.1274845412200001</v>
      </c>
      <c r="AH7946">
        <v>15.699041321412601</v>
      </c>
      <c r="AI7946">
        <v>93.964803807423294</v>
      </c>
      <c r="AJ7946">
        <v>105.189872614373</v>
      </c>
      <c r="AK7946">
        <v>16.306403479752799</v>
      </c>
      <c r="AL7946">
        <v>76.875332523492304</v>
      </c>
      <c r="AM7946">
        <v>102.56529912026301</v>
      </c>
      <c r="AN7946">
        <v>0.99999995151680299</v>
      </c>
    </row>
    <row r="7947" spans="1:40" x14ac:dyDescent="0.25">
      <c r="A7947" t="str">
        <f>"20190312172304065"</f>
        <v>20190312172304065</v>
      </c>
      <c r="B7947" t="str">
        <f>"1552382584058354"</f>
        <v>1552382584058354</v>
      </c>
      <c r="C7947" t="s">
        <v>40</v>
      </c>
      <c r="D7947">
        <v>3.5069720000000002</v>
      </c>
      <c r="E7947">
        <v>0.47401179999999898</v>
      </c>
      <c r="F7947" t="s">
        <v>42</v>
      </c>
      <c r="G7947">
        <v>-185.55099999999999</v>
      </c>
      <c r="H7947" s="1">
        <v>-1.5976970000000001E-6</v>
      </c>
      <c r="I7947">
        <v>-29.135560000000002</v>
      </c>
      <c r="J7947">
        <v>-185.55609999999999</v>
      </c>
      <c r="K7947">
        <v>1.1274390000000001</v>
      </c>
      <c r="L7947">
        <v>-45.453490000000002</v>
      </c>
      <c r="M7947">
        <v>0.25822089999999998</v>
      </c>
      <c r="N7947">
        <v>0</v>
      </c>
      <c r="O7947">
        <v>0.96592370000000005</v>
      </c>
      <c r="P7947">
        <v>5.3109870000000003E-2</v>
      </c>
      <c r="Q7947">
        <v>0.2189393</v>
      </c>
      <c r="R7947">
        <v>0.97429200000000005</v>
      </c>
      <c r="S7947">
        <v>1.4068600000000001E-2</v>
      </c>
      <c r="T7947">
        <v>-0.2125629</v>
      </c>
      <c r="U7947">
        <v>3.1286619999999998</v>
      </c>
      <c r="V7947">
        <v>-0.21020159999999999</v>
      </c>
      <c r="W7947">
        <v>0.22703989999999999</v>
      </c>
      <c r="X7947">
        <v>0.95093019999999995</v>
      </c>
      <c r="Y7947">
        <v>-0.25391409999999998</v>
      </c>
      <c r="Z7947">
        <v>-6.3227119999999998E-2</v>
      </c>
      <c r="AA7947">
        <v>0.96515799999999996</v>
      </c>
      <c r="AB7947">
        <v>35</v>
      </c>
      <c r="AC7947">
        <v>5.0999999999987696E-3</v>
      </c>
      <c r="AD7947">
        <v>-1.1274405976969999</v>
      </c>
      <c r="AE7947">
        <v>16.31793</v>
      </c>
      <c r="AF7947">
        <v>-4.1893650949971999</v>
      </c>
      <c r="AG7947">
        <v>-1.1274405976969999</v>
      </c>
      <c r="AH7947">
        <v>15.6907593751282</v>
      </c>
      <c r="AI7947">
        <v>93.971213673046407</v>
      </c>
      <c r="AJ7947">
        <v>104.949015717015</v>
      </c>
      <c r="AK7947">
        <v>16.279491145877099</v>
      </c>
      <c r="AL7947">
        <v>76.877139819891397</v>
      </c>
      <c r="AM7947">
        <v>102.464701730239</v>
      </c>
      <c r="AN7947">
        <v>1.0000000370533</v>
      </c>
    </row>
    <row r="7948" spans="1:40" x14ac:dyDescent="0.25">
      <c r="A7948" t="str">
        <f>"20190312172304078"</f>
        <v>20190312172304078</v>
      </c>
      <c r="B7948" t="str">
        <f>"1552382584068115"</f>
        <v>1552382584068115</v>
      </c>
      <c r="C7948" t="s">
        <v>40</v>
      </c>
      <c r="D7948">
        <v>3.3679139999999999</v>
      </c>
      <c r="E7948">
        <v>0.47297060000000002</v>
      </c>
      <c r="F7948" t="s">
        <v>42</v>
      </c>
      <c r="G7948">
        <v>-185.8373</v>
      </c>
      <c r="H7948" s="1">
        <v>-1.885792E-6</v>
      </c>
      <c r="I7948">
        <v>-28.065110000000001</v>
      </c>
      <c r="J7948">
        <v>-185.50470000000001</v>
      </c>
      <c r="K7948">
        <v>1.1274040000000001</v>
      </c>
      <c r="L7948">
        <v>-45.236879999999999</v>
      </c>
      <c r="M7948">
        <v>0.24682460000000001</v>
      </c>
      <c r="N7948">
        <v>0</v>
      </c>
      <c r="O7948">
        <v>0.9688987</v>
      </c>
      <c r="P7948">
        <v>4.2282920000000002E-2</v>
      </c>
      <c r="Q7948">
        <v>0.2180715</v>
      </c>
      <c r="R7948">
        <v>0.97501640000000001</v>
      </c>
      <c r="S7948">
        <v>-5.0582889999999998E-2</v>
      </c>
      <c r="T7948">
        <v>-0.2027832</v>
      </c>
      <c r="U7948">
        <v>3.1275019999999998</v>
      </c>
      <c r="V7948">
        <v>-0.2095525</v>
      </c>
      <c r="W7948">
        <v>0.22621089999999999</v>
      </c>
      <c r="X7948">
        <v>0.95127090000000003</v>
      </c>
      <c r="Y7948">
        <v>-0.26246199999999997</v>
      </c>
      <c r="Z7948">
        <v>-6.0560870000000003E-2</v>
      </c>
      <c r="AA7948">
        <v>0.96304000000000001</v>
      </c>
      <c r="AB7948">
        <v>35</v>
      </c>
      <c r="AC7948">
        <v>-0.33259999999998502</v>
      </c>
      <c r="AD7948">
        <v>-1.127405885792</v>
      </c>
      <c r="AE7948">
        <v>17.171769999999999</v>
      </c>
      <c r="AF7948">
        <v>-4.5418144365572104</v>
      </c>
      <c r="AG7948">
        <v>-1.127405885792</v>
      </c>
      <c r="AH7948">
        <v>16.4871609991566</v>
      </c>
      <c r="AI7948">
        <v>93.771774761221707</v>
      </c>
      <c r="AJ7948">
        <v>105.401594650756</v>
      </c>
      <c r="AK7948">
        <v>17.138424671467</v>
      </c>
      <c r="AL7948">
        <v>76.925905994013306</v>
      </c>
      <c r="AM7948">
        <v>102.423095852787</v>
      </c>
      <c r="AN7948">
        <v>0.99999997336093405</v>
      </c>
    </row>
    <row r="7949" spans="1:40" x14ac:dyDescent="0.25">
      <c r="A7949" t="str">
        <f>"20190312172304098"</f>
        <v>20190312172304098</v>
      </c>
      <c r="B7949" t="str">
        <f>"1552382584088150"</f>
        <v>1552382584088150</v>
      </c>
      <c r="C7949" t="s">
        <v>40</v>
      </c>
      <c r="D7949">
        <v>3.4149020000000001</v>
      </c>
      <c r="E7949">
        <v>0.47128900000000001</v>
      </c>
      <c r="F7949" t="s">
        <v>42</v>
      </c>
      <c r="G7949">
        <v>-186.04150000000001</v>
      </c>
      <c r="H7949" s="1">
        <v>-2.054898E-6</v>
      </c>
      <c r="I7949">
        <v>-27.408570000000001</v>
      </c>
      <c r="J7949">
        <v>-185.43899999999999</v>
      </c>
      <c r="K7949">
        <v>1.1273519999999999</v>
      </c>
      <c r="L7949">
        <v>-44.93976</v>
      </c>
      <c r="M7949">
        <v>0.23121939999999999</v>
      </c>
      <c r="N7949">
        <v>0</v>
      </c>
      <c r="O7949">
        <v>0.97274110000000003</v>
      </c>
      <c r="P7949">
        <v>2.8077589999999999E-2</v>
      </c>
      <c r="Q7949">
        <v>0.2175839</v>
      </c>
      <c r="R7949">
        <v>0.97563770000000005</v>
      </c>
      <c r="S7949">
        <v>-9.4100950000000003E-2</v>
      </c>
      <c r="T7949">
        <v>-0.19762479999999999</v>
      </c>
      <c r="U7949">
        <v>3.1251530000000001</v>
      </c>
      <c r="V7949">
        <v>-0.2080861</v>
      </c>
      <c r="W7949">
        <v>0.22580120000000001</v>
      </c>
      <c r="X7949">
        <v>0.95169009999999998</v>
      </c>
      <c r="Y7949">
        <v>-0.26036939999999997</v>
      </c>
      <c r="Z7949">
        <v>-5.9441359999999999E-2</v>
      </c>
      <c r="AA7949">
        <v>0.96367760000000002</v>
      </c>
      <c r="AB7949">
        <v>35</v>
      </c>
      <c r="AC7949">
        <v>-0.60249999999999204</v>
      </c>
      <c r="AD7949">
        <v>-1.1273540548979999</v>
      </c>
      <c r="AE7949">
        <v>17.531189999999999</v>
      </c>
      <c r="AF7949">
        <v>-4.6212651190114196</v>
      </c>
      <c r="AG7949">
        <v>-1.1273540548979999</v>
      </c>
      <c r="AH7949">
        <v>16.847057464665301</v>
      </c>
      <c r="AI7949">
        <v>93.692355760023105</v>
      </c>
      <c r="AJ7949">
        <v>105.339328254877</v>
      </c>
      <c r="AK7949">
        <v>17.505723740623299</v>
      </c>
      <c r="AL7949">
        <v>76.950004287296906</v>
      </c>
      <c r="AM7949">
        <v>102.333565204313</v>
      </c>
      <c r="AN7949">
        <v>1.00000002668632</v>
      </c>
    </row>
    <row r="7950" spans="1:40" x14ac:dyDescent="0.25">
      <c r="A7950" t="str">
        <f>"20190312172304121"</f>
        <v>20190312172304121</v>
      </c>
      <c r="B7950" t="str">
        <f>"1552382584118399"</f>
        <v>1552382584118399</v>
      </c>
      <c r="C7950" t="s">
        <v>40</v>
      </c>
      <c r="D7950">
        <v>3.4289719999999999</v>
      </c>
      <c r="E7950">
        <v>0.47034039999999999</v>
      </c>
      <c r="F7950" t="s">
        <v>42</v>
      </c>
      <c r="G7950">
        <v>-186.3682</v>
      </c>
      <c r="H7950" s="1">
        <v>-2.5088680000000002E-6</v>
      </c>
      <c r="I7950">
        <v>-26.020679999999999</v>
      </c>
      <c r="J7950">
        <v>-185.3724</v>
      </c>
      <c r="K7950">
        <v>1.127286</v>
      </c>
      <c r="L7950">
        <v>-44.612000000000002</v>
      </c>
      <c r="M7950">
        <v>0.21404210000000001</v>
      </c>
      <c r="N7950">
        <v>0</v>
      </c>
      <c r="O7950">
        <v>0.97666500000000001</v>
      </c>
      <c r="P7950">
        <v>1.220998E-2</v>
      </c>
      <c r="Q7950">
        <v>0.21800159999999999</v>
      </c>
      <c r="R7950">
        <v>0.97587199999999996</v>
      </c>
      <c r="S7950">
        <v>-0.15327449999999901</v>
      </c>
      <c r="T7950">
        <v>-0.1859623</v>
      </c>
      <c r="U7950">
        <v>3.1207889999999998</v>
      </c>
      <c r="V7950">
        <v>-0.20674400000000001</v>
      </c>
      <c r="W7950">
        <v>0.22628989999999999</v>
      </c>
      <c r="X7950">
        <v>0.95186649999999995</v>
      </c>
      <c r="Y7950">
        <v>-0.26164900000000002</v>
      </c>
      <c r="Z7950">
        <v>-5.6341589999999997E-2</v>
      </c>
      <c r="AA7950">
        <v>0.96351719999999996</v>
      </c>
      <c r="AB7950">
        <v>35</v>
      </c>
      <c r="AC7950">
        <v>-0.99580000000000202</v>
      </c>
      <c r="AD7950">
        <v>-1.127288508868</v>
      </c>
      <c r="AE7950">
        <v>18.59132</v>
      </c>
      <c r="AF7950">
        <v>-4.9345688390217903</v>
      </c>
      <c r="AG7950">
        <v>-1.127288508868</v>
      </c>
      <c r="AH7950">
        <v>17.881587654220699</v>
      </c>
      <c r="AI7950">
        <v>93.477610062241794</v>
      </c>
      <c r="AJ7950">
        <v>105.427273919421</v>
      </c>
      <c r="AK7950">
        <v>18.584184836705901</v>
      </c>
      <c r="AL7950">
        <v>76.921259712491306</v>
      </c>
      <c r="AM7950">
        <v>102.25422631516599</v>
      </c>
      <c r="AN7950">
        <v>1.00000001710012</v>
      </c>
    </row>
    <row r="7951" spans="1:40" x14ac:dyDescent="0.25">
      <c r="A7951" t="str">
        <f>"20190312172304144"</f>
        <v>20190312172304144</v>
      </c>
      <c r="B7951" t="str">
        <f>"1552382584137920"</f>
        <v>1552382584137920</v>
      </c>
      <c r="C7951" t="s">
        <v>40</v>
      </c>
      <c r="D7951">
        <v>3.5647150000000001</v>
      </c>
      <c r="E7951">
        <v>0.47056540000000002</v>
      </c>
      <c r="F7951" t="s">
        <v>42</v>
      </c>
      <c r="G7951">
        <v>-186.7689</v>
      </c>
      <c r="H7951" s="1">
        <v>-3.2902439999999998E-6</v>
      </c>
      <c r="I7951">
        <v>-24.033580000000001</v>
      </c>
      <c r="J7951">
        <v>-185.30860000000001</v>
      </c>
      <c r="K7951">
        <v>1.127197</v>
      </c>
      <c r="L7951">
        <v>-44.263579999999997</v>
      </c>
      <c r="M7951">
        <v>0.19584460000000001</v>
      </c>
      <c r="N7951">
        <v>0</v>
      </c>
      <c r="O7951">
        <v>0.98047669999999998</v>
      </c>
      <c r="P7951">
        <v>-4.3062049999999996E-3</v>
      </c>
      <c r="Q7951">
        <v>0.21779899999999999</v>
      </c>
      <c r="R7951">
        <v>0.97598419999999997</v>
      </c>
      <c r="S7951">
        <v>-0.21139530000000001</v>
      </c>
      <c r="T7951">
        <v>-0.17063639999999999</v>
      </c>
      <c r="U7951">
        <v>3.1149290000000001</v>
      </c>
      <c r="V7951">
        <v>-0.2050999</v>
      </c>
      <c r="W7951">
        <v>0.22617509999999999</v>
      </c>
      <c r="X7951">
        <v>0.95224940000000002</v>
      </c>
      <c r="Y7951">
        <v>-0.26172450000000003</v>
      </c>
      <c r="Z7951">
        <v>-5.209275E-2</v>
      </c>
      <c r="AA7951">
        <v>0.96373580000000003</v>
      </c>
      <c r="AB7951">
        <v>35</v>
      </c>
      <c r="AC7951">
        <v>-1.4602999999999799</v>
      </c>
      <c r="AD7951">
        <v>-1.1272002902439999</v>
      </c>
      <c r="AE7951">
        <v>20.23</v>
      </c>
      <c r="AF7951">
        <v>-5.3779534761854499</v>
      </c>
      <c r="AG7951">
        <v>-1.1272002902439999</v>
      </c>
      <c r="AH7951">
        <v>19.491884360778901</v>
      </c>
      <c r="AI7951">
        <v>93.190724412941293</v>
      </c>
      <c r="AJ7951">
        <v>105.424570361481</v>
      </c>
      <c r="AK7951">
        <v>20.2515806795499</v>
      </c>
      <c r="AL7951">
        <v>76.928012543505901</v>
      </c>
      <c r="AM7951">
        <v>102.15494337803101</v>
      </c>
      <c r="AN7951">
        <v>1.0000000323201801</v>
      </c>
    </row>
    <row r="7952" spans="1:40" x14ac:dyDescent="0.25">
      <c r="A7952" t="str">
        <f>"20190312172304168"</f>
        <v>20190312172304168</v>
      </c>
      <c r="B7952" t="str">
        <f>"1552382584158415"</f>
        <v>1552382584158415</v>
      </c>
      <c r="C7952" t="s">
        <v>40</v>
      </c>
      <c r="D7952">
        <v>3.4502839999999901</v>
      </c>
      <c r="E7952">
        <v>0.47115279999999998</v>
      </c>
      <c r="F7952" t="s">
        <v>42</v>
      </c>
      <c r="G7952">
        <v>-187.09460000000001</v>
      </c>
      <c r="H7952" s="1">
        <v>-3.6839360000000001E-6</v>
      </c>
      <c r="I7952">
        <v>-22.98122</v>
      </c>
      <c r="J7952">
        <v>-185.25120000000001</v>
      </c>
      <c r="K7952">
        <v>1.1271119999999999</v>
      </c>
      <c r="L7952">
        <v>-43.913939999999997</v>
      </c>
      <c r="M7952">
        <v>0.1776336</v>
      </c>
      <c r="N7952">
        <v>0</v>
      </c>
      <c r="O7952">
        <v>0.98393960000000003</v>
      </c>
      <c r="P7952">
        <v>-1.9169169999999999E-2</v>
      </c>
      <c r="Q7952">
        <v>0.2175214</v>
      </c>
      <c r="R7952">
        <v>0.97586729999999999</v>
      </c>
      <c r="S7952">
        <v>-0.26094060000000002</v>
      </c>
      <c r="T7952">
        <v>-0.16468669999999999</v>
      </c>
      <c r="U7952">
        <v>3.1094059999999999</v>
      </c>
      <c r="V7952">
        <v>-0.2018847</v>
      </c>
      <c r="W7952">
        <v>0.22605529999999999</v>
      </c>
      <c r="X7952">
        <v>0.9529647</v>
      </c>
      <c r="Y7952">
        <v>-0.25922109999999998</v>
      </c>
      <c r="Z7952">
        <v>-5.0632320000000001E-2</v>
      </c>
      <c r="AA7952">
        <v>0.96448990000000001</v>
      </c>
      <c r="AB7952">
        <v>35</v>
      </c>
      <c r="AC7952">
        <v>-1.8433999999999999</v>
      </c>
      <c r="AD7952">
        <v>-1.1271156839359999</v>
      </c>
      <c r="AE7952">
        <v>20.93272</v>
      </c>
      <c r="AF7952">
        <v>-5.5171315983113596</v>
      </c>
      <c r="AG7952">
        <v>-1.1271156839359999</v>
      </c>
      <c r="AH7952">
        <v>20.214061742970799</v>
      </c>
      <c r="AI7952">
        <v>93.0790535845356</v>
      </c>
      <c r="AJ7952">
        <v>105.266213596846</v>
      </c>
      <c r="AK7952">
        <v>20.983741872857099</v>
      </c>
      <c r="AL7952">
        <v>76.935059647725694</v>
      </c>
      <c r="AM7952">
        <v>101.961211249077</v>
      </c>
      <c r="AN7952">
        <v>1.00000007509913</v>
      </c>
    </row>
    <row r="7953" spans="1:40" x14ac:dyDescent="0.25">
      <c r="A7953" t="str">
        <f>"20190312172304190"</f>
        <v>20190312172304190</v>
      </c>
      <c r="B7953" t="str">
        <f>"1552382584177936"</f>
        <v>1552382584177936</v>
      </c>
      <c r="C7953" t="s">
        <v>40</v>
      </c>
      <c r="D7953">
        <v>3.4409629999999898</v>
      </c>
      <c r="E7953">
        <v>0.47171920000000001</v>
      </c>
      <c r="F7953" t="s">
        <v>42</v>
      </c>
      <c r="G7953">
        <v>-187.36170000000001</v>
      </c>
      <c r="H7953" s="1">
        <v>-3.9693630000000001E-6</v>
      </c>
      <c r="I7953">
        <v>-22.20543</v>
      </c>
      <c r="J7953">
        <v>-185.20189999999999</v>
      </c>
      <c r="K7953">
        <v>1.1270290000000001</v>
      </c>
      <c r="L7953">
        <v>-43.575099999999999</v>
      </c>
      <c r="M7953">
        <v>0.1600444</v>
      </c>
      <c r="N7953">
        <v>0</v>
      </c>
      <c r="O7953">
        <v>0.98695379999999999</v>
      </c>
      <c r="P7953">
        <v>-3.3040260000000002E-2</v>
      </c>
      <c r="Q7953">
        <v>0.21845319999999999</v>
      </c>
      <c r="R7953">
        <v>0.97528789999999999</v>
      </c>
      <c r="S7953">
        <v>-0.30178829999999901</v>
      </c>
      <c r="T7953">
        <v>-0.161170799999999</v>
      </c>
      <c r="U7953">
        <v>3.104187</v>
      </c>
      <c r="V7953">
        <v>-0.1983637</v>
      </c>
      <c r="W7953">
        <v>0.2271542</v>
      </c>
      <c r="X7953">
        <v>0.95344260000000003</v>
      </c>
      <c r="Y7953">
        <v>-0.2547083</v>
      </c>
      <c r="Z7953">
        <v>-4.9873010000000002E-2</v>
      </c>
      <c r="AA7953">
        <v>0.96573100000000001</v>
      </c>
      <c r="AB7953">
        <v>35</v>
      </c>
      <c r="AC7953">
        <v>-2.1598000000000099</v>
      </c>
      <c r="AD7953">
        <v>-1.1270329693629999</v>
      </c>
      <c r="AE7953">
        <v>21.369669999999999</v>
      </c>
      <c r="AF7953">
        <v>-5.5373276688773299</v>
      </c>
      <c r="AG7953">
        <v>-1.1270329693629999</v>
      </c>
      <c r="AH7953">
        <v>20.691437389042701</v>
      </c>
      <c r="AI7953">
        <v>93.011954354917094</v>
      </c>
      <c r="AJ7953">
        <v>104.982104029271</v>
      </c>
      <c r="AK7953">
        <v>21.449190713199801</v>
      </c>
      <c r="AL7953">
        <v>76.870414581059606</v>
      </c>
      <c r="AM7953">
        <v>101.75272763423099</v>
      </c>
      <c r="AN7953">
        <v>0.99999998977504501</v>
      </c>
    </row>
    <row r="7954" spans="1:40" x14ac:dyDescent="0.25">
      <c r="A7954" t="str">
        <f>"20190312172304211"</f>
        <v>20190312172304211</v>
      </c>
      <c r="B7954" t="str">
        <f>"1552382584208191"</f>
        <v>1552382584208191</v>
      </c>
      <c r="C7954" t="s">
        <v>40</v>
      </c>
      <c r="D7954">
        <v>3.5553530000000002</v>
      </c>
      <c r="E7954">
        <v>0.47269610000000001</v>
      </c>
      <c r="F7954" t="s">
        <v>42</v>
      </c>
      <c r="G7954">
        <v>-187.66849999999999</v>
      </c>
      <c r="H7954" s="1">
        <v>-4.3425380000000001E-6</v>
      </c>
      <c r="I7954">
        <v>-21.2087</v>
      </c>
      <c r="J7954">
        <v>-185.16220000000001</v>
      </c>
      <c r="K7954">
        <v>1.1269450000000001</v>
      </c>
      <c r="L7954">
        <v>-43.264949999999999</v>
      </c>
      <c r="M7954">
        <v>0.14400360000000001</v>
      </c>
      <c r="N7954">
        <v>0</v>
      </c>
      <c r="O7954">
        <v>0.98942209999999997</v>
      </c>
      <c r="P7954">
        <v>-4.4569249999999998E-2</v>
      </c>
      <c r="Q7954">
        <v>0.22006110000000001</v>
      </c>
      <c r="R7954">
        <v>0.97446739999999998</v>
      </c>
      <c r="S7954">
        <v>-0.34179690000000001</v>
      </c>
      <c r="T7954">
        <v>-0.15617719999999999</v>
      </c>
      <c r="U7954">
        <v>3.099396</v>
      </c>
      <c r="V7954">
        <v>-0.1941071</v>
      </c>
      <c r="W7954">
        <v>0.2289592</v>
      </c>
      <c r="X7954">
        <v>0.95388689999999998</v>
      </c>
      <c r="Y7954">
        <v>-0.25149529999999998</v>
      </c>
      <c r="Z7954">
        <v>-4.8580999999999999E-2</v>
      </c>
      <c r="AA7954">
        <v>0.96663849999999996</v>
      </c>
      <c r="AB7954">
        <v>35</v>
      </c>
      <c r="AC7954">
        <v>-2.50629999999998</v>
      </c>
      <c r="AD7954">
        <v>-1.1269493425379999</v>
      </c>
      <c r="AE7954">
        <v>22.056249999999999</v>
      </c>
      <c r="AF7954">
        <v>-5.6422938654689698</v>
      </c>
      <c r="AG7954">
        <v>-1.1269493425379999</v>
      </c>
      <c r="AH7954">
        <v>21.4101373239988</v>
      </c>
      <c r="AI7954">
        <v>92.913752830702194</v>
      </c>
      <c r="AJ7954">
        <v>104.763701365702</v>
      </c>
      <c r="AK7954">
        <v>22.169787439608999</v>
      </c>
      <c r="AL7954">
        <v>76.764197417485306</v>
      </c>
      <c r="AM7954">
        <v>101.50211197294</v>
      </c>
      <c r="AN7954">
        <v>1.0000000497633199</v>
      </c>
    </row>
    <row r="7955" spans="1:40" x14ac:dyDescent="0.25">
      <c r="A7955" t="str">
        <f>"20190312172304232"</f>
        <v>20190312172304232</v>
      </c>
      <c r="B7955" t="str">
        <f>"1552382584227711"</f>
        <v>1552382584227711</v>
      </c>
      <c r="C7955" t="s">
        <v>40</v>
      </c>
      <c r="D7955">
        <v>3.5405730000000002</v>
      </c>
      <c r="E7955">
        <v>0.47343800000000003</v>
      </c>
      <c r="F7955" t="s">
        <v>42</v>
      </c>
      <c r="G7955">
        <v>-187.9589</v>
      </c>
      <c r="H7955" s="1">
        <v>-6.7840700000000002E-7</v>
      </c>
      <c r="I7955">
        <v>-19.954239999999999</v>
      </c>
      <c r="J7955">
        <v>-185.1266</v>
      </c>
      <c r="K7955">
        <v>1.1268450000000001</v>
      </c>
      <c r="L7955">
        <v>-42.94312</v>
      </c>
      <c r="M7955">
        <v>0.127432399999999</v>
      </c>
      <c r="N7955">
        <v>0</v>
      </c>
      <c r="O7955">
        <v>0.99169320000000005</v>
      </c>
      <c r="P7955">
        <v>-5.597216E-2</v>
      </c>
      <c r="Q7955">
        <v>0.2200317</v>
      </c>
      <c r="R7955">
        <v>0.97388560000000002</v>
      </c>
      <c r="S7955">
        <v>-0.37136839999999999</v>
      </c>
      <c r="T7955">
        <v>-0.14964559999999999</v>
      </c>
      <c r="U7955">
        <v>3.0953979999999999</v>
      </c>
      <c r="V7955">
        <v>-0.18923719999999999</v>
      </c>
      <c r="W7955">
        <v>0.22916020000000001</v>
      </c>
      <c r="X7955">
        <v>0.95481669999999996</v>
      </c>
      <c r="Y7955">
        <v>-0.24455930000000001</v>
      </c>
      <c r="Z7955">
        <v>-4.6795400000000001E-2</v>
      </c>
      <c r="AA7955">
        <v>0.96850449999999999</v>
      </c>
      <c r="AB7955">
        <v>35</v>
      </c>
      <c r="AC7955">
        <v>-2.8323</v>
      </c>
      <c r="AD7955">
        <v>-1.126845678407</v>
      </c>
      <c r="AE7955">
        <v>22.988879999999899</v>
      </c>
      <c r="AF7955">
        <v>-5.7256266870256001</v>
      </c>
      <c r="AG7955">
        <v>-1.126845678407</v>
      </c>
      <c r="AH7955">
        <v>22.387432880532099</v>
      </c>
      <c r="AI7955">
        <v>92.7917769011693</v>
      </c>
      <c r="AJ7955">
        <v>104.345990623978</v>
      </c>
      <c r="AK7955">
        <v>23.135464834804001</v>
      </c>
      <c r="AL7955">
        <v>76.752366045101894</v>
      </c>
      <c r="AM7955">
        <v>101.21030115545</v>
      </c>
      <c r="AN7955">
        <v>1.0000000228633801</v>
      </c>
    </row>
    <row r="7956" spans="1:40" x14ac:dyDescent="0.25">
      <c r="A7956" t="str">
        <f>"20190312172304255"</f>
        <v>20190312172304255</v>
      </c>
      <c r="B7956" t="str">
        <f>"1552382584248207"</f>
        <v>1552382584248207</v>
      </c>
      <c r="C7956" t="s">
        <v>40</v>
      </c>
      <c r="D7956">
        <v>3.5286</v>
      </c>
      <c r="E7956">
        <v>0.48766880000000001</v>
      </c>
      <c r="F7956" t="s">
        <v>42</v>
      </c>
      <c r="G7956">
        <v>-188.1388</v>
      </c>
      <c r="H7956" s="1">
        <v>-6.9889669999999999E-7</v>
      </c>
      <c r="I7956">
        <v>-19.75339</v>
      </c>
      <c r="J7956">
        <v>-185.09379999999999</v>
      </c>
      <c r="K7956">
        <v>1.126727</v>
      </c>
      <c r="L7956">
        <v>-42.592590000000001</v>
      </c>
      <c r="M7956">
        <v>0.109482</v>
      </c>
      <c r="N7956">
        <v>0</v>
      </c>
      <c r="O7956">
        <v>0.99383569999999999</v>
      </c>
      <c r="P7956">
        <v>-6.8377679999999996E-2</v>
      </c>
      <c r="Q7956">
        <v>0.22028349999999999</v>
      </c>
      <c r="R7956">
        <v>0.97303629999999997</v>
      </c>
      <c r="S7956">
        <v>-0.40155030000000003</v>
      </c>
      <c r="T7956">
        <v>-0.150214299999999</v>
      </c>
      <c r="U7956">
        <v>3.0913089999999999</v>
      </c>
      <c r="V7956">
        <v>-0.18405340000000001</v>
      </c>
      <c r="W7956">
        <v>0.22965540000000001</v>
      </c>
      <c r="X7956">
        <v>0.95571059999999997</v>
      </c>
      <c r="Y7956">
        <v>-0.23647989999999999</v>
      </c>
      <c r="Z7956">
        <v>-4.7210200000000001E-2</v>
      </c>
      <c r="AA7956">
        <v>0.97048880000000004</v>
      </c>
      <c r="AB7956">
        <v>35</v>
      </c>
      <c r="AC7956">
        <v>-3.0450000000000101</v>
      </c>
      <c r="AD7956">
        <v>-1.1267276988967001</v>
      </c>
      <c r="AE7956">
        <v>22.839200000000002</v>
      </c>
      <c r="AF7956">
        <v>-5.51436585523766</v>
      </c>
      <c r="AG7956">
        <v>-1.1267276988967001</v>
      </c>
      <c r="AH7956">
        <v>22.315082309087099</v>
      </c>
      <c r="AI7956">
        <v>92.8062386343572</v>
      </c>
      <c r="AJ7956">
        <v>103.88050106595701</v>
      </c>
      <c r="AK7956">
        <v>23.013922841493201</v>
      </c>
      <c r="AL7956">
        <v>76.723215491877298</v>
      </c>
      <c r="AM7956">
        <v>100.90072529572799</v>
      </c>
      <c r="AN7956">
        <v>1.00000000387654</v>
      </c>
    </row>
    <row r="7957" spans="1:40" x14ac:dyDescent="0.25">
      <c r="A7957" t="str">
        <f>"20190312172304277"</f>
        <v>20190312172304277</v>
      </c>
      <c r="B7957" t="str">
        <f>"1552382584267730"</f>
        <v>1552382584267730</v>
      </c>
      <c r="C7957" t="s">
        <v>40</v>
      </c>
      <c r="D7957">
        <v>3.4901559999999998</v>
      </c>
      <c r="E7957">
        <v>0.49060569999999998</v>
      </c>
      <c r="F7957" t="s">
        <v>42</v>
      </c>
      <c r="G7957">
        <v>-187.80410000000001</v>
      </c>
      <c r="H7957" s="1">
        <v>-1.8308079999999999E-6</v>
      </c>
      <c r="I7957">
        <v>-17.007539999999999</v>
      </c>
      <c r="J7957">
        <v>-185.06800000000001</v>
      </c>
      <c r="K7957">
        <v>1.12659</v>
      </c>
      <c r="L7957">
        <v>-42.25027</v>
      </c>
      <c r="M7957">
        <v>9.2067380000000004E-2</v>
      </c>
      <c r="N7957">
        <v>0</v>
      </c>
      <c r="O7957">
        <v>0.99560079999999995</v>
      </c>
      <c r="P7957">
        <v>-8.0011639999999995E-2</v>
      </c>
      <c r="Q7957">
        <v>0.21952940000000001</v>
      </c>
      <c r="R7957">
        <v>0.97231939999999994</v>
      </c>
      <c r="S7957">
        <v>-0.32742310000000002</v>
      </c>
      <c r="T7957">
        <v>-0.13612060000000001</v>
      </c>
      <c r="U7957">
        <v>3.0909420000000001</v>
      </c>
      <c r="V7957">
        <v>-0.1786412</v>
      </c>
      <c r="W7957">
        <v>0.2291569</v>
      </c>
      <c r="X7957">
        <v>0.9568565</v>
      </c>
      <c r="Y7957">
        <v>-0.1963625</v>
      </c>
      <c r="Z7957">
        <v>-4.3166280000000001E-2</v>
      </c>
      <c r="AA7957">
        <v>0.97958080000000003</v>
      </c>
      <c r="AB7957">
        <v>35</v>
      </c>
      <c r="AC7957">
        <v>-2.73610000000002</v>
      </c>
      <c r="AD7957">
        <v>-1.1265918308080001</v>
      </c>
      <c r="AE7957">
        <v>25.242729999999899</v>
      </c>
      <c r="AF7957">
        <v>-5.03893907699198</v>
      </c>
      <c r="AG7957">
        <v>-1.1265918308080001</v>
      </c>
      <c r="AH7957">
        <v>24.834649430296501</v>
      </c>
      <c r="AI7957">
        <v>92.545568926381307</v>
      </c>
      <c r="AJ7957">
        <v>101.46958506441599</v>
      </c>
      <c r="AK7957">
        <v>25.3657234964944</v>
      </c>
      <c r="AL7957">
        <v>76.752559474279096</v>
      </c>
      <c r="AM7957">
        <v>100.57514280177099</v>
      </c>
      <c r="AN7957">
        <v>0.99999996237364897</v>
      </c>
    </row>
    <row r="7958" spans="1:40" x14ac:dyDescent="0.25">
      <c r="A7958" t="str">
        <f>"20190312172304300"</f>
        <v>20190312172304300</v>
      </c>
      <c r="B7958" t="str">
        <f>"1552382584297983"</f>
        <v>1552382584297983</v>
      </c>
      <c r="C7958" t="s">
        <v>40</v>
      </c>
      <c r="D7958">
        <v>3.4701650000000002</v>
      </c>
      <c r="E7958">
        <v>0.4932858</v>
      </c>
      <c r="F7958" t="s">
        <v>42</v>
      </c>
      <c r="G7958">
        <v>-187.73220000000001</v>
      </c>
      <c r="H7958" s="1">
        <v>-1.368826E-6</v>
      </c>
      <c r="I7958">
        <v>-18.114159999999998</v>
      </c>
      <c r="J7958">
        <v>-185.04849999999999</v>
      </c>
      <c r="K7958">
        <v>1.1264419999999999</v>
      </c>
      <c r="L7958">
        <v>-41.910490000000003</v>
      </c>
      <c r="M7958">
        <v>7.4926939999999997E-2</v>
      </c>
      <c r="N7958">
        <v>0</v>
      </c>
      <c r="O7958">
        <v>0.99703810000000004</v>
      </c>
      <c r="P7958">
        <v>-9.1014419999999999E-2</v>
      </c>
      <c r="Q7958">
        <v>0.21792600000000001</v>
      </c>
      <c r="R7958">
        <v>0.97171220000000003</v>
      </c>
      <c r="S7958">
        <v>-0.34106449999999999</v>
      </c>
      <c r="T7958">
        <v>-0.1442262</v>
      </c>
      <c r="U7958">
        <v>3.0899049999999999</v>
      </c>
      <c r="V7958">
        <v>-0.17286689999999999</v>
      </c>
      <c r="W7958">
        <v>0.227827</v>
      </c>
      <c r="X7958">
        <v>0.95823380000000002</v>
      </c>
      <c r="Y7958">
        <v>-0.18377470000000001</v>
      </c>
      <c r="Z7958">
        <v>-4.5892750000000003E-2</v>
      </c>
      <c r="AA7958">
        <v>0.98189649999999995</v>
      </c>
      <c r="AB7958">
        <v>34</v>
      </c>
      <c r="AC7958">
        <v>-2.6837000000000102</v>
      </c>
      <c r="AD7958">
        <v>-1.126443368826</v>
      </c>
      <c r="AE7958">
        <v>23.796329999999902</v>
      </c>
      <c r="AF7958">
        <v>-4.44956322650504</v>
      </c>
      <c r="AG7958">
        <v>-1.126443368826</v>
      </c>
      <c r="AH7958">
        <v>23.476362640263901</v>
      </c>
      <c r="AI7958">
        <v>92.699081615311201</v>
      </c>
      <c r="AJ7958">
        <v>100.73218192972401</v>
      </c>
      <c r="AK7958">
        <v>23.920850536446601</v>
      </c>
      <c r="AL7958">
        <v>76.830828989142304</v>
      </c>
      <c r="AM7958">
        <v>100.226259399296</v>
      </c>
      <c r="AN7958">
        <v>1.00000006125352</v>
      </c>
    </row>
    <row r="7959" spans="1:40" x14ac:dyDescent="0.25">
      <c r="A7959" t="str">
        <f>"20190312172304322"</f>
        <v>20190312172304322</v>
      </c>
      <c r="B7959" t="str">
        <f>"1552382584318479"</f>
        <v>1552382584318479</v>
      </c>
      <c r="C7959" t="s">
        <v>40</v>
      </c>
      <c r="D7959">
        <v>3.4887030000000001</v>
      </c>
      <c r="E7959">
        <v>0.4949712</v>
      </c>
      <c r="F7959" t="s">
        <v>42</v>
      </c>
      <c r="G7959">
        <v>-187.6703</v>
      </c>
      <c r="H7959" s="1">
        <v>-1.034662E-6</v>
      </c>
      <c r="I7959">
        <v>-19.133030000000002</v>
      </c>
      <c r="J7959">
        <v>-185.03559999999999</v>
      </c>
      <c r="K7959">
        <v>1.126268</v>
      </c>
      <c r="L7959">
        <v>-41.586089999999999</v>
      </c>
      <c r="M7959">
        <v>5.8736150000000001E-2</v>
      </c>
      <c r="N7959">
        <v>0</v>
      </c>
      <c r="O7959">
        <v>0.9981236</v>
      </c>
      <c r="P7959">
        <v>-0.10072440000000001</v>
      </c>
      <c r="Q7959">
        <v>0.2178147</v>
      </c>
      <c r="R7959">
        <v>0.97077880000000005</v>
      </c>
      <c r="S7959">
        <v>-0.35548400000000002</v>
      </c>
      <c r="T7959">
        <v>-0.152729</v>
      </c>
      <c r="U7959">
        <v>3.0882869999999998</v>
      </c>
      <c r="V7959">
        <v>-0.16677320000000001</v>
      </c>
      <c r="W7959">
        <v>0.22799549999999999</v>
      </c>
      <c r="X7959">
        <v>0.95927300000000004</v>
      </c>
      <c r="Y7959">
        <v>-0.17237759999999999</v>
      </c>
      <c r="Z7959">
        <v>-4.8735569999999999E-2</v>
      </c>
      <c r="AA7959">
        <v>0.98382460000000005</v>
      </c>
      <c r="AB7959">
        <v>34</v>
      </c>
      <c r="AC7959">
        <v>-2.6347</v>
      </c>
      <c r="AD7959">
        <v>-1.1262690346619999</v>
      </c>
      <c r="AE7959">
        <v>22.453060000000001</v>
      </c>
      <c r="AF7959">
        <v>-3.9393763117571901</v>
      </c>
      <c r="AG7959">
        <v>-1.1262690346619999</v>
      </c>
      <c r="AH7959">
        <v>22.204398475101701</v>
      </c>
      <c r="AI7959">
        <v>92.859140807813901</v>
      </c>
      <c r="AJ7959">
        <v>100.06040525850401</v>
      </c>
      <c r="AK7959">
        <v>22.579248864946099</v>
      </c>
      <c r="AL7959">
        <v>76.820912453560993</v>
      </c>
      <c r="AM7959">
        <v>99.862508897698504</v>
      </c>
      <c r="AN7959">
        <v>0.99999996839374405</v>
      </c>
    </row>
    <row r="7960" spans="1:40" x14ac:dyDescent="0.25">
      <c r="A7960" t="str">
        <f>"20190312172304344"</f>
        <v>20190312172304344</v>
      </c>
      <c r="B7960" t="str">
        <f>"1552382584337999"</f>
        <v>1552382584337999</v>
      </c>
      <c r="C7960" t="s">
        <v>40</v>
      </c>
      <c r="D7960">
        <v>3.5994890000000002</v>
      </c>
      <c r="E7960">
        <v>0.49625639999999999</v>
      </c>
      <c r="F7960" t="s">
        <v>42</v>
      </c>
      <c r="G7960">
        <v>-187.76179999999999</v>
      </c>
      <c r="H7960" s="1">
        <v>-1.038066E-6</v>
      </c>
      <c r="I7960">
        <v>-19.05153</v>
      </c>
      <c r="J7960">
        <v>-185.02799999999999</v>
      </c>
      <c r="K7960">
        <v>1.1260870000000001</v>
      </c>
      <c r="L7960">
        <v>-41.252659999999999</v>
      </c>
      <c r="M7960">
        <v>4.2263490000000001E-2</v>
      </c>
      <c r="N7960">
        <v>0</v>
      </c>
      <c r="O7960">
        <v>0.99895769999999995</v>
      </c>
      <c r="P7960">
        <v>-0.110526399999999</v>
      </c>
      <c r="Q7960">
        <v>0.2176449</v>
      </c>
      <c r="R7960">
        <v>0.96974970000000005</v>
      </c>
      <c r="S7960">
        <v>-0.37335210000000002</v>
      </c>
      <c r="T7960">
        <v>-0.1542462</v>
      </c>
      <c r="U7960">
        <v>3.086182</v>
      </c>
      <c r="V7960">
        <v>-0.16050710000000001</v>
      </c>
      <c r="W7960">
        <v>0.22810649999999999</v>
      </c>
      <c r="X7960">
        <v>0.96031500000000003</v>
      </c>
      <c r="Y7960">
        <v>-0.1618095</v>
      </c>
      <c r="Z7960">
        <v>-4.9341959999999997E-2</v>
      </c>
      <c r="AA7960">
        <v>0.98558769999999996</v>
      </c>
      <c r="AB7960">
        <v>34</v>
      </c>
      <c r="AC7960">
        <v>-2.7338</v>
      </c>
      <c r="AD7960">
        <v>-1.1260880380660001</v>
      </c>
      <c r="AE7960">
        <v>22.201129999999999</v>
      </c>
      <c r="AF7960">
        <v>-3.6605165084836799</v>
      </c>
      <c r="AG7960">
        <v>-1.1260880380660001</v>
      </c>
      <c r="AH7960">
        <v>22.009950355525898</v>
      </c>
      <c r="AI7960">
        <v>92.889235413894198</v>
      </c>
      <c r="AJ7960">
        <v>99.442543416480206</v>
      </c>
      <c r="AK7960">
        <v>22.340666284403198</v>
      </c>
      <c r="AL7960">
        <v>76.814380948742894</v>
      </c>
      <c r="AM7960">
        <v>99.488710164542397</v>
      </c>
      <c r="AN7960">
        <v>1.00000000185883</v>
      </c>
    </row>
    <row r="7961" spans="1:40" x14ac:dyDescent="0.25">
      <c r="A7961" t="str">
        <f>"20190312172304369"</f>
        <v>20190312172304369</v>
      </c>
      <c r="B7961" t="str">
        <f>"1552382584358495"</f>
        <v>1552382584358495</v>
      </c>
      <c r="C7961" t="s">
        <v>40</v>
      </c>
      <c r="D7961">
        <v>3.5183230000000001</v>
      </c>
      <c r="E7961">
        <v>0.50555379999999905</v>
      </c>
      <c r="F7961" t="s">
        <v>42</v>
      </c>
      <c r="G7961">
        <v>-187.83860000000001</v>
      </c>
      <c r="H7961" s="1">
        <v>-9.3602120000000005E-7</v>
      </c>
      <c r="I7961">
        <v>-19.291329999999999</v>
      </c>
      <c r="J7961">
        <v>-185.02590000000001</v>
      </c>
      <c r="K7961">
        <v>1.1258589999999999</v>
      </c>
      <c r="L7961">
        <v>-40.881619999999998</v>
      </c>
      <c r="M7961">
        <v>2.4172289999999999E-2</v>
      </c>
      <c r="N7961">
        <v>0</v>
      </c>
      <c r="O7961">
        <v>0.99956020000000001</v>
      </c>
      <c r="P7961">
        <v>-0.1214108</v>
      </c>
      <c r="Q7961">
        <v>0.21684590000000001</v>
      </c>
      <c r="R7961">
        <v>0.96862649999999995</v>
      </c>
      <c r="S7961">
        <v>-0.39469910000000002</v>
      </c>
      <c r="T7961">
        <v>-0.1581389</v>
      </c>
      <c r="U7961">
        <v>3.084076</v>
      </c>
      <c r="V7961">
        <v>-0.1537269</v>
      </c>
      <c r="W7961">
        <v>0.22761010000000001</v>
      </c>
      <c r="X7961">
        <v>0.96154130000000004</v>
      </c>
      <c r="Y7961">
        <v>-0.1507241</v>
      </c>
      <c r="Z7961">
        <v>-5.068748E-2</v>
      </c>
      <c r="AA7961">
        <v>0.98727549999999997</v>
      </c>
      <c r="AB7961">
        <v>34</v>
      </c>
      <c r="AC7961">
        <v>-2.8127</v>
      </c>
      <c r="AD7961">
        <v>-1.1258599360212</v>
      </c>
      <c r="AE7961">
        <v>21.59029</v>
      </c>
      <c r="AF7961">
        <v>-3.32495114262393</v>
      </c>
      <c r="AG7961">
        <v>-1.1258599360212</v>
      </c>
      <c r="AH7961">
        <v>21.458602333068999</v>
      </c>
      <c r="AI7961">
        <v>92.968007876434797</v>
      </c>
      <c r="AJ7961">
        <v>98.807780794326405</v>
      </c>
      <c r="AK7961">
        <v>21.743837627823901</v>
      </c>
      <c r="AL7961">
        <v>76.843590865332104</v>
      </c>
      <c r="AM7961">
        <v>99.083321742242305</v>
      </c>
      <c r="AN7961">
        <v>0.99999999450565502</v>
      </c>
    </row>
    <row r="7962" spans="1:40" x14ac:dyDescent="0.25">
      <c r="A7962" t="str">
        <f>"20190312172304390"</f>
        <v>20190312172304390</v>
      </c>
      <c r="B7962" t="str">
        <f>"1552382584378015"</f>
        <v>1552382584378015</v>
      </c>
      <c r="C7962" t="s">
        <v>40</v>
      </c>
      <c r="D7962">
        <v>3.4971610000000002</v>
      </c>
      <c r="E7962">
        <v>0.5070441</v>
      </c>
      <c r="F7962" t="s">
        <v>42</v>
      </c>
      <c r="G7962">
        <v>-187.36170000000001</v>
      </c>
      <c r="H7962" s="1">
        <v>-4.6604530000000003E-6</v>
      </c>
      <c r="I7962">
        <v>-20.594480000000001</v>
      </c>
      <c r="J7962">
        <v>-185.02940000000001</v>
      </c>
      <c r="K7962">
        <v>1.1256409999999999</v>
      </c>
      <c r="L7962">
        <v>-40.561549999999997</v>
      </c>
      <c r="M7962">
        <v>8.8206180000000006E-3</v>
      </c>
      <c r="N7962">
        <v>0</v>
      </c>
      <c r="O7962">
        <v>0.9998146</v>
      </c>
      <c r="P7962">
        <v>-0.1291775</v>
      </c>
      <c r="Q7962">
        <v>0.2149295</v>
      </c>
      <c r="R7962">
        <v>0.96804880000000004</v>
      </c>
      <c r="S7962">
        <v>-0.35588069999999999</v>
      </c>
      <c r="T7962">
        <v>-0.171538</v>
      </c>
      <c r="U7962">
        <v>3.090973</v>
      </c>
      <c r="V7962">
        <v>-0.14645150000000001</v>
      </c>
      <c r="W7962">
        <v>0.22601579999999999</v>
      </c>
      <c r="X7962">
        <v>0.96305189999999996</v>
      </c>
      <c r="Y7962">
        <v>-0.1229662</v>
      </c>
      <c r="Z7962">
        <v>-5.5016500000000003E-2</v>
      </c>
      <c r="AA7962">
        <v>0.99088469999999995</v>
      </c>
      <c r="AB7962">
        <v>34</v>
      </c>
      <c r="AC7962">
        <v>-2.3323</v>
      </c>
      <c r="AD7962">
        <v>-1.1256456604530001</v>
      </c>
      <c r="AE7962">
        <v>19.96707</v>
      </c>
      <c r="AF7962">
        <v>-2.5005168880970898</v>
      </c>
      <c r="AG7962">
        <v>-1.1256456604530001</v>
      </c>
      <c r="AH7962">
        <v>19.883375853248399</v>
      </c>
      <c r="AI7962">
        <v>93.214923941148697</v>
      </c>
      <c r="AJ7962">
        <v>97.167840513079497</v>
      </c>
      <c r="AK7962">
        <v>20.071579364417101</v>
      </c>
      <c r="AL7962">
        <v>76.9373829311034</v>
      </c>
      <c r="AM7962">
        <v>98.646734161397902</v>
      </c>
      <c r="AN7962">
        <v>1.0000000728977401</v>
      </c>
    </row>
    <row r="7963" spans="1:40" x14ac:dyDescent="0.25">
      <c r="A7963" t="str">
        <f>"20190312172304412"</f>
        <v>20190312172304412</v>
      </c>
      <c r="B7963" t="str">
        <f>"1552382584408271"</f>
        <v>1552382584408271</v>
      </c>
      <c r="C7963" t="s">
        <v>40</v>
      </c>
      <c r="D7963">
        <v>3.4833699999999999</v>
      </c>
      <c r="E7963">
        <v>0.50949199999999994</v>
      </c>
      <c r="F7963" t="s">
        <v>42</v>
      </c>
      <c r="G7963">
        <v>-187.39529999999999</v>
      </c>
      <c r="H7963" s="1">
        <v>-4.6030949999999997E-6</v>
      </c>
      <c r="I7963">
        <v>-20.714310000000001</v>
      </c>
      <c r="J7963">
        <v>-185.03790000000001</v>
      </c>
      <c r="K7963">
        <v>1.1253599999999999</v>
      </c>
      <c r="L7963">
        <v>-40.234070000000003</v>
      </c>
      <c r="M7963">
        <v>-6.5652310000000004E-3</v>
      </c>
      <c r="N7963">
        <v>0</v>
      </c>
      <c r="O7963">
        <v>0.99983319999999998</v>
      </c>
      <c r="P7963">
        <v>-0.135591299999999</v>
      </c>
      <c r="Q7963">
        <v>0.21294759999999999</v>
      </c>
      <c r="R7963">
        <v>0.96760959999999996</v>
      </c>
      <c r="S7963">
        <v>-0.36819459999999998</v>
      </c>
      <c r="T7963">
        <v>-0.17518129999999901</v>
      </c>
      <c r="U7963">
        <v>3.0887760000000002</v>
      </c>
      <c r="V7963">
        <v>-0.1377504</v>
      </c>
      <c r="W7963">
        <v>0.2244111</v>
      </c>
      <c r="X7963">
        <v>0.9647095</v>
      </c>
      <c r="Y7963">
        <v>-0.11165609999999999</v>
      </c>
      <c r="Z7963">
        <v>-5.6247119999999998E-2</v>
      </c>
      <c r="AA7963">
        <v>0.99215379999999997</v>
      </c>
      <c r="AB7963">
        <v>34</v>
      </c>
      <c r="AC7963">
        <v>-2.3573999999999802</v>
      </c>
      <c r="AD7963">
        <v>-1.125364603095</v>
      </c>
      <c r="AE7963">
        <v>19.519760000000002</v>
      </c>
      <c r="AF7963">
        <v>-2.2218998018103102</v>
      </c>
      <c r="AG7963">
        <v>-1.125364603095</v>
      </c>
      <c r="AH7963">
        <v>19.4710304846339</v>
      </c>
      <c r="AI7963">
        <v>93.286554691426005</v>
      </c>
      <c r="AJ7963">
        <v>96.510039447036405</v>
      </c>
      <c r="AK7963">
        <v>19.6296793746797</v>
      </c>
      <c r="AL7963">
        <v>77.031748412687406</v>
      </c>
      <c r="AM7963">
        <v>98.1263049288887</v>
      </c>
      <c r="AN7963">
        <v>0.99999996694680904</v>
      </c>
    </row>
    <row r="7964" spans="1:40" x14ac:dyDescent="0.25">
      <c r="A7964" t="str">
        <f>"20190312172304433"</f>
        <v>20190312172304433</v>
      </c>
      <c r="B7964" t="str">
        <f>"1552382584427791"</f>
        <v>1552382584427791</v>
      </c>
      <c r="C7964" t="s">
        <v>40</v>
      </c>
      <c r="D7964">
        <v>3.4959509999999998</v>
      </c>
      <c r="E7964">
        <v>0.51548090000000002</v>
      </c>
      <c r="F7964" t="s">
        <v>42</v>
      </c>
      <c r="G7964">
        <v>-187.3203</v>
      </c>
      <c r="H7964" s="1">
        <v>-4.4597130000000004E-6</v>
      </c>
      <c r="I7964">
        <v>-21.079519999999999</v>
      </c>
      <c r="J7964">
        <v>-185.05090000000001</v>
      </c>
      <c r="K7964">
        <v>1.1250309999999999</v>
      </c>
      <c r="L7964">
        <v>-39.915680000000002</v>
      </c>
      <c r="M7964">
        <v>-2.112518E-2</v>
      </c>
      <c r="N7964">
        <v>0</v>
      </c>
      <c r="O7964">
        <v>0.99963299999999999</v>
      </c>
      <c r="P7964">
        <v>-0.1421037</v>
      </c>
      <c r="Q7964">
        <v>0.21043510000000001</v>
      </c>
      <c r="R7964">
        <v>0.96722470000000005</v>
      </c>
      <c r="S7964">
        <v>-0.36805729999999998</v>
      </c>
      <c r="T7964">
        <v>-0.18147289999999999</v>
      </c>
      <c r="U7964">
        <v>3.0888059999999999</v>
      </c>
      <c r="V7964">
        <v>-0.12988250000000001</v>
      </c>
      <c r="W7964">
        <v>0.22223870000000001</v>
      </c>
      <c r="X7964">
        <v>0.96630249999999995</v>
      </c>
      <c r="Y7964">
        <v>-9.7114030000000004E-2</v>
      </c>
      <c r="Z7964">
        <v>-5.8287020000000002E-2</v>
      </c>
      <c r="AA7964">
        <v>0.99356500000000003</v>
      </c>
      <c r="AB7964">
        <v>34</v>
      </c>
      <c r="AC7964">
        <v>-2.2693999999999899</v>
      </c>
      <c r="AD7964">
        <v>-1.1250354597129999</v>
      </c>
      <c r="AE7964">
        <v>18.83616</v>
      </c>
      <c r="AF7964">
        <v>-1.86436320420055</v>
      </c>
      <c r="AG7964">
        <v>-1.1250354597129999</v>
      </c>
      <c r="AH7964">
        <v>18.813748423350301</v>
      </c>
      <c r="AI7964">
        <v>93.405490642026706</v>
      </c>
      <c r="AJ7964">
        <v>95.659293909602397</v>
      </c>
      <c r="AK7964">
        <v>18.939342245175901</v>
      </c>
      <c r="AL7964">
        <v>77.1594434361418</v>
      </c>
      <c r="AM7964">
        <v>97.655349453347398</v>
      </c>
      <c r="AN7964">
        <v>1.0000000125450901</v>
      </c>
    </row>
    <row r="7965" spans="1:40" x14ac:dyDescent="0.25">
      <c r="A7965" t="str">
        <f>"20190312172304457"</f>
        <v>20190312172304457</v>
      </c>
      <c r="B7965" t="str">
        <f>"1552382584448287"</f>
        <v>1552382584448287</v>
      </c>
      <c r="C7965" t="s">
        <v>40</v>
      </c>
      <c r="D7965">
        <v>3.5064899999999999</v>
      </c>
      <c r="E7965">
        <v>0.51670249999999995</v>
      </c>
      <c r="F7965" t="s">
        <v>42</v>
      </c>
      <c r="G7965">
        <v>-187.04349999999999</v>
      </c>
      <c r="H7965" s="1">
        <v>-4.1877599999999997E-6</v>
      </c>
      <c r="I7965">
        <v>-21.827929999999999</v>
      </c>
      <c r="J7965">
        <v>-185.06989999999999</v>
      </c>
      <c r="K7965">
        <v>1.1246050000000001</v>
      </c>
      <c r="L7965">
        <v>-39.570950000000003</v>
      </c>
      <c r="M7965">
        <v>-3.6359410000000002E-2</v>
      </c>
      <c r="N7965">
        <v>0</v>
      </c>
      <c r="O7965">
        <v>0.99919659999999999</v>
      </c>
      <c r="P7965">
        <v>-0.14962259999999999</v>
      </c>
      <c r="Q7965">
        <v>0.20891390000000001</v>
      </c>
      <c r="R7965">
        <v>0.96642019999999995</v>
      </c>
      <c r="S7965">
        <v>-0.34077449999999998</v>
      </c>
      <c r="T7965">
        <v>-0.19240840000000001</v>
      </c>
      <c r="U7965">
        <v>3.093445</v>
      </c>
      <c r="V7965">
        <v>-0.1223392</v>
      </c>
      <c r="W7965">
        <v>0.2210357</v>
      </c>
      <c r="X7965">
        <v>0.96756200000000003</v>
      </c>
      <c r="Y7965">
        <v>-7.3070490000000002E-2</v>
      </c>
      <c r="Z7965">
        <v>-6.1748369999999997E-2</v>
      </c>
      <c r="AA7965">
        <v>0.9954134</v>
      </c>
      <c r="AB7965">
        <v>34</v>
      </c>
      <c r="AC7965">
        <v>-1.9736</v>
      </c>
      <c r="AD7965">
        <v>-1.12460918776</v>
      </c>
      <c r="AE7965">
        <v>17.743020000000001</v>
      </c>
      <c r="AF7965">
        <v>-1.32183176300345</v>
      </c>
      <c r="AG7965">
        <v>-1.12460918776</v>
      </c>
      <c r="AH7965">
        <v>17.7326845777031</v>
      </c>
      <c r="AI7965">
        <v>93.618832518553006</v>
      </c>
      <c r="AJ7965">
        <v>94.263064146631606</v>
      </c>
      <c r="AK7965">
        <v>17.8174096705213</v>
      </c>
      <c r="AL7965">
        <v>77.230127337481903</v>
      </c>
      <c r="AM7965">
        <v>97.206277009994295</v>
      </c>
      <c r="AN7965">
        <v>0.99999994218756305</v>
      </c>
    </row>
    <row r="7966" spans="1:40" x14ac:dyDescent="0.25">
      <c r="A7966" t="str">
        <f>"20190312172304479"</f>
        <v>20190312172304479</v>
      </c>
      <c r="B7966" t="str">
        <f>"1552382584467806"</f>
        <v>1552382584467806</v>
      </c>
      <c r="C7966" t="s">
        <v>40</v>
      </c>
      <c r="D7966">
        <v>3.5196969999999999</v>
      </c>
      <c r="E7966">
        <v>0.51789669999999999</v>
      </c>
      <c r="F7966" t="s">
        <v>42</v>
      </c>
      <c r="G7966">
        <v>-187.11150000000001</v>
      </c>
      <c r="H7966" s="1">
        <v>-4.2148519999999996E-6</v>
      </c>
      <c r="I7966">
        <v>-21.736660000000001</v>
      </c>
      <c r="J7966">
        <v>-185.0924</v>
      </c>
      <c r="K7966">
        <v>1.1241219999999901</v>
      </c>
      <c r="L7966">
        <v>-39.243470000000002</v>
      </c>
      <c r="M7966">
        <v>-5.0213130000000002E-2</v>
      </c>
      <c r="N7966">
        <v>0</v>
      </c>
      <c r="O7966">
        <v>0.99859810000000004</v>
      </c>
      <c r="P7966">
        <v>-0.15576119999999999</v>
      </c>
      <c r="Q7966">
        <v>0.2081865</v>
      </c>
      <c r="R7966">
        <v>0.96560699999999999</v>
      </c>
      <c r="S7966">
        <v>-0.35391240000000002</v>
      </c>
      <c r="T7966">
        <v>-0.1949515</v>
      </c>
      <c r="U7966">
        <v>3.091583</v>
      </c>
      <c r="V7966">
        <v>-0.1147415</v>
      </c>
      <c r="W7966">
        <v>0.22061529999999999</v>
      </c>
      <c r="X7966">
        <v>0.96858829999999996</v>
      </c>
      <c r="Y7966">
        <v>-6.3472589999999995E-2</v>
      </c>
      <c r="Z7966">
        <v>-6.2548149999999997E-2</v>
      </c>
      <c r="AA7966">
        <v>0.99602159999999995</v>
      </c>
      <c r="AB7966">
        <v>34</v>
      </c>
      <c r="AC7966">
        <v>-2.0190999999999999</v>
      </c>
      <c r="AD7966">
        <v>-1.1241262148519999</v>
      </c>
      <c r="AE7966">
        <v>17.506810000000002</v>
      </c>
      <c r="AF7966">
        <v>-1.1327481660706999</v>
      </c>
      <c r="AG7966">
        <v>-1.1241262148519999</v>
      </c>
      <c r="AH7966">
        <v>17.514852701442301</v>
      </c>
      <c r="AI7966">
        <v>93.664646374409699</v>
      </c>
      <c r="AJ7966">
        <v>93.700369577832106</v>
      </c>
      <c r="AK7966">
        <v>17.587405815181398</v>
      </c>
      <c r="AL7966">
        <v>77.2548250286832</v>
      </c>
      <c r="AM7966">
        <v>96.755922271524497</v>
      </c>
      <c r="AN7966">
        <v>1.0000000086566101</v>
      </c>
    </row>
    <row r="7967" spans="1:40" x14ac:dyDescent="0.25">
      <c r="A7967" t="str">
        <f>"20190312172304501"</f>
        <v>20190312172304501</v>
      </c>
      <c r="B7967" t="str">
        <f>"1552382584498065"</f>
        <v>1552382584498065</v>
      </c>
      <c r="C7967" t="s">
        <v>40</v>
      </c>
      <c r="D7967">
        <v>3.5235199999999902</v>
      </c>
      <c r="E7967">
        <v>0.52373259999999999</v>
      </c>
      <c r="F7967" t="s">
        <v>42</v>
      </c>
      <c r="G7967">
        <v>-187.1677</v>
      </c>
      <c r="H7967" s="1">
        <v>-4.2784130000000001E-6</v>
      </c>
      <c r="I7967">
        <v>-21.56523</v>
      </c>
      <c r="J7967">
        <v>-185.12029999999999</v>
      </c>
      <c r="K7967">
        <v>1.123542</v>
      </c>
      <c r="L7967">
        <v>-38.904269999999997</v>
      </c>
      <c r="M7967">
        <v>-6.3780959999999998E-2</v>
      </c>
      <c r="N7967">
        <v>0</v>
      </c>
      <c r="O7967">
        <v>0.99782559999999998</v>
      </c>
      <c r="P7967">
        <v>-0.1613733</v>
      </c>
      <c r="Q7967">
        <v>0.20821590000000001</v>
      </c>
      <c r="R7967">
        <v>0.96467860000000005</v>
      </c>
      <c r="S7967">
        <v>-0.36282350000000002</v>
      </c>
      <c r="T7967">
        <v>-0.19653180000000001</v>
      </c>
      <c r="U7967">
        <v>3.0906980000000002</v>
      </c>
      <c r="V7967">
        <v>-0.106856199999999</v>
      </c>
      <c r="W7967">
        <v>0.2209507</v>
      </c>
      <c r="X7967">
        <v>0.96941350000000004</v>
      </c>
      <c r="Y7967">
        <v>-5.2767250000000002E-2</v>
      </c>
      <c r="Z7967">
        <v>-6.3007060000000004E-2</v>
      </c>
      <c r="AA7967">
        <v>0.99661710000000003</v>
      </c>
      <c r="AB7967">
        <v>34</v>
      </c>
      <c r="AC7967">
        <v>-2.0474000000000099</v>
      </c>
      <c r="AD7967">
        <v>-1.1235462784129999</v>
      </c>
      <c r="AE7967">
        <v>17.339040000000001</v>
      </c>
      <c r="AF7967">
        <v>-0.93331192370946903</v>
      </c>
      <c r="AG7967">
        <v>-1.1235462784129999</v>
      </c>
      <c r="AH7967">
        <v>17.362429779059301</v>
      </c>
      <c r="AI7967">
        <v>93.697201882496302</v>
      </c>
      <c r="AJ7967">
        <v>93.076955105790304</v>
      </c>
      <c r="AK7967">
        <v>17.423759503030301</v>
      </c>
      <c r="AL7967">
        <v>77.235121651108699</v>
      </c>
      <c r="AM7967">
        <v>96.290187252643804</v>
      </c>
      <c r="AN7967">
        <v>0.99999999664559003</v>
      </c>
    </row>
    <row r="7968" spans="1:40" x14ac:dyDescent="0.25">
      <c r="A7968" t="str">
        <f>"20190312172304523"</f>
        <v>20190312172304523</v>
      </c>
      <c r="B7968" t="str">
        <f>"1552382584518560"</f>
        <v>1552382584518560</v>
      </c>
      <c r="C7968" t="s">
        <v>40</v>
      </c>
      <c r="D7968">
        <v>3.497722</v>
      </c>
      <c r="E7968">
        <v>0.52426490000000003</v>
      </c>
      <c r="F7968" t="s">
        <v>42</v>
      </c>
      <c r="G7968">
        <v>-187.0676</v>
      </c>
      <c r="H7968" s="1">
        <v>-4.6235190000000002E-6</v>
      </c>
      <c r="I7968">
        <v>-20.80219</v>
      </c>
      <c r="J7968">
        <v>-185.15049999999999</v>
      </c>
      <c r="K7968">
        <v>1.122925</v>
      </c>
      <c r="L7968">
        <v>-38.584110000000003</v>
      </c>
      <c r="M7968">
        <v>-7.5793959999999994E-2</v>
      </c>
      <c r="N7968">
        <v>0</v>
      </c>
      <c r="O7968">
        <v>0.99698719999999996</v>
      </c>
      <c r="P7968">
        <v>-0.1650769</v>
      </c>
      <c r="Q7968">
        <v>0.20817079999999999</v>
      </c>
      <c r="R7968">
        <v>0.96406150000000002</v>
      </c>
      <c r="S7968">
        <v>-0.33299260000000003</v>
      </c>
      <c r="T7968">
        <v>-0.19213620000000001</v>
      </c>
      <c r="U7968">
        <v>3.095612</v>
      </c>
      <c r="V7968">
        <v>-9.8525399999999999E-2</v>
      </c>
      <c r="W7968">
        <v>0.22120880000000001</v>
      </c>
      <c r="X7968">
        <v>0.97023680000000001</v>
      </c>
      <c r="Y7968">
        <v>-3.1072099999999998E-2</v>
      </c>
      <c r="Z7968">
        <v>-6.1489830000000002E-2</v>
      </c>
      <c r="AA7968">
        <v>0.99762390000000001</v>
      </c>
      <c r="AB7968">
        <v>34</v>
      </c>
      <c r="AC7968">
        <v>-1.9171</v>
      </c>
      <c r="AD7968">
        <v>-1.1229296235190001</v>
      </c>
      <c r="AE7968">
        <v>17.7819199999999</v>
      </c>
      <c r="AF7968">
        <v>-0.561425429520516</v>
      </c>
      <c r="AG7968">
        <v>-1.1229296235190001</v>
      </c>
      <c r="AH7968">
        <v>17.805887946704299</v>
      </c>
      <c r="AI7968">
        <v>93.6067958702006</v>
      </c>
      <c r="AJ7968">
        <v>91.805956223104403</v>
      </c>
      <c r="AK7968">
        <v>17.850092857542201</v>
      </c>
      <c r="AL7968">
        <v>77.219958682635706</v>
      </c>
      <c r="AM7968">
        <v>95.798383247201301</v>
      </c>
      <c r="AN7968">
        <v>1.0000000178584101</v>
      </c>
    </row>
    <row r="7969" spans="1:40" x14ac:dyDescent="0.25">
      <c r="A7969" t="str">
        <f>"20190312172304545"</f>
        <v>20190312172304545</v>
      </c>
      <c r="B7969" t="str">
        <f>"1552382584538079"</f>
        <v>1552382584538079</v>
      </c>
      <c r="C7969" t="s">
        <v>40</v>
      </c>
      <c r="D7969">
        <v>3.4771350000000001</v>
      </c>
      <c r="E7969">
        <v>0.52991630000000001</v>
      </c>
      <c r="F7969" t="s">
        <v>42</v>
      </c>
      <c r="G7969">
        <v>-187.15440000000001</v>
      </c>
      <c r="H7969" s="1">
        <v>-7.7268529999999996E-7</v>
      </c>
      <c r="I7969">
        <v>-20.306229999999999</v>
      </c>
      <c r="J7969">
        <v>-185.1859</v>
      </c>
      <c r="K7969">
        <v>1.1222719999999999</v>
      </c>
      <c r="L7969">
        <v>-38.248869999999997</v>
      </c>
      <c r="M7969">
        <v>-8.7630669999999994E-2</v>
      </c>
      <c r="N7969">
        <v>0</v>
      </c>
      <c r="O7969">
        <v>0.99601890000000004</v>
      </c>
      <c r="P7969">
        <v>-0.16828070000000001</v>
      </c>
      <c r="Q7969">
        <v>0.2068565</v>
      </c>
      <c r="R7969">
        <v>0.96379049999999999</v>
      </c>
      <c r="S7969">
        <v>-0.3392944</v>
      </c>
      <c r="T7969">
        <v>-0.19013250000000001</v>
      </c>
      <c r="U7969">
        <v>3.0947879999999999</v>
      </c>
      <c r="V7969">
        <v>-8.9767760000000002E-2</v>
      </c>
      <c r="W7969">
        <v>0.22018789999999999</v>
      </c>
      <c r="X7969">
        <v>0.97131820000000002</v>
      </c>
      <c r="Y7969">
        <v>-2.12392E-2</v>
      </c>
      <c r="Z7969">
        <v>-6.0779550000000002E-2</v>
      </c>
      <c r="AA7969">
        <v>0.99792519999999996</v>
      </c>
      <c r="AB7969">
        <v>34</v>
      </c>
      <c r="AC7969">
        <v>-1.9684999999999999</v>
      </c>
      <c r="AD7969">
        <v>-1.1222727726852999</v>
      </c>
      <c r="AE7969">
        <v>17.942640000000001</v>
      </c>
      <c r="AF7969">
        <v>-0.38689392002747403</v>
      </c>
      <c r="AG7969">
        <v>-1.1222727726852999</v>
      </c>
      <c r="AH7969">
        <v>17.9766285698019</v>
      </c>
      <c r="AI7969">
        <v>93.571488469994605</v>
      </c>
      <c r="AJ7969">
        <v>91.232932358065298</v>
      </c>
      <c r="AK7969">
        <v>18.015780799573498</v>
      </c>
      <c r="AL7969">
        <v>77.279930548639101</v>
      </c>
      <c r="AM7969">
        <v>95.280190419967795</v>
      </c>
      <c r="AN7969">
        <v>1.00000000384653</v>
      </c>
    </row>
    <row r="7970" spans="1:40" x14ac:dyDescent="0.25">
      <c r="A7970" t="str">
        <f>"20190312172304570"</f>
        <v>20190312172304570</v>
      </c>
      <c r="B7970" t="str">
        <f>"1552382584558575"</f>
        <v>1552382584558575</v>
      </c>
      <c r="C7970" t="s">
        <v>40</v>
      </c>
      <c r="D7970">
        <v>3.4826999999999999</v>
      </c>
      <c r="E7970">
        <v>0.53098619999999996</v>
      </c>
      <c r="F7970" t="s">
        <v>42</v>
      </c>
      <c r="G7970">
        <v>-186.90860000000001</v>
      </c>
      <c r="H7970" s="1">
        <v>-4.7100830000000002E-6</v>
      </c>
      <c r="I7970">
        <v>-20.666160000000001</v>
      </c>
      <c r="J7970">
        <v>-185.2276</v>
      </c>
      <c r="K7970">
        <v>1.1215630000000001</v>
      </c>
      <c r="L7970">
        <v>-37.88843</v>
      </c>
      <c r="M7970">
        <v>-9.9457980000000001E-2</v>
      </c>
      <c r="N7970">
        <v>0</v>
      </c>
      <c r="O7970">
        <v>0.99490979999999996</v>
      </c>
      <c r="P7970">
        <v>-0.1719704</v>
      </c>
      <c r="Q7970">
        <v>0.2048133</v>
      </c>
      <c r="R7970">
        <v>0.96357550000000003</v>
      </c>
      <c r="S7970">
        <v>-0.30393979999999998</v>
      </c>
      <c r="T7970">
        <v>-0.19800480000000001</v>
      </c>
      <c r="U7970">
        <v>3.1021420000000002</v>
      </c>
      <c r="V7970">
        <v>-8.142771E-2</v>
      </c>
      <c r="W7970">
        <v>0.2184065</v>
      </c>
      <c r="X7970">
        <v>0.97245470000000001</v>
      </c>
      <c r="Y7970">
        <v>2.1652730000000001E-3</v>
      </c>
      <c r="Z7970">
        <v>-6.3075850000000003E-2</v>
      </c>
      <c r="AA7970">
        <v>0.99800639999999996</v>
      </c>
      <c r="AB7970">
        <v>34</v>
      </c>
      <c r="AC7970">
        <v>-1.68100000000001</v>
      </c>
      <c r="AD7970">
        <v>-1.1215677100829999</v>
      </c>
      <c r="AE7970">
        <v>17.222269999999899</v>
      </c>
      <c r="AF7970">
        <v>4.0284886737245097E-2</v>
      </c>
      <c r="AG7970">
        <v>-1.1215677100829999</v>
      </c>
      <c r="AH7970">
        <v>17.231676034700499</v>
      </c>
      <c r="AI7970">
        <v>93.723979383454903</v>
      </c>
      <c r="AJ7970">
        <v>89.866051927943204</v>
      </c>
      <c r="AK7970">
        <v>17.268184501135998</v>
      </c>
      <c r="AL7970">
        <v>77.384543794970099</v>
      </c>
      <c r="AM7970">
        <v>94.786450130215101</v>
      </c>
      <c r="AN7970">
        <v>1.0000000073750901</v>
      </c>
    </row>
    <row r="7971" spans="1:40" x14ac:dyDescent="0.25">
      <c r="A7971" t="str">
        <f>"20190312172304591"</f>
        <v>20190312172304591</v>
      </c>
      <c r="B7971" t="str">
        <f>"1552382584587854"</f>
        <v>1552382584587854</v>
      </c>
      <c r="C7971" t="s">
        <v>40</v>
      </c>
      <c r="D7971">
        <v>3.4976739999999999</v>
      </c>
      <c r="E7971">
        <v>0.53656569999999904</v>
      </c>
      <c r="F7971" t="s">
        <v>42</v>
      </c>
      <c r="G7971">
        <v>-186.90639999999999</v>
      </c>
      <c r="H7971" s="1">
        <v>-4.6348530000000001E-6</v>
      </c>
      <c r="I7971">
        <v>-20.842400000000001</v>
      </c>
      <c r="J7971">
        <v>-185.26759999999999</v>
      </c>
      <c r="K7971">
        <v>1.120919</v>
      </c>
      <c r="L7971">
        <v>-37.570250000000001</v>
      </c>
      <c r="M7971">
        <v>-0.109059199999999</v>
      </c>
      <c r="N7971">
        <v>0</v>
      </c>
      <c r="O7971">
        <v>0.99390509999999999</v>
      </c>
      <c r="P7971">
        <v>-0.17236969999999999</v>
      </c>
      <c r="Q7971">
        <v>0.2028325</v>
      </c>
      <c r="R7971">
        <v>0.96392310000000003</v>
      </c>
      <c r="S7971">
        <v>-0.30552669999999998</v>
      </c>
      <c r="T7971">
        <v>-0.20411799999999999</v>
      </c>
      <c r="U7971">
        <v>3.1022639999999999</v>
      </c>
      <c r="V7971">
        <v>-7.1956829999999999E-2</v>
      </c>
      <c r="W7971">
        <v>0.21669659999999999</v>
      </c>
      <c r="X7971">
        <v>0.97358350000000005</v>
      </c>
      <c r="Y7971">
        <v>1.132994E-2</v>
      </c>
      <c r="Z7971">
        <v>-6.4910309999999999E-2</v>
      </c>
      <c r="AA7971">
        <v>0.99782680000000001</v>
      </c>
      <c r="AB7971">
        <v>34</v>
      </c>
      <c r="AC7971">
        <v>-1.6388</v>
      </c>
      <c r="AD7971">
        <v>-1.1209236348530001</v>
      </c>
      <c r="AE7971">
        <v>16.72785</v>
      </c>
      <c r="AF7971">
        <v>0.19467373344954</v>
      </c>
      <c r="AG7971">
        <v>-1.1209236348530001</v>
      </c>
      <c r="AH7971">
        <v>16.732377579969398</v>
      </c>
      <c r="AI7971">
        <v>93.832333345847402</v>
      </c>
      <c r="AJ7971">
        <v>89.333419293339801</v>
      </c>
      <c r="AK7971">
        <v>16.771011512020699</v>
      </c>
      <c r="AL7971">
        <v>77.484918057978604</v>
      </c>
      <c r="AM7971">
        <v>94.227002712652407</v>
      </c>
      <c r="AN7971">
        <v>1.00000001665372</v>
      </c>
    </row>
    <row r="7972" spans="1:40" x14ac:dyDescent="0.25">
      <c r="A7972" t="str">
        <f>"20190312172304613"</f>
        <v>20190312172304613</v>
      </c>
      <c r="B7972" t="str">
        <f>"1552382584608351"</f>
        <v>1552382584608351</v>
      </c>
      <c r="C7972" t="s">
        <v>40</v>
      </c>
      <c r="D7972">
        <v>3.461274</v>
      </c>
      <c r="E7972">
        <v>0.53704090000000004</v>
      </c>
      <c r="F7972" t="s">
        <v>42</v>
      </c>
      <c r="G7972">
        <v>-186.73480000000001</v>
      </c>
      <c r="H7972" s="1">
        <v>-9.3014820000000004E-7</v>
      </c>
      <c r="I7972">
        <v>-20.17165</v>
      </c>
      <c r="J7972">
        <v>-185.3098</v>
      </c>
      <c r="K7972">
        <v>1.1202399999999999</v>
      </c>
      <c r="L7972">
        <v>-37.254939999999998</v>
      </c>
      <c r="M7972">
        <v>-0.1177361</v>
      </c>
      <c r="N7972">
        <v>0</v>
      </c>
      <c r="O7972">
        <v>0.99291660000000004</v>
      </c>
      <c r="P7972">
        <v>-0.17128060000000001</v>
      </c>
      <c r="Q7972">
        <v>0.20072780000000001</v>
      </c>
      <c r="R7972">
        <v>0.96455749999999996</v>
      </c>
      <c r="S7972">
        <v>-0.26203920000000003</v>
      </c>
      <c r="T7972">
        <v>-0.2002062</v>
      </c>
      <c r="U7972">
        <v>3.1075439999999999</v>
      </c>
      <c r="V7972">
        <v>-6.1844089999999997E-2</v>
      </c>
      <c r="W7972">
        <v>0.2148523</v>
      </c>
      <c r="X7972">
        <v>0.97468650000000001</v>
      </c>
      <c r="Y7972">
        <v>3.4064520000000001E-2</v>
      </c>
      <c r="Z7972">
        <v>-6.3492679999999996E-2</v>
      </c>
      <c r="AA7972">
        <v>0.99740079999999998</v>
      </c>
      <c r="AB7972">
        <v>34</v>
      </c>
      <c r="AC7972">
        <v>-1.42500000000001</v>
      </c>
      <c r="AD7972">
        <v>-1.1202409301481999</v>
      </c>
      <c r="AE7972">
        <v>17.083290000000002</v>
      </c>
      <c r="AF7972">
        <v>0.59395337519799296</v>
      </c>
      <c r="AG7972">
        <v>-1.1202409301481999</v>
      </c>
      <c r="AH7972">
        <v>17.0593888622737</v>
      </c>
      <c r="AI7972">
        <v>93.754786062301406</v>
      </c>
      <c r="AJ7972">
        <v>88.005949627988301</v>
      </c>
      <c r="AK7972">
        <v>17.106445238791</v>
      </c>
      <c r="AL7972">
        <v>77.593137628196601</v>
      </c>
      <c r="AM7972">
        <v>93.630563907341795</v>
      </c>
      <c r="AN7972">
        <v>0.99999998778273302</v>
      </c>
    </row>
    <row r="7973" spans="1:40" x14ac:dyDescent="0.25">
      <c r="A7973" t="str">
        <f>"20190312172304646"</f>
        <v>20190312172304646</v>
      </c>
      <c r="B7973" t="str">
        <f>"1552382584638608"</f>
        <v>1552382584638608</v>
      </c>
      <c r="C7973" t="s">
        <v>40</v>
      </c>
      <c r="D7973">
        <v>3.473265</v>
      </c>
      <c r="E7973">
        <v>0.53823759999999998</v>
      </c>
      <c r="F7973" t="s">
        <v>42</v>
      </c>
      <c r="G7973">
        <v>-186.673</v>
      </c>
      <c r="H7973" s="1">
        <v>-4.7662719999999997E-6</v>
      </c>
      <c r="I7973">
        <v>-20.632580000000001</v>
      </c>
      <c r="J7973">
        <v>-185.37989999999999</v>
      </c>
      <c r="K7973">
        <v>1.1190659999999999</v>
      </c>
      <c r="L7973">
        <v>-36.764560000000003</v>
      </c>
      <c r="M7973">
        <v>-0.129523</v>
      </c>
      <c r="N7973">
        <v>0</v>
      </c>
      <c r="O7973">
        <v>0.99145090000000002</v>
      </c>
      <c r="P7973">
        <v>-0.16712149999999901</v>
      </c>
      <c r="Q7973">
        <v>0.19647780000000001</v>
      </c>
      <c r="R7973">
        <v>0.96616089999999999</v>
      </c>
      <c r="S7973">
        <v>-0.25492860000000001</v>
      </c>
      <c r="T7973">
        <v>-0.2094992</v>
      </c>
      <c r="U7973">
        <v>3.1085820000000002</v>
      </c>
      <c r="V7973">
        <v>-4.5172110000000001E-2</v>
      </c>
      <c r="W7973">
        <v>0.2109723</v>
      </c>
      <c r="X7973">
        <v>0.97644770000000003</v>
      </c>
      <c r="Y7973">
        <v>4.8241609999999997E-2</v>
      </c>
      <c r="Z7973">
        <v>-6.624418E-2</v>
      </c>
      <c r="AA7973">
        <v>0.99663659999999998</v>
      </c>
      <c r="AB7973">
        <v>34</v>
      </c>
      <c r="AC7973">
        <v>-1.2930999999999999</v>
      </c>
      <c r="AD7973">
        <v>-1.1190707662720001</v>
      </c>
      <c r="AE7973">
        <v>16.131979999999999</v>
      </c>
      <c r="AF7973">
        <v>0.80367507083474998</v>
      </c>
      <c r="AG7973">
        <v>-1.1190707662720001</v>
      </c>
      <c r="AH7973">
        <v>16.086646753105601</v>
      </c>
      <c r="AI7973">
        <v>93.974440417802199</v>
      </c>
      <c r="AJ7973">
        <v>87.139929926774798</v>
      </c>
      <c r="AK7973">
        <v>16.145538602307699</v>
      </c>
      <c r="AL7973">
        <v>77.8206620541186</v>
      </c>
      <c r="AM7973">
        <v>92.648710493979493</v>
      </c>
      <c r="AN7973">
        <v>0.99999997086221504</v>
      </c>
    </row>
    <row r="7974" spans="1:40" x14ac:dyDescent="0.25">
      <c r="A7974" t="str">
        <f>"20190312172304669"</f>
        <v>20190312172304669</v>
      </c>
      <c r="B7974" t="str">
        <f>"1552382584658131"</f>
        <v>1552382584658131</v>
      </c>
      <c r="C7974" t="s">
        <v>40</v>
      </c>
      <c r="D7974">
        <v>3.4971209999999999</v>
      </c>
      <c r="E7974">
        <v>0.53897949999999994</v>
      </c>
      <c r="F7974" t="s">
        <v>41</v>
      </c>
      <c r="G7974">
        <v>-185.4494</v>
      </c>
      <c r="H7974">
        <v>1.0530379999999999</v>
      </c>
      <c r="I7974">
        <v>-35.824539999999999</v>
      </c>
      <c r="J7974">
        <v>-185.43279999999999</v>
      </c>
      <c r="K7974">
        <v>1.118196</v>
      </c>
      <c r="L7974">
        <v>-36.41348</v>
      </c>
      <c r="M7974">
        <v>-0.13674149999999999</v>
      </c>
      <c r="N7974">
        <v>0</v>
      </c>
      <c r="O7974">
        <v>0.99048320000000001</v>
      </c>
      <c r="P7974">
        <v>-0.1638597</v>
      </c>
      <c r="Q7974">
        <v>0.19378339999999999</v>
      </c>
      <c r="R7974">
        <v>0.96726319999999999</v>
      </c>
      <c r="S7974">
        <v>-0.23020940000000001</v>
      </c>
      <c r="T7974">
        <v>-0.21847220000000001</v>
      </c>
      <c r="U7974">
        <v>3.10968</v>
      </c>
      <c r="V7974">
        <v>-3.4143519999999997E-2</v>
      </c>
      <c r="W7974">
        <v>0.2084724</v>
      </c>
      <c r="X7974">
        <v>0.97743210000000003</v>
      </c>
      <c r="Y7974">
        <v>6.3427750000000005E-2</v>
      </c>
      <c r="Z7974">
        <v>-6.8933549999999996E-2</v>
      </c>
      <c r="AA7974">
        <v>0.99560280000000001</v>
      </c>
      <c r="AB7974">
        <v>34</v>
      </c>
      <c r="AC7974">
        <v>-1.6600000000010998E-2</v>
      </c>
      <c r="AD7974">
        <v>-6.5157999999999994E-2</v>
      </c>
      <c r="AE7974">
        <v>0.58894000000000002</v>
      </c>
      <c r="AF7974">
        <v>6.3323873507424605E-2</v>
      </c>
      <c r="AG7974">
        <v>-6.5157999999999994E-2</v>
      </c>
      <c r="AH7974">
        <v>0.57860013509340802</v>
      </c>
      <c r="AI7974">
        <v>96.387368720373004</v>
      </c>
      <c r="AJ7974">
        <v>83.754222031728204</v>
      </c>
      <c r="AK7974">
        <v>0.58569069844935595</v>
      </c>
      <c r="AL7974">
        <v>77.967154200514997</v>
      </c>
      <c r="AM7974">
        <v>92.000634590373195</v>
      </c>
      <c r="AN7974">
        <v>1.0000000158150799</v>
      </c>
    </row>
    <row r="7975" spans="1:40" x14ac:dyDescent="0.25">
      <c r="A7975" t="str">
        <f>"20190312172304691"</f>
        <v>20190312172304691</v>
      </c>
      <c r="B7975" t="str">
        <f>"1552382584688383"</f>
        <v>1552382584688383</v>
      </c>
      <c r="C7975" t="s">
        <v>40</v>
      </c>
      <c r="D7975">
        <v>3.5016240000000001</v>
      </c>
      <c r="E7975">
        <v>0.54314090000000004</v>
      </c>
      <c r="F7975" t="s">
        <v>41</v>
      </c>
      <c r="G7975">
        <v>-185.4932</v>
      </c>
      <c r="H7975">
        <v>1.0546219999999999</v>
      </c>
      <c r="I7975">
        <v>-35.527709999999999</v>
      </c>
      <c r="J7975">
        <v>-185.4811</v>
      </c>
      <c r="K7975">
        <v>1.1174500000000001</v>
      </c>
      <c r="L7975">
        <v>-36.103180000000002</v>
      </c>
      <c r="M7975">
        <v>-0.14238679999999901</v>
      </c>
      <c r="N7975">
        <v>0</v>
      </c>
      <c r="O7975">
        <v>0.98968909999999999</v>
      </c>
      <c r="P7975">
        <v>-0.15927049999999901</v>
      </c>
      <c r="Q7975">
        <v>0.19152089999999999</v>
      </c>
      <c r="R7975">
        <v>0.9684796</v>
      </c>
      <c r="S7975">
        <v>-0.21258540000000001</v>
      </c>
      <c r="T7975">
        <v>-0.22331329999999999</v>
      </c>
      <c r="U7975">
        <v>3.1102599999999998</v>
      </c>
      <c r="V7975">
        <v>-2.3412100000000002E-2</v>
      </c>
      <c r="W7975">
        <v>0.2063672</v>
      </c>
      <c r="X7975">
        <v>0.97819449999999997</v>
      </c>
      <c r="Y7975">
        <v>7.4746980000000005E-2</v>
      </c>
      <c r="Z7975">
        <v>-7.0341130000000002E-2</v>
      </c>
      <c r="AA7975">
        <v>0.99471860000000001</v>
      </c>
      <c r="AB7975">
        <v>34</v>
      </c>
      <c r="AC7975">
        <v>-1.21000000000037E-2</v>
      </c>
      <c r="AD7975">
        <v>-6.2828000000000106E-2</v>
      </c>
      <c r="AE7975">
        <v>0.57547000000000204</v>
      </c>
      <c r="AF7975">
        <v>6.9148683538875197E-2</v>
      </c>
      <c r="AG7975">
        <v>-6.2828000000000106E-2</v>
      </c>
      <c r="AH7975">
        <v>0.56460141434836197</v>
      </c>
      <c r="AI7975">
        <v>96.302953290513997</v>
      </c>
      <c r="AJ7975">
        <v>83.017561212736098</v>
      </c>
      <c r="AK7975">
        <v>0.57227935058267698</v>
      </c>
      <c r="AL7975">
        <v>78.090454814035297</v>
      </c>
      <c r="AM7975">
        <v>91.371055010728298</v>
      </c>
      <c r="AN7975">
        <v>1.0000000137462499</v>
      </c>
    </row>
    <row r="7976" spans="1:40" x14ac:dyDescent="0.25">
      <c r="A7976" t="str">
        <f>"20190312172304713"</f>
        <v>20190312172304713</v>
      </c>
      <c r="B7976" t="str">
        <f>"1552382584707904"</f>
        <v>1552382584707904</v>
      </c>
      <c r="C7976" t="s">
        <v>40</v>
      </c>
      <c r="D7976">
        <v>3.469649</v>
      </c>
      <c r="E7976">
        <v>0.5429119</v>
      </c>
      <c r="F7976" t="s">
        <v>42</v>
      </c>
      <c r="G7976">
        <v>-186.34460000000001</v>
      </c>
      <c r="H7976" s="1">
        <v>-1.1914050000000001E-6</v>
      </c>
      <c r="I7976">
        <v>-19.709</v>
      </c>
      <c r="J7976">
        <v>-185.5326</v>
      </c>
      <c r="K7976">
        <v>1.1166910000000001</v>
      </c>
      <c r="L7976">
        <v>-35.781489999999998</v>
      </c>
      <c r="M7976">
        <v>-0.1474415</v>
      </c>
      <c r="N7976">
        <v>0</v>
      </c>
      <c r="O7976">
        <v>0.9889502</v>
      </c>
      <c r="P7976">
        <v>-0.15965209999999999</v>
      </c>
      <c r="Q7976">
        <v>0.1903765</v>
      </c>
      <c r="R7976">
        <v>0.96864240000000001</v>
      </c>
      <c r="S7976">
        <v>-0.16394039999999999</v>
      </c>
      <c r="T7976">
        <v>-0.21216199999999999</v>
      </c>
      <c r="U7976">
        <v>3.1126399999999999</v>
      </c>
      <c r="V7976">
        <v>-1.8339020000000001E-2</v>
      </c>
      <c r="W7976">
        <v>0.20524870000000001</v>
      </c>
      <c r="X7976">
        <v>0.97853800000000002</v>
      </c>
      <c r="Y7976">
        <v>9.5351270000000002E-2</v>
      </c>
      <c r="Z7976">
        <v>-6.669021E-2</v>
      </c>
      <c r="AA7976">
        <v>0.99320719999999996</v>
      </c>
      <c r="AB7976">
        <v>34</v>
      </c>
      <c r="AC7976">
        <v>-0.81200000000001105</v>
      </c>
      <c r="AD7976">
        <v>-1.1166921914050001</v>
      </c>
      <c r="AE7976">
        <v>16.072489999999998</v>
      </c>
      <c r="AF7976">
        <v>1.55940286444137</v>
      </c>
      <c r="AG7976">
        <v>-1.1166921914050001</v>
      </c>
      <c r="AH7976">
        <v>15.9397752957415</v>
      </c>
      <c r="AI7976">
        <v>93.988441428435905</v>
      </c>
      <c r="AJ7976">
        <v>84.412481809569599</v>
      </c>
      <c r="AK7976">
        <v>16.054755532947301</v>
      </c>
      <c r="AL7976">
        <v>78.1559417016461</v>
      </c>
      <c r="AM7976">
        <v>91.073668526629405</v>
      </c>
      <c r="AN7976">
        <v>0.99999998297512505</v>
      </c>
    </row>
    <row r="7977" spans="1:40" x14ac:dyDescent="0.25">
      <c r="A7977" t="str">
        <f>"20190312172304736"</f>
        <v>20190312172304736</v>
      </c>
      <c r="B7977" t="str">
        <f>"1552382584728399"</f>
        <v>1552382584728399</v>
      </c>
      <c r="C7977" t="s">
        <v>40</v>
      </c>
      <c r="D7977">
        <v>3.4891190000000001</v>
      </c>
      <c r="E7977">
        <v>0.54272430000000005</v>
      </c>
      <c r="F7977" t="s">
        <v>42</v>
      </c>
      <c r="G7977">
        <v>-186.3955</v>
      </c>
      <c r="H7977" s="1">
        <v>-1.225194E-6</v>
      </c>
      <c r="I7977">
        <v>-19.569870000000002</v>
      </c>
      <c r="J7977">
        <v>-185.5881</v>
      </c>
      <c r="K7977">
        <v>1.1158650000000001</v>
      </c>
      <c r="L7977">
        <v>-35.440829999999998</v>
      </c>
      <c r="M7977">
        <v>-0.1518969</v>
      </c>
      <c r="N7977">
        <v>0</v>
      </c>
      <c r="O7977">
        <v>0.98827730000000003</v>
      </c>
      <c r="P7977">
        <v>-0.1554846</v>
      </c>
      <c r="Q7977">
        <v>0.1887153</v>
      </c>
      <c r="R7977">
        <v>0.96964479999999997</v>
      </c>
      <c r="S7977">
        <v>-0.1656494</v>
      </c>
      <c r="T7977">
        <v>-0.2143572</v>
      </c>
      <c r="U7977">
        <v>3.1119379999999999</v>
      </c>
      <c r="V7977">
        <v>-9.1955890000000005E-3</v>
      </c>
      <c r="W7977">
        <v>0.20365330000000001</v>
      </c>
      <c r="X7977">
        <v>0.97899990000000003</v>
      </c>
      <c r="Y7977">
        <v>9.9282949999999995E-2</v>
      </c>
      <c r="Z7977">
        <v>-6.7308690000000004E-2</v>
      </c>
      <c r="AA7977">
        <v>0.99278010000000005</v>
      </c>
      <c r="AB7977">
        <v>34</v>
      </c>
      <c r="AC7977">
        <v>-0.80740000000000101</v>
      </c>
      <c r="AD7977">
        <v>-1.1158662251939999</v>
      </c>
      <c r="AE7977">
        <v>15.870959999999901</v>
      </c>
      <c r="AF7977">
        <v>1.6050903433524599</v>
      </c>
      <c r="AG7977">
        <v>-1.1158662251939999</v>
      </c>
      <c r="AH7977">
        <v>15.7318445771505</v>
      </c>
      <c r="AI7977">
        <v>94.036333863199502</v>
      </c>
      <c r="AJ7977">
        <v>84.174378580516603</v>
      </c>
      <c r="AK7977">
        <v>15.8528359053663</v>
      </c>
      <c r="AL7977">
        <v>78.249324312583596</v>
      </c>
      <c r="AM7977">
        <v>90.538154239094297</v>
      </c>
      <c r="AN7977">
        <v>1.0000000148289701</v>
      </c>
    </row>
    <row r="7978" spans="1:40" x14ac:dyDescent="0.25">
      <c r="A7978" t="str">
        <f>"20190312172304758"</f>
        <v>20190312172304758</v>
      </c>
      <c r="B7978" t="str">
        <f>"1552382584747919"</f>
        <v>1552382584747919</v>
      </c>
      <c r="C7978" t="s">
        <v>40</v>
      </c>
      <c r="D7978">
        <v>3.4864959999999998</v>
      </c>
      <c r="E7978">
        <v>0.54265959999999902</v>
      </c>
      <c r="F7978" t="s">
        <v>42</v>
      </c>
      <c r="G7978">
        <v>-186.3681</v>
      </c>
      <c r="H7978" s="1">
        <v>-1.2923769999999999E-6</v>
      </c>
      <c r="I7978">
        <v>-19.393910000000002</v>
      </c>
      <c r="J7978">
        <v>-185.64250000000001</v>
      </c>
      <c r="K7978">
        <v>1.115048</v>
      </c>
      <c r="L7978">
        <v>-35.112520000000004</v>
      </c>
      <c r="M7978">
        <v>-0.15532770000000001</v>
      </c>
      <c r="N7978">
        <v>0</v>
      </c>
      <c r="O7978">
        <v>0.98774519999999999</v>
      </c>
      <c r="P7978">
        <v>-0.15063750000000001</v>
      </c>
      <c r="Q7978">
        <v>0.18761659999999999</v>
      </c>
      <c r="R7978">
        <v>0.97062269999999995</v>
      </c>
      <c r="S7978">
        <v>-0.15124509999999999</v>
      </c>
      <c r="T7978">
        <v>-0.21638669999999999</v>
      </c>
      <c r="U7978">
        <v>3.1117859999999999</v>
      </c>
      <c r="V7978">
        <v>-4.1401349999999998E-4</v>
      </c>
      <c r="W7978">
        <v>0.20258509999999999</v>
      </c>
      <c r="X7978">
        <v>0.97926460000000004</v>
      </c>
      <c r="Y7978">
        <v>0.1073176</v>
      </c>
      <c r="Z7978">
        <v>-6.7869769999999996E-2</v>
      </c>
      <c r="AA7978">
        <v>0.99190560000000005</v>
      </c>
      <c r="AB7978">
        <v>34</v>
      </c>
      <c r="AC7978">
        <v>-0.72559999999998503</v>
      </c>
      <c r="AD7978">
        <v>-1.1150492923769999</v>
      </c>
      <c r="AE7978">
        <v>15.71861</v>
      </c>
      <c r="AF7978">
        <v>1.7164093741525801</v>
      </c>
      <c r="AG7978">
        <v>-1.1150492923769999</v>
      </c>
      <c r="AH7978">
        <v>15.562360694379301</v>
      </c>
      <c r="AI7978">
        <v>94.073643712319694</v>
      </c>
      <c r="AJ7978">
        <v>83.706151721159998</v>
      </c>
      <c r="AK7978">
        <v>15.6963838652752</v>
      </c>
      <c r="AL7978">
        <v>78.311830799481299</v>
      </c>
      <c r="AM7978">
        <v>90.024223508945497</v>
      </c>
      <c r="AN7978">
        <v>1.0000000254811701</v>
      </c>
    </row>
    <row r="7979" spans="1:40" x14ac:dyDescent="0.25">
      <c r="A7979" t="str">
        <f>"20190312172304783"</f>
        <v>20190312172304783</v>
      </c>
      <c r="B7979" t="str">
        <f>"1552382584778176"</f>
        <v>1552382584778176</v>
      </c>
      <c r="C7979" t="s">
        <v>40</v>
      </c>
      <c r="D7979">
        <v>3.492588</v>
      </c>
      <c r="E7979">
        <v>0.54271369999999997</v>
      </c>
      <c r="F7979" t="s">
        <v>42</v>
      </c>
      <c r="G7979">
        <v>-186.32919999999999</v>
      </c>
      <c r="H7979" s="1">
        <v>-1.4260870000000001E-6</v>
      </c>
      <c r="I7979">
        <v>-19.031420000000001</v>
      </c>
      <c r="J7979">
        <v>-185.7013</v>
      </c>
      <c r="K7979">
        <v>1.1141479999999999</v>
      </c>
      <c r="L7979">
        <v>-34.759399999999999</v>
      </c>
      <c r="M7979">
        <v>-0.1580405</v>
      </c>
      <c r="N7979">
        <v>0</v>
      </c>
      <c r="O7979">
        <v>0.98731619999999998</v>
      </c>
      <c r="P7979">
        <v>-0.1460794</v>
      </c>
      <c r="Q7979">
        <v>0.1862751</v>
      </c>
      <c r="R7979">
        <v>0.97157729999999998</v>
      </c>
      <c r="S7979">
        <v>-0.1328888</v>
      </c>
      <c r="T7979">
        <v>-0.21577479999999999</v>
      </c>
      <c r="U7979">
        <v>3.1118769999999998</v>
      </c>
      <c r="V7979">
        <v>7.40471599999999E-3</v>
      </c>
      <c r="W7979">
        <v>0.2012302</v>
      </c>
      <c r="X7979">
        <v>0.97951600000000005</v>
      </c>
      <c r="Y7979">
        <v>0.1158838</v>
      </c>
      <c r="Z7979">
        <v>-6.7607819999999999E-2</v>
      </c>
      <c r="AA7979">
        <v>0.99095919999999904</v>
      </c>
      <c r="AB7979">
        <v>33</v>
      </c>
      <c r="AC7979">
        <v>-0.62789999999998203</v>
      </c>
      <c r="AD7979">
        <v>-1.114149426087</v>
      </c>
      <c r="AE7979">
        <v>15.727980000000001</v>
      </c>
      <c r="AF7979">
        <v>1.85663451505873</v>
      </c>
      <c r="AG7979">
        <v>-1.114149426087</v>
      </c>
      <c r="AH7979">
        <v>15.5516043382519</v>
      </c>
      <c r="AI7979">
        <v>94.068991436281493</v>
      </c>
      <c r="AJ7979">
        <v>83.191943172077998</v>
      </c>
      <c r="AK7979">
        <v>15.7016183293217</v>
      </c>
      <c r="AL7979">
        <v>78.391093104692501</v>
      </c>
      <c r="AM7979">
        <v>89.566877014918404</v>
      </c>
      <c r="AN7979">
        <v>1.0000000087335399</v>
      </c>
    </row>
    <row r="7980" spans="1:40" x14ac:dyDescent="0.25">
      <c r="A7980" t="str">
        <f>"20190312172304804"</f>
        <v>20190312172304804</v>
      </c>
      <c r="B7980" t="str">
        <f>"1552382584798672"</f>
        <v>1552382584798672</v>
      </c>
      <c r="C7980" t="s">
        <v>40</v>
      </c>
      <c r="D7980">
        <v>3.4802569999999999</v>
      </c>
      <c r="E7980">
        <v>0.54262690000000002</v>
      </c>
      <c r="F7980" t="s">
        <v>41</v>
      </c>
      <c r="G7980">
        <v>-185.73820000000001</v>
      </c>
      <c r="H7980">
        <v>1.0447059999999999</v>
      </c>
      <c r="I7980">
        <v>-33.758209999999998</v>
      </c>
      <c r="J7980">
        <v>-185.7543</v>
      </c>
      <c r="K7980">
        <v>1.1133409999999999</v>
      </c>
      <c r="L7980">
        <v>-34.44211</v>
      </c>
      <c r="M7980">
        <v>-0.1596629</v>
      </c>
      <c r="N7980">
        <v>0</v>
      </c>
      <c r="O7980">
        <v>0.9870563</v>
      </c>
      <c r="P7980">
        <v>-0.14258390000000001</v>
      </c>
      <c r="Q7980">
        <v>0.1848658</v>
      </c>
      <c r="R7980">
        <v>0.97236540000000005</v>
      </c>
      <c r="S7980">
        <v>-0.1149139</v>
      </c>
      <c r="T7980">
        <v>-0.21581790000000001</v>
      </c>
      <c r="U7980">
        <v>3.1118769999999998</v>
      </c>
      <c r="V7980">
        <v>1.301006E-2</v>
      </c>
      <c r="W7980">
        <v>0.19977880000000001</v>
      </c>
      <c r="X7980">
        <v>0.97975469999999998</v>
      </c>
      <c r="Y7980">
        <v>0.1232274</v>
      </c>
      <c r="Z7980">
        <v>-6.7571179999999995E-2</v>
      </c>
      <c r="AA7980">
        <v>0.99007529999999999</v>
      </c>
      <c r="AB7980">
        <v>33</v>
      </c>
      <c r="AC7980">
        <v>1.60999999999944E-2</v>
      </c>
      <c r="AD7980">
        <v>-6.8635000000000002E-2</v>
      </c>
      <c r="AE7980">
        <v>0.68390000000000095</v>
      </c>
      <c r="AF7980">
        <v>0.12385257752640599</v>
      </c>
      <c r="AG7980">
        <v>-6.8635000000000002E-2</v>
      </c>
      <c r="AH7980">
        <v>0.66585118863938197</v>
      </c>
      <c r="AI7980">
        <v>95.786621187363195</v>
      </c>
      <c r="AJ7980">
        <v>79.463038043027495</v>
      </c>
      <c r="AK7980">
        <v>0.680740794721025</v>
      </c>
      <c r="AL7980">
        <v>78.475976439428706</v>
      </c>
      <c r="AM7980">
        <v>89.239220061217395</v>
      </c>
      <c r="AN7980">
        <v>1.0000000513813601</v>
      </c>
    </row>
    <row r="7981" spans="1:40" x14ac:dyDescent="0.25">
      <c r="A7981" t="str">
        <f>"20190312172304825"</f>
        <v>20190312172304825</v>
      </c>
      <c r="B7981" t="str">
        <f>"1552382584818192"</f>
        <v>1552382584818192</v>
      </c>
      <c r="C7981" t="s">
        <v>40</v>
      </c>
      <c r="D7981">
        <v>3.4750420000000002</v>
      </c>
      <c r="E7981">
        <v>0.54243399999999997</v>
      </c>
      <c r="F7981" t="s">
        <v>41</v>
      </c>
      <c r="G7981">
        <v>-185.7859</v>
      </c>
      <c r="H7981">
        <v>1.0449790000000001</v>
      </c>
      <c r="I7981">
        <v>-33.461320000000001</v>
      </c>
      <c r="J7981">
        <v>-185.8065</v>
      </c>
      <c r="K7981">
        <v>1.112614</v>
      </c>
      <c r="L7981">
        <v>-34.127780000000001</v>
      </c>
      <c r="M7981">
        <v>-0.1606339</v>
      </c>
      <c r="N7981">
        <v>0</v>
      </c>
      <c r="O7981">
        <v>0.98689959999999999</v>
      </c>
      <c r="P7981">
        <v>-0.13994819999999999</v>
      </c>
      <c r="Q7981">
        <v>0.18466479999999999</v>
      </c>
      <c r="R7981">
        <v>0.97278640000000005</v>
      </c>
      <c r="S7981">
        <v>-0.1004944</v>
      </c>
      <c r="T7981">
        <v>-0.2168814</v>
      </c>
      <c r="U7981">
        <v>3.111755</v>
      </c>
      <c r="V7981">
        <v>1.7012179999999998E-2</v>
      </c>
      <c r="W7981">
        <v>0.19951340000000001</v>
      </c>
      <c r="X7981">
        <v>0.97974740000000005</v>
      </c>
      <c r="Y7981">
        <v>0.12878310000000001</v>
      </c>
      <c r="Z7981">
        <v>-6.7869490000000005E-2</v>
      </c>
      <c r="AA7981">
        <v>0.98934759999999999</v>
      </c>
      <c r="AB7981">
        <v>33</v>
      </c>
      <c r="AC7981">
        <v>2.06000000000017E-2</v>
      </c>
      <c r="AD7981">
        <v>-6.7634999999999806E-2</v>
      </c>
      <c r="AE7981">
        <v>0.66646000000000005</v>
      </c>
      <c r="AF7981">
        <v>0.12610309791850499</v>
      </c>
      <c r="AG7981">
        <v>-6.7634999999999806E-2</v>
      </c>
      <c r="AH7981">
        <v>0.64782837575812902</v>
      </c>
      <c r="AI7981">
        <v>95.851199759674003</v>
      </c>
      <c r="AJ7981">
        <v>78.984829590586003</v>
      </c>
      <c r="AK7981">
        <v>0.66344411141185</v>
      </c>
      <c r="AL7981">
        <v>78.491494437607798</v>
      </c>
      <c r="AM7981">
        <v>89.005225049771596</v>
      </c>
      <c r="AN7981">
        <v>0.99999998942733603</v>
      </c>
    </row>
    <row r="7982" spans="1:40" x14ac:dyDescent="0.25">
      <c r="A7982" t="str">
        <f>"20190312172304848"</f>
        <v>20190312172304848</v>
      </c>
      <c r="B7982" t="str">
        <f>"1552382584838688"</f>
        <v>1552382584838688</v>
      </c>
      <c r="C7982" t="s">
        <v>40</v>
      </c>
      <c r="D7982">
        <v>3.478739</v>
      </c>
      <c r="E7982">
        <v>0.54228969999999999</v>
      </c>
      <c r="F7982" t="s">
        <v>42</v>
      </c>
      <c r="G7982">
        <v>-186.2764</v>
      </c>
      <c r="H7982" s="1">
        <v>-1.773443E-6</v>
      </c>
      <c r="I7982">
        <v>-18.05199</v>
      </c>
      <c r="J7982">
        <v>-185.86199999999999</v>
      </c>
      <c r="K7982">
        <v>1.1118920000000001</v>
      </c>
      <c r="L7982">
        <v>-33.791899999999998</v>
      </c>
      <c r="M7982">
        <v>-0.16094559999999999</v>
      </c>
      <c r="N7982">
        <v>0</v>
      </c>
      <c r="O7982">
        <v>0.98684970000000005</v>
      </c>
      <c r="P7982">
        <v>-0.137708</v>
      </c>
      <c r="Q7982">
        <v>0.18555940000000001</v>
      </c>
      <c r="R7982">
        <v>0.97293589999999996</v>
      </c>
      <c r="S7982">
        <v>-9.0942380000000003E-2</v>
      </c>
      <c r="T7982">
        <v>-0.21536449999999999</v>
      </c>
      <c r="U7982">
        <v>3.1117249999999999</v>
      </c>
      <c r="V7982">
        <v>1.9916570000000001E-2</v>
      </c>
      <c r="W7982">
        <v>0.200324</v>
      </c>
      <c r="X7982">
        <v>0.97952720000000004</v>
      </c>
      <c r="Y7982">
        <v>0.1321282</v>
      </c>
      <c r="Z7982">
        <v>-6.7380300000000004E-2</v>
      </c>
      <c r="AA7982">
        <v>0.98893980000000004</v>
      </c>
      <c r="AB7982">
        <v>33</v>
      </c>
      <c r="AC7982">
        <v>-0.41439999999999999</v>
      </c>
      <c r="AD7982">
        <v>-1.1118937734430001</v>
      </c>
      <c r="AE7982">
        <v>15.739909999999901</v>
      </c>
      <c r="AF7982">
        <v>2.11401475189074</v>
      </c>
      <c r="AG7982">
        <v>-1.1118937734430001</v>
      </c>
      <c r="AH7982">
        <v>15.523955477881501</v>
      </c>
      <c r="AI7982">
        <v>94.059439094771193</v>
      </c>
      <c r="AJ7982">
        <v>82.245299649737902</v>
      </c>
      <c r="AK7982">
        <v>15.706640627896199</v>
      </c>
      <c r="AL7982">
        <v>78.444093169512598</v>
      </c>
      <c r="AM7982">
        <v>88.835174577451099</v>
      </c>
      <c r="AN7982">
        <v>0.99999995513820095</v>
      </c>
    </row>
    <row r="7983" spans="1:40" x14ac:dyDescent="0.25">
      <c r="A7983" t="str">
        <f>"20190312172304870"</f>
        <v>20190312172304870</v>
      </c>
      <c r="B7983" t="str">
        <f>"1552382584867968"</f>
        <v>1552382584867968</v>
      </c>
      <c r="C7983" t="s">
        <v>40</v>
      </c>
      <c r="D7983">
        <v>3.4704760000000001</v>
      </c>
      <c r="E7983">
        <v>0.54208859999999903</v>
      </c>
      <c r="F7983" t="s">
        <v>42</v>
      </c>
      <c r="G7983">
        <v>-186.29949999999999</v>
      </c>
      <c r="H7983" s="1">
        <v>-2.0318440000000001E-6</v>
      </c>
      <c r="I7983">
        <v>-17.274529999999999</v>
      </c>
      <c r="J7983">
        <v>-185.9151</v>
      </c>
      <c r="K7983">
        <v>1.1112029999999999</v>
      </c>
      <c r="L7983">
        <v>-33.466920000000002</v>
      </c>
      <c r="M7983">
        <v>-0.16050500000000001</v>
      </c>
      <c r="N7983">
        <v>0</v>
      </c>
      <c r="O7983">
        <v>0.98692230000000003</v>
      </c>
      <c r="P7983">
        <v>-0.13460039999999901</v>
      </c>
      <c r="Q7983">
        <v>0.18522720000000001</v>
      </c>
      <c r="R7983">
        <v>0.97343400000000002</v>
      </c>
      <c r="S7983">
        <v>-8.2427979999999998E-2</v>
      </c>
      <c r="T7983">
        <v>-0.20947089999999999</v>
      </c>
      <c r="U7983">
        <v>3.1117249999999999</v>
      </c>
      <c r="V7983">
        <v>2.2971419999999999E-2</v>
      </c>
      <c r="W7983">
        <v>0.19991100000000001</v>
      </c>
      <c r="X7983">
        <v>0.97954479999999999</v>
      </c>
      <c r="Y7983">
        <v>0.1343858</v>
      </c>
      <c r="Z7983">
        <v>-6.5544169999999999E-2</v>
      </c>
      <c r="AA7983">
        <v>0.98875900000000005</v>
      </c>
      <c r="AB7983">
        <v>33</v>
      </c>
      <c r="AC7983">
        <v>-0.38439999999999902</v>
      </c>
      <c r="AD7983">
        <v>-1.1112050318440001</v>
      </c>
      <c r="AE7983">
        <v>16.19239</v>
      </c>
      <c r="AF7983">
        <v>2.2094343446689999</v>
      </c>
      <c r="AG7983">
        <v>-1.1112050318440001</v>
      </c>
      <c r="AH7983">
        <v>15.9689520791446</v>
      </c>
      <c r="AI7983">
        <v>93.9430879765914</v>
      </c>
      <c r="AJ7983">
        <v>82.122674191640101</v>
      </c>
      <c r="AK7983">
        <v>16.159325705369501</v>
      </c>
      <c r="AL7983">
        <v>78.468246033745601</v>
      </c>
      <c r="AM7983">
        <v>88.6565961885576</v>
      </c>
      <c r="AN7983">
        <v>1.0000000546324199</v>
      </c>
    </row>
    <row r="7984" spans="1:40" x14ac:dyDescent="0.25">
      <c r="A7984" t="str">
        <f>"20190312172304893"</f>
        <v>20190312172304893</v>
      </c>
      <c r="B7984" t="str">
        <f>"1552382584888465"</f>
        <v>1552382584888465</v>
      </c>
      <c r="C7984" t="s">
        <v>40</v>
      </c>
      <c r="D7984">
        <v>3.495549</v>
      </c>
      <c r="E7984">
        <v>0.54203559999999995</v>
      </c>
      <c r="F7984" t="s">
        <v>42</v>
      </c>
      <c r="G7984">
        <v>-186.29920000000001</v>
      </c>
      <c r="H7984" s="1">
        <v>-2.1762769999999998E-6</v>
      </c>
      <c r="I7984">
        <v>-16.850359999999998</v>
      </c>
      <c r="J7984">
        <v>-185.96809999999999</v>
      </c>
      <c r="K7984">
        <v>1.110482</v>
      </c>
      <c r="L7984">
        <v>-33.136870000000002</v>
      </c>
      <c r="M7984">
        <v>-0.1593154</v>
      </c>
      <c r="N7984">
        <v>0</v>
      </c>
      <c r="O7984">
        <v>0.98711570000000004</v>
      </c>
      <c r="P7984">
        <v>-0.1312595</v>
      </c>
      <c r="Q7984">
        <v>0.18443180000000001</v>
      </c>
      <c r="R7984">
        <v>0.97404100000000005</v>
      </c>
      <c r="S7984">
        <v>-7.1929930000000003E-2</v>
      </c>
      <c r="T7984">
        <v>-0.20807709999999999</v>
      </c>
      <c r="U7984">
        <v>3.1115110000000001</v>
      </c>
      <c r="V7984">
        <v>2.553795E-2</v>
      </c>
      <c r="W7984">
        <v>0.19903299999999999</v>
      </c>
      <c r="X7984">
        <v>0.97965999999999998</v>
      </c>
      <c r="Y7984">
        <v>0.13652249999999999</v>
      </c>
      <c r="Z7984">
        <v>-6.5126519999999993E-2</v>
      </c>
      <c r="AA7984">
        <v>0.98849390000000004</v>
      </c>
      <c r="AB7984">
        <v>33</v>
      </c>
      <c r="AC7984">
        <v>-0.33110000000001999</v>
      </c>
      <c r="AD7984">
        <v>-1.1104841762769999</v>
      </c>
      <c r="AE7984">
        <v>16.28651</v>
      </c>
      <c r="AF7984">
        <v>2.25761716455033</v>
      </c>
      <c r="AG7984">
        <v>-1.1104841762769999</v>
      </c>
      <c r="AH7984">
        <v>16.056585445048299</v>
      </c>
      <c r="AI7984">
        <v>93.9178984784417</v>
      </c>
      <c r="AJ7984">
        <v>81.996461436295405</v>
      </c>
      <c r="AK7984">
        <v>16.252505853608302</v>
      </c>
      <c r="AL7984">
        <v>78.519583010679796</v>
      </c>
      <c r="AM7984">
        <v>88.506741681207998</v>
      </c>
      <c r="AN7984">
        <v>1.0000000187896001</v>
      </c>
    </row>
    <row r="7985" spans="1:40" x14ac:dyDescent="0.25">
      <c r="A7985" t="str">
        <f>"20190312172304915"</f>
        <v>20190312172304915</v>
      </c>
      <c r="B7985" t="str">
        <f>"1552382584907984"</f>
        <v>1552382584907984</v>
      </c>
      <c r="C7985" t="s">
        <v>40</v>
      </c>
      <c r="D7985">
        <v>3.5119660000000001</v>
      </c>
      <c r="E7985">
        <v>0.54199900000000001</v>
      </c>
      <c r="F7985" t="s">
        <v>42</v>
      </c>
      <c r="G7985">
        <v>-186.28710000000001</v>
      </c>
      <c r="H7985" s="1">
        <v>-2.2519380000000002E-6</v>
      </c>
      <c r="I7985">
        <v>-16.653110000000002</v>
      </c>
      <c r="J7985">
        <v>-186.02</v>
      </c>
      <c r="K7985">
        <v>1.109758</v>
      </c>
      <c r="L7985">
        <v>-32.806919999999998</v>
      </c>
      <c r="M7985">
        <v>-0.15742629999999999</v>
      </c>
      <c r="N7985">
        <v>0</v>
      </c>
      <c r="O7985">
        <v>0.98741920000000005</v>
      </c>
      <c r="P7985">
        <v>-0.12625729999999999</v>
      </c>
      <c r="Q7985">
        <v>0.18389610000000001</v>
      </c>
      <c r="R7985">
        <v>0.97480319999999998</v>
      </c>
      <c r="S7985">
        <v>-6.0211180000000003E-2</v>
      </c>
      <c r="T7985">
        <v>-0.20961949999999999</v>
      </c>
      <c r="U7985">
        <v>3.111542</v>
      </c>
      <c r="V7985">
        <v>2.907129E-2</v>
      </c>
      <c r="W7985">
        <v>0.19841429999999999</v>
      </c>
      <c r="X7985">
        <v>0.97968699999999997</v>
      </c>
      <c r="Y7985">
        <v>0.13834869999999999</v>
      </c>
      <c r="Z7985">
        <v>-6.5630949999999993E-2</v>
      </c>
      <c r="AA7985">
        <v>0.98820660000000005</v>
      </c>
      <c r="AB7985">
        <v>33</v>
      </c>
      <c r="AC7985">
        <v>-0.267099999999999</v>
      </c>
      <c r="AD7985">
        <v>-1.1097602519380001</v>
      </c>
      <c r="AE7985">
        <v>16.153809999999901</v>
      </c>
      <c r="AF7985">
        <v>2.2688407849055601</v>
      </c>
      <c r="AG7985">
        <v>-1.1097602519380001</v>
      </c>
      <c r="AH7985">
        <v>15.919279809108</v>
      </c>
      <c r="AI7985">
        <v>93.9479687599583</v>
      </c>
      <c r="AJ7985">
        <v>81.888740783427707</v>
      </c>
      <c r="AK7985">
        <v>16.1183955766294</v>
      </c>
      <c r="AL7985">
        <v>78.555753043015201</v>
      </c>
      <c r="AM7985">
        <v>88.300300421835004</v>
      </c>
      <c r="AN7985">
        <v>0.99999999615787705</v>
      </c>
    </row>
    <row r="7986" spans="1:40" x14ac:dyDescent="0.25">
      <c r="A7986" t="str">
        <f>"20190312172304938"</f>
        <v>20190312172304938</v>
      </c>
      <c r="B7986" t="str">
        <f>"1552382584928481"</f>
        <v>1552382584928481</v>
      </c>
      <c r="C7986" t="s">
        <v>40</v>
      </c>
      <c r="D7986">
        <v>3.513458</v>
      </c>
      <c r="E7986">
        <v>0.54198400000000002</v>
      </c>
      <c r="F7986" t="s">
        <v>42</v>
      </c>
      <c r="G7986">
        <v>-186.25380000000001</v>
      </c>
      <c r="H7986" s="1">
        <v>-2.352955E-6</v>
      </c>
      <c r="I7986">
        <v>-16.4314</v>
      </c>
      <c r="J7986">
        <v>-186.0701</v>
      </c>
      <c r="K7986">
        <v>1.109067</v>
      </c>
      <c r="L7986">
        <v>-32.478940000000001</v>
      </c>
      <c r="M7986">
        <v>-0.1549046</v>
      </c>
      <c r="N7986">
        <v>0</v>
      </c>
      <c r="O7986">
        <v>0.98781839999999999</v>
      </c>
      <c r="P7986">
        <v>-0.1188867</v>
      </c>
      <c r="Q7986">
        <v>0.1822298</v>
      </c>
      <c r="R7986">
        <v>0.97604219999999997</v>
      </c>
      <c r="S7986">
        <v>-4.4433590000000002E-2</v>
      </c>
      <c r="T7986">
        <v>-0.2108698</v>
      </c>
      <c r="U7986">
        <v>3.1115719999999998</v>
      </c>
      <c r="V7986">
        <v>3.4367960000000003E-2</v>
      </c>
      <c r="W7986">
        <v>0.19666139999999999</v>
      </c>
      <c r="X7986">
        <v>0.97986890000000004</v>
      </c>
      <c r="Y7986">
        <v>0.14082939999999999</v>
      </c>
      <c r="Z7986">
        <v>-6.6051139999999994E-2</v>
      </c>
      <c r="AA7986">
        <v>0.98782809999999999</v>
      </c>
      <c r="AB7986">
        <v>33</v>
      </c>
      <c r="AC7986">
        <v>-0.18370000000001599</v>
      </c>
      <c r="AD7986">
        <v>-1.109069352955</v>
      </c>
      <c r="AE7986">
        <v>16.047539999999898</v>
      </c>
      <c r="AF7986">
        <v>2.2936742607635399</v>
      </c>
      <c r="AG7986">
        <v>-1.109069352955</v>
      </c>
      <c r="AH7986">
        <v>15.8067639323304</v>
      </c>
      <c r="AI7986">
        <v>93.972071361721405</v>
      </c>
      <c r="AJ7986">
        <v>81.743600764284295</v>
      </c>
      <c r="AK7986">
        <v>16.010770201853902</v>
      </c>
      <c r="AL7986">
        <v>78.6582052399974</v>
      </c>
      <c r="AM7986">
        <v>87.991229047677706</v>
      </c>
      <c r="AN7986">
        <v>0.99999996205586505</v>
      </c>
    </row>
    <row r="7987" spans="1:40" x14ac:dyDescent="0.25">
      <c r="A7987" t="str">
        <f>"20190312172304959"</f>
        <v>20190312172304959</v>
      </c>
      <c r="B7987" t="str">
        <f>"1552382584947999"</f>
        <v>1552382584947999</v>
      </c>
      <c r="C7987" t="s">
        <v>40</v>
      </c>
      <c r="D7987">
        <v>3.4972059999999998</v>
      </c>
      <c r="E7987">
        <v>0.54195539999999998</v>
      </c>
      <c r="F7987" t="s">
        <v>42</v>
      </c>
      <c r="G7987">
        <v>-186.1848</v>
      </c>
      <c r="H7987" s="1">
        <v>-2.318686E-6</v>
      </c>
      <c r="I7987">
        <v>-16.539819999999999</v>
      </c>
      <c r="J7987">
        <v>-186.1172</v>
      </c>
      <c r="K7987">
        <v>1.1084529999999999</v>
      </c>
      <c r="L7987">
        <v>-32.16187</v>
      </c>
      <c r="M7987">
        <v>-0.15190010000000001</v>
      </c>
      <c r="N7987">
        <v>0</v>
      </c>
      <c r="O7987">
        <v>0.98828510000000003</v>
      </c>
      <c r="P7987">
        <v>-0.1104647</v>
      </c>
      <c r="Q7987">
        <v>0.17866379999999901</v>
      </c>
      <c r="R7987">
        <v>0.97768949999999999</v>
      </c>
      <c r="S7987">
        <v>-2.2384640000000001E-2</v>
      </c>
      <c r="T7987">
        <v>-0.21649119999999999</v>
      </c>
      <c r="U7987">
        <v>3.1113279999999999</v>
      </c>
      <c r="V7987">
        <v>4.0232410000000003E-2</v>
      </c>
      <c r="W7987">
        <v>0.1930077</v>
      </c>
      <c r="X7987">
        <v>0.98037209999999997</v>
      </c>
      <c r="Y7987">
        <v>0.14481669999999999</v>
      </c>
      <c r="Z7987">
        <v>-6.7839780000000002E-2</v>
      </c>
      <c r="AA7987">
        <v>0.98713010000000001</v>
      </c>
      <c r="AB7987">
        <v>33</v>
      </c>
      <c r="AC7987">
        <v>-6.7599999999998703E-2</v>
      </c>
      <c r="AD7987">
        <v>-1.108455318686</v>
      </c>
      <c r="AE7987">
        <v>15.6220499999999</v>
      </c>
      <c r="AF7987">
        <v>2.2948818888221298</v>
      </c>
      <c r="AG7987">
        <v>-1.108455318686</v>
      </c>
      <c r="AH7987">
        <v>15.373601399583601</v>
      </c>
      <c r="AI7987">
        <v>94.078919484830394</v>
      </c>
      <c r="AJ7987">
        <v>81.509909499094206</v>
      </c>
      <c r="AK7987">
        <v>15.5834134922502</v>
      </c>
      <c r="AL7987">
        <v>78.871637998460898</v>
      </c>
      <c r="AM7987">
        <v>87.650020274093507</v>
      </c>
      <c r="AN7987">
        <v>1.00000003676605</v>
      </c>
    </row>
    <row r="7988" spans="1:40" x14ac:dyDescent="0.25">
      <c r="A7988" t="str">
        <f>"20190312172304985"</f>
        <v>20190312172304985</v>
      </c>
      <c r="B7988" t="str">
        <f>"1552382584978256"</f>
        <v>1552382584978256</v>
      </c>
      <c r="C7988" t="s">
        <v>40</v>
      </c>
      <c r="D7988">
        <v>3.511479</v>
      </c>
      <c r="E7988">
        <v>0.53965649999999998</v>
      </c>
      <c r="F7988" t="s">
        <v>42</v>
      </c>
      <c r="G7988">
        <v>-186.10230000000001</v>
      </c>
      <c r="H7988" s="1">
        <v>-2.1677509999999999E-6</v>
      </c>
      <c r="I7988">
        <v>-17.029419999999998</v>
      </c>
      <c r="J7988">
        <v>-186.16849999999999</v>
      </c>
      <c r="K7988">
        <v>1.1078570000000001</v>
      </c>
      <c r="L7988">
        <v>-31.802</v>
      </c>
      <c r="M7988">
        <v>-0.14786859999999999</v>
      </c>
      <c r="N7988">
        <v>0</v>
      </c>
      <c r="O7988">
        <v>0.98889649999999996</v>
      </c>
      <c r="P7988">
        <v>-0.1022062</v>
      </c>
      <c r="Q7988">
        <v>0.17477590000000001</v>
      </c>
      <c r="R7988">
        <v>0.97928919999999997</v>
      </c>
      <c r="S7988">
        <v>3.067017E-3</v>
      </c>
      <c r="T7988">
        <v>-0.22784070000000001</v>
      </c>
      <c r="U7988">
        <v>3.1104430000000001</v>
      </c>
      <c r="V7988">
        <v>4.488164E-2</v>
      </c>
      <c r="W7988">
        <v>0.1890269</v>
      </c>
      <c r="X7988">
        <v>0.98094570000000003</v>
      </c>
      <c r="Y7988">
        <v>0.14885509999999999</v>
      </c>
      <c r="Z7988">
        <v>-7.1443660000000006E-2</v>
      </c>
      <c r="AA7988">
        <v>0.98627480000000001</v>
      </c>
      <c r="AB7988">
        <v>33</v>
      </c>
      <c r="AC7988">
        <v>6.6199999999980705E-2</v>
      </c>
      <c r="AD7988">
        <v>-1.1078591677509999</v>
      </c>
      <c r="AE7988">
        <v>14.7725799999999</v>
      </c>
      <c r="AF7988">
        <v>2.2375276854378701</v>
      </c>
      <c r="AG7988">
        <v>-1.1078591677509999</v>
      </c>
      <c r="AH7988">
        <v>14.5187059367733</v>
      </c>
      <c r="AI7988">
        <v>94.312814677082898</v>
      </c>
      <c r="AJ7988">
        <v>81.238878178456204</v>
      </c>
      <c r="AK7988">
        <v>14.7318262329274</v>
      </c>
      <c r="AL7988">
        <v>79.103999333887899</v>
      </c>
      <c r="AM7988">
        <v>87.3803479571352</v>
      </c>
      <c r="AN7988">
        <v>0.99999999844059395</v>
      </c>
    </row>
    <row r="7989" spans="1:40" x14ac:dyDescent="0.25">
      <c r="A7989" t="str">
        <f>"20190312172305006"</f>
        <v>20190312172305006</v>
      </c>
      <c r="B7989" t="str">
        <f>"1552382584998751"</f>
        <v>1552382584998751</v>
      </c>
      <c r="C7989" t="s">
        <v>40</v>
      </c>
      <c r="D7989">
        <v>3.5460500000000001</v>
      </c>
      <c r="E7989">
        <v>0.53528929999999997</v>
      </c>
      <c r="F7989" t="s">
        <v>41</v>
      </c>
      <c r="G7989">
        <v>-186.1651</v>
      </c>
      <c r="H7989">
        <v>1.035434</v>
      </c>
      <c r="I7989">
        <v>-30.8246</v>
      </c>
      <c r="J7989">
        <v>-186.21209999999999</v>
      </c>
      <c r="K7989">
        <v>1.1074120000000001</v>
      </c>
      <c r="L7989">
        <v>-31.4848</v>
      </c>
      <c r="M7989">
        <v>-0.14392859999999999</v>
      </c>
      <c r="N7989">
        <v>0</v>
      </c>
      <c r="O7989">
        <v>0.98947790000000002</v>
      </c>
      <c r="P7989">
        <v>-9.4820370000000001E-2</v>
      </c>
      <c r="Q7989">
        <v>0.17068920000000001</v>
      </c>
      <c r="R7989">
        <v>0.98075190000000001</v>
      </c>
      <c r="S7989">
        <v>1.0589599999999999E-2</v>
      </c>
      <c r="T7989">
        <v>-0.2299657</v>
      </c>
      <c r="U7989">
        <v>3.105591</v>
      </c>
      <c r="V7989">
        <v>4.8649940000000003E-2</v>
      </c>
      <c r="W7989">
        <v>0.1848639</v>
      </c>
      <c r="X7989">
        <v>0.98155919999999997</v>
      </c>
      <c r="Y7989">
        <v>0.14730660000000001</v>
      </c>
      <c r="Z7989">
        <v>-7.2291090000000002E-2</v>
      </c>
      <c r="AA7989">
        <v>0.98644549999999998</v>
      </c>
      <c r="AB7989">
        <v>33</v>
      </c>
      <c r="AC7989">
        <v>4.6999999999997003E-2</v>
      </c>
      <c r="AD7989">
        <v>-7.1978000000000097E-2</v>
      </c>
      <c r="AE7989">
        <v>0.66019999999999901</v>
      </c>
      <c r="AF7989">
        <v>0.139888179759071</v>
      </c>
      <c r="AG7989">
        <v>-7.1978000000000097E-2</v>
      </c>
      <c r="AH7989">
        <v>0.63900205632033702</v>
      </c>
      <c r="AI7989">
        <v>96.279303898182505</v>
      </c>
      <c r="AJ7989">
        <v>77.651801569632795</v>
      </c>
      <c r="AK7989">
        <v>0.65808294560938596</v>
      </c>
      <c r="AL7989">
        <v>79.346802106632794</v>
      </c>
      <c r="AM7989">
        <v>87.1625174821542</v>
      </c>
      <c r="AN7989">
        <v>0.99999997064492596</v>
      </c>
    </row>
    <row r="7990" spans="1:40" x14ac:dyDescent="0.25">
      <c r="A7990" t="str">
        <f>"20190312172305027"</f>
        <v>20190312172305027</v>
      </c>
      <c r="B7990" t="str">
        <f>"1552382585018273"</f>
        <v>1552382585018273</v>
      </c>
      <c r="C7990" t="s">
        <v>40</v>
      </c>
      <c r="D7990">
        <v>3.5431119999999998</v>
      </c>
      <c r="E7990">
        <v>0.53139040000000004</v>
      </c>
      <c r="F7990" t="s">
        <v>41</v>
      </c>
      <c r="G7990">
        <v>-186.21209999999999</v>
      </c>
      <c r="H7990">
        <v>1.0295920000000001</v>
      </c>
      <c r="I7990">
        <v>-30.539760000000001</v>
      </c>
      <c r="J7990">
        <v>-186.25370000000001</v>
      </c>
      <c r="K7990">
        <v>1.1070719999999901</v>
      </c>
      <c r="L7990">
        <v>-31.170929999999998</v>
      </c>
      <c r="M7990">
        <v>-0.1397629</v>
      </c>
      <c r="N7990">
        <v>0</v>
      </c>
      <c r="O7990">
        <v>0.99007509999999999</v>
      </c>
      <c r="P7990">
        <v>-8.7151350000000002E-2</v>
      </c>
      <c r="Q7990">
        <v>0.16842470000000001</v>
      </c>
      <c r="R7990">
        <v>0.98185429999999996</v>
      </c>
      <c r="S7990">
        <v>2.13623E-4</v>
      </c>
      <c r="T7990">
        <v>-0.25560300000000002</v>
      </c>
      <c r="U7990">
        <v>3.1033940000000002</v>
      </c>
      <c r="V7990">
        <v>5.2385800000000003E-2</v>
      </c>
      <c r="W7990">
        <v>0.18252270000000001</v>
      </c>
      <c r="X7990">
        <v>0.98180509999999999</v>
      </c>
      <c r="Y7990">
        <v>0.13984369999999999</v>
      </c>
      <c r="Z7990">
        <v>-8.0473779999999995E-2</v>
      </c>
      <c r="AA7990">
        <v>0.98689800000000005</v>
      </c>
      <c r="AB7990">
        <v>33</v>
      </c>
      <c r="AC7990">
        <v>4.16000000000167E-2</v>
      </c>
      <c r="AD7990">
        <v>-7.7479999999999702E-2</v>
      </c>
      <c r="AE7990">
        <v>0.63117000000000001</v>
      </c>
      <c r="AF7990">
        <v>0.12750232521448501</v>
      </c>
      <c r="AG7990">
        <v>-7.7479999999999702E-2</v>
      </c>
      <c r="AH7990">
        <v>0.61000646802191905</v>
      </c>
      <c r="AI7990">
        <v>97.087115266515596</v>
      </c>
      <c r="AJ7990">
        <v>78.194120108201901</v>
      </c>
      <c r="AK7990">
        <v>0.62798716894828099</v>
      </c>
      <c r="AL7990">
        <v>79.483265777547999</v>
      </c>
      <c r="AM7990">
        <v>86.945787138638593</v>
      </c>
      <c r="AN7990">
        <v>1.0000000312214601</v>
      </c>
    </row>
    <row r="7991" spans="1:40" x14ac:dyDescent="0.25">
      <c r="A7991" t="str">
        <f>"20190312172305049"</f>
        <v>20190312172305049</v>
      </c>
      <c r="B7991" t="str">
        <f>"1552382585038768"</f>
        <v>1552382585038768</v>
      </c>
      <c r="C7991" t="s">
        <v>40</v>
      </c>
      <c r="D7991">
        <v>3.5063420000000001</v>
      </c>
      <c r="E7991">
        <v>0.5292654</v>
      </c>
      <c r="F7991" t="s">
        <v>41</v>
      </c>
      <c r="G7991">
        <v>-186.25540000000001</v>
      </c>
      <c r="H7991">
        <v>1.0254219999999901</v>
      </c>
      <c r="I7991">
        <v>-30.250060000000001</v>
      </c>
      <c r="J7991">
        <v>-186.29419999999999</v>
      </c>
      <c r="K7991">
        <v>1.106814</v>
      </c>
      <c r="L7991">
        <v>-30.853269999999998</v>
      </c>
      <c r="M7991">
        <v>-0.13535169999999999</v>
      </c>
      <c r="N7991">
        <v>0</v>
      </c>
      <c r="O7991">
        <v>0.99068800000000001</v>
      </c>
      <c r="P7991">
        <v>-7.93938E-2</v>
      </c>
      <c r="Q7991">
        <v>0.1683858</v>
      </c>
      <c r="R7991">
        <v>0.98251860000000002</v>
      </c>
      <c r="S7991">
        <v>-6.0882569999999997E-3</v>
      </c>
      <c r="T7991">
        <v>-0.27489140000000001</v>
      </c>
      <c r="U7991">
        <v>3.1020509999999999</v>
      </c>
      <c r="V7991">
        <v>5.5890090000000003E-2</v>
      </c>
      <c r="W7991">
        <v>0.18240590000000001</v>
      </c>
      <c r="X7991">
        <v>0.98163350000000005</v>
      </c>
      <c r="Y7991">
        <v>0.13342660000000001</v>
      </c>
      <c r="Z7991">
        <v>-8.6658360000000004E-2</v>
      </c>
      <c r="AA7991">
        <v>0.98726270000000005</v>
      </c>
      <c r="AB7991">
        <v>33</v>
      </c>
      <c r="AC7991">
        <v>3.87999999999806E-2</v>
      </c>
      <c r="AD7991">
        <v>-8.1392000000000103E-2</v>
      </c>
      <c r="AE7991">
        <v>0.60321000000000402</v>
      </c>
      <c r="AF7991">
        <v>0.117958475219577</v>
      </c>
      <c r="AG7991">
        <v>-8.1392000000000103E-2</v>
      </c>
      <c r="AH7991">
        <v>0.58185569793343095</v>
      </c>
      <c r="AI7991">
        <v>97.806280953863507</v>
      </c>
      <c r="AJ7991">
        <v>78.539852288269998</v>
      </c>
      <c r="AK7991">
        <v>0.59924528597038396</v>
      </c>
      <c r="AL7991">
        <v>79.490071551456694</v>
      </c>
      <c r="AM7991">
        <v>86.741337024881602</v>
      </c>
      <c r="AN7991">
        <v>0.99999997141863295</v>
      </c>
    </row>
    <row r="7992" spans="1:40" x14ac:dyDescent="0.25">
      <c r="A7992" t="str">
        <f>"20190312172305071"</f>
        <v>20190312172305071</v>
      </c>
      <c r="B7992" t="str">
        <f>"1552382585068048"</f>
        <v>1552382585068048</v>
      </c>
      <c r="C7992" t="s">
        <v>40</v>
      </c>
      <c r="D7992">
        <v>3.5459700000000001</v>
      </c>
      <c r="E7992">
        <v>0.52693409999999996</v>
      </c>
      <c r="F7992" t="s">
        <v>41</v>
      </c>
      <c r="G7992">
        <v>-186.2946</v>
      </c>
      <c r="H7992">
        <v>1.025566</v>
      </c>
      <c r="I7992">
        <v>-29.957889999999999</v>
      </c>
      <c r="J7992">
        <v>-186.33519999999999</v>
      </c>
      <c r="K7992">
        <v>1.106617</v>
      </c>
      <c r="L7992">
        <v>-30.51904</v>
      </c>
      <c r="M7992">
        <v>-0.1305723</v>
      </c>
      <c r="N7992">
        <v>0</v>
      </c>
      <c r="O7992">
        <v>0.99132940000000003</v>
      </c>
      <c r="P7992">
        <v>-7.0910829999999994E-2</v>
      </c>
      <c r="Q7992">
        <v>0.16862439999999901</v>
      </c>
      <c r="R7992">
        <v>0.98312639999999996</v>
      </c>
      <c r="S7992">
        <v>-1.296997E-3</v>
      </c>
      <c r="T7992">
        <v>-0.28148260000000003</v>
      </c>
      <c r="U7992">
        <v>3.1015009999999998</v>
      </c>
      <c r="V7992">
        <v>5.972446E-2</v>
      </c>
      <c r="W7992">
        <v>0.18256530000000001</v>
      </c>
      <c r="X7992">
        <v>0.98137810000000003</v>
      </c>
      <c r="Y7992">
        <v>0.13017119999999999</v>
      </c>
      <c r="Z7992">
        <v>-8.8841539999999997E-2</v>
      </c>
      <c r="AA7992">
        <v>0.98750320000000003</v>
      </c>
      <c r="AB7992">
        <v>33</v>
      </c>
      <c r="AC7992">
        <v>4.0599999999983503E-2</v>
      </c>
      <c r="AD7992">
        <v>-8.1050999999999901E-2</v>
      </c>
      <c r="AE7992">
        <v>0.56115000000000104</v>
      </c>
      <c r="AF7992">
        <v>0.111222672933054</v>
      </c>
      <c r="AG7992">
        <v>-8.1050999999999901E-2</v>
      </c>
      <c r="AH7992">
        <v>0.53983946200896604</v>
      </c>
      <c r="AI7992">
        <v>98.365420079889901</v>
      </c>
      <c r="AJ7992">
        <v>78.358296643806199</v>
      </c>
      <c r="AK7992">
        <v>0.55710536913361697</v>
      </c>
      <c r="AL7992">
        <v>79.480783332511905</v>
      </c>
      <c r="AM7992">
        <v>86.5174031729196</v>
      </c>
      <c r="AN7992">
        <v>1.00000003752299</v>
      </c>
    </row>
    <row r="7993" spans="1:40" x14ac:dyDescent="0.25">
      <c r="A7993" t="str">
        <f>"20190312172305092"</f>
        <v>20190312172305092</v>
      </c>
      <c r="B7993" t="str">
        <f>"1552382585088544"</f>
        <v>1552382585088544</v>
      </c>
      <c r="C7993" t="s">
        <v>40</v>
      </c>
      <c r="D7993">
        <v>3.5180319999999998</v>
      </c>
      <c r="E7993">
        <v>0.52589549999999996</v>
      </c>
      <c r="F7993" t="s">
        <v>41</v>
      </c>
      <c r="G7993">
        <v>-186.33349999999999</v>
      </c>
      <c r="H7993">
        <v>1.028302</v>
      </c>
      <c r="I7993">
        <v>-29.664650000000002</v>
      </c>
      <c r="J7993">
        <v>-186.3706</v>
      </c>
      <c r="K7993">
        <v>1.1064799999999999</v>
      </c>
      <c r="L7993">
        <v>-30.21744</v>
      </c>
      <c r="M7993">
        <v>-0.12619030000000001</v>
      </c>
      <c r="N7993">
        <v>0</v>
      </c>
      <c r="O7993">
        <v>0.99189689999999997</v>
      </c>
      <c r="P7993">
        <v>-6.3559959999999999E-2</v>
      </c>
      <c r="Q7993">
        <v>0.16869239999999999</v>
      </c>
      <c r="R7993">
        <v>0.98361730000000003</v>
      </c>
      <c r="S7993">
        <v>5.6457520000000004E-3</v>
      </c>
      <c r="T7993">
        <v>-0.28401720000000003</v>
      </c>
      <c r="U7993">
        <v>3.100616</v>
      </c>
      <c r="V7993">
        <v>6.2791239999999998E-2</v>
      </c>
      <c r="W7993">
        <v>0.18257139999999999</v>
      </c>
      <c r="X7993">
        <v>0.98118550000000004</v>
      </c>
      <c r="Y7993">
        <v>0.12800049999999999</v>
      </c>
      <c r="Z7993">
        <v>-8.9750540000000004E-2</v>
      </c>
      <c r="AA7993">
        <v>0.98770480000000005</v>
      </c>
      <c r="AB7993">
        <v>33</v>
      </c>
      <c r="AC7993">
        <v>3.7100000000009403E-2</v>
      </c>
      <c r="AD7993">
        <v>-7.8177999999999803E-2</v>
      </c>
      <c r="AE7993">
        <v>0.552790000000001</v>
      </c>
      <c r="AF7993">
        <v>0.104487187075054</v>
      </c>
      <c r="AG7993">
        <v>-7.8177999999999803E-2</v>
      </c>
      <c r="AH7993">
        <v>0.53307377092224895</v>
      </c>
      <c r="AI7993">
        <v>98.189580743007298</v>
      </c>
      <c r="AJ7993">
        <v>78.910115093118705</v>
      </c>
      <c r="AK7993">
        <v>0.54881419186471803</v>
      </c>
      <c r="AL7993">
        <v>79.4804276744335</v>
      </c>
      <c r="AM7993">
        <v>86.3383338042362</v>
      </c>
      <c r="AN7993">
        <v>1.0000000206644699</v>
      </c>
    </row>
    <row r="7994" spans="1:40" x14ac:dyDescent="0.25">
      <c r="A7994" t="str">
        <f>"20190312172305115"</f>
        <v>20190312172305115</v>
      </c>
      <c r="B7994" t="str">
        <f>"1552382585108064"</f>
        <v>1552382585108064</v>
      </c>
      <c r="C7994" t="s">
        <v>40</v>
      </c>
      <c r="D7994">
        <v>3.5627689999999999</v>
      </c>
      <c r="E7994">
        <v>0.52496089999999995</v>
      </c>
      <c r="F7994" t="s">
        <v>41</v>
      </c>
      <c r="G7994">
        <v>-186.3646</v>
      </c>
      <c r="H7994">
        <v>1.0289969999999999</v>
      </c>
      <c r="I7994">
        <v>-29.371700000000001</v>
      </c>
      <c r="J7994">
        <v>-186.40889999999999</v>
      </c>
      <c r="K7994">
        <v>1.106363</v>
      </c>
      <c r="L7994">
        <v>-29.878299999999999</v>
      </c>
      <c r="M7994">
        <v>-0.121226399999999</v>
      </c>
      <c r="N7994">
        <v>0</v>
      </c>
      <c r="O7994">
        <v>0.99251599999999995</v>
      </c>
      <c r="P7994">
        <v>-5.6501780000000001E-2</v>
      </c>
      <c r="Q7994">
        <v>0.16920650000000001</v>
      </c>
      <c r="R7994">
        <v>0.98395969999999999</v>
      </c>
      <c r="S7994">
        <v>2.1942139999999999E-2</v>
      </c>
      <c r="T7994">
        <v>-0.28389379999999997</v>
      </c>
      <c r="U7994">
        <v>3.1000670000000001</v>
      </c>
      <c r="V7994">
        <v>6.4972279999999993E-2</v>
      </c>
      <c r="W7994">
        <v>0.18303230000000001</v>
      </c>
      <c r="X7994">
        <v>0.98095759999999999</v>
      </c>
      <c r="Y7994">
        <v>0.12823109999999999</v>
      </c>
      <c r="Z7994">
        <v>-8.9809620000000007E-2</v>
      </c>
      <c r="AA7994">
        <v>0.98766949999999998</v>
      </c>
      <c r="AB7994">
        <v>33</v>
      </c>
      <c r="AC7994">
        <v>4.4299999999992602E-2</v>
      </c>
      <c r="AD7994">
        <v>-7.7366000000000004E-2</v>
      </c>
      <c r="AE7994">
        <v>0.50659999999999805</v>
      </c>
      <c r="AF7994">
        <v>0.103008976961947</v>
      </c>
      <c r="AG7994">
        <v>-7.7366000000000004E-2</v>
      </c>
      <c r="AH7994">
        <v>0.48623795337006298</v>
      </c>
      <c r="AI7994">
        <v>98.847478127126706</v>
      </c>
      <c r="AJ7994">
        <v>78.038798752626903</v>
      </c>
      <c r="AK7994">
        <v>0.50301460673449006</v>
      </c>
      <c r="AL7994">
        <v>79.453567404789993</v>
      </c>
      <c r="AM7994">
        <v>86.210633237276198</v>
      </c>
      <c r="AN7994">
        <v>1.00000001650472</v>
      </c>
    </row>
    <row r="7995" spans="1:40" x14ac:dyDescent="0.25">
      <c r="A7995" t="str">
        <f>"20190312172305138"</f>
        <v>20190312172305138</v>
      </c>
      <c r="B7995" t="str">
        <f>"1552382585128560"</f>
        <v>1552382585128560</v>
      </c>
      <c r="C7995" t="s">
        <v>40</v>
      </c>
      <c r="D7995">
        <v>3.5778729999999999</v>
      </c>
      <c r="E7995">
        <v>0.52422659999999999</v>
      </c>
      <c r="F7995" t="s">
        <v>41</v>
      </c>
      <c r="G7995">
        <v>-186.3989</v>
      </c>
      <c r="H7995">
        <v>1.033334</v>
      </c>
      <c r="I7995">
        <v>-29.077760000000001</v>
      </c>
      <c r="J7995">
        <v>-186.44460000000001</v>
      </c>
      <c r="K7995">
        <v>1.1062909999999999</v>
      </c>
      <c r="L7995">
        <v>-29.546389999999999</v>
      </c>
      <c r="M7995">
        <v>-0.11635570000000001</v>
      </c>
      <c r="N7995">
        <v>0</v>
      </c>
      <c r="O7995">
        <v>0.99309890000000001</v>
      </c>
      <c r="P7995">
        <v>-5.0959089999999999E-2</v>
      </c>
      <c r="Q7995">
        <v>0.17003750000000001</v>
      </c>
      <c r="R7995">
        <v>0.98411910000000002</v>
      </c>
      <c r="S7995">
        <v>3.797913E-2</v>
      </c>
      <c r="T7995">
        <v>-0.28254269999999998</v>
      </c>
      <c r="U7995">
        <v>3.0996700000000001</v>
      </c>
      <c r="V7995">
        <v>6.5714069999999999E-2</v>
      </c>
      <c r="W7995">
        <v>0.18383050000000001</v>
      </c>
      <c r="X7995">
        <v>0.98075889999999999</v>
      </c>
      <c r="Y7995">
        <v>0.12847649999999999</v>
      </c>
      <c r="Z7995">
        <v>-8.947252E-2</v>
      </c>
      <c r="AA7995">
        <v>0.9876682</v>
      </c>
      <c r="AB7995">
        <v>33</v>
      </c>
      <c r="AC7995">
        <v>4.5700000000010697E-2</v>
      </c>
      <c r="AD7995">
        <v>-7.2956999999999897E-2</v>
      </c>
      <c r="AE7995">
        <v>0.46863000000000399</v>
      </c>
      <c r="AF7995">
        <v>9.7580430033706297E-2</v>
      </c>
      <c r="AG7995">
        <v>-7.2956999999999897E-2</v>
      </c>
      <c r="AH7995">
        <v>0.449340221827908</v>
      </c>
      <c r="AI7995">
        <v>99.015762289295097</v>
      </c>
      <c r="AJ7995">
        <v>77.747673678729697</v>
      </c>
      <c r="AK7995">
        <v>0.46556556909517799</v>
      </c>
      <c r="AL7995">
        <v>79.407044422408106</v>
      </c>
      <c r="AM7995">
        <v>86.166724014566796</v>
      </c>
      <c r="AN7995">
        <v>1.0000000058277101</v>
      </c>
    </row>
    <row r="7996" spans="1:40" x14ac:dyDescent="0.25">
      <c r="A7996" t="str">
        <f>"20190312172305151"</f>
        <v>20190312172305151</v>
      </c>
      <c r="B7996" t="str">
        <f>"1552382585148080"</f>
        <v>1552382585148080</v>
      </c>
      <c r="C7996" t="s">
        <v>40</v>
      </c>
      <c r="D7996">
        <v>3.5387119999999999</v>
      </c>
      <c r="E7996">
        <v>0.52349380000000001</v>
      </c>
      <c r="F7996" t="s">
        <v>41</v>
      </c>
      <c r="G7996">
        <v>-186.43190000000001</v>
      </c>
      <c r="H7996">
        <v>1.037377</v>
      </c>
      <c r="I7996">
        <v>-28.784120000000001</v>
      </c>
      <c r="J7996">
        <v>-186.4649</v>
      </c>
      <c r="K7996">
        <v>1.1062609999999999</v>
      </c>
      <c r="L7996">
        <v>-29.348849999999999</v>
      </c>
      <c r="M7996">
        <v>-0.11345710000000001</v>
      </c>
      <c r="N7996">
        <v>0</v>
      </c>
      <c r="O7996">
        <v>0.99343440000000005</v>
      </c>
      <c r="P7996">
        <v>-4.841459E-2</v>
      </c>
      <c r="Q7996">
        <v>0.17037529999999901</v>
      </c>
      <c r="R7996">
        <v>0.98418919999999999</v>
      </c>
      <c r="S7996">
        <v>5.1574710000000003E-2</v>
      </c>
      <c r="T7996">
        <v>-0.28010259999999998</v>
      </c>
      <c r="U7996">
        <v>3.0994869999999999</v>
      </c>
      <c r="V7996">
        <v>6.5399199999999894E-2</v>
      </c>
      <c r="W7996">
        <v>0.18415999999999999</v>
      </c>
      <c r="X7996">
        <v>0.98071810000000004</v>
      </c>
      <c r="Y7996">
        <v>0.12991559999999999</v>
      </c>
      <c r="Z7996">
        <v>-8.8745149999999995E-2</v>
      </c>
      <c r="AA7996">
        <v>0.98754549999999997</v>
      </c>
      <c r="AB7996">
        <v>33</v>
      </c>
      <c r="AC7996">
        <v>3.2999999999986998E-2</v>
      </c>
      <c r="AD7996">
        <v>-6.8884000000000098E-2</v>
      </c>
      <c r="AE7996">
        <v>0.56472999999999696</v>
      </c>
      <c r="AF7996">
        <v>9.5451082520046401E-2</v>
      </c>
      <c r="AG7996">
        <v>-6.8884000000000098E-2</v>
      </c>
      <c r="AH7996">
        <v>0.54919489143328704</v>
      </c>
      <c r="AI7996">
        <v>97.044595617279398</v>
      </c>
      <c r="AJ7996">
        <v>80.140377623172995</v>
      </c>
      <c r="AK7996">
        <v>0.56166800103501402</v>
      </c>
      <c r="AL7996">
        <v>79.387837229796901</v>
      </c>
      <c r="AM7996">
        <v>86.184878606949397</v>
      </c>
      <c r="AN7996">
        <v>0.99999997631412396</v>
      </c>
    </row>
    <row r="7997" spans="1:40" x14ac:dyDescent="0.25">
      <c r="A7997" t="str">
        <f>"20190312172305172"</f>
        <v>20190312172305172</v>
      </c>
      <c r="B7997" t="str">
        <f>"1552382585168575"</f>
        <v>1552382585168575</v>
      </c>
      <c r="C7997" t="s">
        <v>40</v>
      </c>
      <c r="D7997">
        <v>3.5835810000000001</v>
      </c>
      <c r="E7997">
        <v>0.51570450000000001</v>
      </c>
      <c r="F7997" t="s">
        <v>41</v>
      </c>
      <c r="G7997">
        <v>-186.4496</v>
      </c>
      <c r="H7997">
        <v>1.0294749999999999</v>
      </c>
      <c r="I7997">
        <v>-28.49492</v>
      </c>
      <c r="J7997">
        <v>-186.49459999999999</v>
      </c>
      <c r="K7997">
        <v>1.1062320000000001</v>
      </c>
      <c r="L7997">
        <v>-29.050509999999999</v>
      </c>
      <c r="M7997">
        <v>-0.1090811</v>
      </c>
      <c r="N7997">
        <v>0</v>
      </c>
      <c r="O7997">
        <v>0.99392449999999999</v>
      </c>
      <c r="P7997">
        <v>-4.6307290000000001E-2</v>
      </c>
      <c r="Q7997">
        <v>0.1721917</v>
      </c>
      <c r="R7997">
        <v>0.98397440000000003</v>
      </c>
      <c r="S7997">
        <v>5.528259E-2</v>
      </c>
      <c r="T7997">
        <v>-0.27849780000000002</v>
      </c>
      <c r="U7997">
        <v>3.0991209999999998</v>
      </c>
      <c r="V7997">
        <v>6.3176750000000004E-2</v>
      </c>
      <c r="W7997">
        <v>0.18598200000000001</v>
      </c>
      <c r="X7997">
        <v>0.98051999999999995</v>
      </c>
      <c r="Y7997">
        <v>0.1267324</v>
      </c>
      <c r="Z7997">
        <v>-8.8334369999999995E-2</v>
      </c>
      <c r="AA7997">
        <v>0.98799590000000004</v>
      </c>
      <c r="AB7997">
        <v>33</v>
      </c>
      <c r="AC7997">
        <v>4.4999999999987397E-2</v>
      </c>
      <c r="AD7997">
        <v>-7.6756999999999895E-2</v>
      </c>
      <c r="AE7997">
        <v>0.55558999999999803</v>
      </c>
      <c r="AF7997">
        <v>0.103381973266698</v>
      </c>
      <c r="AG7997">
        <v>-7.6756999999999895E-2</v>
      </c>
      <c r="AH7997">
        <v>0.537178758425507</v>
      </c>
      <c r="AI7997">
        <v>97.987268119208593</v>
      </c>
      <c r="AJ7997">
        <v>79.106412709928406</v>
      </c>
      <c r="AK7997">
        <v>0.55239522802888696</v>
      </c>
      <c r="AL7997">
        <v>79.281609899380697</v>
      </c>
      <c r="AM7997">
        <v>86.313420968890796</v>
      </c>
      <c r="AN7997">
        <v>1.00000003823228</v>
      </c>
    </row>
    <row r="7998" spans="1:40" x14ac:dyDescent="0.25">
      <c r="A7998" t="str">
        <f>"20190312172305194"</f>
        <v>20190312172305194</v>
      </c>
      <c r="B7998" t="str">
        <f>"1552382585188095"</f>
        <v>1552382585188095</v>
      </c>
      <c r="C7998" t="s">
        <v>40</v>
      </c>
      <c r="D7998">
        <v>3.5923039999999999</v>
      </c>
      <c r="E7998">
        <v>0.51557359999999997</v>
      </c>
      <c r="F7998" t="s">
        <v>41</v>
      </c>
      <c r="G7998">
        <v>-186.4939</v>
      </c>
      <c r="H7998">
        <v>1.029336</v>
      </c>
      <c r="I7998">
        <v>-28.205469999999998</v>
      </c>
      <c r="J7998">
        <v>-186.52590000000001</v>
      </c>
      <c r="K7998">
        <v>1.1062050000000001</v>
      </c>
      <c r="L7998">
        <v>-28.721499999999999</v>
      </c>
      <c r="M7998">
        <v>-0.10425860000000001</v>
      </c>
      <c r="N7998">
        <v>0</v>
      </c>
      <c r="O7998">
        <v>0.99444200000000005</v>
      </c>
      <c r="P7998">
        <v>-4.4729070000000003E-2</v>
      </c>
      <c r="Q7998">
        <v>0.17394000000000001</v>
      </c>
      <c r="R7998">
        <v>0.9837399</v>
      </c>
      <c r="S7998">
        <v>2.5939940000000001E-3</v>
      </c>
      <c r="T7998">
        <v>-0.28186670000000003</v>
      </c>
      <c r="U7998">
        <v>3.0982970000000001</v>
      </c>
      <c r="V7998">
        <v>5.9985009999999998E-2</v>
      </c>
      <c r="W7998">
        <v>0.18774840000000001</v>
      </c>
      <c r="X7998">
        <v>0.98038380000000003</v>
      </c>
      <c r="Y7998">
        <v>0.10509780000000001</v>
      </c>
      <c r="Z7998">
        <v>-8.9609880000000003E-2</v>
      </c>
      <c r="AA7998">
        <v>0.99041630000000003</v>
      </c>
      <c r="AB7998">
        <v>33</v>
      </c>
      <c r="AC7998">
        <v>3.2000000000010603E-2</v>
      </c>
      <c r="AD7998">
        <v>-7.6868999999999799E-2</v>
      </c>
      <c r="AE7998">
        <v>0.51602999999999699</v>
      </c>
      <c r="AF7998">
        <v>8.3779990007289196E-2</v>
      </c>
      <c r="AG7998">
        <v>-7.6868999999999799E-2</v>
      </c>
      <c r="AH7998">
        <v>0.498853476047945</v>
      </c>
      <c r="AI7998">
        <v>98.640738289141893</v>
      </c>
      <c r="AJ7998">
        <v>80.466424236742498</v>
      </c>
      <c r="AK7998">
        <v>0.51164706629837997</v>
      </c>
      <c r="AL7998">
        <v>79.1785878510847</v>
      </c>
      <c r="AM7998">
        <v>86.498709281376406</v>
      </c>
      <c r="AN7998">
        <v>1.0000000292148401</v>
      </c>
    </row>
    <row r="7999" spans="1:40" x14ac:dyDescent="0.25">
      <c r="A7999" t="str">
        <f>"20190312172305216"</f>
        <v>20190312172305216</v>
      </c>
      <c r="B7999" t="str">
        <f>"1552382585208592"</f>
        <v>1552382585208592</v>
      </c>
      <c r="C7999" t="s">
        <v>40</v>
      </c>
      <c r="D7999">
        <v>3.5821939999999999</v>
      </c>
      <c r="E7999">
        <v>0.5153624</v>
      </c>
      <c r="F7999" t="s">
        <v>41</v>
      </c>
      <c r="G7999">
        <v>-186.52359999999999</v>
      </c>
      <c r="H7999">
        <v>1.0335490000000001</v>
      </c>
      <c r="I7999">
        <v>-27.912369999999999</v>
      </c>
      <c r="J7999">
        <v>-186.55420000000001</v>
      </c>
      <c r="K7999">
        <v>1.1061859999999999</v>
      </c>
      <c r="L7999">
        <v>-28.407959999999999</v>
      </c>
      <c r="M7999">
        <v>-9.9667480000000003E-2</v>
      </c>
      <c r="N7999">
        <v>0</v>
      </c>
      <c r="O7999">
        <v>0.99491269999999998</v>
      </c>
      <c r="P7999">
        <v>-4.5144490000000002E-2</v>
      </c>
      <c r="Q7999">
        <v>0.17468399999999901</v>
      </c>
      <c r="R7999">
        <v>0.98358909999999999</v>
      </c>
      <c r="S7999">
        <v>8.3160400000000002E-3</v>
      </c>
      <c r="T7999">
        <v>-0.27807730000000003</v>
      </c>
      <c r="U7999">
        <v>3.0991209999999998</v>
      </c>
      <c r="V7999">
        <v>5.503632E-2</v>
      </c>
      <c r="W7999">
        <v>0.18853619999999999</v>
      </c>
      <c r="X7999">
        <v>0.98052289999999998</v>
      </c>
      <c r="Y7999">
        <v>0.1023362</v>
      </c>
      <c r="Z7999">
        <v>-8.8467219999999999E-2</v>
      </c>
      <c r="AA7999">
        <v>0.99080820000000003</v>
      </c>
      <c r="AB7999">
        <v>33</v>
      </c>
      <c r="AC7999">
        <v>3.0600000000020999E-2</v>
      </c>
      <c r="AD7999">
        <v>-7.2636999999999993E-2</v>
      </c>
      <c r="AE7999">
        <v>0.49558999999999598</v>
      </c>
      <c r="AF7999">
        <v>7.8174179174376496E-2</v>
      </c>
      <c r="AG7999">
        <v>-7.2636999999999993E-2</v>
      </c>
      <c r="AH7999">
        <v>0.47980376857052898</v>
      </c>
      <c r="AI7999">
        <v>98.498191232105299</v>
      </c>
      <c r="AJ7999">
        <v>80.7461409915079</v>
      </c>
      <c r="AK7999">
        <v>0.49152720412309803</v>
      </c>
      <c r="AL7999">
        <v>79.132629469903094</v>
      </c>
      <c r="AM7999">
        <v>86.787384026522304</v>
      </c>
      <c r="AN7999">
        <v>1.0000000263269899</v>
      </c>
    </row>
    <row r="8000" spans="1:40" x14ac:dyDescent="0.25">
      <c r="A8000" t="str">
        <f>"20190312172305249"</f>
        <v>20190312172305249</v>
      </c>
      <c r="B8000" t="str">
        <f>"1552382585238861"</f>
        <v>1552382585238861</v>
      </c>
      <c r="C8000" t="s">
        <v>40</v>
      </c>
      <c r="D8000">
        <v>3.5962000000000001</v>
      </c>
      <c r="E8000">
        <v>0.51543459999999997</v>
      </c>
      <c r="F8000" t="s">
        <v>41</v>
      </c>
      <c r="G8000">
        <v>-186.55240000000001</v>
      </c>
      <c r="H8000">
        <v>1.0358290000000001</v>
      </c>
      <c r="I8000">
        <v>-27.620450000000002</v>
      </c>
      <c r="J8000">
        <v>-186.59469999999999</v>
      </c>
      <c r="K8000">
        <v>1.106166</v>
      </c>
      <c r="L8000">
        <v>-27.925750000000001</v>
      </c>
      <c r="M8000">
        <v>-9.2606569999999999E-2</v>
      </c>
      <c r="N8000">
        <v>0</v>
      </c>
      <c r="O8000">
        <v>0.99559500000000001</v>
      </c>
      <c r="P8000">
        <v>-4.6185410000000003E-2</v>
      </c>
      <c r="Q8000">
        <v>0.17415120000000001</v>
      </c>
      <c r="R8000">
        <v>0.98363520000000004</v>
      </c>
      <c r="S8000">
        <v>7.1563719999999898E-3</v>
      </c>
      <c r="T8000">
        <v>-0.27688489999999999</v>
      </c>
      <c r="U8000">
        <v>3.099548</v>
      </c>
      <c r="V8000">
        <v>4.7031490000000002E-2</v>
      </c>
      <c r="W8000">
        <v>0.18807109999999999</v>
      </c>
      <c r="X8000">
        <v>0.98102869999999998</v>
      </c>
      <c r="Y8000">
        <v>9.4905320000000001E-2</v>
      </c>
      <c r="Z8000">
        <v>-8.8202580000000003E-2</v>
      </c>
      <c r="AA8000">
        <v>0.99157110000000004</v>
      </c>
      <c r="AB8000">
        <v>33</v>
      </c>
      <c r="AC8000">
        <v>4.2299999999983101E-2</v>
      </c>
      <c r="AD8000">
        <v>-7.0336999999999802E-2</v>
      </c>
      <c r="AE8000">
        <v>0.30529999999999802</v>
      </c>
      <c r="AF8000">
        <v>6.6909482549876095E-2</v>
      </c>
      <c r="AG8000">
        <v>-7.0336999999999802E-2</v>
      </c>
      <c r="AH8000">
        <v>0.285216531119242</v>
      </c>
      <c r="AI8000">
        <v>103.500668301901</v>
      </c>
      <c r="AJ8000">
        <v>76.797610542085806</v>
      </c>
      <c r="AK8000">
        <v>0.30128498476987797</v>
      </c>
      <c r="AL8000">
        <v>79.159762900141203</v>
      </c>
      <c r="AM8000">
        <v>87.255284912259995</v>
      </c>
      <c r="AN8000">
        <v>1.00000000496526</v>
      </c>
    </row>
    <row r="8001" spans="1:40" x14ac:dyDescent="0.25">
      <c r="A8001" t="str">
        <f>"20190312172305272"</f>
        <v>20190312172305272</v>
      </c>
      <c r="B8001" t="str">
        <f>"1552382585268128"</f>
        <v>1552382585268128</v>
      </c>
      <c r="C8001" t="s">
        <v>40</v>
      </c>
      <c r="D8001">
        <v>3.598643</v>
      </c>
      <c r="E8001">
        <v>0.51560309999999998</v>
      </c>
      <c r="F8001" t="s">
        <v>41</v>
      </c>
      <c r="G8001">
        <v>-186.59280000000001</v>
      </c>
      <c r="H8001">
        <v>1.026346</v>
      </c>
      <c r="I8001">
        <v>-27.042940000000002</v>
      </c>
      <c r="J8001">
        <v>-186.62020000000001</v>
      </c>
      <c r="K8001">
        <v>1.106155</v>
      </c>
      <c r="L8001">
        <v>-27.598479999999999</v>
      </c>
      <c r="M8001">
        <v>-8.7815199999999996E-2</v>
      </c>
      <c r="N8001">
        <v>0</v>
      </c>
      <c r="O8001">
        <v>0.99602939999999995</v>
      </c>
      <c r="P8001">
        <v>-4.5303589999999998E-2</v>
      </c>
      <c r="Q8001">
        <v>0.17419019999999999</v>
      </c>
      <c r="R8001">
        <v>0.98366929999999997</v>
      </c>
      <c r="S8001">
        <v>6.4849850000000004E-3</v>
      </c>
      <c r="T8001">
        <v>-0.28024480000000002</v>
      </c>
      <c r="U8001">
        <v>3.0998230000000002</v>
      </c>
      <c r="V8001">
        <v>4.3182980000000003E-2</v>
      </c>
      <c r="W8001">
        <v>0.18813389999999999</v>
      </c>
      <c r="X8001">
        <v>0.9811936</v>
      </c>
      <c r="Y8001">
        <v>8.9899240000000005E-2</v>
      </c>
      <c r="Z8001">
        <v>-8.9335899999999996E-2</v>
      </c>
      <c r="AA8001">
        <v>0.99193609999999999</v>
      </c>
      <c r="AB8001">
        <v>32</v>
      </c>
      <c r="AC8001">
        <v>2.7400000000000001E-2</v>
      </c>
      <c r="AD8001">
        <v>-7.9809000000000005E-2</v>
      </c>
      <c r="AE8001">
        <v>0.55553999999999704</v>
      </c>
      <c r="AF8001">
        <v>7.45493648583513E-2</v>
      </c>
      <c r="AG8001">
        <v>-7.9809000000000005E-2</v>
      </c>
      <c r="AH8001">
        <v>0.53987199444196499</v>
      </c>
      <c r="AI8001">
        <v>98.331173007890698</v>
      </c>
      <c r="AJ8001">
        <v>82.137911225662904</v>
      </c>
      <c r="AK8001">
        <v>0.55080745697977695</v>
      </c>
      <c r="AL8001">
        <v>79.156099354827205</v>
      </c>
      <c r="AM8001">
        <v>87.480000995236693</v>
      </c>
      <c r="AN8001">
        <v>1.0000000073859201</v>
      </c>
    </row>
    <row r="8002" spans="1:40" x14ac:dyDescent="0.25">
      <c r="A8002" t="str">
        <f>"20190312172305293"</f>
        <v>20190312172305293</v>
      </c>
      <c r="B8002" t="str">
        <f>"1552382585288624"</f>
        <v>1552382585288624</v>
      </c>
      <c r="C8002" t="s">
        <v>40</v>
      </c>
      <c r="D8002">
        <v>3.6213739999999999</v>
      </c>
      <c r="E8002">
        <v>0.51559739999999998</v>
      </c>
      <c r="F8002" t="s">
        <v>41</v>
      </c>
      <c r="G8002">
        <v>-186.61709999999999</v>
      </c>
      <c r="H8002">
        <v>1.0285310000000001</v>
      </c>
      <c r="I8002">
        <v>-26.751619999999999</v>
      </c>
      <c r="J8002">
        <v>-186.64259999999999</v>
      </c>
      <c r="K8002">
        <v>1.1061559999999999</v>
      </c>
      <c r="L8002">
        <v>-27.292629999999999</v>
      </c>
      <c r="M8002">
        <v>-8.3334480000000002E-2</v>
      </c>
      <c r="N8002">
        <v>0</v>
      </c>
      <c r="O8002">
        <v>0.99641449999999998</v>
      </c>
      <c r="P8002">
        <v>-4.3132980000000001E-2</v>
      </c>
      <c r="Q8002">
        <v>0.17575779999999999</v>
      </c>
      <c r="R8002">
        <v>0.98348800000000003</v>
      </c>
      <c r="S8002">
        <v>1.095581E-2</v>
      </c>
      <c r="T8002">
        <v>-0.28401769999999998</v>
      </c>
      <c r="U8002">
        <v>3.100616</v>
      </c>
      <c r="V8002">
        <v>4.0922399999999998E-2</v>
      </c>
      <c r="W8002">
        <v>0.1897007</v>
      </c>
      <c r="X8002">
        <v>0.98098879999999999</v>
      </c>
      <c r="Y8002">
        <v>8.6848739999999994E-2</v>
      </c>
      <c r="Z8002">
        <v>-9.0570479999999995E-2</v>
      </c>
      <c r="AA8002">
        <v>0.99209590000000003</v>
      </c>
      <c r="AB8002">
        <v>32</v>
      </c>
      <c r="AC8002">
        <v>2.5499999999993798E-2</v>
      </c>
      <c r="AD8002">
        <v>-7.7625E-2</v>
      </c>
      <c r="AE8002">
        <v>0.54100999999999599</v>
      </c>
      <c r="AF8002">
        <v>6.9081849358679406E-2</v>
      </c>
      <c r="AG8002">
        <v>-7.7625E-2</v>
      </c>
      <c r="AH8002">
        <v>0.52619378186269805</v>
      </c>
      <c r="AI8002">
        <v>98.321448491993493</v>
      </c>
      <c r="AJ8002">
        <v>82.520644927562202</v>
      </c>
      <c r="AK8002">
        <v>0.53635607445687095</v>
      </c>
      <c r="AL8002">
        <v>79.064682220182704</v>
      </c>
      <c r="AM8002">
        <v>87.611265112786697</v>
      </c>
      <c r="AN8002">
        <v>1.0000000120638399</v>
      </c>
    </row>
    <row r="8003" spans="1:40" x14ac:dyDescent="0.25">
      <c r="A8003" t="str">
        <f>"20190312172305315"</f>
        <v>20190312172305315</v>
      </c>
      <c r="B8003" t="str">
        <f>"1552382585308144"</f>
        <v>1552382585308144</v>
      </c>
      <c r="C8003" t="s">
        <v>40</v>
      </c>
      <c r="D8003">
        <v>3.6034570000000001</v>
      </c>
      <c r="E8003">
        <v>0.51566299999999998</v>
      </c>
      <c r="F8003" t="s">
        <v>41</v>
      </c>
      <c r="G8003">
        <v>-186.63829999999999</v>
      </c>
      <c r="H8003">
        <v>1.0307809999999999</v>
      </c>
      <c r="I8003">
        <v>-26.460290000000001</v>
      </c>
      <c r="J8003">
        <v>-186.66560000000001</v>
      </c>
      <c r="K8003">
        <v>1.106163</v>
      </c>
      <c r="L8003">
        <v>-26.958559999999999</v>
      </c>
      <c r="M8003">
        <v>-7.8436149999999996E-2</v>
      </c>
      <c r="N8003">
        <v>0</v>
      </c>
      <c r="O8003">
        <v>0.99681260000000005</v>
      </c>
      <c r="P8003">
        <v>-4.0503900000000002E-2</v>
      </c>
      <c r="Q8003">
        <v>0.17683789999999999</v>
      </c>
      <c r="R8003">
        <v>0.98340620000000001</v>
      </c>
      <c r="S8003">
        <v>1.5686039999999998E-2</v>
      </c>
      <c r="T8003">
        <v>-0.2806998</v>
      </c>
      <c r="U8003">
        <v>3.1012270000000002</v>
      </c>
      <c r="V8003">
        <v>3.8712539999999997E-2</v>
      </c>
      <c r="W8003">
        <v>0.19076989999999999</v>
      </c>
      <c r="X8003">
        <v>0.9808711</v>
      </c>
      <c r="Y8003">
        <v>8.346489E-2</v>
      </c>
      <c r="Z8003">
        <v>-8.957002E-2</v>
      </c>
      <c r="AA8003">
        <v>0.9924771</v>
      </c>
      <c r="AB8003">
        <v>32</v>
      </c>
      <c r="AC8003">
        <v>2.73000000000252E-2</v>
      </c>
      <c r="AD8003">
        <v>-7.5382000000000005E-2</v>
      </c>
      <c r="AE8003">
        <v>0.498269999999994</v>
      </c>
      <c r="AF8003">
        <v>6.4823180885604195E-2</v>
      </c>
      <c r="AG8003">
        <v>-7.5382000000000005E-2</v>
      </c>
      <c r="AH8003">
        <v>0.48355852676817901</v>
      </c>
      <c r="AI8003">
        <v>98.783203203446902</v>
      </c>
      <c r="AJ8003">
        <v>82.364764230952701</v>
      </c>
      <c r="AK8003">
        <v>0.49367331254012398</v>
      </c>
      <c r="AL8003">
        <v>79.002281528672995</v>
      </c>
      <c r="AM8003">
        <v>87.739851291759194</v>
      </c>
      <c r="AN8003">
        <v>0.99999996515723499</v>
      </c>
    </row>
    <row r="8004" spans="1:40" x14ac:dyDescent="0.25">
      <c r="A8004" t="str">
        <f>"20190312172305339"</f>
        <v>20190312172305339</v>
      </c>
      <c r="B8004" t="str">
        <f>"1552382585328643"</f>
        <v>1552382585328643</v>
      </c>
      <c r="C8004" t="s">
        <v>40</v>
      </c>
      <c r="D8004">
        <v>3.624593</v>
      </c>
      <c r="E8004">
        <v>0.51568849999999999</v>
      </c>
      <c r="F8004" t="s">
        <v>41</v>
      </c>
      <c r="G8004">
        <v>-186.65979999999999</v>
      </c>
      <c r="H8004">
        <v>1.0349839999999999</v>
      </c>
      <c r="I8004">
        <v>-26.168289999999999</v>
      </c>
      <c r="J8004">
        <v>-186.68700000000001</v>
      </c>
      <c r="K8004">
        <v>1.106176</v>
      </c>
      <c r="L8004">
        <v>-26.622070000000001</v>
      </c>
      <c r="M8004">
        <v>-7.349878E-2</v>
      </c>
      <c r="N8004">
        <v>0</v>
      </c>
      <c r="O8004">
        <v>0.9971894</v>
      </c>
      <c r="P8004">
        <v>-3.8181449999999999E-2</v>
      </c>
      <c r="Q8004">
        <v>0.17765040000000001</v>
      </c>
      <c r="R8004">
        <v>0.98335269999999997</v>
      </c>
      <c r="S8004">
        <v>2.2293090000000002E-2</v>
      </c>
      <c r="T8004">
        <v>-0.27924929999999998</v>
      </c>
      <c r="U8004">
        <v>3.1017459999999999</v>
      </c>
      <c r="V8004">
        <v>3.6160400000000002E-2</v>
      </c>
      <c r="W8004">
        <v>0.1915683</v>
      </c>
      <c r="X8004">
        <v>0.98081289999999999</v>
      </c>
      <c r="Y8004">
        <v>8.0643110000000004E-2</v>
      </c>
      <c r="Z8004">
        <v>-8.9156460000000007E-2</v>
      </c>
      <c r="AA8004">
        <v>0.99274759999999995</v>
      </c>
      <c r="AB8004">
        <v>32</v>
      </c>
      <c r="AC8004">
        <v>2.72000000000218E-2</v>
      </c>
      <c r="AD8004">
        <v>-7.1192000000000102E-2</v>
      </c>
      <c r="AE8004">
        <v>0.45378000000000102</v>
      </c>
      <c r="AF8004">
        <v>5.9034381090551501E-2</v>
      </c>
      <c r="AG8004">
        <v>-7.1192000000000102E-2</v>
      </c>
      <c r="AH8004">
        <v>0.43976760014018201</v>
      </c>
      <c r="AI8004">
        <v>99.115208523602604</v>
      </c>
      <c r="AJ8004">
        <v>82.354324683185894</v>
      </c>
      <c r="AK8004">
        <v>0.44938725076241298</v>
      </c>
      <c r="AL8004">
        <v>78.955677068869207</v>
      </c>
      <c r="AM8004">
        <v>87.888587755923297</v>
      </c>
      <c r="AN8004">
        <v>0.99999996644972899</v>
      </c>
    </row>
    <row r="8005" spans="1:40" x14ac:dyDescent="0.25">
      <c r="A8005" t="str">
        <f>"20190312172305360"</f>
        <v>20190312172305360</v>
      </c>
      <c r="B8005" t="str">
        <f>"1552382585357921"</f>
        <v>1552382585357921</v>
      </c>
      <c r="C8005" t="s">
        <v>40</v>
      </c>
      <c r="D8005">
        <v>3.6286870000000002</v>
      </c>
      <c r="E8005">
        <v>0.51581569999999999</v>
      </c>
      <c r="F8005" t="s">
        <v>41</v>
      </c>
      <c r="G8005">
        <v>-186.6799</v>
      </c>
      <c r="H8005">
        <v>1.039323</v>
      </c>
      <c r="I8005">
        <v>-25.876370000000001</v>
      </c>
      <c r="J8005">
        <v>-186.70509999999999</v>
      </c>
      <c r="K8005">
        <v>1.106187</v>
      </c>
      <c r="L8005">
        <v>-26.315799999999999</v>
      </c>
      <c r="M8005">
        <v>-6.9000450000000005E-2</v>
      </c>
      <c r="N8005">
        <v>0</v>
      </c>
      <c r="O8005">
        <v>0.99751140000000005</v>
      </c>
      <c r="P8005">
        <v>-3.6944100000000001E-2</v>
      </c>
      <c r="Q8005">
        <v>0.17943700000000001</v>
      </c>
      <c r="R8005">
        <v>0.98307560000000005</v>
      </c>
      <c r="S8005">
        <v>2.972412E-2</v>
      </c>
      <c r="T8005">
        <v>-0.27821200000000001</v>
      </c>
      <c r="U8005">
        <v>3.1022029999999998</v>
      </c>
      <c r="V8005">
        <v>3.2955560000000002E-2</v>
      </c>
      <c r="W8005">
        <v>0.19334180000000001</v>
      </c>
      <c r="X8005">
        <v>0.98057780000000005</v>
      </c>
      <c r="Y8005">
        <v>7.8524449999999996E-2</v>
      </c>
      <c r="Z8005">
        <v>-8.886455E-2</v>
      </c>
      <c r="AA8005">
        <v>0.99294360000000004</v>
      </c>
      <c r="AB8005">
        <v>32</v>
      </c>
      <c r="AC8005">
        <v>2.5199999999983898E-2</v>
      </c>
      <c r="AD8005">
        <v>-6.6864000000000007E-2</v>
      </c>
      <c r="AE8005">
        <v>0.43942999999999799</v>
      </c>
      <c r="AF8005">
        <v>5.4212906166605297E-2</v>
      </c>
      <c r="AG8005">
        <v>-6.6864000000000007E-2</v>
      </c>
      <c r="AH8005">
        <v>0.42679432748928597</v>
      </c>
      <c r="AI8005">
        <v>98.8340532008081</v>
      </c>
      <c r="AJ8005">
        <v>82.760858284897907</v>
      </c>
      <c r="AK8005">
        <v>0.43538859845896399</v>
      </c>
      <c r="AL8005">
        <v>78.852127255712006</v>
      </c>
      <c r="AM8005">
        <v>88.075110351656903</v>
      </c>
      <c r="AN8005">
        <v>0.99999997120749595</v>
      </c>
    </row>
    <row r="8006" spans="1:40" x14ac:dyDescent="0.25">
      <c r="A8006" t="str">
        <f>"20190312172305383"</f>
        <v>20190312172305383</v>
      </c>
      <c r="B8006" t="str">
        <f>"1552382585378416"</f>
        <v>1552382585378416</v>
      </c>
      <c r="C8006" t="s">
        <v>40</v>
      </c>
      <c r="D8006">
        <v>3.621855</v>
      </c>
      <c r="E8006">
        <v>0.51594180000000001</v>
      </c>
      <c r="F8006" t="s">
        <v>41</v>
      </c>
      <c r="G8006">
        <v>-186.69319999999999</v>
      </c>
      <c r="H8006">
        <v>1.0175689999999999</v>
      </c>
      <c r="I8006">
        <v>-25.30659</v>
      </c>
      <c r="J8006">
        <v>-186.72290000000001</v>
      </c>
      <c r="K8006">
        <v>1.106193</v>
      </c>
      <c r="L8006">
        <v>-25.983889999999999</v>
      </c>
      <c r="M8006">
        <v>-6.4121250000000005E-2</v>
      </c>
      <c r="N8006">
        <v>0</v>
      </c>
      <c r="O8006">
        <v>0.99783770000000005</v>
      </c>
      <c r="P8006">
        <v>-3.498457E-2</v>
      </c>
      <c r="Q8006">
        <v>0.18174019999999999</v>
      </c>
      <c r="R8006">
        <v>0.98272409999999999</v>
      </c>
      <c r="S8006">
        <v>3.6361690000000002E-2</v>
      </c>
      <c r="T8006">
        <v>-0.27238379999999901</v>
      </c>
      <c r="U8006">
        <v>3.102722</v>
      </c>
      <c r="V8006">
        <v>3.0099999999999998E-2</v>
      </c>
      <c r="W8006">
        <v>0.19561439999999999</v>
      </c>
      <c r="X8006">
        <v>0.98021879999999995</v>
      </c>
      <c r="Y8006">
        <v>7.577296E-2</v>
      </c>
      <c r="Z8006">
        <v>-8.705388E-2</v>
      </c>
      <c r="AA8006">
        <v>0.99331769999999997</v>
      </c>
      <c r="AB8006">
        <v>32</v>
      </c>
      <c r="AC8006">
        <v>2.97000000000196E-2</v>
      </c>
      <c r="AD8006">
        <v>-8.8623999999999994E-2</v>
      </c>
      <c r="AE8006">
        <v>0.67729999999999801</v>
      </c>
      <c r="AF8006">
        <v>7.1844986924978899E-2</v>
      </c>
      <c r="AG8006">
        <v>-8.8623999999999994E-2</v>
      </c>
      <c r="AH8006">
        <v>0.66267708659836599</v>
      </c>
      <c r="AI8006">
        <v>97.573468744477097</v>
      </c>
      <c r="AJ8006">
        <v>83.8123723094279</v>
      </c>
      <c r="AK8006">
        <v>0.67242608264756398</v>
      </c>
      <c r="AL8006">
        <v>78.719382066978298</v>
      </c>
      <c r="AM8006">
        <v>88.241146567963895</v>
      </c>
      <c r="AN8006">
        <v>0.99999994968039796</v>
      </c>
    </row>
    <row r="8007" spans="1:40" x14ac:dyDescent="0.25">
      <c r="A8007" t="str">
        <f>"20190312172305406"</f>
        <v>20190312172305406</v>
      </c>
      <c r="B8007" t="str">
        <f>"1552382585397936"</f>
        <v>1552382585397936</v>
      </c>
      <c r="C8007" t="s">
        <v>40</v>
      </c>
      <c r="D8007">
        <v>3.6241629999999998</v>
      </c>
      <c r="E8007">
        <v>0.51606850000000004</v>
      </c>
      <c r="F8007" t="s">
        <v>41</v>
      </c>
      <c r="G8007">
        <v>-186.7088</v>
      </c>
      <c r="H8007">
        <v>1.023188</v>
      </c>
      <c r="I8007">
        <v>-25.014520000000001</v>
      </c>
      <c r="J8007">
        <v>-186.73939999999999</v>
      </c>
      <c r="K8007">
        <v>1.106201</v>
      </c>
      <c r="L8007">
        <v>-25.646609999999999</v>
      </c>
      <c r="M8007">
        <v>-5.9160820000000003E-2</v>
      </c>
      <c r="N8007">
        <v>0</v>
      </c>
      <c r="O8007">
        <v>0.99814499999999995</v>
      </c>
      <c r="P8007">
        <v>-3.200629E-2</v>
      </c>
      <c r="Q8007">
        <v>0.1839044</v>
      </c>
      <c r="R8007">
        <v>0.98242289999999999</v>
      </c>
      <c r="S8007">
        <v>4.4860839999999999E-2</v>
      </c>
      <c r="T8007">
        <v>-0.26561879999999999</v>
      </c>
      <c r="U8007">
        <v>3.1034549999999999</v>
      </c>
      <c r="V8007">
        <v>2.818797E-2</v>
      </c>
      <c r="W8007">
        <v>0.1977333</v>
      </c>
      <c r="X8007">
        <v>0.97985049999999996</v>
      </c>
      <c r="Y8007">
        <v>7.3536459999999998E-2</v>
      </c>
      <c r="Z8007">
        <v>-8.4932590000000002E-2</v>
      </c>
      <c r="AA8007">
        <v>0.99366940000000004</v>
      </c>
      <c r="AB8007">
        <v>32</v>
      </c>
      <c r="AC8007">
        <v>3.0599999999992598E-2</v>
      </c>
      <c r="AD8007">
        <v>-8.3013000000000003E-2</v>
      </c>
      <c r="AE8007">
        <v>0.63208999999999704</v>
      </c>
      <c r="AF8007">
        <v>6.6795828185893399E-2</v>
      </c>
      <c r="AG8007">
        <v>-8.3013000000000003E-2</v>
      </c>
      <c r="AH8007">
        <v>0.61852880131841503</v>
      </c>
      <c r="AI8007">
        <v>97.600343612775504</v>
      </c>
      <c r="AJ8007">
        <v>83.836431233142903</v>
      </c>
      <c r="AK8007">
        <v>0.62763900364177005</v>
      </c>
      <c r="AL8007">
        <v>78.595560335171498</v>
      </c>
      <c r="AM8007">
        <v>88.352191064816793</v>
      </c>
      <c r="AN8007">
        <v>1.0000000109659299</v>
      </c>
    </row>
    <row r="8008" spans="1:40" x14ac:dyDescent="0.25">
      <c r="A8008" t="str">
        <f>"20190312172305428"</f>
        <v>20190312172305428</v>
      </c>
      <c r="B8008" t="str">
        <f>"1552382585418432"</f>
        <v>1552382585418432</v>
      </c>
      <c r="C8008" t="s">
        <v>40</v>
      </c>
      <c r="D8008">
        <v>3.6119300000000001</v>
      </c>
      <c r="E8008">
        <v>0.51620049999999995</v>
      </c>
      <c r="F8008" t="s">
        <v>41</v>
      </c>
      <c r="G8008">
        <v>-186.72319999999999</v>
      </c>
      <c r="H8008">
        <v>1.02888</v>
      </c>
      <c r="I8008">
        <v>-24.722549999999998</v>
      </c>
      <c r="J8008">
        <v>-186.7535</v>
      </c>
      <c r="K8008">
        <v>1.106196</v>
      </c>
      <c r="L8008">
        <v>-25.32715</v>
      </c>
      <c r="M8008">
        <v>-5.4458590000000001E-2</v>
      </c>
      <c r="N8008">
        <v>0</v>
      </c>
      <c r="O8008">
        <v>0.99841340000000001</v>
      </c>
      <c r="P8008">
        <v>-2.9476720000000001E-2</v>
      </c>
      <c r="Q8008">
        <v>0.1852509</v>
      </c>
      <c r="R8008">
        <v>0.98224909999999999</v>
      </c>
      <c r="S8008">
        <v>5.4473880000000002E-2</v>
      </c>
      <c r="T8008">
        <v>-0.25976650000000001</v>
      </c>
      <c r="U8008">
        <v>3.1040649999999999</v>
      </c>
      <c r="V8008">
        <v>2.6085919999999999E-2</v>
      </c>
      <c r="W8008">
        <v>0.1990391</v>
      </c>
      <c r="X8008">
        <v>0.97964430000000002</v>
      </c>
      <c r="Y8008">
        <v>7.1915220000000002E-2</v>
      </c>
      <c r="Z8008">
        <v>-8.3094520000000005E-2</v>
      </c>
      <c r="AA8008">
        <v>0.99394340000000003</v>
      </c>
      <c r="AB8008">
        <v>32</v>
      </c>
      <c r="AC8008">
        <v>3.0300000000010999E-2</v>
      </c>
      <c r="AD8008">
        <v>-7.7315999999999899E-2</v>
      </c>
      <c r="AE8008">
        <v>0.60460000000000103</v>
      </c>
      <c r="AF8008">
        <v>6.2169934838763402E-2</v>
      </c>
      <c r="AG8008">
        <v>-7.7315999999999899E-2</v>
      </c>
      <c r="AH8008">
        <v>0.59238916099806205</v>
      </c>
      <c r="AI8008">
        <v>97.3957944932191</v>
      </c>
      <c r="AJ8008">
        <v>84.008865708506093</v>
      </c>
      <c r="AK8008">
        <v>0.60063947815794105</v>
      </c>
      <c r="AL8008">
        <v>78.519226111887207</v>
      </c>
      <c r="AM8008">
        <v>88.474691252496598</v>
      </c>
      <c r="AN8008">
        <v>0.99999999653677296</v>
      </c>
    </row>
    <row r="8009" spans="1:40" x14ac:dyDescent="0.25">
      <c r="A8009" t="str">
        <f>"20190312172305450"</f>
        <v>20190312172305450</v>
      </c>
      <c r="B8009" t="str">
        <f>"1552382585437952"</f>
        <v>1552382585437952</v>
      </c>
      <c r="C8009" t="s">
        <v>40</v>
      </c>
      <c r="D8009">
        <v>3.6218330000000001</v>
      </c>
      <c r="E8009">
        <v>0.51756279999999999</v>
      </c>
      <c r="F8009" t="s">
        <v>41</v>
      </c>
      <c r="G8009">
        <v>-186.73519999999999</v>
      </c>
      <c r="H8009">
        <v>1.0321229999999999</v>
      </c>
      <c r="I8009">
        <v>-24.431889999999999</v>
      </c>
      <c r="J8009">
        <v>-186.76599999999999</v>
      </c>
      <c r="K8009">
        <v>1.1061909999999999</v>
      </c>
      <c r="L8009">
        <v>-25.010069999999999</v>
      </c>
      <c r="M8009">
        <v>-4.9790550000000003E-2</v>
      </c>
      <c r="N8009">
        <v>0</v>
      </c>
      <c r="O8009">
        <v>0.99865809999999999</v>
      </c>
      <c r="P8009">
        <v>-2.6585540000000001E-2</v>
      </c>
      <c r="Q8009">
        <v>0.1836344</v>
      </c>
      <c r="R8009">
        <v>0.98263500000000004</v>
      </c>
      <c r="S8009">
        <v>6.3125609999999999E-2</v>
      </c>
      <c r="T8009">
        <v>-0.25678489999999998</v>
      </c>
      <c r="U8009">
        <v>3.1045530000000001</v>
      </c>
      <c r="V8009">
        <v>2.437976E-2</v>
      </c>
      <c r="W8009">
        <v>0.19737950000000001</v>
      </c>
      <c r="X8009">
        <v>0.98002400000000001</v>
      </c>
      <c r="Y8009">
        <v>7.0020089999999993E-2</v>
      </c>
      <c r="Z8009">
        <v>-8.2167950000000003E-2</v>
      </c>
      <c r="AA8009">
        <v>0.99415569999999998</v>
      </c>
      <c r="AB8009">
        <v>32</v>
      </c>
      <c r="AC8009">
        <v>3.07999999999992E-2</v>
      </c>
      <c r="AD8009">
        <v>-7.4067999999999995E-2</v>
      </c>
      <c r="AE8009">
        <v>0.57818000000000302</v>
      </c>
      <c r="AF8009">
        <v>5.8593750453285999E-2</v>
      </c>
      <c r="AG8009">
        <v>-7.4067999999999995E-2</v>
      </c>
      <c r="AH8009">
        <v>0.56665594513622197</v>
      </c>
      <c r="AI8009">
        <v>97.407896756887993</v>
      </c>
      <c r="AJ8009">
        <v>84.096442978382697</v>
      </c>
      <c r="AK8009">
        <v>0.57447215456835399</v>
      </c>
      <c r="AL8009">
        <v>78.616239466040199</v>
      </c>
      <c r="AM8009">
        <v>88.574964172231105</v>
      </c>
      <c r="AN8009">
        <v>1.00000004014695</v>
      </c>
    </row>
    <row r="8010" spans="1:40" x14ac:dyDescent="0.25">
      <c r="A8010" t="str">
        <f>"20190312172305472"</f>
        <v>20190312172305472</v>
      </c>
      <c r="B8010" t="str">
        <f>"1552382585468208"</f>
        <v>1552382585468208</v>
      </c>
      <c r="C8010" t="s">
        <v>40</v>
      </c>
      <c r="D8010">
        <v>3.5916459999999999</v>
      </c>
      <c r="E8010">
        <v>0.51760989999999996</v>
      </c>
      <c r="F8010" t="s">
        <v>41</v>
      </c>
      <c r="G8010">
        <v>-186.74270000000001</v>
      </c>
      <c r="H8010">
        <v>1.0226949999999999</v>
      </c>
      <c r="I8010">
        <v>-24.14744</v>
      </c>
      <c r="J8010">
        <v>-186.77680000000001</v>
      </c>
      <c r="K8010">
        <v>1.1061939999999999</v>
      </c>
      <c r="L8010">
        <v>-24.700710000000001</v>
      </c>
      <c r="M8010">
        <v>-4.5244340000000001E-2</v>
      </c>
      <c r="N8010">
        <v>0</v>
      </c>
      <c r="O8010">
        <v>0.99887539999999997</v>
      </c>
      <c r="P8010">
        <v>-2.364343E-2</v>
      </c>
      <c r="Q8010">
        <v>0.18192220000000001</v>
      </c>
      <c r="R8010">
        <v>0.98302869999999998</v>
      </c>
      <c r="S8010">
        <v>8.4426879999999996E-2</v>
      </c>
      <c r="T8010">
        <v>-0.30125809999999997</v>
      </c>
      <c r="U8010">
        <v>3.1116030000000001</v>
      </c>
      <c r="V8010">
        <v>2.2840559999999999E-2</v>
      </c>
      <c r="W8010">
        <v>0.19561770000000001</v>
      </c>
      <c r="X8010">
        <v>0.98041420000000001</v>
      </c>
      <c r="Y8010">
        <v>7.2201539999999995E-2</v>
      </c>
      <c r="Z8010">
        <v>-9.6075809999999998E-2</v>
      </c>
      <c r="AA8010">
        <v>0.99275190000000002</v>
      </c>
      <c r="AB8010">
        <v>32</v>
      </c>
      <c r="AC8010">
        <v>3.40999999999951E-2</v>
      </c>
      <c r="AD8010">
        <v>-8.3498999999999907E-2</v>
      </c>
      <c r="AE8010">
        <v>0.55327000000000104</v>
      </c>
      <c r="AF8010">
        <v>5.7788676813570299E-2</v>
      </c>
      <c r="AG8010">
        <v>-8.3498999999999907E-2</v>
      </c>
      <c r="AH8010">
        <v>0.538931759425199</v>
      </c>
      <c r="AI8010">
        <v>98.757636998471398</v>
      </c>
      <c r="AJ8010">
        <v>83.879662783777604</v>
      </c>
      <c r="AK8010">
        <v>0.54841503944184899</v>
      </c>
      <c r="AL8010">
        <v>78.719189722875797</v>
      </c>
      <c r="AM8010">
        <v>88.665430376264695</v>
      </c>
      <c r="AN8010">
        <v>0.99999998964802095</v>
      </c>
    </row>
    <row r="8011" spans="1:40" x14ac:dyDescent="0.25">
      <c r="A8011" t="str">
        <f>"20190312172305493"</f>
        <v>20190312172305493</v>
      </c>
      <c r="B8011" t="str">
        <f>"1552382585488704"</f>
        <v>1552382585488704</v>
      </c>
      <c r="C8011" t="s">
        <v>40</v>
      </c>
      <c r="D8011">
        <v>3.6095139999999999</v>
      </c>
      <c r="E8011">
        <v>0.51769089999999995</v>
      </c>
      <c r="F8011" t="s">
        <v>41</v>
      </c>
      <c r="G8011">
        <v>-186.75139999999999</v>
      </c>
      <c r="H8011">
        <v>1.0229490000000001</v>
      </c>
      <c r="I8011">
        <v>-23.85848</v>
      </c>
      <c r="J8011">
        <v>-186.78649999999999</v>
      </c>
      <c r="K8011">
        <v>1.1062000000000001</v>
      </c>
      <c r="L8011">
        <v>-24.382750000000001</v>
      </c>
      <c r="M8011">
        <v>-4.0595340000000001E-2</v>
      </c>
      <c r="N8011">
        <v>0</v>
      </c>
      <c r="O8011">
        <v>0.99907619999999997</v>
      </c>
      <c r="P8011">
        <v>-2.0332329999999999E-2</v>
      </c>
      <c r="Q8011">
        <v>0.18077260000000001</v>
      </c>
      <c r="R8011">
        <v>0.98331480000000004</v>
      </c>
      <c r="S8011">
        <v>9.3444819999999998E-2</v>
      </c>
      <c r="T8011">
        <v>-0.30726059999999999</v>
      </c>
      <c r="U8011">
        <v>3.1109010000000001</v>
      </c>
      <c r="V8011">
        <v>2.156373E-2</v>
      </c>
      <c r="W8011">
        <v>0.19440740000000001</v>
      </c>
      <c r="X8011">
        <v>0.98068379999999999</v>
      </c>
      <c r="Y8011">
        <v>7.0435680000000001E-2</v>
      </c>
      <c r="Z8011">
        <v>-9.8025280000000006E-2</v>
      </c>
      <c r="AA8011">
        <v>0.99268820000000002</v>
      </c>
      <c r="AB8011">
        <v>32</v>
      </c>
      <c r="AC8011">
        <v>3.5099999999999902E-2</v>
      </c>
      <c r="AD8011">
        <v>-8.3251000000000103E-2</v>
      </c>
      <c r="AE8011">
        <v>0.52427000000000101</v>
      </c>
      <c r="AF8011">
        <v>5.4976028274346202E-2</v>
      </c>
      <c r="AG8011">
        <v>-8.3251000000000103E-2</v>
      </c>
      <c r="AH8011">
        <v>0.50961969234944604</v>
      </c>
      <c r="AI8011">
        <v>99.225239288825705</v>
      </c>
      <c r="AJ8011">
        <v>83.842937701446701</v>
      </c>
      <c r="AK8011">
        <v>0.51929309981566796</v>
      </c>
      <c r="AL8011">
        <v>78.789892063936904</v>
      </c>
      <c r="AM8011">
        <v>88.7403568232331</v>
      </c>
      <c r="AN8011">
        <v>0.999999973604356</v>
      </c>
    </row>
    <row r="8012" spans="1:40" x14ac:dyDescent="0.25">
      <c r="A8012" t="str">
        <f>"20190312172305517"</f>
        <v>20190312172305517</v>
      </c>
      <c r="B8012" t="str">
        <f>"1552382585508224"</f>
        <v>1552382585508224</v>
      </c>
      <c r="C8012" t="s">
        <v>40</v>
      </c>
      <c r="D8012">
        <v>3.6158800000000002</v>
      </c>
      <c r="E8012">
        <v>0.51772649999999998</v>
      </c>
      <c r="F8012" t="s">
        <v>41</v>
      </c>
      <c r="G8012">
        <v>-186.7593</v>
      </c>
      <c r="H8012">
        <v>1.0241370000000001</v>
      </c>
      <c r="I8012">
        <v>-23.56915</v>
      </c>
      <c r="J8012">
        <v>-186.79509999999999</v>
      </c>
      <c r="K8012">
        <v>1.106231</v>
      </c>
      <c r="L8012">
        <v>-24.04813</v>
      </c>
      <c r="M8012">
        <v>-3.575296E-2</v>
      </c>
      <c r="N8012">
        <v>0</v>
      </c>
      <c r="O8012">
        <v>0.99926250000000005</v>
      </c>
      <c r="P8012">
        <v>-1.6671640000000001E-2</v>
      </c>
      <c r="Q8012">
        <v>0.18087239999999999</v>
      </c>
      <c r="R8012">
        <v>0.98336520000000005</v>
      </c>
      <c r="S8012">
        <v>0.10385129999999999</v>
      </c>
      <c r="T8012">
        <v>-0.31370979999999998</v>
      </c>
      <c r="U8012">
        <v>3.1107179999999999</v>
      </c>
      <c r="V8012">
        <v>2.0440340000000001E-2</v>
      </c>
      <c r="W8012">
        <v>0.19443550000000001</v>
      </c>
      <c r="X8012">
        <v>0.98070230000000003</v>
      </c>
      <c r="Y8012">
        <v>6.8913760000000004E-2</v>
      </c>
      <c r="Z8012">
        <v>-0.100096</v>
      </c>
      <c r="AA8012">
        <v>0.99258840000000004</v>
      </c>
      <c r="AB8012">
        <v>32</v>
      </c>
      <c r="AC8012">
        <v>3.5799999999994697E-2</v>
      </c>
      <c r="AD8012">
        <v>-8.2093999999999806E-2</v>
      </c>
      <c r="AE8012">
        <v>0.47898000000000002</v>
      </c>
      <c r="AF8012">
        <v>5.1402154603655603E-2</v>
      </c>
      <c r="AG8012">
        <v>-8.2093999999999806E-2</v>
      </c>
      <c r="AH8012">
        <v>0.46384359669220099</v>
      </c>
      <c r="AI8012">
        <v>99.976802003197804</v>
      </c>
      <c r="AJ8012">
        <v>83.676405954877694</v>
      </c>
      <c r="AK8012">
        <v>0.47384859240716898</v>
      </c>
      <c r="AL8012">
        <v>78.788250875718603</v>
      </c>
      <c r="AM8012">
        <v>88.805982537740704</v>
      </c>
      <c r="AN8012">
        <v>0.99999998619242703</v>
      </c>
    </row>
    <row r="8013" spans="1:40" x14ac:dyDescent="0.25">
      <c r="A8013" t="str">
        <f>"20190312172305539"</f>
        <v>20190312172305539</v>
      </c>
      <c r="B8013" t="str">
        <f>"1552382585528723"</f>
        <v>1552382585528723</v>
      </c>
      <c r="C8013" t="s">
        <v>40</v>
      </c>
      <c r="D8013">
        <v>3.6165289999999999</v>
      </c>
      <c r="E8013">
        <v>0.51753249999999995</v>
      </c>
      <c r="F8013" t="s">
        <v>41</v>
      </c>
      <c r="G8013">
        <v>-186.76669999999999</v>
      </c>
      <c r="H8013">
        <v>1.028634</v>
      </c>
      <c r="I8013">
        <v>-23.278359999999999</v>
      </c>
      <c r="J8013">
        <v>-186.80199999999999</v>
      </c>
      <c r="K8013">
        <v>1.106284</v>
      </c>
      <c r="L8013">
        <v>-23.726649999999999</v>
      </c>
      <c r="M8013">
        <v>-3.117847E-2</v>
      </c>
      <c r="N8013">
        <v>0</v>
      </c>
      <c r="O8013">
        <v>0.99941679999999999</v>
      </c>
      <c r="P8013">
        <v>-1.280589E-2</v>
      </c>
      <c r="Q8013">
        <v>0.18078040000000001</v>
      </c>
      <c r="R8013">
        <v>0.98344010000000004</v>
      </c>
      <c r="S8013">
        <v>0.1144714</v>
      </c>
      <c r="T8013">
        <v>-0.31335449999999998</v>
      </c>
      <c r="U8013">
        <v>3.1103209999999999</v>
      </c>
      <c r="V8013">
        <v>1.9775299999999999E-2</v>
      </c>
      <c r="W8013">
        <v>0.194269</v>
      </c>
      <c r="X8013">
        <v>0.98074899999999998</v>
      </c>
      <c r="Y8013">
        <v>6.7736660000000004E-2</v>
      </c>
      <c r="Z8013">
        <v>-0.1000175</v>
      </c>
      <c r="AA8013">
        <v>0.99267729999999998</v>
      </c>
      <c r="AB8013">
        <v>32</v>
      </c>
      <c r="AC8013">
        <v>3.5300000000034901E-2</v>
      </c>
      <c r="AD8013">
        <v>-7.7649999999999997E-2</v>
      </c>
      <c r="AE8013">
        <v>0.44829000000000002</v>
      </c>
      <c r="AF8013">
        <v>4.7834841943637699E-2</v>
      </c>
      <c r="AG8013">
        <v>-7.7649999999999997E-2</v>
      </c>
      <c r="AH8013">
        <v>0.43402936746910697</v>
      </c>
      <c r="AI8013">
        <v>100.08339904891</v>
      </c>
      <c r="AJ8013">
        <v>83.710752822401503</v>
      </c>
      <c r="AK8013">
        <v>0.44350782003185202</v>
      </c>
      <c r="AL8013">
        <v>78.797976833549498</v>
      </c>
      <c r="AM8013">
        <v>88.844874973855994</v>
      </c>
      <c r="AN8013">
        <v>1.0000000539260401</v>
      </c>
    </row>
    <row r="8014" spans="1:40" x14ac:dyDescent="0.25">
      <c r="A8014" t="str">
        <f>"20190312172305561"</f>
        <v>20190312172305561</v>
      </c>
      <c r="B8014" t="str">
        <f>"1552382585558000"</f>
        <v>1552382585558000</v>
      </c>
      <c r="C8014" t="s">
        <v>40</v>
      </c>
      <c r="D8014">
        <v>3.629607</v>
      </c>
      <c r="E8014">
        <v>0.51726729999999999</v>
      </c>
      <c r="F8014" t="s">
        <v>41</v>
      </c>
      <c r="G8014">
        <v>-186.77260000000001</v>
      </c>
      <c r="H8014">
        <v>1.031749</v>
      </c>
      <c r="I8014">
        <v>-22.98837</v>
      </c>
      <c r="J8014">
        <v>-186.8073</v>
      </c>
      <c r="K8014">
        <v>1.1063559999999999</v>
      </c>
      <c r="L8014">
        <v>-23.413509999999999</v>
      </c>
      <c r="M8014">
        <v>-2.6834799999999999E-2</v>
      </c>
      <c r="N8014">
        <v>0</v>
      </c>
      <c r="O8014">
        <v>0.99954410000000005</v>
      </c>
      <c r="P8014">
        <v>-9.2855799999999999E-3</v>
      </c>
      <c r="Q8014">
        <v>0.18059710000000001</v>
      </c>
      <c r="R8014">
        <v>0.98351339999999998</v>
      </c>
      <c r="S8014">
        <v>0.1234741</v>
      </c>
      <c r="T8014">
        <v>-0.3139091</v>
      </c>
      <c r="U8014">
        <v>3.1098330000000001</v>
      </c>
      <c r="V8014">
        <v>1.8980110000000001E-2</v>
      </c>
      <c r="W8014">
        <v>0.19401209999999999</v>
      </c>
      <c r="X8014">
        <v>0.98081549999999995</v>
      </c>
      <c r="Y8014">
        <v>6.6275139999999996E-2</v>
      </c>
      <c r="Z8014">
        <v>-0.1002267</v>
      </c>
      <c r="AA8014">
        <v>0.9927549</v>
      </c>
      <c r="AB8014">
        <v>32</v>
      </c>
      <c r="AC8014">
        <v>3.4699999999986603E-2</v>
      </c>
      <c r="AD8014">
        <v>-7.4606999999999798E-2</v>
      </c>
      <c r="AE8014">
        <v>0.42514000000000202</v>
      </c>
      <c r="AF8014">
        <v>4.4728786031332499E-2</v>
      </c>
      <c r="AG8014">
        <v>-7.4606999999999798E-2</v>
      </c>
      <c r="AH8014">
        <v>0.41146787968887899</v>
      </c>
      <c r="AI8014">
        <v>100.218248466535</v>
      </c>
      <c r="AJ8014">
        <v>83.795999342902505</v>
      </c>
      <c r="AK8014">
        <v>0.42056234349320698</v>
      </c>
      <c r="AL8014">
        <v>78.812980904902204</v>
      </c>
      <c r="AM8014">
        <v>88.891387336888201</v>
      </c>
      <c r="AN8014">
        <v>0.99999999228113601</v>
      </c>
    </row>
    <row r="8015" spans="1:40" x14ac:dyDescent="0.25">
      <c r="A8015" t="str">
        <f>"20190312172305584"</f>
        <v>20190312172305584</v>
      </c>
      <c r="B8015" t="str">
        <f>"1552382585578496"</f>
        <v>1552382585578496</v>
      </c>
      <c r="C8015" t="s">
        <v>40</v>
      </c>
      <c r="D8015">
        <v>3.5919140000000001</v>
      </c>
      <c r="E8015">
        <v>0.51712060000000004</v>
      </c>
      <c r="F8015" t="s">
        <v>41</v>
      </c>
      <c r="G8015">
        <v>-186.7655</v>
      </c>
      <c r="H8015">
        <v>1.006464</v>
      </c>
      <c r="I8015">
        <v>-22.42399</v>
      </c>
      <c r="J8015">
        <v>-186.8116</v>
      </c>
      <c r="K8015">
        <v>1.10646</v>
      </c>
      <c r="L8015">
        <v>-23.078769999999999</v>
      </c>
      <c r="M8015">
        <v>-2.234307E-2</v>
      </c>
      <c r="N8015">
        <v>0</v>
      </c>
      <c r="O8015">
        <v>0.99965599999999999</v>
      </c>
      <c r="P8015">
        <v>-5.8767910000000001E-3</v>
      </c>
      <c r="Q8015">
        <v>0.1802396</v>
      </c>
      <c r="R8015">
        <v>0.98360510000000001</v>
      </c>
      <c r="S8015">
        <v>0.1313782</v>
      </c>
      <c r="T8015">
        <v>-0.31386039999999998</v>
      </c>
      <c r="U8015">
        <v>3.1091609999999998</v>
      </c>
      <c r="V8015">
        <v>1.7912859999999999E-2</v>
      </c>
      <c r="W8015">
        <v>0.19357289999999999</v>
      </c>
      <c r="X8015">
        <v>0.98092230000000002</v>
      </c>
      <c r="Y8015">
        <v>6.4319370000000001E-2</v>
      </c>
      <c r="Z8015">
        <v>-0.1002506</v>
      </c>
      <c r="AA8015">
        <v>0.99288109999999996</v>
      </c>
      <c r="AB8015">
        <v>32</v>
      </c>
      <c r="AC8015">
        <v>4.6099999999995499E-2</v>
      </c>
      <c r="AD8015">
        <v>-9.9995999999999904E-2</v>
      </c>
      <c r="AE8015">
        <v>0.65478000000000203</v>
      </c>
      <c r="AF8015">
        <v>5.9342478918868402E-2</v>
      </c>
      <c r="AG8015">
        <v>-9.9995999999999904E-2</v>
      </c>
      <c r="AH8015">
        <v>0.63876236739046899</v>
      </c>
      <c r="AI8015">
        <v>98.859698536717602</v>
      </c>
      <c r="AJ8015">
        <v>84.692326468736695</v>
      </c>
      <c r="AK8015">
        <v>0.64925964899608002</v>
      </c>
      <c r="AL8015">
        <v>78.838630985422697</v>
      </c>
      <c r="AM8015">
        <v>88.953824155850697</v>
      </c>
      <c r="AN8015">
        <v>0.99999994840253803</v>
      </c>
    </row>
    <row r="8016" spans="1:40" x14ac:dyDescent="0.25">
      <c r="A8016" t="str">
        <f>"20190312172305607"</f>
        <v>20190312172305607</v>
      </c>
      <c r="B8016" t="str">
        <f>"1552382585598016"</f>
        <v>1552382585598016</v>
      </c>
      <c r="C8016" t="s">
        <v>40</v>
      </c>
      <c r="D8016">
        <v>3.601254</v>
      </c>
      <c r="E8016">
        <v>0.51710279999999997</v>
      </c>
      <c r="F8016" t="s">
        <v>41</v>
      </c>
      <c r="G8016">
        <v>-186.7687</v>
      </c>
      <c r="H8016">
        <v>1.010594</v>
      </c>
      <c r="I8016">
        <v>-22.13392</v>
      </c>
      <c r="J8016">
        <v>-186.81460000000001</v>
      </c>
      <c r="K8016">
        <v>1.1065700000000001</v>
      </c>
      <c r="L8016">
        <v>-22.746120000000001</v>
      </c>
      <c r="M8016">
        <v>-1.802074E-2</v>
      </c>
      <c r="N8016">
        <v>0</v>
      </c>
      <c r="O8016">
        <v>0.99974459999999998</v>
      </c>
      <c r="P8016">
        <v>-2.8620300000000002E-3</v>
      </c>
      <c r="Q8016">
        <v>0.18041760000000001</v>
      </c>
      <c r="R8016">
        <v>0.98358599999999996</v>
      </c>
      <c r="S8016">
        <v>0.1407166</v>
      </c>
      <c r="T8016">
        <v>-0.31523449999999997</v>
      </c>
      <c r="U8016">
        <v>3.1086119999999999</v>
      </c>
      <c r="V8016">
        <v>1.6619849999999999E-2</v>
      </c>
      <c r="W8016">
        <v>0.19367200000000001</v>
      </c>
      <c r="X8016">
        <v>0.98092559999999995</v>
      </c>
      <c r="Y8016">
        <v>6.2986940000000005E-2</v>
      </c>
      <c r="Z8016">
        <v>-0.1007136</v>
      </c>
      <c r="AA8016">
        <v>0.99291960000000001</v>
      </c>
      <c r="AB8016">
        <v>32</v>
      </c>
      <c r="AC8016">
        <v>4.5900000000017302E-2</v>
      </c>
      <c r="AD8016">
        <v>-9.5976000000000006E-2</v>
      </c>
      <c r="AE8016">
        <v>0.61220000000000097</v>
      </c>
      <c r="AF8016">
        <v>5.5567782298263597E-2</v>
      </c>
      <c r="AG8016">
        <v>-9.5976000000000006E-2</v>
      </c>
      <c r="AH8016">
        <v>0.59669013304165797</v>
      </c>
      <c r="AI8016">
        <v>99.098898384745894</v>
      </c>
      <c r="AJ8016">
        <v>84.679578386403904</v>
      </c>
      <c r="AK8016">
        <v>0.60690879535134301</v>
      </c>
      <c r="AL8016">
        <v>78.832844575748496</v>
      </c>
      <c r="AM8016">
        <v>89.029328873161106</v>
      </c>
      <c r="AN8016">
        <v>1.0000000478666899</v>
      </c>
    </row>
    <row r="8017" spans="1:40" x14ac:dyDescent="0.25">
      <c r="A8017" t="str">
        <f>"20190312172305629"</f>
        <v>20190312172305629</v>
      </c>
      <c r="B8017" t="str">
        <f>"1552382585618512"</f>
        <v>1552382585618512</v>
      </c>
      <c r="C8017" t="s">
        <v>40</v>
      </c>
      <c r="D8017">
        <v>3.5917530000000002</v>
      </c>
      <c r="E8017">
        <v>0.51702510000000002</v>
      </c>
      <c r="F8017" t="s">
        <v>41</v>
      </c>
      <c r="G8017">
        <v>-186.77090000000001</v>
      </c>
      <c r="H8017">
        <v>1.0151239999999999</v>
      </c>
      <c r="I8017">
        <v>-21.843730000000001</v>
      </c>
      <c r="J8017">
        <v>-186.81620000000001</v>
      </c>
      <c r="K8017">
        <v>1.1066739999999999</v>
      </c>
      <c r="L8017">
        <v>-22.433319999999998</v>
      </c>
      <c r="M8017">
        <v>-1.411136E-2</v>
      </c>
      <c r="N8017">
        <v>0</v>
      </c>
      <c r="O8017">
        <v>0.99980869999999999</v>
      </c>
      <c r="P8017" s="1">
        <v>-7.8935410000000004E-5</v>
      </c>
      <c r="Q8017">
        <v>0.18171780000000001</v>
      </c>
      <c r="R8017">
        <v>0.98335079999999997</v>
      </c>
      <c r="S8017">
        <v>0.15065000000000001</v>
      </c>
      <c r="T8017">
        <v>-0.31501649999999998</v>
      </c>
      <c r="U8017">
        <v>3.108276</v>
      </c>
      <c r="V8017">
        <v>1.550867E-2</v>
      </c>
      <c r="W8017">
        <v>0.19489290000000001</v>
      </c>
      <c r="X8017">
        <v>0.98070190000000002</v>
      </c>
      <c r="Y8017">
        <v>6.2255869999999998E-2</v>
      </c>
      <c r="Z8017">
        <v>-0.1006597</v>
      </c>
      <c r="AA8017">
        <v>0.99297120000000005</v>
      </c>
      <c r="AB8017">
        <v>32</v>
      </c>
      <c r="AC8017">
        <v>4.5299999999997398E-2</v>
      </c>
      <c r="AD8017">
        <v>-9.1550000000000006E-2</v>
      </c>
      <c r="AE8017">
        <v>0.58959000000000406</v>
      </c>
      <c r="AF8017">
        <v>5.2361095628705001E-2</v>
      </c>
      <c r="AG8017">
        <v>-9.1550000000000006E-2</v>
      </c>
      <c r="AH8017">
        <v>0.575106915069441</v>
      </c>
      <c r="AI8017">
        <v>99.008252180051002</v>
      </c>
      <c r="AJ8017">
        <v>84.797799923353395</v>
      </c>
      <c r="AK8017">
        <v>0.58469740088025701</v>
      </c>
      <c r="AL8017">
        <v>78.761532696529699</v>
      </c>
      <c r="AM8017">
        <v>89.094008815017503</v>
      </c>
      <c r="AN8017">
        <v>0.99999998898959397</v>
      </c>
    </row>
    <row r="8018" spans="1:40" x14ac:dyDescent="0.25">
      <c r="A8018" t="str">
        <f>"20190312172305650"</f>
        <v>20190312172305650</v>
      </c>
      <c r="B8018" t="str">
        <f>"1552382585648769"</f>
        <v>1552382585648769</v>
      </c>
      <c r="C8018" t="s">
        <v>40</v>
      </c>
      <c r="D8018">
        <v>3.8680310000000002</v>
      </c>
      <c r="E8018">
        <v>0.51683939999999995</v>
      </c>
      <c r="F8018" t="s">
        <v>41</v>
      </c>
      <c r="G8018">
        <v>-186.77170000000001</v>
      </c>
      <c r="H8018">
        <v>1.018669</v>
      </c>
      <c r="I8018">
        <v>-21.55414</v>
      </c>
      <c r="J8018">
        <v>-186.8168</v>
      </c>
      <c r="K8018">
        <v>1.10680499999999</v>
      </c>
      <c r="L8018">
        <v>-22.122589999999999</v>
      </c>
      <c r="M8018">
        <v>-1.0416949999999999E-2</v>
      </c>
      <c r="N8018">
        <v>0</v>
      </c>
      <c r="O8018">
        <v>0.9998553</v>
      </c>
      <c r="P8018">
        <v>3.3514629999999998E-3</v>
      </c>
      <c r="Q8018">
        <v>0.1834076</v>
      </c>
      <c r="R8018">
        <v>0.98303119999999999</v>
      </c>
      <c r="S8018">
        <v>0.15718080000000001</v>
      </c>
      <c r="T8018">
        <v>-0.311083</v>
      </c>
      <c r="U8018">
        <v>3.1083069999999999</v>
      </c>
      <c r="V8018">
        <v>1.525169E-2</v>
      </c>
      <c r="W8018">
        <v>0.1964921</v>
      </c>
      <c r="X8018">
        <v>0.9803868</v>
      </c>
      <c r="Y8018">
        <v>6.0655029999999999E-2</v>
      </c>
      <c r="Z8018">
        <v>-9.9420960000000003E-2</v>
      </c>
      <c r="AA8018">
        <v>0.9931951</v>
      </c>
      <c r="AB8018">
        <v>32</v>
      </c>
      <c r="AC8018">
        <v>4.50999999999908E-2</v>
      </c>
      <c r="AD8018">
        <v>-8.8135999999999701E-2</v>
      </c>
      <c r="AE8018">
        <v>0.56844999999999801</v>
      </c>
      <c r="AF8018">
        <v>4.9829235419379503E-2</v>
      </c>
      <c r="AG8018">
        <v>-8.8135999999999701E-2</v>
      </c>
      <c r="AH8018">
        <v>0.55469815048803495</v>
      </c>
      <c r="AI8018">
        <v>98.992640865914694</v>
      </c>
      <c r="AJ8018">
        <v>84.866825825854903</v>
      </c>
      <c r="AK8018">
        <v>0.56386252345170695</v>
      </c>
      <c r="AL8018">
        <v>78.668099096013194</v>
      </c>
      <c r="AM8018">
        <v>89.108732408124794</v>
      </c>
      <c r="AN8018">
        <v>1.00000001851225</v>
      </c>
    </row>
    <row r="8019" spans="1:40" x14ac:dyDescent="0.25">
      <c r="A8019" t="str">
        <f>"20190312172305673"</f>
        <v>20190312172305673</v>
      </c>
      <c r="B8019" t="str">
        <f>"1552382585668288"</f>
        <v>1552382585668288</v>
      </c>
      <c r="C8019" t="s">
        <v>40</v>
      </c>
      <c r="D8019">
        <v>3.60602</v>
      </c>
      <c r="E8019">
        <v>0.51669679999999996</v>
      </c>
      <c r="F8019" t="s">
        <v>41</v>
      </c>
      <c r="G8019">
        <v>-186.77180000000001</v>
      </c>
      <c r="H8019">
        <v>1.022146</v>
      </c>
      <c r="I8019">
        <v>-21.264669999999999</v>
      </c>
      <c r="J8019">
        <v>-186.81639999999999</v>
      </c>
      <c r="K8019">
        <v>1.1069719999999901</v>
      </c>
      <c r="L8019">
        <v>-21.802980000000002</v>
      </c>
      <c r="M8019">
        <v>-6.8480260000000001E-3</v>
      </c>
      <c r="N8019">
        <v>0</v>
      </c>
      <c r="O8019">
        <v>0.99988739999999998</v>
      </c>
      <c r="P8019">
        <v>5.471793E-3</v>
      </c>
      <c r="Q8019">
        <v>0.1839344</v>
      </c>
      <c r="R8019">
        <v>0.98292330000000006</v>
      </c>
      <c r="S8019">
        <v>0.1629486</v>
      </c>
      <c r="T8019">
        <v>-0.30671710000000002</v>
      </c>
      <c r="U8019">
        <v>3.1084589999999999</v>
      </c>
      <c r="V8019">
        <v>1.3785169999999999E-2</v>
      </c>
      <c r="W8019">
        <v>0.19693769999999999</v>
      </c>
      <c r="X8019">
        <v>0.9803191</v>
      </c>
      <c r="Y8019">
        <v>5.8934930000000003E-2</v>
      </c>
      <c r="Z8019">
        <v>-9.8039390000000004E-2</v>
      </c>
      <c r="AA8019">
        <v>0.99343590000000004</v>
      </c>
      <c r="AB8019">
        <v>32</v>
      </c>
      <c r="AC8019">
        <v>4.4599999999974202E-2</v>
      </c>
      <c r="AD8019">
        <v>-8.4825999999999804E-2</v>
      </c>
      <c r="AE8019">
        <v>0.53830999999999496</v>
      </c>
      <c r="AF8019">
        <v>4.7123500435166103E-2</v>
      </c>
      <c r="AG8019">
        <v>-8.4825999999999804E-2</v>
      </c>
      <c r="AH8019">
        <v>0.52504348898634701</v>
      </c>
      <c r="AI8019">
        <v>99.141283010767197</v>
      </c>
      <c r="AJ8019">
        <v>84.871352888855597</v>
      </c>
      <c r="AK8019">
        <v>0.53393514577729295</v>
      </c>
      <c r="AL8019">
        <v>78.642059237301496</v>
      </c>
      <c r="AM8019">
        <v>89.194364358292901</v>
      </c>
      <c r="AN8019">
        <v>1.0000000132090101</v>
      </c>
    </row>
    <row r="8020" spans="1:40" x14ac:dyDescent="0.25">
      <c r="A8020" t="str">
        <f>"20190312172305695"</f>
        <v>20190312172305695</v>
      </c>
      <c r="B8020" t="str">
        <f>"1552382585688399"</f>
        <v>1552382585688399</v>
      </c>
      <c r="C8020" t="s">
        <v>40</v>
      </c>
      <c r="D8020">
        <v>3.710674</v>
      </c>
      <c r="E8020">
        <v>0.51660909999999904</v>
      </c>
      <c r="F8020" t="s">
        <v>41</v>
      </c>
      <c r="G8020">
        <v>-186.77170000000001</v>
      </c>
      <c r="H8020">
        <v>1.025504</v>
      </c>
      <c r="I8020">
        <v>-20.9754</v>
      </c>
      <c r="J8020">
        <v>-186.8152</v>
      </c>
      <c r="K8020">
        <v>1.107172</v>
      </c>
      <c r="L8020">
        <v>-21.479859999999999</v>
      </c>
      <c r="M8020">
        <v>-3.5045609999999998E-3</v>
      </c>
      <c r="N8020">
        <v>0</v>
      </c>
      <c r="O8020">
        <v>0.99990599999999996</v>
      </c>
      <c r="P8020">
        <v>6.6016010000000003E-3</v>
      </c>
      <c r="Q8020">
        <v>0.18362439999999999</v>
      </c>
      <c r="R8020">
        <v>0.98297429999999997</v>
      </c>
      <c r="S8020">
        <v>0.16752619999999999</v>
      </c>
      <c r="T8020">
        <v>-0.30589119999999997</v>
      </c>
      <c r="U8020">
        <v>3.1084290000000001</v>
      </c>
      <c r="V8020">
        <v>1.152687E-2</v>
      </c>
      <c r="W8020">
        <v>0.19655710000000001</v>
      </c>
      <c r="X8020">
        <v>0.98042459999999998</v>
      </c>
      <c r="Y8020">
        <v>5.705764E-2</v>
      </c>
      <c r="Z8020">
        <v>-9.7783010000000004E-2</v>
      </c>
      <c r="AA8020">
        <v>0.99357079999999998</v>
      </c>
      <c r="AB8020">
        <v>32</v>
      </c>
      <c r="AC8020">
        <v>4.3499999999994501E-2</v>
      </c>
      <c r="AD8020">
        <v>-8.1667999999999796E-2</v>
      </c>
      <c r="AE8020">
        <v>0.50446000000000102</v>
      </c>
      <c r="AF8020">
        <v>4.4119993122082903E-2</v>
      </c>
      <c r="AG8020">
        <v>-8.1667999999999796E-2</v>
      </c>
      <c r="AH8020">
        <v>0.49151734577213602</v>
      </c>
      <c r="AI8020">
        <v>99.396685982275599</v>
      </c>
      <c r="AJ8020">
        <v>84.870714784093806</v>
      </c>
      <c r="AK8020">
        <v>0.50020549498378997</v>
      </c>
      <c r="AL8020">
        <v>78.6643003489134</v>
      </c>
      <c r="AM8020">
        <v>89.326403505017794</v>
      </c>
      <c r="AN8020">
        <v>0.99999997928878304</v>
      </c>
    </row>
    <row r="8021" spans="1:40" x14ac:dyDescent="0.25">
      <c r="A8021" t="str">
        <f>"20190312172305718"</f>
        <v>20190312172305718</v>
      </c>
      <c r="B8021" t="str">
        <f>"1552382585707909"</f>
        <v>1552382585707909</v>
      </c>
      <c r="C8021" t="s">
        <v>40</v>
      </c>
      <c r="D8021">
        <v>3.6166870000000002</v>
      </c>
      <c r="E8021">
        <v>0.51637299999999997</v>
      </c>
      <c r="F8021" t="s">
        <v>41</v>
      </c>
      <c r="G8021">
        <v>-186.7714</v>
      </c>
      <c r="H8021">
        <v>1.0288010000000001</v>
      </c>
      <c r="I8021">
        <v>-20.686250000000001</v>
      </c>
      <c r="J8021">
        <v>-186.81309999999999</v>
      </c>
      <c r="K8021">
        <v>1.107416</v>
      </c>
      <c r="L8021">
        <v>-21.150670000000002</v>
      </c>
      <c r="M8021">
        <v>-4.0843360000000003E-4</v>
      </c>
      <c r="N8021">
        <v>0</v>
      </c>
      <c r="O8021">
        <v>0.9999133</v>
      </c>
      <c r="P8021">
        <v>7.4119199999999998E-3</v>
      </c>
      <c r="Q8021">
        <v>0.18439349999999999</v>
      </c>
      <c r="R8021">
        <v>0.98282460000000005</v>
      </c>
      <c r="S8021">
        <v>0.17112729999999901</v>
      </c>
      <c r="T8021">
        <v>-0.30688569999999998</v>
      </c>
      <c r="U8021">
        <v>3.1081539999999999</v>
      </c>
      <c r="V8021">
        <v>9.1805470000000007E-3</v>
      </c>
      <c r="W8021">
        <v>0.19725699999999999</v>
      </c>
      <c r="X8021">
        <v>0.98030879999999998</v>
      </c>
      <c r="Y8021">
        <v>5.5116909999999998E-2</v>
      </c>
      <c r="Z8021">
        <v>-9.8109630000000003E-2</v>
      </c>
      <c r="AA8021">
        <v>0.99364810000000003</v>
      </c>
      <c r="AB8021">
        <v>32</v>
      </c>
      <c r="AC8021">
        <v>4.1699999999991598E-2</v>
      </c>
      <c r="AD8021">
        <v>-7.8614999999999796E-2</v>
      </c>
      <c r="AE8021">
        <v>0.46442</v>
      </c>
      <c r="AF8021">
        <v>4.0731890415073899E-2</v>
      </c>
      <c r="AG8021">
        <v>-7.8614999999999796E-2</v>
      </c>
      <c r="AH8021">
        <v>0.45156709695178399</v>
      </c>
      <c r="AI8021">
        <v>99.836704125268994</v>
      </c>
      <c r="AJ8021">
        <v>84.845800817050701</v>
      </c>
      <c r="AK8021">
        <v>0.46016545738597903</v>
      </c>
      <c r="AL8021">
        <v>78.623398206119802</v>
      </c>
      <c r="AM8021">
        <v>89.463443335212901</v>
      </c>
      <c r="AN8021">
        <v>0.99999997492482895</v>
      </c>
    </row>
    <row r="8022" spans="1:40" x14ac:dyDescent="0.25">
      <c r="A8022" t="str">
        <f>"20190312172305741"</f>
        <v>20190312172305741</v>
      </c>
      <c r="B8022" t="str">
        <f>"1552382585738165"</f>
        <v>1552382585738165</v>
      </c>
      <c r="C8022" t="s">
        <v>40</v>
      </c>
      <c r="D8022">
        <v>3.6110259999999998</v>
      </c>
      <c r="E8022">
        <v>0.51620390000000005</v>
      </c>
      <c r="F8022" t="s">
        <v>41</v>
      </c>
      <c r="G8022">
        <v>-186.77099999999999</v>
      </c>
      <c r="H8022">
        <v>1.0335369999999999</v>
      </c>
      <c r="I8022">
        <v>-20.39658</v>
      </c>
      <c r="J8022">
        <v>-186.81039999999999</v>
      </c>
      <c r="K8022">
        <v>1.1076969999999999</v>
      </c>
      <c r="L8022">
        <v>-20.83182</v>
      </c>
      <c r="M8022">
        <v>2.2223350000000002E-3</v>
      </c>
      <c r="N8022">
        <v>0</v>
      </c>
      <c r="O8022">
        <v>0.99991200000000002</v>
      </c>
      <c r="P8022">
        <v>9.5622420000000003E-3</v>
      </c>
      <c r="Q8022">
        <v>0.18537609999999999</v>
      </c>
      <c r="R8022">
        <v>0.98262110000000003</v>
      </c>
      <c r="S8022">
        <v>0.1729889</v>
      </c>
      <c r="T8022">
        <v>-0.3044115</v>
      </c>
      <c r="U8022">
        <v>3.1082459999999998</v>
      </c>
      <c r="V8022">
        <v>8.6168589999999993E-3</v>
      </c>
      <c r="W8022">
        <v>0.1981656</v>
      </c>
      <c r="X8022">
        <v>0.98013070000000002</v>
      </c>
      <c r="Y8022">
        <v>5.3085800000000002E-2</v>
      </c>
      <c r="Z8022">
        <v>-9.7326750000000004E-2</v>
      </c>
      <c r="AA8022">
        <v>0.99383569999999999</v>
      </c>
      <c r="AB8022">
        <v>32</v>
      </c>
      <c r="AC8022">
        <v>3.9400000000000497E-2</v>
      </c>
      <c r="AD8022">
        <v>-7.4159999999999698E-2</v>
      </c>
      <c r="AE8022">
        <v>0.43524000000000002</v>
      </c>
      <c r="AF8022">
        <v>3.7356830571525897E-2</v>
      </c>
      <c r="AG8022">
        <v>-7.4159999999999698E-2</v>
      </c>
      <c r="AH8022">
        <v>0.42314156085531701</v>
      </c>
      <c r="AI8022">
        <v>99.902975862990701</v>
      </c>
      <c r="AJ8022">
        <v>84.954752851946097</v>
      </c>
      <c r="AK8022">
        <v>0.43121226665463003</v>
      </c>
      <c r="AL8022">
        <v>78.570291482858494</v>
      </c>
      <c r="AM8022">
        <v>89.496294796043898</v>
      </c>
      <c r="AN8022">
        <v>1.0000000221824299</v>
      </c>
    </row>
    <row r="8023" spans="1:40" x14ac:dyDescent="0.25">
      <c r="A8023" t="str">
        <f>"20190312172305762"</f>
        <v>20190312172305762</v>
      </c>
      <c r="B8023" t="str">
        <f>"1552382585758661"</f>
        <v>1552382585758661</v>
      </c>
      <c r="C8023" t="s">
        <v>40</v>
      </c>
      <c r="D8023">
        <v>3.695824</v>
      </c>
      <c r="E8023">
        <v>0.51376899999999903</v>
      </c>
      <c r="F8023" t="s">
        <v>41</v>
      </c>
      <c r="G8023">
        <v>-186.75399999999999</v>
      </c>
      <c r="H8023">
        <v>1.010651</v>
      </c>
      <c r="I8023">
        <v>-19.833819999999999</v>
      </c>
      <c r="J8023">
        <v>-186.8074</v>
      </c>
      <c r="K8023">
        <v>1.1080000000000001</v>
      </c>
      <c r="L8023">
        <v>-20.519870000000001</v>
      </c>
      <c r="M8023">
        <v>4.397059E-3</v>
      </c>
      <c r="N8023">
        <v>0</v>
      </c>
      <c r="O8023">
        <v>0.99990579999999996</v>
      </c>
      <c r="P8023">
        <v>1.057493E-2</v>
      </c>
      <c r="Q8023">
        <v>0.1873686</v>
      </c>
      <c r="R8023">
        <v>0.98223269999999996</v>
      </c>
      <c r="S8023">
        <v>0.1753845</v>
      </c>
      <c r="T8023">
        <v>-0.30221049999999999</v>
      </c>
      <c r="U8023">
        <v>3.108368</v>
      </c>
      <c r="V8023">
        <v>7.3584790000000002E-3</v>
      </c>
      <c r="W8023">
        <v>0.20008989999999999</v>
      </c>
      <c r="X8023">
        <v>0.97974989999999995</v>
      </c>
      <c r="Y8023">
        <v>5.1679170000000003E-2</v>
      </c>
      <c r="Z8023">
        <v>-9.6626379999999998E-2</v>
      </c>
      <c r="AA8023">
        <v>0.99397809999999998</v>
      </c>
      <c r="AB8023">
        <v>32</v>
      </c>
      <c r="AC8023">
        <v>5.3399999999982101E-2</v>
      </c>
      <c r="AD8023">
        <v>-9.7348999999999894E-2</v>
      </c>
      <c r="AE8023">
        <v>0.68604999999999705</v>
      </c>
      <c r="AF8023">
        <v>4.93940664992168E-2</v>
      </c>
      <c r="AG8023">
        <v>-9.7348999999999894E-2</v>
      </c>
      <c r="AH8023">
        <v>0.672812693460481</v>
      </c>
      <c r="AI8023">
        <v>98.211172671699103</v>
      </c>
      <c r="AJ8023">
        <v>85.801203548895202</v>
      </c>
      <c r="AK8023">
        <v>0.68161097562163397</v>
      </c>
      <c r="AL8023">
        <v>78.457783706049298</v>
      </c>
      <c r="AM8023">
        <v>89.569684198870306</v>
      </c>
      <c r="AN8023">
        <v>0.99999999092260605</v>
      </c>
    </row>
    <row r="8024" spans="1:40" x14ac:dyDescent="0.25">
      <c r="A8024" t="str">
        <f>"20190312172305777"</f>
        <v>20190312172305777</v>
      </c>
      <c r="B8024" t="str">
        <f>"1552382585768422"</f>
        <v>1552382585768422</v>
      </c>
      <c r="C8024" t="s">
        <v>40</v>
      </c>
      <c r="D8024">
        <v>4.0262029999999998</v>
      </c>
      <c r="E8024">
        <v>0.51376899999999903</v>
      </c>
      <c r="F8024" t="s">
        <v>41</v>
      </c>
      <c r="G8024">
        <v>-186.7585</v>
      </c>
      <c r="H8024">
        <v>0.99770000000000003</v>
      </c>
      <c r="I8024">
        <v>-19.553190000000001</v>
      </c>
      <c r="J8024">
        <v>-186.80500000000001</v>
      </c>
      <c r="K8024">
        <v>1.1082019999999999</v>
      </c>
      <c r="L8024">
        <v>-20.300450000000001</v>
      </c>
      <c r="M8024">
        <v>5.7475729999999997E-3</v>
      </c>
      <c r="N8024">
        <v>0</v>
      </c>
      <c r="O8024">
        <v>0.9998996</v>
      </c>
      <c r="P8024">
        <v>1.1087059999999999E-2</v>
      </c>
      <c r="Q8024">
        <v>0.18782750000000001</v>
      </c>
      <c r="R8024">
        <v>0.98213950000000005</v>
      </c>
      <c r="S8024">
        <v>0.15757750000000001</v>
      </c>
      <c r="T8024">
        <v>-0.35601959999999999</v>
      </c>
      <c r="U8024">
        <v>3.1204830000000001</v>
      </c>
      <c r="V8024">
        <v>6.4479019999999897E-3</v>
      </c>
      <c r="W8024">
        <v>0.2005043</v>
      </c>
      <c r="X8024">
        <v>0.97967159999999998</v>
      </c>
      <c r="Y8024">
        <v>4.436764E-2</v>
      </c>
      <c r="Z8024">
        <v>-0.11322599999999999</v>
      </c>
      <c r="AA8024">
        <v>0.99257810000000002</v>
      </c>
      <c r="AB8024">
        <v>32</v>
      </c>
      <c r="AC8024">
        <v>4.6500000000008798E-2</v>
      </c>
      <c r="AD8024">
        <v>-0.110502</v>
      </c>
      <c r="AE8024">
        <v>0.74726000000000004</v>
      </c>
      <c r="AF8024">
        <v>4.1304209143008801E-2</v>
      </c>
      <c r="AG8024">
        <v>-0.110502</v>
      </c>
      <c r="AH8024">
        <v>0.73157893127483098</v>
      </c>
      <c r="AI8024">
        <v>98.575909804498593</v>
      </c>
      <c r="AJ8024">
        <v>86.768568642807196</v>
      </c>
      <c r="AK8024">
        <v>0.74102932626324103</v>
      </c>
      <c r="AL8024">
        <v>78.433549296810796</v>
      </c>
      <c r="AM8024">
        <v>89.6229019633424</v>
      </c>
      <c r="AN8024">
        <v>0.99999999680262497</v>
      </c>
    </row>
    <row r="8025" spans="1:40" x14ac:dyDescent="0.25">
      <c r="A8025" t="str">
        <f>"20190312172305797"</f>
        <v>20190312172305797</v>
      </c>
      <c r="B8025" t="str">
        <f>"1552382585788693"</f>
        <v>1552382585788693</v>
      </c>
      <c r="C8025" t="s">
        <v>40</v>
      </c>
      <c r="D8025">
        <v>3.6146799999999999</v>
      </c>
      <c r="E8025">
        <v>0.51398909999999998</v>
      </c>
      <c r="F8025" t="s">
        <v>41</v>
      </c>
      <c r="G8025">
        <v>-186.76650000000001</v>
      </c>
      <c r="H8025">
        <v>1.0218879999999999</v>
      </c>
      <c r="I8025">
        <v>-19.541139999999999</v>
      </c>
      <c r="J8025">
        <v>-186.80170000000001</v>
      </c>
      <c r="K8025">
        <v>1.108455</v>
      </c>
      <c r="L8025">
        <v>-20.012080000000001</v>
      </c>
      <c r="M8025">
        <v>7.2782319999999999E-3</v>
      </c>
      <c r="N8025">
        <v>0</v>
      </c>
      <c r="O8025">
        <v>0.99989050000000002</v>
      </c>
      <c r="P8025">
        <v>1.0270639999999999E-2</v>
      </c>
      <c r="Q8025">
        <v>0.18770410000000001</v>
      </c>
      <c r="R8025">
        <v>0.98217200000000005</v>
      </c>
      <c r="S8025">
        <v>0.15806579999999901</v>
      </c>
      <c r="T8025">
        <v>-0.35469509999999899</v>
      </c>
      <c r="U8025">
        <v>3.1206049999999999</v>
      </c>
      <c r="V8025">
        <v>4.0023139999999999E-3</v>
      </c>
      <c r="W8025">
        <v>0.20032820000000001</v>
      </c>
      <c r="X8025">
        <v>0.9797207</v>
      </c>
      <c r="Y8025">
        <v>4.2993690000000001E-2</v>
      </c>
      <c r="Z8025">
        <v>-0.11280709999999999</v>
      </c>
      <c r="AA8025">
        <v>0.99268630000000002</v>
      </c>
      <c r="AB8025">
        <v>32</v>
      </c>
      <c r="AC8025">
        <v>3.5200000000003201E-2</v>
      </c>
      <c r="AD8025">
        <v>-8.6567000000000005E-2</v>
      </c>
      <c r="AE8025">
        <v>0.47093999999999803</v>
      </c>
      <c r="AF8025">
        <v>3.0738329357371499E-2</v>
      </c>
      <c r="AG8025">
        <v>-8.6567000000000005E-2</v>
      </c>
      <c r="AH8025">
        <v>0.45586611639223301</v>
      </c>
      <c r="AI8025">
        <v>100.72840352992699</v>
      </c>
      <c r="AJ8025">
        <v>86.142475565982494</v>
      </c>
      <c r="AK8025">
        <v>0.46502968341302597</v>
      </c>
      <c r="AL8025">
        <v>78.443848403328403</v>
      </c>
      <c r="AM8025">
        <v>89.765938981535697</v>
      </c>
      <c r="AN8025">
        <v>1.0000000281205399</v>
      </c>
    </row>
    <row r="8026" spans="1:40" x14ac:dyDescent="0.25">
      <c r="A8026" t="str">
        <f>"20190312172305819"</f>
        <v>20190312172305819</v>
      </c>
      <c r="B8026" t="str">
        <f>"1552382585808201"</f>
        <v>1552382585808201</v>
      </c>
      <c r="C8026" t="s">
        <v>40</v>
      </c>
      <c r="D8026">
        <v>3.6075680000000001</v>
      </c>
      <c r="E8026">
        <v>0.51291009999999904</v>
      </c>
      <c r="F8026" t="s">
        <v>41</v>
      </c>
      <c r="G8026">
        <v>-186.76300000000001</v>
      </c>
      <c r="H8026">
        <v>1.0347900000000001</v>
      </c>
      <c r="I8026">
        <v>-19.247990000000001</v>
      </c>
      <c r="J8026">
        <v>-186.798</v>
      </c>
      <c r="K8026">
        <v>1.10876</v>
      </c>
      <c r="L8026">
        <v>-19.694669999999999</v>
      </c>
      <c r="M8026">
        <v>8.5488730000000002E-3</v>
      </c>
      <c r="N8026">
        <v>0</v>
      </c>
      <c r="O8026">
        <v>0.99988140000000003</v>
      </c>
      <c r="P8026">
        <v>9.1684609999999993E-3</v>
      </c>
      <c r="Q8026">
        <v>0.1873167</v>
      </c>
      <c r="R8026">
        <v>0.98225680000000004</v>
      </c>
      <c r="S8026">
        <v>0.15701289999999901</v>
      </c>
      <c r="T8026">
        <v>-0.29979990000000001</v>
      </c>
      <c r="U8026">
        <v>3.1101070000000002</v>
      </c>
      <c r="V8026">
        <v>1.4980869999999999E-3</v>
      </c>
      <c r="W8026">
        <v>0.199882</v>
      </c>
      <c r="X8026">
        <v>0.97981879999999999</v>
      </c>
      <c r="Y8026">
        <v>4.1647879999999998E-2</v>
      </c>
      <c r="Z8026">
        <v>-9.5843310000000001E-2</v>
      </c>
      <c r="AA8026">
        <v>0.99452479999999999</v>
      </c>
      <c r="AB8026">
        <v>32</v>
      </c>
      <c r="AC8026">
        <v>3.4999999999996499E-2</v>
      </c>
      <c r="AD8026">
        <v>-7.3969999999999994E-2</v>
      </c>
      <c r="AE8026">
        <v>0.44668000000000402</v>
      </c>
      <c r="AF8026">
        <v>3.0352512879122901E-2</v>
      </c>
      <c r="AG8026">
        <v>-7.3969999999999994E-2</v>
      </c>
      <c r="AH8026">
        <v>0.43510378004439498</v>
      </c>
      <c r="AI8026">
        <v>99.625394363554307</v>
      </c>
      <c r="AJ8026">
        <v>86.009554051403299</v>
      </c>
      <c r="AK8026">
        <v>0.44238912209388598</v>
      </c>
      <c r="AL8026">
        <v>78.469940842714806</v>
      </c>
      <c r="AM8026">
        <v>89.912398092831296</v>
      </c>
      <c r="AN8026">
        <v>0.99999996951104897</v>
      </c>
    </row>
    <row r="8027" spans="1:40" x14ac:dyDescent="0.25">
      <c r="A8027" t="str">
        <f>"20190312172305842"</f>
        <v>20190312172305842</v>
      </c>
      <c r="B8027" t="str">
        <f>"1552382585838457"</f>
        <v>1552382585838457</v>
      </c>
      <c r="C8027" t="s">
        <v>40</v>
      </c>
      <c r="D8027">
        <v>3.5577960000000002</v>
      </c>
      <c r="E8027">
        <v>0.492674</v>
      </c>
      <c r="F8027" t="s">
        <v>41</v>
      </c>
      <c r="G8027">
        <v>-186.76349999999999</v>
      </c>
      <c r="H8027">
        <v>1.0335510000000001</v>
      </c>
      <c r="I8027">
        <v>-18.961870000000001</v>
      </c>
      <c r="J8027">
        <v>-186.79419999999999</v>
      </c>
      <c r="K8027">
        <v>1.109103</v>
      </c>
      <c r="L8027">
        <v>-19.380859999999998</v>
      </c>
      <c r="M8027">
        <v>9.3306310000000007E-3</v>
      </c>
      <c r="N8027">
        <v>0</v>
      </c>
      <c r="O8027">
        <v>0.99987519999999996</v>
      </c>
      <c r="P8027">
        <v>8.4876529999999995E-3</v>
      </c>
      <c r="Q8027">
        <v>0.18778629999999999</v>
      </c>
      <c r="R8027">
        <v>0.98217330000000003</v>
      </c>
      <c r="S8027">
        <v>0.14607239999999999</v>
      </c>
      <c r="T8027">
        <v>-0.31956499999999999</v>
      </c>
      <c r="U8027">
        <v>3.1137700000000001</v>
      </c>
      <c r="V8027">
        <v>-1.1802380000000001E-4</v>
      </c>
      <c r="W8027">
        <v>0.20029079999999999</v>
      </c>
      <c r="X8027">
        <v>0.97973650000000001</v>
      </c>
      <c r="Y8027">
        <v>3.729267E-2</v>
      </c>
      <c r="Z8027">
        <v>-0.1019958</v>
      </c>
      <c r="AA8027">
        <v>0.99408560000000001</v>
      </c>
      <c r="AB8027">
        <v>32</v>
      </c>
      <c r="AC8027">
        <v>3.0699999999995901E-2</v>
      </c>
      <c r="AD8027">
        <v>-7.5551999999999994E-2</v>
      </c>
      <c r="AE8027">
        <v>0.41898999999999997</v>
      </c>
      <c r="AF8027">
        <v>2.59496555276565E-2</v>
      </c>
      <c r="AG8027">
        <v>-7.5551999999999994E-2</v>
      </c>
      <c r="AH8027">
        <v>0.40612361209441999</v>
      </c>
      <c r="AI8027">
        <v>100.517413920881</v>
      </c>
      <c r="AJ8027">
        <v>86.344001557555799</v>
      </c>
      <c r="AK8027">
        <v>0.41390563855379298</v>
      </c>
      <c r="AL8027">
        <v>78.446035428107095</v>
      </c>
      <c r="AM8027">
        <v>90.006902126836493</v>
      </c>
      <c r="AN8027">
        <v>1.0000000139632499</v>
      </c>
    </row>
    <row r="8028" spans="1:40" x14ac:dyDescent="0.25">
      <c r="A8028" t="str">
        <f>"20190312172305863"</f>
        <v>20190312172305863</v>
      </c>
      <c r="B8028" t="str">
        <f>"1552382585857977"</f>
        <v>1552382585857977</v>
      </c>
      <c r="C8028" t="s">
        <v>40</v>
      </c>
      <c r="D8028">
        <v>3.5677140000000001</v>
      </c>
      <c r="E8028">
        <v>0.49191940000000001</v>
      </c>
      <c r="F8028" t="s">
        <v>42</v>
      </c>
      <c r="G8028">
        <v>-186.94229999999999</v>
      </c>
      <c r="H8028" s="1">
        <v>-1.6732670000000001E-6</v>
      </c>
      <c r="I8028">
        <v>2.1743380000000001</v>
      </c>
      <c r="J8028">
        <v>-186.79079999999999</v>
      </c>
      <c r="K8028">
        <v>1.1094740000000001</v>
      </c>
      <c r="L8028">
        <v>-19.06982</v>
      </c>
      <c r="M8028">
        <v>9.6786660000000007E-3</v>
      </c>
      <c r="N8028">
        <v>0</v>
      </c>
      <c r="O8028">
        <v>0.99987269999999995</v>
      </c>
      <c r="P8028">
        <v>7.6174759999999998E-3</v>
      </c>
      <c r="Q8028">
        <v>0.18955169999999999</v>
      </c>
      <c r="R8028">
        <v>0.98184119999999997</v>
      </c>
      <c r="S8028">
        <v>-2.1194459999999998E-2</v>
      </c>
      <c r="T8028">
        <v>-0.15873570000000001</v>
      </c>
      <c r="U8028">
        <v>3.084991</v>
      </c>
      <c r="V8028">
        <v>-1.504996E-3</v>
      </c>
      <c r="W8028">
        <v>0.201992</v>
      </c>
      <c r="X8028">
        <v>0.97938599999999998</v>
      </c>
      <c r="Y8028">
        <v>-1.6539849999999998E-2</v>
      </c>
      <c r="Z8028">
        <v>-5.1378479999999997E-2</v>
      </c>
      <c r="AA8028">
        <v>0.99854229999999999</v>
      </c>
      <c r="AB8028">
        <v>32</v>
      </c>
      <c r="AC8028">
        <v>-0.151499999999998</v>
      </c>
      <c r="AD8028">
        <v>-1.1094756732669999</v>
      </c>
      <c r="AE8028">
        <v>21.244157999999999</v>
      </c>
      <c r="AF8028">
        <v>-0.35615321682141199</v>
      </c>
      <c r="AG8028">
        <v>-1.1094756732669999</v>
      </c>
      <c r="AH8028">
        <v>21.183921229539699</v>
      </c>
      <c r="AI8028">
        <v>92.997617323567695</v>
      </c>
      <c r="AJ8028">
        <v>90.963190603051203</v>
      </c>
      <c r="AK8028">
        <v>21.215944476802399</v>
      </c>
      <c r="AL8028">
        <v>78.346529826908494</v>
      </c>
      <c r="AM8028">
        <v>90.088044806757196</v>
      </c>
      <c r="AN8028">
        <v>0.99999998503647902</v>
      </c>
    </row>
    <row r="8029" spans="1:40" x14ac:dyDescent="0.25">
      <c r="A8029" t="str">
        <f>"20190312172305886"</f>
        <v>20190312172305886</v>
      </c>
      <c r="B8029" t="str">
        <f>"1552382585878473"</f>
        <v>1552382585878473</v>
      </c>
      <c r="C8029" t="s">
        <v>40</v>
      </c>
      <c r="D8029">
        <v>3.5829110000000002</v>
      </c>
      <c r="E8029">
        <v>0.49174230000000002</v>
      </c>
      <c r="F8029" t="s">
        <v>42</v>
      </c>
      <c r="G8029">
        <v>-187.04429999999999</v>
      </c>
      <c r="H8029" s="1">
        <v>-2.6962990000000001E-6</v>
      </c>
      <c r="I8029">
        <v>4.6958010000000003</v>
      </c>
      <c r="J8029">
        <v>-186.78739999999999</v>
      </c>
      <c r="K8029">
        <v>1.1098399999999999</v>
      </c>
      <c r="L8029">
        <v>-18.738130000000002</v>
      </c>
      <c r="M8029">
        <v>9.6612880000000005E-3</v>
      </c>
      <c r="N8029">
        <v>0</v>
      </c>
      <c r="O8029">
        <v>0.99987369999999998</v>
      </c>
      <c r="P8029">
        <v>5.998789E-3</v>
      </c>
      <c r="Q8029">
        <v>0.1907268</v>
      </c>
      <c r="R8029">
        <v>0.98162479999999996</v>
      </c>
      <c r="S8029">
        <v>-3.2897950000000002E-2</v>
      </c>
      <c r="T8029">
        <v>-0.14395169999999999</v>
      </c>
      <c r="U8029">
        <v>3.0835270000000001</v>
      </c>
      <c r="V8029">
        <v>-3.2872560000000001E-3</v>
      </c>
      <c r="W8029">
        <v>0.20310239999999999</v>
      </c>
      <c r="X8029">
        <v>0.97915200000000002</v>
      </c>
      <c r="Y8029">
        <v>-2.0317740000000001E-2</v>
      </c>
      <c r="Z8029">
        <v>-4.6623900000000003E-2</v>
      </c>
      <c r="AA8029">
        <v>0.99870590000000004</v>
      </c>
      <c r="AB8029">
        <v>32</v>
      </c>
      <c r="AC8029">
        <v>-0.25690000000000102</v>
      </c>
      <c r="AD8029">
        <v>-1.109842696299</v>
      </c>
      <c r="AE8029">
        <v>23.433931000000001</v>
      </c>
      <c r="AF8029">
        <v>-0.48222648105673599</v>
      </c>
      <c r="AG8029">
        <v>-1.109842696299</v>
      </c>
      <c r="AH8029">
        <v>23.377924170625601</v>
      </c>
      <c r="AI8029">
        <v>92.717439786520103</v>
      </c>
      <c r="AJ8029">
        <v>91.181697067145294</v>
      </c>
      <c r="AK8029">
        <v>23.409221083092099</v>
      </c>
      <c r="AL8029">
        <v>78.281562323624698</v>
      </c>
      <c r="AM8029">
        <v>90.192355413011597</v>
      </c>
      <c r="AN8029">
        <v>1.0000000150208801</v>
      </c>
    </row>
    <row r="8030" spans="1:40" x14ac:dyDescent="0.25">
      <c r="A8030" t="str">
        <f>"20190312172305909"</f>
        <v>20190312172305909</v>
      </c>
      <c r="B8030" t="str">
        <f>"1552382585898608"</f>
        <v>1552382585898608</v>
      </c>
      <c r="C8030" t="s">
        <v>40</v>
      </c>
      <c r="D8030">
        <v>3.5713460000000001</v>
      </c>
      <c r="E8030">
        <v>0.49196190000000001</v>
      </c>
      <c r="F8030" t="s">
        <v>42</v>
      </c>
      <c r="G8030">
        <v>-187.11539999999999</v>
      </c>
      <c r="H8030" s="1">
        <v>-3.2992000000000001E-6</v>
      </c>
      <c r="I8030">
        <v>6.1305589999999999</v>
      </c>
      <c r="J8030">
        <v>-186.78450000000001</v>
      </c>
      <c r="K8030">
        <v>1.110182</v>
      </c>
      <c r="L8030">
        <v>-18.412320000000001</v>
      </c>
      <c r="M8030">
        <v>9.2367160000000007E-3</v>
      </c>
      <c r="N8030">
        <v>0</v>
      </c>
      <c r="O8030">
        <v>0.99987839999999995</v>
      </c>
      <c r="P8030">
        <v>3.2347930000000001E-3</v>
      </c>
      <c r="Q8030">
        <v>0.19036510000000001</v>
      </c>
      <c r="R8030">
        <v>0.98170800000000003</v>
      </c>
      <c r="S8030">
        <v>-4.066467E-2</v>
      </c>
      <c r="T8030">
        <v>-0.1375943</v>
      </c>
      <c r="U8030">
        <v>3.0831300000000001</v>
      </c>
      <c r="V8030">
        <v>-5.8057279999999996E-3</v>
      </c>
      <c r="W8030">
        <v>0.20268359999999999</v>
      </c>
      <c r="X8030">
        <v>0.97922710000000002</v>
      </c>
      <c r="Y8030">
        <v>-2.2411239999999999E-2</v>
      </c>
      <c r="Z8030">
        <v>-4.4573370000000001E-2</v>
      </c>
      <c r="AA8030">
        <v>0.9987547</v>
      </c>
      <c r="AB8030">
        <v>32</v>
      </c>
      <c r="AC8030">
        <v>-0.33089999999998498</v>
      </c>
      <c r="AD8030">
        <v>-1.1101852992000001</v>
      </c>
      <c r="AE8030">
        <v>24.542878999999999</v>
      </c>
      <c r="AF8030">
        <v>-0.55646097891845403</v>
      </c>
      <c r="AG8030">
        <v>-1.1101852992000001</v>
      </c>
      <c r="AH8030">
        <v>24.4886764974564</v>
      </c>
      <c r="AI8030">
        <v>92.595037211849998</v>
      </c>
      <c r="AJ8030">
        <v>91.301719174325797</v>
      </c>
      <c r="AK8030">
        <v>24.5201434909482</v>
      </c>
      <c r="AL8030">
        <v>78.306067667673304</v>
      </c>
      <c r="AM8030">
        <v>90.339696290898601</v>
      </c>
      <c r="AN8030">
        <v>1.0000000307804799</v>
      </c>
    </row>
    <row r="8031" spans="1:40" x14ac:dyDescent="0.25">
      <c r="A8031" t="str">
        <f>"20190312172305931"</f>
        <v>20190312172305931</v>
      </c>
      <c r="B8031" t="str">
        <f>"1552382585927888"</f>
        <v>1552382585927888</v>
      </c>
      <c r="C8031" t="s">
        <v>40</v>
      </c>
      <c r="D8031">
        <v>3.5596589999999901</v>
      </c>
      <c r="E8031">
        <v>0.49203180000000002</v>
      </c>
      <c r="F8031" t="s">
        <v>42</v>
      </c>
      <c r="G8031">
        <v>-187.1473</v>
      </c>
      <c r="H8031" s="1">
        <v>-2.9718079999999999E-6</v>
      </c>
      <c r="I8031">
        <v>5.3806010000000004</v>
      </c>
      <c r="J8031">
        <v>-186.78219999999999</v>
      </c>
      <c r="K8031">
        <v>1.1105080000000001</v>
      </c>
      <c r="L8031">
        <v>-18.09891</v>
      </c>
      <c r="M8031">
        <v>8.4198480000000006E-3</v>
      </c>
      <c r="N8031">
        <v>0</v>
      </c>
      <c r="O8031">
        <v>0.99988619999999995</v>
      </c>
      <c r="P8031">
        <v>1.6343339999999999E-4</v>
      </c>
      <c r="Q8031">
        <v>0.1908396</v>
      </c>
      <c r="R8031">
        <v>0.98162119999999997</v>
      </c>
      <c r="S8031">
        <v>-4.7027590000000001E-2</v>
      </c>
      <c r="T8031">
        <v>-0.1438982</v>
      </c>
      <c r="U8031">
        <v>3.0839539999999999</v>
      </c>
      <c r="V8031">
        <v>-8.2358220000000003E-3</v>
      </c>
      <c r="W8031">
        <v>0.20310329999999999</v>
      </c>
      <c r="X8031">
        <v>0.97912270000000001</v>
      </c>
      <c r="Y8031">
        <v>-2.3649779999999999E-2</v>
      </c>
      <c r="Z8031">
        <v>-4.6597880000000001E-2</v>
      </c>
      <c r="AA8031">
        <v>0.99863369999999996</v>
      </c>
      <c r="AB8031">
        <v>32</v>
      </c>
      <c r="AC8031">
        <v>-0.36510000000001203</v>
      </c>
      <c r="AD8031">
        <v>-1.110510971808</v>
      </c>
      <c r="AE8031">
        <v>23.479510999999999</v>
      </c>
      <c r="AF8031">
        <v>-0.56154059292000702</v>
      </c>
      <c r="AG8031">
        <v>-1.110510971808</v>
      </c>
      <c r="AH8031">
        <v>23.423218980271901</v>
      </c>
      <c r="AI8031">
        <v>92.713621336669107</v>
      </c>
      <c r="AJ8031">
        <v>91.373327223156096</v>
      </c>
      <c r="AK8031">
        <v>23.456251828750698</v>
      </c>
      <c r="AL8031">
        <v>78.281509724237793</v>
      </c>
      <c r="AM8031">
        <v>90.481928069997906</v>
      </c>
      <c r="AN8031">
        <v>1.0000000204450901</v>
      </c>
    </row>
    <row r="8032" spans="1:40" x14ac:dyDescent="0.25">
      <c r="A8032" t="str">
        <f>"20190312172305952"</f>
        <v>20190312172305952</v>
      </c>
      <c r="B8032" t="str">
        <f>"1552382585948384"</f>
        <v>1552382585948384</v>
      </c>
      <c r="C8032" t="s">
        <v>40</v>
      </c>
      <c r="D8032">
        <v>3.5454379999999999</v>
      </c>
      <c r="E8032">
        <v>0.49214790000000003</v>
      </c>
      <c r="F8032" t="s">
        <v>42</v>
      </c>
      <c r="G8032">
        <v>-187.2174</v>
      </c>
      <c r="H8032" s="1">
        <v>-3.1710819999999999E-6</v>
      </c>
      <c r="I8032">
        <v>5.8741019999999997</v>
      </c>
      <c r="J8032">
        <v>-186.78059999999999</v>
      </c>
      <c r="K8032">
        <v>1.1108359999999999</v>
      </c>
      <c r="L8032">
        <v>-17.795719999999999</v>
      </c>
      <c r="M8032">
        <v>7.2504099999999997E-3</v>
      </c>
      <c r="N8032">
        <v>0</v>
      </c>
      <c r="O8032">
        <v>0.99989589999999995</v>
      </c>
      <c r="P8032">
        <v>-2.534162E-3</v>
      </c>
      <c r="Q8032">
        <v>0.19317190000000001</v>
      </c>
      <c r="R8032">
        <v>0.98116170000000003</v>
      </c>
      <c r="S8032">
        <v>-5.59845E-2</v>
      </c>
      <c r="T8032">
        <v>-0.14285919999999999</v>
      </c>
      <c r="U8032">
        <v>3.0839539999999999</v>
      </c>
      <c r="V8032">
        <v>-9.9453719999999992E-3</v>
      </c>
      <c r="W8032">
        <v>0.20538129999999999</v>
      </c>
      <c r="X8032">
        <v>0.97863149999999999</v>
      </c>
      <c r="Y8032">
        <v>-2.5380360000000001E-2</v>
      </c>
      <c r="Z8032">
        <v>-4.6260700000000002E-2</v>
      </c>
      <c r="AA8032">
        <v>0.99860689999999996</v>
      </c>
      <c r="AB8032">
        <v>32</v>
      </c>
      <c r="AC8032">
        <v>-0.43680000000000502</v>
      </c>
      <c r="AD8032">
        <v>-1.110839171082</v>
      </c>
      <c r="AE8032">
        <v>23.669822</v>
      </c>
      <c r="AF8032">
        <v>-0.607081156099601</v>
      </c>
      <c r="AG8032">
        <v>-1.110839171082</v>
      </c>
      <c r="AH8032">
        <v>23.614040730147799</v>
      </c>
      <c r="AI8032">
        <v>92.692403876339498</v>
      </c>
      <c r="AJ8032">
        <v>91.472663169447003</v>
      </c>
      <c r="AK8032">
        <v>23.6479477079763</v>
      </c>
      <c r="AL8032">
        <v>78.148179116382906</v>
      </c>
      <c r="AM8032">
        <v>90.582250035684098</v>
      </c>
      <c r="AN8032">
        <v>1.0000000008030701</v>
      </c>
    </row>
    <row r="8033" spans="1:40" x14ac:dyDescent="0.25">
      <c r="A8033" t="str">
        <f>"20190312172305974"</f>
        <v>20190312172305974</v>
      </c>
      <c r="B8033" t="str">
        <f>"1552382585967904"</f>
        <v>1552382585967904</v>
      </c>
      <c r="C8033" t="s">
        <v>40</v>
      </c>
      <c r="D8033">
        <v>3.5709230000000001</v>
      </c>
      <c r="E8033">
        <v>0.49240270000000003</v>
      </c>
      <c r="F8033" t="s">
        <v>42</v>
      </c>
      <c r="G8033">
        <v>-187.30619999999999</v>
      </c>
      <c r="H8033" s="1">
        <v>-3.7075629999999999E-6</v>
      </c>
      <c r="I8033">
        <v>7.1613699999999998</v>
      </c>
      <c r="J8033">
        <v>-186.77969999999999</v>
      </c>
      <c r="K8033">
        <v>1.111194</v>
      </c>
      <c r="L8033">
        <v>-17.473849999999999</v>
      </c>
      <c r="M8033">
        <v>5.6317980000000004E-3</v>
      </c>
      <c r="N8033">
        <v>0</v>
      </c>
      <c r="O8033">
        <v>0.99990679999999998</v>
      </c>
      <c r="P8033">
        <v>-6.2230569999999997E-3</v>
      </c>
      <c r="Q8033">
        <v>0.19497010000000001</v>
      </c>
      <c r="R8033">
        <v>0.98078940000000003</v>
      </c>
      <c r="S8033">
        <v>-6.4956669999999994E-2</v>
      </c>
      <c r="T8033">
        <v>-0.13728979999999999</v>
      </c>
      <c r="U8033">
        <v>3.084473</v>
      </c>
      <c r="V8033">
        <v>-1.2222190000000001E-2</v>
      </c>
      <c r="W8033">
        <v>0.20712630000000001</v>
      </c>
      <c r="X8033">
        <v>0.97823789999999999</v>
      </c>
      <c r="Y8033">
        <v>-2.6664420000000001E-2</v>
      </c>
      <c r="Z8033">
        <v>-4.4452070000000003E-2</v>
      </c>
      <c r="AA8033">
        <v>0.99865559999999998</v>
      </c>
      <c r="AB8033">
        <v>32</v>
      </c>
      <c r="AC8033">
        <v>-0.52649999999999797</v>
      </c>
      <c r="AD8033">
        <v>-1.111197707563</v>
      </c>
      <c r="AE8033">
        <v>24.63522</v>
      </c>
      <c r="AF8033">
        <v>-0.66389285192922498</v>
      </c>
      <c r="AG8033">
        <v>-1.111197707563</v>
      </c>
      <c r="AH8033">
        <v>24.581873505561301</v>
      </c>
      <c r="AI8033">
        <v>92.587291280752098</v>
      </c>
      <c r="AJ8033">
        <v>91.547034815183295</v>
      </c>
      <c r="AK8033">
        <v>24.615930189768498</v>
      </c>
      <c r="AL8033">
        <v>78.046001431645493</v>
      </c>
      <c r="AM8033">
        <v>90.715821241849795</v>
      </c>
      <c r="AN8033">
        <v>1.0000000375382401</v>
      </c>
    </row>
    <row r="8034" spans="1:40" x14ac:dyDescent="0.25">
      <c r="A8034" t="str">
        <f>"20190312172305999"</f>
        <v>20190312172305999</v>
      </c>
      <c r="B8034" t="str">
        <f>"1552382585988400"</f>
        <v>1552382585988400</v>
      </c>
      <c r="C8034" t="s">
        <v>40</v>
      </c>
      <c r="D8034">
        <v>3.5811609999999998</v>
      </c>
      <c r="E8034">
        <v>0.49263040000000002</v>
      </c>
      <c r="F8034" t="s">
        <v>42</v>
      </c>
      <c r="G8034">
        <v>-187.39670000000001</v>
      </c>
      <c r="H8034" s="1">
        <v>-4.0434500000000002E-6</v>
      </c>
      <c r="I8034">
        <v>7.9817640000000001</v>
      </c>
      <c r="J8034">
        <v>-186.77969999999999</v>
      </c>
      <c r="K8034">
        <v>1.111556</v>
      </c>
      <c r="L8034">
        <v>-17.126159999999999</v>
      </c>
      <c r="M8034">
        <v>3.4999340000000001E-3</v>
      </c>
      <c r="N8034">
        <v>0</v>
      </c>
      <c r="O8034">
        <v>0.99991699999999994</v>
      </c>
      <c r="P8034">
        <v>-1.089243E-2</v>
      </c>
      <c r="Q8034">
        <v>0.19691510000000001</v>
      </c>
      <c r="R8034">
        <v>0.98036000000000001</v>
      </c>
      <c r="S8034">
        <v>-7.4783329999999995E-2</v>
      </c>
      <c r="T8034">
        <v>-0.13466979999999901</v>
      </c>
      <c r="U8034">
        <v>3.0850520000000001</v>
      </c>
      <c r="V8034">
        <v>-1.4988629999999999E-2</v>
      </c>
      <c r="W8034">
        <v>0.209011</v>
      </c>
      <c r="X8034">
        <v>0.97779839999999996</v>
      </c>
      <c r="Y8034">
        <v>-2.7709399999999999E-2</v>
      </c>
      <c r="Z8034">
        <v>-4.3595670000000003E-2</v>
      </c>
      <c r="AA8034">
        <v>0.99866489999999997</v>
      </c>
      <c r="AB8034">
        <v>32</v>
      </c>
      <c r="AC8034">
        <v>-0.61700000000001798</v>
      </c>
      <c r="AD8034">
        <v>-1.1115600434499999</v>
      </c>
      <c r="AE8034">
        <v>25.107924000000001</v>
      </c>
      <c r="AF8034">
        <v>-0.70350106088374698</v>
      </c>
      <c r="AG8034">
        <v>-1.1115600434499999</v>
      </c>
      <c r="AH8034">
        <v>25.056530745794301</v>
      </c>
      <c r="AI8034">
        <v>92.539095769324902</v>
      </c>
      <c r="AJ8034">
        <v>91.608245597819902</v>
      </c>
      <c r="AK8034">
        <v>25.091038489624101</v>
      </c>
      <c r="AL8034">
        <v>77.935599182337</v>
      </c>
      <c r="AM8034">
        <v>90.878215779712207</v>
      </c>
      <c r="AN8034">
        <v>0.99999998409641799</v>
      </c>
    </row>
    <row r="8035" spans="1:40" x14ac:dyDescent="0.25">
      <c r="A8035" t="str">
        <f>"20190312172306022"</f>
        <v>20190312172306022</v>
      </c>
      <c r="B8035" t="str">
        <f>"1552382586018522"</f>
        <v>1552382586018522</v>
      </c>
      <c r="C8035" t="s">
        <v>40</v>
      </c>
      <c r="D8035">
        <v>3.5274239999999999</v>
      </c>
      <c r="E8035">
        <v>0.49262230000000001</v>
      </c>
      <c r="F8035" t="s">
        <v>42</v>
      </c>
      <c r="G8035">
        <v>-187.505</v>
      </c>
      <c r="H8035" s="1">
        <v>-4.3546940000000003E-6</v>
      </c>
      <c r="I8035">
        <v>8.7520360000000004</v>
      </c>
      <c r="J8035">
        <v>-186.7807</v>
      </c>
      <c r="K8035">
        <v>1.111856</v>
      </c>
      <c r="L8035">
        <v>-16.808959999999999</v>
      </c>
      <c r="M8035">
        <v>1.2195929999999999E-3</v>
      </c>
      <c r="N8035">
        <v>0</v>
      </c>
      <c r="O8035">
        <v>0.9999228</v>
      </c>
      <c r="P8035">
        <v>-1.6055460000000001E-2</v>
      </c>
      <c r="Q8035">
        <v>0.19857610000000001</v>
      </c>
      <c r="R8035">
        <v>0.97995390000000004</v>
      </c>
      <c r="S8035">
        <v>-8.6486820000000006E-2</v>
      </c>
      <c r="T8035">
        <v>-0.1325441</v>
      </c>
      <c r="U8035">
        <v>3.0857540000000001</v>
      </c>
      <c r="V8035">
        <v>-1.80716E-2</v>
      </c>
      <c r="W8035">
        <v>0.2106064</v>
      </c>
      <c r="X8035">
        <v>0.97740389999999999</v>
      </c>
      <c r="Y8035">
        <v>-2.9210170000000001E-2</v>
      </c>
      <c r="Z8035">
        <v>-4.2896370000000003E-2</v>
      </c>
      <c r="AA8035">
        <v>0.9986524</v>
      </c>
      <c r="AB8035">
        <v>32</v>
      </c>
      <c r="AC8035">
        <v>-0.72429999999999894</v>
      </c>
      <c r="AD8035">
        <v>-1.111860354694</v>
      </c>
      <c r="AE8035">
        <v>25.560995999999999</v>
      </c>
      <c r="AF8035">
        <v>-0.75405026002103503</v>
      </c>
      <c r="AG8035">
        <v>-1.111860354694</v>
      </c>
      <c r="AH8035">
        <v>25.5118612079469</v>
      </c>
      <c r="AI8035">
        <v>92.494402968696804</v>
      </c>
      <c r="AJ8035">
        <v>91.692989884074905</v>
      </c>
      <c r="AK8035">
        <v>25.5472089970025</v>
      </c>
      <c r="AL8035">
        <v>77.842108945336093</v>
      </c>
      <c r="AM8035">
        <v>91.059243209307994</v>
      </c>
      <c r="AN8035">
        <v>1.0000000110913601</v>
      </c>
    </row>
    <row r="8036" spans="1:40" x14ac:dyDescent="0.25">
      <c r="A8036" t="str">
        <f>"20190312172306043"</f>
        <v>20190312172306043</v>
      </c>
      <c r="B8036" t="str">
        <f>"1552382586038043"</f>
        <v>1552382586038043</v>
      </c>
      <c r="C8036" t="s">
        <v>40</v>
      </c>
      <c r="D8036">
        <v>3.5344470000000001</v>
      </c>
      <c r="E8036">
        <v>0.49276769999999998</v>
      </c>
      <c r="F8036" t="s">
        <v>42</v>
      </c>
      <c r="G8036">
        <v>-187.6617</v>
      </c>
      <c r="H8036" s="1">
        <v>-7.028118E-7</v>
      </c>
      <c r="I8036">
        <v>9.8850599999999993</v>
      </c>
      <c r="J8036">
        <v>-186.78270000000001</v>
      </c>
      <c r="K8036">
        <v>1.1121019999999999</v>
      </c>
      <c r="L8036">
        <v>-16.50027</v>
      </c>
      <c r="M8036">
        <v>-1.2404040000000001E-3</v>
      </c>
      <c r="N8036">
        <v>0</v>
      </c>
      <c r="O8036">
        <v>0.99992329999999996</v>
      </c>
      <c r="P8036">
        <v>-2.0807900000000001E-2</v>
      </c>
      <c r="Q8036">
        <v>0.2011406</v>
      </c>
      <c r="R8036">
        <v>0.97934140000000003</v>
      </c>
      <c r="S8036">
        <v>-0.1018372</v>
      </c>
      <c r="T8036">
        <v>-0.12852759999999999</v>
      </c>
      <c r="U8036">
        <v>3.0857540000000001</v>
      </c>
      <c r="V8036">
        <v>-2.0547550000000001E-2</v>
      </c>
      <c r="W8036">
        <v>0.2130996</v>
      </c>
      <c r="X8036">
        <v>0.97681439999999997</v>
      </c>
      <c r="Y8036">
        <v>-3.1716000000000001E-2</v>
      </c>
      <c r="Z8036">
        <v>-4.1594010000000001E-2</v>
      </c>
      <c r="AA8036">
        <v>0.99863109999999999</v>
      </c>
      <c r="AB8036">
        <v>32</v>
      </c>
      <c r="AC8036">
        <v>-0.87899999999999001</v>
      </c>
      <c r="AD8036">
        <v>-1.1121027028118</v>
      </c>
      <c r="AE8036">
        <v>26.38533</v>
      </c>
      <c r="AF8036">
        <v>-0.84476930221392399</v>
      </c>
      <c r="AG8036">
        <v>-1.1121027028118</v>
      </c>
      <c r="AH8036">
        <v>26.339659616484699</v>
      </c>
      <c r="AI8036">
        <v>92.416442800835398</v>
      </c>
      <c r="AJ8036">
        <v>91.836968697543696</v>
      </c>
      <c r="AK8036">
        <v>26.376657792598401</v>
      </c>
      <c r="AL8036">
        <v>77.695941229983006</v>
      </c>
      <c r="AM8036">
        <v>91.205054202076099</v>
      </c>
      <c r="AN8036">
        <v>1.00000000668926</v>
      </c>
    </row>
    <row r="8037" spans="1:40" x14ac:dyDescent="0.25">
      <c r="A8037" t="str">
        <f>"20190312172306065"</f>
        <v>20190312172306065</v>
      </c>
      <c r="B8037" t="str">
        <f>"1552382586058538"</f>
        <v>1552382586058538</v>
      </c>
      <c r="C8037" t="s">
        <v>40</v>
      </c>
      <c r="D8037">
        <v>3.5271949999999999</v>
      </c>
      <c r="E8037">
        <v>0.49298229999999998</v>
      </c>
      <c r="F8037" t="s">
        <v>42</v>
      </c>
      <c r="G8037">
        <v>-187.82429999999999</v>
      </c>
      <c r="H8037" s="1">
        <v>-1.2321700000000001E-6</v>
      </c>
      <c r="I8037">
        <v>11.567740000000001</v>
      </c>
      <c r="J8037">
        <v>-186.78569999999999</v>
      </c>
      <c r="K8037">
        <v>1.112293</v>
      </c>
      <c r="L8037">
        <v>-16.187379999999902</v>
      </c>
      <c r="M8037">
        <v>-3.9038739999999999E-3</v>
      </c>
      <c r="N8037">
        <v>0</v>
      </c>
      <c r="O8037">
        <v>0.9999171</v>
      </c>
      <c r="P8037">
        <v>-2.5267560000000001E-2</v>
      </c>
      <c r="Q8037">
        <v>0.2040756</v>
      </c>
      <c r="R8037">
        <v>0.97862899999999997</v>
      </c>
      <c r="S8037">
        <v>-0.1145172</v>
      </c>
      <c r="T8037">
        <v>-0.1222714</v>
      </c>
      <c r="U8037">
        <v>3.0859679999999998</v>
      </c>
      <c r="V8037">
        <v>-2.2511650000000001E-2</v>
      </c>
      <c r="W8037">
        <v>0.2159624</v>
      </c>
      <c r="X8037">
        <v>0.97614210000000001</v>
      </c>
      <c r="Y8037">
        <v>-3.3152689999999999E-2</v>
      </c>
      <c r="Z8037">
        <v>-3.9565749999999997E-2</v>
      </c>
      <c r="AA8037">
        <v>0.99866679999999997</v>
      </c>
      <c r="AB8037">
        <v>32</v>
      </c>
      <c r="AC8037">
        <v>-1.0386</v>
      </c>
      <c r="AD8037">
        <v>-1.11229423217</v>
      </c>
      <c r="AE8037">
        <v>27.755120000000002</v>
      </c>
      <c r="AF8037">
        <v>-0.92874193588672005</v>
      </c>
      <c r="AG8037">
        <v>-1.11229423217</v>
      </c>
      <c r="AH8037">
        <v>27.714515286417999</v>
      </c>
      <c r="AI8037">
        <v>92.296987113214797</v>
      </c>
      <c r="AJ8037">
        <v>91.919322306035994</v>
      </c>
      <c r="AK8037">
        <v>27.752371387027299</v>
      </c>
      <c r="AL8037">
        <v>77.528004256339301</v>
      </c>
      <c r="AM8037">
        <v>91.321112924124293</v>
      </c>
      <c r="AN8037">
        <v>0.99999996599594498</v>
      </c>
    </row>
    <row r="8038" spans="1:40" x14ac:dyDescent="0.25">
      <c r="A8038" t="str">
        <f>"20190312172306086"</f>
        <v>20190312172306086</v>
      </c>
      <c r="B8038" t="str">
        <f>"1552382586078059"</f>
        <v>1552382586078059</v>
      </c>
      <c r="C8038" t="s">
        <v>40</v>
      </c>
      <c r="D8038">
        <v>3.51966</v>
      </c>
      <c r="E8038">
        <v>0.49327389999999999</v>
      </c>
      <c r="F8038" t="s">
        <v>42</v>
      </c>
      <c r="G8038">
        <v>-188.01179999999999</v>
      </c>
      <c r="H8038" s="1">
        <v>-2.0749470000000001E-6</v>
      </c>
      <c r="I8038">
        <v>13.64744</v>
      </c>
      <c r="J8038">
        <v>-186.78970000000001</v>
      </c>
      <c r="K8038">
        <v>1.1124289999999999</v>
      </c>
      <c r="L8038">
        <v>-15.870509999999999</v>
      </c>
      <c r="M8038">
        <v>-6.7181480000000002E-3</v>
      </c>
      <c r="N8038">
        <v>0</v>
      </c>
      <c r="O8038">
        <v>0.99990270000000003</v>
      </c>
      <c r="P8038">
        <v>-2.966796E-2</v>
      </c>
      <c r="Q8038">
        <v>0.2065062</v>
      </c>
      <c r="R8038">
        <v>0.97799539999999996</v>
      </c>
      <c r="S8038">
        <v>-0.1268311</v>
      </c>
      <c r="T8038">
        <v>-0.1150606</v>
      </c>
      <c r="U8038">
        <v>3.0862430000000001</v>
      </c>
      <c r="V8038">
        <v>-2.4244970000000001E-2</v>
      </c>
      <c r="W8038">
        <v>0.2183242</v>
      </c>
      <c r="X8038">
        <v>0.97557510000000003</v>
      </c>
      <c r="Y8038">
        <v>-3.4318590000000003E-2</v>
      </c>
      <c r="Z8038">
        <v>-3.7227950000000003E-2</v>
      </c>
      <c r="AA8038">
        <v>0.99871730000000003</v>
      </c>
      <c r="AB8038">
        <v>32</v>
      </c>
      <c r="AC8038">
        <v>-1.22209999999998</v>
      </c>
      <c r="AD8038">
        <v>-1.1124310749469899</v>
      </c>
      <c r="AE8038">
        <v>29.517949999999999</v>
      </c>
      <c r="AF8038">
        <v>-1.02230216889198</v>
      </c>
      <c r="AG8038">
        <v>-1.1124310749469899</v>
      </c>
      <c r="AH8038">
        <v>29.483691202749</v>
      </c>
      <c r="AI8038">
        <v>92.159470479743803</v>
      </c>
      <c r="AJ8038">
        <v>91.985848474875795</v>
      </c>
      <c r="AK8038">
        <v>29.522375438979999</v>
      </c>
      <c r="AL8038">
        <v>77.389376078994403</v>
      </c>
      <c r="AM8038">
        <v>91.423620360194505</v>
      </c>
      <c r="AN8038">
        <v>1.0000000253079699</v>
      </c>
    </row>
    <row r="8039" spans="1:40" x14ac:dyDescent="0.25">
      <c r="A8039" t="str">
        <f>"20190312172306109"</f>
        <v>20190312172306109</v>
      </c>
      <c r="B8039" t="str">
        <f>"1552382586098554"</f>
        <v>1552382586098554</v>
      </c>
      <c r="C8039" t="s">
        <v>40</v>
      </c>
      <c r="D8039">
        <v>3.5147490000000001</v>
      </c>
      <c r="E8039">
        <v>0.4936276</v>
      </c>
      <c r="F8039" t="s">
        <v>42</v>
      </c>
      <c r="G8039">
        <v>-188.1927</v>
      </c>
      <c r="H8039" s="1">
        <v>-2.824276E-6</v>
      </c>
      <c r="I8039">
        <v>15.46893</v>
      </c>
      <c r="J8039">
        <v>-186.7946</v>
      </c>
      <c r="K8039">
        <v>1.112519</v>
      </c>
      <c r="L8039">
        <v>-15.558929999999901</v>
      </c>
      <c r="M8039">
        <v>-9.5532480000000003E-3</v>
      </c>
      <c r="N8039">
        <v>0</v>
      </c>
      <c r="O8039">
        <v>0.99988030000000006</v>
      </c>
      <c r="P8039">
        <v>-3.365286E-2</v>
      </c>
      <c r="Q8039">
        <v>0.2078188</v>
      </c>
      <c r="R8039">
        <v>0.97758829999999997</v>
      </c>
      <c r="S8039">
        <v>-0.13816829999999999</v>
      </c>
      <c r="T8039">
        <v>-0.1095575</v>
      </c>
      <c r="U8039">
        <v>3.0864560000000001</v>
      </c>
      <c r="V8039">
        <v>-2.5515960000000001E-2</v>
      </c>
      <c r="W8039">
        <v>0.21957199999999999</v>
      </c>
      <c r="X8039">
        <v>0.97526259999999998</v>
      </c>
      <c r="Y8039">
        <v>-3.5146690000000001E-2</v>
      </c>
      <c r="Z8039">
        <v>-3.5442759999999997E-2</v>
      </c>
      <c r="AA8039">
        <v>0.99875349999999996</v>
      </c>
      <c r="AB8039">
        <v>32</v>
      </c>
      <c r="AC8039">
        <v>-1.3980999999999899</v>
      </c>
      <c r="AD8039">
        <v>-1.112521824276</v>
      </c>
      <c r="AE8039">
        <v>31.02786</v>
      </c>
      <c r="AF8039">
        <v>-1.10018583629325</v>
      </c>
      <c r="AG8039">
        <v>-1.112521824276</v>
      </c>
      <c r="AH8039">
        <v>31.000027695956401</v>
      </c>
      <c r="AI8039">
        <v>92.054043561995002</v>
      </c>
      <c r="AJ8039">
        <v>92.0325646315152</v>
      </c>
      <c r="AK8039">
        <v>31.039488250194001</v>
      </c>
      <c r="AL8039">
        <v>77.316104680520098</v>
      </c>
      <c r="AM8039">
        <v>91.498697253221593</v>
      </c>
      <c r="AN8039">
        <v>1.00000003317874</v>
      </c>
    </row>
    <row r="8040" spans="1:40" x14ac:dyDescent="0.25">
      <c r="A8040" t="str">
        <f>"20190312172306130"</f>
        <v>20190312172306130</v>
      </c>
      <c r="B8040" t="str">
        <f>"1552382586128810"</f>
        <v>1552382586128810</v>
      </c>
      <c r="C8040" t="s">
        <v>40</v>
      </c>
      <c r="D8040">
        <v>3.5442200000000001</v>
      </c>
      <c r="E8040">
        <v>0.50111539999999999</v>
      </c>
      <c r="F8040" t="s">
        <v>42</v>
      </c>
      <c r="G8040">
        <v>-188.3117</v>
      </c>
      <c r="H8040" s="1">
        <v>-3.1017509999999998E-6</v>
      </c>
      <c r="I8040">
        <v>16.164950000000001</v>
      </c>
      <c r="J8040">
        <v>-186.8004</v>
      </c>
      <c r="K8040">
        <v>1.112571</v>
      </c>
      <c r="L8040">
        <v>-15.24619</v>
      </c>
      <c r="M8040">
        <v>-1.243067E-2</v>
      </c>
      <c r="N8040">
        <v>0</v>
      </c>
      <c r="O8040">
        <v>0.99984930000000005</v>
      </c>
      <c r="P8040">
        <v>-3.705692E-2</v>
      </c>
      <c r="Q8040">
        <v>0.2085342</v>
      </c>
      <c r="R8040">
        <v>0.97731279999999998</v>
      </c>
      <c r="S8040">
        <v>-0.14761350000000001</v>
      </c>
      <c r="T8040">
        <v>-0.1082473</v>
      </c>
      <c r="U8040">
        <v>3.0867</v>
      </c>
      <c r="V8040">
        <v>-2.6146820000000001E-2</v>
      </c>
      <c r="W8040">
        <v>0.2202209</v>
      </c>
      <c r="X8040">
        <v>0.97509950000000001</v>
      </c>
      <c r="Y8040">
        <v>-3.5317479999999998E-2</v>
      </c>
      <c r="Z8040">
        <v>-3.5012420000000002E-2</v>
      </c>
      <c r="AA8040">
        <v>0.9987627</v>
      </c>
      <c r="AB8040">
        <v>32</v>
      </c>
      <c r="AC8040">
        <v>-1.5113000000000001</v>
      </c>
      <c r="AD8040">
        <v>-1.112574101751</v>
      </c>
      <c r="AE8040">
        <v>31.41114</v>
      </c>
      <c r="AF8040">
        <v>-1.1192920516760301</v>
      </c>
      <c r="AG8040">
        <v>-1.112574101751</v>
      </c>
      <c r="AH8040">
        <v>31.3882131870694</v>
      </c>
      <c r="AI8040">
        <v>92.028745093808396</v>
      </c>
      <c r="AJ8040">
        <v>92.042280899387904</v>
      </c>
      <c r="AK8040">
        <v>31.427862843434799</v>
      </c>
      <c r="AL8040">
        <v>77.277991744579893</v>
      </c>
      <c r="AM8040">
        <v>91.535990464768901</v>
      </c>
      <c r="AN8040">
        <v>0.99999996794658497</v>
      </c>
    </row>
    <row r="8041" spans="1:40" x14ac:dyDescent="0.25">
      <c r="A8041" t="str">
        <f>"20190312172306154"</f>
        <v>20190312172306154</v>
      </c>
      <c r="B8041" t="str">
        <f>"1552382586148330"</f>
        <v>1552382586148330</v>
      </c>
      <c r="C8041" t="s">
        <v>40</v>
      </c>
      <c r="D8041">
        <v>3.5015520000000002</v>
      </c>
      <c r="E8041">
        <v>0.50184479999999998</v>
      </c>
      <c r="F8041" t="s">
        <v>42</v>
      </c>
      <c r="G8041">
        <v>-187.5395</v>
      </c>
      <c r="H8041" s="1">
        <v>-3.9591680000000001E-6</v>
      </c>
      <c r="I8041">
        <v>7.8443160000000001</v>
      </c>
      <c r="J8041">
        <v>-186.80760000000001</v>
      </c>
      <c r="K8041">
        <v>1.1126020000000001</v>
      </c>
      <c r="L8041">
        <v>-14.912929999999999</v>
      </c>
      <c r="M8041">
        <v>-1.550399E-2</v>
      </c>
      <c r="N8041">
        <v>0</v>
      </c>
      <c r="O8041">
        <v>0.99980729999999995</v>
      </c>
      <c r="P8041">
        <v>-3.9394680000000001E-2</v>
      </c>
      <c r="Q8041">
        <v>0.2089964</v>
      </c>
      <c r="R8041">
        <v>0.97712259999999995</v>
      </c>
      <c r="S8041">
        <v>-9.9151610000000001E-2</v>
      </c>
      <c r="T8041">
        <v>-0.149258</v>
      </c>
      <c r="U8041">
        <v>3.0977169999999998</v>
      </c>
      <c r="V8041">
        <v>-2.550939E-2</v>
      </c>
      <c r="W8041">
        <v>0.2206079</v>
      </c>
      <c r="X8041">
        <v>0.97502889999999998</v>
      </c>
      <c r="Y8041">
        <v>-1.6453519999999999E-2</v>
      </c>
      <c r="Z8041">
        <v>-4.8103180000000002E-2</v>
      </c>
      <c r="AA8041">
        <v>0.99870680000000001</v>
      </c>
      <c r="AB8041">
        <v>32</v>
      </c>
      <c r="AC8041">
        <v>-0.731899999999996</v>
      </c>
      <c r="AD8041">
        <v>-1.112605959168</v>
      </c>
      <c r="AE8041">
        <v>22.757245999999999</v>
      </c>
      <c r="AF8041">
        <v>-0.37805560811735001</v>
      </c>
      <c r="AG8041">
        <v>-1.112605959168</v>
      </c>
      <c r="AH8041">
        <v>22.711628130242602</v>
      </c>
      <c r="AI8041">
        <v>92.804197685688806</v>
      </c>
      <c r="AJ8041">
        <v>90.953652037675994</v>
      </c>
      <c r="AK8041">
        <v>22.742006736205902</v>
      </c>
      <c r="AL8041">
        <v>77.255259164226203</v>
      </c>
      <c r="AM8041">
        <v>91.498670495077704</v>
      </c>
      <c r="AN8041">
        <v>0.99999996517789502</v>
      </c>
    </row>
    <row r="8042" spans="1:40" x14ac:dyDescent="0.25">
      <c r="A8042" t="str">
        <f>"20190312172306176"</f>
        <v>20190312172306176</v>
      </c>
      <c r="B8042" t="str">
        <f>"1552382586167851"</f>
        <v>1552382586167851</v>
      </c>
      <c r="C8042" t="s">
        <v>40</v>
      </c>
      <c r="D8042">
        <v>3.5195940000000001</v>
      </c>
      <c r="E8042">
        <v>0.50237609999999999</v>
      </c>
      <c r="F8042" t="s">
        <v>42</v>
      </c>
      <c r="G8042">
        <v>-187.56620000000001</v>
      </c>
      <c r="H8042" s="1">
        <v>-3.967356E-6</v>
      </c>
      <c r="I8042">
        <v>7.8744350000000001</v>
      </c>
      <c r="J8042">
        <v>-186.81530000000001</v>
      </c>
      <c r="K8042">
        <v>1.1126180000000001</v>
      </c>
      <c r="L8042">
        <v>-14.594729999999901</v>
      </c>
      <c r="M8042">
        <v>-1.843202E-2</v>
      </c>
      <c r="N8042">
        <v>0</v>
      </c>
      <c r="O8042">
        <v>0.9997587</v>
      </c>
      <c r="P8042">
        <v>-4.0478840000000002E-2</v>
      </c>
      <c r="Q8042">
        <v>0.20883979999999999</v>
      </c>
      <c r="R8042">
        <v>0.97711179999999997</v>
      </c>
      <c r="S8042">
        <v>-0.1031494</v>
      </c>
      <c r="T8042">
        <v>-0.15128359999999999</v>
      </c>
      <c r="U8042">
        <v>3.0984500000000001</v>
      </c>
      <c r="V8042">
        <v>-2.3746699999999999E-2</v>
      </c>
      <c r="W8042">
        <v>0.2203726</v>
      </c>
      <c r="X8042">
        <v>0.97512670000000001</v>
      </c>
      <c r="Y8042">
        <v>-1.480389E-2</v>
      </c>
      <c r="Z8042">
        <v>-4.8738919999999998E-2</v>
      </c>
      <c r="AA8042">
        <v>0.99870179999999997</v>
      </c>
      <c r="AB8042">
        <v>32</v>
      </c>
      <c r="AC8042">
        <v>-0.75090000000000101</v>
      </c>
      <c r="AD8042">
        <v>-1.1126219673560001</v>
      </c>
      <c r="AE8042">
        <v>22.469165</v>
      </c>
      <c r="AF8042">
        <v>-0.33576835571644398</v>
      </c>
      <c r="AG8042">
        <v>-1.1126219673560001</v>
      </c>
      <c r="AH8042">
        <v>22.4242658157665</v>
      </c>
      <c r="AI8042">
        <v>92.840190185652901</v>
      </c>
      <c r="AJ8042">
        <v>90.857850699562803</v>
      </c>
      <c r="AK8042">
        <v>22.454361834777099</v>
      </c>
      <c r="AL8042">
        <v>77.269081930648198</v>
      </c>
      <c r="AM8042">
        <v>91.395015460215902</v>
      </c>
      <c r="AN8042">
        <v>1.00000003482226</v>
      </c>
    </row>
    <row r="8043" spans="1:40" x14ac:dyDescent="0.25">
      <c r="A8043" t="str">
        <f>"20190312172306200"</f>
        <v>20190312172306200</v>
      </c>
      <c r="B8043" t="str">
        <f>"1552382586188350"</f>
        <v>1552382586188350</v>
      </c>
      <c r="C8043" t="s">
        <v>40</v>
      </c>
      <c r="D8043">
        <v>3.5303740000000001</v>
      </c>
      <c r="E8043">
        <v>0.50294329999999998</v>
      </c>
      <c r="F8043" t="s">
        <v>42</v>
      </c>
      <c r="G8043">
        <v>-187.56979999999999</v>
      </c>
      <c r="H8043" s="1">
        <v>-3.8968950000000004E-6</v>
      </c>
      <c r="I8043">
        <v>7.7116769999999999</v>
      </c>
      <c r="J8043">
        <v>-186.82429999999999</v>
      </c>
      <c r="K8043">
        <v>1.1126100000000001</v>
      </c>
      <c r="L8043">
        <v>-14.26797</v>
      </c>
      <c r="M8043">
        <v>-2.1426890000000001E-2</v>
      </c>
      <c r="N8043">
        <v>0</v>
      </c>
      <c r="O8043">
        <v>0.99970020000000004</v>
      </c>
      <c r="P8043">
        <v>-4.1119019999999999E-2</v>
      </c>
      <c r="Q8043">
        <v>0.2079587</v>
      </c>
      <c r="R8043">
        <v>0.9772729</v>
      </c>
      <c r="S8043">
        <v>-0.10481260000000001</v>
      </c>
      <c r="T8043">
        <v>-0.15457360000000001</v>
      </c>
      <c r="U8043">
        <v>3.0989689999999999</v>
      </c>
      <c r="V8043">
        <v>-2.1463280000000001E-2</v>
      </c>
      <c r="W8043">
        <v>0.21940460000000001</v>
      </c>
      <c r="X8043">
        <v>0.97539779999999998</v>
      </c>
      <c r="Y8043">
        <v>-1.233662E-2</v>
      </c>
      <c r="Z8043">
        <v>-4.9783870000000001E-2</v>
      </c>
      <c r="AA8043">
        <v>0.99868380000000001</v>
      </c>
      <c r="AB8043">
        <v>32</v>
      </c>
      <c r="AC8043">
        <v>-0.74549999999999195</v>
      </c>
      <c r="AD8043">
        <v>-1.1126138968949999</v>
      </c>
      <c r="AE8043">
        <v>21.979647</v>
      </c>
      <c r="AF8043">
        <v>-0.27363990957976098</v>
      </c>
      <c r="AG8043">
        <v>-1.1126138968949999</v>
      </c>
      <c r="AH8043">
        <v>21.934434734710699</v>
      </c>
      <c r="AI8043">
        <v>92.903587168344103</v>
      </c>
      <c r="AJ8043">
        <v>90.714748240533694</v>
      </c>
      <c r="AK8043">
        <v>21.9643396353034</v>
      </c>
      <c r="AL8043">
        <v>77.325934773866607</v>
      </c>
      <c r="AM8043">
        <v>91.260569720247005</v>
      </c>
      <c r="AN8043">
        <v>0.99999995956717802</v>
      </c>
    </row>
    <row r="8044" spans="1:40" x14ac:dyDescent="0.25">
      <c r="A8044" t="str">
        <f>"20190312172306222"</f>
        <v>20190312172306222</v>
      </c>
      <c r="B8044" t="str">
        <f>"1552382586218603"</f>
        <v>1552382586218603</v>
      </c>
      <c r="C8044" t="s">
        <v>40</v>
      </c>
      <c r="D8044">
        <v>3.5067879999999998</v>
      </c>
      <c r="E8044">
        <v>0.50361099999999903</v>
      </c>
      <c r="F8044" t="s">
        <v>42</v>
      </c>
      <c r="G8044">
        <v>-187.55160000000001</v>
      </c>
      <c r="H8044" s="1">
        <v>-3.7952320000000001E-6</v>
      </c>
      <c r="I8044">
        <v>7.4671750000000001</v>
      </c>
      <c r="J8044">
        <v>-186.83420000000001</v>
      </c>
      <c r="K8044">
        <v>1.1126039999999999</v>
      </c>
      <c r="L8044">
        <v>-13.943910000000001</v>
      </c>
      <c r="M8044">
        <v>-2.438686E-2</v>
      </c>
      <c r="N8044">
        <v>0</v>
      </c>
      <c r="O8044">
        <v>0.99963380000000002</v>
      </c>
      <c r="P8044">
        <v>-4.1460610000000002E-2</v>
      </c>
      <c r="Q8044">
        <v>0.20709379999999999</v>
      </c>
      <c r="R8044">
        <v>0.97744209999999998</v>
      </c>
      <c r="S8044">
        <v>-0.1036987</v>
      </c>
      <c r="T8044">
        <v>-0.15864429999999999</v>
      </c>
      <c r="U8044">
        <v>3.0991520000000001</v>
      </c>
      <c r="V8044">
        <v>-1.8909769999999999E-2</v>
      </c>
      <c r="W8044">
        <v>0.21844469999999999</v>
      </c>
      <c r="X8044">
        <v>0.97566609999999998</v>
      </c>
      <c r="Y8044">
        <v>-9.0131269999999993E-3</v>
      </c>
      <c r="Z8044">
        <v>-5.1084579999999997E-2</v>
      </c>
      <c r="AA8044">
        <v>0.99865369999999998</v>
      </c>
      <c r="AB8044">
        <v>32</v>
      </c>
      <c r="AC8044">
        <v>-0.71739999999999704</v>
      </c>
      <c r="AD8044">
        <v>-1.1126077952319999</v>
      </c>
      <c r="AE8044">
        <v>21.411085</v>
      </c>
      <c r="AF8044">
        <v>-0.19447701602895801</v>
      </c>
      <c r="AG8044">
        <v>-1.1126077952319999</v>
      </c>
      <c r="AH8044">
        <v>21.364587309870998</v>
      </c>
      <c r="AI8044">
        <v>92.980987235282399</v>
      </c>
      <c r="AJ8044">
        <v>90.521536143941404</v>
      </c>
      <c r="AK8044">
        <v>21.394422365113702</v>
      </c>
      <c r="AL8044">
        <v>77.382300877116194</v>
      </c>
      <c r="AM8044">
        <v>91.110333116315104</v>
      </c>
      <c r="AN8044">
        <v>1.00000000252437</v>
      </c>
    </row>
    <row r="8045" spans="1:40" x14ac:dyDescent="0.25">
      <c r="A8045" t="str">
        <f>"20190312172306243"</f>
        <v>20190312172306243</v>
      </c>
      <c r="B8045" t="str">
        <f>"1552382586238123"</f>
        <v>1552382586238123</v>
      </c>
      <c r="C8045" t="s">
        <v>40</v>
      </c>
      <c r="D8045">
        <v>3.4792169999999998</v>
      </c>
      <c r="E8045">
        <v>0.50424440000000004</v>
      </c>
      <c r="F8045" t="s">
        <v>42</v>
      </c>
      <c r="G8045">
        <v>-187.52330000000001</v>
      </c>
      <c r="H8045" s="1">
        <v>-3.719326E-6</v>
      </c>
      <c r="I8045">
        <v>7.278562</v>
      </c>
      <c r="J8045">
        <v>-186.84450000000001</v>
      </c>
      <c r="K8045">
        <v>1.112595</v>
      </c>
      <c r="L8045">
        <v>-13.635249999999999</v>
      </c>
      <c r="M8045">
        <v>-2.7200140000000001E-2</v>
      </c>
      <c r="N8045">
        <v>0</v>
      </c>
      <c r="O8045">
        <v>0.99956250000000002</v>
      </c>
      <c r="P8045">
        <v>-3.9554010000000001E-2</v>
      </c>
      <c r="Q8045">
        <v>0.20656679999999999</v>
      </c>
      <c r="R8045">
        <v>0.97763259999999996</v>
      </c>
      <c r="S8045">
        <v>-0.100647</v>
      </c>
      <c r="T8045">
        <v>-0.16248870000000001</v>
      </c>
      <c r="U8045">
        <v>3.099396</v>
      </c>
      <c r="V8045">
        <v>-1.424945E-2</v>
      </c>
      <c r="W8045">
        <v>0.21783559999999999</v>
      </c>
      <c r="X8045">
        <v>0.97588149999999996</v>
      </c>
      <c r="Y8045">
        <v>-5.2118770000000002E-3</v>
      </c>
      <c r="Z8045">
        <v>-5.2310910000000002E-2</v>
      </c>
      <c r="AA8045">
        <v>0.99861719999999998</v>
      </c>
      <c r="AB8045">
        <v>32</v>
      </c>
      <c r="AC8045">
        <v>-0.67879999999999496</v>
      </c>
      <c r="AD8045">
        <v>-1.1125987193260001</v>
      </c>
      <c r="AE8045">
        <v>20.913812</v>
      </c>
      <c r="AF8045">
        <v>-0.109342678851857</v>
      </c>
      <c r="AG8045">
        <v>-1.1125987193260001</v>
      </c>
      <c r="AH8045">
        <v>20.865547053104802</v>
      </c>
      <c r="AI8045">
        <v>93.052209656875803</v>
      </c>
      <c r="AJ8045">
        <v>90.300246940894098</v>
      </c>
      <c r="AK8045">
        <v>20.895475241233299</v>
      </c>
      <c r="AL8045">
        <v>77.418061521244198</v>
      </c>
      <c r="AM8045">
        <v>90.836551701847</v>
      </c>
      <c r="AN8045">
        <v>1.0000000487474501</v>
      </c>
    </row>
    <row r="8046" spans="1:40" x14ac:dyDescent="0.25">
      <c r="A8046" t="str">
        <f>"20190312172306277"</f>
        <v>20190312172306277</v>
      </c>
      <c r="B8046" t="str">
        <f>"1552382586268379"</f>
        <v>1552382586268379</v>
      </c>
      <c r="C8046" t="s">
        <v>40</v>
      </c>
      <c r="D8046">
        <v>3.4482249999999999</v>
      </c>
      <c r="E8046">
        <v>0.50833490000000003</v>
      </c>
      <c r="F8046" t="s">
        <v>42</v>
      </c>
      <c r="G8046">
        <v>-187.46889999999999</v>
      </c>
      <c r="H8046" s="1">
        <v>-3.731722E-6</v>
      </c>
      <c r="I8046">
        <v>7.2849709999999996</v>
      </c>
      <c r="J8046">
        <v>-186.8623</v>
      </c>
      <c r="K8046">
        <v>1.1125750000000001</v>
      </c>
      <c r="L8046">
        <v>-13.1535299999999</v>
      </c>
      <c r="M8046">
        <v>-3.1584790000000001E-2</v>
      </c>
      <c r="N8046">
        <v>0</v>
      </c>
      <c r="O8046">
        <v>0.99943559999999998</v>
      </c>
      <c r="P8046">
        <v>-3.7704889999999998E-2</v>
      </c>
      <c r="Q8046">
        <v>0.20574680000000001</v>
      </c>
      <c r="R8046">
        <v>0.97787860000000004</v>
      </c>
      <c r="S8046">
        <v>-9.2529299999999995E-2</v>
      </c>
      <c r="T8046">
        <v>-0.16485279999999899</v>
      </c>
      <c r="U8046">
        <v>3.0997309999999998</v>
      </c>
      <c r="V8046">
        <v>-8.1057330000000004E-3</v>
      </c>
      <c r="W8046">
        <v>0.2168833</v>
      </c>
      <c r="X8046">
        <v>0.97616389999999997</v>
      </c>
      <c r="Y8046">
        <v>1.7922770000000001E-3</v>
      </c>
      <c r="Z8046">
        <v>-5.305634E-2</v>
      </c>
      <c r="AA8046">
        <v>0.99858990000000003</v>
      </c>
      <c r="AB8046">
        <v>32</v>
      </c>
      <c r="AC8046">
        <v>-0.60659999999998604</v>
      </c>
      <c r="AD8046">
        <v>-1.1125787317219999</v>
      </c>
      <c r="AE8046">
        <v>20.438500999999999</v>
      </c>
      <c r="AF8046">
        <v>3.9174717339000797E-2</v>
      </c>
      <c r="AG8046">
        <v>-1.1125787317219999</v>
      </c>
      <c r="AH8046">
        <v>20.387104750918901</v>
      </c>
      <c r="AI8046">
        <v>93.123679386813095</v>
      </c>
      <c r="AJ8046">
        <v>89.889903778293402</v>
      </c>
      <c r="AK8046">
        <v>20.417477959280301</v>
      </c>
      <c r="AL8046">
        <v>77.473960311423696</v>
      </c>
      <c r="AM8046">
        <v>90.475753730561394</v>
      </c>
      <c r="AN8046">
        <v>1.00000001419478</v>
      </c>
    </row>
    <row r="8047" spans="1:40" x14ac:dyDescent="0.25">
      <c r="A8047" t="str">
        <f>"20190312172306298"</f>
        <v>20190312172306298</v>
      </c>
      <c r="B8047" t="str">
        <f>"1552382586287898"</f>
        <v>1552382586287898</v>
      </c>
      <c r="C8047" t="s">
        <v>40</v>
      </c>
      <c r="D8047">
        <v>3.6318030000000001</v>
      </c>
      <c r="E8047">
        <v>0.50630549999999996</v>
      </c>
      <c r="F8047" t="s">
        <v>42</v>
      </c>
      <c r="G8047">
        <v>-187.24629999999999</v>
      </c>
      <c r="H8047" s="1">
        <v>-3.6673559999999999E-6</v>
      </c>
      <c r="I8047">
        <v>7.0428740000000003</v>
      </c>
      <c r="J8047">
        <v>-186.8749</v>
      </c>
      <c r="K8047">
        <v>1.112565</v>
      </c>
      <c r="L8047">
        <v>-12.84177</v>
      </c>
      <c r="M8047">
        <v>-3.4421069999999998E-2</v>
      </c>
      <c r="N8047">
        <v>0</v>
      </c>
      <c r="O8047">
        <v>0.99934319999999999</v>
      </c>
      <c r="P8047">
        <v>-3.7502290000000001E-2</v>
      </c>
      <c r="Q8047">
        <v>0.20355000000000001</v>
      </c>
      <c r="R8047">
        <v>0.97834600000000005</v>
      </c>
      <c r="S8047">
        <v>-5.8975220000000002E-2</v>
      </c>
      <c r="T8047">
        <v>-0.17085699999999901</v>
      </c>
      <c r="U8047">
        <v>3.1015320000000002</v>
      </c>
      <c r="V8047">
        <v>-5.1009180000000003E-3</v>
      </c>
      <c r="W8047">
        <v>0.21460409999999999</v>
      </c>
      <c r="X8047">
        <v>0.97668779999999999</v>
      </c>
      <c r="Y8047">
        <v>1.544564E-2</v>
      </c>
      <c r="Z8047">
        <v>-5.4947459999999997E-2</v>
      </c>
      <c r="AA8047">
        <v>0.99836979999999997</v>
      </c>
      <c r="AB8047">
        <v>32</v>
      </c>
      <c r="AC8047">
        <v>-0.37139999999999401</v>
      </c>
      <c r="AD8047">
        <v>-1.112568667356</v>
      </c>
      <c r="AE8047">
        <v>19.884644000000002</v>
      </c>
      <c r="AF8047">
        <v>0.31233732683078402</v>
      </c>
      <c r="AG8047">
        <v>-1.112568667356</v>
      </c>
      <c r="AH8047">
        <v>19.823607263212899</v>
      </c>
      <c r="AI8047">
        <v>93.211867502878206</v>
      </c>
      <c r="AJ8047">
        <v>89.097332298995099</v>
      </c>
      <c r="AK8047">
        <v>19.857259845492798</v>
      </c>
      <c r="AL8047">
        <v>77.607698220024105</v>
      </c>
      <c r="AM8047">
        <v>90.299234223894999</v>
      </c>
      <c r="AN8047">
        <v>0.99999999888504598</v>
      </c>
    </row>
    <row r="8048" spans="1:40" x14ac:dyDescent="0.25">
      <c r="A8048" t="str">
        <f>"20190312172306388"</f>
        <v>20190312172306388</v>
      </c>
      <c r="B8048" t="str">
        <f>"1552382586378667"</f>
        <v>1552382586378667</v>
      </c>
      <c r="C8048" t="s">
        <v>40</v>
      </c>
      <c r="D8048">
        <v>3.491295</v>
      </c>
      <c r="E8048">
        <v>0.50521269999999996</v>
      </c>
      <c r="F8048" t="s">
        <v>42</v>
      </c>
      <c r="G8048">
        <v>-187.26859999999999</v>
      </c>
      <c r="H8048" s="1">
        <v>-2.0519440000000002E-6</v>
      </c>
      <c r="I8048">
        <v>3.2865129999999998</v>
      </c>
      <c r="J8048">
        <v>-186.93680000000001</v>
      </c>
      <c r="K8048">
        <v>1.1125160000000001</v>
      </c>
      <c r="L8048">
        <v>-11.54874</v>
      </c>
      <c r="M8048">
        <v>-4.618017E-2</v>
      </c>
      <c r="N8048">
        <v>0</v>
      </c>
      <c r="O8048">
        <v>0.99887340000000002</v>
      </c>
      <c r="P8048">
        <v>-3.8992690000000003E-2</v>
      </c>
      <c r="Q8048">
        <v>0.1999553</v>
      </c>
      <c r="R8048">
        <v>0.97902880000000003</v>
      </c>
      <c r="S8048">
        <v>-7.5866699999999995E-2</v>
      </c>
      <c r="T8048">
        <v>-0.2144037</v>
      </c>
      <c r="U8048">
        <v>3.1080930000000002</v>
      </c>
      <c r="V8048">
        <v>4.9719330000000004E-3</v>
      </c>
      <c r="W8048">
        <v>0.21067959999999999</v>
      </c>
      <c r="X8048">
        <v>0.97754249999999998</v>
      </c>
      <c r="Y8048">
        <v>2.1850769999999999E-2</v>
      </c>
      <c r="Z8048">
        <v>-6.8690470000000003E-2</v>
      </c>
      <c r="AA8048">
        <v>0.99739869999999997</v>
      </c>
      <c r="AB8048">
        <v>32</v>
      </c>
      <c r="AC8048">
        <v>-0.33179999999998699</v>
      </c>
      <c r="AD8048">
        <v>-1.1125180519439899</v>
      </c>
      <c r="AE8048">
        <v>14.8352529999999</v>
      </c>
      <c r="AF8048">
        <v>0.35171246768664699</v>
      </c>
      <c r="AG8048">
        <v>-1.1125180519439899</v>
      </c>
      <c r="AH8048">
        <v>14.7518284953094</v>
      </c>
      <c r="AI8048">
        <v>94.311611090122497</v>
      </c>
      <c r="AJ8048">
        <v>88.634215210464006</v>
      </c>
      <c r="AK8048">
        <v>14.797899919611901</v>
      </c>
      <c r="AL8048">
        <v>77.837818207405803</v>
      </c>
      <c r="AM8048">
        <v>89.708587278280405</v>
      </c>
      <c r="AN8048">
        <v>0.999999976640083</v>
      </c>
    </row>
    <row r="8049" spans="1:40" x14ac:dyDescent="0.25">
      <c r="A8049" t="str">
        <f>"20190312172306411"</f>
        <v>20190312172306411</v>
      </c>
      <c r="B8049" t="str">
        <f>"1552382586407947"</f>
        <v>1552382586407947</v>
      </c>
      <c r="C8049" t="s">
        <v>40</v>
      </c>
      <c r="D8049">
        <v>3.7609659999999998</v>
      </c>
      <c r="E8049">
        <v>0.5052297</v>
      </c>
      <c r="F8049" t="s">
        <v>42</v>
      </c>
      <c r="G8049">
        <v>-187.4607</v>
      </c>
      <c r="H8049" s="1">
        <v>-3.0390859999999999E-6</v>
      </c>
      <c r="I8049">
        <v>5.667014</v>
      </c>
      <c r="J8049">
        <v>-186.95519999999999</v>
      </c>
      <c r="K8049">
        <v>1.1125119999999999</v>
      </c>
      <c r="L8049">
        <v>-11.21692</v>
      </c>
      <c r="M8049">
        <v>-4.9197190000000002E-2</v>
      </c>
      <c r="N8049">
        <v>0</v>
      </c>
      <c r="O8049">
        <v>0.99873029999999996</v>
      </c>
      <c r="P8049">
        <v>-4.0355179999999997E-2</v>
      </c>
      <c r="Q8049">
        <v>0.19858919999999999</v>
      </c>
      <c r="R8049">
        <v>0.9792516</v>
      </c>
      <c r="S8049">
        <v>-9.4375609999999999E-2</v>
      </c>
      <c r="T8049">
        <v>-0.20042180000000001</v>
      </c>
      <c r="U8049">
        <v>3.1014400000000002</v>
      </c>
      <c r="V8049">
        <v>6.5866809999999996E-3</v>
      </c>
      <c r="W8049">
        <v>0.20924180000000001</v>
      </c>
      <c r="X8049">
        <v>0.97784170000000004</v>
      </c>
      <c r="Y8049">
        <v>1.8861739999999998E-2</v>
      </c>
      <c r="Z8049">
        <v>-6.4350099999999993E-2</v>
      </c>
      <c r="AA8049">
        <v>0.99774910000000006</v>
      </c>
      <c r="AB8049">
        <v>32</v>
      </c>
      <c r="AC8049">
        <v>-0.50550000000001205</v>
      </c>
      <c r="AD8049">
        <v>-1.1125150390859999</v>
      </c>
      <c r="AE8049">
        <v>16.883934</v>
      </c>
      <c r="AF8049">
        <v>0.32439588804696601</v>
      </c>
      <c r="AG8049">
        <v>-1.1125150390859999</v>
      </c>
      <c r="AH8049">
        <v>16.815414344042701</v>
      </c>
      <c r="AI8049">
        <v>93.784494852420494</v>
      </c>
      <c r="AJ8049">
        <v>88.894811054857001</v>
      </c>
      <c r="AK8049">
        <v>16.855298335129199</v>
      </c>
      <c r="AL8049">
        <v>77.922075922345201</v>
      </c>
      <c r="AM8049">
        <v>89.614065022268207</v>
      </c>
      <c r="AN8049">
        <v>0.999999952746361</v>
      </c>
    </row>
    <row r="8050" spans="1:40" x14ac:dyDescent="0.25">
      <c r="A8050" t="str">
        <f>"20190312172306433"</f>
        <v>20190312172306433</v>
      </c>
      <c r="B8050" t="str">
        <f>"1552382586428442"</f>
        <v>1552382586428442</v>
      </c>
      <c r="C8050" t="s">
        <v>40</v>
      </c>
      <c r="D8050">
        <v>3.4050760000000002</v>
      </c>
      <c r="E8050">
        <v>0.50490049999999997</v>
      </c>
      <c r="F8050" t="s">
        <v>42</v>
      </c>
      <c r="G8050">
        <v>-187.48390000000001</v>
      </c>
      <c r="H8050" s="1">
        <v>-2.9873409999999998E-6</v>
      </c>
      <c r="I8050">
        <v>5.5559949999999896</v>
      </c>
      <c r="J8050">
        <v>-186.9734</v>
      </c>
      <c r="K8050">
        <v>1.112501</v>
      </c>
      <c r="L8050">
        <v>-10.90344</v>
      </c>
      <c r="M8050">
        <v>-5.2047789999999997E-2</v>
      </c>
      <c r="N8050">
        <v>0</v>
      </c>
      <c r="O8050">
        <v>0.99858670000000005</v>
      </c>
      <c r="P8050">
        <v>-4.1471429999999997E-2</v>
      </c>
      <c r="Q8050">
        <v>0.19772709999999999</v>
      </c>
      <c r="R8050">
        <v>0.97937949999999996</v>
      </c>
      <c r="S8050">
        <v>-9.7763059999999999E-2</v>
      </c>
      <c r="T8050">
        <v>-0.20570050000000001</v>
      </c>
      <c r="U8050">
        <v>3.1012569999999999</v>
      </c>
      <c r="V8050">
        <v>8.2782680000000001E-3</v>
      </c>
      <c r="W8050">
        <v>0.2083161</v>
      </c>
      <c r="X8050">
        <v>0.97802650000000002</v>
      </c>
      <c r="Y8050">
        <v>2.0628469999999999E-2</v>
      </c>
      <c r="Z8050">
        <v>-6.6024910000000006E-2</v>
      </c>
      <c r="AA8050">
        <v>0.99760470000000001</v>
      </c>
      <c r="AB8050">
        <v>32</v>
      </c>
      <c r="AC8050">
        <v>-0.51050000000000695</v>
      </c>
      <c r="AD8050">
        <v>-1.1125039873410001</v>
      </c>
      <c r="AE8050">
        <v>16.459434999999999</v>
      </c>
      <c r="AF8050">
        <v>0.345342583580389</v>
      </c>
      <c r="AG8050">
        <v>-1.1125039873410001</v>
      </c>
      <c r="AH8050">
        <v>16.388894501698001</v>
      </c>
      <c r="AI8050">
        <v>93.882511162994803</v>
      </c>
      <c r="AJ8050">
        <v>88.792856665564599</v>
      </c>
      <c r="AK8050">
        <v>16.430240095922802</v>
      </c>
      <c r="AL8050">
        <v>77.976310134232605</v>
      </c>
      <c r="AM8050">
        <v>89.515045357698199</v>
      </c>
      <c r="AN8050">
        <v>0.99999998097126896</v>
      </c>
    </row>
    <row r="8051" spans="1:40" x14ac:dyDescent="0.25">
      <c r="A8051" t="str">
        <f>"20190312172306454"</f>
        <v>20190312172306454</v>
      </c>
      <c r="B8051" t="str">
        <f>"1552382586447962"</f>
        <v>1552382586447962</v>
      </c>
      <c r="C8051" t="s">
        <v>40</v>
      </c>
      <c r="D8051">
        <v>3.3997769999999998</v>
      </c>
      <c r="E8051">
        <v>0.50489870000000003</v>
      </c>
      <c r="F8051" t="s">
        <v>42</v>
      </c>
      <c r="G8051">
        <v>-187.5522</v>
      </c>
      <c r="H8051" s="1">
        <v>-3.2750820000000001E-6</v>
      </c>
      <c r="I8051">
        <v>6.2549679999999999</v>
      </c>
      <c r="J8051">
        <v>-186.99260000000001</v>
      </c>
      <c r="K8051">
        <v>1.1124940000000001</v>
      </c>
      <c r="L8051">
        <v>-10.588290000000001</v>
      </c>
      <c r="M8051">
        <v>-5.491306E-2</v>
      </c>
      <c r="N8051">
        <v>0</v>
      </c>
      <c r="O8051">
        <v>0.99843400000000004</v>
      </c>
      <c r="P8051">
        <v>-4.2024239999999997E-2</v>
      </c>
      <c r="Q8051">
        <v>0.19753499999999999</v>
      </c>
      <c r="R8051">
        <v>0.97939469999999995</v>
      </c>
      <c r="S8051">
        <v>-0.1045532</v>
      </c>
      <c r="T8051">
        <v>-0.2009504</v>
      </c>
      <c r="U8051">
        <v>3.0993040000000001</v>
      </c>
      <c r="V8051">
        <v>1.0538E-2</v>
      </c>
      <c r="W8051">
        <v>0.20806430000000001</v>
      </c>
      <c r="X8051">
        <v>0.97805839999999999</v>
      </c>
      <c r="Y8051">
        <v>2.1290969999999999E-2</v>
      </c>
      <c r="Z8051">
        <v>-6.4529580000000003E-2</v>
      </c>
      <c r="AA8051">
        <v>0.99768869999999998</v>
      </c>
      <c r="AB8051">
        <v>32</v>
      </c>
      <c r="AC8051">
        <v>-0.559599999999989</v>
      </c>
      <c r="AD8051">
        <v>-1.1124972750819999</v>
      </c>
      <c r="AE8051">
        <v>16.843257999999999</v>
      </c>
      <c r="AF8051">
        <v>0.36462311237664302</v>
      </c>
      <c r="AG8051">
        <v>-1.1124972750819999</v>
      </c>
      <c r="AH8051">
        <v>16.775468058795301</v>
      </c>
      <c r="AI8051">
        <v>93.793230399573304</v>
      </c>
      <c r="AJ8051">
        <v>88.754843894893199</v>
      </c>
      <c r="AK8051">
        <v>16.816269764510999</v>
      </c>
      <c r="AL8051">
        <v>77.991060867132205</v>
      </c>
      <c r="AM8051">
        <v>89.382695795895401</v>
      </c>
      <c r="AN8051">
        <v>1.0000000180945201</v>
      </c>
    </row>
    <row r="8052" spans="1:40" x14ac:dyDescent="0.25">
      <c r="A8052" t="str">
        <f>"20190312172306477"</f>
        <v>20190312172306477</v>
      </c>
      <c r="B8052" t="str">
        <f>"1552382586468459"</f>
        <v>1552382586468459</v>
      </c>
      <c r="C8052" t="s">
        <v>40</v>
      </c>
      <c r="D8052">
        <v>3.4032580000000001</v>
      </c>
      <c r="E8052">
        <v>0.50500789999999995</v>
      </c>
      <c r="F8052" t="s">
        <v>42</v>
      </c>
      <c r="G8052">
        <v>-187.59979999999999</v>
      </c>
      <c r="H8052" s="1">
        <v>-3.5324389999999999E-6</v>
      </c>
      <c r="I8052">
        <v>6.8745390000000004</v>
      </c>
      <c r="J8052">
        <v>-187.01339999999999</v>
      </c>
      <c r="K8052">
        <v>1.112492</v>
      </c>
      <c r="L8052">
        <v>-10.262969999999999</v>
      </c>
      <c r="M8052">
        <v>-5.786612E-2</v>
      </c>
      <c r="N8052">
        <v>0</v>
      </c>
      <c r="O8052">
        <v>0.99826800000000004</v>
      </c>
      <c r="P8052">
        <v>-4.3985360000000001E-2</v>
      </c>
      <c r="Q8052">
        <v>0.19633539999999999</v>
      </c>
      <c r="R8052">
        <v>0.97954980000000003</v>
      </c>
      <c r="S8052">
        <v>-0.10772710000000001</v>
      </c>
      <c r="T8052">
        <v>-0.197382</v>
      </c>
      <c r="U8052">
        <v>3.0982970000000001</v>
      </c>
      <c r="V8052">
        <v>1.1493740000000001E-2</v>
      </c>
      <c r="W8052">
        <v>0.2068006</v>
      </c>
      <c r="X8052">
        <v>0.97831559999999995</v>
      </c>
      <c r="Y8052">
        <v>2.3213879999999999E-2</v>
      </c>
      <c r="Z8052">
        <v>-6.3390489999999994E-2</v>
      </c>
      <c r="AA8052">
        <v>0.99771880000000002</v>
      </c>
      <c r="AB8052">
        <v>33</v>
      </c>
      <c r="AC8052">
        <v>-0.58639999999999703</v>
      </c>
      <c r="AD8052">
        <v>-1.112495532439</v>
      </c>
      <c r="AE8052">
        <v>17.137508999999898</v>
      </c>
      <c r="AF8052">
        <v>0.40461656949589803</v>
      </c>
      <c r="AG8052">
        <v>-1.112495532439</v>
      </c>
      <c r="AH8052">
        <v>17.070870320909901</v>
      </c>
      <c r="AI8052">
        <v>93.727605462026503</v>
      </c>
      <c r="AJ8052">
        <v>88.642220257797007</v>
      </c>
      <c r="AK8052">
        <v>17.111866478889102</v>
      </c>
      <c r="AL8052">
        <v>78.065075238798798</v>
      </c>
      <c r="AM8052">
        <v>89.326891550759896</v>
      </c>
      <c r="AN8052">
        <v>1.00000000371145</v>
      </c>
    </row>
    <row r="8053" spans="1:40" x14ac:dyDescent="0.25">
      <c r="A8053" t="str">
        <f>"20190312172306499"</f>
        <v>20190312172306499</v>
      </c>
      <c r="B8053" t="str">
        <f>"1552382586487979"</f>
        <v>1552382586487979</v>
      </c>
      <c r="C8053" t="s">
        <v>40</v>
      </c>
      <c r="D8053">
        <v>3.401049</v>
      </c>
      <c r="E8053">
        <v>0.5048878</v>
      </c>
      <c r="F8053" t="s">
        <v>42</v>
      </c>
      <c r="G8053">
        <v>-187.64879999999999</v>
      </c>
      <c r="H8053" s="1">
        <v>-3.581387E-6</v>
      </c>
      <c r="I8053">
        <v>7.0089100000000002</v>
      </c>
      <c r="J8053">
        <v>-187.03469999999999</v>
      </c>
      <c r="K8053">
        <v>1.112479</v>
      </c>
      <c r="L8053">
        <v>-9.9442140000000006</v>
      </c>
      <c r="M8053">
        <v>-6.0743610000000003E-2</v>
      </c>
      <c r="N8053">
        <v>0</v>
      </c>
      <c r="O8053">
        <v>0.99809769999999998</v>
      </c>
      <c r="P8053">
        <v>-4.6304159999999997E-2</v>
      </c>
      <c r="Q8053">
        <v>0.1958086</v>
      </c>
      <c r="R8053">
        <v>0.97954830000000004</v>
      </c>
      <c r="S8053">
        <v>-0.1139526</v>
      </c>
      <c r="T8053">
        <v>-0.19951260000000001</v>
      </c>
      <c r="U8053">
        <v>3.0975039999999998</v>
      </c>
      <c r="V8053">
        <v>1.200998E-2</v>
      </c>
      <c r="W8053">
        <v>0.2062137</v>
      </c>
      <c r="X8053">
        <v>0.97843329999999995</v>
      </c>
      <c r="Y8053">
        <v>2.4085800000000001E-2</v>
      </c>
      <c r="Z8053">
        <v>-6.406887E-2</v>
      </c>
      <c r="AA8053">
        <v>0.99765479999999995</v>
      </c>
      <c r="AB8053">
        <v>33</v>
      </c>
      <c r="AC8053">
        <v>-0.61410000000000697</v>
      </c>
      <c r="AD8053">
        <v>-1.1124825813869901</v>
      </c>
      <c r="AE8053">
        <v>16.953123999999999</v>
      </c>
      <c r="AF8053">
        <v>0.41510020103994599</v>
      </c>
      <c r="AG8053">
        <v>-1.1124825813869901</v>
      </c>
      <c r="AH8053">
        <v>16.886499489460402</v>
      </c>
      <c r="AI8053">
        <v>93.768064240460006</v>
      </c>
      <c r="AJ8053">
        <v>88.591851387291598</v>
      </c>
      <c r="AK8053">
        <v>16.9281951394216</v>
      </c>
      <c r="AL8053">
        <v>78.099443195112897</v>
      </c>
      <c r="AM8053">
        <v>89.296746533674394</v>
      </c>
      <c r="AN8053">
        <v>1.0000000261180799</v>
      </c>
    </row>
    <row r="8054" spans="1:40" x14ac:dyDescent="0.25">
      <c r="A8054" t="str">
        <f>"20190312172306521"</f>
        <v>20190312172306521</v>
      </c>
      <c r="B8054" t="str">
        <f>"1552382586518235"</f>
        <v>1552382586518235</v>
      </c>
      <c r="C8054" t="s">
        <v>40</v>
      </c>
      <c r="D8054">
        <v>3.3889520000000002</v>
      </c>
      <c r="E8054">
        <v>0.5046368</v>
      </c>
      <c r="F8054" t="s">
        <v>42</v>
      </c>
      <c r="G8054">
        <v>-187.7105</v>
      </c>
      <c r="H8054" s="1">
        <v>-3.6546039999999998E-6</v>
      </c>
      <c r="I8054">
        <v>7.2050759999999903</v>
      </c>
      <c r="J8054">
        <v>-187.0564</v>
      </c>
      <c r="K8054">
        <v>1.112455</v>
      </c>
      <c r="L8054">
        <v>-9.6336359999999992</v>
      </c>
      <c r="M8054">
        <v>-6.3510369999999997E-2</v>
      </c>
      <c r="N8054">
        <v>0</v>
      </c>
      <c r="O8054">
        <v>0.99792619999999999</v>
      </c>
      <c r="P8054">
        <v>-4.7836330000000003E-2</v>
      </c>
      <c r="Q8054">
        <v>0.19518060000000001</v>
      </c>
      <c r="R8054">
        <v>0.97960000000000003</v>
      </c>
      <c r="S8054">
        <v>-0.1220398</v>
      </c>
      <c r="T8054">
        <v>-0.20090479999999999</v>
      </c>
      <c r="U8054">
        <v>3.0970149999999999</v>
      </c>
      <c r="V8054">
        <v>1.3214389999999999E-2</v>
      </c>
      <c r="W8054">
        <v>0.2055324</v>
      </c>
      <c r="X8054">
        <v>0.97856109999999996</v>
      </c>
      <c r="Y8054">
        <v>2.4251189999999999E-2</v>
      </c>
      <c r="Z8054">
        <v>-6.4504210000000006E-2</v>
      </c>
      <c r="AA8054">
        <v>0.99762269999999997</v>
      </c>
      <c r="AB8054">
        <v>33</v>
      </c>
      <c r="AC8054">
        <v>-0.65409999999999902</v>
      </c>
      <c r="AD8054">
        <v>-1.1124586546040001</v>
      </c>
      <c r="AE8054">
        <v>16.838711999999902</v>
      </c>
      <c r="AF8054">
        <v>0.41490398131784201</v>
      </c>
      <c r="AG8054">
        <v>-1.1124586546040001</v>
      </c>
      <c r="AH8054">
        <v>16.773159556287599</v>
      </c>
      <c r="AI8054">
        <v>93.793356044079204</v>
      </c>
      <c r="AJ8054">
        <v>88.583009947902994</v>
      </c>
      <c r="AK8054">
        <v>16.8151298262189</v>
      </c>
      <c r="AL8054">
        <v>78.139333077140805</v>
      </c>
      <c r="AM8054">
        <v>89.226330620815503</v>
      </c>
      <c r="AN8054">
        <v>1.0000000069930199</v>
      </c>
    </row>
    <row r="8055" spans="1:40" x14ac:dyDescent="0.25">
      <c r="A8055" t="str">
        <f>"20190312172306544"</f>
        <v>20190312172306544</v>
      </c>
      <c r="B8055" t="str">
        <f>"1552382586538731"</f>
        <v>1552382586538731</v>
      </c>
      <c r="C8055" t="s">
        <v>40</v>
      </c>
      <c r="D8055">
        <v>3.3800150000000002</v>
      </c>
      <c r="E8055">
        <v>0.50452259999999904</v>
      </c>
      <c r="F8055" t="s">
        <v>41</v>
      </c>
      <c r="G8055">
        <v>-187.09819999999999</v>
      </c>
      <c r="H8055">
        <v>1.046084</v>
      </c>
      <c r="I8055">
        <v>-8.6252250000000004</v>
      </c>
      <c r="J8055">
        <v>-187.0805</v>
      </c>
      <c r="K8055">
        <v>1.112411</v>
      </c>
      <c r="L8055">
        <v>-9.3006290000000007</v>
      </c>
      <c r="M8055">
        <v>-6.6412089999999993E-2</v>
      </c>
      <c r="N8055">
        <v>0</v>
      </c>
      <c r="O8055">
        <v>0.99773789999999996</v>
      </c>
      <c r="P8055">
        <v>-4.9260329999999998E-2</v>
      </c>
      <c r="Q8055">
        <v>0.19496240000000001</v>
      </c>
      <c r="R8055">
        <v>0.97957289999999997</v>
      </c>
      <c r="S8055">
        <v>-0.12869259999999999</v>
      </c>
      <c r="T8055">
        <v>-0.20384360000000001</v>
      </c>
      <c r="U8055">
        <v>3.0968019999999998</v>
      </c>
      <c r="V8055">
        <v>1.4663199999999999E-2</v>
      </c>
      <c r="W8055">
        <v>0.20525850000000001</v>
      </c>
      <c r="X8055">
        <v>0.97859790000000002</v>
      </c>
      <c r="Y8055">
        <v>2.5018450000000001E-2</v>
      </c>
      <c r="Z8055">
        <v>-6.5426189999999995E-2</v>
      </c>
      <c r="AA8055">
        <v>0.99754379999999998</v>
      </c>
      <c r="AB8055">
        <v>33</v>
      </c>
      <c r="AC8055">
        <v>-1.7699999999990699E-2</v>
      </c>
      <c r="AD8055">
        <v>-6.6326999999999997E-2</v>
      </c>
      <c r="AE8055">
        <v>0.67540399999999801</v>
      </c>
      <c r="AF8055">
        <v>2.6936907087821E-2</v>
      </c>
      <c r="AG8055">
        <v>-6.6326999999999997E-2</v>
      </c>
      <c r="AH8055">
        <v>0.66864436791134296</v>
      </c>
      <c r="AI8055">
        <v>95.660431230433005</v>
      </c>
      <c r="AJ8055">
        <v>87.693038276428098</v>
      </c>
      <c r="AK8055">
        <v>0.67246573045175895</v>
      </c>
      <c r="AL8055">
        <v>78.1553676586542</v>
      </c>
      <c r="AM8055">
        <v>89.141550776405495</v>
      </c>
      <c r="AN8055">
        <v>0.99999995557044896</v>
      </c>
    </row>
    <row r="8056" spans="1:40" x14ac:dyDescent="0.25">
      <c r="A8056" t="str">
        <f>"20190312172306567"</f>
        <v>20190312172306567</v>
      </c>
      <c r="B8056" t="str">
        <f>"1552382586558251"</f>
        <v>1552382586558251</v>
      </c>
      <c r="C8056" t="s">
        <v>40</v>
      </c>
      <c r="D8056">
        <v>3.413151</v>
      </c>
      <c r="E8056">
        <v>0.50449659999999996</v>
      </c>
      <c r="F8056" t="s">
        <v>41</v>
      </c>
      <c r="G8056">
        <v>-187.1223</v>
      </c>
      <c r="H8056">
        <v>1.0489550000000001</v>
      </c>
      <c r="I8056">
        <v>-8.3319919999999996</v>
      </c>
      <c r="J8056">
        <v>-187.10589999999999</v>
      </c>
      <c r="K8056">
        <v>1.112357</v>
      </c>
      <c r="L8056">
        <v>-8.9623109999999997</v>
      </c>
      <c r="M8056">
        <v>-6.9291580000000005E-2</v>
      </c>
      <c r="N8056">
        <v>0</v>
      </c>
      <c r="O8056">
        <v>0.9975427</v>
      </c>
      <c r="P8056">
        <v>-5.099559E-2</v>
      </c>
      <c r="Q8056">
        <v>0.19463859999999999</v>
      </c>
      <c r="R8056">
        <v>0.97954850000000004</v>
      </c>
      <c r="S8056">
        <v>-0.133682299999999</v>
      </c>
      <c r="T8056">
        <v>-0.2028768</v>
      </c>
      <c r="U8056">
        <v>3.096222</v>
      </c>
      <c r="V8056">
        <v>1.5786990000000001E-2</v>
      </c>
      <c r="W8056">
        <v>0.20488000000000001</v>
      </c>
      <c r="X8056">
        <v>0.97865970000000002</v>
      </c>
      <c r="Y8056">
        <v>2.629045E-2</v>
      </c>
      <c r="Z8056">
        <v>-6.5106919999999999E-2</v>
      </c>
      <c r="AA8056">
        <v>0.99753190000000003</v>
      </c>
      <c r="AB8056">
        <v>33</v>
      </c>
      <c r="AC8056">
        <v>-1.6400000000004401E-2</v>
      </c>
      <c r="AD8056">
        <v>-6.3402000000000097E-2</v>
      </c>
      <c r="AE8056">
        <v>0.63031899999999996</v>
      </c>
      <c r="AF8056">
        <v>2.70441226210375E-2</v>
      </c>
      <c r="AG8056">
        <v>-6.3402000000000097E-2</v>
      </c>
      <c r="AH8056">
        <v>0.62363474799488094</v>
      </c>
      <c r="AI8056">
        <v>95.799632705991101</v>
      </c>
      <c r="AJ8056">
        <v>87.516905732526993</v>
      </c>
      <c r="AK8056">
        <v>0.62743246415768195</v>
      </c>
      <c r="AL8056">
        <v>78.177524656765002</v>
      </c>
      <c r="AM8056">
        <v>89.075828449162699</v>
      </c>
      <c r="AN8056">
        <v>0.99999992592867204</v>
      </c>
    </row>
    <row r="8057" spans="1:40" x14ac:dyDescent="0.25">
      <c r="A8057" t="str">
        <f>"20190312172306589"</f>
        <v>20190312172306589</v>
      </c>
      <c r="B8057" t="str">
        <f>"1552382586578747"</f>
        <v>1552382586578747</v>
      </c>
      <c r="C8057" t="s">
        <v>40</v>
      </c>
      <c r="D8057">
        <v>3.4059379999999999</v>
      </c>
      <c r="E8057">
        <v>0.50453059999999905</v>
      </c>
      <c r="F8057" t="s">
        <v>41</v>
      </c>
      <c r="G8057">
        <v>-187.1473</v>
      </c>
      <c r="H8057">
        <v>1.051823</v>
      </c>
      <c r="I8057">
        <v>-8.0377860000000005</v>
      </c>
      <c r="J8057">
        <v>-187.131</v>
      </c>
      <c r="K8057">
        <v>1.1122879999999999</v>
      </c>
      <c r="L8057">
        <v>-8.6387330000000002</v>
      </c>
      <c r="M8057">
        <v>-7.1951050000000003E-2</v>
      </c>
      <c r="N8057">
        <v>0</v>
      </c>
      <c r="O8057">
        <v>0.99735499999999999</v>
      </c>
      <c r="P8057">
        <v>-5.2882859999999997E-2</v>
      </c>
      <c r="Q8057">
        <v>0.1942015</v>
      </c>
      <c r="R8057">
        <v>0.97953520000000005</v>
      </c>
      <c r="S8057">
        <v>-0.138702399999999</v>
      </c>
      <c r="T8057">
        <v>-0.2026915</v>
      </c>
      <c r="U8057">
        <v>3.0957029999999999</v>
      </c>
      <c r="V8057">
        <v>1.6551759999999999E-2</v>
      </c>
      <c r="W8057">
        <v>0.20438990000000001</v>
      </c>
      <c r="X8057">
        <v>0.9787496</v>
      </c>
      <c r="Y8057">
        <v>2.733385E-2</v>
      </c>
      <c r="Z8057">
        <v>-6.5036919999999998E-2</v>
      </c>
      <c r="AA8057">
        <v>0.99750839999999996</v>
      </c>
      <c r="AB8057">
        <v>33</v>
      </c>
      <c r="AC8057">
        <v>-1.6300000000029499E-2</v>
      </c>
      <c r="AD8057">
        <v>-6.0464999999999901E-2</v>
      </c>
      <c r="AE8057">
        <v>0.60094699999999901</v>
      </c>
      <c r="AF8057">
        <v>2.6713077780893199E-2</v>
      </c>
      <c r="AG8057">
        <v>-6.0464999999999901E-2</v>
      </c>
      <c r="AH8057">
        <v>0.59454759494908604</v>
      </c>
      <c r="AI8057">
        <v>95.801155974534794</v>
      </c>
      <c r="AJ8057">
        <v>87.427425555500704</v>
      </c>
      <c r="AK8057">
        <v>0.59821103919040997</v>
      </c>
      <c r="AL8057">
        <v>78.206213116023406</v>
      </c>
      <c r="AM8057">
        <v>89.031156076710104</v>
      </c>
      <c r="AN8057">
        <v>0.99999998574063298</v>
      </c>
    </row>
    <row r="8058" spans="1:40" x14ac:dyDescent="0.25">
      <c r="A8058" t="str">
        <f>"20190312172306612"</f>
        <v>20190312172306612</v>
      </c>
      <c r="B8058" t="str">
        <f>"1552382586608027"</f>
        <v>1552382586608027</v>
      </c>
      <c r="C8058" t="s">
        <v>40</v>
      </c>
      <c r="D8058">
        <v>3.3958810000000001</v>
      </c>
      <c r="E8058">
        <v>0.50463829999999998</v>
      </c>
      <c r="F8058" t="s">
        <v>42</v>
      </c>
      <c r="G8058">
        <v>-187.91569999999999</v>
      </c>
      <c r="H8058" s="1">
        <v>-4.1227179999999996E-6</v>
      </c>
      <c r="I8058">
        <v>8.3811199999999992</v>
      </c>
      <c r="J8058">
        <v>-187.15780000000001</v>
      </c>
      <c r="K8058">
        <v>1.112188</v>
      </c>
      <c r="L8058">
        <v>-8.3031310000000005</v>
      </c>
      <c r="M8058">
        <v>-7.4566190000000004E-2</v>
      </c>
      <c r="N8058">
        <v>0</v>
      </c>
      <c r="O8058">
        <v>0.99716349999999998</v>
      </c>
      <c r="P8058">
        <v>-5.4561699999999998E-2</v>
      </c>
      <c r="Q8058">
        <v>0.1937403</v>
      </c>
      <c r="R8058">
        <v>0.97953440000000003</v>
      </c>
      <c r="S8058">
        <v>-0.1427002</v>
      </c>
      <c r="T8058">
        <v>-0.20227039999999999</v>
      </c>
      <c r="U8058">
        <v>3.095062</v>
      </c>
      <c r="V8058">
        <v>1.749641E-2</v>
      </c>
      <c r="W8058">
        <v>0.20387269999999999</v>
      </c>
      <c r="X8058">
        <v>0.97884110000000002</v>
      </c>
      <c r="Y8058">
        <v>2.865968E-2</v>
      </c>
      <c r="Z8058">
        <v>-6.4893889999999996E-2</v>
      </c>
      <c r="AA8058">
        <v>0.99748049999999999</v>
      </c>
      <c r="AB8058">
        <v>33</v>
      </c>
      <c r="AC8058">
        <v>-0.75789999999997804</v>
      </c>
      <c r="AD8058">
        <v>-1.1121921227180001</v>
      </c>
      <c r="AE8058">
        <v>16.684251</v>
      </c>
      <c r="AF8058">
        <v>0.48620032659447998</v>
      </c>
      <c r="AG8058">
        <v>-1.1121921227180001</v>
      </c>
      <c r="AH8058">
        <v>16.6206097953234</v>
      </c>
      <c r="AI8058">
        <v>93.826690433709999</v>
      </c>
      <c r="AJ8058">
        <v>88.3244125789018</v>
      </c>
      <c r="AK8058">
        <v>16.664874198259501</v>
      </c>
      <c r="AL8058">
        <v>78.236484663993707</v>
      </c>
      <c r="AM8058">
        <v>88.975968922493195</v>
      </c>
      <c r="AN8058">
        <v>1.0000000506086899</v>
      </c>
    </row>
    <row r="8059" spans="1:40" x14ac:dyDescent="0.25">
      <c r="A8059" t="str">
        <f>"20190312172306635"</f>
        <v>20190312172306635</v>
      </c>
      <c r="B8059" t="str">
        <f>"1552382586628523"</f>
        <v>1552382586628523</v>
      </c>
      <c r="C8059" t="s">
        <v>40</v>
      </c>
      <c r="D8059">
        <v>3.384871</v>
      </c>
      <c r="E8059">
        <v>0.50480389999999997</v>
      </c>
      <c r="F8059" t="s">
        <v>42</v>
      </c>
      <c r="G8059">
        <v>-187.9615</v>
      </c>
      <c r="H8059" s="1">
        <v>-4.2795820000000004E-6</v>
      </c>
      <c r="I8059">
        <v>8.7656899999999993</v>
      </c>
      <c r="J8059">
        <v>-187.18510000000001</v>
      </c>
      <c r="K8059">
        <v>1.112058</v>
      </c>
      <c r="L8059">
        <v>-7.9705810000000001</v>
      </c>
      <c r="M8059">
        <v>-7.6973360000000005E-2</v>
      </c>
      <c r="N8059">
        <v>0</v>
      </c>
      <c r="O8059">
        <v>0.99698120000000001</v>
      </c>
      <c r="P8059">
        <v>-5.6299599999999998E-2</v>
      </c>
      <c r="Q8059">
        <v>0.19377069999999999</v>
      </c>
      <c r="R8059">
        <v>0.97943009999999997</v>
      </c>
      <c r="S8059">
        <v>-0.14569089999999901</v>
      </c>
      <c r="T8059">
        <v>-0.20163239999999999</v>
      </c>
      <c r="U8059">
        <v>3.094452</v>
      </c>
      <c r="V8059">
        <v>1.8183620000000001E-2</v>
      </c>
      <c r="W8059">
        <v>0.20384379999999999</v>
      </c>
      <c r="X8059">
        <v>0.9788346</v>
      </c>
      <c r="Y8059">
        <v>3.0101220000000001E-2</v>
      </c>
      <c r="Z8059">
        <v>-6.4682139999999999E-2</v>
      </c>
      <c r="AA8059">
        <v>0.9974518</v>
      </c>
      <c r="AB8059">
        <v>33</v>
      </c>
      <c r="AC8059">
        <v>-0.77639999999999498</v>
      </c>
      <c r="AD8059">
        <v>-1.1120622795819901</v>
      </c>
      <c r="AE8059">
        <v>16.736270999999999</v>
      </c>
      <c r="AF8059">
        <v>0.51196193272590196</v>
      </c>
      <c r="AG8059">
        <v>-1.1120622795819901</v>
      </c>
      <c r="AH8059">
        <v>16.672922463556301</v>
      </c>
      <c r="AI8059">
        <v>93.814109801649295</v>
      </c>
      <c r="AJ8059">
        <v>88.241217510507795</v>
      </c>
      <c r="AK8059">
        <v>16.717808798104802</v>
      </c>
      <c r="AL8059">
        <v>78.2381761001499</v>
      </c>
      <c r="AM8059">
        <v>88.935749859057196</v>
      </c>
      <c r="AN8059">
        <v>1.0000000564959499</v>
      </c>
    </row>
    <row r="8060" spans="1:40" x14ac:dyDescent="0.25">
      <c r="A8060" t="str">
        <f>"20190312172306656"</f>
        <v>20190312172306656</v>
      </c>
      <c r="B8060" t="str">
        <f>"1552382586648044"</f>
        <v>1552382586648044</v>
      </c>
      <c r="C8060" t="s">
        <v>40</v>
      </c>
      <c r="D8060">
        <v>3.4002780000000001</v>
      </c>
      <c r="E8060">
        <v>0.50493959999999904</v>
      </c>
      <c r="F8060" t="s">
        <v>42</v>
      </c>
      <c r="G8060">
        <v>-188.0068</v>
      </c>
      <c r="H8060" s="1">
        <v>-4.4593379999999996E-6</v>
      </c>
      <c r="I8060">
        <v>9.2034640000000003</v>
      </c>
      <c r="J8060">
        <v>-187.2116</v>
      </c>
      <c r="K8060">
        <v>1.111901</v>
      </c>
      <c r="L8060">
        <v>-7.6546940000000001</v>
      </c>
      <c r="M8060">
        <v>-7.9057089999999997E-2</v>
      </c>
      <c r="N8060">
        <v>0</v>
      </c>
      <c r="O8060">
        <v>0.99681869999999995</v>
      </c>
      <c r="P8060">
        <v>-5.7193099999999997E-2</v>
      </c>
      <c r="Q8060">
        <v>0.19381889999999999</v>
      </c>
      <c r="R8060">
        <v>0.97936869999999998</v>
      </c>
      <c r="S8060">
        <v>-0.1480408</v>
      </c>
      <c r="T8060">
        <v>-0.2003537</v>
      </c>
      <c r="U8060">
        <v>3.094147</v>
      </c>
      <c r="V8060">
        <v>1.9410630000000002E-2</v>
      </c>
      <c r="W8060">
        <v>0.2038391</v>
      </c>
      <c r="X8060">
        <v>0.97881200000000002</v>
      </c>
      <c r="Y8060">
        <v>3.1428699999999997E-2</v>
      </c>
      <c r="Z8060">
        <v>-6.4261730000000003E-2</v>
      </c>
      <c r="AA8060">
        <v>0.99743809999999999</v>
      </c>
      <c r="AB8060">
        <v>33</v>
      </c>
      <c r="AC8060">
        <v>-0.79519999999999402</v>
      </c>
      <c r="AD8060">
        <v>-1.111905459338</v>
      </c>
      <c r="AE8060">
        <v>16.858158</v>
      </c>
      <c r="AF8060">
        <v>0.53778006291493496</v>
      </c>
      <c r="AG8060">
        <v>-1.111905459338</v>
      </c>
      <c r="AH8060">
        <v>16.795355486955</v>
      </c>
      <c r="AI8060">
        <v>93.785699549237407</v>
      </c>
      <c r="AJ8060">
        <v>88.166040355784006</v>
      </c>
      <c r="AK8060">
        <v>16.840709815199698</v>
      </c>
      <c r="AL8060">
        <v>78.238450984253305</v>
      </c>
      <c r="AM8060">
        <v>88.863927472174694</v>
      </c>
      <c r="AN8060">
        <v>1.0000000412948999</v>
      </c>
    </row>
    <row r="8061" spans="1:40" x14ac:dyDescent="0.25">
      <c r="A8061" t="str">
        <f>"20190312172306679"</f>
        <v>20190312172306679</v>
      </c>
      <c r="B8061" t="str">
        <f>"1552382586668539"</f>
        <v>1552382586668539</v>
      </c>
      <c r="C8061" t="s">
        <v>40</v>
      </c>
      <c r="D8061">
        <v>3.3732829999999998</v>
      </c>
      <c r="E8061">
        <v>0.50501890000000005</v>
      </c>
      <c r="F8061" t="s">
        <v>42</v>
      </c>
      <c r="G8061">
        <v>-188.04859999999999</v>
      </c>
      <c r="H8061" s="1">
        <v>-5.1502209999999996E-7</v>
      </c>
      <c r="I8061">
        <v>9.6357350000000004</v>
      </c>
      <c r="J8061">
        <v>-187.23949999999999</v>
      </c>
      <c r="K8061">
        <v>1.1117090000000001</v>
      </c>
      <c r="L8061">
        <v>-7.3277279999999996</v>
      </c>
      <c r="M8061">
        <v>-8.0976909999999999E-2</v>
      </c>
      <c r="N8061">
        <v>0</v>
      </c>
      <c r="O8061">
        <v>0.99666509999999997</v>
      </c>
      <c r="P8061">
        <v>-5.8380269999999998E-2</v>
      </c>
      <c r="Q8061">
        <v>0.1931068</v>
      </c>
      <c r="R8061">
        <v>0.97943939999999996</v>
      </c>
      <c r="S8061">
        <v>-0.14976500000000001</v>
      </c>
      <c r="T8061">
        <v>-0.19895479999999999</v>
      </c>
      <c r="U8061">
        <v>3.0938110000000001</v>
      </c>
      <c r="V8061">
        <v>2.0215199999999999E-2</v>
      </c>
      <c r="W8061">
        <v>0.20307339999999999</v>
      </c>
      <c r="X8061">
        <v>0.97895480000000001</v>
      </c>
      <c r="Y8061">
        <v>3.2792580000000002E-2</v>
      </c>
      <c r="Z8061">
        <v>-6.3804739999999999E-2</v>
      </c>
      <c r="AA8061">
        <v>0.99742350000000002</v>
      </c>
      <c r="AB8061">
        <v>33</v>
      </c>
      <c r="AC8061">
        <v>-0.80910000000000004</v>
      </c>
      <c r="AD8061">
        <v>-1.1117095150220999</v>
      </c>
      <c r="AE8061">
        <v>16.963463000000001</v>
      </c>
      <c r="AF8061">
        <v>0.564855357248088</v>
      </c>
      <c r="AG8061">
        <v>-1.1117095150220999</v>
      </c>
      <c r="AH8061">
        <v>16.900847903405499</v>
      </c>
      <c r="AI8061">
        <v>93.761304919707399</v>
      </c>
      <c r="AJ8061">
        <v>88.085789185974804</v>
      </c>
      <c r="AK8061">
        <v>16.946787880729701</v>
      </c>
      <c r="AL8061">
        <v>78.283258851658701</v>
      </c>
      <c r="AM8061">
        <v>88.817022957905706</v>
      </c>
      <c r="AN8061">
        <v>0.99999998027081904</v>
      </c>
    </row>
    <row r="8062" spans="1:40" x14ac:dyDescent="0.25">
      <c r="A8062" t="str">
        <f>"20190312172306700"</f>
        <v>20190312172306700</v>
      </c>
      <c r="B8062" t="str">
        <f>"1552382586698795"</f>
        <v>1552382586698795</v>
      </c>
      <c r="C8062" t="s">
        <v>40</v>
      </c>
      <c r="D8062">
        <v>3.391448</v>
      </c>
      <c r="E8062">
        <v>0.5052295</v>
      </c>
      <c r="F8062" t="s">
        <v>42</v>
      </c>
      <c r="G8062">
        <v>-188.08779999999999</v>
      </c>
      <c r="H8062" s="1">
        <v>-5.9160329999999998E-7</v>
      </c>
      <c r="I8062">
        <v>9.8913840000000004</v>
      </c>
      <c r="J8062">
        <v>-187.26650000000001</v>
      </c>
      <c r="K8062">
        <v>1.111504</v>
      </c>
      <c r="L8062">
        <v>-7.0140690000000001</v>
      </c>
      <c r="M8062">
        <v>-8.2554359999999993E-2</v>
      </c>
      <c r="N8062">
        <v>0</v>
      </c>
      <c r="O8062">
        <v>0.99653610000000004</v>
      </c>
      <c r="P8062">
        <v>-5.940227E-2</v>
      </c>
      <c r="Q8062">
        <v>0.19241230000000001</v>
      </c>
      <c r="R8062">
        <v>0.97951460000000001</v>
      </c>
      <c r="S8062">
        <v>-0.15238950000000001</v>
      </c>
      <c r="T8062">
        <v>-0.19970889999999999</v>
      </c>
      <c r="U8062">
        <v>3.0932620000000002</v>
      </c>
      <c r="V8062">
        <v>2.0855970000000001E-2</v>
      </c>
      <c r="W8062">
        <v>0.2023305</v>
      </c>
      <c r="X8062">
        <v>0.97909520000000005</v>
      </c>
      <c r="Y8062">
        <v>3.3522469999999999E-2</v>
      </c>
      <c r="Z8062">
        <v>-6.4042310000000005E-2</v>
      </c>
      <c r="AA8062">
        <v>0.99738400000000005</v>
      </c>
      <c r="AB8062">
        <v>33</v>
      </c>
      <c r="AC8062">
        <v>-0.82129999999997905</v>
      </c>
      <c r="AD8062">
        <v>-1.1115045916033</v>
      </c>
      <c r="AE8062">
        <v>16.905453000000001</v>
      </c>
      <c r="AF8062">
        <v>0.57471423518352305</v>
      </c>
      <c r="AG8062">
        <v>-1.1115045916033</v>
      </c>
      <c r="AH8062">
        <v>16.842909076647899</v>
      </c>
      <c r="AI8062">
        <v>93.773423719284906</v>
      </c>
      <c r="AJ8062">
        <v>88.045709971903094</v>
      </c>
      <c r="AK8062">
        <v>16.8893257732067</v>
      </c>
      <c r="AL8062">
        <v>78.326726563309407</v>
      </c>
      <c r="AM8062">
        <v>88.779711745444104</v>
      </c>
      <c r="AN8062">
        <v>1.0000000066889601</v>
      </c>
    </row>
    <row r="8063" spans="1:40" x14ac:dyDescent="0.25">
      <c r="A8063" t="str">
        <f>"20190312172306723"</f>
        <v>20190312172306723</v>
      </c>
      <c r="B8063" t="str">
        <f>"1552382586718315"</f>
        <v>1552382586718315</v>
      </c>
      <c r="C8063" t="s">
        <v>40</v>
      </c>
      <c r="D8063">
        <v>3.382514</v>
      </c>
      <c r="E8063">
        <v>0.50537719999999997</v>
      </c>
      <c r="F8063" t="s">
        <v>41</v>
      </c>
      <c r="G8063">
        <v>-187.3167</v>
      </c>
      <c r="H8063">
        <v>1.0456460000000001</v>
      </c>
      <c r="I8063">
        <v>-5.9960129999999996</v>
      </c>
      <c r="J8063">
        <v>-187.29480000000001</v>
      </c>
      <c r="K8063">
        <v>1.111281</v>
      </c>
      <c r="L8063">
        <v>-6.6900630000000003</v>
      </c>
      <c r="M8063">
        <v>-8.3894659999999996E-2</v>
      </c>
      <c r="N8063">
        <v>0</v>
      </c>
      <c r="O8063">
        <v>0.99642450000000005</v>
      </c>
      <c r="P8063">
        <v>-5.9493230000000001E-2</v>
      </c>
      <c r="Q8063">
        <v>0.19200159999999999</v>
      </c>
      <c r="R8063">
        <v>0.97958970000000001</v>
      </c>
      <c r="S8063">
        <v>-0.1529846</v>
      </c>
      <c r="T8063">
        <v>-0.20008300000000001</v>
      </c>
      <c r="U8063">
        <v>3.0927730000000002</v>
      </c>
      <c r="V8063">
        <v>2.220012E-2</v>
      </c>
      <c r="W8063">
        <v>0.20187569999999999</v>
      </c>
      <c r="X8063">
        <v>0.97915949999999996</v>
      </c>
      <c r="Y8063">
        <v>3.4667900000000001E-2</v>
      </c>
      <c r="Z8063">
        <v>-6.4159460000000001E-2</v>
      </c>
      <c r="AA8063">
        <v>0.99733729999999998</v>
      </c>
      <c r="AB8063">
        <v>33</v>
      </c>
      <c r="AC8063">
        <v>-2.1899999999987999E-2</v>
      </c>
      <c r="AD8063">
        <v>-6.5635000000000096E-2</v>
      </c>
      <c r="AE8063">
        <v>0.69404999999999994</v>
      </c>
      <c r="AF8063">
        <v>3.6084820648299203E-2</v>
      </c>
      <c r="AG8063">
        <v>-6.5635000000000096E-2</v>
      </c>
      <c r="AH8063">
        <v>0.687299859076972</v>
      </c>
      <c r="AI8063">
        <v>95.447568622101002</v>
      </c>
      <c r="AJ8063">
        <v>86.994599450284895</v>
      </c>
      <c r="AK8063">
        <v>0.69136905035837803</v>
      </c>
      <c r="AL8063">
        <v>78.353333486953304</v>
      </c>
      <c r="AM8063">
        <v>88.7011765743149</v>
      </c>
      <c r="AN8063">
        <v>0.99999998500937604</v>
      </c>
    </row>
    <row r="8064" spans="1:40" x14ac:dyDescent="0.25">
      <c r="A8064" t="str">
        <f>"20190312172306745"</f>
        <v>20190312172306745</v>
      </c>
      <c r="B8064" t="str">
        <f>"1552382586738812"</f>
        <v>1552382586738812</v>
      </c>
      <c r="C8064" t="s">
        <v>40</v>
      </c>
      <c r="D8064">
        <v>3.4074620000000002</v>
      </c>
      <c r="E8064">
        <v>0.50556469999999998</v>
      </c>
      <c r="F8064" t="s">
        <v>41</v>
      </c>
      <c r="G8064">
        <v>-187.3432</v>
      </c>
      <c r="H8064">
        <v>1.0472440000000001</v>
      </c>
      <c r="I8064">
        <v>-5.7002839999999999</v>
      </c>
      <c r="J8064">
        <v>-187.32390000000001</v>
      </c>
      <c r="K8064">
        <v>1.1110629999999999</v>
      </c>
      <c r="L8064">
        <v>-6.3583069999999999</v>
      </c>
      <c r="M8064">
        <v>-8.5023630000000003E-2</v>
      </c>
      <c r="N8064">
        <v>0</v>
      </c>
      <c r="O8064">
        <v>0.99632920000000003</v>
      </c>
      <c r="P8064">
        <v>-5.9153959999999998E-2</v>
      </c>
      <c r="Q8064">
        <v>0.1911716</v>
      </c>
      <c r="R8064">
        <v>0.97977259999999999</v>
      </c>
      <c r="S8064">
        <v>-0.151535</v>
      </c>
      <c r="T8064">
        <v>-0.20008519999999999</v>
      </c>
      <c r="U8064">
        <v>3.0925289999999999</v>
      </c>
      <c r="V8064">
        <v>2.3769950000000001E-2</v>
      </c>
      <c r="W8064">
        <v>0.20100509999999999</v>
      </c>
      <c r="X8064">
        <v>0.9793018</v>
      </c>
      <c r="Y8064">
        <v>3.6262679999999999E-2</v>
      </c>
      <c r="Z8064">
        <v>-6.4154859999999994E-2</v>
      </c>
      <c r="AA8064">
        <v>0.99728090000000003</v>
      </c>
      <c r="AB8064">
        <v>33</v>
      </c>
      <c r="AC8064">
        <v>-1.9299999999986901E-2</v>
      </c>
      <c r="AD8064">
        <v>-6.3818999999999806E-2</v>
      </c>
      <c r="AE8064">
        <v>0.65802299999999903</v>
      </c>
      <c r="AF8064">
        <v>3.6378280067661299E-2</v>
      </c>
      <c r="AG8064">
        <v>-6.3818999999999806E-2</v>
      </c>
      <c r="AH8064">
        <v>0.65116131658639398</v>
      </c>
      <c r="AI8064">
        <v>95.588906577324593</v>
      </c>
      <c r="AJ8064">
        <v>86.802393729160897</v>
      </c>
      <c r="AK8064">
        <v>0.65529177031319996</v>
      </c>
      <c r="AL8064">
        <v>78.404259755911198</v>
      </c>
      <c r="AM8064">
        <v>88.609570152644096</v>
      </c>
      <c r="AN8064">
        <v>1.00000003811612</v>
      </c>
    </row>
    <row r="8065" spans="1:40" x14ac:dyDescent="0.25">
      <c r="A8065" t="str">
        <f>"20190312172306768"</f>
        <v>20190312172306768</v>
      </c>
      <c r="B8065" t="str">
        <f>"1552382586758335"</f>
        <v>1552382586758335</v>
      </c>
      <c r="C8065" t="s">
        <v>40</v>
      </c>
      <c r="D8065">
        <v>3.4097490000000001</v>
      </c>
      <c r="E8065">
        <v>0.50577099999999997</v>
      </c>
      <c r="F8065" t="s">
        <v>41</v>
      </c>
      <c r="G8065">
        <v>-187.36940000000001</v>
      </c>
      <c r="H8065">
        <v>1.048853</v>
      </c>
      <c r="I8065">
        <v>-5.4041709999999998</v>
      </c>
      <c r="J8065">
        <v>-187.35380000000001</v>
      </c>
      <c r="K8065">
        <v>1.1108530000000001</v>
      </c>
      <c r="L8065">
        <v>-6.0188290000000002</v>
      </c>
      <c r="M8065">
        <v>-8.5918640000000004E-2</v>
      </c>
      <c r="N8065">
        <v>0</v>
      </c>
      <c r="O8065">
        <v>0.99625280000000005</v>
      </c>
      <c r="P8065">
        <v>-5.8555330000000003E-2</v>
      </c>
      <c r="Q8065">
        <v>0.19084390000000001</v>
      </c>
      <c r="R8065">
        <v>0.97987239999999998</v>
      </c>
      <c r="S8065">
        <v>-0.1482697</v>
      </c>
      <c r="T8065">
        <v>-0.20160939999999999</v>
      </c>
      <c r="U8065">
        <v>3.0923159999999998</v>
      </c>
      <c r="V8065">
        <v>2.5355849999999999E-2</v>
      </c>
      <c r="W8065">
        <v>0.2006337</v>
      </c>
      <c r="X8065">
        <v>0.97933809999999999</v>
      </c>
      <c r="Y8065">
        <v>3.8209100000000003E-2</v>
      </c>
      <c r="Z8065">
        <v>-6.4637810000000004E-2</v>
      </c>
      <c r="AA8065">
        <v>0.99717699999999998</v>
      </c>
      <c r="AB8065">
        <v>33</v>
      </c>
      <c r="AC8065">
        <v>-1.5600000000006199E-2</v>
      </c>
      <c r="AD8065">
        <v>-6.2E-2</v>
      </c>
      <c r="AE8065">
        <v>0.61465800000000004</v>
      </c>
      <c r="AF8065">
        <v>3.6895711951455197E-2</v>
      </c>
      <c r="AG8065">
        <v>-6.2E-2</v>
      </c>
      <c r="AH8065">
        <v>0.607547702929222</v>
      </c>
      <c r="AI8065">
        <v>95.816198562547498</v>
      </c>
      <c r="AJ8065">
        <v>86.524757595945303</v>
      </c>
      <c r="AK8065">
        <v>0.61181656147490704</v>
      </c>
      <c r="AL8065">
        <v>78.425980978631799</v>
      </c>
      <c r="AM8065">
        <v>88.516897581172799</v>
      </c>
      <c r="AN8065">
        <v>0.99999995740825998</v>
      </c>
    </row>
    <row r="8066" spans="1:40" x14ac:dyDescent="0.25">
      <c r="A8066" t="str">
        <f>"20190312172306790"</f>
        <v>20190312172306790</v>
      </c>
      <c r="B8066" t="str">
        <f>"1552382586778832"</f>
        <v>1552382586778832</v>
      </c>
      <c r="C8066" t="s">
        <v>40</v>
      </c>
      <c r="D8066">
        <v>3.403826</v>
      </c>
      <c r="E8066">
        <v>0.50599689999999997</v>
      </c>
      <c r="F8066" t="s">
        <v>41</v>
      </c>
      <c r="G8066">
        <v>-187.39660000000001</v>
      </c>
      <c r="H8066">
        <v>1.0513520000000001</v>
      </c>
      <c r="I8066">
        <v>-5.1067689999999999</v>
      </c>
      <c r="J8066">
        <v>-187.38239999999999</v>
      </c>
      <c r="K8066">
        <v>1.110652</v>
      </c>
      <c r="L8066">
        <v>-5.6962890000000002</v>
      </c>
      <c r="M8066">
        <v>-8.6513809999999997E-2</v>
      </c>
      <c r="N8066">
        <v>0</v>
      </c>
      <c r="O8066">
        <v>0.99620160000000002</v>
      </c>
      <c r="P8066">
        <v>-5.6985809999999998E-2</v>
      </c>
      <c r="Q8066">
        <v>0.1903466</v>
      </c>
      <c r="R8066">
        <v>0.98006170000000004</v>
      </c>
      <c r="S8066">
        <v>-0.14488219999999999</v>
      </c>
      <c r="T8066">
        <v>-0.20173160000000001</v>
      </c>
      <c r="U8066">
        <v>3.0922550000000002</v>
      </c>
      <c r="V8066">
        <v>2.761825E-2</v>
      </c>
      <c r="W8066">
        <v>0.20009550000000001</v>
      </c>
      <c r="X8066">
        <v>0.97938700000000001</v>
      </c>
      <c r="Y8066">
        <v>3.9895090000000001E-2</v>
      </c>
      <c r="Z8066">
        <v>-6.4672579999999993E-2</v>
      </c>
      <c r="AA8066">
        <v>0.99710880000000002</v>
      </c>
      <c r="AB8066">
        <v>33</v>
      </c>
      <c r="AC8066">
        <v>-1.42000000000166E-2</v>
      </c>
      <c r="AD8066">
        <v>-5.9299999999999901E-2</v>
      </c>
      <c r="AE8066">
        <v>0.58952000000000004</v>
      </c>
      <c r="AF8066">
        <v>3.6488369466318601E-2</v>
      </c>
      <c r="AG8066">
        <v>-5.9299999999999901E-2</v>
      </c>
      <c r="AH8066">
        <v>0.58264599097203296</v>
      </c>
      <c r="AI8066">
        <v>95.800100670694803</v>
      </c>
      <c r="AJ8066">
        <v>86.416515483823105</v>
      </c>
      <c r="AK8066">
        <v>0.58679148076816301</v>
      </c>
      <c r="AL8066">
        <v>78.457455588040403</v>
      </c>
      <c r="AM8066">
        <v>88.384714202240303</v>
      </c>
      <c r="AN8066">
        <v>0.99999993631115403</v>
      </c>
    </row>
    <row r="8067" spans="1:40" x14ac:dyDescent="0.25">
      <c r="A8067" t="str">
        <f>"20190312172306812"</f>
        <v>20190312172306812</v>
      </c>
      <c r="B8067" t="str">
        <f>"1552382586808108"</f>
        <v>1552382586808108</v>
      </c>
      <c r="C8067" t="s">
        <v>40</v>
      </c>
      <c r="D8067">
        <v>3.3866580000000002</v>
      </c>
      <c r="E8067">
        <v>0.50636939999999997</v>
      </c>
      <c r="F8067" t="s">
        <v>41</v>
      </c>
      <c r="G8067">
        <v>-187.42189999999999</v>
      </c>
      <c r="H8067">
        <v>1.0526679999999999</v>
      </c>
      <c r="I8067">
        <v>-4.8099350000000003</v>
      </c>
      <c r="J8067">
        <v>-187.4119</v>
      </c>
      <c r="K8067">
        <v>1.1104309999999999</v>
      </c>
      <c r="L8067">
        <v>-5.3616640000000002</v>
      </c>
      <c r="M8067">
        <v>-8.6869810000000006E-2</v>
      </c>
      <c r="N8067">
        <v>0</v>
      </c>
      <c r="O8067">
        <v>0.99617089999999997</v>
      </c>
      <c r="P8067">
        <v>-5.4639609999999998E-2</v>
      </c>
      <c r="Q8067">
        <v>0.19018850000000001</v>
      </c>
      <c r="R8067">
        <v>0.98022589999999998</v>
      </c>
      <c r="S8067">
        <v>-0.138229399999999</v>
      </c>
      <c r="T8067">
        <v>-0.2022794</v>
      </c>
      <c r="U8067">
        <v>3.092285</v>
      </c>
      <c r="V8067">
        <v>3.0424719999999999E-2</v>
      </c>
      <c r="W8067">
        <v>0.19989560000000001</v>
      </c>
      <c r="X8067">
        <v>0.97934469999999996</v>
      </c>
      <c r="Y8067">
        <v>4.2393680000000003E-2</v>
      </c>
      <c r="Z8067">
        <v>-6.4843600000000001E-2</v>
      </c>
      <c r="AA8067">
        <v>0.99699459999999995</v>
      </c>
      <c r="AB8067">
        <v>33</v>
      </c>
      <c r="AC8067">
        <v>-9.9999999999908998E-3</v>
      </c>
      <c r="AD8067">
        <v>-5.7763000000000002E-2</v>
      </c>
      <c r="AE8067">
        <v>0.55172899999999903</v>
      </c>
      <c r="AF8067">
        <v>3.7557202132193497E-2</v>
      </c>
      <c r="AG8067">
        <v>-5.7763000000000002E-2</v>
      </c>
      <c r="AH8067">
        <v>0.54454505466492897</v>
      </c>
      <c r="AI8067">
        <v>96.040803268633596</v>
      </c>
      <c r="AJ8067">
        <v>86.054565504250903</v>
      </c>
      <c r="AK8067">
        <v>0.54888653122574305</v>
      </c>
      <c r="AL8067">
        <v>78.469145669040898</v>
      </c>
      <c r="AM8067">
        <v>88.220598354367198</v>
      </c>
      <c r="AN8067">
        <v>0.99999997795226303</v>
      </c>
    </row>
    <row r="8068" spans="1:40" x14ac:dyDescent="0.25">
      <c r="A8068" t="str">
        <f>"20190312172306835"</f>
        <v>20190312172306835</v>
      </c>
      <c r="B8068" t="str">
        <f>"1552382586828603"</f>
        <v>1552382586828603</v>
      </c>
      <c r="C8068" t="s">
        <v>40</v>
      </c>
      <c r="D8068">
        <v>3.3772530000000001</v>
      </c>
      <c r="E8068">
        <v>0.50659419999999999</v>
      </c>
      <c r="F8068" t="s">
        <v>41</v>
      </c>
      <c r="G8068">
        <v>-187.44720000000001</v>
      </c>
      <c r="H8068">
        <v>1.0547249999999999</v>
      </c>
      <c r="I8068">
        <v>-4.5055579999999997</v>
      </c>
      <c r="J8068">
        <v>-187.4417</v>
      </c>
      <c r="K8068">
        <v>1.1101939999999999</v>
      </c>
      <c r="L8068">
        <v>-5.0230709999999998</v>
      </c>
      <c r="M8068">
        <v>-8.6958450000000007E-2</v>
      </c>
      <c r="N8068">
        <v>0</v>
      </c>
      <c r="O8068">
        <v>0.99616349999999998</v>
      </c>
      <c r="P8068">
        <v>-5.1680570000000002E-2</v>
      </c>
      <c r="Q8068">
        <v>0.1898832</v>
      </c>
      <c r="R8068">
        <v>0.98044560000000003</v>
      </c>
      <c r="S8068">
        <v>-0.12773129999999999</v>
      </c>
      <c r="T8068">
        <v>-0.20120869999999999</v>
      </c>
      <c r="U8068">
        <v>3.092438</v>
      </c>
      <c r="V8068">
        <v>3.359243E-2</v>
      </c>
      <c r="W8068">
        <v>0.19954839999999999</v>
      </c>
      <c r="X8068">
        <v>0.97931199999999996</v>
      </c>
      <c r="Y8068">
        <v>4.5861840000000001E-2</v>
      </c>
      <c r="Z8068">
        <v>-6.4497579999999999E-2</v>
      </c>
      <c r="AA8068">
        <v>0.99686350000000001</v>
      </c>
      <c r="AB8068">
        <v>33</v>
      </c>
      <c r="AC8068">
        <v>-5.5000000000120499E-3</v>
      </c>
      <c r="AD8068">
        <v>-5.5469000000000199E-2</v>
      </c>
      <c r="AE8068">
        <v>0.517512999999999</v>
      </c>
      <c r="AF8068">
        <v>3.9076264790828902E-2</v>
      </c>
      <c r="AG8068">
        <v>-5.5469000000000199E-2</v>
      </c>
      <c r="AH8068">
        <v>0.51017037385271702</v>
      </c>
      <c r="AI8068">
        <v>96.1872087557404</v>
      </c>
      <c r="AJ8068">
        <v>85.620008200768098</v>
      </c>
      <c r="AK8068">
        <v>0.51466258343503402</v>
      </c>
      <c r="AL8068">
        <v>78.489448107006794</v>
      </c>
      <c r="AM8068">
        <v>88.035406381829105</v>
      </c>
      <c r="AN8068">
        <v>1.00000000431993</v>
      </c>
    </row>
    <row r="8069" spans="1:40" x14ac:dyDescent="0.25">
      <c r="A8069" t="str">
        <f>"20190312172306858"</f>
        <v>20190312172306858</v>
      </c>
      <c r="B8069" t="str">
        <f>"1552382586848123"</f>
        <v>1552382586848123</v>
      </c>
      <c r="C8069" t="s">
        <v>40</v>
      </c>
      <c r="D8069">
        <v>3.3787069999999999</v>
      </c>
      <c r="E8069">
        <v>0.50681659999999995</v>
      </c>
      <c r="F8069" t="s">
        <v>42</v>
      </c>
      <c r="G8069">
        <v>-188.08240000000001</v>
      </c>
      <c r="H8069" s="1">
        <v>-1.3797370000000001E-6</v>
      </c>
      <c r="I8069">
        <v>12.05608</v>
      </c>
      <c r="J8069">
        <v>-187.47149999999999</v>
      </c>
      <c r="K8069">
        <v>1.1099349999999999</v>
      </c>
      <c r="L8069">
        <v>-4.6802979999999996</v>
      </c>
      <c r="M8069">
        <v>-8.6763850000000003E-2</v>
      </c>
      <c r="N8069">
        <v>0</v>
      </c>
      <c r="O8069">
        <v>0.99618070000000003</v>
      </c>
      <c r="P8069">
        <v>-4.8042750000000002E-2</v>
      </c>
      <c r="Q8069">
        <v>0.18983549999999999</v>
      </c>
      <c r="R8069">
        <v>0.98063979999999995</v>
      </c>
      <c r="S8069">
        <v>-0.1160278</v>
      </c>
      <c r="T8069">
        <v>-0.2010315</v>
      </c>
      <c r="U8069">
        <v>3.092651</v>
      </c>
      <c r="V8069">
        <v>3.7163559999999998E-2</v>
      </c>
      <c r="W8069">
        <v>0.19945350000000001</v>
      </c>
      <c r="X8069">
        <v>0.97920229999999997</v>
      </c>
      <c r="Y8069">
        <v>4.943562E-2</v>
      </c>
      <c r="Z8069">
        <v>-6.4437460000000002E-2</v>
      </c>
      <c r="AA8069">
        <v>0.99669649999999999</v>
      </c>
      <c r="AB8069">
        <v>33</v>
      </c>
      <c r="AC8069">
        <v>-0.61090000000001499</v>
      </c>
      <c r="AD8069">
        <v>-1.1099363797370001</v>
      </c>
      <c r="AE8069">
        <v>16.736377999999998</v>
      </c>
      <c r="AF8069">
        <v>0.83989720795032996</v>
      </c>
      <c r="AG8069">
        <v>-1.1099363797370001</v>
      </c>
      <c r="AH8069">
        <v>16.6531180705698</v>
      </c>
      <c r="AI8069">
        <v>93.808318677644095</v>
      </c>
      <c r="AJ8069">
        <v>87.112743420247298</v>
      </c>
      <c r="AK8069">
        <v>16.711185701778401</v>
      </c>
      <c r="AL8069">
        <v>78.494996816029996</v>
      </c>
      <c r="AM8069">
        <v>87.826502601643796</v>
      </c>
      <c r="AN8069">
        <v>0.99999998658970601</v>
      </c>
    </row>
    <row r="8070" spans="1:40" x14ac:dyDescent="0.25">
      <c r="A8070" t="str">
        <f>"20190312172306881"</f>
        <v>20190312172306881</v>
      </c>
      <c r="B8070" t="str">
        <f>"1552382586878379"</f>
        <v>1552382586878379</v>
      </c>
      <c r="C8070" t="s">
        <v>40</v>
      </c>
      <c r="D8070">
        <v>3.327585</v>
      </c>
      <c r="E8070">
        <v>0.50707100000000005</v>
      </c>
      <c r="F8070" t="s">
        <v>42</v>
      </c>
      <c r="G8070">
        <v>-188.03890000000001</v>
      </c>
      <c r="H8070" s="1">
        <v>-1.565611E-6</v>
      </c>
      <c r="I8070">
        <v>12.471360000000001</v>
      </c>
      <c r="J8070">
        <v>-187.5001</v>
      </c>
      <c r="K8070">
        <v>1.109675</v>
      </c>
      <c r="L8070">
        <v>-4.3487549999999997</v>
      </c>
      <c r="M8070">
        <v>-8.6277309999999996E-2</v>
      </c>
      <c r="N8070">
        <v>0</v>
      </c>
      <c r="O8070">
        <v>0.99622319999999998</v>
      </c>
      <c r="P8070">
        <v>-4.3252400000000003E-2</v>
      </c>
      <c r="Q8070">
        <v>0.18948229999999999</v>
      </c>
      <c r="R8070">
        <v>0.980931</v>
      </c>
      <c r="S8070">
        <v>-0.1023102</v>
      </c>
      <c r="T8070">
        <v>-0.20015469999999999</v>
      </c>
      <c r="U8070">
        <v>3.0929570000000002</v>
      </c>
      <c r="V8070">
        <v>4.160548E-2</v>
      </c>
      <c r="W8070">
        <v>0.19904839999999999</v>
      </c>
      <c r="X8070">
        <v>0.97910609999999998</v>
      </c>
      <c r="Y8070">
        <v>5.3365429999999998E-2</v>
      </c>
      <c r="Z8070">
        <v>-6.4153779999999994E-2</v>
      </c>
      <c r="AA8070">
        <v>0.99651210000000001</v>
      </c>
      <c r="AB8070">
        <v>33</v>
      </c>
      <c r="AC8070">
        <v>-0.53880000000000805</v>
      </c>
      <c r="AD8070">
        <v>-1.1096765656109999</v>
      </c>
      <c r="AE8070">
        <v>16.820114999999898</v>
      </c>
      <c r="AF8070">
        <v>0.91051399667985999</v>
      </c>
      <c r="AG8070">
        <v>-1.1096765656109999</v>
      </c>
      <c r="AH8070">
        <v>16.7311309745307</v>
      </c>
      <c r="AI8070">
        <v>93.788941337280903</v>
      </c>
      <c r="AJ8070">
        <v>86.885016309404193</v>
      </c>
      <c r="AK8070">
        <v>16.792592459335101</v>
      </c>
      <c r="AL8070">
        <v>78.518682634488599</v>
      </c>
      <c r="AM8070">
        <v>87.566775292141102</v>
      </c>
      <c r="AN8070">
        <v>1.0000000182829001</v>
      </c>
    </row>
    <row r="8071" spans="1:40" x14ac:dyDescent="0.25">
      <c r="A8071" t="str">
        <f>"20190312172306904"</f>
        <v>20190312172306904</v>
      </c>
      <c r="B8071" t="str">
        <f>"1552382586898875"</f>
        <v>1552382586898875</v>
      </c>
      <c r="C8071" t="s">
        <v>40</v>
      </c>
      <c r="D8071">
        <v>3.3538260000000002</v>
      </c>
      <c r="E8071">
        <v>0.52430469999999996</v>
      </c>
      <c r="F8071" t="s">
        <v>41</v>
      </c>
      <c r="G8071">
        <v>-187.52789999999999</v>
      </c>
      <c r="H8071">
        <v>1.043901</v>
      </c>
      <c r="I8071">
        <v>-3.3298160000000001</v>
      </c>
      <c r="J8071">
        <v>-187.52930000000001</v>
      </c>
      <c r="K8071">
        <v>1.109407</v>
      </c>
      <c r="L8071">
        <v>-4.0026549999999999</v>
      </c>
      <c r="M8071">
        <v>-8.5453180000000004E-2</v>
      </c>
      <c r="N8071">
        <v>0</v>
      </c>
      <c r="O8071">
        <v>0.99629449999999997</v>
      </c>
      <c r="P8071">
        <v>-3.801736E-2</v>
      </c>
      <c r="Q8071">
        <v>0.1891833</v>
      </c>
      <c r="R8071">
        <v>0.98120560000000001</v>
      </c>
      <c r="S8071">
        <v>-8.4609989999999996E-2</v>
      </c>
      <c r="T8071">
        <v>-0.19965459999999999</v>
      </c>
      <c r="U8071">
        <v>3.0931700000000002</v>
      </c>
      <c r="V8071">
        <v>4.6161859999999999E-2</v>
      </c>
      <c r="W8071">
        <v>0.19869329999999999</v>
      </c>
      <c r="X8071">
        <v>0.97897400000000001</v>
      </c>
      <c r="Y8071">
        <v>5.8237850000000001E-2</v>
      </c>
      <c r="Z8071">
        <v>-6.3993300000000003E-2</v>
      </c>
      <c r="AA8071">
        <v>0.99624959999999996</v>
      </c>
      <c r="AB8071">
        <v>33</v>
      </c>
      <c r="AC8071">
        <v>1.40000000001805E-3</v>
      </c>
      <c r="AD8071">
        <v>-6.5505999999999995E-2</v>
      </c>
      <c r="AE8071">
        <v>0.67283899999999897</v>
      </c>
      <c r="AF8071">
        <v>5.8340860933936103E-2</v>
      </c>
      <c r="AG8071">
        <v>-6.5505999999999995E-2</v>
      </c>
      <c r="AH8071">
        <v>0.66396464145557599</v>
      </c>
      <c r="AI8071">
        <v>95.613015089260998</v>
      </c>
      <c r="AJ8071">
        <v>84.978464327772897</v>
      </c>
      <c r="AK8071">
        <v>0.66973407946269603</v>
      </c>
      <c r="AL8071">
        <v>78.539443045158507</v>
      </c>
      <c r="AM8071">
        <v>87.300314283426204</v>
      </c>
      <c r="AN8071">
        <v>1.00000001872977</v>
      </c>
    </row>
    <row r="8072" spans="1:40" x14ac:dyDescent="0.25">
      <c r="A8072" t="str">
        <f>"20190312172306925"</f>
        <v>20190312172306925</v>
      </c>
      <c r="B8072" t="str">
        <f>"1552382586918395"</f>
        <v>1552382586918395</v>
      </c>
      <c r="C8072" t="s">
        <v>40</v>
      </c>
      <c r="D8072">
        <v>3.3661759999999998</v>
      </c>
      <c r="E8072">
        <v>0.53414609999999996</v>
      </c>
      <c r="F8072" t="s">
        <v>42</v>
      </c>
      <c r="G8072">
        <v>-187.07660000000001</v>
      </c>
      <c r="H8072" s="1">
        <v>-3.1710830000000002E-6</v>
      </c>
      <c r="I8072">
        <v>15.81584</v>
      </c>
      <c r="J8072">
        <v>-187.5557</v>
      </c>
      <c r="K8072">
        <v>1.1091789999999999</v>
      </c>
      <c r="L8072">
        <v>-3.6851500000000001</v>
      </c>
      <c r="M8072">
        <v>-8.4483379999999997E-2</v>
      </c>
      <c r="N8072">
        <v>0</v>
      </c>
      <c r="O8072">
        <v>0.99637739999999997</v>
      </c>
      <c r="P8072">
        <v>-3.2337159999999997E-2</v>
      </c>
      <c r="Q8072">
        <v>0.1890619</v>
      </c>
      <c r="R8072">
        <v>0.98143259999999999</v>
      </c>
      <c r="S8072">
        <v>7.0678710000000006E-2</v>
      </c>
      <c r="T8072">
        <v>-0.173175</v>
      </c>
      <c r="U8072">
        <v>3.0935969999999999</v>
      </c>
      <c r="V8072">
        <v>5.0993009999999998E-2</v>
      </c>
      <c r="W8072">
        <v>0.198518</v>
      </c>
      <c r="X8072">
        <v>0.97876980000000002</v>
      </c>
      <c r="Y8072">
        <v>0.1071889</v>
      </c>
      <c r="Z8072">
        <v>-5.5423069999999998E-2</v>
      </c>
      <c r="AA8072">
        <v>0.99269269999999998</v>
      </c>
      <c r="AB8072">
        <v>33</v>
      </c>
      <c r="AC8072">
        <v>0.47909999999998798</v>
      </c>
      <c r="AD8072">
        <v>-1.1091821710830001</v>
      </c>
      <c r="AE8072">
        <v>19.500989999999899</v>
      </c>
      <c r="AF8072">
        <v>2.1181262207779801</v>
      </c>
      <c r="AG8072">
        <v>-1.1091821710830001</v>
      </c>
      <c r="AH8072">
        <v>19.328295343950199</v>
      </c>
      <c r="AI8072">
        <v>93.264895569005205</v>
      </c>
      <c r="AJ8072">
        <v>83.746093596969004</v>
      </c>
      <c r="AK8072">
        <v>19.4756192373634</v>
      </c>
      <c r="AL8072">
        <v>78.549690952911106</v>
      </c>
      <c r="AM8072">
        <v>87.017638777018604</v>
      </c>
      <c r="AN8072">
        <v>1.00000000239245</v>
      </c>
    </row>
    <row r="8073" spans="1:40" x14ac:dyDescent="0.25">
      <c r="A8073" t="str">
        <f>"20190312172306946"</f>
        <v>20190312172306946</v>
      </c>
      <c r="B8073" t="str">
        <f>"1552382586938891"</f>
        <v>1552382586938891</v>
      </c>
      <c r="C8073" t="s">
        <v>40</v>
      </c>
      <c r="D8073">
        <v>3.3560759999999998</v>
      </c>
      <c r="E8073">
        <v>0.53735169999999999</v>
      </c>
      <c r="F8073" t="s">
        <v>42</v>
      </c>
      <c r="G8073">
        <v>-186.4059</v>
      </c>
      <c r="H8073" s="1">
        <v>-3.9675940000000002E-6</v>
      </c>
      <c r="I8073">
        <v>17.395209999999999</v>
      </c>
      <c r="J8073">
        <v>-187.58189999999999</v>
      </c>
      <c r="K8073">
        <v>1.1089739999999999</v>
      </c>
      <c r="L8073">
        <v>-3.3635559999999902</v>
      </c>
      <c r="M8073">
        <v>-8.3288849999999998E-2</v>
      </c>
      <c r="N8073">
        <v>0</v>
      </c>
      <c r="O8073">
        <v>0.99647810000000003</v>
      </c>
      <c r="P8073">
        <v>-2.6042320000000001E-2</v>
      </c>
      <c r="Q8073">
        <v>0.18885650000000001</v>
      </c>
      <c r="R8073">
        <v>0.98165939999999996</v>
      </c>
      <c r="S8073">
        <v>0.16874690000000001</v>
      </c>
      <c r="T8073">
        <v>-0.1627787</v>
      </c>
      <c r="U8073">
        <v>3.093658</v>
      </c>
      <c r="V8073">
        <v>5.6207840000000002E-2</v>
      </c>
      <c r="W8073">
        <v>0.19825719999999999</v>
      </c>
      <c r="X8073">
        <v>0.97853699999999999</v>
      </c>
      <c r="Y8073">
        <v>0.13737060000000001</v>
      </c>
      <c r="Z8073">
        <v>-5.198258E-2</v>
      </c>
      <c r="AA8073">
        <v>0.9891548</v>
      </c>
      <c r="AB8073">
        <v>33</v>
      </c>
      <c r="AC8073">
        <v>1.17599999999998</v>
      </c>
      <c r="AD8073">
        <v>-1.1089779675939999</v>
      </c>
      <c r="AE8073">
        <v>20.758766000000001</v>
      </c>
      <c r="AF8073">
        <v>2.8927396137166701</v>
      </c>
      <c r="AG8073">
        <v>-1.1089779675939999</v>
      </c>
      <c r="AH8073">
        <v>20.530274993313601</v>
      </c>
      <c r="AI8073">
        <v>93.061739980303997</v>
      </c>
      <c r="AJ8073">
        <v>81.979755623396997</v>
      </c>
      <c r="AK8073">
        <v>20.762706131582501</v>
      </c>
      <c r="AL8073">
        <v>78.564936109545599</v>
      </c>
      <c r="AM8073">
        <v>86.712503367268297</v>
      </c>
      <c r="AN8073">
        <v>0.99999994949915105</v>
      </c>
    </row>
    <row r="8074" spans="1:40" x14ac:dyDescent="0.25">
      <c r="A8074" t="str">
        <f>"20190312172306969"</f>
        <v>20190312172306969</v>
      </c>
      <c r="B8074" t="str">
        <f>"1552382586958416"</f>
        <v>1552382586958416</v>
      </c>
      <c r="C8074" t="s">
        <v>40</v>
      </c>
      <c r="D8074">
        <v>3.3338169999999998</v>
      </c>
      <c r="E8074">
        <v>0.53867749999999903</v>
      </c>
      <c r="F8074" t="s">
        <v>42</v>
      </c>
      <c r="G8074">
        <v>-186.0487</v>
      </c>
      <c r="H8074" s="1">
        <v>-4.5515189999999998E-6</v>
      </c>
      <c r="I8074">
        <v>18.60867</v>
      </c>
      <c r="J8074">
        <v>-187.6088</v>
      </c>
      <c r="K8074">
        <v>1.1087659999999999</v>
      </c>
      <c r="L8074">
        <v>-3.025909</v>
      </c>
      <c r="M8074">
        <v>-8.1810110000000005E-2</v>
      </c>
      <c r="N8074">
        <v>0</v>
      </c>
      <c r="O8074">
        <v>0.99660070000000001</v>
      </c>
      <c r="P8074">
        <v>-1.8264320000000001E-2</v>
      </c>
      <c r="Q8074">
        <v>0.18886639999999999</v>
      </c>
      <c r="R8074">
        <v>0.98183290000000001</v>
      </c>
      <c r="S8074">
        <v>0.21574399999999999</v>
      </c>
      <c r="T8074">
        <v>-0.15604870000000001</v>
      </c>
      <c r="U8074">
        <v>3.0917970000000001</v>
      </c>
      <c r="V8074">
        <v>6.2616939999999996E-2</v>
      </c>
      <c r="W8074">
        <v>0.1982044</v>
      </c>
      <c r="X8074">
        <v>0.97815850000000004</v>
      </c>
      <c r="Y8074">
        <v>0.15090509999999999</v>
      </c>
      <c r="Z8074">
        <v>-4.9804960000000002E-2</v>
      </c>
      <c r="AA8074">
        <v>0.98729279999999997</v>
      </c>
      <c r="AB8074">
        <v>34</v>
      </c>
      <c r="AC8074">
        <v>1.5601</v>
      </c>
      <c r="AD8074">
        <v>-1.1087705515189901</v>
      </c>
      <c r="AE8074">
        <v>21.634578999999999</v>
      </c>
      <c r="AF8074">
        <v>3.3162154011970202</v>
      </c>
      <c r="AG8074">
        <v>-1.1087705515189901</v>
      </c>
      <c r="AH8074">
        <v>21.378552222269501</v>
      </c>
      <c r="AI8074">
        <v>92.933885218010104</v>
      </c>
      <c r="AJ8074">
        <v>81.182619999260197</v>
      </c>
      <c r="AK8074">
        <v>21.6626210750998</v>
      </c>
      <c r="AL8074">
        <v>78.568022677913106</v>
      </c>
      <c r="AM8074">
        <v>86.337201282844902</v>
      </c>
      <c r="AN8074">
        <v>0.99999995823828502</v>
      </c>
    </row>
    <row r="8075" spans="1:40" x14ac:dyDescent="0.25">
      <c r="A8075" t="str">
        <f>"20190312172306992"</f>
        <v>20190312172306992</v>
      </c>
      <c r="B8075" t="str">
        <f>"1552382586988667"</f>
        <v>1552382586988667</v>
      </c>
      <c r="C8075" t="s">
        <v>40</v>
      </c>
      <c r="D8075">
        <v>3.3447849999999999</v>
      </c>
      <c r="E8075">
        <v>0.53923759999999998</v>
      </c>
      <c r="F8075" t="s">
        <v>42</v>
      </c>
      <c r="G8075">
        <v>-185.7877</v>
      </c>
      <c r="H8075" s="1">
        <v>-4.8954809999999997E-6</v>
      </c>
      <c r="I8075">
        <v>19.302520000000001</v>
      </c>
      <c r="J8075">
        <v>-187.63579999999999</v>
      </c>
      <c r="K8075">
        <v>1.1085609999999999</v>
      </c>
      <c r="L8075">
        <v>-2.678131</v>
      </c>
      <c r="M8075">
        <v>-8.006713E-2</v>
      </c>
      <c r="N8075">
        <v>0</v>
      </c>
      <c r="O8075">
        <v>0.99674249999999998</v>
      </c>
      <c r="P8075">
        <v>-1.003161E-2</v>
      </c>
      <c r="Q8075">
        <v>0.1883513</v>
      </c>
      <c r="R8075">
        <v>0.98205050000000005</v>
      </c>
      <c r="S8075">
        <v>0.25199890000000003</v>
      </c>
      <c r="T8075">
        <v>-0.15342739999999999</v>
      </c>
      <c r="U8075">
        <v>3.0897220000000001</v>
      </c>
      <c r="V8075">
        <v>6.922238E-2</v>
      </c>
      <c r="W8075">
        <v>0.19762109999999999</v>
      </c>
      <c r="X8075">
        <v>0.97783140000000002</v>
      </c>
      <c r="Y8075">
        <v>0.16073689999999999</v>
      </c>
      <c r="Z8075">
        <v>-4.8953579999999997E-2</v>
      </c>
      <c r="AA8075">
        <v>0.98578250000000001</v>
      </c>
      <c r="AB8075">
        <v>34</v>
      </c>
      <c r="AC8075">
        <v>1.8480999999999801</v>
      </c>
      <c r="AD8075">
        <v>-1.108565895481</v>
      </c>
      <c r="AE8075">
        <v>21.980651000000002</v>
      </c>
      <c r="AF8075">
        <v>3.5931010062991602</v>
      </c>
      <c r="AG8075">
        <v>-1.108565895481</v>
      </c>
      <c r="AH8075">
        <v>21.707269769808001</v>
      </c>
      <c r="AI8075">
        <v>92.884312936111002</v>
      </c>
      <c r="AJ8075">
        <v>80.601321020317599</v>
      </c>
      <c r="AK8075">
        <v>22.030543662046</v>
      </c>
      <c r="AL8075">
        <v>78.602118687141598</v>
      </c>
      <c r="AM8075">
        <v>85.950687757663005</v>
      </c>
      <c r="AN8075">
        <v>1.0000000419420101</v>
      </c>
    </row>
    <row r="8076" spans="1:40" x14ac:dyDescent="0.25">
      <c r="A8076" t="str">
        <f>"20190312172307014"</f>
        <v>20190312172307014</v>
      </c>
      <c r="B8076" t="str">
        <f>"1552382587008187"</f>
        <v>1552382587008187</v>
      </c>
      <c r="C8076" t="s">
        <v>40</v>
      </c>
      <c r="D8076">
        <v>3.3083140000000002</v>
      </c>
      <c r="E8076">
        <v>0.53893480000000005</v>
      </c>
      <c r="F8076" t="s">
        <v>42</v>
      </c>
      <c r="G8076">
        <v>-185.5668</v>
      </c>
      <c r="H8076" s="1">
        <v>-1.251494E-6</v>
      </c>
      <c r="I8076">
        <v>19.859449999999999</v>
      </c>
      <c r="J8076">
        <v>-187.6593</v>
      </c>
      <c r="K8076">
        <v>1.108379</v>
      </c>
      <c r="L8076">
        <v>-2.3657840000000001</v>
      </c>
      <c r="M8076">
        <v>-7.8330350000000007E-2</v>
      </c>
      <c r="N8076">
        <v>0</v>
      </c>
      <c r="O8076">
        <v>0.99688060000000001</v>
      </c>
      <c r="P8076">
        <v>-2.0744489999999999E-3</v>
      </c>
      <c r="Q8076">
        <v>0.18798490000000001</v>
      </c>
      <c r="R8076">
        <v>0.98216970000000003</v>
      </c>
      <c r="S8076">
        <v>0.28337099999999998</v>
      </c>
      <c r="T8076">
        <v>-0.15183389999999999</v>
      </c>
      <c r="U8076">
        <v>3.0868530000000001</v>
      </c>
      <c r="V8076">
        <v>7.553986E-2</v>
      </c>
      <c r="W8076">
        <v>0.19718550000000001</v>
      </c>
      <c r="X8076">
        <v>0.97745159999999998</v>
      </c>
      <c r="Y8076">
        <v>0.16903170000000001</v>
      </c>
      <c r="Z8076">
        <v>-4.8446089999999997E-2</v>
      </c>
      <c r="AA8076">
        <v>0.98441920000000005</v>
      </c>
      <c r="AB8076">
        <v>34</v>
      </c>
      <c r="AC8076">
        <v>2.0924999999999998</v>
      </c>
      <c r="AD8076">
        <v>-1.108380251494</v>
      </c>
      <c r="AE8076">
        <v>22.225234</v>
      </c>
      <c r="AF8076">
        <v>3.8176505181378499</v>
      </c>
      <c r="AG8076">
        <v>-1.108380251494</v>
      </c>
      <c r="AH8076">
        <v>21.938941846305099</v>
      </c>
      <c r="AI8076">
        <v>92.849441684308601</v>
      </c>
      <c r="AJ8076">
        <v>80.128660990261906</v>
      </c>
      <c r="AK8076">
        <v>22.2961909660842</v>
      </c>
      <c r="AL8076">
        <v>78.627577345630897</v>
      </c>
      <c r="AM8076">
        <v>85.580825442704693</v>
      </c>
      <c r="AN8076">
        <v>1.00000001110081</v>
      </c>
    </row>
    <row r="8077" spans="1:40" x14ac:dyDescent="0.25">
      <c r="A8077" t="str">
        <f>"20190312172307038"</f>
        <v>20190312172307038</v>
      </c>
      <c r="B8077" t="str">
        <f>"1552382587028684"</f>
        <v>1552382587028684</v>
      </c>
      <c r="C8077" t="s">
        <v>40</v>
      </c>
      <c r="D8077">
        <v>3.4836040000000001</v>
      </c>
      <c r="E8077">
        <v>0.53854029999999997</v>
      </c>
      <c r="F8077" t="s">
        <v>42</v>
      </c>
      <c r="G8077">
        <v>-185.39859999999999</v>
      </c>
      <c r="H8077" s="1">
        <v>-1.4448280000000001E-6</v>
      </c>
      <c r="I8077">
        <v>20.296050000000001</v>
      </c>
      <c r="J8077">
        <v>-187.68709999999999</v>
      </c>
      <c r="K8077">
        <v>1.1081700000000001</v>
      </c>
      <c r="L8077">
        <v>-1.984985</v>
      </c>
      <c r="M8077">
        <v>-7.6031210000000002E-2</v>
      </c>
      <c r="N8077">
        <v>0</v>
      </c>
      <c r="O8077">
        <v>0.99705869999999996</v>
      </c>
      <c r="P8077">
        <v>5.9162140000000004E-3</v>
      </c>
      <c r="Q8077">
        <v>0.18757650000000001</v>
      </c>
      <c r="R8077">
        <v>0.9822322</v>
      </c>
      <c r="S8077">
        <v>0.30764770000000002</v>
      </c>
      <c r="T8077">
        <v>-0.15083629999999901</v>
      </c>
      <c r="U8077">
        <v>3.0839840000000001</v>
      </c>
      <c r="V8077">
        <v>8.1346829999999995E-2</v>
      </c>
      <c r="W8077">
        <v>0.19669690000000001</v>
      </c>
      <c r="X8077">
        <v>0.97708390000000001</v>
      </c>
      <c r="Y8077">
        <v>0.1745196</v>
      </c>
      <c r="Z8077">
        <v>-4.8144720000000002E-2</v>
      </c>
      <c r="AA8077">
        <v>0.98347600000000002</v>
      </c>
      <c r="AB8077">
        <v>34</v>
      </c>
      <c r="AC8077">
        <v>2.2884999999999902</v>
      </c>
      <c r="AD8077">
        <v>-1.108171444828</v>
      </c>
      <c r="AE8077">
        <v>22.281034999999999</v>
      </c>
      <c r="AF8077">
        <v>3.9662992564261299</v>
      </c>
      <c r="AG8077">
        <v>-1.108171444828</v>
      </c>
      <c r="AH8077">
        <v>21.988704466210699</v>
      </c>
      <c r="AI8077">
        <v>92.839366829289304</v>
      </c>
      <c r="AJ8077">
        <v>79.774997253655101</v>
      </c>
      <c r="AK8077">
        <v>22.371023620858601</v>
      </c>
      <c r="AL8077">
        <v>78.656130724321898</v>
      </c>
      <c r="AM8077">
        <v>85.2408324485815</v>
      </c>
      <c r="AN8077">
        <v>0.99999996242993305</v>
      </c>
    </row>
    <row r="8078" spans="1:40" x14ac:dyDescent="0.25">
      <c r="A8078" t="str">
        <f>"20190312172307059"</f>
        <v>20190312172307059</v>
      </c>
      <c r="B8078" t="str">
        <f>"1552382587048203"</f>
        <v>1552382587048203</v>
      </c>
      <c r="C8078" t="s">
        <v>40</v>
      </c>
      <c r="D8078">
        <v>3.303439</v>
      </c>
      <c r="E8078">
        <v>0.53797379999999995</v>
      </c>
      <c r="F8078" t="s">
        <v>42</v>
      </c>
      <c r="G8078">
        <v>-185.2543</v>
      </c>
      <c r="H8078" s="1">
        <v>-1.610506E-6</v>
      </c>
      <c r="I8078">
        <v>20.67005</v>
      </c>
      <c r="J8078">
        <v>-187.70949999999999</v>
      </c>
      <c r="K8078">
        <v>1.1080209999999999</v>
      </c>
      <c r="L8078">
        <v>-1.6651</v>
      </c>
      <c r="M8078">
        <v>-7.3959029999999995E-2</v>
      </c>
      <c r="N8078">
        <v>0</v>
      </c>
      <c r="O8078">
        <v>0.99721470000000001</v>
      </c>
      <c r="P8078">
        <v>1.374892E-2</v>
      </c>
      <c r="Q8078">
        <v>0.18778429999999999</v>
      </c>
      <c r="R8078">
        <v>0.98211409999999999</v>
      </c>
      <c r="S8078">
        <v>0.33085629999999999</v>
      </c>
      <c r="T8078">
        <v>-0.15070989999999901</v>
      </c>
      <c r="U8078">
        <v>3.0810550000000001</v>
      </c>
      <c r="V8078">
        <v>8.7185699999999894E-2</v>
      </c>
      <c r="W8078">
        <v>0.19683300000000001</v>
      </c>
      <c r="X8078">
        <v>0.9765528</v>
      </c>
      <c r="Y8078">
        <v>0.17989279999999999</v>
      </c>
      <c r="Z8078">
        <v>-4.8119080000000002E-2</v>
      </c>
      <c r="AA8078">
        <v>0.98250859999999995</v>
      </c>
      <c r="AB8078">
        <v>34</v>
      </c>
      <c r="AC8078">
        <v>2.4551999999999898</v>
      </c>
      <c r="AD8078">
        <v>-1.10802261050599</v>
      </c>
      <c r="AE8078">
        <v>22.335149999999999</v>
      </c>
      <c r="AF8078">
        <v>4.0904913480433098</v>
      </c>
      <c r="AG8078">
        <v>-1.10802261050599</v>
      </c>
      <c r="AH8078">
        <v>22.038791075937201</v>
      </c>
      <c r="AI8078">
        <v>92.829929432753801</v>
      </c>
      <c r="AJ8078">
        <v>79.485315071207296</v>
      </c>
      <c r="AK8078">
        <v>22.4425521200825</v>
      </c>
      <c r="AL8078">
        <v>78.648177413560603</v>
      </c>
      <c r="AM8078">
        <v>84.898213927727397</v>
      </c>
      <c r="AN8078">
        <v>0.99999997368066396</v>
      </c>
    </row>
    <row r="8079" spans="1:40" x14ac:dyDescent="0.25">
      <c r="A8079" t="str">
        <f>"20190312172307081"</f>
        <v>20190312172307081</v>
      </c>
      <c r="B8079" t="str">
        <f>"1552382587078459"</f>
        <v>1552382587078459</v>
      </c>
      <c r="C8079" t="s">
        <v>40</v>
      </c>
      <c r="D8079">
        <v>3.3043239999999998</v>
      </c>
      <c r="E8079">
        <v>0.53730140000000004</v>
      </c>
      <c r="F8079" t="s">
        <v>42</v>
      </c>
      <c r="G8079">
        <v>-185.10489999999999</v>
      </c>
      <c r="H8079" s="1">
        <v>-1.8203570000000001E-6</v>
      </c>
      <c r="I8079">
        <v>21.169920000000001</v>
      </c>
      <c r="J8079">
        <v>-187.7312</v>
      </c>
      <c r="K8079">
        <v>1.1078950000000001</v>
      </c>
      <c r="L8079">
        <v>-1.3465879999999999</v>
      </c>
      <c r="M8079">
        <v>-7.1796250000000006E-2</v>
      </c>
      <c r="N8079">
        <v>0</v>
      </c>
      <c r="O8079">
        <v>0.99737290000000001</v>
      </c>
      <c r="P8079">
        <v>2.1193549999999999E-2</v>
      </c>
      <c r="Q8079">
        <v>0.1876457</v>
      </c>
      <c r="R8079">
        <v>0.98200810000000005</v>
      </c>
      <c r="S8079">
        <v>0.35111999999999999</v>
      </c>
      <c r="T8079">
        <v>-0.14936720000000001</v>
      </c>
      <c r="U8079">
        <v>3.0782780000000001</v>
      </c>
      <c r="V8079">
        <v>9.2538980000000007E-2</v>
      </c>
      <c r="W8079">
        <v>0.19662859999999999</v>
      </c>
      <c r="X8079">
        <v>0.97610129999999995</v>
      </c>
      <c r="Y8079">
        <v>0.1842434</v>
      </c>
      <c r="Z8079">
        <v>-4.770887E-2</v>
      </c>
      <c r="AA8079">
        <v>0.98172210000000004</v>
      </c>
      <c r="AB8079">
        <v>34</v>
      </c>
      <c r="AC8079">
        <v>2.6263000000000098</v>
      </c>
      <c r="AD8079">
        <v>-1.1078968203569901</v>
      </c>
      <c r="AE8079">
        <v>22.516507999999899</v>
      </c>
      <c r="AF8079">
        <v>4.2261033074277696</v>
      </c>
      <c r="AG8079">
        <v>-1.1078968203569901</v>
      </c>
      <c r="AH8079">
        <v>22.216762401990501</v>
      </c>
      <c r="AI8079">
        <v>92.804630381603204</v>
      </c>
      <c r="AJ8079">
        <v>79.229790953074499</v>
      </c>
      <c r="AK8079">
        <v>22.6422595196705</v>
      </c>
      <c r="AL8079">
        <v>78.660122499956202</v>
      </c>
      <c r="AM8079">
        <v>84.584278120729095</v>
      </c>
      <c r="AN8079">
        <v>1.00000000850954</v>
      </c>
    </row>
    <row r="8080" spans="1:40" x14ac:dyDescent="0.25">
      <c r="A8080" t="str">
        <f>"20190312172307095"</f>
        <v>20190312172307095</v>
      </c>
      <c r="B8080" t="str">
        <f>"1552382587088220"</f>
        <v>1552382587088220</v>
      </c>
      <c r="C8080" t="s">
        <v>40</v>
      </c>
      <c r="D8080">
        <v>3.3162449999999999</v>
      </c>
      <c r="E8080">
        <v>0.52828779999999997</v>
      </c>
      <c r="F8080" t="s">
        <v>42</v>
      </c>
      <c r="G8080">
        <v>-184.99709999999999</v>
      </c>
      <c r="H8080" s="1">
        <v>-1.935541E-6</v>
      </c>
      <c r="I8080">
        <v>21.424150000000001</v>
      </c>
      <c r="J8080">
        <v>-187.7456</v>
      </c>
      <c r="K8080">
        <v>1.1078239999999999</v>
      </c>
      <c r="L8080">
        <v>-1.1273799999999901</v>
      </c>
      <c r="M8080">
        <v>-7.0263220000000001E-2</v>
      </c>
      <c r="N8080">
        <v>0</v>
      </c>
      <c r="O8080">
        <v>0.99748219999999999</v>
      </c>
      <c r="P8080">
        <v>2.5317719999999998E-2</v>
      </c>
      <c r="Q8080">
        <v>0.18760869999999999</v>
      </c>
      <c r="R8080">
        <v>0.9819175</v>
      </c>
      <c r="S8080">
        <v>0.369278</v>
      </c>
      <c r="T8080">
        <v>-0.1496412</v>
      </c>
      <c r="U8080">
        <v>3.0755919999999999</v>
      </c>
      <c r="V8080">
        <v>9.5175270000000006E-2</v>
      </c>
      <c r="W8080">
        <v>0.196552</v>
      </c>
      <c r="X8080">
        <v>0.97586320000000004</v>
      </c>
      <c r="Y8080">
        <v>0.1885444</v>
      </c>
      <c r="Z8080">
        <v>-4.7809369999999997E-2</v>
      </c>
      <c r="AA8080">
        <v>0.9809002</v>
      </c>
      <c r="AB8080">
        <v>34</v>
      </c>
      <c r="AC8080">
        <v>2.7484999999999999</v>
      </c>
      <c r="AD8080">
        <v>-1.1078259355409901</v>
      </c>
      <c r="AE8080">
        <v>22.55153</v>
      </c>
      <c r="AF8080">
        <v>4.31605967763808</v>
      </c>
      <c r="AG8080">
        <v>-1.1078259355409901</v>
      </c>
      <c r="AH8080">
        <v>22.249754090347999</v>
      </c>
      <c r="AI8080">
        <v>92.798352044359007</v>
      </c>
      <c r="AJ8080">
        <v>79.021972632513894</v>
      </c>
      <c r="AK8080">
        <v>22.691566859195699</v>
      </c>
      <c r="AL8080">
        <v>78.664598642350697</v>
      </c>
      <c r="AM8080">
        <v>84.429599084376207</v>
      </c>
      <c r="AN8080">
        <v>1.0000000029189</v>
      </c>
    </row>
    <row r="8081" spans="1:40" x14ac:dyDescent="0.25">
      <c r="A8081" t="str">
        <f>"20190312172307113"</f>
        <v>20190312172307113</v>
      </c>
      <c r="B8081" t="str">
        <f>"1552382587108716"</f>
        <v>1552382587108716</v>
      </c>
      <c r="C8081" t="s">
        <v>40</v>
      </c>
      <c r="D8081">
        <v>3.2848489999999999</v>
      </c>
      <c r="E8081">
        <v>0.52756040000000004</v>
      </c>
      <c r="F8081" t="s">
        <v>42</v>
      </c>
      <c r="G8081">
        <v>-185.37610000000001</v>
      </c>
      <c r="H8081" s="1">
        <v>-2.1415339999999998E-6</v>
      </c>
      <c r="I8081">
        <v>22.32573</v>
      </c>
      <c r="J8081">
        <v>-187.76329999999999</v>
      </c>
      <c r="K8081">
        <v>1.1077539999999999</v>
      </c>
      <c r="L8081">
        <v>-0.85064699999999904</v>
      </c>
      <c r="M8081">
        <v>-6.829884E-2</v>
      </c>
      <c r="N8081">
        <v>0</v>
      </c>
      <c r="O8081">
        <v>0.99761869999999997</v>
      </c>
      <c r="P8081">
        <v>3.1460700000000001E-2</v>
      </c>
      <c r="Q8081">
        <v>0.18781339999999999</v>
      </c>
      <c r="R8081">
        <v>0.98170069999999998</v>
      </c>
      <c r="S8081">
        <v>0.31066890000000003</v>
      </c>
      <c r="T8081">
        <v>-0.14524919999999999</v>
      </c>
      <c r="U8081">
        <v>3.0749819999999999</v>
      </c>
      <c r="V8081">
        <v>9.939808E-2</v>
      </c>
      <c r="W8081">
        <v>0.19670109999999999</v>
      </c>
      <c r="X8081">
        <v>0.9754121</v>
      </c>
      <c r="Y8081">
        <v>0.1681309</v>
      </c>
      <c r="Z8081">
        <v>-4.6563609999999998E-2</v>
      </c>
      <c r="AA8081">
        <v>0.98466430000000005</v>
      </c>
      <c r="AB8081">
        <v>34</v>
      </c>
      <c r="AC8081">
        <v>2.3871999999999698</v>
      </c>
      <c r="AD8081">
        <v>-1.107756141534</v>
      </c>
      <c r="AE8081">
        <v>23.176376999999999</v>
      </c>
      <c r="AF8081">
        <v>3.9556757945069299</v>
      </c>
      <c r="AG8081">
        <v>-1.107756141534</v>
      </c>
      <c r="AH8081">
        <v>22.907419175118498</v>
      </c>
      <c r="AI8081">
        <v>92.728235388330205</v>
      </c>
      <c r="AJ8081">
        <v>80.202726397810395</v>
      </c>
      <c r="AK8081">
        <v>23.2728242361115</v>
      </c>
      <c r="AL8081">
        <v>78.655886097624901</v>
      </c>
      <c r="AM8081">
        <v>84.181434586503201</v>
      </c>
      <c r="AN8081">
        <v>1.0000000329376499</v>
      </c>
    </row>
    <row r="8082" spans="1:40" x14ac:dyDescent="0.25">
      <c r="A8082" t="str">
        <f>"20190312172307136"</f>
        <v>20190312172307136</v>
      </c>
      <c r="B8082" t="str">
        <f>"1552382587128235"</f>
        <v>1552382587128235</v>
      </c>
      <c r="C8082" t="s">
        <v>40</v>
      </c>
      <c r="D8082">
        <v>3.2824759999999999</v>
      </c>
      <c r="E8082">
        <v>0.52642060000000002</v>
      </c>
      <c r="F8082" t="s">
        <v>42</v>
      </c>
      <c r="G8082">
        <v>-185.29820000000001</v>
      </c>
      <c r="H8082" s="1">
        <v>-2.2174320000000002E-6</v>
      </c>
      <c r="I8082">
        <v>22.487909999999999</v>
      </c>
      <c r="J8082">
        <v>-187.78479999999999</v>
      </c>
      <c r="K8082">
        <v>1.1076809999999999</v>
      </c>
      <c r="L8082">
        <v>-0.50292970000000004</v>
      </c>
      <c r="M8082">
        <v>-6.5797330000000001E-2</v>
      </c>
      <c r="N8082">
        <v>0</v>
      </c>
      <c r="O8082">
        <v>0.99778710000000004</v>
      </c>
      <c r="P8082">
        <v>3.7609919999999998E-2</v>
      </c>
      <c r="Q8082">
        <v>0.18772079999999999</v>
      </c>
      <c r="R8082">
        <v>0.98150210000000004</v>
      </c>
      <c r="S8082">
        <v>0.3246155</v>
      </c>
      <c r="T8082">
        <v>-0.14587900000000001</v>
      </c>
      <c r="U8082">
        <v>3.0734249999999999</v>
      </c>
      <c r="V8082">
        <v>0.1031021</v>
      </c>
      <c r="W8082">
        <v>0.19655239999999999</v>
      </c>
      <c r="X8082">
        <v>0.97505750000000002</v>
      </c>
      <c r="Y8082">
        <v>0.170128799999999</v>
      </c>
      <c r="Z8082">
        <v>-4.6781540000000003E-2</v>
      </c>
      <c r="AA8082">
        <v>0.98431069999999998</v>
      </c>
      <c r="AB8082">
        <v>34</v>
      </c>
      <c r="AC8082">
        <v>2.4865999999999802</v>
      </c>
      <c r="AD8082">
        <v>-1.1076832174319999</v>
      </c>
      <c r="AE8082">
        <v>22.990839699999999</v>
      </c>
      <c r="AF8082">
        <v>3.9848733022260601</v>
      </c>
      <c r="AG8082">
        <v>-1.1076832174319999</v>
      </c>
      <c r="AH8082">
        <v>22.7252540119906</v>
      </c>
      <c r="AI8082">
        <v>92.748653201734697</v>
      </c>
      <c r="AJ8082">
        <v>80.054297990116396</v>
      </c>
      <c r="AK8082">
        <v>23.098557254825899</v>
      </c>
      <c r="AL8082">
        <v>78.664575333775701</v>
      </c>
      <c r="AM8082">
        <v>83.964001650952198</v>
      </c>
      <c r="AN8082">
        <v>1.0000000086382099</v>
      </c>
    </row>
    <row r="8083" spans="1:40" x14ac:dyDescent="0.25">
      <c r="A8083" t="str">
        <f>"20190312172307159"</f>
        <v>20190312172307159</v>
      </c>
      <c r="B8083" t="str">
        <f>"1552382587148735"</f>
        <v>1552382587148735</v>
      </c>
      <c r="C8083" t="s">
        <v>40</v>
      </c>
      <c r="D8083">
        <v>3.2899829999999999</v>
      </c>
      <c r="E8083">
        <v>0.52571559999999995</v>
      </c>
      <c r="F8083" t="s">
        <v>42</v>
      </c>
      <c r="G8083">
        <v>-185.25059999999999</v>
      </c>
      <c r="H8083" s="1">
        <v>-2.320445E-6</v>
      </c>
      <c r="I8083">
        <v>22.753340000000001</v>
      </c>
      <c r="J8083">
        <v>-187.80520000000001</v>
      </c>
      <c r="K8083">
        <v>1.1076239999999999</v>
      </c>
      <c r="L8083">
        <v>-0.15829470000000001</v>
      </c>
      <c r="M8083">
        <v>-6.3297850000000003E-2</v>
      </c>
      <c r="N8083">
        <v>0</v>
      </c>
      <c r="O8083">
        <v>0.99794890000000003</v>
      </c>
      <c r="P8083">
        <v>4.1727E-2</v>
      </c>
      <c r="Q8083">
        <v>0.1882769</v>
      </c>
      <c r="R8083">
        <v>0.98122920000000002</v>
      </c>
      <c r="S8083">
        <v>0.33471679999999998</v>
      </c>
      <c r="T8083">
        <v>-0.1463026</v>
      </c>
      <c r="U8083">
        <v>3.0716860000000001</v>
      </c>
      <c r="V8083">
        <v>0.104772699999999</v>
      </c>
      <c r="W8083">
        <v>0.1970681</v>
      </c>
      <c r="X8083">
        <v>0.97477530000000001</v>
      </c>
      <c r="Y8083">
        <v>0.17091799999999999</v>
      </c>
      <c r="Z8083">
        <v>-4.6943520000000002E-2</v>
      </c>
      <c r="AA8083">
        <v>0.98416630000000005</v>
      </c>
      <c r="AB8083">
        <v>34</v>
      </c>
      <c r="AC8083">
        <v>2.5546000000000202</v>
      </c>
      <c r="AD8083">
        <v>-1.1076263204450001</v>
      </c>
      <c r="AE8083">
        <v>22.9116347</v>
      </c>
      <c r="AF8083">
        <v>3.9905883996867701</v>
      </c>
      <c r="AG8083">
        <v>-1.1076263204450001</v>
      </c>
      <c r="AH8083">
        <v>22.651688410399402</v>
      </c>
      <c r="AI8083">
        <v>92.757039067482907</v>
      </c>
      <c r="AJ8083">
        <v>80.008624112511896</v>
      </c>
      <c r="AK8083">
        <v>23.0271713348227</v>
      </c>
      <c r="AL8083">
        <v>78.634438603233406</v>
      </c>
      <c r="AM8083">
        <v>83.865175730066497</v>
      </c>
      <c r="AN8083">
        <v>1.00000002009649</v>
      </c>
    </row>
    <row r="8084" spans="1:40" x14ac:dyDescent="0.25">
      <c r="A8084" t="str">
        <f>"20190312172307174"</f>
        <v>20190312172307174</v>
      </c>
      <c r="B8084" t="str">
        <f>"1552382587168251"</f>
        <v>1552382587168251</v>
      </c>
      <c r="C8084" t="s">
        <v>40</v>
      </c>
      <c r="D8084">
        <v>3.2806579999999999</v>
      </c>
      <c r="E8084">
        <v>0.52100409999999997</v>
      </c>
      <c r="F8084" t="s">
        <v>42</v>
      </c>
      <c r="G8084">
        <v>-185.1771</v>
      </c>
      <c r="H8084" s="1">
        <v>-2.5468450000000001E-6</v>
      </c>
      <c r="I8084">
        <v>23.361170000000001</v>
      </c>
      <c r="J8084">
        <v>-187.8177</v>
      </c>
      <c r="K8084">
        <v>1.1075980000000001</v>
      </c>
      <c r="L8084">
        <v>6.1218259999999997E-2</v>
      </c>
      <c r="M8084">
        <v>-6.1701819999999998E-2</v>
      </c>
      <c r="N8084">
        <v>0</v>
      </c>
      <c r="O8084">
        <v>0.99804890000000002</v>
      </c>
      <c r="P8084">
        <v>4.3756150000000001E-2</v>
      </c>
      <c r="Q8084">
        <v>0.18879360000000001</v>
      </c>
      <c r="R8084">
        <v>0.98104150000000001</v>
      </c>
      <c r="S8084">
        <v>0.3431091</v>
      </c>
      <c r="T8084">
        <v>-0.14460490000000001</v>
      </c>
      <c r="U8084">
        <v>3.070557</v>
      </c>
      <c r="V8084">
        <v>0.10523879999999999</v>
      </c>
      <c r="W8084">
        <v>0.19756589999999999</v>
      </c>
      <c r="X8084">
        <v>0.9746243</v>
      </c>
      <c r="Y8084">
        <v>0.17204150000000001</v>
      </c>
      <c r="Z8084">
        <v>-4.6412429999999998E-2</v>
      </c>
      <c r="AA8084">
        <v>0.98399570000000003</v>
      </c>
      <c r="AB8084">
        <v>34</v>
      </c>
      <c r="AC8084">
        <v>2.6406000000000001</v>
      </c>
      <c r="AD8084">
        <v>-1.1076005468450001</v>
      </c>
      <c r="AE8084">
        <v>23.299951740000001</v>
      </c>
      <c r="AF8084">
        <v>4.0642156976819299</v>
      </c>
      <c r="AG8084">
        <v>-1.1076005468450001</v>
      </c>
      <c r="AH8084">
        <v>23.041208714139898</v>
      </c>
      <c r="AI8084">
        <v>92.710336908644294</v>
      </c>
      <c r="AJ8084">
        <v>79.996553901979993</v>
      </c>
      <c r="AK8084">
        <v>23.423106694399301</v>
      </c>
      <c r="AL8084">
        <v>78.605344632522403</v>
      </c>
      <c r="AM8084">
        <v>83.837146038866194</v>
      </c>
      <c r="AN8084">
        <v>1.0000000080093701</v>
      </c>
    </row>
    <row r="8085" spans="1:40" x14ac:dyDescent="0.25">
      <c r="A8085" t="str">
        <f>"20190312172307191"</f>
        <v>20190312172307191</v>
      </c>
      <c r="B8085" t="str">
        <f>"1552382587188748"</f>
        <v>1552382587188748</v>
      </c>
      <c r="C8085" t="s">
        <v>40</v>
      </c>
      <c r="D8085">
        <v>3.2852869999999998</v>
      </c>
      <c r="E8085">
        <v>0.52039749999999996</v>
      </c>
      <c r="F8085" t="s">
        <v>42</v>
      </c>
      <c r="G8085">
        <v>-185.4239</v>
      </c>
      <c r="H8085" s="1">
        <v>-2.562981E-6</v>
      </c>
      <c r="I8085">
        <v>23.60154</v>
      </c>
      <c r="J8085">
        <v>-187.8331</v>
      </c>
      <c r="K8085">
        <v>1.1075740000000001</v>
      </c>
      <c r="L8085">
        <v>0.34033200000000002</v>
      </c>
      <c r="M8085">
        <v>-5.9673530000000002E-2</v>
      </c>
      <c r="N8085">
        <v>0</v>
      </c>
      <c r="O8085">
        <v>0.99817230000000001</v>
      </c>
      <c r="P8085">
        <v>4.573779E-2</v>
      </c>
      <c r="Q8085">
        <v>0.19012560000000001</v>
      </c>
      <c r="R8085">
        <v>0.98069379999999995</v>
      </c>
      <c r="S8085">
        <v>0.31237789999999999</v>
      </c>
      <c r="T8085">
        <v>-0.1445352</v>
      </c>
      <c r="U8085">
        <v>3.071869</v>
      </c>
      <c r="V8085">
        <v>0.1052318</v>
      </c>
      <c r="W8085">
        <v>0.1988779</v>
      </c>
      <c r="X8085">
        <v>0.97435819999999995</v>
      </c>
      <c r="Y8085">
        <v>0.1602481</v>
      </c>
      <c r="Z8085">
        <v>-4.6450230000000002E-2</v>
      </c>
      <c r="AA8085">
        <v>0.98598330000000001</v>
      </c>
      <c r="AB8085">
        <v>34</v>
      </c>
      <c r="AC8085">
        <v>2.40919999999999</v>
      </c>
      <c r="AD8085">
        <v>-1.1075765629809999</v>
      </c>
      <c r="AE8085">
        <v>23.261208</v>
      </c>
      <c r="AF8085">
        <v>3.7845587788583201</v>
      </c>
      <c r="AG8085">
        <v>-1.1075765629809999</v>
      </c>
      <c r="AH8085">
        <v>23.024333558598599</v>
      </c>
      <c r="AI8085">
        <v>92.7176554126453</v>
      </c>
      <c r="AJ8085">
        <v>80.665639216983706</v>
      </c>
      <c r="AK8085">
        <v>23.359570775403999</v>
      </c>
      <c r="AL8085">
        <v>78.528650953800806</v>
      </c>
      <c r="AM8085">
        <v>83.835882781974206</v>
      </c>
      <c r="AN8085">
        <v>1.0000000263734401</v>
      </c>
    </row>
    <row r="8086" spans="1:40" x14ac:dyDescent="0.25">
      <c r="A8086" t="str">
        <f>"20190312172307206"</f>
        <v>20190312172307206</v>
      </c>
      <c r="B8086" t="str">
        <f>"1552382587198508"</f>
        <v>1552382587198508</v>
      </c>
      <c r="C8086" t="s">
        <v>40</v>
      </c>
      <c r="D8086">
        <v>3.252653</v>
      </c>
      <c r="E8086">
        <v>0.51994620000000003</v>
      </c>
      <c r="F8086" t="s">
        <v>42</v>
      </c>
      <c r="G8086">
        <v>-185.36199999999999</v>
      </c>
      <c r="H8086" s="1">
        <v>-2.901756E-6</v>
      </c>
      <c r="I8086">
        <v>24.47908</v>
      </c>
      <c r="J8086">
        <v>-187.84520000000001</v>
      </c>
      <c r="K8086">
        <v>1.1075549999999901</v>
      </c>
      <c r="L8086">
        <v>0.56719969999999997</v>
      </c>
      <c r="M8086">
        <v>-5.8026599999999998E-2</v>
      </c>
      <c r="N8086">
        <v>0</v>
      </c>
      <c r="O8086">
        <v>0.99826950000000003</v>
      </c>
      <c r="P8086">
        <v>4.7404210000000002E-2</v>
      </c>
      <c r="Q8086">
        <v>0.19089529999999999</v>
      </c>
      <c r="R8086">
        <v>0.98046509999999998</v>
      </c>
      <c r="S8086">
        <v>0.31445309999999999</v>
      </c>
      <c r="T8086">
        <v>-0.14094200000000001</v>
      </c>
      <c r="U8086">
        <v>3.0717159999999999</v>
      </c>
      <c r="V8086">
        <v>0.105285</v>
      </c>
      <c r="W8086">
        <v>0.19963339999999999</v>
      </c>
      <c r="X8086">
        <v>0.97419789999999995</v>
      </c>
      <c r="Y8086">
        <v>0.15928909999999999</v>
      </c>
      <c r="Z8086">
        <v>-4.5308790000000002E-2</v>
      </c>
      <c r="AA8086">
        <v>0.9861917</v>
      </c>
      <c r="AB8086">
        <v>34</v>
      </c>
      <c r="AC8086">
        <v>2.4832000000000098</v>
      </c>
      <c r="AD8086">
        <v>-1.10755790175599</v>
      </c>
      <c r="AE8086">
        <v>23.9118803</v>
      </c>
      <c r="AF8086">
        <v>3.8584142447546101</v>
      </c>
      <c r="AG8086">
        <v>-1.10755790175599</v>
      </c>
      <c r="AH8086">
        <v>23.67723296922</v>
      </c>
      <c r="AI8086">
        <v>92.643373956318001</v>
      </c>
      <c r="AJ8086">
        <v>80.744502783687594</v>
      </c>
      <c r="AK8086">
        <v>24.015107871266899</v>
      </c>
      <c r="AL8086">
        <v>78.484477760804097</v>
      </c>
      <c r="AM8086">
        <v>83.831783551743499</v>
      </c>
      <c r="AN8086">
        <v>0.99999998699248405</v>
      </c>
    </row>
    <row r="8087" spans="1:40" x14ac:dyDescent="0.25">
      <c r="A8087" t="str">
        <f>"20190312172307226"</f>
        <v>20190312172307226</v>
      </c>
      <c r="B8087" t="str">
        <f>"1552382587218028"</f>
        <v>1552382587218028</v>
      </c>
      <c r="C8087" t="s">
        <v>40</v>
      </c>
      <c r="D8087">
        <v>3.2656930000000002</v>
      </c>
      <c r="E8087">
        <v>0.51689909999999994</v>
      </c>
      <c r="F8087" t="s">
        <v>42</v>
      </c>
      <c r="G8087">
        <v>-185.3252</v>
      </c>
      <c r="H8087" s="1">
        <v>-3.1428830000000002E-6</v>
      </c>
      <c r="I8087">
        <v>25.025939999999999</v>
      </c>
      <c r="J8087">
        <v>-187.86089999999999</v>
      </c>
      <c r="K8087">
        <v>1.107534</v>
      </c>
      <c r="L8087">
        <v>0.87222289999999902</v>
      </c>
      <c r="M8087">
        <v>-5.5816259999999999E-2</v>
      </c>
      <c r="N8087">
        <v>0</v>
      </c>
      <c r="O8087">
        <v>0.99839560000000005</v>
      </c>
      <c r="P8087">
        <v>4.811725E-2</v>
      </c>
      <c r="Q8087">
        <v>0.19222139999999999</v>
      </c>
      <c r="R8087">
        <v>0.98017129999999997</v>
      </c>
      <c r="S8087">
        <v>0.31646729999999901</v>
      </c>
      <c r="T8087">
        <v>-0.13908870000000001</v>
      </c>
      <c r="U8087">
        <v>3.071564</v>
      </c>
      <c r="V8087">
        <v>0.1038376</v>
      </c>
      <c r="W8087">
        <v>0.2009514</v>
      </c>
      <c r="X8087">
        <v>0.97408229999999996</v>
      </c>
      <c r="Y8087">
        <v>0.157750799999999</v>
      </c>
      <c r="Z8087">
        <v>-4.4729089999999999E-2</v>
      </c>
      <c r="AA8087">
        <v>0.98646540000000005</v>
      </c>
      <c r="AB8087">
        <v>34</v>
      </c>
      <c r="AC8087">
        <v>2.5356999999999901</v>
      </c>
      <c r="AD8087">
        <v>-1.1075371428829901</v>
      </c>
      <c r="AE8087">
        <v>24.153717100000001</v>
      </c>
      <c r="AF8087">
        <v>3.8719257592455598</v>
      </c>
      <c r="AG8087">
        <v>-1.1075371428829901</v>
      </c>
      <c r="AH8087">
        <v>23.924764781380901</v>
      </c>
      <c r="AI8087">
        <v>92.616477662211693</v>
      </c>
      <c r="AJ8087">
        <v>80.807095706256206</v>
      </c>
      <c r="AK8087">
        <v>24.261344098222999</v>
      </c>
      <c r="AL8087">
        <v>78.407400410589005</v>
      </c>
      <c r="AM8087">
        <v>83.915223796412803</v>
      </c>
      <c r="AN8087">
        <v>1.0000000197545</v>
      </c>
    </row>
    <row r="8088" spans="1:40" x14ac:dyDescent="0.25">
      <c r="A8088" t="str">
        <f>"20190312172307249"</f>
        <v>20190312172307249</v>
      </c>
      <c r="B8088" t="str">
        <f>"1552382587238523"</f>
        <v>1552382587238523</v>
      </c>
      <c r="C8088" t="s">
        <v>40</v>
      </c>
      <c r="D8088">
        <v>3.276227</v>
      </c>
      <c r="E8088">
        <v>0.51693120000000004</v>
      </c>
      <c r="F8088" t="s">
        <v>42</v>
      </c>
      <c r="G8088">
        <v>-185.5394</v>
      </c>
      <c r="H8088" s="1">
        <v>-3.1135209999999999E-6</v>
      </c>
      <c r="I8088">
        <v>25.046050000000001</v>
      </c>
      <c r="J8088">
        <v>-187.87799999999999</v>
      </c>
      <c r="K8088">
        <v>1.1075219999999999</v>
      </c>
      <c r="L8088">
        <v>1.2206729999999999</v>
      </c>
      <c r="M8088">
        <v>-5.3295509999999997E-2</v>
      </c>
      <c r="N8088">
        <v>0</v>
      </c>
      <c r="O8088">
        <v>0.99853340000000002</v>
      </c>
      <c r="P8088">
        <v>4.8213369999999998E-2</v>
      </c>
      <c r="Q8088">
        <v>0.1944555</v>
      </c>
      <c r="R8088">
        <v>0.97972570000000003</v>
      </c>
      <c r="S8088">
        <v>0.29519649999999997</v>
      </c>
      <c r="T8088">
        <v>-0.140828799999999</v>
      </c>
      <c r="U8088">
        <v>3.0738219999999998</v>
      </c>
      <c r="V8088">
        <v>0.1014688</v>
      </c>
      <c r="W8088">
        <v>0.20318269999999999</v>
      </c>
      <c r="X8088">
        <v>0.97386899999999998</v>
      </c>
      <c r="Y8088">
        <v>0.1484152</v>
      </c>
      <c r="Z8088">
        <v>-4.5312400000000003E-2</v>
      </c>
      <c r="AA8088">
        <v>0.9878865</v>
      </c>
      <c r="AB8088">
        <v>34</v>
      </c>
      <c r="AC8088">
        <v>2.33859999999998</v>
      </c>
      <c r="AD8088">
        <v>-1.10752511352099</v>
      </c>
      <c r="AE8088">
        <v>23.825377</v>
      </c>
      <c r="AF8088">
        <v>3.5974198528860799</v>
      </c>
      <c r="AG8088">
        <v>-1.10752511352099</v>
      </c>
      <c r="AH8088">
        <v>23.616325690786098</v>
      </c>
      <c r="AI8088">
        <v>92.654434176616803</v>
      </c>
      <c r="AJ8088">
        <v>81.338848199725902</v>
      </c>
      <c r="AK8088">
        <v>23.9144073856807</v>
      </c>
      <c r="AL8088">
        <v>78.276863058723507</v>
      </c>
      <c r="AM8088">
        <v>84.051733563032698</v>
      </c>
      <c r="AN8088">
        <v>0.99999997805686403</v>
      </c>
    </row>
    <row r="8089" spans="1:40" x14ac:dyDescent="0.25">
      <c r="A8089" t="str">
        <f>"20190312172307282"</f>
        <v>20190312172307282</v>
      </c>
      <c r="B8089" t="str">
        <f>"1552382587278540"</f>
        <v>1552382587278540</v>
      </c>
      <c r="C8089" t="s">
        <v>40</v>
      </c>
      <c r="D8089">
        <v>3.2474349999999998</v>
      </c>
      <c r="E8089">
        <v>0.5164183</v>
      </c>
      <c r="F8089" t="s">
        <v>42</v>
      </c>
      <c r="G8089">
        <v>-185.465</v>
      </c>
      <c r="H8089" s="1">
        <v>-3.6120209999999998E-6</v>
      </c>
      <c r="I8089">
        <v>26.177309999999999</v>
      </c>
      <c r="J8089">
        <v>-187.90110000000001</v>
      </c>
      <c r="K8089">
        <v>1.1075060000000001</v>
      </c>
      <c r="L8089">
        <v>1.7227779999999999</v>
      </c>
      <c r="M8089">
        <v>-4.9669039999999998E-2</v>
      </c>
      <c r="N8089">
        <v>0</v>
      </c>
      <c r="O8089">
        <v>0.99872050000000001</v>
      </c>
      <c r="P8089">
        <v>4.899411E-2</v>
      </c>
      <c r="Q8089">
        <v>0.1967497</v>
      </c>
      <c r="R8089">
        <v>0.97922889999999996</v>
      </c>
      <c r="S8089">
        <v>0.29727170000000003</v>
      </c>
      <c r="T8089">
        <v>-0.13644120000000001</v>
      </c>
      <c r="U8089">
        <v>3.0745239999999998</v>
      </c>
      <c r="V8089">
        <v>9.8705500000000002E-2</v>
      </c>
      <c r="W8089">
        <v>0.20547550000000001</v>
      </c>
      <c r="X8089">
        <v>0.97367190000000003</v>
      </c>
      <c r="Y8089">
        <v>0.1454686</v>
      </c>
      <c r="Z8089">
        <v>-4.39142E-2</v>
      </c>
      <c r="AA8089">
        <v>0.98838780000000004</v>
      </c>
      <c r="AB8089">
        <v>34</v>
      </c>
      <c r="AC8089">
        <v>2.4361000000000099</v>
      </c>
      <c r="AD8089">
        <v>-1.107509612021</v>
      </c>
      <c r="AE8089">
        <v>24.454532</v>
      </c>
      <c r="AF8089">
        <v>3.6403876792189398</v>
      </c>
      <c r="AG8089">
        <v>-1.107509612021</v>
      </c>
      <c r="AH8089">
        <v>24.254084068111101</v>
      </c>
      <c r="AI8089">
        <v>92.5855484746629</v>
      </c>
      <c r="AJ8089">
        <v>81.463978297146795</v>
      </c>
      <c r="AK8089">
        <v>24.550755466558101</v>
      </c>
      <c r="AL8089">
        <v>78.142663776664804</v>
      </c>
      <c r="AM8089">
        <v>84.211444322748406</v>
      </c>
      <c r="AN8089">
        <v>0.99999996284005399</v>
      </c>
    </row>
    <row r="8090" spans="1:40" x14ac:dyDescent="0.25">
      <c r="A8090" t="str">
        <f>"20190312172307303"</f>
        <v>20190312172307303</v>
      </c>
      <c r="B8090" t="str">
        <f>"1552382587298060"</f>
        <v>1552382587298060</v>
      </c>
      <c r="C8090" t="s">
        <v>40</v>
      </c>
      <c r="D8090">
        <v>3.2476759999999998</v>
      </c>
      <c r="E8090">
        <v>0.51627909999999999</v>
      </c>
      <c r="F8090" t="s">
        <v>42</v>
      </c>
      <c r="G8090">
        <v>-185.39920000000001</v>
      </c>
      <c r="H8090" s="1">
        <v>-4.3058569999999996E-6</v>
      </c>
      <c r="I8090">
        <v>27.76746</v>
      </c>
      <c r="J8090">
        <v>-187.9153</v>
      </c>
      <c r="K8090">
        <v>1.1074870000000001</v>
      </c>
      <c r="L8090">
        <v>2.0526119999999999</v>
      </c>
      <c r="M8090">
        <v>-4.7288570000000002E-2</v>
      </c>
      <c r="N8090">
        <v>0</v>
      </c>
      <c r="O8090">
        <v>0.99883599999999995</v>
      </c>
      <c r="P8090">
        <v>5.075503E-2</v>
      </c>
      <c r="Q8090">
        <v>0.19681319999999999</v>
      </c>
      <c r="R8090">
        <v>0.97912639999999995</v>
      </c>
      <c r="S8090">
        <v>0.29541020000000001</v>
      </c>
      <c r="T8090">
        <v>-0.1307654</v>
      </c>
      <c r="U8090">
        <v>3.0751339999999998</v>
      </c>
      <c r="V8090">
        <v>9.814138E-2</v>
      </c>
      <c r="W8090">
        <v>0.2055362</v>
      </c>
      <c r="X8090">
        <v>0.97371609999999997</v>
      </c>
      <c r="Y8090">
        <v>0.14250589999999999</v>
      </c>
      <c r="Z8090">
        <v>-4.2100190000000003E-2</v>
      </c>
      <c r="AA8090">
        <v>0.98889819999999995</v>
      </c>
      <c r="AB8090">
        <v>34</v>
      </c>
      <c r="AC8090">
        <v>2.51609999999999</v>
      </c>
      <c r="AD8090">
        <v>-1.107491305857</v>
      </c>
      <c r="AE8090">
        <v>25.714848</v>
      </c>
      <c r="AF8090">
        <v>3.7225189894093602</v>
      </c>
      <c r="AG8090">
        <v>-1.107491305857</v>
      </c>
      <c r="AH8090">
        <v>25.520201590165701</v>
      </c>
      <c r="AI8090">
        <v>92.458897315996893</v>
      </c>
      <c r="AJ8090">
        <v>81.701045953792203</v>
      </c>
      <c r="AK8090">
        <v>25.8140344352013</v>
      </c>
      <c r="AL8090">
        <v>78.139109937856603</v>
      </c>
      <c r="AM8090">
        <v>84.244563743818006</v>
      </c>
      <c r="AN8090">
        <v>0.99999995168897504</v>
      </c>
    </row>
    <row r="8091" spans="1:40" x14ac:dyDescent="0.25">
      <c r="A8091" t="str">
        <f>"20190312172307325"</f>
        <v>20190312172307325</v>
      </c>
      <c r="B8091" t="str">
        <f>"1552382587318557"</f>
        <v>1552382587318557</v>
      </c>
      <c r="C8091" t="s">
        <v>40</v>
      </c>
      <c r="D8091">
        <v>3.2381570000000002</v>
      </c>
      <c r="E8091">
        <v>0.51606629999999998</v>
      </c>
      <c r="F8091" t="s">
        <v>42</v>
      </c>
      <c r="G8091">
        <v>-185.38640000000001</v>
      </c>
      <c r="H8091" s="1">
        <v>-4.4428440000000004E-6</v>
      </c>
      <c r="I8091">
        <v>28.081489999999999</v>
      </c>
      <c r="J8091">
        <v>-187.92920000000001</v>
      </c>
      <c r="K8091">
        <v>1.1074679999999999</v>
      </c>
      <c r="L8091">
        <v>2.3970639999999999</v>
      </c>
      <c r="M8091">
        <v>-4.4803089999999997E-2</v>
      </c>
      <c r="N8091">
        <v>0</v>
      </c>
      <c r="O8091">
        <v>0.99895069999999997</v>
      </c>
      <c r="P8091">
        <v>5.2353820000000002E-2</v>
      </c>
      <c r="Q8091">
        <v>0.19549269999999999</v>
      </c>
      <c r="R8091">
        <v>0.97930680000000003</v>
      </c>
      <c r="S8091">
        <v>0.29873660000000002</v>
      </c>
      <c r="T8091">
        <v>-0.130827</v>
      </c>
      <c r="U8091">
        <v>3.0747680000000002</v>
      </c>
      <c r="V8091">
        <v>9.7317349999999997E-2</v>
      </c>
      <c r="W8091">
        <v>0.20421810000000001</v>
      </c>
      <c r="X8091">
        <v>0.9740761</v>
      </c>
      <c r="Y8091">
        <v>0.14111399999999999</v>
      </c>
      <c r="Z8091">
        <v>-4.2134280000000003E-2</v>
      </c>
      <c r="AA8091">
        <v>0.98909630000000004</v>
      </c>
      <c r="AB8091">
        <v>34</v>
      </c>
      <c r="AC8091">
        <v>2.5428000000000002</v>
      </c>
      <c r="AD8091">
        <v>-1.1074724428439999</v>
      </c>
      <c r="AE8091">
        <v>25.684425999999998</v>
      </c>
      <c r="AF8091">
        <v>3.68425664119028</v>
      </c>
      <c r="AG8091">
        <v>-1.1074724428439999</v>
      </c>
      <c r="AH8091">
        <v>25.4977565930133</v>
      </c>
      <c r="AI8091">
        <v>92.461496905207397</v>
      </c>
      <c r="AJ8091">
        <v>81.778045134198607</v>
      </c>
      <c r="AK8091">
        <v>25.786349751106101</v>
      </c>
      <c r="AL8091">
        <v>78.216268484159997</v>
      </c>
      <c r="AM8091">
        <v>84.294663495818696</v>
      </c>
      <c r="AN8091">
        <v>0.99999997378492</v>
      </c>
    </row>
    <row r="8092" spans="1:40" x14ac:dyDescent="0.25">
      <c r="A8092" t="str">
        <f>"20190312172307348"</f>
        <v>20190312172307348</v>
      </c>
      <c r="B8092" t="str">
        <f>"1552382587338075"</f>
        <v>1552382587338075</v>
      </c>
      <c r="C8092" t="s">
        <v>40</v>
      </c>
      <c r="D8092">
        <v>3.2331470000000002</v>
      </c>
      <c r="E8092">
        <v>0.51582070000000002</v>
      </c>
      <c r="F8092" t="s">
        <v>42</v>
      </c>
      <c r="G8092">
        <v>-185.4589</v>
      </c>
      <c r="H8092" s="1">
        <v>-4.155545E-6</v>
      </c>
      <c r="I8092">
        <v>27.441780000000001</v>
      </c>
      <c r="J8092">
        <v>-187.9426</v>
      </c>
      <c r="K8092">
        <v>1.1074600000000001</v>
      </c>
      <c r="L8092">
        <v>2.750397</v>
      </c>
      <c r="M8092">
        <v>-4.2253369999999998E-2</v>
      </c>
      <c r="N8092">
        <v>0</v>
      </c>
      <c r="O8092">
        <v>0.9990618</v>
      </c>
      <c r="P8092">
        <v>5.4551420000000003E-2</v>
      </c>
      <c r="Q8092">
        <v>0.19538949999999999</v>
      </c>
      <c r="R8092">
        <v>0.97920739999999995</v>
      </c>
      <c r="S8092">
        <v>0.3032379</v>
      </c>
      <c r="T8092">
        <v>-0.13594529999999999</v>
      </c>
      <c r="U8092">
        <v>3.0743100000000001</v>
      </c>
      <c r="V8092">
        <v>9.7022140000000007E-2</v>
      </c>
      <c r="W8092">
        <v>0.20411309999999999</v>
      </c>
      <c r="X8092">
        <v>0.97412759999999998</v>
      </c>
      <c r="Y8092">
        <v>0.14002879999999901</v>
      </c>
      <c r="Z8092">
        <v>-4.3793680000000001E-2</v>
      </c>
      <c r="AA8092">
        <v>0.98917849999999996</v>
      </c>
      <c r="AB8092">
        <v>34</v>
      </c>
      <c r="AC8092">
        <v>2.48369999999999</v>
      </c>
      <c r="AD8092">
        <v>-1.107464155545</v>
      </c>
      <c r="AE8092">
        <v>24.691382999999998</v>
      </c>
      <c r="AF8092">
        <v>3.5178168689876599</v>
      </c>
      <c r="AG8092">
        <v>-1.107464155545</v>
      </c>
      <c r="AH8092">
        <v>24.515555864645801</v>
      </c>
      <c r="AI8092">
        <v>92.560328180198795</v>
      </c>
      <c r="AJ8092">
        <v>81.834183312757901</v>
      </c>
      <c r="AK8092">
        <v>24.791409635842001</v>
      </c>
      <c r="AL8092">
        <v>78.222414506013195</v>
      </c>
      <c r="AM8092">
        <v>84.3121555898705</v>
      </c>
      <c r="AN8092">
        <v>1.00000001716177</v>
      </c>
    </row>
    <row r="8093" spans="1:40" x14ac:dyDescent="0.25">
      <c r="A8093" t="str">
        <f>"20190312172307371"</f>
        <v>20190312172307371</v>
      </c>
      <c r="B8093" t="str">
        <f>"1552382587368332"</f>
        <v>1552382587368332</v>
      </c>
      <c r="C8093" t="s">
        <v>40</v>
      </c>
      <c r="D8093">
        <v>3.2396259999999999</v>
      </c>
      <c r="E8093">
        <v>0.51560079999999997</v>
      </c>
      <c r="F8093" t="s">
        <v>42</v>
      </c>
      <c r="G8093">
        <v>-185.44929999999999</v>
      </c>
      <c r="H8093" s="1">
        <v>-4.1929379999999999E-6</v>
      </c>
      <c r="I8093">
        <v>27.52497</v>
      </c>
      <c r="J8093">
        <v>-187.95490000000001</v>
      </c>
      <c r="K8093">
        <v>1.1074459999999999</v>
      </c>
      <c r="L8093">
        <v>3.096619</v>
      </c>
      <c r="M8093">
        <v>-3.975567E-2</v>
      </c>
      <c r="N8093">
        <v>0</v>
      </c>
      <c r="O8093">
        <v>0.99916430000000001</v>
      </c>
      <c r="P8093">
        <v>5.7749370000000001E-2</v>
      </c>
      <c r="Q8093">
        <v>0.19608510000000001</v>
      </c>
      <c r="R8093">
        <v>0.97888489999999995</v>
      </c>
      <c r="S8093">
        <v>0.30935669999999998</v>
      </c>
      <c r="T8093">
        <v>-0.13740769999999999</v>
      </c>
      <c r="U8093">
        <v>3.0738829999999999</v>
      </c>
      <c r="V8093">
        <v>9.7772789999999998E-2</v>
      </c>
      <c r="W8093">
        <v>0.2047997</v>
      </c>
      <c r="X8093">
        <v>0.97390840000000001</v>
      </c>
      <c r="Y8093">
        <v>0.13951459999999999</v>
      </c>
      <c r="Z8093">
        <v>-4.4274059999999997E-2</v>
      </c>
      <c r="AA8093">
        <v>0.98922969999999999</v>
      </c>
      <c r="AB8093">
        <v>34</v>
      </c>
      <c r="AC8093">
        <v>2.50560000000001</v>
      </c>
      <c r="AD8093">
        <v>-1.1074501929379901</v>
      </c>
      <c r="AE8093">
        <v>24.428350999999999</v>
      </c>
      <c r="AF8093">
        <v>3.4677753580027799</v>
      </c>
      <c r="AG8093">
        <v>-1.1074501929379901</v>
      </c>
      <c r="AH8093">
        <v>24.260079741381499</v>
      </c>
      <c r="AI8093">
        <v>92.587421282697406</v>
      </c>
      <c r="AJ8093">
        <v>81.865153723731694</v>
      </c>
      <c r="AK8093">
        <v>24.531681167861301</v>
      </c>
      <c r="AL8093">
        <v>78.182226111454398</v>
      </c>
      <c r="AM8093">
        <v>84.267159794811505</v>
      </c>
      <c r="AN8093">
        <v>1.0000000035875101</v>
      </c>
    </row>
    <row r="8094" spans="1:40" x14ac:dyDescent="0.25">
      <c r="A8094" t="str">
        <f>"20190312172307391"</f>
        <v>20190312172307391</v>
      </c>
      <c r="B8094" t="str">
        <f>"1552382587388827"</f>
        <v>1552382587388827</v>
      </c>
      <c r="C8094" t="s">
        <v>40</v>
      </c>
      <c r="D8094">
        <v>3.2248199999999998</v>
      </c>
      <c r="E8094">
        <v>0.515484099999999</v>
      </c>
      <c r="F8094" t="s">
        <v>42</v>
      </c>
      <c r="G8094">
        <v>-185.3698</v>
      </c>
      <c r="H8094" s="1">
        <v>-4.5013880000000003E-6</v>
      </c>
      <c r="I8094">
        <v>28.211110000000001</v>
      </c>
      <c r="J8094">
        <v>-187.96549999999999</v>
      </c>
      <c r="K8094">
        <v>1.1074379999999999</v>
      </c>
      <c r="L8094">
        <v>3.4176329999999999</v>
      </c>
      <c r="M8094">
        <v>-3.7439859999999998E-2</v>
      </c>
      <c r="N8094">
        <v>0</v>
      </c>
      <c r="O8094">
        <v>0.99925370000000002</v>
      </c>
      <c r="P8094">
        <v>6.0614290000000001E-2</v>
      </c>
      <c r="Q8094">
        <v>0.1956801</v>
      </c>
      <c r="R8094">
        <v>0.97879269999999996</v>
      </c>
      <c r="S8094">
        <v>0.31633</v>
      </c>
      <c r="T8094">
        <v>-0.13551529999999901</v>
      </c>
      <c r="U8094">
        <v>3.0731809999999999</v>
      </c>
      <c r="V8094">
        <v>9.8371840000000002E-2</v>
      </c>
      <c r="W8094">
        <v>0.2043913</v>
      </c>
      <c r="X8094">
        <v>0.97393390000000002</v>
      </c>
      <c r="Y8094">
        <v>0.13946639999999999</v>
      </c>
      <c r="Z8094">
        <v>-4.367646E-2</v>
      </c>
      <c r="AA8094">
        <v>0.98926309999999995</v>
      </c>
      <c r="AB8094">
        <v>34</v>
      </c>
      <c r="AC8094">
        <v>2.5956999999999901</v>
      </c>
      <c r="AD8094">
        <v>-1.1074425013879901</v>
      </c>
      <c r="AE8094">
        <v>24.793476999999999</v>
      </c>
      <c r="AF8094">
        <v>3.5152488849693801</v>
      </c>
      <c r="AG8094">
        <v>-1.1074425013879901</v>
      </c>
      <c r="AH8094">
        <v>24.630297799201099</v>
      </c>
      <c r="AI8094">
        <v>92.548642516426696</v>
      </c>
      <c r="AJ8094">
        <v>81.877569203652101</v>
      </c>
      <c r="AK8094">
        <v>24.904517126306398</v>
      </c>
      <c r="AL8094">
        <v>78.206131725400198</v>
      </c>
      <c r="AM8094">
        <v>84.232421006856697</v>
      </c>
      <c r="AN8094">
        <v>1.00000003199494</v>
      </c>
    </row>
    <row r="8095" spans="1:40" x14ac:dyDescent="0.25">
      <c r="A8095" t="str">
        <f>"20190312172307415"</f>
        <v>20190312172307415</v>
      </c>
      <c r="B8095" t="str">
        <f>"1552382587408347"</f>
        <v>1552382587408347</v>
      </c>
      <c r="C8095" t="s">
        <v>40</v>
      </c>
      <c r="D8095">
        <v>3.271712</v>
      </c>
      <c r="E8095">
        <v>0.51524759999999903</v>
      </c>
      <c r="F8095" t="s">
        <v>42</v>
      </c>
      <c r="G8095">
        <v>-185.352</v>
      </c>
      <c r="H8095" s="1">
        <v>-4.5340619999999997E-6</v>
      </c>
      <c r="I8095">
        <v>28.279890000000002</v>
      </c>
      <c r="J8095">
        <v>-187.97640000000001</v>
      </c>
      <c r="K8095">
        <v>1.1074250000000001</v>
      </c>
      <c r="L8095">
        <v>3.7718509999999998</v>
      </c>
      <c r="M8095">
        <v>-3.4885350000000002E-2</v>
      </c>
      <c r="N8095">
        <v>0</v>
      </c>
      <c r="O8095">
        <v>0.99934610000000001</v>
      </c>
      <c r="P8095">
        <v>6.2887360000000003E-2</v>
      </c>
      <c r="Q8095">
        <v>0.19546559999999999</v>
      </c>
      <c r="R8095">
        <v>0.97869220000000001</v>
      </c>
      <c r="S8095">
        <v>0.32296750000000002</v>
      </c>
      <c r="T8095">
        <v>-0.13685240000000001</v>
      </c>
      <c r="U8095">
        <v>3.0723569999999998</v>
      </c>
      <c r="V8095">
        <v>9.8147819999999997E-2</v>
      </c>
      <c r="W8095">
        <v>0.204178</v>
      </c>
      <c r="X8095">
        <v>0.97400120000000001</v>
      </c>
      <c r="Y8095">
        <v>0.13907449999999999</v>
      </c>
      <c r="Z8095">
        <v>-4.4120779999999998E-2</v>
      </c>
      <c r="AA8095">
        <v>0.98929860000000003</v>
      </c>
      <c r="AB8095">
        <v>35</v>
      </c>
      <c r="AC8095">
        <v>2.6244000000000001</v>
      </c>
      <c r="AD8095">
        <v>-1.107429534062</v>
      </c>
      <c r="AE8095">
        <v>24.508039</v>
      </c>
      <c r="AF8095">
        <v>3.4708062154977499</v>
      </c>
      <c r="AG8095">
        <v>-1.107429534062</v>
      </c>
      <c r="AH8095">
        <v>24.3524036179912</v>
      </c>
      <c r="AI8095">
        <v>92.577727507950598</v>
      </c>
      <c r="AJ8095">
        <v>81.888594661407495</v>
      </c>
      <c r="AK8095">
        <v>24.623412800259899</v>
      </c>
      <c r="AL8095">
        <v>78.218615738214496</v>
      </c>
      <c r="AM8095">
        <v>84.245862086975606</v>
      </c>
      <c r="AN8095">
        <v>0.99999999392809602</v>
      </c>
    </row>
    <row r="8096" spans="1:40" x14ac:dyDescent="0.25">
      <c r="A8096" t="str">
        <f>"20190312172307439"</f>
        <v>20190312172307439</v>
      </c>
      <c r="B8096" t="str">
        <f>"1552382587428844"</f>
        <v>1552382587428844</v>
      </c>
      <c r="C8096" t="s">
        <v>40</v>
      </c>
      <c r="D8096">
        <v>3.2446839999999999</v>
      </c>
      <c r="E8096">
        <v>0.51504879999999997</v>
      </c>
      <c r="F8096" t="s">
        <v>42</v>
      </c>
      <c r="G8096">
        <v>-185.32849999999999</v>
      </c>
      <c r="H8096" s="1">
        <v>-4.6373139999999996E-6</v>
      </c>
      <c r="I8096">
        <v>28.510870000000001</v>
      </c>
      <c r="J8096">
        <v>-187.98699999999999</v>
      </c>
      <c r="K8096">
        <v>1.107421</v>
      </c>
      <c r="L8096">
        <v>4.1487730000000003</v>
      </c>
      <c r="M8096">
        <v>-3.2167420000000002E-2</v>
      </c>
      <c r="N8096">
        <v>0</v>
      </c>
      <c r="O8096">
        <v>0.99943729999999997</v>
      </c>
      <c r="P8096">
        <v>6.5314339999999999E-2</v>
      </c>
      <c r="Q8096">
        <v>0.19534789999999999</v>
      </c>
      <c r="R8096">
        <v>0.97855669999999995</v>
      </c>
      <c r="S8096">
        <v>0.3287659</v>
      </c>
      <c r="T8096">
        <v>-0.13750109999999999</v>
      </c>
      <c r="U8096">
        <v>3.0716549999999998</v>
      </c>
      <c r="V8096">
        <v>9.7917980000000002E-2</v>
      </c>
      <c r="W8096">
        <v>0.20406270000000001</v>
      </c>
      <c r="X8096">
        <v>0.97404849999999998</v>
      </c>
      <c r="Y8096">
        <v>0.1382505</v>
      </c>
      <c r="Z8096">
        <v>-4.4343859999999999E-2</v>
      </c>
      <c r="AA8096">
        <v>0.98940410000000001</v>
      </c>
      <c r="AB8096">
        <v>35</v>
      </c>
      <c r="AC8096">
        <v>2.6585000000000001</v>
      </c>
      <c r="AD8096">
        <v>-1.1074256373139999</v>
      </c>
      <c r="AE8096">
        <v>24.362096999999999</v>
      </c>
      <c r="AF8096">
        <v>3.4338133995899298</v>
      </c>
      <c r="AG8096">
        <v>-1.1074256373139999</v>
      </c>
      <c r="AH8096">
        <v>24.214521004198701</v>
      </c>
      <c r="AI8096">
        <v>92.592634924011094</v>
      </c>
      <c r="AJ8096">
        <v>81.928814104222695</v>
      </c>
      <c r="AK8096">
        <v>24.481840075210101</v>
      </c>
      <c r="AL8096">
        <v>78.225364074086301</v>
      </c>
      <c r="AM8096">
        <v>84.259523780118499</v>
      </c>
      <c r="AN8096">
        <v>0.99999999834540998</v>
      </c>
    </row>
    <row r="8097" spans="1:40" x14ac:dyDescent="0.25">
      <c r="A8097" t="str">
        <f>"20190312172307461"</f>
        <v>20190312172307461</v>
      </c>
      <c r="B8097" t="str">
        <f>"1552382587458124"</f>
        <v>1552382587458124</v>
      </c>
      <c r="C8097" t="s">
        <v>40</v>
      </c>
      <c r="D8097">
        <v>3.2296019999999999</v>
      </c>
      <c r="E8097">
        <v>0.51481849999999996</v>
      </c>
      <c r="F8097" t="s">
        <v>42</v>
      </c>
      <c r="G8097">
        <v>-185.30699999999999</v>
      </c>
      <c r="H8097" s="1">
        <v>-4.7503570000000002E-6</v>
      </c>
      <c r="I8097">
        <v>28.76549</v>
      </c>
      <c r="J8097">
        <v>-187.9956</v>
      </c>
      <c r="K8097">
        <v>1.107415</v>
      </c>
      <c r="L8097">
        <v>4.4865719999999998</v>
      </c>
      <c r="M8097">
        <v>-2.973251E-2</v>
      </c>
      <c r="N8097">
        <v>0</v>
      </c>
      <c r="O8097">
        <v>0.99951270000000003</v>
      </c>
      <c r="P8097">
        <v>6.7194649999999995E-2</v>
      </c>
      <c r="Q8097">
        <v>0.1961852</v>
      </c>
      <c r="R8097">
        <v>0.97826190000000002</v>
      </c>
      <c r="S8097">
        <v>0.3343353</v>
      </c>
      <c r="T8097">
        <v>-0.1381549</v>
      </c>
      <c r="U8097">
        <v>3.0710139999999999</v>
      </c>
      <c r="V8097">
        <v>9.7418850000000001E-2</v>
      </c>
      <c r="W8097">
        <v>0.20490240000000001</v>
      </c>
      <c r="X8097">
        <v>0.97392230000000002</v>
      </c>
      <c r="Y8097">
        <v>0.13763220000000001</v>
      </c>
      <c r="Z8097">
        <v>-4.4566179999999997E-2</v>
      </c>
      <c r="AA8097">
        <v>0.98948029999999998</v>
      </c>
      <c r="AB8097">
        <v>35</v>
      </c>
      <c r="AC8097">
        <v>2.6885999999999801</v>
      </c>
      <c r="AD8097">
        <v>-1.107419750357</v>
      </c>
      <c r="AE8097">
        <v>24.278918000000001</v>
      </c>
      <c r="AF8097">
        <v>3.4023242664574198</v>
      </c>
      <c r="AG8097">
        <v>-1.107419750357</v>
      </c>
      <c r="AH8097">
        <v>24.138628850899099</v>
      </c>
      <c r="AI8097">
        <v>92.601070350713002</v>
      </c>
      <c r="AJ8097">
        <v>81.977047937200297</v>
      </c>
      <c r="AK8097">
        <v>24.402368567806398</v>
      </c>
      <c r="AL8097">
        <v>78.176214734887495</v>
      </c>
      <c r="AM8097">
        <v>84.287856319465902</v>
      </c>
      <c r="AN8097">
        <v>1.0000000361491801</v>
      </c>
    </row>
    <row r="8098" spans="1:40" x14ac:dyDescent="0.25">
      <c r="A8098" t="str">
        <f>"20190312172307481"</f>
        <v>20190312172307481</v>
      </c>
      <c r="B8098" t="str">
        <f>"1552382587478620"</f>
        <v>1552382587478620</v>
      </c>
      <c r="C8098" t="s">
        <v>40</v>
      </c>
      <c r="D8098">
        <v>3.2250960000000002</v>
      </c>
      <c r="E8098">
        <v>0.51432860000000002</v>
      </c>
      <c r="F8098" t="s">
        <v>42</v>
      </c>
      <c r="G8098">
        <v>-185.25579999999999</v>
      </c>
      <c r="H8098" s="1">
        <v>-5.0649840000000002E-6</v>
      </c>
      <c r="I8098">
        <v>29.477730000000001</v>
      </c>
      <c r="J8098">
        <v>-188.00309999999999</v>
      </c>
      <c r="K8098">
        <v>1.1074079999999999</v>
      </c>
      <c r="L8098">
        <v>4.8111569999999997</v>
      </c>
      <c r="M8098">
        <v>-2.7393589999999999E-2</v>
      </c>
      <c r="N8098">
        <v>0</v>
      </c>
      <c r="O8098">
        <v>0.99957949999999995</v>
      </c>
      <c r="P8098">
        <v>6.8212289999999995E-2</v>
      </c>
      <c r="Q8098">
        <v>0.1962911</v>
      </c>
      <c r="R8098">
        <v>0.97817019999999999</v>
      </c>
      <c r="S8098">
        <v>0.33665469999999997</v>
      </c>
      <c r="T8098">
        <v>-0.13607610000000001</v>
      </c>
      <c r="U8098">
        <v>3.0708310000000001</v>
      </c>
      <c r="V8098">
        <v>9.6153779999999994E-2</v>
      </c>
      <c r="W8098">
        <v>0.20501810000000001</v>
      </c>
      <c r="X8098">
        <v>0.97402359999999999</v>
      </c>
      <c r="Y8098">
        <v>0.1360624</v>
      </c>
      <c r="Z8098">
        <v>-4.3906939999999998E-2</v>
      </c>
      <c r="AA8098">
        <v>0.98972680000000002</v>
      </c>
      <c r="AB8098">
        <v>35</v>
      </c>
      <c r="AC8098">
        <v>2.7472999999999899</v>
      </c>
      <c r="AD8098">
        <v>-1.1074130649839999</v>
      </c>
      <c r="AE8098">
        <v>24.666573</v>
      </c>
      <c r="AF8098">
        <v>3.41520614872982</v>
      </c>
      <c r="AG8098">
        <v>-1.1074130649839999</v>
      </c>
      <c r="AH8098">
        <v>24.533210668311099</v>
      </c>
      <c r="AI8098">
        <v>92.559888187546093</v>
      </c>
      <c r="AJ8098">
        <v>82.074930257844898</v>
      </c>
      <c r="AK8098">
        <v>24.794524041218299</v>
      </c>
      <c r="AL8098">
        <v>78.1694410572821</v>
      </c>
      <c r="AM8098">
        <v>84.362135096702701</v>
      </c>
      <c r="AN8098">
        <v>0.99999997204642799</v>
      </c>
    </row>
    <row r="8099" spans="1:40" x14ac:dyDescent="0.25">
      <c r="A8099" t="str">
        <f>"20190312172307503"</f>
        <v>20190312172307503</v>
      </c>
      <c r="B8099" t="str">
        <f>"1552382587498140"</f>
        <v>1552382587498140</v>
      </c>
      <c r="C8099" t="s">
        <v>40</v>
      </c>
      <c r="D8099">
        <v>3.207544</v>
      </c>
      <c r="E8099">
        <v>0.47789730000000002</v>
      </c>
      <c r="F8099" t="s">
        <v>42</v>
      </c>
      <c r="G8099">
        <v>-185.25399999999999</v>
      </c>
      <c r="H8099" s="1">
        <v>-1.3665209999999999E-6</v>
      </c>
      <c r="I8099">
        <v>29.95289</v>
      </c>
      <c r="J8099">
        <v>-188.0103</v>
      </c>
      <c r="K8099">
        <v>1.107399</v>
      </c>
      <c r="L8099">
        <v>5.1604000000000001</v>
      </c>
      <c r="M8099">
        <v>-2.487758E-2</v>
      </c>
      <c r="N8099">
        <v>0</v>
      </c>
      <c r="O8099">
        <v>0.99964520000000001</v>
      </c>
      <c r="P8099">
        <v>6.8707790000000005E-2</v>
      </c>
      <c r="Q8099">
        <v>0.19636680000000001</v>
      </c>
      <c r="R8099">
        <v>0.97812030000000005</v>
      </c>
      <c r="S8099">
        <v>0.33575440000000001</v>
      </c>
      <c r="T8099">
        <v>-0.13525309999999999</v>
      </c>
      <c r="U8099">
        <v>3.0706790000000002</v>
      </c>
      <c r="V8099">
        <v>9.4194890000000003E-2</v>
      </c>
      <c r="W8099">
        <v>0.20510909999999999</v>
      </c>
      <c r="X8099">
        <v>0.97419579999999995</v>
      </c>
      <c r="Y8099">
        <v>0.13328809999999999</v>
      </c>
      <c r="Z8099">
        <v>-4.3657349999999998E-2</v>
      </c>
      <c r="AA8099">
        <v>0.99011530000000003</v>
      </c>
      <c r="AB8099">
        <v>35</v>
      </c>
      <c r="AC8099">
        <v>2.75629999999998</v>
      </c>
      <c r="AD8099">
        <v>-1.1074003665209999</v>
      </c>
      <c r="AE8099">
        <v>24.792490000000001</v>
      </c>
      <c r="AF8099">
        <v>3.36561911766012</v>
      </c>
      <c r="AG8099">
        <v>-1.1074003665209999</v>
      </c>
      <c r="AH8099">
        <v>24.667628956632399</v>
      </c>
      <c r="AI8099">
        <v>92.546880491008693</v>
      </c>
      <c r="AJ8099">
        <v>82.230611957736897</v>
      </c>
      <c r="AK8099">
        <v>24.9207874265445</v>
      </c>
      <c r="AL8099">
        <v>78.164113529458803</v>
      </c>
      <c r="AM8099">
        <v>84.477245001429694</v>
      </c>
      <c r="AN8099">
        <v>0.99999993847127899</v>
      </c>
    </row>
    <row r="8100" spans="1:40" x14ac:dyDescent="0.25">
      <c r="A8100" t="str">
        <f>"20190312172307527"</f>
        <v>20190312172307527</v>
      </c>
      <c r="B8100" t="str">
        <f>"1552382587518637"</f>
        <v>1552382587518637</v>
      </c>
      <c r="C8100" t="s">
        <v>40</v>
      </c>
      <c r="D8100">
        <v>3.323372</v>
      </c>
      <c r="E8100">
        <v>0.47276089999999998</v>
      </c>
      <c r="F8100" t="s">
        <v>42</v>
      </c>
      <c r="G8100">
        <v>-187.69059999999999</v>
      </c>
      <c r="H8100" s="1">
        <v>-2.9692770000000001E-6</v>
      </c>
      <c r="I8100">
        <v>25.599319999999999</v>
      </c>
      <c r="J8100">
        <v>-188.01679999999999</v>
      </c>
      <c r="K8100">
        <v>1.107394</v>
      </c>
      <c r="L8100">
        <v>5.5211489999999896</v>
      </c>
      <c r="M8100">
        <v>-2.2279520000000001E-2</v>
      </c>
      <c r="N8100">
        <v>0</v>
      </c>
      <c r="O8100">
        <v>0.9997064</v>
      </c>
      <c r="P8100">
        <v>6.9124480000000002E-2</v>
      </c>
      <c r="Q8100">
        <v>0.19676150000000001</v>
      </c>
      <c r="R8100">
        <v>0.97801159999999998</v>
      </c>
      <c r="S8100">
        <v>4.8446660000000002E-2</v>
      </c>
      <c r="T8100">
        <v>-0.16781940000000001</v>
      </c>
      <c r="U8100">
        <v>3.0973820000000001</v>
      </c>
      <c r="V8100">
        <v>9.2077629999999994E-2</v>
      </c>
      <c r="W8100">
        <v>0.2055198</v>
      </c>
      <c r="X8100">
        <v>0.9743117</v>
      </c>
      <c r="Y8100">
        <v>3.789029E-2</v>
      </c>
      <c r="Z8100">
        <v>-5.4058830000000002E-2</v>
      </c>
      <c r="AA8100">
        <v>0.9978186</v>
      </c>
      <c r="AB8100">
        <v>35</v>
      </c>
      <c r="AC8100">
        <v>0.32619999999999999</v>
      </c>
      <c r="AD8100">
        <v>-1.107396969277</v>
      </c>
      <c r="AE8100">
        <v>20.078171000000001</v>
      </c>
      <c r="AF8100">
        <v>0.77112618968309699</v>
      </c>
      <c r="AG8100">
        <v>-1.107396969277</v>
      </c>
      <c r="AH8100">
        <v>20.005079573644299</v>
      </c>
      <c r="AI8100">
        <v>93.166072978775901</v>
      </c>
      <c r="AJ8100">
        <v>87.7925399919515</v>
      </c>
      <c r="AK8100">
        <v>20.050540451464698</v>
      </c>
      <c r="AL8100">
        <v>78.140070468808105</v>
      </c>
      <c r="AM8100">
        <v>84.601278899235396</v>
      </c>
      <c r="AN8100">
        <v>0.99999998344767305</v>
      </c>
    </row>
    <row r="8101" spans="1:40" x14ac:dyDescent="0.25">
      <c r="A8101" t="str">
        <f>"20190312172307549"</f>
        <v>20190312172307549</v>
      </c>
      <c r="B8101" t="str">
        <f>"1552382587538155"</f>
        <v>1552382587538155</v>
      </c>
      <c r="C8101" t="s">
        <v>40</v>
      </c>
      <c r="D8101">
        <v>3.2013379999999998</v>
      </c>
      <c r="E8101">
        <v>0.47076810000000002</v>
      </c>
      <c r="F8101" t="s">
        <v>42</v>
      </c>
      <c r="G8101">
        <v>-187.9495</v>
      </c>
      <c r="H8101" s="1">
        <v>-3.630782E-6</v>
      </c>
      <c r="I8101">
        <v>27.248360000000002</v>
      </c>
      <c r="J8101">
        <v>-188.0222</v>
      </c>
      <c r="K8101">
        <v>1.1073900000000001</v>
      </c>
      <c r="L8101">
        <v>5.8678589999999904</v>
      </c>
      <c r="M8101">
        <v>-1.9783100000000001E-2</v>
      </c>
      <c r="N8101">
        <v>0</v>
      </c>
      <c r="O8101">
        <v>0.99975899999999995</v>
      </c>
      <c r="P8101">
        <v>6.9341379999999994E-2</v>
      </c>
      <c r="Q8101">
        <v>0.19772970000000001</v>
      </c>
      <c r="R8101">
        <v>0.97780100000000003</v>
      </c>
      <c r="S8101">
        <v>9.5977779999999995E-3</v>
      </c>
      <c r="T8101">
        <v>-0.15792719999999999</v>
      </c>
      <c r="U8101">
        <v>3.098541</v>
      </c>
      <c r="V8101">
        <v>8.9861120000000003E-2</v>
      </c>
      <c r="W8101">
        <v>0.20650389999999999</v>
      </c>
      <c r="X8101">
        <v>0.97431060000000003</v>
      </c>
      <c r="Y8101">
        <v>2.2876779999999999E-2</v>
      </c>
      <c r="Z8101">
        <v>-5.0880439999999999E-2</v>
      </c>
      <c r="AA8101">
        <v>0.99844270000000002</v>
      </c>
      <c r="AB8101">
        <v>35</v>
      </c>
      <c r="AC8101">
        <v>7.2699999999997503E-2</v>
      </c>
      <c r="AD8101">
        <v>-1.10739363078199</v>
      </c>
      <c r="AE8101">
        <v>21.380500999999999</v>
      </c>
      <c r="AF8101">
        <v>0.49435134676009901</v>
      </c>
      <c r="AG8101">
        <v>-1.10739363078199</v>
      </c>
      <c r="AH8101">
        <v>21.317690257318201</v>
      </c>
      <c r="AI8101">
        <v>92.972882743315793</v>
      </c>
      <c r="AJ8101">
        <v>88.671564798285502</v>
      </c>
      <c r="AK8101">
        <v>21.352157310550599</v>
      </c>
      <c r="AL8101">
        <v>78.082450056557093</v>
      </c>
      <c r="AM8101">
        <v>84.730491470621104</v>
      </c>
      <c r="AN8101">
        <v>1.0000000134376099</v>
      </c>
    </row>
    <row r="8102" spans="1:40" x14ac:dyDescent="0.25">
      <c r="A8102" t="str">
        <f>"20190312172307572"</f>
        <v>20190312172307572</v>
      </c>
      <c r="B8102" t="str">
        <f>"1552382587568413"</f>
        <v>1552382587568413</v>
      </c>
      <c r="C8102" t="s">
        <v>40</v>
      </c>
      <c r="D8102">
        <v>3.1851970000000001</v>
      </c>
      <c r="E8102">
        <v>0.4696014</v>
      </c>
      <c r="F8102" t="s">
        <v>42</v>
      </c>
      <c r="G8102">
        <v>-188.06100000000001</v>
      </c>
      <c r="H8102" s="1">
        <v>-4.2104280000000003E-6</v>
      </c>
      <c r="I8102">
        <v>28.645630000000001</v>
      </c>
      <c r="J8102">
        <v>-188.0266</v>
      </c>
      <c r="K8102">
        <v>1.107378</v>
      </c>
      <c r="L8102">
        <v>6.206207</v>
      </c>
      <c r="M8102">
        <v>-1.7347689999999999E-2</v>
      </c>
      <c r="N8102">
        <v>0</v>
      </c>
      <c r="O8102">
        <v>0.99980409999999997</v>
      </c>
      <c r="P8102">
        <v>6.9819649999999997E-2</v>
      </c>
      <c r="Q8102">
        <v>0.19877149999999999</v>
      </c>
      <c r="R8102">
        <v>0.97755570000000003</v>
      </c>
      <c r="S8102">
        <v>-5.2795409999999996E-3</v>
      </c>
      <c r="T8102">
        <v>-0.15066209999999999</v>
      </c>
      <c r="U8102">
        <v>3.098938</v>
      </c>
      <c r="V8102">
        <v>8.7965799999999997E-2</v>
      </c>
      <c r="W8102">
        <v>0.20755960000000001</v>
      </c>
      <c r="X8102">
        <v>0.97425919999999999</v>
      </c>
      <c r="Y8102">
        <v>1.5647060000000001E-2</v>
      </c>
      <c r="Z8102">
        <v>-4.8546020000000002E-2</v>
      </c>
      <c r="AA8102">
        <v>0.99869839999999999</v>
      </c>
      <c r="AB8102">
        <v>35</v>
      </c>
      <c r="AC8102">
        <v>-3.4399999999976602E-2</v>
      </c>
      <c r="AD8102">
        <v>-1.107382210428</v>
      </c>
      <c r="AE8102">
        <v>22.439423000000001</v>
      </c>
      <c r="AF8102">
        <v>0.35403279671153898</v>
      </c>
      <c r="AG8102">
        <v>-1.107382210428</v>
      </c>
      <c r="AH8102">
        <v>22.3821332440376</v>
      </c>
      <c r="AI8102">
        <v>92.832112300618803</v>
      </c>
      <c r="AJ8102">
        <v>89.093790865603196</v>
      </c>
      <c r="AK8102">
        <v>22.412307403187501</v>
      </c>
      <c r="AL8102">
        <v>78.020622959871602</v>
      </c>
      <c r="AM8102">
        <v>84.840757284459599</v>
      </c>
      <c r="AN8102">
        <v>0.99999997915321903</v>
      </c>
    </row>
    <row r="8103" spans="1:40" x14ac:dyDescent="0.25">
      <c r="A8103" t="str">
        <f>"20190312172307593"</f>
        <v>20190312172307593</v>
      </c>
      <c r="B8103" t="str">
        <f>"1552382587587932"</f>
        <v>1552382587587932</v>
      </c>
      <c r="C8103" t="s">
        <v>40</v>
      </c>
      <c r="D8103">
        <v>3.2459899999999999</v>
      </c>
      <c r="E8103">
        <v>0.46927649999999999</v>
      </c>
      <c r="F8103" t="s">
        <v>42</v>
      </c>
      <c r="G8103">
        <v>-188.12549999999999</v>
      </c>
      <c r="H8103" s="1">
        <v>-4.5755999999999999E-6</v>
      </c>
      <c r="I8103">
        <v>29.523520000000001</v>
      </c>
      <c r="J8103">
        <v>-188.03039999999999</v>
      </c>
      <c r="K8103">
        <v>1.1073729999999999</v>
      </c>
      <c r="L8103">
        <v>6.5581050000000003</v>
      </c>
      <c r="M8103">
        <v>-1.4815099999999999E-2</v>
      </c>
      <c r="N8103">
        <v>0</v>
      </c>
      <c r="O8103">
        <v>0.99984479999999998</v>
      </c>
      <c r="P8103">
        <v>6.9678840000000006E-2</v>
      </c>
      <c r="Q8103">
        <v>0.19851240000000001</v>
      </c>
      <c r="R8103">
        <v>0.9776184</v>
      </c>
      <c r="S8103">
        <v>-1.313782E-2</v>
      </c>
      <c r="T8103">
        <v>-0.1472135</v>
      </c>
      <c r="U8103">
        <v>3.0997620000000001</v>
      </c>
      <c r="V8103">
        <v>8.5354650000000004E-2</v>
      </c>
      <c r="W8103">
        <v>0.20732129999999999</v>
      </c>
      <c r="X8103">
        <v>0.97454220000000003</v>
      </c>
      <c r="Y8103">
        <v>1.0582579999999999E-2</v>
      </c>
      <c r="Z8103">
        <v>-4.742905E-2</v>
      </c>
      <c r="AA8103">
        <v>0.9988186</v>
      </c>
      <c r="AB8103">
        <v>35</v>
      </c>
      <c r="AC8103">
        <v>-9.51000000000021E-2</v>
      </c>
      <c r="AD8103">
        <v>-1.1073775755999999</v>
      </c>
      <c r="AE8103">
        <v>22.965415</v>
      </c>
      <c r="AF8103">
        <v>0.244592127717906</v>
      </c>
      <c r="AG8103">
        <v>-1.1073775755999999</v>
      </c>
      <c r="AH8103">
        <v>22.9110336252451</v>
      </c>
      <c r="AI8103">
        <v>92.767012456691404</v>
      </c>
      <c r="AJ8103">
        <v>89.388348667097205</v>
      </c>
      <c r="AK8103">
        <v>22.939083943806398</v>
      </c>
      <c r="AL8103">
        <v>78.0345806256353</v>
      </c>
      <c r="AM8103">
        <v>84.994558975447006</v>
      </c>
      <c r="AN8103">
        <v>1.00000001864557</v>
      </c>
    </row>
    <row r="8104" spans="1:40" x14ac:dyDescent="0.25">
      <c r="A8104" t="str">
        <f>"20190312172307616"</f>
        <v>20190312172307616</v>
      </c>
      <c r="B8104" t="str">
        <f>"1552382587608156"</f>
        <v>1552382587608156</v>
      </c>
      <c r="C8104" t="s">
        <v>40</v>
      </c>
      <c r="D8104">
        <v>3.2666559999999998</v>
      </c>
      <c r="E8104">
        <v>0.46895619999999999</v>
      </c>
      <c r="F8104" t="s">
        <v>42</v>
      </c>
      <c r="G8104">
        <v>-188.1431</v>
      </c>
      <c r="H8104" s="1">
        <v>-4.8674959999999997E-7</v>
      </c>
      <c r="I8104">
        <v>29.626580000000001</v>
      </c>
      <c r="J8104">
        <v>-188.0334</v>
      </c>
      <c r="K8104">
        <v>1.107364</v>
      </c>
      <c r="L8104">
        <v>6.9297179999999896</v>
      </c>
      <c r="M8104">
        <v>-1.2141330000000001E-2</v>
      </c>
      <c r="N8104">
        <v>0</v>
      </c>
      <c r="O8104">
        <v>0.99988080000000001</v>
      </c>
      <c r="P8104">
        <v>6.90582E-2</v>
      </c>
      <c r="Q8104">
        <v>0.1983364</v>
      </c>
      <c r="R8104">
        <v>0.97769810000000001</v>
      </c>
      <c r="S8104">
        <v>-1.5151980000000001E-2</v>
      </c>
      <c r="T8104">
        <v>-0.14881059999999999</v>
      </c>
      <c r="U8104">
        <v>3.0999759999999998</v>
      </c>
      <c r="V8104">
        <v>8.2125829999999997E-2</v>
      </c>
      <c r="W8104">
        <v>0.20717150000000001</v>
      </c>
      <c r="X8104">
        <v>0.97485140000000003</v>
      </c>
      <c r="Y8104">
        <v>7.2600069999999997E-3</v>
      </c>
      <c r="Z8104">
        <v>-4.7942360000000003E-2</v>
      </c>
      <c r="AA8104">
        <v>0.99882369999999998</v>
      </c>
      <c r="AB8104">
        <v>35</v>
      </c>
      <c r="AC8104">
        <v>-0.109700000000003</v>
      </c>
      <c r="AD8104">
        <v>-1.1073644867496</v>
      </c>
      <c r="AE8104">
        <v>22.696861999999999</v>
      </c>
      <c r="AF8104">
        <v>0.16549677481648301</v>
      </c>
      <c r="AG8104">
        <v>-1.1073644867496</v>
      </c>
      <c r="AH8104">
        <v>22.6426236633393</v>
      </c>
      <c r="AI8104">
        <v>92.799812843224203</v>
      </c>
      <c r="AJ8104">
        <v>89.581227952625397</v>
      </c>
      <c r="AK8104">
        <v>22.670290065383</v>
      </c>
      <c r="AL8104">
        <v>78.043353390335696</v>
      </c>
      <c r="AM8104">
        <v>85.184518532093506</v>
      </c>
      <c r="AN8104">
        <v>0.99999996722369899</v>
      </c>
    </row>
    <row r="8105" spans="1:40" x14ac:dyDescent="0.25">
      <c r="A8105" t="str">
        <f>"20190312172307639"</f>
        <v>20190312172307639</v>
      </c>
      <c r="B8105" t="str">
        <f>"1552382587628652"</f>
        <v>1552382587628652</v>
      </c>
      <c r="C8105" t="s">
        <v>40</v>
      </c>
      <c r="D8105">
        <v>3.252888</v>
      </c>
      <c r="E8105">
        <v>0.46852670000000002</v>
      </c>
      <c r="F8105" t="s">
        <v>42</v>
      </c>
      <c r="G8105">
        <v>-188.16560000000001</v>
      </c>
      <c r="H8105" s="1">
        <v>-4.9314520000000005E-7</v>
      </c>
      <c r="I8105">
        <v>29.662890000000001</v>
      </c>
      <c r="J8105">
        <v>-188.03540000000001</v>
      </c>
      <c r="K8105">
        <v>1.1073649999999999</v>
      </c>
      <c r="L8105">
        <v>7.2821039999999897</v>
      </c>
      <c r="M8105">
        <v>-9.6063950000000002E-3</v>
      </c>
      <c r="N8105">
        <v>0</v>
      </c>
      <c r="O8105">
        <v>0.99990829999999997</v>
      </c>
      <c r="P8105">
        <v>6.7357909999999993E-2</v>
      </c>
      <c r="Q8105">
        <v>0.19830020000000001</v>
      </c>
      <c r="R8105">
        <v>0.97782409999999997</v>
      </c>
      <c r="S8105">
        <v>-1.8020629999999999E-2</v>
      </c>
      <c r="T8105">
        <v>-0.15102199999999999</v>
      </c>
      <c r="U8105">
        <v>3.1003419999999999</v>
      </c>
      <c r="V8105">
        <v>7.7953110000000006E-2</v>
      </c>
      <c r="W8105">
        <v>0.2071673</v>
      </c>
      <c r="X8105">
        <v>0.97519489999999998</v>
      </c>
      <c r="Y8105">
        <v>3.8014540000000001E-3</v>
      </c>
      <c r="Z8105">
        <v>-4.8649749999999999E-2</v>
      </c>
      <c r="AA8105">
        <v>0.99880869999999999</v>
      </c>
      <c r="AB8105">
        <v>35</v>
      </c>
      <c r="AC8105">
        <v>-0.13020000000000201</v>
      </c>
      <c r="AD8105">
        <v>-1.1073654931451999</v>
      </c>
      <c r="AE8105">
        <v>22.380785999999901</v>
      </c>
      <c r="AF8105">
        <v>8.4607352550294904E-2</v>
      </c>
      <c r="AG8105">
        <v>-1.1073654931451999</v>
      </c>
      <c r="AH8105">
        <v>22.326348456169899</v>
      </c>
      <c r="AI8105">
        <v>92.839468498293002</v>
      </c>
      <c r="AJ8105">
        <v>89.782874435505704</v>
      </c>
      <c r="AK8105">
        <v>22.3539538365327</v>
      </c>
      <c r="AL8105">
        <v>78.043600194677694</v>
      </c>
      <c r="AM8105">
        <v>85.4297264283705</v>
      </c>
      <c r="AN8105">
        <v>1.00000003526698</v>
      </c>
    </row>
    <row r="8106" spans="1:40" x14ac:dyDescent="0.25">
      <c r="A8106" t="str">
        <f>"20190312172307662"</f>
        <v>20190312172307662</v>
      </c>
      <c r="B8106" t="str">
        <f>"1552382587658907"</f>
        <v>1552382587658907</v>
      </c>
      <c r="C8106" t="s">
        <v>40</v>
      </c>
      <c r="D8106">
        <v>3.187189</v>
      </c>
      <c r="E8106">
        <v>0.46823330000000002</v>
      </c>
      <c r="F8106" t="s">
        <v>42</v>
      </c>
      <c r="G8106">
        <v>-188.21469999999999</v>
      </c>
      <c r="H8106" s="1">
        <v>-4.5581429999999997E-6</v>
      </c>
      <c r="I8106">
        <v>29.519729999999999</v>
      </c>
      <c r="J8106">
        <v>-188.03639999999999</v>
      </c>
      <c r="K8106">
        <v>1.107361</v>
      </c>
      <c r="L8106">
        <v>7.6365049999999997</v>
      </c>
      <c r="M8106">
        <v>-7.0576249999999997E-3</v>
      </c>
      <c r="N8106">
        <v>0</v>
      </c>
      <c r="O8106">
        <v>0.99992950000000003</v>
      </c>
      <c r="P8106">
        <v>6.5670000000000006E-2</v>
      </c>
      <c r="Q8106">
        <v>0.19897770000000001</v>
      </c>
      <c r="R8106">
        <v>0.97780129999999998</v>
      </c>
      <c r="S8106">
        <v>-2.5009159999999999E-2</v>
      </c>
      <c r="T8106">
        <v>-0.15442449999999999</v>
      </c>
      <c r="U8106">
        <v>3.1010740000000001</v>
      </c>
      <c r="V8106">
        <v>7.378121E-2</v>
      </c>
      <c r="W8106">
        <v>0.2078749</v>
      </c>
      <c r="X8106">
        <v>0.97536889999999998</v>
      </c>
      <c r="Y8106">
        <v>-9.9651550000000007E-4</v>
      </c>
      <c r="Z8106">
        <v>-4.9732810000000002E-2</v>
      </c>
      <c r="AA8106">
        <v>0.99876209999999999</v>
      </c>
      <c r="AB8106">
        <v>35</v>
      </c>
      <c r="AC8106">
        <v>-0.17830000000000701</v>
      </c>
      <c r="AD8106">
        <v>-1.107365558143</v>
      </c>
      <c r="AE8106">
        <v>21.883224999999999</v>
      </c>
      <c r="AF8106">
        <v>-2.3784021388571299E-2</v>
      </c>
      <c r="AG8106">
        <v>-1.107365558143</v>
      </c>
      <c r="AH8106">
        <v>21.8280469173326</v>
      </c>
      <c r="AI8106">
        <v>92.904198833650398</v>
      </c>
      <c r="AJ8106">
        <v>90.062429932979299</v>
      </c>
      <c r="AK8106">
        <v>21.8561308649154</v>
      </c>
      <c r="AL8106">
        <v>78.002155847180802</v>
      </c>
      <c r="AM8106">
        <v>85.674132698176194</v>
      </c>
      <c r="AN8106">
        <v>1.0000000660431301</v>
      </c>
    </row>
    <row r="8107" spans="1:40" x14ac:dyDescent="0.25">
      <c r="A8107" t="str">
        <f>"20190312172307683"</f>
        <v>20190312172307683</v>
      </c>
      <c r="B8107" t="str">
        <f>"1552382587678427"</f>
        <v>1552382587678427</v>
      </c>
      <c r="C8107" t="s">
        <v>40</v>
      </c>
      <c r="D8107">
        <v>3.2659400000000001</v>
      </c>
      <c r="E8107">
        <v>0.46827210000000002</v>
      </c>
      <c r="F8107" t="s">
        <v>42</v>
      </c>
      <c r="G8107">
        <v>-188.26130000000001</v>
      </c>
      <c r="H8107" s="1">
        <v>-5.1940609999999995E-7</v>
      </c>
      <c r="I8107">
        <v>29.814910000000001</v>
      </c>
      <c r="J8107">
        <v>-188.03659999999999</v>
      </c>
      <c r="K8107">
        <v>1.107359</v>
      </c>
      <c r="L8107">
        <v>7.9641419999999998</v>
      </c>
      <c r="M8107">
        <v>-4.7019569999999997E-3</v>
      </c>
      <c r="N8107">
        <v>0</v>
      </c>
      <c r="O8107">
        <v>0.99994329999999998</v>
      </c>
      <c r="P8107">
        <v>6.3704350000000007E-2</v>
      </c>
      <c r="Q8107">
        <v>0.19997719999999999</v>
      </c>
      <c r="R8107">
        <v>0.97772740000000002</v>
      </c>
      <c r="S8107">
        <v>-3.1448360000000002E-2</v>
      </c>
      <c r="T8107">
        <v>-0.15486939999999999</v>
      </c>
      <c r="U8107">
        <v>3.1017459999999999</v>
      </c>
      <c r="V8107">
        <v>6.9521429999999995E-2</v>
      </c>
      <c r="W8107">
        <v>0.20890420000000001</v>
      </c>
      <c r="X8107">
        <v>0.97546180000000005</v>
      </c>
      <c r="Y8107">
        <v>-5.4237479999999999E-3</v>
      </c>
      <c r="Z8107">
        <v>-4.9865159999999999E-2</v>
      </c>
      <c r="AA8107">
        <v>0.9987412</v>
      </c>
      <c r="AB8107">
        <v>35</v>
      </c>
      <c r="AC8107">
        <v>-0.224700000000012</v>
      </c>
      <c r="AD8107">
        <v>-1.1073595194060999</v>
      </c>
      <c r="AE8107">
        <v>21.850767999999999</v>
      </c>
      <c r="AF8107">
        <v>-0.121639083185184</v>
      </c>
      <c r="AG8107">
        <v>-1.1073595194060999</v>
      </c>
      <c r="AH8107">
        <v>21.7956115035911</v>
      </c>
      <c r="AI8107">
        <v>92.908454012420094</v>
      </c>
      <c r="AJ8107">
        <v>90.319758577693506</v>
      </c>
      <c r="AK8107">
        <v>21.8240629120073</v>
      </c>
      <c r="AL8107">
        <v>77.941856192282003</v>
      </c>
      <c r="AM8107">
        <v>85.923407042687202</v>
      </c>
      <c r="AN8107">
        <v>0.99999995863306101</v>
      </c>
    </row>
    <row r="8108" spans="1:40" x14ac:dyDescent="0.25">
      <c r="A8108" t="str">
        <f>"20190312172307705"</f>
        <v>20190312172307705</v>
      </c>
      <c r="B8108" t="str">
        <f>"1552382587698572"</f>
        <v>1552382587698572</v>
      </c>
      <c r="C8108" t="s">
        <v>40</v>
      </c>
      <c r="D8108">
        <v>3.1539679999999999</v>
      </c>
      <c r="E8108">
        <v>0.46833669999999999</v>
      </c>
      <c r="F8108" t="s">
        <v>42</v>
      </c>
      <c r="G8108">
        <v>-188.31450000000001</v>
      </c>
      <c r="H8108" s="1">
        <v>-8.07174E-7</v>
      </c>
      <c r="I8108">
        <v>30.702169999999999</v>
      </c>
      <c r="J8108">
        <v>-188.03579999999999</v>
      </c>
      <c r="K8108">
        <v>1.107359</v>
      </c>
      <c r="L8108">
        <v>8.3261719999999997</v>
      </c>
      <c r="M8108">
        <v>-2.1000289999999998E-3</v>
      </c>
      <c r="N8108">
        <v>0</v>
      </c>
      <c r="O8108">
        <v>0.99995210000000001</v>
      </c>
      <c r="P8108">
        <v>6.219073E-2</v>
      </c>
      <c r="Q8108">
        <v>0.20127809999999999</v>
      </c>
      <c r="R8108">
        <v>0.97755789999999998</v>
      </c>
      <c r="S8108">
        <v>-3.7918090000000002E-2</v>
      </c>
      <c r="T8108">
        <v>-0.15105589999999999</v>
      </c>
      <c r="U8108">
        <v>3.101715</v>
      </c>
      <c r="V8108">
        <v>6.5474829999999998E-2</v>
      </c>
      <c r="W8108">
        <v>0.210234</v>
      </c>
      <c r="X8108">
        <v>0.9754562</v>
      </c>
      <c r="Y8108">
        <v>-1.01095E-2</v>
      </c>
      <c r="Z8108">
        <v>-4.8639910000000001E-2</v>
      </c>
      <c r="AA8108">
        <v>0.99876520000000002</v>
      </c>
      <c r="AB8108">
        <v>35</v>
      </c>
      <c r="AC8108">
        <v>-0.27870000000001399</v>
      </c>
      <c r="AD8108">
        <v>-1.1073598071740001</v>
      </c>
      <c r="AE8108">
        <v>22.375997999999999</v>
      </c>
      <c r="AF8108">
        <v>-0.231140985762229</v>
      </c>
      <c r="AG8108">
        <v>-1.1073598071740001</v>
      </c>
      <c r="AH8108">
        <v>22.3218731639815</v>
      </c>
      <c r="AI8108">
        <v>92.839890650053107</v>
      </c>
      <c r="AJ8108">
        <v>90.593271431669294</v>
      </c>
      <c r="AK8108">
        <v>22.350518863031301</v>
      </c>
      <c r="AL8108">
        <v>77.863934940704894</v>
      </c>
      <c r="AM8108">
        <v>86.159937569305598</v>
      </c>
      <c r="AN8108">
        <v>1.0000000431189799</v>
      </c>
    </row>
    <row r="8109" spans="1:40" x14ac:dyDescent="0.25">
      <c r="A8109" t="str">
        <f>"20190312172307727"</f>
        <v>20190312172307727</v>
      </c>
      <c r="B8109" t="str">
        <f>"1552382587718084"</f>
        <v>1552382587718084</v>
      </c>
      <c r="C8109" t="s">
        <v>40</v>
      </c>
      <c r="D8109">
        <v>3.2422080000000002</v>
      </c>
      <c r="E8109">
        <v>0.46825499999999998</v>
      </c>
      <c r="F8109" t="s">
        <v>42</v>
      </c>
      <c r="G8109">
        <v>-188.35589999999999</v>
      </c>
      <c r="H8109" s="1">
        <v>-1.173759E-6</v>
      </c>
      <c r="I8109">
        <v>31.68901</v>
      </c>
      <c r="J8109">
        <v>-188.0342</v>
      </c>
      <c r="K8109">
        <v>1.1073539999999999</v>
      </c>
      <c r="L8109">
        <v>8.6833500000000008</v>
      </c>
      <c r="M8109">
        <v>4.652964E-4</v>
      </c>
      <c r="N8109">
        <v>0</v>
      </c>
      <c r="O8109">
        <v>0.99995409999999996</v>
      </c>
      <c r="P8109">
        <v>6.1401659999999997E-2</v>
      </c>
      <c r="Q8109">
        <v>0.2020015</v>
      </c>
      <c r="R8109">
        <v>0.97745850000000001</v>
      </c>
      <c r="S8109">
        <v>-4.2495730000000002E-2</v>
      </c>
      <c r="T8109">
        <v>-0.14702200000000001</v>
      </c>
      <c r="U8109">
        <v>3.1018370000000002</v>
      </c>
      <c r="V8109">
        <v>6.218539E-2</v>
      </c>
      <c r="W8109">
        <v>0.21098210000000001</v>
      </c>
      <c r="X8109">
        <v>0.97550990000000004</v>
      </c>
      <c r="Y8109">
        <v>-1.414881E-2</v>
      </c>
      <c r="Z8109">
        <v>-4.734062E-2</v>
      </c>
      <c r="AA8109">
        <v>0.99877859999999996</v>
      </c>
      <c r="AB8109">
        <v>35</v>
      </c>
      <c r="AC8109">
        <v>-0.32169999999999199</v>
      </c>
      <c r="AD8109">
        <v>-1.1073551737589999</v>
      </c>
      <c r="AE8109">
        <v>23.005659999999899</v>
      </c>
      <c r="AF8109">
        <v>-0.33163669227503301</v>
      </c>
      <c r="AG8109">
        <v>-1.1073551737589999</v>
      </c>
      <c r="AH8109">
        <v>22.952340279340401</v>
      </c>
      <c r="AI8109">
        <v>92.761853983716605</v>
      </c>
      <c r="AJ8109">
        <v>90.827804939178705</v>
      </c>
      <c r="AK8109">
        <v>22.981430387927201</v>
      </c>
      <c r="AL8109">
        <v>77.8200881977493</v>
      </c>
      <c r="AM8109">
        <v>86.352527071255594</v>
      </c>
      <c r="AN8109">
        <v>1.0000000171239301</v>
      </c>
    </row>
    <row r="8110" spans="1:40" x14ac:dyDescent="0.25">
      <c r="A8110" t="str">
        <f>"20190312172307750"</f>
        <v>20190312172307750</v>
      </c>
      <c r="B8110" t="str">
        <f>"1552382587738580"</f>
        <v>1552382587738580</v>
      </c>
      <c r="C8110" t="s">
        <v>40</v>
      </c>
      <c r="D8110">
        <v>3.2005940000000002</v>
      </c>
      <c r="E8110">
        <v>0.46825499999999998</v>
      </c>
      <c r="F8110" t="s">
        <v>42</v>
      </c>
      <c r="G8110">
        <v>-188.3777</v>
      </c>
      <c r="H8110" s="1">
        <v>-1.4080539999999999E-6</v>
      </c>
      <c r="I8110">
        <v>32.244169999999997</v>
      </c>
      <c r="J8110">
        <v>-188.0317</v>
      </c>
      <c r="K8110">
        <v>1.107351</v>
      </c>
      <c r="L8110">
        <v>9.0350649999999995</v>
      </c>
      <c r="M8110">
        <v>2.9875029999999999E-3</v>
      </c>
      <c r="N8110">
        <v>0</v>
      </c>
      <c r="O8110">
        <v>0.99994970000000005</v>
      </c>
      <c r="P8110">
        <v>6.0824540000000003E-2</v>
      </c>
      <c r="Q8110">
        <v>0.2024493</v>
      </c>
      <c r="R8110">
        <v>0.97740199999999999</v>
      </c>
      <c r="S8110">
        <v>-4.5227049999999998E-2</v>
      </c>
      <c r="T8110">
        <v>-0.14580019999999999</v>
      </c>
      <c r="U8110">
        <v>3.1021420000000002</v>
      </c>
      <c r="V8110">
        <v>5.9147650000000003E-2</v>
      </c>
      <c r="W8110">
        <v>0.2114538</v>
      </c>
      <c r="X8110">
        <v>0.97559669999999998</v>
      </c>
      <c r="Y8110">
        <v>-1.7548930000000001E-2</v>
      </c>
      <c r="Z8110">
        <v>-4.6941610000000002E-2</v>
      </c>
      <c r="AA8110">
        <v>0.99874350000000001</v>
      </c>
      <c r="AB8110">
        <v>35</v>
      </c>
      <c r="AC8110">
        <v>-0.34600000000000303</v>
      </c>
      <c r="AD8110">
        <v>-1.107352408054</v>
      </c>
      <c r="AE8110">
        <v>23.209105000000001</v>
      </c>
      <c r="AF8110">
        <v>-0.41439577028116198</v>
      </c>
      <c r="AG8110">
        <v>-1.107352408054</v>
      </c>
      <c r="AH8110">
        <v>23.155267984366699</v>
      </c>
      <c r="AI8110">
        <v>92.737527496312396</v>
      </c>
      <c r="AJ8110">
        <v>91.025278323916496</v>
      </c>
      <c r="AK8110">
        <v>23.1854348382317</v>
      </c>
      <c r="AL8110">
        <v>77.792438214566403</v>
      </c>
      <c r="AM8110">
        <v>86.530566683414094</v>
      </c>
      <c r="AN8110">
        <v>1.0000000375429201</v>
      </c>
    </row>
    <row r="8111" spans="1:40" x14ac:dyDescent="0.25">
      <c r="A8111" t="str">
        <f>"20190312172307771"</f>
        <v>20190312172307771</v>
      </c>
      <c r="B8111" t="str">
        <f>"1552382587768837"</f>
        <v>1552382587768837</v>
      </c>
      <c r="C8111" t="s">
        <v>40</v>
      </c>
      <c r="D8111">
        <v>3.1793659999999999</v>
      </c>
      <c r="E8111">
        <v>0.46824719999999997</v>
      </c>
      <c r="F8111" t="s">
        <v>42</v>
      </c>
      <c r="G8111">
        <v>-188.37530000000001</v>
      </c>
      <c r="H8111" s="1">
        <v>-1.4443230000000001E-6</v>
      </c>
      <c r="I8111">
        <v>32.327750000000002</v>
      </c>
      <c r="J8111">
        <v>-188.0284</v>
      </c>
      <c r="K8111">
        <v>1.1073500000000001</v>
      </c>
      <c r="L8111">
        <v>9.3772889999999993</v>
      </c>
      <c r="M8111">
        <v>5.4343000000000004E-3</v>
      </c>
      <c r="N8111">
        <v>0</v>
      </c>
      <c r="O8111">
        <v>0.99993940000000003</v>
      </c>
      <c r="P8111">
        <v>6.2350240000000001E-2</v>
      </c>
      <c r="Q8111">
        <v>0.2032824</v>
      </c>
      <c r="R8111">
        <v>0.97713289999999997</v>
      </c>
      <c r="S8111">
        <v>-4.5776369999999997E-2</v>
      </c>
      <c r="T8111">
        <v>-0.14750729999999901</v>
      </c>
      <c r="U8111">
        <v>3.1027529999999999</v>
      </c>
      <c r="V8111">
        <v>5.8288399999999997E-2</v>
      </c>
      <c r="W8111">
        <v>0.21229580000000001</v>
      </c>
      <c r="X8111">
        <v>0.97546549999999999</v>
      </c>
      <c r="Y8111">
        <v>-2.0168970000000001E-2</v>
      </c>
      <c r="Z8111">
        <v>-4.7478689999999997E-2</v>
      </c>
      <c r="AA8111">
        <v>0.99866860000000002</v>
      </c>
      <c r="AB8111">
        <v>35</v>
      </c>
      <c r="AC8111">
        <v>-0.34690000000000498</v>
      </c>
      <c r="AD8111">
        <v>-1.1073514443229999</v>
      </c>
      <c r="AE8111">
        <v>22.950461000000001</v>
      </c>
      <c r="AF8111">
        <v>-0.47052513873003599</v>
      </c>
      <c r="AG8111">
        <v>-1.1073514443229999</v>
      </c>
      <c r="AH8111">
        <v>22.8949489406765</v>
      </c>
      <c r="AI8111">
        <v>92.768461998702406</v>
      </c>
      <c r="AJ8111">
        <v>91.177347463066297</v>
      </c>
      <c r="AK8111">
        <v>22.926541564824099</v>
      </c>
      <c r="AL8111">
        <v>77.743073899257695</v>
      </c>
      <c r="AM8111">
        <v>86.580388615325504</v>
      </c>
      <c r="AN8111">
        <v>0.99999999298122499</v>
      </c>
    </row>
    <row r="8112" spans="1:40" x14ac:dyDescent="0.25">
      <c r="A8112" t="str">
        <f>"20190312172307795"</f>
        <v>20190312172307795</v>
      </c>
      <c r="B8112" t="str">
        <f>"1552382587788357"</f>
        <v>1552382587788357</v>
      </c>
      <c r="C8112" t="s">
        <v>40</v>
      </c>
      <c r="D8112">
        <v>3.2907739999999999</v>
      </c>
      <c r="E8112">
        <v>0.46838770000000002</v>
      </c>
      <c r="F8112" t="s">
        <v>42</v>
      </c>
      <c r="G8112">
        <v>-188.32660000000001</v>
      </c>
      <c r="H8112" s="1">
        <v>-1.6130879999999999E-6</v>
      </c>
      <c r="I8112">
        <v>32.700989999999997</v>
      </c>
      <c r="J8112">
        <v>-188.0241</v>
      </c>
      <c r="K8112">
        <v>1.1073550000000001</v>
      </c>
      <c r="L8112">
        <v>9.7392579999999995</v>
      </c>
      <c r="M8112">
        <v>8.0087519999999992E-3</v>
      </c>
      <c r="N8112">
        <v>0</v>
      </c>
      <c r="O8112">
        <v>0.99992199999999998</v>
      </c>
      <c r="P8112">
        <v>6.276938E-2</v>
      </c>
      <c r="Q8112">
        <v>0.20390059999999999</v>
      </c>
      <c r="R8112">
        <v>0.97697730000000005</v>
      </c>
      <c r="S8112">
        <v>-3.9672850000000003E-2</v>
      </c>
      <c r="T8112">
        <v>-0.14734149999999999</v>
      </c>
      <c r="U8112">
        <v>3.1033940000000002</v>
      </c>
      <c r="V8112">
        <v>5.6194550000000003E-2</v>
      </c>
      <c r="W8112">
        <v>0.21293229999999999</v>
      </c>
      <c r="X8112">
        <v>0.97544960000000003</v>
      </c>
      <c r="Y8112">
        <v>-2.0776329999999999E-2</v>
      </c>
      <c r="Z8112">
        <v>-4.7414779999999997E-2</v>
      </c>
      <c r="AA8112">
        <v>0.99865919999999997</v>
      </c>
      <c r="AB8112">
        <v>35</v>
      </c>
      <c r="AC8112">
        <v>-0.30250000000000898</v>
      </c>
      <c r="AD8112">
        <v>-1.1073566130879999</v>
      </c>
      <c r="AE8112">
        <v>22.961732000000001</v>
      </c>
      <c r="AF8112">
        <v>-0.48526514458521802</v>
      </c>
      <c r="AG8112">
        <v>-1.1073566130879999</v>
      </c>
      <c r="AH8112">
        <v>22.905309668034601</v>
      </c>
      <c r="AI8112">
        <v>92.767188035251806</v>
      </c>
      <c r="AJ8112">
        <v>91.213669952987004</v>
      </c>
      <c r="AK8112">
        <v>22.937195380378501</v>
      </c>
      <c r="AL8112">
        <v>77.705751362554693</v>
      </c>
      <c r="AM8112">
        <v>86.702899070014098</v>
      </c>
      <c r="AN8112">
        <v>0.99999995698657496</v>
      </c>
    </row>
    <row r="8113" spans="1:40" x14ac:dyDescent="0.25">
      <c r="A8113" t="str">
        <f>"20190312172307807"</f>
        <v>20190312172307807</v>
      </c>
      <c r="B8113" t="str">
        <f>"1552382587798117"</f>
        <v>1552382587798117</v>
      </c>
      <c r="C8113" t="s">
        <v>40</v>
      </c>
      <c r="D8113">
        <v>3.126379</v>
      </c>
      <c r="E8113">
        <v>0.46850160000000002</v>
      </c>
      <c r="F8113" t="s">
        <v>42</v>
      </c>
      <c r="G8113">
        <v>-188.2928</v>
      </c>
      <c r="H8113" s="1">
        <v>-1.769869E-6</v>
      </c>
      <c r="I8113">
        <v>33.052460000000004</v>
      </c>
      <c r="J8113">
        <v>-188.02099999999999</v>
      </c>
      <c r="K8113">
        <v>1.107361</v>
      </c>
      <c r="L8113">
        <v>9.9577939999999998</v>
      </c>
      <c r="M8113">
        <v>9.5517250000000005E-3</v>
      </c>
      <c r="N8113">
        <v>0</v>
      </c>
      <c r="O8113">
        <v>0.99990840000000003</v>
      </c>
      <c r="P8113">
        <v>6.3407000000000005E-2</v>
      </c>
      <c r="Q8113">
        <v>0.204121</v>
      </c>
      <c r="R8113">
        <v>0.97689000000000004</v>
      </c>
      <c r="S8113">
        <v>-3.5766600000000003E-2</v>
      </c>
      <c r="T8113">
        <v>-0.1474259</v>
      </c>
      <c r="U8113">
        <v>3.1037599999999999</v>
      </c>
      <c r="V8113">
        <v>5.5323570000000002E-2</v>
      </c>
      <c r="W8113">
        <v>0.21316199999999999</v>
      </c>
      <c r="X8113">
        <v>0.97544929999999996</v>
      </c>
      <c r="Y8113">
        <v>-2.10609E-2</v>
      </c>
      <c r="Z8113">
        <v>-4.7435560000000002E-2</v>
      </c>
      <c r="AA8113">
        <v>0.99865219999999999</v>
      </c>
      <c r="AB8113">
        <v>35</v>
      </c>
      <c r="AC8113">
        <v>-0.27180000000001298</v>
      </c>
      <c r="AD8113">
        <v>-1.1073627698690001</v>
      </c>
      <c r="AE8113">
        <v>23.094666</v>
      </c>
      <c r="AF8113">
        <v>-0.49126234026436499</v>
      </c>
      <c r="AG8113">
        <v>-1.1073627698690001</v>
      </c>
      <c r="AH8113">
        <v>23.038056783989799</v>
      </c>
      <c r="AI8113">
        <v>92.751275052513606</v>
      </c>
      <c r="AJ8113">
        <v>91.221587127375003</v>
      </c>
      <c r="AK8113">
        <v>23.069886245350101</v>
      </c>
      <c r="AL8113">
        <v>77.6922822649057</v>
      </c>
      <c r="AM8113">
        <v>86.753890912534501</v>
      </c>
      <c r="AN8113">
        <v>1.00000003625601</v>
      </c>
    </row>
    <row r="8114" spans="1:40" x14ac:dyDescent="0.25">
      <c r="A8114" t="str">
        <f>"20190312172307821"</f>
        <v>20190312172307821</v>
      </c>
      <c r="B8114" t="str">
        <f>"1552382587818559"</f>
        <v>1552382587818559</v>
      </c>
      <c r="C8114" t="s">
        <v>40</v>
      </c>
      <c r="D8114">
        <v>3.18093</v>
      </c>
      <c r="E8114">
        <v>0.46873110000000001</v>
      </c>
      <c r="F8114" t="s">
        <v>42</v>
      </c>
      <c r="G8114">
        <v>-188.26179999999999</v>
      </c>
      <c r="H8114" s="1">
        <v>-1.859073E-6</v>
      </c>
      <c r="I8114">
        <v>33.247590000000002</v>
      </c>
      <c r="J8114">
        <v>-188.01779999999999</v>
      </c>
      <c r="K8114">
        <v>1.107369</v>
      </c>
      <c r="L8114">
        <v>10.16916</v>
      </c>
      <c r="M8114">
        <v>1.1036320000000001E-2</v>
      </c>
      <c r="N8114">
        <v>0</v>
      </c>
      <c r="O8114">
        <v>0.99989309999999998</v>
      </c>
      <c r="P8114">
        <v>6.3775639999999995E-2</v>
      </c>
      <c r="Q8114">
        <v>0.20427790000000001</v>
      </c>
      <c r="R8114">
        <v>0.97683330000000002</v>
      </c>
      <c r="S8114">
        <v>-3.2089230000000003E-2</v>
      </c>
      <c r="T8114">
        <v>-0.14758060000000001</v>
      </c>
      <c r="U8114">
        <v>3.103882</v>
      </c>
      <c r="V8114">
        <v>5.4239049999999997E-2</v>
      </c>
      <c r="W8114">
        <v>0.2133293</v>
      </c>
      <c r="X8114">
        <v>0.97547360000000005</v>
      </c>
      <c r="Y8114">
        <v>-2.1361809999999998E-2</v>
      </c>
      <c r="Z8114">
        <v>-4.7482429999999999E-2</v>
      </c>
      <c r="AA8114">
        <v>0.99864359999999996</v>
      </c>
      <c r="AB8114">
        <v>35</v>
      </c>
      <c r="AC8114">
        <v>-0.243999999999999</v>
      </c>
      <c r="AD8114">
        <v>-1.107370859073</v>
      </c>
      <c r="AE8114">
        <v>23.078430000000001</v>
      </c>
      <c r="AF8114">
        <v>-0.49755237488524301</v>
      </c>
      <c r="AG8114">
        <v>-1.107370859073</v>
      </c>
      <c r="AH8114">
        <v>23.0213338351079</v>
      </c>
      <c r="AI8114">
        <v>92.753273584784694</v>
      </c>
      <c r="AJ8114">
        <v>91.238121731123996</v>
      </c>
      <c r="AK8114">
        <v>23.053321672435001</v>
      </c>
      <c r="AL8114">
        <v>77.682470612068897</v>
      </c>
      <c r="AM8114">
        <v>86.817472098554106</v>
      </c>
      <c r="AN8114">
        <v>1.00000000454017</v>
      </c>
    </row>
    <row r="8115" spans="1:40" x14ac:dyDescent="0.25">
      <c r="A8115" t="str">
        <f>"20190312172307841"</f>
        <v>20190312172307841</v>
      </c>
      <c r="B8115" t="str">
        <f>"1552382587838079"</f>
        <v>1552382587838079</v>
      </c>
      <c r="C8115" t="s">
        <v>40</v>
      </c>
      <c r="D8115">
        <v>3.3075770000000002</v>
      </c>
      <c r="E8115">
        <v>0.46896500000000002</v>
      </c>
      <c r="F8115" t="s">
        <v>42</v>
      </c>
      <c r="G8115">
        <v>-188.23179999999999</v>
      </c>
      <c r="H8115" s="1">
        <v>-1.9251960000000001E-6</v>
      </c>
      <c r="I8115">
        <v>33.389339999999997</v>
      </c>
      <c r="J8115">
        <v>-188.01249999999999</v>
      </c>
      <c r="K8115">
        <v>1.107383</v>
      </c>
      <c r="L8115">
        <v>10.47559</v>
      </c>
      <c r="M8115">
        <v>1.3161269999999999E-2</v>
      </c>
      <c r="N8115">
        <v>0</v>
      </c>
      <c r="O8115">
        <v>0.99986730000000001</v>
      </c>
      <c r="P8115">
        <v>6.379406E-2</v>
      </c>
      <c r="Q8115">
        <v>0.20448259999999999</v>
      </c>
      <c r="R8115">
        <v>0.97678920000000002</v>
      </c>
      <c r="S8115">
        <v>-2.861023E-2</v>
      </c>
      <c r="T8115">
        <v>-0.14802860000000001</v>
      </c>
      <c r="U8115">
        <v>3.1039729999999999</v>
      </c>
      <c r="V8115">
        <v>5.2173369999999997E-2</v>
      </c>
      <c r="W8115">
        <v>0.2135533</v>
      </c>
      <c r="X8115">
        <v>0.97553719999999999</v>
      </c>
      <c r="Y8115">
        <v>-2.2366960000000002E-2</v>
      </c>
      <c r="Z8115">
        <v>-4.7622730000000002E-2</v>
      </c>
      <c r="AA8115">
        <v>0.99861500000000003</v>
      </c>
      <c r="AB8115">
        <v>35</v>
      </c>
      <c r="AC8115">
        <v>-0.21930000000000399</v>
      </c>
      <c r="AD8115">
        <v>-1.107384925196</v>
      </c>
      <c r="AE8115">
        <v>22.91375</v>
      </c>
      <c r="AF8115">
        <v>-0.51965533867262803</v>
      </c>
      <c r="AG8115">
        <v>-1.107384925196</v>
      </c>
      <c r="AH8115">
        <v>22.855501575082101</v>
      </c>
      <c r="AI8115">
        <v>92.773185589116395</v>
      </c>
      <c r="AJ8115">
        <v>91.302484157930493</v>
      </c>
      <c r="AK8115">
        <v>22.888213020944701</v>
      </c>
      <c r="AL8115">
        <v>77.669332950923803</v>
      </c>
      <c r="AM8115">
        <v>86.938641926269398</v>
      </c>
      <c r="AN8115">
        <v>0.99999995053094204</v>
      </c>
    </row>
    <row r="8116" spans="1:40" x14ac:dyDescent="0.25">
      <c r="A8116" t="str">
        <f>"20190312172307864"</f>
        <v>20190312172307864</v>
      </c>
      <c r="B8116" t="str">
        <f>"1552382587858576"</f>
        <v>1552382587858576</v>
      </c>
      <c r="C8116" t="s">
        <v>40</v>
      </c>
      <c r="D8116">
        <v>3.293571</v>
      </c>
      <c r="E8116">
        <v>0.46915699999999999</v>
      </c>
      <c r="F8116" t="s">
        <v>42</v>
      </c>
      <c r="G8116">
        <v>-188.20519999999999</v>
      </c>
      <c r="H8116" s="1">
        <v>-2.0144530000000001E-6</v>
      </c>
      <c r="I8116">
        <v>33.586379999999998</v>
      </c>
      <c r="J8116">
        <v>-188.00540000000001</v>
      </c>
      <c r="K8116">
        <v>1.10741</v>
      </c>
      <c r="L8116">
        <v>10.84113</v>
      </c>
      <c r="M8116">
        <v>1.5650689999999998E-2</v>
      </c>
      <c r="N8116">
        <v>0</v>
      </c>
      <c r="O8116">
        <v>0.99983140000000004</v>
      </c>
      <c r="P8116">
        <v>6.3938030000000007E-2</v>
      </c>
      <c r="Q8116">
        <v>0.2048325</v>
      </c>
      <c r="R8116">
        <v>0.97670650000000003</v>
      </c>
      <c r="S8116">
        <v>-2.5878910000000001E-2</v>
      </c>
      <c r="T8116">
        <v>-0.14873839999999999</v>
      </c>
      <c r="U8116">
        <v>3.1041259999999999</v>
      </c>
      <c r="V8116">
        <v>4.9872079999999999E-2</v>
      </c>
      <c r="W8116">
        <v>0.213925</v>
      </c>
      <c r="X8116">
        <v>0.9755762</v>
      </c>
      <c r="Y8116">
        <v>-2.3976939999999999E-2</v>
      </c>
      <c r="Z8116">
        <v>-4.7844940000000002E-2</v>
      </c>
      <c r="AA8116">
        <v>0.99856699999999998</v>
      </c>
      <c r="AB8116">
        <v>36</v>
      </c>
      <c r="AC8116">
        <v>-0.19979999999998199</v>
      </c>
      <c r="AD8116">
        <v>-1.107412014453</v>
      </c>
      <c r="AE8116">
        <v>22.745249999999999</v>
      </c>
      <c r="AF8116">
        <v>-0.554456570670388</v>
      </c>
      <c r="AG8116">
        <v>-1.107412014453</v>
      </c>
      <c r="AH8116">
        <v>22.685565142452401</v>
      </c>
      <c r="AI8116">
        <v>92.793882739536201</v>
      </c>
      <c r="AJ8116">
        <v>91.400084055437404</v>
      </c>
      <c r="AK8116">
        <v>22.719345265455299</v>
      </c>
      <c r="AL8116">
        <v>77.647533259365204</v>
      </c>
      <c r="AM8116">
        <v>87.073550540517601</v>
      </c>
      <c r="AN8116">
        <v>1.0000000259974799</v>
      </c>
    </row>
    <row r="8117" spans="1:40" x14ac:dyDescent="0.25">
      <c r="A8117" t="str">
        <f>"20190312172307885"</f>
        <v>20190312172307885</v>
      </c>
      <c r="B8117" t="str">
        <f>"1552382587878096"</f>
        <v>1552382587878096</v>
      </c>
      <c r="C8117" t="s">
        <v>40</v>
      </c>
      <c r="D8117">
        <v>3.3138559999999999</v>
      </c>
      <c r="E8117">
        <v>0.46919379999999999</v>
      </c>
      <c r="F8117" t="s">
        <v>42</v>
      </c>
      <c r="G8117">
        <v>-188.18369999999999</v>
      </c>
      <c r="H8117" s="1">
        <v>-2.1669270000000001E-6</v>
      </c>
      <c r="I8117">
        <v>33.93291</v>
      </c>
      <c r="J8117">
        <v>-187.99770000000001</v>
      </c>
      <c r="K8117">
        <v>1.107442</v>
      </c>
      <c r="L8117">
        <v>11.19354</v>
      </c>
      <c r="M8117">
        <v>1.7999520000000001E-2</v>
      </c>
      <c r="N8117">
        <v>0</v>
      </c>
      <c r="O8117">
        <v>0.99979189999999996</v>
      </c>
      <c r="P8117">
        <v>6.3796370000000005E-2</v>
      </c>
      <c r="Q8117">
        <v>0.20456679999999999</v>
      </c>
      <c r="R8117">
        <v>0.97677139999999996</v>
      </c>
      <c r="S8117">
        <v>-2.3971559999999999E-2</v>
      </c>
      <c r="T8117">
        <v>-0.148874799999999</v>
      </c>
      <c r="U8117">
        <v>3.1043400000000001</v>
      </c>
      <c r="V8117">
        <v>4.7413379999999998E-2</v>
      </c>
      <c r="W8117">
        <v>0.21368419999999999</v>
      </c>
      <c r="X8117">
        <v>0.97575149999999999</v>
      </c>
      <c r="Y8117">
        <v>-2.5711419999999999E-2</v>
      </c>
      <c r="Z8117">
        <v>-4.7881670000000001E-2</v>
      </c>
      <c r="AA8117">
        <v>0.99852200000000002</v>
      </c>
      <c r="AB8117">
        <v>36</v>
      </c>
      <c r="AC8117">
        <v>-0.18599999999997799</v>
      </c>
      <c r="AD8117">
        <v>-1.1074441669270001</v>
      </c>
      <c r="AE8117">
        <v>22.739370000000001</v>
      </c>
      <c r="AF8117">
        <v>-0.59387798013131399</v>
      </c>
      <c r="AG8117">
        <v>-1.1074441669270001</v>
      </c>
      <c r="AH8117">
        <v>22.6785512415087</v>
      </c>
      <c r="AI8117">
        <v>92.794703224702602</v>
      </c>
      <c r="AJ8117">
        <v>91.500048514663703</v>
      </c>
      <c r="AK8117">
        <v>22.7133399140655</v>
      </c>
      <c r="AL8117">
        <v>77.661656062566294</v>
      </c>
      <c r="AM8117">
        <v>87.218091387112807</v>
      </c>
      <c r="AN8117">
        <v>0.99999997784245698</v>
      </c>
    </row>
    <row r="8118" spans="1:40" x14ac:dyDescent="0.25">
      <c r="A8118" t="str">
        <f>"20190312172307907"</f>
        <v>20190312172307907</v>
      </c>
      <c r="B8118" t="str">
        <f>"1552382587898591"</f>
        <v>1552382587898591</v>
      </c>
      <c r="C8118" t="s">
        <v>40</v>
      </c>
      <c r="D8118">
        <v>3.2457720000000001</v>
      </c>
      <c r="E8118">
        <v>0.46928219999999998</v>
      </c>
      <c r="F8118" t="s">
        <v>42</v>
      </c>
      <c r="G8118">
        <v>-188.18090000000001</v>
      </c>
      <c r="H8118" s="1">
        <v>-2.1313440000000002E-6</v>
      </c>
      <c r="I8118">
        <v>33.84883</v>
      </c>
      <c r="J8118">
        <v>-187.98939999999999</v>
      </c>
      <c r="K8118">
        <v>1.107475</v>
      </c>
      <c r="L8118">
        <v>11.537660000000001</v>
      </c>
      <c r="M8118">
        <v>2.0231720000000002E-2</v>
      </c>
      <c r="N8118">
        <v>0</v>
      </c>
      <c r="O8118">
        <v>0.99974909999999995</v>
      </c>
      <c r="P8118">
        <v>6.3219700000000004E-2</v>
      </c>
      <c r="Q8118">
        <v>0.20458670000000001</v>
      </c>
      <c r="R8118">
        <v>0.97680469999999997</v>
      </c>
      <c r="S8118">
        <v>-2.5115970000000001E-2</v>
      </c>
      <c r="T8118">
        <v>-0.15176829999999999</v>
      </c>
      <c r="U8118">
        <v>3.1047669999999998</v>
      </c>
      <c r="V8118">
        <v>4.463172E-2</v>
      </c>
      <c r="W8118">
        <v>0.21373030000000001</v>
      </c>
      <c r="X8118">
        <v>0.97587259999999998</v>
      </c>
      <c r="Y8118">
        <v>-2.8309919999999999E-2</v>
      </c>
      <c r="Z8118">
        <v>-4.879849E-2</v>
      </c>
      <c r="AA8118">
        <v>0.99840739999999994</v>
      </c>
      <c r="AB8118">
        <v>36</v>
      </c>
      <c r="AC8118">
        <v>-0.19150000000001899</v>
      </c>
      <c r="AD8118">
        <v>-1.1074771313439999</v>
      </c>
      <c r="AE8118">
        <v>22.311170000000001</v>
      </c>
      <c r="AF8118">
        <v>-0.64129502630937996</v>
      </c>
      <c r="AG8118">
        <v>-1.1074771313439999</v>
      </c>
      <c r="AH8118">
        <v>22.247915501407199</v>
      </c>
      <c r="AI8118">
        <v>92.848588314354998</v>
      </c>
      <c r="AJ8118">
        <v>91.651090730153697</v>
      </c>
      <c r="AK8118">
        <v>22.284692258700201</v>
      </c>
      <c r="AL8118">
        <v>77.658952309059899</v>
      </c>
      <c r="AM8118">
        <v>87.381391336648804</v>
      </c>
      <c r="AN8118">
        <v>0.99999998149950398</v>
      </c>
    </row>
    <row r="8119" spans="1:40" x14ac:dyDescent="0.25">
      <c r="A8119" t="str">
        <f>"20190312172307930"</f>
        <v>20190312172307930</v>
      </c>
      <c r="B8119" t="str">
        <f>"1552382587918244"</f>
        <v>1552382587918244</v>
      </c>
      <c r="C8119" t="s">
        <v>40</v>
      </c>
      <c r="D8119">
        <v>3.1711</v>
      </c>
      <c r="E8119">
        <v>0.46950550000000002</v>
      </c>
      <c r="F8119" t="s">
        <v>42</v>
      </c>
      <c r="G8119">
        <v>-188.1884</v>
      </c>
      <c r="H8119" s="1">
        <v>-2.220715E-6</v>
      </c>
      <c r="I8119">
        <v>34.060250000000003</v>
      </c>
      <c r="J8119">
        <v>-187.98</v>
      </c>
      <c r="K8119">
        <v>1.1075299999999999</v>
      </c>
      <c r="L8119">
        <v>11.898709999999999</v>
      </c>
      <c r="M8119">
        <v>2.248907E-2</v>
      </c>
      <c r="N8119">
        <v>0</v>
      </c>
      <c r="O8119">
        <v>0.99970079999999995</v>
      </c>
      <c r="P8119">
        <v>6.3140260000000004E-2</v>
      </c>
      <c r="Q8119">
        <v>0.20501330000000001</v>
      </c>
      <c r="R8119">
        <v>0.97672049999999999</v>
      </c>
      <c r="S8119">
        <v>-2.7435299999999999E-2</v>
      </c>
      <c r="T8119">
        <v>-0.15267749999999999</v>
      </c>
      <c r="U8119">
        <v>3.1049799999999999</v>
      </c>
      <c r="V8119">
        <v>4.231936E-2</v>
      </c>
      <c r="W8119">
        <v>0.2141798</v>
      </c>
      <c r="X8119">
        <v>0.97587710000000005</v>
      </c>
      <c r="Y8119">
        <v>-3.1311899999999997E-2</v>
      </c>
      <c r="Z8119">
        <v>-4.9080859999999997E-2</v>
      </c>
      <c r="AA8119">
        <v>0.99830390000000002</v>
      </c>
      <c r="AB8119">
        <v>36</v>
      </c>
      <c r="AC8119">
        <v>-0.20840000000001099</v>
      </c>
      <c r="AD8119">
        <v>-1.10753222071499</v>
      </c>
      <c r="AE8119">
        <v>22.161539999999999</v>
      </c>
      <c r="AF8119">
        <v>-0.70500216098454305</v>
      </c>
      <c r="AG8119">
        <v>-1.10753222071499</v>
      </c>
      <c r="AH8119">
        <v>22.0960666588138</v>
      </c>
      <c r="AI8119">
        <v>92.868006610131602</v>
      </c>
      <c r="AJ8119">
        <v>91.827472298584695</v>
      </c>
      <c r="AK8119">
        <v>22.135035971456201</v>
      </c>
      <c r="AL8119">
        <v>77.632587751309202</v>
      </c>
      <c r="AM8119">
        <v>87.516897890550993</v>
      </c>
      <c r="AN8119">
        <v>1.0000000146316299</v>
      </c>
    </row>
    <row r="8120" spans="1:40" x14ac:dyDescent="0.25">
      <c r="A8120" t="str">
        <f>"20190312172307951"</f>
        <v>20190312172307951</v>
      </c>
      <c r="B8120" t="str">
        <f>"1552382587948500"</f>
        <v>1552382587948500</v>
      </c>
      <c r="C8120" t="s">
        <v>40</v>
      </c>
      <c r="D8120">
        <v>3.2335120000000002</v>
      </c>
      <c r="E8120">
        <v>0.46967130000000001</v>
      </c>
      <c r="F8120" t="s">
        <v>42</v>
      </c>
      <c r="G8120">
        <v>-188.18090000000001</v>
      </c>
      <c r="H8120" s="1">
        <v>-2.4496639999999999E-6</v>
      </c>
      <c r="I8120">
        <v>34.590809999999998</v>
      </c>
      <c r="J8120">
        <v>-187.97059999999999</v>
      </c>
      <c r="K8120">
        <v>1.107599</v>
      </c>
      <c r="L8120">
        <v>12.235810000000001</v>
      </c>
      <c r="M8120">
        <v>2.4499429999999999E-2</v>
      </c>
      <c r="N8120">
        <v>0</v>
      </c>
      <c r="O8120">
        <v>0.99965360000000003</v>
      </c>
      <c r="P8120">
        <v>6.2397590000000003E-2</v>
      </c>
      <c r="Q8120">
        <v>0.20554159999999999</v>
      </c>
      <c r="R8120">
        <v>0.9766572</v>
      </c>
      <c r="S8120">
        <v>-2.7481080000000001E-2</v>
      </c>
      <c r="T8120">
        <v>-0.15155070000000001</v>
      </c>
      <c r="U8120">
        <v>3.1051030000000002</v>
      </c>
      <c r="V8120">
        <v>3.9579499999999997E-2</v>
      </c>
      <c r="W8120">
        <v>0.2147327</v>
      </c>
      <c r="X8120">
        <v>0.97587049999999997</v>
      </c>
      <c r="Y8120">
        <v>-3.3336369999999997E-2</v>
      </c>
      <c r="Z8120">
        <v>-4.8712499999999999E-2</v>
      </c>
      <c r="AA8120">
        <v>0.99825640000000004</v>
      </c>
      <c r="AB8120">
        <v>36</v>
      </c>
      <c r="AC8120">
        <v>-0.210300000000017</v>
      </c>
      <c r="AD8120">
        <v>-1.1076014496639901</v>
      </c>
      <c r="AE8120">
        <v>22.355</v>
      </c>
      <c r="AF8120">
        <v>-0.75609105486435102</v>
      </c>
      <c r="AG8120">
        <v>-1.1076014496639901</v>
      </c>
      <c r="AH8120">
        <v>22.2884279330783</v>
      </c>
      <c r="AI8120">
        <v>92.843284143567203</v>
      </c>
      <c r="AJ8120">
        <v>91.942901513714602</v>
      </c>
      <c r="AK8120">
        <v>22.3287365155884</v>
      </c>
      <c r="AL8120">
        <v>77.600153503819101</v>
      </c>
      <c r="AM8120">
        <v>87.677462242940294</v>
      </c>
      <c r="AN8120">
        <v>0.99999995101989303</v>
      </c>
    </row>
    <row r="8121" spans="1:40" x14ac:dyDescent="0.25">
      <c r="A8121" t="str">
        <f>"20190312172307973"</f>
        <v>20190312172307973</v>
      </c>
      <c r="B8121" t="str">
        <f>"1552382587968020"</f>
        <v>1552382587968020</v>
      </c>
      <c r="C8121" t="s">
        <v>40</v>
      </c>
      <c r="D8121">
        <v>3.3366159999999998</v>
      </c>
      <c r="E8121">
        <v>0.46978399999999998</v>
      </c>
      <c r="F8121" t="s">
        <v>42</v>
      </c>
      <c r="G8121">
        <v>-188.1842</v>
      </c>
      <c r="H8121" s="1">
        <v>-2.5794889999999999E-6</v>
      </c>
      <c r="I8121">
        <v>34.894840000000002</v>
      </c>
      <c r="J8121">
        <v>-187.9597</v>
      </c>
      <c r="K8121">
        <v>1.107691</v>
      </c>
      <c r="L8121">
        <v>12.603059999999999</v>
      </c>
      <c r="M8121">
        <v>2.6564170000000002E-2</v>
      </c>
      <c r="N8121">
        <v>0</v>
      </c>
      <c r="O8121">
        <v>0.99960079999999996</v>
      </c>
      <c r="P8121">
        <v>6.2078330000000001E-2</v>
      </c>
      <c r="Q8121">
        <v>0.20613029999999999</v>
      </c>
      <c r="R8121">
        <v>0.97655340000000002</v>
      </c>
      <c r="S8121">
        <v>-2.9281620000000001E-2</v>
      </c>
      <c r="T8121">
        <v>-0.1518022</v>
      </c>
      <c r="U8121">
        <v>3.1055299999999999</v>
      </c>
      <c r="V8121">
        <v>3.7197889999999997E-2</v>
      </c>
      <c r="W8121">
        <v>0.2153455</v>
      </c>
      <c r="X8121">
        <v>0.97582919999999995</v>
      </c>
      <c r="Y8121">
        <v>-3.5978099999999999E-2</v>
      </c>
      <c r="Z8121">
        <v>-4.8780230000000001E-2</v>
      </c>
      <c r="AA8121">
        <v>0.99816130000000003</v>
      </c>
      <c r="AB8121">
        <v>36</v>
      </c>
      <c r="AC8121">
        <v>-0.224500000000006</v>
      </c>
      <c r="AD8121">
        <v>-1.1076935794889999</v>
      </c>
      <c r="AE8121">
        <v>22.291779999999999</v>
      </c>
      <c r="AF8121">
        <v>-0.81459964175880895</v>
      </c>
      <c r="AG8121">
        <v>-1.1076935794889999</v>
      </c>
      <c r="AH8121">
        <v>22.223081947438601</v>
      </c>
      <c r="AI8121">
        <v>92.851593526506505</v>
      </c>
      <c r="AJ8121">
        <v>92.099269336366802</v>
      </c>
      <c r="AK8121">
        <v>22.265577218769</v>
      </c>
      <c r="AL8121">
        <v>77.564202154987001</v>
      </c>
      <c r="AM8121">
        <v>87.816984062028197</v>
      </c>
      <c r="AN8121">
        <v>0.99999999748167101</v>
      </c>
    </row>
    <row r="8122" spans="1:40" x14ac:dyDescent="0.25">
      <c r="A8122" t="str">
        <f>"20190312172307997"</f>
        <v>20190312172307997</v>
      </c>
      <c r="B8122" t="str">
        <f>"1552382587988517"</f>
        <v>1552382587988517</v>
      </c>
      <c r="C8122" t="s">
        <v>40</v>
      </c>
      <c r="D8122">
        <v>3.346257</v>
      </c>
      <c r="E8122">
        <v>0.46991179999999999</v>
      </c>
      <c r="F8122" t="s">
        <v>42</v>
      </c>
      <c r="G8122">
        <v>-188.1789</v>
      </c>
      <c r="H8122" s="1">
        <v>-2.8076270000000001E-6</v>
      </c>
      <c r="I8122">
        <v>35.424419999999998</v>
      </c>
      <c r="J8122">
        <v>-187.94810000000001</v>
      </c>
      <c r="K8122">
        <v>1.1078030000000001</v>
      </c>
      <c r="L8122">
        <v>12.972659999999999</v>
      </c>
      <c r="M8122">
        <v>2.849136E-2</v>
      </c>
      <c r="N8122">
        <v>0</v>
      </c>
      <c r="O8122">
        <v>0.99954770000000004</v>
      </c>
      <c r="P8122">
        <v>6.1428280000000002E-2</v>
      </c>
      <c r="Q8122">
        <v>0.20642969999999999</v>
      </c>
      <c r="R8122">
        <v>0.97653129999999999</v>
      </c>
      <c r="S8122">
        <v>-2.9830929999999999E-2</v>
      </c>
      <c r="T8122">
        <v>-0.1507453</v>
      </c>
      <c r="U8122">
        <v>3.1057429999999999</v>
      </c>
      <c r="V8122">
        <v>3.4605879999999999E-2</v>
      </c>
      <c r="W8122">
        <v>0.215671</v>
      </c>
      <c r="X8122">
        <v>0.97585270000000002</v>
      </c>
      <c r="Y8122">
        <v>-3.8080820000000001E-2</v>
      </c>
      <c r="Z8122">
        <v>-4.8432299999999998E-2</v>
      </c>
      <c r="AA8122">
        <v>0.99810030000000005</v>
      </c>
      <c r="AB8122">
        <v>36</v>
      </c>
      <c r="AC8122">
        <v>-0.23079999999998699</v>
      </c>
      <c r="AD8122">
        <v>-1.1078058076270001</v>
      </c>
      <c r="AE8122">
        <v>22.45176</v>
      </c>
      <c r="AF8122">
        <v>-0.86830336114421502</v>
      </c>
      <c r="AG8122">
        <v>-1.1078058076270001</v>
      </c>
      <c r="AH8122">
        <v>22.3815841953373</v>
      </c>
      <c r="AI8122">
        <v>92.831490559278095</v>
      </c>
      <c r="AJ8122">
        <v>92.221700689724202</v>
      </c>
      <c r="AK8122">
        <v>22.4257997745311</v>
      </c>
      <c r="AL8122">
        <v>77.545103881502797</v>
      </c>
      <c r="AM8122">
        <v>87.969016900876497</v>
      </c>
      <c r="AN8122">
        <v>1.0000000196344301</v>
      </c>
    </row>
    <row r="8123" spans="1:40" x14ac:dyDescent="0.25">
      <c r="A8123" t="str">
        <f>"20190312172308018"</f>
        <v>20190312172308018</v>
      </c>
      <c r="B8123" t="str">
        <f>"1552382588008036"</f>
        <v>1552382588008036</v>
      </c>
      <c r="C8123" t="s">
        <v>40</v>
      </c>
      <c r="D8123">
        <v>3.3253970000000002</v>
      </c>
      <c r="E8123">
        <v>0.47008699999999998</v>
      </c>
      <c r="F8123" t="s">
        <v>42</v>
      </c>
      <c r="G8123">
        <v>-188.18010000000001</v>
      </c>
      <c r="H8123" s="1">
        <v>-2.9226850000000002E-6</v>
      </c>
      <c r="I8123">
        <v>35.693129999999996</v>
      </c>
      <c r="J8123">
        <v>-187.9367</v>
      </c>
      <c r="K8123">
        <v>1.107928</v>
      </c>
      <c r="L8123">
        <v>13.31982</v>
      </c>
      <c r="M8123">
        <v>3.014404E-2</v>
      </c>
      <c r="N8123">
        <v>0</v>
      </c>
      <c r="O8123">
        <v>0.99949920000000003</v>
      </c>
      <c r="P8123">
        <v>6.0163979999999999E-2</v>
      </c>
      <c r="Q8123">
        <v>0.20684710000000001</v>
      </c>
      <c r="R8123">
        <v>0.97652169999999905</v>
      </c>
      <c r="S8123">
        <v>-3.1723019999999998E-2</v>
      </c>
      <c r="T8123">
        <v>-0.1514479</v>
      </c>
      <c r="U8123">
        <v>3.1061100000000001</v>
      </c>
      <c r="V8123">
        <v>3.166331E-2</v>
      </c>
      <c r="W8123">
        <v>0.21611469999999999</v>
      </c>
      <c r="X8123">
        <v>0.97585449999999996</v>
      </c>
      <c r="Y8123">
        <v>-4.0339689999999997E-2</v>
      </c>
      <c r="Z8123">
        <v>-4.8645939999999999E-2</v>
      </c>
      <c r="AA8123">
        <v>0.99800120000000003</v>
      </c>
      <c r="AB8123">
        <v>36</v>
      </c>
      <c r="AC8123">
        <v>-0.243400000000008</v>
      </c>
      <c r="AD8123">
        <v>-1.107930922685</v>
      </c>
      <c r="AE8123">
        <v>22.37331</v>
      </c>
      <c r="AF8123">
        <v>-0.915497824197675</v>
      </c>
      <c r="AG8123">
        <v>-1.107930922685</v>
      </c>
      <c r="AH8123">
        <v>22.301122971432399</v>
      </c>
      <c r="AI8123">
        <v>92.841754961229796</v>
      </c>
      <c r="AJ8123">
        <v>92.350766165238795</v>
      </c>
      <c r="AK8123">
        <v>22.3473876097969</v>
      </c>
      <c r="AL8123">
        <v>77.519068335800199</v>
      </c>
      <c r="AM8123">
        <v>88.141589979759999</v>
      </c>
      <c r="AN8123">
        <v>1.0000000669632401</v>
      </c>
    </row>
    <row r="8124" spans="1:40" x14ac:dyDescent="0.25">
      <c r="A8124" t="str">
        <f>"20190312172308041"</f>
        <v>20190312172308041</v>
      </c>
      <c r="B8124" t="str">
        <f>"1552382588038292"</f>
        <v>1552382588038292</v>
      </c>
      <c r="C8124" t="s">
        <v>40</v>
      </c>
      <c r="D8124">
        <v>3.3396720000000002</v>
      </c>
      <c r="E8124">
        <v>0.4765373</v>
      </c>
      <c r="F8124" t="s">
        <v>42</v>
      </c>
      <c r="G8124">
        <v>-188.18709999999999</v>
      </c>
      <c r="H8124" s="1">
        <v>-3.0421800000000002E-6</v>
      </c>
      <c r="I8124">
        <v>35.974580000000003</v>
      </c>
      <c r="J8124">
        <v>-187.92439999999999</v>
      </c>
      <c r="K8124">
        <v>1.1080749999999999</v>
      </c>
      <c r="L8124">
        <v>13.678739999999999</v>
      </c>
      <c r="M8124">
        <v>3.1673659999999999E-2</v>
      </c>
      <c r="N8124">
        <v>0</v>
      </c>
      <c r="O8124">
        <v>0.9994518</v>
      </c>
      <c r="P8124">
        <v>5.9127880000000001E-2</v>
      </c>
      <c r="Q8124">
        <v>0.20730009999999999</v>
      </c>
      <c r="R8124">
        <v>0.97648889999999999</v>
      </c>
      <c r="S8124">
        <v>-3.4347530000000001E-2</v>
      </c>
      <c r="T8124">
        <v>-0.1519192</v>
      </c>
      <c r="U8124">
        <v>3.1064150000000001</v>
      </c>
      <c r="V8124">
        <v>2.906007E-2</v>
      </c>
      <c r="W8124">
        <v>0.2165919</v>
      </c>
      <c r="X8124">
        <v>0.97582970000000002</v>
      </c>
      <c r="Y8124">
        <v>-4.2710749999999999E-2</v>
      </c>
      <c r="Z8124">
        <v>-4.8786099999999999E-2</v>
      </c>
      <c r="AA8124">
        <v>0.99789570000000005</v>
      </c>
      <c r="AB8124">
        <v>36</v>
      </c>
      <c r="AC8124">
        <v>-0.26269999999999499</v>
      </c>
      <c r="AD8124">
        <v>-1.1080780421799901</v>
      </c>
      <c r="AE8124">
        <v>22.295839999999998</v>
      </c>
      <c r="AF8124">
        <v>-0.966405166752484</v>
      </c>
      <c r="AG8124">
        <v>-1.1080780421799901</v>
      </c>
      <c r="AH8124">
        <v>22.2214524011831</v>
      </c>
      <c r="AI8124">
        <v>92.852011855834604</v>
      </c>
      <c r="AJ8124">
        <v>92.490209333436297</v>
      </c>
      <c r="AK8124">
        <v>22.270040922996401</v>
      </c>
      <c r="AL8124">
        <v>77.491063553472003</v>
      </c>
      <c r="AM8124">
        <v>88.294243941134397</v>
      </c>
      <c r="AN8124">
        <v>1.0000000711080499</v>
      </c>
    </row>
    <row r="8125" spans="1:40" x14ac:dyDescent="0.25">
      <c r="A8125" t="str">
        <f>"20190312172308063"</f>
        <v>20190312172308063</v>
      </c>
      <c r="B8125" t="str">
        <f>"1552382588058788"</f>
        <v>1552382588058788</v>
      </c>
      <c r="C8125" t="s">
        <v>40</v>
      </c>
      <c r="D8125">
        <v>3.254985</v>
      </c>
      <c r="E8125">
        <v>0.47801900000000003</v>
      </c>
      <c r="F8125" t="s">
        <v>42</v>
      </c>
      <c r="G8125">
        <v>-187.8409</v>
      </c>
      <c r="H8125" s="1">
        <v>-1.012067E-6</v>
      </c>
      <c r="I8125">
        <v>30.933900000000001</v>
      </c>
      <c r="J8125">
        <v>-187.91149999999999</v>
      </c>
      <c r="K8125">
        <v>1.108231</v>
      </c>
      <c r="L8125">
        <v>14.045349999999999</v>
      </c>
      <c r="M8125">
        <v>3.3039319999999997E-2</v>
      </c>
      <c r="N8125">
        <v>0</v>
      </c>
      <c r="O8125">
        <v>0.99940759999999995</v>
      </c>
      <c r="P8125">
        <v>5.758108E-2</v>
      </c>
      <c r="Q8125">
        <v>0.2079444</v>
      </c>
      <c r="R8125">
        <v>0.97644439999999999</v>
      </c>
      <c r="S8125">
        <v>1.5075679999999999E-2</v>
      </c>
      <c r="T8125">
        <v>-0.1999571</v>
      </c>
      <c r="U8125">
        <v>3.1137700000000001</v>
      </c>
      <c r="V8125">
        <v>2.6101989999999999E-2</v>
      </c>
      <c r="W8125">
        <v>0.21726119999999999</v>
      </c>
      <c r="X8125">
        <v>0.97576450000000003</v>
      </c>
      <c r="Y8125">
        <v>-2.8211469999999999E-2</v>
      </c>
      <c r="Z8125">
        <v>-6.4019499999999993E-2</v>
      </c>
      <c r="AA8125">
        <v>0.99754980000000004</v>
      </c>
      <c r="AB8125">
        <v>36</v>
      </c>
      <c r="AC8125">
        <v>7.0599999999984606E-2</v>
      </c>
      <c r="AD8125">
        <v>-1.1082320120669999</v>
      </c>
      <c r="AE8125">
        <v>16.888549999999999</v>
      </c>
      <c r="AF8125">
        <v>-0.48536072283334603</v>
      </c>
      <c r="AG8125">
        <v>-1.1082320120669999</v>
      </c>
      <c r="AH8125">
        <v>16.8092816286375</v>
      </c>
      <c r="AI8125">
        <v>93.770471399395802</v>
      </c>
      <c r="AJ8125">
        <v>91.653931256954905</v>
      </c>
      <c r="AK8125">
        <v>16.852765413862802</v>
      </c>
      <c r="AL8125">
        <v>77.451779815018696</v>
      </c>
      <c r="AM8125">
        <v>88.467686318703898</v>
      </c>
      <c r="AN8125">
        <v>1.0000000511838201</v>
      </c>
    </row>
    <row r="8126" spans="1:40" x14ac:dyDescent="0.25">
      <c r="A8126" t="str">
        <f>"20190312172308086"</f>
        <v>20190312172308086</v>
      </c>
      <c r="B8126" t="str">
        <f>"1552382588078309"</f>
        <v>1552382588078309</v>
      </c>
      <c r="C8126" t="s">
        <v>40</v>
      </c>
      <c r="D8126">
        <v>3.258092</v>
      </c>
      <c r="E8126">
        <v>0.47893910000000001</v>
      </c>
      <c r="F8126" t="s">
        <v>42</v>
      </c>
      <c r="G8126">
        <v>-187.79390000000001</v>
      </c>
      <c r="H8126" s="1">
        <v>-1.200516E-6</v>
      </c>
      <c r="I8126">
        <v>31.450959999999998</v>
      </c>
      <c r="J8126">
        <v>-187.89879999999999</v>
      </c>
      <c r="K8126">
        <v>1.108371</v>
      </c>
      <c r="L8126">
        <v>14.39706</v>
      </c>
      <c r="M8126">
        <v>3.4202740000000002E-2</v>
      </c>
      <c r="N8126">
        <v>0</v>
      </c>
      <c r="O8126">
        <v>0.99936840000000005</v>
      </c>
      <c r="P8126">
        <v>5.5936970000000003E-2</v>
      </c>
      <c r="Q8126">
        <v>0.20818790000000001</v>
      </c>
      <c r="R8126">
        <v>0.97648800000000002</v>
      </c>
      <c r="S8126">
        <v>2.1026610000000001E-2</v>
      </c>
      <c r="T8126">
        <v>-0.19822960000000001</v>
      </c>
      <c r="U8126">
        <v>3.1133419999999998</v>
      </c>
      <c r="V8126">
        <v>2.324766E-2</v>
      </c>
      <c r="W8126">
        <v>0.217527</v>
      </c>
      <c r="X8126">
        <v>0.97577740000000002</v>
      </c>
      <c r="Y8126">
        <v>-2.746755E-2</v>
      </c>
      <c r="Z8126">
        <v>-6.3473870000000002E-2</v>
      </c>
      <c r="AA8126">
        <v>0.99760539999999998</v>
      </c>
      <c r="AB8126">
        <v>36</v>
      </c>
      <c r="AC8126">
        <v>0.104899999999986</v>
      </c>
      <c r="AD8126">
        <v>-1.1083722005159999</v>
      </c>
      <c r="AE8126">
        <v>17.053899999999999</v>
      </c>
      <c r="AF8126">
        <v>-0.47646608977000299</v>
      </c>
      <c r="AG8126">
        <v>-1.1083722005159999</v>
      </c>
      <c r="AH8126">
        <v>16.975806049400401</v>
      </c>
      <c r="AI8126">
        <v>93.734146492468199</v>
      </c>
      <c r="AJ8126">
        <v>91.607719285638296</v>
      </c>
      <c r="AK8126">
        <v>17.018622150351501</v>
      </c>
      <c r="AL8126">
        <v>77.436176692909498</v>
      </c>
      <c r="AM8126">
        <v>88.6352001328939</v>
      </c>
      <c r="AN8126">
        <v>0.99999999188761701</v>
      </c>
    </row>
    <row r="8127" spans="1:40" x14ac:dyDescent="0.25">
      <c r="A8127" t="str">
        <f>"20190312172308108"</f>
        <v>20190312172308108</v>
      </c>
      <c r="B8127" t="str">
        <f>"1552382588098804"</f>
        <v>1552382588098804</v>
      </c>
      <c r="C8127" t="s">
        <v>40</v>
      </c>
      <c r="D8127">
        <v>3.270877</v>
      </c>
      <c r="E8127">
        <v>0.4801841</v>
      </c>
      <c r="F8127" t="s">
        <v>42</v>
      </c>
      <c r="G8127">
        <v>-187.76949999999999</v>
      </c>
      <c r="H8127" s="1">
        <v>-1.4194130000000001E-6</v>
      </c>
      <c r="I8127">
        <v>32.019190000000002</v>
      </c>
      <c r="J8127">
        <v>-187.8852</v>
      </c>
      <c r="K8127">
        <v>1.1085130000000001</v>
      </c>
      <c r="L8127">
        <v>14.76385</v>
      </c>
      <c r="M8127">
        <v>3.525404E-2</v>
      </c>
      <c r="N8127">
        <v>0</v>
      </c>
      <c r="O8127">
        <v>0.99933179999999999</v>
      </c>
      <c r="P8127">
        <v>5.4101339999999998E-2</v>
      </c>
      <c r="Q8127">
        <v>0.20834030000000001</v>
      </c>
      <c r="R8127">
        <v>0.97655890000000001</v>
      </c>
      <c r="S8127">
        <v>2.2827150000000001E-2</v>
      </c>
      <c r="T8127">
        <v>-0.19577649999999999</v>
      </c>
      <c r="U8127">
        <v>3.1126710000000002</v>
      </c>
      <c r="V8127">
        <v>2.030962E-2</v>
      </c>
      <c r="W8127">
        <v>0.21770020000000001</v>
      </c>
      <c r="X8127">
        <v>0.97580440000000002</v>
      </c>
      <c r="Y8127">
        <v>-2.7940300000000001E-2</v>
      </c>
      <c r="Z8127">
        <v>-6.2700989999999998E-2</v>
      </c>
      <c r="AA8127">
        <v>0.99764120000000001</v>
      </c>
      <c r="AB8127">
        <v>36</v>
      </c>
      <c r="AC8127">
        <v>0.11570000000000299</v>
      </c>
      <c r="AD8127">
        <v>-1.1085144194130001</v>
      </c>
      <c r="AE8127">
        <v>17.25534</v>
      </c>
      <c r="AF8127">
        <v>-0.49069567997486702</v>
      </c>
      <c r="AG8127">
        <v>-1.1085144194130001</v>
      </c>
      <c r="AH8127">
        <v>17.177802077733499</v>
      </c>
      <c r="AI8127">
        <v>93.690778552148899</v>
      </c>
      <c r="AJ8127">
        <v>91.636248217015293</v>
      </c>
      <c r="AK8127">
        <v>17.220524692650301</v>
      </c>
      <c r="AL8127">
        <v>77.426010050300803</v>
      </c>
      <c r="AM8127">
        <v>88.807663169646801</v>
      </c>
      <c r="AN8127">
        <v>1.0000000424019699</v>
      </c>
    </row>
    <row r="8128" spans="1:40" x14ac:dyDescent="0.25">
      <c r="A8128" t="str">
        <f>"20190312172308130"</f>
        <v>20190312172308130</v>
      </c>
      <c r="B8128" t="str">
        <f>"1552382588118324"</f>
        <v>1552382588118324</v>
      </c>
      <c r="C8128" t="s">
        <v>40</v>
      </c>
      <c r="D8128">
        <v>3.251096</v>
      </c>
      <c r="E8128">
        <v>0.48104609999999898</v>
      </c>
      <c r="F8128" t="s">
        <v>42</v>
      </c>
      <c r="G8128">
        <v>-187.72669999999999</v>
      </c>
      <c r="H8128" s="1">
        <v>-1.704824E-6</v>
      </c>
      <c r="I8128">
        <v>32.666789999999999</v>
      </c>
      <c r="J8128">
        <v>-187.87190000000001</v>
      </c>
      <c r="K8128">
        <v>1.1086480000000001</v>
      </c>
      <c r="L8128">
        <v>15.11664</v>
      </c>
      <c r="M8128">
        <v>3.6102000000000002E-2</v>
      </c>
      <c r="N8128">
        <v>0</v>
      </c>
      <c r="O8128">
        <v>0.99930160000000001</v>
      </c>
      <c r="P8128">
        <v>5.2890920000000001E-2</v>
      </c>
      <c r="Q8128">
        <v>0.2094481</v>
      </c>
      <c r="R8128">
        <v>0.97638829999999999</v>
      </c>
      <c r="S8128">
        <v>2.7542110000000002E-2</v>
      </c>
      <c r="T8128">
        <v>-0.19266240000000001</v>
      </c>
      <c r="U8128">
        <v>3.1115719999999998</v>
      </c>
      <c r="V8128">
        <v>1.8207339999999999E-2</v>
      </c>
      <c r="W8128">
        <v>0.21882209999999999</v>
      </c>
      <c r="X8128">
        <v>0.97559490000000004</v>
      </c>
      <c r="Y8128">
        <v>-2.7273749999999999E-2</v>
      </c>
      <c r="Z8128">
        <v>-6.1726580000000003E-2</v>
      </c>
      <c r="AA8128">
        <v>0.99772039999999995</v>
      </c>
      <c r="AB8128">
        <v>36</v>
      </c>
      <c r="AC8128">
        <v>0.14520000000001601</v>
      </c>
      <c r="AD8128">
        <v>-1.1086497048239901</v>
      </c>
      <c r="AE8128">
        <v>17.550149999999999</v>
      </c>
      <c r="AF8128">
        <v>-0.48657807375916001</v>
      </c>
      <c r="AG8128">
        <v>-1.1086497048239901</v>
      </c>
      <c r="AH8128">
        <v>17.4742243552666</v>
      </c>
      <c r="AI8128">
        <v>93.6288541672143</v>
      </c>
      <c r="AJ8128">
        <v>91.595016026433797</v>
      </c>
      <c r="AK8128">
        <v>17.516117697939301</v>
      </c>
      <c r="AL8128">
        <v>77.360141490603596</v>
      </c>
      <c r="AM8128">
        <v>88.930824005563693</v>
      </c>
      <c r="AN8128">
        <v>1.0000000137921401</v>
      </c>
    </row>
    <row r="8129" spans="1:40" x14ac:dyDescent="0.25">
      <c r="A8129" t="str">
        <f>"20190312172308152"</f>
        <v>20190312172308152</v>
      </c>
      <c r="B8129" t="str">
        <f>"1552382588148581"</f>
        <v>1552382588148581</v>
      </c>
      <c r="C8129" t="s">
        <v>40</v>
      </c>
      <c r="D8129">
        <v>3.329358</v>
      </c>
      <c r="E8129">
        <v>0.48152430000000002</v>
      </c>
      <c r="F8129" t="s">
        <v>42</v>
      </c>
      <c r="G8129">
        <v>-187.69630000000001</v>
      </c>
      <c r="H8129" s="1">
        <v>-2.0524879999999999E-6</v>
      </c>
      <c r="I8129">
        <v>33.46461</v>
      </c>
      <c r="J8129">
        <v>-187.85849999999999</v>
      </c>
      <c r="K8129">
        <v>1.1087990000000001</v>
      </c>
      <c r="L8129">
        <v>15.46884</v>
      </c>
      <c r="M8129">
        <v>3.6779390000000002E-2</v>
      </c>
      <c r="N8129">
        <v>0</v>
      </c>
      <c r="O8129">
        <v>0.99927679999999997</v>
      </c>
      <c r="P8129">
        <v>5.217463E-2</v>
      </c>
      <c r="Q8129">
        <v>0.21014070000000001</v>
      </c>
      <c r="R8129">
        <v>0.97627799999999998</v>
      </c>
      <c r="S8129">
        <v>2.9785160000000001E-2</v>
      </c>
      <c r="T8129">
        <v>-0.18799379999999999</v>
      </c>
      <c r="U8129">
        <v>3.1112669999999998</v>
      </c>
      <c r="V8129">
        <v>1.6756259999999999E-2</v>
      </c>
      <c r="W8129">
        <v>0.2195269</v>
      </c>
      <c r="X8129">
        <v>0.97546259999999996</v>
      </c>
      <c r="Y8129">
        <v>-2.7230399999999998E-2</v>
      </c>
      <c r="Z8129">
        <v>-6.0239840000000003E-2</v>
      </c>
      <c r="AA8129">
        <v>0.99781240000000004</v>
      </c>
      <c r="AB8129">
        <v>36</v>
      </c>
      <c r="AC8129">
        <v>0.162199999999984</v>
      </c>
      <c r="AD8129">
        <v>-1.1088010524880001</v>
      </c>
      <c r="AE8129">
        <v>17.99577</v>
      </c>
      <c r="AF8129">
        <v>-0.49792388603382998</v>
      </c>
      <c r="AG8129">
        <v>-1.1088010524880001</v>
      </c>
      <c r="AH8129">
        <v>17.921528101060002</v>
      </c>
      <c r="AI8129">
        <v>93.5390025001537</v>
      </c>
      <c r="AJ8129">
        <v>91.591471423637401</v>
      </c>
      <c r="AK8129">
        <v>17.9626985012655</v>
      </c>
      <c r="AL8129">
        <v>77.318753664302804</v>
      </c>
      <c r="AM8129">
        <v>89.015883781878003</v>
      </c>
      <c r="AN8129">
        <v>1.00000005803577</v>
      </c>
    </row>
    <row r="8130" spans="1:40" x14ac:dyDescent="0.25">
      <c r="A8130" t="str">
        <f>"20190312172308174"</f>
        <v>20190312172308174</v>
      </c>
      <c r="B8130" t="str">
        <f>"1552382588168101"</f>
        <v>1552382588168101</v>
      </c>
      <c r="C8130" t="s">
        <v>40</v>
      </c>
      <c r="D8130">
        <v>3.350069</v>
      </c>
      <c r="E8130">
        <v>0.48178850000000001</v>
      </c>
      <c r="F8130" t="s">
        <v>42</v>
      </c>
      <c r="G8130">
        <v>-187.68790000000001</v>
      </c>
      <c r="H8130" s="1">
        <v>-2.0930230000000001E-6</v>
      </c>
      <c r="I8130">
        <v>33.555630000000001</v>
      </c>
      <c r="J8130">
        <v>-187.84399999999999</v>
      </c>
      <c r="K8130">
        <v>1.108978</v>
      </c>
      <c r="L8130">
        <v>15.84686</v>
      </c>
      <c r="M8130">
        <v>3.7311480000000001E-2</v>
      </c>
      <c r="N8130">
        <v>0</v>
      </c>
      <c r="O8130">
        <v>0.99925699999999995</v>
      </c>
      <c r="P8130">
        <v>5.1653530000000003E-2</v>
      </c>
      <c r="Q8130">
        <v>0.2098247</v>
      </c>
      <c r="R8130">
        <v>0.97637370000000001</v>
      </c>
      <c r="S8130">
        <v>2.9357910000000001E-2</v>
      </c>
      <c r="T8130">
        <v>-0.1908038</v>
      </c>
      <c r="U8130">
        <v>3.1123959999999999</v>
      </c>
      <c r="V8130">
        <v>1.5617549999999999E-2</v>
      </c>
      <c r="W8130">
        <v>0.21922539999999999</v>
      </c>
      <c r="X8130">
        <v>0.97554920000000001</v>
      </c>
      <c r="Y8130">
        <v>-2.7903600000000001E-2</v>
      </c>
      <c r="Z8130">
        <v>-6.111246E-2</v>
      </c>
      <c r="AA8130">
        <v>0.99774079999999998</v>
      </c>
      <c r="AB8130">
        <v>36</v>
      </c>
      <c r="AC8130">
        <v>0.15610000000000901</v>
      </c>
      <c r="AD8130">
        <v>-1.108980093023</v>
      </c>
      <c r="AE8130">
        <v>17.708770000000001</v>
      </c>
      <c r="AF8130">
        <v>-0.50280825556552999</v>
      </c>
      <c r="AG8130">
        <v>-1.108980093023</v>
      </c>
      <c r="AH8130">
        <v>17.633116710290601</v>
      </c>
      <c r="AI8130">
        <v>93.597241957025702</v>
      </c>
      <c r="AJ8130">
        <v>91.633346335638294</v>
      </c>
      <c r="AK8130">
        <v>17.6751084270314</v>
      </c>
      <c r="AL8130">
        <v>77.3364584256786</v>
      </c>
      <c r="AM8130">
        <v>89.082831220218793</v>
      </c>
      <c r="AN8130">
        <v>0.99999996274689995</v>
      </c>
    </row>
    <row r="8131" spans="1:40" x14ac:dyDescent="0.25">
      <c r="A8131" t="str">
        <f>"20190312172308197"</f>
        <v>20190312172308197</v>
      </c>
      <c r="B8131" t="str">
        <f>"1552382588188596"</f>
        <v>1552382588188596</v>
      </c>
      <c r="C8131" t="s">
        <v>40</v>
      </c>
      <c r="D8131">
        <v>3.248176</v>
      </c>
      <c r="E8131">
        <v>0.48229499999999997</v>
      </c>
      <c r="F8131" t="s">
        <v>42</v>
      </c>
      <c r="G8131">
        <v>-187.678</v>
      </c>
      <c r="H8131" s="1">
        <v>-2.1335969999999999E-6</v>
      </c>
      <c r="I8131">
        <v>33.646140000000003</v>
      </c>
      <c r="J8131">
        <v>-187.83019999999999</v>
      </c>
      <c r="K8131">
        <v>1.109146</v>
      </c>
      <c r="L8131">
        <v>16.206209999999999</v>
      </c>
      <c r="M8131">
        <v>3.7633800000000002E-2</v>
      </c>
      <c r="N8131">
        <v>0</v>
      </c>
      <c r="O8131">
        <v>0.99924489999999999</v>
      </c>
      <c r="P8131">
        <v>5.1063530000000003E-2</v>
      </c>
      <c r="Q8131">
        <v>0.20889530000000001</v>
      </c>
      <c r="R8131">
        <v>0.97660400000000003</v>
      </c>
      <c r="S8131">
        <v>2.9022220000000001E-2</v>
      </c>
      <c r="T8131">
        <v>-0.1939381</v>
      </c>
      <c r="U8131">
        <v>3.1127319999999998</v>
      </c>
      <c r="V8131">
        <v>1.460945E-2</v>
      </c>
      <c r="W8131">
        <v>0.2183107</v>
      </c>
      <c r="X8131">
        <v>0.97576989999999997</v>
      </c>
      <c r="Y8131">
        <v>-2.8335220000000001E-2</v>
      </c>
      <c r="Z8131">
        <v>-6.2104340000000001E-2</v>
      </c>
      <c r="AA8131">
        <v>0.99766739999999998</v>
      </c>
      <c r="AB8131">
        <v>36</v>
      </c>
      <c r="AC8131">
        <v>0.15219999999999301</v>
      </c>
      <c r="AD8131">
        <v>-1.1091481335969999</v>
      </c>
      <c r="AE8131">
        <v>17.43993</v>
      </c>
      <c r="AF8131">
        <v>-0.50223803238097198</v>
      </c>
      <c r="AG8131">
        <v>-1.1091481335969999</v>
      </c>
      <c r="AH8131">
        <v>17.363078857607199</v>
      </c>
      <c r="AI8131">
        <v>93.653546528810907</v>
      </c>
      <c r="AJ8131">
        <v>91.656854653715101</v>
      </c>
      <c r="AK8131">
        <v>17.4057163035285</v>
      </c>
      <c r="AL8131">
        <v>77.390167697519104</v>
      </c>
      <c r="AM8131">
        <v>89.142218583315795</v>
      </c>
      <c r="AN8131">
        <v>0.99999994775489898</v>
      </c>
    </row>
    <row r="8132" spans="1:40" x14ac:dyDescent="0.25">
      <c r="A8132" t="str">
        <f>"20190312172308219"</f>
        <v>20190312172308219</v>
      </c>
      <c r="B8132" t="str">
        <f>"1552382588208134"</f>
        <v>1552382588208134</v>
      </c>
      <c r="C8132" t="s">
        <v>40</v>
      </c>
      <c r="D8132">
        <v>3.3958149999999998</v>
      </c>
      <c r="E8132">
        <v>0.48224400000000001</v>
      </c>
      <c r="F8132" t="s">
        <v>42</v>
      </c>
      <c r="G8132">
        <v>-187.6514</v>
      </c>
      <c r="H8132" s="1">
        <v>-2.1884320000000001E-6</v>
      </c>
      <c r="I8132">
        <v>33.762949999999996</v>
      </c>
      <c r="J8132">
        <v>-187.81649999999999</v>
      </c>
      <c r="K8132">
        <v>1.1093280000000001</v>
      </c>
      <c r="L8132">
        <v>16.565860000000001</v>
      </c>
      <c r="M8132">
        <v>3.7769400000000002E-2</v>
      </c>
      <c r="N8132">
        <v>0</v>
      </c>
      <c r="O8132">
        <v>0.99923969999999995</v>
      </c>
      <c r="P8132">
        <v>5.1118179999999999E-2</v>
      </c>
      <c r="Q8132">
        <v>0.20897569999999999</v>
      </c>
      <c r="R8132">
        <v>0.97658389999999995</v>
      </c>
      <c r="S8132">
        <v>3.1692499999999998E-2</v>
      </c>
      <c r="T8132">
        <v>-0.19661819999999999</v>
      </c>
      <c r="U8132">
        <v>3.1122740000000002</v>
      </c>
      <c r="V8132">
        <v>1.443608E-2</v>
      </c>
      <c r="W8132">
        <v>0.21840280000000001</v>
      </c>
      <c r="X8132">
        <v>0.97575190000000001</v>
      </c>
      <c r="Y8132">
        <v>-2.7614139999999999E-2</v>
      </c>
      <c r="Z8132">
        <v>-6.2968330000000003E-2</v>
      </c>
      <c r="AA8132">
        <v>0.9976334</v>
      </c>
      <c r="AB8132">
        <v>36</v>
      </c>
      <c r="AC8132">
        <v>0.165099999999995</v>
      </c>
      <c r="AD8132">
        <v>-1.1093301884319999</v>
      </c>
      <c r="AE8132">
        <v>17.1970899999999</v>
      </c>
      <c r="AF8132">
        <v>-0.482564120414603</v>
      </c>
      <c r="AG8132">
        <v>-1.1093301884319999</v>
      </c>
      <c r="AH8132">
        <v>17.119823114334501</v>
      </c>
      <c r="AI8132">
        <v>93.706000531321195</v>
      </c>
      <c r="AJ8132">
        <v>91.614594269143197</v>
      </c>
      <c r="AK8132">
        <v>17.1625122014052</v>
      </c>
      <c r="AL8132">
        <v>77.384760643130804</v>
      </c>
      <c r="AM8132">
        <v>89.152380727527003</v>
      </c>
      <c r="AN8132">
        <v>0.99999997690360798</v>
      </c>
    </row>
    <row r="8133" spans="1:40" x14ac:dyDescent="0.25">
      <c r="A8133" t="str">
        <f>"20190312172308233"</f>
        <v>20190312172308233</v>
      </c>
      <c r="B8133" t="str">
        <f>"1552382588228614"</f>
        <v>1552382588228614</v>
      </c>
      <c r="C8133" t="s">
        <v>40</v>
      </c>
      <c r="D8133">
        <v>3.233384</v>
      </c>
      <c r="E8133">
        <v>0.48232959999999903</v>
      </c>
      <c r="F8133" t="s">
        <v>42</v>
      </c>
      <c r="G8133">
        <v>-187.6422</v>
      </c>
      <c r="H8133" s="1">
        <v>-2.3089060000000002E-6</v>
      </c>
      <c r="I8133">
        <v>34.03998</v>
      </c>
      <c r="J8133">
        <v>-187.80789999999999</v>
      </c>
      <c r="K8133">
        <v>1.1094459999999999</v>
      </c>
      <c r="L8133">
        <v>16.79251</v>
      </c>
      <c r="M8133">
        <v>3.7727789999999997E-2</v>
      </c>
      <c r="N8133">
        <v>0</v>
      </c>
      <c r="O8133">
        <v>0.99924120000000005</v>
      </c>
      <c r="P8133">
        <v>5.1138089999999997E-2</v>
      </c>
      <c r="Q8133">
        <v>0.2089559</v>
      </c>
      <c r="R8133">
        <v>0.97658710000000004</v>
      </c>
      <c r="S8133">
        <v>3.1036379999999999E-2</v>
      </c>
      <c r="T8133">
        <v>-0.19760140000000001</v>
      </c>
      <c r="U8133">
        <v>3.1126100000000001</v>
      </c>
      <c r="V8133">
        <v>1.4433329999999999E-2</v>
      </c>
      <c r="W8133">
        <v>0.21839020000000001</v>
      </c>
      <c r="X8133">
        <v>0.97575480000000003</v>
      </c>
      <c r="Y8133">
        <v>-2.7784079999999999E-2</v>
      </c>
      <c r="Z8133">
        <v>-6.3275219999999993E-2</v>
      </c>
      <c r="AA8133">
        <v>0.99760930000000003</v>
      </c>
      <c r="AB8133">
        <v>36</v>
      </c>
      <c r="AC8133">
        <v>0.165699999999986</v>
      </c>
      <c r="AD8133">
        <v>-1.1094483089060001</v>
      </c>
      <c r="AE8133">
        <v>17.24747</v>
      </c>
      <c r="AF8133">
        <v>-0.48315837456397998</v>
      </c>
      <c r="AG8133">
        <v>-1.1094483089060001</v>
      </c>
      <c r="AH8133">
        <v>17.170401237431101</v>
      </c>
      <c r="AI8133">
        <v>93.695511595382996</v>
      </c>
      <c r="AJ8133">
        <v>91.611822128765198</v>
      </c>
      <c r="AK8133">
        <v>17.212989171536101</v>
      </c>
      <c r="AL8133">
        <v>77.385500918025997</v>
      </c>
      <c r="AM8133">
        <v>89.152544689473899</v>
      </c>
      <c r="AN8133">
        <v>1.0000000150969801</v>
      </c>
    </row>
    <row r="8134" spans="1:40" x14ac:dyDescent="0.25">
      <c r="A8134" t="str">
        <f>"20190312172308253"</f>
        <v>20190312172308253</v>
      </c>
      <c r="B8134" t="str">
        <f>"1552382588248133"</f>
        <v>1552382588248133</v>
      </c>
      <c r="C8134" t="s">
        <v>40</v>
      </c>
      <c r="D8134">
        <v>3.2323300000000001</v>
      </c>
      <c r="E8134">
        <v>0.48224479999999997</v>
      </c>
      <c r="F8134" t="s">
        <v>42</v>
      </c>
      <c r="G8134">
        <v>-187.63130000000001</v>
      </c>
      <c r="H8134" s="1">
        <v>-2.4227679999999999E-6</v>
      </c>
      <c r="I8134">
        <v>34.300879999999999</v>
      </c>
      <c r="J8134">
        <v>-187.7954</v>
      </c>
      <c r="K8134">
        <v>1.1096250000000001</v>
      </c>
      <c r="L8134">
        <v>17.125209999999999</v>
      </c>
      <c r="M8134">
        <v>3.7537059999999997E-2</v>
      </c>
      <c r="N8134">
        <v>0</v>
      </c>
      <c r="O8134">
        <v>0.99924840000000004</v>
      </c>
      <c r="P8134">
        <v>5.1360419999999997E-2</v>
      </c>
      <c r="Q8134">
        <v>0.20850569999999999</v>
      </c>
      <c r="R8134">
        <v>0.97667159999999997</v>
      </c>
      <c r="S8134">
        <v>3.1387329999999998E-2</v>
      </c>
      <c r="T8134">
        <v>-0.19722819999999999</v>
      </c>
      <c r="U8134">
        <v>3.1124879999999999</v>
      </c>
      <c r="V8134">
        <v>1.474349E-2</v>
      </c>
      <c r="W8134">
        <v>0.2179528</v>
      </c>
      <c r="X8134">
        <v>0.97584800000000005</v>
      </c>
      <c r="Y8134">
        <v>-2.7480339999999999E-2</v>
      </c>
      <c r="Z8134">
        <v>-6.3159560000000003E-2</v>
      </c>
      <c r="AA8134">
        <v>0.99762510000000004</v>
      </c>
      <c r="AB8134">
        <v>36</v>
      </c>
      <c r="AC8134">
        <v>0.16409999999999</v>
      </c>
      <c r="AD8134">
        <v>-1.1096274227680001</v>
      </c>
      <c r="AE8134">
        <v>17.17567</v>
      </c>
      <c r="AF8134">
        <v>-0.478771900085605</v>
      </c>
      <c r="AG8134">
        <v>-1.1096274227680001</v>
      </c>
      <c r="AH8134">
        <v>17.098366312204799</v>
      </c>
      <c r="AI8134">
        <v>93.711649039886694</v>
      </c>
      <c r="AJ8134">
        <v>91.603921846810195</v>
      </c>
      <c r="AK8134">
        <v>17.141021734307699</v>
      </c>
      <c r="AL8134">
        <v>77.411181233902298</v>
      </c>
      <c r="AM8134">
        <v>89.134419001001405</v>
      </c>
      <c r="AN8134">
        <v>1.0000000563146001</v>
      </c>
    </row>
    <row r="8135" spans="1:40" x14ac:dyDescent="0.25">
      <c r="A8135" t="str">
        <f>"20190312172308387"</f>
        <v>20190312172308387</v>
      </c>
      <c r="B8135" t="str">
        <f>"1552382588377940"</f>
        <v>1552382588377940</v>
      </c>
      <c r="C8135" t="s">
        <v>40</v>
      </c>
      <c r="D8135">
        <v>3.225606</v>
      </c>
      <c r="E8135">
        <v>0.48177500000000001</v>
      </c>
      <c r="F8135" t="s">
        <v>42</v>
      </c>
      <c r="G8135">
        <v>-187.6206</v>
      </c>
      <c r="H8135" s="1">
        <v>-2.6176940000000002E-6</v>
      </c>
      <c r="I8135">
        <v>34.750819999999997</v>
      </c>
      <c r="J8135">
        <v>-187.72120000000001</v>
      </c>
      <c r="K8135">
        <v>1.1106640000000001</v>
      </c>
      <c r="L8135">
        <v>19.307369999999999</v>
      </c>
      <c r="M8135">
        <v>3.2437680000000003E-2</v>
      </c>
      <c r="N8135">
        <v>0</v>
      </c>
      <c r="O8135">
        <v>0.9994265</v>
      </c>
      <c r="P8135">
        <v>4.1299660000000002E-2</v>
      </c>
      <c r="Q8135">
        <v>0.20929249999999999</v>
      </c>
      <c r="R8135">
        <v>0.97698059999999998</v>
      </c>
      <c r="S8135">
        <v>3.0868530000000002E-2</v>
      </c>
      <c r="T8135">
        <v>-0.19590769999999999</v>
      </c>
      <c r="U8135">
        <v>3.111847</v>
      </c>
      <c r="V8135">
        <v>9.1137709999999997E-3</v>
      </c>
      <c r="W8135">
        <v>0.21880350000000001</v>
      </c>
      <c r="X8135">
        <v>0.97572639999999999</v>
      </c>
      <c r="Y8135">
        <v>-2.2543210000000001E-2</v>
      </c>
      <c r="Z8135">
        <v>-6.2771969999999996E-2</v>
      </c>
      <c r="AA8135">
        <v>0.99777329999999997</v>
      </c>
      <c r="AB8135">
        <v>37</v>
      </c>
      <c r="AC8135">
        <v>0.100600000000014</v>
      </c>
      <c r="AD8135">
        <v>-1.1106666176940001</v>
      </c>
      <c r="AE8135">
        <v>15.44345</v>
      </c>
      <c r="AF8135">
        <v>-0.398365940106709</v>
      </c>
      <c r="AG8135">
        <v>-1.1106666176940001</v>
      </c>
      <c r="AH8135">
        <v>15.359147806387501</v>
      </c>
      <c r="AI8135">
        <v>94.134646823260496</v>
      </c>
      <c r="AJ8135">
        <v>91.485731582494196</v>
      </c>
      <c r="AK8135">
        <v>15.4044051198465</v>
      </c>
      <c r="AL8135">
        <v>77.361233739096804</v>
      </c>
      <c r="AM8135">
        <v>89.464844418808099</v>
      </c>
      <c r="AN8135">
        <v>1.0000000200455199</v>
      </c>
    </row>
    <row r="8136" spans="1:40" x14ac:dyDescent="0.25">
      <c r="A8136" t="str">
        <f>"20190312172308410"</f>
        <v>20190312172308410</v>
      </c>
      <c r="B8136" t="str">
        <f>"1552382588398440"</f>
        <v>1552382588398440</v>
      </c>
      <c r="C8136" t="s">
        <v>40</v>
      </c>
      <c r="D8136">
        <v>4.0129830000000002</v>
      </c>
      <c r="E8136">
        <v>0.4810335</v>
      </c>
      <c r="F8136" t="s">
        <v>42</v>
      </c>
      <c r="G8136">
        <v>-187.74549999999999</v>
      </c>
      <c r="H8136" s="1">
        <v>-3.6170319999999999E-6</v>
      </c>
      <c r="I8136">
        <v>37.131970000000003</v>
      </c>
      <c r="J8136">
        <v>-187.7106</v>
      </c>
      <c r="K8136">
        <v>1.1107860000000001</v>
      </c>
      <c r="L8136">
        <v>19.66818</v>
      </c>
      <c r="M8136">
        <v>3.11373E-2</v>
      </c>
      <c r="N8136">
        <v>0</v>
      </c>
      <c r="O8136">
        <v>0.99946780000000002</v>
      </c>
      <c r="P8136">
        <v>3.9581770000000002E-2</v>
      </c>
      <c r="Q8136">
        <v>0.2093013</v>
      </c>
      <c r="R8136">
        <v>0.97704979999999997</v>
      </c>
      <c r="S8136">
        <v>-4.2419429999999998E-3</v>
      </c>
      <c r="T8136">
        <v>-0.19393830000000001</v>
      </c>
      <c r="U8136">
        <v>3.1124269999999998</v>
      </c>
      <c r="V8136">
        <v>8.6052300000000002E-3</v>
      </c>
      <c r="W8136">
        <v>0.21882019999999999</v>
      </c>
      <c r="X8136">
        <v>0.97572729999999996</v>
      </c>
      <c r="Y8136">
        <v>-3.2498340000000001E-2</v>
      </c>
      <c r="Z8136">
        <v>-6.2128669999999997E-2</v>
      </c>
      <c r="AA8136">
        <v>0.99753890000000001</v>
      </c>
      <c r="AB8136">
        <v>37</v>
      </c>
      <c r="AC8136">
        <v>-3.48999999999932E-2</v>
      </c>
      <c r="AD8136">
        <v>-1.110789617032</v>
      </c>
      <c r="AE8136">
        <v>17.463789999999999</v>
      </c>
      <c r="AF8136">
        <v>-0.57635236117303001</v>
      </c>
      <c r="AG8136">
        <v>-1.110789617032</v>
      </c>
      <c r="AH8136">
        <v>17.383905910724401</v>
      </c>
      <c r="AI8136">
        <v>93.654089251438194</v>
      </c>
      <c r="AJ8136">
        <v>91.898909621033297</v>
      </c>
      <c r="AK8136">
        <v>17.428890392978399</v>
      </c>
      <c r="AL8136">
        <v>77.360253482272398</v>
      </c>
      <c r="AM8136">
        <v>89.494704536439897</v>
      </c>
      <c r="AN8136">
        <v>1.0000000469383401</v>
      </c>
    </row>
    <row r="8137" spans="1:40" x14ac:dyDescent="0.25">
      <c r="A8137" t="str">
        <f>"20190312172308430"</f>
        <v>20190312172308430</v>
      </c>
      <c r="B8137" t="str">
        <f>"1552382588428693"</f>
        <v>1552382588428693</v>
      </c>
      <c r="C8137" t="s">
        <v>40</v>
      </c>
      <c r="D8137">
        <v>3.2983669999999998</v>
      </c>
      <c r="E8137">
        <v>0.48091850000000003</v>
      </c>
      <c r="F8137" t="s">
        <v>42</v>
      </c>
      <c r="G8137">
        <v>-187.81180000000001</v>
      </c>
      <c r="H8137" s="1">
        <v>-7.2344010000000002E-7</v>
      </c>
      <c r="I8137">
        <v>40.063000000000002</v>
      </c>
      <c r="J8137">
        <v>-187.70099999999999</v>
      </c>
      <c r="K8137">
        <v>1.110881</v>
      </c>
      <c r="L8137">
        <v>20.01202</v>
      </c>
      <c r="M8137">
        <v>2.9833430000000001E-2</v>
      </c>
      <c r="N8137">
        <v>0</v>
      </c>
      <c r="O8137">
        <v>0.99950749999999999</v>
      </c>
      <c r="P8137">
        <v>3.7347480000000002E-2</v>
      </c>
      <c r="Q8137">
        <v>0.209424</v>
      </c>
      <c r="R8137">
        <v>0.97711139999999996</v>
      </c>
      <c r="S8137">
        <v>-1.5411380000000001E-2</v>
      </c>
      <c r="T8137">
        <v>-0.1692398</v>
      </c>
      <c r="U8137">
        <v>3.107361</v>
      </c>
      <c r="V8137">
        <v>7.5956299999999999E-3</v>
      </c>
      <c r="W8137">
        <v>0.21894820000000001</v>
      </c>
      <c r="X8137">
        <v>0.97570690000000004</v>
      </c>
      <c r="Y8137">
        <v>-3.4784509999999998E-2</v>
      </c>
      <c r="Z8137">
        <v>-5.4330459999999997E-2</v>
      </c>
      <c r="AA8137">
        <v>0.9979169</v>
      </c>
      <c r="AB8137">
        <v>37</v>
      </c>
      <c r="AC8137">
        <v>-0.110800000000011</v>
      </c>
      <c r="AD8137">
        <v>-1.1108817234401001</v>
      </c>
      <c r="AE8137">
        <v>20.050979999999999</v>
      </c>
      <c r="AF8137">
        <v>-0.70679908065005004</v>
      </c>
      <c r="AG8137">
        <v>-1.1108817234401001</v>
      </c>
      <c r="AH8137">
        <v>19.977430047936299</v>
      </c>
      <c r="AI8137">
        <v>93.180773327367802</v>
      </c>
      <c r="AJ8137">
        <v>92.026272641115995</v>
      </c>
      <c r="AK8137">
        <v>20.020772574105901</v>
      </c>
      <c r="AL8137">
        <v>77.352736519312202</v>
      </c>
      <c r="AM8137">
        <v>89.553975942218003</v>
      </c>
      <c r="AN8137">
        <v>0.99999998129297296</v>
      </c>
    </row>
    <row r="8138" spans="1:40" x14ac:dyDescent="0.25">
      <c r="A8138" t="str">
        <f>"20190312172308454"</f>
        <v>20190312172308454</v>
      </c>
      <c r="B8138" t="str">
        <f>"1552382588448212"</f>
        <v>1552382588448212</v>
      </c>
      <c r="C8138" t="s">
        <v>40</v>
      </c>
      <c r="D8138">
        <v>3.2768999999999999</v>
      </c>
      <c r="E8138">
        <v>0.48081740000000001</v>
      </c>
      <c r="F8138" t="s">
        <v>42</v>
      </c>
      <c r="G8138">
        <v>-187.86089999999999</v>
      </c>
      <c r="H8138" s="1">
        <v>-1.244758E-6</v>
      </c>
      <c r="I8138">
        <v>41.633330000000001</v>
      </c>
      <c r="J8138">
        <v>-187.69069999999999</v>
      </c>
      <c r="K8138">
        <v>1.1109639999999901</v>
      </c>
      <c r="L8138">
        <v>20.402709999999999</v>
      </c>
      <c r="M8138">
        <v>2.8299069999999999E-2</v>
      </c>
      <c r="N8138">
        <v>0</v>
      </c>
      <c r="O8138">
        <v>0.99955210000000005</v>
      </c>
      <c r="P8138">
        <v>3.56157E-2</v>
      </c>
      <c r="Q8138">
        <v>0.20987430000000001</v>
      </c>
      <c r="R8138">
        <v>0.97707949999999999</v>
      </c>
      <c r="S8138">
        <v>-2.2964479999999999E-2</v>
      </c>
      <c r="T8138">
        <v>-0.15954979999999999</v>
      </c>
      <c r="U8138">
        <v>3.1053470000000001</v>
      </c>
      <c r="V8138">
        <v>7.3183279999999998E-3</v>
      </c>
      <c r="W8138">
        <v>0.21940409999999999</v>
      </c>
      <c r="X8138">
        <v>0.97560659999999999</v>
      </c>
      <c r="Y8138">
        <v>-3.5681890000000001E-2</v>
      </c>
      <c r="Z8138">
        <v>-5.1263540000000003E-2</v>
      </c>
      <c r="AA8138">
        <v>0.99804749999999998</v>
      </c>
      <c r="AB8138">
        <v>37</v>
      </c>
      <c r="AC8138">
        <v>-0.17019999999999399</v>
      </c>
      <c r="AD8138">
        <v>-1.1109652447579901</v>
      </c>
      <c r="AE8138">
        <v>21.230619999999998</v>
      </c>
      <c r="AF8138">
        <v>-0.768861886152442</v>
      </c>
      <c r="AG8138">
        <v>-1.1109652447579901</v>
      </c>
      <c r="AH8138">
        <v>21.159363388299798</v>
      </c>
      <c r="AI8138">
        <v>93.003557200412402</v>
      </c>
      <c r="AJ8138">
        <v>92.081025183861101</v>
      </c>
      <c r="AK8138">
        <v>21.2024538998003</v>
      </c>
      <c r="AL8138">
        <v>77.325964368190895</v>
      </c>
      <c r="AM8138">
        <v>89.570214630609499</v>
      </c>
      <c r="AN8138">
        <v>0.99999997749254199</v>
      </c>
    </row>
    <row r="8139" spans="1:40" x14ac:dyDescent="0.25">
      <c r="A8139" t="str">
        <f>"20190312172308477"</f>
        <v>20190312172308477</v>
      </c>
      <c r="B8139" t="str">
        <f>"1552382588468708"</f>
        <v>1552382588468708</v>
      </c>
      <c r="C8139" t="s">
        <v>40</v>
      </c>
      <c r="D8139">
        <v>3.337116</v>
      </c>
      <c r="E8139">
        <v>0.48149120000000001</v>
      </c>
      <c r="F8139" t="s">
        <v>42</v>
      </c>
      <c r="G8139">
        <v>-187.90639999999999</v>
      </c>
      <c r="H8139" s="1">
        <v>-1.7639369999999999E-6</v>
      </c>
      <c r="I8139">
        <v>42.878889999999998</v>
      </c>
      <c r="J8139">
        <v>-187.68119999999999</v>
      </c>
      <c r="K8139">
        <v>1.111022</v>
      </c>
      <c r="L8139">
        <v>20.784790000000001</v>
      </c>
      <c r="M8139">
        <v>2.6765069999999998E-2</v>
      </c>
      <c r="N8139">
        <v>0</v>
      </c>
      <c r="O8139">
        <v>0.99959430000000005</v>
      </c>
      <c r="P8139">
        <v>3.3644840000000002E-2</v>
      </c>
      <c r="Q8139">
        <v>0.20900640000000001</v>
      </c>
      <c r="R8139">
        <v>0.97733530000000002</v>
      </c>
      <c r="S8139">
        <v>-2.9800420000000001E-2</v>
      </c>
      <c r="T8139">
        <v>-0.15344759999999999</v>
      </c>
      <c r="U8139">
        <v>3.1044309999999999</v>
      </c>
      <c r="V8139">
        <v>6.80753E-3</v>
      </c>
      <c r="W8139">
        <v>0.2185443</v>
      </c>
      <c r="X8139">
        <v>0.97580330000000004</v>
      </c>
      <c r="Y8139">
        <v>-3.6348850000000002E-2</v>
      </c>
      <c r="Z8139">
        <v>-4.9324340000000001E-2</v>
      </c>
      <c r="AA8139">
        <v>0.99812109999999998</v>
      </c>
      <c r="AB8139">
        <v>37</v>
      </c>
      <c r="AC8139">
        <v>-0.22520000000000001</v>
      </c>
      <c r="AD8139">
        <v>-1.111023763937</v>
      </c>
      <c r="AE8139">
        <v>22.094100000000001</v>
      </c>
      <c r="AF8139">
        <v>-0.81443825876109599</v>
      </c>
      <c r="AG8139">
        <v>-1.111023763937</v>
      </c>
      <c r="AH8139">
        <v>22.024469213572299</v>
      </c>
      <c r="AI8139">
        <v>92.885867079499107</v>
      </c>
      <c r="AJ8139">
        <v>92.117763747485995</v>
      </c>
      <c r="AK8139">
        <v>22.067508414430499</v>
      </c>
      <c r="AL8139">
        <v>77.376453104788297</v>
      </c>
      <c r="AM8139">
        <v>89.600291974418397</v>
      </c>
      <c r="AN8139">
        <v>1.0000000169090399</v>
      </c>
    </row>
    <row r="8140" spans="1:40" x14ac:dyDescent="0.25">
      <c r="A8140" t="str">
        <f>"20190312172308498"</f>
        <v>20190312172308498</v>
      </c>
      <c r="B8140" t="str">
        <f>"1552382588488232"</f>
        <v>1552382588488232</v>
      </c>
      <c r="C8140" t="s">
        <v>40</v>
      </c>
      <c r="D8140">
        <v>3.3168709999999999</v>
      </c>
      <c r="E8140">
        <v>0.48143950000000002</v>
      </c>
      <c r="F8140" t="s">
        <v>42</v>
      </c>
      <c r="G8140">
        <v>-188.0068</v>
      </c>
      <c r="H8140" s="1">
        <v>-1.675096E-6</v>
      </c>
      <c r="I8140">
        <v>52.713320000000003</v>
      </c>
      <c r="J8140">
        <v>-187.673</v>
      </c>
      <c r="K8140">
        <v>1.111065</v>
      </c>
      <c r="L8140">
        <v>21.13599</v>
      </c>
      <c r="M8140">
        <v>2.5338570000000001E-2</v>
      </c>
      <c r="N8140">
        <v>0</v>
      </c>
      <c r="O8140">
        <v>0.99963139999999995</v>
      </c>
      <c r="P8140">
        <v>3.1845180000000001E-2</v>
      </c>
      <c r="Q8140">
        <v>0.20801510000000001</v>
      </c>
      <c r="R8140">
        <v>0.97760709999999995</v>
      </c>
      <c r="S8140">
        <v>-3.1555180000000002E-2</v>
      </c>
      <c r="T8140">
        <v>-0.1076517</v>
      </c>
      <c r="U8140">
        <v>3.0936889999999999</v>
      </c>
      <c r="V8140">
        <v>6.373348E-3</v>
      </c>
      <c r="W8140">
        <v>0.21756049999999999</v>
      </c>
      <c r="X8140">
        <v>0.97602610000000001</v>
      </c>
      <c r="Y8140">
        <v>-3.5528339999999999E-2</v>
      </c>
      <c r="Z8140">
        <v>-3.4747519999999997E-2</v>
      </c>
      <c r="AA8140">
        <v>0.9987644</v>
      </c>
      <c r="AB8140">
        <v>37</v>
      </c>
      <c r="AC8140">
        <v>-0.33379999999999599</v>
      </c>
      <c r="AD8140">
        <v>-1.1110666750960001</v>
      </c>
      <c r="AE8140">
        <v>31.57733</v>
      </c>
      <c r="AF8140">
        <v>-1.13245337025657</v>
      </c>
      <c r="AG8140">
        <v>-1.1110666750960001</v>
      </c>
      <c r="AH8140">
        <v>31.5197141526392</v>
      </c>
      <c r="AI8140">
        <v>92.017533757102498</v>
      </c>
      <c r="AJ8140">
        <v>92.057661469625003</v>
      </c>
      <c r="AK8140">
        <v>31.559615017556801</v>
      </c>
      <c r="AL8140">
        <v>77.434211176288898</v>
      </c>
      <c r="AM8140">
        <v>89.625869890433293</v>
      </c>
      <c r="AN8140">
        <v>1.0000000693030899</v>
      </c>
    </row>
    <row r="8141" spans="1:40" x14ac:dyDescent="0.25">
      <c r="A8141" t="str">
        <f>"20190312172308521"</f>
        <v>20190312172308521</v>
      </c>
      <c r="B8141" t="str">
        <f>"1552382588518484"</f>
        <v>1552382588518484</v>
      </c>
      <c r="C8141" t="s">
        <v>40</v>
      </c>
      <c r="D8141">
        <v>3.2720189999999998</v>
      </c>
      <c r="E8141">
        <v>0.48146119999999998</v>
      </c>
      <c r="F8141" t="s">
        <v>42</v>
      </c>
      <c r="G8141">
        <v>-188.05889999999999</v>
      </c>
      <c r="H8141" s="1">
        <v>-1.5493919999999999E-6</v>
      </c>
      <c r="I8141">
        <v>52.4418199999999</v>
      </c>
      <c r="J8141">
        <v>-187.6651</v>
      </c>
      <c r="K8141">
        <v>1.1111009999999999</v>
      </c>
      <c r="L8141">
        <v>21.49493</v>
      </c>
      <c r="M8141">
        <v>2.3872279999999999E-2</v>
      </c>
      <c r="N8141">
        <v>0</v>
      </c>
      <c r="O8141">
        <v>0.99966739999999998</v>
      </c>
      <c r="P8141">
        <v>3.04818E-2</v>
      </c>
      <c r="Q8141">
        <v>0.2076906</v>
      </c>
      <c r="R8141">
        <v>0.97771949999999996</v>
      </c>
      <c r="S8141">
        <v>-3.8131709999999999E-2</v>
      </c>
      <c r="T8141">
        <v>-0.109784199999999</v>
      </c>
      <c r="U8141">
        <v>3.0933229999999998</v>
      </c>
      <c r="V8141">
        <v>6.4215110000000004E-3</v>
      </c>
      <c r="W8141">
        <v>0.21724360000000001</v>
      </c>
      <c r="X8141">
        <v>0.97609630000000003</v>
      </c>
      <c r="Y8141">
        <v>-3.6186509999999998E-2</v>
      </c>
      <c r="Z8141">
        <v>-3.5440270000000003E-2</v>
      </c>
      <c r="AA8141">
        <v>0.99871639999999995</v>
      </c>
      <c r="AB8141">
        <v>37</v>
      </c>
      <c r="AC8141">
        <v>-0.39379999999999798</v>
      </c>
      <c r="AD8141">
        <v>-1.1111025493919999</v>
      </c>
      <c r="AE8141">
        <v>30.94689</v>
      </c>
      <c r="AF8141">
        <v>-1.1310380118454499</v>
      </c>
      <c r="AG8141">
        <v>-1.1111025493919999</v>
      </c>
      <c r="AH8141">
        <v>30.888857208541801</v>
      </c>
      <c r="AI8141">
        <v>92.058718801971693</v>
      </c>
      <c r="AJ8141">
        <v>92.097026942004504</v>
      </c>
      <c r="AK8141">
        <v>30.929521423862798</v>
      </c>
      <c r="AL8141">
        <v>77.452812270819805</v>
      </c>
      <c r="AM8141">
        <v>89.623069803078295</v>
      </c>
      <c r="AN8141">
        <v>1.00000000220908</v>
      </c>
    </row>
    <row r="8142" spans="1:40" x14ac:dyDescent="0.25">
      <c r="A8142" t="str">
        <f>"20190312172308542"</f>
        <v>20190312172308542</v>
      </c>
      <c r="B8142" t="str">
        <f>"1552382588538005"</f>
        <v>1552382588538005</v>
      </c>
      <c r="C8142" t="s">
        <v>40</v>
      </c>
      <c r="D8142">
        <v>3.3175379999999999</v>
      </c>
      <c r="E8142">
        <v>0.48148229999999997</v>
      </c>
      <c r="F8142" t="s">
        <v>42</v>
      </c>
      <c r="G8142">
        <v>-188.09870000000001</v>
      </c>
      <c r="H8142" s="1">
        <v>-1.6928060000000001E-6</v>
      </c>
      <c r="I8142">
        <v>52.792580000000001</v>
      </c>
      <c r="J8142">
        <v>-187.65780000000001</v>
      </c>
      <c r="K8142">
        <v>1.111132</v>
      </c>
      <c r="L8142">
        <v>21.855440000000002</v>
      </c>
      <c r="M8142">
        <v>2.239638E-2</v>
      </c>
      <c r="N8142">
        <v>0</v>
      </c>
      <c r="O8142">
        <v>0.99970159999999997</v>
      </c>
      <c r="P8142">
        <v>2.9767539999999999E-2</v>
      </c>
      <c r="Q8142">
        <v>0.20729410000000001</v>
      </c>
      <c r="R8142">
        <v>0.97782570000000002</v>
      </c>
      <c r="S8142">
        <v>-4.2846679999999998E-2</v>
      </c>
      <c r="T8142">
        <v>-0.10980570000000001</v>
      </c>
      <c r="U8142">
        <v>3.0930179999999998</v>
      </c>
      <c r="V8142">
        <v>7.132991E-3</v>
      </c>
      <c r="W8142">
        <v>0.21685670000000001</v>
      </c>
      <c r="X8142">
        <v>0.97617739999999997</v>
      </c>
      <c r="Y8142">
        <v>-3.6234490000000001E-2</v>
      </c>
      <c r="Z8142">
        <v>-3.5452110000000002E-2</v>
      </c>
      <c r="AA8142">
        <v>0.99871430000000005</v>
      </c>
      <c r="AB8142">
        <v>37</v>
      </c>
      <c r="AC8142">
        <v>-0.44089999999999901</v>
      </c>
      <c r="AD8142">
        <v>-1.1111336928060001</v>
      </c>
      <c r="AE8142">
        <v>30.937139999999999</v>
      </c>
      <c r="AF8142">
        <v>-1.1322420581063199</v>
      </c>
      <c r="AG8142">
        <v>-1.1111336928060001</v>
      </c>
      <c r="AH8142">
        <v>30.879679152386402</v>
      </c>
      <c r="AI8142">
        <v>92.059384084143204</v>
      </c>
      <c r="AJ8142">
        <v>92.099880717935207</v>
      </c>
      <c r="AK8142">
        <v>30.920400623468002</v>
      </c>
      <c r="AL8142">
        <v>77.475521508622094</v>
      </c>
      <c r="AM8142">
        <v>89.581343507769304</v>
      </c>
      <c r="AN8142">
        <v>1.0000000120831201</v>
      </c>
    </row>
    <row r="8143" spans="1:40" x14ac:dyDescent="0.25">
      <c r="A8143" t="str">
        <f>"20190312172308565"</f>
        <v>20190312172308565</v>
      </c>
      <c r="B8143" t="str">
        <f>"1552382588558501"</f>
        <v>1552382588558501</v>
      </c>
      <c r="C8143" t="s">
        <v>40</v>
      </c>
      <c r="D8143">
        <v>3.2848009999999999</v>
      </c>
      <c r="E8143">
        <v>0.48159400000000002</v>
      </c>
      <c r="F8143" t="s">
        <v>42</v>
      </c>
      <c r="G8143">
        <v>-188.11920000000001</v>
      </c>
      <c r="H8143" s="1">
        <v>-1.629436E-6</v>
      </c>
      <c r="I8143">
        <v>52.653370000000002</v>
      </c>
      <c r="J8143">
        <v>-187.6506</v>
      </c>
      <c r="K8143">
        <v>1.1111530000000001</v>
      </c>
      <c r="L8143">
        <v>22.241820000000001</v>
      </c>
      <c r="M8143">
        <v>2.0813950000000001E-2</v>
      </c>
      <c r="N8143">
        <v>0</v>
      </c>
      <c r="O8143">
        <v>0.9997357</v>
      </c>
      <c r="P8143">
        <v>2.8531239999999999E-2</v>
      </c>
      <c r="Q8143">
        <v>0.2065148</v>
      </c>
      <c r="R8143">
        <v>0.97802739999999999</v>
      </c>
      <c r="S8143">
        <v>-4.6340939999999997E-2</v>
      </c>
      <c r="T8143">
        <v>-0.11159380000000001</v>
      </c>
      <c r="U8143">
        <v>3.0931090000000001</v>
      </c>
      <c r="V8143">
        <v>7.4286869999999998E-3</v>
      </c>
      <c r="W8143">
        <v>0.21608720000000001</v>
      </c>
      <c r="X8143">
        <v>0.97634580000000004</v>
      </c>
      <c r="Y8143">
        <v>-3.5779940000000003E-2</v>
      </c>
      <c r="Z8143">
        <v>-3.6029480000000003E-2</v>
      </c>
      <c r="AA8143">
        <v>0.99870999999999999</v>
      </c>
      <c r="AB8143">
        <v>37</v>
      </c>
      <c r="AC8143">
        <v>-0.46860000000000901</v>
      </c>
      <c r="AD8143">
        <v>-1.111154629436</v>
      </c>
      <c r="AE8143">
        <v>30.411549999999899</v>
      </c>
      <c r="AF8143">
        <v>-1.1000449440883699</v>
      </c>
      <c r="AG8143">
        <v>-1.111154629436</v>
      </c>
      <c r="AH8143">
        <v>30.354694299747699</v>
      </c>
      <c r="AI8143">
        <v>92.095041635826504</v>
      </c>
      <c r="AJ8143">
        <v>92.075473460975999</v>
      </c>
      <c r="AK8143">
        <v>30.394937564019902</v>
      </c>
      <c r="AL8143">
        <v>77.520681154306203</v>
      </c>
      <c r="AM8143">
        <v>89.564064085520002</v>
      </c>
      <c r="AN8143">
        <v>0.999999992286012</v>
      </c>
    </row>
    <row r="8144" spans="1:40" x14ac:dyDescent="0.25">
      <c r="A8144" t="str">
        <f>"20190312172308588"</f>
        <v>20190312172308588</v>
      </c>
      <c r="B8144" t="str">
        <f>"1552382588578021"</f>
        <v>1552382588578021</v>
      </c>
      <c r="C8144" t="s">
        <v>40</v>
      </c>
      <c r="D8144">
        <v>3.3763269999999999</v>
      </c>
      <c r="E8144">
        <v>0.48164180000000001</v>
      </c>
      <c r="F8144" t="s">
        <v>42</v>
      </c>
      <c r="G8144">
        <v>-188.1328</v>
      </c>
      <c r="H8144" s="1">
        <v>-1.355185E-6</v>
      </c>
      <c r="I8144">
        <v>52.019680000000001</v>
      </c>
      <c r="J8144">
        <v>-187.64400000000001</v>
      </c>
      <c r="K8144">
        <v>1.1111709999999999</v>
      </c>
      <c r="L8144">
        <v>22.622859999999999</v>
      </c>
      <c r="M8144">
        <v>1.9254299999999998E-2</v>
      </c>
      <c r="N8144">
        <v>0</v>
      </c>
      <c r="O8144">
        <v>0.99976679999999996</v>
      </c>
      <c r="P8144">
        <v>2.700698E-2</v>
      </c>
      <c r="Q8144">
        <v>0.20598739999999999</v>
      </c>
      <c r="R8144">
        <v>0.97818190000000005</v>
      </c>
      <c r="S8144">
        <v>-5.0094600000000003E-2</v>
      </c>
      <c r="T8144">
        <v>-0.1154232</v>
      </c>
      <c r="U8144">
        <v>3.0932309999999998</v>
      </c>
      <c r="V8144">
        <v>7.41777199999999E-3</v>
      </c>
      <c r="W8144">
        <v>0.21556810000000001</v>
      </c>
      <c r="X8144">
        <v>0.97646060000000001</v>
      </c>
      <c r="Y8144">
        <v>-3.5431219999999999E-2</v>
      </c>
      <c r="Z8144">
        <v>-3.72643E-2</v>
      </c>
      <c r="AA8144">
        <v>0.99867709999999998</v>
      </c>
      <c r="AB8144">
        <v>37</v>
      </c>
      <c r="AC8144">
        <v>-0.48879999999999701</v>
      </c>
      <c r="AD8144">
        <v>-1.1111723551849999</v>
      </c>
      <c r="AE8144">
        <v>29.396820000000002</v>
      </c>
      <c r="AF8144">
        <v>-1.05324719929595</v>
      </c>
      <c r="AG8144">
        <v>-1.1111723551849999</v>
      </c>
      <c r="AH8144">
        <v>29.3400493299592</v>
      </c>
      <c r="AI8144">
        <v>92.1674861480045</v>
      </c>
      <c r="AJ8144">
        <v>92.055917375003503</v>
      </c>
      <c r="AK8144">
        <v>29.379968147535301</v>
      </c>
      <c r="AL8144">
        <v>77.551140964920606</v>
      </c>
      <c r="AM8144">
        <v>89.564755757876796</v>
      </c>
      <c r="AN8144">
        <v>0.99999996621570597</v>
      </c>
    </row>
    <row r="8145" spans="1:40" x14ac:dyDescent="0.25">
      <c r="A8145" t="str">
        <f>"20190312172308610"</f>
        <v>20190312172308610</v>
      </c>
      <c r="B8145" t="str">
        <f>"1552382588598520"</f>
        <v>1552382588598520</v>
      </c>
      <c r="C8145" t="s">
        <v>40</v>
      </c>
      <c r="D8145">
        <v>3.241088</v>
      </c>
      <c r="E8145">
        <v>0.4817652</v>
      </c>
      <c r="F8145" t="s">
        <v>42</v>
      </c>
      <c r="G8145">
        <v>-188.15790000000001</v>
      </c>
      <c r="H8145" s="1">
        <v>-1.1710680000000001E-6</v>
      </c>
      <c r="I8145">
        <v>51.60087</v>
      </c>
      <c r="J8145">
        <v>-187.63839999999999</v>
      </c>
      <c r="K8145">
        <v>1.1111879999999901</v>
      </c>
      <c r="L8145">
        <v>22.983090000000001</v>
      </c>
      <c r="M8145">
        <v>1.7780609999999999E-2</v>
      </c>
      <c r="N8145">
        <v>0</v>
      </c>
      <c r="O8145">
        <v>0.99979410000000002</v>
      </c>
      <c r="P8145">
        <v>2.5915179999999999E-2</v>
      </c>
      <c r="Q8145">
        <v>0.20541909999999999</v>
      </c>
      <c r="R8145">
        <v>0.9783309</v>
      </c>
      <c r="S8145">
        <v>-5.4855349999999997E-2</v>
      </c>
      <c r="T8145">
        <v>-0.1186181</v>
      </c>
      <c r="U8145">
        <v>3.0934140000000001</v>
      </c>
      <c r="V8145">
        <v>7.7585019999999996E-3</v>
      </c>
      <c r="W8145">
        <v>0.2150088</v>
      </c>
      <c r="X8145">
        <v>0.97658129999999999</v>
      </c>
      <c r="Y8145">
        <v>-3.549302E-2</v>
      </c>
      <c r="Z8145">
        <v>-3.8293050000000002E-2</v>
      </c>
      <c r="AA8145">
        <v>0.99863599999999997</v>
      </c>
      <c r="AB8145">
        <v>37</v>
      </c>
      <c r="AC8145">
        <v>-0.51950000000002206</v>
      </c>
      <c r="AD8145">
        <v>-1.11118917106799</v>
      </c>
      <c r="AE8145">
        <v>28.61778</v>
      </c>
      <c r="AF8145">
        <v>-1.02673631534604</v>
      </c>
      <c r="AG8145">
        <v>-1.11118917106799</v>
      </c>
      <c r="AH8145">
        <v>28.5609718646133</v>
      </c>
      <c r="AI8145">
        <v>92.226581047843595</v>
      </c>
      <c r="AJ8145">
        <v>92.058835251132905</v>
      </c>
      <c r="AK8145">
        <v>28.601014714278602</v>
      </c>
      <c r="AL8145">
        <v>77.583956506026098</v>
      </c>
      <c r="AM8145">
        <v>89.544820213122094</v>
      </c>
      <c r="AN8145">
        <v>1.0000000069702</v>
      </c>
    </row>
    <row r="8146" spans="1:40" x14ac:dyDescent="0.25">
      <c r="A8146" t="str">
        <f>"20190312172308631"</f>
        <v>20190312172308631</v>
      </c>
      <c r="B8146" t="str">
        <f>"1552382588628774"</f>
        <v>1552382588628774</v>
      </c>
      <c r="C8146" t="s">
        <v>40</v>
      </c>
      <c r="D8146">
        <v>3.2713019999999999</v>
      </c>
      <c r="E8146">
        <v>0.48197889999999999</v>
      </c>
      <c r="F8146" t="s">
        <v>42</v>
      </c>
      <c r="G8146">
        <v>-188.16419999999999</v>
      </c>
      <c r="H8146" s="1">
        <v>-1.0096550000000001E-6</v>
      </c>
      <c r="I8146">
        <v>51.179630000000003</v>
      </c>
      <c r="J8146">
        <v>-187.63339999999999</v>
      </c>
      <c r="K8146">
        <v>1.1111979999999999</v>
      </c>
      <c r="L8146">
        <v>23.333559999999999</v>
      </c>
      <c r="M8146">
        <v>1.634729E-2</v>
      </c>
      <c r="N8146">
        <v>0</v>
      </c>
      <c r="O8146">
        <v>0.99981850000000005</v>
      </c>
      <c r="P8146">
        <v>2.5057599999999999E-2</v>
      </c>
      <c r="Q8146">
        <v>0.2042129</v>
      </c>
      <c r="R8146">
        <v>0.97860570000000002</v>
      </c>
      <c r="S8146">
        <v>-5.7693479999999998E-2</v>
      </c>
      <c r="T8146">
        <v>-0.12191340000000001</v>
      </c>
      <c r="U8146">
        <v>3.0935670000000002</v>
      </c>
      <c r="V8146">
        <v>8.2963840000000004E-3</v>
      </c>
      <c r="W8146">
        <v>0.21381320000000001</v>
      </c>
      <c r="X8146">
        <v>0.97683929999999997</v>
      </c>
      <c r="Y8146">
        <v>-3.497455E-2</v>
      </c>
      <c r="Z8146">
        <v>-3.9354779999999999E-2</v>
      </c>
      <c r="AA8146">
        <v>0.99861299999999997</v>
      </c>
      <c r="AB8146">
        <v>37</v>
      </c>
      <c r="AC8146">
        <v>-0.53079999999999905</v>
      </c>
      <c r="AD8146">
        <v>-1.111199009655</v>
      </c>
      <c r="AE8146">
        <v>27.846069999999902</v>
      </c>
      <c r="AF8146">
        <v>-0.98439164780895905</v>
      </c>
      <c r="AG8146">
        <v>-1.111199009655</v>
      </c>
      <c r="AH8146">
        <v>27.789434931619901</v>
      </c>
      <c r="AI8146">
        <v>92.288397366068395</v>
      </c>
      <c r="AJ8146">
        <v>92.028753507454795</v>
      </c>
      <c r="AK8146">
        <v>27.829058266029602</v>
      </c>
      <c r="AL8146">
        <v>77.654089900869195</v>
      </c>
      <c r="AM8146">
        <v>89.513393493115004</v>
      </c>
      <c r="AN8146">
        <v>0.99999996625310195</v>
      </c>
    </row>
    <row r="8147" spans="1:40" x14ac:dyDescent="0.25">
      <c r="A8147" t="str">
        <f>"20190312172308656"</f>
        <v>20190312172308656</v>
      </c>
      <c r="B8147" t="str">
        <f>"1552382588648293"</f>
        <v>1552382588648293</v>
      </c>
      <c r="C8147" t="s">
        <v>40</v>
      </c>
      <c r="D8147">
        <v>3.2661630000000001</v>
      </c>
      <c r="E8147">
        <v>0.48216229999999899</v>
      </c>
      <c r="F8147" t="s">
        <v>42</v>
      </c>
      <c r="G8147">
        <v>-188.1515</v>
      </c>
      <c r="H8147" s="1">
        <v>-6.9873239999999998E-7</v>
      </c>
      <c r="I8147">
        <v>50.256030000000003</v>
      </c>
      <c r="J8147">
        <v>-187.6284</v>
      </c>
      <c r="K8147">
        <v>1.1112059999999999</v>
      </c>
      <c r="L8147">
        <v>23.728729999999999</v>
      </c>
      <c r="M8147">
        <v>1.4731350000000001E-2</v>
      </c>
      <c r="N8147">
        <v>0</v>
      </c>
      <c r="O8147">
        <v>0.9998435</v>
      </c>
      <c r="P8147">
        <v>2.400381E-2</v>
      </c>
      <c r="Q8147">
        <v>0.20375170000000001</v>
      </c>
      <c r="R8147">
        <v>0.9787283</v>
      </c>
      <c r="S8147">
        <v>-5.9539790000000002E-2</v>
      </c>
      <c r="T8147">
        <v>-0.12769140000000001</v>
      </c>
      <c r="U8147">
        <v>3.09375</v>
      </c>
      <c r="V8147">
        <v>8.8178400000000004E-3</v>
      </c>
      <c r="W8147">
        <v>0.2133623</v>
      </c>
      <c r="X8147">
        <v>0.97693339999999995</v>
      </c>
      <c r="Y8147">
        <v>-3.3952499999999997E-2</v>
      </c>
      <c r="Z8147">
        <v>-4.121648E-2</v>
      </c>
      <c r="AA8147">
        <v>0.99857320000000005</v>
      </c>
      <c r="AB8147">
        <v>37</v>
      </c>
      <c r="AC8147">
        <v>-0.52309999999999901</v>
      </c>
      <c r="AD8147">
        <v>-1.1112066987324001</v>
      </c>
      <c r="AE8147">
        <v>26.5273</v>
      </c>
      <c r="AF8147">
        <v>-0.91224482784934102</v>
      </c>
      <c r="AG8147">
        <v>-1.1112066987324001</v>
      </c>
      <c r="AH8147">
        <v>26.4702854149422</v>
      </c>
      <c r="AI8147">
        <v>92.402406471973407</v>
      </c>
      <c r="AJ8147">
        <v>91.973801932086502</v>
      </c>
      <c r="AK8147">
        <v>26.5092998945982</v>
      </c>
      <c r="AL8147">
        <v>77.680535821578403</v>
      </c>
      <c r="AM8147">
        <v>89.482860042490003</v>
      </c>
      <c r="AN8147">
        <v>1.00000004669955</v>
      </c>
    </row>
    <row r="8148" spans="1:40" x14ac:dyDescent="0.25">
      <c r="A8148" t="str">
        <f>"20190312172308679"</f>
        <v>20190312172308679</v>
      </c>
      <c r="B8148" t="str">
        <f>"1552382588668789"</f>
        <v>1552382588668789</v>
      </c>
      <c r="C8148" t="s">
        <v>40</v>
      </c>
      <c r="D8148">
        <v>3.2795230000000002</v>
      </c>
      <c r="E8148">
        <v>0.48229840000000002</v>
      </c>
      <c r="F8148" t="s">
        <v>42</v>
      </c>
      <c r="G8148">
        <v>-188.15809999999999</v>
      </c>
      <c r="H8148" s="1">
        <v>-6.2555629999999997E-7</v>
      </c>
      <c r="I8148">
        <v>50.046120000000002</v>
      </c>
      <c r="J8148">
        <v>-187.624</v>
      </c>
      <c r="K8148">
        <v>1.111213</v>
      </c>
      <c r="L8148">
        <v>24.119540000000001</v>
      </c>
      <c r="M8148">
        <v>1.3133519999999999E-2</v>
      </c>
      <c r="N8148">
        <v>0</v>
      </c>
      <c r="O8148">
        <v>0.99986569999999997</v>
      </c>
      <c r="P8148">
        <v>2.2973759999999999E-2</v>
      </c>
      <c r="Q8148">
        <v>0.20315949999999999</v>
      </c>
      <c r="R8148">
        <v>0.97887610000000003</v>
      </c>
      <c r="S8148">
        <v>-6.2271119999999999E-2</v>
      </c>
      <c r="T8148">
        <v>-0.130636</v>
      </c>
      <c r="U8148">
        <v>3.0939329999999998</v>
      </c>
      <c r="V8148">
        <v>9.3470610000000003E-3</v>
      </c>
      <c r="W8148">
        <v>0.21278050000000001</v>
      </c>
      <c r="X8148">
        <v>0.97705529999999996</v>
      </c>
      <c r="Y8148">
        <v>-3.3234640000000003E-2</v>
      </c>
      <c r="Z8148">
        <v>-4.2164319999999998E-2</v>
      </c>
      <c r="AA8148">
        <v>0.99855769999999999</v>
      </c>
      <c r="AB8148">
        <v>37</v>
      </c>
      <c r="AC8148">
        <v>-0.53409999999996605</v>
      </c>
      <c r="AD8148">
        <v>-1.1112136255562901</v>
      </c>
      <c r="AE8148">
        <v>25.926579999999898</v>
      </c>
      <c r="AF8148">
        <v>-0.87297459113678899</v>
      </c>
      <c r="AG8148">
        <v>-1.1112136255562901</v>
      </c>
      <c r="AH8148">
        <v>25.869826489819999</v>
      </c>
      <c r="AI8148">
        <v>92.458175942707896</v>
      </c>
      <c r="AJ8148">
        <v>91.932706711460597</v>
      </c>
      <c r="AK8148">
        <v>25.908392520026901</v>
      </c>
      <c r="AL8148">
        <v>77.714653190333493</v>
      </c>
      <c r="AM8148">
        <v>89.451893040807207</v>
      </c>
      <c r="AN8148">
        <v>0.99999998399383805</v>
      </c>
    </row>
    <row r="8149" spans="1:40" x14ac:dyDescent="0.25">
      <c r="A8149" t="str">
        <f>"20190312172308700"</f>
        <v>20190312172308700</v>
      </c>
      <c r="B8149" t="str">
        <f>"1552382588688311"</f>
        <v>1552382588688311</v>
      </c>
      <c r="C8149" t="s">
        <v>40</v>
      </c>
      <c r="D8149">
        <v>3.2854619999999999</v>
      </c>
      <c r="E8149">
        <v>0.48239389999999999</v>
      </c>
      <c r="F8149" t="s">
        <v>42</v>
      </c>
      <c r="G8149">
        <v>-188.16829999999999</v>
      </c>
      <c r="H8149" s="1">
        <v>-5.6068399999999997E-7</v>
      </c>
      <c r="I8149">
        <v>49.863489999999999</v>
      </c>
      <c r="J8149">
        <v>-187.6207</v>
      </c>
      <c r="K8149">
        <v>1.11121</v>
      </c>
      <c r="L8149">
        <v>24.46161</v>
      </c>
      <c r="M8149">
        <v>1.1734710000000001E-2</v>
      </c>
      <c r="N8149">
        <v>0</v>
      </c>
      <c r="O8149">
        <v>0.99988310000000002</v>
      </c>
      <c r="P8149">
        <v>2.1981870000000001E-2</v>
      </c>
      <c r="Q8149">
        <v>0.20235130000000001</v>
      </c>
      <c r="R8149">
        <v>0.97906629999999994</v>
      </c>
      <c r="S8149">
        <v>-6.5414429999999996E-2</v>
      </c>
      <c r="T8149">
        <v>-0.13354929999999901</v>
      </c>
      <c r="U8149">
        <v>3.0939939999999999</v>
      </c>
      <c r="V8149">
        <v>9.7218630000000007E-3</v>
      </c>
      <c r="W8149">
        <v>0.21198130000000001</v>
      </c>
      <c r="X8149">
        <v>0.97722540000000002</v>
      </c>
      <c r="Y8149">
        <v>-3.2849219999999998E-2</v>
      </c>
      <c r="Z8149">
        <v>-4.3103009999999997E-2</v>
      </c>
      <c r="AA8149">
        <v>0.99853040000000004</v>
      </c>
      <c r="AB8149">
        <v>37</v>
      </c>
      <c r="AC8149">
        <v>-0.54759999999998799</v>
      </c>
      <c r="AD8149">
        <v>-1.1112105606839999</v>
      </c>
      <c r="AE8149">
        <v>25.401879999999998</v>
      </c>
      <c r="AF8149">
        <v>-0.84404585608120497</v>
      </c>
      <c r="AG8149">
        <v>-1.1112105606839999</v>
      </c>
      <c r="AH8149">
        <v>25.345225380402098</v>
      </c>
      <c r="AI8149">
        <v>92.509021707860498</v>
      </c>
      <c r="AJ8149">
        <v>91.907357260129203</v>
      </c>
      <c r="AK8149">
        <v>25.383609906802501</v>
      </c>
      <c r="AL8149">
        <v>77.761513619213304</v>
      </c>
      <c r="AM8149">
        <v>89.430015487114702</v>
      </c>
      <c r="AN8149">
        <v>1.0000000342875099</v>
      </c>
    </row>
    <row r="8150" spans="1:40" x14ac:dyDescent="0.25">
      <c r="A8150" t="str">
        <f>"20190312172308721"</f>
        <v>20190312172308721</v>
      </c>
      <c r="B8150" t="str">
        <f>"1552382588718565"</f>
        <v>1552382588718565</v>
      </c>
      <c r="C8150" t="s">
        <v>40</v>
      </c>
      <c r="D8150">
        <v>3.2887140000000001</v>
      </c>
      <c r="E8150">
        <v>0.48258519999999999</v>
      </c>
      <c r="F8150" t="s">
        <v>42</v>
      </c>
      <c r="G8150">
        <v>-188.16980000000001</v>
      </c>
      <c r="H8150" s="1">
        <v>-4.5874539999999997E-6</v>
      </c>
      <c r="I8150">
        <v>49.569470000000003</v>
      </c>
      <c r="J8150">
        <v>-187.61779999999999</v>
      </c>
      <c r="K8150">
        <v>1.1112139999999999</v>
      </c>
      <c r="L8150">
        <v>24.823329999999999</v>
      </c>
      <c r="M8150">
        <v>1.0255759999999999E-2</v>
      </c>
      <c r="N8150">
        <v>0</v>
      </c>
      <c r="O8150">
        <v>0.99989930000000005</v>
      </c>
      <c r="P8150">
        <v>2.0951870000000001E-2</v>
      </c>
      <c r="Q8150">
        <v>0.20204630000000001</v>
      </c>
      <c r="R8150">
        <v>0.97915180000000002</v>
      </c>
      <c r="S8150">
        <v>-6.7657469999999997E-2</v>
      </c>
      <c r="T8150">
        <v>-0.13693150000000001</v>
      </c>
      <c r="U8150">
        <v>3.0939640000000002</v>
      </c>
      <c r="V8150">
        <v>1.0137119999999999E-2</v>
      </c>
      <c r="W8150">
        <v>0.21168490000000001</v>
      </c>
      <c r="X8150">
        <v>0.97728539999999997</v>
      </c>
      <c r="Y8150">
        <v>-3.209364E-2</v>
      </c>
      <c r="Z8150">
        <v>-4.4194209999999998E-2</v>
      </c>
      <c r="AA8150">
        <v>0.99850729999999999</v>
      </c>
      <c r="AB8150">
        <v>37</v>
      </c>
      <c r="AC8150">
        <v>-0.55200000000002003</v>
      </c>
      <c r="AD8150">
        <v>-1.1112185874539999</v>
      </c>
      <c r="AE8150">
        <v>24.74614</v>
      </c>
      <c r="AF8150">
        <v>-0.80415293366283003</v>
      </c>
      <c r="AG8150">
        <v>-1.1112185874539999</v>
      </c>
      <c r="AH8150">
        <v>24.689417154988099</v>
      </c>
      <c r="AI8150">
        <v>92.575659021072994</v>
      </c>
      <c r="AJ8150">
        <v>91.865507251881695</v>
      </c>
      <c r="AK8150">
        <v>24.727490534683199</v>
      </c>
      <c r="AL8150">
        <v>77.778890083417707</v>
      </c>
      <c r="AM8150">
        <v>89.405707520918199</v>
      </c>
      <c r="AN8150">
        <v>1.0000000055715299</v>
      </c>
    </row>
    <row r="8151" spans="1:40" x14ac:dyDescent="0.25">
      <c r="A8151" t="str">
        <f>"20190312172308743"</f>
        <v>20190312172308743</v>
      </c>
      <c r="B8151" t="str">
        <f>"1552382588738085"</f>
        <v>1552382588738085</v>
      </c>
      <c r="C8151" t="s">
        <v>40</v>
      </c>
      <c r="D8151">
        <v>3.3881600000000001</v>
      </c>
      <c r="E8151">
        <v>0.4827359</v>
      </c>
      <c r="F8151" t="s">
        <v>42</v>
      </c>
      <c r="G8151">
        <v>-188.17250000000001</v>
      </c>
      <c r="H8151" s="1">
        <v>-4.5627070000000004E-6</v>
      </c>
      <c r="I8151">
        <v>49.512920000000001</v>
      </c>
      <c r="J8151">
        <v>-187.61529999999999</v>
      </c>
      <c r="K8151">
        <v>1.1112219999999999</v>
      </c>
      <c r="L8151">
        <v>25.1965</v>
      </c>
      <c r="M8151">
        <v>8.7301299999999991E-3</v>
      </c>
      <c r="N8151">
        <v>0</v>
      </c>
      <c r="O8151">
        <v>0.99991370000000002</v>
      </c>
      <c r="P8151">
        <v>2.007308E-2</v>
      </c>
      <c r="Q8151">
        <v>0.2019774</v>
      </c>
      <c r="R8151">
        <v>0.97918439999999995</v>
      </c>
      <c r="S8151">
        <v>-6.9519040000000004E-2</v>
      </c>
      <c r="T8151">
        <v>-0.139257299999999</v>
      </c>
      <c r="U8151">
        <v>3.0940859999999999</v>
      </c>
      <c r="V8151">
        <v>1.0749470000000001E-2</v>
      </c>
      <c r="W8151">
        <v>0.21162529999999999</v>
      </c>
      <c r="X8151">
        <v>0.97729180000000004</v>
      </c>
      <c r="Y8151">
        <v>-3.1167489999999999E-2</v>
      </c>
      <c r="Z8151">
        <v>-4.4942919999999997E-2</v>
      </c>
      <c r="AA8151">
        <v>0.99850329999999998</v>
      </c>
      <c r="AB8151">
        <v>37</v>
      </c>
      <c r="AC8151">
        <v>-0.55720000000002201</v>
      </c>
      <c r="AD8151">
        <v>-1.1112265627069999</v>
      </c>
      <c r="AE8151">
        <v>24.316420000000001</v>
      </c>
      <c r="AF8151">
        <v>-0.76787174898140997</v>
      </c>
      <c r="AG8151">
        <v>-1.1112265627069999</v>
      </c>
      <c r="AH8151">
        <v>24.259991513762799</v>
      </c>
      <c r="AI8151">
        <v>92.621283627751197</v>
      </c>
      <c r="AJ8151">
        <v>91.812907768207197</v>
      </c>
      <c r="AK8151">
        <v>24.297564481741698</v>
      </c>
      <c r="AL8151">
        <v>77.782384503804096</v>
      </c>
      <c r="AM8151">
        <v>89.369815210816299</v>
      </c>
      <c r="AN8151">
        <v>1.0000000405263001</v>
      </c>
    </row>
    <row r="8152" spans="1:40" x14ac:dyDescent="0.25">
      <c r="A8152" t="str">
        <f>"20190312172308767"</f>
        <v>20190312172308767</v>
      </c>
      <c r="B8152" t="str">
        <f>"1552382588758582"</f>
        <v>1552382588758582</v>
      </c>
      <c r="C8152" t="s">
        <v>40</v>
      </c>
      <c r="D8152">
        <v>3.357729</v>
      </c>
      <c r="E8152">
        <v>0.52034599999999998</v>
      </c>
      <c r="F8152" t="s">
        <v>42</v>
      </c>
      <c r="G8152">
        <v>-188.1747</v>
      </c>
      <c r="H8152" s="1">
        <v>-4.8396489999999999E-7</v>
      </c>
      <c r="I8152">
        <v>49.643070000000002</v>
      </c>
      <c r="J8152">
        <v>-187.61330000000001</v>
      </c>
      <c r="K8152">
        <v>1.1112169999999999</v>
      </c>
      <c r="L8152">
        <v>25.594239999999999</v>
      </c>
      <c r="M8152">
        <v>7.1044719999999997E-3</v>
      </c>
      <c r="N8152">
        <v>0</v>
      </c>
      <c r="O8152">
        <v>0.99992639999999999</v>
      </c>
      <c r="P8152">
        <v>1.9562969999999999E-2</v>
      </c>
      <c r="Q8152">
        <v>0.20148650000000001</v>
      </c>
      <c r="R8152">
        <v>0.9792959</v>
      </c>
      <c r="S8152">
        <v>-7.0800779999999994E-2</v>
      </c>
      <c r="T8152">
        <v>-0.1406491</v>
      </c>
      <c r="U8152">
        <v>3.0942379999999998</v>
      </c>
      <c r="V8152">
        <v>1.1829630000000001E-2</v>
      </c>
      <c r="W8152">
        <v>0.21114659999999999</v>
      </c>
      <c r="X8152">
        <v>0.9773828</v>
      </c>
      <c r="Y8152">
        <v>-2.99543E-2</v>
      </c>
      <c r="Z8152">
        <v>-4.5390449999999999E-2</v>
      </c>
      <c r="AA8152">
        <v>0.99852010000000002</v>
      </c>
      <c r="AB8152">
        <v>37</v>
      </c>
      <c r="AC8152">
        <v>-0.56139999999999102</v>
      </c>
      <c r="AD8152">
        <v>-1.1112174839648901</v>
      </c>
      <c r="AE8152">
        <v>24.048829999999999</v>
      </c>
      <c r="AF8152">
        <v>-0.73068911717643403</v>
      </c>
      <c r="AG8152">
        <v>-1.1112174839648901</v>
      </c>
      <c r="AH8152">
        <v>23.9930356886589</v>
      </c>
      <c r="AI8152">
        <v>92.650484391727005</v>
      </c>
      <c r="AJ8152">
        <v>91.744358966140297</v>
      </c>
      <c r="AK8152">
        <v>24.029866259300899</v>
      </c>
      <c r="AL8152">
        <v>77.810445389145798</v>
      </c>
      <c r="AM8152">
        <v>89.306561586360701</v>
      </c>
      <c r="AN8152">
        <v>0.99999998228666798</v>
      </c>
    </row>
    <row r="8153" spans="1:40" x14ac:dyDescent="0.25">
      <c r="A8153" t="str">
        <f>"20190312172308788"</f>
        <v>20190312172308788</v>
      </c>
      <c r="B8153" t="str">
        <f>"1552382588778101"</f>
        <v>1552382588778101</v>
      </c>
      <c r="C8153" t="s">
        <v>40</v>
      </c>
      <c r="D8153">
        <v>3.3596180000000002</v>
      </c>
      <c r="E8153">
        <v>0.52924169999999904</v>
      </c>
      <c r="F8153" t="s">
        <v>41</v>
      </c>
      <c r="G8153">
        <v>-187.54669999999999</v>
      </c>
      <c r="H8153">
        <v>0.98065579999999997</v>
      </c>
      <c r="I8153">
        <v>26.50647</v>
      </c>
      <c r="J8153">
        <v>-187.6121</v>
      </c>
      <c r="K8153">
        <v>1.111218</v>
      </c>
      <c r="L8153">
        <v>25.95007</v>
      </c>
      <c r="M8153">
        <v>5.6501299999999997E-3</v>
      </c>
      <c r="N8153">
        <v>0</v>
      </c>
      <c r="O8153">
        <v>0.99993569999999998</v>
      </c>
      <c r="P8153">
        <v>1.8562990000000001E-2</v>
      </c>
      <c r="Q8153">
        <v>0.20164280000000001</v>
      </c>
      <c r="R8153">
        <v>0.97928320000000002</v>
      </c>
      <c r="S8153">
        <v>0.23005680000000001</v>
      </c>
      <c r="T8153">
        <v>-0.4510942</v>
      </c>
      <c r="U8153">
        <v>3.1516419999999998</v>
      </c>
      <c r="V8153">
        <v>1.225133E-2</v>
      </c>
      <c r="W8153">
        <v>0.21130879999999999</v>
      </c>
      <c r="X8153">
        <v>0.9773425</v>
      </c>
      <c r="Y8153">
        <v>6.6434759999999995E-2</v>
      </c>
      <c r="Z8153">
        <v>-0.141342</v>
      </c>
      <c r="AA8153">
        <v>0.98772910000000003</v>
      </c>
      <c r="AB8153">
        <v>37</v>
      </c>
      <c r="AC8153">
        <v>6.5400000000010894E-2</v>
      </c>
      <c r="AD8153">
        <v>-0.13056219999999899</v>
      </c>
      <c r="AE8153">
        <v>0.55640000000000001</v>
      </c>
      <c r="AF8153">
        <v>5.9048013479054903E-2</v>
      </c>
      <c r="AG8153">
        <v>-0.13056219999999899</v>
      </c>
      <c r="AH8153">
        <v>0.52807923477639196</v>
      </c>
      <c r="AI8153">
        <v>103.80459102143899</v>
      </c>
      <c r="AJ8153">
        <v>83.619883949556595</v>
      </c>
      <c r="AK8153">
        <v>0.54717532306079297</v>
      </c>
      <c r="AL8153">
        <v>77.800936877242506</v>
      </c>
      <c r="AM8153">
        <v>89.281814984056297</v>
      </c>
      <c r="AN8153">
        <v>0.99999993317522695</v>
      </c>
    </row>
    <row r="8154" spans="1:40" x14ac:dyDescent="0.25">
      <c r="A8154" t="str">
        <f>"20190312172308810"</f>
        <v>20190312172308810</v>
      </c>
      <c r="B8154" t="str">
        <f>"1552382588798597"</f>
        <v>1552382588798597</v>
      </c>
      <c r="C8154" t="s">
        <v>40</v>
      </c>
      <c r="D8154">
        <v>3.3761290000000002</v>
      </c>
      <c r="E8154">
        <v>0.53358819999999996</v>
      </c>
      <c r="F8154" t="s">
        <v>41</v>
      </c>
      <c r="G8154">
        <v>-187.5282</v>
      </c>
      <c r="H8154">
        <v>0.97161379999999997</v>
      </c>
      <c r="I8154">
        <v>26.83708</v>
      </c>
      <c r="J8154">
        <v>-187.6114</v>
      </c>
      <c r="K8154">
        <v>1.111221</v>
      </c>
      <c r="L8154">
        <v>26.316929999999999</v>
      </c>
      <c r="M8154">
        <v>4.15103E-3</v>
      </c>
      <c r="N8154">
        <v>0</v>
      </c>
      <c r="O8154">
        <v>0.99994300000000003</v>
      </c>
      <c r="P8154">
        <v>1.7984340000000001E-2</v>
      </c>
      <c r="Q8154">
        <v>0.20127729999999999</v>
      </c>
      <c r="R8154">
        <v>0.97936920000000005</v>
      </c>
      <c r="S8154">
        <v>0.29808040000000002</v>
      </c>
      <c r="T8154">
        <v>-0.4974557</v>
      </c>
      <c r="U8154">
        <v>3.1602480000000002</v>
      </c>
      <c r="V8154">
        <v>1.313974E-2</v>
      </c>
      <c r="W8154">
        <v>0.2109481</v>
      </c>
      <c r="X8154">
        <v>0.97740890000000002</v>
      </c>
      <c r="Y8154">
        <v>8.8638750000000002E-2</v>
      </c>
      <c r="Z8154">
        <v>-0.1548525</v>
      </c>
      <c r="AA8154">
        <v>0.98395319999999997</v>
      </c>
      <c r="AB8154">
        <v>37</v>
      </c>
      <c r="AC8154">
        <v>8.3200000000005006E-2</v>
      </c>
      <c r="AD8154">
        <v>-0.13960719999999899</v>
      </c>
      <c r="AE8154">
        <v>0.520150000000001</v>
      </c>
      <c r="AF8154">
        <v>7.5721327814880904E-2</v>
      </c>
      <c r="AG8154">
        <v>-0.13960719999999899</v>
      </c>
      <c r="AH8154">
        <v>0.48633085134551701</v>
      </c>
      <c r="AI8154">
        <v>105.835706217469</v>
      </c>
      <c r="AJ8154">
        <v>81.150149458194605</v>
      </c>
      <c r="AK8154">
        <v>0.51160686737801397</v>
      </c>
      <c r="AL8154">
        <v>77.822080348336996</v>
      </c>
      <c r="AM8154">
        <v>89.229793899468902</v>
      </c>
      <c r="AN8154">
        <v>0.99999995573004297</v>
      </c>
    </row>
    <row r="8155" spans="1:40" x14ac:dyDescent="0.25">
      <c r="A8155" t="str">
        <f>"20190312172308832"</f>
        <v>20190312172308832</v>
      </c>
      <c r="B8155" t="str">
        <f>"1552382588828088"</f>
        <v>1552382588828088</v>
      </c>
      <c r="C8155" t="s">
        <v>40</v>
      </c>
      <c r="D8155">
        <v>3.3097500000000002</v>
      </c>
      <c r="E8155">
        <v>0.53669679999999997</v>
      </c>
      <c r="F8155" t="s">
        <v>41</v>
      </c>
      <c r="G8155">
        <v>-187.52209999999999</v>
      </c>
      <c r="H8155">
        <v>0.96995100000000001</v>
      </c>
      <c r="I8155">
        <v>27.171810000000001</v>
      </c>
      <c r="J8155">
        <v>-187.61109999999999</v>
      </c>
      <c r="K8155">
        <v>1.111216</v>
      </c>
      <c r="L8155">
        <v>26.692779999999999</v>
      </c>
      <c r="M8155">
        <v>2.6156650000000001E-3</v>
      </c>
      <c r="N8155">
        <v>0</v>
      </c>
      <c r="O8155">
        <v>0.99994830000000001</v>
      </c>
      <c r="P8155">
        <v>1.683393E-2</v>
      </c>
      <c r="Q8155">
        <v>0.20082349999999999</v>
      </c>
      <c r="R8155">
        <v>0.97948279999999999</v>
      </c>
      <c r="S8155">
        <v>0.33030700000000002</v>
      </c>
      <c r="T8155">
        <v>-0.5229684</v>
      </c>
      <c r="U8155">
        <v>3.164612</v>
      </c>
      <c r="V8155">
        <v>1.3492540000000001E-2</v>
      </c>
      <c r="W8155">
        <v>0.21049499999999999</v>
      </c>
      <c r="X8155">
        <v>0.97750179999999998</v>
      </c>
      <c r="Y8155">
        <v>9.9834539999999999E-2</v>
      </c>
      <c r="Z8155">
        <v>-0.16220699999999999</v>
      </c>
      <c r="AA8155">
        <v>0.98169340000000005</v>
      </c>
      <c r="AB8155">
        <v>38</v>
      </c>
      <c r="AC8155">
        <v>8.8999999999998594E-2</v>
      </c>
      <c r="AD8155">
        <v>-0.141264999999999</v>
      </c>
      <c r="AE8155">
        <v>0.47902999999999801</v>
      </c>
      <c r="AF8155">
        <v>8.0942385622752897E-2</v>
      </c>
      <c r="AG8155">
        <v>-0.141264999999999</v>
      </c>
      <c r="AH8155">
        <v>0.44209711511954802</v>
      </c>
      <c r="AI8155">
        <v>107.448418824752</v>
      </c>
      <c r="AJ8155">
        <v>79.624778736494903</v>
      </c>
      <c r="AK8155">
        <v>0.47112347554789602</v>
      </c>
      <c r="AL8155">
        <v>77.848637691495895</v>
      </c>
      <c r="AM8155">
        <v>89.209191731024305</v>
      </c>
      <c r="AN8155">
        <v>0.99999998133194501</v>
      </c>
    </row>
    <row r="8156" spans="1:40" x14ac:dyDescent="0.25">
      <c r="A8156" t="str">
        <f>"20190312172308858"</f>
        <v>20190312172308858</v>
      </c>
      <c r="B8156" t="str">
        <f>"1552382588848584"</f>
        <v>1552382588848584</v>
      </c>
      <c r="C8156" t="s">
        <v>40</v>
      </c>
      <c r="D8156">
        <v>3.3599570000000001</v>
      </c>
      <c r="E8156">
        <v>0.53803120000000004</v>
      </c>
      <c r="F8156" t="s">
        <v>41</v>
      </c>
      <c r="G8156">
        <v>-187.5206</v>
      </c>
      <c r="H8156">
        <v>0.97003479999999997</v>
      </c>
      <c r="I8156">
        <v>27.5077</v>
      </c>
      <c r="J8156">
        <v>-187.61160000000001</v>
      </c>
      <c r="K8156">
        <v>1.1112150000000001</v>
      </c>
      <c r="L8156">
        <v>27.104710000000001</v>
      </c>
      <c r="M8156">
        <v>9.3477549999999995E-4</v>
      </c>
      <c r="N8156">
        <v>0</v>
      </c>
      <c r="O8156">
        <v>0.99995120000000004</v>
      </c>
      <c r="P8156">
        <v>1.557091E-2</v>
      </c>
      <c r="Q8156">
        <v>0.20072400000000001</v>
      </c>
      <c r="R8156">
        <v>0.97952410000000001</v>
      </c>
      <c r="S8156">
        <v>0.35153200000000001</v>
      </c>
      <c r="T8156">
        <v>-0.54913319999999999</v>
      </c>
      <c r="U8156">
        <v>3.1693730000000002</v>
      </c>
      <c r="V8156">
        <v>1.387466E-2</v>
      </c>
      <c r="W8156">
        <v>0.2103952</v>
      </c>
      <c r="X8156">
        <v>0.977518</v>
      </c>
      <c r="Y8156">
        <v>0.1077109</v>
      </c>
      <c r="Z8156">
        <v>-0.16971700000000001</v>
      </c>
      <c r="AA8156">
        <v>0.97958889999999998</v>
      </c>
      <c r="AB8156">
        <v>38</v>
      </c>
      <c r="AC8156">
        <v>9.1000000000008199E-2</v>
      </c>
      <c r="AD8156">
        <v>-0.14118020000000001</v>
      </c>
      <c r="AE8156">
        <v>0.40299000000000201</v>
      </c>
      <c r="AF8156">
        <v>8.1147066879942706E-2</v>
      </c>
      <c r="AG8156">
        <v>-0.14118020000000001</v>
      </c>
      <c r="AH8156">
        <v>0.36092669394813798</v>
      </c>
      <c r="AI8156">
        <v>110.888541241395</v>
      </c>
      <c r="AJ8156">
        <v>77.328900135371498</v>
      </c>
      <c r="AK8156">
        <v>0.39596057094058101</v>
      </c>
      <c r="AL8156">
        <v>77.854487561879296</v>
      </c>
      <c r="AM8156">
        <v>89.186811821701696</v>
      </c>
      <c r="AN8156">
        <v>1.0000000433485701</v>
      </c>
    </row>
    <row r="8157" spans="1:40" x14ac:dyDescent="0.25">
      <c r="A8157" t="str">
        <f>"20190312172308881"</f>
        <v>20190312172308881</v>
      </c>
      <c r="B8157" t="str">
        <f>"1552382588878840"</f>
        <v>1552382588878840</v>
      </c>
      <c r="C8157" t="s">
        <v>40</v>
      </c>
      <c r="D8157">
        <v>3.3294440000000001</v>
      </c>
      <c r="E8157">
        <v>0.53949840000000004</v>
      </c>
      <c r="F8157" t="s">
        <v>41</v>
      </c>
      <c r="G8157">
        <v>-187.5275</v>
      </c>
      <c r="H8157">
        <v>0.98045459999999995</v>
      </c>
      <c r="I8157">
        <v>27.848949999999999</v>
      </c>
      <c r="J8157">
        <v>-187.61259999999999</v>
      </c>
      <c r="K8157">
        <v>1.1112169999999999</v>
      </c>
      <c r="L8157">
        <v>27.494869999999999</v>
      </c>
      <c r="M8157">
        <v>-6.5498770000000002E-4</v>
      </c>
      <c r="N8157">
        <v>0</v>
      </c>
      <c r="O8157">
        <v>0.99995149999999999</v>
      </c>
      <c r="P8157">
        <v>1.464025E-2</v>
      </c>
      <c r="Q8157">
        <v>0.20083989999999999</v>
      </c>
      <c r="R8157">
        <v>0.97951469999999896</v>
      </c>
      <c r="S8157">
        <v>0.35791020000000001</v>
      </c>
      <c r="T8157">
        <v>-0.55720049999999999</v>
      </c>
      <c r="U8157">
        <v>3.1712039999999999</v>
      </c>
      <c r="V8157">
        <v>1.4499629999999999E-2</v>
      </c>
      <c r="W8157">
        <v>0.21051130000000001</v>
      </c>
      <c r="X8157">
        <v>0.97748389999999996</v>
      </c>
      <c r="Y8157">
        <v>0.111130199999999</v>
      </c>
      <c r="Z8157">
        <v>-0.17198949999999999</v>
      </c>
      <c r="AA8157">
        <v>0.97881030000000002</v>
      </c>
      <c r="AB8157">
        <v>38</v>
      </c>
      <c r="AC8157">
        <v>8.5099999999982801E-2</v>
      </c>
      <c r="AD8157">
        <v>-0.130762399999999</v>
      </c>
      <c r="AE8157">
        <v>0.35407999999999601</v>
      </c>
      <c r="AF8157">
        <v>7.5586135879594299E-2</v>
      </c>
      <c r="AG8157">
        <v>-0.130762399999999</v>
      </c>
      <c r="AH8157">
        <v>0.31359100725372002</v>
      </c>
      <c r="AI8157">
        <v>112.06637978215601</v>
      </c>
      <c r="AJ8157">
        <v>76.448255549101106</v>
      </c>
      <c r="AK8157">
        <v>0.34806808101486603</v>
      </c>
      <c r="AL8157">
        <v>77.847682727120599</v>
      </c>
      <c r="AM8157">
        <v>89.150158198518398</v>
      </c>
      <c r="AN8157">
        <v>1.0000000107285101</v>
      </c>
    </row>
    <row r="8158" spans="1:40" x14ac:dyDescent="0.25">
      <c r="A8158" t="str">
        <f>"20190312172308902"</f>
        <v>20190312172308902</v>
      </c>
      <c r="B8158" t="str">
        <f>"1552382588898361"</f>
        <v>1552382588898361</v>
      </c>
      <c r="C8158" t="s">
        <v>40</v>
      </c>
      <c r="D8158">
        <v>3.4243139999999999</v>
      </c>
      <c r="E8158">
        <v>0.54016519999999901</v>
      </c>
      <c r="F8158" t="s">
        <v>41</v>
      </c>
      <c r="G8158">
        <v>-187.49690000000001</v>
      </c>
      <c r="H8158">
        <v>0.93187120000000001</v>
      </c>
      <c r="I8158">
        <v>28.500119999999999</v>
      </c>
      <c r="J8158">
        <v>-187.61410000000001</v>
      </c>
      <c r="K8158">
        <v>1.1112139999999999</v>
      </c>
      <c r="L8158">
        <v>27.845829999999999</v>
      </c>
      <c r="M8158">
        <v>-2.0819050000000002E-3</v>
      </c>
      <c r="N8158">
        <v>0</v>
      </c>
      <c r="O8158">
        <v>0.99994959999999999</v>
      </c>
      <c r="P8158">
        <v>1.357453E-2</v>
      </c>
      <c r="Q8158">
        <v>0.2007959</v>
      </c>
      <c r="R8158">
        <v>0.97953900000000005</v>
      </c>
      <c r="S8158">
        <v>0.36503600000000003</v>
      </c>
      <c r="T8158">
        <v>-0.56618440000000003</v>
      </c>
      <c r="U8158">
        <v>3.1733699999999998</v>
      </c>
      <c r="V8158">
        <v>1.4831179999999999E-2</v>
      </c>
      <c r="W8158">
        <v>0.21046329999999999</v>
      </c>
      <c r="X8158">
        <v>0.97748919999999995</v>
      </c>
      <c r="Y8158">
        <v>0.114592</v>
      </c>
      <c r="Z8158">
        <v>-0.17450669999999999</v>
      </c>
      <c r="AA8158">
        <v>0.97796530000000004</v>
      </c>
      <c r="AB8158">
        <v>38</v>
      </c>
      <c r="AC8158">
        <v>0.117199999999996</v>
      </c>
      <c r="AD8158">
        <v>-0.1793428</v>
      </c>
      <c r="AE8158">
        <v>0.65429000000000304</v>
      </c>
      <c r="AF8158">
        <v>0.110516732076496</v>
      </c>
      <c r="AG8158">
        <v>-0.1793428</v>
      </c>
      <c r="AH8158">
        <v>0.60966312983579496</v>
      </c>
      <c r="AI8158">
        <v>106.14307237484699</v>
      </c>
      <c r="AJ8158">
        <v>79.725278142555098</v>
      </c>
      <c r="AK8158">
        <v>0.64503249519840899</v>
      </c>
      <c r="AL8158">
        <v>77.850495205304298</v>
      </c>
      <c r="AM8158">
        <v>89.130733291322301</v>
      </c>
      <c r="AN8158">
        <v>0.99999995033185896</v>
      </c>
    </row>
    <row r="8159" spans="1:40" x14ac:dyDescent="0.25">
      <c r="A8159" t="str">
        <f>"20190312172308923"</f>
        <v>20190312172308923</v>
      </c>
      <c r="B8159" t="str">
        <f>"1552382588918856"</f>
        <v>1552382588918856</v>
      </c>
      <c r="C8159" t="s">
        <v>40</v>
      </c>
      <c r="D8159">
        <v>3.3211599999999999</v>
      </c>
      <c r="E8159">
        <v>0.54064049999999997</v>
      </c>
      <c r="F8159" t="s">
        <v>41</v>
      </c>
      <c r="G8159">
        <v>-187.49969999999999</v>
      </c>
      <c r="H8159">
        <v>0.93175859999999999</v>
      </c>
      <c r="I8159">
        <v>28.83745</v>
      </c>
      <c r="J8159">
        <v>-187.61619999999999</v>
      </c>
      <c r="K8159">
        <v>1.1112070000000001</v>
      </c>
      <c r="L8159">
        <v>28.221679999999999</v>
      </c>
      <c r="M8159">
        <v>-3.6064349999999998E-3</v>
      </c>
      <c r="N8159">
        <v>0</v>
      </c>
      <c r="O8159">
        <v>0.99994530000000004</v>
      </c>
      <c r="P8159">
        <v>1.231868E-2</v>
      </c>
      <c r="Q8159">
        <v>0.20085710000000001</v>
      </c>
      <c r="R8159">
        <v>0.9795431</v>
      </c>
      <c r="S8159">
        <v>0.36567690000000003</v>
      </c>
      <c r="T8159">
        <v>-0.57470010000000005</v>
      </c>
      <c r="U8159">
        <v>3.1754150000000001</v>
      </c>
      <c r="V8159">
        <v>1.506803E-2</v>
      </c>
      <c r="W8159">
        <v>0.21051690000000001</v>
      </c>
      <c r="X8159">
        <v>0.97747410000000001</v>
      </c>
      <c r="Y8159">
        <v>0.11618000000000001</v>
      </c>
      <c r="Z8159">
        <v>-0.17691989999999999</v>
      </c>
      <c r="AA8159">
        <v>0.9773442</v>
      </c>
      <c r="AB8159">
        <v>38</v>
      </c>
      <c r="AC8159">
        <v>0.116500000000002</v>
      </c>
      <c r="AD8159">
        <v>-0.17944840000000001</v>
      </c>
      <c r="AE8159">
        <v>0.61577000000000104</v>
      </c>
      <c r="AF8159">
        <v>0.109723679946442</v>
      </c>
      <c r="AG8159">
        <v>-0.17944840000000001</v>
      </c>
      <c r="AH8159">
        <v>0.56871597634334903</v>
      </c>
      <c r="AI8159">
        <v>107.21397707409901</v>
      </c>
      <c r="AJ8159">
        <v>79.079965997111302</v>
      </c>
      <c r="AK8159">
        <v>0.60636529909924597</v>
      </c>
      <c r="AL8159">
        <v>77.847354549295702</v>
      </c>
      <c r="AM8159">
        <v>89.116839873901895</v>
      </c>
      <c r="AN8159">
        <v>1.00000001344225</v>
      </c>
    </row>
    <row r="8160" spans="1:40" x14ac:dyDescent="0.25">
      <c r="A8160" t="str">
        <f>"20190312172308946"</f>
        <v>20190312172308946</v>
      </c>
      <c r="B8160" t="str">
        <f>"1552382588938376"</f>
        <v>1552382588938376</v>
      </c>
      <c r="C8160" t="s">
        <v>40</v>
      </c>
      <c r="D8160">
        <v>3.3048839999999902</v>
      </c>
      <c r="E8160">
        <v>0.54100170000000003</v>
      </c>
      <c r="F8160" t="s">
        <v>41</v>
      </c>
      <c r="G8160">
        <v>-187.50630000000001</v>
      </c>
      <c r="H8160">
        <v>0.93690680000000004</v>
      </c>
      <c r="I8160">
        <v>29.177510000000002</v>
      </c>
      <c r="J8160">
        <v>-187.6189</v>
      </c>
      <c r="K8160">
        <v>1.1112029999999999</v>
      </c>
      <c r="L8160">
        <v>28.594570000000001</v>
      </c>
      <c r="M8160">
        <v>-5.1109609999999998E-3</v>
      </c>
      <c r="N8160">
        <v>0</v>
      </c>
      <c r="O8160">
        <v>0.99993880000000002</v>
      </c>
      <c r="P8160">
        <v>1.1071630000000001E-2</v>
      </c>
      <c r="Q8160">
        <v>0.2006589</v>
      </c>
      <c r="R8160">
        <v>0.97959859999999999</v>
      </c>
      <c r="S8160">
        <v>0.3651276</v>
      </c>
      <c r="T8160">
        <v>-0.57933009999999996</v>
      </c>
      <c r="U8160">
        <v>3.1768489999999998</v>
      </c>
      <c r="V8160">
        <v>1.529635E-2</v>
      </c>
      <c r="W8160">
        <v>0.21031130000000001</v>
      </c>
      <c r="X8160">
        <v>0.97751480000000002</v>
      </c>
      <c r="Y8160">
        <v>0.1174304</v>
      </c>
      <c r="Z8160">
        <v>-0.17820899999999901</v>
      </c>
      <c r="AA8160">
        <v>0.97696039999999995</v>
      </c>
      <c r="AB8160">
        <v>38</v>
      </c>
      <c r="AC8160">
        <v>0.112599999999986</v>
      </c>
      <c r="AD8160">
        <v>-0.17429620000000001</v>
      </c>
      <c r="AE8160">
        <v>0.58293999999999702</v>
      </c>
      <c r="AF8160">
        <v>0.106407578066278</v>
      </c>
      <c r="AG8160">
        <v>-0.17429620000000001</v>
      </c>
      <c r="AH8160">
        <v>0.536150074221177</v>
      </c>
      <c r="AI8160">
        <v>107.68587924913901</v>
      </c>
      <c r="AJ8160">
        <v>78.774601884922703</v>
      </c>
      <c r="AK8160">
        <v>0.57372348748482005</v>
      </c>
      <c r="AL8160">
        <v>77.859404195548606</v>
      </c>
      <c r="AM8160">
        <v>89.103497182306398</v>
      </c>
      <c r="AN8160">
        <v>1.00000000272502</v>
      </c>
    </row>
    <row r="8161" spans="1:40" x14ac:dyDescent="0.25">
      <c r="A8161" t="str">
        <f>"20190312172308967"</f>
        <v>20190312172308967</v>
      </c>
      <c r="B8161" t="str">
        <f>"1552382588958872"</f>
        <v>1552382588958872</v>
      </c>
      <c r="C8161" t="s">
        <v>40</v>
      </c>
      <c r="D8161">
        <v>3.3266119999999999</v>
      </c>
      <c r="E8161">
        <v>0.54135659999999997</v>
      </c>
      <c r="F8161" t="s">
        <v>41</v>
      </c>
      <c r="G8161">
        <v>-187.51300000000001</v>
      </c>
      <c r="H8161">
        <v>0.94165049999999995</v>
      </c>
      <c r="I8161">
        <v>29.517779999999998</v>
      </c>
      <c r="J8161">
        <v>-187.62209999999999</v>
      </c>
      <c r="K8161">
        <v>1.1111979999999999</v>
      </c>
      <c r="L8161">
        <v>28.965879999999999</v>
      </c>
      <c r="M8161">
        <v>-6.5957089999999999E-3</v>
      </c>
      <c r="N8161">
        <v>0</v>
      </c>
      <c r="O8161">
        <v>0.99993030000000005</v>
      </c>
      <c r="P8161">
        <v>9.8949680000000005E-3</v>
      </c>
      <c r="Q8161">
        <v>0.20097599999999999</v>
      </c>
      <c r="R8161">
        <v>0.97954620000000003</v>
      </c>
      <c r="S8161">
        <v>0.36410520000000002</v>
      </c>
      <c r="T8161">
        <v>-0.58368109999999995</v>
      </c>
      <c r="U8161">
        <v>3.1779169999999999</v>
      </c>
      <c r="V8161">
        <v>1.557509E-2</v>
      </c>
      <c r="W8161">
        <v>0.21062130000000001</v>
      </c>
      <c r="X8161">
        <v>0.97744359999999997</v>
      </c>
      <c r="Y8161">
        <v>0.1185316</v>
      </c>
      <c r="Z8161">
        <v>-0.17943509999999999</v>
      </c>
      <c r="AA8161">
        <v>0.97660290000000005</v>
      </c>
      <c r="AB8161">
        <v>38</v>
      </c>
      <c r="AC8161">
        <v>0.109099999999983</v>
      </c>
      <c r="AD8161">
        <v>-0.16954749999999899</v>
      </c>
      <c r="AE8161">
        <v>0.55189999999999895</v>
      </c>
      <c r="AF8161">
        <v>0.103350938686168</v>
      </c>
      <c r="AG8161">
        <v>-0.16954749999999899</v>
      </c>
      <c r="AH8161">
        <v>0.50527578828405295</v>
      </c>
      <c r="AI8161">
        <v>108.198163191055</v>
      </c>
      <c r="AJ8161">
        <v>78.439970112473105</v>
      </c>
      <c r="AK8161">
        <v>0.54289169592989095</v>
      </c>
      <c r="AL8161">
        <v>77.841234936358305</v>
      </c>
      <c r="AM8161">
        <v>89.087096784152294</v>
      </c>
      <c r="AN8161">
        <v>0.99999995331157798</v>
      </c>
    </row>
    <row r="8162" spans="1:40" x14ac:dyDescent="0.25">
      <c r="A8162" t="str">
        <f>"20190312172308991"</f>
        <v>20190312172308991</v>
      </c>
      <c r="B8162" t="str">
        <f>"1552382588988164"</f>
        <v>1552382588988164</v>
      </c>
      <c r="C8162" t="s">
        <v>40</v>
      </c>
      <c r="D8162">
        <v>3.496791</v>
      </c>
      <c r="E8162">
        <v>0.54173590000000005</v>
      </c>
      <c r="F8162" t="s">
        <v>41</v>
      </c>
      <c r="G8162">
        <v>-187.52010000000001</v>
      </c>
      <c r="H8162">
        <v>0.94753940000000003</v>
      </c>
      <c r="I8162">
        <v>29.85896</v>
      </c>
      <c r="J8162">
        <v>-187.62610000000001</v>
      </c>
      <c r="K8162">
        <v>1.1111869999999999</v>
      </c>
      <c r="L8162">
        <v>29.36243</v>
      </c>
      <c r="M8162">
        <v>-8.1590610000000004E-3</v>
      </c>
      <c r="N8162">
        <v>0</v>
      </c>
      <c r="O8162">
        <v>0.9999188</v>
      </c>
      <c r="P8162">
        <v>8.461372E-3</v>
      </c>
      <c r="Q8162">
        <v>0.2015518</v>
      </c>
      <c r="R8162">
        <v>0.97944129999999996</v>
      </c>
      <c r="S8162">
        <v>0.36309809999999998</v>
      </c>
      <c r="T8162">
        <v>-0.58246239999999905</v>
      </c>
      <c r="U8162">
        <v>3.1784669999999999</v>
      </c>
      <c r="V8162">
        <v>1.5675519999999998E-2</v>
      </c>
      <c r="W8162">
        <v>0.21118809999999999</v>
      </c>
      <c r="X8162">
        <v>0.97731970000000001</v>
      </c>
      <c r="Y8162">
        <v>0.1197674</v>
      </c>
      <c r="Z8162">
        <v>-0.17902939999999901</v>
      </c>
      <c r="AA8162">
        <v>0.97652660000000002</v>
      </c>
      <c r="AB8162">
        <v>38</v>
      </c>
      <c r="AC8162">
        <v>0.105999999999994</v>
      </c>
      <c r="AD8162">
        <v>-0.1636476</v>
      </c>
      <c r="AE8162">
        <v>0.49652999999999597</v>
      </c>
      <c r="AF8162">
        <v>9.9690995669950003E-2</v>
      </c>
      <c r="AG8162">
        <v>-0.1636476</v>
      </c>
      <c r="AH8162">
        <v>0.44900181215302098</v>
      </c>
      <c r="AI8162">
        <v>109.585829474904</v>
      </c>
      <c r="AJ8162">
        <v>77.481794571667507</v>
      </c>
      <c r="AK8162">
        <v>0.488181788804255</v>
      </c>
      <c r="AL8162">
        <v>77.808012553626298</v>
      </c>
      <c r="AM8162">
        <v>89.081094823672601</v>
      </c>
      <c r="AN8162">
        <v>0.99999996575848404</v>
      </c>
    </row>
    <row r="8163" spans="1:40" x14ac:dyDescent="0.25">
      <c r="A8163" t="str">
        <f>"20190312172309011"</f>
        <v>20190312172309011</v>
      </c>
      <c r="B8163" t="str">
        <f>"1552382589008648"</f>
        <v>1552382589008648</v>
      </c>
      <c r="C8163" t="s">
        <v>40</v>
      </c>
      <c r="D8163">
        <v>3.3109160000000002</v>
      </c>
      <c r="E8163">
        <v>0.54198859999999904</v>
      </c>
      <c r="F8163" t="s">
        <v>41</v>
      </c>
      <c r="G8163">
        <v>-187.53049999999999</v>
      </c>
      <c r="H8163">
        <v>0.95771059999999997</v>
      </c>
      <c r="I8163">
        <v>30.20251</v>
      </c>
      <c r="J8163">
        <v>-187.63</v>
      </c>
      <c r="K8163">
        <v>1.1111709999999999</v>
      </c>
      <c r="L8163">
        <v>29.707280000000001</v>
      </c>
      <c r="M8163">
        <v>-9.4925300000000008E-3</v>
      </c>
      <c r="N8163">
        <v>0</v>
      </c>
      <c r="O8163">
        <v>0.99990710000000005</v>
      </c>
      <c r="P8163">
        <v>7.5542589999999998E-3</v>
      </c>
      <c r="Q8163">
        <v>0.2011772</v>
      </c>
      <c r="R8163">
        <v>0.97952570000000005</v>
      </c>
      <c r="S8163">
        <v>0.36123660000000002</v>
      </c>
      <c r="T8163">
        <v>-0.58088719999999905</v>
      </c>
      <c r="U8163">
        <v>3.1793819999999999</v>
      </c>
      <c r="V8163">
        <v>1.6084600000000001E-2</v>
      </c>
      <c r="W8163">
        <v>0.21080960000000001</v>
      </c>
      <c r="X8163">
        <v>0.97739480000000001</v>
      </c>
      <c r="Y8163">
        <v>0.1205055</v>
      </c>
      <c r="Z8163">
        <v>-0.17850579999999999</v>
      </c>
      <c r="AA8163">
        <v>0.9765317</v>
      </c>
      <c r="AB8163">
        <v>38</v>
      </c>
      <c r="AC8163">
        <v>9.9500000000006097E-2</v>
      </c>
      <c r="AD8163">
        <v>-0.153460399999999</v>
      </c>
      <c r="AE8163">
        <v>0.495229999999999</v>
      </c>
      <c r="AF8163">
        <v>9.5392222343855901E-2</v>
      </c>
      <c r="AG8163">
        <v>-0.153460399999999</v>
      </c>
      <c r="AH8163">
        <v>0.45249846135146299</v>
      </c>
      <c r="AI8163">
        <v>108.358238535049</v>
      </c>
      <c r="AJ8163">
        <v>78.095654899134303</v>
      </c>
      <c r="AK8163">
        <v>0.48724185778451101</v>
      </c>
      <c r="AL8163">
        <v>77.830198898305895</v>
      </c>
      <c r="AM8163">
        <v>89.057191101641706</v>
      </c>
      <c r="AN8163">
        <v>0.99999999843817999</v>
      </c>
    </row>
    <row r="8164" spans="1:40" x14ac:dyDescent="0.25">
      <c r="A8164" t="str">
        <f>"20190312172309025"</f>
        <v>20190312172309025</v>
      </c>
      <c r="B8164" t="str">
        <f>"1552382589018410"</f>
        <v>1552382589018410</v>
      </c>
      <c r="C8164" t="s">
        <v>40</v>
      </c>
      <c r="D8164">
        <v>3.303957</v>
      </c>
      <c r="E8164">
        <v>0.5420895</v>
      </c>
      <c r="F8164" t="s">
        <v>41</v>
      </c>
      <c r="G8164">
        <v>-187.53569999999999</v>
      </c>
      <c r="H8164">
        <v>0.95777599999999996</v>
      </c>
      <c r="I8164">
        <v>30.541810000000002</v>
      </c>
      <c r="J8164">
        <v>-187.63290000000001</v>
      </c>
      <c r="K8164">
        <v>1.111156</v>
      </c>
      <c r="L8164">
        <v>29.9404</v>
      </c>
      <c r="M8164">
        <v>-1.037833E-2</v>
      </c>
      <c r="N8164">
        <v>0</v>
      </c>
      <c r="O8164">
        <v>0.99989830000000002</v>
      </c>
      <c r="P8164">
        <v>6.6537660000000002E-3</v>
      </c>
      <c r="Q8164">
        <v>0.20083519999999999</v>
      </c>
      <c r="R8164">
        <v>0.97960250000000004</v>
      </c>
      <c r="S8164">
        <v>0.3593903</v>
      </c>
      <c r="T8164">
        <v>-0.58452559999999998</v>
      </c>
      <c r="U8164">
        <v>3.1799930000000001</v>
      </c>
      <c r="V8164">
        <v>1.6060709999999999E-2</v>
      </c>
      <c r="W8164">
        <v>0.21046419999999999</v>
      </c>
      <c r="X8164">
        <v>0.97746960000000005</v>
      </c>
      <c r="Y8164">
        <v>0.120782399999999</v>
      </c>
      <c r="Z8164">
        <v>-0.17955470000000001</v>
      </c>
      <c r="AA8164">
        <v>0.97630510000000004</v>
      </c>
      <c r="AB8164">
        <v>38</v>
      </c>
      <c r="AC8164">
        <v>9.7200000000014997E-2</v>
      </c>
      <c r="AD8164">
        <v>-0.15337999999999899</v>
      </c>
      <c r="AE8164">
        <v>0.601409999999997</v>
      </c>
      <c r="AF8164">
        <v>9.7271014334187306E-2</v>
      </c>
      <c r="AG8164">
        <v>-0.15337999999999899</v>
      </c>
      <c r="AH8164">
        <v>0.56458185236901703</v>
      </c>
      <c r="AI8164">
        <v>104.988048948551</v>
      </c>
      <c r="AJ8164">
        <v>80.224559332676904</v>
      </c>
      <c r="AK8164">
        <v>0.59307650657738298</v>
      </c>
      <c r="AL8164">
        <v>77.850442729921397</v>
      </c>
      <c r="AM8164">
        <v>89.058663204262501</v>
      </c>
      <c r="AN8164">
        <v>0.999999972405751</v>
      </c>
    </row>
    <row r="8165" spans="1:40" x14ac:dyDescent="0.25">
      <c r="A8165" t="str">
        <f>"20190312172309045"</f>
        <v>20190312172309045</v>
      </c>
      <c r="B8165" t="str">
        <f>"1552382589038905"</f>
        <v>1552382589038905</v>
      </c>
      <c r="C8165" t="s">
        <v>40</v>
      </c>
      <c r="D8165">
        <v>3.2767179999999998</v>
      </c>
      <c r="E8165">
        <v>0.54228189999999998</v>
      </c>
      <c r="F8165" t="s">
        <v>41</v>
      </c>
      <c r="G8165">
        <v>-187.52789999999999</v>
      </c>
      <c r="H8165">
        <v>0.93913919999999995</v>
      </c>
      <c r="I8165">
        <v>30.873169999999998</v>
      </c>
      <c r="J8165">
        <v>-187.63759999999999</v>
      </c>
      <c r="K8165">
        <v>1.11113</v>
      </c>
      <c r="L8165">
        <v>30.28745</v>
      </c>
      <c r="M8165">
        <v>-1.166903E-2</v>
      </c>
      <c r="N8165">
        <v>0</v>
      </c>
      <c r="O8165">
        <v>0.99988410000000005</v>
      </c>
      <c r="P8165">
        <v>5.0705020000000002E-3</v>
      </c>
      <c r="Q8165">
        <v>0.2005777</v>
      </c>
      <c r="R8165">
        <v>0.97966470000000005</v>
      </c>
      <c r="S8165">
        <v>0.35742190000000001</v>
      </c>
      <c r="T8165">
        <v>-0.58653849999999996</v>
      </c>
      <c r="U8165">
        <v>3.1802980000000001</v>
      </c>
      <c r="V8165">
        <v>1.5755829999999998E-2</v>
      </c>
      <c r="W8165">
        <v>0.21020079999999999</v>
      </c>
      <c r="X8165">
        <v>0.97753129999999999</v>
      </c>
      <c r="Y8165">
        <v>0.1214445</v>
      </c>
      <c r="Z8165">
        <v>-0.18013100000000001</v>
      </c>
      <c r="AA8165">
        <v>0.97611680000000001</v>
      </c>
      <c r="AB8165">
        <v>38</v>
      </c>
      <c r="AC8165">
        <v>0.109700000000003</v>
      </c>
      <c r="AD8165">
        <v>-0.1719908</v>
      </c>
      <c r="AE8165">
        <v>0.58572000000000202</v>
      </c>
      <c r="AF8165">
        <v>0.107567052079591</v>
      </c>
      <c r="AG8165">
        <v>-0.1719908</v>
      </c>
      <c r="AH8165">
        <v>0.53946154374243604</v>
      </c>
      <c r="AI8165">
        <v>107.362602110292</v>
      </c>
      <c r="AJ8165">
        <v>78.723287961508603</v>
      </c>
      <c r="AK8165">
        <v>0.57634214070698098</v>
      </c>
      <c r="AL8165">
        <v>77.865880506809603</v>
      </c>
      <c r="AM8165">
        <v>89.076587727034095</v>
      </c>
      <c r="AN8165">
        <v>1.0000000324896501</v>
      </c>
    </row>
    <row r="8166" spans="1:40" x14ac:dyDescent="0.25">
      <c r="A8166" t="str">
        <f>"20190312172309070"</f>
        <v>20190312172309070</v>
      </c>
      <c r="B8166" t="str">
        <f>"1552382589058425"</f>
        <v>1552382589058425</v>
      </c>
      <c r="C8166" t="s">
        <v>40</v>
      </c>
      <c r="D8166">
        <v>3.2601930000000001</v>
      </c>
      <c r="E8166">
        <v>0.51750790000000002</v>
      </c>
      <c r="F8166" t="s">
        <v>41</v>
      </c>
      <c r="G8166">
        <v>-187.53450000000001</v>
      </c>
      <c r="H8166">
        <v>0.93958629999999999</v>
      </c>
      <c r="I8166">
        <v>31.21341</v>
      </c>
      <c r="J8166">
        <v>-187.64359999999999</v>
      </c>
      <c r="K8166">
        <v>1.1110910000000001</v>
      </c>
      <c r="L8166">
        <v>30.69162</v>
      </c>
      <c r="M8166">
        <v>-1.312923E-2</v>
      </c>
      <c r="N8166">
        <v>0</v>
      </c>
      <c r="O8166">
        <v>0.99986609999999998</v>
      </c>
      <c r="P8166">
        <v>3.8015589999999999E-3</v>
      </c>
      <c r="Q8166">
        <v>0.20043259999999999</v>
      </c>
      <c r="R8166">
        <v>0.97970009999999996</v>
      </c>
      <c r="S8166">
        <v>0.35430909999999999</v>
      </c>
      <c r="T8166">
        <v>-0.58933559999999996</v>
      </c>
      <c r="U8166">
        <v>3.1810909999999999</v>
      </c>
      <c r="V8166">
        <v>1.5934469999999999E-2</v>
      </c>
      <c r="W8166">
        <v>0.21005209999999999</v>
      </c>
      <c r="X8166">
        <v>0.97756030000000005</v>
      </c>
      <c r="Y8166">
        <v>0.12190719999999999</v>
      </c>
      <c r="Z8166">
        <v>-0.18091769999999999</v>
      </c>
      <c r="AA8166">
        <v>0.97591360000000005</v>
      </c>
      <c r="AB8166">
        <v>38</v>
      </c>
      <c r="AC8166">
        <v>0.109099999999983</v>
      </c>
      <c r="AD8166">
        <v>-0.17150469999999901</v>
      </c>
      <c r="AE8166">
        <v>0.52178999999999498</v>
      </c>
      <c r="AF8166">
        <v>0.105066328733966</v>
      </c>
      <c r="AG8166">
        <v>-0.17150469999999901</v>
      </c>
      <c r="AH8166">
        <v>0.47150736995980003</v>
      </c>
      <c r="AI8166">
        <v>109.54636812010899</v>
      </c>
      <c r="AJ8166">
        <v>77.437972664568505</v>
      </c>
      <c r="AK8166">
        <v>0.51261290998387099</v>
      </c>
      <c r="AL8166">
        <v>77.874594128277906</v>
      </c>
      <c r="AM8166">
        <v>89.066147598368005</v>
      </c>
      <c r="AN8166">
        <v>0.99999996609233999</v>
      </c>
    </row>
    <row r="8167" spans="1:40" x14ac:dyDescent="0.25">
      <c r="A8167" t="str">
        <f>"20190312172309092"</f>
        <v>20190312172309092</v>
      </c>
      <c r="B8167" t="str">
        <f>"1552382589088681"</f>
        <v>1552382589088681</v>
      </c>
      <c r="C8167" t="s">
        <v>40</v>
      </c>
      <c r="D8167">
        <v>3.1882579999999998</v>
      </c>
      <c r="E8167">
        <v>0.50288250000000001</v>
      </c>
      <c r="F8167" t="s">
        <v>41</v>
      </c>
      <c r="G8167">
        <v>-187.60050000000001</v>
      </c>
      <c r="H8167">
        <v>0.99932719999999997</v>
      </c>
      <c r="I8167">
        <v>31.581160000000001</v>
      </c>
      <c r="J8167">
        <v>-187.6499</v>
      </c>
      <c r="K8167">
        <v>1.111059</v>
      </c>
      <c r="L8167">
        <v>31.079350000000002</v>
      </c>
      <c r="M8167">
        <v>-1.448756E-2</v>
      </c>
      <c r="N8167">
        <v>0</v>
      </c>
      <c r="O8167">
        <v>0.99984740000000005</v>
      </c>
      <c r="P8167">
        <v>2.6620670000000002E-3</v>
      </c>
      <c r="Q8167">
        <v>0.1999793</v>
      </c>
      <c r="R8167">
        <v>0.97979649999999996</v>
      </c>
      <c r="S8167">
        <v>0.1517792</v>
      </c>
      <c r="T8167">
        <v>-0.39485409999999999</v>
      </c>
      <c r="U8167">
        <v>3.1423649999999999</v>
      </c>
      <c r="V8167">
        <v>1.6144849999999999E-2</v>
      </c>
      <c r="W8167">
        <v>0.2095948</v>
      </c>
      <c r="X8167">
        <v>0.9776551</v>
      </c>
      <c r="Y8167">
        <v>6.2335740000000001E-2</v>
      </c>
      <c r="Z8167">
        <v>-0.1244623</v>
      </c>
      <c r="AA8167">
        <v>0.99026429999999999</v>
      </c>
      <c r="AB8167">
        <v>38</v>
      </c>
      <c r="AC8167">
        <v>4.9399999999991402E-2</v>
      </c>
      <c r="AD8167">
        <v>-0.11173180000000001</v>
      </c>
      <c r="AE8167">
        <v>0.50180999999999498</v>
      </c>
      <c r="AF8167">
        <v>5.4013090994887998E-2</v>
      </c>
      <c r="AG8167">
        <v>-0.11173180000000001</v>
      </c>
      <c r="AH8167">
        <v>0.47759159696359399</v>
      </c>
      <c r="AI8167">
        <v>103.086910338302</v>
      </c>
      <c r="AJ8167">
        <v>83.547566059085995</v>
      </c>
      <c r="AK8167">
        <v>0.49345226985018298</v>
      </c>
      <c r="AL8167">
        <v>77.901393250186501</v>
      </c>
      <c r="AM8167">
        <v>89.053912067758802</v>
      </c>
      <c r="AN8167">
        <v>1.00000006546228</v>
      </c>
    </row>
    <row r="8168" spans="1:40" x14ac:dyDescent="0.25">
      <c r="A8168" t="str">
        <f>"20190312172309113"</f>
        <v>20190312172309113</v>
      </c>
      <c r="B8168" t="str">
        <f>"1552382589108200"</f>
        <v>1552382589108200</v>
      </c>
      <c r="C8168" t="s">
        <v>40</v>
      </c>
      <c r="D8168">
        <v>3.1767850000000002</v>
      </c>
      <c r="E8168">
        <v>0.49901010000000001</v>
      </c>
      <c r="F8168" t="s">
        <v>41</v>
      </c>
      <c r="G8168">
        <v>-187.6412</v>
      </c>
      <c r="H8168">
        <v>1.0403830000000001</v>
      </c>
      <c r="I8168">
        <v>31.941780000000001</v>
      </c>
      <c r="J8168">
        <v>-187.65600000000001</v>
      </c>
      <c r="K8168">
        <v>1.111024</v>
      </c>
      <c r="L8168">
        <v>31.429290000000002</v>
      </c>
      <c r="M8168">
        <v>-1.5672820000000001E-2</v>
      </c>
      <c r="N8168">
        <v>0</v>
      </c>
      <c r="O8168">
        <v>0.99982950000000004</v>
      </c>
      <c r="P8168">
        <v>2.0269369999999999E-3</v>
      </c>
      <c r="Q8168">
        <v>0.20005999999999999</v>
      </c>
      <c r="R8168">
        <v>0.97978160000000003</v>
      </c>
      <c r="S8168">
        <v>3.1082149999999999E-2</v>
      </c>
      <c r="T8168">
        <v>-0.25519009999999998</v>
      </c>
      <c r="U8168">
        <v>3.113861</v>
      </c>
      <c r="V8168">
        <v>1.6686079999999999E-2</v>
      </c>
      <c r="W8168">
        <v>0.20966940000000001</v>
      </c>
      <c r="X8168">
        <v>0.97763</v>
      </c>
      <c r="Y8168">
        <v>2.5619599999999999E-2</v>
      </c>
      <c r="Z8168">
        <v>-8.1648650000000003E-2</v>
      </c>
      <c r="AA8168">
        <v>0.99633179999999999</v>
      </c>
      <c r="AB8168">
        <v>38</v>
      </c>
      <c r="AC8168">
        <v>1.4799999999979699E-2</v>
      </c>
      <c r="AD8168">
        <v>-7.0640999999999898E-2</v>
      </c>
      <c r="AE8168">
        <v>0.512489999999996</v>
      </c>
      <c r="AF8168">
        <v>2.2405391206336299E-2</v>
      </c>
      <c r="AG8168">
        <v>-7.0640999999999898E-2</v>
      </c>
      <c r="AH8168">
        <v>0.50265286712426305</v>
      </c>
      <c r="AI8168">
        <v>97.991915289201302</v>
      </c>
      <c r="AJ8168">
        <v>87.447771121071895</v>
      </c>
      <c r="AK8168">
        <v>0.508086663143554</v>
      </c>
      <c r="AL8168">
        <v>77.897021661095906</v>
      </c>
      <c r="AM8168">
        <v>89.022176957458498</v>
      </c>
      <c r="AN8168">
        <v>1.0000000497310599</v>
      </c>
    </row>
    <row r="8169" spans="1:40" x14ac:dyDescent="0.25">
      <c r="A8169" t="str">
        <f>"20190312172309135"</f>
        <v>20190312172309135</v>
      </c>
      <c r="B8169" t="str">
        <f>"1552382589128697"</f>
        <v>1552382589128697</v>
      </c>
      <c r="C8169" t="s">
        <v>40</v>
      </c>
      <c r="D8169">
        <v>3.182023</v>
      </c>
      <c r="E8169">
        <v>0.49698589999999998</v>
      </c>
      <c r="F8169" t="s">
        <v>42</v>
      </c>
      <c r="G8169">
        <v>-187.66800000000001</v>
      </c>
      <c r="H8169" s="1">
        <v>-3.6488219999999999E-6</v>
      </c>
      <c r="I8169">
        <v>47.173999999999999</v>
      </c>
      <c r="J8169">
        <v>-187.66300000000001</v>
      </c>
      <c r="K8169">
        <v>1.110984</v>
      </c>
      <c r="L8169">
        <v>31.809170000000002</v>
      </c>
      <c r="M8169">
        <v>-1.6911539999999999E-2</v>
      </c>
      <c r="N8169">
        <v>0</v>
      </c>
      <c r="O8169">
        <v>0.99980939999999996</v>
      </c>
      <c r="P8169">
        <v>1.3869030000000001E-3</v>
      </c>
      <c r="Q8169">
        <v>0.19953480000000001</v>
      </c>
      <c r="R8169">
        <v>0.97988980000000003</v>
      </c>
      <c r="S8169">
        <v>-2.3651119999999999E-3</v>
      </c>
      <c r="T8169">
        <v>-0.219224</v>
      </c>
      <c r="U8169">
        <v>3.1066889999999998</v>
      </c>
      <c r="V8169">
        <v>1.7282160000000001E-2</v>
      </c>
      <c r="W8169">
        <v>0.20913689999999999</v>
      </c>
      <c r="X8169">
        <v>0.97773370000000004</v>
      </c>
      <c r="Y8169">
        <v>1.615304E-2</v>
      </c>
      <c r="Z8169">
        <v>-7.0370429999999998E-2</v>
      </c>
      <c r="AA8169">
        <v>0.9973902</v>
      </c>
      <c r="AB8169">
        <v>38</v>
      </c>
      <c r="AC8169">
        <v>-5.0000000000238699E-3</v>
      </c>
      <c r="AD8169">
        <v>-1.1109876488220001</v>
      </c>
      <c r="AE8169">
        <v>15.3648299999999</v>
      </c>
      <c r="AF8169">
        <v>0.25353047621493002</v>
      </c>
      <c r="AG8169">
        <v>-1.1109876488220001</v>
      </c>
      <c r="AH8169">
        <v>15.282813448756301</v>
      </c>
      <c r="AI8169">
        <v>94.157246074906993</v>
      </c>
      <c r="AJ8169">
        <v>89.049592931408796</v>
      </c>
      <c r="AK8169">
        <v>15.325239253195701</v>
      </c>
      <c r="AL8169">
        <v>77.928223453067503</v>
      </c>
      <c r="AM8169">
        <v>88.987360540505804</v>
      </c>
      <c r="AN8169">
        <v>1.0000000520557799</v>
      </c>
    </row>
    <row r="8170" spans="1:40" x14ac:dyDescent="0.25">
      <c r="A8170" t="str">
        <f>"20190312172309157"</f>
        <v>20190312172309157</v>
      </c>
      <c r="B8170" t="str">
        <f>"1552382589148220"</f>
        <v>1552382589148220</v>
      </c>
      <c r="C8170" t="s">
        <v>40</v>
      </c>
      <c r="D8170">
        <v>3.1716449999999998</v>
      </c>
      <c r="E8170">
        <v>0.49580180000000001</v>
      </c>
      <c r="F8170" t="s">
        <v>42</v>
      </c>
      <c r="G8170">
        <v>-187.77869999999999</v>
      </c>
      <c r="H8170" s="1">
        <v>-4.4059109999999997E-6</v>
      </c>
      <c r="I8170">
        <v>48.9846</v>
      </c>
      <c r="J8170">
        <v>-187.67070000000001</v>
      </c>
      <c r="K8170">
        <v>1.1109389999999999</v>
      </c>
      <c r="L8170">
        <v>32.19943</v>
      </c>
      <c r="M8170">
        <v>-1.8128249999999999E-2</v>
      </c>
      <c r="N8170">
        <v>0</v>
      </c>
      <c r="O8170">
        <v>0.99978820000000002</v>
      </c>
      <c r="P8170">
        <v>1.1175410000000001E-3</v>
      </c>
      <c r="Q8170">
        <v>0.19949049999999999</v>
      </c>
      <c r="R8170">
        <v>0.97989910000000002</v>
      </c>
      <c r="S8170">
        <v>-2.0904539999999999E-2</v>
      </c>
      <c r="T8170">
        <v>-0.2006811</v>
      </c>
      <c r="U8170">
        <v>3.1024479999999999</v>
      </c>
      <c r="V8170">
        <v>1.8227429999999999E-2</v>
      </c>
      <c r="W8170">
        <v>0.20908560000000001</v>
      </c>
      <c r="X8170">
        <v>0.97772749999999997</v>
      </c>
      <c r="Y8170">
        <v>1.140592E-2</v>
      </c>
      <c r="Z8170">
        <v>-6.4531130000000006E-2</v>
      </c>
      <c r="AA8170">
        <v>0.99785049999999997</v>
      </c>
      <c r="AB8170">
        <v>38</v>
      </c>
      <c r="AC8170">
        <v>-0.107999999999975</v>
      </c>
      <c r="AD8170">
        <v>-1.1109434059109999</v>
      </c>
      <c r="AE8170">
        <v>16.785170000000001</v>
      </c>
      <c r="AF8170">
        <v>0.19546174819949899</v>
      </c>
      <c r="AG8170">
        <v>-1.1109434059109999</v>
      </c>
      <c r="AH8170">
        <v>16.711167665699001</v>
      </c>
      <c r="AI8170">
        <v>93.803116166632606</v>
      </c>
      <c r="AJ8170">
        <v>89.329871928432397</v>
      </c>
      <c r="AK8170">
        <v>16.749194765637299</v>
      </c>
      <c r="AL8170">
        <v>77.931229100668205</v>
      </c>
      <c r="AM8170">
        <v>88.931978646742706</v>
      </c>
      <c r="AN8170">
        <v>1.0000000457939999</v>
      </c>
    </row>
    <row r="8171" spans="1:40" x14ac:dyDescent="0.25">
      <c r="A8171" t="str">
        <f>"20190312172309180"</f>
        <v>20190312172309180</v>
      </c>
      <c r="B8171" t="str">
        <f>"1552382589168712"</f>
        <v>1552382589168712</v>
      </c>
      <c r="C8171" t="s">
        <v>40</v>
      </c>
      <c r="D8171">
        <v>3.1617000000000002</v>
      </c>
      <c r="E8171">
        <v>0.49520380000000003</v>
      </c>
      <c r="F8171" t="s">
        <v>42</v>
      </c>
      <c r="G8171">
        <v>-187.8587</v>
      </c>
      <c r="H8171" s="1">
        <v>-9.740218E-7</v>
      </c>
      <c r="I8171">
        <v>50.836030000000001</v>
      </c>
      <c r="J8171">
        <v>-187.67850000000001</v>
      </c>
      <c r="K8171">
        <v>1.1108880000000001</v>
      </c>
      <c r="L8171">
        <v>32.578699999999998</v>
      </c>
      <c r="M8171">
        <v>-1.9249160000000001E-2</v>
      </c>
      <c r="N8171">
        <v>0</v>
      </c>
      <c r="O8171">
        <v>0.99976730000000003</v>
      </c>
      <c r="P8171">
        <v>8.8797080000000003E-4</v>
      </c>
      <c r="Q8171">
        <v>0.1996262</v>
      </c>
      <c r="R8171">
        <v>0.97987170000000001</v>
      </c>
      <c r="S8171">
        <v>-3.1265260000000003E-2</v>
      </c>
      <c r="T8171">
        <v>-0.1847442</v>
      </c>
      <c r="U8171">
        <v>3.0991819999999999</v>
      </c>
      <c r="V8171">
        <v>1.91203E-2</v>
      </c>
      <c r="W8171">
        <v>0.20921380000000001</v>
      </c>
      <c r="X8171">
        <v>0.97768290000000002</v>
      </c>
      <c r="Y8171">
        <v>9.1811089999999998E-3</v>
      </c>
      <c r="Z8171">
        <v>-5.9485730000000001E-2</v>
      </c>
      <c r="AA8171">
        <v>0.99818689999999999</v>
      </c>
      <c r="AB8171">
        <v>38</v>
      </c>
      <c r="AC8171">
        <v>-0.18019999999998501</v>
      </c>
      <c r="AD8171">
        <v>-1.1108889740218</v>
      </c>
      <c r="AE8171">
        <v>18.25733</v>
      </c>
      <c r="AF8171">
        <v>0.17065656624390799</v>
      </c>
      <c r="AG8171">
        <v>-1.1108889740218</v>
      </c>
      <c r="AH8171">
        <v>18.1900779656666</v>
      </c>
      <c r="AI8171">
        <v>93.494625218664396</v>
      </c>
      <c r="AJ8171">
        <v>89.462475414073594</v>
      </c>
      <c r="AK8171">
        <v>18.2247670595054</v>
      </c>
      <c r="AL8171">
        <v>77.923716193485205</v>
      </c>
      <c r="AM8171">
        <v>88.879623588110604</v>
      </c>
      <c r="AN8171">
        <v>0.99999992646746705</v>
      </c>
    </row>
    <row r="8172" spans="1:40" x14ac:dyDescent="0.25">
      <c r="A8172" t="str">
        <f>"20190312172309201"</f>
        <v>20190312172309201</v>
      </c>
      <c r="B8172" t="str">
        <f>"1552382589198968"</f>
        <v>1552382589198968</v>
      </c>
      <c r="C8172" t="s">
        <v>40</v>
      </c>
      <c r="D8172">
        <v>3.1679620000000002</v>
      </c>
      <c r="E8172">
        <v>0.49455399999999999</v>
      </c>
      <c r="F8172" t="s">
        <v>42</v>
      </c>
      <c r="G8172">
        <v>-187.91309999999999</v>
      </c>
      <c r="H8172" s="1">
        <v>-1.457645E-6</v>
      </c>
      <c r="I8172">
        <v>52.167670000000001</v>
      </c>
      <c r="J8172">
        <v>-187.68639999999999</v>
      </c>
      <c r="K8172">
        <v>1.110825</v>
      </c>
      <c r="L8172">
        <v>32.944789999999998</v>
      </c>
      <c r="M8172">
        <v>-2.0259240000000001E-2</v>
      </c>
      <c r="N8172">
        <v>0</v>
      </c>
      <c r="O8172">
        <v>0.99974739999999995</v>
      </c>
      <c r="P8172">
        <v>5.6379650000000004E-4</v>
      </c>
      <c r="Q8172">
        <v>0.199133</v>
      </c>
      <c r="R8172">
        <v>0.97997230000000002</v>
      </c>
      <c r="S8172">
        <v>-3.7094120000000001E-2</v>
      </c>
      <c r="T8172">
        <v>-0.1756558</v>
      </c>
      <c r="U8172">
        <v>3.0974430000000002</v>
      </c>
      <c r="V8172">
        <v>1.981803E-2</v>
      </c>
      <c r="W8172">
        <v>0.20871580000000001</v>
      </c>
      <c r="X8172">
        <v>0.97777550000000002</v>
      </c>
      <c r="Y8172">
        <v>8.3055430000000003E-3</v>
      </c>
      <c r="Z8172">
        <v>-5.6598570000000001E-2</v>
      </c>
      <c r="AA8172">
        <v>0.99836250000000004</v>
      </c>
      <c r="AB8172">
        <v>38</v>
      </c>
      <c r="AC8172">
        <v>-0.22669999999999299</v>
      </c>
      <c r="AD8172">
        <v>-1.110826457645</v>
      </c>
      <c r="AE8172">
        <v>19.22288</v>
      </c>
      <c r="AF8172">
        <v>0.162264139429249</v>
      </c>
      <c r="AG8172">
        <v>-1.110826457645</v>
      </c>
      <c r="AH8172">
        <v>19.159556697021401</v>
      </c>
      <c r="AI8172">
        <v>93.318042503465406</v>
      </c>
      <c r="AJ8172">
        <v>89.514768100673606</v>
      </c>
      <c r="AK8172">
        <v>19.192417197849998</v>
      </c>
      <c r="AL8172">
        <v>77.952894342745594</v>
      </c>
      <c r="AM8172">
        <v>88.838860224210407</v>
      </c>
      <c r="AN8172">
        <v>0.99999998394148504</v>
      </c>
    </row>
    <row r="8173" spans="1:40" x14ac:dyDescent="0.25">
      <c r="A8173" t="str">
        <f>"20190312172309216"</f>
        <v>20190312172309216</v>
      </c>
      <c r="B8173" t="str">
        <f>"1552382589208431"</f>
        <v>1552382589208431</v>
      </c>
      <c r="C8173" t="s">
        <v>40</v>
      </c>
      <c r="D8173">
        <v>3.1742810000000001</v>
      </c>
      <c r="E8173">
        <v>0.49440459999999897</v>
      </c>
      <c r="F8173" t="s">
        <v>42</v>
      </c>
      <c r="G8173">
        <v>-187.97329999999999</v>
      </c>
      <c r="H8173" s="1">
        <v>-1.9725050000000001E-6</v>
      </c>
      <c r="I8173">
        <v>53.392719999999997</v>
      </c>
      <c r="J8173">
        <v>-187.69210000000001</v>
      </c>
      <c r="K8173">
        <v>1.1107800000000001</v>
      </c>
      <c r="L8173">
        <v>33.198059999999998</v>
      </c>
      <c r="M8173">
        <v>-2.0910359999999999E-2</v>
      </c>
      <c r="N8173">
        <v>0</v>
      </c>
      <c r="O8173">
        <v>0.99973400000000001</v>
      </c>
      <c r="P8173">
        <v>-1.4868719999999901E-4</v>
      </c>
      <c r="Q8173">
        <v>0.1986938</v>
      </c>
      <c r="R8173">
        <v>0.98006159999999998</v>
      </c>
      <c r="S8173">
        <v>-4.3426510000000001E-2</v>
      </c>
      <c r="T8173">
        <v>-0.16816139999999999</v>
      </c>
      <c r="U8173">
        <v>3.0954899999999999</v>
      </c>
      <c r="V8173">
        <v>1.9769640000000002E-2</v>
      </c>
      <c r="W8173">
        <v>0.2082714</v>
      </c>
      <c r="X8173">
        <v>0.97787120000000005</v>
      </c>
      <c r="Y8173">
        <v>6.905413E-3</v>
      </c>
      <c r="Z8173">
        <v>-5.4223590000000002E-2</v>
      </c>
      <c r="AA8173">
        <v>0.99850490000000003</v>
      </c>
      <c r="AB8173">
        <v>38</v>
      </c>
      <c r="AC8173">
        <v>-0.28119999999998402</v>
      </c>
      <c r="AD8173">
        <v>-1.1107819725050001</v>
      </c>
      <c r="AE8173">
        <v>20.194659999999999</v>
      </c>
      <c r="AF8173">
        <v>0.14073339893300699</v>
      </c>
      <c r="AG8173">
        <v>-1.1107819725050001</v>
      </c>
      <c r="AH8173">
        <v>20.1352188545568</v>
      </c>
      <c r="AI8173">
        <v>93.157508521663303</v>
      </c>
      <c r="AJ8173">
        <v>89.599542545188697</v>
      </c>
      <c r="AK8173">
        <v>20.166325416419198</v>
      </c>
      <c r="AL8173">
        <v>77.978928303274799</v>
      </c>
      <c r="AM8173">
        <v>88.841807951787501</v>
      </c>
      <c r="AN8173">
        <v>0.99999994925656299</v>
      </c>
    </row>
    <row r="8174" spans="1:40" x14ac:dyDescent="0.25">
      <c r="A8174" t="str">
        <f>"20190312172309236"</f>
        <v>20190312172309236</v>
      </c>
      <c r="B8174" t="str">
        <f>"1552382589228918"</f>
        <v>1552382589228918</v>
      </c>
      <c r="C8174" t="s">
        <v>40</v>
      </c>
      <c r="D8174">
        <v>3.1818960000000001</v>
      </c>
      <c r="E8174">
        <v>0.49418420000000002</v>
      </c>
      <c r="F8174" t="s">
        <v>42</v>
      </c>
      <c r="G8174">
        <v>-188.00129999999999</v>
      </c>
      <c r="H8174" s="1">
        <v>-2.1233719999999999E-6</v>
      </c>
      <c r="I8174">
        <v>53.755989999999997</v>
      </c>
      <c r="J8174">
        <v>-187.69990000000001</v>
      </c>
      <c r="K8174">
        <v>1.1107229999999999</v>
      </c>
      <c r="L8174">
        <v>33.5379</v>
      </c>
      <c r="M8174">
        <v>-2.1737570000000001E-2</v>
      </c>
      <c r="N8174">
        <v>0</v>
      </c>
      <c r="O8174">
        <v>0.99971639999999995</v>
      </c>
      <c r="P8174">
        <v>-7.5325089999999999E-4</v>
      </c>
      <c r="Q8174">
        <v>0.19833729999999999</v>
      </c>
      <c r="R8174">
        <v>0.98013349999999999</v>
      </c>
      <c r="S8174">
        <v>-4.6554570000000003E-2</v>
      </c>
      <c r="T8174">
        <v>-0.16722529999999999</v>
      </c>
      <c r="U8174">
        <v>3.0949399999999998</v>
      </c>
      <c r="V8174">
        <v>2.0009470000000001E-2</v>
      </c>
      <c r="W8174">
        <v>0.20790939999999999</v>
      </c>
      <c r="X8174">
        <v>0.97794340000000002</v>
      </c>
      <c r="Y8174">
        <v>6.7211320000000003E-3</v>
      </c>
      <c r="Z8174">
        <v>-5.3930390000000002E-2</v>
      </c>
      <c r="AA8174">
        <v>0.99852209999999997</v>
      </c>
      <c r="AB8174">
        <v>38</v>
      </c>
      <c r="AC8174">
        <v>-0.30139999999997202</v>
      </c>
      <c r="AD8174">
        <v>-1.1107251233719999</v>
      </c>
      <c r="AE8174">
        <v>20.21809</v>
      </c>
      <c r="AF8174">
        <v>0.13776845385142</v>
      </c>
      <c r="AG8174">
        <v>-1.1107251233719999</v>
      </c>
      <c r="AH8174">
        <v>20.159035879311599</v>
      </c>
      <c r="AI8174">
        <v>93.153627893441197</v>
      </c>
      <c r="AJ8174">
        <v>89.608442183547993</v>
      </c>
      <c r="AK8174">
        <v>20.190082169964999</v>
      </c>
      <c r="AL8174">
        <v>78.000134132268101</v>
      </c>
      <c r="AM8174">
        <v>88.827848077975005</v>
      </c>
      <c r="AN8174">
        <v>0.99999999555079999</v>
      </c>
    </row>
    <row r="8175" spans="1:40" x14ac:dyDescent="0.25">
      <c r="A8175" t="str">
        <f>"20190312172309259"</f>
        <v>20190312172309259</v>
      </c>
      <c r="B8175" t="str">
        <f>"1552382589248441"</f>
        <v>1552382589248441</v>
      </c>
      <c r="C8175" t="s">
        <v>40</v>
      </c>
      <c r="D8175">
        <v>3.1787000000000001</v>
      </c>
      <c r="E8175">
        <v>0.49409750000000002</v>
      </c>
      <c r="F8175" t="s">
        <v>42</v>
      </c>
      <c r="G8175">
        <v>-188.03370000000001</v>
      </c>
      <c r="H8175" s="1">
        <v>-2.3606389999999999E-6</v>
      </c>
      <c r="I8175">
        <v>54.322429999999997</v>
      </c>
      <c r="J8175">
        <v>-187.70920000000001</v>
      </c>
      <c r="K8175">
        <v>1.1106400000000001</v>
      </c>
      <c r="L8175">
        <v>33.930819999999997</v>
      </c>
      <c r="M8175">
        <v>-2.260125E-2</v>
      </c>
      <c r="N8175">
        <v>0</v>
      </c>
      <c r="O8175">
        <v>0.99969730000000001</v>
      </c>
      <c r="P8175">
        <v>-1.203675E-3</v>
      </c>
      <c r="Q8175">
        <v>0.1986272</v>
      </c>
      <c r="R8175">
        <v>0.98007429999999995</v>
      </c>
      <c r="S8175">
        <v>-4.9682619999999997E-2</v>
      </c>
      <c r="T8175">
        <v>-0.16535620000000001</v>
      </c>
      <c r="U8175">
        <v>3.0942379999999998</v>
      </c>
      <c r="V8175">
        <v>2.044466E-2</v>
      </c>
      <c r="W8175">
        <v>0.2081925</v>
      </c>
      <c r="X8175">
        <v>0.97787420000000003</v>
      </c>
      <c r="Y8175">
        <v>6.5719439999999997E-3</v>
      </c>
      <c r="Z8175">
        <v>-5.333947E-2</v>
      </c>
      <c r="AA8175">
        <v>0.99855479999999996</v>
      </c>
      <c r="AB8175">
        <v>38</v>
      </c>
      <c r="AC8175">
        <v>-0.32450000000000001</v>
      </c>
      <c r="AD8175">
        <v>-1.1106423606389999</v>
      </c>
      <c r="AE8175">
        <v>20.39161</v>
      </c>
      <c r="AF8175">
        <v>0.13607697880181499</v>
      </c>
      <c r="AG8175">
        <v>-1.1106423606389999</v>
      </c>
      <c r="AH8175">
        <v>20.3334311066662</v>
      </c>
      <c r="AI8175">
        <v>93.126404320417095</v>
      </c>
      <c r="AJ8175">
        <v>89.616566424940899</v>
      </c>
      <c r="AK8175">
        <v>20.364195637612301</v>
      </c>
      <c r="AL8175">
        <v>77.983551193357002</v>
      </c>
      <c r="AM8175">
        <v>88.802277328414903</v>
      </c>
      <c r="AN8175">
        <v>1.0000000261022</v>
      </c>
    </row>
    <row r="8176" spans="1:40" x14ac:dyDescent="0.25">
      <c r="A8176" t="str">
        <f>"20190312172309282"</f>
        <v>20190312172309282</v>
      </c>
      <c r="B8176" t="str">
        <f>"1552382589278693"</f>
        <v>1552382589278693</v>
      </c>
      <c r="C8176" t="s">
        <v>40</v>
      </c>
      <c r="D8176">
        <v>3.2101760000000001</v>
      </c>
      <c r="E8176">
        <v>0.4939788</v>
      </c>
      <c r="F8176" t="s">
        <v>42</v>
      </c>
      <c r="G8176">
        <v>-188.06059999999999</v>
      </c>
      <c r="H8176" s="1">
        <v>-2.6932190000000002E-6</v>
      </c>
      <c r="I8176">
        <v>55.108829999999998</v>
      </c>
      <c r="J8176">
        <v>-187.71870000000001</v>
      </c>
      <c r="K8176">
        <v>1.1105419999999999</v>
      </c>
      <c r="L8176">
        <v>34.321469999999998</v>
      </c>
      <c r="M8176">
        <v>-2.33254E-2</v>
      </c>
      <c r="N8176">
        <v>0</v>
      </c>
      <c r="O8176">
        <v>0.99968069999999998</v>
      </c>
      <c r="P8176">
        <v>-1.6501629999999901E-3</v>
      </c>
      <c r="Q8176">
        <v>0.1992022</v>
      </c>
      <c r="R8176">
        <v>0.97995699999999997</v>
      </c>
      <c r="S8176">
        <v>-5.1330569999999999E-2</v>
      </c>
      <c r="T8176">
        <v>-0.16224939999999999</v>
      </c>
      <c r="U8176">
        <v>3.0938110000000001</v>
      </c>
      <c r="V8176">
        <v>2.0754189999999999E-2</v>
      </c>
      <c r="W8176">
        <v>0.20875959999999999</v>
      </c>
      <c r="X8176">
        <v>0.97774669999999997</v>
      </c>
      <c r="Y8176">
        <v>6.7614679999999996E-3</v>
      </c>
      <c r="Z8176">
        <v>-5.2345719999999998E-2</v>
      </c>
      <c r="AA8176">
        <v>0.99860610000000005</v>
      </c>
      <c r="AB8176">
        <v>38</v>
      </c>
      <c r="AC8176">
        <v>-0.341899999999981</v>
      </c>
      <c r="AD8176">
        <v>-1.110544693219</v>
      </c>
      <c r="AE8176">
        <v>20.78736</v>
      </c>
      <c r="AF8176">
        <v>0.14268228795176199</v>
      </c>
      <c r="AG8176">
        <v>-1.110544693219</v>
      </c>
      <c r="AH8176">
        <v>20.730527521120599</v>
      </c>
      <c r="AI8176">
        <v>93.066359873799698</v>
      </c>
      <c r="AJ8176">
        <v>89.605655774231394</v>
      </c>
      <c r="AK8176">
        <v>20.760742738516601</v>
      </c>
      <c r="AL8176">
        <v>77.950327945943499</v>
      </c>
      <c r="AM8176">
        <v>88.783990834412094</v>
      </c>
      <c r="AN8176">
        <v>0.99999995817780196</v>
      </c>
    </row>
    <row r="8177" spans="1:40" x14ac:dyDescent="0.25">
      <c r="A8177" t="str">
        <f>"20190312172309313"</f>
        <v>20190312172309313</v>
      </c>
      <c r="B8177" t="str">
        <f>"1552382589308526"</f>
        <v>1552382589308526</v>
      </c>
      <c r="C8177" t="s">
        <v>40</v>
      </c>
      <c r="D8177">
        <v>3.1749649999999998</v>
      </c>
      <c r="E8177">
        <v>0.4939849</v>
      </c>
      <c r="F8177" t="s">
        <v>42</v>
      </c>
      <c r="G8177">
        <v>-188.09690000000001</v>
      </c>
      <c r="H8177" s="1">
        <v>-3.1431820000000002E-6</v>
      </c>
      <c r="I8177">
        <v>56.172719999999998</v>
      </c>
      <c r="J8177">
        <v>-187.73230000000001</v>
      </c>
      <c r="K8177">
        <v>1.1103799999999999</v>
      </c>
      <c r="L8177">
        <v>34.871519999999997</v>
      </c>
      <c r="M8177">
        <v>-2.4095869999999998E-2</v>
      </c>
      <c r="N8177">
        <v>0</v>
      </c>
      <c r="O8177">
        <v>0.99966239999999995</v>
      </c>
      <c r="P8177">
        <v>-2.3064190000000001E-3</v>
      </c>
      <c r="Q8177">
        <v>0.19895360000000001</v>
      </c>
      <c r="R8177">
        <v>0.98000620000000005</v>
      </c>
      <c r="S8177">
        <v>-5.3543090000000002E-2</v>
      </c>
      <c r="T8177">
        <v>-0.15720719999999999</v>
      </c>
      <c r="U8177">
        <v>3.0932309999999998</v>
      </c>
      <c r="V8177">
        <v>2.0939470000000002E-2</v>
      </c>
      <c r="W8177">
        <v>0.20850270000000001</v>
      </c>
      <c r="X8177">
        <v>0.97779760000000004</v>
      </c>
      <c r="Y8177">
        <v>6.8135490000000003E-3</v>
      </c>
      <c r="Z8177">
        <v>-5.0730989999999997E-2</v>
      </c>
      <c r="AA8177">
        <v>0.9986891</v>
      </c>
      <c r="AB8177">
        <v>39</v>
      </c>
      <c r="AC8177">
        <v>-0.36459999999999498</v>
      </c>
      <c r="AD8177">
        <v>-1.1103831431819999</v>
      </c>
      <c r="AE8177">
        <v>21.301199999999898</v>
      </c>
      <c r="AF8177">
        <v>0.14839794055375599</v>
      </c>
      <c r="AG8177">
        <v>-1.1103831431819999</v>
      </c>
      <c r="AH8177">
        <v>21.2460853542111</v>
      </c>
      <c r="AI8177">
        <v>92.991651842718198</v>
      </c>
      <c r="AJ8177">
        <v>89.599811575887202</v>
      </c>
      <c r="AK8177">
        <v>21.2755990644646</v>
      </c>
      <c r="AL8177">
        <v>77.965378839668105</v>
      </c>
      <c r="AM8177">
        <v>88.773202239199904</v>
      </c>
      <c r="AN8177">
        <v>0.999999991938465</v>
      </c>
    </row>
    <row r="8178" spans="1:40" x14ac:dyDescent="0.25">
      <c r="A8178" t="str">
        <f>"20190312172309336"</f>
        <v>20190312172309336</v>
      </c>
      <c r="B8178" t="str">
        <f>"1552382589329007"</f>
        <v>1552382589329007</v>
      </c>
      <c r="C8178" t="s">
        <v>40</v>
      </c>
      <c r="D8178">
        <v>3.1557940000000002</v>
      </c>
      <c r="E8178">
        <v>0.49400100000000002</v>
      </c>
      <c r="F8178" t="s">
        <v>42</v>
      </c>
      <c r="G8178">
        <v>-188.12620000000001</v>
      </c>
      <c r="H8178" s="1">
        <v>-3.5036089999999998E-6</v>
      </c>
      <c r="I8178">
        <v>57.024970000000003</v>
      </c>
      <c r="J8178">
        <v>-187.7424</v>
      </c>
      <c r="K8178">
        <v>1.110249</v>
      </c>
      <c r="L8178">
        <v>35.273739999999997</v>
      </c>
      <c r="M8178">
        <v>-2.4503489999999999E-2</v>
      </c>
      <c r="N8178">
        <v>0</v>
      </c>
      <c r="O8178">
        <v>0.99965250000000005</v>
      </c>
      <c r="P8178">
        <v>-2.1609939999999998E-3</v>
      </c>
      <c r="Q8178">
        <v>0.198883</v>
      </c>
      <c r="R8178">
        <v>0.98002089999999997</v>
      </c>
      <c r="S8178">
        <v>-5.4977419999999999E-2</v>
      </c>
      <c r="T8178">
        <v>-0.15500649999999999</v>
      </c>
      <c r="U8178">
        <v>3.0925600000000002</v>
      </c>
      <c r="V8178">
        <v>2.1548810000000002E-2</v>
      </c>
      <c r="W8178">
        <v>0.2084271</v>
      </c>
      <c r="X8178">
        <v>0.97780049999999996</v>
      </c>
      <c r="Y8178">
        <v>6.753874E-3</v>
      </c>
      <c r="Z8178">
        <v>-5.0032500000000001E-2</v>
      </c>
      <c r="AA8178">
        <v>0.99872479999999997</v>
      </c>
      <c r="AB8178">
        <v>39</v>
      </c>
      <c r="AC8178">
        <v>-0.38380000000000702</v>
      </c>
      <c r="AD8178">
        <v>-1.1102525036090001</v>
      </c>
      <c r="AE8178">
        <v>21.75123</v>
      </c>
      <c r="AF8178">
        <v>0.14893355774737299</v>
      </c>
      <c r="AG8178">
        <v>-1.1102525036090001</v>
      </c>
      <c r="AH8178">
        <v>21.6975898412697</v>
      </c>
      <c r="AI8178">
        <v>92.929166617598696</v>
      </c>
      <c r="AJ8178">
        <v>89.606724510086906</v>
      </c>
      <c r="AK8178">
        <v>21.726487215985099</v>
      </c>
      <c r="AL8178">
        <v>77.9698079546679</v>
      </c>
      <c r="AM8178">
        <v>88.737517475078107</v>
      </c>
      <c r="AN8178">
        <v>1.00000001251353</v>
      </c>
    </row>
    <row r="8179" spans="1:40" x14ac:dyDescent="0.25">
      <c r="A8179" t="str">
        <f>"20190312172309359"</f>
        <v>20190312172309359</v>
      </c>
      <c r="B8179" t="str">
        <f>"1552382589348527"</f>
        <v>1552382589348527</v>
      </c>
      <c r="C8179" t="s">
        <v>40</v>
      </c>
      <c r="D8179">
        <v>3.147268</v>
      </c>
      <c r="E8179">
        <v>0.49403589999999997</v>
      </c>
      <c r="F8179" t="s">
        <v>42</v>
      </c>
      <c r="G8179">
        <v>-188.1362</v>
      </c>
      <c r="H8179" s="1">
        <v>-3.750281E-6</v>
      </c>
      <c r="I8179">
        <v>57.604120000000002</v>
      </c>
      <c r="J8179">
        <v>-187.75200000000001</v>
      </c>
      <c r="K8179">
        <v>1.110125</v>
      </c>
      <c r="L8179">
        <v>35.657960000000003</v>
      </c>
      <c r="M8179">
        <v>-2.4761140000000001E-2</v>
      </c>
      <c r="N8179">
        <v>0</v>
      </c>
      <c r="O8179">
        <v>0.99964609999999998</v>
      </c>
      <c r="P8179">
        <v>-1.9559489999999998E-3</v>
      </c>
      <c r="Q8179">
        <v>0.198745</v>
      </c>
      <c r="R8179">
        <v>0.98004930000000001</v>
      </c>
      <c r="S8179">
        <v>-5.4534909999999999E-2</v>
      </c>
      <c r="T8179">
        <v>-0.15374350000000001</v>
      </c>
      <c r="U8179">
        <v>3.0922239999999999</v>
      </c>
      <c r="V8179">
        <v>2.2067960000000001E-2</v>
      </c>
      <c r="W8179">
        <v>0.2082849</v>
      </c>
      <c r="X8179">
        <v>0.9778192</v>
      </c>
      <c r="Y8179">
        <v>7.1522060000000004E-3</v>
      </c>
      <c r="Z8179">
        <v>-4.9630750000000001E-2</v>
      </c>
      <c r="AA8179">
        <v>0.99874200000000002</v>
      </c>
      <c r="AB8179">
        <v>39</v>
      </c>
      <c r="AC8179">
        <v>-0.38419999999999199</v>
      </c>
      <c r="AD8179">
        <v>-1.110128750281</v>
      </c>
      <c r="AE8179">
        <v>21.946159999999999</v>
      </c>
      <c r="AF8179">
        <v>0.15894885573614601</v>
      </c>
      <c r="AG8179">
        <v>-1.110128750281</v>
      </c>
      <c r="AH8179">
        <v>21.8929426311737</v>
      </c>
      <c r="AI8179">
        <v>92.902743156544005</v>
      </c>
      <c r="AJ8179">
        <v>89.584024005639804</v>
      </c>
      <c r="AK8179">
        <v>21.921646553870101</v>
      </c>
      <c r="AL8179">
        <v>77.978137978133404</v>
      </c>
      <c r="AM8179">
        <v>88.707136895748903</v>
      </c>
      <c r="AN8179">
        <v>0.99999999115760496</v>
      </c>
    </row>
    <row r="8180" spans="1:40" x14ac:dyDescent="0.25">
      <c r="A8180" t="str">
        <f>"20190312172309380"</f>
        <v>20190312172309380</v>
      </c>
      <c r="B8180" t="str">
        <f>"1552382589368047"</f>
        <v>1552382589368047</v>
      </c>
      <c r="C8180" t="s">
        <v>40</v>
      </c>
      <c r="D8180">
        <v>3.1708460000000001</v>
      </c>
      <c r="E8180">
        <v>0.49409829999999999</v>
      </c>
      <c r="F8180" t="s">
        <v>42</v>
      </c>
      <c r="G8180">
        <v>-188.14500000000001</v>
      </c>
      <c r="H8180" s="1">
        <v>-3.9572010000000002E-6</v>
      </c>
      <c r="I8180">
        <v>58.0901</v>
      </c>
      <c r="J8180">
        <v>-187.76150000000001</v>
      </c>
      <c r="K8180">
        <v>1.110007</v>
      </c>
      <c r="L8180">
        <v>36.034730000000003</v>
      </c>
      <c r="M8180">
        <v>-2.4884630000000001E-2</v>
      </c>
      <c r="N8180">
        <v>0</v>
      </c>
      <c r="O8180">
        <v>0.99964310000000001</v>
      </c>
      <c r="P8180">
        <v>-1.3968959999999999E-3</v>
      </c>
      <c r="Q8180">
        <v>0.19845550000000001</v>
      </c>
      <c r="R8180">
        <v>0.98010889999999995</v>
      </c>
      <c r="S8180">
        <v>-5.41687E-2</v>
      </c>
      <c r="T8180">
        <v>-0.15301689999999901</v>
      </c>
      <c r="U8180">
        <v>3.09198</v>
      </c>
      <c r="V8180">
        <v>2.2808640000000002E-2</v>
      </c>
      <c r="W8180">
        <v>0.20799200000000001</v>
      </c>
      <c r="X8180">
        <v>0.97786459999999997</v>
      </c>
      <c r="Y8180">
        <v>7.3923950000000004E-3</v>
      </c>
      <c r="Z8180">
        <v>-4.9400430000000002E-2</v>
      </c>
      <c r="AA8180">
        <v>0.99875170000000002</v>
      </c>
      <c r="AB8180">
        <v>39</v>
      </c>
      <c r="AC8180">
        <v>-0.38349999999999801</v>
      </c>
      <c r="AD8180">
        <v>-1.110010957201</v>
      </c>
      <c r="AE8180">
        <v>22.05537</v>
      </c>
      <c r="AF8180">
        <v>0.16506642857776399</v>
      </c>
      <c r="AG8180">
        <v>-1.110010957201</v>
      </c>
      <c r="AH8180">
        <v>22.002369210849601</v>
      </c>
      <c r="AI8180">
        <v>92.888020057287505</v>
      </c>
      <c r="AJ8180">
        <v>89.570163004838804</v>
      </c>
      <c r="AK8180">
        <v>22.030969614192902</v>
      </c>
      <c r="AL8180">
        <v>77.995296284107795</v>
      </c>
      <c r="AM8180">
        <v>88.663821259942694</v>
      </c>
      <c r="AN8180">
        <v>1.0000000410279</v>
      </c>
    </row>
    <row r="8181" spans="1:40" x14ac:dyDescent="0.25">
      <c r="A8181" t="str">
        <f>"20190312172309403"</f>
        <v>20190312172309403</v>
      </c>
      <c r="B8181" t="str">
        <f>"1552382589398303"</f>
        <v>1552382589398303</v>
      </c>
      <c r="C8181" t="s">
        <v>40</v>
      </c>
      <c r="D8181">
        <v>3.1278320000000002</v>
      </c>
      <c r="E8181">
        <v>0.49427189999999999</v>
      </c>
      <c r="F8181" t="s">
        <v>42</v>
      </c>
      <c r="G8181">
        <v>-188.1387</v>
      </c>
      <c r="H8181" s="1">
        <v>-4.141259E-6</v>
      </c>
      <c r="I8181">
        <v>58.516539999999999</v>
      </c>
      <c r="J8181">
        <v>-187.77119999999999</v>
      </c>
      <c r="K8181">
        <v>1.1098760000000001</v>
      </c>
      <c r="L8181">
        <v>36.423369999999998</v>
      </c>
      <c r="M8181">
        <v>-2.487835E-2</v>
      </c>
      <c r="N8181">
        <v>0</v>
      </c>
      <c r="O8181">
        <v>0.99964319999999895</v>
      </c>
      <c r="P8181">
        <v>-8.5741989999999998E-4</v>
      </c>
      <c r="Q8181">
        <v>0.19748750000000001</v>
      </c>
      <c r="R8181">
        <v>0.98030499999999998</v>
      </c>
      <c r="S8181">
        <v>-5.1879880000000003E-2</v>
      </c>
      <c r="T8181">
        <v>-0.1526506</v>
      </c>
      <c r="U8181">
        <v>3.091736</v>
      </c>
      <c r="V8181">
        <v>2.3407830000000001E-2</v>
      </c>
      <c r="W8181">
        <v>0.20702219999999999</v>
      </c>
      <c r="X8181">
        <v>0.97805620000000004</v>
      </c>
      <c r="Y8181">
        <v>8.1238009999999999E-3</v>
      </c>
      <c r="Z8181">
        <v>-4.9286530000000002E-2</v>
      </c>
      <c r="AA8181">
        <v>0.99875159999999996</v>
      </c>
      <c r="AB8181">
        <v>39</v>
      </c>
      <c r="AC8181">
        <v>-0.36750000000000599</v>
      </c>
      <c r="AD8181">
        <v>-1.109880141259</v>
      </c>
      <c r="AE8181">
        <v>22.093170000000001</v>
      </c>
      <c r="AF8181">
        <v>0.18182261946094999</v>
      </c>
      <c r="AG8181">
        <v>-1.109880141259</v>
      </c>
      <c r="AH8181">
        <v>22.0398680130955</v>
      </c>
      <c r="AI8181">
        <v>92.882758508107898</v>
      </c>
      <c r="AJ8181">
        <v>89.527336897658202</v>
      </c>
      <c r="AK8181">
        <v>22.068544932269099</v>
      </c>
      <c r="AL8181">
        <v>78.052097902003595</v>
      </c>
      <c r="AM8181">
        <v>88.629001190932698</v>
      </c>
      <c r="AN8181">
        <v>1.00000002407829</v>
      </c>
    </row>
    <row r="8182" spans="1:40" x14ac:dyDescent="0.25">
      <c r="A8182" t="str">
        <f>"20190312172309425"</f>
        <v>20190312172309425</v>
      </c>
      <c r="B8182" t="str">
        <f>"1552382589418082"</f>
        <v>1552382589418082</v>
      </c>
      <c r="C8182" t="s">
        <v>40</v>
      </c>
      <c r="D8182">
        <v>3.2122160000000002</v>
      </c>
      <c r="E8182">
        <v>0.49440010000000001</v>
      </c>
      <c r="F8182" t="s">
        <v>42</v>
      </c>
      <c r="G8182">
        <v>-188.1251</v>
      </c>
      <c r="H8182" s="1">
        <v>-4.2117069999999998E-6</v>
      </c>
      <c r="I8182">
        <v>58.675109999999997</v>
      </c>
      <c r="J8182">
        <v>-187.78100000000001</v>
      </c>
      <c r="K8182">
        <v>1.109753</v>
      </c>
      <c r="L8182">
        <v>36.820010000000003</v>
      </c>
      <c r="M8182">
        <v>-2.476716E-2</v>
      </c>
      <c r="N8182">
        <v>0</v>
      </c>
      <c r="O8182">
        <v>0.99964589999999998</v>
      </c>
      <c r="P8182">
        <v>-5.8468820000000005E-4</v>
      </c>
      <c r="Q8182">
        <v>0.19654060000000001</v>
      </c>
      <c r="R8182">
        <v>0.98049549999999996</v>
      </c>
      <c r="S8182">
        <v>-4.9163819999999997E-2</v>
      </c>
      <c r="T8182">
        <v>-0.15418789999999999</v>
      </c>
      <c r="U8182">
        <v>3.091278</v>
      </c>
      <c r="V8182">
        <v>2.363372E-2</v>
      </c>
      <c r="W8182">
        <v>0.20607420000000001</v>
      </c>
      <c r="X8182">
        <v>0.97825090000000003</v>
      </c>
      <c r="Y8182">
        <v>8.8877739999999993E-3</v>
      </c>
      <c r="Z8182">
        <v>-4.9789420000000001E-2</v>
      </c>
      <c r="AA8182">
        <v>0.99872019999999995</v>
      </c>
      <c r="AB8182">
        <v>39</v>
      </c>
      <c r="AC8182">
        <v>-0.344100000000025</v>
      </c>
      <c r="AD8182">
        <v>-1.109757211707</v>
      </c>
      <c r="AE8182">
        <v>21.8551</v>
      </c>
      <c r="AF8182">
        <v>0.19681260799891301</v>
      </c>
      <c r="AG8182">
        <v>-1.109757211707</v>
      </c>
      <c r="AH8182">
        <v>21.800720971153101</v>
      </c>
      <c r="AI8182">
        <v>92.913985456303607</v>
      </c>
      <c r="AJ8182">
        <v>89.482759057701401</v>
      </c>
      <c r="AK8182">
        <v>21.829835801803</v>
      </c>
      <c r="AL8182">
        <v>78.107610790521505</v>
      </c>
      <c r="AM8182">
        <v>88.616051308442294</v>
      </c>
      <c r="AN8182">
        <v>0.99999997598874402</v>
      </c>
    </row>
    <row r="8183" spans="1:40" x14ac:dyDescent="0.25">
      <c r="A8183" t="str">
        <f>"20190312172309448"</f>
        <v>20190312172309448</v>
      </c>
      <c r="B8183" t="str">
        <f>"1552382589438580"</f>
        <v>1552382589438580</v>
      </c>
      <c r="C8183" t="s">
        <v>40</v>
      </c>
      <c r="D8183">
        <v>3.1270950000000002</v>
      </c>
      <c r="E8183">
        <v>0.49456050000000001</v>
      </c>
      <c r="F8183" t="s">
        <v>42</v>
      </c>
      <c r="G8183">
        <v>-188.11840000000001</v>
      </c>
      <c r="H8183" s="1">
        <v>-4.2584139999999997E-6</v>
      </c>
      <c r="I8183">
        <v>58.781219999999998</v>
      </c>
      <c r="J8183">
        <v>-187.79060000000001</v>
      </c>
      <c r="K8183">
        <v>1.1096469999999901</v>
      </c>
      <c r="L8183">
        <v>37.212339999999998</v>
      </c>
      <c r="M8183">
        <v>-2.4567459999999999E-2</v>
      </c>
      <c r="N8183">
        <v>0</v>
      </c>
      <c r="O8183">
        <v>0.99965079999999995</v>
      </c>
      <c r="P8183" s="1">
        <v>6.4994890000000003E-5</v>
      </c>
      <c r="Q8183">
        <v>0.19543179999999999</v>
      </c>
      <c r="R8183">
        <v>0.98071730000000001</v>
      </c>
      <c r="S8183">
        <v>-4.7485350000000003E-2</v>
      </c>
      <c r="T8183">
        <v>-0.1561949</v>
      </c>
      <c r="U8183">
        <v>3.090973</v>
      </c>
      <c r="V8183">
        <v>2.414465E-2</v>
      </c>
      <c r="W8183">
        <v>0.20496539999999999</v>
      </c>
      <c r="X8183">
        <v>0.97847139999999999</v>
      </c>
      <c r="Y8183">
        <v>9.2291379999999996E-3</v>
      </c>
      <c r="Z8183">
        <v>-5.0441340000000001E-2</v>
      </c>
      <c r="AA8183">
        <v>0.99868440000000003</v>
      </c>
      <c r="AB8183">
        <v>39</v>
      </c>
      <c r="AC8183">
        <v>-0.32779999999999598</v>
      </c>
      <c r="AD8183">
        <v>-1.1096512584139999</v>
      </c>
      <c r="AE8183">
        <v>21.56888</v>
      </c>
      <c r="AF8183">
        <v>0.201682954279986</v>
      </c>
      <c r="AG8183">
        <v>-1.1096512584139999</v>
      </c>
      <c r="AH8183">
        <v>21.513494601385698</v>
      </c>
      <c r="AI8183">
        <v>92.952530810672798</v>
      </c>
      <c r="AJ8183">
        <v>89.462883934487706</v>
      </c>
      <c r="AK8183">
        <v>21.543037202149499</v>
      </c>
      <c r="AL8183">
        <v>78.172526753951004</v>
      </c>
      <c r="AM8183">
        <v>88.5864626556574</v>
      </c>
      <c r="AN8183">
        <v>1.0000000299693701</v>
      </c>
    </row>
    <row r="8184" spans="1:40" x14ac:dyDescent="0.25">
      <c r="A8184" t="str">
        <f>"20190312172309470"</f>
        <v>20190312172309470</v>
      </c>
      <c r="B8184" t="str">
        <f>"1552382589458097"</f>
        <v>1552382589458097</v>
      </c>
      <c r="C8184" t="s">
        <v>40</v>
      </c>
      <c r="D8184">
        <v>3.1017640000000002</v>
      </c>
      <c r="E8184">
        <v>0.49466310000000002</v>
      </c>
      <c r="F8184" t="s">
        <v>42</v>
      </c>
      <c r="G8184">
        <v>-188.09549999999999</v>
      </c>
      <c r="H8184" s="1">
        <v>-4.2396E-6</v>
      </c>
      <c r="I8184">
        <v>58.727910000000001</v>
      </c>
      <c r="J8184">
        <v>-187.7998</v>
      </c>
      <c r="K8184">
        <v>1.1095549999999901</v>
      </c>
      <c r="L8184">
        <v>37.59628</v>
      </c>
      <c r="M8184">
        <v>-2.429825E-2</v>
      </c>
      <c r="N8184">
        <v>0</v>
      </c>
      <c r="O8184">
        <v>0.99965729999999997</v>
      </c>
      <c r="P8184">
        <v>8.9766949999999998E-4</v>
      </c>
      <c r="Q8184">
        <v>0.1952614</v>
      </c>
      <c r="R8184">
        <v>0.98075080000000003</v>
      </c>
      <c r="S8184">
        <v>-4.3807980000000003E-2</v>
      </c>
      <c r="T8184">
        <v>-0.15940379999999901</v>
      </c>
      <c r="U8184">
        <v>3.0907589999999998</v>
      </c>
      <c r="V8184">
        <v>2.475929E-2</v>
      </c>
      <c r="W8184">
        <v>0.20479459999999999</v>
      </c>
      <c r="X8184">
        <v>0.97849180000000002</v>
      </c>
      <c r="Y8184">
        <v>1.014751E-2</v>
      </c>
      <c r="Z8184">
        <v>-5.1479169999999998E-2</v>
      </c>
      <c r="AA8184">
        <v>0.99862249999999997</v>
      </c>
      <c r="AB8184">
        <v>39</v>
      </c>
      <c r="AC8184">
        <v>-0.29569999999998198</v>
      </c>
      <c r="AD8184">
        <v>-1.10955923959999</v>
      </c>
      <c r="AE8184">
        <v>21.131629999999902</v>
      </c>
      <c r="AF8184">
        <v>0.21727439514185901</v>
      </c>
      <c r="AG8184">
        <v>-1.10955923959999</v>
      </c>
      <c r="AH8184">
        <v>21.074484967764398</v>
      </c>
      <c r="AI8184">
        <v>93.013646568797</v>
      </c>
      <c r="AJ8184">
        <v>89.409311078804393</v>
      </c>
      <c r="AK8184">
        <v>21.1047920275347</v>
      </c>
      <c r="AL8184">
        <v>78.182524924027803</v>
      </c>
      <c r="AM8184">
        <v>88.550524209949003</v>
      </c>
      <c r="AN8184">
        <v>1.00000002664885</v>
      </c>
    </row>
    <row r="8185" spans="1:40" x14ac:dyDescent="0.25">
      <c r="A8185" t="str">
        <f>"20190312172309493"</f>
        <v>20190312172309493</v>
      </c>
      <c r="B8185" t="str">
        <f>"1552382589488354"</f>
        <v>1552382589488354</v>
      </c>
      <c r="C8185" t="s">
        <v>40</v>
      </c>
      <c r="D8185">
        <v>3.1147499999999999</v>
      </c>
      <c r="E8185">
        <v>0.49480780000000002</v>
      </c>
      <c r="F8185" t="s">
        <v>42</v>
      </c>
      <c r="G8185">
        <v>-188.08609999999999</v>
      </c>
      <c r="H8185" s="1">
        <v>-4.3891029999999999E-6</v>
      </c>
      <c r="I8185">
        <v>59.072499999999998</v>
      </c>
      <c r="J8185">
        <v>-187.809</v>
      </c>
      <c r="K8185">
        <v>1.109472</v>
      </c>
      <c r="L8185">
        <v>37.985529999999997</v>
      </c>
      <c r="M8185">
        <v>-2.3967240000000001E-2</v>
      </c>
      <c r="N8185">
        <v>0</v>
      </c>
      <c r="O8185">
        <v>0.99966529999999998</v>
      </c>
      <c r="P8185">
        <v>2.1011799999999998E-3</v>
      </c>
      <c r="Q8185">
        <v>0.19512209999999999</v>
      </c>
      <c r="R8185">
        <v>0.98077669999999995</v>
      </c>
      <c r="S8185">
        <v>-4.1198730000000003E-2</v>
      </c>
      <c r="T8185">
        <v>-0.1596795</v>
      </c>
      <c r="U8185">
        <v>3.0906980000000002</v>
      </c>
      <c r="V8185">
        <v>2.5678630000000001E-2</v>
      </c>
      <c r="W8185">
        <v>0.20465459999999999</v>
      </c>
      <c r="X8185">
        <v>0.97849739999999996</v>
      </c>
      <c r="Y8185">
        <v>1.065909E-2</v>
      </c>
      <c r="Z8185">
        <v>-5.1569759999999999E-2</v>
      </c>
      <c r="AA8185">
        <v>0.99861250000000001</v>
      </c>
      <c r="AB8185">
        <v>39</v>
      </c>
      <c r="AC8185">
        <v>-0.27709999999996099</v>
      </c>
      <c r="AD8185">
        <v>-1.1094763891029999</v>
      </c>
      <c r="AE8185">
        <v>21.086970000000001</v>
      </c>
      <c r="AF8185">
        <v>0.2277696314413</v>
      </c>
      <c r="AG8185">
        <v>-1.1094763891029999</v>
      </c>
      <c r="AH8185">
        <v>21.029348939160901</v>
      </c>
      <c r="AI8185">
        <v>93.019861204644897</v>
      </c>
      <c r="AJ8185">
        <v>89.3794516253041</v>
      </c>
      <c r="AK8185">
        <v>21.059827484288</v>
      </c>
      <c r="AL8185">
        <v>78.190719940848993</v>
      </c>
      <c r="AM8185">
        <v>88.496736413965607</v>
      </c>
      <c r="AN8185">
        <v>1.00000002957329</v>
      </c>
    </row>
    <row r="8186" spans="1:40" x14ac:dyDescent="0.25">
      <c r="A8186" t="str">
        <f>"20190312172309515"</f>
        <v>20190312172309515</v>
      </c>
      <c r="B8186" t="str">
        <f>"1552382589508850"</f>
        <v>1552382589508850</v>
      </c>
      <c r="C8186" t="s">
        <v>40</v>
      </c>
      <c r="D8186">
        <v>3.0950890000000002</v>
      </c>
      <c r="E8186">
        <v>0.4948997</v>
      </c>
      <c r="F8186" t="s">
        <v>42</v>
      </c>
      <c r="G8186">
        <v>-188.06780000000001</v>
      </c>
      <c r="H8186" s="1">
        <v>-5.2016169999999999E-7</v>
      </c>
      <c r="I8186">
        <v>59.66583</v>
      </c>
      <c r="J8186">
        <v>-187.81819999999999</v>
      </c>
      <c r="K8186">
        <v>1.1094029999999999</v>
      </c>
      <c r="L8186">
        <v>38.378050000000002</v>
      </c>
      <c r="M8186">
        <v>-2.3592289999999998E-2</v>
      </c>
      <c r="N8186">
        <v>0</v>
      </c>
      <c r="O8186">
        <v>0.99967410000000001</v>
      </c>
      <c r="P8186">
        <v>2.6014089999999998E-3</v>
      </c>
      <c r="Q8186">
        <v>0.19532579999999999</v>
      </c>
      <c r="R8186">
        <v>0.98073489999999997</v>
      </c>
      <c r="S8186">
        <v>-3.6880490000000002E-2</v>
      </c>
      <c r="T8186">
        <v>-0.15814529999999999</v>
      </c>
      <c r="U8186">
        <v>3.0903320000000001</v>
      </c>
      <c r="V8186">
        <v>2.5844209999999999E-2</v>
      </c>
      <c r="W8186">
        <v>0.20485900000000001</v>
      </c>
      <c r="X8186">
        <v>0.97845020000000005</v>
      </c>
      <c r="Y8186">
        <v>1.167734E-2</v>
      </c>
      <c r="Z8186">
        <v>-5.1082460000000003E-2</v>
      </c>
      <c r="AA8186">
        <v>0.99862620000000002</v>
      </c>
      <c r="AB8186">
        <v>39</v>
      </c>
      <c r="AC8186">
        <v>-0.249600000000015</v>
      </c>
      <c r="AD8186">
        <v>-1.1094035201616901</v>
      </c>
      <c r="AE8186">
        <v>21.287780000000001</v>
      </c>
      <c r="AF8186">
        <v>0.25203642190997699</v>
      </c>
      <c r="AG8186">
        <v>-1.1094035201616901</v>
      </c>
      <c r="AH8186">
        <v>21.230091693862502</v>
      </c>
      <c r="AI8186">
        <v>92.991127407919393</v>
      </c>
      <c r="AJ8186">
        <v>89.3198359610534</v>
      </c>
      <c r="AK8186">
        <v>21.260552482433901</v>
      </c>
      <c r="AL8186">
        <v>78.178754392497595</v>
      </c>
      <c r="AM8186">
        <v>88.486974665519796</v>
      </c>
      <c r="AN8186">
        <v>0.99999996347578102</v>
      </c>
    </row>
    <row r="8187" spans="1:40" x14ac:dyDescent="0.25">
      <c r="A8187" t="str">
        <f>"20190312172309536"</f>
        <v>20190312172309536</v>
      </c>
      <c r="B8187" t="str">
        <f>"1552382589528876"</f>
        <v>1552382589528876</v>
      </c>
      <c r="C8187" t="s">
        <v>40</v>
      </c>
      <c r="D8187">
        <v>3.1044339999999999</v>
      </c>
      <c r="E8187">
        <v>0.49500179999999999</v>
      </c>
      <c r="F8187" t="s">
        <v>42</v>
      </c>
      <c r="G8187">
        <v>-188.06290000000001</v>
      </c>
      <c r="H8187" s="1">
        <v>-7.4704510000000002E-7</v>
      </c>
      <c r="I8187">
        <v>60.328740000000003</v>
      </c>
      <c r="J8187">
        <v>-187.827</v>
      </c>
      <c r="K8187">
        <v>1.1093519999999999</v>
      </c>
      <c r="L8187">
        <v>38.764769999999999</v>
      </c>
      <c r="M8187">
        <v>-2.3196120000000001E-2</v>
      </c>
      <c r="N8187">
        <v>0</v>
      </c>
      <c r="O8187">
        <v>0.9996834</v>
      </c>
      <c r="P8187">
        <v>2.8006849999999998E-3</v>
      </c>
      <c r="Q8187">
        <v>0.19501540000000001</v>
      </c>
      <c r="R8187">
        <v>0.98079620000000001</v>
      </c>
      <c r="S8187">
        <v>-3.4454350000000002E-2</v>
      </c>
      <c r="T8187">
        <v>-0.15617679999999901</v>
      </c>
      <c r="U8187">
        <v>3.0901179999999999</v>
      </c>
      <c r="V8187">
        <v>2.5683419999999998E-2</v>
      </c>
      <c r="W8187">
        <v>0.2045505</v>
      </c>
      <c r="X8187">
        <v>0.97851900000000003</v>
      </c>
      <c r="Y8187">
        <v>1.2063829999999999E-2</v>
      </c>
      <c r="Z8187">
        <v>-5.0452530000000002E-2</v>
      </c>
      <c r="AA8187">
        <v>0.99865360000000003</v>
      </c>
      <c r="AB8187">
        <v>39</v>
      </c>
      <c r="AC8187">
        <v>-0.23590000000001499</v>
      </c>
      <c r="AD8187">
        <v>-1.1093527470450999</v>
      </c>
      <c r="AE8187">
        <v>21.563970000000001</v>
      </c>
      <c r="AF8187">
        <v>0.26368989784812902</v>
      </c>
      <c r="AG8187">
        <v>-1.1093527470450999</v>
      </c>
      <c r="AH8187">
        <v>21.506727485248</v>
      </c>
      <c r="AI8187">
        <v>92.952573058932401</v>
      </c>
      <c r="AJ8187">
        <v>89.2975425359094</v>
      </c>
      <c r="AK8187">
        <v>21.536933927658399</v>
      </c>
      <c r="AL8187">
        <v>78.196812853331494</v>
      </c>
      <c r="AM8187">
        <v>88.4964893035025</v>
      </c>
      <c r="AN8187">
        <v>0.99999998923707301</v>
      </c>
    </row>
    <row r="8188" spans="1:40" x14ac:dyDescent="0.25">
      <c r="A8188" t="str">
        <f>"20190312172309560"</f>
        <v>20190312172309560</v>
      </c>
      <c r="B8188" t="str">
        <f>"1552382589548399"</f>
        <v>1552382589548399</v>
      </c>
      <c r="C8188" t="s">
        <v>40</v>
      </c>
      <c r="D8188">
        <v>3.0991599999999999</v>
      </c>
      <c r="E8188">
        <v>0.49511670000000002</v>
      </c>
      <c r="F8188" t="s">
        <v>42</v>
      </c>
      <c r="G8188">
        <v>-188.05609999999999</v>
      </c>
      <c r="H8188" s="1">
        <v>-8.8110709999999899E-7</v>
      </c>
      <c r="I8188">
        <v>60.717350000000003</v>
      </c>
      <c r="J8188">
        <v>-187.83590000000001</v>
      </c>
      <c r="K8188">
        <v>1.1093090000000001</v>
      </c>
      <c r="L8188">
        <v>39.159480000000002</v>
      </c>
      <c r="M8188">
        <v>-2.2775070000000001E-2</v>
      </c>
      <c r="N8188">
        <v>0</v>
      </c>
      <c r="O8188">
        <v>0.99969300000000005</v>
      </c>
      <c r="P8188">
        <v>2.8721939999999998E-3</v>
      </c>
      <c r="Q8188">
        <v>0.1953481</v>
      </c>
      <c r="R8188">
        <v>0.98072979999999998</v>
      </c>
      <c r="S8188">
        <v>-3.2241819999999997E-2</v>
      </c>
      <c r="T8188">
        <v>-0.156143899999999</v>
      </c>
      <c r="U8188">
        <v>3.089874</v>
      </c>
      <c r="V8188">
        <v>2.5362920000000001E-2</v>
      </c>
      <c r="W8188">
        <v>0.20488609999999999</v>
      </c>
      <c r="X8188">
        <v>0.97845720000000003</v>
      </c>
      <c r="Y8188">
        <v>1.2356799999999999E-2</v>
      </c>
      <c r="Z8188">
        <v>-5.0446739999999997E-2</v>
      </c>
      <c r="AA8188">
        <v>0.99865029999999999</v>
      </c>
      <c r="AB8188">
        <v>39</v>
      </c>
      <c r="AC8188">
        <v>-0.220199999999977</v>
      </c>
      <c r="AD8188">
        <v>-1.1093098811071</v>
      </c>
      <c r="AE8188">
        <v>21.557870000000001</v>
      </c>
      <c r="AF8188">
        <v>0.27014725740116202</v>
      </c>
      <c r="AG8188">
        <v>-1.1093098811071</v>
      </c>
      <c r="AH8188">
        <v>21.500369073560101</v>
      </c>
      <c r="AI8188">
        <v>92.953319650347893</v>
      </c>
      <c r="AJ8188">
        <v>89.280129416265893</v>
      </c>
      <c r="AK8188">
        <v>21.5306622808566</v>
      </c>
      <c r="AL8188">
        <v>78.177168969172001</v>
      </c>
      <c r="AM8188">
        <v>88.515149226859293</v>
      </c>
      <c r="AN8188">
        <v>1.00000004195798</v>
      </c>
    </row>
    <row r="8189" spans="1:40" x14ac:dyDescent="0.25">
      <c r="A8189" t="str">
        <f>"20190312172309581"</f>
        <v>20190312172309581</v>
      </c>
      <c r="B8189" t="str">
        <f>"1552382589578653"</f>
        <v>1552382589578653</v>
      </c>
      <c r="C8189" t="s">
        <v>40</v>
      </c>
      <c r="D8189">
        <v>3.0800540000000001</v>
      </c>
      <c r="E8189">
        <v>0.4952665</v>
      </c>
      <c r="F8189" t="s">
        <v>42</v>
      </c>
      <c r="G8189">
        <v>-188.04920000000001</v>
      </c>
      <c r="H8189" s="1">
        <v>-1.076277E-6</v>
      </c>
      <c r="I8189">
        <v>61.285449999999997</v>
      </c>
      <c r="J8189">
        <v>-187.84399999999999</v>
      </c>
      <c r="K8189">
        <v>1.1092759999999999</v>
      </c>
      <c r="L8189">
        <v>39.53107</v>
      </c>
      <c r="M8189">
        <v>-2.2369179999999999E-2</v>
      </c>
      <c r="N8189">
        <v>0</v>
      </c>
      <c r="O8189">
        <v>0.99970219999999999</v>
      </c>
      <c r="P8189">
        <v>2.9544390000000001E-3</v>
      </c>
      <c r="Q8189">
        <v>0.19595979999999999</v>
      </c>
      <c r="R8189">
        <v>0.98060749999999997</v>
      </c>
      <c r="S8189">
        <v>-2.9785160000000001E-2</v>
      </c>
      <c r="T8189">
        <v>-0.1549159</v>
      </c>
      <c r="U8189">
        <v>3.0899049999999999</v>
      </c>
      <c r="V8189">
        <v>2.506135E-2</v>
      </c>
      <c r="W8189">
        <v>0.2054965</v>
      </c>
      <c r="X8189">
        <v>0.97833689999999995</v>
      </c>
      <c r="Y8189">
        <v>1.274464E-2</v>
      </c>
      <c r="Z8189">
        <v>-5.0051279999999997E-2</v>
      </c>
      <c r="AA8189">
        <v>0.99866529999999998</v>
      </c>
      <c r="AB8189">
        <v>39</v>
      </c>
      <c r="AC8189">
        <v>-0.20519999999999</v>
      </c>
      <c r="AD8189">
        <v>-1.1092770762769999</v>
      </c>
      <c r="AE8189">
        <v>21.754380000000001</v>
      </c>
      <c r="AF8189">
        <v>0.28077217561312501</v>
      </c>
      <c r="AG8189">
        <v>-1.1092770762769999</v>
      </c>
      <c r="AH8189">
        <v>21.697117229970299</v>
      </c>
      <c r="AI8189">
        <v>92.926485501638197</v>
      </c>
      <c r="AJ8189">
        <v>89.258603683528705</v>
      </c>
      <c r="AK8189">
        <v>21.727269150485199</v>
      </c>
      <c r="AL8189">
        <v>78.141434611611302</v>
      </c>
      <c r="AM8189">
        <v>88.532616290741302</v>
      </c>
      <c r="AN8189">
        <v>0.99999998633884102</v>
      </c>
    </row>
    <row r="8190" spans="1:40" x14ac:dyDescent="0.25">
      <c r="A8190" t="str">
        <f>"20190312172309604"</f>
        <v>20190312172309604</v>
      </c>
      <c r="B8190" t="str">
        <f>"1552382589598172"</f>
        <v>1552382589598172</v>
      </c>
      <c r="C8190" t="s">
        <v>40</v>
      </c>
      <c r="D8190">
        <v>3.0989439999999999</v>
      </c>
      <c r="E8190">
        <v>0.49540319999999999</v>
      </c>
      <c r="F8190" t="s">
        <v>42</v>
      </c>
      <c r="G8190">
        <v>-188.054</v>
      </c>
      <c r="H8190" s="1">
        <v>-1.3762289999999901E-6</v>
      </c>
      <c r="I8190">
        <v>62.036140000000003</v>
      </c>
      <c r="J8190">
        <v>-187.85249999999999</v>
      </c>
      <c r="K8190">
        <v>1.109245</v>
      </c>
      <c r="L8190">
        <v>39.92633</v>
      </c>
      <c r="M8190">
        <v>-2.1933540000000001E-2</v>
      </c>
      <c r="N8190">
        <v>0</v>
      </c>
      <c r="O8190">
        <v>0.99971180000000004</v>
      </c>
      <c r="P8190">
        <v>2.6656330000000002E-3</v>
      </c>
      <c r="Q8190">
        <v>0.1960848</v>
      </c>
      <c r="R8190">
        <v>0.98058330000000005</v>
      </c>
      <c r="S8190">
        <v>-2.8823850000000002E-2</v>
      </c>
      <c r="T8190">
        <v>-0.15229870000000001</v>
      </c>
      <c r="U8190">
        <v>3.0898439999999998</v>
      </c>
      <c r="V8190">
        <v>2.4359269999999999E-2</v>
      </c>
      <c r="W8190">
        <v>0.2056183</v>
      </c>
      <c r="X8190">
        <v>0.97832909999999995</v>
      </c>
      <c r="Y8190">
        <v>1.2619E-2</v>
      </c>
      <c r="Z8190">
        <v>-4.9209540000000003E-2</v>
      </c>
      <c r="AA8190">
        <v>0.99870879999999995</v>
      </c>
      <c r="AB8190">
        <v>39</v>
      </c>
      <c r="AC8190">
        <v>-0.20150000000001</v>
      </c>
      <c r="AD8190">
        <v>-1.1092463762289999</v>
      </c>
      <c r="AE8190">
        <v>22.10981</v>
      </c>
      <c r="AF8190">
        <v>0.28280620662150402</v>
      </c>
      <c r="AG8190">
        <v>-1.1092463762289999</v>
      </c>
      <c r="AH8190">
        <v>22.053406205342998</v>
      </c>
      <c r="AI8190">
        <v>92.879210961914794</v>
      </c>
      <c r="AJ8190">
        <v>89.265296535878605</v>
      </c>
      <c r="AK8190">
        <v>22.083096072143999</v>
      </c>
      <c r="AL8190">
        <v>78.1343043950435</v>
      </c>
      <c r="AM8190">
        <v>88.573695650056095</v>
      </c>
      <c r="AN8190">
        <v>1.0000000436183101</v>
      </c>
    </row>
    <row r="8191" spans="1:40" x14ac:dyDescent="0.25">
      <c r="A8191" t="str">
        <f>"20190312172309626"</f>
        <v>20190312172309626</v>
      </c>
      <c r="B8191" t="str">
        <f>"1552382589618669"</f>
        <v>1552382589618669</v>
      </c>
      <c r="C8191" t="s">
        <v>40</v>
      </c>
      <c r="D8191">
        <v>3.0940150000000002</v>
      </c>
      <c r="E8191">
        <v>0.49554749999999997</v>
      </c>
      <c r="F8191" t="s">
        <v>42</v>
      </c>
      <c r="G8191">
        <v>-188.05940000000001</v>
      </c>
      <c r="H8191" s="1">
        <v>-1.5711000000000001E-6</v>
      </c>
      <c r="I8191">
        <v>62.492620000000002</v>
      </c>
      <c r="J8191">
        <v>-187.86109999999999</v>
      </c>
      <c r="K8191">
        <v>1.1092150000000001</v>
      </c>
      <c r="L8191">
        <v>40.334629999999997</v>
      </c>
      <c r="M8191">
        <v>-2.1482129999999999E-2</v>
      </c>
      <c r="N8191">
        <v>0</v>
      </c>
      <c r="O8191">
        <v>0.99972159999999999</v>
      </c>
      <c r="P8191">
        <v>2.7363919999999998E-3</v>
      </c>
      <c r="Q8191">
        <v>0.19580210000000001</v>
      </c>
      <c r="R8191">
        <v>0.98063959999999994</v>
      </c>
      <c r="S8191">
        <v>-2.8320310000000001E-2</v>
      </c>
      <c r="T8191">
        <v>-0.1518813</v>
      </c>
      <c r="U8191">
        <v>3.0898439999999998</v>
      </c>
      <c r="V8191">
        <v>2.4000290000000001E-2</v>
      </c>
      <c r="W8191">
        <v>0.20533270000000001</v>
      </c>
      <c r="X8191">
        <v>0.97839790000000004</v>
      </c>
      <c r="Y8191">
        <v>1.233019E-2</v>
      </c>
      <c r="Z8191">
        <v>-4.9075859999999999E-2</v>
      </c>
      <c r="AA8191">
        <v>0.99871889999999997</v>
      </c>
      <c r="AB8191">
        <v>39</v>
      </c>
      <c r="AC8191">
        <v>-0.19830000000001699</v>
      </c>
      <c r="AD8191">
        <v>-1.1092165710999999</v>
      </c>
      <c r="AE8191">
        <v>22.157990000000002</v>
      </c>
      <c r="AF8191">
        <v>0.27707497645847201</v>
      </c>
      <c r="AG8191">
        <v>-1.1092165710999999</v>
      </c>
      <c r="AH8191">
        <v>22.101754873828501</v>
      </c>
      <c r="AI8191">
        <v>92.872856494076501</v>
      </c>
      <c r="AJ8191">
        <v>89.281758607841198</v>
      </c>
      <c r="AK8191">
        <v>22.1313058911349</v>
      </c>
      <c r="AL8191">
        <v>78.1510242151124</v>
      </c>
      <c r="AM8191">
        <v>88.594805234767094</v>
      </c>
      <c r="AN8191">
        <v>0.99999999116689198</v>
      </c>
    </row>
    <row r="8192" spans="1:40" x14ac:dyDescent="0.25">
      <c r="A8192" t="str">
        <f>"20190312172309648"</f>
        <v>20190312172309648</v>
      </c>
      <c r="B8192" t="str">
        <f>"1552382589638193"</f>
        <v>1552382589638193</v>
      </c>
      <c r="C8192" t="s">
        <v>40</v>
      </c>
      <c r="D8192">
        <v>3.0838770000000002</v>
      </c>
      <c r="E8192">
        <v>0.49568309999999999</v>
      </c>
      <c r="F8192" t="s">
        <v>42</v>
      </c>
      <c r="G8192">
        <v>-188.0566</v>
      </c>
      <c r="H8192" s="1">
        <v>-1.6636109999999999E-6</v>
      </c>
      <c r="I8192">
        <v>62.707120000000003</v>
      </c>
      <c r="J8192">
        <v>-187.86920000000001</v>
      </c>
      <c r="K8192">
        <v>1.1091899999999999</v>
      </c>
      <c r="L8192">
        <v>40.723269999999999</v>
      </c>
      <c r="M8192">
        <v>-2.1052649999999999E-2</v>
      </c>
      <c r="N8192">
        <v>0</v>
      </c>
      <c r="O8192">
        <v>0.99973080000000003</v>
      </c>
      <c r="P8192">
        <v>3.449644E-3</v>
      </c>
      <c r="Q8192">
        <v>0.19648779999999999</v>
      </c>
      <c r="R8192">
        <v>0.98050020000000004</v>
      </c>
      <c r="S8192">
        <v>-2.6992800000000001E-2</v>
      </c>
      <c r="T8192">
        <v>-0.15319579999999999</v>
      </c>
      <c r="U8192">
        <v>3.0899049999999999</v>
      </c>
      <c r="V8192">
        <v>2.4299319999999999E-2</v>
      </c>
      <c r="W8192">
        <v>0.20601169999999999</v>
      </c>
      <c r="X8192">
        <v>0.9782478</v>
      </c>
      <c r="Y8192">
        <v>1.2330030000000001E-2</v>
      </c>
      <c r="Z8192">
        <v>-4.9499359999999999E-2</v>
      </c>
      <c r="AA8192">
        <v>0.99869810000000003</v>
      </c>
      <c r="AB8192">
        <v>39</v>
      </c>
      <c r="AC8192">
        <v>-0.18739999999999599</v>
      </c>
      <c r="AD8192">
        <v>-1.109191663611</v>
      </c>
      <c r="AE8192">
        <v>21.98385</v>
      </c>
      <c r="AF8192">
        <v>0.27478238887876799</v>
      </c>
      <c r="AG8192">
        <v>-1.109191663611</v>
      </c>
      <c r="AH8192">
        <v>21.927107091378499</v>
      </c>
      <c r="AI8192">
        <v>92.895635050240998</v>
      </c>
      <c r="AJ8192">
        <v>89.282028083733096</v>
      </c>
      <c r="AK8192">
        <v>21.956863093453101</v>
      </c>
      <c r="AL8192">
        <v>78.111270804003993</v>
      </c>
      <c r="AM8192">
        <v>88.577086251165895</v>
      </c>
      <c r="AN8192">
        <v>1.00000001784709</v>
      </c>
    </row>
    <row r="8193" spans="1:40" x14ac:dyDescent="0.25">
      <c r="A8193" t="str">
        <f>"20190312172309670"</f>
        <v>20190312172309670</v>
      </c>
      <c r="B8193" t="str">
        <f>"1552382589658684"</f>
        <v>1552382589658684</v>
      </c>
      <c r="C8193" t="s">
        <v>40</v>
      </c>
      <c r="D8193">
        <v>3.075202</v>
      </c>
      <c r="E8193">
        <v>0.49577070000000001</v>
      </c>
      <c r="F8193" t="s">
        <v>42</v>
      </c>
      <c r="G8193">
        <v>-188.04599999999999</v>
      </c>
      <c r="H8193" s="1">
        <v>-1.965703E-6</v>
      </c>
      <c r="I8193">
        <v>63.406930000000003</v>
      </c>
      <c r="J8193">
        <v>-187.8768</v>
      </c>
      <c r="K8193">
        <v>1.1091719999999901</v>
      </c>
      <c r="L8193">
        <v>41.102780000000003</v>
      </c>
      <c r="M8193">
        <v>-2.0633510000000001E-2</v>
      </c>
      <c r="N8193">
        <v>0</v>
      </c>
      <c r="O8193">
        <v>0.99973959999999995</v>
      </c>
      <c r="P8193">
        <v>4.997965E-3</v>
      </c>
      <c r="Q8193">
        <v>0.19633900000000001</v>
      </c>
      <c r="R8193">
        <v>0.98052329999999999</v>
      </c>
      <c r="S8193">
        <v>-2.4093630000000001E-2</v>
      </c>
      <c r="T8193">
        <v>-0.15109690000000001</v>
      </c>
      <c r="U8193">
        <v>3.0900270000000001</v>
      </c>
      <c r="V8193">
        <v>2.5444169999999999E-2</v>
      </c>
      <c r="W8193">
        <v>0.20585439999999999</v>
      </c>
      <c r="X8193">
        <v>0.9782518</v>
      </c>
      <c r="Y8193">
        <v>1.2847839999999999E-2</v>
      </c>
      <c r="Z8193">
        <v>-4.882156E-2</v>
      </c>
      <c r="AA8193">
        <v>0.99872490000000003</v>
      </c>
      <c r="AB8193">
        <v>39</v>
      </c>
      <c r="AC8193">
        <v>-0.169199999999989</v>
      </c>
      <c r="AD8193">
        <v>-1.10917396570299</v>
      </c>
      <c r="AE8193">
        <v>22.30415</v>
      </c>
      <c r="AF8193">
        <v>0.29035277905685097</v>
      </c>
      <c r="AG8193">
        <v>-1.10917396570299</v>
      </c>
      <c r="AH8193">
        <v>22.2478761741333</v>
      </c>
      <c r="AI8193">
        <v>92.853891033940698</v>
      </c>
      <c r="AJ8193">
        <v>89.252286183382296</v>
      </c>
      <c r="AK8193">
        <v>22.277400339403801</v>
      </c>
      <c r="AL8193">
        <v>78.120480766511506</v>
      </c>
      <c r="AM8193">
        <v>88.510082027737099</v>
      </c>
      <c r="AN8193">
        <v>1.0000000119947901</v>
      </c>
    </row>
    <row r="8194" spans="1:40" x14ac:dyDescent="0.25">
      <c r="A8194" t="str">
        <f>"20190312172309693"</f>
        <v>20190312172309693</v>
      </c>
      <c r="B8194" t="str">
        <f>"1552382589688940"</f>
        <v>1552382589688940</v>
      </c>
      <c r="C8194" t="s">
        <v>40</v>
      </c>
      <c r="D8194">
        <v>3.106687</v>
      </c>
      <c r="E8194">
        <v>0.49594120000000003</v>
      </c>
      <c r="F8194" t="s">
        <v>42</v>
      </c>
      <c r="G8194">
        <v>-188.01410000000001</v>
      </c>
      <c r="H8194" s="1">
        <v>-2.149463E-6</v>
      </c>
      <c r="I8194">
        <v>63.822090000000003</v>
      </c>
      <c r="J8194">
        <v>-187.88489999999999</v>
      </c>
      <c r="K8194">
        <v>1.109154</v>
      </c>
      <c r="L8194">
        <v>41.513919999999999</v>
      </c>
      <c r="M8194">
        <v>-2.0179639999999999E-2</v>
      </c>
      <c r="N8194">
        <v>0</v>
      </c>
      <c r="O8194">
        <v>0.999749</v>
      </c>
      <c r="P8194">
        <v>6.0023659999999899E-3</v>
      </c>
      <c r="Q8194">
        <v>0.19568099999999999</v>
      </c>
      <c r="R8194">
        <v>0.9806492</v>
      </c>
      <c r="S8194">
        <v>-1.8676760000000001E-2</v>
      </c>
      <c r="T8194">
        <v>-0.1508515</v>
      </c>
      <c r="U8194">
        <v>3.0899049999999999</v>
      </c>
      <c r="V8194">
        <v>2.601173E-2</v>
      </c>
      <c r="W8194">
        <v>0.2051866</v>
      </c>
      <c r="X8194">
        <v>0.97837719999999995</v>
      </c>
      <c r="Y8194">
        <v>1.414431E-2</v>
      </c>
      <c r="Z8194">
        <v>-4.8744929999999999E-2</v>
      </c>
      <c r="AA8194">
        <v>0.99871109999999996</v>
      </c>
      <c r="AB8194">
        <v>39</v>
      </c>
      <c r="AC8194">
        <v>-0.12920000000002499</v>
      </c>
      <c r="AD8194">
        <v>-1.109156149463</v>
      </c>
      <c r="AE8194">
        <v>22.30817</v>
      </c>
      <c r="AF8194">
        <v>0.32022688176270098</v>
      </c>
      <c r="AG8194">
        <v>-1.109156149463</v>
      </c>
      <c r="AH8194">
        <v>22.251229958764601</v>
      </c>
      <c r="AI8194">
        <v>92.853363447237399</v>
      </c>
      <c r="AJ8194">
        <v>89.175489070776507</v>
      </c>
      <c r="AK8194">
        <v>22.2811581228965</v>
      </c>
      <c r="AL8194">
        <v>78.159577928538795</v>
      </c>
      <c r="AM8194">
        <v>88.4770583956401</v>
      </c>
      <c r="AN8194">
        <v>1.0000000481984901</v>
      </c>
    </row>
    <row r="8195" spans="1:40" x14ac:dyDescent="0.25">
      <c r="A8195" t="str">
        <f>"20190312172309716"</f>
        <v>20190312172309716</v>
      </c>
      <c r="B8195" t="str">
        <f>"1552382589708460"</f>
        <v>1552382589708460</v>
      </c>
      <c r="C8195" t="s">
        <v>40</v>
      </c>
      <c r="D8195">
        <v>3.1095709999999999</v>
      </c>
      <c r="E8195">
        <v>0.51511189999999996</v>
      </c>
      <c r="F8195" t="s">
        <v>42</v>
      </c>
      <c r="G8195">
        <v>-187.98150000000001</v>
      </c>
      <c r="H8195" s="1">
        <v>-2.2516129999999999E-6</v>
      </c>
      <c r="I8195">
        <v>64.046710000000004</v>
      </c>
      <c r="J8195">
        <v>-187.89230000000001</v>
      </c>
      <c r="K8195">
        <v>1.1091409999999999</v>
      </c>
      <c r="L8195">
        <v>41.898589999999999</v>
      </c>
      <c r="M8195">
        <v>-1.9754569999999999E-2</v>
      </c>
      <c r="N8195">
        <v>0</v>
      </c>
      <c r="O8195">
        <v>0.99975749999999997</v>
      </c>
      <c r="P8195">
        <v>6.7378019999999898E-3</v>
      </c>
      <c r="Q8195">
        <v>0.1960007</v>
      </c>
      <c r="R8195">
        <v>0.98058060000000002</v>
      </c>
      <c r="S8195">
        <v>-1.324463E-2</v>
      </c>
      <c r="T8195">
        <v>-0.15208429999999901</v>
      </c>
      <c r="U8195">
        <v>3.0896300000000001</v>
      </c>
      <c r="V8195">
        <v>2.6333949999999998E-2</v>
      </c>
      <c r="W8195">
        <v>0.2054965</v>
      </c>
      <c r="X8195">
        <v>0.97830349999999999</v>
      </c>
      <c r="Y8195">
        <v>1.547458E-2</v>
      </c>
      <c r="Z8195">
        <v>-4.9147030000000001E-2</v>
      </c>
      <c r="AA8195">
        <v>0.99867169999999905</v>
      </c>
      <c r="AB8195">
        <v>39</v>
      </c>
      <c r="AC8195">
        <v>-8.9200000000005206E-2</v>
      </c>
      <c r="AD8195">
        <v>-1.109143251613</v>
      </c>
      <c r="AE8195">
        <v>22.148119999999999</v>
      </c>
      <c r="AF8195">
        <v>0.347493266215192</v>
      </c>
      <c r="AG8195">
        <v>-1.109143251613</v>
      </c>
      <c r="AH8195">
        <v>22.090161872651201</v>
      </c>
      <c r="AI8195">
        <v>92.874042460546306</v>
      </c>
      <c r="AJ8195">
        <v>89.098772763246004</v>
      </c>
      <c r="AK8195">
        <v>22.120718837384</v>
      </c>
      <c r="AL8195">
        <v>78.141434935658694</v>
      </c>
      <c r="AM8195">
        <v>88.458085930108297</v>
      </c>
      <c r="AN8195">
        <v>1.00000001327355</v>
      </c>
    </row>
    <row r="8196" spans="1:40" x14ac:dyDescent="0.25">
      <c r="A8196" t="str">
        <f>"20190312172309738"</f>
        <v>20190312172309738</v>
      </c>
      <c r="B8196" t="str">
        <f>"1552382589728956"</f>
        <v>1552382589728956</v>
      </c>
      <c r="C8196" t="s">
        <v>40</v>
      </c>
      <c r="D8196">
        <v>3.2467510000000002</v>
      </c>
      <c r="E8196">
        <v>0.52097680000000002</v>
      </c>
      <c r="F8196" t="s">
        <v>42</v>
      </c>
      <c r="G8196">
        <v>-186.40010000000001</v>
      </c>
      <c r="H8196" s="1">
        <v>-2.5975710000000002E-6</v>
      </c>
      <c r="I8196">
        <v>74.199259999999995</v>
      </c>
      <c r="J8196">
        <v>-187.90010000000001</v>
      </c>
      <c r="K8196">
        <v>1.109132</v>
      </c>
      <c r="L8196">
        <v>42.311709999999998</v>
      </c>
      <c r="M8196">
        <v>-1.9297979999999999E-2</v>
      </c>
      <c r="N8196">
        <v>0</v>
      </c>
      <c r="O8196">
        <v>0.9997665</v>
      </c>
      <c r="P8196">
        <v>8.0500380000000007E-3</v>
      </c>
      <c r="Q8196">
        <v>0.19639180000000001</v>
      </c>
      <c r="R8196">
        <v>0.98049249999999999</v>
      </c>
      <c r="S8196">
        <v>0.14227290000000001</v>
      </c>
      <c r="T8196">
        <v>-0.1057463</v>
      </c>
      <c r="U8196">
        <v>3.0795590000000002</v>
      </c>
      <c r="V8196">
        <v>2.7201099999999898E-2</v>
      </c>
      <c r="W8196">
        <v>0.20587730000000001</v>
      </c>
      <c r="X8196">
        <v>0.97819970000000001</v>
      </c>
      <c r="Y8196">
        <v>6.5392539999999999E-2</v>
      </c>
      <c r="Z8196">
        <v>-3.4253319999999997E-2</v>
      </c>
      <c r="AA8196">
        <v>0.99727149999999998</v>
      </c>
      <c r="AB8196">
        <v>39</v>
      </c>
      <c r="AC8196">
        <v>1.5</v>
      </c>
      <c r="AD8196">
        <v>-1.1091345975710001</v>
      </c>
      <c r="AE8196">
        <v>31.887550000000001</v>
      </c>
      <c r="AF8196">
        <v>2.1125648169687201</v>
      </c>
      <c r="AG8196">
        <v>-1.1091345975710001</v>
      </c>
      <c r="AH8196">
        <v>31.8142578683035</v>
      </c>
      <c r="AI8196">
        <v>91.992299496393898</v>
      </c>
      <c r="AJ8196">
        <v>86.200960816016803</v>
      </c>
      <c r="AK8196">
        <v>31.903606588790801</v>
      </c>
      <c r="AL8196">
        <v>78.1191399229875</v>
      </c>
      <c r="AM8196">
        <v>88.407169097704795</v>
      </c>
      <c r="AN8196">
        <v>1.00000000778829</v>
      </c>
    </row>
    <row r="8197" spans="1:40" x14ac:dyDescent="0.25">
      <c r="A8197" t="str">
        <f>"20190312172309760"</f>
        <v>20190312172309760</v>
      </c>
      <c r="B8197" t="str">
        <f>"1552382589748479"</f>
        <v>1552382589748479</v>
      </c>
      <c r="C8197" t="s">
        <v>40</v>
      </c>
      <c r="D8197">
        <v>3.1022319999999999</v>
      </c>
      <c r="E8197">
        <v>0.5231557</v>
      </c>
      <c r="F8197" t="s">
        <v>42</v>
      </c>
      <c r="G8197">
        <v>-185.78110000000001</v>
      </c>
      <c r="H8197" s="1">
        <v>-3.5484409999999998E-6</v>
      </c>
      <c r="I8197">
        <v>76.159809999999993</v>
      </c>
      <c r="J8197">
        <v>-187.90690000000001</v>
      </c>
      <c r="K8197">
        <v>1.1091249999999999</v>
      </c>
      <c r="L8197">
        <v>42.682160000000003</v>
      </c>
      <c r="M8197">
        <v>-1.8887950000000001E-2</v>
      </c>
      <c r="N8197">
        <v>0</v>
      </c>
      <c r="O8197">
        <v>0.99977450000000001</v>
      </c>
      <c r="P8197">
        <v>9.3773989999999998E-3</v>
      </c>
      <c r="Q8197">
        <v>0.1966801</v>
      </c>
      <c r="R8197">
        <v>0.98042289999999999</v>
      </c>
      <c r="S8197">
        <v>0.19271849999999999</v>
      </c>
      <c r="T8197">
        <v>-0.1008701</v>
      </c>
      <c r="U8197">
        <v>3.0783079999999998</v>
      </c>
      <c r="V8197">
        <v>2.8128070000000002E-2</v>
      </c>
      <c r="W8197">
        <v>0.2061577</v>
      </c>
      <c r="X8197">
        <v>0.97811440000000005</v>
      </c>
      <c r="Y8197">
        <v>8.129045E-2</v>
      </c>
      <c r="Z8197">
        <v>-3.2655570000000002E-2</v>
      </c>
      <c r="AA8197">
        <v>0.99615529999999997</v>
      </c>
      <c r="AB8197">
        <v>40</v>
      </c>
      <c r="AC8197">
        <v>2.1257999999999901</v>
      </c>
      <c r="AD8197">
        <v>-1.1091285484409901</v>
      </c>
      <c r="AE8197">
        <v>33.477649999999997</v>
      </c>
      <c r="AF8197">
        <v>2.7547631452127699</v>
      </c>
      <c r="AG8197">
        <v>-1.1091285484409901</v>
      </c>
      <c r="AH8197">
        <v>33.395015369719097</v>
      </c>
      <c r="AI8197">
        <v>91.8957965734091</v>
      </c>
      <c r="AJ8197">
        <v>85.284333659906693</v>
      </c>
      <c r="AK8197">
        <v>33.526794324345502</v>
      </c>
      <c r="AL8197">
        <v>78.102721689327595</v>
      </c>
      <c r="AM8197">
        <v>88.352773814197405</v>
      </c>
      <c r="AN8197">
        <v>0.99999998253928701</v>
      </c>
    </row>
    <row r="8198" spans="1:40" x14ac:dyDescent="0.25">
      <c r="A8198" t="str">
        <f>"20190312172309782"</f>
        <v>20190312172309782</v>
      </c>
      <c r="B8198" t="str">
        <f>"1552382589778732"</f>
        <v>1552382589778732</v>
      </c>
      <c r="C8198" t="s">
        <v>40</v>
      </c>
      <c r="D8198">
        <v>3.1101260000000002</v>
      </c>
      <c r="E8198">
        <v>0.52480360000000004</v>
      </c>
      <c r="F8198" t="s">
        <v>42</v>
      </c>
      <c r="G8198">
        <v>-185.48840000000001</v>
      </c>
      <c r="H8198" s="1">
        <v>-4.2156860000000002E-6</v>
      </c>
      <c r="I8198">
        <v>77.594149999999999</v>
      </c>
      <c r="J8198">
        <v>-187.91399999999999</v>
      </c>
      <c r="K8198">
        <v>1.109116</v>
      </c>
      <c r="L8198">
        <v>43.078189999999999</v>
      </c>
      <c r="M8198">
        <v>-1.8449E-2</v>
      </c>
      <c r="N8198">
        <v>0</v>
      </c>
      <c r="O8198">
        <v>0.99978270000000002</v>
      </c>
      <c r="P8198">
        <v>1.0328510000000001E-2</v>
      </c>
      <c r="Q8198">
        <v>0.19620029999999999</v>
      </c>
      <c r="R8198">
        <v>0.98050950000000003</v>
      </c>
      <c r="S8198">
        <v>0.21319579999999999</v>
      </c>
      <c r="T8198">
        <v>-9.7769499999999995E-2</v>
      </c>
      <c r="U8198">
        <v>3.0774840000000001</v>
      </c>
      <c r="V8198">
        <v>2.865206E-2</v>
      </c>
      <c r="W8198">
        <v>0.20567289999999999</v>
      </c>
      <c r="X8198">
        <v>0.97820130000000005</v>
      </c>
      <c r="Y8198">
        <v>8.7469710000000006E-2</v>
      </c>
      <c r="Z8198">
        <v>-3.1646420000000001E-2</v>
      </c>
      <c r="AA8198">
        <v>0.9956644</v>
      </c>
      <c r="AB8198">
        <v>40</v>
      </c>
      <c r="AC8198">
        <v>2.4256000000000002</v>
      </c>
      <c r="AD8198">
        <v>-1.1091202156860001</v>
      </c>
      <c r="AE8198">
        <v>34.51596</v>
      </c>
      <c r="AF8198">
        <v>3.0588591184553202</v>
      </c>
      <c r="AG8198">
        <v>-1.1091202156860001</v>
      </c>
      <c r="AH8198">
        <v>34.429956467825399</v>
      </c>
      <c r="AI8198">
        <v>91.837843668055001</v>
      </c>
      <c r="AJ8198">
        <v>84.923003262087505</v>
      </c>
      <c r="AK8198">
        <v>34.583358268620401</v>
      </c>
      <c r="AL8198">
        <v>78.131107591705003</v>
      </c>
      <c r="AM8198">
        <v>88.322254449176597</v>
      </c>
      <c r="AN8198">
        <v>1.00000003282917</v>
      </c>
    </row>
    <row r="8199" spans="1:40" x14ac:dyDescent="0.25">
      <c r="A8199" t="str">
        <f>"20190312172309805"</f>
        <v>20190312172309805</v>
      </c>
      <c r="B8199" t="str">
        <f>"1552382589798252"</f>
        <v>1552382589798252</v>
      </c>
      <c r="C8199" t="s">
        <v>40</v>
      </c>
      <c r="D8199">
        <v>3.1308349999999998</v>
      </c>
      <c r="E8199">
        <v>0.52504569999999995</v>
      </c>
      <c r="F8199" t="s">
        <v>42</v>
      </c>
      <c r="G8199">
        <v>-185.28210000000001</v>
      </c>
      <c r="H8199" s="1">
        <v>-4.581581E-6</v>
      </c>
      <c r="I8199">
        <v>78.361769999999893</v>
      </c>
      <c r="J8199">
        <v>-187.9211</v>
      </c>
      <c r="K8199">
        <v>1.109108</v>
      </c>
      <c r="L8199">
        <v>43.484220000000001</v>
      </c>
      <c r="M8199">
        <v>-1.799893E-2</v>
      </c>
      <c r="N8199">
        <v>0</v>
      </c>
      <c r="O8199">
        <v>0.99979090000000004</v>
      </c>
      <c r="P8199">
        <v>1.083313E-2</v>
      </c>
      <c r="Q8199">
        <v>0.19580880000000001</v>
      </c>
      <c r="R8199">
        <v>0.98058219999999996</v>
      </c>
      <c r="S8199">
        <v>0.22949220000000001</v>
      </c>
      <c r="T8199">
        <v>-9.6710320000000002E-2</v>
      </c>
      <c r="U8199">
        <v>3.0765690000000001</v>
      </c>
      <c r="V8199">
        <v>2.8718179999999999E-2</v>
      </c>
      <c r="W8199">
        <v>0.20527860000000001</v>
      </c>
      <c r="X8199">
        <v>0.97828219999999999</v>
      </c>
      <c r="Y8199">
        <v>9.2288270000000006E-2</v>
      </c>
      <c r="Z8199">
        <v>-3.1300840000000003E-2</v>
      </c>
      <c r="AA8199">
        <v>0.99524020000000002</v>
      </c>
      <c r="AB8199">
        <v>40</v>
      </c>
      <c r="AC8199">
        <v>2.6389999999999798</v>
      </c>
      <c r="AD8199">
        <v>-1.1091125815809999</v>
      </c>
      <c r="AE8199">
        <v>34.8775499999999</v>
      </c>
      <c r="AF8199">
        <v>3.2630795958710301</v>
      </c>
      <c r="AG8199">
        <v>-1.1091125815809999</v>
      </c>
      <c r="AH8199">
        <v>34.789417511931099</v>
      </c>
      <c r="AI8199">
        <v>91.818039484850004</v>
      </c>
      <c r="AJ8199">
        <v>84.6416090314234</v>
      </c>
      <c r="AK8199">
        <v>34.9597109539977</v>
      </c>
      <c r="AL8199">
        <v>78.1541920930825</v>
      </c>
      <c r="AM8199">
        <v>88.318523940212501</v>
      </c>
      <c r="AN8199">
        <v>1.0000000501586499</v>
      </c>
    </row>
    <row r="8200" spans="1:40" x14ac:dyDescent="0.25">
      <c r="A8200" t="str">
        <f>"20190312172309828"</f>
        <v>20190312172309828</v>
      </c>
      <c r="B8200" t="str">
        <f>"1552382589818748"</f>
        <v>1552382589818748</v>
      </c>
      <c r="C8200" t="s">
        <v>40</v>
      </c>
      <c r="D8200">
        <v>3.1016409999999999</v>
      </c>
      <c r="E8200">
        <v>0.52539519999999995</v>
      </c>
      <c r="F8200" t="s">
        <v>42</v>
      </c>
      <c r="G8200">
        <v>-185.39189999999999</v>
      </c>
      <c r="H8200" s="1">
        <v>-3.9008549999999996E-6</v>
      </c>
      <c r="I8200">
        <v>76.82038</v>
      </c>
      <c r="J8200">
        <v>-187.9281</v>
      </c>
      <c r="K8200">
        <v>1.109102</v>
      </c>
      <c r="L8200">
        <v>43.891750000000002</v>
      </c>
      <c r="M8200">
        <v>-1.7547099999999899E-2</v>
      </c>
      <c r="N8200">
        <v>0</v>
      </c>
      <c r="O8200">
        <v>0.99979899999999999</v>
      </c>
      <c r="P8200">
        <v>1.159753E-2</v>
      </c>
      <c r="Q8200">
        <v>0.19583539999999999</v>
      </c>
      <c r="R8200">
        <v>0.9805682</v>
      </c>
      <c r="S8200">
        <v>0.23347470000000001</v>
      </c>
      <c r="T8200">
        <v>-0.1023824</v>
      </c>
      <c r="U8200">
        <v>3.0772710000000001</v>
      </c>
      <c r="V8200">
        <v>2.904089E-2</v>
      </c>
      <c r="W8200">
        <v>0.20530190000000001</v>
      </c>
      <c r="X8200">
        <v>0.97826769999999996</v>
      </c>
      <c r="Y8200">
        <v>9.3097730000000004E-2</v>
      </c>
      <c r="Z8200">
        <v>-3.3124699999999903E-2</v>
      </c>
      <c r="AA8200">
        <v>0.99510580000000004</v>
      </c>
      <c r="AB8200">
        <v>40</v>
      </c>
      <c r="AC8200">
        <v>2.5362</v>
      </c>
      <c r="AD8200">
        <v>-1.1091059008549999</v>
      </c>
      <c r="AE8200">
        <v>32.928629999999998</v>
      </c>
      <c r="AF8200">
        <v>3.1101310347069702</v>
      </c>
      <c r="AG8200">
        <v>-1.1091059008549999</v>
      </c>
      <c r="AH8200">
        <v>32.842015665446802</v>
      </c>
      <c r="AI8200">
        <v>91.925588950327594</v>
      </c>
      <c r="AJ8200">
        <v>84.590236546367194</v>
      </c>
      <c r="AK8200">
        <v>33.007590398600897</v>
      </c>
      <c r="AL8200">
        <v>78.152827063233204</v>
      </c>
      <c r="AM8200">
        <v>88.299614812986405</v>
      </c>
      <c r="AN8200">
        <v>0.99999996814944503</v>
      </c>
    </row>
    <row r="8201" spans="1:40" x14ac:dyDescent="0.25">
      <c r="A8201" t="str">
        <f>"20190312172309849"</f>
        <v>20190312172309849</v>
      </c>
      <c r="B8201" t="str">
        <f>"1552382589838271"</f>
        <v>1552382589838271</v>
      </c>
      <c r="C8201" t="s">
        <v>40</v>
      </c>
      <c r="D8201">
        <v>3.113235</v>
      </c>
      <c r="E8201">
        <v>0.52569880000000002</v>
      </c>
      <c r="F8201" t="s">
        <v>42</v>
      </c>
      <c r="G8201">
        <v>-185.297</v>
      </c>
      <c r="H8201" s="1">
        <v>-4.3315459999999999E-6</v>
      </c>
      <c r="I8201">
        <v>77.785079999999994</v>
      </c>
      <c r="J8201">
        <v>-187.93440000000001</v>
      </c>
      <c r="K8201">
        <v>1.1091</v>
      </c>
      <c r="L8201">
        <v>44.270110000000003</v>
      </c>
      <c r="M8201">
        <v>-1.7127659999999999E-2</v>
      </c>
      <c r="N8201">
        <v>0</v>
      </c>
      <c r="O8201">
        <v>0.99980630000000004</v>
      </c>
      <c r="P8201">
        <v>1.2680729999999999E-2</v>
      </c>
      <c r="Q8201">
        <v>0.19631660000000001</v>
      </c>
      <c r="R8201">
        <v>0.98045859999999996</v>
      </c>
      <c r="S8201">
        <v>0.2388458</v>
      </c>
      <c r="T8201">
        <v>-0.1006809</v>
      </c>
      <c r="U8201">
        <v>3.076721</v>
      </c>
      <c r="V8201">
        <v>2.971269E-2</v>
      </c>
      <c r="W8201">
        <v>0.2057793</v>
      </c>
      <c r="X8201">
        <v>0.97814730000000005</v>
      </c>
      <c r="Y8201">
        <v>9.4421749999999999E-2</v>
      </c>
      <c r="Z8201">
        <v>-3.257674E-2</v>
      </c>
      <c r="AA8201">
        <v>0.99499910000000003</v>
      </c>
      <c r="AB8201">
        <v>40</v>
      </c>
      <c r="AC8201">
        <v>2.6374000000000102</v>
      </c>
      <c r="AD8201">
        <v>-1.1091043315459901</v>
      </c>
      <c r="AE8201">
        <v>33.514969999999998</v>
      </c>
      <c r="AF8201">
        <v>3.2075819679950901</v>
      </c>
      <c r="AG8201">
        <v>-1.1091043315459901</v>
      </c>
      <c r="AH8201">
        <v>33.428495279653703</v>
      </c>
      <c r="AI8201">
        <v>91.891604035843002</v>
      </c>
      <c r="AJ8201">
        <v>84.519048054314297</v>
      </c>
      <c r="AK8201">
        <v>33.6003421286375</v>
      </c>
      <c r="AL8201">
        <v>78.124878304568796</v>
      </c>
      <c r="AM8201">
        <v>88.260089864156299</v>
      </c>
      <c r="AN8201">
        <v>1.0000000523764001</v>
      </c>
    </row>
    <row r="8202" spans="1:40" x14ac:dyDescent="0.25">
      <c r="A8202" t="str">
        <f>"20190312172309873"</f>
        <v>20190312172309873</v>
      </c>
      <c r="B8202" t="str">
        <f>"1552382589868524"</f>
        <v>1552382589868524</v>
      </c>
      <c r="C8202" t="s">
        <v>40</v>
      </c>
      <c r="D8202">
        <v>3.0923850000000002</v>
      </c>
      <c r="E8202">
        <v>0.52586829999999996</v>
      </c>
      <c r="F8202" t="s">
        <v>42</v>
      </c>
      <c r="G8202">
        <v>-185.16460000000001</v>
      </c>
      <c r="H8202" s="1">
        <v>-4.9350759999999997E-6</v>
      </c>
      <c r="I8202">
        <v>79.137209999999996</v>
      </c>
      <c r="J8202">
        <v>-187.94110000000001</v>
      </c>
      <c r="K8202">
        <v>1.109091</v>
      </c>
      <c r="L8202">
        <v>44.684480000000001</v>
      </c>
      <c r="M8202">
        <v>-1.666836E-2</v>
      </c>
      <c r="N8202">
        <v>0</v>
      </c>
      <c r="O8202">
        <v>0.99981399999999998</v>
      </c>
      <c r="P8202">
        <v>1.3251840000000001E-2</v>
      </c>
      <c r="Q8202">
        <v>0.1959977</v>
      </c>
      <c r="R8202">
        <v>0.98051480000000002</v>
      </c>
      <c r="S8202">
        <v>0.24436949999999999</v>
      </c>
      <c r="T8202">
        <v>-9.7853419999999997E-2</v>
      </c>
      <c r="U8202">
        <v>3.0762330000000002</v>
      </c>
      <c r="V8202">
        <v>2.9835270000000001E-2</v>
      </c>
      <c r="W8202">
        <v>0.205461</v>
      </c>
      <c r="X8202">
        <v>0.97821040000000004</v>
      </c>
      <c r="Y8202">
        <v>9.5754500000000006E-2</v>
      </c>
      <c r="Z8202">
        <v>-3.1663919999999998E-2</v>
      </c>
      <c r="AA8202">
        <v>0.99490120000000004</v>
      </c>
      <c r="AB8202">
        <v>40</v>
      </c>
      <c r="AC8202">
        <v>2.7764999999999902</v>
      </c>
      <c r="AD8202">
        <v>-1.1090959350759999</v>
      </c>
      <c r="AE8202">
        <v>34.452729999999903</v>
      </c>
      <c r="AF8202">
        <v>3.34696564739814</v>
      </c>
      <c r="AG8202">
        <v>-1.1090959350759999</v>
      </c>
      <c r="AH8202">
        <v>34.366276849143297</v>
      </c>
      <c r="AI8202">
        <v>91.839755168057394</v>
      </c>
      <c r="AJ8202">
        <v>84.437450113000097</v>
      </c>
      <c r="AK8202">
        <v>34.546682290923798</v>
      </c>
      <c r="AL8202">
        <v>78.143512839295596</v>
      </c>
      <c r="AM8202">
        <v>88.253028913616504</v>
      </c>
      <c r="AN8202">
        <v>0.99999997626256598</v>
      </c>
    </row>
    <row r="8203" spans="1:40" x14ac:dyDescent="0.25">
      <c r="A8203" t="str">
        <f>"20190312172309895"</f>
        <v>20190312172309895</v>
      </c>
      <c r="B8203" t="str">
        <f>"1552382589888045"</f>
        <v>1552382589888045</v>
      </c>
      <c r="C8203" t="s">
        <v>40</v>
      </c>
      <c r="D8203">
        <v>3.1280250000000001</v>
      </c>
      <c r="E8203">
        <v>0.52611339999999995</v>
      </c>
      <c r="F8203" t="s">
        <v>42</v>
      </c>
      <c r="G8203">
        <v>-185.29249999999999</v>
      </c>
      <c r="H8203" s="1">
        <v>-4.2665569999999998E-6</v>
      </c>
      <c r="I8203">
        <v>77.631739999999994</v>
      </c>
      <c r="J8203">
        <v>-187.94759999999999</v>
      </c>
      <c r="K8203">
        <v>1.109092</v>
      </c>
      <c r="L8203">
        <v>45.097140000000003</v>
      </c>
      <c r="M8203">
        <v>-1.6211010000000001E-2</v>
      </c>
      <c r="N8203">
        <v>0</v>
      </c>
      <c r="O8203">
        <v>0.99982150000000003</v>
      </c>
      <c r="P8203">
        <v>1.346953E-2</v>
      </c>
      <c r="Q8203">
        <v>0.1955836</v>
      </c>
      <c r="R8203">
        <v>0.98059450000000004</v>
      </c>
      <c r="S8203">
        <v>0.2473602</v>
      </c>
      <c r="T8203">
        <v>-0.10358009999999999</v>
      </c>
      <c r="U8203">
        <v>3.0769959999999998</v>
      </c>
      <c r="V8203">
        <v>2.9606440000000001E-2</v>
      </c>
      <c r="W8203">
        <v>0.20504849999999999</v>
      </c>
      <c r="X8203">
        <v>0.9783039</v>
      </c>
      <c r="Y8203">
        <v>9.6235769999999998E-2</v>
      </c>
      <c r="Z8203">
        <v>-3.3504989999999998E-2</v>
      </c>
      <c r="AA8203">
        <v>0.99479450000000003</v>
      </c>
      <c r="AB8203">
        <v>40</v>
      </c>
      <c r="AC8203">
        <v>2.6551</v>
      </c>
      <c r="AD8203">
        <v>-1.1090962665570001</v>
      </c>
      <c r="AE8203">
        <v>32.534599999999998</v>
      </c>
      <c r="AF8203">
        <v>3.1785252689700201</v>
      </c>
      <c r="AG8203">
        <v>-1.1090962665570001</v>
      </c>
      <c r="AH8203">
        <v>32.449819642422703</v>
      </c>
      <c r="AI8203">
        <v>91.948222961531201</v>
      </c>
      <c r="AJ8203">
        <v>84.405609286619807</v>
      </c>
      <c r="AK8203">
        <v>32.623977566197098</v>
      </c>
      <c r="AL8203">
        <v>78.167661489775895</v>
      </c>
      <c r="AM8203">
        <v>88.266585175853194</v>
      </c>
      <c r="AN8203">
        <v>0.99999997469846602</v>
      </c>
    </row>
    <row r="8204" spans="1:40" x14ac:dyDescent="0.25">
      <c r="A8204" t="str">
        <f>"20190312172309920"</f>
        <v>20190312172309920</v>
      </c>
      <c r="B8204" t="str">
        <f>"1552382589908540"</f>
        <v>1552382589908540</v>
      </c>
      <c r="C8204" t="s">
        <v>40</v>
      </c>
      <c r="D8204">
        <v>3.1053130000000002</v>
      </c>
      <c r="E8204">
        <v>0.52626499999999998</v>
      </c>
      <c r="F8204" t="s">
        <v>42</v>
      </c>
      <c r="G8204">
        <v>-185.32069999999999</v>
      </c>
      <c r="H8204" s="1">
        <v>-4.1567450000000001E-6</v>
      </c>
      <c r="I8204">
        <v>77.387429999999995</v>
      </c>
      <c r="J8204">
        <v>-187.95419999999999</v>
      </c>
      <c r="K8204">
        <v>1.109086</v>
      </c>
      <c r="L8204">
        <v>45.526820000000001</v>
      </c>
      <c r="M8204">
        <v>-1.5734870000000001E-2</v>
      </c>
      <c r="N8204">
        <v>0</v>
      </c>
      <c r="O8204">
        <v>0.99982910000000003</v>
      </c>
      <c r="P8204">
        <v>1.381215E-2</v>
      </c>
      <c r="Q8204">
        <v>0.1951109</v>
      </c>
      <c r="R8204">
        <v>0.98068390000000005</v>
      </c>
      <c r="S8204">
        <v>0.2503204</v>
      </c>
      <c r="T8204">
        <v>-0.10568760000000001</v>
      </c>
      <c r="U8204">
        <v>3.0769959999999998</v>
      </c>
      <c r="V8204">
        <v>2.9484010000000001E-2</v>
      </c>
      <c r="W8204">
        <v>0.20457890000000001</v>
      </c>
      <c r="X8204">
        <v>0.978406</v>
      </c>
      <c r="Y8204">
        <v>9.6710679999999993E-2</v>
      </c>
      <c r="Z8204">
        <v>-3.4184190000000003E-2</v>
      </c>
      <c r="AA8204">
        <v>0.99472530000000003</v>
      </c>
      <c r="AB8204">
        <v>40</v>
      </c>
      <c r="AC8204">
        <v>2.63349999999999</v>
      </c>
      <c r="AD8204">
        <v>-1.109090156745</v>
      </c>
      <c r="AE8204">
        <v>31.860610000000001</v>
      </c>
      <c r="AF8204">
        <v>3.13075205262871</v>
      </c>
      <c r="AG8204">
        <v>-1.109090156745</v>
      </c>
      <c r="AH8204">
        <v>31.776979966238802</v>
      </c>
      <c r="AI8204">
        <v>91.989320141754206</v>
      </c>
      <c r="AJ8204">
        <v>84.373227302287603</v>
      </c>
      <c r="AK8204">
        <v>31.950088343627002</v>
      </c>
      <c r="AL8204">
        <v>78.195151430686707</v>
      </c>
      <c r="AM8204">
        <v>88.273928962824399</v>
      </c>
      <c r="AN8204">
        <v>1.0000000670034399</v>
      </c>
    </row>
    <row r="8205" spans="1:40" x14ac:dyDescent="0.25">
      <c r="A8205" t="str">
        <f>"20190312172309939"</f>
        <v>20190312172309939</v>
      </c>
      <c r="B8205" t="str">
        <f>"1552382589929036"</f>
        <v>1552382589929036</v>
      </c>
      <c r="C8205" t="s">
        <v>40</v>
      </c>
      <c r="D8205">
        <v>3.1328510000000001</v>
      </c>
      <c r="E8205">
        <v>0.52637179999999995</v>
      </c>
      <c r="F8205" t="s">
        <v>42</v>
      </c>
      <c r="G8205">
        <v>-185.35489999999999</v>
      </c>
      <c r="H8205" s="1">
        <v>-4.0429160000000003E-6</v>
      </c>
      <c r="I8205">
        <v>77.136250000000004</v>
      </c>
      <c r="J8205">
        <v>-187.95949999999999</v>
      </c>
      <c r="K8205">
        <v>1.1090819999999999</v>
      </c>
      <c r="L8205">
        <v>45.885590000000001</v>
      </c>
      <c r="M8205">
        <v>-1.533734E-2</v>
      </c>
      <c r="N8205">
        <v>0</v>
      </c>
      <c r="O8205">
        <v>0.99983529999999998</v>
      </c>
      <c r="P8205">
        <v>1.3956069999999999E-2</v>
      </c>
      <c r="Q8205">
        <v>0.19470100000000001</v>
      </c>
      <c r="R8205">
        <v>0.98076339999999995</v>
      </c>
      <c r="S8205">
        <v>0.2530212</v>
      </c>
      <c r="T8205">
        <v>-0.10796360000000001</v>
      </c>
      <c r="U8205">
        <v>3.0769959999999998</v>
      </c>
      <c r="V8205">
        <v>2.9239589999999999E-2</v>
      </c>
      <c r="W8205">
        <v>0.20417189999999999</v>
      </c>
      <c r="X8205">
        <v>0.97849830000000004</v>
      </c>
      <c r="Y8205">
        <v>9.7180169999999996E-2</v>
      </c>
      <c r="Z8205">
        <v>-3.4917719999999999E-2</v>
      </c>
      <c r="AA8205">
        <v>0.99465409999999999</v>
      </c>
      <c r="AB8205">
        <v>40</v>
      </c>
      <c r="AC8205">
        <v>2.6046</v>
      </c>
      <c r="AD8205">
        <v>-1.1090860429160001</v>
      </c>
      <c r="AE8205">
        <v>31.25066</v>
      </c>
      <c r="AF8205">
        <v>3.0797658382668298</v>
      </c>
      <c r="AG8205">
        <v>-1.1090860429160001</v>
      </c>
      <c r="AH8205">
        <v>31.168047717184098</v>
      </c>
      <c r="AI8205">
        <v>92.028088734695899</v>
      </c>
      <c r="AJ8205">
        <v>84.356828769556301</v>
      </c>
      <c r="AK8205">
        <v>31.3394675763615</v>
      </c>
      <c r="AL8205">
        <v>78.218973083791496</v>
      </c>
      <c r="AM8205">
        <v>88.2883907723145</v>
      </c>
      <c r="AN8205">
        <v>1.00000002073793</v>
      </c>
    </row>
    <row r="8206" spans="1:40" x14ac:dyDescent="0.25">
      <c r="A8206" t="str">
        <f>"20190312172309961"</f>
        <v>20190312172309961</v>
      </c>
      <c r="B8206" t="str">
        <f>"1552382589958316"</f>
        <v>1552382589958316</v>
      </c>
      <c r="C8206" t="s">
        <v>40</v>
      </c>
      <c r="D8206">
        <v>3.1450459999999998</v>
      </c>
      <c r="E8206">
        <v>0.52650209999999997</v>
      </c>
      <c r="F8206" t="s">
        <v>42</v>
      </c>
      <c r="G8206">
        <v>-185.3546</v>
      </c>
      <c r="H8206" s="1">
        <v>-4.1422820000000001E-6</v>
      </c>
      <c r="I8206">
        <v>77.367739999999998</v>
      </c>
      <c r="J8206">
        <v>-187.965</v>
      </c>
      <c r="K8206">
        <v>1.1090739999999999</v>
      </c>
      <c r="L8206">
        <v>46.26529</v>
      </c>
      <c r="M8206">
        <v>-1.491664E-2</v>
      </c>
      <c r="N8206">
        <v>0</v>
      </c>
      <c r="O8206">
        <v>0.9998416</v>
      </c>
      <c r="P8206">
        <v>1.4304829999999999E-2</v>
      </c>
      <c r="Q8206">
        <v>0.19438710000000001</v>
      </c>
      <c r="R8206">
        <v>0.98082060000000004</v>
      </c>
      <c r="S8206">
        <v>0.25457760000000001</v>
      </c>
      <c r="T8206">
        <v>-0.108391</v>
      </c>
      <c r="U8206">
        <v>3.0767519999999999</v>
      </c>
      <c r="V8206">
        <v>2.917695E-2</v>
      </c>
      <c r="W8206">
        <v>0.20386199999999999</v>
      </c>
      <c r="X8206">
        <v>0.97856469999999995</v>
      </c>
      <c r="Y8206">
        <v>9.7267199999999998E-2</v>
      </c>
      <c r="Z8206">
        <v>-3.5058029999999997E-2</v>
      </c>
      <c r="AA8206">
        <v>0.99464059999999999</v>
      </c>
      <c r="AB8206">
        <v>40</v>
      </c>
      <c r="AC8206">
        <v>2.6103999999999901</v>
      </c>
      <c r="AD8206">
        <v>-1.109078142282</v>
      </c>
      <c r="AE8206">
        <v>31.102450000000001</v>
      </c>
      <c r="AF8206">
        <v>3.0701988415567798</v>
      </c>
      <c r="AG8206">
        <v>-1.109078142282</v>
      </c>
      <c r="AH8206">
        <v>31.020880164424401</v>
      </c>
      <c r="AI8206">
        <v>92.037655709865405</v>
      </c>
      <c r="AJ8206">
        <v>84.347729140699997</v>
      </c>
      <c r="AK8206">
        <v>31.192165385365101</v>
      </c>
      <c r="AL8206">
        <v>78.237109569794598</v>
      </c>
      <c r="AM8206">
        <v>88.292171203241907</v>
      </c>
      <c r="AN8206">
        <v>0.99999994077069398</v>
      </c>
    </row>
    <row r="8207" spans="1:40" x14ac:dyDescent="0.25">
      <c r="A8207" t="str">
        <f>"20190312172309983"</f>
        <v>20190312172309983</v>
      </c>
      <c r="B8207" t="str">
        <f>"1552382589978812"</f>
        <v>1552382589978812</v>
      </c>
      <c r="C8207" t="s">
        <v>40</v>
      </c>
      <c r="D8207">
        <v>3.1242529999999999</v>
      </c>
      <c r="E8207">
        <v>0.52654069999999997</v>
      </c>
      <c r="F8207" t="s">
        <v>42</v>
      </c>
      <c r="G8207">
        <v>-185.35319999999999</v>
      </c>
      <c r="H8207" s="1">
        <v>-4.2387209999999997E-6</v>
      </c>
      <c r="I8207">
        <v>77.591939999999994</v>
      </c>
      <c r="J8207">
        <v>-187.97069999999999</v>
      </c>
      <c r="K8207">
        <v>1.1090709999999999</v>
      </c>
      <c r="L8207">
        <v>46.669460000000001</v>
      </c>
      <c r="M8207">
        <v>-1.446895E-2</v>
      </c>
      <c r="N8207">
        <v>0</v>
      </c>
      <c r="O8207">
        <v>0.99984810000000002</v>
      </c>
      <c r="P8207">
        <v>1.4524260000000001E-2</v>
      </c>
      <c r="Q8207">
        <v>0.19446479999999999</v>
      </c>
      <c r="R8207">
        <v>0.9808019</v>
      </c>
      <c r="S8207">
        <v>0.25650020000000001</v>
      </c>
      <c r="T8207">
        <v>-0.10891960000000001</v>
      </c>
      <c r="U8207">
        <v>3.076508</v>
      </c>
      <c r="V8207">
        <v>2.8957839999999999E-2</v>
      </c>
      <c r="W8207">
        <v>0.20394370000000001</v>
      </c>
      <c r="X8207">
        <v>0.97855420000000004</v>
      </c>
      <c r="Y8207">
        <v>9.7444879999999998E-2</v>
      </c>
      <c r="Z8207">
        <v>-3.5230699999999997E-2</v>
      </c>
      <c r="AA8207">
        <v>0.99461719999999998</v>
      </c>
      <c r="AB8207">
        <v>40</v>
      </c>
      <c r="AC8207">
        <v>2.6175000000000002</v>
      </c>
      <c r="AD8207">
        <v>-1.1090752387209999</v>
      </c>
      <c r="AE8207">
        <v>30.92248</v>
      </c>
      <c r="AF8207">
        <v>3.0607535961183601</v>
      </c>
      <c r="AG8207">
        <v>-1.1090752387209999</v>
      </c>
      <c r="AH8207">
        <v>30.8419758193495</v>
      </c>
      <c r="AI8207">
        <v>92.049406251501793</v>
      </c>
      <c r="AJ8207">
        <v>84.332531267969202</v>
      </c>
      <c r="AK8207">
        <v>31.013315412942202</v>
      </c>
      <c r="AL8207">
        <v>78.232328229395506</v>
      </c>
      <c r="AM8207">
        <v>88.304970789865607</v>
      </c>
      <c r="AN8207">
        <v>0.99999995580239598</v>
      </c>
    </row>
    <row r="8208" spans="1:40" x14ac:dyDescent="0.25">
      <c r="A8208" t="str">
        <f>"20190312172310007"</f>
        <v>20190312172310007</v>
      </c>
      <c r="B8208" t="str">
        <f>"1552382589998332"</f>
        <v>1552382589998332</v>
      </c>
      <c r="C8208" t="s">
        <v>40</v>
      </c>
      <c r="D8208">
        <v>3.1319189999999999</v>
      </c>
      <c r="E8208">
        <v>0.52660549999999995</v>
      </c>
      <c r="F8208" t="s">
        <v>42</v>
      </c>
      <c r="G8208">
        <v>-185.32300000000001</v>
      </c>
      <c r="H8208" s="1">
        <v>-4.5382430000000001E-6</v>
      </c>
      <c r="I8208">
        <v>78.277649999999994</v>
      </c>
      <c r="J8208">
        <v>-187.97620000000001</v>
      </c>
      <c r="K8208">
        <v>1.1090690000000001</v>
      </c>
      <c r="L8208">
        <v>47.083309999999997</v>
      </c>
      <c r="M8208">
        <v>-1.4010669999999999E-2</v>
      </c>
      <c r="N8208">
        <v>0</v>
      </c>
      <c r="O8208">
        <v>0.99985460000000004</v>
      </c>
      <c r="P8208">
        <v>1.486795E-2</v>
      </c>
      <c r="Q8208">
        <v>0.19446959999999999</v>
      </c>
      <c r="R8208">
        <v>0.98079590000000005</v>
      </c>
      <c r="S8208">
        <v>0.25769039999999999</v>
      </c>
      <c r="T8208">
        <v>-0.10794280000000001</v>
      </c>
      <c r="U8208">
        <v>3.0763240000000001</v>
      </c>
      <c r="V8208">
        <v>2.885267E-2</v>
      </c>
      <c r="W8208">
        <v>0.203953</v>
      </c>
      <c r="X8208">
        <v>0.97855539999999996</v>
      </c>
      <c r="Y8208">
        <v>9.7376649999999995E-2</v>
      </c>
      <c r="Z8208">
        <v>-3.49171E-2</v>
      </c>
      <c r="AA8208">
        <v>0.99463489999999999</v>
      </c>
      <c r="AB8208">
        <v>40</v>
      </c>
      <c r="AC8208">
        <v>2.65320000000002</v>
      </c>
      <c r="AD8208">
        <v>-1.1090735382429999</v>
      </c>
      <c r="AE8208">
        <v>31.19434</v>
      </c>
      <c r="AF8208">
        <v>3.0861407427651399</v>
      </c>
      <c r="AG8208">
        <v>-1.1090735382429999</v>
      </c>
      <c r="AH8208">
        <v>31.115054052495399</v>
      </c>
      <c r="AI8208">
        <v>92.031442840966207</v>
      </c>
      <c r="AJ8208">
        <v>84.335655053120206</v>
      </c>
      <c r="AK8208">
        <v>31.287391989219799</v>
      </c>
      <c r="AL8208">
        <v>78.231784308793905</v>
      </c>
      <c r="AM8208">
        <v>88.311125348759006</v>
      </c>
      <c r="AN8208">
        <v>0.99999998682214397</v>
      </c>
    </row>
    <row r="8209" spans="1:40" x14ac:dyDescent="0.25">
      <c r="A8209" t="str">
        <f>"20190312172310028"</f>
        <v>20190312172310028</v>
      </c>
      <c r="B8209" t="str">
        <f>"1552382590018828"</f>
        <v>1552382590018828</v>
      </c>
      <c r="C8209" t="s">
        <v>40</v>
      </c>
      <c r="D8209">
        <v>3.113283</v>
      </c>
      <c r="E8209">
        <v>0.52677309999999999</v>
      </c>
      <c r="F8209" t="s">
        <v>42</v>
      </c>
      <c r="G8209">
        <v>-185.30289999999999</v>
      </c>
      <c r="H8209" s="1">
        <v>-4.7700580000000004E-6</v>
      </c>
      <c r="I8209">
        <v>78.809719999999999</v>
      </c>
      <c r="J8209">
        <v>-187.98140000000001</v>
      </c>
      <c r="K8209">
        <v>1.109073</v>
      </c>
      <c r="L8209">
        <v>47.47607</v>
      </c>
      <c r="M8209">
        <v>-1.357586E-2</v>
      </c>
      <c r="N8209">
        <v>0</v>
      </c>
      <c r="O8209">
        <v>0.99986059999999999</v>
      </c>
      <c r="P8209">
        <v>1.539621E-2</v>
      </c>
      <c r="Q8209">
        <v>0.19432920000000001</v>
      </c>
      <c r="R8209">
        <v>0.98081549999999995</v>
      </c>
      <c r="S8209">
        <v>0.25920100000000001</v>
      </c>
      <c r="T8209">
        <v>-0.10753409999999999</v>
      </c>
      <c r="U8209">
        <v>3.0761409999999998</v>
      </c>
      <c r="V8209">
        <v>2.8955180000000001E-2</v>
      </c>
      <c r="W8209">
        <v>0.20381850000000001</v>
      </c>
      <c r="X8209">
        <v>0.97858040000000002</v>
      </c>
      <c r="Y8209">
        <v>9.7434190000000004E-2</v>
      </c>
      <c r="Z8209">
        <v>-3.4786600000000001E-2</v>
      </c>
      <c r="AA8209">
        <v>0.99463389999999996</v>
      </c>
      <c r="AB8209">
        <v>40</v>
      </c>
      <c r="AC8209">
        <v>2.6785000000000099</v>
      </c>
      <c r="AD8209">
        <v>-1.1090777700579999</v>
      </c>
      <c r="AE8209">
        <v>31.333649999999999</v>
      </c>
      <c r="AF8209">
        <v>3.09979904112945</v>
      </c>
      <c r="AG8209">
        <v>-1.1090777700579999</v>
      </c>
      <c r="AH8209">
        <v>31.255522801381801</v>
      </c>
      <c r="AI8209">
        <v>92.022330167026297</v>
      </c>
      <c r="AJ8209">
        <v>84.336152564298999</v>
      </c>
      <c r="AK8209">
        <v>31.428434787356501</v>
      </c>
      <c r="AL8209">
        <v>78.2396559909985</v>
      </c>
      <c r="AM8209">
        <v>88.305171751691503</v>
      </c>
      <c r="AN8209">
        <v>0.99999999132762096</v>
      </c>
    </row>
    <row r="8210" spans="1:40" x14ac:dyDescent="0.25">
      <c r="A8210" t="str">
        <f>"20190312172310041"</f>
        <v>20190312172310041</v>
      </c>
      <c r="B8210" t="str">
        <f>"1552382590038349"</f>
        <v>1552382590038349</v>
      </c>
      <c r="C8210" t="s">
        <v>40</v>
      </c>
      <c r="D8210">
        <v>3.118757</v>
      </c>
      <c r="E8210">
        <v>0.52684609999999998</v>
      </c>
      <c r="F8210" t="s">
        <v>42</v>
      </c>
      <c r="G8210">
        <v>-185.29329999999999</v>
      </c>
      <c r="H8210" s="1">
        <v>-4.8744770000000001E-6</v>
      </c>
      <c r="I8210">
        <v>79.049149999999997</v>
      </c>
      <c r="J8210">
        <v>-187.98439999999999</v>
      </c>
      <c r="K8210">
        <v>1.1090739999999999</v>
      </c>
      <c r="L8210">
        <v>47.711329999999997</v>
      </c>
      <c r="M8210">
        <v>-1.3315520000000001E-2</v>
      </c>
      <c r="N8210">
        <v>0</v>
      </c>
      <c r="O8210">
        <v>0.99986399999999998</v>
      </c>
      <c r="P8210">
        <v>1.5530240000000001E-2</v>
      </c>
      <c r="Q8210">
        <v>0.19416230000000001</v>
      </c>
      <c r="R8210">
        <v>0.98084649999999995</v>
      </c>
      <c r="S8210">
        <v>0.26188660000000002</v>
      </c>
      <c r="T8210">
        <v>-0.1080513</v>
      </c>
      <c r="U8210">
        <v>3.0759889999999999</v>
      </c>
      <c r="V8210">
        <v>2.8834459999999999E-2</v>
      </c>
      <c r="W8210">
        <v>0.20365800000000001</v>
      </c>
      <c r="X8210">
        <v>0.97861739999999997</v>
      </c>
      <c r="Y8210">
        <v>9.8040859999999994E-2</v>
      </c>
      <c r="Z8210">
        <v>-3.49533E-2</v>
      </c>
      <c r="AA8210">
        <v>0.99456829999999996</v>
      </c>
      <c r="AB8210">
        <v>40</v>
      </c>
      <c r="AC8210">
        <v>2.6911</v>
      </c>
      <c r="AD8210">
        <v>-1.1090788744769999</v>
      </c>
      <c r="AE8210">
        <v>31.337820000000001</v>
      </c>
      <c r="AF8210">
        <v>3.1043007614730498</v>
      </c>
      <c r="AG8210">
        <v>-1.1090788744769999</v>
      </c>
      <c r="AH8210">
        <v>31.260338562669201</v>
      </c>
      <c r="AI8210">
        <v>92.021995332447304</v>
      </c>
      <c r="AJ8210">
        <v>84.328848867381396</v>
      </c>
      <c r="AK8210">
        <v>31.433668354491999</v>
      </c>
      <c r="AL8210">
        <v>78.249049216109796</v>
      </c>
      <c r="AM8210">
        <v>88.312297512830298</v>
      </c>
      <c r="AN8210">
        <v>1.00000001131512</v>
      </c>
    </row>
    <row r="8211" spans="1:40" x14ac:dyDescent="0.25">
      <c r="A8211" t="str">
        <f>"20190312172310061"</f>
        <v>20190312172310061</v>
      </c>
      <c r="B8211" t="str">
        <f>"1552382590058845"</f>
        <v>1552382590058845</v>
      </c>
      <c r="C8211" t="s">
        <v>40</v>
      </c>
      <c r="D8211">
        <v>3.1292149999999999</v>
      </c>
      <c r="E8211">
        <v>0.52688840000000003</v>
      </c>
      <c r="F8211" t="s">
        <v>42</v>
      </c>
      <c r="G8211">
        <v>-185.28829999999999</v>
      </c>
      <c r="H8211" s="1">
        <v>-4.9539239999999999E-6</v>
      </c>
      <c r="I8211">
        <v>79.232259999999997</v>
      </c>
      <c r="J8211">
        <v>-187.9889</v>
      </c>
      <c r="K8211">
        <v>1.1090770000000001</v>
      </c>
      <c r="L8211">
        <v>48.07132</v>
      </c>
      <c r="M8211">
        <v>-1.291725E-2</v>
      </c>
      <c r="N8211">
        <v>0</v>
      </c>
      <c r="O8211">
        <v>0.99986909999999896</v>
      </c>
      <c r="P8211">
        <v>1.557071E-2</v>
      </c>
      <c r="Q8211">
        <v>0.1942711</v>
      </c>
      <c r="R8211">
        <v>0.98082429999999998</v>
      </c>
      <c r="S8211">
        <v>0.26309199999999999</v>
      </c>
      <c r="T8211">
        <v>-0.10822469999999999</v>
      </c>
      <c r="U8211">
        <v>3.0758359999999998</v>
      </c>
      <c r="V8211">
        <v>2.848477E-2</v>
      </c>
      <c r="W8211">
        <v>0.20378170000000001</v>
      </c>
      <c r="X8211">
        <v>0.97860190000000002</v>
      </c>
      <c r="Y8211">
        <v>9.8035430000000007E-2</v>
      </c>
      <c r="Z8211">
        <v>-3.5010779999999998E-2</v>
      </c>
      <c r="AA8211">
        <v>0.99456690000000003</v>
      </c>
      <c r="AB8211">
        <v>40</v>
      </c>
      <c r="AC8211">
        <v>2.7006000000000001</v>
      </c>
      <c r="AD8211">
        <v>-1.109081953924</v>
      </c>
      <c r="AE8211">
        <v>31.16094</v>
      </c>
      <c r="AF8211">
        <v>3.0990108798525999</v>
      </c>
      <c r="AG8211">
        <v>-1.109081953924</v>
      </c>
      <c r="AH8211">
        <v>31.084370029695101</v>
      </c>
      <c r="AI8211">
        <v>92.033359436504796</v>
      </c>
      <c r="AJ8211">
        <v>84.306609907397103</v>
      </c>
      <c r="AK8211">
        <v>31.258150798743198</v>
      </c>
      <c r="AL8211">
        <v>78.241810030357598</v>
      </c>
      <c r="AM8211">
        <v>88.332727114479496</v>
      </c>
      <c r="AN8211">
        <v>1.00000002103022</v>
      </c>
    </row>
    <row r="8212" spans="1:40" x14ac:dyDescent="0.25">
      <c r="A8212" t="str">
        <f>"20190312172310085"</f>
        <v>20190312172310085</v>
      </c>
      <c r="B8212" t="str">
        <f>"1552382590078364"</f>
        <v>1552382590078364</v>
      </c>
      <c r="C8212" t="s">
        <v>40</v>
      </c>
      <c r="D8212">
        <v>3.118242</v>
      </c>
      <c r="E8212">
        <v>0.52694339999999995</v>
      </c>
      <c r="F8212" t="s">
        <v>42</v>
      </c>
      <c r="G8212">
        <v>-185.2706</v>
      </c>
      <c r="H8212" s="1">
        <v>-1.3015759999999999E-6</v>
      </c>
      <c r="I8212">
        <v>79.775019999999998</v>
      </c>
      <c r="J8212">
        <v>-187.9939</v>
      </c>
      <c r="K8212">
        <v>1.1090770000000001</v>
      </c>
      <c r="L8212">
        <v>48.485900000000001</v>
      </c>
      <c r="M8212">
        <v>-1.245893E-2</v>
      </c>
      <c r="N8212">
        <v>0</v>
      </c>
      <c r="O8212">
        <v>0.99987470000000001</v>
      </c>
      <c r="P8212">
        <v>1.530166E-2</v>
      </c>
      <c r="Q8212">
        <v>0.19494320000000001</v>
      </c>
      <c r="R8212">
        <v>0.98069519999999999</v>
      </c>
      <c r="S8212">
        <v>0.2637177</v>
      </c>
      <c r="T8212">
        <v>-0.10759870000000001</v>
      </c>
      <c r="U8212">
        <v>3.0757750000000001</v>
      </c>
      <c r="V8212">
        <v>2.776615E-2</v>
      </c>
      <c r="W8212">
        <v>0.20447580000000001</v>
      </c>
      <c r="X8212">
        <v>0.97847770000000001</v>
      </c>
      <c r="Y8212">
        <v>9.7782339999999995E-2</v>
      </c>
      <c r="Z8212">
        <v>-3.4809609999999998E-2</v>
      </c>
      <c r="AA8212">
        <v>0.99459889999999995</v>
      </c>
      <c r="AB8212">
        <v>40</v>
      </c>
      <c r="AC8212">
        <v>2.7232999999999898</v>
      </c>
      <c r="AD8212">
        <v>-1.109078301576</v>
      </c>
      <c r="AE8212">
        <v>31.28912</v>
      </c>
      <c r="AF8212">
        <v>3.1090592129161299</v>
      </c>
      <c r="AG8212">
        <v>-1.109078301576</v>
      </c>
      <c r="AH8212">
        <v>31.213837134291701</v>
      </c>
      <c r="AI8212">
        <v>92.024944234745007</v>
      </c>
      <c r="AJ8212">
        <v>84.311806468637698</v>
      </c>
      <c r="AK8212">
        <v>31.387894681143099</v>
      </c>
      <c r="AL8212">
        <v>78.201184921857404</v>
      </c>
      <c r="AM8212">
        <v>88.374560405209095</v>
      </c>
      <c r="AN8212">
        <v>0.99999996063437502</v>
      </c>
    </row>
    <row r="8213" spans="1:40" x14ac:dyDescent="0.25">
      <c r="A8213" t="str">
        <f>"20190312172310108"</f>
        <v>20190312172310108</v>
      </c>
      <c r="B8213" t="str">
        <f>"1552382590098860"</f>
        <v>1552382590098860</v>
      </c>
      <c r="C8213" t="s">
        <v>40</v>
      </c>
      <c r="D8213">
        <v>3.1443669999999999</v>
      </c>
      <c r="E8213">
        <v>0.52706709999999901</v>
      </c>
      <c r="F8213" t="s">
        <v>42</v>
      </c>
      <c r="G8213">
        <v>-185.2225</v>
      </c>
      <c r="H8213" s="1">
        <v>-1.6931139999999999E-6</v>
      </c>
      <c r="I8213">
        <v>80.887990000000002</v>
      </c>
      <c r="J8213">
        <v>-187.99879999999999</v>
      </c>
      <c r="K8213">
        <v>1.1090739999999999</v>
      </c>
      <c r="L8213">
        <v>48.91516</v>
      </c>
      <c r="M8213">
        <v>-1.1984659999999999E-2</v>
      </c>
      <c r="N8213">
        <v>0</v>
      </c>
      <c r="O8213">
        <v>0.9998802</v>
      </c>
      <c r="P8213">
        <v>1.505896E-2</v>
      </c>
      <c r="Q8213">
        <v>0.19500149999999999</v>
      </c>
      <c r="R8213">
        <v>0.98068730000000004</v>
      </c>
      <c r="S8213">
        <v>0.2630768</v>
      </c>
      <c r="T8213">
        <v>-0.10528270000000001</v>
      </c>
      <c r="U8213">
        <v>3.0758670000000001</v>
      </c>
      <c r="V8213">
        <v>2.7059150000000001E-2</v>
      </c>
      <c r="W8213">
        <v>0.204564</v>
      </c>
      <c r="X8213">
        <v>0.97847910000000005</v>
      </c>
      <c r="Y8213">
        <v>9.7104239999999994E-2</v>
      </c>
      <c r="Z8213">
        <v>-3.4061960000000002E-2</v>
      </c>
      <c r="AA8213">
        <v>0.9946912</v>
      </c>
      <c r="AB8213">
        <v>40</v>
      </c>
      <c r="AC8213">
        <v>2.7762999999999902</v>
      </c>
      <c r="AD8213">
        <v>-1.10907569311399</v>
      </c>
      <c r="AE8213">
        <v>31.972829999999998</v>
      </c>
      <c r="AF8213">
        <v>3.1555339532202402</v>
      </c>
      <c r="AG8213">
        <v>-1.10907569311399</v>
      </c>
      <c r="AH8213">
        <v>31.899163116933199</v>
      </c>
      <c r="AI8213">
        <v>91.981603385018204</v>
      </c>
      <c r="AJ8213">
        <v>84.350557898284507</v>
      </c>
      <c r="AK8213">
        <v>32.074040141268398</v>
      </c>
      <c r="AL8213">
        <v>78.196022641325598</v>
      </c>
      <c r="AM8213">
        <v>88.415929321517496</v>
      </c>
      <c r="AN8213">
        <v>0.99999998841576598</v>
      </c>
    </row>
    <row r="8214" spans="1:40" x14ac:dyDescent="0.25">
      <c r="A8214" t="str">
        <f>"20190312172310129"</f>
        <v>20190312172310129</v>
      </c>
      <c r="B8214" t="str">
        <f>"1552382590118381"</f>
        <v>1552382590118381</v>
      </c>
      <c r="C8214" t="s">
        <v>40</v>
      </c>
      <c r="D8214">
        <v>3.1267839999999998</v>
      </c>
      <c r="E8214">
        <v>0.52714839999999996</v>
      </c>
      <c r="F8214" t="s">
        <v>42</v>
      </c>
      <c r="G8214">
        <v>-185.2244</v>
      </c>
      <c r="H8214" s="1">
        <v>-1.844895E-6</v>
      </c>
      <c r="I8214">
        <v>81.335459999999998</v>
      </c>
      <c r="J8214">
        <v>-188.00299999999999</v>
      </c>
      <c r="K8214">
        <v>1.1090789999999999</v>
      </c>
      <c r="L8214">
        <v>49.291780000000003</v>
      </c>
      <c r="M8214">
        <v>-1.156884E-2</v>
      </c>
      <c r="N8214">
        <v>0</v>
      </c>
      <c r="O8214">
        <v>0.99988480000000002</v>
      </c>
      <c r="P8214">
        <v>1.437709E-2</v>
      </c>
      <c r="Q8214">
        <v>0.19482720000000001</v>
      </c>
      <c r="R8214">
        <v>0.98073220000000005</v>
      </c>
      <c r="S8214">
        <v>0.2632294</v>
      </c>
      <c r="T8214">
        <v>-0.105226399999999</v>
      </c>
      <c r="U8214">
        <v>3.075958</v>
      </c>
      <c r="V8214">
        <v>2.5970529999999999E-2</v>
      </c>
      <c r="W8214">
        <v>0.20442070000000001</v>
      </c>
      <c r="X8214">
        <v>0.97853860000000004</v>
      </c>
      <c r="Y8214">
        <v>9.6736870000000003E-2</v>
      </c>
      <c r="Z8214">
        <v>-3.4043549999999999E-2</v>
      </c>
      <c r="AA8214">
        <v>0.99472760000000005</v>
      </c>
      <c r="AB8214">
        <v>40</v>
      </c>
      <c r="AC8214">
        <v>2.77859999999998</v>
      </c>
      <c r="AD8214">
        <v>-1.109080844895</v>
      </c>
      <c r="AE8214">
        <v>32.043680000000002</v>
      </c>
      <c r="AF8214">
        <v>3.1454002018521598</v>
      </c>
      <c r="AG8214">
        <v>-1.109080844895</v>
      </c>
      <c r="AH8214">
        <v>31.971374127123401</v>
      </c>
      <c r="AI8214">
        <v>91.977244746125294</v>
      </c>
      <c r="AJ8214">
        <v>84.381221555284696</v>
      </c>
      <c r="AK8214">
        <v>32.144865318224902</v>
      </c>
      <c r="AL8214">
        <v>78.204411008268096</v>
      </c>
      <c r="AM8214">
        <v>88.479720129117595</v>
      </c>
      <c r="AN8214">
        <v>1.00000004135346</v>
      </c>
    </row>
    <row r="8215" spans="1:40" x14ac:dyDescent="0.25">
      <c r="A8215" t="str">
        <f>"20190312172310150"</f>
        <v>20190312172310150</v>
      </c>
      <c r="B8215" t="str">
        <f>"1552382590138876"</f>
        <v>1552382590138876</v>
      </c>
      <c r="C8215" t="s">
        <v>40</v>
      </c>
      <c r="D8215">
        <v>3.1292580000000001</v>
      </c>
      <c r="E8215">
        <v>0.5272135</v>
      </c>
      <c r="F8215" t="s">
        <v>42</v>
      </c>
      <c r="G8215">
        <v>-185.26859999999999</v>
      </c>
      <c r="H8215" s="1">
        <v>-1.863851E-6</v>
      </c>
      <c r="I8215">
        <v>81.425719999999998</v>
      </c>
      <c r="J8215">
        <v>-188.00710000000001</v>
      </c>
      <c r="K8215">
        <v>1.109083</v>
      </c>
      <c r="L8215">
        <v>49.675199999999997</v>
      </c>
      <c r="M8215">
        <v>-1.114571E-2</v>
      </c>
      <c r="N8215">
        <v>0</v>
      </c>
      <c r="O8215">
        <v>0.99988929999999998</v>
      </c>
      <c r="P8215">
        <v>1.324702E-2</v>
      </c>
      <c r="Q8215">
        <v>0.19469890000000001</v>
      </c>
      <c r="R8215">
        <v>0.98077360000000002</v>
      </c>
      <c r="S8215">
        <v>0.26176450000000001</v>
      </c>
      <c r="T8215">
        <v>-0.106173</v>
      </c>
      <c r="U8215">
        <v>3.0762019999999999</v>
      </c>
      <c r="V8215">
        <v>2.442652E-2</v>
      </c>
      <c r="W8215">
        <v>0.20432790000000001</v>
      </c>
      <c r="X8215">
        <v>0.97859770000000001</v>
      </c>
      <c r="Y8215">
        <v>9.5837800000000001E-2</v>
      </c>
      <c r="Z8215">
        <v>-3.434918E-2</v>
      </c>
      <c r="AA8215">
        <v>0.99480409999999997</v>
      </c>
      <c r="AB8215">
        <v>40</v>
      </c>
      <c r="AC8215">
        <v>2.7385000000000099</v>
      </c>
      <c r="AD8215">
        <v>-1.109084863851</v>
      </c>
      <c r="AE8215">
        <v>31.750520000000002</v>
      </c>
      <c r="AF8215">
        <v>3.0884884433658701</v>
      </c>
      <c r="AG8215">
        <v>-1.109084863851</v>
      </c>
      <c r="AH8215">
        <v>31.6796538094661</v>
      </c>
      <c r="AI8215">
        <v>91.995616915413393</v>
      </c>
      <c r="AJ8215">
        <v>84.431760625393693</v>
      </c>
      <c r="AK8215">
        <v>31.8491647549452</v>
      </c>
      <c r="AL8215">
        <v>78.209842233795797</v>
      </c>
      <c r="AM8215">
        <v>88.570152006486495</v>
      </c>
      <c r="AN8215">
        <v>1.0000000020215001</v>
      </c>
    </row>
    <row r="8216" spans="1:40" x14ac:dyDescent="0.25">
      <c r="A8216" t="str">
        <f>"20190312172310164"</f>
        <v>20190312172310164</v>
      </c>
      <c r="B8216" t="str">
        <f>"1552382590158396"</f>
        <v>1552382590158396</v>
      </c>
      <c r="C8216" t="s">
        <v>40</v>
      </c>
      <c r="D8216">
        <v>3.131462</v>
      </c>
      <c r="E8216">
        <v>0.52725080000000002</v>
      </c>
      <c r="F8216" t="s">
        <v>42</v>
      </c>
      <c r="G8216">
        <v>-185.31720000000001</v>
      </c>
      <c r="H8216" s="1">
        <v>-1.9363309999999998E-6</v>
      </c>
      <c r="I8216">
        <v>81.676730000000006</v>
      </c>
      <c r="J8216">
        <v>-188.00970000000001</v>
      </c>
      <c r="K8216">
        <v>1.1090850000000001</v>
      </c>
      <c r="L8216">
        <v>49.924770000000002</v>
      </c>
      <c r="M8216">
        <v>-1.0870350000000001E-2</v>
      </c>
      <c r="N8216">
        <v>0</v>
      </c>
      <c r="O8216">
        <v>0.99989209999999995</v>
      </c>
      <c r="P8216">
        <v>1.2650990000000001E-2</v>
      </c>
      <c r="Q8216">
        <v>0.19498989999999999</v>
      </c>
      <c r="R8216">
        <v>0.98072369999999998</v>
      </c>
      <c r="S8216">
        <v>0.25859070000000001</v>
      </c>
      <c r="T8216">
        <v>-0.1066233</v>
      </c>
      <c r="U8216">
        <v>3.076508</v>
      </c>
      <c r="V8216">
        <v>2.3560669999999999E-2</v>
      </c>
      <c r="W8216">
        <v>0.20464199999999999</v>
      </c>
      <c r="X8216">
        <v>0.97855329999999996</v>
      </c>
      <c r="Y8216">
        <v>9.4535859999999999E-2</v>
      </c>
      <c r="Z8216">
        <v>-3.4495079999999997E-2</v>
      </c>
      <c r="AA8216">
        <v>0.99492369999999997</v>
      </c>
      <c r="AB8216">
        <v>40</v>
      </c>
      <c r="AC8216">
        <v>2.6924999999999901</v>
      </c>
      <c r="AD8216">
        <v>-1.1090869363310001</v>
      </c>
      <c r="AE8216">
        <v>31.75196</v>
      </c>
      <c r="AF8216">
        <v>3.0338375548643599</v>
      </c>
      <c r="AG8216">
        <v>-1.1090869363310001</v>
      </c>
      <c r="AH8216">
        <v>31.6824346467928</v>
      </c>
      <c r="AI8216">
        <v>91.995776528042896</v>
      </c>
      <c r="AJ8216">
        <v>84.530164999505004</v>
      </c>
      <c r="AK8216">
        <v>31.8466781515741</v>
      </c>
      <c r="AL8216">
        <v>78.191457208439004</v>
      </c>
      <c r="AM8216">
        <v>88.620753523077298</v>
      </c>
      <c r="AN8216">
        <v>1.0000000071378601</v>
      </c>
    </row>
    <row r="8217" spans="1:40" x14ac:dyDescent="0.25">
      <c r="A8217" t="str">
        <f>"20190312172310184"</f>
        <v>20190312172310184</v>
      </c>
      <c r="B8217" t="str">
        <f>"1552382590178893"</f>
        <v>1552382590178893</v>
      </c>
      <c r="C8217" t="s">
        <v>40</v>
      </c>
      <c r="D8217">
        <v>3.1175169999999999</v>
      </c>
      <c r="E8217">
        <v>0.52728249999999999</v>
      </c>
      <c r="F8217" t="s">
        <v>42</v>
      </c>
      <c r="G8217">
        <v>-185.3057</v>
      </c>
      <c r="H8217" s="1">
        <v>-2.1448210000000001E-6</v>
      </c>
      <c r="I8217">
        <v>82.280410000000003</v>
      </c>
      <c r="J8217">
        <v>-188.01329999999999</v>
      </c>
      <c r="K8217">
        <v>1.109089</v>
      </c>
      <c r="L8217">
        <v>50.288910000000001</v>
      </c>
      <c r="M8217">
        <v>-1.046861E-2</v>
      </c>
      <c r="N8217">
        <v>0</v>
      </c>
      <c r="O8217">
        <v>0.99989600000000001</v>
      </c>
      <c r="P8217">
        <v>1.1147260000000001E-2</v>
      </c>
      <c r="Q8217">
        <v>0.1951418</v>
      </c>
      <c r="R8217">
        <v>0.98071169999999996</v>
      </c>
      <c r="S8217">
        <v>0.25711060000000002</v>
      </c>
      <c r="T8217">
        <v>-0.10546079999999999</v>
      </c>
      <c r="U8217">
        <v>3.0766300000000002</v>
      </c>
      <c r="V8217">
        <v>2.166359E-2</v>
      </c>
      <c r="W8217">
        <v>0.2048287</v>
      </c>
      <c r="X8217">
        <v>0.97855809999999999</v>
      </c>
      <c r="Y8217">
        <v>9.3658320000000003E-2</v>
      </c>
      <c r="Z8217">
        <v>-3.412039E-2</v>
      </c>
      <c r="AA8217">
        <v>0.9950196</v>
      </c>
      <c r="AB8217">
        <v>40</v>
      </c>
      <c r="AC8217">
        <v>2.7075999999999798</v>
      </c>
      <c r="AD8217">
        <v>-1.1090911448209999</v>
      </c>
      <c r="AE8217">
        <v>31.991499999999998</v>
      </c>
      <c r="AF8217">
        <v>3.0387483603577601</v>
      </c>
      <c r="AG8217">
        <v>-1.1090911448209999</v>
      </c>
      <c r="AH8217">
        <v>31.923305104831702</v>
      </c>
      <c r="AI8217">
        <v>91.980843864177999</v>
      </c>
      <c r="AJ8217">
        <v>84.562454098147896</v>
      </c>
      <c r="AK8217">
        <v>32.086780511314501</v>
      </c>
      <c r="AL8217">
        <v>78.1805288789445</v>
      </c>
      <c r="AM8217">
        <v>88.731777338139693</v>
      </c>
      <c r="AN8217">
        <v>1.00000003127549</v>
      </c>
    </row>
    <row r="8218" spans="1:40" x14ac:dyDescent="0.25">
      <c r="A8218" t="str">
        <f>"20190312172310207"</f>
        <v>20190312172310207</v>
      </c>
      <c r="B8218" t="str">
        <f>"1552382590198416"</f>
        <v>1552382590198416</v>
      </c>
      <c r="C8218" t="s">
        <v>40</v>
      </c>
      <c r="D8218">
        <v>3.2006190000000001</v>
      </c>
      <c r="E8218">
        <v>0.52730200000000005</v>
      </c>
      <c r="F8218" t="s">
        <v>42</v>
      </c>
      <c r="G8218">
        <v>-185.3357</v>
      </c>
      <c r="H8218" s="1">
        <v>-2.3756019999999998E-6</v>
      </c>
      <c r="I8218">
        <v>82.982019999999906</v>
      </c>
      <c r="J8218">
        <v>-188.01730000000001</v>
      </c>
      <c r="K8218">
        <v>1.109089</v>
      </c>
      <c r="L8218">
        <v>50.706449999999997</v>
      </c>
      <c r="M8218">
        <v>-1.000798E-2</v>
      </c>
      <c r="N8218">
        <v>0</v>
      </c>
      <c r="O8218">
        <v>0.99990040000000002</v>
      </c>
      <c r="P8218">
        <v>9.5211919999999995E-3</v>
      </c>
      <c r="Q8218">
        <v>0.19505610000000001</v>
      </c>
      <c r="R8218">
        <v>0.98074589999999995</v>
      </c>
      <c r="S8218">
        <v>0.25199890000000003</v>
      </c>
      <c r="T8218">
        <v>-0.1043819</v>
      </c>
      <c r="U8218">
        <v>3.0769039999999999</v>
      </c>
      <c r="V8218">
        <v>1.9586599999999999E-2</v>
      </c>
      <c r="W8218">
        <v>0.20478109999999999</v>
      </c>
      <c r="X8218">
        <v>0.97861180000000003</v>
      </c>
      <c r="Y8218">
        <v>9.1551270000000004E-2</v>
      </c>
      <c r="Z8218">
        <v>-3.3774609999999997E-2</v>
      </c>
      <c r="AA8218">
        <v>0.99522750000000004</v>
      </c>
      <c r="AB8218">
        <v>40</v>
      </c>
      <c r="AC8218">
        <v>2.6816</v>
      </c>
      <c r="AD8218">
        <v>-1.109091375602</v>
      </c>
      <c r="AE8218">
        <v>32.275569999999902</v>
      </c>
      <c r="AF8218">
        <v>3.0009756002981902</v>
      </c>
      <c r="AG8218">
        <v>-1.109091375602</v>
      </c>
      <c r="AH8218">
        <v>32.209341756620098</v>
      </c>
      <c r="AI8218">
        <v>91.963636722375995</v>
      </c>
      <c r="AJ8218">
        <v>84.677063678330001</v>
      </c>
      <c r="AK8218">
        <v>32.367848779734601</v>
      </c>
      <c r="AL8218">
        <v>78.183314779220098</v>
      </c>
      <c r="AM8218">
        <v>88.853396514625999</v>
      </c>
      <c r="AN8218">
        <v>0.99999999445800503</v>
      </c>
    </row>
    <row r="8219" spans="1:40" x14ac:dyDescent="0.25">
      <c r="A8219" t="str">
        <f>"20190312172310229"</f>
        <v>20190312172310229</v>
      </c>
      <c r="B8219" t="str">
        <f>"1552382590218908"</f>
        <v>1552382590218908</v>
      </c>
      <c r="C8219" t="s">
        <v>40</v>
      </c>
      <c r="D8219">
        <v>3.0921289999999999</v>
      </c>
      <c r="E8219">
        <v>0.49450630000000001</v>
      </c>
      <c r="F8219" t="s">
        <v>42</v>
      </c>
      <c r="G8219">
        <v>-185.40969999999999</v>
      </c>
      <c r="H8219" s="1">
        <v>-2.4406540000000002E-6</v>
      </c>
      <c r="I8219">
        <v>83.231020000000001</v>
      </c>
      <c r="J8219">
        <v>-188.02099999999999</v>
      </c>
      <c r="K8219">
        <v>1.109084</v>
      </c>
      <c r="L8219">
        <v>51.110570000000003</v>
      </c>
      <c r="M8219">
        <v>-9.5621920000000006E-3</v>
      </c>
      <c r="N8219">
        <v>0</v>
      </c>
      <c r="O8219">
        <v>0.99990449999999997</v>
      </c>
      <c r="P8219">
        <v>7.3248710000000002E-3</v>
      </c>
      <c r="Q8219">
        <v>0.1950904</v>
      </c>
      <c r="R8219">
        <v>0.98075789999999996</v>
      </c>
      <c r="S8219">
        <v>0.24671940000000001</v>
      </c>
      <c r="T8219">
        <v>-0.1049384</v>
      </c>
      <c r="U8219">
        <v>3.0773619999999999</v>
      </c>
      <c r="V8219">
        <v>1.695373E-2</v>
      </c>
      <c r="W8219">
        <v>0.20485059999999999</v>
      </c>
      <c r="X8219">
        <v>0.97864640000000003</v>
      </c>
      <c r="Y8219">
        <v>8.9398270000000002E-2</v>
      </c>
      <c r="Z8219">
        <v>-3.3955319999999997E-2</v>
      </c>
      <c r="AA8219">
        <v>0.995417</v>
      </c>
      <c r="AB8219">
        <v>41</v>
      </c>
      <c r="AC8219">
        <v>2.6113</v>
      </c>
      <c r="AD8219">
        <v>-1.109086440654</v>
      </c>
      <c r="AE8219">
        <v>32.120449999999998</v>
      </c>
      <c r="AF8219">
        <v>2.9148853468247502</v>
      </c>
      <c r="AG8219">
        <v>-1.109086440654</v>
      </c>
      <c r="AH8219">
        <v>32.0560424526616</v>
      </c>
      <c r="AI8219">
        <v>91.973414240806605</v>
      </c>
      <c r="AJ8219">
        <v>84.804330782287494</v>
      </c>
      <c r="AK8219">
        <v>32.207398017300598</v>
      </c>
      <c r="AL8219">
        <v>78.179246384296604</v>
      </c>
      <c r="AM8219">
        <v>89.007527110394904</v>
      </c>
      <c r="AN8219">
        <v>0.99999998675711599</v>
      </c>
    </row>
    <row r="8220" spans="1:40" x14ac:dyDescent="0.25">
      <c r="A8220" t="str">
        <f>"20190312172310243"</f>
        <v>20190312172310243</v>
      </c>
      <c r="B8220" t="str">
        <f>"1552382590238429"</f>
        <v>1552382590238429</v>
      </c>
      <c r="C8220" t="s">
        <v>40</v>
      </c>
      <c r="D8220">
        <v>3.1163270000000001</v>
      </c>
      <c r="E8220">
        <v>0.48852119999999999</v>
      </c>
      <c r="F8220" t="s">
        <v>42</v>
      </c>
      <c r="G8220">
        <v>-188.31129999999999</v>
      </c>
      <c r="H8220" s="1">
        <v>-1.3932380000000001E-6</v>
      </c>
      <c r="I8220">
        <v>92.182209999999998</v>
      </c>
      <c r="J8220">
        <v>-188.0231</v>
      </c>
      <c r="K8220">
        <v>1.109084</v>
      </c>
      <c r="L8220">
        <v>51.353299999999997</v>
      </c>
      <c r="M8220">
        <v>-9.2944350000000002E-3</v>
      </c>
      <c r="N8220">
        <v>0</v>
      </c>
      <c r="O8220">
        <v>0.99990679999999998</v>
      </c>
      <c r="P8220">
        <v>6.3902730000000001E-3</v>
      </c>
      <c r="Q8220">
        <v>0.19500300000000001</v>
      </c>
      <c r="R8220">
        <v>0.98078189999999998</v>
      </c>
      <c r="S8220">
        <v>-2.1743769999999999E-2</v>
      </c>
      <c r="T8220">
        <v>-8.3051440000000004E-2</v>
      </c>
      <c r="U8220">
        <v>3.0755620000000001</v>
      </c>
      <c r="V8220">
        <v>1.5756920000000001E-2</v>
      </c>
      <c r="W8220">
        <v>0.2047834</v>
      </c>
      <c r="X8220">
        <v>0.97868049999999995</v>
      </c>
      <c r="Y8220">
        <v>2.2278720000000001E-3</v>
      </c>
      <c r="Z8220">
        <v>-2.6991709999999999E-2</v>
      </c>
      <c r="AA8220">
        <v>0.9996332</v>
      </c>
      <c r="AB8220">
        <v>41</v>
      </c>
      <c r="AC8220">
        <v>-0.28819999999998902</v>
      </c>
      <c r="AD8220">
        <v>-1.109085393238</v>
      </c>
      <c r="AE8220">
        <v>40.82891</v>
      </c>
      <c r="AF8220">
        <v>9.1245749940573107E-2</v>
      </c>
      <c r="AG8220">
        <v>-1.109085393238</v>
      </c>
      <c r="AH8220">
        <v>40.799720643622301</v>
      </c>
      <c r="AI8220">
        <v>91.557121148160803</v>
      </c>
      <c r="AJ8220">
        <v>89.871862170340805</v>
      </c>
      <c r="AK8220">
        <v>40.814894349906098</v>
      </c>
      <c r="AL8220">
        <v>78.183180467018104</v>
      </c>
      <c r="AM8220">
        <v>89.077608045455506</v>
      </c>
      <c r="AN8220">
        <v>1.0000000212618401</v>
      </c>
    </row>
    <row r="8221" spans="1:40" x14ac:dyDescent="0.25">
      <c r="A8221" t="str">
        <f>"20190312172310262"</f>
        <v>20190312172310262</v>
      </c>
      <c r="B8221" t="str">
        <f>"1552382590258925"</f>
        <v>1552382590258925</v>
      </c>
      <c r="C8221" t="s">
        <v>40</v>
      </c>
      <c r="D8221">
        <v>3.1003940000000001</v>
      </c>
      <c r="E8221">
        <v>0.48632229999999999</v>
      </c>
      <c r="F8221" t="s">
        <v>42</v>
      </c>
      <c r="G8221">
        <v>-189.06739999999999</v>
      </c>
      <c r="H8221" s="1">
        <v>-2.7755240000000002E-6</v>
      </c>
      <c r="I8221">
        <v>95.71696</v>
      </c>
      <c r="J8221">
        <v>-188.02610000000001</v>
      </c>
      <c r="K8221">
        <v>1.1090880000000001</v>
      </c>
      <c r="L8221">
        <v>51.705719999999999</v>
      </c>
      <c r="M8221">
        <v>-8.9058999999999996E-3</v>
      </c>
      <c r="N8221">
        <v>0</v>
      </c>
      <c r="O8221">
        <v>0.99991010000000002</v>
      </c>
      <c r="P8221">
        <v>4.5646870000000004E-3</v>
      </c>
      <c r="Q8221">
        <v>0.1952372</v>
      </c>
      <c r="R8221">
        <v>0.98074539999999999</v>
      </c>
      <c r="S8221">
        <v>-7.2372439999999996E-2</v>
      </c>
      <c r="T8221">
        <v>-7.6863529999999999E-2</v>
      </c>
      <c r="U8221">
        <v>3.074554</v>
      </c>
      <c r="V8221">
        <v>1.3550649999999999E-2</v>
      </c>
      <c r="W8221">
        <v>0.20504430000000001</v>
      </c>
      <c r="X8221">
        <v>0.9786589</v>
      </c>
      <c r="Y8221">
        <v>-1.462048E-2</v>
      </c>
      <c r="Z8221">
        <v>-2.4985799999999999E-2</v>
      </c>
      <c r="AA8221">
        <v>0.99958089999999999</v>
      </c>
      <c r="AB8221">
        <v>41</v>
      </c>
      <c r="AC8221">
        <v>-1.0412999999999699</v>
      </c>
      <c r="AD8221">
        <v>-1.10909077552399</v>
      </c>
      <c r="AE8221">
        <v>44.011240000000001</v>
      </c>
      <c r="AF8221">
        <v>-0.64886747255314603</v>
      </c>
      <c r="AG8221">
        <v>-1.10909077552399</v>
      </c>
      <c r="AH8221">
        <v>43.990847895086198</v>
      </c>
      <c r="AI8221">
        <v>91.444069787559002</v>
      </c>
      <c r="AJ8221">
        <v>90.8450546788048</v>
      </c>
      <c r="AK8221">
        <v>44.009610426290998</v>
      </c>
      <c r="AL8221">
        <v>78.167907825669502</v>
      </c>
      <c r="AM8221">
        <v>89.206725198460404</v>
      </c>
      <c r="AN8221">
        <v>1.0000000138135601</v>
      </c>
    </row>
    <row r="8222" spans="1:40" x14ac:dyDescent="0.25">
      <c r="A8222" t="str">
        <f>"20190312172310285"</f>
        <v>20190312172310285</v>
      </c>
      <c r="B8222" t="str">
        <f>"1552382590278445"</f>
        <v>1552382590278445</v>
      </c>
      <c r="C8222" t="s">
        <v>40</v>
      </c>
      <c r="D8222">
        <v>3.0738150000000002</v>
      </c>
      <c r="E8222">
        <v>0.48504130000000001</v>
      </c>
      <c r="F8222" t="s">
        <v>42</v>
      </c>
      <c r="G8222">
        <v>-189.4828</v>
      </c>
      <c r="H8222" s="1">
        <v>-3.880732E-6</v>
      </c>
      <c r="I8222">
        <v>98.465019999999996</v>
      </c>
      <c r="J8222">
        <v>-188.02940000000001</v>
      </c>
      <c r="K8222">
        <v>1.1090899999999999</v>
      </c>
      <c r="L8222">
        <v>52.11768</v>
      </c>
      <c r="M8222">
        <v>-8.4515019999999996E-3</v>
      </c>
      <c r="N8222">
        <v>0</v>
      </c>
      <c r="O8222">
        <v>0.99991379999999996</v>
      </c>
      <c r="P8222">
        <v>2.688499E-3</v>
      </c>
      <c r="Q8222">
        <v>0.1952902</v>
      </c>
      <c r="R8222">
        <v>0.9807418</v>
      </c>
      <c r="S8222">
        <v>-9.5764160000000001E-2</v>
      </c>
      <c r="T8222">
        <v>-7.290924E-2</v>
      </c>
      <c r="U8222">
        <v>3.0738530000000002</v>
      </c>
      <c r="V8222">
        <v>1.122919E-2</v>
      </c>
      <c r="W8222">
        <v>0.2051269</v>
      </c>
      <c r="X8222">
        <v>0.97867099999999996</v>
      </c>
      <c r="Y8222">
        <v>-2.2681639999999999E-2</v>
      </c>
      <c r="Z8222">
        <v>-2.3702440000000002E-2</v>
      </c>
      <c r="AA8222">
        <v>0.99946170000000001</v>
      </c>
      <c r="AB8222">
        <v>41</v>
      </c>
      <c r="AC8222">
        <v>-1.45339999999998</v>
      </c>
      <c r="AD8222">
        <v>-1.1090938807320001</v>
      </c>
      <c r="AE8222">
        <v>46.347340000000003</v>
      </c>
      <c r="AF8222">
        <v>-1.06101668369741</v>
      </c>
      <c r="AG8222">
        <v>-1.1090938807320001</v>
      </c>
      <c r="AH8222">
        <v>46.331463081748801</v>
      </c>
      <c r="AI8222">
        <v>91.370939169178499</v>
      </c>
      <c r="AJ8222">
        <v>91.311876425625499</v>
      </c>
      <c r="AK8222">
        <v>46.356879930974799</v>
      </c>
      <c r="AL8222">
        <v>78.163072643724306</v>
      </c>
      <c r="AM8222">
        <v>89.342621818233795</v>
      </c>
      <c r="AN8222">
        <v>1.0000000330263299</v>
      </c>
    </row>
    <row r="8223" spans="1:40" x14ac:dyDescent="0.25">
      <c r="A8223" t="str">
        <f>"20190312172310321"</f>
        <v>20190312172310321</v>
      </c>
      <c r="B8223" t="str">
        <f>"1552382590318462"</f>
        <v>1552382590318462</v>
      </c>
      <c r="C8223" t="s">
        <v>40</v>
      </c>
      <c r="D8223">
        <v>3.227074</v>
      </c>
      <c r="E8223">
        <v>0.48409239999999998</v>
      </c>
      <c r="F8223" t="s">
        <v>42</v>
      </c>
      <c r="G8223">
        <v>-189.72239999999999</v>
      </c>
      <c r="H8223" s="1">
        <v>-3.912768E-6</v>
      </c>
      <c r="I8223">
        <v>98.638750000000002</v>
      </c>
      <c r="J8223">
        <v>-188.0342</v>
      </c>
      <c r="K8223">
        <v>1.109092</v>
      </c>
      <c r="L8223">
        <v>52.770539999999997</v>
      </c>
      <c r="M8223">
        <v>-7.7317999999999996E-3</v>
      </c>
      <c r="N8223">
        <v>0</v>
      </c>
      <c r="O8223">
        <v>0.99991920000000001</v>
      </c>
      <c r="P8223">
        <v>1.8020829999999999E-3</v>
      </c>
      <c r="Q8223">
        <v>0.1949506</v>
      </c>
      <c r="R8223">
        <v>0.9808114</v>
      </c>
      <c r="S8223">
        <v>-0.11186219999999999</v>
      </c>
      <c r="T8223">
        <v>-7.3281289999999999E-2</v>
      </c>
      <c r="U8223">
        <v>3.0737920000000001</v>
      </c>
      <c r="V8223">
        <v>9.6376080000000006E-3</v>
      </c>
      <c r="W8223">
        <v>0.20482729999999999</v>
      </c>
      <c r="X8223">
        <v>0.97875069999999997</v>
      </c>
      <c r="Y8223">
        <v>-2.8629689999999999E-2</v>
      </c>
      <c r="Z8223">
        <v>-2.382008E-2</v>
      </c>
      <c r="AA8223">
        <v>0.99930629999999998</v>
      </c>
      <c r="AB8223">
        <v>41</v>
      </c>
      <c r="AC8223">
        <v>-1.6881999999999899</v>
      </c>
      <c r="AD8223">
        <v>-1.109095912768</v>
      </c>
      <c r="AE8223">
        <v>45.868209999999998</v>
      </c>
      <c r="AF8223">
        <v>-1.33270950410648</v>
      </c>
      <c r="AG8223">
        <v>-1.109095912768</v>
      </c>
      <c r="AH8223">
        <v>45.853119400482797</v>
      </c>
      <c r="AI8223">
        <v>91.385016311113802</v>
      </c>
      <c r="AJ8223">
        <v>91.664818887483904</v>
      </c>
      <c r="AK8223">
        <v>45.885888540170797</v>
      </c>
      <c r="AL8223">
        <v>78.180610689767605</v>
      </c>
      <c r="AM8223">
        <v>89.435835481854795</v>
      </c>
      <c r="AN8223">
        <v>1.0000000195318699</v>
      </c>
    </row>
    <row r="8224" spans="1:40" x14ac:dyDescent="0.25">
      <c r="A8224" t="str">
        <f>"20190312172310340"</f>
        <v>20190312172310340</v>
      </c>
      <c r="B8224" t="str">
        <f>"1552382590328220"</f>
        <v>1552382590328220</v>
      </c>
      <c r="C8224" t="s">
        <v>40</v>
      </c>
      <c r="D8224">
        <v>3.2248670000000002</v>
      </c>
      <c r="E8224">
        <v>0.48402529999999999</v>
      </c>
      <c r="F8224" t="s">
        <v>42</v>
      </c>
      <c r="G8224">
        <v>-189.8372</v>
      </c>
      <c r="H8224" s="1">
        <v>-3.7282769999999999E-6</v>
      </c>
      <c r="I8224">
        <v>98.256169999999997</v>
      </c>
      <c r="J8224">
        <v>-188.0367</v>
      </c>
      <c r="K8224">
        <v>1.109091</v>
      </c>
      <c r="L8224">
        <v>53.131230000000002</v>
      </c>
      <c r="M8224">
        <v>-7.3341250000000004E-3</v>
      </c>
      <c r="N8224">
        <v>0</v>
      </c>
      <c r="O8224">
        <v>0.99992199999999998</v>
      </c>
      <c r="P8224">
        <v>2.2366700000000001E-3</v>
      </c>
      <c r="Q8224">
        <v>0.19532469999999999</v>
      </c>
      <c r="R8224">
        <v>0.9807361</v>
      </c>
      <c r="S8224">
        <v>-0.1218414</v>
      </c>
      <c r="T8224">
        <v>-7.4950340000000004E-2</v>
      </c>
      <c r="U8224">
        <v>3.0738219999999998</v>
      </c>
      <c r="V8224">
        <v>9.6822869999999995E-3</v>
      </c>
      <c r="W8224">
        <v>0.20521929999999999</v>
      </c>
      <c r="X8224">
        <v>0.97866819999999999</v>
      </c>
      <c r="Y8224">
        <v>-3.2265750000000003E-2</v>
      </c>
      <c r="Z8224">
        <v>-2.43593E-2</v>
      </c>
      <c r="AA8224">
        <v>0.99918249999999997</v>
      </c>
      <c r="AB8224">
        <v>41</v>
      </c>
      <c r="AC8224">
        <v>-1.80049999999999</v>
      </c>
      <c r="AD8224">
        <v>-1.1090947282770001</v>
      </c>
      <c r="AE8224">
        <v>45.124940000000002</v>
      </c>
      <c r="AF8224">
        <v>-1.4685969468428099</v>
      </c>
      <c r="AG8224">
        <v>-1.1090947282770001</v>
      </c>
      <c r="AH8224">
        <v>45.109724838066903</v>
      </c>
      <c r="AI8224">
        <v>91.407679117507698</v>
      </c>
      <c r="AJ8224">
        <v>91.864668823283196</v>
      </c>
      <c r="AK8224">
        <v>45.147249562677501</v>
      </c>
      <c r="AL8224">
        <v>78.157663961878796</v>
      </c>
      <c r="AM8224">
        <v>89.433172465608806</v>
      </c>
      <c r="AN8224">
        <v>1.00000007673263</v>
      </c>
    </row>
    <row r="8225" spans="1:40" x14ac:dyDescent="0.25">
      <c r="A8225" t="str">
        <f>"20190312172310363"</f>
        <v>20190312172310363</v>
      </c>
      <c r="B8225" t="str">
        <f>"1552382590358477"</f>
        <v>1552382590358477</v>
      </c>
      <c r="C8225" t="s">
        <v>40</v>
      </c>
      <c r="D8225">
        <v>3.0980780000000001</v>
      </c>
      <c r="E8225">
        <v>0.48389729999999997</v>
      </c>
      <c r="F8225" t="s">
        <v>42</v>
      </c>
      <c r="G8225">
        <v>-189.86</v>
      </c>
      <c r="H8225" s="1">
        <v>-4.1809970000000004E-6</v>
      </c>
      <c r="I8225">
        <v>99.320880000000002</v>
      </c>
      <c r="J8225">
        <v>-188.0393</v>
      </c>
      <c r="K8225">
        <v>1.109091</v>
      </c>
      <c r="L8225">
        <v>53.537719999999901</v>
      </c>
      <c r="M8225">
        <v>-6.8863250000000004E-3</v>
      </c>
      <c r="N8225">
        <v>0</v>
      </c>
      <c r="O8225">
        <v>0.99992499999999995</v>
      </c>
      <c r="P8225">
        <v>2.6920859999999998E-3</v>
      </c>
      <c r="Q8225">
        <v>0.19566710000000001</v>
      </c>
      <c r="R8225">
        <v>0.9806667</v>
      </c>
      <c r="S8225">
        <v>-0.121337899999999</v>
      </c>
      <c r="T8225">
        <v>-7.3810100000000003E-2</v>
      </c>
      <c r="U8225">
        <v>3.0739139999999998</v>
      </c>
      <c r="V8225">
        <v>9.6988209999999998E-3</v>
      </c>
      <c r="W8225">
        <v>0.20558009999999999</v>
      </c>
      <c r="X8225">
        <v>0.97859220000000002</v>
      </c>
      <c r="Y8225">
        <v>-3.2549099999999997E-2</v>
      </c>
      <c r="Z8225">
        <v>-2.3988300000000001E-2</v>
      </c>
      <c r="AA8225">
        <v>0.99918220000000002</v>
      </c>
      <c r="AB8225">
        <v>41</v>
      </c>
      <c r="AC8225">
        <v>-1.82070000000001</v>
      </c>
      <c r="AD8225">
        <v>-1.109095180997</v>
      </c>
      <c r="AE8225">
        <v>45.783160000000002</v>
      </c>
      <c r="AF8225">
        <v>-1.50448142612158</v>
      </c>
      <c r="AG8225">
        <v>-1.109095180997</v>
      </c>
      <c r="AH8225">
        <v>45.767796538606198</v>
      </c>
      <c r="AI8225">
        <v>91.387433036388401</v>
      </c>
      <c r="AJ8225">
        <v>91.882751937294302</v>
      </c>
      <c r="AK8225">
        <v>45.805946737092</v>
      </c>
      <c r="AL8225">
        <v>78.136539978395206</v>
      </c>
      <c r="AM8225">
        <v>89.432160489819793</v>
      </c>
      <c r="AN8225">
        <v>0.99999996927281898</v>
      </c>
    </row>
    <row r="8226" spans="1:40" x14ac:dyDescent="0.25">
      <c r="A8226" t="str">
        <f>"20190312172310385"</f>
        <v>20190312172310385</v>
      </c>
      <c r="B8226" t="str">
        <f>"1552382590377997"</f>
        <v>1552382590377997</v>
      </c>
      <c r="C8226" t="s">
        <v>40</v>
      </c>
      <c r="D8226">
        <v>3.08311</v>
      </c>
      <c r="E8226">
        <v>0.4838288</v>
      </c>
      <c r="F8226" t="s">
        <v>42</v>
      </c>
      <c r="G8226">
        <v>-189.8716</v>
      </c>
      <c r="H8226" s="1">
        <v>-2.3273250000000001E-7</v>
      </c>
      <c r="I8226">
        <v>100.12220000000001</v>
      </c>
      <c r="J8226">
        <v>-188.04179999999999</v>
      </c>
      <c r="K8226">
        <v>1.1090930000000001</v>
      </c>
      <c r="L8226">
        <v>53.953919999999997</v>
      </c>
      <c r="M8226">
        <v>-6.427968E-3</v>
      </c>
      <c r="N8226">
        <v>0</v>
      </c>
      <c r="O8226">
        <v>0.99992780000000003</v>
      </c>
      <c r="P8226">
        <v>3.0654079999999999E-3</v>
      </c>
      <c r="Q8226">
        <v>0.19578519999999999</v>
      </c>
      <c r="R8226">
        <v>0.98064200000000001</v>
      </c>
      <c r="S8226">
        <v>-0.12091059999999999</v>
      </c>
      <c r="T8226">
        <v>-7.3188660000000003E-2</v>
      </c>
      <c r="U8226">
        <v>3.0740970000000001</v>
      </c>
      <c r="V8226">
        <v>9.6230269999999993E-3</v>
      </c>
      <c r="W8226">
        <v>0.2057158</v>
      </c>
      <c r="X8226">
        <v>0.9785644</v>
      </c>
      <c r="Y8226">
        <v>-3.2866439999999997E-2</v>
      </c>
      <c r="Z8226">
        <v>-2.3785089999999998E-2</v>
      </c>
      <c r="AA8226">
        <v>0.99917670000000003</v>
      </c>
      <c r="AB8226">
        <v>41</v>
      </c>
      <c r="AC8226">
        <v>-1.8298000000000001</v>
      </c>
      <c r="AD8226">
        <v>-1.1090932327325</v>
      </c>
      <c r="AE8226">
        <v>46.168280000000003</v>
      </c>
      <c r="AF8226">
        <v>-1.5320958896104699</v>
      </c>
      <c r="AG8226">
        <v>-1.1090932327325</v>
      </c>
      <c r="AH8226">
        <v>46.152495896243401</v>
      </c>
      <c r="AI8226">
        <v>91.375855560629802</v>
      </c>
      <c r="AJ8226">
        <v>91.901314379747504</v>
      </c>
      <c r="AK8226">
        <v>46.191235998472898</v>
      </c>
      <c r="AL8226">
        <v>78.128594763099699</v>
      </c>
      <c r="AM8226">
        <v>89.436581729932698</v>
      </c>
      <c r="AN8226">
        <v>0.99999993898281903</v>
      </c>
    </row>
    <row r="8227" spans="1:40" x14ac:dyDescent="0.25">
      <c r="A8227" t="str">
        <f>"20190312172310408"</f>
        <v>20190312172310408</v>
      </c>
      <c r="B8227" t="str">
        <f>"1552382590398492"</f>
        <v>1552382590398492</v>
      </c>
      <c r="C8227" t="s">
        <v>40</v>
      </c>
      <c r="D8227">
        <v>3.0751360000000001</v>
      </c>
      <c r="E8227">
        <v>0.48389349999999998</v>
      </c>
      <c r="F8227" t="s">
        <v>42</v>
      </c>
      <c r="G8227">
        <v>-189.85939999999999</v>
      </c>
      <c r="H8227" s="1">
        <v>-3.9524529999999999E-7</v>
      </c>
      <c r="I8227">
        <v>100.496</v>
      </c>
      <c r="J8227">
        <v>-188.04409999999999</v>
      </c>
      <c r="K8227">
        <v>1.1090880000000001</v>
      </c>
      <c r="L8227">
        <v>54.362340000000003</v>
      </c>
      <c r="M8227">
        <v>-5.9784080000000002E-3</v>
      </c>
      <c r="N8227">
        <v>0</v>
      </c>
      <c r="O8227">
        <v>0.9999304</v>
      </c>
      <c r="P8227">
        <v>3.1757840000000001E-3</v>
      </c>
      <c r="Q8227">
        <v>0.1959632</v>
      </c>
      <c r="R8227">
        <v>0.98060610000000004</v>
      </c>
      <c r="S8227">
        <v>-0.1200562</v>
      </c>
      <c r="T8227">
        <v>-7.3258400000000001E-2</v>
      </c>
      <c r="U8227">
        <v>3.0742189999999998</v>
      </c>
      <c r="V8227">
        <v>9.2929629999999996E-3</v>
      </c>
      <c r="W8227">
        <v>0.2059095</v>
      </c>
      <c r="X8227">
        <v>0.97852689999999998</v>
      </c>
      <c r="Y8227">
        <v>-3.3036910000000003E-2</v>
      </c>
      <c r="Z8227">
        <v>-2.380695E-2</v>
      </c>
      <c r="AA8227">
        <v>0.99917049999999996</v>
      </c>
      <c r="AB8227">
        <v>41</v>
      </c>
      <c r="AC8227">
        <v>-1.8152999999999999</v>
      </c>
      <c r="AD8227">
        <v>-1.1090883952452999</v>
      </c>
      <c r="AE8227">
        <v>46.133659999999999</v>
      </c>
      <c r="AF8227">
        <v>-1.5385595973987001</v>
      </c>
      <c r="AG8227">
        <v>-1.1090883952452999</v>
      </c>
      <c r="AH8227">
        <v>46.117076090957802</v>
      </c>
      <c r="AI8227">
        <v>91.376898284801896</v>
      </c>
      <c r="AJ8227">
        <v>91.910795203242103</v>
      </c>
      <c r="AK8227">
        <v>46.156060814181401</v>
      </c>
      <c r="AL8227">
        <v>78.117254362544003</v>
      </c>
      <c r="AM8227">
        <v>89.455884603046201</v>
      </c>
      <c r="AN8227">
        <v>0.99999998768758902</v>
      </c>
    </row>
    <row r="8228" spans="1:40" x14ac:dyDescent="0.25">
      <c r="A8228" t="str">
        <f>"20190312172310429"</f>
        <v>20190312172310429</v>
      </c>
      <c r="B8228" t="str">
        <f>"1552382590418012"</f>
        <v>1552382590418012</v>
      </c>
      <c r="C8228" t="s">
        <v>40</v>
      </c>
      <c r="D8228">
        <v>3.0606149999999999</v>
      </c>
      <c r="E8228">
        <v>0.48396070000000002</v>
      </c>
      <c r="F8228" t="s">
        <v>42</v>
      </c>
      <c r="G8228">
        <v>-189.82669999999999</v>
      </c>
      <c r="H8228" s="1">
        <v>-3.6960249999999999E-7</v>
      </c>
      <c r="I8228">
        <v>100.42270000000001</v>
      </c>
      <c r="J8228">
        <v>-188.0461</v>
      </c>
      <c r="K8228">
        <v>1.1090880000000001</v>
      </c>
      <c r="L8228">
        <v>54.758330000000001</v>
      </c>
      <c r="M8228">
        <v>-5.5427180000000003E-3</v>
      </c>
      <c r="N8228">
        <v>0</v>
      </c>
      <c r="O8228">
        <v>0.99993279999999995</v>
      </c>
      <c r="P8228">
        <v>2.9100039999999999E-3</v>
      </c>
      <c r="Q8228">
        <v>0.19594410000000001</v>
      </c>
      <c r="R8228">
        <v>0.98061069999999995</v>
      </c>
      <c r="S8228">
        <v>-0.118988</v>
      </c>
      <c r="T8228">
        <v>-7.4031589999999994E-2</v>
      </c>
      <c r="U8228">
        <v>3.0745239999999998</v>
      </c>
      <c r="V8228">
        <v>8.6003669999999994E-3</v>
      </c>
      <c r="W8228">
        <v>0.20590620000000001</v>
      </c>
      <c r="X8228">
        <v>0.97853389999999996</v>
      </c>
      <c r="Y8228">
        <v>-3.3121690000000002E-2</v>
      </c>
      <c r="Z8228">
        <v>-2.405591E-2</v>
      </c>
      <c r="AA8228">
        <v>0.99916179999999999</v>
      </c>
      <c r="AB8228">
        <v>41</v>
      </c>
      <c r="AC8228">
        <v>-1.78059999999999</v>
      </c>
      <c r="AD8228">
        <v>-1.10908836960249</v>
      </c>
      <c r="AE8228">
        <v>45.664369999999998</v>
      </c>
      <c r="AF8228">
        <v>-1.5265556527567801</v>
      </c>
      <c r="AG8228">
        <v>-1.10908836960249</v>
      </c>
      <c r="AH8228">
        <v>45.6466523364453</v>
      </c>
      <c r="AI8228">
        <v>91.391078947108895</v>
      </c>
      <c r="AJ8228">
        <v>91.915422176397499</v>
      </c>
      <c r="AK8228">
        <v>45.685635802699103</v>
      </c>
      <c r="AL8228">
        <v>78.117447263024502</v>
      </c>
      <c r="AM8228">
        <v>89.496438453756994</v>
      </c>
      <c r="AN8228">
        <v>0.99999996148009096</v>
      </c>
    </row>
    <row r="8229" spans="1:40" x14ac:dyDescent="0.25">
      <c r="A8229" t="str">
        <f>"20190312172310451"</f>
        <v>20190312172310451</v>
      </c>
      <c r="B8229" t="str">
        <f>"1552382590448268"</f>
        <v>1552382590448268</v>
      </c>
      <c r="C8229" t="s">
        <v>40</v>
      </c>
      <c r="D8229">
        <v>3.0917219999999999</v>
      </c>
      <c r="E8229">
        <v>0.48394359999999997</v>
      </c>
      <c r="F8229" t="s">
        <v>42</v>
      </c>
      <c r="G8229">
        <v>-189.81540000000001</v>
      </c>
      <c r="H8229" s="1">
        <v>-3.2456739999999999E-7</v>
      </c>
      <c r="I8229">
        <v>100.313</v>
      </c>
      <c r="J8229">
        <v>-188.0479</v>
      </c>
      <c r="K8229">
        <v>1.1090850000000001</v>
      </c>
      <c r="L8229">
        <v>55.156100000000002</v>
      </c>
      <c r="M8229">
        <v>-5.1053289999999996E-3</v>
      </c>
      <c r="N8229">
        <v>0</v>
      </c>
      <c r="O8229">
        <v>0.99993500000000002</v>
      </c>
      <c r="P8229">
        <v>2.5628000000000001E-3</v>
      </c>
      <c r="Q8229">
        <v>0.19587940000000001</v>
      </c>
      <c r="R8229">
        <v>0.98062470000000002</v>
      </c>
      <c r="S8229">
        <v>-0.1194153</v>
      </c>
      <c r="T8229">
        <v>-7.4855569999999996E-2</v>
      </c>
      <c r="U8229">
        <v>3.0746150000000001</v>
      </c>
      <c r="V8229">
        <v>7.8247290000000008E-3</v>
      </c>
      <c r="W8229">
        <v>0.20585529999999999</v>
      </c>
      <c r="X8229">
        <v>0.97855110000000001</v>
      </c>
      <c r="Y8229">
        <v>-3.36961E-2</v>
      </c>
      <c r="Z8229">
        <v>-2.432256E-2</v>
      </c>
      <c r="AA8229">
        <v>0.99913609999999997</v>
      </c>
      <c r="AB8229">
        <v>41</v>
      </c>
      <c r="AC8229">
        <v>-1.7675000000000101</v>
      </c>
      <c r="AD8229">
        <v>-1.1090853245673999</v>
      </c>
      <c r="AE8229">
        <v>45.156899999999901</v>
      </c>
      <c r="AF8229">
        <v>-1.53599901013558</v>
      </c>
      <c r="AG8229">
        <v>-1.1090853245673999</v>
      </c>
      <c r="AH8229">
        <v>45.138148624385998</v>
      </c>
      <c r="AI8229">
        <v>91.4067122558357</v>
      </c>
      <c r="AJ8229">
        <v>91.948957092206399</v>
      </c>
      <c r="AK8229">
        <v>45.177890880977102</v>
      </c>
      <c r="AL8229">
        <v>78.1204272415481</v>
      </c>
      <c r="AM8229">
        <v>89.541858986571697</v>
      </c>
      <c r="AN8229">
        <v>0.99999994311661</v>
      </c>
    </row>
    <row r="8230" spans="1:40" x14ac:dyDescent="0.25">
      <c r="A8230" t="str">
        <f>"20190312172310474"</f>
        <v>20190312172310474</v>
      </c>
      <c r="B8230" t="str">
        <f>"1552382590468765"</f>
        <v>1552382590468765</v>
      </c>
      <c r="C8230" t="s">
        <v>40</v>
      </c>
      <c r="D8230">
        <v>3.0876480000000002</v>
      </c>
      <c r="E8230">
        <v>0.48391899999999899</v>
      </c>
      <c r="F8230" t="s">
        <v>42</v>
      </c>
      <c r="G8230">
        <v>-189.81890000000001</v>
      </c>
      <c r="H8230" s="1">
        <v>-3.7927910000000001E-7</v>
      </c>
      <c r="I8230">
        <v>100.44199999999999</v>
      </c>
      <c r="J8230">
        <v>-188.0497</v>
      </c>
      <c r="K8230">
        <v>1.109081</v>
      </c>
      <c r="L8230">
        <v>55.581539999999997</v>
      </c>
      <c r="M8230">
        <v>-4.6376830000000001E-3</v>
      </c>
      <c r="N8230">
        <v>0</v>
      </c>
      <c r="O8230">
        <v>0.99993719999999997</v>
      </c>
      <c r="P8230">
        <v>2.0435890000000002E-3</v>
      </c>
      <c r="Q8230">
        <v>0.19542329999999999</v>
      </c>
      <c r="R8230">
        <v>0.9807169</v>
      </c>
      <c r="S8230">
        <v>-0.12023929999999999</v>
      </c>
      <c r="T8230">
        <v>-7.5299619999999998E-2</v>
      </c>
      <c r="U8230">
        <v>3.0746150000000001</v>
      </c>
      <c r="V8230">
        <v>6.847288E-3</v>
      </c>
      <c r="W8230">
        <v>0.20541480000000001</v>
      </c>
      <c r="X8230">
        <v>0.97865100000000005</v>
      </c>
      <c r="Y8230">
        <v>-3.4430719999999998E-2</v>
      </c>
      <c r="Z8230">
        <v>-2.4466399999999999E-2</v>
      </c>
      <c r="AA8230">
        <v>0.99910750000000004</v>
      </c>
      <c r="AB8230">
        <v>41</v>
      </c>
      <c r="AC8230">
        <v>-1.7692000000000101</v>
      </c>
      <c r="AD8230">
        <v>-1.1090813792791001</v>
      </c>
      <c r="AE8230">
        <v>44.860459999999897</v>
      </c>
      <c r="AF8230">
        <v>-1.5601694207394401</v>
      </c>
      <c r="AG8230">
        <v>-1.1090813792791001</v>
      </c>
      <c r="AH8230">
        <v>44.840817773639998</v>
      </c>
      <c r="AI8230">
        <v>91.415993873835603</v>
      </c>
      <c r="AJ8230">
        <v>91.992717390073295</v>
      </c>
      <c r="AK8230">
        <v>44.8816569294858</v>
      </c>
      <c r="AL8230">
        <v>78.146217311945193</v>
      </c>
      <c r="AM8230">
        <v>89.599127470458896</v>
      </c>
      <c r="AN8230">
        <v>0.99999995260649599</v>
      </c>
    </row>
    <row r="8231" spans="1:40" x14ac:dyDescent="0.25">
      <c r="A8231" t="str">
        <f>"20190312172310498"</f>
        <v>20190312172310498</v>
      </c>
      <c r="B8231" t="str">
        <f>"1552382590488288"</f>
        <v>1552382590488288</v>
      </c>
      <c r="C8231" t="s">
        <v>40</v>
      </c>
      <c r="D8231">
        <v>3.0500120000000002</v>
      </c>
      <c r="E8231">
        <v>0.48391469999999998</v>
      </c>
      <c r="F8231" t="s">
        <v>42</v>
      </c>
      <c r="G8231">
        <v>-189.81630000000001</v>
      </c>
      <c r="H8231" s="1">
        <v>-2.227623E-7</v>
      </c>
      <c r="I8231">
        <v>100.0761</v>
      </c>
      <c r="J8231">
        <v>-188.0513</v>
      </c>
      <c r="K8231">
        <v>1.109073</v>
      </c>
      <c r="L8231">
        <v>56.014800000000001</v>
      </c>
      <c r="M8231">
        <v>-4.1612089999999999E-3</v>
      </c>
      <c r="N8231">
        <v>0</v>
      </c>
      <c r="O8231">
        <v>0.99993909999999997</v>
      </c>
      <c r="P8231">
        <v>1.853801E-3</v>
      </c>
      <c r="Q8231">
        <v>0.19528039999999999</v>
      </c>
      <c r="R8231">
        <v>0.98074570000000005</v>
      </c>
      <c r="S8231">
        <v>-0.12207030000000001</v>
      </c>
      <c r="T8231">
        <v>-7.6636309999999999E-2</v>
      </c>
      <c r="U8231">
        <v>3.0745239999999998</v>
      </c>
      <c r="V8231">
        <v>6.1905349999999996E-3</v>
      </c>
      <c r="W8231">
        <v>0.20528560000000001</v>
      </c>
      <c r="X8231">
        <v>0.97868250000000001</v>
      </c>
      <c r="Y8231">
        <v>-3.550176E-2</v>
      </c>
      <c r="Z8231">
        <v>-2.4900519999999999E-2</v>
      </c>
      <c r="AA8231">
        <v>0.99905940000000004</v>
      </c>
      <c r="AB8231">
        <v>41</v>
      </c>
      <c r="AC8231">
        <v>-1.7650000000000099</v>
      </c>
      <c r="AD8231">
        <v>-1.1090732227622999</v>
      </c>
      <c r="AE8231">
        <v>44.061300000000003</v>
      </c>
      <c r="AF8231">
        <v>-1.5806270009110901</v>
      </c>
      <c r="AG8231">
        <v>-1.1090732227622999</v>
      </c>
      <c r="AH8231">
        <v>44.040404703527003</v>
      </c>
      <c r="AI8231">
        <v>91.441651720700705</v>
      </c>
      <c r="AJ8231">
        <v>92.055485214919898</v>
      </c>
      <c r="AK8231">
        <v>44.082713977021697</v>
      </c>
      <c r="AL8231">
        <v>78.1537813083212</v>
      </c>
      <c r="AM8231">
        <v>89.637587472859195</v>
      </c>
      <c r="AN8231">
        <v>0.99999996804859703</v>
      </c>
    </row>
    <row r="8232" spans="1:40" x14ac:dyDescent="0.25">
      <c r="A8232" t="str">
        <f>"20190312172310521"</f>
        <v>20190312172310521</v>
      </c>
      <c r="B8232" t="str">
        <f>"1552382590518540"</f>
        <v>1552382590518540</v>
      </c>
      <c r="C8232" t="s">
        <v>40</v>
      </c>
      <c r="D8232">
        <v>3.0837349999999999</v>
      </c>
      <c r="E8232">
        <v>0.48395090000000002</v>
      </c>
      <c r="F8232" t="s">
        <v>42</v>
      </c>
      <c r="G8232">
        <v>-189.82480000000001</v>
      </c>
      <c r="H8232" s="1">
        <v>-4.58052E-7</v>
      </c>
      <c r="I8232">
        <v>100.628</v>
      </c>
      <c r="J8232">
        <v>-188.05269999999999</v>
      </c>
      <c r="K8232">
        <v>1.109076</v>
      </c>
      <c r="L8232">
        <v>56.426209999999998</v>
      </c>
      <c r="M8232">
        <v>-3.7090270000000002E-3</v>
      </c>
      <c r="N8232">
        <v>0</v>
      </c>
      <c r="O8232">
        <v>0.99994079999999996</v>
      </c>
      <c r="P8232">
        <v>1.6909259999999999E-3</v>
      </c>
      <c r="Q8232">
        <v>0.19498740000000001</v>
      </c>
      <c r="R8232">
        <v>0.98080429999999996</v>
      </c>
      <c r="S8232">
        <v>-0.1222076</v>
      </c>
      <c r="T8232">
        <v>-7.6427339999999996E-2</v>
      </c>
      <c r="U8232">
        <v>3.074341</v>
      </c>
      <c r="V8232">
        <v>5.5844359999999999E-3</v>
      </c>
      <c r="W8232">
        <v>0.2050051</v>
      </c>
      <c r="X8232">
        <v>0.97874499999999998</v>
      </c>
      <c r="Y8232">
        <v>-3.6000659999999997E-2</v>
      </c>
      <c r="Z8232">
        <v>-2.4833959999999999E-2</v>
      </c>
      <c r="AA8232">
        <v>0.99904320000000002</v>
      </c>
      <c r="AB8232">
        <v>41</v>
      </c>
      <c r="AC8232">
        <v>-1.77210000000002</v>
      </c>
      <c r="AD8232">
        <v>-1.1090764580520001</v>
      </c>
      <c r="AE8232">
        <v>44.201789999999903</v>
      </c>
      <c r="AF8232">
        <v>-1.6071234272968</v>
      </c>
      <c r="AG8232">
        <v>-1.1090764580520001</v>
      </c>
      <c r="AH8232">
        <v>44.1802891373314</v>
      </c>
      <c r="AI8232">
        <v>91.437068046502802</v>
      </c>
      <c r="AJ8232">
        <v>92.083300223673604</v>
      </c>
      <c r="AK8232">
        <v>44.2234196389037</v>
      </c>
      <c r="AL8232">
        <v>78.170202713968806</v>
      </c>
      <c r="AM8232">
        <v>89.673090394673906</v>
      </c>
      <c r="AN8232">
        <v>1.00000002598822</v>
      </c>
    </row>
    <row r="8233" spans="1:40" x14ac:dyDescent="0.25">
      <c r="A8233" t="str">
        <f>"20190312172310541"</f>
        <v>20190312172310541</v>
      </c>
      <c r="B8233" t="str">
        <f>"1552382590538061"</f>
        <v>1552382590538061</v>
      </c>
      <c r="C8233" t="s">
        <v>40</v>
      </c>
      <c r="D8233">
        <v>3.0754030000000001</v>
      </c>
      <c r="E8233">
        <v>0.4839987</v>
      </c>
      <c r="F8233" t="s">
        <v>42</v>
      </c>
      <c r="G8233">
        <v>-189.8152</v>
      </c>
      <c r="H8233" s="1">
        <v>-4.9877429999999899E-7</v>
      </c>
      <c r="I8233">
        <v>100.71899999999999</v>
      </c>
      <c r="J8233">
        <v>-188.0538</v>
      </c>
      <c r="K8233">
        <v>1.109078</v>
      </c>
      <c r="L8233">
        <v>56.808590000000002</v>
      </c>
      <c r="M8233">
        <v>-3.288802E-3</v>
      </c>
      <c r="N8233">
        <v>0</v>
      </c>
      <c r="O8233">
        <v>0.99994209999999994</v>
      </c>
      <c r="P8233">
        <v>1.690172E-3</v>
      </c>
      <c r="Q8233">
        <v>0.19528090000000001</v>
      </c>
      <c r="R8233">
        <v>0.98074589999999995</v>
      </c>
      <c r="S8233">
        <v>-0.1223297</v>
      </c>
      <c r="T8233">
        <v>-7.6977370000000003E-2</v>
      </c>
      <c r="U8233">
        <v>3.0742189999999998</v>
      </c>
      <c r="V8233">
        <v>5.1720739999999996E-3</v>
      </c>
      <c r="W8233">
        <v>0.20530799999999999</v>
      </c>
      <c r="X8233">
        <v>0.97868379999999999</v>
      </c>
      <c r="Y8233">
        <v>-3.6461639999999997E-2</v>
      </c>
      <c r="Z8233">
        <v>-2.5013400000000002E-2</v>
      </c>
      <c r="AA8233">
        <v>0.99902190000000002</v>
      </c>
      <c r="AB8233">
        <v>41</v>
      </c>
      <c r="AC8233">
        <v>-1.7614000000000001</v>
      </c>
      <c r="AD8233">
        <v>-1.1090784987743001</v>
      </c>
      <c r="AE8233">
        <v>43.910409999999899</v>
      </c>
      <c r="AF8233">
        <v>-1.61594100763918</v>
      </c>
      <c r="AG8233">
        <v>-1.1090784987743001</v>
      </c>
      <c r="AH8233">
        <v>43.888012134699999</v>
      </c>
      <c r="AI8233">
        <v>91.446613543829102</v>
      </c>
      <c r="AJ8233">
        <v>92.108657688488705</v>
      </c>
      <c r="AK8233">
        <v>43.9317530903581</v>
      </c>
      <c r="AL8233">
        <v>78.152470969215202</v>
      </c>
      <c r="AM8233">
        <v>89.697210424004496</v>
      </c>
      <c r="AN8233">
        <v>1.00000005279794</v>
      </c>
    </row>
    <row r="8234" spans="1:40" x14ac:dyDescent="0.25">
      <c r="A8234" t="str">
        <f>"20190312172310563"</f>
        <v>20190312172310563</v>
      </c>
      <c r="B8234" t="str">
        <f>"1552382590558557"</f>
        <v>1552382590558557</v>
      </c>
      <c r="C8234" t="s">
        <v>40</v>
      </c>
      <c r="D8234">
        <v>3.085709</v>
      </c>
      <c r="E8234">
        <v>0.48401670000000002</v>
      </c>
      <c r="F8234" t="s">
        <v>42</v>
      </c>
      <c r="G8234">
        <v>-189.82130000000001</v>
      </c>
      <c r="H8234" s="1">
        <v>-8.5275409999999995E-7</v>
      </c>
      <c r="I8234">
        <v>101.5467</v>
      </c>
      <c r="J8234">
        <v>-188.0547</v>
      </c>
      <c r="K8234">
        <v>1.109076</v>
      </c>
      <c r="L8234">
        <v>57.217440000000003</v>
      </c>
      <c r="M8234">
        <v>-2.8398170000000001E-3</v>
      </c>
      <c r="N8234">
        <v>0</v>
      </c>
      <c r="O8234">
        <v>0.99994340000000004</v>
      </c>
      <c r="P8234">
        <v>2.0279429999999999E-3</v>
      </c>
      <c r="Q8234">
        <v>0.19527559999999999</v>
      </c>
      <c r="R8234">
        <v>0.98074629999999996</v>
      </c>
      <c r="S8234">
        <v>-0.121459999999999</v>
      </c>
      <c r="T8234">
        <v>-7.6212879999999997E-2</v>
      </c>
      <c r="U8234">
        <v>3.0742799999999999</v>
      </c>
      <c r="V8234">
        <v>5.0699610000000004E-3</v>
      </c>
      <c r="W8234">
        <v>0.20531260000000001</v>
      </c>
      <c r="X8234">
        <v>0.97868330000000003</v>
      </c>
      <c r="Y8234">
        <v>-3.6627609999999998E-2</v>
      </c>
      <c r="Z8234">
        <v>-2.4764749999999999E-2</v>
      </c>
      <c r="AA8234">
        <v>0.99902210000000002</v>
      </c>
      <c r="AB8234">
        <v>41</v>
      </c>
      <c r="AC8234">
        <v>-1.7666000000000099</v>
      </c>
      <c r="AD8234">
        <v>-1.1090768527541</v>
      </c>
      <c r="AE8234">
        <v>44.329259999999998</v>
      </c>
      <c r="AF8234">
        <v>-1.63967453859668</v>
      </c>
      <c r="AG8234">
        <v>-1.1090768527541</v>
      </c>
      <c r="AH8234">
        <v>44.3064085259454</v>
      </c>
      <c r="AI8234">
        <v>91.432946485695297</v>
      </c>
      <c r="AJ8234">
        <v>92.119412984071303</v>
      </c>
      <c r="AK8234">
        <v>44.350607893531802</v>
      </c>
      <c r="AL8234">
        <v>78.152200856409706</v>
      </c>
      <c r="AM8234">
        <v>89.703188182439604</v>
      </c>
      <c r="AN8234">
        <v>0.99999998496109499</v>
      </c>
    </row>
    <row r="8235" spans="1:40" x14ac:dyDescent="0.25">
      <c r="A8235" t="str">
        <f>"20190312172310586"</f>
        <v>20190312172310586</v>
      </c>
      <c r="B8235" t="str">
        <f>"1552382590578076"</f>
        <v>1552382590578076</v>
      </c>
      <c r="C8235" t="s">
        <v>40</v>
      </c>
      <c r="D8235">
        <v>3.0533540000000001</v>
      </c>
      <c r="E8235">
        <v>0.48405890000000001</v>
      </c>
      <c r="F8235" t="s">
        <v>42</v>
      </c>
      <c r="G8235">
        <v>-189.79040000000001</v>
      </c>
      <c r="H8235" s="1">
        <v>-9.4503960000000003E-7</v>
      </c>
      <c r="I8235">
        <v>101.749</v>
      </c>
      <c r="J8235">
        <v>-188.0556</v>
      </c>
      <c r="K8235">
        <v>1.109075</v>
      </c>
      <c r="L8235">
        <v>57.64743</v>
      </c>
      <c r="M8235">
        <v>-2.3676359999999998E-3</v>
      </c>
      <c r="N8235">
        <v>0</v>
      </c>
      <c r="O8235">
        <v>0.99994459999999996</v>
      </c>
      <c r="P8235">
        <v>2.7379790000000002E-3</v>
      </c>
      <c r="Q8235">
        <v>0.19534679999999999</v>
      </c>
      <c r="R8235">
        <v>0.9807304</v>
      </c>
      <c r="S8235">
        <v>-0.1198273</v>
      </c>
      <c r="T8235">
        <v>-7.6568479999999994E-2</v>
      </c>
      <c r="U8235">
        <v>3.0743710000000002</v>
      </c>
      <c r="V8235">
        <v>5.3173930000000001E-3</v>
      </c>
      <c r="W8235">
        <v>0.20539289999999999</v>
      </c>
      <c r="X8235">
        <v>0.97866520000000001</v>
      </c>
      <c r="Y8235">
        <v>-3.6568499999999997E-2</v>
      </c>
      <c r="Z8235">
        <v>-2.487982E-2</v>
      </c>
      <c r="AA8235">
        <v>0.99902139999999995</v>
      </c>
      <c r="AB8235">
        <v>41</v>
      </c>
      <c r="AC8235">
        <v>-1.7347999999999999</v>
      </c>
      <c r="AD8235">
        <v>-1.1090759450395999</v>
      </c>
      <c r="AE8235">
        <v>44.101569999999903</v>
      </c>
      <c r="AF8235">
        <v>-1.6293443210470699</v>
      </c>
      <c r="AG8235">
        <v>-1.1090759450395999</v>
      </c>
      <c r="AH8235">
        <v>44.077720833659697</v>
      </c>
      <c r="AI8235">
        <v>91.440378967979896</v>
      </c>
      <c r="AJ8235">
        <v>92.116989381528597</v>
      </c>
      <c r="AK8235">
        <v>44.121766581342001</v>
      </c>
      <c r="AL8235">
        <v>78.147500549135501</v>
      </c>
      <c r="AM8235">
        <v>89.688697238870702</v>
      </c>
      <c r="AN8235">
        <v>1.0000000458648799</v>
      </c>
    </row>
    <row r="8236" spans="1:40" x14ac:dyDescent="0.25">
      <c r="A8236" t="str">
        <f>"20190312172310609"</f>
        <v>20190312172310609</v>
      </c>
      <c r="B8236" t="str">
        <f>"1552382590598576"</f>
        <v>1552382590598576</v>
      </c>
      <c r="C8236" t="s">
        <v>40</v>
      </c>
      <c r="D8236">
        <v>2.9935420000000001</v>
      </c>
      <c r="E8236">
        <v>0.48401139999999998</v>
      </c>
      <c r="F8236" t="s">
        <v>42</v>
      </c>
      <c r="G8236">
        <v>-189.7722</v>
      </c>
      <c r="H8236" s="1">
        <v>-1.3157979999999999E-6</v>
      </c>
      <c r="I8236">
        <v>102.6057</v>
      </c>
      <c r="J8236">
        <v>-188.05619999999999</v>
      </c>
      <c r="K8236">
        <v>1.109081</v>
      </c>
      <c r="L8236">
        <v>58.057949999999998</v>
      </c>
      <c r="M8236">
        <v>-1.9171119999999999E-3</v>
      </c>
      <c r="N8236">
        <v>0</v>
      </c>
      <c r="O8236">
        <v>0.99994539999999998</v>
      </c>
      <c r="P8236">
        <v>3.6069309999999999E-3</v>
      </c>
      <c r="Q8236">
        <v>0.195412</v>
      </c>
      <c r="R8236">
        <v>0.98071459999999999</v>
      </c>
      <c r="S8236">
        <v>-0.1173859</v>
      </c>
      <c r="T8236">
        <v>-7.584167E-2</v>
      </c>
      <c r="U8236">
        <v>3.0743710000000002</v>
      </c>
      <c r="V8236">
        <v>5.7449869999999896E-3</v>
      </c>
      <c r="W8236">
        <v>0.2054666</v>
      </c>
      <c r="X8236">
        <v>0.97864720000000005</v>
      </c>
      <c r="Y8236">
        <v>-3.6226790000000002E-2</v>
      </c>
      <c r="Z8236">
        <v>-2.4644360000000001E-2</v>
      </c>
      <c r="AA8236">
        <v>0.99903960000000003</v>
      </c>
      <c r="AB8236">
        <v>41</v>
      </c>
      <c r="AC8236">
        <v>-1.716</v>
      </c>
      <c r="AD8236">
        <v>-1.1090823157980001</v>
      </c>
      <c r="AE8236">
        <v>44.547750000000001</v>
      </c>
      <c r="AF8236">
        <v>-1.6295807394127</v>
      </c>
      <c r="AG8236">
        <v>-1.1090823157980001</v>
      </c>
      <c r="AH8236">
        <v>44.5234017966566</v>
      </c>
      <c r="AI8236">
        <v>91.425993986133804</v>
      </c>
      <c r="AJ8236">
        <v>92.096121062025603</v>
      </c>
      <c r="AK8236">
        <v>44.567015880761097</v>
      </c>
      <c r="AL8236">
        <v>78.143184495740101</v>
      </c>
      <c r="AM8236">
        <v>89.663658438451804</v>
      </c>
      <c r="AN8236">
        <v>0.99999993532951303</v>
      </c>
    </row>
    <row r="8237" spans="1:40" x14ac:dyDescent="0.25">
      <c r="A8237" t="str">
        <f>"20190312172310721"</f>
        <v>20190312172310721</v>
      </c>
      <c r="B8237" t="str">
        <f>"1552382590718622"</f>
        <v>1552382590718622</v>
      </c>
      <c r="C8237" t="s">
        <v>40</v>
      </c>
      <c r="D8237">
        <v>3.4227650000000001</v>
      </c>
      <c r="E8237">
        <v>0.46622520000000001</v>
      </c>
      <c r="F8237" t="s">
        <v>42</v>
      </c>
      <c r="G8237">
        <v>-189.7388</v>
      </c>
      <c r="H8237" s="1">
        <v>-1.5187219999999999E-6</v>
      </c>
      <c r="I8237">
        <v>103.065</v>
      </c>
      <c r="J8237">
        <v>-188.0564</v>
      </c>
      <c r="K8237">
        <v>1.1090770000000001</v>
      </c>
      <c r="L8237">
        <v>60.124360000000003</v>
      </c>
      <c r="M8237">
        <v>3.4962980000000001E-4</v>
      </c>
      <c r="N8237">
        <v>0</v>
      </c>
      <c r="O8237">
        <v>0.99994680000000002</v>
      </c>
      <c r="P8237">
        <v>4.4630909999999998E-3</v>
      </c>
      <c r="Q8237">
        <v>0.19463159999999999</v>
      </c>
      <c r="R8237">
        <v>0.98086629999999997</v>
      </c>
      <c r="S8237">
        <v>-0.11494450000000001</v>
      </c>
      <c r="T8237">
        <v>-7.5762990000000002E-2</v>
      </c>
      <c r="U8237">
        <v>3.0744929999999999</v>
      </c>
      <c r="V8237">
        <v>4.3789579999999996E-3</v>
      </c>
      <c r="W8237">
        <v>0.20472879999999999</v>
      </c>
      <c r="X8237">
        <v>0.97880889999999998</v>
      </c>
      <c r="Y8237">
        <v>-3.7698450000000001E-2</v>
      </c>
      <c r="Z8237">
        <v>-2.46176E-2</v>
      </c>
      <c r="AA8237">
        <v>0.99898589999999998</v>
      </c>
      <c r="AB8237">
        <v>41</v>
      </c>
      <c r="AC8237">
        <v>-1.6823999999999999</v>
      </c>
      <c r="AD8237">
        <v>-1.109078518722</v>
      </c>
      <c r="AE8237">
        <v>42.940640000000002</v>
      </c>
      <c r="AF8237">
        <v>-1.6962841743699499</v>
      </c>
      <c r="AG8237">
        <v>-1.109078518722</v>
      </c>
      <c r="AH8237">
        <v>42.911466984760203</v>
      </c>
      <c r="AI8237">
        <v>91.479367210101699</v>
      </c>
      <c r="AJ8237">
        <v>92.263715388398495</v>
      </c>
      <c r="AK8237">
        <v>42.959299737601299</v>
      </c>
      <c r="AL8237">
        <v>78.186375794541803</v>
      </c>
      <c r="AM8237">
        <v>89.743674032561501</v>
      </c>
      <c r="AN8237">
        <v>0.99999995977090705</v>
      </c>
    </row>
    <row r="8238" spans="1:40" x14ac:dyDescent="0.25">
      <c r="A8238" t="str">
        <f>"20190312172310743"</f>
        <v>20190312172310743</v>
      </c>
      <c r="B8238" t="str">
        <f>"1552382590738141"</f>
        <v>1552382590738141</v>
      </c>
      <c r="C8238" t="s">
        <v>40</v>
      </c>
      <c r="D8238">
        <v>3.0657429999999999</v>
      </c>
      <c r="E8238">
        <v>0.47324860000000002</v>
      </c>
      <c r="F8238" t="s">
        <v>41</v>
      </c>
      <c r="G8238">
        <v>-188.1397</v>
      </c>
      <c r="H8238">
        <v>0.95764819999999995</v>
      </c>
      <c r="I8238">
        <v>61.172199999999997</v>
      </c>
      <c r="J8238">
        <v>-188.05600000000001</v>
      </c>
      <c r="K8238">
        <v>1.1090770000000001</v>
      </c>
      <c r="L8238">
        <v>60.52026</v>
      </c>
      <c r="M8238">
        <v>7.8352949999999999E-4</v>
      </c>
      <c r="N8238">
        <v>0</v>
      </c>
      <c r="O8238">
        <v>0.99994649999999996</v>
      </c>
      <c r="P8238">
        <v>4.3993469999999996E-3</v>
      </c>
      <c r="Q8238">
        <v>0.19510530000000001</v>
      </c>
      <c r="R8238">
        <v>0.98077239999999999</v>
      </c>
      <c r="S8238">
        <v>-0.2507935</v>
      </c>
      <c r="T8238">
        <v>-0.45522200000000002</v>
      </c>
      <c r="U8238">
        <v>3.149994</v>
      </c>
      <c r="V8238">
        <v>3.8906520000000001E-3</v>
      </c>
      <c r="W8238">
        <v>0.205209</v>
      </c>
      <c r="X8238">
        <v>0.97871039999999998</v>
      </c>
      <c r="Y8238">
        <v>-7.9336139999999999E-2</v>
      </c>
      <c r="Z8238">
        <v>-0.14258289999999901</v>
      </c>
      <c r="AA8238">
        <v>0.98659810000000003</v>
      </c>
      <c r="AB8238">
        <v>41</v>
      </c>
      <c r="AC8238">
        <v>-8.3700000000021604E-2</v>
      </c>
      <c r="AD8238">
        <v>-0.1514288</v>
      </c>
      <c r="AE8238">
        <v>0.65193999999999597</v>
      </c>
      <c r="AF8238">
        <v>-7.9966481408956999E-2</v>
      </c>
      <c r="AG8238">
        <v>-0.1514288</v>
      </c>
      <c r="AH8238">
        <v>0.61901890935830395</v>
      </c>
      <c r="AI8238">
        <v>103.637106842508</v>
      </c>
      <c r="AJ8238">
        <v>97.360852930667505</v>
      </c>
      <c r="AK8238">
        <v>0.64226920349765504</v>
      </c>
      <c r="AL8238">
        <v>78.158265526696695</v>
      </c>
      <c r="AM8238">
        <v>89.772234192140502</v>
      </c>
      <c r="AN8238">
        <v>0.99999995896107097</v>
      </c>
    </row>
    <row r="8239" spans="1:40" x14ac:dyDescent="0.25">
      <c r="A8239" t="str">
        <f>"20190312172310765"</f>
        <v>20190312172310765</v>
      </c>
      <c r="B8239" t="str">
        <f>"1552382590758637"</f>
        <v>1552382590758637</v>
      </c>
      <c r="C8239" t="s">
        <v>40</v>
      </c>
      <c r="D8239">
        <v>3.0110589999999999</v>
      </c>
      <c r="E8239">
        <v>0.4770182</v>
      </c>
      <c r="F8239" t="s">
        <v>41</v>
      </c>
      <c r="G8239">
        <v>-188.12200000000001</v>
      </c>
      <c r="H8239">
        <v>0.99883480000000002</v>
      </c>
      <c r="I8239">
        <v>61.574260000000002</v>
      </c>
      <c r="J8239">
        <v>-188.05520000000001</v>
      </c>
      <c r="K8239">
        <v>1.1090739999999999</v>
      </c>
      <c r="L8239">
        <v>60.947200000000002</v>
      </c>
      <c r="M8239">
        <v>1.2511550000000001E-3</v>
      </c>
      <c r="N8239">
        <v>0</v>
      </c>
      <c r="O8239">
        <v>0.99994590000000005</v>
      </c>
      <c r="P8239">
        <v>4.4399449999999998E-3</v>
      </c>
      <c r="Q8239">
        <v>0.1948213</v>
      </c>
      <c r="R8239">
        <v>0.9808287</v>
      </c>
      <c r="S8239">
        <v>-0.1961823</v>
      </c>
      <c r="T8239">
        <v>-0.32683719999999999</v>
      </c>
      <c r="U8239">
        <v>3.124695</v>
      </c>
      <c r="V8239">
        <v>3.4726420000000002E-3</v>
      </c>
      <c r="W8239">
        <v>0.20493320000000001</v>
      </c>
      <c r="X8239">
        <v>0.97876980000000002</v>
      </c>
      <c r="Y8239">
        <v>-6.3571139999999998E-2</v>
      </c>
      <c r="Z8239">
        <v>-0.1038241</v>
      </c>
      <c r="AA8239">
        <v>0.99256200000000006</v>
      </c>
      <c r="AB8239">
        <v>41</v>
      </c>
      <c r="AC8239">
        <v>-6.6800000000000595E-2</v>
      </c>
      <c r="AD8239">
        <v>-0.110239199999999</v>
      </c>
      <c r="AE8239">
        <v>0.62705999999999296</v>
      </c>
      <c r="AF8239">
        <v>-6.5580402764088594E-2</v>
      </c>
      <c r="AG8239">
        <v>-0.110239199999999</v>
      </c>
      <c r="AH8239">
        <v>0.60838373070847995</v>
      </c>
      <c r="AI8239">
        <v>100.212656504425</v>
      </c>
      <c r="AJ8239">
        <v>96.152412046635206</v>
      </c>
      <c r="AK8239">
        <v>0.62175898403972296</v>
      </c>
      <c r="AL8239">
        <v>78.174411313369703</v>
      </c>
      <c r="AM8239">
        <v>89.796717373693596</v>
      </c>
      <c r="AN8239">
        <v>0.99999999854836996</v>
      </c>
    </row>
    <row r="8240" spans="1:40" x14ac:dyDescent="0.25">
      <c r="A8240" t="str">
        <f>"20190312172310787"</f>
        <v>20190312172310787</v>
      </c>
      <c r="B8240" t="str">
        <f>"1552382590778157"</f>
        <v>1552382590778157</v>
      </c>
      <c r="C8240" t="s">
        <v>40</v>
      </c>
      <c r="D8240">
        <v>3.0219179999999999</v>
      </c>
      <c r="E8240">
        <v>0.47876920000000001</v>
      </c>
      <c r="F8240" t="s">
        <v>42</v>
      </c>
      <c r="G8240">
        <v>-188.8304</v>
      </c>
      <c r="H8240" s="1">
        <v>-2.6725010000000001E-6</v>
      </c>
      <c r="I8240">
        <v>75.378839999999997</v>
      </c>
      <c r="J8240">
        <v>-188.05430000000001</v>
      </c>
      <c r="K8240">
        <v>1.1090709999999999</v>
      </c>
      <c r="L8240">
        <v>61.360169999999997</v>
      </c>
      <c r="M8240">
        <v>1.703563E-3</v>
      </c>
      <c r="N8240">
        <v>0</v>
      </c>
      <c r="O8240">
        <v>0.99994519999999998</v>
      </c>
      <c r="P8240">
        <v>4.4799369999999998E-3</v>
      </c>
      <c r="Q8240">
        <v>0.19486129999999999</v>
      </c>
      <c r="R8240">
        <v>0.98082060000000004</v>
      </c>
      <c r="S8240">
        <v>-0.16688539999999999</v>
      </c>
      <c r="T8240">
        <v>-0.23875979999999999</v>
      </c>
      <c r="U8240">
        <v>3.1068120000000001</v>
      </c>
      <c r="V8240">
        <v>3.069296E-3</v>
      </c>
      <c r="W8240">
        <v>0.20498079999999999</v>
      </c>
      <c r="X8240">
        <v>0.9787612</v>
      </c>
      <c r="Y8240">
        <v>-5.518253E-2</v>
      </c>
      <c r="Z8240">
        <v>-7.6511099999999999E-2</v>
      </c>
      <c r="AA8240">
        <v>0.99554050000000005</v>
      </c>
      <c r="AB8240">
        <v>41</v>
      </c>
      <c r="AC8240">
        <v>-0.77609999999998502</v>
      </c>
      <c r="AD8240">
        <v>-1.109073672501</v>
      </c>
      <c r="AE8240">
        <v>14.01867</v>
      </c>
      <c r="AF8240">
        <v>-0.79502097839247599</v>
      </c>
      <c r="AG8240">
        <v>-1.109073672501</v>
      </c>
      <c r="AH8240">
        <v>13.930403030705101</v>
      </c>
      <c r="AI8240">
        <v>94.544656830529703</v>
      </c>
      <c r="AJ8240">
        <v>93.266379878434904</v>
      </c>
      <c r="AK8240">
        <v>13.9970793869649</v>
      </c>
      <c r="AL8240">
        <v>78.171625111866803</v>
      </c>
      <c r="AM8240">
        <v>89.820326826986602</v>
      </c>
      <c r="AN8240">
        <v>1.000000017786</v>
      </c>
    </row>
    <row r="8241" spans="1:40" x14ac:dyDescent="0.25">
      <c r="A8241" t="str">
        <f>"20190312172310810"</f>
        <v>20190312172310810</v>
      </c>
      <c r="B8241" t="str">
        <f>"1552382590798653"</f>
        <v>1552382590798653</v>
      </c>
      <c r="C8241" t="s">
        <v>40</v>
      </c>
      <c r="D8241">
        <v>3.0546720000000001</v>
      </c>
      <c r="E8241">
        <v>0.47978910000000002</v>
      </c>
      <c r="F8241" t="s">
        <v>42</v>
      </c>
      <c r="G8241">
        <v>-188.9564</v>
      </c>
      <c r="H8241" s="1">
        <v>-2.9059959999999899E-7</v>
      </c>
      <c r="I8241">
        <v>79.686019999999999</v>
      </c>
      <c r="J8241">
        <v>-188.05330000000001</v>
      </c>
      <c r="K8241">
        <v>1.1090709999999999</v>
      </c>
      <c r="L8241">
        <v>61.782170000000001</v>
      </c>
      <c r="M8241">
        <v>2.1658860000000001E-3</v>
      </c>
      <c r="N8241">
        <v>0</v>
      </c>
      <c r="O8241">
        <v>0.99994419999999995</v>
      </c>
      <c r="P8241">
        <v>4.7220639999999998E-3</v>
      </c>
      <c r="Q8241">
        <v>0.1948626</v>
      </c>
      <c r="R8241">
        <v>0.9808192</v>
      </c>
      <c r="S8241">
        <v>-0.15242</v>
      </c>
      <c r="T8241">
        <v>-0.18740399999999999</v>
      </c>
      <c r="U8241">
        <v>3.0965880000000001</v>
      </c>
      <c r="V8241">
        <v>2.8582820000000002E-3</v>
      </c>
      <c r="W8241">
        <v>0.20498920000000001</v>
      </c>
      <c r="X8241">
        <v>0.97876010000000002</v>
      </c>
      <c r="Y8241">
        <v>-5.1236129999999998E-2</v>
      </c>
      <c r="Z8241">
        <v>-6.0332709999999998E-2</v>
      </c>
      <c r="AA8241">
        <v>0.99686249999999998</v>
      </c>
      <c r="AB8241">
        <v>42</v>
      </c>
      <c r="AC8241">
        <v>-0.90309999999999402</v>
      </c>
      <c r="AD8241">
        <v>-1.1090712905996001</v>
      </c>
      <c r="AE8241">
        <v>17.903849999999998</v>
      </c>
      <c r="AF8241">
        <v>-0.93828630161631099</v>
      </c>
      <c r="AG8241">
        <v>-1.1090712905996001</v>
      </c>
      <c r="AH8241">
        <v>17.8335926670944</v>
      </c>
      <c r="AI8241">
        <v>93.553739315573793</v>
      </c>
      <c r="AJ8241">
        <v>93.011749947914197</v>
      </c>
      <c r="AK8241">
        <v>17.8926646346283</v>
      </c>
      <c r="AL8241">
        <v>78.171133623609094</v>
      </c>
      <c r="AM8241">
        <v>89.832679090910005</v>
      </c>
      <c r="AN8241">
        <v>1.0000000376223199</v>
      </c>
    </row>
    <row r="8242" spans="1:40" x14ac:dyDescent="0.25">
      <c r="A8242" t="str">
        <f>"20190312172310831"</f>
        <v>20190312172310831</v>
      </c>
      <c r="B8242" t="str">
        <f>"1552382590828118"</f>
        <v>1552382590828118</v>
      </c>
      <c r="C8242" t="s">
        <v>40</v>
      </c>
      <c r="D8242">
        <v>3.079469</v>
      </c>
      <c r="E8242">
        <v>0.4808944</v>
      </c>
      <c r="F8242" t="s">
        <v>42</v>
      </c>
      <c r="G8242">
        <v>-189.05410000000001</v>
      </c>
      <c r="H8242" s="1">
        <v>-1.7296149999999999E-6</v>
      </c>
      <c r="I8242">
        <v>83.273430000000005</v>
      </c>
      <c r="J8242">
        <v>-188.05199999999999</v>
      </c>
      <c r="K8242">
        <v>1.1090660000000001</v>
      </c>
      <c r="L8242">
        <v>62.172789999999999</v>
      </c>
      <c r="M8242">
        <v>2.5935730000000001E-3</v>
      </c>
      <c r="N8242">
        <v>0</v>
      </c>
      <c r="O8242">
        <v>0.99994309999999997</v>
      </c>
      <c r="P8242">
        <v>5.2625679999999996E-3</v>
      </c>
      <c r="Q8242">
        <v>0.19455339999999999</v>
      </c>
      <c r="R8242">
        <v>0.98087780000000002</v>
      </c>
      <c r="S8242">
        <v>-0.14395139999999901</v>
      </c>
      <c r="T8242">
        <v>-0.15951660000000001</v>
      </c>
      <c r="U8242">
        <v>3.0910639999999998</v>
      </c>
      <c r="V8242">
        <v>2.9789959999999998E-3</v>
      </c>
      <c r="W8242">
        <v>0.20468629999999999</v>
      </c>
      <c r="X8242">
        <v>0.97882309999999995</v>
      </c>
      <c r="Y8242">
        <v>-4.904882E-2</v>
      </c>
      <c r="Z8242">
        <v>-5.1478049999999997E-2</v>
      </c>
      <c r="AA8242">
        <v>0.99746889999999999</v>
      </c>
      <c r="AB8242">
        <v>42</v>
      </c>
      <c r="AC8242">
        <v>-1.00209999999998</v>
      </c>
      <c r="AD8242">
        <v>-1.10906772961499</v>
      </c>
      <c r="AE8242">
        <v>21.100639999999999</v>
      </c>
      <c r="AF8242">
        <v>-1.05392055460541</v>
      </c>
      <c r="AG8242">
        <v>-1.10906772961499</v>
      </c>
      <c r="AH8242">
        <v>21.039974715890299</v>
      </c>
      <c r="AI8242">
        <v>93.0136343773775</v>
      </c>
      <c r="AJ8242">
        <v>92.867625622707607</v>
      </c>
      <c r="AK8242">
        <v>21.0955283368205</v>
      </c>
      <c r="AL8242">
        <v>78.188864131329893</v>
      </c>
      <c r="AM8242">
        <v>89.825623883417805</v>
      </c>
      <c r="AN8242">
        <v>1.00000000845923</v>
      </c>
    </row>
    <row r="8243" spans="1:40" x14ac:dyDescent="0.25">
      <c r="A8243" t="str">
        <f>"20190312172310843"</f>
        <v>20190312172310843</v>
      </c>
      <c r="B8243" t="str">
        <f>"1552382590838854"</f>
        <v>1552382590838854</v>
      </c>
      <c r="C8243" t="s">
        <v>40</v>
      </c>
      <c r="D8243">
        <v>3.0884670000000001</v>
      </c>
      <c r="E8243">
        <v>0.48123369999999999</v>
      </c>
      <c r="F8243" t="s">
        <v>42</v>
      </c>
      <c r="G8243">
        <v>-189.1455</v>
      </c>
      <c r="H8243" s="1">
        <v>-3.528018E-6</v>
      </c>
      <c r="I8243">
        <v>87.503330000000005</v>
      </c>
      <c r="J8243">
        <v>-188.0513</v>
      </c>
      <c r="K8243">
        <v>1.1090660000000001</v>
      </c>
      <c r="L8243">
        <v>62.404169999999901</v>
      </c>
      <c r="M8243">
        <v>2.8467420000000002E-3</v>
      </c>
      <c r="N8243">
        <v>0</v>
      </c>
      <c r="O8243">
        <v>0.99994240000000001</v>
      </c>
      <c r="P8243">
        <v>5.3186099999999997E-3</v>
      </c>
      <c r="Q8243">
        <v>0.19433010000000001</v>
      </c>
      <c r="R8243">
        <v>0.98092179999999995</v>
      </c>
      <c r="S8243">
        <v>-0.1332092</v>
      </c>
      <c r="T8243">
        <v>-0.13511709999999999</v>
      </c>
      <c r="U8243">
        <v>3.0859990000000002</v>
      </c>
      <c r="V8243">
        <v>2.7864040000000001E-3</v>
      </c>
      <c r="W8243">
        <v>0.20446780000000001</v>
      </c>
      <c r="X8243">
        <v>0.97886930000000005</v>
      </c>
      <c r="Y8243">
        <v>-4.5928410000000003E-2</v>
      </c>
      <c r="Z8243">
        <v>-4.3698340000000002E-2</v>
      </c>
      <c r="AA8243">
        <v>0.99798849999999995</v>
      </c>
      <c r="AB8243">
        <v>42</v>
      </c>
      <c r="AC8243">
        <v>-1.0942000000000001</v>
      </c>
      <c r="AD8243">
        <v>-1.1090695280180001</v>
      </c>
      <c r="AE8243">
        <v>25.099160000000001</v>
      </c>
      <c r="AF8243">
        <v>-1.1633829861851399</v>
      </c>
      <c r="AG8243">
        <v>-1.1090695280180001</v>
      </c>
      <c r="AH8243">
        <v>25.047130548123601</v>
      </c>
      <c r="AI8243">
        <v>92.532634247484097</v>
      </c>
      <c r="AJ8243">
        <v>92.659349014116202</v>
      </c>
      <c r="AK8243">
        <v>25.098650240307101</v>
      </c>
      <c r="AL8243">
        <v>78.201653363783294</v>
      </c>
      <c r="AM8243">
        <v>89.836904928967499</v>
      </c>
      <c r="AN8243">
        <v>0.99999997588329004</v>
      </c>
    </row>
    <row r="8244" spans="1:40" x14ac:dyDescent="0.25">
      <c r="A8244" t="str">
        <f>"20190312172310857"</f>
        <v>20190312172310857</v>
      </c>
      <c r="B8244" t="str">
        <f>"1552382590848614"</f>
        <v>1552382590848614</v>
      </c>
      <c r="C8244" t="s">
        <v>40</v>
      </c>
      <c r="D8244">
        <v>3.0747800000000001</v>
      </c>
      <c r="E8244">
        <v>0.4815218</v>
      </c>
      <c r="F8244" t="s">
        <v>42</v>
      </c>
      <c r="G8244">
        <v>-189.16220000000001</v>
      </c>
      <c r="H8244" s="1">
        <v>-4.0349180000000002E-6</v>
      </c>
      <c r="I8244">
        <v>88.691859999999906</v>
      </c>
      <c r="J8244">
        <v>-188.05029999999999</v>
      </c>
      <c r="K8244">
        <v>1.1090660000000001</v>
      </c>
      <c r="L8244">
        <v>62.663789999999999</v>
      </c>
      <c r="M8244">
        <v>3.1304470000000002E-3</v>
      </c>
      <c r="N8244">
        <v>0</v>
      </c>
      <c r="O8244">
        <v>0.99994150000000004</v>
      </c>
      <c r="P8244">
        <v>5.6569430000000002E-3</v>
      </c>
      <c r="Q8244">
        <v>0.1943695</v>
      </c>
      <c r="R8244">
        <v>0.98091209999999995</v>
      </c>
      <c r="S8244">
        <v>-0.13037109999999999</v>
      </c>
      <c r="T8244">
        <v>-0.1301485</v>
      </c>
      <c r="U8244">
        <v>3.0848390000000001</v>
      </c>
      <c r="V8244">
        <v>2.8466440000000002E-3</v>
      </c>
      <c r="W8244">
        <v>0.20451079999999999</v>
      </c>
      <c r="X8244">
        <v>0.97886010000000001</v>
      </c>
      <c r="Y8244">
        <v>-4.5314350000000003E-2</v>
      </c>
      <c r="Z8244">
        <v>-4.2111509999999998E-2</v>
      </c>
      <c r="AA8244">
        <v>0.99808479999999999</v>
      </c>
      <c r="AB8244">
        <v>42</v>
      </c>
      <c r="AC8244">
        <v>-1.1119000000000201</v>
      </c>
      <c r="AD8244">
        <v>-1.1090700349179901</v>
      </c>
      <c r="AE8244">
        <v>26.0280699999999</v>
      </c>
      <c r="AF8244">
        <v>-1.19121950525598</v>
      </c>
      <c r="AG8244">
        <v>-1.1090700349179901</v>
      </c>
      <c r="AH8244">
        <v>25.977381403576899</v>
      </c>
      <c r="AI8244">
        <v>92.442119951158602</v>
      </c>
      <c r="AJ8244">
        <v>92.625517556947401</v>
      </c>
      <c r="AK8244">
        <v>26.028318901514901</v>
      </c>
      <c r="AL8244">
        <v>78.199135947086901</v>
      </c>
      <c r="AM8244">
        <v>89.833377387444301</v>
      </c>
      <c r="AN8244">
        <v>0.99999993303535395</v>
      </c>
    </row>
    <row r="8245" spans="1:40" x14ac:dyDescent="0.25">
      <c r="A8245" t="str">
        <f>"20190312172310872"</f>
        <v>20190312172310872</v>
      </c>
      <c r="B8245" t="str">
        <f>"1552382590868135"</f>
        <v>1552382590868135</v>
      </c>
      <c r="C8245" t="s">
        <v>40</v>
      </c>
      <c r="D8245">
        <v>3.0739339999999999</v>
      </c>
      <c r="E8245">
        <v>0.4819329</v>
      </c>
      <c r="F8245" t="s">
        <v>42</v>
      </c>
      <c r="G8245">
        <v>-189.1773</v>
      </c>
      <c r="H8245" s="1">
        <v>-3.5417E-7</v>
      </c>
      <c r="I8245">
        <v>90.045550000000006</v>
      </c>
      <c r="J8245">
        <v>-188.04929999999999</v>
      </c>
      <c r="K8245">
        <v>1.1090679999999999</v>
      </c>
      <c r="L8245">
        <v>62.920529999999999</v>
      </c>
      <c r="M8245">
        <v>3.4108319999999999E-3</v>
      </c>
      <c r="N8245">
        <v>0</v>
      </c>
      <c r="O8245">
        <v>0.99994059999999996</v>
      </c>
      <c r="P8245">
        <v>6.0194819999999996E-3</v>
      </c>
      <c r="Q8245">
        <v>0.19430929999999999</v>
      </c>
      <c r="R8245">
        <v>0.98092190000000001</v>
      </c>
      <c r="S8245">
        <v>-0.1269226</v>
      </c>
      <c r="T8245">
        <v>-0.124908199999999</v>
      </c>
      <c r="U8245">
        <v>3.0838619999999999</v>
      </c>
      <c r="V8245">
        <v>2.9341089999999998E-3</v>
      </c>
      <c r="W8245">
        <v>0.20445479999999999</v>
      </c>
      <c r="X8245">
        <v>0.97887159999999995</v>
      </c>
      <c r="Y8245">
        <v>-4.4496479999999998E-2</v>
      </c>
      <c r="Z8245">
        <v>-4.0433160000000003E-2</v>
      </c>
      <c r="AA8245">
        <v>0.99819100000000005</v>
      </c>
      <c r="AB8245">
        <v>42</v>
      </c>
      <c r="AC8245">
        <v>-1.1280000000000101</v>
      </c>
      <c r="AD8245">
        <v>-1.1090683541699999</v>
      </c>
      <c r="AE8245">
        <v>27.125019999999999</v>
      </c>
      <c r="AF8245">
        <v>-1.21848377388263</v>
      </c>
      <c r="AG8245">
        <v>-1.1090683541699999</v>
      </c>
      <c r="AH8245">
        <v>27.0758281634083</v>
      </c>
      <c r="AI8245">
        <v>92.343244679341197</v>
      </c>
      <c r="AJ8245">
        <v>92.576722841056693</v>
      </c>
      <c r="AK8245">
        <v>27.1259139211171</v>
      </c>
      <c r="AL8245">
        <v>78.202414473666195</v>
      </c>
      <c r="AM8245">
        <v>89.828259846482197</v>
      </c>
      <c r="AN8245">
        <v>0.99999999176261101</v>
      </c>
    </row>
    <row r="8246" spans="1:40" x14ac:dyDescent="0.25">
      <c r="A8246" t="str">
        <f>"20190312172310888"</f>
        <v>20190312172310888</v>
      </c>
      <c r="B8246" t="str">
        <f>"1552382590878870"</f>
        <v>1552382590878870</v>
      </c>
      <c r="C8246" t="s">
        <v>40</v>
      </c>
      <c r="D8246">
        <v>3.0754640000000002</v>
      </c>
      <c r="E8246">
        <v>0.48213729999999999</v>
      </c>
      <c r="F8246" t="s">
        <v>42</v>
      </c>
      <c r="G8246">
        <v>-189.2133</v>
      </c>
      <c r="H8246" s="1">
        <v>-1.2256679999999999E-6</v>
      </c>
      <c r="I8246">
        <v>92.164540000000002</v>
      </c>
      <c r="J8246">
        <v>-188.0479</v>
      </c>
      <c r="K8246">
        <v>1.1090660000000001</v>
      </c>
      <c r="L8246">
        <v>63.249110000000002</v>
      </c>
      <c r="M8246">
        <v>3.7693940000000001E-3</v>
      </c>
      <c r="N8246">
        <v>0</v>
      </c>
      <c r="O8246">
        <v>0.99993920000000003</v>
      </c>
      <c r="P8246">
        <v>6.7940989999999996E-3</v>
      </c>
      <c r="Q8246">
        <v>0.19408420000000001</v>
      </c>
      <c r="R8246">
        <v>0.98096130000000004</v>
      </c>
      <c r="S8246">
        <v>-0.1226807</v>
      </c>
      <c r="T8246">
        <v>-0.1168942</v>
      </c>
      <c r="U8246">
        <v>3.0822750000000001</v>
      </c>
      <c r="V8246">
        <v>3.356679E-3</v>
      </c>
      <c r="W8246">
        <v>0.20423450000000001</v>
      </c>
      <c r="X8246">
        <v>0.97891620000000001</v>
      </c>
      <c r="Y8246">
        <v>-4.35083E-2</v>
      </c>
      <c r="Z8246">
        <v>-3.7864099999999998E-2</v>
      </c>
      <c r="AA8246">
        <v>0.99833530000000004</v>
      </c>
      <c r="AB8246">
        <v>42</v>
      </c>
      <c r="AC8246">
        <v>-1.1654</v>
      </c>
      <c r="AD8246">
        <v>-1.1090672256680001</v>
      </c>
      <c r="AE8246">
        <v>28.915430000000001</v>
      </c>
      <c r="AF8246">
        <v>-1.2725221882898701</v>
      </c>
      <c r="AG8246">
        <v>-1.1090672256680001</v>
      </c>
      <c r="AH8246">
        <v>28.868430604631701</v>
      </c>
      <c r="AI8246">
        <v>92.197974735551796</v>
      </c>
      <c r="AJ8246">
        <v>92.523967581333693</v>
      </c>
      <c r="AK8246">
        <v>28.917738991926299</v>
      </c>
      <c r="AL8246">
        <v>78.215308467147295</v>
      </c>
      <c r="AM8246">
        <v>89.803534984798603</v>
      </c>
      <c r="AN8246">
        <v>0.99999996245329803</v>
      </c>
    </row>
    <row r="8247" spans="1:40" x14ac:dyDescent="0.25">
      <c r="A8247" t="str">
        <f>"20190312172310912"</f>
        <v>20190312172310912</v>
      </c>
      <c r="B8247" t="str">
        <f>"1552382590908150"</f>
        <v>1552382590908150</v>
      </c>
      <c r="C8247" t="s">
        <v>40</v>
      </c>
      <c r="D8247">
        <v>3.0791499999999998</v>
      </c>
      <c r="E8247">
        <v>0.4825352</v>
      </c>
      <c r="F8247" t="s">
        <v>42</v>
      </c>
      <c r="G8247">
        <v>-189.19980000000001</v>
      </c>
      <c r="H8247" s="1">
        <v>-1.652391E-6</v>
      </c>
      <c r="I8247">
        <v>93.153660000000002</v>
      </c>
      <c r="J8247">
        <v>-188.04599999999999</v>
      </c>
      <c r="K8247">
        <v>1.109059</v>
      </c>
      <c r="L8247">
        <v>63.672550000000001</v>
      </c>
      <c r="M8247">
        <v>4.2307300000000003E-3</v>
      </c>
      <c r="N8247">
        <v>0</v>
      </c>
      <c r="O8247">
        <v>0.99993730000000003</v>
      </c>
      <c r="P8247">
        <v>7.1635669999999896E-3</v>
      </c>
      <c r="Q8247">
        <v>0.1936283</v>
      </c>
      <c r="R8247">
        <v>0.98104880000000005</v>
      </c>
      <c r="S8247">
        <v>-0.1186981</v>
      </c>
      <c r="T8247">
        <v>-0.11428960000000001</v>
      </c>
      <c r="U8247">
        <v>3.0816650000000001</v>
      </c>
      <c r="V8247">
        <v>3.2728879999999998E-3</v>
      </c>
      <c r="W8247">
        <v>0.2037863</v>
      </c>
      <c r="X8247">
        <v>0.97900989999999999</v>
      </c>
      <c r="Y8247">
        <v>-4.2690060000000002E-2</v>
      </c>
      <c r="Z8247">
        <v>-3.7030380000000002E-2</v>
      </c>
      <c r="AA8247">
        <v>0.99840189999999995</v>
      </c>
      <c r="AB8247">
        <v>42</v>
      </c>
      <c r="AC8247">
        <v>-1.1538000000000099</v>
      </c>
      <c r="AD8247">
        <v>-1.109060652391</v>
      </c>
      <c r="AE8247">
        <v>29.481109999999902</v>
      </c>
      <c r="AF8247">
        <v>-1.27671892318754</v>
      </c>
      <c r="AG8247">
        <v>-1.109060652391</v>
      </c>
      <c r="AH8247">
        <v>29.4343721425147</v>
      </c>
      <c r="AI8247">
        <v>92.155807525853803</v>
      </c>
      <c r="AJ8247">
        <v>92.483653536512094</v>
      </c>
      <c r="AK8247">
        <v>29.482915224983302</v>
      </c>
      <c r="AL8247">
        <v>78.241540284563598</v>
      </c>
      <c r="AM8247">
        <v>89.808457533844603</v>
      </c>
      <c r="AN8247">
        <v>0.99999997608077995</v>
      </c>
    </row>
    <row r="8248" spans="1:40" x14ac:dyDescent="0.25">
      <c r="A8248" t="str">
        <f>"20190312172310936"</f>
        <v>20190312172310936</v>
      </c>
      <c r="B8248" t="str">
        <f>"1552382590928647"</f>
        <v>1552382590928647</v>
      </c>
      <c r="C8248" t="s">
        <v>40</v>
      </c>
      <c r="D8248">
        <v>3.091958</v>
      </c>
      <c r="E8248">
        <v>0.48276669999999999</v>
      </c>
      <c r="F8248" t="s">
        <v>42</v>
      </c>
      <c r="G8248">
        <v>-189.21969999999999</v>
      </c>
      <c r="H8248" s="1">
        <v>-2.5612429999999998E-6</v>
      </c>
      <c r="I8248">
        <v>95.280460000000005</v>
      </c>
      <c r="J8248">
        <v>-188.0437</v>
      </c>
      <c r="K8248">
        <v>1.109056</v>
      </c>
      <c r="L8248">
        <v>64.11694</v>
      </c>
      <c r="M8248">
        <v>4.714556E-3</v>
      </c>
      <c r="N8248">
        <v>0</v>
      </c>
      <c r="O8248">
        <v>0.99993500000000002</v>
      </c>
      <c r="P8248">
        <v>7.7379730000000004E-3</v>
      </c>
      <c r="Q8248">
        <v>0.19307450000000001</v>
      </c>
      <c r="R8248">
        <v>0.98115359999999996</v>
      </c>
      <c r="S8248">
        <v>-0.11437990000000001</v>
      </c>
      <c r="T8248">
        <v>-0.10807509999999999</v>
      </c>
      <c r="U8248">
        <v>3.0801090000000002</v>
      </c>
      <c r="V8248">
        <v>3.371672E-3</v>
      </c>
      <c r="W8248">
        <v>0.20324010000000001</v>
      </c>
      <c r="X8248">
        <v>0.97912310000000002</v>
      </c>
      <c r="Y8248">
        <v>-4.1797809999999998E-2</v>
      </c>
      <c r="Z8248">
        <v>-3.5038550000000002E-2</v>
      </c>
      <c r="AA8248">
        <v>0.9985115</v>
      </c>
      <c r="AB8248">
        <v>42</v>
      </c>
      <c r="AC8248">
        <v>-1.17599999999998</v>
      </c>
      <c r="AD8248">
        <v>-1.109058561243</v>
      </c>
      <c r="AE8248">
        <v>31.163519999999899</v>
      </c>
      <c r="AF8248">
        <v>-1.3212459867969799</v>
      </c>
      <c r="AG8248">
        <v>-1.109058561243</v>
      </c>
      <c r="AH8248">
        <v>31.118272784443999</v>
      </c>
      <c r="AI8248">
        <v>92.039327923597895</v>
      </c>
      <c r="AJ8248">
        <v>92.431252461533902</v>
      </c>
      <c r="AK8248">
        <v>31.166048882348999</v>
      </c>
      <c r="AL8248">
        <v>78.2735041697062</v>
      </c>
      <c r="AM8248">
        <v>89.802699158141095</v>
      </c>
      <c r="AN8248">
        <v>0.99999997568684695</v>
      </c>
    </row>
    <row r="8249" spans="1:40" x14ac:dyDescent="0.25">
      <c r="A8249" t="str">
        <f>"20190312172310955"</f>
        <v>20190312172310955</v>
      </c>
      <c r="B8249" t="str">
        <f>"1552382590949143"</f>
        <v>1552382590949143</v>
      </c>
      <c r="C8249" t="s">
        <v>40</v>
      </c>
      <c r="D8249">
        <v>3.0831780000000002</v>
      </c>
      <c r="E8249">
        <v>0.48293659999999999</v>
      </c>
      <c r="F8249" t="s">
        <v>42</v>
      </c>
      <c r="G8249">
        <v>-189.2115</v>
      </c>
      <c r="H8249" s="1">
        <v>-3.15519E-6</v>
      </c>
      <c r="I8249">
        <v>96.661550000000005</v>
      </c>
      <c r="J8249">
        <v>-188.04159999999999</v>
      </c>
      <c r="K8249">
        <v>1.109051</v>
      </c>
      <c r="L8249">
        <v>64.486879999999999</v>
      </c>
      <c r="M8249">
        <v>5.1170230000000001E-3</v>
      </c>
      <c r="N8249">
        <v>0</v>
      </c>
      <c r="O8249">
        <v>0.99993299999999996</v>
      </c>
      <c r="P8249">
        <v>7.8458099999999999E-3</v>
      </c>
      <c r="Q8249">
        <v>0.19324830000000001</v>
      </c>
      <c r="R8249">
        <v>0.9811185</v>
      </c>
      <c r="S8249">
        <v>-0.1104889</v>
      </c>
      <c r="T8249">
        <v>-0.1049321</v>
      </c>
      <c r="U8249">
        <v>3.0791629999999999</v>
      </c>
      <c r="V8249">
        <v>3.0852520000000001E-3</v>
      </c>
      <c r="W8249">
        <v>0.20341989999999999</v>
      </c>
      <c r="X8249">
        <v>0.97908680000000003</v>
      </c>
      <c r="Y8249">
        <v>-4.0952460000000003E-2</v>
      </c>
      <c r="Z8249">
        <v>-3.403246E-2</v>
      </c>
      <c r="AA8249">
        <v>0.99858130000000001</v>
      </c>
      <c r="AB8249">
        <v>42</v>
      </c>
      <c r="AC8249">
        <v>-1.1699000000000099</v>
      </c>
      <c r="AD8249">
        <v>-1.1090541551899999</v>
      </c>
      <c r="AE8249">
        <v>32.174669999999999</v>
      </c>
      <c r="AF8249">
        <v>-1.3329504081911301</v>
      </c>
      <c r="AG8249">
        <v>-1.1090541551899999</v>
      </c>
      <c r="AH8249">
        <v>32.130136448857002</v>
      </c>
      <c r="AI8249">
        <v>91.975228352774593</v>
      </c>
      <c r="AJ8249">
        <v>92.375609685474501</v>
      </c>
      <c r="AK8249">
        <v>32.176892735812999</v>
      </c>
      <c r="AL8249">
        <v>78.2629836968284</v>
      </c>
      <c r="AM8249">
        <v>89.819452848065396</v>
      </c>
      <c r="AN8249">
        <v>1.00000006821507</v>
      </c>
    </row>
    <row r="8250" spans="1:40" x14ac:dyDescent="0.25">
      <c r="A8250" t="str">
        <f>"20190312172310977"</f>
        <v>20190312172310977</v>
      </c>
      <c r="B8250" t="str">
        <f>"1552382590968666"</f>
        <v>1552382590968666</v>
      </c>
      <c r="C8250" t="s">
        <v>40</v>
      </c>
      <c r="D8250">
        <v>3.0909059999999999</v>
      </c>
      <c r="E8250">
        <v>0.48313929999999999</v>
      </c>
      <c r="F8250" t="s">
        <v>42</v>
      </c>
      <c r="G8250">
        <v>-189.2405</v>
      </c>
      <c r="H8250" s="1">
        <v>-3.909562E-6</v>
      </c>
      <c r="I8250">
        <v>98.432000000000002</v>
      </c>
      <c r="J8250">
        <v>-188.03909999999999</v>
      </c>
      <c r="K8250">
        <v>1.1090519999999999</v>
      </c>
      <c r="L8250">
        <v>64.90616</v>
      </c>
      <c r="M8250">
        <v>5.5728510000000002E-3</v>
      </c>
      <c r="N8250">
        <v>0</v>
      </c>
      <c r="O8250">
        <v>0.99993050000000006</v>
      </c>
      <c r="P8250">
        <v>7.8427119999999999E-3</v>
      </c>
      <c r="Q8250">
        <v>0.19269420000000001</v>
      </c>
      <c r="R8250">
        <v>0.98122750000000003</v>
      </c>
      <c r="S8250">
        <v>-0.10871889999999899</v>
      </c>
      <c r="T8250">
        <v>-0.1005784</v>
      </c>
      <c r="U8250">
        <v>3.07843</v>
      </c>
      <c r="V8250">
        <v>2.6338970000000001E-3</v>
      </c>
      <c r="W8250">
        <v>0.20287359999999999</v>
      </c>
      <c r="X8250">
        <v>0.9792014</v>
      </c>
      <c r="Y8250">
        <v>-4.084467E-2</v>
      </c>
      <c r="Z8250">
        <v>-3.2630020000000003E-2</v>
      </c>
      <c r="AA8250">
        <v>0.99863259999999998</v>
      </c>
      <c r="AB8250">
        <v>42</v>
      </c>
      <c r="AC8250">
        <v>-1.2014</v>
      </c>
      <c r="AD8250">
        <v>-1.1090559095620001</v>
      </c>
      <c r="AE8250">
        <v>33.525840000000002</v>
      </c>
      <c r="AF8250">
        <v>-1.38671036732674</v>
      </c>
      <c r="AG8250">
        <v>-1.1090559095620001</v>
      </c>
      <c r="AH8250">
        <v>33.482030419928599</v>
      </c>
      <c r="AI8250">
        <v>91.8955429874988</v>
      </c>
      <c r="AJ8250">
        <v>92.371638396988402</v>
      </c>
      <c r="AK8250">
        <v>33.529081879681897</v>
      </c>
      <c r="AL8250">
        <v>78.294950240598496</v>
      </c>
      <c r="AM8250">
        <v>89.845883780585098</v>
      </c>
      <c r="AN8250">
        <v>1.00000000837616</v>
      </c>
    </row>
    <row r="8251" spans="1:40" x14ac:dyDescent="0.25">
      <c r="A8251" t="str">
        <f>"20190312172310999"</f>
        <v>20190312172310999</v>
      </c>
      <c r="B8251" t="str">
        <f>"1552382590989158"</f>
        <v>1552382590989158</v>
      </c>
      <c r="C8251" t="s">
        <v>40</v>
      </c>
      <c r="D8251">
        <v>3.0681630000000002</v>
      </c>
      <c r="E8251">
        <v>0.4833115</v>
      </c>
      <c r="F8251" t="s">
        <v>42</v>
      </c>
      <c r="G8251">
        <v>-189.24119999999999</v>
      </c>
      <c r="H8251" s="1">
        <v>-4.3248739999999996E-6</v>
      </c>
      <c r="I8251">
        <v>99.400409999999994</v>
      </c>
      <c r="J8251">
        <v>-188.03649999999999</v>
      </c>
      <c r="K8251">
        <v>1.109048</v>
      </c>
      <c r="L8251">
        <v>65.314970000000002</v>
      </c>
      <c r="M8251">
        <v>6.0174130000000001E-3</v>
      </c>
      <c r="N8251">
        <v>0</v>
      </c>
      <c r="O8251">
        <v>0.99992789999999998</v>
      </c>
      <c r="P8251">
        <v>8.0583400000000006E-3</v>
      </c>
      <c r="Q8251">
        <v>0.19242090000000001</v>
      </c>
      <c r="R8251">
        <v>0.98127940000000002</v>
      </c>
      <c r="S8251">
        <v>-0.107254</v>
      </c>
      <c r="T8251">
        <v>-9.8952890000000002E-2</v>
      </c>
      <c r="U8251">
        <v>3.0776669999999999</v>
      </c>
      <c r="V8251">
        <v>2.4128510000000001E-3</v>
      </c>
      <c r="W8251">
        <v>0.20260739999999999</v>
      </c>
      <c r="X8251">
        <v>0.97925700000000004</v>
      </c>
      <c r="Y8251">
        <v>-4.0823480000000002E-2</v>
      </c>
      <c r="Z8251">
        <v>-3.2111300000000002E-2</v>
      </c>
      <c r="AA8251">
        <v>0.99865029999999999</v>
      </c>
      <c r="AB8251">
        <v>42</v>
      </c>
      <c r="AC8251">
        <v>-1.2047000000000001</v>
      </c>
      <c r="AD8251">
        <v>-1.1090523248739901</v>
      </c>
      <c r="AE8251">
        <v>34.085439999999899</v>
      </c>
      <c r="AF8251">
        <v>-1.40830634073895</v>
      </c>
      <c r="AG8251">
        <v>-1.1090523248739901</v>
      </c>
      <c r="AH8251">
        <v>34.041578949606297</v>
      </c>
      <c r="AI8251">
        <v>91.864405273510698</v>
      </c>
      <c r="AJ8251">
        <v>92.368985982797199</v>
      </c>
      <c r="AK8251">
        <v>34.088743320793597</v>
      </c>
      <c r="AL8251">
        <v>78.310524869399899</v>
      </c>
      <c r="AM8251">
        <v>89.858825722842894</v>
      </c>
      <c r="AN8251">
        <v>0.99999992621685097</v>
      </c>
    </row>
    <row r="8252" spans="1:40" x14ac:dyDescent="0.25">
      <c r="A8252" t="str">
        <f>"20190312172311022"</f>
        <v>20190312172311022</v>
      </c>
      <c r="B8252" t="str">
        <f>"1552382591018439"</f>
        <v>1552382591018439</v>
      </c>
      <c r="C8252" t="s">
        <v>40</v>
      </c>
      <c r="D8252">
        <v>2.999987</v>
      </c>
      <c r="E8252">
        <v>0.48356789999999999</v>
      </c>
      <c r="F8252" t="s">
        <v>42</v>
      </c>
      <c r="G8252">
        <v>-189.23580000000001</v>
      </c>
      <c r="H8252" s="1">
        <v>-4.3956110000000002E-7</v>
      </c>
      <c r="I8252">
        <v>100.34139999999999</v>
      </c>
      <c r="J8252">
        <v>-188.03360000000001</v>
      </c>
      <c r="K8252">
        <v>1.1090469999999999</v>
      </c>
      <c r="L8252">
        <v>65.733890000000002</v>
      </c>
      <c r="M8252">
        <v>6.4726519999999997E-3</v>
      </c>
      <c r="N8252">
        <v>0</v>
      </c>
      <c r="O8252">
        <v>0.99992499999999995</v>
      </c>
      <c r="P8252">
        <v>8.3683830000000001E-3</v>
      </c>
      <c r="Q8252">
        <v>0.19225980000000001</v>
      </c>
      <c r="R8252">
        <v>0.98130839999999997</v>
      </c>
      <c r="S8252">
        <v>-0.10536189999999999</v>
      </c>
      <c r="T8252">
        <v>-9.7434279999999998E-2</v>
      </c>
      <c r="U8252">
        <v>3.0772089999999999</v>
      </c>
      <c r="V8252">
        <v>2.2760580000000001E-3</v>
      </c>
      <c r="W8252">
        <v>0.20245379999999999</v>
      </c>
      <c r="X8252">
        <v>0.97928919999999997</v>
      </c>
      <c r="Y8252">
        <v>-4.0670770000000002E-2</v>
      </c>
      <c r="Z8252">
        <v>-3.1623989999999998E-2</v>
      </c>
      <c r="AA8252">
        <v>0.998672</v>
      </c>
      <c r="AB8252">
        <v>42</v>
      </c>
      <c r="AC8252">
        <v>-1.2021999999999999</v>
      </c>
      <c r="AD8252">
        <v>-1.1090474395611001</v>
      </c>
      <c r="AE8252">
        <v>34.607509999999898</v>
      </c>
      <c r="AF8252">
        <v>-1.4247278955293099</v>
      </c>
      <c r="AG8252">
        <v>-1.1090474395611001</v>
      </c>
      <c r="AH8252">
        <v>34.563550034286003</v>
      </c>
      <c r="AI8252">
        <v>91.836272098914506</v>
      </c>
      <c r="AJ8252">
        <v>92.360426185115799</v>
      </c>
      <c r="AK8252">
        <v>34.610675040687802</v>
      </c>
      <c r="AL8252">
        <v>78.319512968722194</v>
      </c>
      <c r="AM8252">
        <v>89.8668337376631</v>
      </c>
      <c r="AN8252">
        <v>1.00000002940554</v>
      </c>
    </row>
    <row r="8253" spans="1:40" x14ac:dyDescent="0.25">
      <c r="A8253" t="str">
        <f>"20190312172311044"</f>
        <v>20190312172311044</v>
      </c>
      <c r="B8253" t="str">
        <f>"1552382591038934"</f>
        <v>1552382591038934</v>
      </c>
      <c r="C8253" t="s">
        <v>40</v>
      </c>
      <c r="D8253">
        <v>3.0782910000000001</v>
      </c>
      <c r="E8253">
        <v>0.48378520000000003</v>
      </c>
      <c r="F8253" t="s">
        <v>42</v>
      </c>
      <c r="G8253">
        <v>-189.21870000000001</v>
      </c>
      <c r="H8253" s="1">
        <v>-8.8119049999999998E-7</v>
      </c>
      <c r="I8253">
        <v>101.3638</v>
      </c>
      <c r="J8253">
        <v>-188.03049999999999</v>
      </c>
      <c r="K8253">
        <v>1.1090549999999999</v>
      </c>
      <c r="L8253">
        <v>66.158509999999893</v>
      </c>
      <c r="M8253">
        <v>6.9341259999999997E-3</v>
      </c>
      <c r="N8253">
        <v>0</v>
      </c>
      <c r="O8253">
        <v>0.99992170000000002</v>
      </c>
      <c r="P8253">
        <v>8.6266709999999903E-3</v>
      </c>
      <c r="Q8253">
        <v>0.19155829999999999</v>
      </c>
      <c r="R8253">
        <v>0.98144330000000002</v>
      </c>
      <c r="S8253">
        <v>-0.10234070000000001</v>
      </c>
      <c r="T8253">
        <v>-9.5770599999999997E-2</v>
      </c>
      <c r="U8253">
        <v>3.0767820000000001</v>
      </c>
      <c r="V8253">
        <v>2.0799199999999999E-3</v>
      </c>
      <c r="W8253">
        <v>0.2017641</v>
      </c>
      <c r="X8253">
        <v>0.97943190000000002</v>
      </c>
      <c r="Y8253">
        <v>-4.0157669999999999E-2</v>
      </c>
      <c r="Z8253">
        <v>-3.1089539999999999E-2</v>
      </c>
      <c r="AA8253">
        <v>0.99870959999999998</v>
      </c>
      <c r="AB8253">
        <v>42</v>
      </c>
      <c r="AC8253">
        <v>-1.1882000000000199</v>
      </c>
      <c r="AD8253">
        <v>-1.10905588119049</v>
      </c>
      <c r="AE8253">
        <v>35.205289999999998</v>
      </c>
      <c r="AF8253">
        <v>-1.4308841859658099</v>
      </c>
      <c r="AG8253">
        <v>-1.10905588119049</v>
      </c>
      <c r="AH8253">
        <v>35.161349188939603</v>
      </c>
      <c r="AI8253">
        <v>91.805125877465997</v>
      </c>
      <c r="AJ8253">
        <v>92.330354632050401</v>
      </c>
      <c r="AK8253">
        <v>35.207923984350401</v>
      </c>
      <c r="AL8253">
        <v>78.359861769752101</v>
      </c>
      <c r="AM8253">
        <v>89.878326958122102</v>
      </c>
      <c r="AN8253">
        <v>0.99999996242681199</v>
      </c>
    </row>
    <row r="8254" spans="1:40" x14ac:dyDescent="0.25">
      <c r="A8254" t="str">
        <f>"20190312172311057"</f>
        <v>20190312172311057</v>
      </c>
      <c r="B8254" t="str">
        <f>"1552382591048695"</f>
        <v>1552382591048695</v>
      </c>
      <c r="C8254" t="s">
        <v>40</v>
      </c>
      <c r="D8254">
        <v>3.0789089999999999</v>
      </c>
      <c r="E8254">
        <v>0.48388589999999998</v>
      </c>
      <c r="F8254" t="s">
        <v>42</v>
      </c>
      <c r="G8254">
        <v>-189.17160000000001</v>
      </c>
      <c r="H8254" s="1">
        <v>-9.6842609999999993E-7</v>
      </c>
      <c r="I8254">
        <v>101.54770000000001</v>
      </c>
      <c r="J8254">
        <v>-188.02850000000001</v>
      </c>
      <c r="K8254">
        <v>1.1090530000000001</v>
      </c>
      <c r="L8254">
        <v>66.410250000000005</v>
      </c>
      <c r="M8254">
        <v>7.2075319999999896E-3</v>
      </c>
      <c r="N8254">
        <v>0</v>
      </c>
      <c r="O8254">
        <v>0.99991969999999997</v>
      </c>
      <c r="P8254">
        <v>8.6838750000000006E-3</v>
      </c>
      <c r="Q8254">
        <v>0.1918135</v>
      </c>
      <c r="R8254">
        <v>0.98139299999999996</v>
      </c>
      <c r="S8254">
        <v>-9.9197389999999996E-2</v>
      </c>
      <c r="T8254">
        <v>-9.6410389999999999E-2</v>
      </c>
      <c r="U8254">
        <v>3.0763850000000001</v>
      </c>
      <c r="V8254">
        <v>1.869686E-3</v>
      </c>
      <c r="W8254">
        <v>0.20202700000000001</v>
      </c>
      <c r="X8254">
        <v>0.97937819999999998</v>
      </c>
      <c r="Y8254">
        <v>-3.9415579999999999E-2</v>
      </c>
      <c r="Z8254">
        <v>-3.1301959999999997E-2</v>
      </c>
      <c r="AA8254">
        <v>0.99873250000000002</v>
      </c>
      <c r="AB8254">
        <v>42</v>
      </c>
      <c r="AC8254">
        <v>-1.1431</v>
      </c>
      <c r="AD8254">
        <v>-1.1090539684261</v>
      </c>
      <c r="AE8254">
        <v>35.137450000000001</v>
      </c>
      <c r="AF8254">
        <v>-1.39495012025572</v>
      </c>
      <c r="AG8254">
        <v>-1.1090539684261</v>
      </c>
      <c r="AH8254">
        <v>35.093373309598697</v>
      </c>
      <c r="AI8254">
        <v>91.808685569508299</v>
      </c>
      <c r="AJ8254">
        <v>92.276290141785594</v>
      </c>
      <c r="AK8254">
        <v>35.138593267086598</v>
      </c>
      <c r="AL8254">
        <v>78.344482810764802</v>
      </c>
      <c r="AM8254">
        <v>89.890619388223797</v>
      </c>
      <c r="AN8254">
        <v>1.00000003154498</v>
      </c>
    </row>
    <row r="8255" spans="1:40" x14ac:dyDescent="0.25">
      <c r="A8255" t="str">
        <f>"20190312172311078"</f>
        <v>20190312172311078</v>
      </c>
      <c r="B8255" t="str">
        <f>"1552382591068214"</f>
        <v>1552382591068214</v>
      </c>
      <c r="C8255" t="s">
        <v>40</v>
      </c>
      <c r="D8255">
        <v>3.0895290000000002</v>
      </c>
      <c r="E8255">
        <v>0.4840759</v>
      </c>
      <c r="F8255" t="s">
        <v>42</v>
      </c>
      <c r="G8255">
        <v>-189.1748</v>
      </c>
      <c r="H8255" s="1">
        <v>-1.2999719999999999E-6</v>
      </c>
      <c r="I8255">
        <v>102.3218</v>
      </c>
      <c r="J8255">
        <v>-188.02539999999999</v>
      </c>
      <c r="K8255">
        <v>1.109054</v>
      </c>
      <c r="L8255">
        <v>66.797489999999996</v>
      </c>
      <c r="M8255">
        <v>7.6277080000000004E-3</v>
      </c>
      <c r="N8255">
        <v>0</v>
      </c>
      <c r="O8255">
        <v>0.99991649999999999</v>
      </c>
      <c r="P8255">
        <v>8.8399459999999996E-3</v>
      </c>
      <c r="Q8255">
        <v>0.19137950000000001</v>
      </c>
      <c r="R8255">
        <v>0.98147629999999997</v>
      </c>
      <c r="S8255">
        <v>-9.8190310000000003E-2</v>
      </c>
      <c r="T8255">
        <v>-9.5005870000000006E-2</v>
      </c>
      <c r="U8255">
        <v>3.0763240000000001</v>
      </c>
      <c r="V8255">
        <v>1.6126109999999999E-3</v>
      </c>
      <c r="W8255">
        <v>0.20160710000000001</v>
      </c>
      <c r="X8255">
        <v>0.97946509999999998</v>
      </c>
      <c r="Y8255">
        <v>-3.9509950000000002E-2</v>
      </c>
      <c r="Z8255">
        <v>-3.084696E-2</v>
      </c>
      <c r="AA8255">
        <v>0.99874289999999999</v>
      </c>
      <c r="AB8255">
        <v>42</v>
      </c>
      <c r="AC8255">
        <v>-1.14940000000001</v>
      </c>
      <c r="AD8255">
        <v>-1.109055299972</v>
      </c>
      <c r="AE8255">
        <v>35.52431</v>
      </c>
      <c r="AF8255">
        <v>-1.41896879368748</v>
      </c>
      <c r="AG8255">
        <v>-1.109055299972</v>
      </c>
      <c r="AH8255">
        <v>35.479963777949202</v>
      </c>
      <c r="AI8255">
        <v>91.788975760028407</v>
      </c>
      <c r="AJ8255">
        <v>92.290239605238995</v>
      </c>
      <c r="AK8255">
        <v>35.525642932682302</v>
      </c>
      <c r="AL8255">
        <v>78.369045824597094</v>
      </c>
      <c r="AM8255">
        <v>89.905667163831794</v>
      </c>
      <c r="AN8255">
        <v>0.99999995270132702</v>
      </c>
    </row>
    <row r="8256" spans="1:40" x14ac:dyDescent="0.25">
      <c r="A8256" t="str">
        <f>"20190312172311091"</f>
        <v>20190312172311091</v>
      </c>
      <c r="B8256" t="str">
        <f>"1552382591088711"</f>
        <v>1552382591088711</v>
      </c>
      <c r="C8256" t="s">
        <v>40</v>
      </c>
      <c r="D8256">
        <v>3.0741550000000002</v>
      </c>
      <c r="E8256">
        <v>0.48413469999999997</v>
      </c>
      <c r="F8256" t="s">
        <v>42</v>
      </c>
      <c r="G8256">
        <v>-189.14580000000001</v>
      </c>
      <c r="H8256" s="1">
        <v>-1.453035E-6</v>
      </c>
      <c r="I8256">
        <v>102.6666</v>
      </c>
      <c r="J8256">
        <v>-188.02330000000001</v>
      </c>
      <c r="K8256">
        <v>1.109054</v>
      </c>
      <c r="L8256">
        <v>67.042940000000002</v>
      </c>
      <c r="M8256">
        <v>7.8939390000000009E-3</v>
      </c>
      <c r="N8256">
        <v>0</v>
      </c>
      <c r="O8256">
        <v>0.99991430000000003</v>
      </c>
      <c r="P8256">
        <v>9.13512E-3</v>
      </c>
      <c r="Q8256">
        <v>0.19117229999999999</v>
      </c>
      <c r="R8256">
        <v>0.981514</v>
      </c>
      <c r="S8256">
        <v>-9.6084589999999998E-2</v>
      </c>
      <c r="T8256">
        <v>-9.5109819999999998E-2</v>
      </c>
      <c r="U8256">
        <v>3.07605</v>
      </c>
      <c r="V8256">
        <v>1.6461469999999999E-3</v>
      </c>
      <c r="W8256">
        <v>0.20140859999999999</v>
      </c>
      <c r="X8256">
        <v>0.97950599999999999</v>
      </c>
      <c r="Y8256">
        <v>-3.9095789999999998E-2</v>
      </c>
      <c r="Z8256">
        <v>-3.0883919999999999E-2</v>
      </c>
      <c r="AA8256">
        <v>0.99875809999999998</v>
      </c>
      <c r="AB8256">
        <v>42</v>
      </c>
      <c r="AC8256">
        <v>-1.1225000000000001</v>
      </c>
      <c r="AD8256">
        <v>-1.1090554530349901</v>
      </c>
      <c r="AE8256">
        <v>35.623660000000001</v>
      </c>
      <c r="AF8256">
        <v>-1.40233351534624</v>
      </c>
      <c r="AG8256">
        <v>-1.1090554530349901</v>
      </c>
      <c r="AH8256">
        <v>35.5792380342603</v>
      </c>
      <c r="AI8256">
        <v>91.784028513576303</v>
      </c>
      <c r="AJ8256">
        <v>92.257109159526493</v>
      </c>
      <c r="AK8256">
        <v>35.624131180770199</v>
      </c>
      <c r="AL8256">
        <v>78.380658593288203</v>
      </c>
      <c r="AM8256">
        <v>89.903709434385902</v>
      </c>
      <c r="AN8256">
        <v>1.00000006899495</v>
      </c>
    </row>
    <row r="8257" spans="1:40" x14ac:dyDescent="0.25">
      <c r="A8257" t="str">
        <f>"20190312172311112"</f>
        <v>20190312172311112</v>
      </c>
      <c r="B8257" t="str">
        <f>"1552382591109207"</f>
        <v>1552382591109207</v>
      </c>
      <c r="C8257" t="s">
        <v>40</v>
      </c>
      <c r="D8257">
        <v>3.0491730000000001</v>
      </c>
      <c r="E8257">
        <v>0.48419609999999902</v>
      </c>
      <c r="F8257" t="s">
        <v>42</v>
      </c>
      <c r="G8257">
        <v>-189.13659999999999</v>
      </c>
      <c r="H8257" s="1">
        <v>-1.682063E-6</v>
      </c>
      <c r="I8257">
        <v>103.19670000000001</v>
      </c>
      <c r="J8257">
        <v>-188.02</v>
      </c>
      <c r="K8257">
        <v>1.109056</v>
      </c>
      <c r="L8257">
        <v>67.422389999999993</v>
      </c>
      <c r="M8257">
        <v>8.3054059999999996E-3</v>
      </c>
      <c r="N8257">
        <v>0</v>
      </c>
      <c r="O8257">
        <v>0.99991079999999999</v>
      </c>
      <c r="P8257">
        <v>9.3066590000000001E-3</v>
      </c>
      <c r="Q8257">
        <v>0.1911091</v>
      </c>
      <c r="R8257">
        <v>0.98152459999999997</v>
      </c>
      <c r="S8257">
        <v>-9.4711299999999998E-2</v>
      </c>
      <c r="T8257">
        <v>-9.4351770000000001E-2</v>
      </c>
      <c r="U8257">
        <v>3.075745</v>
      </c>
      <c r="V8257">
        <v>1.413999E-3</v>
      </c>
      <c r="W8257">
        <v>0.20136100000000001</v>
      </c>
      <c r="X8257">
        <v>0.9795161</v>
      </c>
      <c r="Y8257">
        <v>-3.9064790000000002E-2</v>
      </c>
      <c r="Z8257">
        <v>-3.0641100000000001E-2</v>
      </c>
      <c r="AA8257">
        <v>0.99876679999999995</v>
      </c>
      <c r="AB8257">
        <v>42</v>
      </c>
      <c r="AC8257">
        <v>-1.1165999999999701</v>
      </c>
      <c r="AD8257">
        <v>-1.109057682063</v>
      </c>
      <c r="AE8257">
        <v>35.77431</v>
      </c>
      <c r="AF8257">
        <v>-1.4123418365053499</v>
      </c>
      <c r="AG8257">
        <v>-1.109057682063</v>
      </c>
      <c r="AH8257">
        <v>35.729495695688897</v>
      </c>
      <c r="AI8257">
        <v>91.776526302646403</v>
      </c>
      <c r="AJ8257">
        <v>92.263651286319202</v>
      </c>
      <c r="AK8257">
        <v>35.774594072798898</v>
      </c>
      <c r="AL8257">
        <v>78.383442350794894</v>
      </c>
      <c r="AM8257">
        <v>89.917289650818901</v>
      </c>
      <c r="AN8257">
        <v>1.0000000209366899</v>
      </c>
    </row>
    <row r="8258" spans="1:40" x14ac:dyDescent="0.25">
      <c r="A8258" t="str">
        <f>"20190312172311134"</f>
        <v>20190312172311134</v>
      </c>
      <c r="B8258" t="str">
        <f>"1552382591128728"</f>
        <v>1552382591128728</v>
      </c>
      <c r="C8258" t="s">
        <v>40</v>
      </c>
      <c r="D8258">
        <v>3.0427420000000001</v>
      </c>
      <c r="E8258">
        <v>0.4842786</v>
      </c>
      <c r="F8258" t="s">
        <v>42</v>
      </c>
      <c r="G8258">
        <v>-189.14169999999999</v>
      </c>
      <c r="H8258" s="1">
        <v>-2.101995E-6</v>
      </c>
      <c r="I8258">
        <v>104.1777</v>
      </c>
      <c r="J8258">
        <v>-188.0162</v>
      </c>
      <c r="K8258">
        <v>1.109057</v>
      </c>
      <c r="L8258">
        <v>67.844239999999999</v>
      </c>
      <c r="M8258">
        <v>8.7626519999999992E-3</v>
      </c>
      <c r="N8258">
        <v>0</v>
      </c>
      <c r="O8258">
        <v>0.99990670000000004</v>
      </c>
      <c r="P8258">
        <v>9.8502850000000003E-3</v>
      </c>
      <c r="Q8258">
        <v>0.19089249999999999</v>
      </c>
      <c r="R8258">
        <v>0.98156149999999998</v>
      </c>
      <c r="S8258">
        <v>-9.3856809999999999E-2</v>
      </c>
      <c r="T8258">
        <v>-9.279859E-2</v>
      </c>
      <c r="U8258">
        <v>3.0754389999999998</v>
      </c>
      <c r="V8258">
        <v>1.5085599999999999E-3</v>
      </c>
      <c r="W8258">
        <v>0.20116339999999999</v>
      </c>
      <c r="X8258">
        <v>0.9795566</v>
      </c>
      <c r="Y8258">
        <v>-3.924801E-2</v>
      </c>
      <c r="Z8258">
        <v>-3.014E-2</v>
      </c>
      <c r="AA8258">
        <v>0.99877479999999996</v>
      </c>
      <c r="AB8258">
        <v>42</v>
      </c>
      <c r="AC8258">
        <v>-1.12549999999998</v>
      </c>
      <c r="AD8258">
        <v>-1.109059101995</v>
      </c>
      <c r="AE8258">
        <v>36.333459999999903</v>
      </c>
      <c r="AF8258">
        <v>-1.44250897331593</v>
      </c>
      <c r="AG8258">
        <v>-1.109059101995</v>
      </c>
      <c r="AH8258">
        <v>36.288422948775299</v>
      </c>
      <c r="AI8258">
        <v>91.749167586963097</v>
      </c>
      <c r="AJ8258">
        <v>92.276378452923893</v>
      </c>
      <c r="AK8258">
        <v>36.334012775071002</v>
      </c>
      <c r="AL8258">
        <v>78.395000977018995</v>
      </c>
      <c r="AM8258">
        <v>89.911762063764897</v>
      </c>
      <c r="AN8258">
        <v>1.00000006092819</v>
      </c>
    </row>
    <row r="8259" spans="1:40" x14ac:dyDescent="0.25">
      <c r="A8259" t="str">
        <f>"20190312172311157"</f>
        <v>20190312172311157</v>
      </c>
      <c r="B8259" t="str">
        <f>"1552382591148250"</f>
        <v>1552382591148250</v>
      </c>
      <c r="C8259" t="s">
        <v>40</v>
      </c>
      <c r="D8259">
        <v>3.0233599999999998</v>
      </c>
      <c r="E8259">
        <v>0.48433999999999999</v>
      </c>
      <c r="F8259" t="s">
        <v>42</v>
      </c>
      <c r="G8259">
        <v>-189.11359999999999</v>
      </c>
      <c r="H8259" s="1">
        <v>-2.3755829999999999E-6</v>
      </c>
      <c r="I8259">
        <v>104.8038</v>
      </c>
      <c r="J8259">
        <v>-188.012</v>
      </c>
      <c r="K8259">
        <v>1.109057</v>
      </c>
      <c r="L8259">
        <v>68.277249999999995</v>
      </c>
      <c r="M8259">
        <v>9.2321790000000001E-3</v>
      </c>
      <c r="N8259">
        <v>0</v>
      </c>
      <c r="O8259">
        <v>0.99990219999999996</v>
      </c>
      <c r="P8259">
        <v>1.0065650000000001E-2</v>
      </c>
      <c r="Q8259">
        <v>0.19035850000000001</v>
      </c>
      <c r="R8259">
        <v>0.98166299999999995</v>
      </c>
      <c r="S8259">
        <v>-9.1308589999999995E-2</v>
      </c>
      <c r="T8259">
        <v>-9.2278600000000002E-2</v>
      </c>
      <c r="U8259">
        <v>3.0751949999999999</v>
      </c>
      <c r="V8259">
        <v>1.2616870000000001E-3</v>
      </c>
      <c r="W8259">
        <v>0.20065240000000001</v>
      </c>
      <c r="X8259">
        <v>0.97966169999999997</v>
      </c>
      <c r="Y8259">
        <v>-3.8892910000000003E-2</v>
      </c>
      <c r="Z8259">
        <v>-2.9974029999999999E-2</v>
      </c>
      <c r="AA8259">
        <v>0.99879370000000001</v>
      </c>
      <c r="AB8259">
        <v>42</v>
      </c>
      <c r="AC8259">
        <v>-1.1015999999999899</v>
      </c>
      <c r="AD8259">
        <v>-1.1090593755830001</v>
      </c>
      <c r="AE8259">
        <v>36.52655</v>
      </c>
      <c r="AF8259">
        <v>-1.43746728146755</v>
      </c>
      <c r="AG8259">
        <v>-1.1090593755830001</v>
      </c>
      <c r="AH8259">
        <v>36.481220299378798</v>
      </c>
      <c r="AI8259">
        <v>91.739953576082797</v>
      </c>
      <c r="AJ8259">
        <v>92.2564547778655</v>
      </c>
      <c r="AK8259">
        <v>36.526370739722601</v>
      </c>
      <c r="AL8259">
        <v>78.4248879472715</v>
      </c>
      <c r="AM8259">
        <v>89.926209935328302</v>
      </c>
      <c r="AN8259">
        <v>1.0000000119633601</v>
      </c>
    </row>
    <row r="8260" spans="1:40" x14ac:dyDescent="0.25">
      <c r="A8260" t="str">
        <f>"20190312172311179"</f>
        <v>20190312172311179</v>
      </c>
      <c r="B8260" t="str">
        <f>"1552382591168742"</f>
        <v>1552382591168742</v>
      </c>
      <c r="C8260" t="s">
        <v>40</v>
      </c>
      <c r="D8260">
        <v>3.0354109999999999</v>
      </c>
      <c r="E8260">
        <v>0.48441679999999998</v>
      </c>
      <c r="F8260" t="s">
        <v>42</v>
      </c>
      <c r="G8260">
        <v>-189.08359999999999</v>
      </c>
      <c r="H8260" s="1">
        <v>-2.455958E-6</v>
      </c>
      <c r="I8260">
        <v>104.97880000000001</v>
      </c>
      <c r="J8260">
        <v>-188.00790000000001</v>
      </c>
      <c r="K8260">
        <v>1.109056</v>
      </c>
      <c r="L8260">
        <v>68.688479999999998</v>
      </c>
      <c r="M8260">
        <v>9.6776750000000002E-3</v>
      </c>
      <c r="N8260">
        <v>0</v>
      </c>
      <c r="O8260">
        <v>0.99989779999999995</v>
      </c>
      <c r="P8260">
        <v>1.002777E-2</v>
      </c>
      <c r="Q8260">
        <v>0.18990389999999999</v>
      </c>
      <c r="R8260">
        <v>0.9817515</v>
      </c>
      <c r="S8260">
        <v>-8.9782710000000002E-2</v>
      </c>
      <c r="T8260">
        <v>-9.2920900000000001E-2</v>
      </c>
      <c r="U8260">
        <v>3.0749819999999999</v>
      </c>
      <c r="V8260">
        <v>7.8538130000000003E-4</v>
      </c>
      <c r="W8260">
        <v>0.2002198</v>
      </c>
      <c r="X8260">
        <v>0.97975069999999997</v>
      </c>
      <c r="Y8260">
        <v>-3.8844789999999997E-2</v>
      </c>
      <c r="Z8260">
        <v>-3.018463E-2</v>
      </c>
      <c r="AA8260">
        <v>0.99878929999999999</v>
      </c>
      <c r="AB8260">
        <v>42</v>
      </c>
      <c r="AC8260">
        <v>-1.0756999999999799</v>
      </c>
      <c r="AD8260">
        <v>-1.1090584559579999</v>
      </c>
      <c r="AE8260">
        <v>36.290320000000001</v>
      </c>
      <c r="AF8260">
        <v>-1.42554475876868</v>
      </c>
      <c r="AG8260">
        <v>-1.1090584559579999</v>
      </c>
      <c r="AH8260">
        <v>36.2443884766395</v>
      </c>
      <c r="AI8260">
        <v>91.751319368977207</v>
      </c>
      <c r="AJ8260">
        <v>92.252365764277798</v>
      </c>
      <c r="AK8260">
        <v>36.289363242740201</v>
      </c>
      <c r="AL8260">
        <v>78.450187483918</v>
      </c>
      <c r="AM8260">
        <v>89.954070944618906</v>
      </c>
      <c r="AN8260">
        <v>1.0000000096431501</v>
      </c>
    </row>
    <row r="8261" spans="1:40" x14ac:dyDescent="0.25">
      <c r="A8261" t="str">
        <f>"20190312172311192"</f>
        <v>20190312172311192</v>
      </c>
      <c r="B8261" t="str">
        <f>"1552382591188262"</f>
        <v>1552382591188262</v>
      </c>
      <c r="C8261" t="s">
        <v>40</v>
      </c>
      <c r="D8261">
        <v>3.071653</v>
      </c>
      <c r="E8261">
        <v>0.48463230000000002</v>
      </c>
      <c r="F8261" t="s">
        <v>42</v>
      </c>
      <c r="G8261">
        <v>-189.0658</v>
      </c>
      <c r="H8261" s="1">
        <v>-2.579997E-6</v>
      </c>
      <c r="I8261">
        <v>105.26049999999999</v>
      </c>
      <c r="J8261">
        <v>-188.0052</v>
      </c>
      <c r="K8261">
        <v>1.1090580000000001</v>
      </c>
      <c r="L8261">
        <v>68.94144</v>
      </c>
      <c r="M8261">
        <v>9.9517270000000005E-3</v>
      </c>
      <c r="N8261">
        <v>0</v>
      </c>
      <c r="O8261">
        <v>0.99989499999999998</v>
      </c>
      <c r="P8261">
        <v>1.012213E-2</v>
      </c>
      <c r="Q8261">
        <v>0.18958330000000001</v>
      </c>
      <c r="R8261">
        <v>0.98181249999999998</v>
      </c>
      <c r="S8261">
        <v>-8.8943480000000005E-2</v>
      </c>
      <c r="T8261">
        <v>-9.3241450000000003E-2</v>
      </c>
      <c r="U8261">
        <v>3.0747070000000001</v>
      </c>
      <c r="V8261">
        <v>6.0983179999999997E-4</v>
      </c>
      <c r="W8261">
        <v>0.1999138</v>
      </c>
      <c r="X8261">
        <v>0.9798133</v>
      </c>
      <c r="Y8261">
        <v>-3.8848790000000001E-2</v>
      </c>
      <c r="Z8261">
        <v>-3.029136E-2</v>
      </c>
      <c r="AA8261">
        <v>0.9987859</v>
      </c>
      <c r="AB8261">
        <v>42</v>
      </c>
      <c r="AC8261">
        <v>-1.06059999999999</v>
      </c>
      <c r="AD8261">
        <v>-1.1090605799969999</v>
      </c>
      <c r="AE8261">
        <v>36.319059999999901</v>
      </c>
      <c r="AF8261">
        <v>-1.42068126278874</v>
      </c>
      <c r="AG8261">
        <v>-1.1090605799969999</v>
      </c>
      <c r="AH8261">
        <v>36.272910820112401</v>
      </c>
      <c r="AI8261">
        <v>91.749957775363598</v>
      </c>
      <c r="AJ8261">
        <v>92.242926042510604</v>
      </c>
      <c r="AK8261">
        <v>36.317659753684197</v>
      </c>
      <c r="AL8261">
        <v>78.468081674505001</v>
      </c>
      <c r="AM8261">
        <v>89.964339345219003</v>
      </c>
      <c r="AN8261">
        <v>1.0000000010910699</v>
      </c>
    </row>
    <row r="8262" spans="1:40" x14ac:dyDescent="0.25">
      <c r="A8262" t="str">
        <f>"20190312172311210"</f>
        <v>20190312172311210</v>
      </c>
      <c r="B8262" t="str">
        <f>"1552382591208759"</f>
        <v>1552382591208759</v>
      </c>
      <c r="C8262" t="s">
        <v>40</v>
      </c>
      <c r="D8262">
        <v>3.043828</v>
      </c>
      <c r="E8262">
        <v>0.49760450000000001</v>
      </c>
      <c r="F8262" t="s">
        <v>42</v>
      </c>
      <c r="G8262">
        <v>-189.03399999999999</v>
      </c>
      <c r="H8262" s="1">
        <v>-2.6631859999999998E-6</v>
      </c>
      <c r="I8262">
        <v>105.4413</v>
      </c>
      <c r="J8262">
        <v>-188.00139999999999</v>
      </c>
      <c r="K8262">
        <v>1.109049</v>
      </c>
      <c r="L8262">
        <v>69.293850000000006</v>
      </c>
      <c r="M8262">
        <v>1.033358E-2</v>
      </c>
      <c r="N8262">
        <v>0</v>
      </c>
      <c r="O8262">
        <v>0.99989090000000003</v>
      </c>
      <c r="P8262">
        <v>1.0207559999999999E-2</v>
      </c>
      <c r="Q8262">
        <v>0.1895983</v>
      </c>
      <c r="R8262">
        <v>0.98180869999999998</v>
      </c>
      <c r="S8262">
        <v>-8.6654659999999994E-2</v>
      </c>
      <c r="T8262">
        <v>-9.3419550000000004E-2</v>
      </c>
      <c r="U8262">
        <v>3.0744929999999999</v>
      </c>
      <c r="V8262">
        <v>3.206072E-4</v>
      </c>
      <c r="W8262">
        <v>0.1999493</v>
      </c>
      <c r="X8262">
        <v>0.97980619999999996</v>
      </c>
      <c r="Y8262">
        <v>-3.8489410000000002E-2</v>
      </c>
      <c r="Z8262">
        <v>-3.0351630000000001E-2</v>
      </c>
      <c r="AA8262">
        <v>0.99879799999999996</v>
      </c>
      <c r="AB8262">
        <v>42</v>
      </c>
      <c r="AC8262">
        <v>-1.0326000000000299</v>
      </c>
      <c r="AD8262">
        <v>-1.1090516631859999</v>
      </c>
      <c r="AE8262">
        <v>36.1474499999999</v>
      </c>
      <c r="AF8262">
        <v>-1.40477693553461</v>
      </c>
      <c r="AG8262">
        <v>-1.1090516631859999</v>
      </c>
      <c r="AH8262">
        <v>36.100893080459201</v>
      </c>
      <c r="AI8262">
        <v>91.758294221266496</v>
      </c>
      <c r="AJ8262">
        <v>92.228399219738293</v>
      </c>
      <c r="AK8262">
        <v>36.145233088707201</v>
      </c>
      <c r="AL8262">
        <v>78.466005835827602</v>
      </c>
      <c r="AM8262">
        <v>89.981251967189095</v>
      </c>
      <c r="AN8262">
        <v>1.0000000074589499</v>
      </c>
    </row>
    <row r="8263" spans="1:40" x14ac:dyDescent="0.25">
      <c r="A8263" t="str">
        <f>"20190312172311224"</f>
        <v>20190312172311224</v>
      </c>
      <c r="B8263" t="str">
        <f>"1552382591218534"</f>
        <v>1552382591218534</v>
      </c>
      <c r="C8263" t="s">
        <v>40</v>
      </c>
      <c r="D8263">
        <v>3.0173589999999999</v>
      </c>
      <c r="E8263">
        <v>0.4974731</v>
      </c>
      <c r="F8263" t="s">
        <v>42</v>
      </c>
      <c r="G8263">
        <v>-187.79259999999999</v>
      </c>
      <c r="H8263" s="1">
        <v>-4.0484580000000004E-6</v>
      </c>
      <c r="I8263">
        <v>108.1571</v>
      </c>
      <c r="J8263">
        <v>-187.99860000000001</v>
      </c>
      <c r="K8263">
        <v>1.109049</v>
      </c>
      <c r="L8263">
        <v>69.546629999999993</v>
      </c>
      <c r="M8263">
        <v>1.060705E-2</v>
      </c>
      <c r="N8263">
        <v>0</v>
      </c>
      <c r="O8263">
        <v>0.99988790000000005</v>
      </c>
      <c r="P8263">
        <v>1.0270629999999999E-2</v>
      </c>
      <c r="Q8263">
        <v>0.1894168</v>
      </c>
      <c r="R8263">
        <v>0.98184309999999997</v>
      </c>
      <c r="S8263">
        <v>1.6510009999999999E-2</v>
      </c>
      <c r="T8263">
        <v>-8.7676879999999999E-2</v>
      </c>
      <c r="U8263">
        <v>3.0723569999999998</v>
      </c>
      <c r="V8263">
        <v>1.146285E-4</v>
      </c>
      <c r="W8263">
        <v>0.19978389999999999</v>
      </c>
      <c r="X8263">
        <v>0.97984000000000004</v>
      </c>
      <c r="Y8263">
        <v>-5.2363230000000002E-3</v>
      </c>
      <c r="Z8263">
        <v>-2.8522909999999999E-2</v>
      </c>
      <c r="AA8263">
        <v>0.99957940000000001</v>
      </c>
      <c r="AB8263">
        <v>42</v>
      </c>
      <c r="AC8263">
        <v>0.206000000000017</v>
      </c>
      <c r="AD8263">
        <v>-1.1090530484579999</v>
      </c>
      <c r="AE8263">
        <v>38.6104699999999</v>
      </c>
      <c r="AF8263">
        <v>-0.20340982231337801</v>
      </c>
      <c r="AG8263">
        <v>-1.1090530484579999</v>
      </c>
      <c r="AH8263">
        <v>38.578653395820801</v>
      </c>
      <c r="AI8263">
        <v>91.646653638916206</v>
      </c>
      <c r="AJ8263">
        <v>90.302094949050499</v>
      </c>
      <c r="AK8263">
        <v>38.595127568839402</v>
      </c>
      <c r="AL8263">
        <v>78.475677884158202</v>
      </c>
      <c r="AM8263">
        <v>89.993297141133297</v>
      </c>
      <c r="AN8263">
        <v>1.0000000227194501</v>
      </c>
    </row>
    <row r="8264" spans="1:40" x14ac:dyDescent="0.25">
      <c r="A8264" t="str">
        <f>"20190312172311238"</f>
        <v>20190312172311238</v>
      </c>
      <c r="B8264" t="str">
        <f>"1552382591228279"</f>
        <v>1552382591228279</v>
      </c>
      <c r="C8264" t="s">
        <v>40</v>
      </c>
      <c r="D8264">
        <v>3.0248200000000001</v>
      </c>
      <c r="E8264">
        <v>0.49737910000000002</v>
      </c>
      <c r="F8264" t="s">
        <v>42</v>
      </c>
      <c r="G8264">
        <v>-187.79570000000001</v>
      </c>
      <c r="H8264" s="1">
        <v>-4.4956970000000001E-6</v>
      </c>
      <c r="I8264">
        <v>109.2009</v>
      </c>
      <c r="J8264">
        <v>-187.99549999999999</v>
      </c>
      <c r="K8264">
        <v>1.109051</v>
      </c>
      <c r="L8264">
        <v>69.817869999999999</v>
      </c>
      <c r="M8264">
        <v>1.089939E-2</v>
      </c>
      <c r="N8264">
        <v>0</v>
      </c>
      <c r="O8264">
        <v>0.99988449999999995</v>
      </c>
      <c r="P8264">
        <v>1.039763E-2</v>
      </c>
      <c r="Q8264">
        <v>0.18952740000000001</v>
      </c>
      <c r="R8264">
        <v>0.98182029999999998</v>
      </c>
      <c r="S8264">
        <v>1.5716549999999999E-2</v>
      </c>
      <c r="T8264">
        <v>-8.591509E-2</v>
      </c>
      <c r="U8264">
        <v>3.0718990000000002</v>
      </c>
      <c r="V8264" s="1">
        <v>-4.5129329999999997E-5</v>
      </c>
      <c r="W8264">
        <v>0.19991100000000001</v>
      </c>
      <c r="X8264">
        <v>0.97981410000000002</v>
      </c>
      <c r="Y8264">
        <v>-5.7859969999999898E-3</v>
      </c>
      <c r="Z8264">
        <v>-2.795423E-2</v>
      </c>
      <c r="AA8264">
        <v>0.99959249999999999</v>
      </c>
      <c r="AB8264">
        <v>42</v>
      </c>
      <c r="AC8264">
        <v>0.19979999999998199</v>
      </c>
      <c r="AD8264">
        <v>-1.109055495697</v>
      </c>
      <c r="AE8264">
        <v>39.383029999999998</v>
      </c>
      <c r="AF8264">
        <v>-0.22930511307467</v>
      </c>
      <c r="AG8264">
        <v>-1.109055495697</v>
      </c>
      <c r="AH8264">
        <v>39.351662050239703</v>
      </c>
      <c r="AI8264">
        <v>91.614323301648398</v>
      </c>
      <c r="AJ8264">
        <v>90.333863064902602</v>
      </c>
      <c r="AK8264">
        <v>39.367955129060199</v>
      </c>
      <c r="AL8264">
        <v>78.468245865710898</v>
      </c>
      <c r="AM8264">
        <v>90.0026389905385</v>
      </c>
      <c r="AN8264">
        <v>1.0000000402582301</v>
      </c>
    </row>
    <row r="8265" spans="1:40" x14ac:dyDescent="0.25">
      <c r="A8265" t="str">
        <f>"20190312172311257"</f>
        <v>20190312172311257</v>
      </c>
      <c r="B8265" t="str">
        <f>"1552382591248774"</f>
        <v>1552382591248774</v>
      </c>
      <c r="C8265" t="s">
        <v>40</v>
      </c>
      <c r="D8265">
        <v>3.0043129999999998</v>
      </c>
      <c r="E8265">
        <v>0.4974538</v>
      </c>
      <c r="F8265" t="s">
        <v>42</v>
      </c>
      <c r="G8265">
        <v>-187.79820000000001</v>
      </c>
      <c r="H8265" s="1">
        <v>-4.5248079999999997E-6</v>
      </c>
      <c r="I8265">
        <v>109.2698</v>
      </c>
      <c r="J8265">
        <v>-187.9915</v>
      </c>
      <c r="K8265">
        <v>1.1090530000000001</v>
      </c>
      <c r="L8265">
        <v>70.164249999999996</v>
      </c>
      <c r="M8265">
        <v>1.1270189999999999E-2</v>
      </c>
      <c r="N8265">
        <v>0</v>
      </c>
      <c r="O8265">
        <v>0.99988030000000006</v>
      </c>
      <c r="P8265">
        <v>1.000333E-2</v>
      </c>
      <c r="Q8265">
        <v>0.18822949999999999</v>
      </c>
      <c r="R8265">
        <v>0.98207409999999995</v>
      </c>
      <c r="S8265">
        <v>1.53656E-2</v>
      </c>
      <c r="T8265">
        <v>-8.6360220000000001E-2</v>
      </c>
      <c r="U8265">
        <v>3.0720519999999998</v>
      </c>
      <c r="V8265">
        <v>-8.0878600000000003E-4</v>
      </c>
      <c r="W8265">
        <v>0.1986367</v>
      </c>
      <c r="X8265">
        <v>0.98007290000000002</v>
      </c>
      <c r="Y8265">
        <v>-6.2712990000000001E-3</v>
      </c>
      <c r="Z8265">
        <v>-2.809735E-2</v>
      </c>
      <c r="AA8265">
        <v>0.99958550000000002</v>
      </c>
      <c r="AB8265">
        <v>42</v>
      </c>
      <c r="AC8265">
        <v>0.19329999999999301</v>
      </c>
      <c r="AD8265">
        <v>-1.1090575248079999</v>
      </c>
      <c r="AE8265">
        <v>39.105550000000001</v>
      </c>
      <c r="AF8265">
        <v>-0.24726514395674301</v>
      </c>
      <c r="AG8265">
        <v>-1.1090575248079999</v>
      </c>
      <c r="AH8265">
        <v>39.073817489218797</v>
      </c>
      <c r="AI8265">
        <v>91.625794253774998</v>
      </c>
      <c r="AJ8265">
        <v>90.362571690523197</v>
      </c>
      <c r="AK8265">
        <v>39.090335913439397</v>
      </c>
      <c r="AL8265">
        <v>78.542752199749003</v>
      </c>
      <c r="AM8265">
        <v>90.047282211159995</v>
      </c>
      <c r="AN8265">
        <v>1.0000000410180401</v>
      </c>
    </row>
    <row r="8266" spans="1:40" x14ac:dyDescent="0.25">
      <c r="A8266" t="str">
        <f>"20190312172311289"</f>
        <v>20190312172311289</v>
      </c>
      <c r="B8266" t="str">
        <f>"1552382591279030"</f>
        <v>1552382591279030</v>
      </c>
      <c r="C8266" t="s">
        <v>40</v>
      </c>
      <c r="D8266">
        <v>2.9947970000000002</v>
      </c>
      <c r="E8266">
        <v>0.4976797</v>
      </c>
      <c r="F8266" t="s">
        <v>42</v>
      </c>
      <c r="G8266">
        <v>-187.8056</v>
      </c>
      <c r="H8266" s="1">
        <v>-3.6613949999999999E-6</v>
      </c>
      <c r="I8266">
        <v>107.2602</v>
      </c>
      <c r="J8266">
        <v>-187.98390000000001</v>
      </c>
      <c r="K8266">
        <v>1.109064</v>
      </c>
      <c r="L8266">
        <v>70.778469999999999</v>
      </c>
      <c r="M8266">
        <v>1.190832E-2</v>
      </c>
      <c r="N8266">
        <v>0</v>
      </c>
      <c r="O8266">
        <v>0.99987250000000005</v>
      </c>
      <c r="P8266">
        <v>9.667274E-3</v>
      </c>
      <c r="Q8266">
        <v>0.187948</v>
      </c>
      <c r="R8266">
        <v>0.98213139999999999</v>
      </c>
      <c r="S8266">
        <v>1.5396119999999999E-2</v>
      </c>
      <c r="T8266">
        <v>-9.1849570000000005E-2</v>
      </c>
      <c r="U8266">
        <v>3.0722049999999999</v>
      </c>
      <c r="V8266">
        <v>-1.7767270000000001E-3</v>
      </c>
      <c r="W8266">
        <v>0.19839000000000001</v>
      </c>
      <c r="X8266">
        <v>0.98012160000000004</v>
      </c>
      <c r="Y8266">
        <v>-6.9000809999999997E-3</v>
      </c>
      <c r="Z8266">
        <v>-2.9879880000000001E-2</v>
      </c>
      <c r="AA8266">
        <v>0.99952969999999997</v>
      </c>
      <c r="AB8266">
        <v>42</v>
      </c>
      <c r="AC8266">
        <v>0.17830000000000701</v>
      </c>
      <c r="AD8266">
        <v>-1.1090676613949999</v>
      </c>
      <c r="AE8266">
        <v>36.481729999999999</v>
      </c>
      <c r="AF8266">
        <v>-0.25593681419081099</v>
      </c>
      <c r="AG8266">
        <v>-1.1090676613949999</v>
      </c>
      <c r="AH8266">
        <v>36.447582292581103</v>
      </c>
      <c r="AI8266">
        <v>91.742879093428201</v>
      </c>
      <c r="AJ8266">
        <v>90.402327324197003</v>
      </c>
      <c r="AK8266">
        <v>36.4653505358838</v>
      </c>
      <c r="AL8266">
        <v>78.557174191909596</v>
      </c>
      <c r="AM8266">
        <v>90.103863486877302</v>
      </c>
      <c r="AN8266">
        <v>1.00000004982269</v>
      </c>
    </row>
    <row r="8267" spans="1:40" x14ac:dyDescent="0.25">
      <c r="A8267" t="str">
        <f>"20190312172311312"</f>
        <v>20190312172311312</v>
      </c>
      <c r="B8267" t="str">
        <f>"1552382591308311"</f>
        <v>1552382591308311</v>
      </c>
      <c r="C8267" t="s">
        <v>40</v>
      </c>
      <c r="D8267">
        <v>3.0108899999999998</v>
      </c>
      <c r="E8267">
        <v>0.49771090000000001</v>
      </c>
      <c r="F8267" t="s">
        <v>42</v>
      </c>
      <c r="G8267">
        <v>-187.78829999999999</v>
      </c>
      <c r="H8267" s="1">
        <v>-3.7491849999999998E-6</v>
      </c>
      <c r="I8267">
        <v>107.4577</v>
      </c>
      <c r="J8267">
        <v>-187.9786</v>
      </c>
      <c r="K8267">
        <v>1.1090770000000001</v>
      </c>
      <c r="L8267">
        <v>71.196559999999906</v>
      </c>
      <c r="M8267">
        <v>1.2324369999999999E-2</v>
      </c>
      <c r="N8267">
        <v>0</v>
      </c>
      <c r="O8267">
        <v>0.99986719999999896</v>
      </c>
      <c r="P8267">
        <v>9.7977410000000004E-3</v>
      </c>
      <c r="Q8267">
        <v>0.18898980000000001</v>
      </c>
      <c r="R8267">
        <v>0.98193019999999998</v>
      </c>
      <c r="S8267">
        <v>1.638794E-2</v>
      </c>
      <c r="T8267">
        <v>-9.2893119999999996E-2</v>
      </c>
      <c r="U8267">
        <v>3.072174</v>
      </c>
      <c r="V8267">
        <v>-2.0562229999999998E-3</v>
      </c>
      <c r="W8267">
        <v>0.19944980000000001</v>
      </c>
      <c r="X8267">
        <v>0.9799059</v>
      </c>
      <c r="Y8267">
        <v>-6.9935029999999999E-3</v>
      </c>
      <c r="Z8267">
        <v>-3.0219090000000001E-2</v>
      </c>
      <c r="AA8267">
        <v>0.99951880000000004</v>
      </c>
      <c r="AB8267">
        <v>42</v>
      </c>
      <c r="AC8267">
        <v>0.19030000000000699</v>
      </c>
      <c r="AD8267">
        <v>-1.1090807491850001</v>
      </c>
      <c r="AE8267">
        <v>36.261139999999997</v>
      </c>
      <c r="AF8267">
        <v>-0.25639571559184599</v>
      </c>
      <c r="AG8267">
        <v>-1.1090807491850001</v>
      </c>
      <c r="AH8267">
        <v>36.226841940406402</v>
      </c>
      <c r="AI8267">
        <v>91.753512331286501</v>
      </c>
      <c r="AJ8267">
        <v>90.4055044912336</v>
      </c>
      <c r="AK8267">
        <v>36.244722041234901</v>
      </c>
      <c r="AL8267">
        <v>78.495213451379499</v>
      </c>
      <c r="AM8267">
        <v>90.120228612481</v>
      </c>
      <c r="AN8267">
        <v>1.0000000118139301</v>
      </c>
    </row>
    <row r="8268" spans="1:40" x14ac:dyDescent="0.25">
      <c r="A8268" t="str">
        <f>"20190312172311336"</f>
        <v>20190312172311336</v>
      </c>
      <c r="B8268" t="str">
        <f>"1552382591328385"</f>
        <v>1552382591328385</v>
      </c>
      <c r="C8268" t="s">
        <v>40</v>
      </c>
      <c r="D8268">
        <v>2.9888129999999999</v>
      </c>
      <c r="E8268">
        <v>0.49763819999999998</v>
      </c>
      <c r="F8268" t="s">
        <v>42</v>
      </c>
      <c r="G8268">
        <v>-187.7722</v>
      </c>
      <c r="H8268" s="1">
        <v>-7.2515490000000004E-7</v>
      </c>
      <c r="I8268">
        <v>110.0371</v>
      </c>
      <c r="J8268">
        <v>-187.9727</v>
      </c>
      <c r="K8268">
        <v>1.1090960000000001</v>
      </c>
      <c r="L8268">
        <v>71.647549999999995</v>
      </c>
      <c r="M8268">
        <v>1.2748829999999999E-2</v>
      </c>
      <c r="N8268">
        <v>0</v>
      </c>
      <c r="O8268">
        <v>0.99986169999999996</v>
      </c>
      <c r="P8268">
        <v>9.7441239999999998E-3</v>
      </c>
      <c r="Q8268">
        <v>0.18925310000000001</v>
      </c>
      <c r="R8268">
        <v>0.98187999999999998</v>
      </c>
      <c r="S8268">
        <v>1.6326899999999998E-2</v>
      </c>
      <c r="T8268">
        <v>-8.7717890000000007E-2</v>
      </c>
      <c r="U8268">
        <v>3.07193</v>
      </c>
      <c r="V8268">
        <v>-2.5350099999999999E-3</v>
      </c>
      <c r="W8268">
        <v>0.19973350000000001</v>
      </c>
      <c r="X8268">
        <v>0.97984700000000002</v>
      </c>
      <c r="Y8268">
        <v>-7.4371790000000004E-3</v>
      </c>
      <c r="Z8268">
        <v>-2.853895E-2</v>
      </c>
      <c r="AA8268">
        <v>0.99956500000000004</v>
      </c>
      <c r="AB8268">
        <v>42</v>
      </c>
      <c r="AC8268">
        <v>0.20050000000000501</v>
      </c>
      <c r="AD8268">
        <v>-1.10909672515489</v>
      </c>
      <c r="AE8268">
        <v>38.38955</v>
      </c>
      <c r="AF8268">
        <v>-0.28872507190449598</v>
      </c>
      <c r="AG8268">
        <v>-1.10909672515489</v>
      </c>
      <c r="AH8268">
        <v>38.356971632847703</v>
      </c>
      <c r="AI8268">
        <v>91.656206389291498</v>
      </c>
      <c r="AJ8268">
        <v>90.431275330830999</v>
      </c>
      <c r="AK8268">
        <v>38.374089312399001</v>
      </c>
      <c r="AL8268">
        <v>78.478624962304394</v>
      </c>
      <c r="AM8268">
        <v>90.148232377060793</v>
      </c>
      <c r="AN8268">
        <v>1.00000002035347</v>
      </c>
    </row>
    <row r="8269" spans="1:40" x14ac:dyDescent="0.25">
      <c r="A8269" t="str">
        <f>"20190312172311357"</f>
        <v>20190312172311357</v>
      </c>
      <c r="B8269" t="str">
        <f>"1552382591348881"</f>
        <v>1552382591348881</v>
      </c>
      <c r="C8269" t="s">
        <v>40</v>
      </c>
      <c r="D8269">
        <v>2.997363</v>
      </c>
      <c r="E8269">
        <v>0.49767600000000001</v>
      </c>
      <c r="F8269" t="s">
        <v>42</v>
      </c>
      <c r="G8269">
        <v>-187.77930000000001</v>
      </c>
      <c r="H8269" s="1">
        <v>-1.126678E-6</v>
      </c>
      <c r="I8269">
        <v>111.2226</v>
      </c>
      <c r="J8269">
        <v>-187.96709999999999</v>
      </c>
      <c r="K8269">
        <v>1.109118</v>
      </c>
      <c r="L8269">
        <v>72.067539999999994</v>
      </c>
      <c r="M8269">
        <v>1.310714E-2</v>
      </c>
      <c r="N8269">
        <v>0</v>
      </c>
      <c r="O8269">
        <v>0.99985690000000005</v>
      </c>
      <c r="P8269">
        <v>9.6561649999999995E-3</v>
      </c>
      <c r="Q8269">
        <v>0.1887684</v>
      </c>
      <c r="R8269">
        <v>0.98197409999999996</v>
      </c>
      <c r="S8269">
        <v>1.5014649999999999E-2</v>
      </c>
      <c r="T8269">
        <v>-8.6087940000000002E-2</v>
      </c>
      <c r="U8269">
        <v>3.0718079999999999</v>
      </c>
      <c r="V8269">
        <v>-2.9885110000000001E-3</v>
      </c>
      <c r="W8269">
        <v>0.1992671</v>
      </c>
      <c r="X8269">
        <v>0.9799407</v>
      </c>
      <c r="Y8269">
        <v>-8.2222389999999992E-3</v>
      </c>
      <c r="Z8269">
        <v>-2.8009920000000001E-2</v>
      </c>
      <c r="AA8269">
        <v>0.99957379999999996</v>
      </c>
      <c r="AB8269">
        <v>42</v>
      </c>
      <c r="AC8269">
        <v>0.18779999999998101</v>
      </c>
      <c r="AD8269">
        <v>-1.1091191266779901</v>
      </c>
      <c r="AE8269">
        <v>39.155059999999899</v>
      </c>
      <c r="AF8269">
        <v>-0.32519541647962003</v>
      </c>
      <c r="AG8269">
        <v>-1.1091191266779901</v>
      </c>
      <c r="AH8269">
        <v>39.122767128781803</v>
      </c>
      <c r="AI8269">
        <v>91.623827754257604</v>
      </c>
      <c r="AJ8269">
        <v>90.476241767893299</v>
      </c>
      <c r="AK8269">
        <v>39.139836549338703</v>
      </c>
      <c r="AL8269">
        <v>78.505896172162593</v>
      </c>
      <c r="AM8269">
        <v>90.174733569580297</v>
      </c>
      <c r="AN8269">
        <v>1.0000000419284401</v>
      </c>
    </row>
    <row r="8270" spans="1:40" x14ac:dyDescent="0.25">
      <c r="A8270" t="str">
        <f>"20190312172311379"</f>
        <v>20190312172311379</v>
      </c>
      <c r="B8270" t="str">
        <f>"1552382591368401"</f>
        <v>1552382591368401</v>
      </c>
      <c r="C8270" t="s">
        <v>40</v>
      </c>
      <c r="D8270">
        <v>2.9703529999999998</v>
      </c>
      <c r="E8270">
        <v>0.49767329999999999</v>
      </c>
      <c r="F8270" t="s">
        <v>42</v>
      </c>
      <c r="G8270">
        <v>-187.7664</v>
      </c>
      <c r="H8270" s="1">
        <v>-1.142727E-6</v>
      </c>
      <c r="I8270">
        <v>111.25960000000001</v>
      </c>
      <c r="J8270">
        <v>-187.9615</v>
      </c>
      <c r="K8270">
        <v>1.1091530000000001</v>
      </c>
      <c r="L8270">
        <v>72.473939999999999</v>
      </c>
      <c r="M8270">
        <v>1.3408639999999999E-2</v>
      </c>
      <c r="N8270">
        <v>0</v>
      </c>
      <c r="O8270">
        <v>0.99985270000000004</v>
      </c>
      <c r="P8270">
        <v>9.4775050000000007E-3</v>
      </c>
      <c r="Q8270">
        <v>0.1884709</v>
      </c>
      <c r="R8270">
        <v>0.98203300000000004</v>
      </c>
      <c r="S8270">
        <v>1.5731809999999999E-2</v>
      </c>
      <c r="T8270">
        <v>-8.6925630000000004E-2</v>
      </c>
      <c r="U8270">
        <v>3.071625</v>
      </c>
      <c r="V8270">
        <v>-3.4812179999999999E-3</v>
      </c>
      <c r="W8270">
        <v>0.19898579999999999</v>
      </c>
      <c r="X8270">
        <v>0.97999619999999998</v>
      </c>
      <c r="Y8270">
        <v>-8.2901539999999992E-3</v>
      </c>
      <c r="Z8270">
        <v>-2.828375E-2</v>
      </c>
      <c r="AA8270">
        <v>0.9995655</v>
      </c>
      <c r="AB8270">
        <v>42</v>
      </c>
      <c r="AC8270">
        <v>0.195099999999996</v>
      </c>
      <c r="AD8270">
        <v>-1.109154142727</v>
      </c>
      <c r="AE8270">
        <v>38.78566</v>
      </c>
      <c r="AF8270">
        <v>-0.32474477820172598</v>
      </c>
      <c r="AG8270">
        <v>-1.109154142727</v>
      </c>
      <c r="AH8270">
        <v>38.753097882306797</v>
      </c>
      <c r="AI8270">
        <v>91.639359980727207</v>
      </c>
      <c r="AJ8270">
        <v>90.480118254229694</v>
      </c>
      <c r="AK8270">
        <v>38.770327282071598</v>
      </c>
      <c r="AL8270">
        <v>78.522342464073503</v>
      </c>
      <c r="AM8270">
        <v>90.203529625932902</v>
      </c>
      <c r="AN8270">
        <v>1.00000000974742</v>
      </c>
    </row>
    <row r="8271" spans="1:40" x14ac:dyDescent="0.25">
      <c r="A8271" t="str">
        <f>"20190312172311401"</f>
        <v>20190312172311401</v>
      </c>
      <c r="B8271" t="str">
        <f>"1552382591398657"</f>
        <v>1552382591398657</v>
      </c>
      <c r="C8271" t="s">
        <v>40</v>
      </c>
      <c r="D8271">
        <v>2.984432</v>
      </c>
      <c r="E8271">
        <v>0.49773600000000001</v>
      </c>
      <c r="F8271" t="s">
        <v>42</v>
      </c>
      <c r="G8271">
        <v>-187.75970000000001</v>
      </c>
      <c r="H8271" s="1">
        <v>-1.24408E-6</v>
      </c>
      <c r="I8271">
        <v>111.5522</v>
      </c>
      <c r="J8271">
        <v>-187.95590000000001</v>
      </c>
      <c r="K8271">
        <v>1.109199</v>
      </c>
      <c r="L8271">
        <v>72.882660000000001</v>
      </c>
      <c r="M8271">
        <v>1.3660200000000001E-2</v>
      </c>
      <c r="N8271">
        <v>0</v>
      </c>
      <c r="O8271">
        <v>0.99984910000000005</v>
      </c>
      <c r="P8271">
        <v>9.3572289999999999E-3</v>
      </c>
      <c r="Q8271">
        <v>0.1888582</v>
      </c>
      <c r="R8271">
        <v>0.98195980000000005</v>
      </c>
      <c r="S8271">
        <v>1.586914E-2</v>
      </c>
      <c r="T8271">
        <v>-8.7177279999999996E-2</v>
      </c>
      <c r="U8271">
        <v>3.071472</v>
      </c>
      <c r="V8271">
        <v>-3.8678200000000001E-3</v>
      </c>
      <c r="W8271">
        <v>0.19938629999999999</v>
      </c>
      <c r="X8271">
        <v>0.97991340000000005</v>
      </c>
      <c r="Y8271">
        <v>-8.4968079999999998E-3</v>
      </c>
      <c r="Z8271">
        <v>-2.8366800000000001E-2</v>
      </c>
      <c r="AA8271">
        <v>0.99956149999999999</v>
      </c>
      <c r="AB8271">
        <v>42</v>
      </c>
      <c r="AC8271">
        <v>0.19620000000000401</v>
      </c>
      <c r="AD8271">
        <v>-1.10920024408</v>
      </c>
      <c r="AE8271">
        <v>38.669539999999998</v>
      </c>
      <c r="AF8271">
        <v>-0.33180938347691002</v>
      </c>
      <c r="AG8271">
        <v>-1.10920024408</v>
      </c>
      <c r="AH8271">
        <v>38.636823159567399</v>
      </c>
      <c r="AI8271">
        <v>91.644356217291204</v>
      </c>
      <c r="AJ8271">
        <v>90.492038640036</v>
      </c>
      <c r="AK8271">
        <v>38.654165707102202</v>
      </c>
      <c r="AL8271">
        <v>78.498926917201999</v>
      </c>
      <c r="AM8271">
        <v>90.226151220159906</v>
      </c>
      <c r="AN8271">
        <v>1.00000006407939</v>
      </c>
    </row>
    <row r="8272" spans="1:40" x14ac:dyDescent="0.25">
      <c r="A8272" t="str">
        <f>"20190312172311424"</f>
        <v>20190312172311424</v>
      </c>
      <c r="B8272" t="str">
        <f>"1552382591418177"</f>
        <v>1552382591418177</v>
      </c>
      <c r="C8272" t="s">
        <v>40</v>
      </c>
      <c r="D8272">
        <v>2.976791</v>
      </c>
      <c r="E8272">
        <v>0.49775970000000003</v>
      </c>
      <c r="F8272" t="s">
        <v>42</v>
      </c>
      <c r="G8272">
        <v>-187.7398</v>
      </c>
      <c r="H8272" s="1">
        <v>-1.9731810000000001E-6</v>
      </c>
      <c r="I8272">
        <v>113.2978</v>
      </c>
      <c r="J8272">
        <v>-187.94980000000001</v>
      </c>
      <c r="K8272">
        <v>1.1092519999999999</v>
      </c>
      <c r="L8272">
        <v>73.317959999999999</v>
      </c>
      <c r="M8272">
        <v>1.38703E-2</v>
      </c>
      <c r="N8272">
        <v>0</v>
      </c>
      <c r="O8272">
        <v>0.99984609999999996</v>
      </c>
      <c r="P8272">
        <v>9.5518719999999994E-3</v>
      </c>
      <c r="Q8272">
        <v>0.18908730000000001</v>
      </c>
      <c r="R8272">
        <v>0.98191379999999995</v>
      </c>
      <c r="S8272">
        <v>1.6418459999999999E-2</v>
      </c>
      <c r="T8272">
        <v>-8.4288840000000004E-2</v>
      </c>
      <c r="U8272">
        <v>3.071167</v>
      </c>
      <c r="V8272">
        <v>-3.9022010000000001E-3</v>
      </c>
      <c r="W8272">
        <v>0.19962779999999999</v>
      </c>
      <c r="X8272">
        <v>0.97986399999999996</v>
      </c>
      <c r="Y8272">
        <v>-8.5275090000000008E-3</v>
      </c>
      <c r="Z8272">
        <v>-2.743023E-2</v>
      </c>
      <c r="AA8272">
        <v>0.99958740000000001</v>
      </c>
      <c r="AB8272">
        <v>42</v>
      </c>
      <c r="AC8272">
        <v>0.21000000000000801</v>
      </c>
      <c r="AD8272">
        <v>-1.1092539731810001</v>
      </c>
      <c r="AE8272">
        <v>39.979840000000003</v>
      </c>
      <c r="AF8272">
        <v>-0.344319524258134</v>
      </c>
      <c r="AG8272">
        <v>-1.1092539731810001</v>
      </c>
      <c r="AH8272">
        <v>39.948155155724997</v>
      </c>
      <c r="AI8272">
        <v>91.5904835966343</v>
      </c>
      <c r="AJ8272">
        <v>90.493829238345995</v>
      </c>
      <c r="AK8272">
        <v>39.965035977184897</v>
      </c>
      <c r="AL8272">
        <v>78.484805034461402</v>
      </c>
      <c r="AM8272">
        <v>90.228172956832907</v>
      </c>
      <c r="AN8272">
        <v>0.99999997210074099</v>
      </c>
    </row>
    <row r="8273" spans="1:40" x14ac:dyDescent="0.25">
      <c r="A8273" t="str">
        <f>"20190312172311446"</f>
        <v>20190312172311446</v>
      </c>
      <c r="B8273" t="str">
        <f>"1552382591438859"</f>
        <v>1552382591438859</v>
      </c>
      <c r="C8273" t="s">
        <v>40</v>
      </c>
      <c r="D8273">
        <v>2.994246</v>
      </c>
      <c r="E8273">
        <v>0.49778030000000001</v>
      </c>
      <c r="F8273" t="s">
        <v>42</v>
      </c>
      <c r="G8273">
        <v>-187.7227</v>
      </c>
      <c r="H8273" s="1">
        <v>-2.3458480000000001E-6</v>
      </c>
      <c r="I8273">
        <v>114.15940000000001</v>
      </c>
      <c r="J8273">
        <v>-187.9435</v>
      </c>
      <c r="K8273">
        <v>1.109307</v>
      </c>
      <c r="L8273">
        <v>73.757689999999997</v>
      </c>
      <c r="M8273">
        <v>1.403516E-2</v>
      </c>
      <c r="N8273">
        <v>0</v>
      </c>
      <c r="O8273">
        <v>0.9998437</v>
      </c>
      <c r="P8273">
        <v>9.2690510000000004E-3</v>
      </c>
      <c r="Q8273">
        <v>0.18953020000000001</v>
      </c>
      <c r="R8273">
        <v>0.98183109999999996</v>
      </c>
      <c r="S8273">
        <v>1.7074579999999999E-2</v>
      </c>
      <c r="T8273">
        <v>-8.3413000000000001E-2</v>
      </c>
      <c r="U8273">
        <v>3.071167</v>
      </c>
      <c r="V8273">
        <v>-4.368556E-3</v>
      </c>
      <c r="W8273">
        <v>0.2000825</v>
      </c>
      <c r="X8273">
        <v>0.97976929999999995</v>
      </c>
      <c r="Y8273">
        <v>-8.4787930000000001E-3</v>
      </c>
      <c r="Z8273">
        <v>-2.7145320000000001E-2</v>
      </c>
      <c r="AA8273">
        <v>0.99959549999999997</v>
      </c>
      <c r="AB8273">
        <v>42</v>
      </c>
      <c r="AC8273">
        <v>0.220799999999996</v>
      </c>
      <c r="AD8273">
        <v>-1.1093093458479999</v>
      </c>
      <c r="AE8273">
        <v>40.401710000000001</v>
      </c>
      <c r="AF8273">
        <v>-0.346038124457761</v>
      </c>
      <c r="AG8273">
        <v>-1.1093093458479999</v>
      </c>
      <c r="AH8273">
        <v>40.370395427545503</v>
      </c>
      <c r="AI8273">
        <v>91.573936060019406</v>
      </c>
      <c r="AJ8273">
        <v>90.491103402101004</v>
      </c>
      <c r="AK8273">
        <v>40.387115972606303</v>
      </c>
      <c r="AL8273">
        <v>78.458216389769404</v>
      </c>
      <c r="AM8273">
        <v>90.2554664273394</v>
      </c>
      <c r="AN8273">
        <v>0.99999998615513197</v>
      </c>
    </row>
    <row r="8274" spans="1:40" x14ac:dyDescent="0.25">
      <c r="A8274" t="str">
        <f>"20190312172311469"</f>
        <v>20190312172311469</v>
      </c>
      <c r="B8274" t="str">
        <f>"1552382591458382"</f>
        <v>1552382591458382</v>
      </c>
      <c r="C8274" t="s">
        <v>40</v>
      </c>
      <c r="D8274">
        <v>3.0008140000000001</v>
      </c>
      <c r="E8274">
        <v>0.49786079999999999</v>
      </c>
      <c r="F8274" t="s">
        <v>42</v>
      </c>
      <c r="G8274">
        <v>-187.7107</v>
      </c>
      <c r="H8274" s="1">
        <v>-2.9187079999999999E-6</v>
      </c>
      <c r="I8274">
        <v>115.4898</v>
      </c>
      <c r="J8274">
        <v>-187.9376</v>
      </c>
      <c r="K8274">
        <v>1.109353</v>
      </c>
      <c r="L8274">
        <v>74.176180000000002</v>
      </c>
      <c r="M8274">
        <v>1.415509E-2</v>
      </c>
      <c r="N8274">
        <v>0</v>
      </c>
      <c r="O8274">
        <v>0.99984189999999995</v>
      </c>
      <c r="P8274">
        <v>9.0279169999999999E-3</v>
      </c>
      <c r="Q8274">
        <v>0.18937560000000001</v>
      </c>
      <c r="R8274">
        <v>0.98186320000000005</v>
      </c>
      <c r="S8274">
        <v>1.7135620000000001E-2</v>
      </c>
      <c r="T8274">
        <v>-8.1635239999999998E-2</v>
      </c>
      <c r="U8274">
        <v>3.0711059999999999</v>
      </c>
      <c r="V8274">
        <v>-4.7475879999999996E-3</v>
      </c>
      <c r="W8274">
        <v>0.19993900000000001</v>
      </c>
      <c r="X8274">
        <v>0.97979680000000002</v>
      </c>
      <c r="Y8274">
        <v>-8.5786860000000003E-3</v>
      </c>
      <c r="Z8274">
        <v>-2.6567629999999998E-2</v>
      </c>
      <c r="AA8274">
        <v>0.9996102</v>
      </c>
      <c r="AB8274">
        <v>43</v>
      </c>
      <c r="AC8274">
        <v>0.22689999999999999</v>
      </c>
      <c r="AD8274">
        <v>-1.109355918708</v>
      </c>
      <c r="AE8274">
        <v>41.31362</v>
      </c>
      <c r="AF8274">
        <v>-0.35769670644789597</v>
      </c>
      <c r="AG8274">
        <v>-1.109355918708</v>
      </c>
      <c r="AH8274">
        <v>41.2829268887034</v>
      </c>
      <c r="AI8274">
        <v>91.539225537850101</v>
      </c>
      <c r="AJ8274">
        <v>90.496427950372095</v>
      </c>
      <c r="AK8274">
        <v>41.299378566586299</v>
      </c>
      <c r="AL8274">
        <v>78.466607546475601</v>
      </c>
      <c r="AM8274">
        <v>90.277623509722105</v>
      </c>
      <c r="AN8274">
        <v>0.99999995630152705</v>
      </c>
    </row>
    <row r="8275" spans="1:40" x14ac:dyDescent="0.25">
      <c r="A8275" t="str">
        <f>"20190312172311490"</f>
        <v>20190312172311490</v>
      </c>
      <c r="B8275" t="str">
        <f>"1552382591478874"</f>
        <v>1552382591478874</v>
      </c>
      <c r="C8275" t="s">
        <v>40</v>
      </c>
      <c r="D8275">
        <v>2.9795410000000002</v>
      </c>
      <c r="E8275">
        <v>0.4978727</v>
      </c>
      <c r="F8275" t="s">
        <v>42</v>
      </c>
      <c r="G8275">
        <v>-187.69489999999999</v>
      </c>
      <c r="H8275" s="1">
        <v>-3.12047E-6</v>
      </c>
      <c r="I8275">
        <v>115.95350000000001</v>
      </c>
      <c r="J8275">
        <v>-187.93170000000001</v>
      </c>
      <c r="K8275">
        <v>1.1093869999999999</v>
      </c>
      <c r="L8275">
        <v>74.587549999999993</v>
      </c>
      <c r="M8275">
        <v>1.42454E-2</v>
      </c>
      <c r="N8275">
        <v>0</v>
      </c>
      <c r="O8275">
        <v>0.99984039999999996</v>
      </c>
      <c r="P8275">
        <v>8.6535269999999994E-3</v>
      </c>
      <c r="Q8275">
        <v>0.18999489999999999</v>
      </c>
      <c r="R8275">
        <v>0.98174700000000004</v>
      </c>
      <c r="S8275">
        <v>1.7837519999999999E-2</v>
      </c>
      <c r="T8275">
        <v>-8.1546899999999894E-2</v>
      </c>
      <c r="U8275">
        <v>3.0709840000000002</v>
      </c>
      <c r="V8275">
        <v>-5.2243849999999998E-3</v>
      </c>
      <c r="W8275">
        <v>0.20056740000000001</v>
      </c>
      <c r="X8275">
        <v>0.97966600000000004</v>
      </c>
      <c r="Y8275">
        <v>-8.4403199999999994E-3</v>
      </c>
      <c r="Z8275">
        <v>-2.653991E-2</v>
      </c>
      <c r="AA8275">
        <v>0.9996121</v>
      </c>
      <c r="AB8275">
        <v>43</v>
      </c>
      <c r="AC8275">
        <v>0.236800000000016</v>
      </c>
      <c r="AD8275">
        <v>-1.1093901204700001</v>
      </c>
      <c r="AE8275">
        <v>41.365949999999998</v>
      </c>
      <c r="AF8275">
        <v>-0.35227941750830799</v>
      </c>
      <c r="AG8275">
        <v>-1.1093901204700001</v>
      </c>
      <c r="AH8275">
        <v>41.335395885415899</v>
      </c>
      <c r="AI8275">
        <v>91.537321910779696</v>
      </c>
      <c r="AJ8275">
        <v>90.4882893884959</v>
      </c>
      <c r="AK8275">
        <v>41.351781101077798</v>
      </c>
      <c r="AL8275">
        <v>78.429859286390695</v>
      </c>
      <c r="AM8275">
        <v>90.305545332288901</v>
      </c>
      <c r="AN8275">
        <v>1.0000000238486899</v>
      </c>
    </row>
    <row r="8276" spans="1:40" x14ac:dyDescent="0.25">
      <c r="A8276" t="str">
        <f>"20190312172311513"</f>
        <v>20190312172311513</v>
      </c>
      <c r="B8276" t="str">
        <f>"1552382591509130"</f>
        <v>1552382591509130</v>
      </c>
      <c r="C8276" t="s">
        <v>40</v>
      </c>
      <c r="D8276">
        <v>2.9795630000000002</v>
      </c>
      <c r="E8276">
        <v>0.49798009999999898</v>
      </c>
      <c r="F8276" t="s">
        <v>42</v>
      </c>
      <c r="G8276">
        <v>-187.6901</v>
      </c>
      <c r="H8276" s="1">
        <v>-3.797597E-6</v>
      </c>
      <c r="I8276">
        <v>117.53</v>
      </c>
      <c r="J8276">
        <v>-187.9256</v>
      </c>
      <c r="K8276">
        <v>1.1094139999999999</v>
      </c>
      <c r="L8276">
        <v>75.007230000000007</v>
      </c>
      <c r="M8276">
        <v>1.431735E-2</v>
      </c>
      <c r="N8276">
        <v>0</v>
      </c>
      <c r="O8276">
        <v>0.99983929999999999</v>
      </c>
      <c r="P8276">
        <v>8.2530859999999998E-3</v>
      </c>
      <c r="Q8276">
        <v>0.19045010000000001</v>
      </c>
      <c r="R8276">
        <v>0.98166220000000004</v>
      </c>
      <c r="S8276">
        <v>1.7272949999999999E-2</v>
      </c>
      <c r="T8276">
        <v>-7.9337000000000005E-2</v>
      </c>
      <c r="U8276">
        <v>3.0709840000000002</v>
      </c>
      <c r="V8276">
        <v>-5.7068559999999997E-3</v>
      </c>
      <c r="W8276">
        <v>0.20103080000000001</v>
      </c>
      <c r="X8276">
        <v>0.97956829999999995</v>
      </c>
      <c r="Y8276">
        <v>-8.6959299999999993E-3</v>
      </c>
      <c r="Z8276">
        <v>-2.5821110000000001E-2</v>
      </c>
      <c r="AA8276">
        <v>0.99962879999999998</v>
      </c>
      <c r="AB8276">
        <v>43</v>
      </c>
      <c r="AC8276">
        <v>0.23550000000000099</v>
      </c>
      <c r="AD8276">
        <v>-1.1094177975970001</v>
      </c>
      <c r="AE8276">
        <v>42.522770000000001</v>
      </c>
      <c r="AF8276">
        <v>-0.37311898526362403</v>
      </c>
      <c r="AG8276">
        <v>-1.1094177975970001</v>
      </c>
      <c r="AH8276">
        <v>42.492859473956102</v>
      </c>
      <c r="AI8276">
        <v>91.495500011748106</v>
      </c>
      <c r="AJ8276">
        <v>90.503086729699106</v>
      </c>
      <c r="AK8276">
        <v>42.508977074262397</v>
      </c>
      <c r="AL8276">
        <v>78.402756152671898</v>
      </c>
      <c r="AM8276">
        <v>90.333795064455998</v>
      </c>
      <c r="AN8276">
        <v>1.00000000255946</v>
      </c>
    </row>
    <row r="8277" spans="1:40" x14ac:dyDescent="0.25">
      <c r="A8277" t="str">
        <f>"20190312172311537"</f>
        <v>20190312172311537</v>
      </c>
      <c r="B8277" t="str">
        <f>"1552382591528651"</f>
        <v>1552382591528651</v>
      </c>
      <c r="C8277" t="s">
        <v>40</v>
      </c>
      <c r="D8277">
        <v>2.9837660000000001</v>
      </c>
      <c r="E8277">
        <v>0.49803269999999999</v>
      </c>
      <c r="F8277" t="s">
        <v>42</v>
      </c>
      <c r="G8277">
        <v>-187.68520000000001</v>
      </c>
      <c r="H8277" s="1">
        <v>-4.3795259999999996E-6</v>
      </c>
      <c r="I8277">
        <v>118.8844</v>
      </c>
      <c r="J8277">
        <v>-187.91900000000001</v>
      </c>
      <c r="K8277">
        <v>1.109437</v>
      </c>
      <c r="L8277">
        <v>75.467559999999906</v>
      </c>
      <c r="M8277">
        <v>1.4381410000000001E-2</v>
      </c>
      <c r="N8277">
        <v>0</v>
      </c>
      <c r="O8277">
        <v>0.99983829999999996</v>
      </c>
      <c r="P8277">
        <v>7.8832729999999997E-3</v>
      </c>
      <c r="Q8277">
        <v>0.1901514</v>
      </c>
      <c r="R8277">
        <v>0.98172309999999996</v>
      </c>
      <c r="S8277">
        <v>1.6830439999999999E-2</v>
      </c>
      <c r="T8277">
        <v>-7.7647919999999995E-2</v>
      </c>
      <c r="U8277">
        <v>3.0709529999999998</v>
      </c>
      <c r="V8277">
        <v>-6.1523669999999997E-3</v>
      </c>
      <c r="W8277">
        <v>0.20074259999999999</v>
      </c>
      <c r="X8277">
        <v>0.97962470000000001</v>
      </c>
      <c r="Y8277">
        <v>-8.9039050000000002E-3</v>
      </c>
      <c r="Z8277">
        <v>-2.527194E-2</v>
      </c>
      <c r="AA8277">
        <v>0.99964090000000005</v>
      </c>
      <c r="AB8277">
        <v>43</v>
      </c>
      <c r="AC8277">
        <v>0.23380000000000201</v>
      </c>
      <c r="AD8277">
        <v>-1.1094413795260001</v>
      </c>
      <c r="AE8277">
        <v>43.416840000000001</v>
      </c>
      <c r="AF8277">
        <v>-0.39040103610198301</v>
      </c>
      <c r="AG8277">
        <v>-1.1094413795260001</v>
      </c>
      <c r="AH8277">
        <v>43.3873821943575</v>
      </c>
      <c r="AI8277">
        <v>91.464708977951105</v>
      </c>
      <c r="AJ8277">
        <v>90.515535321640201</v>
      </c>
      <c r="AK8277">
        <v>43.403320228098302</v>
      </c>
      <c r="AL8277">
        <v>78.419612366115601</v>
      </c>
      <c r="AM8277">
        <v>90.359831707656994</v>
      </c>
      <c r="AN8277">
        <v>0.99999999796227601</v>
      </c>
    </row>
    <row r="8278" spans="1:40" x14ac:dyDescent="0.25">
      <c r="A8278" t="str">
        <f>"20190312172311558"</f>
        <v>20190312172311558</v>
      </c>
      <c r="B8278" t="str">
        <f>"1552382591548170"</f>
        <v>1552382591548170</v>
      </c>
      <c r="C8278" t="s">
        <v>40</v>
      </c>
      <c r="D8278">
        <v>2.98251</v>
      </c>
      <c r="E8278">
        <v>0.49811539999999999</v>
      </c>
      <c r="F8278" t="s">
        <v>42</v>
      </c>
      <c r="G8278">
        <v>-187.69919999999999</v>
      </c>
      <c r="H8278" s="1">
        <v>-4.3366330000000004E-6</v>
      </c>
      <c r="I8278">
        <v>118.7902</v>
      </c>
      <c r="J8278">
        <v>-187.9128</v>
      </c>
      <c r="K8278">
        <v>1.109451</v>
      </c>
      <c r="L8278">
        <v>75.890010000000004</v>
      </c>
      <c r="M8278">
        <v>1.4433E-2</v>
      </c>
      <c r="N8278">
        <v>0</v>
      </c>
      <c r="O8278">
        <v>0.99983750000000005</v>
      </c>
      <c r="P8278">
        <v>7.4868440000000003E-3</v>
      </c>
      <c r="Q8278">
        <v>0.18975449999999999</v>
      </c>
      <c r="R8278">
        <v>0.98180299999999998</v>
      </c>
      <c r="S8278">
        <v>1.557922E-2</v>
      </c>
      <c r="T8278">
        <v>-7.8643439999999995E-2</v>
      </c>
      <c r="U8278">
        <v>3.0709529999999998</v>
      </c>
      <c r="V8278">
        <v>-6.6097459999999997E-3</v>
      </c>
      <c r="W8278">
        <v>0.2003548</v>
      </c>
      <c r="X8278">
        <v>0.97970109999999999</v>
      </c>
      <c r="Y8278">
        <v>-9.3628270000000006E-3</v>
      </c>
      <c r="Z8278">
        <v>-2.5595690000000001E-2</v>
      </c>
      <c r="AA8278">
        <v>0.99962850000000003</v>
      </c>
      <c r="AB8278">
        <v>43</v>
      </c>
      <c r="AC8278">
        <v>0.213600000000013</v>
      </c>
      <c r="AD8278">
        <v>-1.109455336633</v>
      </c>
      <c r="AE8278">
        <v>42.900190000000002</v>
      </c>
      <c r="AF8278">
        <v>-0.405365709225951</v>
      </c>
      <c r="AG8278">
        <v>-1.109455336633</v>
      </c>
      <c r="AH8278">
        <v>42.8701328523304</v>
      </c>
      <c r="AI8278">
        <v>91.4823859616844</v>
      </c>
      <c r="AJ8278">
        <v>90.541753677630894</v>
      </c>
      <c r="AK8278">
        <v>42.886402312139197</v>
      </c>
      <c r="AL8278">
        <v>78.442292350624498</v>
      </c>
      <c r="AM8278">
        <v>90.386551371201193</v>
      </c>
      <c r="AN8278">
        <v>0.99999998998321704</v>
      </c>
    </row>
    <row r="8279" spans="1:40" x14ac:dyDescent="0.25">
      <c r="A8279" t="str">
        <f>"20190312172311580"</f>
        <v>20190312172311580</v>
      </c>
      <c r="B8279" t="str">
        <f>"1552382591568666"</f>
        <v>1552382591568666</v>
      </c>
      <c r="C8279" t="s">
        <v>40</v>
      </c>
      <c r="D8279">
        <v>2.973732</v>
      </c>
      <c r="E8279">
        <v>0.49823030000000001</v>
      </c>
      <c r="F8279" t="s">
        <v>42</v>
      </c>
      <c r="G8279">
        <v>-187.70400000000001</v>
      </c>
      <c r="H8279" s="1">
        <v>-4.1977959999999997E-6</v>
      </c>
      <c r="I8279">
        <v>118.4686</v>
      </c>
      <c r="J8279">
        <v>-187.90690000000001</v>
      </c>
      <c r="K8279">
        <v>1.1094630000000001</v>
      </c>
      <c r="L8279">
        <v>76.296629999999993</v>
      </c>
      <c r="M8279">
        <v>1.4480099999999999E-2</v>
      </c>
      <c r="N8279">
        <v>0</v>
      </c>
      <c r="O8279">
        <v>0.99983670000000002</v>
      </c>
      <c r="P8279">
        <v>7.6573730000000003E-3</v>
      </c>
      <c r="Q8279">
        <v>0.18946730000000001</v>
      </c>
      <c r="R8279">
        <v>0.98185719999999999</v>
      </c>
      <c r="S8279">
        <v>1.506042E-2</v>
      </c>
      <c r="T8279">
        <v>-8.0018759999999994E-2</v>
      </c>
      <c r="U8279">
        <v>3.0709529999999998</v>
      </c>
      <c r="V8279">
        <v>-6.4933350000000003E-3</v>
      </c>
      <c r="W8279">
        <v>0.2000759</v>
      </c>
      <c r="X8279">
        <v>0.97975889999999999</v>
      </c>
      <c r="Y8279">
        <v>-9.5788560000000002E-3</v>
      </c>
      <c r="Z8279">
        <v>-2.604296E-2</v>
      </c>
      <c r="AA8279">
        <v>0.99961500000000003</v>
      </c>
      <c r="AB8279">
        <v>43</v>
      </c>
      <c r="AC8279">
        <v>0.202899999999999</v>
      </c>
      <c r="AD8279">
        <v>-1.10946719779599</v>
      </c>
      <c r="AE8279">
        <v>42.171969999999902</v>
      </c>
      <c r="AF8279">
        <v>-0.40752926117763699</v>
      </c>
      <c r="AG8279">
        <v>-1.10946719779599</v>
      </c>
      <c r="AH8279">
        <v>42.1413201083801</v>
      </c>
      <c r="AI8279">
        <v>91.508024354661998</v>
      </c>
      <c r="AJ8279">
        <v>90.554063773785103</v>
      </c>
      <c r="AK8279">
        <v>42.157892001838299</v>
      </c>
      <c r="AL8279">
        <v>78.458602691091599</v>
      </c>
      <c r="AM8279">
        <v>90.379721218654197</v>
      </c>
      <c r="AN8279">
        <v>1.00000001564472</v>
      </c>
    </row>
    <row r="8280" spans="1:40" x14ac:dyDescent="0.25">
      <c r="A8280" t="str">
        <f>"20190312172311601"</f>
        <v>20190312172311601</v>
      </c>
      <c r="B8280" t="str">
        <f>"1552382591598923"</f>
        <v>1552382591598923</v>
      </c>
      <c r="C8280" t="s">
        <v>40</v>
      </c>
      <c r="D8280">
        <v>2.971616</v>
      </c>
      <c r="E8280">
        <v>0.49837799999999999</v>
      </c>
      <c r="F8280" t="s">
        <v>42</v>
      </c>
      <c r="G8280">
        <v>-187.68049999999999</v>
      </c>
      <c r="H8280" s="1">
        <v>-4.1460819999999999E-6</v>
      </c>
      <c r="I8280">
        <v>118.3383</v>
      </c>
      <c r="J8280">
        <v>-187.90090000000001</v>
      </c>
      <c r="K8280">
        <v>1.109478</v>
      </c>
      <c r="L8280">
        <v>76.707949999999997</v>
      </c>
      <c r="M8280">
        <v>1.4527119999999999E-2</v>
      </c>
      <c r="N8280">
        <v>0</v>
      </c>
      <c r="O8280">
        <v>0.9998359</v>
      </c>
      <c r="P8280">
        <v>8.1803320000000002E-3</v>
      </c>
      <c r="Q8280">
        <v>0.1893697</v>
      </c>
      <c r="R8280">
        <v>0.98187179999999996</v>
      </c>
      <c r="S8280">
        <v>1.6540530000000001E-2</v>
      </c>
      <c r="T8280">
        <v>-8.104074E-2</v>
      </c>
      <c r="U8280">
        <v>3.0709230000000001</v>
      </c>
      <c r="V8280">
        <v>-6.0229929999999999E-3</v>
      </c>
      <c r="W8280">
        <v>0.19998479999999999</v>
      </c>
      <c r="X8280">
        <v>0.97978050000000005</v>
      </c>
      <c r="Y8280">
        <v>-9.1441019999999994E-3</v>
      </c>
      <c r="Z8280">
        <v>-2.6375599999999999E-2</v>
      </c>
      <c r="AA8280">
        <v>0.99961029999999995</v>
      </c>
      <c r="AB8280">
        <v>43</v>
      </c>
      <c r="AC8280">
        <v>0.220400000000012</v>
      </c>
      <c r="AD8280">
        <v>-1.1094821460819999</v>
      </c>
      <c r="AE8280">
        <v>41.63035</v>
      </c>
      <c r="AF8280">
        <v>-0.384154929315</v>
      </c>
      <c r="AG8280">
        <v>-1.1094821460819999</v>
      </c>
      <c r="AH8280">
        <v>41.599612514502503</v>
      </c>
      <c r="AI8280">
        <v>91.527679374168798</v>
      </c>
      <c r="AJ8280">
        <v>90.529087392051494</v>
      </c>
      <c r="AK8280">
        <v>41.6161781882833</v>
      </c>
      <c r="AL8280">
        <v>78.463929965469902</v>
      </c>
      <c r="AM8280">
        <v>90.352209226580001</v>
      </c>
      <c r="AN8280">
        <v>1.00000001242798</v>
      </c>
    </row>
    <row r="8281" spans="1:40" x14ac:dyDescent="0.25">
      <c r="A8281" t="str">
        <f>"20190312172311625"</f>
        <v>20190312172311625</v>
      </c>
      <c r="B8281" t="str">
        <f>"1552382591618444"</f>
        <v>1552382591618444</v>
      </c>
      <c r="C8281" t="s">
        <v>40</v>
      </c>
      <c r="D8281">
        <v>3.003933</v>
      </c>
      <c r="E8281">
        <v>0.49844240000000001</v>
      </c>
      <c r="F8281" t="s">
        <v>42</v>
      </c>
      <c r="G8281">
        <v>-187.6292</v>
      </c>
      <c r="H8281" s="1">
        <v>-4.2465909999999997E-6</v>
      </c>
      <c r="I8281">
        <v>118.5514</v>
      </c>
      <c r="J8281">
        <v>-187.89429999999999</v>
      </c>
      <c r="K8281">
        <v>1.1094869999999999</v>
      </c>
      <c r="L8281">
        <v>77.158019999999993</v>
      </c>
      <c r="M8281">
        <v>1.45793999999999E-2</v>
      </c>
      <c r="N8281">
        <v>0</v>
      </c>
      <c r="O8281">
        <v>0.99983509999999998</v>
      </c>
      <c r="P8281">
        <v>8.525131E-3</v>
      </c>
      <c r="Q8281">
        <v>0.1894419</v>
      </c>
      <c r="R8281">
        <v>0.98185489999999997</v>
      </c>
      <c r="S8281">
        <v>1.9943240000000001E-2</v>
      </c>
      <c r="T8281">
        <v>-8.1425789999999998E-2</v>
      </c>
      <c r="U8281">
        <v>3.0709230000000001</v>
      </c>
      <c r="V8281">
        <v>-5.7351059999999898E-3</v>
      </c>
      <c r="W8281">
        <v>0.2000643</v>
      </c>
      <c r="X8281">
        <v>0.97976600000000003</v>
      </c>
      <c r="Y8281">
        <v>-8.0888450000000008E-3</v>
      </c>
      <c r="Z8281">
        <v>-2.650083E-2</v>
      </c>
      <c r="AA8281">
        <v>0.99961610000000001</v>
      </c>
      <c r="AB8281">
        <v>43</v>
      </c>
      <c r="AC8281">
        <v>0.26509999999998901</v>
      </c>
      <c r="AD8281">
        <v>-1.1094912465910001</v>
      </c>
      <c r="AE8281">
        <v>41.393380000000001</v>
      </c>
      <c r="AF8281">
        <v>-0.33821122373779</v>
      </c>
      <c r="AG8281">
        <v>-1.1094912465910001</v>
      </c>
      <c r="AH8281">
        <v>41.363129811592401</v>
      </c>
      <c r="AI8281">
        <v>91.536436039647697</v>
      </c>
      <c r="AJ8281">
        <v>90.468476248147397</v>
      </c>
      <c r="AK8281">
        <v>41.379389380085897</v>
      </c>
      <c r="AL8281">
        <v>78.459281031601407</v>
      </c>
      <c r="AM8281">
        <v>90.335379688534104</v>
      </c>
      <c r="AN8281">
        <v>1.0000000151656601</v>
      </c>
    </row>
    <row r="8282" spans="1:40" x14ac:dyDescent="0.25">
      <c r="A8282" t="str">
        <f>"20190312172311647"</f>
        <v>20190312172311647</v>
      </c>
      <c r="B8282" t="str">
        <f>"1552382591638939"</f>
        <v>1552382591638939</v>
      </c>
      <c r="C8282" t="s">
        <v>40</v>
      </c>
      <c r="D8282">
        <v>2.974917</v>
      </c>
      <c r="E8282">
        <v>0.49851839999999997</v>
      </c>
      <c r="F8282" t="s">
        <v>42</v>
      </c>
      <c r="G8282">
        <v>-187.60149999999999</v>
      </c>
      <c r="H8282" s="1">
        <v>-4.4772190000000004E-6</v>
      </c>
      <c r="I8282">
        <v>119.0775</v>
      </c>
      <c r="J8282">
        <v>-187.88800000000001</v>
      </c>
      <c r="K8282">
        <v>1.109494</v>
      </c>
      <c r="L8282">
        <v>77.590090000000004</v>
      </c>
      <c r="M8282">
        <v>1.462957E-2</v>
      </c>
      <c r="N8282">
        <v>0</v>
      </c>
      <c r="O8282">
        <v>0.99983429999999995</v>
      </c>
      <c r="P8282">
        <v>9.0757619999999994E-3</v>
      </c>
      <c r="Q8282">
        <v>0.190056</v>
      </c>
      <c r="R8282">
        <v>0.98173129999999997</v>
      </c>
      <c r="S8282">
        <v>2.1453860000000002E-2</v>
      </c>
      <c r="T8282">
        <v>-8.1278680000000006E-2</v>
      </c>
      <c r="U8282">
        <v>3.0709230000000001</v>
      </c>
      <c r="V8282">
        <v>-5.2373369999999999E-3</v>
      </c>
      <c r="W8282">
        <v>0.20068369999999999</v>
      </c>
      <c r="X8282">
        <v>0.97964209999999996</v>
      </c>
      <c r="Y8282">
        <v>-7.6473069999999999E-3</v>
      </c>
      <c r="Z8282">
        <v>-2.6452969999999999E-2</v>
      </c>
      <c r="AA8282">
        <v>0.99962079999999998</v>
      </c>
      <c r="AB8282">
        <v>43</v>
      </c>
      <c r="AC8282">
        <v>0.28650000000001802</v>
      </c>
      <c r="AD8282">
        <v>-1.109498477219</v>
      </c>
      <c r="AE8282">
        <v>41.487409999999997</v>
      </c>
      <c r="AF8282">
        <v>-0.32028019798698898</v>
      </c>
      <c r="AG8282">
        <v>-1.109498477219</v>
      </c>
      <c r="AH8282">
        <v>41.457512662163303</v>
      </c>
      <c r="AI8282">
        <v>91.5329553163523</v>
      </c>
      <c r="AJ8282">
        <v>90.442629993055803</v>
      </c>
      <c r="AK8282">
        <v>41.473593073299099</v>
      </c>
      <c r="AL8282">
        <v>78.423057338048196</v>
      </c>
      <c r="AM8282">
        <v>90.306310281216696</v>
      </c>
      <c r="AN8282">
        <v>1.0000000106184701</v>
      </c>
    </row>
    <row r="8283" spans="1:40" x14ac:dyDescent="0.25">
      <c r="A8283" t="str">
        <f>"20190312172311669"</f>
        <v>20190312172311669</v>
      </c>
      <c r="B8283" t="str">
        <f>"1552382591658462"</f>
        <v>1552382591658462</v>
      </c>
      <c r="C8283" t="s">
        <v>40</v>
      </c>
      <c r="D8283">
        <v>2.980788</v>
      </c>
      <c r="E8283">
        <v>0.49856909999999999</v>
      </c>
      <c r="F8283" t="s">
        <v>62</v>
      </c>
      <c r="G8283">
        <v>-187.56540000000001</v>
      </c>
      <c r="H8283" s="1">
        <v>-8.4720979999999999E-7</v>
      </c>
      <c r="I8283">
        <v>120.33150000000001</v>
      </c>
      <c r="J8283">
        <v>-187.88200000000001</v>
      </c>
      <c r="K8283">
        <v>1.1095010000000001</v>
      </c>
      <c r="L8283">
        <v>77.993319999999997</v>
      </c>
      <c r="M8283">
        <v>1.467619E-2</v>
      </c>
      <c r="N8283">
        <v>0</v>
      </c>
      <c r="O8283">
        <v>0.99983350000000004</v>
      </c>
      <c r="P8283">
        <v>9.5179610000000001E-3</v>
      </c>
      <c r="Q8283">
        <v>0.1901216</v>
      </c>
      <c r="R8283">
        <v>0.98171439999999999</v>
      </c>
      <c r="S8283">
        <v>2.31781E-2</v>
      </c>
      <c r="T8283">
        <v>-7.9719070000000003E-2</v>
      </c>
      <c r="U8283">
        <v>3.0710449999999998</v>
      </c>
      <c r="V8283">
        <v>-4.8439420000000004E-3</v>
      </c>
      <c r="W8283">
        <v>0.20075519999999999</v>
      </c>
      <c r="X8283">
        <v>0.97962950000000004</v>
      </c>
      <c r="Y8283">
        <v>-7.1329039999999998E-3</v>
      </c>
      <c r="Z8283">
        <v>-2.5944660000000001E-2</v>
      </c>
      <c r="AA8283">
        <v>0.99963800000000003</v>
      </c>
      <c r="AB8283">
        <v>43</v>
      </c>
      <c r="AC8283">
        <v>0.316599999999993</v>
      </c>
      <c r="AD8283">
        <v>-1.1095018472097999</v>
      </c>
      <c r="AE8283">
        <v>42.338180000000001</v>
      </c>
      <c r="AF8283">
        <v>-0.30462462390224798</v>
      </c>
      <c r="AG8283">
        <v>-1.1095018472097999</v>
      </c>
      <c r="AH8283">
        <v>42.309212590954502</v>
      </c>
      <c r="AI8283">
        <v>91.502121096827494</v>
      </c>
      <c r="AJ8283">
        <v>90.412520173013604</v>
      </c>
      <c r="AK8283">
        <v>42.324853934503203</v>
      </c>
      <c r="AL8283">
        <v>78.418875880364496</v>
      </c>
      <c r="AM8283">
        <v>90.283306261126</v>
      </c>
      <c r="AN8283">
        <v>1.00000003568569</v>
      </c>
    </row>
    <row r="8284" spans="1:40" x14ac:dyDescent="0.25">
      <c r="A8284" t="str">
        <f>"20190312172311691"</f>
        <v>20190312172311691</v>
      </c>
      <c r="B8284" t="str">
        <f>"1552382591678955"</f>
        <v>1552382591678955</v>
      </c>
      <c r="C8284" t="s">
        <v>40</v>
      </c>
      <c r="D8284">
        <v>2.9745849999999998</v>
      </c>
      <c r="E8284">
        <v>0.49862329999999999</v>
      </c>
      <c r="F8284" t="s">
        <v>62</v>
      </c>
      <c r="G8284">
        <v>-187.5393</v>
      </c>
      <c r="H8284" s="1">
        <v>-9.6924609999999991E-7</v>
      </c>
      <c r="I8284">
        <v>120.72239999999999</v>
      </c>
      <c r="J8284">
        <v>-187.87569999999999</v>
      </c>
      <c r="K8284">
        <v>1.109507</v>
      </c>
      <c r="L8284">
        <v>78.417079999999999</v>
      </c>
      <c r="M8284">
        <v>1.4724589999999999E-2</v>
      </c>
      <c r="N8284">
        <v>0</v>
      </c>
      <c r="O8284">
        <v>0.99983270000000002</v>
      </c>
      <c r="P8284">
        <v>9.2530870000000001E-3</v>
      </c>
      <c r="Q8284">
        <v>0.19024150000000001</v>
      </c>
      <c r="R8284">
        <v>0.9816937</v>
      </c>
      <c r="S8284">
        <v>2.4627690000000001E-2</v>
      </c>
      <c r="T8284">
        <v>-7.9743499999999995E-2</v>
      </c>
      <c r="U8284">
        <v>3.071075</v>
      </c>
      <c r="V8284">
        <v>-5.1591140000000002E-3</v>
      </c>
      <c r="W8284">
        <v>0.20088130000000001</v>
      </c>
      <c r="X8284">
        <v>0.97960199999999997</v>
      </c>
      <c r="Y8284">
        <v>-6.7095740000000003E-3</v>
      </c>
      <c r="Z8284">
        <v>-2.5952309999999999E-2</v>
      </c>
      <c r="AA8284">
        <v>0.99964059999999999</v>
      </c>
      <c r="AB8284">
        <v>43</v>
      </c>
      <c r="AC8284">
        <v>0.33639999999999698</v>
      </c>
      <c r="AD8284">
        <v>-1.1095079692461001</v>
      </c>
      <c r="AE8284">
        <v>42.305320000000002</v>
      </c>
      <c r="AF8284">
        <v>-0.28640466629399702</v>
      </c>
      <c r="AG8284">
        <v>-1.1095079692461001</v>
      </c>
      <c r="AH8284">
        <v>42.276610074446602</v>
      </c>
      <c r="AI8284">
        <v>91.503291715740701</v>
      </c>
      <c r="AJ8284">
        <v>90.388146721093193</v>
      </c>
      <c r="AK8284">
        <v>42.292136325249601</v>
      </c>
      <c r="AL8284">
        <v>78.411500169296403</v>
      </c>
      <c r="AM8284">
        <v>90.301747776494096</v>
      </c>
      <c r="AN8284">
        <v>0.99999999577547705</v>
      </c>
    </row>
    <row r="8285" spans="1:40" x14ac:dyDescent="0.25">
      <c r="A8285" t="str">
        <f>"20190312172311714"</f>
        <v>20190312172311714</v>
      </c>
      <c r="B8285" t="str">
        <f>"1552382591708235"</f>
        <v>1552382591708235</v>
      </c>
      <c r="C8285" t="s">
        <v>40</v>
      </c>
      <c r="D8285">
        <v>2.9974400000000001</v>
      </c>
      <c r="E8285">
        <v>0.49828790000000001</v>
      </c>
      <c r="F8285" t="s">
        <v>62</v>
      </c>
      <c r="G8285">
        <v>-187.5359</v>
      </c>
      <c r="H8285" s="1">
        <v>-1.1431389999999999E-6</v>
      </c>
      <c r="I8285">
        <v>121.0864</v>
      </c>
      <c r="J8285">
        <v>-187.86920000000001</v>
      </c>
      <c r="K8285">
        <v>1.1095120000000001</v>
      </c>
      <c r="L8285">
        <v>78.85754</v>
      </c>
      <c r="M8285">
        <v>1.477381E-2</v>
      </c>
      <c r="N8285">
        <v>0</v>
      </c>
      <c r="O8285">
        <v>0.9998319</v>
      </c>
      <c r="P8285">
        <v>9.234417E-3</v>
      </c>
      <c r="Q8285">
        <v>0.1898195</v>
      </c>
      <c r="R8285">
        <v>0.98177559999999997</v>
      </c>
      <c r="S8285">
        <v>2.445984E-2</v>
      </c>
      <c r="T8285">
        <v>-7.9858659999999998E-2</v>
      </c>
      <c r="U8285">
        <v>3.0711979999999999</v>
      </c>
      <c r="V8285">
        <v>-5.2296340000000004E-3</v>
      </c>
      <c r="W8285">
        <v>0.20046649999999999</v>
      </c>
      <c r="X8285">
        <v>0.97968659999999996</v>
      </c>
      <c r="Y8285">
        <v>-6.8137559999999998E-3</v>
      </c>
      <c r="Z8285">
        <v>-2.59887E-2</v>
      </c>
      <c r="AA8285">
        <v>0.99963900000000006</v>
      </c>
      <c r="AB8285">
        <v>43</v>
      </c>
      <c r="AC8285">
        <v>0.33330000000000798</v>
      </c>
      <c r="AD8285">
        <v>-1.109513143139</v>
      </c>
      <c r="AE8285">
        <v>42.228859999999997</v>
      </c>
      <c r="AF8285">
        <v>-0.29045382575173501</v>
      </c>
      <c r="AG8285">
        <v>-1.109513143139</v>
      </c>
      <c r="AH8285">
        <v>42.2000456208171</v>
      </c>
      <c r="AI8285">
        <v>91.506023822451297</v>
      </c>
      <c r="AJ8285">
        <v>90.394348284056505</v>
      </c>
      <c r="AK8285">
        <v>42.215627831867401</v>
      </c>
      <c r="AL8285">
        <v>78.435760003926802</v>
      </c>
      <c r="AM8285">
        <v>90.305845880312305</v>
      </c>
      <c r="AN8285">
        <v>1.0000000004567899</v>
      </c>
    </row>
    <row r="8286" spans="1:40" x14ac:dyDescent="0.25">
      <c r="A8286" t="str">
        <f>"20190312172311738"</f>
        <v>20190312172311738</v>
      </c>
      <c r="B8286" t="str">
        <f>"1552382591728731"</f>
        <v>1552382591728731</v>
      </c>
      <c r="C8286" t="s">
        <v>40</v>
      </c>
      <c r="D8286">
        <v>2.9610789999999998</v>
      </c>
      <c r="E8286">
        <v>0.49767990000000001</v>
      </c>
      <c r="F8286" t="s">
        <v>62</v>
      </c>
      <c r="G8286">
        <v>-187.56979999999999</v>
      </c>
      <c r="H8286" s="1">
        <v>-8.9592830000000003E-7</v>
      </c>
      <c r="I8286">
        <v>120.501</v>
      </c>
      <c r="J8286">
        <v>-187.86240000000001</v>
      </c>
      <c r="K8286">
        <v>1.1095120000000001</v>
      </c>
      <c r="L8286">
        <v>79.313599999999994</v>
      </c>
      <c r="M8286">
        <v>1.482428E-2</v>
      </c>
      <c r="N8286">
        <v>0</v>
      </c>
      <c r="O8286">
        <v>0.99983109999999997</v>
      </c>
      <c r="P8286">
        <v>9.3030830000000002E-3</v>
      </c>
      <c r="Q8286">
        <v>0.1902296</v>
      </c>
      <c r="R8286">
        <v>0.98169550000000005</v>
      </c>
      <c r="S8286">
        <v>2.207947E-2</v>
      </c>
      <c r="T8286">
        <v>-8.1829669999999993E-2</v>
      </c>
      <c r="U8286">
        <v>3.0713200000000001</v>
      </c>
      <c r="V8286">
        <v>-5.2109620000000004E-3</v>
      </c>
      <c r="W8286">
        <v>0.20088220000000001</v>
      </c>
      <c r="X8286">
        <v>0.97960159999999996</v>
      </c>
      <c r="Y8286">
        <v>-7.639379E-3</v>
      </c>
      <c r="Z8286">
        <v>-2.6628590000000001E-2</v>
      </c>
      <c r="AA8286">
        <v>0.99961619999999995</v>
      </c>
      <c r="AB8286">
        <v>43</v>
      </c>
      <c r="AC8286">
        <v>0.29260000000002101</v>
      </c>
      <c r="AD8286">
        <v>-1.1095128959283</v>
      </c>
      <c r="AE8286">
        <v>41.187399999999997</v>
      </c>
      <c r="AF8286">
        <v>-0.31781112451489102</v>
      </c>
      <c r="AG8286">
        <v>-1.1095128959283</v>
      </c>
      <c r="AH8286">
        <v>41.157346477532002</v>
      </c>
      <c r="AI8286">
        <v>91.544150077889697</v>
      </c>
      <c r="AJ8286">
        <v>90.442420995697006</v>
      </c>
      <c r="AK8286">
        <v>41.1735253755215</v>
      </c>
      <c r="AL8286">
        <v>78.411448209018005</v>
      </c>
      <c r="AM8286">
        <v>90.304780345089895</v>
      </c>
      <c r="AN8286">
        <v>1.00000005356218</v>
      </c>
    </row>
    <row r="8287" spans="1:40" x14ac:dyDescent="0.25">
      <c r="A8287" t="str">
        <f>"20190312172311758"</f>
        <v>20190312172311758</v>
      </c>
      <c r="B8287" t="str">
        <f>"1552382591748251"</f>
        <v>1552382591748251</v>
      </c>
      <c r="C8287" t="s">
        <v>40</v>
      </c>
      <c r="D8287">
        <v>2.9754809999999998</v>
      </c>
      <c r="E8287">
        <v>0.49697590000000003</v>
      </c>
      <c r="F8287" t="s">
        <v>62</v>
      </c>
      <c r="G8287">
        <v>-187.62090000000001</v>
      </c>
      <c r="H8287" s="1">
        <v>-1.5880859999999999E-6</v>
      </c>
      <c r="I8287">
        <v>121.91970000000001</v>
      </c>
      <c r="J8287">
        <v>-187.8563</v>
      </c>
      <c r="K8287">
        <v>1.109518</v>
      </c>
      <c r="L8287">
        <v>79.722169999999906</v>
      </c>
      <c r="M8287">
        <v>1.486911E-2</v>
      </c>
      <c r="N8287">
        <v>0</v>
      </c>
      <c r="O8287">
        <v>0.99983040000000001</v>
      </c>
      <c r="P8287">
        <v>9.4231420000000007E-3</v>
      </c>
      <c r="Q8287">
        <v>0.19003390000000001</v>
      </c>
      <c r="R8287">
        <v>0.9817323</v>
      </c>
      <c r="S8287">
        <v>1.741028E-2</v>
      </c>
      <c r="T8287">
        <v>-7.9979300000000003E-2</v>
      </c>
      <c r="U8287">
        <v>3.071259</v>
      </c>
      <c r="V8287">
        <v>-5.1368949999999998E-3</v>
      </c>
      <c r="W8287">
        <v>0.2006926</v>
      </c>
      <c r="X8287">
        <v>0.97964079999999998</v>
      </c>
      <c r="Y8287">
        <v>-9.2036080000000003E-3</v>
      </c>
      <c r="Z8287">
        <v>-2.602732E-2</v>
      </c>
      <c r="AA8287">
        <v>0.99961889999999998</v>
      </c>
      <c r="AB8287">
        <v>43</v>
      </c>
      <c r="AC8287">
        <v>0.235399999999998</v>
      </c>
      <c r="AD8287">
        <v>-1.109519588086</v>
      </c>
      <c r="AE8287">
        <v>42.19753</v>
      </c>
      <c r="AF8287">
        <v>-0.39183190646709198</v>
      </c>
      <c r="AG8287">
        <v>-1.109519588086</v>
      </c>
      <c r="AH8287">
        <v>42.167213595016101</v>
      </c>
      <c r="AI8287">
        <v>91.507175289835402</v>
      </c>
      <c r="AJ8287">
        <v>90.532396297085398</v>
      </c>
      <c r="AK8287">
        <v>42.183627965443897</v>
      </c>
      <c r="AL8287">
        <v>78.422536716924398</v>
      </c>
      <c r="AM8287">
        <v>90.300436349522201</v>
      </c>
      <c r="AN8287">
        <v>1.0000000022048201</v>
      </c>
    </row>
    <row r="8288" spans="1:40" x14ac:dyDescent="0.25">
      <c r="A8288" t="str">
        <f>"20190312172311781"</f>
        <v>20190312172311781</v>
      </c>
      <c r="B8288" t="str">
        <f>"1552382591778507"</f>
        <v>1552382591778507</v>
      </c>
      <c r="C8288" t="s">
        <v>40</v>
      </c>
      <c r="D8288">
        <v>2.9853429999999999</v>
      </c>
      <c r="E8288">
        <v>0.4961333</v>
      </c>
      <c r="F8288" t="s">
        <v>62</v>
      </c>
      <c r="G8288">
        <v>-187.69139999999999</v>
      </c>
      <c r="H8288" s="1">
        <v>-2.0484249999999998E-6</v>
      </c>
      <c r="I8288">
        <v>122.7773</v>
      </c>
      <c r="J8288">
        <v>-187.8501</v>
      </c>
      <c r="K8288">
        <v>1.1095189999999999</v>
      </c>
      <c r="L8288">
        <v>80.136780000000002</v>
      </c>
      <c r="M8288">
        <v>1.491424E-2</v>
      </c>
      <c r="N8288">
        <v>0</v>
      </c>
      <c r="O8288">
        <v>0.99982959999999999</v>
      </c>
      <c r="P8288">
        <v>9.5110160000000006E-3</v>
      </c>
      <c r="Q8288">
        <v>0.18989210000000001</v>
      </c>
      <c r="R8288">
        <v>0.98175889999999999</v>
      </c>
      <c r="S8288">
        <v>1.176453E-2</v>
      </c>
      <c r="T8288">
        <v>-7.9140070000000007E-2</v>
      </c>
      <c r="U8288">
        <v>3.0710449999999998</v>
      </c>
      <c r="V8288">
        <v>-5.0949990000000002E-3</v>
      </c>
      <c r="W8288">
        <v>0.20055619999999999</v>
      </c>
      <c r="X8288">
        <v>0.97966900000000001</v>
      </c>
      <c r="Y8288">
        <v>-1.1085950000000001E-2</v>
      </c>
      <c r="Z8288">
        <v>-2.5756020000000001E-2</v>
      </c>
      <c r="AA8288">
        <v>0.99960680000000002</v>
      </c>
      <c r="AB8288">
        <v>43</v>
      </c>
      <c r="AC8288">
        <v>0.15870000000001</v>
      </c>
      <c r="AD8288">
        <v>-1.109521048425</v>
      </c>
      <c r="AE8288">
        <v>42.640520000000002</v>
      </c>
      <c r="AF8288">
        <v>-0.47698329261948502</v>
      </c>
      <c r="AG8288">
        <v>-1.109521048425</v>
      </c>
      <c r="AH8288">
        <v>42.609295262264403</v>
      </c>
      <c r="AI8288">
        <v>91.491518004197701</v>
      </c>
      <c r="AJ8288">
        <v>90.641362123309904</v>
      </c>
      <c r="AK8288">
        <v>42.626407223283103</v>
      </c>
      <c r="AL8288">
        <v>78.430514603087005</v>
      </c>
      <c r="AM8288">
        <v>90.297977487735395</v>
      </c>
      <c r="AN8288">
        <v>1.0000000489671199</v>
      </c>
    </row>
    <row r="8289" spans="1:40" x14ac:dyDescent="0.25">
      <c r="A8289" t="str">
        <f>"20190312172311803"</f>
        <v>20190312172311803</v>
      </c>
      <c r="B8289" t="str">
        <f>"1552382591799003"</f>
        <v>1552382591799003</v>
      </c>
      <c r="C8289" t="s">
        <v>40</v>
      </c>
      <c r="D8289">
        <v>3.0005259999999998</v>
      </c>
      <c r="E8289">
        <v>0.49562640000000002</v>
      </c>
      <c r="F8289" t="s">
        <v>62</v>
      </c>
      <c r="G8289">
        <v>-187.7723</v>
      </c>
      <c r="H8289" s="1">
        <v>-2.303972E-6</v>
      </c>
      <c r="I8289">
        <v>123.264</v>
      </c>
      <c r="J8289">
        <v>-187.84360000000001</v>
      </c>
      <c r="K8289">
        <v>1.1095200000000001</v>
      </c>
      <c r="L8289">
        <v>80.575680000000006</v>
      </c>
      <c r="M8289">
        <v>1.495931E-2</v>
      </c>
      <c r="N8289">
        <v>0</v>
      </c>
      <c r="O8289">
        <v>0.99982890000000002</v>
      </c>
      <c r="P8289">
        <v>9.1961119999999993E-3</v>
      </c>
      <c r="Q8289">
        <v>0.18954370000000001</v>
      </c>
      <c r="R8289">
        <v>0.98182919999999996</v>
      </c>
      <c r="S8289">
        <v>5.53894E-3</v>
      </c>
      <c r="T8289">
        <v>-7.9006309999999996E-2</v>
      </c>
      <c r="U8289">
        <v>3.0709840000000002</v>
      </c>
      <c r="V8289">
        <v>-5.4564899999999996E-3</v>
      </c>
      <c r="W8289">
        <v>0.20021420000000001</v>
      </c>
      <c r="X8289">
        <v>0.97973699999999997</v>
      </c>
      <c r="Y8289">
        <v>-1.315733E-2</v>
      </c>
      <c r="Z8289">
        <v>-2.5712749999999999E-2</v>
      </c>
      <c r="AA8289">
        <v>0.99958279999999999</v>
      </c>
      <c r="AB8289">
        <v>43</v>
      </c>
      <c r="AC8289">
        <v>7.1300000000007899E-2</v>
      </c>
      <c r="AD8289">
        <v>-1.1095223039719999</v>
      </c>
      <c r="AE8289">
        <v>42.688319999999898</v>
      </c>
      <c r="AF8289">
        <v>-0.56695059665470104</v>
      </c>
      <c r="AG8289">
        <v>-1.1095223039719999</v>
      </c>
      <c r="AH8289">
        <v>42.6557936072156</v>
      </c>
      <c r="AI8289">
        <v>91.489856318776503</v>
      </c>
      <c r="AJ8289">
        <v>90.761490081096696</v>
      </c>
      <c r="AK8289">
        <v>42.673987404312697</v>
      </c>
      <c r="AL8289">
        <v>78.450515375605704</v>
      </c>
      <c r="AM8289">
        <v>90.319096467353205</v>
      </c>
      <c r="AN8289">
        <v>1.0000000441668699</v>
      </c>
    </row>
    <row r="8290" spans="1:40" x14ac:dyDescent="0.25">
      <c r="A8290" t="str">
        <f>"20190312172311815"</f>
        <v>20190312172311815</v>
      </c>
      <c r="B8290" t="str">
        <f>"1552382591808764"</f>
        <v>1552382591808764</v>
      </c>
      <c r="C8290" t="s">
        <v>40</v>
      </c>
      <c r="D8290">
        <v>3.0112350000000001</v>
      </c>
      <c r="E8290">
        <v>0.49537769999999998</v>
      </c>
      <c r="F8290" t="s">
        <v>62</v>
      </c>
      <c r="G8290">
        <v>-187.833</v>
      </c>
      <c r="H8290" s="1">
        <v>-2.2340569999999998E-6</v>
      </c>
      <c r="I8290">
        <v>123.1519</v>
      </c>
      <c r="J8290">
        <v>-187.84010000000001</v>
      </c>
      <c r="K8290">
        <v>1.1095219999999999</v>
      </c>
      <c r="L8290">
        <v>80.806640000000002</v>
      </c>
      <c r="M8290">
        <v>1.498176E-2</v>
      </c>
      <c r="N8290">
        <v>0</v>
      </c>
      <c r="O8290">
        <v>0.99982859999999996</v>
      </c>
      <c r="P8290">
        <v>9.1932119999999992E-3</v>
      </c>
      <c r="Q8290">
        <v>0.189634</v>
      </c>
      <c r="R8290">
        <v>0.98181180000000001</v>
      </c>
      <c r="S8290">
        <v>7.6293949999999998E-4</v>
      </c>
      <c r="T8290">
        <v>-8.0028890000000005E-2</v>
      </c>
      <c r="U8290">
        <v>3.0709840000000002</v>
      </c>
      <c r="V8290">
        <v>-5.4820779999999996E-3</v>
      </c>
      <c r="W8290">
        <v>0.2003067</v>
      </c>
      <c r="X8290">
        <v>0.97971790000000003</v>
      </c>
      <c r="Y8290">
        <v>-1.473433E-2</v>
      </c>
      <c r="Z8290">
        <v>-2.604505E-2</v>
      </c>
      <c r="AA8290">
        <v>0.9995522</v>
      </c>
      <c r="AB8290">
        <v>43</v>
      </c>
      <c r="AC8290">
        <v>7.1000000000083201E-3</v>
      </c>
      <c r="AD8290">
        <v>-1.109524234057</v>
      </c>
      <c r="AE8290">
        <v>42.345260000000003</v>
      </c>
      <c r="AF8290">
        <v>-0.62691445344423702</v>
      </c>
      <c r="AG8290">
        <v>-1.109524234057</v>
      </c>
      <c r="AH8290">
        <v>42.311564828622402</v>
      </c>
      <c r="AI8290">
        <v>91.501942057599706</v>
      </c>
      <c r="AJ8290">
        <v>90.848867780932494</v>
      </c>
      <c r="AK8290">
        <v>42.330752225830103</v>
      </c>
      <c r="AL8290">
        <v>78.445105364457902</v>
      </c>
      <c r="AM8290">
        <v>90.320599076761795</v>
      </c>
      <c r="AN8290">
        <v>0.99999999541224904</v>
      </c>
    </row>
    <row r="8291" spans="1:40" x14ac:dyDescent="0.25">
      <c r="A8291" t="str">
        <f>"20190312172311827"</f>
        <v>20190312172311827</v>
      </c>
      <c r="B8291" t="str">
        <f>"1552382591818523"</f>
        <v>1552382591818523</v>
      </c>
      <c r="C8291" t="s">
        <v>40</v>
      </c>
      <c r="D8291">
        <v>2.9380540000000002</v>
      </c>
      <c r="E8291">
        <v>0.49516870000000002</v>
      </c>
      <c r="F8291" t="s">
        <v>62</v>
      </c>
      <c r="G8291">
        <v>-187.85480000000001</v>
      </c>
      <c r="H8291" s="1">
        <v>-2.4760169999999999E-6</v>
      </c>
      <c r="I8291">
        <v>123.5988</v>
      </c>
      <c r="J8291">
        <v>-187.8366</v>
      </c>
      <c r="K8291">
        <v>1.1095280000000001</v>
      </c>
      <c r="L8291">
        <v>81.038390000000007</v>
      </c>
      <c r="M8291">
        <v>1.500342E-2</v>
      </c>
      <c r="N8291">
        <v>0</v>
      </c>
      <c r="O8291">
        <v>0.99982819999999994</v>
      </c>
      <c r="P8291">
        <v>9.1091579999999991E-3</v>
      </c>
      <c r="Q8291">
        <v>0.189744</v>
      </c>
      <c r="R8291">
        <v>0.98179130000000003</v>
      </c>
      <c r="S8291">
        <v>-1.052856E-3</v>
      </c>
      <c r="T8291">
        <v>-7.9624410000000007E-2</v>
      </c>
      <c r="U8291">
        <v>3.0709529999999998</v>
      </c>
      <c r="V8291">
        <v>-5.5875259999999998E-3</v>
      </c>
      <c r="W8291">
        <v>0.20041980000000001</v>
      </c>
      <c r="X8291">
        <v>0.97969419999999996</v>
      </c>
      <c r="Y8291">
        <v>-1.534699E-2</v>
      </c>
      <c r="Z8291">
        <v>-2.591363E-2</v>
      </c>
      <c r="AA8291">
        <v>0.9995463</v>
      </c>
      <c r="AB8291">
        <v>43</v>
      </c>
      <c r="AC8291">
        <v>-1.8200000000007301E-2</v>
      </c>
      <c r="AD8291">
        <v>-1.1095304760169999</v>
      </c>
      <c r="AE8291">
        <v>42.560409999999898</v>
      </c>
      <c r="AF8291">
        <v>-0.65634142169342302</v>
      </c>
      <c r="AG8291">
        <v>-1.1095304760169999</v>
      </c>
      <c r="AH8291">
        <v>42.526443990506401</v>
      </c>
      <c r="AI8291">
        <v>91.494350904678001</v>
      </c>
      <c r="AJ8291">
        <v>90.884217075273</v>
      </c>
      <c r="AK8291">
        <v>42.545978428245398</v>
      </c>
      <c r="AL8291">
        <v>78.438491386325595</v>
      </c>
      <c r="AM8291">
        <v>90.326773585668505</v>
      </c>
      <c r="AN8291">
        <v>1.0000000210962401</v>
      </c>
    </row>
    <row r="8292" spans="1:40" x14ac:dyDescent="0.25">
      <c r="A8292" t="str">
        <f>"20190312172311848"</f>
        <v>20190312172311848</v>
      </c>
      <c r="B8292" t="str">
        <f>"1552382591839019"</f>
        <v>1552382591839019</v>
      </c>
      <c r="C8292" t="s">
        <v>40</v>
      </c>
      <c r="D8292">
        <v>3.0200659999999999</v>
      </c>
      <c r="E8292">
        <v>0.49473660000000003</v>
      </c>
      <c r="F8292" t="s">
        <v>62</v>
      </c>
      <c r="G8292">
        <v>-187.87559999999999</v>
      </c>
      <c r="H8292" s="1">
        <v>-2.5264949999999999E-6</v>
      </c>
      <c r="I8292">
        <v>123.6961</v>
      </c>
      <c r="J8292">
        <v>-187.8304</v>
      </c>
      <c r="K8292">
        <v>1.109529</v>
      </c>
      <c r="L8292">
        <v>81.446439999999996</v>
      </c>
      <c r="M8292">
        <v>1.5038599999999999E-2</v>
      </c>
      <c r="N8292">
        <v>0</v>
      </c>
      <c r="O8292">
        <v>0.99982760000000004</v>
      </c>
      <c r="P8292">
        <v>9.21282E-3</v>
      </c>
      <c r="Q8292">
        <v>0.18972130000000001</v>
      </c>
      <c r="R8292">
        <v>0.98179479999999997</v>
      </c>
      <c r="S8292">
        <v>-2.8076170000000001E-3</v>
      </c>
      <c r="T8292">
        <v>-7.9879640000000002E-2</v>
      </c>
      <c r="U8292">
        <v>3.0711059999999999</v>
      </c>
      <c r="V8292">
        <v>-5.5202769999999996E-3</v>
      </c>
      <c r="W8292">
        <v>0.200402</v>
      </c>
      <c r="X8292">
        <v>0.97969819999999996</v>
      </c>
      <c r="Y8292">
        <v>-1.595328E-2</v>
      </c>
      <c r="Z8292">
        <v>-2.59952E-2</v>
      </c>
      <c r="AA8292">
        <v>0.99953479999999995</v>
      </c>
      <c r="AB8292">
        <v>43</v>
      </c>
      <c r="AC8292">
        <v>-4.5199999999994099E-2</v>
      </c>
      <c r="AD8292">
        <v>-1.1095315264949901</v>
      </c>
      <c r="AE8292">
        <v>42.249659999999999</v>
      </c>
      <c r="AF8292">
        <v>-0.68013924739583598</v>
      </c>
      <c r="AG8292">
        <v>-1.1095315264949901</v>
      </c>
      <c r="AH8292">
        <v>42.215087919206603</v>
      </c>
      <c r="AI8292">
        <v>91.505352739037903</v>
      </c>
      <c r="AJ8292">
        <v>90.923028685255204</v>
      </c>
      <c r="AK8292">
        <v>42.235142921866398</v>
      </c>
      <c r="AL8292">
        <v>78.439532112625699</v>
      </c>
      <c r="AM8292">
        <v>90.322839448485695</v>
      </c>
      <c r="AN8292">
        <v>0.99999999907269799</v>
      </c>
    </row>
    <row r="8293" spans="1:40" x14ac:dyDescent="0.25">
      <c r="A8293" t="str">
        <f>"20190312172311862"</f>
        <v>20190312172311862</v>
      </c>
      <c r="B8293" t="str">
        <f>"1552382591858539"</f>
        <v>1552382591858539</v>
      </c>
      <c r="C8293" t="s">
        <v>40</v>
      </c>
      <c r="D8293">
        <v>3.0038640000000001</v>
      </c>
      <c r="E8293">
        <v>0.49427840000000001</v>
      </c>
      <c r="F8293" t="s">
        <v>62</v>
      </c>
      <c r="G8293">
        <v>-187.91810000000001</v>
      </c>
      <c r="H8293" s="1">
        <v>-2.7304300000000001E-6</v>
      </c>
      <c r="I8293">
        <v>124.07899999999999</v>
      </c>
      <c r="J8293">
        <v>-187.82660000000001</v>
      </c>
      <c r="K8293">
        <v>1.109534</v>
      </c>
      <c r="L8293">
        <v>81.703829999999996</v>
      </c>
      <c r="M8293">
        <v>1.5058419999999999E-2</v>
      </c>
      <c r="N8293">
        <v>0</v>
      </c>
      <c r="O8293">
        <v>0.99982729999999997</v>
      </c>
      <c r="P8293">
        <v>9.1953739999999992E-3</v>
      </c>
      <c r="Q8293">
        <v>0.1897209</v>
      </c>
      <c r="R8293">
        <v>0.98179499999999997</v>
      </c>
      <c r="S8293">
        <v>-6.3171390000000003E-3</v>
      </c>
      <c r="T8293">
        <v>-7.9927799999999993E-2</v>
      </c>
      <c r="U8293">
        <v>3.0711360000000001</v>
      </c>
      <c r="V8293">
        <v>-5.5590469999999897E-3</v>
      </c>
      <c r="W8293">
        <v>0.20040479999999999</v>
      </c>
      <c r="X8293">
        <v>0.97969740000000005</v>
      </c>
      <c r="Y8293">
        <v>-1.7115289999999998E-2</v>
      </c>
      <c r="Z8293">
        <v>-2.6010309999999998E-2</v>
      </c>
      <c r="AA8293">
        <v>0.99951520000000005</v>
      </c>
      <c r="AB8293">
        <v>43</v>
      </c>
      <c r="AC8293">
        <v>-9.1499999999996307E-2</v>
      </c>
      <c r="AD8293">
        <v>-1.1095367304299999</v>
      </c>
      <c r="AE8293">
        <v>42.375169999999898</v>
      </c>
      <c r="AF8293">
        <v>-0.72913070115759704</v>
      </c>
      <c r="AG8293">
        <v>-1.1095367304299999</v>
      </c>
      <c r="AH8293">
        <v>42.339959369027397</v>
      </c>
      <c r="AI8293">
        <v>91.500894401189996</v>
      </c>
      <c r="AJ8293">
        <v>90.986585333676402</v>
      </c>
      <c r="AK8293">
        <v>42.360770327113201</v>
      </c>
      <c r="AL8293">
        <v>78.439368270447503</v>
      </c>
      <c r="AM8293">
        <v>90.325107030921302</v>
      </c>
      <c r="AN8293">
        <v>0.99999999121667404</v>
      </c>
    </row>
    <row r="8294" spans="1:40" x14ac:dyDescent="0.25">
      <c r="A8294" t="str">
        <f>"20190312172311881"</f>
        <v>20190312172311881</v>
      </c>
      <c r="B8294" t="str">
        <f>"1552382591879036"</f>
        <v>1552382591879036</v>
      </c>
      <c r="C8294" t="s">
        <v>40</v>
      </c>
      <c r="D8294">
        <v>3.0339550000000002</v>
      </c>
      <c r="E8294">
        <v>0.49386469999999999</v>
      </c>
      <c r="F8294" t="s">
        <v>62</v>
      </c>
      <c r="G8294">
        <v>-187.96940000000001</v>
      </c>
      <c r="H8294" s="1">
        <v>-3.0319839999999999E-6</v>
      </c>
      <c r="I8294">
        <v>124.67059999999999</v>
      </c>
      <c r="J8294">
        <v>-187.82089999999999</v>
      </c>
      <c r="K8294">
        <v>1.1095389999999901</v>
      </c>
      <c r="L8294">
        <v>82.078280000000007</v>
      </c>
      <c r="M8294">
        <v>1.508232E-2</v>
      </c>
      <c r="N8294">
        <v>0</v>
      </c>
      <c r="O8294">
        <v>0.99982680000000002</v>
      </c>
      <c r="P8294">
        <v>8.9974649999999996E-3</v>
      </c>
      <c r="Q8294">
        <v>0.1898088</v>
      </c>
      <c r="R8294">
        <v>0.98177990000000004</v>
      </c>
      <c r="S8294">
        <v>-1.0208129999999999E-2</v>
      </c>
      <c r="T8294">
        <v>-7.9303979999999996E-2</v>
      </c>
      <c r="U8294">
        <v>3.0710449999999998</v>
      </c>
      <c r="V8294">
        <v>-5.7826989999999997E-3</v>
      </c>
      <c r="W8294">
        <v>0.20050009999999999</v>
      </c>
      <c r="X8294">
        <v>0.97967660000000001</v>
      </c>
      <c r="Y8294">
        <v>-1.8405620000000001E-2</v>
      </c>
      <c r="Z8294">
        <v>-2.5807859999999998E-2</v>
      </c>
      <c r="AA8294">
        <v>0.99949750000000004</v>
      </c>
      <c r="AB8294">
        <v>43</v>
      </c>
      <c r="AC8294">
        <v>-0.14850000000001201</v>
      </c>
      <c r="AD8294">
        <v>-1.1095420319839999</v>
      </c>
      <c r="AE8294">
        <v>42.592320000000001</v>
      </c>
      <c r="AF8294">
        <v>-0.79037594193042404</v>
      </c>
      <c r="AG8294">
        <v>-1.1095420319839999</v>
      </c>
      <c r="AH8294">
        <v>42.556355789338902</v>
      </c>
      <c r="AI8294">
        <v>91.493236950471598</v>
      </c>
      <c r="AJ8294">
        <v>91.0640008784994</v>
      </c>
      <c r="AK8294">
        <v>42.578153972655002</v>
      </c>
      <c r="AL8294">
        <v>78.433794790371294</v>
      </c>
      <c r="AM8294">
        <v>90.338193643739601</v>
      </c>
      <c r="AN8294">
        <v>0.99999998514764699</v>
      </c>
    </row>
    <row r="8295" spans="1:40" x14ac:dyDescent="0.25">
      <c r="A8295" t="str">
        <f>"20190312172311905"</f>
        <v>20190312172311905</v>
      </c>
      <c r="B8295" t="str">
        <f>"1552382591898555"</f>
        <v>1552382591898555</v>
      </c>
      <c r="C8295" t="s">
        <v>40</v>
      </c>
      <c r="D8295">
        <v>2.9993639999999999</v>
      </c>
      <c r="E8295">
        <v>0.49350339999999998</v>
      </c>
      <c r="F8295" t="s">
        <v>62</v>
      </c>
      <c r="G8295">
        <v>-188.01589999999999</v>
      </c>
      <c r="H8295" s="1">
        <v>-3.1743930000000001E-6</v>
      </c>
      <c r="I8295">
        <v>125.2439</v>
      </c>
      <c r="J8295">
        <v>-187.8142</v>
      </c>
      <c r="K8295">
        <v>1.1095459999999999</v>
      </c>
      <c r="L8295">
        <v>82.523129999999995</v>
      </c>
      <c r="M8295">
        <v>1.510453E-2</v>
      </c>
      <c r="N8295">
        <v>0</v>
      </c>
      <c r="O8295">
        <v>0.9998264</v>
      </c>
      <c r="P8295">
        <v>8.6280339999999997E-3</v>
      </c>
      <c r="Q8295">
        <v>0.19007109999999999</v>
      </c>
      <c r="R8295">
        <v>0.98173239999999995</v>
      </c>
      <c r="S8295">
        <v>-1.3870240000000001E-2</v>
      </c>
      <c r="T8295">
        <v>-7.8939910000000002E-2</v>
      </c>
      <c r="U8295">
        <v>3.071075</v>
      </c>
      <c r="V8295">
        <v>-6.1766169999999997E-3</v>
      </c>
      <c r="W8295">
        <v>0.20077390000000001</v>
      </c>
      <c r="X8295">
        <v>0.97961810000000005</v>
      </c>
      <c r="Y8295">
        <v>-1.9619629999999999E-2</v>
      </c>
      <c r="Z8295">
        <v>-2.5688829999999999E-2</v>
      </c>
      <c r="AA8295">
        <v>0.99947739999999996</v>
      </c>
      <c r="AB8295">
        <v>43</v>
      </c>
      <c r="AC8295">
        <v>-0.201699999999988</v>
      </c>
      <c r="AD8295">
        <v>-1.1095491743929999</v>
      </c>
      <c r="AE8295">
        <v>42.720769999999902</v>
      </c>
      <c r="AF8295">
        <v>-0.84642160223887397</v>
      </c>
      <c r="AG8295">
        <v>-1.1095491743929999</v>
      </c>
      <c r="AH8295">
        <v>42.684057129542701</v>
      </c>
      <c r="AI8295">
        <v>91.488745189156703</v>
      </c>
      <c r="AJ8295">
        <v>91.136022055523497</v>
      </c>
      <c r="AK8295">
        <v>42.706864342131198</v>
      </c>
      <c r="AL8295">
        <v>78.417781359076997</v>
      </c>
      <c r="AM8295">
        <v>90.361252406664903</v>
      </c>
      <c r="AN8295">
        <v>0.99999996568319105</v>
      </c>
    </row>
    <row r="8296" spans="1:40" x14ac:dyDescent="0.25">
      <c r="A8296" t="str">
        <f>"20190312172311928"</f>
        <v>20190312172311928</v>
      </c>
      <c r="B8296" t="str">
        <f>"1552382591919051"</f>
        <v>1552382591919051</v>
      </c>
      <c r="C8296" t="s">
        <v>40</v>
      </c>
      <c r="D8296">
        <v>3.0444650000000002</v>
      </c>
      <c r="E8296">
        <v>0.49314659999999999</v>
      </c>
      <c r="F8296" t="s">
        <v>62</v>
      </c>
      <c r="G8296">
        <v>-188.05959999999999</v>
      </c>
      <c r="H8296" s="1">
        <v>-3.5010570000000001E-6</v>
      </c>
      <c r="I8296">
        <v>126.1559</v>
      </c>
      <c r="J8296">
        <v>-187.8073</v>
      </c>
      <c r="K8296">
        <v>1.109556</v>
      </c>
      <c r="L8296">
        <v>82.979489999999998</v>
      </c>
      <c r="M8296">
        <v>1.512201E-2</v>
      </c>
      <c r="N8296">
        <v>0</v>
      </c>
      <c r="O8296">
        <v>0.99982599999999999</v>
      </c>
      <c r="P8296">
        <v>8.4286180000000006E-3</v>
      </c>
      <c r="Q8296">
        <v>0.1899999</v>
      </c>
      <c r="R8296">
        <v>0.98174790000000001</v>
      </c>
      <c r="S8296">
        <v>-1.7272949999999999E-2</v>
      </c>
      <c r="T8296">
        <v>-7.8096029999999997E-2</v>
      </c>
      <c r="U8296">
        <v>3.0711059999999999</v>
      </c>
      <c r="V8296">
        <v>-6.3962389999999997E-3</v>
      </c>
      <c r="W8296">
        <v>0.20071639999999999</v>
      </c>
      <c r="X8296">
        <v>0.97962850000000001</v>
      </c>
      <c r="Y8296">
        <v>-2.0744470000000001E-2</v>
      </c>
      <c r="Z8296">
        <v>-2.5413769999999999E-2</v>
      </c>
      <c r="AA8296">
        <v>0.99946179999999996</v>
      </c>
      <c r="AB8296">
        <v>43</v>
      </c>
      <c r="AC8296">
        <v>-0.25229999999999098</v>
      </c>
      <c r="AD8296">
        <v>-1.1095595010570001</v>
      </c>
      <c r="AE8296">
        <v>43.176409999999997</v>
      </c>
      <c r="AF8296">
        <v>-0.90462680273143303</v>
      </c>
      <c r="AG8296">
        <v>-1.1095595010570001</v>
      </c>
      <c r="AH8296">
        <v>43.139168726686201</v>
      </c>
      <c r="AI8296">
        <v>91.473025588050902</v>
      </c>
      <c r="AJ8296">
        <v>91.201314349431996</v>
      </c>
      <c r="AK8296">
        <v>43.162916379319299</v>
      </c>
      <c r="AL8296">
        <v>78.421144628470202</v>
      </c>
      <c r="AM8296">
        <v>90.374093130008404</v>
      </c>
      <c r="AN8296">
        <v>0.99999999155727703</v>
      </c>
    </row>
    <row r="8297" spans="1:40" x14ac:dyDescent="0.25">
      <c r="A8297" t="str">
        <f>"20190312172311950"</f>
        <v>20190312172311950</v>
      </c>
      <c r="B8297" t="str">
        <f>"1552382591938571"</f>
        <v>1552382591938571</v>
      </c>
      <c r="C8297" t="s">
        <v>40</v>
      </c>
      <c r="D8297">
        <v>3.026154</v>
      </c>
      <c r="E8297">
        <v>0.49281439999999999</v>
      </c>
      <c r="F8297" t="s">
        <v>62</v>
      </c>
      <c r="G8297">
        <v>-188.10409999999999</v>
      </c>
      <c r="H8297" s="1">
        <v>-3.6269559999999998E-6</v>
      </c>
      <c r="I8297">
        <v>126.4603</v>
      </c>
      <c r="J8297">
        <v>-187.80090000000001</v>
      </c>
      <c r="K8297">
        <v>1.1095630000000001</v>
      </c>
      <c r="L8297">
        <v>83.398009999999999</v>
      </c>
      <c r="M8297">
        <v>1.5134430000000001E-2</v>
      </c>
      <c r="N8297">
        <v>0</v>
      </c>
      <c r="O8297">
        <v>0.99982559999999998</v>
      </c>
      <c r="P8297">
        <v>8.4485919999999996E-3</v>
      </c>
      <c r="Q8297">
        <v>0.19035489999999999</v>
      </c>
      <c r="R8297">
        <v>0.98167899999999997</v>
      </c>
      <c r="S8297">
        <v>-2.0965580000000001E-2</v>
      </c>
      <c r="T8297">
        <v>-7.8369739999999993E-2</v>
      </c>
      <c r="U8297">
        <v>3.0711059999999999</v>
      </c>
      <c r="V8297">
        <v>-6.3892100000000002E-3</v>
      </c>
      <c r="W8297">
        <v>0.20108309999999999</v>
      </c>
      <c r="X8297">
        <v>0.97955329999999996</v>
      </c>
      <c r="Y8297">
        <v>-2.1958539999999999E-2</v>
      </c>
      <c r="Z8297">
        <v>-2.550235E-2</v>
      </c>
      <c r="AA8297">
        <v>0.99943360000000003</v>
      </c>
      <c r="AB8297">
        <v>43</v>
      </c>
      <c r="AC8297">
        <v>-0.30319999999997499</v>
      </c>
      <c r="AD8297">
        <v>-1.1095666269559901</v>
      </c>
      <c r="AE8297">
        <v>43.062289999999997</v>
      </c>
      <c r="AF8297">
        <v>-0.954293959837068</v>
      </c>
      <c r="AG8297">
        <v>-1.1095666269559901</v>
      </c>
      <c r="AH8297">
        <v>43.024205361008399</v>
      </c>
      <c r="AI8297">
        <v>91.476930808652597</v>
      </c>
      <c r="AJ8297">
        <v>91.270634797700694</v>
      </c>
      <c r="AK8297">
        <v>43.049088979996597</v>
      </c>
      <c r="AL8297">
        <v>78.3996965139427</v>
      </c>
      <c r="AM8297">
        <v>90.373710727255599</v>
      </c>
      <c r="AN8297">
        <v>0.99999995132546005</v>
      </c>
    </row>
    <row r="8298" spans="1:40" x14ac:dyDescent="0.25">
      <c r="A8298" t="str">
        <f>"20190312172311971"</f>
        <v>20190312172311971</v>
      </c>
      <c r="B8298" t="str">
        <f>"1552382591968827"</f>
        <v>1552382591968827</v>
      </c>
      <c r="C8298" t="s">
        <v>40</v>
      </c>
      <c r="D8298">
        <v>3.0290919999999999</v>
      </c>
      <c r="E8298">
        <v>0.49232819999999999</v>
      </c>
      <c r="F8298" t="s">
        <v>62</v>
      </c>
      <c r="G8298">
        <v>-188.13829999999999</v>
      </c>
      <c r="H8298" s="1">
        <v>-4.0619379999999998E-6</v>
      </c>
      <c r="I8298">
        <v>127.4954</v>
      </c>
      <c r="J8298">
        <v>-187.79470000000001</v>
      </c>
      <c r="K8298">
        <v>1.1095680000000001</v>
      </c>
      <c r="L8298">
        <v>83.810640000000006</v>
      </c>
      <c r="M8298">
        <v>1.5143999999999999E-2</v>
      </c>
      <c r="N8298">
        <v>0</v>
      </c>
      <c r="O8298">
        <v>0.99982539999999998</v>
      </c>
      <c r="P8298">
        <v>8.4501190000000007E-3</v>
      </c>
      <c r="Q8298">
        <v>0.1903504</v>
      </c>
      <c r="R8298">
        <v>0.98167990000000005</v>
      </c>
      <c r="S8298">
        <v>-2.3498539999999998E-2</v>
      </c>
      <c r="T8298">
        <v>-7.7275869999999997E-2</v>
      </c>
      <c r="U8298">
        <v>3.071167</v>
      </c>
      <c r="V8298">
        <v>-6.3985409999999998E-3</v>
      </c>
      <c r="W8298">
        <v>0.20109060000000001</v>
      </c>
      <c r="X8298">
        <v>0.97955170000000003</v>
      </c>
      <c r="Y8298">
        <v>-2.2792280000000002E-2</v>
      </c>
      <c r="Z8298">
        <v>-2.5145799999999999E-2</v>
      </c>
      <c r="AA8298">
        <v>0.99942390000000003</v>
      </c>
      <c r="AB8298">
        <v>43</v>
      </c>
      <c r="AC8298">
        <v>-0.34359999999997998</v>
      </c>
      <c r="AD8298">
        <v>-1.1095720619380001</v>
      </c>
      <c r="AE8298">
        <v>43.684759999999997</v>
      </c>
      <c r="AF8298">
        <v>-1.0045142304001899</v>
      </c>
      <c r="AG8298">
        <v>-1.1095720619380001</v>
      </c>
      <c r="AH8298">
        <v>43.646389869485603</v>
      </c>
      <c r="AI8298">
        <v>91.4558658119157</v>
      </c>
      <c r="AJ8298">
        <v>91.318419860334998</v>
      </c>
      <c r="AK8298">
        <v>43.672045379611497</v>
      </c>
      <c r="AL8298">
        <v>78.3992578410774</v>
      </c>
      <c r="AM8298">
        <v>90.374257101746394</v>
      </c>
      <c r="AN8298">
        <v>0.99999995185408797</v>
      </c>
    </row>
    <row r="8299" spans="1:40" x14ac:dyDescent="0.25">
      <c r="A8299" t="str">
        <f>"20190312172311994"</f>
        <v>20190312172311994</v>
      </c>
      <c r="B8299" t="str">
        <f>"1552382591988347"</f>
        <v>1552382591988347</v>
      </c>
      <c r="C8299" t="s">
        <v>40</v>
      </c>
      <c r="D8299">
        <v>3.0490490000000001</v>
      </c>
      <c r="E8299">
        <v>0.49200339999999998</v>
      </c>
      <c r="F8299" t="s">
        <v>62</v>
      </c>
      <c r="G8299">
        <v>-188.1823</v>
      </c>
      <c r="H8299" s="1">
        <v>-4.245322E-6</v>
      </c>
      <c r="I8299">
        <v>127.9359</v>
      </c>
      <c r="J8299">
        <v>-187.78800000000001</v>
      </c>
      <c r="K8299">
        <v>1.1095699999999999</v>
      </c>
      <c r="L8299">
        <v>84.247829999999993</v>
      </c>
      <c r="M8299">
        <v>1.5152250000000001E-2</v>
      </c>
      <c r="N8299">
        <v>0</v>
      </c>
      <c r="O8299">
        <v>0.99982510000000002</v>
      </c>
      <c r="P8299">
        <v>8.0619579999999993E-3</v>
      </c>
      <c r="Q8299">
        <v>0.19019920000000001</v>
      </c>
      <c r="R8299">
        <v>0.98171240000000004</v>
      </c>
      <c r="S8299">
        <v>-2.6977540000000001E-2</v>
      </c>
      <c r="T8299">
        <v>-7.7228190000000002E-2</v>
      </c>
      <c r="U8299">
        <v>3.0711979999999999</v>
      </c>
      <c r="V8299">
        <v>-6.7971619999999998E-3</v>
      </c>
      <c r="W8299">
        <v>0.20095180000000001</v>
      </c>
      <c r="X8299">
        <v>0.97957749999999999</v>
      </c>
      <c r="Y8299">
        <v>-2.3932510000000001E-2</v>
      </c>
      <c r="Z8299">
        <v>-2.5129599999999998E-2</v>
      </c>
      <c r="AA8299">
        <v>0.99939770000000006</v>
      </c>
      <c r="AB8299">
        <v>43</v>
      </c>
      <c r="AC8299">
        <v>-0.39430000000001503</v>
      </c>
      <c r="AD8299">
        <v>-1.1095742453219899</v>
      </c>
      <c r="AE8299">
        <v>43.688070000000003</v>
      </c>
      <c r="AF8299">
        <v>-1.05558622745127</v>
      </c>
      <c r="AG8299">
        <v>-1.1095742453219899</v>
      </c>
      <c r="AH8299">
        <v>43.648925997247197</v>
      </c>
      <c r="AI8299">
        <v>91.455744009973003</v>
      </c>
      <c r="AJ8299">
        <v>91.385345639394203</v>
      </c>
      <c r="AK8299">
        <v>43.675784572261897</v>
      </c>
      <c r="AL8299">
        <v>78.407376229504294</v>
      </c>
      <c r="AM8299">
        <v>90.397561647816701</v>
      </c>
      <c r="AN8299">
        <v>0.99999995292037103</v>
      </c>
    </row>
    <row r="8300" spans="1:40" x14ac:dyDescent="0.25">
      <c r="A8300" t="str">
        <f>"20190312172312016"</f>
        <v>20190312172312016</v>
      </c>
      <c r="B8300" t="str">
        <f>"1552382592008843"</f>
        <v>1552382592008843</v>
      </c>
      <c r="C8300" t="s">
        <v>40</v>
      </c>
      <c r="D8300">
        <v>3.0494370000000002</v>
      </c>
      <c r="E8300">
        <v>0.49173090000000003</v>
      </c>
      <c r="F8300" t="s">
        <v>62</v>
      </c>
      <c r="G8300">
        <v>-188.22659999999999</v>
      </c>
      <c r="H8300" s="1">
        <v>-4.3948959999999999E-6</v>
      </c>
      <c r="I8300">
        <v>128.29640000000001</v>
      </c>
      <c r="J8300">
        <v>-187.7816</v>
      </c>
      <c r="K8300">
        <v>1.109572</v>
      </c>
      <c r="L8300">
        <v>84.673739999999995</v>
      </c>
      <c r="M8300">
        <v>1.5159260000000001E-2</v>
      </c>
      <c r="N8300">
        <v>0</v>
      </c>
      <c r="O8300">
        <v>0.99982490000000002</v>
      </c>
      <c r="P8300">
        <v>7.9340469999999996E-3</v>
      </c>
      <c r="Q8300">
        <v>0.1902237</v>
      </c>
      <c r="R8300">
        <v>0.98170869999999999</v>
      </c>
      <c r="S8300">
        <v>-3.0578609999999999E-2</v>
      </c>
      <c r="T8300">
        <v>-7.7361349999999995E-2</v>
      </c>
      <c r="U8300">
        <v>3.0711360000000001</v>
      </c>
      <c r="V8300">
        <v>-6.9325690000000004E-3</v>
      </c>
      <c r="W8300">
        <v>0.20098730000000001</v>
      </c>
      <c r="X8300">
        <v>0.97956929999999998</v>
      </c>
      <c r="Y8300">
        <v>-2.5111410000000001E-2</v>
      </c>
      <c r="Z8300">
        <v>-2.517289E-2</v>
      </c>
      <c r="AA8300">
        <v>0.99936769999999997</v>
      </c>
      <c r="AB8300">
        <v>43</v>
      </c>
      <c r="AC8300">
        <v>-0.44499999999999301</v>
      </c>
      <c r="AD8300">
        <v>-1.109576394896</v>
      </c>
      <c r="AE8300">
        <v>43.622660000000003</v>
      </c>
      <c r="AF8300">
        <v>-1.10556070639131</v>
      </c>
      <c r="AG8300">
        <v>-1.109576394896</v>
      </c>
      <c r="AH8300">
        <v>43.582706360931802</v>
      </c>
      <c r="AI8300">
        <v>91.457915038433399</v>
      </c>
      <c r="AJ8300">
        <v>91.453108035061604</v>
      </c>
      <c r="AK8300">
        <v>43.610844041302798</v>
      </c>
      <c r="AL8300">
        <v>78.405300236131595</v>
      </c>
      <c r="AM8300">
        <v>90.405484648767398</v>
      </c>
      <c r="AN8300">
        <v>0.99999998438835902</v>
      </c>
    </row>
    <row r="8301" spans="1:40" x14ac:dyDescent="0.25">
      <c r="A8301" t="str">
        <f>"20190312172312029"</f>
        <v>20190312172312029</v>
      </c>
      <c r="B8301" t="str">
        <f>"1552382592018604"</f>
        <v>1552382592018604</v>
      </c>
      <c r="C8301" t="s">
        <v>40</v>
      </c>
      <c r="D8301">
        <v>3.2120129999999998</v>
      </c>
      <c r="E8301">
        <v>0.49161129999999997</v>
      </c>
      <c r="F8301" t="s">
        <v>62</v>
      </c>
      <c r="G8301">
        <v>-188.2499</v>
      </c>
      <c r="H8301" s="1">
        <v>-4.5483769999999999E-6</v>
      </c>
      <c r="I8301">
        <v>128.66319999999999</v>
      </c>
      <c r="J8301">
        <v>-187.77780000000001</v>
      </c>
      <c r="K8301">
        <v>1.1095740000000001</v>
      </c>
      <c r="L8301">
        <v>84.926640000000006</v>
      </c>
      <c r="M8301">
        <v>1.5163060000000001E-2</v>
      </c>
      <c r="N8301">
        <v>0</v>
      </c>
      <c r="O8301">
        <v>0.99982470000000001</v>
      </c>
      <c r="P8301">
        <v>7.8252719999999994E-3</v>
      </c>
      <c r="Q8301">
        <v>0.1902143</v>
      </c>
      <c r="R8301">
        <v>0.98171140000000001</v>
      </c>
      <c r="S8301">
        <v>-3.2699579999999999E-2</v>
      </c>
      <c r="T8301">
        <v>-7.7466960000000001E-2</v>
      </c>
      <c r="U8301">
        <v>3.0711979999999999</v>
      </c>
      <c r="V8301">
        <v>-7.0460779999999999E-3</v>
      </c>
      <c r="W8301">
        <v>0.20098360000000001</v>
      </c>
      <c r="X8301">
        <v>0.97956929999999998</v>
      </c>
      <c r="Y8301">
        <v>-2.5805080000000001E-2</v>
      </c>
      <c r="Z8301">
        <v>-2.520642E-2</v>
      </c>
      <c r="AA8301">
        <v>0.99934920000000005</v>
      </c>
      <c r="AB8301">
        <v>43</v>
      </c>
      <c r="AC8301">
        <v>-0.47209999999998298</v>
      </c>
      <c r="AD8301">
        <v>-1.109578548377</v>
      </c>
      <c r="AE8301">
        <v>43.736559999999898</v>
      </c>
      <c r="AF8301">
        <v>-1.1345356915173701</v>
      </c>
      <c r="AG8301">
        <v>-1.109578548377</v>
      </c>
      <c r="AH8301">
        <v>43.696251939670702</v>
      </c>
      <c r="AI8301">
        <v>91.4541088037832</v>
      </c>
      <c r="AJ8301">
        <v>91.487301602177197</v>
      </c>
      <c r="AK8301">
        <v>43.7250588263243</v>
      </c>
      <c r="AL8301">
        <v>78.405517230841895</v>
      </c>
      <c r="AM8301">
        <v>90.412123541545199</v>
      </c>
      <c r="AN8301">
        <v>1.00000003409331</v>
      </c>
    </row>
    <row r="8302" spans="1:40" x14ac:dyDescent="0.25">
      <c r="A8302" t="str">
        <f>"20190312172312042"</f>
        <v>20190312172312042</v>
      </c>
      <c r="B8302" t="str">
        <f>"1552382592039099"</f>
        <v>1552382592039099</v>
      </c>
      <c r="C8302" t="s">
        <v>40</v>
      </c>
      <c r="D8302">
        <v>3.2090559999999999</v>
      </c>
      <c r="E8302">
        <v>0.49138480000000001</v>
      </c>
      <c r="F8302" t="s">
        <v>62</v>
      </c>
      <c r="G8302">
        <v>-188.26320000000001</v>
      </c>
      <c r="H8302" s="1">
        <v>-4.6231279999999998E-6</v>
      </c>
      <c r="I8302">
        <v>128.84209999999999</v>
      </c>
      <c r="J8302">
        <v>-187.774</v>
      </c>
      <c r="K8302">
        <v>1.1095759999999999</v>
      </c>
      <c r="L8302">
        <v>85.174009999999996</v>
      </c>
      <c r="M8302">
        <v>1.516672E-2</v>
      </c>
      <c r="N8302">
        <v>0</v>
      </c>
      <c r="O8302">
        <v>0.99982459999999995</v>
      </c>
      <c r="P8302">
        <v>7.6808079999999999E-3</v>
      </c>
      <c r="Q8302">
        <v>0.19030349999999999</v>
      </c>
      <c r="R8302">
        <v>0.98169530000000005</v>
      </c>
      <c r="S8302">
        <v>-3.3950809999999998E-2</v>
      </c>
      <c r="T8302">
        <v>-7.7597620000000006E-2</v>
      </c>
      <c r="U8302">
        <v>3.0711979999999999</v>
      </c>
      <c r="V8302">
        <v>-7.1940049999999998E-3</v>
      </c>
      <c r="W8302">
        <v>0.20107839999999999</v>
      </c>
      <c r="X8302">
        <v>0.9795488</v>
      </c>
      <c r="Y8302">
        <v>-2.6215820000000001E-2</v>
      </c>
      <c r="Z8302">
        <v>-2.5248710000000001E-2</v>
      </c>
      <c r="AA8302">
        <v>0.99933740000000004</v>
      </c>
      <c r="AB8302">
        <v>43</v>
      </c>
      <c r="AC8302">
        <v>-0.48920000000001101</v>
      </c>
      <c r="AD8302">
        <v>-1.1095806231280001</v>
      </c>
      <c r="AE8302">
        <v>43.6680899999999</v>
      </c>
      <c r="AF8302">
        <v>-1.1507425351568401</v>
      </c>
      <c r="AG8302">
        <v>-1.1095806231280001</v>
      </c>
      <c r="AH8302">
        <v>43.627482582744598</v>
      </c>
      <c r="AI8302">
        <v>91.456386928509204</v>
      </c>
      <c r="AJ8302">
        <v>91.510914743718203</v>
      </c>
      <c r="AK8302">
        <v>43.656759087787499</v>
      </c>
      <c r="AL8302">
        <v>78.399972745721001</v>
      </c>
      <c r="AM8302">
        <v>90.420784256790796</v>
      </c>
      <c r="AN8302">
        <v>1.0000000641179601</v>
      </c>
    </row>
    <row r="8303" spans="1:40" x14ac:dyDescent="0.25">
      <c r="A8303" t="str">
        <f>"20190312172312059"</f>
        <v>20190312172312059</v>
      </c>
      <c r="B8303" t="str">
        <f>"1552382592048859"</f>
        <v>1552382592048859</v>
      </c>
      <c r="C8303" t="s">
        <v>40</v>
      </c>
      <c r="D8303">
        <v>3.0518450000000001</v>
      </c>
      <c r="E8303">
        <v>0.49126320000000001</v>
      </c>
      <c r="F8303" t="s">
        <v>62</v>
      </c>
      <c r="G8303">
        <v>-188.28559999999999</v>
      </c>
      <c r="H8303" s="1">
        <v>-4.7171869999999998E-6</v>
      </c>
      <c r="I8303">
        <v>129.06799999999899</v>
      </c>
      <c r="J8303">
        <v>-187.7687</v>
      </c>
      <c r="K8303">
        <v>1.10958</v>
      </c>
      <c r="L8303">
        <v>85.520809999999997</v>
      </c>
      <c r="M8303">
        <v>1.517198E-2</v>
      </c>
      <c r="N8303">
        <v>0</v>
      </c>
      <c r="O8303">
        <v>0.9998245</v>
      </c>
      <c r="P8303">
        <v>7.7592290000000003E-3</v>
      </c>
      <c r="Q8303">
        <v>0.1908976</v>
      </c>
      <c r="R8303">
        <v>0.98157930000000004</v>
      </c>
      <c r="S8303">
        <v>-3.5797120000000002E-2</v>
      </c>
      <c r="T8303">
        <v>-7.7638029999999997E-2</v>
      </c>
      <c r="U8303">
        <v>3.0712890000000002</v>
      </c>
      <c r="V8303">
        <v>-7.1193069999999897E-3</v>
      </c>
      <c r="W8303">
        <v>0.20167950000000001</v>
      </c>
      <c r="X8303">
        <v>0.97942569999999995</v>
      </c>
      <c r="Y8303">
        <v>-2.6821419999999999E-2</v>
      </c>
      <c r="Z8303">
        <v>-2.5260810000000002E-2</v>
      </c>
      <c r="AA8303">
        <v>0.99932100000000001</v>
      </c>
      <c r="AB8303">
        <v>43</v>
      </c>
      <c r="AC8303">
        <v>-0.51689999999999203</v>
      </c>
      <c r="AD8303">
        <v>-1.1095847171869999</v>
      </c>
      <c r="AE8303">
        <v>43.547189999999901</v>
      </c>
      <c r="AF8303">
        <v>-1.17681357726238</v>
      </c>
      <c r="AG8303">
        <v>-1.1095847171869999</v>
      </c>
      <c r="AH8303">
        <v>43.506092577648801</v>
      </c>
      <c r="AI8303">
        <v>91.460427925481994</v>
      </c>
      <c r="AJ8303">
        <v>91.549438477181397</v>
      </c>
      <c r="AK8303">
        <v>43.536147737428401</v>
      </c>
      <c r="AL8303">
        <v>78.364811214350894</v>
      </c>
      <c r="AM8303">
        <v>90.4164675894243</v>
      </c>
      <c r="AN8303">
        <v>1.00000000353645</v>
      </c>
    </row>
    <row r="8304" spans="1:40" x14ac:dyDescent="0.25">
      <c r="A8304" t="str">
        <f>"20190312172312073"</f>
        <v>20190312172312073</v>
      </c>
      <c r="B8304" t="str">
        <f>"1552382592068379"</f>
        <v>1552382592068379</v>
      </c>
      <c r="C8304" t="s">
        <v>40</v>
      </c>
      <c r="D8304">
        <v>3.0741070000000001</v>
      </c>
      <c r="E8304">
        <v>0.49103239999999998</v>
      </c>
      <c r="F8304" t="s">
        <v>62</v>
      </c>
      <c r="G8304">
        <v>-188.2998</v>
      </c>
      <c r="H8304" s="1">
        <v>-5.1908859999999998E-6</v>
      </c>
      <c r="I8304">
        <v>130.37620000000001</v>
      </c>
      <c r="J8304">
        <v>-187.76499999999999</v>
      </c>
      <c r="K8304">
        <v>1.1095809999999999</v>
      </c>
      <c r="L8304">
        <v>85.768979999999999</v>
      </c>
      <c r="M8304">
        <v>1.517581E-2</v>
      </c>
      <c r="N8304">
        <v>0</v>
      </c>
      <c r="O8304">
        <v>0.9998243</v>
      </c>
      <c r="P8304">
        <v>7.6597439999999996E-3</v>
      </c>
      <c r="Q8304">
        <v>0.19114790000000001</v>
      </c>
      <c r="R8304">
        <v>0.98153140000000005</v>
      </c>
      <c r="S8304">
        <v>-3.6361690000000002E-2</v>
      </c>
      <c r="T8304">
        <v>-7.5975780000000007E-2</v>
      </c>
      <c r="U8304">
        <v>3.0713499999999998</v>
      </c>
      <c r="V8304">
        <v>-7.2221330000000004E-3</v>
      </c>
      <c r="W8304">
        <v>0.20193410000000001</v>
      </c>
      <c r="X8304">
        <v>0.97937249999999998</v>
      </c>
      <c r="Y8304">
        <v>-2.7008850000000001E-2</v>
      </c>
      <c r="Z8304">
        <v>-2.4719720000000001E-2</v>
      </c>
      <c r="AA8304">
        <v>0.99932949999999998</v>
      </c>
      <c r="AB8304">
        <v>43</v>
      </c>
      <c r="AC8304">
        <v>-0.53480000000001804</v>
      </c>
      <c r="AD8304">
        <v>-1.1095861908860001</v>
      </c>
      <c r="AE8304">
        <v>44.607219999999998</v>
      </c>
      <c r="AF8304">
        <v>-1.21098090079706</v>
      </c>
      <c r="AG8304">
        <v>-1.1095861908860001</v>
      </c>
      <c r="AH8304">
        <v>44.566394655020197</v>
      </c>
      <c r="AI8304">
        <v>91.425693786364207</v>
      </c>
      <c r="AJ8304">
        <v>91.556487265987698</v>
      </c>
      <c r="AK8304">
        <v>44.596649972885999</v>
      </c>
      <c r="AL8304">
        <v>78.349917428523497</v>
      </c>
      <c r="AM8304">
        <v>90.422505471128801</v>
      </c>
      <c r="AN8304">
        <v>1.00000001685206</v>
      </c>
    </row>
    <row r="8305" spans="1:40" x14ac:dyDescent="0.25">
      <c r="A8305" t="str">
        <f>"20190312172312085"</f>
        <v>20190312172312085</v>
      </c>
      <c r="B8305" t="str">
        <f>"1552382592079116"</f>
        <v>1552382592079116</v>
      </c>
      <c r="C8305" t="s">
        <v>40</v>
      </c>
      <c r="D8305">
        <v>3.0840580000000002</v>
      </c>
      <c r="E8305">
        <v>0.49095119999999998</v>
      </c>
      <c r="F8305" t="s">
        <v>62</v>
      </c>
      <c r="G8305">
        <v>-188.3312</v>
      </c>
      <c r="H8305" s="1">
        <v>-5.3484299999999999E-6</v>
      </c>
      <c r="I8305">
        <v>130.87440000000001</v>
      </c>
      <c r="J8305">
        <v>-187.7611</v>
      </c>
      <c r="K8305">
        <v>1.1095809999999999</v>
      </c>
      <c r="L8305">
        <v>86.023499999999999</v>
      </c>
      <c r="M8305">
        <v>1.517985E-2</v>
      </c>
      <c r="N8305">
        <v>0</v>
      </c>
      <c r="O8305">
        <v>0.99982420000000005</v>
      </c>
      <c r="P8305">
        <v>8.0670050000000004E-3</v>
      </c>
      <c r="Q8305">
        <v>0.19133430000000001</v>
      </c>
      <c r="R8305">
        <v>0.98149180000000003</v>
      </c>
      <c r="S8305">
        <v>-3.8558960000000003E-2</v>
      </c>
      <c r="T8305">
        <v>-7.555771E-2</v>
      </c>
      <c r="U8305">
        <v>3.071472</v>
      </c>
      <c r="V8305">
        <v>-6.8193029999999996E-3</v>
      </c>
      <c r="W8305">
        <v>0.20212550000000001</v>
      </c>
      <c r="X8305">
        <v>0.97933590000000004</v>
      </c>
      <c r="Y8305">
        <v>-2.7727249999999998E-2</v>
      </c>
      <c r="Z8305">
        <v>-2.4582449999999999E-2</v>
      </c>
      <c r="AA8305">
        <v>0.99931320000000001</v>
      </c>
      <c r="AB8305">
        <v>43</v>
      </c>
      <c r="AC8305">
        <v>-0.57009999999999605</v>
      </c>
      <c r="AD8305">
        <v>-1.1095863484299999</v>
      </c>
      <c r="AE8305">
        <v>44.850900000000003</v>
      </c>
      <c r="AF8305">
        <v>-1.25014046869716</v>
      </c>
      <c r="AG8305">
        <v>-1.1095863484299999</v>
      </c>
      <c r="AH8305">
        <v>44.809656194724198</v>
      </c>
      <c r="AI8305">
        <v>91.417929056945695</v>
      </c>
      <c r="AJ8305">
        <v>91.5980751384146</v>
      </c>
      <c r="AK8305">
        <v>44.840822041366302</v>
      </c>
      <c r="AL8305">
        <v>78.338720073529899</v>
      </c>
      <c r="AM8305">
        <v>90.398955012808102</v>
      </c>
      <c r="AN8305">
        <v>1.0000000128362301</v>
      </c>
    </row>
    <row r="8306" spans="1:40" x14ac:dyDescent="0.25">
      <c r="A8306" t="str">
        <f>"20190312172312097"</f>
        <v>20190312172312097</v>
      </c>
      <c r="B8306" t="str">
        <f>"1552382592088877"</f>
        <v>1552382592088877</v>
      </c>
      <c r="C8306" t="s">
        <v>40</v>
      </c>
      <c r="D8306">
        <v>3.226178</v>
      </c>
      <c r="E8306">
        <v>0.49085299999999998</v>
      </c>
      <c r="F8306" t="s">
        <v>62</v>
      </c>
      <c r="G8306">
        <v>-188.31559999999999</v>
      </c>
      <c r="H8306" s="1">
        <v>-5.4706739999999997E-6</v>
      </c>
      <c r="I8306">
        <v>131.25380000000001</v>
      </c>
      <c r="J8306">
        <v>-187.75739999999999</v>
      </c>
      <c r="K8306">
        <v>1.109586</v>
      </c>
      <c r="L8306">
        <v>86.269040000000004</v>
      </c>
      <c r="M8306">
        <v>1.518387E-2</v>
      </c>
      <c r="N8306">
        <v>0</v>
      </c>
      <c r="O8306">
        <v>0.99982409999999999</v>
      </c>
      <c r="P8306">
        <v>8.1724609999999902E-3</v>
      </c>
      <c r="Q8306">
        <v>0.19151750000000001</v>
      </c>
      <c r="R8306">
        <v>0.98145519999999997</v>
      </c>
      <c r="S8306">
        <v>-3.7658690000000002E-2</v>
      </c>
      <c r="T8306">
        <v>-7.5351479999999998E-2</v>
      </c>
      <c r="U8306">
        <v>3.071564</v>
      </c>
      <c r="V8306">
        <v>-6.7172350000000002E-3</v>
      </c>
      <c r="W8306">
        <v>0.2023133</v>
      </c>
      <c r="X8306">
        <v>0.9792978</v>
      </c>
      <c r="Y8306">
        <v>-2.743806E-2</v>
      </c>
      <c r="Z8306">
        <v>-2.45148E-2</v>
      </c>
      <c r="AA8306">
        <v>0.99932279999999996</v>
      </c>
      <c r="AB8306">
        <v>43</v>
      </c>
      <c r="AC8306">
        <v>-0.55819999999999903</v>
      </c>
      <c r="AD8306">
        <v>-1.109591470674</v>
      </c>
      <c r="AE8306">
        <v>44.984760000000001</v>
      </c>
      <c r="AF8306">
        <v>-1.2404651989156299</v>
      </c>
      <c r="AG8306">
        <v>-1.109591470674</v>
      </c>
      <c r="AH8306">
        <v>44.943757343632001</v>
      </c>
      <c r="AI8306">
        <v>91.413718244484201</v>
      </c>
      <c r="AJ8306">
        <v>91.580984445956602</v>
      </c>
      <c r="AK8306">
        <v>44.974562491532801</v>
      </c>
      <c r="AL8306">
        <v>78.327732627001197</v>
      </c>
      <c r="AM8306">
        <v>90.392999126259994</v>
      </c>
      <c r="AN8306">
        <v>0.99999998684388702</v>
      </c>
    </row>
    <row r="8307" spans="1:40" x14ac:dyDescent="0.25">
      <c r="A8307" t="str">
        <f>"20190312172312116"</f>
        <v>20190312172312116</v>
      </c>
      <c r="B8307" t="str">
        <f>"1552382592108395"</f>
        <v>1552382592108395</v>
      </c>
      <c r="C8307" t="s">
        <v>40</v>
      </c>
      <c r="D8307">
        <v>3.1065450000000001</v>
      </c>
      <c r="E8307">
        <v>0.49064770000000002</v>
      </c>
      <c r="F8307" t="s">
        <v>62</v>
      </c>
      <c r="G8307">
        <v>-188.3228</v>
      </c>
      <c r="H8307" s="1">
        <v>-5.6391559999999998E-6</v>
      </c>
      <c r="I8307">
        <v>131.7818</v>
      </c>
      <c r="J8307">
        <v>-187.75219999999999</v>
      </c>
      <c r="K8307">
        <v>1.1095889999999999</v>
      </c>
      <c r="L8307">
        <v>86.610109999999906</v>
      </c>
      <c r="M8307">
        <v>1.518856E-2</v>
      </c>
      <c r="N8307">
        <v>0</v>
      </c>
      <c r="O8307">
        <v>0.99982389999999999</v>
      </c>
      <c r="P8307">
        <v>8.5278530000000002E-3</v>
      </c>
      <c r="Q8307">
        <v>0.19187360000000001</v>
      </c>
      <c r="R8307">
        <v>0.98138259999999999</v>
      </c>
      <c r="S8307">
        <v>-3.8162229999999998E-2</v>
      </c>
      <c r="T8307">
        <v>-7.4885610000000005E-2</v>
      </c>
      <c r="U8307">
        <v>3.071625</v>
      </c>
      <c r="V8307">
        <v>-6.3665229999999998E-3</v>
      </c>
      <c r="W8307">
        <v>0.20267560000000001</v>
      </c>
      <c r="X8307">
        <v>0.97922520000000002</v>
      </c>
      <c r="Y8307">
        <v>-2.7606350000000002E-2</v>
      </c>
      <c r="Z8307">
        <v>-2.4362760000000001E-2</v>
      </c>
      <c r="AA8307">
        <v>0.99932189999999999</v>
      </c>
      <c r="AB8307">
        <v>43</v>
      </c>
      <c r="AC8307">
        <v>-0.57060000000001299</v>
      </c>
      <c r="AD8307">
        <v>-1.1095946391560001</v>
      </c>
      <c r="AE8307">
        <v>45.171689999999998</v>
      </c>
      <c r="AF8307">
        <v>-1.2559110918154399</v>
      </c>
      <c r="AG8307">
        <v>-1.1095946391560001</v>
      </c>
      <c r="AH8307">
        <v>45.130584697558497</v>
      </c>
      <c r="AI8307">
        <v>91.407863360038505</v>
      </c>
      <c r="AJ8307">
        <v>91.594037365122901</v>
      </c>
      <c r="AK8307">
        <v>45.161689384668598</v>
      </c>
      <c r="AL8307">
        <v>78.306534931841099</v>
      </c>
      <c r="AM8307">
        <v>90.372508549044298</v>
      </c>
      <c r="AN8307">
        <v>0.99999996188275397</v>
      </c>
    </row>
    <row r="8308" spans="1:40" x14ac:dyDescent="0.25">
      <c r="A8308" t="str">
        <f>"20190312172312129"</f>
        <v>20190312172312129</v>
      </c>
      <c r="B8308" t="str">
        <f>"1552382592119132"</f>
        <v>1552382592119132</v>
      </c>
      <c r="C8308" t="s">
        <v>40</v>
      </c>
      <c r="D8308">
        <v>3.0620219999999998</v>
      </c>
      <c r="E8308">
        <v>0.49060350000000003</v>
      </c>
      <c r="F8308" t="s">
        <v>62</v>
      </c>
      <c r="G8308">
        <v>-188.3287</v>
      </c>
      <c r="H8308" s="1">
        <v>-5.9113630000000003E-6</v>
      </c>
      <c r="I8308">
        <v>132.63380000000001</v>
      </c>
      <c r="J8308">
        <v>-187.74809999999999</v>
      </c>
      <c r="K8308">
        <v>1.109586</v>
      </c>
      <c r="L8308">
        <v>86.874569999999906</v>
      </c>
      <c r="M8308">
        <v>1.5191670000000001E-2</v>
      </c>
      <c r="N8308">
        <v>0</v>
      </c>
      <c r="O8308">
        <v>0.99982389999999999</v>
      </c>
      <c r="P8308">
        <v>8.5848829999999998E-3</v>
      </c>
      <c r="Q8308">
        <v>0.19176299999999999</v>
      </c>
      <c r="R8308">
        <v>0.98140369999999999</v>
      </c>
      <c r="S8308">
        <v>-3.8482669999999997E-2</v>
      </c>
      <c r="T8308">
        <v>-7.4056629999999998E-2</v>
      </c>
      <c r="U8308">
        <v>3.0717159999999999</v>
      </c>
      <c r="V8308">
        <v>-6.3134339999999997E-3</v>
      </c>
      <c r="W8308">
        <v>0.2025701</v>
      </c>
      <c r="X8308">
        <v>0.97924739999999999</v>
      </c>
      <c r="Y8308">
        <v>-2.7713390000000001E-2</v>
      </c>
      <c r="Z8308">
        <v>-2.4092450000000001E-2</v>
      </c>
      <c r="AA8308">
        <v>0.99932549999999998</v>
      </c>
      <c r="AB8308">
        <v>43</v>
      </c>
      <c r="AC8308">
        <v>-0.580600000000004</v>
      </c>
      <c r="AD8308">
        <v>-1.1095919113629999</v>
      </c>
      <c r="AE8308">
        <v>45.759230000000002</v>
      </c>
      <c r="AF8308">
        <v>-1.27498474974474</v>
      </c>
      <c r="AG8308">
        <v>-1.1095919113629999</v>
      </c>
      <c r="AH8308">
        <v>45.718250423179498</v>
      </c>
      <c r="AI8308">
        <v>91.389768009477294</v>
      </c>
      <c r="AJ8308">
        <v>91.597443365135305</v>
      </c>
      <c r="AK8308">
        <v>45.749483079903698</v>
      </c>
      <c r="AL8308">
        <v>78.312707984253805</v>
      </c>
      <c r="AM8308">
        <v>90.369393996381007</v>
      </c>
      <c r="AN8308">
        <v>0.99999998763482101</v>
      </c>
    </row>
    <row r="8309" spans="1:40" x14ac:dyDescent="0.25">
      <c r="A8309" t="str">
        <f>"20190312172312151"</f>
        <v>20190312172312151</v>
      </c>
      <c r="B8309" t="str">
        <f>"1552382592138652"</f>
        <v>1552382592138652</v>
      </c>
      <c r="C8309" t="s">
        <v>40</v>
      </c>
      <c r="D8309">
        <v>3.392398</v>
      </c>
      <c r="E8309">
        <v>0.49066130000000002</v>
      </c>
      <c r="F8309" t="s">
        <v>62</v>
      </c>
      <c r="G8309">
        <v>-188.3229</v>
      </c>
      <c r="H8309" s="1">
        <v>-5.851851E-6</v>
      </c>
      <c r="I8309">
        <v>132.44669999999999</v>
      </c>
      <c r="J8309">
        <v>-187.74189999999999</v>
      </c>
      <c r="K8309">
        <v>1.109588</v>
      </c>
      <c r="L8309">
        <v>87.282839999999993</v>
      </c>
      <c r="M8309">
        <v>1.519557E-2</v>
      </c>
      <c r="N8309">
        <v>0</v>
      </c>
      <c r="O8309">
        <v>0.99982369999999998</v>
      </c>
      <c r="P8309">
        <v>9.1953639999999993E-3</v>
      </c>
      <c r="Q8309">
        <v>0.19153890000000001</v>
      </c>
      <c r="R8309">
        <v>0.98144189999999998</v>
      </c>
      <c r="S8309">
        <v>-3.8742070000000003E-2</v>
      </c>
      <c r="T8309">
        <v>-7.4792499999999998E-2</v>
      </c>
      <c r="U8309">
        <v>3.0718079999999999</v>
      </c>
      <c r="V8309">
        <v>-5.70807E-3</v>
      </c>
      <c r="W8309">
        <v>0.20235339999999999</v>
      </c>
      <c r="X8309">
        <v>0.9792959</v>
      </c>
      <c r="Y8309">
        <v>-2.780123E-2</v>
      </c>
      <c r="Z8309">
        <v>-2.4330939999999999E-2</v>
      </c>
      <c r="AA8309">
        <v>0.99931729999999996</v>
      </c>
      <c r="AB8309">
        <v>43</v>
      </c>
      <c r="AC8309">
        <v>-0.58100000000001695</v>
      </c>
      <c r="AD8309">
        <v>-1.109593851851</v>
      </c>
      <c r="AE8309">
        <v>45.1638599999999</v>
      </c>
      <c r="AF8309">
        <v>-1.2665009304053401</v>
      </c>
      <c r="AG8309">
        <v>-1.109593851851</v>
      </c>
      <c r="AH8309">
        <v>45.122584331320603</v>
      </c>
      <c r="AI8309">
        <v>91.408102460087406</v>
      </c>
      <c r="AJ8309">
        <v>91.607756120715194</v>
      </c>
      <c r="AK8309">
        <v>45.153990298310603</v>
      </c>
      <c r="AL8309">
        <v>78.325386343869894</v>
      </c>
      <c r="AM8309">
        <v>90.333958935693701</v>
      </c>
      <c r="AN8309">
        <v>0.99999997015574604</v>
      </c>
    </row>
    <row r="8310" spans="1:40" x14ac:dyDescent="0.25">
      <c r="A8310" t="str">
        <f>"20190312172312172"</f>
        <v>20190312172312172</v>
      </c>
      <c r="B8310" t="str">
        <f>"1552382592168907"</f>
        <v>1552382592168907</v>
      </c>
      <c r="C8310" t="s">
        <v>40</v>
      </c>
      <c r="D8310">
        <v>3.1841179999999998</v>
      </c>
      <c r="E8310">
        <v>0.52613089999999996</v>
      </c>
      <c r="F8310" t="s">
        <v>62</v>
      </c>
      <c r="G8310">
        <v>-188.28059999999999</v>
      </c>
      <c r="H8310" s="1">
        <v>-5.7765749999999998E-6</v>
      </c>
      <c r="I8310">
        <v>132.2037</v>
      </c>
      <c r="J8310">
        <v>-187.7355</v>
      </c>
      <c r="K8310">
        <v>1.109591</v>
      </c>
      <c r="L8310">
        <v>87.707520000000002</v>
      </c>
      <c r="M8310">
        <v>1.519859E-2</v>
      </c>
      <c r="N8310">
        <v>0</v>
      </c>
      <c r="O8310">
        <v>0.99982360000000003</v>
      </c>
      <c r="P8310">
        <v>9.9115869999999995E-3</v>
      </c>
      <c r="Q8310">
        <v>0.1916563</v>
      </c>
      <c r="R8310">
        <v>0.98141210000000001</v>
      </c>
      <c r="S8310">
        <v>-3.6834720000000001E-2</v>
      </c>
      <c r="T8310">
        <v>-7.5878500000000002E-2</v>
      </c>
      <c r="U8310">
        <v>3.071869</v>
      </c>
      <c r="V8310">
        <v>-4.99535E-3</v>
      </c>
      <c r="W8310">
        <v>0.20247760000000001</v>
      </c>
      <c r="X8310">
        <v>0.97927419999999998</v>
      </c>
      <c r="Y8310">
        <v>-2.7183510000000001E-2</v>
      </c>
      <c r="Z8310">
        <v>-2.468383E-2</v>
      </c>
      <c r="AA8310">
        <v>0.99932560000000004</v>
      </c>
      <c r="AB8310">
        <v>43</v>
      </c>
      <c r="AC8310">
        <v>-0.54509999999999004</v>
      </c>
      <c r="AD8310">
        <v>-1.1095967765750001</v>
      </c>
      <c r="AE8310">
        <v>44.496180000000003</v>
      </c>
      <c r="AF8310">
        <v>-1.2205984924055</v>
      </c>
      <c r="AG8310">
        <v>-1.1095967765750001</v>
      </c>
      <c r="AH8310">
        <v>44.455114357441801</v>
      </c>
      <c r="AI8310">
        <v>91.429263653927507</v>
      </c>
      <c r="AJ8310">
        <v>91.572767876466401</v>
      </c>
      <c r="AK8310">
        <v>44.485708471592098</v>
      </c>
      <c r="AL8310">
        <v>78.318120679611894</v>
      </c>
      <c r="AM8310">
        <v>90.292267466785304</v>
      </c>
      <c r="AN8310">
        <v>1.0000000454045099</v>
      </c>
    </row>
    <row r="8311" spans="1:40" x14ac:dyDescent="0.25">
      <c r="A8311" t="str">
        <f>"20190312172312195"</f>
        <v>20190312172312195</v>
      </c>
      <c r="B8311" t="str">
        <f>"1552382592188428"</f>
        <v>1552382592188428</v>
      </c>
      <c r="C8311" t="s">
        <v>40</v>
      </c>
      <c r="D8311">
        <v>3.2168049999999999</v>
      </c>
      <c r="E8311">
        <v>0.52857279999999995</v>
      </c>
      <c r="F8311" t="s">
        <v>42</v>
      </c>
      <c r="G8311">
        <v>-185.68530000000001</v>
      </c>
      <c r="H8311" s="1">
        <v>-2.3113089999999998E-6</v>
      </c>
      <c r="I8311">
        <v>113.0664</v>
      </c>
      <c r="J8311">
        <v>-187.72900000000001</v>
      </c>
      <c r="K8311">
        <v>1.1095820000000001</v>
      </c>
      <c r="L8311">
        <v>88.132779999999997</v>
      </c>
      <c r="M8311">
        <v>1.520063E-2</v>
      </c>
      <c r="N8311">
        <v>0</v>
      </c>
      <c r="O8311">
        <v>0.99982349999999998</v>
      </c>
      <c r="P8311">
        <v>1.070277E-2</v>
      </c>
      <c r="Q8311">
        <v>0.19160540000000001</v>
      </c>
      <c r="R8311">
        <v>0.98141369999999895</v>
      </c>
      <c r="S8311">
        <v>0.249054</v>
      </c>
      <c r="T8311">
        <v>-0.13479459999999999</v>
      </c>
      <c r="U8311">
        <v>3.0806269999999998</v>
      </c>
      <c r="V8311">
        <v>-4.2067010000000002E-3</v>
      </c>
      <c r="W8311">
        <v>0.2024338</v>
      </c>
      <c r="X8311">
        <v>0.97928689999999996</v>
      </c>
      <c r="Y8311">
        <v>6.5344280000000005E-2</v>
      </c>
      <c r="Z8311">
        <v>-4.3588490000000001E-2</v>
      </c>
      <c r="AA8311">
        <v>0.99691030000000003</v>
      </c>
      <c r="AB8311">
        <v>43</v>
      </c>
      <c r="AC8311">
        <v>2.0436999999999999</v>
      </c>
      <c r="AD8311">
        <v>-1.109584311309</v>
      </c>
      <c r="AE8311">
        <v>24.933619999999902</v>
      </c>
      <c r="AF8311">
        <v>1.6611662163990799</v>
      </c>
      <c r="AG8311">
        <v>-1.109584311309</v>
      </c>
      <c r="AH8311">
        <v>24.912798616449699</v>
      </c>
      <c r="AI8311">
        <v>92.544552674882695</v>
      </c>
      <c r="AJ8311">
        <v>86.185208554001207</v>
      </c>
      <c r="AK8311">
        <v>24.9927626613424</v>
      </c>
      <c r="AL8311">
        <v>78.320682600690503</v>
      </c>
      <c r="AM8311">
        <v>90.246122694431904</v>
      </c>
      <c r="AN8311">
        <v>0.99999998611367602</v>
      </c>
    </row>
    <row r="8312" spans="1:40" x14ac:dyDescent="0.25">
      <c r="A8312" t="str">
        <f>"20190312172312207"</f>
        <v>20190312172312207</v>
      </c>
      <c r="B8312" t="str">
        <f>"1552382592198188"</f>
        <v>1552382592198188</v>
      </c>
      <c r="C8312" t="s">
        <v>40</v>
      </c>
      <c r="D8312">
        <v>3.2225869999999999</v>
      </c>
      <c r="E8312">
        <v>0.52950299999999995</v>
      </c>
      <c r="F8312" t="s">
        <v>42</v>
      </c>
      <c r="G8312">
        <v>-185.57839999999999</v>
      </c>
      <c r="H8312" s="1">
        <v>-2.1819089999999998E-6</v>
      </c>
      <c r="I8312">
        <v>112.60250000000001</v>
      </c>
      <c r="J8312">
        <v>-187.72489999999999</v>
      </c>
      <c r="K8312">
        <v>1.1095790000000001</v>
      </c>
      <c r="L8312">
        <v>88.400599999999997</v>
      </c>
      <c r="M8312">
        <v>1.520143E-2</v>
      </c>
      <c r="N8312">
        <v>0</v>
      </c>
      <c r="O8312">
        <v>0.99982340000000003</v>
      </c>
      <c r="P8312">
        <v>1.1094929999999999E-2</v>
      </c>
      <c r="Q8312">
        <v>0.19133140000000001</v>
      </c>
      <c r="R8312">
        <v>0.98146279999999997</v>
      </c>
      <c r="S8312">
        <v>0.27079769999999997</v>
      </c>
      <c r="T8312">
        <v>-0.13971349999999999</v>
      </c>
      <c r="U8312">
        <v>3.0811160000000002</v>
      </c>
      <c r="V8312">
        <v>-3.8170050000000001E-3</v>
      </c>
      <c r="W8312">
        <v>0.20216480000000001</v>
      </c>
      <c r="X8312">
        <v>0.97934410000000005</v>
      </c>
      <c r="Y8312">
        <v>7.2308670000000005E-2</v>
      </c>
      <c r="Z8312">
        <v>-4.51446E-2</v>
      </c>
      <c r="AA8312">
        <v>0.99636009999999997</v>
      </c>
      <c r="AB8312">
        <v>43</v>
      </c>
      <c r="AC8312">
        <v>2.1465000000000001</v>
      </c>
      <c r="AD8312">
        <v>-1.109581181909</v>
      </c>
      <c r="AE8312">
        <v>24.201899999999998</v>
      </c>
      <c r="AF8312">
        <v>1.77462496341381</v>
      </c>
      <c r="AG8312">
        <v>-1.109581181909</v>
      </c>
      <c r="AH8312">
        <v>24.1813042010582</v>
      </c>
      <c r="AI8312">
        <v>92.6201895756504</v>
      </c>
      <c r="AJ8312">
        <v>85.802684343718099</v>
      </c>
      <c r="AK8312">
        <v>24.271710632424199</v>
      </c>
      <c r="AL8312">
        <v>78.3364209810684</v>
      </c>
      <c r="AM8312">
        <v>90.223309835128006</v>
      </c>
      <c r="AN8312">
        <v>1.00000002104551</v>
      </c>
    </row>
    <row r="8313" spans="1:40" x14ac:dyDescent="0.25">
      <c r="A8313" t="str">
        <f>"20190312172312228"</f>
        <v>20190312172312228</v>
      </c>
      <c r="B8313" t="str">
        <f>"1552382592218683"</f>
        <v>1552382592218683</v>
      </c>
      <c r="C8313" t="s">
        <v>40</v>
      </c>
      <c r="D8313">
        <v>3.2206329999999999</v>
      </c>
      <c r="E8313">
        <v>0.53078990000000004</v>
      </c>
      <c r="F8313" t="s">
        <v>42</v>
      </c>
      <c r="G8313">
        <v>-185.5719</v>
      </c>
      <c r="H8313" s="1">
        <v>-2.0285729999999998E-6</v>
      </c>
      <c r="I8313">
        <v>112.1469</v>
      </c>
      <c r="J8313">
        <v>-187.71899999999999</v>
      </c>
      <c r="K8313">
        <v>1.1095710000000001</v>
      </c>
      <c r="L8313">
        <v>88.791079999999994</v>
      </c>
      <c r="M8313">
        <v>1.520006E-2</v>
      </c>
      <c r="N8313">
        <v>0</v>
      </c>
      <c r="O8313">
        <v>0.99982329999999997</v>
      </c>
      <c r="P8313">
        <v>1.167992E-2</v>
      </c>
      <c r="Q8313">
        <v>0.19101009999999999</v>
      </c>
      <c r="R8313">
        <v>0.98151860000000002</v>
      </c>
      <c r="S8313">
        <v>0.27940369999999998</v>
      </c>
      <c r="T8313">
        <v>-0.14399110000000001</v>
      </c>
      <c r="U8313">
        <v>3.0815730000000001</v>
      </c>
      <c r="V8313">
        <v>-3.2320840000000001E-3</v>
      </c>
      <c r="W8313">
        <v>0.20184949999999999</v>
      </c>
      <c r="X8313">
        <v>0.97941120000000004</v>
      </c>
      <c r="Y8313">
        <v>7.5051759999999995E-2</v>
      </c>
      <c r="Z8313">
        <v>-4.6506510000000001E-2</v>
      </c>
      <c r="AA8313">
        <v>0.99609460000000005</v>
      </c>
      <c r="AB8313">
        <v>43</v>
      </c>
      <c r="AC8313">
        <v>2.14710000000002</v>
      </c>
      <c r="AD8313">
        <v>-1.1095730285730001</v>
      </c>
      <c r="AE8313">
        <v>23.355819999999898</v>
      </c>
      <c r="AF8313">
        <v>1.7878191392754099</v>
      </c>
      <c r="AG8313">
        <v>-1.1095730285730001</v>
      </c>
      <c r="AH8313">
        <v>23.3335382203596</v>
      </c>
      <c r="AI8313">
        <v>92.714574303928103</v>
      </c>
      <c r="AJ8313">
        <v>85.618549526226403</v>
      </c>
      <c r="AK8313">
        <v>23.428219212340501</v>
      </c>
      <c r="AL8313">
        <v>78.354866163347296</v>
      </c>
      <c r="AM8313">
        <v>90.189076967880396</v>
      </c>
      <c r="AN8313">
        <v>0.99999998285133596</v>
      </c>
    </row>
    <row r="8314" spans="1:40" x14ac:dyDescent="0.25">
      <c r="A8314" t="str">
        <f>"20190312172312250"</f>
        <v>20190312172312250</v>
      </c>
      <c r="B8314" t="str">
        <f>"1552382592238203"</f>
        <v>1552382592238203</v>
      </c>
      <c r="C8314" t="s">
        <v>40</v>
      </c>
      <c r="D8314">
        <v>3.222051</v>
      </c>
      <c r="E8314">
        <v>0.53179659999999995</v>
      </c>
      <c r="F8314" t="s">
        <v>42</v>
      </c>
      <c r="G8314">
        <v>-185.5736</v>
      </c>
      <c r="H8314" s="1">
        <v>-1.790307E-6</v>
      </c>
      <c r="I8314">
        <v>111.4481</v>
      </c>
      <c r="J8314">
        <v>-187.71250000000001</v>
      </c>
      <c r="K8314">
        <v>1.1095740000000001</v>
      </c>
      <c r="L8314">
        <v>89.2179</v>
      </c>
      <c r="M8314">
        <v>1.518975E-2</v>
      </c>
      <c r="N8314">
        <v>0</v>
      </c>
      <c r="O8314">
        <v>0.99982349999999998</v>
      </c>
      <c r="P8314">
        <v>1.2261070000000001E-2</v>
      </c>
      <c r="Q8314">
        <v>0.19068460000000001</v>
      </c>
      <c r="R8314">
        <v>0.98157479999999997</v>
      </c>
      <c r="S8314">
        <v>0.29187010000000002</v>
      </c>
      <c r="T8314">
        <v>-0.1509529</v>
      </c>
      <c r="U8314">
        <v>3.0823969999999998</v>
      </c>
      <c r="V8314">
        <v>-2.6447490000000001E-3</v>
      </c>
      <c r="W8314">
        <v>0.20153099999999999</v>
      </c>
      <c r="X8314">
        <v>0.97947850000000003</v>
      </c>
      <c r="Y8314">
        <v>7.9021830000000001E-2</v>
      </c>
      <c r="Z8314">
        <v>-4.8720340000000001E-2</v>
      </c>
      <c r="AA8314">
        <v>0.99568159999999994</v>
      </c>
      <c r="AB8314">
        <v>43</v>
      </c>
      <c r="AC8314">
        <v>2.1389</v>
      </c>
      <c r="AD8314">
        <v>-1.109575790307</v>
      </c>
      <c r="AE8314">
        <v>22.2302</v>
      </c>
      <c r="AF8314">
        <v>1.79652673672306</v>
      </c>
      <c r="AG8314">
        <v>-1.109575790307</v>
      </c>
      <c r="AH8314">
        <v>22.2053134931292</v>
      </c>
      <c r="AI8314">
        <v>92.851328328055303</v>
      </c>
      <c r="AJ8314">
        <v>85.374544533821805</v>
      </c>
      <c r="AK8314">
        <v>22.305483946293201</v>
      </c>
      <c r="AL8314">
        <v>78.3734972003964</v>
      </c>
      <c r="AM8314">
        <v>90.154707415532002</v>
      </c>
      <c r="AN8314">
        <v>0.99999993531025899</v>
      </c>
    </row>
    <row r="8315" spans="1:40" x14ac:dyDescent="0.25">
      <c r="A8315" t="str">
        <f>"20190312172312273"</f>
        <v>20190312172312273</v>
      </c>
      <c r="B8315" t="str">
        <f>"1552382592268460"</f>
        <v>1552382592268460</v>
      </c>
      <c r="C8315" t="s">
        <v>40</v>
      </c>
      <c r="D8315">
        <v>3.2014939999999998</v>
      </c>
      <c r="E8315">
        <v>0.53264899999999904</v>
      </c>
      <c r="F8315" t="s">
        <v>42</v>
      </c>
      <c r="G8315">
        <v>-185.5573</v>
      </c>
      <c r="H8315" s="1">
        <v>-1.7127679999999999E-6</v>
      </c>
      <c r="I8315">
        <v>111.20740000000001</v>
      </c>
      <c r="J8315">
        <v>-187.70609999999999</v>
      </c>
      <c r="K8315">
        <v>1.1095870000000001</v>
      </c>
      <c r="L8315">
        <v>89.638459999999995</v>
      </c>
      <c r="M8315">
        <v>1.5163859999999999E-2</v>
      </c>
      <c r="N8315">
        <v>0</v>
      </c>
      <c r="O8315">
        <v>0.99982380000000004</v>
      </c>
      <c r="P8315">
        <v>1.261512E-2</v>
      </c>
      <c r="Q8315">
        <v>0.19041430000000001</v>
      </c>
      <c r="R8315">
        <v>0.98162280000000002</v>
      </c>
      <c r="S8315">
        <v>0.30215449999999999</v>
      </c>
      <c r="T8315">
        <v>-0.15555389999999999</v>
      </c>
      <c r="U8315">
        <v>3.0827640000000001</v>
      </c>
      <c r="V8315">
        <v>-2.2707669999999999E-3</v>
      </c>
      <c r="W8315">
        <v>0.20126659999999999</v>
      </c>
      <c r="X8315">
        <v>0.97953389999999996</v>
      </c>
      <c r="Y8315">
        <v>8.2320169999999998E-2</v>
      </c>
      <c r="Z8315">
        <v>-5.0180990000000002E-2</v>
      </c>
      <c r="AA8315">
        <v>0.99534180000000005</v>
      </c>
      <c r="AB8315">
        <v>43</v>
      </c>
      <c r="AC8315">
        <v>2.1487999999999898</v>
      </c>
      <c r="AD8315">
        <v>-1.109588712768</v>
      </c>
      <c r="AE8315">
        <v>21.568940000000001</v>
      </c>
      <c r="AF8315">
        <v>1.8167038986595301</v>
      </c>
      <c r="AG8315">
        <v>-1.109588712768</v>
      </c>
      <c r="AH8315">
        <v>21.542594365645002</v>
      </c>
      <c r="AI8315">
        <v>92.938102451898303</v>
      </c>
      <c r="AJ8315">
        <v>85.179607365220207</v>
      </c>
      <c r="AK8315">
        <v>21.6475165358437</v>
      </c>
      <c r="AL8315">
        <v>78.388964238483595</v>
      </c>
      <c r="AM8315">
        <v>90.132823511561597</v>
      </c>
      <c r="AN8315">
        <v>1.00000003095376</v>
      </c>
    </row>
    <row r="8316" spans="1:40" x14ac:dyDescent="0.25">
      <c r="A8316" t="str">
        <f>"20190312172312295"</f>
        <v>20190312172312295</v>
      </c>
      <c r="B8316" t="str">
        <f>"1552382592288957"</f>
        <v>1552382592288957</v>
      </c>
      <c r="C8316" t="s">
        <v>40</v>
      </c>
      <c r="D8316">
        <v>3.2452549999999998</v>
      </c>
      <c r="E8316">
        <v>0.53284519999999902</v>
      </c>
      <c r="F8316" t="s">
        <v>42</v>
      </c>
      <c r="G8316">
        <v>-185.53960000000001</v>
      </c>
      <c r="H8316" s="1">
        <v>-1.697781E-6</v>
      </c>
      <c r="I8316">
        <v>111.14960000000001</v>
      </c>
      <c r="J8316">
        <v>-187.6994</v>
      </c>
      <c r="K8316">
        <v>1.109605</v>
      </c>
      <c r="L8316">
        <v>90.088409999999996</v>
      </c>
      <c r="M8316">
        <v>1.511467E-2</v>
      </c>
      <c r="N8316">
        <v>0</v>
      </c>
      <c r="O8316">
        <v>0.9998245</v>
      </c>
      <c r="P8316">
        <v>1.285361E-2</v>
      </c>
      <c r="Q8316">
        <v>0.19085849999999999</v>
      </c>
      <c r="R8316">
        <v>0.9815334</v>
      </c>
      <c r="S8316">
        <v>0.31051640000000003</v>
      </c>
      <c r="T8316">
        <v>-0.15902939999999999</v>
      </c>
      <c r="U8316">
        <v>3.0830380000000002</v>
      </c>
      <c r="V8316">
        <v>-1.9908E-3</v>
      </c>
      <c r="W8316">
        <v>0.20171549999999999</v>
      </c>
      <c r="X8316">
        <v>0.97944209999999998</v>
      </c>
      <c r="Y8316">
        <v>8.5027870000000005E-2</v>
      </c>
      <c r="Z8316">
        <v>-5.1282090000000002E-2</v>
      </c>
      <c r="AA8316">
        <v>0.995058</v>
      </c>
      <c r="AB8316">
        <v>44</v>
      </c>
      <c r="AC8316">
        <v>2.15979999999999</v>
      </c>
      <c r="AD8316">
        <v>-1.109606697781</v>
      </c>
      <c r="AE8316">
        <v>21.06119</v>
      </c>
      <c r="AF8316">
        <v>1.8361572304243401</v>
      </c>
      <c r="AG8316">
        <v>-1.109606697781</v>
      </c>
      <c r="AH8316">
        <v>21.033654976063001</v>
      </c>
      <c r="AI8316">
        <v>93.008354985841194</v>
      </c>
      <c r="AJ8316">
        <v>85.0109462554895</v>
      </c>
      <c r="AK8316">
        <v>21.142784633313099</v>
      </c>
      <c r="AL8316">
        <v>78.362704850734403</v>
      </c>
      <c r="AM8316">
        <v>90.116458421353201</v>
      </c>
      <c r="AN8316">
        <v>0.99999996673864899</v>
      </c>
    </row>
    <row r="8317" spans="1:40" x14ac:dyDescent="0.25">
      <c r="A8317" t="str">
        <f>"20190312172312317"</f>
        <v>20190312172312317</v>
      </c>
      <c r="B8317" t="str">
        <f>"1552382592308475"</f>
        <v>1552382592308475</v>
      </c>
      <c r="C8317" t="s">
        <v>40</v>
      </c>
      <c r="D8317">
        <v>3.2323010000000001</v>
      </c>
      <c r="E8317">
        <v>0.53311540000000002</v>
      </c>
      <c r="F8317" t="s">
        <v>42</v>
      </c>
      <c r="G8317">
        <v>-185.49879999999999</v>
      </c>
      <c r="H8317" s="1">
        <v>-1.90247E-6</v>
      </c>
      <c r="I8317">
        <v>111.7192</v>
      </c>
      <c r="J8317">
        <v>-187.69290000000001</v>
      </c>
      <c r="K8317">
        <v>1.1096299999999999</v>
      </c>
      <c r="L8317">
        <v>90.520169999999993</v>
      </c>
      <c r="M8317">
        <v>1.5047120000000001E-2</v>
      </c>
      <c r="N8317">
        <v>0</v>
      </c>
      <c r="O8317">
        <v>0.99982539999999998</v>
      </c>
      <c r="P8317">
        <v>1.300189E-2</v>
      </c>
      <c r="Q8317">
        <v>0.19168640000000001</v>
      </c>
      <c r="R8317">
        <v>0.98137010000000002</v>
      </c>
      <c r="S8317">
        <v>0.31364439999999999</v>
      </c>
      <c r="T8317">
        <v>-0.15815370000000001</v>
      </c>
      <c r="U8317">
        <v>3.0830690000000001</v>
      </c>
      <c r="V8317">
        <v>-1.78359E-3</v>
      </c>
      <c r="W8317">
        <v>0.2025467</v>
      </c>
      <c r="X8317">
        <v>0.979271</v>
      </c>
      <c r="Y8317">
        <v>8.6094989999999996E-2</v>
      </c>
      <c r="Z8317">
        <v>-5.0995100000000002E-2</v>
      </c>
      <c r="AA8317">
        <v>0.994981</v>
      </c>
      <c r="AB8317">
        <v>44</v>
      </c>
      <c r="AC8317">
        <v>2.1941000000000201</v>
      </c>
      <c r="AD8317">
        <v>-1.1096319024700001</v>
      </c>
      <c r="AE8317">
        <v>21.19903</v>
      </c>
      <c r="AF8317">
        <v>1.8697790303275199</v>
      </c>
      <c r="AG8317">
        <v>-1.1096319024700001</v>
      </c>
      <c r="AH8317">
        <v>21.172252724890399</v>
      </c>
      <c r="AI8317">
        <v>92.988501047036806</v>
      </c>
      <c r="AJ8317">
        <v>84.953147582488199</v>
      </c>
      <c r="AK8317">
        <v>21.283600306993701</v>
      </c>
      <c r="AL8317">
        <v>78.314077460320703</v>
      </c>
      <c r="AM8317">
        <v>90.1043552462815</v>
      </c>
      <c r="AN8317">
        <v>1.00000001915758</v>
      </c>
    </row>
    <row r="8318" spans="1:40" x14ac:dyDescent="0.25">
      <c r="A8318" t="str">
        <f>"20190312172312340"</f>
        <v>20190312172312340</v>
      </c>
      <c r="B8318" t="str">
        <f>"1552382592328971"</f>
        <v>1552382592328971</v>
      </c>
      <c r="C8318" t="s">
        <v>40</v>
      </c>
      <c r="D8318">
        <v>3.2409599999999998</v>
      </c>
      <c r="E8318">
        <v>0.53333619999999904</v>
      </c>
      <c r="F8318" t="s">
        <v>42</v>
      </c>
      <c r="G8318">
        <v>-185.45570000000001</v>
      </c>
      <c r="H8318" s="1">
        <v>-2.1079510000000001E-6</v>
      </c>
      <c r="I8318">
        <v>112.2893</v>
      </c>
      <c r="J8318">
        <v>-187.68629999999999</v>
      </c>
      <c r="K8318">
        <v>1.1096619999999999</v>
      </c>
      <c r="L8318">
        <v>90.962100000000007</v>
      </c>
      <c r="M8318">
        <v>1.496103E-2</v>
      </c>
      <c r="N8318">
        <v>0</v>
      </c>
      <c r="O8318">
        <v>0.99982669999999996</v>
      </c>
      <c r="P8318">
        <v>1.32682999999999E-2</v>
      </c>
      <c r="Q8318">
        <v>0.1926426</v>
      </c>
      <c r="R8318">
        <v>0.98117929999999998</v>
      </c>
      <c r="S8318">
        <v>0.31687929999999997</v>
      </c>
      <c r="T8318">
        <v>-0.15717239999999999</v>
      </c>
      <c r="U8318">
        <v>3.083466</v>
      </c>
      <c r="V8318">
        <v>-1.4386869999999999E-3</v>
      </c>
      <c r="W8318">
        <v>0.20350579999999999</v>
      </c>
      <c r="X8318">
        <v>0.97907270000000002</v>
      </c>
      <c r="Y8318">
        <v>8.7202569999999993E-2</v>
      </c>
      <c r="Z8318">
        <v>-5.0668020000000001E-2</v>
      </c>
      <c r="AA8318">
        <v>0.99490120000000004</v>
      </c>
      <c r="AB8318">
        <v>44</v>
      </c>
      <c r="AC8318">
        <v>2.2305999999999799</v>
      </c>
      <c r="AD8318">
        <v>-1.1096641079509999</v>
      </c>
      <c r="AE8318">
        <v>21.327199999999898</v>
      </c>
      <c r="AF8318">
        <v>1.9061494211062999</v>
      </c>
      <c r="AG8318">
        <v>-1.1096641079509999</v>
      </c>
      <c r="AH8318">
        <v>21.301145010551</v>
      </c>
      <c r="AI8318">
        <v>92.970229517056197</v>
      </c>
      <c r="AJ8318">
        <v>84.886463101002903</v>
      </c>
      <c r="AK8318">
        <v>21.4150306749391</v>
      </c>
      <c r="AL8318">
        <v>78.257956221483497</v>
      </c>
      <c r="AM8318">
        <v>90.084192556702803</v>
      </c>
      <c r="AN8318">
        <v>1.0000000161696001</v>
      </c>
    </row>
    <row r="8319" spans="1:40" x14ac:dyDescent="0.25">
      <c r="A8319" t="str">
        <f>"20190312172312363"</f>
        <v>20190312172312363</v>
      </c>
      <c r="B8319" t="str">
        <f>"1552382592358251"</f>
        <v>1552382592358251</v>
      </c>
      <c r="C8319" t="s">
        <v>40</v>
      </c>
      <c r="D8319">
        <v>3.23258</v>
      </c>
      <c r="E8319">
        <v>0.53353419999999996</v>
      </c>
      <c r="F8319" t="s">
        <v>42</v>
      </c>
      <c r="G8319">
        <v>-185.40100000000001</v>
      </c>
      <c r="H8319" s="1">
        <v>-2.3649239999999998E-6</v>
      </c>
      <c r="I8319">
        <v>113.0017</v>
      </c>
      <c r="J8319">
        <v>-187.6799</v>
      </c>
      <c r="K8319">
        <v>1.1096760000000001</v>
      </c>
      <c r="L8319">
        <v>91.401179999999997</v>
      </c>
      <c r="M8319">
        <v>1.4860140000000001E-2</v>
      </c>
      <c r="N8319">
        <v>0</v>
      </c>
      <c r="O8319">
        <v>0.9998281</v>
      </c>
      <c r="P8319">
        <v>1.349625E-2</v>
      </c>
      <c r="Q8319">
        <v>0.1933551</v>
      </c>
      <c r="R8319">
        <v>0.98103600000000002</v>
      </c>
      <c r="S8319">
        <v>0.31974789999999997</v>
      </c>
      <c r="T8319">
        <v>-0.1552607</v>
      </c>
      <c r="U8319">
        <v>3.08371</v>
      </c>
      <c r="V8319">
        <v>-1.1173190000000001E-3</v>
      </c>
      <c r="W8319">
        <v>0.20422190000000001</v>
      </c>
      <c r="X8319">
        <v>0.97892400000000002</v>
      </c>
      <c r="Y8319">
        <v>8.8214020000000004E-2</v>
      </c>
      <c r="Z8319">
        <v>-5.004484E-2</v>
      </c>
      <c r="AA8319">
        <v>0.99484360000000005</v>
      </c>
      <c r="AB8319">
        <v>44</v>
      </c>
      <c r="AC8319">
        <v>2.2789000000000201</v>
      </c>
      <c r="AD8319">
        <v>-1.1096783649240001</v>
      </c>
      <c r="AE8319">
        <v>21.6005199999999</v>
      </c>
      <c r="AF8319">
        <v>1.9525454970467</v>
      </c>
      <c r="AG8319">
        <v>-1.1096783649240001</v>
      </c>
      <c r="AH8319">
        <v>21.575686596754899</v>
      </c>
      <c r="AI8319">
        <v>92.932274216627903</v>
      </c>
      <c r="AJ8319">
        <v>84.828961611177107</v>
      </c>
      <c r="AK8319">
        <v>21.6922583451564</v>
      </c>
      <c r="AL8319">
        <v>78.216046569210306</v>
      </c>
      <c r="AM8319">
        <v>90.065395919673406</v>
      </c>
      <c r="AN8319">
        <v>1.0000000153086701</v>
      </c>
    </row>
    <row r="8320" spans="1:40" x14ac:dyDescent="0.25">
      <c r="A8320" t="str">
        <f>"20190312172312383"</f>
        <v>20190312172312383</v>
      </c>
      <c r="B8320" t="str">
        <f>"1552382592378748"</f>
        <v>1552382592378748</v>
      </c>
      <c r="C8320" t="s">
        <v>40</v>
      </c>
      <c r="D8320">
        <v>3.2569349999999999</v>
      </c>
      <c r="E8320">
        <v>0.53370390000000001</v>
      </c>
      <c r="F8320" t="s">
        <v>42</v>
      </c>
      <c r="G8320">
        <v>-185.37440000000001</v>
      </c>
      <c r="H8320" s="1">
        <v>-2.5324530000000001E-6</v>
      </c>
      <c r="I8320">
        <v>113.47320000000001</v>
      </c>
      <c r="J8320">
        <v>-187.6738</v>
      </c>
      <c r="K8320">
        <v>1.1096839999999999</v>
      </c>
      <c r="L8320">
        <v>91.816130000000001</v>
      </c>
      <c r="M8320">
        <v>1.475519E-2</v>
      </c>
      <c r="N8320">
        <v>0</v>
      </c>
      <c r="O8320">
        <v>0.99982959999999999</v>
      </c>
      <c r="P8320">
        <v>1.372955E-2</v>
      </c>
      <c r="Q8320">
        <v>0.19318579999999999</v>
      </c>
      <c r="R8320">
        <v>0.98106610000000005</v>
      </c>
      <c r="S8320">
        <v>0.32214359999999997</v>
      </c>
      <c r="T8320">
        <v>-0.15505639999999901</v>
      </c>
      <c r="U8320">
        <v>3.0841370000000001</v>
      </c>
      <c r="V8320">
        <v>-7.8686039999999896E-4</v>
      </c>
      <c r="W8320">
        <v>0.20405799999999999</v>
      </c>
      <c r="X8320">
        <v>0.97895849999999995</v>
      </c>
      <c r="Y8320">
        <v>8.9069280000000001E-2</v>
      </c>
      <c r="Z8320">
        <v>-4.9968510000000001E-2</v>
      </c>
      <c r="AA8320">
        <v>0.99477119999999997</v>
      </c>
      <c r="AB8320">
        <v>44</v>
      </c>
      <c r="AC8320">
        <v>2.2993999999999901</v>
      </c>
      <c r="AD8320">
        <v>-1.1096865324529901</v>
      </c>
      <c r="AE8320">
        <v>21.657070000000001</v>
      </c>
      <c r="AF8320">
        <v>1.97444979699593</v>
      </c>
      <c r="AG8320">
        <v>-1.1096865324529901</v>
      </c>
      <c r="AH8320">
        <v>21.6324806402604</v>
      </c>
      <c r="AI8320">
        <v>92.924406736495598</v>
      </c>
      <c r="AJ8320">
        <v>84.7849227142014</v>
      </c>
      <c r="AK8320">
        <v>21.750725846564499</v>
      </c>
      <c r="AL8320">
        <v>78.225639358645196</v>
      </c>
      <c r="AM8320">
        <v>90.046052790059207</v>
      </c>
      <c r="AN8320">
        <v>1.00000001561776</v>
      </c>
    </row>
    <row r="8321" spans="1:40" x14ac:dyDescent="0.25">
      <c r="A8321" t="str">
        <f>"20190312172312407"</f>
        <v>20190312172312407</v>
      </c>
      <c r="B8321" t="str">
        <f>"1552382592398271"</f>
        <v>1552382592398271</v>
      </c>
      <c r="C8321" t="s">
        <v>40</v>
      </c>
      <c r="D8321">
        <v>3.2374589999999999</v>
      </c>
      <c r="E8321">
        <v>0.53386679999999997</v>
      </c>
      <c r="F8321" t="s">
        <v>42</v>
      </c>
      <c r="G8321">
        <v>-185.38419999999999</v>
      </c>
      <c r="H8321" s="1">
        <v>-2.5734919999999998E-6</v>
      </c>
      <c r="I8321">
        <v>113.6014</v>
      </c>
      <c r="J8321">
        <v>-187.6671</v>
      </c>
      <c r="K8321">
        <v>1.109691</v>
      </c>
      <c r="L8321">
        <v>92.276340000000005</v>
      </c>
      <c r="M8321">
        <v>1.463068E-2</v>
      </c>
      <c r="N8321">
        <v>0</v>
      </c>
      <c r="O8321">
        <v>0.99983140000000004</v>
      </c>
      <c r="P8321">
        <v>1.4140440000000001E-2</v>
      </c>
      <c r="Q8321">
        <v>0.19241359999999999</v>
      </c>
      <c r="R8321">
        <v>0.98121199999999997</v>
      </c>
      <c r="S8321">
        <v>0.32415769999999999</v>
      </c>
      <c r="T8321">
        <v>-0.15710750000000001</v>
      </c>
      <c r="U8321">
        <v>3.08432</v>
      </c>
      <c r="V8321">
        <v>-2.6034769999999999E-4</v>
      </c>
      <c r="W8321">
        <v>0.20329240000000001</v>
      </c>
      <c r="X8321">
        <v>0.97911800000000004</v>
      </c>
      <c r="Y8321">
        <v>8.9826299999999998E-2</v>
      </c>
      <c r="Z8321">
        <v>-5.0621510000000002E-2</v>
      </c>
      <c r="AA8321">
        <v>0.99467019999999995</v>
      </c>
      <c r="AB8321">
        <v>44</v>
      </c>
      <c r="AC8321">
        <v>2.2829000000000099</v>
      </c>
      <c r="AD8321">
        <v>-1.1096935734919999</v>
      </c>
      <c r="AE8321">
        <v>21.325059999999901</v>
      </c>
      <c r="AF8321">
        <v>1.96537463277213</v>
      </c>
      <c r="AG8321">
        <v>-1.1096935734919999</v>
      </c>
      <c r="AH8321">
        <v>21.299158065676199</v>
      </c>
      <c r="AI8321">
        <v>92.969839506976896</v>
      </c>
      <c r="AJ8321">
        <v>84.727975164670596</v>
      </c>
      <c r="AK8321">
        <v>21.418409174839599</v>
      </c>
      <c r="AL8321">
        <v>78.270443555362505</v>
      </c>
      <c r="AM8321">
        <v>90.015234960509702</v>
      </c>
      <c r="AN8321">
        <v>0.99999996280134096</v>
      </c>
    </row>
    <row r="8322" spans="1:40" x14ac:dyDescent="0.25">
      <c r="A8322" t="str">
        <f>"20190312172312428"</f>
        <v>20190312172312428</v>
      </c>
      <c r="B8322" t="str">
        <f>"1552382592418763"</f>
        <v>1552382592418763</v>
      </c>
      <c r="C8322" t="s">
        <v>40</v>
      </c>
      <c r="D8322">
        <v>3.2377919999999998</v>
      </c>
      <c r="E8322">
        <v>0.533945</v>
      </c>
      <c r="F8322" t="s">
        <v>42</v>
      </c>
      <c r="G8322">
        <v>-185.39760000000001</v>
      </c>
      <c r="H8322" s="1">
        <v>-2.5922200000000001E-6</v>
      </c>
      <c r="I8322">
        <v>113.6669</v>
      </c>
      <c r="J8322">
        <v>-187.661</v>
      </c>
      <c r="K8322">
        <v>1.1096969999999999</v>
      </c>
      <c r="L8322">
        <v>92.694090000000003</v>
      </c>
      <c r="M8322">
        <v>1.451387E-2</v>
      </c>
      <c r="N8322">
        <v>0</v>
      </c>
      <c r="O8322">
        <v>0.99983299999999997</v>
      </c>
      <c r="P8322">
        <v>1.4848220000000001E-2</v>
      </c>
      <c r="Q8322">
        <v>0.191438</v>
      </c>
      <c r="R8322">
        <v>0.98139240000000005</v>
      </c>
      <c r="S8322">
        <v>0.32720949999999999</v>
      </c>
      <c r="T8322">
        <v>-0.1599961</v>
      </c>
      <c r="U8322">
        <v>3.0841059999999998</v>
      </c>
      <c r="V8322">
        <v>5.5599709999999995E-4</v>
      </c>
      <c r="W8322">
        <v>0.2023249</v>
      </c>
      <c r="X8322">
        <v>0.97931829999999997</v>
      </c>
      <c r="Y8322">
        <v>9.0918170000000006E-2</v>
      </c>
      <c r="Z8322">
        <v>-5.1548249999999997E-2</v>
      </c>
      <c r="AA8322">
        <v>0.9945233</v>
      </c>
      <c r="AB8322">
        <v>44</v>
      </c>
      <c r="AC8322">
        <v>2.2633999999999599</v>
      </c>
      <c r="AD8322">
        <v>-1.1096995922199999</v>
      </c>
      <c r="AE8322">
        <v>20.972809999999999</v>
      </c>
      <c r="AF8322">
        <v>1.95334052020899</v>
      </c>
      <c r="AG8322">
        <v>-1.1096995922199999</v>
      </c>
      <c r="AH8322">
        <v>20.945489233548699</v>
      </c>
      <c r="AI8322">
        <v>93.019637481094307</v>
      </c>
      <c r="AJ8322">
        <v>84.672103652762004</v>
      </c>
      <c r="AK8322">
        <v>21.065623456369998</v>
      </c>
      <c r="AL8322">
        <v>78.327054158105597</v>
      </c>
      <c r="AM8322">
        <v>89.967470960331497</v>
      </c>
      <c r="AN8322">
        <v>1.0000000035038299</v>
      </c>
    </row>
    <row r="8323" spans="1:40" x14ac:dyDescent="0.25">
      <c r="A8323" t="str">
        <f>"20190312172312450"</f>
        <v>20190312172312450</v>
      </c>
      <c r="B8323" t="str">
        <f>"1552382592438283"</f>
        <v>1552382592438283</v>
      </c>
      <c r="C8323" t="s">
        <v>40</v>
      </c>
      <c r="D8323">
        <v>3.2413500000000002</v>
      </c>
      <c r="E8323">
        <v>0.53412209999999904</v>
      </c>
      <c r="F8323" t="s">
        <v>42</v>
      </c>
      <c r="G8323">
        <v>-185.4254</v>
      </c>
      <c r="H8323" s="1">
        <v>-2.5618650000000001E-6</v>
      </c>
      <c r="I8323">
        <v>113.59950000000001</v>
      </c>
      <c r="J8323">
        <v>-187.6549</v>
      </c>
      <c r="K8323">
        <v>1.1097060000000001</v>
      </c>
      <c r="L8323">
        <v>93.123720000000006</v>
      </c>
      <c r="M8323">
        <v>1.4392E-2</v>
      </c>
      <c r="N8323">
        <v>0</v>
      </c>
      <c r="O8323">
        <v>0.99983469999999997</v>
      </c>
      <c r="P8323">
        <v>1.5648510000000001E-2</v>
      </c>
      <c r="Q8323">
        <v>0.19082859999999999</v>
      </c>
      <c r="R8323">
        <v>0.98149869999999995</v>
      </c>
      <c r="S8323">
        <v>0.32978819999999998</v>
      </c>
      <c r="T8323">
        <v>-0.16369610000000001</v>
      </c>
      <c r="U8323">
        <v>3.0838320000000001</v>
      </c>
      <c r="V8323">
        <v>1.4712970000000001E-3</v>
      </c>
      <c r="W8323">
        <v>0.20172670000000001</v>
      </c>
      <c r="X8323">
        <v>0.97944070000000005</v>
      </c>
      <c r="Y8323">
        <v>9.1864489999999993E-2</v>
      </c>
      <c r="Z8323">
        <v>-5.2737230000000003E-2</v>
      </c>
      <c r="AA8323">
        <v>0.99437399999999998</v>
      </c>
      <c r="AB8323">
        <v>44</v>
      </c>
      <c r="AC8323">
        <v>2.2294999999999998</v>
      </c>
      <c r="AD8323">
        <v>-1.10970856186499</v>
      </c>
      <c r="AE8323">
        <v>20.47578</v>
      </c>
      <c r="AF8323">
        <v>1.92896403364085</v>
      </c>
      <c r="AG8323">
        <v>-1.10970856186499</v>
      </c>
      <c r="AH8323">
        <v>20.446396041599399</v>
      </c>
      <c r="AI8323">
        <v>93.092918644628298</v>
      </c>
      <c r="AJ8323">
        <v>84.610525069731906</v>
      </c>
      <c r="AK8323">
        <v>20.567145315412301</v>
      </c>
      <c r="AL8323">
        <v>78.3620495369411</v>
      </c>
      <c r="AM8323">
        <v>89.913931445668894</v>
      </c>
      <c r="AN8323">
        <v>0.99999995551211995</v>
      </c>
    </row>
    <row r="8324" spans="1:40" x14ac:dyDescent="0.25">
      <c r="A8324" t="str">
        <f>"20190312172312473"</f>
        <v>20190312172312473</v>
      </c>
      <c r="B8324" t="str">
        <f>"1552382592468540"</f>
        <v>1552382592468540</v>
      </c>
      <c r="C8324" t="s">
        <v>40</v>
      </c>
      <c r="D8324">
        <v>3.2498969999999998</v>
      </c>
      <c r="E8324">
        <v>0.53432539999999995</v>
      </c>
      <c r="F8324" t="s">
        <v>42</v>
      </c>
      <c r="G8324">
        <v>-185.42179999999999</v>
      </c>
      <c r="H8324" s="1">
        <v>-2.602588E-6</v>
      </c>
      <c r="I8324">
        <v>113.7163</v>
      </c>
      <c r="J8324">
        <v>-187.64850000000001</v>
      </c>
      <c r="K8324">
        <v>1.109712</v>
      </c>
      <c r="L8324">
        <v>93.572569999999999</v>
      </c>
      <c r="M8324">
        <v>1.426466E-2</v>
      </c>
      <c r="N8324">
        <v>0</v>
      </c>
      <c r="O8324">
        <v>0.99983630000000001</v>
      </c>
      <c r="P8324">
        <v>1.6981619999999999E-2</v>
      </c>
      <c r="Q8324">
        <v>0.19060460000000001</v>
      </c>
      <c r="R8324">
        <v>0.98151999999999995</v>
      </c>
      <c r="S8324">
        <v>0.33438109999999999</v>
      </c>
      <c r="T8324">
        <v>-0.16616739999999999</v>
      </c>
      <c r="U8324">
        <v>3.0835270000000001</v>
      </c>
      <c r="V8324">
        <v>2.9260029999999999E-3</v>
      </c>
      <c r="W8324">
        <v>0.2015151</v>
      </c>
      <c r="X8324">
        <v>0.97948100000000005</v>
      </c>
      <c r="Y8324">
        <v>9.3461199999999994E-2</v>
      </c>
      <c r="Z8324">
        <v>-5.3528300000000001E-2</v>
      </c>
      <c r="AA8324">
        <v>0.99418289999999998</v>
      </c>
      <c r="AB8324">
        <v>44</v>
      </c>
      <c r="AC8324">
        <v>2.2267000000000201</v>
      </c>
      <c r="AD8324">
        <v>-1.109714602588</v>
      </c>
      <c r="AE8324">
        <v>20.143730000000001</v>
      </c>
      <c r="AF8324">
        <v>1.9333155855225801</v>
      </c>
      <c r="AG8324">
        <v>-1.109714602588</v>
      </c>
      <c r="AH8324">
        <v>20.113141019712401</v>
      </c>
      <c r="AI8324">
        <v>93.1435534492215</v>
      </c>
      <c r="AJ8324">
        <v>84.509482693277704</v>
      </c>
      <c r="AK8324">
        <v>20.236294555359201</v>
      </c>
      <c r="AL8324">
        <v>78.374427613838904</v>
      </c>
      <c r="AM8324">
        <v>89.828840861586997</v>
      </c>
      <c r="AN8324">
        <v>0.99999996319128204</v>
      </c>
    </row>
    <row r="8325" spans="1:40" x14ac:dyDescent="0.25">
      <c r="A8325" t="str">
        <f>"20190312172312495"</f>
        <v>20190312172312495</v>
      </c>
      <c r="B8325" t="str">
        <f>"1552382592489036"</f>
        <v>1552382592489036</v>
      </c>
      <c r="C8325" t="s">
        <v>40</v>
      </c>
      <c r="D8325">
        <v>3.2501890000000002</v>
      </c>
      <c r="E8325">
        <v>0.53449849999999999</v>
      </c>
      <c r="F8325" t="s">
        <v>42</v>
      </c>
      <c r="G8325">
        <v>-185.39760000000001</v>
      </c>
      <c r="H8325" s="1">
        <v>-2.6950960000000001E-6</v>
      </c>
      <c r="I8325">
        <v>113.9693</v>
      </c>
      <c r="J8325">
        <v>-187.64240000000001</v>
      </c>
      <c r="K8325">
        <v>1.109718</v>
      </c>
      <c r="L8325">
        <v>94.003450000000001</v>
      </c>
      <c r="M8325">
        <v>1.4142999999999999E-2</v>
      </c>
      <c r="N8325">
        <v>0</v>
      </c>
      <c r="O8325">
        <v>0.99983789999999995</v>
      </c>
      <c r="P8325">
        <v>1.888743E-2</v>
      </c>
      <c r="Q8325">
        <v>0.1902384</v>
      </c>
      <c r="R8325">
        <v>0.98155619999999999</v>
      </c>
      <c r="S8325">
        <v>0.3402405</v>
      </c>
      <c r="T8325">
        <v>-0.16774439999999999</v>
      </c>
      <c r="U8325">
        <v>3.0831599999999999</v>
      </c>
      <c r="V8325">
        <v>4.9480169999999999E-3</v>
      </c>
      <c r="W8325">
        <v>0.20116249999999999</v>
      </c>
      <c r="X8325">
        <v>0.97954540000000001</v>
      </c>
      <c r="Y8325">
        <v>9.5458890000000005E-2</v>
      </c>
      <c r="Z8325">
        <v>-5.4030620000000001E-2</v>
      </c>
      <c r="AA8325">
        <v>0.99396589999999996</v>
      </c>
      <c r="AB8325">
        <v>44</v>
      </c>
      <c r="AC8325">
        <v>2.2447999999999899</v>
      </c>
      <c r="AD8325">
        <v>-1.1097206950959999</v>
      </c>
      <c r="AE8325">
        <v>19.96585</v>
      </c>
      <c r="AF8325">
        <v>1.9562131317361799</v>
      </c>
      <c r="AG8325">
        <v>-1.1097206950959999</v>
      </c>
      <c r="AH8325">
        <v>19.934788393121401</v>
      </c>
      <c r="AI8325">
        <v>93.171026758455696</v>
      </c>
      <c r="AJ8325">
        <v>84.395473522680604</v>
      </c>
      <c r="AK8325">
        <v>20.0612571419747</v>
      </c>
      <c r="AL8325">
        <v>78.395053049167402</v>
      </c>
      <c r="AM8325">
        <v>89.710581990557799</v>
      </c>
      <c r="AN8325">
        <v>1.0000000124698201</v>
      </c>
    </row>
    <row r="8326" spans="1:40" x14ac:dyDescent="0.25">
      <c r="A8326" t="str">
        <f>"20190312172312518"</f>
        <v>20190312172312518</v>
      </c>
      <c r="B8326" t="str">
        <f>"1552382592508559"</f>
        <v>1552382592508559</v>
      </c>
      <c r="C8326" t="s">
        <v>40</v>
      </c>
      <c r="D8326">
        <v>3.2471510000000001</v>
      </c>
      <c r="E8326">
        <v>0.53465779999999996</v>
      </c>
      <c r="F8326" t="s">
        <v>42</v>
      </c>
      <c r="G8326">
        <v>-185.36680000000001</v>
      </c>
      <c r="H8326" s="1">
        <v>-2.7769929999999999E-6</v>
      </c>
      <c r="I8326">
        <v>114.1858</v>
      </c>
      <c r="J8326">
        <v>-187.63630000000001</v>
      </c>
      <c r="K8326">
        <v>1.109726</v>
      </c>
      <c r="L8326">
        <v>94.440250000000006</v>
      </c>
      <c r="M8326">
        <v>1.401987E-2</v>
      </c>
      <c r="N8326">
        <v>0</v>
      </c>
      <c r="O8326">
        <v>0.99983949999999999</v>
      </c>
      <c r="P8326">
        <v>2.0895199999999999E-2</v>
      </c>
      <c r="Q8326">
        <v>0.19011610000000001</v>
      </c>
      <c r="R8326">
        <v>0.98153919999999995</v>
      </c>
      <c r="S8326">
        <v>0.3475647</v>
      </c>
      <c r="T8326">
        <v>-0.169492899999999</v>
      </c>
      <c r="U8326">
        <v>3.0825499999999999</v>
      </c>
      <c r="V8326">
        <v>7.0745740000000001E-3</v>
      </c>
      <c r="W8326">
        <v>0.20105600000000001</v>
      </c>
      <c r="X8326">
        <v>0.97955420000000004</v>
      </c>
      <c r="Y8326">
        <v>9.7931859999999996E-2</v>
      </c>
      <c r="Z8326">
        <v>-5.4589270000000002E-2</v>
      </c>
      <c r="AA8326">
        <v>0.99369479999999999</v>
      </c>
      <c r="AB8326">
        <v>44</v>
      </c>
      <c r="AC8326">
        <v>2.2694999999999901</v>
      </c>
      <c r="AD8326">
        <v>-1.109728776993</v>
      </c>
      <c r="AE8326">
        <v>19.745549999999898</v>
      </c>
      <c r="AF8326">
        <v>1.986237711664</v>
      </c>
      <c r="AG8326">
        <v>-1.109728776993</v>
      </c>
      <c r="AH8326">
        <v>19.7139724179575</v>
      </c>
      <c r="AI8326">
        <v>93.205668908920998</v>
      </c>
      <c r="AJ8326">
        <v>84.246705442558095</v>
      </c>
      <c r="AK8326">
        <v>19.844831737802899</v>
      </c>
      <c r="AL8326">
        <v>78.401282147721801</v>
      </c>
      <c r="AM8326">
        <v>89.586203413136801</v>
      </c>
      <c r="AN8326">
        <v>0.99999999773546</v>
      </c>
    </row>
    <row r="8327" spans="1:40" x14ac:dyDescent="0.25">
      <c r="A8327" t="str">
        <f>"20190312172312541"</f>
        <v>20190312172312541</v>
      </c>
      <c r="B8327" t="str">
        <f>"1552382592529055"</f>
        <v>1552382592529055</v>
      </c>
      <c r="C8327" t="s">
        <v>40</v>
      </c>
      <c r="D8327">
        <v>3.2616459999999998</v>
      </c>
      <c r="E8327">
        <v>0.53483080000000005</v>
      </c>
      <c r="F8327" t="s">
        <v>42</v>
      </c>
      <c r="G8327">
        <v>-185.3329</v>
      </c>
      <c r="H8327" s="1">
        <v>-2.8944390000000002E-6</v>
      </c>
      <c r="I8327">
        <v>114.45</v>
      </c>
      <c r="J8327">
        <v>-187.6302</v>
      </c>
      <c r="K8327">
        <v>1.1097349999999999</v>
      </c>
      <c r="L8327">
        <v>94.884060000000005</v>
      </c>
      <c r="M8327">
        <v>1.389514E-2</v>
      </c>
      <c r="N8327">
        <v>0</v>
      </c>
      <c r="O8327">
        <v>0.99984099999999998</v>
      </c>
      <c r="P8327">
        <v>2.3312880000000001E-2</v>
      </c>
      <c r="Q8327">
        <v>0.19021070000000001</v>
      </c>
      <c r="R8327">
        <v>0.98146650000000002</v>
      </c>
      <c r="S8327">
        <v>0.35478209999999999</v>
      </c>
      <c r="T8327">
        <v>-0.1709242</v>
      </c>
      <c r="U8327">
        <v>3.0819700000000001</v>
      </c>
      <c r="V8327">
        <v>9.6135709999999996E-3</v>
      </c>
      <c r="W8327">
        <v>0.20117180000000001</v>
      </c>
      <c r="X8327">
        <v>0.97950879999999996</v>
      </c>
      <c r="Y8327">
        <v>0.1003709</v>
      </c>
      <c r="Z8327">
        <v>-5.504531E-2</v>
      </c>
      <c r="AA8327">
        <v>0.99342629999999998</v>
      </c>
      <c r="AB8327">
        <v>44</v>
      </c>
      <c r="AC8327">
        <v>2.2972999999999999</v>
      </c>
      <c r="AD8327">
        <v>-1.1097378944389999</v>
      </c>
      <c r="AE8327">
        <v>19.565940000000001</v>
      </c>
      <c r="AF8327">
        <v>2.0187837890175202</v>
      </c>
      <c r="AG8327">
        <v>-1.1097378944389999</v>
      </c>
      <c r="AH8327">
        <v>19.533989480864999</v>
      </c>
      <c r="AI8327">
        <v>93.234323667538902</v>
      </c>
      <c r="AJ8327">
        <v>84.099586898671305</v>
      </c>
      <c r="AK8327">
        <v>19.669360722191801</v>
      </c>
      <c r="AL8327">
        <v>78.394508949727097</v>
      </c>
      <c r="AM8327">
        <v>89.437677988198402</v>
      </c>
      <c r="AN8327">
        <v>1.0000000015700199</v>
      </c>
    </row>
    <row r="8328" spans="1:40" x14ac:dyDescent="0.25">
      <c r="A8328" t="str">
        <f>"20190312172312563"</f>
        <v>20190312172312563</v>
      </c>
      <c r="B8328" t="str">
        <f>"1552382592558334"</f>
        <v>1552382592558334</v>
      </c>
      <c r="C8328" t="s">
        <v>40</v>
      </c>
      <c r="D8328">
        <v>3.274251</v>
      </c>
      <c r="E8328">
        <v>0.56800490000000003</v>
      </c>
      <c r="F8328" t="s">
        <v>41</v>
      </c>
      <c r="G8328">
        <v>-187.49850000000001</v>
      </c>
      <c r="H8328">
        <v>1.0477959999999999</v>
      </c>
      <c r="I8328">
        <v>95.998919999999998</v>
      </c>
      <c r="J8328">
        <v>-187.6242</v>
      </c>
      <c r="K8328">
        <v>1.1097429999999999</v>
      </c>
      <c r="L8328">
        <v>95.319730000000007</v>
      </c>
      <c r="M8328">
        <v>1.377199E-2</v>
      </c>
      <c r="N8328">
        <v>0</v>
      </c>
      <c r="O8328">
        <v>0.99984240000000002</v>
      </c>
      <c r="P8328">
        <v>2.6034930000000001E-2</v>
      </c>
      <c r="Q8328">
        <v>0.1904411</v>
      </c>
      <c r="R8328">
        <v>0.98135329999999998</v>
      </c>
      <c r="S8328">
        <v>0.36340329999999998</v>
      </c>
      <c r="T8328">
        <v>-0.17124929999999999</v>
      </c>
      <c r="U8328">
        <v>3.081207</v>
      </c>
      <c r="V8328">
        <v>1.245638E-2</v>
      </c>
      <c r="W8328">
        <v>0.20143150000000001</v>
      </c>
      <c r="X8328">
        <v>0.97942340000000006</v>
      </c>
      <c r="Y8328">
        <v>0.1032627</v>
      </c>
      <c r="Z8328">
        <v>-5.5146279999999999E-2</v>
      </c>
      <c r="AA8328">
        <v>0.99312420000000001</v>
      </c>
      <c r="AB8328">
        <v>44</v>
      </c>
      <c r="AC8328">
        <v>0.12569999999999401</v>
      </c>
      <c r="AD8328">
        <v>-6.1946999999999898E-2</v>
      </c>
      <c r="AE8328">
        <v>0.67918999999999097</v>
      </c>
      <c r="AF8328">
        <v>0.115405457475743</v>
      </c>
      <c r="AG8328">
        <v>-6.1946999999999898E-2</v>
      </c>
      <c r="AH8328">
        <v>0.67542422074255104</v>
      </c>
      <c r="AI8328">
        <v>95.165811554186007</v>
      </c>
      <c r="AJ8328">
        <v>80.303867152426903</v>
      </c>
      <c r="AK8328">
        <v>0.68800707001445005</v>
      </c>
      <c r="AL8328">
        <v>78.379318295033499</v>
      </c>
      <c r="AM8328">
        <v>89.271347278751193</v>
      </c>
      <c r="AN8328">
        <v>1.00000000353125</v>
      </c>
    </row>
    <row r="8329" spans="1:40" x14ac:dyDescent="0.25">
      <c r="A8329" t="str">
        <f>"20190312172312585"</f>
        <v>20190312172312585</v>
      </c>
      <c r="B8329" t="str">
        <f>"1552382592578831"</f>
        <v>1552382592578831</v>
      </c>
      <c r="C8329" t="s">
        <v>40</v>
      </c>
      <c r="D8329">
        <v>3.3029090000000001</v>
      </c>
      <c r="E8329">
        <v>0.57138429999999996</v>
      </c>
      <c r="F8329" t="s">
        <v>42</v>
      </c>
      <c r="G8329">
        <v>-183.18389999999999</v>
      </c>
      <c r="H8329" s="1">
        <v>-4.2645520000000002E-6</v>
      </c>
      <c r="I8329">
        <v>116.7552</v>
      </c>
      <c r="J8329">
        <v>-187.6183</v>
      </c>
      <c r="K8329">
        <v>1.1097490000000001</v>
      </c>
      <c r="L8329">
        <v>95.752009999999999</v>
      </c>
      <c r="M8329">
        <v>1.3649730000000001E-2</v>
      </c>
      <c r="N8329">
        <v>0</v>
      </c>
      <c r="O8329">
        <v>0.9998437</v>
      </c>
      <c r="P8329">
        <v>2.8337729999999998E-2</v>
      </c>
      <c r="Q8329">
        <v>0.1906679</v>
      </c>
      <c r="R8329">
        <v>0.98124549999999999</v>
      </c>
      <c r="S8329">
        <v>0.63613889999999995</v>
      </c>
      <c r="T8329">
        <v>-0.15898799999999999</v>
      </c>
      <c r="U8329">
        <v>3.0709529999999998</v>
      </c>
      <c r="V8329">
        <v>1.487923E-2</v>
      </c>
      <c r="W8329">
        <v>0.2016917</v>
      </c>
      <c r="X8329">
        <v>0.97933599999999998</v>
      </c>
      <c r="Y8329">
        <v>0.18919440000000001</v>
      </c>
      <c r="Z8329">
        <v>-5.0691590000000002E-2</v>
      </c>
      <c r="AA8329">
        <v>0.98063029999999995</v>
      </c>
      <c r="AB8329">
        <v>44</v>
      </c>
      <c r="AC8329">
        <v>4.4344000000000099</v>
      </c>
      <c r="AD8329">
        <v>-1.1097532645520001</v>
      </c>
      <c r="AE8329">
        <v>21.00319</v>
      </c>
      <c r="AF8329">
        <v>4.1362261654577903</v>
      </c>
      <c r="AG8329">
        <v>-1.1097532645520001</v>
      </c>
      <c r="AH8329">
        <v>21.005624520309699</v>
      </c>
      <c r="AI8329">
        <v>92.967320561699196</v>
      </c>
      <c r="AJ8329">
        <v>78.860380128396301</v>
      </c>
      <c r="AK8329">
        <v>21.437727974023701</v>
      </c>
      <c r="AL8329">
        <v>78.364097110342499</v>
      </c>
      <c r="AM8329">
        <v>89.1295617702269</v>
      </c>
      <c r="AN8329">
        <v>0.99999996711514005</v>
      </c>
    </row>
    <row r="8330" spans="1:40" x14ac:dyDescent="0.25">
      <c r="A8330" t="str">
        <f>"20190312172312608"</f>
        <v>20190312172312608</v>
      </c>
      <c r="B8330" t="str">
        <f>"1552382592598354"</f>
        <v>1552382592598354</v>
      </c>
      <c r="C8330" t="s">
        <v>40</v>
      </c>
      <c r="D8330">
        <v>3.3040519999999902</v>
      </c>
      <c r="E8330">
        <v>0.57341949999999997</v>
      </c>
      <c r="F8330" t="s">
        <v>42</v>
      </c>
      <c r="G8330">
        <v>-182.89269999999999</v>
      </c>
      <c r="H8330" s="1">
        <v>-4.5881619999999998E-6</v>
      </c>
      <c r="I8330">
        <v>117.3892</v>
      </c>
      <c r="J8330">
        <v>-187.6122</v>
      </c>
      <c r="K8330">
        <v>1.1097549999999901</v>
      </c>
      <c r="L8330">
        <v>96.204800000000006</v>
      </c>
      <c r="M8330">
        <v>1.352161E-2</v>
      </c>
      <c r="N8330">
        <v>0</v>
      </c>
      <c r="O8330">
        <v>0.99984499999999998</v>
      </c>
      <c r="P8330">
        <v>3.1196350000000001E-2</v>
      </c>
      <c r="Q8330">
        <v>0.1907393</v>
      </c>
      <c r="R8330">
        <v>0.98114489999999999</v>
      </c>
      <c r="S8330">
        <v>0.67018129999999998</v>
      </c>
      <c r="T8330">
        <v>-0.15738489999999999</v>
      </c>
      <c r="U8330">
        <v>3.0685730000000002</v>
      </c>
      <c r="V8330">
        <v>1.786368E-2</v>
      </c>
      <c r="W8330">
        <v>0.20180329999999999</v>
      </c>
      <c r="X8330">
        <v>0.97926310000000005</v>
      </c>
      <c r="Y8330">
        <v>0.19987360000000001</v>
      </c>
      <c r="Z8330">
        <v>-5.010916E-2</v>
      </c>
      <c r="AA8330">
        <v>0.97853950000000001</v>
      </c>
      <c r="AB8330">
        <v>44</v>
      </c>
      <c r="AC8330">
        <v>4.7195000000000098</v>
      </c>
      <c r="AD8330">
        <v>-1.1097595881619999</v>
      </c>
      <c r="AE8330">
        <v>21.1844</v>
      </c>
      <c r="AF8330">
        <v>4.4210442599684203</v>
      </c>
      <c r="AG8330">
        <v>-1.1097595881619999</v>
      </c>
      <c r="AH8330">
        <v>21.190878811359699</v>
      </c>
      <c r="AI8330">
        <v>92.934748123553703</v>
      </c>
      <c r="AJ8330">
        <v>78.215444112301</v>
      </c>
      <c r="AK8330">
        <v>21.675574813366602</v>
      </c>
      <c r="AL8330">
        <v>78.357568469915705</v>
      </c>
      <c r="AM8330">
        <v>88.954928494709193</v>
      </c>
      <c r="AN8330">
        <v>0.99999995098782002</v>
      </c>
    </row>
    <row r="8331" spans="1:40" x14ac:dyDescent="0.25">
      <c r="A8331" t="str">
        <f>"20190312172312629"</f>
        <v>20190312172312629</v>
      </c>
      <c r="B8331" t="str">
        <f>"1552382592618847"</f>
        <v>1552382592618847</v>
      </c>
      <c r="C8331" t="s">
        <v>40</v>
      </c>
      <c r="D8331">
        <v>3.2943020000000001</v>
      </c>
      <c r="E8331">
        <v>0.5744901</v>
      </c>
      <c r="F8331" t="s">
        <v>42</v>
      </c>
      <c r="G8331">
        <v>-182.75749999999999</v>
      </c>
      <c r="H8331" s="1">
        <v>-4.7140869999999997E-6</v>
      </c>
      <c r="I8331">
        <v>117.6268</v>
      </c>
      <c r="J8331">
        <v>-187.60669999999999</v>
      </c>
      <c r="K8331">
        <v>1.1097629999999901</v>
      </c>
      <c r="L8331">
        <v>96.620180000000005</v>
      </c>
      <c r="M8331">
        <v>1.340413E-2</v>
      </c>
      <c r="N8331">
        <v>0</v>
      </c>
      <c r="O8331">
        <v>0.99984600000000001</v>
      </c>
      <c r="P8331">
        <v>3.4236460000000003E-2</v>
      </c>
      <c r="Q8331">
        <v>0.19056580000000001</v>
      </c>
      <c r="R8331">
        <v>0.98107730000000004</v>
      </c>
      <c r="S8331">
        <v>0.69493099999999997</v>
      </c>
      <c r="T8331">
        <v>-0.158856</v>
      </c>
      <c r="U8331">
        <v>3.0664370000000001</v>
      </c>
      <c r="V8331">
        <v>2.1018970000000001E-2</v>
      </c>
      <c r="W8331">
        <v>0.20167350000000001</v>
      </c>
      <c r="X8331">
        <v>0.97922719999999996</v>
      </c>
      <c r="Y8331">
        <v>0.20764489999999999</v>
      </c>
      <c r="Z8331">
        <v>-5.0525750000000001E-2</v>
      </c>
      <c r="AA8331">
        <v>0.97689859999999995</v>
      </c>
      <c r="AB8331">
        <v>44</v>
      </c>
      <c r="AC8331">
        <v>4.84919999999999</v>
      </c>
      <c r="AD8331">
        <v>-1.1097677140869999</v>
      </c>
      <c r="AE8331">
        <v>21.006620000000002</v>
      </c>
      <c r="AF8331">
        <v>4.55510088942275</v>
      </c>
      <c r="AG8331">
        <v>-1.1097677140869999</v>
      </c>
      <c r="AH8331">
        <v>21.014054042177399</v>
      </c>
      <c r="AI8331">
        <v>92.954534590433099</v>
      </c>
      <c r="AJ8331">
        <v>77.769523413393699</v>
      </c>
      <c r="AK8331">
        <v>21.530698915260601</v>
      </c>
      <c r="AL8331">
        <v>78.365161610272295</v>
      </c>
      <c r="AM8331">
        <v>88.770343219944905</v>
      </c>
      <c r="AN8331">
        <v>0.99999995346097403</v>
      </c>
    </row>
    <row r="8332" spans="1:40" x14ac:dyDescent="0.25">
      <c r="A8332" t="str">
        <f>"20190312172312651"</f>
        <v>20190312172312651</v>
      </c>
      <c r="B8332" t="str">
        <f>"1552382592638367"</f>
        <v>1552382592638367</v>
      </c>
      <c r="C8332" t="s">
        <v>40</v>
      </c>
      <c r="D8332">
        <v>3.2992629999999998</v>
      </c>
      <c r="E8332">
        <v>0.57527669999999997</v>
      </c>
      <c r="F8332" t="s">
        <v>42</v>
      </c>
      <c r="G8332">
        <v>-182.68180000000001</v>
      </c>
      <c r="H8332" s="1">
        <v>-4.7968920000000004E-6</v>
      </c>
      <c r="I8332">
        <v>117.7885</v>
      </c>
      <c r="J8332">
        <v>-187.601</v>
      </c>
      <c r="K8332">
        <v>1.1097669999999999</v>
      </c>
      <c r="L8332">
        <v>97.050259999999994</v>
      </c>
      <c r="M8332">
        <v>1.328212E-2</v>
      </c>
      <c r="N8332">
        <v>0</v>
      </c>
      <c r="O8332">
        <v>0.99984700000000004</v>
      </c>
      <c r="P8332">
        <v>3.7791730000000003E-2</v>
      </c>
      <c r="Q8332">
        <v>0.19040009999999999</v>
      </c>
      <c r="R8332">
        <v>0.98097889999999999</v>
      </c>
      <c r="S8332">
        <v>0.71289060000000004</v>
      </c>
      <c r="T8332">
        <v>-0.16064229999999999</v>
      </c>
      <c r="U8332">
        <v>3.0641780000000001</v>
      </c>
      <c r="V8332">
        <v>2.4694359999999999E-2</v>
      </c>
      <c r="W8332">
        <v>0.2015642</v>
      </c>
      <c r="X8332">
        <v>0.97916389999999998</v>
      </c>
      <c r="Y8332">
        <v>0.21334829999999999</v>
      </c>
      <c r="Z8332">
        <v>-5.1064379999999999E-2</v>
      </c>
      <c r="AA8332">
        <v>0.97564079999999997</v>
      </c>
      <c r="AB8332">
        <v>44</v>
      </c>
      <c r="AC8332">
        <v>4.9191999999999796</v>
      </c>
      <c r="AD8332">
        <v>-1.109771796892</v>
      </c>
      <c r="AE8332">
        <v>20.738240000000001</v>
      </c>
      <c r="AF8332">
        <v>4.63074582393714</v>
      </c>
      <c r="AG8332">
        <v>-1.109771796892</v>
      </c>
      <c r="AH8332">
        <v>20.745508287602199</v>
      </c>
      <c r="AI8332">
        <v>92.9886804764717</v>
      </c>
      <c r="AJ8332">
        <v>77.4169006806721</v>
      </c>
      <c r="AK8332">
        <v>21.285006799107599</v>
      </c>
      <c r="AL8332">
        <v>78.371555188922997</v>
      </c>
      <c r="AM8332">
        <v>88.555315666770696</v>
      </c>
      <c r="AN8332">
        <v>0.99999994060032804</v>
      </c>
    </row>
    <row r="8333" spans="1:40" x14ac:dyDescent="0.25">
      <c r="A8333" t="str">
        <f>"20190312172312674"</f>
        <v>20190312172312674</v>
      </c>
      <c r="B8333" t="str">
        <f>"1552382592668624"</f>
        <v>1552382592668624</v>
      </c>
      <c r="C8333" t="s">
        <v>40</v>
      </c>
      <c r="D8333">
        <v>3.3317570000000001</v>
      </c>
      <c r="E8333">
        <v>0.57576890000000003</v>
      </c>
      <c r="F8333" t="s">
        <v>42</v>
      </c>
      <c r="G8333">
        <v>-182.60310000000001</v>
      </c>
      <c r="H8333" s="1">
        <v>-4.9052050000000004E-6</v>
      </c>
      <c r="I8333">
        <v>118.00839999999999</v>
      </c>
      <c r="J8333">
        <v>-187.59520000000001</v>
      </c>
      <c r="K8333">
        <v>1.109775</v>
      </c>
      <c r="L8333">
        <v>97.498840000000001</v>
      </c>
      <c r="M8333">
        <v>1.315447E-2</v>
      </c>
      <c r="N8333">
        <v>0</v>
      </c>
      <c r="O8333">
        <v>0.99984779999999995</v>
      </c>
      <c r="P8333">
        <v>4.1188009999999997E-2</v>
      </c>
      <c r="Q8333">
        <v>0.18993930000000001</v>
      </c>
      <c r="R8333">
        <v>0.98093149999999996</v>
      </c>
      <c r="S8333">
        <v>0.73007200000000005</v>
      </c>
      <c r="T8333">
        <v>-0.16211130000000001</v>
      </c>
      <c r="U8333">
        <v>3.061493</v>
      </c>
      <c r="V8333">
        <v>2.8215690000000002E-2</v>
      </c>
      <c r="W8333">
        <v>0.20117840000000001</v>
      </c>
      <c r="X8333">
        <v>0.97914809999999997</v>
      </c>
      <c r="Y8333">
        <v>0.2188406</v>
      </c>
      <c r="Z8333">
        <v>-5.1509810000000003E-2</v>
      </c>
      <c r="AA8333">
        <v>0.97440009999999999</v>
      </c>
      <c r="AB8333">
        <v>44</v>
      </c>
      <c r="AC8333">
        <v>4.99209999999999</v>
      </c>
      <c r="AD8333">
        <v>-1.1097799052049999</v>
      </c>
      <c r="AE8333">
        <v>20.50956</v>
      </c>
      <c r="AF8333">
        <v>4.7088418661239899</v>
      </c>
      <c r="AG8333">
        <v>-1.1097799052049999</v>
      </c>
      <c r="AH8333">
        <v>20.516746204987001</v>
      </c>
      <c r="AI8333">
        <v>93.017878806553497</v>
      </c>
      <c r="AJ8333">
        <v>77.0737874711308</v>
      </c>
      <c r="AK8333">
        <v>21.079413606597502</v>
      </c>
      <c r="AL8333">
        <v>78.394122154157898</v>
      </c>
      <c r="AM8333">
        <v>88.349388930258897</v>
      </c>
      <c r="AN8333">
        <v>0.99999993776117102</v>
      </c>
    </row>
    <row r="8334" spans="1:40" x14ac:dyDescent="0.25">
      <c r="A8334" t="str">
        <f>"20190312172312696"</f>
        <v>20190312172312696</v>
      </c>
      <c r="B8334" t="str">
        <f>"1552382592688143"</f>
        <v>1552382592688143</v>
      </c>
      <c r="C8334" t="s">
        <v>40</v>
      </c>
      <c r="D8334">
        <v>3.2983159999999998</v>
      </c>
      <c r="E8334">
        <v>0.57585750000000002</v>
      </c>
      <c r="F8334" t="s">
        <v>42</v>
      </c>
      <c r="G8334">
        <v>-182.56970000000001</v>
      </c>
      <c r="H8334" s="1">
        <v>-4.9845599999999901E-6</v>
      </c>
      <c r="I8334">
        <v>118.17959999999999</v>
      </c>
      <c r="J8334">
        <v>-187.58940000000001</v>
      </c>
      <c r="K8334">
        <v>1.109788</v>
      </c>
      <c r="L8334">
        <v>97.947749999999999</v>
      </c>
      <c r="M8334">
        <v>1.3026319999999999E-2</v>
      </c>
      <c r="N8334">
        <v>0</v>
      </c>
      <c r="O8334">
        <v>0.99984850000000003</v>
      </c>
      <c r="P8334">
        <v>4.323391E-2</v>
      </c>
      <c r="Q8334">
        <v>0.1896949</v>
      </c>
      <c r="R8334">
        <v>0.98089079999999995</v>
      </c>
      <c r="S8334">
        <v>0.74331669999999905</v>
      </c>
      <c r="T8334">
        <v>-0.16414799999999999</v>
      </c>
      <c r="U8334">
        <v>3.0588989999999998</v>
      </c>
      <c r="V8334">
        <v>3.0386960000000001E-2</v>
      </c>
      <c r="W8334">
        <v>0.20102049999999999</v>
      </c>
      <c r="X8334">
        <v>0.97911559999999997</v>
      </c>
      <c r="Y8334">
        <v>0.22312979999999999</v>
      </c>
      <c r="Z8334">
        <v>-5.2146520000000002E-2</v>
      </c>
      <c r="AA8334">
        <v>0.97339299999999995</v>
      </c>
      <c r="AB8334">
        <v>44</v>
      </c>
      <c r="AC8334">
        <v>5.0197000000000003</v>
      </c>
      <c r="AD8334">
        <v>-1.1097929845600001</v>
      </c>
      <c r="AE8334">
        <v>20.231849999999898</v>
      </c>
      <c r="AF8334">
        <v>4.7422681933628201</v>
      </c>
      <c r="AG8334">
        <v>-1.1097929845600001</v>
      </c>
      <c r="AH8334">
        <v>20.2381616653416</v>
      </c>
      <c r="AI8334">
        <v>93.056147058053497</v>
      </c>
      <c r="AJ8334">
        <v>76.8122097030692</v>
      </c>
      <c r="AK8334">
        <v>20.815953873864601</v>
      </c>
      <c r="AL8334">
        <v>78.403358372966906</v>
      </c>
      <c r="AM8334">
        <v>88.222389772540893</v>
      </c>
      <c r="AN8334">
        <v>0.99999998346082497</v>
      </c>
    </row>
    <row r="8335" spans="1:40" x14ac:dyDescent="0.25">
      <c r="A8335" t="str">
        <f>"20190312172312718"</f>
        <v>20190312172312718</v>
      </c>
      <c r="B8335" t="str">
        <f>"1552382592708643"</f>
        <v>1552382592708643</v>
      </c>
      <c r="C8335" t="s">
        <v>40</v>
      </c>
      <c r="D8335">
        <v>3.3054760000000001</v>
      </c>
      <c r="E8335">
        <v>0.5759377</v>
      </c>
      <c r="F8335" t="s">
        <v>42</v>
      </c>
      <c r="G8335">
        <v>-182.589</v>
      </c>
      <c r="H8335" s="1">
        <v>-5.058872E-6</v>
      </c>
      <c r="I8335">
        <v>118.3608</v>
      </c>
      <c r="J8335">
        <v>-187.5839</v>
      </c>
      <c r="K8335">
        <v>1.109799</v>
      </c>
      <c r="L8335">
        <v>98.374849999999995</v>
      </c>
      <c r="M8335">
        <v>1.2904840000000001E-2</v>
      </c>
      <c r="N8335">
        <v>0</v>
      </c>
      <c r="O8335">
        <v>0.99984910000000005</v>
      </c>
      <c r="P8335">
        <v>4.7015220000000003E-2</v>
      </c>
      <c r="Q8335">
        <v>0.18877289999999999</v>
      </c>
      <c r="R8335">
        <v>0.98089470000000001</v>
      </c>
      <c r="S8335">
        <v>0.74897769999999997</v>
      </c>
      <c r="T8335">
        <v>-0.1662313</v>
      </c>
      <c r="U8335">
        <v>3.0575869999999998</v>
      </c>
      <c r="V8335">
        <v>3.4286440000000001E-2</v>
      </c>
      <c r="W8335">
        <v>0.200188</v>
      </c>
      <c r="X8335">
        <v>0.97915739999999996</v>
      </c>
      <c r="Y8335">
        <v>0.22503629999999999</v>
      </c>
      <c r="Z8335">
        <v>-5.2805400000000002E-2</v>
      </c>
      <c r="AA8335">
        <v>0.97291850000000002</v>
      </c>
      <c r="AB8335">
        <v>44</v>
      </c>
      <c r="AC8335">
        <v>4.9948999999999701</v>
      </c>
      <c r="AD8335">
        <v>-1.109804058872</v>
      </c>
      <c r="AE8335">
        <v>19.985949999999999</v>
      </c>
      <c r="AF8335">
        <v>4.7228443516269101</v>
      </c>
      <c r="AG8335">
        <v>-1.109804058872</v>
      </c>
      <c r="AH8335">
        <v>19.990730774197701</v>
      </c>
      <c r="AI8335">
        <v>93.092604158805003</v>
      </c>
      <c r="AJ8335">
        <v>76.707503352058595</v>
      </c>
      <c r="AK8335">
        <v>20.571004854047299</v>
      </c>
      <c r="AL8335">
        <v>78.452047081276305</v>
      </c>
      <c r="AM8335">
        <v>87.994534900265293</v>
      </c>
      <c r="AN8335">
        <v>1.00000000464331</v>
      </c>
    </row>
    <row r="8336" spans="1:40" x14ac:dyDescent="0.25">
      <c r="A8336" t="str">
        <f>"20190312172312730"</f>
        <v>20190312172312730</v>
      </c>
      <c r="B8336" t="str">
        <f>"1552382592718400"</f>
        <v>1552382592718400</v>
      </c>
      <c r="C8336" t="s">
        <v>40</v>
      </c>
      <c r="D8336">
        <v>3.3415910000000002</v>
      </c>
      <c r="E8336">
        <v>0.57597469999999995</v>
      </c>
      <c r="F8336" t="s">
        <v>42</v>
      </c>
      <c r="G8336">
        <v>-182.61699999999999</v>
      </c>
      <c r="H8336" s="1">
        <v>-5.0428140000000002E-6</v>
      </c>
      <c r="I8336">
        <v>118.3349</v>
      </c>
      <c r="J8336">
        <v>-187.58099999999999</v>
      </c>
      <c r="K8336">
        <v>1.109802</v>
      </c>
      <c r="L8336">
        <v>98.602140000000006</v>
      </c>
      <c r="M8336">
        <v>1.2840590000000001E-2</v>
      </c>
      <c r="N8336">
        <v>0</v>
      </c>
      <c r="O8336">
        <v>0.9998494</v>
      </c>
      <c r="P8336">
        <v>4.8794070000000002E-2</v>
      </c>
      <c r="Q8336">
        <v>0.18822050000000001</v>
      </c>
      <c r="R8336">
        <v>0.98091390000000001</v>
      </c>
      <c r="S8336">
        <v>0.76013180000000002</v>
      </c>
      <c r="T8336">
        <v>-0.1698442</v>
      </c>
      <c r="U8336">
        <v>3.0546880000000001</v>
      </c>
      <c r="V8336">
        <v>3.6127699999999999E-2</v>
      </c>
      <c r="W8336">
        <v>0.1996821</v>
      </c>
      <c r="X8336">
        <v>0.97919449999999997</v>
      </c>
      <c r="Y8336">
        <v>0.22864419999999999</v>
      </c>
      <c r="Z8336">
        <v>-5.3953139999999997E-2</v>
      </c>
      <c r="AA8336">
        <v>0.97201380000000004</v>
      </c>
      <c r="AB8336">
        <v>44</v>
      </c>
      <c r="AC8336">
        <v>4.9639999999999596</v>
      </c>
      <c r="AD8336">
        <v>-1.1098070428140001</v>
      </c>
      <c r="AE8336">
        <v>19.732759999999999</v>
      </c>
      <c r="AF8336">
        <v>4.6962224158349004</v>
      </c>
      <c r="AG8336">
        <v>-1.1098070428140001</v>
      </c>
      <c r="AH8336">
        <v>19.736165121525001</v>
      </c>
      <c r="AI8336">
        <v>93.131231736223697</v>
      </c>
      <c r="AJ8336">
        <v>76.615372310359305</v>
      </c>
      <c r="AK8336">
        <v>20.317538983729602</v>
      </c>
      <c r="AL8336">
        <v>78.481630393188993</v>
      </c>
      <c r="AM8336">
        <v>87.887011984821896</v>
      </c>
      <c r="AN8336">
        <v>1.0000000102989699</v>
      </c>
    </row>
    <row r="8337" spans="1:40" x14ac:dyDescent="0.25">
      <c r="A8337" t="str">
        <f>"20190312172312743"</f>
        <v>20190312172312743</v>
      </c>
      <c r="B8337" t="str">
        <f>"1552382592738895"</f>
        <v>1552382592738895</v>
      </c>
      <c r="C8337" t="s">
        <v>40</v>
      </c>
      <c r="D8337">
        <v>3.3114659999999998</v>
      </c>
      <c r="E8337">
        <v>0.57593260000000002</v>
      </c>
      <c r="F8337" t="s">
        <v>42</v>
      </c>
      <c r="G8337">
        <v>-182.6275</v>
      </c>
      <c r="H8337" s="1">
        <v>-5.0501210000000001E-6</v>
      </c>
      <c r="I8337">
        <v>118.3563</v>
      </c>
      <c r="J8337">
        <v>-187.57769999999999</v>
      </c>
      <c r="K8337">
        <v>1.109807</v>
      </c>
      <c r="L8337">
        <v>98.866060000000004</v>
      </c>
      <c r="M8337">
        <v>1.276593E-2</v>
      </c>
      <c r="N8337">
        <v>0</v>
      </c>
      <c r="O8337">
        <v>0.99984969999999995</v>
      </c>
      <c r="P8337">
        <v>5.0971750000000003E-2</v>
      </c>
      <c r="Q8337">
        <v>0.18761729999999999</v>
      </c>
      <c r="R8337">
        <v>0.98091879999999998</v>
      </c>
      <c r="S8337">
        <v>0.76560969999999995</v>
      </c>
      <c r="T8337">
        <v>-0.17153109999999999</v>
      </c>
      <c r="U8337">
        <v>3.0531920000000001</v>
      </c>
      <c r="V8337">
        <v>3.837819E-2</v>
      </c>
      <c r="W8337">
        <v>0.19913210000000001</v>
      </c>
      <c r="X8337">
        <v>0.97922089999999995</v>
      </c>
      <c r="Y8337">
        <v>0.23046240000000001</v>
      </c>
      <c r="Z8337">
        <v>-5.4489820000000001E-2</v>
      </c>
      <c r="AA8337">
        <v>0.97155440000000004</v>
      </c>
      <c r="AB8337">
        <v>44</v>
      </c>
      <c r="AC8337">
        <v>4.9501999999999899</v>
      </c>
      <c r="AD8337">
        <v>-1.109812050121</v>
      </c>
      <c r="AE8337">
        <v>19.49024</v>
      </c>
      <c r="AF8337">
        <v>4.6866932016728802</v>
      </c>
      <c r="AG8337">
        <v>-1.109812050121</v>
      </c>
      <c r="AH8337">
        <v>19.492477671480898</v>
      </c>
      <c r="AI8337">
        <v>93.168533162972395</v>
      </c>
      <c r="AJ8337">
        <v>76.480649077759907</v>
      </c>
      <c r="AK8337">
        <v>20.078681772625998</v>
      </c>
      <c r="AL8337">
        <v>78.513789089752393</v>
      </c>
      <c r="AM8337">
        <v>87.755579496656196</v>
      </c>
      <c r="AN8337">
        <v>1.0000000248574401</v>
      </c>
    </row>
    <row r="8338" spans="1:40" x14ac:dyDescent="0.25">
      <c r="A8338" t="str">
        <f>"20190312172312766"</f>
        <v>20190312172312766</v>
      </c>
      <c r="B8338" t="str">
        <f>"1552382592758415"</f>
        <v>1552382592758415</v>
      </c>
      <c r="C8338" t="s">
        <v>40</v>
      </c>
      <c r="D8338">
        <v>3.3333620000000002</v>
      </c>
      <c r="E8338">
        <v>0.57593109999999903</v>
      </c>
      <c r="F8338" t="s">
        <v>42</v>
      </c>
      <c r="G8338">
        <v>-182.637</v>
      </c>
      <c r="H8338" s="1">
        <v>-5.0626130000000002E-6</v>
      </c>
      <c r="I8338">
        <v>118.38939999999999</v>
      </c>
      <c r="J8338">
        <v>-187.57239999999999</v>
      </c>
      <c r="K8338">
        <v>1.109809</v>
      </c>
      <c r="L8338">
        <v>99.288120000000006</v>
      </c>
      <c r="M8338">
        <v>1.2645979999999999E-2</v>
      </c>
      <c r="N8338">
        <v>0</v>
      </c>
      <c r="O8338">
        <v>0.99985020000000002</v>
      </c>
      <c r="P8338">
        <v>5.4955799999999999E-2</v>
      </c>
      <c r="Q8338">
        <v>0.1865822</v>
      </c>
      <c r="R8338">
        <v>0.98090109999999997</v>
      </c>
      <c r="S8338">
        <v>0.77220149999999999</v>
      </c>
      <c r="T8338">
        <v>-0.17345949999999999</v>
      </c>
      <c r="U8338">
        <v>3.0514220000000001</v>
      </c>
      <c r="V8338">
        <v>4.2479900000000001E-2</v>
      </c>
      <c r="W8338">
        <v>0.1981792</v>
      </c>
      <c r="X8338">
        <v>0.97924480000000003</v>
      </c>
      <c r="Y8338">
        <v>0.23267669999999999</v>
      </c>
      <c r="Z8338">
        <v>-5.5102520000000002E-2</v>
      </c>
      <c r="AA8338">
        <v>0.97099190000000002</v>
      </c>
      <c r="AB8338">
        <v>44</v>
      </c>
      <c r="AC8338">
        <v>4.93539999999998</v>
      </c>
      <c r="AD8338">
        <v>-1.109814062613</v>
      </c>
      <c r="AE8338">
        <v>19.101279999999999</v>
      </c>
      <c r="AF8338">
        <v>4.6786283808289699</v>
      </c>
      <c r="AG8338">
        <v>-1.109814062613</v>
      </c>
      <c r="AH8338">
        <v>19.1017218265401</v>
      </c>
      <c r="AI8338">
        <v>93.229897206592796</v>
      </c>
      <c r="AJ8338">
        <v>76.237359440633696</v>
      </c>
      <c r="AK8338">
        <v>19.697640150992498</v>
      </c>
      <c r="AL8338">
        <v>78.5694957472206</v>
      </c>
      <c r="AM8338">
        <v>87.5160511948378</v>
      </c>
      <c r="AN8338">
        <v>0.99999995777184403</v>
      </c>
    </row>
    <row r="8339" spans="1:40" x14ac:dyDescent="0.25">
      <c r="A8339" t="str">
        <f>"20190312172312786"</f>
        <v>20190312172312786</v>
      </c>
      <c r="B8339" t="str">
        <f>"1552382592778911"</f>
        <v>1552382592778911</v>
      </c>
      <c r="C8339" t="s">
        <v>40</v>
      </c>
      <c r="D8339">
        <v>3.3255479999999999</v>
      </c>
      <c r="E8339">
        <v>0.575804599999999</v>
      </c>
      <c r="F8339" t="s">
        <v>42</v>
      </c>
      <c r="G8339">
        <v>-182.65190000000001</v>
      </c>
      <c r="H8339" s="1">
        <v>-5.0653189999999999E-6</v>
      </c>
      <c r="I8339">
        <v>118.40179999999999</v>
      </c>
      <c r="J8339">
        <v>-187.56720000000001</v>
      </c>
      <c r="K8339">
        <v>1.109812</v>
      </c>
      <c r="L8339">
        <v>99.708129999999997</v>
      </c>
      <c r="M8339">
        <v>1.25267E-2</v>
      </c>
      <c r="N8339">
        <v>0</v>
      </c>
      <c r="O8339">
        <v>0.99985080000000004</v>
      </c>
      <c r="P8339">
        <v>5.9770789999999997E-2</v>
      </c>
      <c r="Q8339">
        <v>0.1850609</v>
      </c>
      <c r="R8339">
        <v>0.98090770000000005</v>
      </c>
      <c r="S8339">
        <v>0.78468319999999903</v>
      </c>
      <c r="T8339">
        <v>-0.1769857</v>
      </c>
      <c r="U8339">
        <v>3.0481259999999999</v>
      </c>
      <c r="V8339">
        <v>4.7412210000000003E-2</v>
      </c>
      <c r="W8339">
        <v>0.1967362</v>
      </c>
      <c r="X8339">
        <v>0.9793094</v>
      </c>
      <c r="Y8339">
        <v>0.23675740000000001</v>
      </c>
      <c r="Z8339">
        <v>-5.6221889999999997E-2</v>
      </c>
      <c r="AA8339">
        <v>0.96994069999999999</v>
      </c>
      <c r="AB8339">
        <v>44</v>
      </c>
      <c r="AC8339">
        <v>4.9153000000000002</v>
      </c>
      <c r="AD8339">
        <v>-1.109817065319</v>
      </c>
      <c r="AE8339">
        <v>18.693669999999901</v>
      </c>
      <c r="AF8339">
        <v>4.6653474390417404</v>
      </c>
      <c r="AG8339">
        <v>-1.109817065319</v>
      </c>
      <c r="AH8339">
        <v>18.692157335867599</v>
      </c>
      <c r="AI8339">
        <v>93.296950629914605</v>
      </c>
      <c r="AJ8339">
        <v>75.9859492063663</v>
      </c>
      <c r="AK8339">
        <v>19.297510370881401</v>
      </c>
      <c r="AL8339">
        <v>78.653834275605504</v>
      </c>
      <c r="AM8339">
        <v>87.228250758799803</v>
      </c>
      <c r="AN8339">
        <v>0.99999997548794095</v>
      </c>
    </row>
    <row r="8340" spans="1:40" x14ac:dyDescent="0.25">
      <c r="A8340" t="str">
        <f>"20190312172312799"</f>
        <v>20190312172312799</v>
      </c>
      <c r="B8340" t="str">
        <f>"1552382592788672"</f>
        <v>1552382592788672</v>
      </c>
      <c r="C8340" t="s">
        <v>40</v>
      </c>
      <c r="D8340">
        <v>3.3272910000000002</v>
      </c>
      <c r="E8340">
        <v>0.57574669999999994</v>
      </c>
      <c r="F8340" t="s">
        <v>42</v>
      </c>
      <c r="G8340">
        <v>-182.70269999999999</v>
      </c>
      <c r="H8340" s="1">
        <v>-4.9904480000000002E-6</v>
      </c>
      <c r="I8340">
        <v>118.2483</v>
      </c>
      <c r="J8340">
        <v>-187.56399999999999</v>
      </c>
      <c r="K8340">
        <v>1.109809</v>
      </c>
      <c r="L8340">
        <v>99.966160000000002</v>
      </c>
      <c r="M8340">
        <v>1.2454379999999999E-2</v>
      </c>
      <c r="N8340">
        <v>0</v>
      </c>
      <c r="O8340">
        <v>0.99985119999999905</v>
      </c>
      <c r="P8340">
        <v>6.2239969999999999E-2</v>
      </c>
      <c r="Q8340">
        <v>0.18437970000000001</v>
      </c>
      <c r="R8340">
        <v>0.98088240000000004</v>
      </c>
      <c r="S8340">
        <v>0.79870609999999997</v>
      </c>
      <c r="T8340">
        <v>-0.18222189999999999</v>
      </c>
      <c r="U8340">
        <v>3.0441280000000002</v>
      </c>
      <c r="V8340">
        <v>4.9953249999999998E-2</v>
      </c>
      <c r="W8340">
        <v>0.19610079999999999</v>
      </c>
      <c r="X8340">
        <v>0.97931060000000003</v>
      </c>
      <c r="Y8340">
        <v>0.24129339999999999</v>
      </c>
      <c r="Z8340">
        <v>-5.7887300000000003E-2</v>
      </c>
      <c r="AA8340">
        <v>0.96872420000000004</v>
      </c>
      <c r="AB8340">
        <v>44</v>
      </c>
      <c r="AC8340">
        <v>4.8613000000000204</v>
      </c>
      <c r="AD8340">
        <v>-1.109813990448</v>
      </c>
      <c r="AE8340">
        <v>18.282139999999998</v>
      </c>
      <c r="AF8340">
        <v>4.6173224053793396</v>
      </c>
      <c r="AG8340">
        <v>-1.109813990448</v>
      </c>
      <c r="AH8340">
        <v>18.278361512213099</v>
      </c>
      <c r="AI8340">
        <v>93.3690083879209</v>
      </c>
      <c r="AJ8340">
        <v>75.823022649326006</v>
      </c>
      <c r="AK8340">
        <v>18.885175478659502</v>
      </c>
      <c r="AL8340">
        <v>78.690964149371496</v>
      </c>
      <c r="AM8340">
        <v>87.079954020178704</v>
      </c>
      <c r="AN8340">
        <v>1.0000000511092799</v>
      </c>
    </row>
    <row r="8341" spans="1:40" x14ac:dyDescent="0.25">
      <c r="A8341" t="str">
        <f>"20190312172312812"</f>
        <v>20190312172312812</v>
      </c>
      <c r="B8341" t="str">
        <f>"1552382592808191"</f>
        <v>1552382592808191</v>
      </c>
      <c r="C8341" t="s">
        <v>40</v>
      </c>
      <c r="D8341">
        <v>3.326111</v>
      </c>
      <c r="E8341">
        <v>0.57557369999999997</v>
      </c>
      <c r="F8341" t="s">
        <v>42</v>
      </c>
      <c r="G8341">
        <v>-182.7062</v>
      </c>
      <c r="H8341" s="1">
        <v>-5.0126979999999998E-6</v>
      </c>
      <c r="I8341">
        <v>118.30159999999999</v>
      </c>
      <c r="J8341">
        <v>-187.56110000000001</v>
      </c>
      <c r="K8341">
        <v>1.109807</v>
      </c>
      <c r="L8341">
        <v>100.2029</v>
      </c>
      <c r="M8341">
        <v>1.239414E-2</v>
      </c>
      <c r="N8341">
        <v>0</v>
      </c>
      <c r="O8341">
        <v>0.9998515</v>
      </c>
      <c r="P8341">
        <v>6.4625580000000002E-2</v>
      </c>
      <c r="Q8341">
        <v>0.18380740000000001</v>
      </c>
      <c r="R8341">
        <v>0.98083560000000003</v>
      </c>
      <c r="S8341">
        <v>0.80592350000000001</v>
      </c>
      <c r="T8341">
        <v>-0.18412290000000001</v>
      </c>
      <c r="U8341">
        <v>3.0419309999999999</v>
      </c>
      <c r="V8341">
        <v>5.2400370000000002E-2</v>
      </c>
      <c r="W8341">
        <v>0.1955663</v>
      </c>
      <c r="X8341">
        <v>0.97928950000000003</v>
      </c>
      <c r="Y8341">
        <v>0.24366280000000001</v>
      </c>
      <c r="Z8341">
        <v>-5.8494909999999997E-2</v>
      </c>
      <c r="AA8341">
        <v>0.96809440000000002</v>
      </c>
      <c r="AB8341">
        <v>44</v>
      </c>
      <c r="AC8341">
        <v>4.8549000000000104</v>
      </c>
      <c r="AD8341">
        <v>-1.109812012698</v>
      </c>
      <c r="AE8341">
        <v>18.098699999999901</v>
      </c>
      <c r="AF8341">
        <v>4.6140084027797199</v>
      </c>
      <c r="AG8341">
        <v>-1.109812012698</v>
      </c>
      <c r="AH8341">
        <v>18.094017178596399</v>
      </c>
      <c r="AI8341">
        <v>93.401311237788505</v>
      </c>
      <c r="AJ8341">
        <v>75.694346997642995</v>
      </c>
      <c r="AK8341">
        <v>18.705994063502501</v>
      </c>
      <c r="AL8341">
        <v>78.722192282261403</v>
      </c>
      <c r="AM8341">
        <v>86.937106363132102</v>
      </c>
      <c r="AN8341">
        <v>0.99999995064103697</v>
      </c>
    </row>
    <row r="8342" spans="1:40" x14ac:dyDescent="0.25">
      <c r="A8342" t="str">
        <f>"20190312172312830"</f>
        <v>20190312172312830</v>
      </c>
      <c r="B8342" t="str">
        <f>"1552382592818927"</f>
        <v>1552382592818927</v>
      </c>
      <c r="C8342" t="s">
        <v>40</v>
      </c>
      <c r="D8342">
        <v>3.2928799999999998</v>
      </c>
      <c r="E8342">
        <v>0.57547749999999998</v>
      </c>
      <c r="F8342" t="s">
        <v>42</v>
      </c>
      <c r="G8342">
        <v>-182.72229999999999</v>
      </c>
      <c r="H8342" s="1">
        <v>-5.0192850000000002E-6</v>
      </c>
      <c r="I8342">
        <v>118.3236</v>
      </c>
      <c r="J8342">
        <v>-187.5566</v>
      </c>
      <c r="K8342">
        <v>1.1097939999999999</v>
      </c>
      <c r="L8342">
        <v>100.56619999999999</v>
      </c>
      <c r="M8342">
        <v>1.231342E-2</v>
      </c>
      <c r="N8342">
        <v>0</v>
      </c>
      <c r="O8342">
        <v>0.99985179999999996</v>
      </c>
      <c r="P8342">
        <v>6.9836060000000005E-2</v>
      </c>
      <c r="Q8342">
        <v>0.1828777</v>
      </c>
      <c r="R8342">
        <v>0.98065219999999997</v>
      </c>
      <c r="S8342">
        <v>0.81176759999999903</v>
      </c>
      <c r="T8342">
        <v>-0.18618609999999999</v>
      </c>
      <c r="U8342">
        <v>3.040009</v>
      </c>
      <c r="V8342">
        <v>5.7697039999999998E-2</v>
      </c>
      <c r="W8342">
        <v>0.19469040000000001</v>
      </c>
      <c r="X8342">
        <v>0.97916630000000004</v>
      </c>
      <c r="Y8342">
        <v>0.24562010000000001</v>
      </c>
      <c r="Z8342">
        <v>-5.9154989999999998E-2</v>
      </c>
      <c r="AA8342">
        <v>0.96755950000000002</v>
      </c>
      <c r="AB8342">
        <v>44</v>
      </c>
      <c r="AC8342">
        <v>4.8343000000000096</v>
      </c>
      <c r="AD8342">
        <v>-1.109799019285</v>
      </c>
      <c r="AE8342">
        <v>17.757400000000001</v>
      </c>
      <c r="AF8342">
        <v>4.5985408758690696</v>
      </c>
      <c r="AG8342">
        <v>-1.109799019285</v>
      </c>
      <c r="AH8342">
        <v>17.7510336901145</v>
      </c>
      <c r="AI8342">
        <v>93.463451603150801</v>
      </c>
      <c r="AJ8342">
        <v>75.476369877112106</v>
      </c>
      <c r="AK8342">
        <v>18.370558758998701</v>
      </c>
      <c r="AL8342">
        <v>78.773361483440496</v>
      </c>
      <c r="AM8342">
        <v>86.6277650719191</v>
      </c>
      <c r="AN8342">
        <v>0.99999997166630505</v>
      </c>
    </row>
    <row r="8343" spans="1:40" x14ac:dyDescent="0.25">
      <c r="A8343" t="str">
        <f>"20190312172312843"</f>
        <v>20190312172312843</v>
      </c>
      <c r="B8343" t="str">
        <f>"1552382592838447"</f>
        <v>1552382592838447</v>
      </c>
      <c r="C8343" t="s">
        <v>40</v>
      </c>
      <c r="D8343">
        <v>3.3341240000000001</v>
      </c>
      <c r="E8343">
        <v>0.57524960000000003</v>
      </c>
      <c r="F8343" t="s">
        <v>42</v>
      </c>
      <c r="G8343">
        <v>-182.68639999999999</v>
      </c>
      <c r="H8343" s="1">
        <v>-5.0745280000000002E-6</v>
      </c>
      <c r="I8343">
        <v>118.4376</v>
      </c>
      <c r="J8343">
        <v>-187.55359999999999</v>
      </c>
      <c r="K8343">
        <v>1.1097840000000001</v>
      </c>
      <c r="L8343">
        <v>100.81359999999999</v>
      </c>
      <c r="M8343">
        <v>1.2267719999999999E-2</v>
      </c>
      <c r="N8343">
        <v>0</v>
      </c>
      <c r="O8343">
        <v>0.99985190000000002</v>
      </c>
      <c r="P8343">
        <v>7.2456419999999994E-2</v>
      </c>
      <c r="Q8343">
        <v>0.18250469999999999</v>
      </c>
      <c r="R8343">
        <v>0.9805315</v>
      </c>
      <c r="S8343">
        <v>0.82719419999999899</v>
      </c>
      <c r="T8343">
        <v>-0.18849769999999999</v>
      </c>
      <c r="U8343">
        <v>3.035431</v>
      </c>
      <c r="V8343">
        <v>6.0368360000000003E-2</v>
      </c>
      <c r="W8343">
        <v>0.19435079999999999</v>
      </c>
      <c r="X8343">
        <v>0.97907270000000002</v>
      </c>
      <c r="Y8343">
        <v>0.2505965</v>
      </c>
      <c r="Z8343">
        <v>-5.9896049999999999E-2</v>
      </c>
      <c r="AA8343">
        <v>0.96623689999999995</v>
      </c>
      <c r="AB8343">
        <v>44</v>
      </c>
      <c r="AC8343">
        <v>4.8671999999999898</v>
      </c>
      <c r="AD8343">
        <v>-1.1097890745279999</v>
      </c>
      <c r="AE8343">
        <v>17.623999999999999</v>
      </c>
      <c r="AF8343">
        <v>4.6335404397669402</v>
      </c>
      <c r="AG8343">
        <v>-1.1097890745279999</v>
      </c>
      <c r="AH8343">
        <v>17.617479889753302</v>
      </c>
      <c r="AI8343">
        <v>93.486252335109896</v>
      </c>
      <c r="AJ8343">
        <v>75.264462593781801</v>
      </c>
      <c r="AK8343">
        <v>18.2503952412752</v>
      </c>
      <c r="AL8343">
        <v>78.793197931761398</v>
      </c>
      <c r="AM8343">
        <v>86.471682918459194</v>
      </c>
      <c r="AN8343">
        <v>0.99999996211750897</v>
      </c>
    </row>
    <row r="8344" spans="1:40" x14ac:dyDescent="0.25">
      <c r="A8344" t="str">
        <f>"20190312172312856"</f>
        <v>20190312172312856</v>
      </c>
      <c r="B8344" t="str">
        <f>"1552382592848208"</f>
        <v>1552382592848208</v>
      </c>
      <c r="C8344" t="s">
        <v>40</v>
      </c>
      <c r="D8344">
        <v>3.313167</v>
      </c>
      <c r="E8344">
        <v>0.57513950000000003</v>
      </c>
      <c r="F8344" t="s">
        <v>42</v>
      </c>
      <c r="G8344">
        <v>-182.66849999999999</v>
      </c>
      <c r="H8344" s="1">
        <v>-5.1458720000000002E-6</v>
      </c>
      <c r="I8344">
        <v>118.59650000000001</v>
      </c>
      <c r="J8344">
        <v>-187.5505</v>
      </c>
      <c r="K8344">
        <v>1.1097729999999999</v>
      </c>
      <c r="L8344">
        <v>101.06619999999999</v>
      </c>
      <c r="M8344">
        <v>1.2231270000000001E-2</v>
      </c>
      <c r="N8344">
        <v>0</v>
      </c>
      <c r="O8344">
        <v>0.99985190000000002</v>
      </c>
      <c r="P8344">
        <v>7.5066939999999999E-2</v>
      </c>
      <c r="Q8344">
        <v>0.18210750000000001</v>
      </c>
      <c r="R8344">
        <v>0.98040899999999997</v>
      </c>
      <c r="S8344">
        <v>0.83325199999999999</v>
      </c>
      <c r="T8344">
        <v>-0.1892971</v>
      </c>
      <c r="U8344">
        <v>3.0332340000000002</v>
      </c>
      <c r="V8344">
        <v>6.3022090000000003E-2</v>
      </c>
      <c r="W8344">
        <v>0.19398360000000001</v>
      </c>
      <c r="X8344">
        <v>0.97897829999999997</v>
      </c>
      <c r="Y8344">
        <v>0.25259969999999998</v>
      </c>
      <c r="Z8344">
        <v>-6.0159600000000001E-2</v>
      </c>
      <c r="AA8344">
        <v>0.96569879999999997</v>
      </c>
      <c r="AB8344">
        <v>44</v>
      </c>
      <c r="AC8344">
        <v>4.8819999999999997</v>
      </c>
      <c r="AD8344">
        <v>-1.109778145872</v>
      </c>
      <c r="AE8344">
        <v>17.5303</v>
      </c>
      <c r="AF8344">
        <v>4.6499071014033699</v>
      </c>
      <c r="AG8344">
        <v>-1.109778145872</v>
      </c>
      <c r="AH8344">
        <v>17.523531751828202</v>
      </c>
      <c r="AI8344">
        <v>93.5028389833017</v>
      </c>
      <c r="AJ8344">
        <v>75.138920972313301</v>
      </c>
      <c r="AK8344">
        <v>18.163904003326699</v>
      </c>
      <c r="AL8344">
        <v>78.814645164478705</v>
      </c>
      <c r="AM8344">
        <v>86.316645571555995</v>
      </c>
      <c r="AN8344">
        <v>0.99999996638390798</v>
      </c>
    </row>
    <row r="8345" spans="1:40" x14ac:dyDescent="0.25">
      <c r="A8345" t="str">
        <f>"20190312172312868"</f>
        <v>20190312172312868</v>
      </c>
      <c r="B8345" t="str">
        <f>"1552382592858944"</f>
        <v>1552382592858944</v>
      </c>
      <c r="C8345" t="s">
        <v>40</v>
      </c>
      <c r="D8345">
        <v>3.3400629999999998</v>
      </c>
      <c r="E8345">
        <v>0.57503210000000005</v>
      </c>
      <c r="F8345" t="s">
        <v>42</v>
      </c>
      <c r="G8345">
        <v>-182.65770000000001</v>
      </c>
      <c r="H8345" s="1">
        <v>-5.1953909999999998E-6</v>
      </c>
      <c r="I8345">
        <v>118.70740000000001</v>
      </c>
      <c r="J8345">
        <v>-187.54750000000001</v>
      </c>
      <c r="K8345">
        <v>1.109758</v>
      </c>
      <c r="L8345">
        <v>101.3134</v>
      </c>
      <c r="M8345">
        <v>1.2210220000000001E-2</v>
      </c>
      <c r="N8345">
        <v>0</v>
      </c>
      <c r="O8345">
        <v>0.99985190000000002</v>
      </c>
      <c r="P8345">
        <v>7.7590569999999998E-2</v>
      </c>
      <c r="Q8345">
        <v>0.18168390000000001</v>
      </c>
      <c r="R8345">
        <v>0.98029109999999997</v>
      </c>
      <c r="S8345">
        <v>0.84065249999999903</v>
      </c>
      <c r="T8345">
        <v>-0.19067500000000001</v>
      </c>
      <c r="U8345">
        <v>3.0310060000000001</v>
      </c>
      <c r="V8345">
        <v>6.5575339999999996E-2</v>
      </c>
      <c r="W8345">
        <v>0.19358690000000001</v>
      </c>
      <c r="X8345">
        <v>0.97888920000000001</v>
      </c>
      <c r="Y8345">
        <v>0.2549843</v>
      </c>
      <c r="Z8345">
        <v>-6.0600109999999999E-2</v>
      </c>
      <c r="AA8345">
        <v>0.96504440000000002</v>
      </c>
      <c r="AB8345">
        <v>44</v>
      </c>
      <c r="AC8345">
        <v>4.8898000000000001</v>
      </c>
      <c r="AD8345">
        <v>-1.1097631953910001</v>
      </c>
      <c r="AE8345">
        <v>17.393999999999998</v>
      </c>
      <c r="AF8345">
        <v>4.6594574498460704</v>
      </c>
      <c r="AG8345">
        <v>-1.1097631953910001</v>
      </c>
      <c r="AH8345">
        <v>17.3868213357655</v>
      </c>
      <c r="AI8345">
        <v>93.527954592525404</v>
      </c>
      <c r="AJ8345">
        <v>74.997931687048094</v>
      </c>
      <c r="AK8345">
        <v>18.034513418404199</v>
      </c>
      <c r="AL8345">
        <v>78.837814408638906</v>
      </c>
      <c r="AM8345">
        <v>86.167507974864705</v>
      </c>
      <c r="AN8345">
        <v>1.00000003947218</v>
      </c>
    </row>
    <row r="8346" spans="1:40" x14ac:dyDescent="0.25">
      <c r="A8346" t="str">
        <f>"20190312172312887"</f>
        <v>20190312172312887</v>
      </c>
      <c r="B8346" t="str">
        <f>"1552382592878872"</f>
        <v>1552382592878872</v>
      </c>
      <c r="C8346" t="s">
        <v>40</v>
      </c>
      <c r="D8346">
        <v>3.3231999999999999</v>
      </c>
      <c r="E8346">
        <v>0.57476740000000004</v>
      </c>
      <c r="F8346" t="s">
        <v>42</v>
      </c>
      <c r="G8346">
        <v>-182.66059999999999</v>
      </c>
      <c r="H8346" s="1">
        <v>-5.22710299999999E-6</v>
      </c>
      <c r="I8346">
        <v>118.7825</v>
      </c>
      <c r="J8346">
        <v>-187.54300000000001</v>
      </c>
      <c r="K8346">
        <v>1.109726</v>
      </c>
      <c r="L8346">
        <v>101.6829</v>
      </c>
      <c r="M8346">
        <v>1.2213450000000001E-2</v>
      </c>
      <c r="N8346">
        <v>0</v>
      </c>
      <c r="O8346">
        <v>0.9998513</v>
      </c>
      <c r="P8346">
        <v>8.3630109999999994E-2</v>
      </c>
      <c r="Q8346">
        <v>0.18077470000000001</v>
      </c>
      <c r="R8346">
        <v>0.97996249999999996</v>
      </c>
      <c r="S8346">
        <v>0.84732059999999998</v>
      </c>
      <c r="T8346">
        <v>-0.192417</v>
      </c>
      <c r="U8346">
        <v>3.0289000000000001</v>
      </c>
      <c r="V8346">
        <v>7.1631109999999998E-2</v>
      </c>
      <c r="W8346">
        <v>0.19271250000000001</v>
      </c>
      <c r="X8346">
        <v>0.97863730000000004</v>
      </c>
      <c r="Y8346">
        <v>0.2571157</v>
      </c>
      <c r="Z8346">
        <v>-6.1157169999999997E-2</v>
      </c>
      <c r="AA8346">
        <v>0.96444359999999996</v>
      </c>
      <c r="AB8346">
        <v>44</v>
      </c>
      <c r="AC8346">
        <v>4.8824000000000103</v>
      </c>
      <c r="AD8346">
        <v>-1.109731227103</v>
      </c>
      <c r="AE8346">
        <v>17.099599999999899</v>
      </c>
      <c r="AF8346">
        <v>4.6550471515289598</v>
      </c>
      <c r="AG8346">
        <v>-1.109731227103</v>
      </c>
      <c r="AH8346">
        <v>17.091401120081901</v>
      </c>
      <c r="AI8346">
        <v>93.584733251881005</v>
      </c>
      <c r="AJ8346">
        <v>74.764366032836904</v>
      </c>
      <c r="AK8346">
        <v>17.748717126229199</v>
      </c>
      <c r="AL8346">
        <v>78.888875405301505</v>
      </c>
      <c r="AM8346">
        <v>85.813715205476896</v>
      </c>
      <c r="AN8346">
        <v>1.0000000442636801</v>
      </c>
    </row>
    <row r="8347" spans="1:40" x14ac:dyDescent="0.25">
      <c r="A8347" t="str">
        <f>"20190312172312909"</f>
        <v>20190312172312909</v>
      </c>
      <c r="B8347" t="str">
        <f>"1552382592898959"</f>
        <v>1552382592898959</v>
      </c>
      <c r="C8347" t="s">
        <v>40</v>
      </c>
      <c r="D8347">
        <v>3.3263440000000002</v>
      </c>
      <c r="E8347">
        <v>0.57462969999999902</v>
      </c>
      <c r="F8347" t="s">
        <v>42</v>
      </c>
      <c r="G8347">
        <v>-182.63329999999999</v>
      </c>
      <c r="H8347" s="1">
        <v>-5.2693209999999996E-6</v>
      </c>
      <c r="I8347">
        <v>118.86969999999999</v>
      </c>
      <c r="J8347">
        <v>-187.5377</v>
      </c>
      <c r="K8347">
        <v>1.1096699999999999</v>
      </c>
      <c r="L8347">
        <v>102.1151</v>
      </c>
      <c r="M8347">
        <v>1.229884E-2</v>
      </c>
      <c r="N8347">
        <v>0</v>
      </c>
      <c r="O8347">
        <v>0.99984960000000001</v>
      </c>
      <c r="P8347">
        <v>8.9076920000000004E-2</v>
      </c>
      <c r="Q8347">
        <v>0.17940539999999999</v>
      </c>
      <c r="R8347">
        <v>0.9797342</v>
      </c>
      <c r="S8347">
        <v>0.86376949999999997</v>
      </c>
      <c r="T8347">
        <v>-0.1952344</v>
      </c>
      <c r="U8347">
        <v>3.0236510000000001</v>
      </c>
      <c r="V8347">
        <v>7.7024140000000005E-2</v>
      </c>
      <c r="W8347">
        <v>0.1913811</v>
      </c>
      <c r="X8347">
        <v>0.97848889999999999</v>
      </c>
      <c r="Y8347">
        <v>0.26230609999999999</v>
      </c>
      <c r="Z8347">
        <v>-6.2063279999999998E-2</v>
      </c>
      <c r="AA8347">
        <v>0.96298680000000003</v>
      </c>
      <c r="AB8347">
        <v>44</v>
      </c>
      <c r="AC8347">
        <v>4.9044000000000096</v>
      </c>
      <c r="AD8347">
        <v>-1.1096752693209999</v>
      </c>
      <c r="AE8347">
        <v>16.7545999999999</v>
      </c>
      <c r="AF8347">
        <v>4.6790464292442797</v>
      </c>
      <c r="AG8347">
        <v>-1.1096752693209999</v>
      </c>
      <c r="AH8347">
        <v>16.745995708391298</v>
      </c>
      <c r="AI8347">
        <v>93.651700688095403</v>
      </c>
      <c r="AJ8347">
        <v>74.388953652502195</v>
      </c>
      <c r="AK8347">
        <v>17.4227789676568</v>
      </c>
      <c r="AL8347">
        <v>78.966605246153193</v>
      </c>
      <c r="AM8347">
        <v>85.499104179974694</v>
      </c>
      <c r="AN8347">
        <v>0.99999998550157898</v>
      </c>
    </row>
    <row r="8348" spans="1:40" x14ac:dyDescent="0.25">
      <c r="A8348" t="str">
        <f>"20190312172312932"</f>
        <v>20190312172312932</v>
      </c>
      <c r="B8348" t="str">
        <f>"1552382592928240"</f>
        <v>1552382592928240</v>
      </c>
      <c r="C8348" t="s">
        <v>40</v>
      </c>
      <c r="D8348">
        <v>3.3383240000000001</v>
      </c>
      <c r="E8348">
        <v>0.56755949999999999</v>
      </c>
      <c r="F8348" t="s">
        <v>42</v>
      </c>
      <c r="G8348">
        <v>-182.648</v>
      </c>
      <c r="H8348" s="1">
        <v>-5.2797389999999996E-6</v>
      </c>
      <c r="I8348">
        <v>118.9</v>
      </c>
      <c r="J8348">
        <v>-187.53219999999999</v>
      </c>
      <c r="K8348">
        <v>1.109586</v>
      </c>
      <c r="L8348">
        <v>102.55070000000001</v>
      </c>
      <c r="M8348">
        <v>1.248807E-2</v>
      </c>
      <c r="N8348">
        <v>0</v>
      </c>
      <c r="O8348">
        <v>0.99984660000000003</v>
      </c>
      <c r="P8348">
        <v>9.5024170000000005E-2</v>
      </c>
      <c r="Q8348">
        <v>0.1779522</v>
      </c>
      <c r="R8348">
        <v>0.97944039999999999</v>
      </c>
      <c r="S8348">
        <v>0.87936399999999904</v>
      </c>
      <c r="T8348">
        <v>-0.1995673</v>
      </c>
      <c r="U8348">
        <v>3.0186459999999999</v>
      </c>
      <c r="V8348">
        <v>8.2826609999999995E-2</v>
      </c>
      <c r="W8348">
        <v>0.18996569999999999</v>
      </c>
      <c r="X8348">
        <v>0.97829069999999996</v>
      </c>
      <c r="Y8348">
        <v>0.267109599999999</v>
      </c>
      <c r="Z8348">
        <v>-6.3448450000000003E-2</v>
      </c>
      <c r="AA8348">
        <v>0.96157519999999996</v>
      </c>
      <c r="AB8348">
        <v>44</v>
      </c>
      <c r="AC8348">
        <v>4.8841999999999901</v>
      </c>
      <c r="AD8348">
        <v>-1.109591279739</v>
      </c>
      <c r="AE8348">
        <v>16.349299999999999</v>
      </c>
      <c r="AF8348">
        <v>4.6599272723925802</v>
      </c>
      <c r="AG8348">
        <v>-1.109591279739</v>
      </c>
      <c r="AH8348">
        <v>16.339927894053101</v>
      </c>
      <c r="AI8348">
        <v>93.736284372558998</v>
      </c>
      <c r="AJ8348">
        <v>74.082564251362399</v>
      </c>
      <c r="AK8348">
        <v>17.027605779290099</v>
      </c>
      <c r="AL8348">
        <v>79.049216993702103</v>
      </c>
      <c r="AM8348">
        <v>85.160615661304107</v>
      </c>
      <c r="AN8348">
        <v>0.99999995410353404</v>
      </c>
    </row>
    <row r="8349" spans="1:40" x14ac:dyDescent="0.25">
      <c r="A8349" t="str">
        <f>"20190312172312944"</f>
        <v>20190312172312944</v>
      </c>
      <c r="B8349" t="str">
        <f>"1552382592938978"</f>
        <v>1552382592938978</v>
      </c>
      <c r="C8349" t="s">
        <v>40</v>
      </c>
      <c r="D8349">
        <v>3.3132470000000001</v>
      </c>
      <c r="E8349">
        <v>0.56723129999999999</v>
      </c>
      <c r="F8349" t="s">
        <v>42</v>
      </c>
      <c r="G8349">
        <v>-182.98070000000001</v>
      </c>
      <c r="H8349" s="1">
        <v>-5.2116009999999996E-6</v>
      </c>
      <c r="I8349">
        <v>118.8788</v>
      </c>
      <c r="J8349">
        <v>-187.52879999999999</v>
      </c>
      <c r="K8349">
        <v>1.109526</v>
      </c>
      <c r="L8349">
        <v>102.8115</v>
      </c>
      <c r="M8349">
        <v>1.2655960000000001E-2</v>
      </c>
      <c r="N8349">
        <v>0</v>
      </c>
      <c r="O8349">
        <v>0.99984399999999996</v>
      </c>
      <c r="P8349">
        <v>9.8168279999999997E-2</v>
      </c>
      <c r="Q8349">
        <v>0.17699309999999999</v>
      </c>
      <c r="R8349">
        <v>0.97930410000000001</v>
      </c>
      <c r="S8349">
        <v>0.84143069999999898</v>
      </c>
      <c r="T8349">
        <v>-0.2051326</v>
      </c>
      <c r="U8349">
        <v>3.0186160000000002</v>
      </c>
      <c r="V8349">
        <v>8.5834880000000002E-2</v>
      </c>
      <c r="W8349">
        <v>0.18903020000000001</v>
      </c>
      <c r="X8349">
        <v>0.97821270000000005</v>
      </c>
      <c r="Y8349">
        <v>0.25572220000000001</v>
      </c>
      <c r="Z8349">
        <v>-6.5422900000000006E-2</v>
      </c>
      <c r="AA8349">
        <v>0.96453409999999995</v>
      </c>
      <c r="AB8349">
        <v>44</v>
      </c>
      <c r="AC8349">
        <v>4.5480999999999696</v>
      </c>
      <c r="AD8349">
        <v>-1.1095312116009901</v>
      </c>
      <c r="AE8349">
        <v>16.067299999999999</v>
      </c>
      <c r="AF8349">
        <v>4.3252775703939399</v>
      </c>
      <c r="AG8349">
        <v>-1.1095312116009901</v>
      </c>
      <c r="AH8349">
        <v>16.052707164297701</v>
      </c>
      <c r="AI8349">
        <v>93.818137983728704</v>
      </c>
      <c r="AJ8349">
        <v>74.920214312635693</v>
      </c>
      <c r="AK8349">
        <v>16.662187517644899</v>
      </c>
      <c r="AL8349">
        <v>79.103807518280206</v>
      </c>
      <c r="AM8349">
        <v>84.985331505978394</v>
      </c>
      <c r="AN8349">
        <v>1.00000006478897</v>
      </c>
    </row>
    <row r="8350" spans="1:40" x14ac:dyDescent="0.25">
      <c r="A8350" t="str">
        <f>"20190312172312966"</f>
        <v>20190312172312966</v>
      </c>
      <c r="B8350" t="str">
        <f>"1552382592958496"</f>
        <v>1552382592958496</v>
      </c>
      <c r="C8350" t="s">
        <v>40</v>
      </c>
      <c r="D8350">
        <v>3.3281170000000002</v>
      </c>
      <c r="E8350">
        <v>0.5666776</v>
      </c>
      <c r="F8350" t="s">
        <v>42</v>
      </c>
      <c r="G8350">
        <v>-183.02209999999999</v>
      </c>
      <c r="H8350" s="1">
        <v>-5.1838539999999996E-6</v>
      </c>
      <c r="I8350">
        <v>118.8312</v>
      </c>
      <c r="J8350">
        <v>-187.5232</v>
      </c>
      <c r="K8350">
        <v>1.10941</v>
      </c>
      <c r="L8350">
        <v>103.2296</v>
      </c>
      <c r="M8350">
        <v>1.3038009999999999E-2</v>
      </c>
      <c r="N8350">
        <v>0</v>
      </c>
      <c r="O8350">
        <v>0.99983820000000001</v>
      </c>
      <c r="P8350">
        <v>0.1050663</v>
      </c>
      <c r="Q8350">
        <v>0.17489389999999999</v>
      </c>
      <c r="R8350">
        <v>0.97896530000000004</v>
      </c>
      <c r="S8350">
        <v>0.84849549999999996</v>
      </c>
      <c r="T8350">
        <v>-0.20889679999999999</v>
      </c>
      <c r="U8350">
        <v>3.0161129999999998</v>
      </c>
      <c r="V8350">
        <v>9.2413969999999998E-2</v>
      </c>
      <c r="W8350">
        <v>0.18696860000000001</v>
      </c>
      <c r="X8350">
        <v>0.97800940000000003</v>
      </c>
      <c r="Y8350">
        <v>0.25763249999999999</v>
      </c>
      <c r="Z8350">
        <v>-6.6632700000000003E-2</v>
      </c>
      <c r="AA8350">
        <v>0.96394270000000004</v>
      </c>
      <c r="AB8350">
        <v>44</v>
      </c>
      <c r="AC8350">
        <v>4.5011000000000001</v>
      </c>
      <c r="AD8350">
        <v>-1.1094151838540001</v>
      </c>
      <c r="AE8350">
        <v>15.6015999999999</v>
      </c>
      <c r="AF8350">
        <v>4.2773215195311796</v>
      </c>
      <c r="AG8350">
        <v>-1.1094151838540001</v>
      </c>
      <c r="AH8350">
        <v>15.5862076742435</v>
      </c>
      <c r="AI8350">
        <v>93.926706003710294</v>
      </c>
      <c r="AJ8350">
        <v>74.654120574382503</v>
      </c>
      <c r="AK8350">
        <v>16.200498482956</v>
      </c>
      <c r="AL8350">
        <v>79.224072164808902</v>
      </c>
      <c r="AM8350">
        <v>84.602040271481101</v>
      </c>
      <c r="AN8350">
        <v>0.99999999286273999</v>
      </c>
    </row>
    <row r="8351" spans="1:40" x14ac:dyDescent="0.25">
      <c r="A8351" t="str">
        <f>"20190312172312991"</f>
        <v>20190312172312991</v>
      </c>
      <c r="B8351" t="str">
        <f>"1552382592978991"</f>
        <v>1552382592978991</v>
      </c>
      <c r="C8351" t="s">
        <v>40</v>
      </c>
      <c r="D8351">
        <v>3.3370790000000001</v>
      </c>
      <c r="E8351">
        <v>0.56618780000000002</v>
      </c>
      <c r="F8351" t="s">
        <v>42</v>
      </c>
      <c r="G8351">
        <v>-183.00149999999999</v>
      </c>
      <c r="H8351" s="1">
        <v>-5.240213E-6</v>
      </c>
      <c r="I8351">
        <v>118.9541</v>
      </c>
      <c r="J8351">
        <v>-187.5163</v>
      </c>
      <c r="K8351">
        <v>1.1092550000000001</v>
      </c>
      <c r="L8351">
        <v>103.7127</v>
      </c>
      <c r="M8351">
        <v>1.366449E-2</v>
      </c>
      <c r="N8351">
        <v>0</v>
      </c>
      <c r="O8351">
        <v>0.99982870000000001</v>
      </c>
      <c r="P8351">
        <v>0.112187</v>
      </c>
      <c r="Q8351">
        <v>0.1728114</v>
      </c>
      <c r="R8351">
        <v>0.978545</v>
      </c>
      <c r="S8351">
        <v>0.86540219999999901</v>
      </c>
      <c r="T8351">
        <v>-0.21233250000000001</v>
      </c>
      <c r="U8351">
        <v>3.0095209999999999</v>
      </c>
      <c r="V8351">
        <v>9.8995159999999999E-2</v>
      </c>
      <c r="W8351">
        <v>0.18493000000000001</v>
      </c>
      <c r="X8351">
        <v>0.97775299999999998</v>
      </c>
      <c r="Y8351">
        <v>0.26256210000000002</v>
      </c>
      <c r="Z8351">
        <v>-6.7767939999999999E-2</v>
      </c>
      <c r="AA8351">
        <v>0.96253250000000001</v>
      </c>
      <c r="AB8351">
        <v>44</v>
      </c>
      <c r="AC8351">
        <v>4.5148000000000001</v>
      </c>
      <c r="AD8351">
        <v>-1.1092602402129901</v>
      </c>
      <c r="AE8351">
        <v>15.241400000000001</v>
      </c>
      <c r="AF8351">
        <v>4.2852290497234398</v>
      </c>
      <c r="AG8351">
        <v>-1.1092602402129901</v>
      </c>
      <c r="AH8351">
        <v>15.227522707144701</v>
      </c>
      <c r="AI8351">
        <v>94.011131043694505</v>
      </c>
      <c r="AJ8351">
        <v>74.282686296501694</v>
      </c>
      <c r="AK8351">
        <v>15.857840145673</v>
      </c>
      <c r="AL8351">
        <v>79.342949133829194</v>
      </c>
      <c r="AM8351">
        <v>84.218640279188705</v>
      </c>
      <c r="AN8351">
        <v>1.0000000378062099</v>
      </c>
    </row>
    <row r="8352" spans="1:40" x14ac:dyDescent="0.25">
      <c r="A8352" t="str">
        <f>"20190312172313009"</f>
        <v>20190312172313009</v>
      </c>
      <c r="B8352" t="str">
        <f>"1552382592998511"</f>
        <v>1552382592998511</v>
      </c>
      <c r="C8352" t="s">
        <v>40</v>
      </c>
      <c r="D8352">
        <v>3.324125</v>
      </c>
      <c r="E8352">
        <v>0.56558169999999997</v>
      </c>
      <c r="F8352" t="s">
        <v>42</v>
      </c>
      <c r="G8352">
        <v>-183.00579999999999</v>
      </c>
      <c r="H8352" s="1">
        <v>-5.276828E-6</v>
      </c>
      <c r="I8352">
        <v>119.0412</v>
      </c>
      <c r="J8352">
        <v>-187.51079999999999</v>
      </c>
      <c r="K8352">
        <v>1.1091310000000001</v>
      </c>
      <c r="L8352">
        <v>104.0735</v>
      </c>
      <c r="M8352">
        <v>1.4270939999999999E-2</v>
      </c>
      <c r="N8352">
        <v>0</v>
      </c>
      <c r="O8352">
        <v>0.99981929999999997</v>
      </c>
      <c r="P8352">
        <v>0.1196305</v>
      </c>
      <c r="Q8352">
        <v>0.17115529999999901</v>
      </c>
      <c r="R8352">
        <v>0.9779542</v>
      </c>
      <c r="S8352">
        <v>0.883606</v>
      </c>
      <c r="T8352">
        <v>-0.21730269999999999</v>
      </c>
      <c r="U8352">
        <v>3.0028380000000001</v>
      </c>
      <c r="V8352">
        <v>0.1059084</v>
      </c>
      <c r="W8352">
        <v>0.18330270000000001</v>
      </c>
      <c r="X8352">
        <v>0.97733490000000001</v>
      </c>
      <c r="Y8352">
        <v>0.26788919999999999</v>
      </c>
      <c r="Z8352">
        <v>-6.9383929999999996E-2</v>
      </c>
      <c r="AA8352">
        <v>0.96094809999999997</v>
      </c>
      <c r="AB8352">
        <v>44</v>
      </c>
      <c r="AC8352">
        <v>4.5049999999999901</v>
      </c>
      <c r="AD8352">
        <v>-1.10913627682799</v>
      </c>
      <c r="AE8352">
        <v>14.967700000000001</v>
      </c>
      <c r="AF8352">
        <v>4.2694246747504803</v>
      </c>
      <c r="AG8352">
        <v>-1.10913627682799</v>
      </c>
      <c r="AH8352">
        <v>14.9551721011642</v>
      </c>
      <c r="AI8352">
        <v>94.079137087661195</v>
      </c>
      <c r="AJ8352">
        <v>74.066936907231195</v>
      </c>
      <c r="AK8352">
        <v>15.5921564547494</v>
      </c>
      <c r="AL8352">
        <v>79.437807698532296</v>
      </c>
      <c r="AM8352">
        <v>83.815305286052407</v>
      </c>
      <c r="AN8352">
        <v>0.99999998788792999</v>
      </c>
    </row>
    <row r="8353" spans="1:40" x14ac:dyDescent="0.25">
      <c r="A8353" t="str">
        <f>"20190312172313022"</f>
        <v>20190312172313022</v>
      </c>
      <c r="B8353" t="str">
        <f>"1552382593019008"</f>
        <v>1552382593019008</v>
      </c>
      <c r="C8353" t="s">
        <v>40</v>
      </c>
      <c r="D8353">
        <v>3.332983</v>
      </c>
      <c r="E8353">
        <v>0.56527669999999997</v>
      </c>
      <c r="F8353" t="s">
        <v>42</v>
      </c>
      <c r="G8353">
        <v>-182.995</v>
      </c>
      <c r="H8353" s="1">
        <v>-5.3019269999999997E-6</v>
      </c>
      <c r="I8353">
        <v>119.09520000000001</v>
      </c>
      <c r="J8353">
        <v>-187.5067</v>
      </c>
      <c r="K8353">
        <v>1.1090359999999999</v>
      </c>
      <c r="L8353">
        <v>104.3377</v>
      </c>
      <c r="M8353">
        <v>1.4788610000000001E-2</v>
      </c>
      <c r="N8353">
        <v>0</v>
      </c>
      <c r="O8353">
        <v>0.99981089999999995</v>
      </c>
      <c r="P8353">
        <v>0.1236916</v>
      </c>
      <c r="Q8353">
        <v>0.1703586</v>
      </c>
      <c r="R8353">
        <v>0.97758809999999996</v>
      </c>
      <c r="S8353">
        <v>0.90071109999999899</v>
      </c>
      <c r="T8353">
        <v>-0.2212228</v>
      </c>
      <c r="U8353">
        <v>2.9961549999999999</v>
      </c>
      <c r="V8353">
        <v>0.1095117</v>
      </c>
      <c r="W8353">
        <v>0.1825321</v>
      </c>
      <c r="X8353">
        <v>0.97708200000000001</v>
      </c>
      <c r="Y8353">
        <v>0.27298030000000001</v>
      </c>
      <c r="Z8353">
        <v>-7.0671059999999994E-2</v>
      </c>
      <c r="AA8353">
        <v>0.9594203</v>
      </c>
      <c r="AB8353">
        <v>44</v>
      </c>
      <c r="AC8353">
        <v>4.5116999999999896</v>
      </c>
      <c r="AD8353">
        <v>-1.109041301927</v>
      </c>
      <c r="AE8353">
        <v>14.7575</v>
      </c>
      <c r="AF8353">
        <v>4.2708873824459603</v>
      </c>
      <c r="AG8353">
        <v>-1.109041301927</v>
      </c>
      <c r="AH8353">
        <v>14.746448611547001</v>
      </c>
      <c r="AI8353">
        <v>94.131792042343505</v>
      </c>
      <c r="AJ8353">
        <v>73.847851360822503</v>
      </c>
      <c r="AK8353">
        <v>15.3924721307499</v>
      </c>
      <c r="AL8353">
        <v>79.482717740942206</v>
      </c>
      <c r="AM8353">
        <v>83.604957611370494</v>
      </c>
      <c r="AN8353">
        <v>1.0000000073456501</v>
      </c>
    </row>
    <row r="8354" spans="1:40" x14ac:dyDescent="0.25">
      <c r="A8354" t="str">
        <f>"20190312172313042"</f>
        <v>20190312172313042</v>
      </c>
      <c r="B8354" t="str">
        <f>"1552382593038170"</f>
        <v>1552382593038170</v>
      </c>
      <c r="C8354" t="s">
        <v>40</v>
      </c>
      <c r="D8354">
        <v>3.3340079999999999</v>
      </c>
      <c r="E8354">
        <v>0.56093669999999995</v>
      </c>
      <c r="F8354" t="s">
        <v>42</v>
      </c>
      <c r="G8354">
        <v>-182.9905</v>
      </c>
      <c r="H8354" s="1">
        <v>-5.3403060000000001E-6</v>
      </c>
      <c r="I8354">
        <v>119.1828</v>
      </c>
      <c r="J8354">
        <v>-187.50030000000001</v>
      </c>
      <c r="K8354">
        <v>1.1088789999999999</v>
      </c>
      <c r="L8354">
        <v>104.72110000000001</v>
      </c>
      <c r="M8354">
        <v>1.5697249999999999E-2</v>
      </c>
      <c r="N8354">
        <v>0</v>
      </c>
      <c r="O8354">
        <v>0.99979569999999995</v>
      </c>
      <c r="P8354">
        <v>0.1312237</v>
      </c>
      <c r="Q8354">
        <v>0.169075</v>
      </c>
      <c r="R8354">
        <v>0.97682849999999999</v>
      </c>
      <c r="S8354">
        <v>0.9104004</v>
      </c>
      <c r="T8354">
        <v>-0.2235654</v>
      </c>
      <c r="U8354">
        <v>2.9925380000000001</v>
      </c>
      <c r="V8354">
        <v>0.11623550000000001</v>
      </c>
      <c r="W8354">
        <v>0.1812928</v>
      </c>
      <c r="X8354">
        <v>0.97653590000000001</v>
      </c>
      <c r="Y8354">
        <v>0.27525500000000003</v>
      </c>
      <c r="Z8354">
        <v>-7.1439950000000002E-2</v>
      </c>
      <c r="AA8354">
        <v>0.95871320000000004</v>
      </c>
      <c r="AB8354">
        <v>44</v>
      </c>
      <c r="AC8354">
        <v>4.50980000000001</v>
      </c>
      <c r="AD8354">
        <v>-1.108884340306</v>
      </c>
      <c r="AE8354">
        <v>14.461699999999899</v>
      </c>
      <c r="AF8354">
        <v>4.2593936964260797</v>
      </c>
      <c r="AG8354">
        <v>-1.108884340306</v>
      </c>
      <c r="AH8354">
        <v>14.4532697072336</v>
      </c>
      <c r="AI8354">
        <v>94.208971941320002</v>
      </c>
      <c r="AJ8354">
        <v>73.579699575147401</v>
      </c>
      <c r="AK8354">
        <v>15.1085758551681</v>
      </c>
      <c r="AL8354">
        <v>79.554929908190203</v>
      </c>
      <c r="AM8354">
        <v>83.212111541147806</v>
      </c>
      <c r="AN8354">
        <v>1.0000000673904399</v>
      </c>
    </row>
    <row r="8355" spans="1:40" x14ac:dyDescent="0.25">
      <c r="A8355" t="str">
        <f>"20190312172313055"</f>
        <v>20190312172313055</v>
      </c>
      <c r="B8355" t="str">
        <f>"1552382593048907"</f>
        <v>1552382593048907</v>
      </c>
      <c r="C8355" t="s">
        <v>40</v>
      </c>
      <c r="D8355">
        <v>3.3263600000000002</v>
      </c>
      <c r="E8355">
        <v>0.56052179999999996</v>
      </c>
      <c r="F8355" t="s">
        <v>62</v>
      </c>
      <c r="G8355">
        <v>-182.95740000000001</v>
      </c>
      <c r="H8355" s="1">
        <v>-1.9307119999999999E-6</v>
      </c>
      <c r="I8355">
        <v>119.8475</v>
      </c>
      <c r="J8355">
        <v>-187.4956</v>
      </c>
      <c r="K8355">
        <v>1.1087689999999999</v>
      </c>
      <c r="L8355">
        <v>104.9864</v>
      </c>
      <c r="M8355">
        <v>1.6439120000000002E-2</v>
      </c>
      <c r="N8355">
        <v>0</v>
      </c>
      <c r="O8355">
        <v>0.99978259999999997</v>
      </c>
      <c r="P8355">
        <v>0.1351532</v>
      </c>
      <c r="Q8355">
        <v>0.16813059999999999</v>
      </c>
      <c r="R8355">
        <v>0.97645570000000004</v>
      </c>
      <c r="S8355">
        <v>0.89755249999999998</v>
      </c>
      <c r="T8355">
        <v>-0.21908269999999999</v>
      </c>
      <c r="U8355">
        <v>2.9885250000000001</v>
      </c>
      <c r="V8355">
        <v>0.119497699999999</v>
      </c>
      <c r="W8355">
        <v>0.1803961</v>
      </c>
      <c r="X8355">
        <v>0.97630810000000001</v>
      </c>
      <c r="Y8355">
        <v>0.27114709999999997</v>
      </c>
      <c r="Z8355">
        <v>-7.0187299999999994E-2</v>
      </c>
      <c r="AA8355">
        <v>0.95997549999999998</v>
      </c>
      <c r="AB8355">
        <v>44</v>
      </c>
      <c r="AC8355">
        <v>4.5381999999999802</v>
      </c>
      <c r="AD8355">
        <v>-1.1087709307119999</v>
      </c>
      <c r="AE8355">
        <v>14.861099999999899</v>
      </c>
      <c r="AF8355">
        <v>4.2715139719028299</v>
      </c>
      <c r="AG8355">
        <v>-1.1087709307119999</v>
      </c>
      <c r="AH8355">
        <v>14.8580492297822</v>
      </c>
      <c r="AI8355">
        <v>94.102189987360006</v>
      </c>
      <c r="AJ8355">
        <v>73.960680658976997</v>
      </c>
      <c r="AK8355">
        <v>15.4995752039721</v>
      </c>
      <c r="AL8355">
        <v>79.607167432814606</v>
      </c>
      <c r="AM8355">
        <v>83.021846906965493</v>
      </c>
      <c r="AN8355">
        <v>0.99999997966305398</v>
      </c>
    </row>
    <row r="8356" spans="1:40" x14ac:dyDescent="0.25">
      <c r="A8356" t="str">
        <f>"20190312172313068"</f>
        <v>20190312172313068</v>
      </c>
      <c r="B8356" t="str">
        <f>"1552382593058666"</f>
        <v>1552382593058666</v>
      </c>
      <c r="C8356" t="s">
        <v>40</v>
      </c>
      <c r="D8356">
        <v>3.355947</v>
      </c>
      <c r="E8356">
        <v>0.56010649999999995</v>
      </c>
      <c r="F8356" t="s">
        <v>62</v>
      </c>
      <c r="G8356">
        <v>-182.95529999999999</v>
      </c>
      <c r="H8356" s="1">
        <v>-1.960388E-6</v>
      </c>
      <c r="I8356">
        <v>119.94629999999999</v>
      </c>
      <c r="J8356">
        <v>-187.49100000000001</v>
      </c>
      <c r="K8356">
        <v>1.1086609999999999</v>
      </c>
      <c r="L8356">
        <v>105.2291</v>
      </c>
      <c r="M8356">
        <v>1.719186E-2</v>
      </c>
      <c r="N8356">
        <v>0</v>
      </c>
      <c r="O8356">
        <v>0.99976860000000001</v>
      </c>
      <c r="P8356">
        <v>0.13910210000000001</v>
      </c>
      <c r="Q8356">
        <v>0.16732379999999999</v>
      </c>
      <c r="R8356">
        <v>0.97603960000000001</v>
      </c>
      <c r="S8356">
        <v>0.90594479999999999</v>
      </c>
      <c r="T8356">
        <v>-0.22123799999999999</v>
      </c>
      <c r="U8356">
        <v>2.9850310000000002</v>
      </c>
      <c r="V8356">
        <v>0.1227671</v>
      </c>
      <c r="W8356">
        <v>0.17963950000000001</v>
      </c>
      <c r="X8356">
        <v>0.97604199999999997</v>
      </c>
      <c r="Y8356">
        <v>0.27319009999999999</v>
      </c>
      <c r="Z8356">
        <v>-7.0902930000000003E-2</v>
      </c>
      <c r="AA8356">
        <v>0.95934350000000002</v>
      </c>
      <c r="AB8356">
        <v>44</v>
      </c>
      <c r="AC8356">
        <v>4.5356999999999896</v>
      </c>
      <c r="AD8356">
        <v>-1.1086629603880001</v>
      </c>
      <c r="AE8356">
        <v>14.717199999999901</v>
      </c>
      <c r="AF8356">
        <v>4.2599152112917196</v>
      </c>
      <c r="AG8356">
        <v>-1.1086629603880001</v>
      </c>
      <c r="AH8356">
        <v>14.7167382416505</v>
      </c>
      <c r="AI8356">
        <v>94.138874175063407</v>
      </c>
      <c r="AJ8356">
        <v>73.856355337919993</v>
      </c>
      <c r="AK8356">
        <v>15.360937329485701</v>
      </c>
      <c r="AL8356">
        <v>79.651238094766896</v>
      </c>
      <c r="AM8356">
        <v>82.830953678995598</v>
      </c>
      <c r="AN8356">
        <v>1.00000004828332</v>
      </c>
    </row>
    <row r="8357" spans="1:40" x14ac:dyDescent="0.25">
      <c r="A8357" t="str">
        <f>"20190312172313081"</f>
        <v>20190312172313081</v>
      </c>
      <c r="B8357" t="str">
        <f>"1552382593068427"</f>
        <v>1552382593068427</v>
      </c>
      <c r="C8357" t="s">
        <v>40</v>
      </c>
      <c r="D8357">
        <v>3.3495149999999998</v>
      </c>
      <c r="E8357">
        <v>0.55965229999999999</v>
      </c>
      <c r="F8357" t="s">
        <v>62</v>
      </c>
      <c r="G8357">
        <v>-182.88239999999999</v>
      </c>
      <c r="H8357" s="1">
        <v>-2.070095E-6</v>
      </c>
      <c r="I8357">
        <v>120.253</v>
      </c>
      <c r="J8357">
        <v>-187.4863</v>
      </c>
      <c r="K8357">
        <v>1.108552</v>
      </c>
      <c r="L8357">
        <v>105.47239999999999</v>
      </c>
      <c r="M8357">
        <v>1.799191E-2</v>
      </c>
      <c r="N8357">
        <v>0</v>
      </c>
      <c r="O8357">
        <v>0.99975320000000001</v>
      </c>
      <c r="P8357">
        <v>0.14323239999999901</v>
      </c>
      <c r="Q8357">
        <v>0.16689570000000001</v>
      </c>
      <c r="R8357">
        <v>0.97551540000000003</v>
      </c>
      <c r="S8357">
        <v>0.91442869999999998</v>
      </c>
      <c r="T8357">
        <v>-0.21997920000000001</v>
      </c>
      <c r="U8357">
        <v>2.9810180000000002</v>
      </c>
      <c r="V8357">
        <v>0.12617619999999999</v>
      </c>
      <c r="W8357">
        <v>0.17926339999999999</v>
      </c>
      <c r="X8357">
        <v>0.97567630000000005</v>
      </c>
      <c r="Y8357">
        <v>0.27528360000000002</v>
      </c>
      <c r="Z8357">
        <v>-7.0540420000000006E-2</v>
      </c>
      <c r="AA8357">
        <v>0.95877159999999995</v>
      </c>
      <c r="AB8357">
        <v>44</v>
      </c>
      <c r="AC8357">
        <v>4.6039000000000003</v>
      </c>
      <c r="AD8357">
        <v>-1.1085540700950001</v>
      </c>
      <c r="AE8357">
        <v>14.7805999999999</v>
      </c>
      <c r="AF8357">
        <v>4.31507484469752</v>
      </c>
      <c r="AG8357">
        <v>-1.1085540700950001</v>
      </c>
      <c r="AH8357">
        <v>14.7852342491485</v>
      </c>
      <c r="AI8357">
        <v>94.116734366547703</v>
      </c>
      <c r="AJ8357">
        <v>73.730099971711795</v>
      </c>
      <c r="AK8357">
        <v>15.441888318591699</v>
      </c>
      <c r="AL8357">
        <v>79.673142333604801</v>
      </c>
      <c r="AM8357">
        <v>82.631304276073905</v>
      </c>
      <c r="AN8357">
        <v>1.00000002120384</v>
      </c>
    </row>
    <row r="8358" spans="1:40" x14ac:dyDescent="0.25">
      <c r="A8358" t="str">
        <f>"20190312172313098"</f>
        <v>20190312172313098</v>
      </c>
      <c r="B8358" t="str">
        <f>"1552382593088921"</f>
        <v>1552382593088921</v>
      </c>
      <c r="C8358" t="s">
        <v>40</v>
      </c>
      <c r="D8358">
        <v>3.3459829999999999</v>
      </c>
      <c r="E8358">
        <v>0.55493139999999996</v>
      </c>
      <c r="F8358" t="s">
        <v>62</v>
      </c>
      <c r="G8358">
        <v>-182.7988</v>
      </c>
      <c r="H8358" s="1">
        <v>-2.19139E-6</v>
      </c>
      <c r="I8358">
        <v>120.58920000000001</v>
      </c>
      <c r="J8358">
        <v>-187.4787</v>
      </c>
      <c r="K8358">
        <v>1.108382</v>
      </c>
      <c r="L8358">
        <v>105.83150000000001</v>
      </c>
      <c r="M8358">
        <v>1.9371780000000002E-2</v>
      </c>
      <c r="N8358">
        <v>0</v>
      </c>
      <c r="O8358">
        <v>0.99972499999999997</v>
      </c>
      <c r="P8358">
        <v>0.15170330000000001</v>
      </c>
      <c r="Q8358">
        <v>0.16641010000000001</v>
      </c>
      <c r="R8358">
        <v>0.97431710000000005</v>
      </c>
      <c r="S8358">
        <v>0.92315670000000005</v>
      </c>
      <c r="T8358">
        <v>-0.2183176</v>
      </c>
      <c r="U8358">
        <v>2.9770970000000001</v>
      </c>
      <c r="V8358">
        <v>0.1334072</v>
      </c>
      <c r="W8358">
        <v>0.17885329999999999</v>
      </c>
      <c r="X8358">
        <v>0.97478920000000002</v>
      </c>
      <c r="Y8358">
        <v>0.27688740000000001</v>
      </c>
      <c r="Z8358">
        <v>-7.0049410000000006E-2</v>
      </c>
      <c r="AA8358">
        <v>0.95834569999999997</v>
      </c>
      <c r="AB8358">
        <v>44</v>
      </c>
      <c r="AC8358">
        <v>4.6798999999999999</v>
      </c>
      <c r="AD8358">
        <v>-1.1083841913900001</v>
      </c>
      <c r="AE8358">
        <v>14.7577</v>
      </c>
      <c r="AF8358">
        <v>4.37071208287343</v>
      </c>
      <c r="AG8358">
        <v>-1.1083841913900001</v>
      </c>
      <c r="AH8358">
        <v>14.769894374179801</v>
      </c>
      <c r="AI8358">
        <v>94.115847349993302</v>
      </c>
      <c r="AJ8358">
        <v>73.515443179067404</v>
      </c>
      <c r="AK8358">
        <v>15.4428436322954</v>
      </c>
      <c r="AL8358">
        <v>79.697024932794704</v>
      </c>
      <c r="AM8358">
        <v>82.207056830177507</v>
      </c>
      <c r="AN8358">
        <v>0.99999998418468405</v>
      </c>
    </row>
    <row r="8359" spans="1:40" x14ac:dyDescent="0.25">
      <c r="A8359" t="str">
        <f>"20190312172313111"</f>
        <v>20190312172313111</v>
      </c>
      <c r="B8359" t="str">
        <f>"1552382593108442"</f>
        <v>1552382593108442</v>
      </c>
      <c r="C8359" t="s">
        <v>40</v>
      </c>
      <c r="D8359">
        <v>3.351067</v>
      </c>
      <c r="E8359">
        <v>0.55447000000000002</v>
      </c>
      <c r="F8359" t="s">
        <v>62</v>
      </c>
      <c r="G8359">
        <v>-182.51130000000001</v>
      </c>
      <c r="H8359" s="1">
        <v>-2.6931250000000002E-6</v>
      </c>
      <c r="I8359">
        <v>122.0331</v>
      </c>
      <c r="J8359">
        <v>-187.47319999999999</v>
      </c>
      <c r="K8359">
        <v>1.108252</v>
      </c>
      <c r="L8359">
        <v>106.07299999999999</v>
      </c>
      <c r="M8359">
        <v>2.0430770000000001E-2</v>
      </c>
      <c r="N8359">
        <v>0</v>
      </c>
      <c r="O8359">
        <v>0.99970230000000004</v>
      </c>
      <c r="P8359">
        <v>0.15633529999999901</v>
      </c>
      <c r="Q8359">
        <v>0.16586619999999999</v>
      </c>
      <c r="R8359">
        <v>0.97367740000000003</v>
      </c>
      <c r="S8359">
        <v>0.91119380000000005</v>
      </c>
      <c r="T8359">
        <v>-0.203316</v>
      </c>
      <c r="U8359">
        <v>2.9719389999999999</v>
      </c>
      <c r="V8359">
        <v>0.1370797</v>
      </c>
      <c r="W8359">
        <v>0.17836729999999901</v>
      </c>
      <c r="X8359">
        <v>0.97436869999999998</v>
      </c>
      <c r="Y8359">
        <v>0.27290700000000001</v>
      </c>
      <c r="Z8359">
        <v>-6.5439360000000002E-2</v>
      </c>
      <c r="AA8359">
        <v>0.9598122</v>
      </c>
      <c r="AB8359">
        <v>44</v>
      </c>
      <c r="AC8359">
        <v>4.9618999999999804</v>
      </c>
      <c r="AD8359">
        <v>-1.1082546931249999</v>
      </c>
      <c r="AE8359">
        <v>15.960100000000001</v>
      </c>
      <c r="AF8359">
        <v>4.6144690267011903</v>
      </c>
      <c r="AG8359">
        <v>-1.1082546931249999</v>
      </c>
      <c r="AH8359">
        <v>15.9878569140211</v>
      </c>
      <c r="AI8359">
        <v>93.810272305206993</v>
      </c>
      <c r="AJ8359">
        <v>73.900624413094604</v>
      </c>
      <c r="AK8359">
        <v>16.677323573236499</v>
      </c>
      <c r="AL8359">
        <v>79.725326453556903</v>
      </c>
      <c r="AM8359">
        <v>81.9918632170656</v>
      </c>
      <c r="AN8359">
        <v>1.00000005070053</v>
      </c>
    </row>
    <row r="8360" spans="1:40" x14ac:dyDescent="0.25">
      <c r="A8360" t="str">
        <f>"20190312172313124"</f>
        <v>20190312172313124</v>
      </c>
      <c r="B8360" t="str">
        <f>"1552382593119179"</f>
        <v>1552382593119179</v>
      </c>
      <c r="C8360" t="s">
        <v>40</v>
      </c>
      <c r="D8360">
        <v>3.3692850000000001</v>
      </c>
      <c r="E8360">
        <v>0.55420019999999903</v>
      </c>
      <c r="F8360" t="s">
        <v>62</v>
      </c>
      <c r="G8360">
        <v>-182.39150000000001</v>
      </c>
      <c r="H8360" s="1">
        <v>-2.843033E-6</v>
      </c>
      <c r="I8360">
        <v>122.43389999999999</v>
      </c>
      <c r="J8360">
        <v>-187.46729999999999</v>
      </c>
      <c r="K8360">
        <v>1.1081099999999999</v>
      </c>
      <c r="L8360">
        <v>106.32129999999999</v>
      </c>
      <c r="M8360">
        <v>2.158697E-2</v>
      </c>
      <c r="N8360">
        <v>0</v>
      </c>
      <c r="O8360">
        <v>0.99967620000000001</v>
      </c>
      <c r="P8360">
        <v>0.1606831</v>
      </c>
      <c r="Q8360">
        <v>0.16570460000000001</v>
      </c>
      <c r="R8360">
        <v>0.97299690000000005</v>
      </c>
      <c r="S8360">
        <v>0.92166139999999996</v>
      </c>
      <c r="T8360">
        <v>-0.20100470000000001</v>
      </c>
      <c r="U8360">
        <v>2.9673769999999999</v>
      </c>
      <c r="V8360">
        <v>0.14038129999999999</v>
      </c>
      <c r="W8360">
        <v>0.1782617</v>
      </c>
      <c r="X8360">
        <v>0.97391779999999994</v>
      </c>
      <c r="Y8360">
        <v>0.2753118</v>
      </c>
      <c r="Z8360">
        <v>-6.4735559999999998E-2</v>
      </c>
      <c r="AA8360">
        <v>0.95917289999999999</v>
      </c>
      <c r="AB8360">
        <v>44</v>
      </c>
      <c r="AC8360">
        <v>5.0757999999999797</v>
      </c>
      <c r="AD8360">
        <v>-1.1081128430329901</v>
      </c>
      <c r="AE8360">
        <v>16.1126</v>
      </c>
      <c r="AF8360">
        <v>4.7065123167072702</v>
      </c>
      <c r="AG8360">
        <v>-1.1081128430329901</v>
      </c>
      <c r="AH8360">
        <v>16.148941073733798</v>
      </c>
      <c r="AI8360">
        <v>93.769057025016195</v>
      </c>
      <c r="AJ8360">
        <v>73.751552545691197</v>
      </c>
      <c r="AK8360">
        <v>16.857267574050599</v>
      </c>
      <c r="AL8360">
        <v>79.731475033414995</v>
      </c>
      <c r="AM8360">
        <v>81.797832932046006</v>
      </c>
      <c r="AN8360">
        <v>1.0000000121167001</v>
      </c>
    </row>
    <row r="8361" spans="1:40" x14ac:dyDescent="0.25">
      <c r="A8361" t="str">
        <f>"20190312172313136"</f>
        <v>20190312172313136</v>
      </c>
      <c r="B8361" t="str">
        <f>"1552382593128548"</f>
        <v>1552382593128548</v>
      </c>
      <c r="C8361" t="s">
        <v>40</v>
      </c>
      <c r="D8361">
        <v>3.3521260000000002</v>
      </c>
      <c r="E8361">
        <v>0.55382759999999998</v>
      </c>
      <c r="F8361" t="s">
        <v>62</v>
      </c>
      <c r="G8361">
        <v>-182.37010000000001</v>
      </c>
      <c r="H8361" s="1">
        <v>-2.871817E-6</v>
      </c>
      <c r="I8361">
        <v>122.51220000000001</v>
      </c>
      <c r="J8361">
        <v>-187.46119999999999</v>
      </c>
      <c r="K8361">
        <v>1.107955</v>
      </c>
      <c r="L8361">
        <v>106.5634</v>
      </c>
      <c r="M8361">
        <v>2.2833389999999999E-2</v>
      </c>
      <c r="N8361">
        <v>0</v>
      </c>
      <c r="O8361">
        <v>0.9996467</v>
      </c>
      <c r="P8361">
        <v>0.1656425</v>
      </c>
      <c r="Q8361">
        <v>0.1654216</v>
      </c>
      <c r="R8361">
        <v>0.97221310000000005</v>
      </c>
      <c r="S8361">
        <v>0.9330292</v>
      </c>
      <c r="T8361">
        <v>-0.20283660000000001</v>
      </c>
      <c r="U8361">
        <v>2.9636990000000001</v>
      </c>
      <c r="V8361">
        <v>0.1442136</v>
      </c>
      <c r="W8361">
        <v>0.1780224</v>
      </c>
      <c r="X8361">
        <v>0.97340150000000003</v>
      </c>
      <c r="Y8361">
        <v>0.27778890000000001</v>
      </c>
      <c r="Z8361">
        <v>-6.5337080000000006E-2</v>
      </c>
      <c r="AA8361">
        <v>0.95841770000000004</v>
      </c>
      <c r="AB8361">
        <v>44</v>
      </c>
      <c r="AC8361">
        <v>5.0910999999999804</v>
      </c>
      <c r="AD8361">
        <v>-1.107957871817</v>
      </c>
      <c r="AE8361">
        <v>15.9488</v>
      </c>
      <c r="AF8361">
        <v>4.7049669825254803</v>
      </c>
      <c r="AG8361">
        <v>-1.107957871817</v>
      </c>
      <c r="AH8361">
        <v>15.9908630385625</v>
      </c>
      <c r="AI8361">
        <v>93.8028278534332</v>
      </c>
      <c r="AJ8361">
        <v>73.604616307224106</v>
      </c>
      <c r="AK8361">
        <v>16.705447784194298</v>
      </c>
      <c r="AL8361">
        <v>79.745408751999506</v>
      </c>
      <c r="AM8361">
        <v>81.572687101808498</v>
      </c>
      <c r="AN8361">
        <v>1.00000000876448</v>
      </c>
    </row>
    <row r="8362" spans="1:40" x14ac:dyDescent="0.25">
      <c r="A8362" t="str">
        <f>"20190312172313148"</f>
        <v>20190312172313148</v>
      </c>
      <c r="B8362" t="str">
        <f>"1552382593139272"</f>
        <v>1552382593139272</v>
      </c>
      <c r="C8362" t="s">
        <v>40</v>
      </c>
      <c r="D8362">
        <v>3.3956699999999902</v>
      </c>
      <c r="E8362">
        <v>0.55366099999999996</v>
      </c>
      <c r="F8362" t="s">
        <v>62</v>
      </c>
      <c r="G8362">
        <v>-182.3158</v>
      </c>
      <c r="H8362" s="1">
        <v>-2.934293E-6</v>
      </c>
      <c r="I8362">
        <v>122.67529999999999</v>
      </c>
      <c r="J8362">
        <v>-187.45500000000001</v>
      </c>
      <c r="K8362">
        <v>1.107801</v>
      </c>
      <c r="L8362">
        <v>106.7902</v>
      </c>
      <c r="M8362">
        <v>2.410994E-2</v>
      </c>
      <c r="N8362">
        <v>0</v>
      </c>
      <c r="O8362">
        <v>0.99961509999999998</v>
      </c>
      <c r="P8362">
        <v>0.1700284</v>
      </c>
      <c r="Q8362">
        <v>0.16485999999999901</v>
      </c>
      <c r="R8362">
        <v>0.9715511</v>
      </c>
      <c r="S8362">
        <v>0.94508360000000002</v>
      </c>
      <c r="T8362">
        <v>-0.20350470000000001</v>
      </c>
      <c r="U8362">
        <v>2.9593509999999998</v>
      </c>
      <c r="V8362">
        <v>0.14743909999999999</v>
      </c>
      <c r="W8362">
        <v>0.1774945</v>
      </c>
      <c r="X8362">
        <v>0.97301459999999995</v>
      </c>
      <c r="Y8362">
        <v>0.2805067</v>
      </c>
      <c r="Z8362">
        <v>-6.5574080000000007E-2</v>
      </c>
      <c r="AA8362">
        <v>0.9576095</v>
      </c>
      <c r="AB8362">
        <v>44</v>
      </c>
      <c r="AC8362">
        <v>5.1392000000000104</v>
      </c>
      <c r="AD8362">
        <v>-1.1078039342929999</v>
      </c>
      <c r="AE8362">
        <v>15.8850999999999</v>
      </c>
      <c r="AF8362">
        <v>4.7338394878090702</v>
      </c>
      <c r="AG8362">
        <v>-1.1078039342929999</v>
      </c>
      <c r="AH8362">
        <v>15.9342460695451</v>
      </c>
      <c r="AI8362">
        <v>93.812816807315002</v>
      </c>
      <c r="AJ8362">
        <v>73.454058978974402</v>
      </c>
      <c r="AK8362">
        <v>16.659431672718899</v>
      </c>
      <c r="AL8362">
        <v>79.776144586838598</v>
      </c>
      <c r="AM8362">
        <v>81.383623902672198</v>
      </c>
      <c r="AN8362">
        <v>0.99999999877610901</v>
      </c>
    </row>
    <row r="8363" spans="1:40" x14ac:dyDescent="0.25">
      <c r="A8363" t="str">
        <f>"20190312172313167"</f>
        <v>20190312172313167</v>
      </c>
      <c r="B8363" t="str">
        <f>"1552382593158790"</f>
        <v>1552382593158790</v>
      </c>
      <c r="C8363" t="s">
        <v>40</v>
      </c>
      <c r="D8363">
        <v>3.3884780000000001</v>
      </c>
      <c r="E8363">
        <v>0.5531047</v>
      </c>
      <c r="F8363" t="s">
        <v>62</v>
      </c>
      <c r="G8363">
        <v>-182.27029999999999</v>
      </c>
      <c r="H8363" s="1">
        <v>-2.9824500000000001E-6</v>
      </c>
      <c r="I8363">
        <v>122.79770000000001</v>
      </c>
      <c r="J8363">
        <v>-187.44450000000001</v>
      </c>
      <c r="K8363">
        <v>1.1075360000000001</v>
      </c>
      <c r="L8363">
        <v>107.1559</v>
      </c>
      <c r="M8363">
        <v>2.6346060000000001E-2</v>
      </c>
      <c r="N8363">
        <v>0</v>
      </c>
      <c r="O8363">
        <v>0.99955620000000001</v>
      </c>
      <c r="P8363">
        <v>0.1786867</v>
      </c>
      <c r="Q8363">
        <v>0.16428400000000001</v>
      </c>
      <c r="R8363">
        <v>0.97009369999999995</v>
      </c>
      <c r="S8363">
        <v>0.9571075</v>
      </c>
      <c r="T8363">
        <v>-0.2045034</v>
      </c>
      <c r="U8363">
        <v>2.9550320000000001</v>
      </c>
      <c r="V8363">
        <v>0.1540714</v>
      </c>
      <c r="W8363">
        <v>0.17694309999999999</v>
      </c>
      <c r="X8363">
        <v>0.97208700000000003</v>
      </c>
      <c r="Y8363">
        <v>0.2822885</v>
      </c>
      <c r="Z8363">
        <v>-6.592257E-2</v>
      </c>
      <c r="AA8363">
        <v>0.95706190000000002</v>
      </c>
      <c r="AB8363">
        <v>44</v>
      </c>
      <c r="AC8363">
        <v>5.1742000000000097</v>
      </c>
      <c r="AD8363">
        <v>-1.1075389824499999</v>
      </c>
      <c r="AE8363">
        <v>15.6418</v>
      </c>
      <c r="AF8363">
        <v>4.73884887496191</v>
      </c>
      <c r="AG8363">
        <v>-1.1075389824499999</v>
      </c>
      <c r="AH8363">
        <v>15.7017454175863</v>
      </c>
      <c r="AI8363">
        <v>93.863184767106006</v>
      </c>
      <c r="AJ8363">
        <v>73.2059781066162</v>
      </c>
      <c r="AK8363">
        <v>16.4386173511054</v>
      </c>
      <c r="AL8363">
        <v>79.808245565638401</v>
      </c>
      <c r="AM8363">
        <v>80.993793444379307</v>
      </c>
      <c r="AN8363">
        <v>0.99999999625228497</v>
      </c>
    </row>
    <row r="8364" spans="1:40" x14ac:dyDescent="0.25">
      <c r="A8364" t="str">
        <f>"20190312172313180"</f>
        <v>20190312172313180</v>
      </c>
      <c r="B8364" t="str">
        <f>"1552382593168550"</f>
        <v>1552382593168550</v>
      </c>
      <c r="C8364" t="s">
        <v>40</v>
      </c>
      <c r="D8364">
        <v>3.3682650000000001</v>
      </c>
      <c r="E8364">
        <v>0.5531047</v>
      </c>
      <c r="F8364" t="s">
        <v>62</v>
      </c>
      <c r="G8364">
        <v>-182.15729999999999</v>
      </c>
      <c r="H8364" s="1">
        <v>-3.0908379999999999E-6</v>
      </c>
      <c r="I8364">
        <v>123.06359999999999</v>
      </c>
      <c r="J8364">
        <v>-187.4365</v>
      </c>
      <c r="K8364">
        <v>1.107335</v>
      </c>
      <c r="L8364">
        <v>107.41549999999999</v>
      </c>
      <c r="M8364">
        <v>2.8057519999999999E-2</v>
      </c>
      <c r="N8364">
        <v>0</v>
      </c>
      <c r="O8364">
        <v>0.9995079</v>
      </c>
      <c r="P8364">
        <v>0.18329010000000001</v>
      </c>
      <c r="Q8364">
        <v>0.16400999999999999</v>
      </c>
      <c r="R8364">
        <v>0.9692809</v>
      </c>
      <c r="S8364">
        <v>0.97941590000000001</v>
      </c>
      <c r="T8364">
        <v>-0.20516509999999999</v>
      </c>
      <c r="U8364">
        <v>2.9468230000000002</v>
      </c>
      <c r="V8364">
        <v>0.157116899999999</v>
      </c>
      <c r="W8364">
        <v>0.17668490000000001</v>
      </c>
      <c r="X8364">
        <v>0.97164640000000002</v>
      </c>
      <c r="Y8364">
        <v>0.28795660000000001</v>
      </c>
      <c r="Z8364">
        <v>-6.6171659999999993E-2</v>
      </c>
      <c r="AA8364">
        <v>0.9553545</v>
      </c>
      <c r="AB8364">
        <v>44</v>
      </c>
      <c r="AC8364">
        <v>5.2792000000000003</v>
      </c>
      <c r="AD8364">
        <v>-1.1073380908379999</v>
      </c>
      <c r="AE8364">
        <v>15.648099999999999</v>
      </c>
      <c r="AF8364">
        <v>4.8163768951394301</v>
      </c>
      <c r="AG8364">
        <v>-1.1073380908379999</v>
      </c>
      <c r="AH8364">
        <v>15.7194002681493</v>
      </c>
      <c r="AI8364">
        <v>93.853246549944004</v>
      </c>
      <c r="AJ8364">
        <v>72.965093333329307</v>
      </c>
      <c r="AK8364">
        <v>16.477961913833401</v>
      </c>
      <c r="AL8364">
        <v>79.823276196289001</v>
      </c>
      <c r="AM8364">
        <v>80.8146804174728</v>
      </c>
      <c r="AN8364">
        <v>1.0000000003932901</v>
      </c>
    </row>
    <row r="8365" spans="1:40" x14ac:dyDescent="0.25">
      <c r="A8365" t="str">
        <f>"20190312172313198"</f>
        <v>20190312172313198</v>
      </c>
      <c r="B8365" t="str">
        <f>"1552382593189046"</f>
        <v>1552382593189046</v>
      </c>
      <c r="C8365" t="s">
        <v>40</v>
      </c>
      <c r="D8365">
        <v>3.3765200000000002</v>
      </c>
      <c r="E8365">
        <v>0.54937239999999998</v>
      </c>
      <c r="F8365" t="s">
        <v>62</v>
      </c>
      <c r="G8365">
        <v>-182.0967</v>
      </c>
      <c r="H8365" s="1">
        <v>-3.1561510000000001E-6</v>
      </c>
      <c r="I8365">
        <v>123.2307</v>
      </c>
      <c r="J8365">
        <v>-187.42410000000001</v>
      </c>
      <c r="K8365">
        <v>1.107035</v>
      </c>
      <c r="L8365">
        <v>107.7826</v>
      </c>
      <c r="M8365">
        <v>3.0735760000000001E-2</v>
      </c>
      <c r="N8365">
        <v>0</v>
      </c>
      <c r="O8365">
        <v>0.99942690000000001</v>
      </c>
      <c r="P8365">
        <v>0.19141169999999999</v>
      </c>
      <c r="Q8365">
        <v>0.1628734</v>
      </c>
      <c r="R8365">
        <v>0.96790180000000003</v>
      </c>
      <c r="S8365">
        <v>0.99336239999999998</v>
      </c>
      <c r="T8365">
        <v>-0.2059993</v>
      </c>
      <c r="U8365">
        <v>2.9421080000000002</v>
      </c>
      <c r="V8365">
        <v>0.16278960000000001</v>
      </c>
      <c r="W8365">
        <v>0.17554059999999999</v>
      </c>
      <c r="X8365">
        <v>0.97091970000000005</v>
      </c>
      <c r="Y8365">
        <v>0.28991349999999999</v>
      </c>
      <c r="Z8365">
        <v>-6.6463449999999993E-2</v>
      </c>
      <c r="AA8365">
        <v>0.95474230000000004</v>
      </c>
      <c r="AB8365">
        <v>43</v>
      </c>
      <c r="AC8365">
        <v>5.3274000000000097</v>
      </c>
      <c r="AD8365">
        <v>-1.1070381561509901</v>
      </c>
      <c r="AE8365">
        <v>15.448099999999901</v>
      </c>
      <c r="AF8365">
        <v>4.8278677702525501</v>
      </c>
      <c r="AG8365">
        <v>-1.1070381561509901</v>
      </c>
      <c r="AH8365">
        <v>15.533266932580201</v>
      </c>
      <c r="AI8365">
        <v>93.893397654280093</v>
      </c>
      <c r="AJ8365">
        <v>72.7343234350286</v>
      </c>
      <c r="AK8365">
        <v>16.303871389489299</v>
      </c>
      <c r="AL8365">
        <v>79.889880888497501</v>
      </c>
      <c r="AM8365">
        <v>80.482012481859599</v>
      </c>
      <c r="AN8365">
        <v>1.0000000099823001</v>
      </c>
    </row>
    <row r="8366" spans="1:40" x14ac:dyDescent="0.25">
      <c r="A8366" t="str">
        <f>"20190312172313211"</f>
        <v>20190312172313211</v>
      </c>
      <c r="B8366" t="str">
        <f>"1552382593198806"</f>
        <v>1552382593198806</v>
      </c>
      <c r="C8366" t="s">
        <v>40</v>
      </c>
      <c r="D8366">
        <v>3.3805540000000001</v>
      </c>
      <c r="E8366">
        <v>0.54913449999999997</v>
      </c>
      <c r="F8366" t="s">
        <v>62</v>
      </c>
      <c r="G8366">
        <v>-182.15379999999999</v>
      </c>
      <c r="H8366" s="1">
        <v>-3.203955E-6</v>
      </c>
      <c r="I8366">
        <v>123.44450000000001</v>
      </c>
      <c r="J8366">
        <v>-187.41560000000001</v>
      </c>
      <c r="K8366">
        <v>1.106849</v>
      </c>
      <c r="L8366">
        <v>108.01260000000001</v>
      </c>
      <c r="M8366">
        <v>3.2562609999999999E-2</v>
      </c>
      <c r="N8366">
        <v>0</v>
      </c>
      <c r="O8366">
        <v>0.99936769999999997</v>
      </c>
      <c r="P8366">
        <v>0.19570899999999999</v>
      </c>
      <c r="Q8366">
        <v>0.16185450000000001</v>
      </c>
      <c r="R8366">
        <v>0.96721310000000005</v>
      </c>
      <c r="S8366">
        <v>0.98893739999999997</v>
      </c>
      <c r="T8366">
        <v>-0.2077282</v>
      </c>
      <c r="U8366">
        <v>2.9388580000000002</v>
      </c>
      <c r="V8366">
        <v>0.1654013</v>
      </c>
      <c r="W8366">
        <v>0.1745148</v>
      </c>
      <c r="X8366">
        <v>0.97066319999999995</v>
      </c>
      <c r="Y8366">
        <v>0.2871784</v>
      </c>
      <c r="Z8366">
        <v>-6.7126560000000002E-2</v>
      </c>
      <c r="AA8366">
        <v>0.95552219999999999</v>
      </c>
      <c r="AB8366">
        <v>43</v>
      </c>
      <c r="AC8366">
        <v>5.2618000000000196</v>
      </c>
      <c r="AD8366">
        <v>-1.1068522039549999</v>
      </c>
      <c r="AE8366">
        <v>15.431900000000001</v>
      </c>
      <c r="AF8366">
        <v>4.7346345671513497</v>
      </c>
      <c r="AG8366">
        <v>-1.1068522039549999</v>
      </c>
      <c r="AH8366">
        <v>15.5235274278121</v>
      </c>
      <c r="AI8366">
        <v>93.901531744746507</v>
      </c>
      <c r="AJ8366">
        <v>73.038433568743301</v>
      </c>
      <c r="AK8366">
        <v>16.267199823199402</v>
      </c>
      <c r="AL8366">
        <v>79.949576559707893</v>
      </c>
      <c r="AM8366">
        <v>80.329664904263097</v>
      </c>
      <c r="AN8366">
        <v>1.00000002664748</v>
      </c>
    </row>
    <row r="8367" spans="1:40" x14ac:dyDescent="0.25">
      <c r="A8367" t="str">
        <f>"20190312172313225"</f>
        <v>20190312172313225</v>
      </c>
      <c r="B8367" t="str">
        <f>"1552382593218326"</f>
        <v>1552382593218326</v>
      </c>
      <c r="C8367" t="s">
        <v>40</v>
      </c>
      <c r="D8367">
        <v>3.3732869999999999</v>
      </c>
      <c r="E8367">
        <v>0.54830780000000001</v>
      </c>
      <c r="F8367" t="s">
        <v>62</v>
      </c>
      <c r="G8367">
        <v>-182.13390000000001</v>
      </c>
      <c r="H8367" s="1">
        <v>-3.226925E-6</v>
      </c>
      <c r="I8367">
        <v>123.50449999999999</v>
      </c>
      <c r="J8367">
        <v>-187.40549999999999</v>
      </c>
      <c r="K8367">
        <v>1.106633</v>
      </c>
      <c r="L8367">
        <v>108.2747</v>
      </c>
      <c r="M8367">
        <v>3.4724749999999999E-2</v>
      </c>
      <c r="N8367">
        <v>0</v>
      </c>
      <c r="O8367">
        <v>0.9992934</v>
      </c>
      <c r="P8367">
        <v>0.2004534</v>
      </c>
      <c r="Q8367">
        <v>0.16147349999999999</v>
      </c>
      <c r="R8367">
        <v>0.96630470000000002</v>
      </c>
      <c r="S8367">
        <v>1.0004120000000001</v>
      </c>
      <c r="T8367">
        <v>-0.20965030000000001</v>
      </c>
      <c r="U8367">
        <v>2.9343409999999999</v>
      </c>
      <c r="V8367">
        <v>0.16815849999999999</v>
      </c>
      <c r="W8367">
        <v>0.17411849999999901</v>
      </c>
      <c r="X8367">
        <v>0.97026049999999997</v>
      </c>
      <c r="Y8367">
        <v>0.28888779999999997</v>
      </c>
      <c r="Z8367">
        <v>-6.7776539999999996E-2</v>
      </c>
      <c r="AA8367">
        <v>0.95496080000000005</v>
      </c>
      <c r="AB8367">
        <v>43</v>
      </c>
      <c r="AC8367">
        <v>5.2715999999999701</v>
      </c>
      <c r="AD8367">
        <v>-1.1066362269249901</v>
      </c>
      <c r="AE8367">
        <v>15.2297999999999</v>
      </c>
      <c r="AF8367">
        <v>4.7172727173591102</v>
      </c>
      <c r="AG8367">
        <v>-1.1066362269249901</v>
      </c>
      <c r="AH8367">
        <v>15.331400436902699</v>
      </c>
      <c r="AI8367">
        <v>93.946537472423799</v>
      </c>
      <c r="AJ8367">
        <v>72.8975484590744</v>
      </c>
      <c r="AK8367">
        <v>16.0788415311969</v>
      </c>
      <c r="AL8367">
        <v>79.972635506879698</v>
      </c>
      <c r="AM8367">
        <v>80.167581865801097</v>
      </c>
      <c r="AN8367">
        <v>0.99999998551237501</v>
      </c>
    </row>
    <row r="8368" spans="1:40" x14ac:dyDescent="0.25">
      <c r="A8368" t="str">
        <f>"20190312172313237"</f>
        <v>20190312172313237</v>
      </c>
      <c r="B8368" t="str">
        <f>"1552382593228648"</f>
        <v>1552382593228648</v>
      </c>
      <c r="C8368" t="s">
        <v>40</v>
      </c>
      <c r="D8368">
        <v>3.3865409999999998</v>
      </c>
      <c r="E8368">
        <v>0.54822090000000001</v>
      </c>
      <c r="F8368" t="s">
        <v>62</v>
      </c>
      <c r="G8368">
        <v>-182.08369999999999</v>
      </c>
      <c r="H8368" s="1">
        <v>-3.3581749999999998E-6</v>
      </c>
      <c r="I8368">
        <v>123.7422</v>
      </c>
      <c r="J8368">
        <v>-187.39500000000001</v>
      </c>
      <c r="K8368">
        <v>1.1064210000000001</v>
      </c>
      <c r="L8368">
        <v>108.5294</v>
      </c>
      <c r="M8368">
        <v>3.6961800000000003E-2</v>
      </c>
      <c r="N8368">
        <v>0</v>
      </c>
      <c r="O8368">
        <v>0.99921179999999998</v>
      </c>
      <c r="P8368">
        <v>0.2051606</v>
      </c>
      <c r="Q8368">
        <v>0.160765299999999</v>
      </c>
      <c r="R8368">
        <v>0.96543440000000003</v>
      </c>
      <c r="S8368">
        <v>1.00827</v>
      </c>
      <c r="T8368">
        <v>-0.2096645</v>
      </c>
      <c r="U8368">
        <v>2.9304809999999999</v>
      </c>
      <c r="V8368">
        <v>0.17080239999999999</v>
      </c>
      <c r="W8368">
        <v>0.17338589999999901</v>
      </c>
      <c r="X8368">
        <v>0.96992979999999995</v>
      </c>
      <c r="Y8368">
        <v>0.2894197</v>
      </c>
      <c r="Z8368">
        <v>-6.7822770000000004E-2</v>
      </c>
      <c r="AA8368">
        <v>0.95479650000000005</v>
      </c>
      <c r="AB8368">
        <v>43</v>
      </c>
      <c r="AC8368">
        <v>5.3113000000000099</v>
      </c>
      <c r="AD8368">
        <v>-1.106424358175</v>
      </c>
      <c r="AE8368">
        <v>15.2128</v>
      </c>
      <c r="AF8368">
        <v>4.7230497630580803</v>
      </c>
      <c r="AG8368">
        <v>-1.106424358175</v>
      </c>
      <c r="AH8368">
        <v>15.3264754638002</v>
      </c>
      <c r="AI8368">
        <v>93.946521703495506</v>
      </c>
      <c r="AJ8368">
        <v>72.872647920320901</v>
      </c>
      <c r="AK8368">
        <v>16.0758273213902</v>
      </c>
      <c r="AL8368">
        <v>80.0152586003653</v>
      </c>
      <c r="AM8368">
        <v>80.012741590495693</v>
      </c>
      <c r="AN8368">
        <v>0.99999997354630399</v>
      </c>
    </row>
    <row r="8369" spans="1:40" x14ac:dyDescent="0.25">
      <c r="A8369" t="str">
        <f>"20190312172313255"</f>
        <v>20190312172313255</v>
      </c>
      <c r="B8369" t="str">
        <f>"1552382593249136"</f>
        <v>1552382593249136</v>
      </c>
      <c r="C8369" t="s">
        <v>40</v>
      </c>
      <c r="D8369">
        <v>3.3882279999999998</v>
      </c>
      <c r="E8369">
        <v>0.54780220000000002</v>
      </c>
      <c r="F8369" t="s">
        <v>62</v>
      </c>
      <c r="G8369">
        <v>-182.0197</v>
      </c>
      <c r="H8369" s="1">
        <v>-3.463654E-6</v>
      </c>
      <c r="I8369">
        <v>123.9183</v>
      </c>
      <c r="J8369">
        <v>-187.3794</v>
      </c>
      <c r="K8369">
        <v>1.1061209999999999</v>
      </c>
      <c r="L8369">
        <v>108.88200000000001</v>
      </c>
      <c r="M8369">
        <v>4.0284300000000002E-2</v>
      </c>
      <c r="N8369">
        <v>0</v>
      </c>
      <c r="O8369">
        <v>0.99908169999999996</v>
      </c>
      <c r="P8369">
        <v>0.2140986</v>
      </c>
      <c r="Q8369">
        <v>0.15931029999999999</v>
      </c>
      <c r="R8369">
        <v>0.96373339999999996</v>
      </c>
      <c r="S8369">
        <v>1.02179</v>
      </c>
      <c r="T8369">
        <v>-0.21032029999999999</v>
      </c>
      <c r="U8369">
        <v>2.9252929999999999</v>
      </c>
      <c r="V8369">
        <v>0.1766808</v>
      </c>
      <c r="W8369">
        <v>0.17185810000000001</v>
      </c>
      <c r="X8369">
        <v>0.96914849999999997</v>
      </c>
      <c r="Y8369">
        <v>0.29069089999999997</v>
      </c>
      <c r="Z8369">
        <v>-6.8070800000000001E-2</v>
      </c>
      <c r="AA8369">
        <v>0.95439260000000004</v>
      </c>
      <c r="AB8369">
        <v>43</v>
      </c>
      <c r="AC8369">
        <v>5.3597000000000001</v>
      </c>
      <c r="AD8369">
        <v>-1.106124463654</v>
      </c>
      <c r="AE8369">
        <v>15.036299999999899</v>
      </c>
      <c r="AF8369">
        <v>4.7268608721905396</v>
      </c>
      <c r="AG8369">
        <v>-1.106124463654</v>
      </c>
      <c r="AH8369">
        <v>15.167200712616699</v>
      </c>
      <c r="AI8369">
        <v>93.982838166184806</v>
      </c>
      <c r="AJ8369">
        <v>72.690345103044507</v>
      </c>
      <c r="AK8369">
        <v>15.925159418069899</v>
      </c>
      <c r="AL8369">
        <v>80.104130114630294</v>
      </c>
      <c r="AM8369">
        <v>79.668145329092695</v>
      </c>
      <c r="AN8369">
        <v>1.00000006333824</v>
      </c>
    </row>
    <row r="8370" spans="1:40" x14ac:dyDescent="0.25">
      <c r="A8370" t="str">
        <f>"20190312172313267"</f>
        <v>20190312172313267</v>
      </c>
      <c r="B8370" t="str">
        <f>"1552382593258896"</f>
        <v>1552382593258896</v>
      </c>
      <c r="C8370" t="s">
        <v>40</v>
      </c>
      <c r="D8370">
        <v>3.4510730000000001</v>
      </c>
      <c r="E8370">
        <v>0.54780220000000002</v>
      </c>
      <c r="F8370" t="s">
        <v>62</v>
      </c>
      <c r="G8370">
        <v>-181.99279999999999</v>
      </c>
      <c r="H8370" s="1">
        <v>-3.4689029999999998E-6</v>
      </c>
      <c r="I8370">
        <v>123.9211</v>
      </c>
      <c r="J8370">
        <v>-187.3683</v>
      </c>
      <c r="K8370">
        <v>1.105918</v>
      </c>
      <c r="L8370">
        <v>109.11579999999999</v>
      </c>
      <c r="M8370">
        <v>4.2622189999999997E-2</v>
      </c>
      <c r="N8370">
        <v>0</v>
      </c>
      <c r="O8370">
        <v>0.99898359999999997</v>
      </c>
      <c r="P8370">
        <v>0.21936729999999999</v>
      </c>
      <c r="Q8370">
        <v>0.15863840000000001</v>
      </c>
      <c r="R8370">
        <v>0.96265880000000004</v>
      </c>
      <c r="S8370">
        <v>1.04454</v>
      </c>
      <c r="T8370">
        <v>-0.21449289999999999</v>
      </c>
      <c r="U8370">
        <v>2.91629</v>
      </c>
      <c r="V8370">
        <v>0.17979389999999901</v>
      </c>
      <c r="W8370">
        <v>0.1711356</v>
      </c>
      <c r="X8370">
        <v>0.9687036</v>
      </c>
      <c r="Y8370">
        <v>0.29594779999999998</v>
      </c>
      <c r="Z8370">
        <v>-6.9460629999999995E-2</v>
      </c>
      <c r="AA8370">
        <v>0.95267520000000006</v>
      </c>
      <c r="AB8370">
        <v>43</v>
      </c>
      <c r="AC8370">
        <v>5.3755000000000104</v>
      </c>
      <c r="AD8370">
        <v>-1.1059214689029999</v>
      </c>
      <c r="AE8370">
        <v>14.805300000000001</v>
      </c>
      <c r="AF8370">
        <v>4.7162613427225901</v>
      </c>
      <c r="AG8370">
        <v>-1.1059214689029999</v>
      </c>
      <c r="AH8370">
        <v>14.947295176345801</v>
      </c>
      <c r="AI8370">
        <v>94.036047992692204</v>
      </c>
      <c r="AJ8370">
        <v>72.488155912168594</v>
      </c>
      <c r="AK8370">
        <v>15.712664205571601</v>
      </c>
      <c r="AL8370">
        <v>80.146147730435999</v>
      </c>
      <c r="AM8370">
        <v>79.485401972304501</v>
      </c>
      <c r="AN8370">
        <v>0.99999995235876304</v>
      </c>
    </row>
    <row r="8371" spans="1:40" x14ac:dyDescent="0.25">
      <c r="A8371" t="str">
        <f>"20190312172313279"</f>
        <v>20190312172313279</v>
      </c>
      <c r="B8371" t="str">
        <f>"1552382593268656"</f>
        <v>1552382593268656</v>
      </c>
      <c r="C8371" t="s">
        <v>40</v>
      </c>
      <c r="D8371">
        <v>3.4590390000000002</v>
      </c>
      <c r="E8371">
        <v>0.56382270000000001</v>
      </c>
      <c r="F8371" t="s">
        <v>62</v>
      </c>
      <c r="G8371">
        <v>-181.9528</v>
      </c>
      <c r="H8371" s="1">
        <v>-3.5060310000000002E-6</v>
      </c>
      <c r="I8371">
        <v>123.9786</v>
      </c>
      <c r="J8371">
        <v>-187.35659999999999</v>
      </c>
      <c r="K8371">
        <v>1.105712</v>
      </c>
      <c r="L8371">
        <v>109.3532</v>
      </c>
      <c r="M8371">
        <v>4.5062020000000001E-2</v>
      </c>
      <c r="N8371">
        <v>0</v>
      </c>
      <c r="O8371">
        <v>0.99887550000000003</v>
      </c>
      <c r="P8371">
        <v>0.2245114</v>
      </c>
      <c r="Q8371">
        <v>0.15809489999999901</v>
      </c>
      <c r="R8371">
        <v>0.96156160000000002</v>
      </c>
      <c r="S8371">
        <v>1.06044</v>
      </c>
      <c r="T8371">
        <v>-0.216558</v>
      </c>
      <c r="U8371">
        <v>2.9104000000000001</v>
      </c>
      <c r="V8371">
        <v>0.1826895</v>
      </c>
      <c r="W8371">
        <v>0.17053789999999999</v>
      </c>
      <c r="X8371">
        <v>0.96826719999999999</v>
      </c>
      <c r="Y8371">
        <v>0.29881200000000002</v>
      </c>
      <c r="Z8371">
        <v>-7.0152450000000005E-2</v>
      </c>
      <c r="AA8371">
        <v>0.95172999999999996</v>
      </c>
      <c r="AB8371">
        <v>43</v>
      </c>
      <c r="AC8371">
        <v>5.4037999999999897</v>
      </c>
      <c r="AD8371">
        <v>-1.105715506031</v>
      </c>
      <c r="AE8371">
        <v>14.625400000000001</v>
      </c>
      <c r="AF8371">
        <v>4.7154730568747301</v>
      </c>
      <c r="AG8371">
        <v>-1.105715506031</v>
      </c>
      <c r="AH8371">
        <v>14.77974299646</v>
      </c>
      <c r="AI8371">
        <v>94.076762625847394</v>
      </c>
      <c r="AJ8371">
        <v>72.304730858086202</v>
      </c>
      <c r="AK8371">
        <v>15.553105669665999</v>
      </c>
      <c r="AL8371">
        <v>80.180904834471406</v>
      </c>
      <c r="AM8371">
        <v>79.3152261360745</v>
      </c>
      <c r="AN8371">
        <v>0.99999999967124997</v>
      </c>
    </row>
    <row r="8372" spans="1:40" x14ac:dyDescent="0.25">
      <c r="A8372" t="str">
        <f>"20190312172313291"</f>
        <v>20190312172313291</v>
      </c>
      <c r="B8372" t="str">
        <f>"1552382593278416"</f>
        <v>1552382593278416</v>
      </c>
      <c r="C8372" t="s">
        <v>40</v>
      </c>
      <c r="D8372">
        <v>3.4165230000000002</v>
      </c>
      <c r="E8372">
        <v>0.57201590000000002</v>
      </c>
      <c r="F8372" t="s">
        <v>62</v>
      </c>
      <c r="G8372">
        <v>-181.55969999999999</v>
      </c>
      <c r="H8372" s="1">
        <v>-3.301588E-6</v>
      </c>
      <c r="I8372">
        <v>123.2393</v>
      </c>
      <c r="J8372">
        <v>-187.345</v>
      </c>
      <c r="K8372">
        <v>1.1055269999999999</v>
      </c>
      <c r="L8372">
        <v>109.56950000000001</v>
      </c>
      <c r="M8372">
        <v>4.7436760000000001E-2</v>
      </c>
      <c r="N8372">
        <v>0</v>
      </c>
      <c r="O8372">
        <v>0.9987646</v>
      </c>
      <c r="P8372">
        <v>0.2294467</v>
      </c>
      <c r="Q8372">
        <v>0.157528799999999</v>
      </c>
      <c r="R8372">
        <v>0.96048889999999998</v>
      </c>
      <c r="S8372">
        <v>1.2010959999999999</v>
      </c>
      <c r="T8372">
        <v>-0.22909930000000001</v>
      </c>
      <c r="U8372">
        <v>2.8771360000000001</v>
      </c>
      <c r="V8372">
        <v>0.18543270000000001</v>
      </c>
      <c r="W8372">
        <v>0.1699135</v>
      </c>
      <c r="X8372">
        <v>0.96785540000000003</v>
      </c>
      <c r="Y8372">
        <v>0.33997850000000002</v>
      </c>
      <c r="Z8372">
        <v>-7.3811769999999999E-2</v>
      </c>
      <c r="AA8372">
        <v>0.93753209999999998</v>
      </c>
      <c r="AB8372">
        <v>43</v>
      </c>
      <c r="AC8372">
        <v>5.7853000000000003</v>
      </c>
      <c r="AD8372">
        <v>-1.105530301588</v>
      </c>
      <c r="AE8372">
        <v>13.669799999999899</v>
      </c>
      <c r="AF8372">
        <v>5.1019628785126496</v>
      </c>
      <c r="AG8372">
        <v>-1.105530301588</v>
      </c>
      <c r="AH8372">
        <v>13.852035870985199</v>
      </c>
      <c r="AI8372">
        <v>94.282977496582603</v>
      </c>
      <c r="AJ8372">
        <v>69.780307767656595</v>
      </c>
      <c r="AK8372">
        <v>14.8030780661493</v>
      </c>
      <c r="AL8372">
        <v>80.217209993771704</v>
      </c>
      <c r="AM8372">
        <v>79.154059140002801</v>
      </c>
      <c r="AN8372">
        <v>0.99999997951034902</v>
      </c>
    </row>
    <row r="8373" spans="1:40" x14ac:dyDescent="0.25">
      <c r="A8373" t="str">
        <f>"20190312172313309"</f>
        <v>20190312172313309</v>
      </c>
      <c r="B8373" t="str">
        <f>"1552382593298912"</f>
        <v>1552382593298912</v>
      </c>
      <c r="C8373" t="s">
        <v>40</v>
      </c>
      <c r="D8373">
        <v>3.4212880000000001</v>
      </c>
      <c r="E8373">
        <v>0.57845530000000001</v>
      </c>
      <c r="F8373" t="s">
        <v>62</v>
      </c>
      <c r="G8373">
        <v>-180.89279999999999</v>
      </c>
      <c r="H8373" s="1">
        <v>-3.6922929999999998E-6</v>
      </c>
      <c r="I8373">
        <v>123.96339999999999</v>
      </c>
      <c r="J8373">
        <v>-187.32509999999999</v>
      </c>
      <c r="K8373">
        <v>1.1052219999999999</v>
      </c>
      <c r="L8373">
        <v>109.925</v>
      </c>
      <c r="M8373">
        <v>5.1468710000000001E-2</v>
      </c>
      <c r="N8373">
        <v>0</v>
      </c>
      <c r="O8373">
        <v>0.9985636</v>
      </c>
      <c r="P8373">
        <v>0.23918239999999999</v>
      </c>
      <c r="Q8373">
        <v>0.1569354</v>
      </c>
      <c r="R8373">
        <v>0.95820830000000001</v>
      </c>
      <c r="S8373">
        <v>1.279236</v>
      </c>
      <c r="T8373">
        <v>-0.21918550000000001</v>
      </c>
      <c r="U8373">
        <v>2.8537599999999999</v>
      </c>
      <c r="V8373">
        <v>0.1914729</v>
      </c>
      <c r="W8373">
        <v>0.16919120000000001</v>
      </c>
      <c r="X8373">
        <v>0.96680529999999998</v>
      </c>
      <c r="Y8373">
        <v>0.36051820000000001</v>
      </c>
      <c r="Z8373">
        <v>-7.0494669999999995E-2</v>
      </c>
      <c r="AA8373">
        <v>0.93008449999999998</v>
      </c>
      <c r="AB8373">
        <v>43</v>
      </c>
      <c r="AC8373">
        <v>6.4322999999999899</v>
      </c>
      <c r="AD8373">
        <v>-1.1052256922929999</v>
      </c>
      <c r="AE8373">
        <v>14.0383999999999</v>
      </c>
      <c r="AF8373">
        <v>5.6720976439688</v>
      </c>
      <c r="AG8373">
        <v>-1.1052256922929999</v>
      </c>
      <c r="AH8373">
        <v>14.277747152600501</v>
      </c>
      <c r="AI8373">
        <v>94.114768920254207</v>
      </c>
      <c r="AJ8373">
        <v>68.333639578598493</v>
      </c>
      <c r="AK8373">
        <v>15.402865943298099</v>
      </c>
      <c r="AL8373">
        <v>80.259203050801503</v>
      </c>
      <c r="AM8373">
        <v>78.797702074482103</v>
      </c>
      <c r="AN8373">
        <v>1.00000001084997</v>
      </c>
    </row>
    <row r="8374" spans="1:40" x14ac:dyDescent="0.25">
      <c r="A8374" t="str">
        <f>"20190312172313322"</f>
        <v>20190312172313322</v>
      </c>
      <c r="B8374" t="str">
        <f>"1552382593318432"</f>
        <v>1552382593318432</v>
      </c>
      <c r="C8374" t="s">
        <v>40</v>
      </c>
      <c r="D8374">
        <v>3.4444659999999998</v>
      </c>
      <c r="E8374">
        <v>0.58153569999999999</v>
      </c>
      <c r="F8374" t="s">
        <v>62</v>
      </c>
      <c r="G8374">
        <v>-180.3612</v>
      </c>
      <c r="H8374" s="1">
        <v>-3.9692559999999999E-6</v>
      </c>
      <c r="I8374">
        <v>124.4194</v>
      </c>
      <c r="J8374">
        <v>-187.31100000000001</v>
      </c>
      <c r="K8374">
        <v>1.105019</v>
      </c>
      <c r="L8374">
        <v>110.1634</v>
      </c>
      <c r="M8374">
        <v>5.427647E-2</v>
      </c>
      <c r="N8374">
        <v>0</v>
      </c>
      <c r="O8374">
        <v>0.99841400000000002</v>
      </c>
      <c r="P8374">
        <v>0.24487449999999999</v>
      </c>
      <c r="Q8374">
        <v>0.1562983</v>
      </c>
      <c r="R8374">
        <v>0.95687370000000005</v>
      </c>
      <c r="S8374">
        <v>1.3582920000000001</v>
      </c>
      <c r="T8374">
        <v>-0.21557209999999999</v>
      </c>
      <c r="U8374">
        <v>2.8271030000000001</v>
      </c>
      <c r="V8374">
        <v>0.19457859999999999</v>
      </c>
      <c r="W8374">
        <v>0.16847300000000001</v>
      </c>
      <c r="X8374">
        <v>0.96631049999999996</v>
      </c>
      <c r="Y8374">
        <v>0.3824612</v>
      </c>
      <c r="Z8374">
        <v>-6.9209019999999996E-2</v>
      </c>
      <c r="AA8374">
        <v>0.92137590000000003</v>
      </c>
      <c r="AB8374">
        <v>43</v>
      </c>
      <c r="AC8374">
        <v>6.9497999999999802</v>
      </c>
      <c r="AD8374">
        <v>-1.1050229692560001</v>
      </c>
      <c r="AE8374">
        <v>14.255999999999901</v>
      </c>
      <c r="AF8374">
        <v>6.1359144872885896</v>
      </c>
      <c r="AG8374">
        <v>-1.1050229692560001</v>
      </c>
      <c r="AH8374">
        <v>14.541641130055901</v>
      </c>
      <c r="AI8374">
        <v>94.004896750171994</v>
      </c>
      <c r="AJ8374">
        <v>67.122456156123405</v>
      </c>
      <c r="AK8374">
        <v>15.821815607357999</v>
      </c>
      <c r="AL8374">
        <v>80.300951922337305</v>
      </c>
      <c r="AM8374">
        <v>78.6150298388377</v>
      </c>
      <c r="AN8374">
        <v>0.99999998285860403</v>
      </c>
    </row>
    <row r="8375" spans="1:40" x14ac:dyDescent="0.25">
      <c r="A8375" t="str">
        <f>"20190312172313333"</f>
        <v>20190312172313333</v>
      </c>
      <c r="B8375" t="str">
        <f>"1552382593329168"</f>
        <v>1552382593329168</v>
      </c>
      <c r="C8375" t="s">
        <v>40</v>
      </c>
      <c r="D8375">
        <v>3.4122819999999998</v>
      </c>
      <c r="E8375">
        <v>0.5818238</v>
      </c>
      <c r="F8375" t="s">
        <v>62</v>
      </c>
      <c r="G8375">
        <v>-180.072</v>
      </c>
      <c r="H8375" s="1">
        <v>-4.1436959999999997E-6</v>
      </c>
      <c r="I8375">
        <v>124.71720000000001</v>
      </c>
      <c r="J8375">
        <v>-187.29650000000001</v>
      </c>
      <c r="K8375">
        <v>1.1048209999999901</v>
      </c>
      <c r="L8375">
        <v>110.3922</v>
      </c>
      <c r="M8375">
        <v>5.709583E-2</v>
      </c>
      <c r="N8375">
        <v>0</v>
      </c>
      <c r="O8375">
        <v>0.99825600000000003</v>
      </c>
      <c r="P8375">
        <v>0.25041400000000003</v>
      </c>
      <c r="Q8375">
        <v>0.15593460000000001</v>
      </c>
      <c r="R8375">
        <v>0.95549839999999997</v>
      </c>
      <c r="S8375">
        <v>1.3987430000000001</v>
      </c>
      <c r="T8375">
        <v>-0.21351719999999999</v>
      </c>
      <c r="U8375">
        <v>2.8121489999999998</v>
      </c>
      <c r="V8375">
        <v>0.1975238</v>
      </c>
      <c r="W8375">
        <v>0.16802739999999999</v>
      </c>
      <c r="X8375">
        <v>0.96579040000000005</v>
      </c>
      <c r="Y8375">
        <v>0.39244849999999998</v>
      </c>
      <c r="Z8375">
        <v>-6.8507499999999999E-2</v>
      </c>
      <c r="AA8375">
        <v>0.91721909999999895</v>
      </c>
      <c r="AB8375">
        <v>43</v>
      </c>
      <c r="AC8375">
        <v>7.2244999999999999</v>
      </c>
      <c r="AD8375">
        <v>-1.1048251436959999</v>
      </c>
      <c r="AE8375">
        <v>14.324999999999999</v>
      </c>
      <c r="AF8375">
        <v>6.3645402866251999</v>
      </c>
      <c r="AG8375">
        <v>-1.1048251436959999</v>
      </c>
      <c r="AH8375">
        <v>14.6447134280596</v>
      </c>
      <c r="AI8375">
        <v>93.957999914106594</v>
      </c>
      <c r="AJ8375">
        <v>66.510405911560994</v>
      </c>
      <c r="AK8375">
        <v>16.0061126776056</v>
      </c>
      <c r="AL8375">
        <v>80.326852097484206</v>
      </c>
      <c r="AM8375">
        <v>78.441249300210501</v>
      </c>
      <c r="AN8375">
        <v>0.99999997772467897</v>
      </c>
    </row>
    <row r="8376" spans="1:40" x14ac:dyDescent="0.25">
      <c r="A8376" t="str">
        <f>"20190312172313344"</f>
        <v>20190312172313344</v>
      </c>
      <c r="B8376" t="str">
        <f>"1552382593338929"</f>
        <v>1552382593338929</v>
      </c>
      <c r="C8376" t="s">
        <v>40</v>
      </c>
      <c r="D8376">
        <v>3.41208</v>
      </c>
      <c r="E8376">
        <v>0.58204480000000003</v>
      </c>
      <c r="F8376" t="s">
        <v>62</v>
      </c>
      <c r="G8376">
        <v>-179.95760000000001</v>
      </c>
      <c r="H8376">
        <v>1.0590769999999999E-2</v>
      </c>
      <c r="I8376">
        <v>124.9079</v>
      </c>
      <c r="J8376">
        <v>-187.28270000000001</v>
      </c>
      <c r="K8376">
        <v>1.104651</v>
      </c>
      <c r="L8376">
        <v>110.60209999999999</v>
      </c>
      <c r="M8376">
        <v>5.9733710000000002E-2</v>
      </c>
      <c r="N8376">
        <v>0</v>
      </c>
      <c r="O8376">
        <v>0.99810089999999996</v>
      </c>
      <c r="P8376">
        <v>0.25596099999999999</v>
      </c>
      <c r="Q8376">
        <v>0.155854399999999</v>
      </c>
      <c r="R8376">
        <v>0.95404049999999996</v>
      </c>
      <c r="S8376">
        <v>1.417068</v>
      </c>
      <c r="T8376">
        <v>-0.21128540000000001</v>
      </c>
      <c r="U8376">
        <v>2.8028409999999999</v>
      </c>
      <c r="V8376">
        <v>0.2006571</v>
      </c>
      <c r="W8376">
        <v>0.1678615</v>
      </c>
      <c r="X8376">
        <v>0.96517319999999995</v>
      </c>
      <c r="Y8376">
        <v>0.39603949999999999</v>
      </c>
      <c r="Z8376">
        <v>-6.7830989999999994E-2</v>
      </c>
      <c r="AA8376">
        <v>0.91572469999999995</v>
      </c>
      <c r="AB8376">
        <v>43</v>
      </c>
      <c r="AC8376">
        <v>7.3250999999999902</v>
      </c>
      <c r="AD8376">
        <v>-1.09406023</v>
      </c>
      <c r="AE8376">
        <v>14.3058</v>
      </c>
      <c r="AF8376">
        <v>6.4275975341188198</v>
      </c>
      <c r="AG8376">
        <v>-1.09406023</v>
      </c>
      <c r="AH8376">
        <v>14.6499691224536</v>
      </c>
      <c r="AI8376">
        <v>93.912216108785302</v>
      </c>
      <c r="AJ8376">
        <v>66.310786892745796</v>
      </c>
      <c r="AK8376">
        <v>16.0353538512976</v>
      </c>
      <c r="AL8376">
        <v>80.336494937376798</v>
      </c>
      <c r="AM8376">
        <v>78.255645551025793</v>
      </c>
      <c r="AN8376">
        <v>1.0000000304804399</v>
      </c>
    </row>
    <row r="8377" spans="1:40" x14ac:dyDescent="0.25">
      <c r="A8377" t="str">
        <f>"20190312172313355"</f>
        <v>20190312172313355</v>
      </c>
      <c r="B8377" t="str">
        <f>"1552382593348688"</f>
        <v>1552382593348688</v>
      </c>
      <c r="C8377" t="s">
        <v>40</v>
      </c>
      <c r="D8377">
        <v>3.4180190000000001</v>
      </c>
      <c r="E8377">
        <v>0.58213870000000001</v>
      </c>
      <c r="F8377" t="s">
        <v>62</v>
      </c>
      <c r="G8377">
        <v>-179.95760000000001</v>
      </c>
      <c r="H8377">
        <v>3.2803619999999999E-2</v>
      </c>
      <c r="I8377">
        <v>124.8669</v>
      </c>
      <c r="J8377">
        <v>-187.26769999999999</v>
      </c>
      <c r="K8377">
        <v>1.104476</v>
      </c>
      <c r="L8377">
        <v>110.8206</v>
      </c>
      <c r="M8377">
        <v>6.2555189999999997E-2</v>
      </c>
      <c r="N8377">
        <v>0</v>
      </c>
      <c r="O8377">
        <v>0.99792740000000002</v>
      </c>
      <c r="P8377">
        <v>0.26137009999999999</v>
      </c>
      <c r="Q8377">
        <v>0.15534049999999999</v>
      </c>
      <c r="R8377">
        <v>0.95265679999999997</v>
      </c>
      <c r="S8377">
        <v>1.4347080000000001</v>
      </c>
      <c r="T8377">
        <v>-0.2099335</v>
      </c>
      <c r="U8377">
        <v>2.7939150000000001</v>
      </c>
      <c r="V8377">
        <v>0.20346919999999999</v>
      </c>
      <c r="W8377">
        <v>0.16726359999999901</v>
      </c>
      <c r="X8377">
        <v>0.96468810000000005</v>
      </c>
      <c r="Y8377">
        <v>0.39921889999999999</v>
      </c>
      <c r="Z8377">
        <v>-6.7432699999999998E-2</v>
      </c>
      <c r="AA8377">
        <v>0.91437259999999998</v>
      </c>
      <c r="AB8377">
        <v>43</v>
      </c>
      <c r="AC8377">
        <v>7.3100999999999701</v>
      </c>
      <c r="AD8377">
        <v>-1.0716723800000001</v>
      </c>
      <c r="AE8377">
        <v>14.0463</v>
      </c>
      <c r="AF8377">
        <v>6.3877521925946903</v>
      </c>
      <c r="AG8377">
        <v>-1.0716723800000001</v>
      </c>
      <c r="AH8377">
        <v>14.4101162405652</v>
      </c>
      <c r="AI8377">
        <v>93.889494051262602</v>
      </c>
      <c r="AJ8377">
        <v>66.093128672977798</v>
      </c>
      <c r="AK8377">
        <v>15.7988388760267</v>
      </c>
      <c r="AL8377">
        <v>80.371242873332505</v>
      </c>
      <c r="AM8377">
        <v>78.089904550932502</v>
      </c>
      <c r="AN8377">
        <v>0.99999997875760405</v>
      </c>
    </row>
    <row r="8378" spans="1:40" x14ac:dyDescent="0.25">
      <c r="A8378" t="str">
        <f>"20190312172313369"</f>
        <v>20190312172313369</v>
      </c>
      <c r="B8378" t="str">
        <f>"1552382593358448"</f>
        <v>1552382593358448</v>
      </c>
      <c r="C8378" t="s">
        <v>40</v>
      </c>
      <c r="D8378">
        <v>3.4211450000000001</v>
      </c>
      <c r="E8378">
        <v>0.58214969999999999</v>
      </c>
      <c r="F8378" t="s">
        <v>62</v>
      </c>
      <c r="G8378">
        <v>-179.95760000000001</v>
      </c>
      <c r="H8378">
        <v>4.5011229999999999E-2</v>
      </c>
      <c r="I8378">
        <v>124.85380000000001</v>
      </c>
      <c r="J8378">
        <v>-187.25040000000001</v>
      </c>
      <c r="K8378">
        <v>1.1042860000000001</v>
      </c>
      <c r="L8378">
        <v>111.0609</v>
      </c>
      <c r="M8378">
        <v>6.5751939999999995E-2</v>
      </c>
      <c r="N8378">
        <v>0</v>
      </c>
      <c r="O8378">
        <v>0.99772119999999997</v>
      </c>
      <c r="P8378">
        <v>0.26729399999999998</v>
      </c>
      <c r="Q8378">
        <v>0.15518090000000001</v>
      </c>
      <c r="R8378">
        <v>0.95103780000000004</v>
      </c>
      <c r="S8378">
        <v>1.450912</v>
      </c>
      <c r="T8378">
        <v>-0.210282</v>
      </c>
      <c r="U8378">
        <v>2.7853089999999998</v>
      </c>
      <c r="V8378">
        <v>0.20646010000000001</v>
      </c>
      <c r="W8378">
        <v>0.16700870000000001</v>
      </c>
      <c r="X8378">
        <v>0.96409659999999997</v>
      </c>
      <c r="Y8378">
        <v>0.40161849999999999</v>
      </c>
      <c r="Z8378">
        <v>-6.7585270000000003E-2</v>
      </c>
      <c r="AA8378">
        <v>0.91330979999999995</v>
      </c>
      <c r="AB8378">
        <v>43</v>
      </c>
      <c r="AC8378">
        <v>7.2927999999999997</v>
      </c>
      <c r="AD8378">
        <v>-1.05927477</v>
      </c>
      <c r="AE8378">
        <v>13.792899999999999</v>
      </c>
      <c r="AF8378">
        <v>6.3407737295790199</v>
      </c>
      <c r="AG8378">
        <v>-1.05927477</v>
      </c>
      <c r="AH8378">
        <v>14.1772672260888</v>
      </c>
      <c r="AI8378">
        <v>93.9018469608244</v>
      </c>
      <c r="AJ8378">
        <v>65.903449719776006</v>
      </c>
      <c r="AK8378">
        <v>15.5667074401753</v>
      </c>
      <c r="AL8378">
        <v>80.386055811502601</v>
      </c>
      <c r="AM8378">
        <v>77.912745049754506</v>
      </c>
      <c r="AN8378">
        <v>0.99999996644962896</v>
      </c>
    </row>
    <row r="8379" spans="1:40" x14ac:dyDescent="0.25">
      <c r="A8379" t="str">
        <f>"20190312172313381"</f>
        <v>20190312172313381</v>
      </c>
      <c r="B8379" t="str">
        <f>"1552382593378944"</f>
        <v>1552382593378944</v>
      </c>
      <c r="C8379" t="s">
        <v>40</v>
      </c>
      <c r="D8379">
        <v>3.4478270000000002</v>
      </c>
      <c r="E8379">
        <v>0.582152</v>
      </c>
      <c r="F8379" t="s">
        <v>62</v>
      </c>
      <c r="G8379">
        <v>-179.94799999999901</v>
      </c>
      <c r="H8379">
        <v>5.962042E-2</v>
      </c>
      <c r="I8379">
        <v>124.871</v>
      </c>
      <c r="J8379">
        <v>-187.23159999999999</v>
      </c>
      <c r="K8379">
        <v>1.104095</v>
      </c>
      <c r="L8379">
        <v>111.3138</v>
      </c>
      <c r="M8379">
        <v>6.9179060000000001E-2</v>
      </c>
      <c r="N8379">
        <v>0</v>
      </c>
      <c r="O8379">
        <v>0.99748870000000001</v>
      </c>
      <c r="P8379">
        <v>0.27357029999999999</v>
      </c>
      <c r="Q8379">
        <v>0.15426500000000001</v>
      </c>
      <c r="R8379">
        <v>0.94940069999999999</v>
      </c>
      <c r="S8379">
        <v>1.4679719999999901</v>
      </c>
      <c r="T8379">
        <v>-0.2100031</v>
      </c>
      <c r="U8379">
        <v>2.776154</v>
      </c>
      <c r="V8379">
        <v>0.2095775</v>
      </c>
      <c r="W8379">
        <v>0.16599029999999901</v>
      </c>
      <c r="X8379">
        <v>0.96359969999999995</v>
      </c>
      <c r="Y8379">
        <v>0.40410439999999997</v>
      </c>
      <c r="Z8379">
        <v>-6.7538979999999998E-2</v>
      </c>
      <c r="AA8379">
        <v>0.91221609999999997</v>
      </c>
      <c r="AB8379">
        <v>43</v>
      </c>
      <c r="AC8379">
        <v>7.2835999999999999</v>
      </c>
      <c r="AD8379">
        <v>-1.0444745799999999</v>
      </c>
      <c r="AE8379">
        <v>13.5572</v>
      </c>
      <c r="AF8379">
        <v>6.2991499044743096</v>
      </c>
      <c r="AG8379">
        <v>-1.0444745799999999</v>
      </c>
      <c r="AH8379">
        <v>13.964323807798699</v>
      </c>
      <c r="AI8379">
        <v>93.900401965902404</v>
      </c>
      <c r="AJ8379">
        <v>65.720398096466795</v>
      </c>
      <c r="AK8379">
        <v>15.354887042123</v>
      </c>
      <c r="AL8379">
        <v>80.445231637868204</v>
      </c>
      <c r="AM8379">
        <v>77.729588197023006</v>
      </c>
      <c r="AN8379">
        <v>0.99999994502021305</v>
      </c>
    </row>
    <row r="8380" spans="1:40" x14ac:dyDescent="0.25">
      <c r="A8380" t="str">
        <f>"20190312172313395"</f>
        <v>20190312172313395</v>
      </c>
      <c r="B8380" t="str">
        <f>"1552382593388704"</f>
        <v>1552382593388704</v>
      </c>
      <c r="C8380" t="s">
        <v>40</v>
      </c>
      <c r="D8380">
        <v>3.4376419999999999</v>
      </c>
      <c r="E8380">
        <v>0.58196429999999999</v>
      </c>
      <c r="F8380" t="s">
        <v>62</v>
      </c>
      <c r="G8380">
        <v>-179.93719999999999</v>
      </c>
      <c r="H8380">
        <v>7.0350830000000003E-2</v>
      </c>
      <c r="I8380">
        <v>124.8926</v>
      </c>
      <c r="J8380">
        <v>-187.21010000000001</v>
      </c>
      <c r="K8380">
        <v>1.103893</v>
      </c>
      <c r="L8380">
        <v>111.58320000000001</v>
      </c>
      <c r="M8380">
        <v>7.2968729999999996E-2</v>
      </c>
      <c r="N8380">
        <v>0</v>
      </c>
      <c r="O8380">
        <v>0.99721800000000005</v>
      </c>
      <c r="P8380">
        <v>0.27987380000000001</v>
      </c>
      <c r="Q8380">
        <v>0.1537895</v>
      </c>
      <c r="R8380">
        <v>0.94763889999999995</v>
      </c>
      <c r="S8380">
        <v>1.48584</v>
      </c>
      <c r="T8380">
        <v>-0.2105707</v>
      </c>
      <c r="U8380">
        <v>2.7659609999999999</v>
      </c>
      <c r="V8380">
        <v>0.21239369999999999</v>
      </c>
      <c r="W8380">
        <v>0.16540959999999999</v>
      </c>
      <c r="X8380">
        <v>0.96308280000000002</v>
      </c>
      <c r="Y8380">
        <v>0.40659509999999899</v>
      </c>
      <c r="Z8380">
        <v>-6.7775950000000001E-2</v>
      </c>
      <c r="AA8380">
        <v>0.91109099999999998</v>
      </c>
      <c r="AB8380">
        <v>43</v>
      </c>
      <c r="AC8380">
        <v>7.2729000000000203</v>
      </c>
      <c r="AD8380">
        <v>-1.03354217</v>
      </c>
      <c r="AE8380">
        <v>13.309399999999901</v>
      </c>
      <c r="AF8380">
        <v>6.2531872193886597</v>
      </c>
      <c r="AG8380">
        <v>-1.03354217</v>
      </c>
      <c r="AH8380">
        <v>13.7408596234085</v>
      </c>
      <c r="AI8380">
        <v>93.916414169764707</v>
      </c>
      <c r="AJ8380">
        <v>65.530678494384304</v>
      </c>
      <c r="AK8380">
        <v>15.1321440320965</v>
      </c>
      <c r="AL8380">
        <v>80.478969731122106</v>
      </c>
      <c r="AM8380">
        <v>77.563333324749195</v>
      </c>
      <c r="AN8380">
        <v>0.99999994961384298</v>
      </c>
    </row>
    <row r="8381" spans="1:40" x14ac:dyDescent="0.25">
      <c r="A8381" t="str">
        <f>"20190312172313411"</f>
        <v>20190312172313411</v>
      </c>
      <c r="B8381" t="str">
        <f>"1552382593398464"</f>
        <v>1552382593398464</v>
      </c>
      <c r="C8381" t="s">
        <v>40</v>
      </c>
      <c r="D8381">
        <v>3.430698</v>
      </c>
      <c r="E8381">
        <v>0.58174479999999995</v>
      </c>
      <c r="F8381" t="s">
        <v>62</v>
      </c>
      <c r="G8381">
        <v>-179.9186</v>
      </c>
      <c r="H8381">
        <v>7.9988939999999994E-2</v>
      </c>
      <c r="I8381">
        <v>124.9576</v>
      </c>
      <c r="J8381">
        <v>-187.18610000000001</v>
      </c>
      <c r="K8381">
        <v>1.1036889999999999</v>
      </c>
      <c r="L8381">
        <v>111.8715</v>
      </c>
      <c r="M8381">
        <v>7.7129240000000002E-2</v>
      </c>
      <c r="N8381">
        <v>0</v>
      </c>
      <c r="O8381">
        <v>0.99690409999999996</v>
      </c>
      <c r="P8381">
        <v>0.2884389</v>
      </c>
      <c r="Q8381">
        <v>0.153143</v>
      </c>
      <c r="R8381">
        <v>0.94517209999999996</v>
      </c>
      <c r="S8381">
        <v>1.50267</v>
      </c>
      <c r="T8381">
        <v>-0.21100959999999999</v>
      </c>
      <c r="U8381">
        <v>2.7562259999999998</v>
      </c>
      <c r="V8381">
        <v>0.2171659</v>
      </c>
      <c r="W8381">
        <v>0.16461479999999901</v>
      </c>
      <c r="X8381">
        <v>0.96215430000000002</v>
      </c>
      <c r="Y8381">
        <v>0.4084179</v>
      </c>
      <c r="Z8381">
        <v>-6.7972290000000005E-2</v>
      </c>
      <c r="AA8381">
        <v>0.91026070000000003</v>
      </c>
      <c r="AB8381">
        <v>43</v>
      </c>
      <c r="AC8381">
        <v>7.2675000000000098</v>
      </c>
      <c r="AD8381">
        <v>-1.0237000599999999</v>
      </c>
      <c r="AE8381">
        <v>13.0861</v>
      </c>
      <c r="AF8381">
        <v>6.2073746274525403</v>
      </c>
      <c r="AG8381">
        <v>-1.0237000599999999</v>
      </c>
      <c r="AH8381">
        <v>13.5443626337173</v>
      </c>
      <c r="AI8381">
        <v>93.930566723740796</v>
      </c>
      <c r="AJ8381">
        <v>65.378037198410695</v>
      </c>
      <c r="AK8381">
        <v>14.9341628734932</v>
      </c>
      <c r="AL8381">
        <v>80.525141641652795</v>
      </c>
      <c r="AM8381">
        <v>77.281012913184</v>
      </c>
      <c r="AN8381">
        <v>0.99999997875516899</v>
      </c>
    </row>
    <row r="8382" spans="1:40" x14ac:dyDescent="0.25">
      <c r="A8382" t="str">
        <f>"20190312172313423"</f>
        <v>20190312172313423</v>
      </c>
      <c r="B8382" t="str">
        <f>"1552382593418961"</f>
        <v>1552382593418961</v>
      </c>
      <c r="C8382" t="s">
        <v>40</v>
      </c>
      <c r="D8382">
        <v>3.4437310000000001</v>
      </c>
      <c r="E8382">
        <v>0.58132459999999997</v>
      </c>
      <c r="F8382" t="s">
        <v>62</v>
      </c>
      <c r="G8382">
        <v>-179.81389999999999</v>
      </c>
      <c r="H8382">
        <v>7.9988760000000006E-2</v>
      </c>
      <c r="I8382">
        <v>125.12009999999999</v>
      </c>
      <c r="J8382">
        <v>-187.16380000000001</v>
      </c>
      <c r="K8382">
        <v>1.10351</v>
      </c>
      <c r="L8382">
        <v>112.1279</v>
      </c>
      <c r="M8382">
        <v>8.0909899999999896E-2</v>
      </c>
      <c r="N8382">
        <v>0</v>
      </c>
      <c r="O8382">
        <v>0.99660380000000004</v>
      </c>
      <c r="P8382">
        <v>0.29394500000000001</v>
      </c>
      <c r="Q8382">
        <v>0.1533514</v>
      </c>
      <c r="R8382">
        <v>0.94344039999999996</v>
      </c>
      <c r="S8382">
        <v>1.5261229999999999</v>
      </c>
      <c r="T8382">
        <v>-0.21191860000000001</v>
      </c>
      <c r="U8382">
        <v>2.7426300000000001</v>
      </c>
      <c r="V8382">
        <v>0.21920970000000001</v>
      </c>
      <c r="W8382">
        <v>0.16472579999999901</v>
      </c>
      <c r="X8382">
        <v>0.96167170000000002</v>
      </c>
      <c r="Y8382">
        <v>0.41280060000000002</v>
      </c>
      <c r="Z8382">
        <v>-6.8324689999999993E-2</v>
      </c>
      <c r="AA8382">
        <v>0.90825520000000004</v>
      </c>
      <c r="AB8382">
        <v>43</v>
      </c>
      <c r="AC8382">
        <v>7.3499000000000096</v>
      </c>
      <c r="AD8382">
        <v>-1.02352124</v>
      </c>
      <c r="AE8382">
        <v>12.992199999999899</v>
      </c>
      <c r="AF8382">
        <v>6.2451144069176197</v>
      </c>
      <c r="AG8382">
        <v>-1.02352124</v>
      </c>
      <c r="AH8382">
        <v>13.4809617380965</v>
      </c>
      <c r="AI8382">
        <v>93.9409010024427</v>
      </c>
      <c r="AJ8382">
        <v>65.143863111094305</v>
      </c>
      <c r="AK8382">
        <v>14.892460477310101</v>
      </c>
      <c r="AL8382">
        <v>80.518693706040693</v>
      </c>
      <c r="AM8382">
        <v>77.159030933515396</v>
      </c>
      <c r="AN8382">
        <v>0.99999997017030895</v>
      </c>
    </row>
    <row r="8383" spans="1:40" x14ac:dyDescent="0.25">
      <c r="A8383" t="str">
        <f>"20190312172313436"</f>
        <v>20190312172313436</v>
      </c>
      <c r="B8383" t="str">
        <f>"1552382593428720"</f>
        <v>1552382593428720</v>
      </c>
      <c r="C8383" t="s">
        <v>40</v>
      </c>
      <c r="D8383">
        <v>3.4484979999999998</v>
      </c>
      <c r="E8383">
        <v>0.58106919999999995</v>
      </c>
      <c r="F8383" t="s">
        <v>62</v>
      </c>
      <c r="G8383">
        <v>-179.60390000000001</v>
      </c>
      <c r="H8383">
        <v>7.9988370000000003E-2</v>
      </c>
      <c r="I8383">
        <v>125.5539</v>
      </c>
      <c r="J8383">
        <v>-187.14179999999999</v>
      </c>
      <c r="K8383">
        <v>1.10334</v>
      </c>
      <c r="L8383">
        <v>112.3686</v>
      </c>
      <c r="M8383">
        <v>8.4554409999999997E-2</v>
      </c>
      <c r="N8383">
        <v>0</v>
      </c>
      <c r="O8383">
        <v>0.99630079999999999</v>
      </c>
      <c r="P8383">
        <v>0.29909370000000002</v>
      </c>
      <c r="Q8383">
        <v>0.15390609999999999</v>
      </c>
      <c r="R8383">
        <v>0.94173030000000002</v>
      </c>
      <c r="S8383">
        <v>1.53949</v>
      </c>
      <c r="T8383">
        <v>-0.20843020000000001</v>
      </c>
      <c r="U8383">
        <v>2.7340849999999999</v>
      </c>
      <c r="V8383">
        <v>0.22103349999999999</v>
      </c>
      <c r="W8383">
        <v>0.16518620000000001</v>
      </c>
      <c r="X8383">
        <v>0.96117520000000001</v>
      </c>
      <c r="Y8383">
        <v>0.41408990000000001</v>
      </c>
      <c r="Z8383">
        <v>-6.7261109999999999E-2</v>
      </c>
      <c r="AA8383">
        <v>0.90774750000000004</v>
      </c>
      <c r="AB8383">
        <v>43</v>
      </c>
      <c r="AC8383">
        <v>7.5378999999999703</v>
      </c>
      <c r="AD8383">
        <v>-1.0233516300000001</v>
      </c>
      <c r="AE8383">
        <v>13.1852999999999</v>
      </c>
      <c r="AF8383">
        <v>6.36698690841299</v>
      </c>
      <c r="AG8383">
        <v>-1.0233516300000001</v>
      </c>
      <c r="AH8383">
        <v>13.7132501882672</v>
      </c>
      <c r="AI8383">
        <v>93.872178240059</v>
      </c>
      <c r="AJ8383">
        <v>65.094816152297199</v>
      </c>
      <c r="AK8383">
        <v>15.153844448737701</v>
      </c>
      <c r="AL8383">
        <v>80.491948886190301</v>
      </c>
      <c r="AM8383">
        <v>77.049318716484095</v>
      </c>
      <c r="AN8383">
        <v>1.00000002694386</v>
      </c>
    </row>
    <row r="8384" spans="1:40" x14ac:dyDescent="0.25">
      <c r="A8384" t="str">
        <f>"20190312172313447"</f>
        <v>20190312172313447</v>
      </c>
      <c r="B8384" t="str">
        <f>"1552382593438480"</f>
        <v>1552382593438480</v>
      </c>
      <c r="C8384" t="s">
        <v>40</v>
      </c>
      <c r="D8384">
        <v>3.436998</v>
      </c>
      <c r="E8384">
        <v>0.58082630000000002</v>
      </c>
      <c r="F8384" t="s">
        <v>62</v>
      </c>
      <c r="G8384">
        <v>-179.41720000000001</v>
      </c>
      <c r="H8384">
        <v>7.9988390000000006E-2</v>
      </c>
      <c r="I8384">
        <v>125.92740000000001</v>
      </c>
      <c r="J8384">
        <v>-187.1216</v>
      </c>
      <c r="K8384">
        <v>1.1031959999999901</v>
      </c>
      <c r="L8384">
        <v>112.5801</v>
      </c>
      <c r="M8384">
        <v>8.7830740000000004E-2</v>
      </c>
      <c r="N8384">
        <v>0</v>
      </c>
      <c r="O8384">
        <v>0.99601689999999998</v>
      </c>
      <c r="P8384">
        <v>0.30399799999999999</v>
      </c>
      <c r="Q8384">
        <v>0.15432309999999999</v>
      </c>
      <c r="R8384">
        <v>0.94009019999999999</v>
      </c>
      <c r="S8384">
        <v>1.553024</v>
      </c>
      <c r="T8384">
        <v>-0.20574490000000001</v>
      </c>
      <c r="U8384">
        <v>2.726013</v>
      </c>
      <c r="V8384">
        <v>0.2229583</v>
      </c>
      <c r="W8384">
        <v>0.16551299999999999</v>
      </c>
      <c r="X8384">
        <v>0.96067429999999998</v>
      </c>
      <c r="Y8384">
        <v>0.41568250000000001</v>
      </c>
      <c r="Z8384">
        <v>-6.6438999999999998E-2</v>
      </c>
      <c r="AA8384">
        <v>0.90707990000000005</v>
      </c>
      <c r="AB8384">
        <v>43</v>
      </c>
      <c r="AC8384">
        <v>7.7043999999999899</v>
      </c>
      <c r="AD8384">
        <v>-1.0232076099999901</v>
      </c>
      <c r="AE8384">
        <v>13.347300000000001</v>
      </c>
      <c r="AF8384">
        <v>6.4736406926082104</v>
      </c>
      <c r="AG8384">
        <v>-1.0232076099999901</v>
      </c>
      <c r="AH8384">
        <v>13.9111476676016</v>
      </c>
      <c r="AI8384">
        <v>93.8151775420353</v>
      </c>
      <c r="AJ8384">
        <v>65.044787865374801</v>
      </c>
      <c r="AK8384">
        <v>15.377743887188799</v>
      </c>
      <c r="AL8384">
        <v>80.472963354374897</v>
      </c>
      <c r="AM8384">
        <v>76.933815997754195</v>
      </c>
      <c r="AN8384">
        <v>1.0000000336941799</v>
      </c>
    </row>
    <row r="8385" spans="1:40" x14ac:dyDescent="0.25">
      <c r="A8385" t="str">
        <f>"20190312172313458"</f>
        <v>20190312172313458</v>
      </c>
      <c r="B8385" t="str">
        <f>"1552382593449216"</f>
        <v>1552382593449216</v>
      </c>
      <c r="C8385" t="s">
        <v>40</v>
      </c>
      <c r="D8385">
        <v>3.4518840000000002</v>
      </c>
      <c r="E8385">
        <v>0.58058319999999997</v>
      </c>
      <c r="F8385" t="s">
        <v>62</v>
      </c>
      <c r="G8385">
        <v>-179.28229999999999</v>
      </c>
      <c r="H8385">
        <v>7.998835E-2</v>
      </c>
      <c r="I8385">
        <v>126.19070000000001</v>
      </c>
      <c r="J8385">
        <v>-187.1003</v>
      </c>
      <c r="K8385">
        <v>1.1030450000000001</v>
      </c>
      <c r="L8385">
        <v>112.798</v>
      </c>
      <c r="M8385">
        <v>9.1244779999999998E-2</v>
      </c>
      <c r="N8385">
        <v>0</v>
      </c>
      <c r="O8385">
        <v>0.99570950000000003</v>
      </c>
      <c r="P8385">
        <v>0.30911909999999998</v>
      </c>
      <c r="Q8385">
        <v>0.1548687</v>
      </c>
      <c r="R8385">
        <v>0.93832890000000002</v>
      </c>
      <c r="S8385">
        <v>1.56572</v>
      </c>
      <c r="T8385">
        <v>-0.20436309999999999</v>
      </c>
      <c r="U8385">
        <v>2.7184300000000001</v>
      </c>
      <c r="V8385">
        <v>0.2249852</v>
      </c>
      <c r="W8385">
        <v>0.1659621</v>
      </c>
      <c r="X8385">
        <v>0.96012410000000004</v>
      </c>
      <c r="Y8385">
        <v>0.41685430000000001</v>
      </c>
      <c r="Z8385">
        <v>-6.6032789999999994E-2</v>
      </c>
      <c r="AA8385">
        <v>0.90657169999999998</v>
      </c>
      <c r="AB8385">
        <v>43</v>
      </c>
      <c r="AC8385">
        <v>7.8180000000000103</v>
      </c>
      <c r="AD8385">
        <v>-1.02305665</v>
      </c>
      <c r="AE8385">
        <v>13.3927</v>
      </c>
      <c r="AF8385">
        <v>6.5347798627524103</v>
      </c>
      <c r="AG8385">
        <v>-1.02305665</v>
      </c>
      <c r="AH8385">
        <v>13.989370479688599</v>
      </c>
      <c r="AI8385">
        <v>93.790788351236301</v>
      </c>
      <c r="AJ8385">
        <v>64.961562190427003</v>
      </c>
      <c r="AK8385">
        <v>15.4742521364273</v>
      </c>
      <c r="AL8385">
        <v>80.446870858042004</v>
      </c>
      <c r="AM8385">
        <v>76.811871853393995</v>
      </c>
      <c r="AN8385">
        <v>1.0000000231281201</v>
      </c>
    </row>
    <row r="8386" spans="1:40" x14ac:dyDescent="0.25">
      <c r="A8386" t="str">
        <f>"20190312172313470"</f>
        <v>20190312172313470</v>
      </c>
      <c r="B8386" t="str">
        <f>"1552382593458977"</f>
        <v>1552382593458977</v>
      </c>
      <c r="C8386" t="s">
        <v>40</v>
      </c>
      <c r="D8386">
        <v>3.4663580000000001</v>
      </c>
      <c r="E8386">
        <v>0.58030660000000001</v>
      </c>
      <c r="F8386" t="s">
        <v>62</v>
      </c>
      <c r="G8386">
        <v>-179.1182</v>
      </c>
      <c r="H8386">
        <v>7.998827E-2</v>
      </c>
      <c r="I8386">
        <v>126.50020000000001</v>
      </c>
      <c r="J8386">
        <v>-187.0779</v>
      </c>
      <c r="K8386">
        <v>1.102894</v>
      </c>
      <c r="L8386">
        <v>113.01609999999999</v>
      </c>
      <c r="M8386">
        <v>9.4769999999999993E-2</v>
      </c>
      <c r="N8386">
        <v>0</v>
      </c>
      <c r="O8386">
        <v>0.99537969999999998</v>
      </c>
      <c r="P8386">
        <v>0.31397930000000002</v>
      </c>
      <c r="Q8386">
        <v>0.15540680000000001</v>
      </c>
      <c r="R8386">
        <v>0.93662460000000003</v>
      </c>
      <c r="S8386">
        <v>1.5789340000000001</v>
      </c>
      <c r="T8386">
        <v>-0.20236999999999999</v>
      </c>
      <c r="U8386">
        <v>2.7104189999999999</v>
      </c>
      <c r="V8386">
        <v>0.2266456</v>
      </c>
      <c r="W8386">
        <v>0.1664088</v>
      </c>
      <c r="X8386">
        <v>0.95965610000000001</v>
      </c>
      <c r="Y8386">
        <v>0.41812179999999999</v>
      </c>
      <c r="Z8386">
        <v>-6.5430779999999994E-2</v>
      </c>
      <c r="AA8386">
        <v>0.90603140000000004</v>
      </c>
      <c r="AB8386">
        <v>43</v>
      </c>
      <c r="AC8386">
        <v>7.95969999999999</v>
      </c>
      <c r="AD8386">
        <v>-1.02290573</v>
      </c>
      <c r="AE8386">
        <v>13.4841</v>
      </c>
      <c r="AF8386">
        <v>6.6175845878545401</v>
      </c>
      <c r="AG8386">
        <v>-1.02290573</v>
      </c>
      <c r="AH8386">
        <v>14.117577669870601</v>
      </c>
      <c r="AI8386">
        <v>93.753576213972707</v>
      </c>
      <c r="AJ8386">
        <v>64.88526475143</v>
      </c>
      <c r="AK8386">
        <v>15.625132357029999</v>
      </c>
      <c r="AL8386">
        <v>80.420915437771399</v>
      </c>
      <c r="AM8386">
        <v>76.711732992149393</v>
      </c>
      <c r="AN8386">
        <v>0.99999997349200398</v>
      </c>
    </row>
    <row r="8387" spans="1:40" x14ac:dyDescent="0.25">
      <c r="A8387" t="str">
        <f>"20190312172313483"</f>
        <v>20190312172313483</v>
      </c>
      <c r="B8387" t="str">
        <f>"1552382593478496"</f>
        <v>1552382593478496</v>
      </c>
      <c r="C8387" t="s">
        <v>40</v>
      </c>
      <c r="D8387">
        <v>3.4507530000000002</v>
      </c>
      <c r="E8387">
        <v>0.57976919999999899</v>
      </c>
      <c r="F8387" t="s">
        <v>62</v>
      </c>
      <c r="G8387">
        <v>-178.9511</v>
      </c>
      <c r="H8387">
        <v>7.9988199999999995E-2</v>
      </c>
      <c r="I8387">
        <v>126.8189</v>
      </c>
      <c r="J8387">
        <v>-187.0523</v>
      </c>
      <c r="K8387">
        <v>1.102722</v>
      </c>
      <c r="L8387">
        <v>113.25830000000001</v>
      </c>
      <c r="M8387">
        <v>9.8730390000000001E-2</v>
      </c>
      <c r="N8387">
        <v>0</v>
      </c>
      <c r="O8387">
        <v>0.9949943</v>
      </c>
      <c r="P8387">
        <v>0.31948070000000001</v>
      </c>
      <c r="Q8387">
        <v>0.15589020000000001</v>
      </c>
      <c r="R8387">
        <v>0.93468200000000001</v>
      </c>
      <c r="S8387">
        <v>1.591324</v>
      </c>
      <c r="T8387">
        <v>-0.20029849999999999</v>
      </c>
      <c r="U8387">
        <v>2.7027739999999998</v>
      </c>
      <c r="V8387">
        <v>0.22855829999999999</v>
      </c>
      <c r="W8387">
        <v>0.16678589999999999</v>
      </c>
      <c r="X8387">
        <v>0.95913689999999996</v>
      </c>
      <c r="Y8387">
        <v>0.41873359999999898</v>
      </c>
      <c r="Z8387">
        <v>-6.4803699999999895E-2</v>
      </c>
      <c r="AA8387">
        <v>0.90579390000000004</v>
      </c>
      <c r="AB8387">
        <v>43</v>
      </c>
      <c r="AC8387">
        <v>8.1012000000000004</v>
      </c>
      <c r="AD8387">
        <v>-1.0227337999999999</v>
      </c>
      <c r="AE8387">
        <v>13.5605999999999</v>
      </c>
      <c r="AF8387">
        <v>6.6945432189742196</v>
      </c>
      <c r="AG8387">
        <v>-1.0227337999999999</v>
      </c>
      <c r="AH8387">
        <v>14.234588760866099</v>
      </c>
      <c r="AI8387">
        <v>93.719966935536206</v>
      </c>
      <c r="AJ8387">
        <v>64.812345212995595</v>
      </c>
      <c r="AK8387">
        <v>15.763451732642601</v>
      </c>
      <c r="AL8387">
        <v>80.3990033544478</v>
      </c>
      <c r="AM8387">
        <v>76.596627587330204</v>
      </c>
      <c r="AN8387">
        <v>1.00000001293965</v>
      </c>
    </row>
    <row r="8388" spans="1:40" x14ac:dyDescent="0.25">
      <c r="A8388" t="str">
        <f>"20190312172313495"</f>
        <v>20190312172313495</v>
      </c>
      <c r="B8388" t="str">
        <f>"1552382593489232"</f>
        <v>1552382593489232</v>
      </c>
      <c r="C8388" t="s">
        <v>40</v>
      </c>
      <c r="D8388">
        <v>3.4336579999999999</v>
      </c>
      <c r="E8388">
        <v>0.57952029999999999</v>
      </c>
      <c r="F8388" t="s">
        <v>62</v>
      </c>
      <c r="G8388">
        <v>-178.7851</v>
      </c>
      <c r="H8388">
        <v>7.9988110000000001E-2</v>
      </c>
      <c r="I8388">
        <v>127.1553</v>
      </c>
      <c r="J8388">
        <v>-187.0256</v>
      </c>
      <c r="K8388">
        <v>1.102544</v>
      </c>
      <c r="L8388">
        <v>113.49939999999999</v>
      </c>
      <c r="M8388">
        <v>0.10278619999999999</v>
      </c>
      <c r="N8388">
        <v>0</v>
      </c>
      <c r="O8388">
        <v>0.99458299999999999</v>
      </c>
      <c r="P8388">
        <v>0.32470300000000002</v>
      </c>
      <c r="Q8388">
        <v>0.1560406</v>
      </c>
      <c r="R8388">
        <v>0.9328554</v>
      </c>
      <c r="S8388">
        <v>1.6030879999999901</v>
      </c>
      <c r="T8388">
        <v>-0.19831799999999999</v>
      </c>
      <c r="U8388">
        <v>2.6947779999999999</v>
      </c>
      <c r="V8388">
        <v>0.23009089999999999</v>
      </c>
      <c r="W8388">
        <v>0.16683480000000001</v>
      </c>
      <c r="X8388">
        <v>0.95876189999999994</v>
      </c>
      <c r="Y8388">
        <v>0.419153</v>
      </c>
      <c r="Z8388">
        <v>-6.4215530000000007E-2</v>
      </c>
      <c r="AA8388">
        <v>0.9056419</v>
      </c>
      <c r="AB8388">
        <v>43</v>
      </c>
      <c r="AC8388">
        <v>8.2404999999999902</v>
      </c>
      <c r="AD8388">
        <v>-1.02255589</v>
      </c>
      <c r="AE8388">
        <v>13.655900000000001</v>
      </c>
      <c r="AF8388">
        <v>6.76522995748953</v>
      </c>
      <c r="AG8388">
        <v>-1.02255589</v>
      </c>
      <c r="AH8388">
        <v>14.3715931883858</v>
      </c>
      <c r="AI8388">
        <v>93.683347684233894</v>
      </c>
      <c r="AJ8388">
        <v>64.791933455224694</v>
      </c>
      <c r="AK8388">
        <v>15.9171808967023</v>
      </c>
      <c r="AL8388">
        <v>80.396161912124697</v>
      </c>
      <c r="AM8388">
        <v>76.504942300408302</v>
      </c>
      <c r="AN8388">
        <v>1.00000002682272</v>
      </c>
    </row>
    <row r="8389" spans="1:40" x14ac:dyDescent="0.25">
      <c r="A8389" t="str">
        <f>"20190312172313510"</f>
        <v>20190312172313510</v>
      </c>
      <c r="B8389" t="str">
        <f>"1552382593498992"</f>
        <v>1552382593498992</v>
      </c>
      <c r="C8389" t="s">
        <v>40</v>
      </c>
      <c r="D8389">
        <v>3.434523</v>
      </c>
      <c r="E8389">
        <v>0.57926549999999999</v>
      </c>
      <c r="F8389" t="s">
        <v>62</v>
      </c>
      <c r="G8389">
        <v>-178.6721</v>
      </c>
      <c r="H8389">
        <v>7.9988050000000005E-2</v>
      </c>
      <c r="I8389">
        <v>127.38200000000001</v>
      </c>
      <c r="J8389">
        <v>-186.99359999999999</v>
      </c>
      <c r="K8389">
        <v>1.1023430000000001</v>
      </c>
      <c r="L8389">
        <v>113.7774</v>
      </c>
      <c r="M8389">
        <v>0.1075706</v>
      </c>
      <c r="N8389">
        <v>0</v>
      </c>
      <c r="O8389">
        <v>0.99407650000000003</v>
      </c>
      <c r="P8389">
        <v>0.3304068</v>
      </c>
      <c r="Q8389">
        <v>0.15602969999999999</v>
      </c>
      <c r="R8389">
        <v>0.93085240000000002</v>
      </c>
      <c r="S8389">
        <v>1.6164700000000001</v>
      </c>
      <c r="T8389">
        <v>-0.1978714</v>
      </c>
      <c r="U8389">
        <v>2.6863709999999998</v>
      </c>
      <c r="V8389">
        <v>0.23142969999999999</v>
      </c>
      <c r="W8389">
        <v>0.16671440000000001</v>
      </c>
      <c r="X8389">
        <v>0.9584606</v>
      </c>
      <c r="Y8389">
        <v>0.4193538</v>
      </c>
      <c r="Z8389">
        <v>-6.411377E-2</v>
      </c>
      <c r="AA8389">
        <v>0.90555609999999997</v>
      </c>
      <c r="AB8389">
        <v>43</v>
      </c>
      <c r="AC8389">
        <v>8.3214999999999808</v>
      </c>
      <c r="AD8389">
        <v>-1.02235495</v>
      </c>
      <c r="AE8389">
        <v>13.6046</v>
      </c>
      <c r="AF8389">
        <v>6.7817012288020404</v>
      </c>
      <c r="AG8389">
        <v>-1.02235495</v>
      </c>
      <c r="AH8389">
        <v>14.361874131055099</v>
      </c>
      <c r="AI8389">
        <v>93.683034414572603</v>
      </c>
      <c r="AJ8389">
        <v>64.723239706116104</v>
      </c>
      <c r="AK8389">
        <v>15.9154047939973</v>
      </c>
      <c r="AL8389">
        <v>80.403158624366895</v>
      </c>
      <c r="AM8389">
        <v>76.425208151084604</v>
      </c>
      <c r="AN8389">
        <v>1.0000000594809</v>
      </c>
    </row>
    <row r="8390" spans="1:40" x14ac:dyDescent="0.25">
      <c r="A8390" t="str">
        <f>"20190312172313521"</f>
        <v>20190312172313521</v>
      </c>
      <c r="B8390" t="str">
        <f>"1552382593518512"</f>
        <v>1552382593518512</v>
      </c>
      <c r="C8390" t="s">
        <v>40</v>
      </c>
      <c r="D8390">
        <v>3.4500380000000002</v>
      </c>
      <c r="E8390">
        <v>0.57893729999999999</v>
      </c>
      <c r="F8390" t="s">
        <v>62</v>
      </c>
      <c r="G8390">
        <v>-178.5598</v>
      </c>
      <c r="H8390">
        <v>7.9987989999999995E-2</v>
      </c>
      <c r="I8390">
        <v>127.61539999999999</v>
      </c>
      <c r="J8390">
        <v>-186.96809999999999</v>
      </c>
      <c r="K8390">
        <v>1.1021890000000001</v>
      </c>
      <c r="L8390">
        <v>113.9924</v>
      </c>
      <c r="M8390">
        <v>0.1113238</v>
      </c>
      <c r="N8390">
        <v>0</v>
      </c>
      <c r="O8390">
        <v>0.99366279999999996</v>
      </c>
      <c r="P8390">
        <v>0.33529940000000003</v>
      </c>
      <c r="Q8390">
        <v>0.15613569999999999</v>
      </c>
      <c r="R8390">
        <v>0.9290834</v>
      </c>
      <c r="S8390">
        <v>1.6314850000000001</v>
      </c>
      <c r="T8390">
        <v>-0.19777020000000001</v>
      </c>
      <c r="U8390">
        <v>2.6769099999999999</v>
      </c>
      <c r="V8390">
        <v>0.23292260000000001</v>
      </c>
      <c r="W8390">
        <v>0.16672379999999901</v>
      </c>
      <c r="X8390">
        <v>0.95809719999999998</v>
      </c>
      <c r="Y8390">
        <v>0.42105160000000003</v>
      </c>
      <c r="Z8390">
        <v>-6.4120449999999996E-2</v>
      </c>
      <c r="AA8390">
        <v>0.90476749999999995</v>
      </c>
      <c r="AB8390">
        <v>43</v>
      </c>
      <c r="AC8390">
        <v>8.4082999999999899</v>
      </c>
      <c r="AD8390">
        <v>-1.0222010100000001</v>
      </c>
      <c r="AE8390">
        <v>13.6229999999999</v>
      </c>
      <c r="AF8390">
        <v>6.8115048430179099</v>
      </c>
      <c r="AG8390">
        <v>-1.0222010100000001</v>
      </c>
      <c r="AH8390">
        <v>14.415684550697399</v>
      </c>
      <c r="AI8390">
        <v>93.6683424508455</v>
      </c>
      <c r="AJ8390">
        <v>64.708960536674198</v>
      </c>
      <c r="AK8390">
        <v>15.9766534104147</v>
      </c>
      <c r="AL8390">
        <v>80.4026118605031</v>
      </c>
      <c r="AM8390">
        <v>76.335924064307704</v>
      </c>
      <c r="AN8390">
        <v>1.0000000038625101</v>
      </c>
    </row>
    <row r="8391" spans="1:40" x14ac:dyDescent="0.25">
      <c r="A8391" t="str">
        <f>"20190312172313534"</f>
        <v>20190312172313534</v>
      </c>
      <c r="B8391" t="str">
        <f>"1552382593529249"</f>
        <v>1552382593529249</v>
      </c>
      <c r="C8391" t="s">
        <v>40</v>
      </c>
      <c r="D8391">
        <v>3.432105</v>
      </c>
      <c r="E8391">
        <v>0.57881389999999999</v>
      </c>
      <c r="F8391" t="s">
        <v>62</v>
      </c>
      <c r="G8391">
        <v>-178.50819999999999</v>
      </c>
      <c r="H8391">
        <v>7.9987970000000005E-2</v>
      </c>
      <c r="I8391">
        <v>127.732</v>
      </c>
      <c r="J8391">
        <v>-186.93870000000001</v>
      </c>
      <c r="K8391">
        <v>1.102017</v>
      </c>
      <c r="L8391">
        <v>114.22799999999999</v>
      </c>
      <c r="M8391">
        <v>0.1155648</v>
      </c>
      <c r="N8391">
        <v>0</v>
      </c>
      <c r="O8391">
        <v>0.99317809999999995</v>
      </c>
      <c r="P8391">
        <v>0.34045879999999901</v>
      </c>
      <c r="Q8391">
        <v>0.1563001</v>
      </c>
      <c r="R8391">
        <v>0.92717749999999999</v>
      </c>
      <c r="S8391">
        <v>1.643524</v>
      </c>
      <c r="T8391">
        <v>-0.19858490000000001</v>
      </c>
      <c r="U8391">
        <v>2.6692200000000001</v>
      </c>
      <c r="V8391">
        <v>0.2342369</v>
      </c>
      <c r="W8391">
        <v>0.166787299999999</v>
      </c>
      <c r="X8391">
        <v>0.95776559999999999</v>
      </c>
      <c r="Y8391">
        <v>0.4212938</v>
      </c>
      <c r="Z8391">
        <v>-6.4418790000000004E-2</v>
      </c>
      <c r="AA8391">
        <v>0.90463349999999998</v>
      </c>
      <c r="AB8391">
        <v>43</v>
      </c>
      <c r="AC8391">
        <v>8.4305000000000199</v>
      </c>
      <c r="AD8391">
        <v>-1.0220290299999999</v>
      </c>
      <c r="AE8391">
        <v>13.504</v>
      </c>
      <c r="AF8391">
        <v>6.7852593510835</v>
      </c>
      <c r="AG8391">
        <v>-1.0220290299999999</v>
      </c>
      <c r="AH8391">
        <v>14.3288296827427</v>
      </c>
      <c r="AI8391">
        <v>93.688429598599399</v>
      </c>
      <c r="AJ8391">
        <v>64.660620764809295</v>
      </c>
      <c r="AK8391">
        <v>15.8870906045341</v>
      </c>
      <c r="AL8391">
        <v>80.398921261472594</v>
      </c>
      <c r="AM8391">
        <v>76.257160048929507</v>
      </c>
      <c r="AN8391">
        <v>0.99999993665312703</v>
      </c>
    </row>
    <row r="8392" spans="1:40" x14ac:dyDescent="0.25">
      <c r="A8392" t="str">
        <f>"20190312172313544"</f>
        <v>20190312172313544</v>
      </c>
      <c r="B8392" t="str">
        <f>"1552382593539008"</f>
        <v>1552382593539008</v>
      </c>
      <c r="C8392" t="s">
        <v>40</v>
      </c>
      <c r="D8392">
        <v>3.409392</v>
      </c>
      <c r="E8392">
        <v>0.57870790000000005</v>
      </c>
      <c r="F8392" t="s">
        <v>62</v>
      </c>
      <c r="G8392">
        <v>-178.38679999999999</v>
      </c>
      <c r="H8392">
        <v>7.9987950000000002E-2</v>
      </c>
      <c r="I8392">
        <v>127.9492</v>
      </c>
      <c r="J8392">
        <v>-186.91309999999999</v>
      </c>
      <c r="K8392">
        <v>1.1018730000000001</v>
      </c>
      <c r="L8392">
        <v>114.4288</v>
      </c>
      <c r="M8392">
        <v>0.11923</v>
      </c>
      <c r="N8392">
        <v>0</v>
      </c>
      <c r="O8392">
        <v>0.99274439999999997</v>
      </c>
      <c r="P8392">
        <v>0.34533469999999999</v>
      </c>
      <c r="Q8392">
        <v>0.15654499999999999</v>
      </c>
      <c r="R8392">
        <v>0.92533109999999996</v>
      </c>
      <c r="S8392">
        <v>1.658005</v>
      </c>
      <c r="T8392">
        <v>-0.19814560000000001</v>
      </c>
      <c r="U8392">
        <v>2.660202</v>
      </c>
      <c r="V8392">
        <v>0.23581579999999999</v>
      </c>
      <c r="W8392">
        <v>0.166934</v>
      </c>
      <c r="X8392">
        <v>0.9573526</v>
      </c>
      <c r="Y8392">
        <v>0.42287439999999998</v>
      </c>
      <c r="Z8392">
        <v>-6.4308459999999998E-2</v>
      </c>
      <c r="AA8392">
        <v>0.90390360000000003</v>
      </c>
      <c r="AB8392">
        <v>43</v>
      </c>
      <c r="AC8392">
        <v>8.5262999999999902</v>
      </c>
      <c r="AD8392">
        <v>-1.0218850500000001</v>
      </c>
      <c r="AE8392">
        <v>13.5204</v>
      </c>
      <c r="AF8392">
        <v>6.8253353897852902</v>
      </c>
      <c r="AG8392">
        <v>-1.0218850500000001</v>
      </c>
      <c r="AH8392">
        <v>14.381865003407301</v>
      </c>
      <c r="AI8392">
        <v>93.672873774558497</v>
      </c>
      <c r="AJ8392">
        <v>64.611952188739593</v>
      </c>
      <c r="AK8392">
        <v>15.952037274740199</v>
      </c>
      <c r="AL8392">
        <v>80.3903973261597</v>
      </c>
      <c r="AM8392">
        <v>76.162333409200599</v>
      </c>
      <c r="AN8392">
        <v>1.0000000263061899</v>
      </c>
    </row>
    <row r="8393" spans="1:40" x14ac:dyDescent="0.25">
      <c r="A8393" t="str">
        <f>"20190312172313556"</f>
        <v>20190312172313556</v>
      </c>
      <c r="B8393" t="str">
        <f>"1552382593548768"</f>
        <v>1552382593548768</v>
      </c>
      <c r="C8393" t="s">
        <v>40</v>
      </c>
      <c r="D8393">
        <v>3.4148999999999998</v>
      </c>
      <c r="E8393">
        <v>0.57858739999999997</v>
      </c>
      <c r="F8393" t="s">
        <v>62</v>
      </c>
      <c r="G8393">
        <v>-178.26990000000001</v>
      </c>
      <c r="H8393">
        <v>7.998798E-2</v>
      </c>
      <c r="I8393">
        <v>128.13749999999999</v>
      </c>
      <c r="J8393">
        <v>-186.88220000000001</v>
      </c>
      <c r="K8393">
        <v>1.101702</v>
      </c>
      <c r="L8393">
        <v>114.6627</v>
      </c>
      <c r="M8393">
        <v>0.1235831</v>
      </c>
      <c r="N8393">
        <v>0</v>
      </c>
      <c r="O8393">
        <v>0.99221150000000002</v>
      </c>
      <c r="P8393">
        <v>0.35109940000000001</v>
      </c>
      <c r="Q8393">
        <v>0.15682109999999999</v>
      </c>
      <c r="R8393">
        <v>0.9231123</v>
      </c>
      <c r="S8393">
        <v>1.6718139999999999</v>
      </c>
      <c r="T8393">
        <v>-0.19765759999999999</v>
      </c>
      <c r="U8393">
        <v>2.6515960000000001</v>
      </c>
      <c r="V8393">
        <v>0.23767240000000001</v>
      </c>
      <c r="W8393">
        <v>0.16709289999999999</v>
      </c>
      <c r="X8393">
        <v>0.95686559999999998</v>
      </c>
      <c r="Y8393">
        <v>0.42359799999999997</v>
      </c>
      <c r="Z8393">
        <v>-6.4180470000000003E-2</v>
      </c>
      <c r="AA8393">
        <v>0.90357379999999998</v>
      </c>
      <c r="AB8393">
        <v>43</v>
      </c>
      <c r="AC8393">
        <v>8.6122999999999994</v>
      </c>
      <c r="AD8393">
        <v>-1.0217140199999999</v>
      </c>
      <c r="AE8393">
        <v>13.474799999999901</v>
      </c>
      <c r="AF8393">
        <v>6.8528313192729096</v>
      </c>
      <c r="AG8393">
        <v>-1.0217140199999999</v>
      </c>
      <c r="AH8393">
        <v>14.3772585724468</v>
      </c>
      <c r="AI8393">
        <v>93.670501751855198</v>
      </c>
      <c r="AJ8393">
        <v>64.5154856286062</v>
      </c>
      <c r="AK8393">
        <v>15.9596604189459</v>
      </c>
      <c r="AL8393">
        <v>80.381162996091405</v>
      </c>
      <c r="AM8393">
        <v>76.050803697648306</v>
      </c>
      <c r="AN8393">
        <v>0.99999999170776499</v>
      </c>
    </row>
    <row r="8394" spans="1:40" x14ac:dyDescent="0.25">
      <c r="A8394" t="str">
        <f>"20190312172313569"</f>
        <v>20190312172313569</v>
      </c>
      <c r="B8394" t="str">
        <f>"1552382593558528"</f>
        <v>1552382593558528</v>
      </c>
      <c r="C8394" t="s">
        <v>40</v>
      </c>
      <c r="D8394">
        <v>3.439819</v>
      </c>
      <c r="E8394">
        <v>0.57841999999999905</v>
      </c>
      <c r="F8394" t="s">
        <v>62</v>
      </c>
      <c r="G8394">
        <v>-178.12289999999999</v>
      </c>
      <c r="H8394">
        <v>7.9988000000000004E-2</v>
      </c>
      <c r="I8394">
        <v>128.36930000000001</v>
      </c>
      <c r="J8394">
        <v>-186.84960000000001</v>
      </c>
      <c r="K8394">
        <v>1.1015299999999999</v>
      </c>
      <c r="L8394">
        <v>114.8994</v>
      </c>
      <c r="M8394">
        <v>0.12810170000000001</v>
      </c>
      <c r="N8394">
        <v>0</v>
      </c>
      <c r="O8394">
        <v>0.99163789999999996</v>
      </c>
      <c r="P8394">
        <v>0.35669210000000001</v>
      </c>
      <c r="Q8394">
        <v>0.157174799999999</v>
      </c>
      <c r="R8394">
        <v>0.92090539999999999</v>
      </c>
      <c r="S8394">
        <v>1.6879580000000001</v>
      </c>
      <c r="T8394">
        <v>-0.19688820000000001</v>
      </c>
      <c r="U8394">
        <v>2.6413120000000001</v>
      </c>
      <c r="V8394">
        <v>0.2392068</v>
      </c>
      <c r="W8394">
        <v>0.1673336</v>
      </c>
      <c r="X8394">
        <v>0.95644110000000004</v>
      </c>
      <c r="Y8394">
        <v>0.42499819999999999</v>
      </c>
      <c r="Z8394">
        <v>-6.3965949999999994E-2</v>
      </c>
      <c r="AA8394">
        <v>0.90293129999999999</v>
      </c>
      <c r="AB8394">
        <v>43</v>
      </c>
      <c r="AC8394">
        <v>8.7267000000000206</v>
      </c>
      <c r="AD8394">
        <v>-1.021542</v>
      </c>
      <c r="AE8394">
        <v>13.469900000000001</v>
      </c>
      <c r="AF8394">
        <v>6.9010982308306303</v>
      </c>
      <c r="AG8394">
        <v>-1.021542</v>
      </c>
      <c r="AH8394">
        <v>14.4185249078749</v>
      </c>
      <c r="AI8394">
        <v>93.656596713442596</v>
      </c>
      <c r="AJ8394">
        <v>64.422955210019495</v>
      </c>
      <c r="AK8394">
        <v>16.017570520161499</v>
      </c>
      <c r="AL8394">
        <v>80.367175063912498</v>
      </c>
      <c r="AM8394">
        <v>75.958314451597403</v>
      </c>
      <c r="AN8394">
        <v>1.0000000023122</v>
      </c>
    </row>
    <row r="8395" spans="1:40" x14ac:dyDescent="0.25">
      <c r="A8395" t="str">
        <f>"20190312172313583"</f>
        <v>20190312172313583</v>
      </c>
      <c r="B8395" t="str">
        <f>"1552382593579024"</f>
        <v>1552382593579024</v>
      </c>
      <c r="C8395" t="s">
        <v>40</v>
      </c>
      <c r="D8395">
        <v>3.4585689999999998</v>
      </c>
      <c r="E8395">
        <v>0.57807109999999995</v>
      </c>
      <c r="F8395" t="s">
        <v>62</v>
      </c>
      <c r="G8395">
        <v>-177.98500000000001</v>
      </c>
      <c r="H8395">
        <v>7.9987970000000005E-2</v>
      </c>
      <c r="I8395">
        <v>128.596</v>
      </c>
      <c r="J8395">
        <v>-186.81200000000001</v>
      </c>
      <c r="K8395">
        <v>1.101329</v>
      </c>
      <c r="L8395">
        <v>115.16500000000001</v>
      </c>
      <c r="M8395">
        <v>0.13326009999999999</v>
      </c>
      <c r="N8395">
        <v>0</v>
      </c>
      <c r="O8395">
        <v>0.99095739999999999</v>
      </c>
      <c r="P8395">
        <v>0.36315259999999999</v>
      </c>
      <c r="Q8395">
        <v>0.1573628</v>
      </c>
      <c r="R8395">
        <v>0.91834479999999996</v>
      </c>
      <c r="S8395">
        <v>1.7031400000000001</v>
      </c>
      <c r="T8395">
        <v>-0.19626640000000001</v>
      </c>
      <c r="U8395">
        <v>2.6315</v>
      </c>
      <c r="V8395">
        <v>0.24104139999999999</v>
      </c>
      <c r="W8395">
        <v>0.1673886</v>
      </c>
      <c r="X8395">
        <v>0.95597080000000001</v>
      </c>
      <c r="Y8395">
        <v>0.42550310000000002</v>
      </c>
      <c r="Z8395">
        <v>-6.3797549999999995E-2</v>
      </c>
      <c r="AA8395">
        <v>0.90270539999999999</v>
      </c>
      <c r="AB8395">
        <v>42</v>
      </c>
      <c r="AC8395">
        <v>8.8269999999999893</v>
      </c>
      <c r="AD8395">
        <v>-1.0213410300000001</v>
      </c>
      <c r="AE8395">
        <v>13.4309999999999</v>
      </c>
      <c r="AF8395">
        <v>6.9302309017905097</v>
      </c>
      <c r="AG8395">
        <v>-1.0213410300000001</v>
      </c>
      <c r="AH8395">
        <v>14.429341101177799</v>
      </c>
      <c r="AI8395">
        <v>93.650789059988497</v>
      </c>
      <c r="AJ8395">
        <v>64.3456117979146</v>
      </c>
      <c r="AK8395">
        <v>16.039860425385001</v>
      </c>
      <c r="AL8395">
        <v>80.363979033466904</v>
      </c>
      <c r="AM8395">
        <v>75.848249637338995</v>
      </c>
      <c r="AN8395">
        <v>1.0000000351882701</v>
      </c>
    </row>
    <row r="8396" spans="1:40" x14ac:dyDescent="0.25">
      <c r="A8396" t="str">
        <f>"20190312172313596"</f>
        <v>20190312172313596</v>
      </c>
      <c r="B8396" t="str">
        <f>"1552382593588784"</f>
        <v>1552382593588784</v>
      </c>
      <c r="C8396" t="s">
        <v>40</v>
      </c>
      <c r="D8396">
        <v>3.4415439999999999</v>
      </c>
      <c r="E8396">
        <v>0.57792399999999999</v>
      </c>
      <c r="F8396" t="s">
        <v>62</v>
      </c>
      <c r="G8396">
        <v>-177.91659999999999</v>
      </c>
      <c r="H8396">
        <v>7.9987959999999997E-2</v>
      </c>
      <c r="I8396">
        <v>128.72389999999999</v>
      </c>
      <c r="J8396">
        <v>-186.77500000000001</v>
      </c>
      <c r="K8396">
        <v>1.1011390000000001</v>
      </c>
      <c r="L8396">
        <v>115.41589999999999</v>
      </c>
      <c r="M8396">
        <v>0.1382671</v>
      </c>
      <c r="N8396">
        <v>0</v>
      </c>
      <c r="O8396">
        <v>0.99027089999999995</v>
      </c>
      <c r="P8396">
        <v>0.36958390000000002</v>
      </c>
      <c r="Q8396">
        <v>0.1575686</v>
      </c>
      <c r="R8396">
        <v>0.91574009999999995</v>
      </c>
      <c r="S8396">
        <v>1.7193149999999999</v>
      </c>
      <c r="T8396">
        <v>-0.1974069</v>
      </c>
      <c r="U8396">
        <v>2.620682</v>
      </c>
      <c r="V8396">
        <v>0.2430052</v>
      </c>
      <c r="W8396">
        <v>0.16745959999999999</v>
      </c>
      <c r="X8396">
        <v>0.955461</v>
      </c>
      <c r="Y8396">
        <v>0.42652060000000003</v>
      </c>
      <c r="Z8396">
        <v>-6.4204109999999995E-2</v>
      </c>
      <c r="AA8396">
        <v>0.9021962</v>
      </c>
      <c r="AB8396">
        <v>42</v>
      </c>
      <c r="AC8396">
        <v>8.8584000000000103</v>
      </c>
      <c r="AD8396">
        <v>-1.0211510399999999</v>
      </c>
      <c r="AE8396">
        <v>13.3079999999999</v>
      </c>
      <c r="AF8396">
        <v>6.9048372058132603</v>
      </c>
      <c r="AG8396">
        <v>-1.0211510399999999</v>
      </c>
      <c r="AH8396">
        <v>14.3465861126334</v>
      </c>
      <c r="AI8396">
        <v>93.669679174107799</v>
      </c>
      <c r="AJ8396">
        <v>64.299054500476004</v>
      </c>
      <c r="AK8396">
        <v>15.9544369807424</v>
      </c>
      <c r="AL8396">
        <v>80.359852290039399</v>
      </c>
      <c r="AM8396">
        <v>75.730340394368099</v>
      </c>
      <c r="AN8396">
        <v>0.99999998369009901</v>
      </c>
    </row>
    <row r="8397" spans="1:40" x14ac:dyDescent="0.25">
      <c r="A8397" t="str">
        <f>"20190312172313611"</f>
        <v>20190312172313611</v>
      </c>
      <c r="B8397" t="str">
        <f>"1552382593598545"</f>
        <v>1552382593598545</v>
      </c>
      <c r="C8397" t="s">
        <v>40</v>
      </c>
      <c r="D8397">
        <v>3.4436079999999998</v>
      </c>
      <c r="E8397">
        <v>0.577794699999999</v>
      </c>
      <c r="F8397" t="s">
        <v>62</v>
      </c>
      <c r="G8397">
        <v>-177.7902</v>
      </c>
      <c r="H8397">
        <v>7.9987929999999999E-2</v>
      </c>
      <c r="I8397">
        <v>128.91480000000001</v>
      </c>
      <c r="J8397">
        <v>-186.73410000000001</v>
      </c>
      <c r="K8397">
        <v>1.1009340000000001</v>
      </c>
      <c r="L8397">
        <v>115.68170000000001</v>
      </c>
      <c r="M8397">
        <v>0.14370920000000001</v>
      </c>
      <c r="N8397">
        <v>0</v>
      </c>
      <c r="O8397">
        <v>0.98949529999999997</v>
      </c>
      <c r="P8397">
        <v>0.3782798</v>
      </c>
      <c r="Q8397">
        <v>0.15761810000000001</v>
      </c>
      <c r="R8397">
        <v>0.91217369999999998</v>
      </c>
      <c r="S8397">
        <v>1.7366330000000001</v>
      </c>
      <c r="T8397">
        <v>-0.1973733</v>
      </c>
      <c r="U8397">
        <v>2.6091310000000001</v>
      </c>
      <c r="V8397">
        <v>0.24693609999999999</v>
      </c>
      <c r="W8397">
        <v>0.16731670000000001</v>
      </c>
      <c r="X8397">
        <v>0.95447769999999998</v>
      </c>
      <c r="Y8397">
        <v>0.42754160000000002</v>
      </c>
      <c r="Z8397">
        <v>-6.4228499999999994E-2</v>
      </c>
      <c r="AA8397">
        <v>0.90171100000000004</v>
      </c>
      <c r="AB8397">
        <v>42</v>
      </c>
      <c r="AC8397">
        <v>8.94390000000001</v>
      </c>
      <c r="AD8397">
        <v>-1.0209460699999999</v>
      </c>
      <c r="AE8397">
        <v>13.2331</v>
      </c>
      <c r="AF8397">
        <v>6.9208087841999504</v>
      </c>
      <c r="AG8397">
        <v>-1.0209460699999999</v>
      </c>
      <c r="AH8397">
        <v>14.3226650442592</v>
      </c>
      <c r="AI8397">
        <v>93.672304870483501</v>
      </c>
      <c r="AJ8397">
        <v>64.209851875772699</v>
      </c>
      <c r="AK8397">
        <v>15.9398450141572</v>
      </c>
      <c r="AL8397">
        <v>80.368157164148101</v>
      </c>
      <c r="AM8397">
        <v>75.494858440028594</v>
      </c>
      <c r="AN8397">
        <v>0.99999999768969405</v>
      </c>
    </row>
    <row r="8398" spans="1:40" x14ac:dyDescent="0.25">
      <c r="A8398" t="str">
        <f>"20190312172313622"</f>
        <v>20190312172313622</v>
      </c>
      <c r="B8398" t="str">
        <f>"1552382593619041"</f>
        <v>1552382593619041</v>
      </c>
      <c r="C8398" t="s">
        <v>40</v>
      </c>
      <c r="D8398">
        <v>3.4315150000000001</v>
      </c>
      <c r="E8398">
        <v>0.57747709999999997</v>
      </c>
      <c r="F8398" t="s">
        <v>62</v>
      </c>
      <c r="G8398">
        <v>-177.6379</v>
      </c>
      <c r="H8398">
        <v>7.9987870000000003E-2</v>
      </c>
      <c r="I8398">
        <v>129.07669999999999</v>
      </c>
      <c r="J8398">
        <v>-186.69839999999999</v>
      </c>
      <c r="K8398">
        <v>1.100751</v>
      </c>
      <c r="L8398">
        <v>115.90819999999999</v>
      </c>
      <c r="M8398">
        <v>0.14842169999999999</v>
      </c>
      <c r="N8398">
        <v>0</v>
      </c>
      <c r="O8398">
        <v>0.98879899999999998</v>
      </c>
      <c r="P8398">
        <v>0.38425809999999999</v>
      </c>
      <c r="Q8398">
        <v>0.15763720000000001</v>
      </c>
      <c r="R8398">
        <v>0.90966820000000004</v>
      </c>
      <c r="S8398">
        <v>1.7607119999999901</v>
      </c>
      <c r="T8398">
        <v>-0.1976203</v>
      </c>
      <c r="U8398">
        <v>2.592819</v>
      </c>
      <c r="V8398">
        <v>0.24872929999999999</v>
      </c>
      <c r="W8398">
        <v>0.16720760000000001</v>
      </c>
      <c r="X8398">
        <v>0.95403110000000002</v>
      </c>
      <c r="Y8398">
        <v>0.43159550000000002</v>
      </c>
      <c r="Z8398">
        <v>-6.435573E-2</v>
      </c>
      <c r="AA8398">
        <v>0.89976869999999998</v>
      </c>
      <c r="AB8398">
        <v>42</v>
      </c>
      <c r="AC8398">
        <v>9.0604999999999905</v>
      </c>
      <c r="AD8398">
        <v>-1.02076313</v>
      </c>
      <c r="AE8398">
        <v>13.1684999999999</v>
      </c>
      <c r="AF8398">
        <v>6.9769367874378698</v>
      </c>
      <c r="AG8398">
        <v>-1.02076313</v>
      </c>
      <c r="AH8398">
        <v>14.309198769241</v>
      </c>
      <c r="AI8398">
        <v>93.668797712423299</v>
      </c>
      <c r="AJ8398">
        <v>64.006876526078003</v>
      </c>
      <c r="AK8398">
        <v>15.9522027858575</v>
      </c>
      <c r="AL8398">
        <v>80.374497406954404</v>
      </c>
      <c r="AM8398">
        <v>75.387469623284602</v>
      </c>
      <c r="AN8398">
        <v>0.99999999297173003</v>
      </c>
    </row>
    <row r="8399" spans="1:40" x14ac:dyDescent="0.25">
      <c r="A8399" t="str">
        <f>"20190312172313632"</f>
        <v>20190312172313632</v>
      </c>
      <c r="B8399" t="str">
        <f>"1552382593628800"</f>
        <v>1552382593628800</v>
      </c>
      <c r="C8399" t="s">
        <v>40</v>
      </c>
      <c r="D8399">
        <v>3.4355959999999999</v>
      </c>
      <c r="E8399">
        <v>0.57747709999999997</v>
      </c>
      <c r="F8399" t="s">
        <v>62</v>
      </c>
      <c r="G8399">
        <v>-177.58240000000001</v>
      </c>
      <c r="H8399">
        <v>7.9987820000000001E-2</v>
      </c>
      <c r="I8399">
        <v>129.16200000000001</v>
      </c>
      <c r="J8399">
        <v>-186.6653</v>
      </c>
      <c r="K8399">
        <v>1.10059</v>
      </c>
      <c r="L8399">
        <v>116.1097</v>
      </c>
      <c r="M8399">
        <v>0.1527319</v>
      </c>
      <c r="N8399">
        <v>0</v>
      </c>
      <c r="O8399">
        <v>0.98814210000000002</v>
      </c>
      <c r="P8399">
        <v>0.38991769999999998</v>
      </c>
      <c r="Q8399">
        <v>0.1578503</v>
      </c>
      <c r="R8399">
        <v>0.90721960000000001</v>
      </c>
      <c r="S8399">
        <v>1.776016</v>
      </c>
      <c r="T8399">
        <v>-0.19886999999999999</v>
      </c>
      <c r="U8399">
        <v>2.5821529999999999</v>
      </c>
      <c r="V8399">
        <v>0.2505926</v>
      </c>
      <c r="W8399">
        <v>0.16729649999999999</v>
      </c>
      <c r="X8399">
        <v>0.95352780000000004</v>
      </c>
      <c r="Y8399">
        <v>0.43300319999999998</v>
      </c>
      <c r="Z8399">
        <v>-6.4793100000000006E-2</v>
      </c>
      <c r="AA8399">
        <v>0.89906070000000005</v>
      </c>
      <c r="AB8399">
        <v>42</v>
      </c>
      <c r="AC8399">
        <v>9.0828999999999898</v>
      </c>
      <c r="AD8399">
        <v>-1.02060218</v>
      </c>
      <c r="AE8399">
        <v>13.052300000000001</v>
      </c>
      <c r="AF8399">
        <v>6.9539140429363</v>
      </c>
      <c r="AG8399">
        <v>-1.02060218</v>
      </c>
      <c r="AH8399">
        <v>14.227938422909601</v>
      </c>
      <c r="AI8399">
        <v>93.687421944586802</v>
      </c>
      <c r="AJ8399">
        <v>63.952897989490602</v>
      </c>
      <c r="AK8399">
        <v>15.8692400918404</v>
      </c>
      <c r="AL8399">
        <v>80.369331280256205</v>
      </c>
      <c r="AM8399">
        <v>75.275307804098503</v>
      </c>
      <c r="AN8399">
        <v>1.00000001772992</v>
      </c>
    </row>
    <row r="8400" spans="1:40" x14ac:dyDescent="0.25">
      <c r="A8400" t="str">
        <f>"20190312172313644"</f>
        <v>20190312172313644</v>
      </c>
      <c r="B8400" t="str">
        <f>"1552382593638560"</f>
        <v>1552382593638560</v>
      </c>
      <c r="C8400" t="s">
        <v>40</v>
      </c>
      <c r="D8400">
        <v>3.4599169999999999</v>
      </c>
      <c r="E8400">
        <v>0.5693184</v>
      </c>
      <c r="F8400" t="s">
        <v>62</v>
      </c>
      <c r="G8400">
        <v>-177.4092</v>
      </c>
      <c r="H8400">
        <v>7.9987719999999998E-2</v>
      </c>
      <c r="I8400">
        <v>129.3844</v>
      </c>
      <c r="J8400">
        <v>-186.6294</v>
      </c>
      <c r="K8400">
        <v>1.100417</v>
      </c>
      <c r="L8400">
        <v>116.3232</v>
      </c>
      <c r="M8400">
        <v>0.157363</v>
      </c>
      <c r="N8400">
        <v>0</v>
      </c>
      <c r="O8400">
        <v>0.98741480000000004</v>
      </c>
      <c r="P8400">
        <v>0.3954801</v>
      </c>
      <c r="Q8400">
        <v>0.158042299999999</v>
      </c>
      <c r="R8400">
        <v>0.9047752</v>
      </c>
      <c r="S8400">
        <v>1.7925259999999901</v>
      </c>
      <c r="T8400">
        <v>-0.19764899999999999</v>
      </c>
      <c r="U8400">
        <v>2.57077</v>
      </c>
      <c r="V8400">
        <v>0.25205870000000002</v>
      </c>
      <c r="W8400">
        <v>0.16736879999999901</v>
      </c>
      <c r="X8400">
        <v>0.95312859999999999</v>
      </c>
      <c r="Y8400">
        <v>0.43454540000000003</v>
      </c>
      <c r="Z8400">
        <v>-6.4425709999999997E-2</v>
      </c>
      <c r="AA8400">
        <v>0.89834269999999905</v>
      </c>
      <c r="AB8400">
        <v>42</v>
      </c>
      <c r="AC8400">
        <v>9.2202000000000002</v>
      </c>
      <c r="AD8400">
        <v>-1.0204292800000001</v>
      </c>
      <c r="AE8400">
        <v>13.061199999999999</v>
      </c>
      <c r="AF8400">
        <v>7.0210876413591503</v>
      </c>
      <c r="AG8400">
        <v>-1.0204292800000001</v>
      </c>
      <c r="AH8400">
        <v>14.2913073882021</v>
      </c>
      <c r="AI8400">
        <v>93.666834077555507</v>
      </c>
      <c r="AJ8400">
        <v>63.835861768848503</v>
      </c>
      <c r="AK8400">
        <v>15.9555136065</v>
      </c>
      <c r="AL8400">
        <v>80.3651295344104</v>
      </c>
      <c r="AM8400">
        <v>75.187006015645593</v>
      </c>
      <c r="AN8400">
        <v>1.00000001579854</v>
      </c>
    </row>
    <row r="8401" spans="1:40" x14ac:dyDescent="0.25">
      <c r="A8401" t="str">
        <f>"20190312172313656"</f>
        <v>20190312172313656</v>
      </c>
      <c r="B8401" t="str">
        <f>"1552382593648320"</f>
        <v>1552382593648320</v>
      </c>
      <c r="C8401" t="s">
        <v>40</v>
      </c>
      <c r="D8401">
        <v>3.4366729999999999</v>
      </c>
      <c r="E8401">
        <v>0.56924540000000001</v>
      </c>
      <c r="F8401" t="s">
        <v>62</v>
      </c>
      <c r="G8401">
        <v>-178.90260000000001</v>
      </c>
      <c r="H8401">
        <v>7.9988000000000004E-2</v>
      </c>
      <c r="I8401">
        <v>127.7437</v>
      </c>
      <c r="J8401">
        <v>-186.59190000000001</v>
      </c>
      <c r="K8401">
        <v>1.10025</v>
      </c>
      <c r="L8401">
        <v>116.5398</v>
      </c>
      <c r="M8401">
        <v>0.162156299999999</v>
      </c>
      <c r="N8401">
        <v>0</v>
      </c>
      <c r="O8401">
        <v>0.98663849999999997</v>
      </c>
      <c r="P8401">
        <v>0.40120749999999999</v>
      </c>
      <c r="Q8401">
        <v>0.15796189999999999</v>
      </c>
      <c r="R8401">
        <v>0.90226419999999996</v>
      </c>
      <c r="S8401">
        <v>1.7524569999999999</v>
      </c>
      <c r="T8401">
        <v>-0.23143369999999999</v>
      </c>
      <c r="U8401">
        <v>2.5901640000000001</v>
      </c>
      <c r="V8401">
        <v>0.2535424</v>
      </c>
      <c r="W8401">
        <v>0.16716529999999999</v>
      </c>
      <c r="X8401">
        <v>0.95277069999999997</v>
      </c>
      <c r="Y8401">
        <v>0.41703370000000001</v>
      </c>
      <c r="Z8401">
        <v>-7.5447459999999994E-2</v>
      </c>
      <c r="AA8401">
        <v>0.90575410000000001</v>
      </c>
      <c r="AB8401">
        <v>42</v>
      </c>
      <c r="AC8401">
        <v>7.6893000000000002</v>
      </c>
      <c r="AD8401">
        <v>-1.020262</v>
      </c>
      <c r="AE8401">
        <v>11.203900000000001</v>
      </c>
      <c r="AF8401">
        <v>5.7381498240657898</v>
      </c>
      <c r="AG8401">
        <v>-1.020262</v>
      </c>
      <c r="AH8401">
        <v>12.233640089941</v>
      </c>
      <c r="AI8401">
        <v>94.317919925425201</v>
      </c>
      <c r="AJ8401">
        <v>64.871224401298505</v>
      </c>
      <c r="AK8401">
        <v>13.550986967829401</v>
      </c>
      <c r="AL8401">
        <v>80.376955650814097</v>
      </c>
      <c r="AM8401">
        <v>75.098331030980603</v>
      </c>
      <c r="AN8401">
        <v>0.99999999645016902</v>
      </c>
    </row>
    <row r="8402" spans="1:40" x14ac:dyDescent="0.25">
      <c r="A8402" t="str">
        <f>"20190312172313666"</f>
        <v>20190312172313666</v>
      </c>
      <c r="B8402" t="str">
        <f>"1552382593659057"</f>
        <v>1552382593659057</v>
      </c>
      <c r="C8402" t="s">
        <v>40</v>
      </c>
      <c r="D8402">
        <v>3.4030339999999901</v>
      </c>
      <c r="E8402">
        <v>0.56906239999999997</v>
      </c>
      <c r="F8402" t="s">
        <v>62</v>
      </c>
      <c r="G8402">
        <v>-178.84119999999999</v>
      </c>
      <c r="H8402">
        <v>7.9988020000000007E-2</v>
      </c>
      <c r="I8402">
        <v>127.8424</v>
      </c>
      <c r="J8402">
        <v>-186.55510000000001</v>
      </c>
      <c r="K8402">
        <v>1.1000779999999999</v>
      </c>
      <c r="L8402">
        <v>116.7457</v>
      </c>
      <c r="M8402">
        <v>0.16681960000000001</v>
      </c>
      <c r="N8402">
        <v>0</v>
      </c>
      <c r="O8402">
        <v>0.98586039999999997</v>
      </c>
      <c r="P8402">
        <v>0.40704859999999998</v>
      </c>
      <c r="Q8402">
        <v>0.15820629999999999</v>
      </c>
      <c r="R8402">
        <v>0.89960119999999899</v>
      </c>
      <c r="S8402">
        <v>1.768707</v>
      </c>
      <c r="T8402">
        <v>-0.23282230000000001</v>
      </c>
      <c r="U8402">
        <v>2.5792389999999998</v>
      </c>
      <c r="V8402">
        <v>0.25530019999999998</v>
      </c>
      <c r="W8402">
        <v>0.1672805</v>
      </c>
      <c r="X8402">
        <v>0.95228100000000004</v>
      </c>
      <c r="Y8402">
        <v>0.41838930000000002</v>
      </c>
      <c r="Z8402">
        <v>-7.5922760000000006E-2</v>
      </c>
      <c r="AA8402">
        <v>0.90508900000000003</v>
      </c>
      <c r="AB8402">
        <v>42</v>
      </c>
      <c r="AC8402">
        <v>7.7139000000000202</v>
      </c>
      <c r="AD8402">
        <v>-1.0200899800000001</v>
      </c>
      <c r="AE8402">
        <v>11.096699999999901</v>
      </c>
      <c r="AF8402">
        <v>5.7218027011699899</v>
      </c>
      <c r="AG8402">
        <v>-1.0200899800000001</v>
      </c>
      <c r="AH8402">
        <v>12.158884101793101</v>
      </c>
      <c r="AI8402">
        <v>94.341073842560107</v>
      </c>
      <c r="AJ8402">
        <v>64.798973232262696</v>
      </c>
      <c r="AK8402">
        <v>13.476574947635999</v>
      </c>
      <c r="AL8402">
        <v>80.370261238952494</v>
      </c>
      <c r="AM8402">
        <v>74.992294139742398</v>
      </c>
      <c r="AN8402">
        <v>1.00000003038064</v>
      </c>
    </row>
    <row r="8403" spans="1:40" x14ac:dyDescent="0.25">
      <c r="A8403" t="str">
        <f>"20190312172313677"</f>
        <v>20190312172313677</v>
      </c>
      <c r="B8403" t="str">
        <f>"1552382593668816"</f>
        <v>1552382593668816</v>
      </c>
      <c r="C8403" t="s">
        <v>40</v>
      </c>
      <c r="D8403">
        <v>3.4340120000000001</v>
      </c>
      <c r="E8403">
        <v>0.56893269999999996</v>
      </c>
      <c r="F8403" t="s">
        <v>62</v>
      </c>
      <c r="G8403">
        <v>-178.74690000000001</v>
      </c>
      <c r="H8403">
        <v>7.9987989999999995E-2</v>
      </c>
      <c r="I8403">
        <v>127.9836</v>
      </c>
      <c r="J8403">
        <v>-186.51679999999999</v>
      </c>
      <c r="K8403">
        <v>1.0999019999999999</v>
      </c>
      <c r="L8403">
        <v>116.9558</v>
      </c>
      <c r="M8403">
        <v>0.1716348</v>
      </c>
      <c r="N8403">
        <v>0</v>
      </c>
      <c r="O8403">
        <v>0.98503320000000005</v>
      </c>
      <c r="P8403">
        <v>0.41291169999999999</v>
      </c>
      <c r="Q8403">
        <v>0.15808889999999901</v>
      </c>
      <c r="R8403">
        <v>0.89694580000000002</v>
      </c>
      <c r="S8403">
        <v>1.7845150000000001</v>
      </c>
      <c r="T8403">
        <v>-0.2331365</v>
      </c>
      <c r="U8403">
        <v>2.5683590000000001</v>
      </c>
      <c r="V8403">
        <v>0.25693129999999997</v>
      </c>
      <c r="W8403">
        <v>0.16703319999999999</v>
      </c>
      <c r="X8403">
        <v>0.9518856</v>
      </c>
      <c r="Y8403">
        <v>0.41950209999999999</v>
      </c>
      <c r="Z8403">
        <v>-7.6049599999999995E-2</v>
      </c>
      <c r="AA8403">
        <v>0.90456309999999995</v>
      </c>
      <c r="AB8403">
        <v>42</v>
      </c>
      <c r="AC8403">
        <v>7.7698999999999696</v>
      </c>
      <c r="AD8403">
        <v>-1.0199140099999999</v>
      </c>
      <c r="AE8403">
        <v>11.027799999999999</v>
      </c>
      <c r="AF8403">
        <v>5.7288324130166401</v>
      </c>
      <c r="AG8403">
        <v>-1.0199140099999999</v>
      </c>
      <c r="AH8403">
        <v>12.128538730687101</v>
      </c>
      <c r="AI8403">
        <v>94.348209066940498</v>
      </c>
      <c r="AJ8403">
        <v>64.716611843640493</v>
      </c>
      <c r="AK8403">
        <v>13.452181873064401</v>
      </c>
      <c r="AL8403">
        <v>80.384632286386704</v>
      </c>
      <c r="AM8403">
        <v>74.894790379158295</v>
      </c>
      <c r="AN8403">
        <v>0.99999998915464405</v>
      </c>
    </row>
    <row r="8404" spans="1:40" x14ac:dyDescent="0.25">
      <c r="A8404" t="str">
        <f>"20190312172313689"</f>
        <v>20190312172313689</v>
      </c>
      <c r="B8404" t="str">
        <f>"1552382593678577"</f>
        <v>1552382593678577</v>
      </c>
      <c r="C8404" t="s">
        <v>40</v>
      </c>
      <c r="D8404">
        <v>3.435441</v>
      </c>
      <c r="E8404">
        <v>0.56884709999999905</v>
      </c>
      <c r="F8404" t="s">
        <v>62</v>
      </c>
      <c r="G8404">
        <v>-178.7056</v>
      </c>
      <c r="H8404">
        <v>7.9987989999999995E-2</v>
      </c>
      <c r="I8404">
        <v>128.0506</v>
      </c>
      <c r="J8404">
        <v>-186.4777</v>
      </c>
      <c r="K8404">
        <v>1.0997269999999999</v>
      </c>
      <c r="L8404">
        <v>117.1609</v>
      </c>
      <c r="M8404">
        <v>0.17648150000000001</v>
      </c>
      <c r="N8404">
        <v>0</v>
      </c>
      <c r="O8404">
        <v>0.98417589999999999</v>
      </c>
      <c r="P8404">
        <v>0.4189022</v>
      </c>
      <c r="Q8404">
        <v>0.1580956</v>
      </c>
      <c r="R8404">
        <v>0.89416260000000003</v>
      </c>
      <c r="S8404">
        <v>1.80043</v>
      </c>
      <c r="T8404">
        <v>-0.23508470000000001</v>
      </c>
      <c r="U8404">
        <v>2.5572810000000001</v>
      </c>
      <c r="V8404">
        <v>0.25868849999999999</v>
      </c>
      <c r="W8404">
        <v>0.16690529999999901</v>
      </c>
      <c r="X8404">
        <v>0.95143200000000006</v>
      </c>
      <c r="Y8404">
        <v>0.42061579999999898</v>
      </c>
      <c r="Z8404">
        <v>-7.6705129999999996E-2</v>
      </c>
      <c r="AA8404">
        <v>0.90399039999999997</v>
      </c>
      <c r="AB8404">
        <v>42</v>
      </c>
      <c r="AC8404">
        <v>7.7720999999999902</v>
      </c>
      <c r="AD8404">
        <v>-1.0197390099999999</v>
      </c>
      <c r="AE8404">
        <v>10.889699999999999</v>
      </c>
      <c r="AF8404">
        <v>5.6949196844843604</v>
      </c>
      <c r="AG8404">
        <v>-1.0197390099999999</v>
      </c>
      <c r="AH8404">
        <v>12.02070061501</v>
      </c>
      <c r="AI8404">
        <v>94.383924365867998</v>
      </c>
      <c r="AJ8404">
        <v>64.650306484807004</v>
      </c>
      <c r="AK8404">
        <v>13.340510527597701</v>
      </c>
      <c r="AL8404">
        <v>80.392064711721105</v>
      </c>
      <c r="AM8404">
        <v>74.789336949821703</v>
      </c>
      <c r="AN8404">
        <v>0.99999998491216902</v>
      </c>
    </row>
    <row r="8405" spans="1:40" x14ac:dyDescent="0.25">
      <c r="A8405" t="str">
        <f>"20190312172313701"</f>
        <v>20190312172313701</v>
      </c>
      <c r="B8405" t="str">
        <f>"1552382593688338"</f>
        <v>1552382593688338</v>
      </c>
      <c r="C8405" t="s">
        <v>40</v>
      </c>
      <c r="D8405">
        <v>3.4414910000000001</v>
      </c>
      <c r="E8405">
        <v>0.56865189999999999</v>
      </c>
      <c r="F8405" t="s">
        <v>62</v>
      </c>
      <c r="G8405">
        <v>-178.6096</v>
      </c>
      <c r="H8405">
        <v>7.9987970000000005E-2</v>
      </c>
      <c r="I8405">
        <v>128.18680000000001</v>
      </c>
      <c r="J8405">
        <v>-186.43680000000001</v>
      </c>
      <c r="K8405">
        <v>1.0995410000000001</v>
      </c>
      <c r="L8405">
        <v>117.3736</v>
      </c>
      <c r="M8405">
        <v>0.18154120000000001</v>
      </c>
      <c r="N8405">
        <v>0</v>
      </c>
      <c r="O8405">
        <v>0.98325479999999998</v>
      </c>
      <c r="P8405">
        <v>0.42507620000000002</v>
      </c>
      <c r="Q8405">
        <v>0.15793299999999999</v>
      </c>
      <c r="R8405">
        <v>0.89127289999999904</v>
      </c>
      <c r="S8405">
        <v>1.816589</v>
      </c>
      <c r="T8405">
        <v>-0.23543739999999999</v>
      </c>
      <c r="U8405">
        <v>2.5456539999999999</v>
      </c>
      <c r="V8405">
        <v>0.26044400000000001</v>
      </c>
      <c r="W8405">
        <v>0.166602</v>
      </c>
      <c r="X8405">
        <v>0.95100609999999997</v>
      </c>
      <c r="Y8405">
        <v>0.42170029999999997</v>
      </c>
      <c r="Z8405">
        <v>-7.6846639999999994E-2</v>
      </c>
      <c r="AA8405">
        <v>0.90347299999999997</v>
      </c>
      <c r="AB8405">
        <v>42</v>
      </c>
      <c r="AC8405">
        <v>7.8272000000000004</v>
      </c>
      <c r="AD8405">
        <v>-1.01955303</v>
      </c>
      <c r="AE8405">
        <v>10.8132</v>
      </c>
      <c r="AF8405">
        <v>5.70056074156573</v>
      </c>
      <c r="AG8405">
        <v>-1.01955303</v>
      </c>
      <c r="AH8405">
        <v>11.984700075695001</v>
      </c>
      <c r="AI8405">
        <v>94.393031189518197</v>
      </c>
      <c r="AJ8405">
        <v>64.561754470593797</v>
      </c>
      <c r="AK8405">
        <v>13.310481473396299</v>
      </c>
      <c r="AL8405">
        <v>80.409688980928195</v>
      </c>
      <c r="AM8405">
        <v>74.684408948248802</v>
      </c>
      <c r="AN8405">
        <v>0.99999995288860399</v>
      </c>
    </row>
    <row r="8406" spans="1:40" x14ac:dyDescent="0.25">
      <c r="A8406" t="str">
        <f>"20190312172313712"</f>
        <v>20190312172313712</v>
      </c>
      <c r="B8406" t="str">
        <f>"1552382593708832"</f>
        <v>1552382593708832</v>
      </c>
      <c r="C8406" t="s">
        <v>40</v>
      </c>
      <c r="D8406">
        <v>3.410927</v>
      </c>
      <c r="E8406">
        <v>0.56838330000000004</v>
      </c>
      <c r="F8406" t="s">
        <v>62</v>
      </c>
      <c r="G8406">
        <v>-178.5669</v>
      </c>
      <c r="H8406">
        <v>7.9987959999999997E-2</v>
      </c>
      <c r="I8406">
        <v>128.25569999999999</v>
      </c>
      <c r="J8406">
        <v>-186.3931</v>
      </c>
      <c r="K8406">
        <v>1.099345</v>
      </c>
      <c r="L8406">
        <v>117.5904</v>
      </c>
      <c r="M8406">
        <v>0.18687580000000001</v>
      </c>
      <c r="N8406">
        <v>0</v>
      </c>
      <c r="O8406">
        <v>0.98225439999999997</v>
      </c>
      <c r="P8406">
        <v>0.43132959999999898</v>
      </c>
      <c r="Q8406">
        <v>0.15784389999999901</v>
      </c>
      <c r="R8406">
        <v>0.88827929999999999</v>
      </c>
      <c r="S8406">
        <v>1.8325959999999999</v>
      </c>
      <c r="T8406">
        <v>-0.23741419999999999</v>
      </c>
      <c r="U8406">
        <v>2.5340120000000002</v>
      </c>
      <c r="V8406">
        <v>0.2620422</v>
      </c>
      <c r="W8406">
        <v>0.16637260000000001</v>
      </c>
      <c r="X8406">
        <v>0.95060719999999999</v>
      </c>
      <c r="Y8406">
        <v>0.42246929999999999</v>
      </c>
      <c r="Z8406">
        <v>-7.7511579999999997E-2</v>
      </c>
      <c r="AA8406">
        <v>0.90305690000000005</v>
      </c>
      <c r="AB8406">
        <v>42</v>
      </c>
      <c r="AC8406">
        <v>7.8262</v>
      </c>
      <c r="AD8406">
        <v>-1.01935704</v>
      </c>
      <c r="AE8406">
        <v>10.665299999999901</v>
      </c>
      <c r="AF8406">
        <v>5.6613400145490296</v>
      </c>
      <c r="AG8406">
        <v>-1.01935704</v>
      </c>
      <c r="AH8406">
        <v>11.869601771175301</v>
      </c>
      <c r="AI8406">
        <v>94.432369076614194</v>
      </c>
      <c r="AJ8406">
        <v>64.500666998672401</v>
      </c>
      <c r="AK8406">
        <v>13.1900457065781</v>
      </c>
      <c r="AL8406">
        <v>80.423019148943993</v>
      </c>
      <c r="AM8406">
        <v>74.588720340578902</v>
      </c>
      <c r="AN8406">
        <v>1.00000000265172</v>
      </c>
    </row>
    <row r="8407" spans="1:40" x14ac:dyDescent="0.25">
      <c r="A8407" t="str">
        <f>"20190312172313723"</f>
        <v>20190312172313723</v>
      </c>
      <c r="B8407" t="str">
        <f>"1552382593718593"</f>
        <v>1552382593718593</v>
      </c>
      <c r="C8407" t="s">
        <v>40</v>
      </c>
      <c r="D8407">
        <v>3.4308559999999999</v>
      </c>
      <c r="E8407">
        <v>0.56818400000000002</v>
      </c>
      <c r="F8407" t="s">
        <v>62</v>
      </c>
      <c r="G8407">
        <v>-178.52699999999999</v>
      </c>
      <c r="H8407">
        <v>7.9987950000000002E-2</v>
      </c>
      <c r="I8407">
        <v>128.3245</v>
      </c>
      <c r="J8407">
        <v>-186.35310000000001</v>
      </c>
      <c r="K8407">
        <v>1.0991690000000001</v>
      </c>
      <c r="L8407">
        <v>117.7863</v>
      </c>
      <c r="M8407">
        <v>0.1917421</v>
      </c>
      <c r="N8407">
        <v>0</v>
      </c>
      <c r="O8407">
        <v>0.98131570000000001</v>
      </c>
      <c r="P8407">
        <v>0.43725049999999999</v>
      </c>
      <c r="Q8407">
        <v>0.157472</v>
      </c>
      <c r="R8407">
        <v>0.88544599999999996</v>
      </c>
      <c r="S8407">
        <v>1.8483890000000001</v>
      </c>
      <c r="T8407">
        <v>-0.23953070000000001</v>
      </c>
      <c r="U8407">
        <v>2.5223390000000001</v>
      </c>
      <c r="V8407">
        <v>0.2637292</v>
      </c>
      <c r="W8407">
        <v>0.16586529999999899</v>
      </c>
      <c r="X8407">
        <v>0.9502292</v>
      </c>
      <c r="Y8407">
        <v>0.42361749999999998</v>
      </c>
      <c r="Z8407">
        <v>-7.8223089999999995E-2</v>
      </c>
      <c r="AA8407">
        <v>0.90245739999999997</v>
      </c>
      <c r="AB8407">
        <v>42</v>
      </c>
      <c r="AC8407">
        <v>7.8260999999999896</v>
      </c>
      <c r="AD8407">
        <v>-1.01918105</v>
      </c>
      <c r="AE8407">
        <v>10.5382</v>
      </c>
      <c r="AF8407">
        <v>5.6260613269395199</v>
      </c>
      <c r="AG8407">
        <v>-1.01918105</v>
      </c>
      <c r="AH8407">
        <v>11.7724301074776</v>
      </c>
      <c r="AI8407">
        <v>94.466412207879401</v>
      </c>
      <c r="AJ8407">
        <v>64.456797251262302</v>
      </c>
      <c r="AK8407">
        <v>13.0874522617127</v>
      </c>
      <c r="AL8407">
        <v>80.452494436433994</v>
      </c>
      <c r="AM8407">
        <v>74.488392656512403</v>
      </c>
      <c r="AN8407">
        <v>0.99999996060468399</v>
      </c>
    </row>
    <row r="8408" spans="1:40" x14ac:dyDescent="0.25">
      <c r="A8408" t="str">
        <f>"20190312172313735"</f>
        <v>20190312172313735</v>
      </c>
      <c r="B8408" t="str">
        <f>"1552382593728352"</f>
        <v>1552382593728352</v>
      </c>
      <c r="C8408" t="s">
        <v>40</v>
      </c>
      <c r="D8408">
        <v>3.4318469999999999</v>
      </c>
      <c r="E8408">
        <v>0.56798850000000001</v>
      </c>
      <c r="F8408" t="s">
        <v>62</v>
      </c>
      <c r="G8408">
        <v>-178.51740000000001</v>
      </c>
      <c r="H8408">
        <v>7.9987939999999993E-2</v>
      </c>
      <c r="I8408">
        <v>128.3409</v>
      </c>
      <c r="J8408">
        <v>-186.3056</v>
      </c>
      <c r="K8408">
        <v>1.0989690000000001</v>
      </c>
      <c r="L8408">
        <v>118.01049999999999</v>
      </c>
      <c r="M8408">
        <v>0.19744419999999999</v>
      </c>
      <c r="N8408">
        <v>0</v>
      </c>
      <c r="O8408">
        <v>0.98018380000000005</v>
      </c>
      <c r="P8408">
        <v>0.4434748</v>
      </c>
      <c r="Q8408">
        <v>0.15723709999999999</v>
      </c>
      <c r="R8408">
        <v>0.88238689999999997</v>
      </c>
      <c r="S8408">
        <v>1.8639829999999999</v>
      </c>
      <c r="T8408">
        <v>-0.24244779999999999</v>
      </c>
      <c r="U8408">
        <v>2.5107729999999999</v>
      </c>
      <c r="V8408">
        <v>0.26496530000000001</v>
      </c>
      <c r="W8408">
        <v>0.16549520000000001</v>
      </c>
      <c r="X8408">
        <v>0.94994990000000001</v>
      </c>
      <c r="Y8408">
        <v>0.42391240000000002</v>
      </c>
      <c r="Z8408">
        <v>-7.9185240000000004E-2</v>
      </c>
      <c r="AA8408">
        <v>0.90223500000000001</v>
      </c>
      <c r="AB8408">
        <v>42</v>
      </c>
      <c r="AC8408">
        <v>7.7881999999999802</v>
      </c>
      <c r="AD8408">
        <v>-1.01898106</v>
      </c>
      <c r="AE8408">
        <v>10.330399999999999</v>
      </c>
      <c r="AF8408">
        <v>5.56040996496142</v>
      </c>
      <c r="AG8408">
        <v>-1.01898106</v>
      </c>
      <c r="AH8408">
        <v>11.5929972453504</v>
      </c>
      <c r="AI8408">
        <v>94.531321283185207</v>
      </c>
      <c r="AJ8408">
        <v>64.375982500680394</v>
      </c>
      <c r="AK8408">
        <v>12.897831853058999</v>
      </c>
      <c r="AL8408">
        <v>80.473997560302294</v>
      </c>
      <c r="AM8408">
        <v>74.414855274975196</v>
      </c>
      <c r="AN8408">
        <v>1.00000004196856</v>
      </c>
    </row>
    <row r="8409" spans="1:40" x14ac:dyDescent="0.25">
      <c r="A8409" t="str">
        <f>"20190312172313745"</f>
        <v>20190312172313745</v>
      </c>
      <c r="B8409" t="str">
        <f>"1552382593739088"</f>
        <v>1552382593739088</v>
      </c>
      <c r="C8409" t="s">
        <v>40</v>
      </c>
      <c r="D8409">
        <v>3.4367480000000001</v>
      </c>
      <c r="E8409">
        <v>0.56786930000000002</v>
      </c>
      <c r="F8409" t="s">
        <v>62</v>
      </c>
      <c r="G8409">
        <v>-178.45050000000001</v>
      </c>
      <c r="H8409">
        <v>7.9987929999999999E-2</v>
      </c>
      <c r="I8409">
        <v>128.447</v>
      </c>
      <c r="J8409">
        <v>-186.26390000000001</v>
      </c>
      <c r="K8409">
        <v>1.098792</v>
      </c>
      <c r="L8409">
        <v>118.20269999999999</v>
      </c>
      <c r="M8409">
        <v>0.20241680000000001</v>
      </c>
      <c r="N8409">
        <v>0</v>
      </c>
      <c r="O8409">
        <v>0.97916859999999994</v>
      </c>
      <c r="P8409">
        <v>0.44909389999999999</v>
      </c>
      <c r="Q8409">
        <v>0.15721959999999999</v>
      </c>
      <c r="R8409">
        <v>0.87954339999999998</v>
      </c>
      <c r="S8409">
        <v>1.880371</v>
      </c>
      <c r="T8409">
        <v>-0.24392549999999999</v>
      </c>
      <c r="U8409">
        <v>2.4983059999999999</v>
      </c>
      <c r="V8409">
        <v>0.26627410000000001</v>
      </c>
      <c r="W8409">
        <v>0.16535359999999999</v>
      </c>
      <c r="X8409">
        <v>0.94960849999999997</v>
      </c>
      <c r="Y8409">
        <v>0.42523490000000003</v>
      </c>
      <c r="Z8409">
        <v>-7.9689090000000004E-2</v>
      </c>
      <c r="AA8409">
        <v>0.90156809999999998</v>
      </c>
      <c r="AB8409">
        <v>42</v>
      </c>
      <c r="AC8409">
        <v>7.8133999999999997</v>
      </c>
      <c r="AD8409">
        <v>-1.0188040700000001</v>
      </c>
      <c r="AE8409">
        <v>10.244300000000001</v>
      </c>
      <c r="AF8409">
        <v>5.5430716440633798</v>
      </c>
      <c r="AG8409">
        <v>-1.0188040700000001</v>
      </c>
      <c r="AH8409">
        <v>11.541778255451501</v>
      </c>
      <c r="AI8409">
        <v>94.549451543002903</v>
      </c>
      <c r="AJ8409">
        <v>64.346818579630707</v>
      </c>
      <c r="AK8409">
        <v>12.8443080888882</v>
      </c>
      <c r="AL8409">
        <v>80.482223639610197</v>
      </c>
      <c r="AM8409">
        <v>74.3362867574956</v>
      </c>
      <c r="AN8409">
        <v>1.0000000063180099</v>
      </c>
    </row>
    <row r="8410" spans="1:40" x14ac:dyDescent="0.25">
      <c r="A8410" t="str">
        <f>"20190312172313755"</f>
        <v>20190312172313755</v>
      </c>
      <c r="B8410" t="str">
        <f>"1552382593748848"</f>
        <v>1552382593748848</v>
      </c>
      <c r="C8410" t="s">
        <v>40</v>
      </c>
      <c r="D8410">
        <v>3.4114599999999999</v>
      </c>
      <c r="E8410">
        <v>0.5676928</v>
      </c>
      <c r="F8410" t="s">
        <v>62</v>
      </c>
      <c r="G8410">
        <v>-178.37739999999999</v>
      </c>
      <c r="H8410">
        <v>7.9987920000000004E-2</v>
      </c>
      <c r="I8410">
        <v>128.54650000000001</v>
      </c>
      <c r="J8410">
        <v>-186.21940000000001</v>
      </c>
      <c r="K8410">
        <v>1.0986089999999999</v>
      </c>
      <c r="L8410">
        <v>118.4034</v>
      </c>
      <c r="M8410">
        <v>0.2076894</v>
      </c>
      <c r="N8410">
        <v>0</v>
      </c>
      <c r="O8410">
        <v>0.97806329999999997</v>
      </c>
      <c r="P8410">
        <v>0.45499210000000001</v>
      </c>
      <c r="Q8410">
        <v>0.15715789999999999</v>
      </c>
      <c r="R8410">
        <v>0.87651789999999996</v>
      </c>
      <c r="S8410">
        <v>1.8958889999999999</v>
      </c>
      <c r="T8410">
        <v>-0.24491669999999999</v>
      </c>
      <c r="U8410">
        <v>2.4866030000000001</v>
      </c>
      <c r="V8410">
        <v>0.26760859999999997</v>
      </c>
      <c r="W8410">
        <v>0.16516169999999999</v>
      </c>
      <c r="X8410">
        <v>0.94926670000000002</v>
      </c>
      <c r="Y8410">
        <v>0.42594959999999998</v>
      </c>
      <c r="Z8410">
        <v>-8.0022839999999998E-2</v>
      </c>
      <c r="AA8410">
        <v>0.90120100000000003</v>
      </c>
      <c r="AB8410">
        <v>42</v>
      </c>
      <c r="AC8410">
        <v>7.8420000000000103</v>
      </c>
      <c r="AD8410">
        <v>-1.01862108</v>
      </c>
      <c r="AE8410">
        <v>10.1431</v>
      </c>
      <c r="AF8410">
        <v>5.5291728844166599</v>
      </c>
      <c r="AG8410">
        <v>-1.01862108</v>
      </c>
      <c r="AH8410">
        <v>11.478327196038199</v>
      </c>
      <c r="AI8410">
        <v>94.571107801853501</v>
      </c>
      <c r="AJ8410">
        <v>64.279629221294499</v>
      </c>
      <c r="AK8410">
        <v>12.7812885465316</v>
      </c>
      <c r="AL8410">
        <v>80.493372008753795</v>
      </c>
      <c r="AM8410">
        <v>74.256278855858</v>
      </c>
      <c r="AN8410">
        <v>1.0000000088348699</v>
      </c>
    </row>
    <row r="8411" spans="1:40" x14ac:dyDescent="0.25">
      <c r="A8411" t="str">
        <f>"20190312172313770"</f>
        <v>20190312172313770</v>
      </c>
      <c r="B8411" t="str">
        <f>"1552382593758609"</f>
        <v>1552382593758609</v>
      </c>
      <c r="C8411" t="s">
        <v>40</v>
      </c>
      <c r="D8411">
        <v>3.4223710000000001</v>
      </c>
      <c r="E8411">
        <v>0.5676928</v>
      </c>
      <c r="F8411" t="s">
        <v>62</v>
      </c>
      <c r="G8411">
        <v>-178.3192</v>
      </c>
      <c r="H8411">
        <v>7.9987909999999995E-2</v>
      </c>
      <c r="I8411">
        <v>128.63079999999999</v>
      </c>
      <c r="J8411">
        <v>-186.16069999999999</v>
      </c>
      <c r="K8411">
        <v>1.098376</v>
      </c>
      <c r="L8411">
        <v>118.65860000000001</v>
      </c>
      <c r="M8411">
        <v>0.21456020000000001</v>
      </c>
      <c r="N8411">
        <v>0</v>
      </c>
      <c r="O8411">
        <v>0.97657850000000002</v>
      </c>
      <c r="P8411">
        <v>0.46249410000000002</v>
      </c>
      <c r="Q8411">
        <v>0.15705050000000001</v>
      </c>
      <c r="R8411">
        <v>0.87260210000000005</v>
      </c>
      <c r="S8411">
        <v>1.9114690000000001</v>
      </c>
      <c r="T8411">
        <v>-0.2464597</v>
      </c>
      <c r="U8411">
        <v>2.4745789999999999</v>
      </c>
      <c r="V8411">
        <v>0.26916709999999999</v>
      </c>
      <c r="W8411">
        <v>0.16489179999999901</v>
      </c>
      <c r="X8411">
        <v>0.94887290000000002</v>
      </c>
      <c r="Y8411">
        <v>0.42524030000000002</v>
      </c>
      <c r="Z8411">
        <v>-8.0523220000000006E-2</v>
      </c>
      <c r="AA8411">
        <v>0.90149140000000005</v>
      </c>
      <c r="AB8411">
        <v>42</v>
      </c>
      <c r="AC8411">
        <v>7.8414999999999901</v>
      </c>
      <c r="AD8411">
        <v>-1.01838809</v>
      </c>
      <c r="AE8411">
        <v>9.9721999999999795</v>
      </c>
      <c r="AF8411">
        <v>5.4835779501113402</v>
      </c>
      <c r="AG8411">
        <v>-1.01838809</v>
      </c>
      <c r="AH8411">
        <v>11.3494457585536</v>
      </c>
      <c r="AI8411">
        <v>94.619124128978399</v>
      </c>
      <c r="AJ8411">
        <v>64.212107551203502</v>
      </c>
      <c r="AK8411">
        <v>12.645815927141699</v>
      </c>
      <c r="AL8411">
        <v>80.509051095730101</v>
      </c>
      <c r="AM8411">
        <v>74.162933368298397</v>
      </c>
      <c r="AN8411">
        <v>1.0000000068920201</v>
      </c>
    </row>
    <row r="8412" spans="1:40" x14ac:dyDescent="0.25">
      <c r="A8412" t="str">
        <f>"20190312172313783"</f>
        <v>20190312172313783</v>
      </c>
      <c r="B8412" t="str">
        <f>"1552382593779105"</f>
        <v>1552382593779105</v>
      </c>
      <c r="C8412" t="s">
        <v>40</v>
      </c>
      <c r="D8412">
        <v>3.4211800000000001</v>
      </c>
      <c r="E8412">
        <v>0.56458609999999998</v>
      </c>
      <c r="F8412" t="s">
        <v>62</v>
      </c>
      <c r="G8412">
        <v>-178.18960000000001</v>
      </c>
      <c r="H8412">
        <v>7.9987849999999999E-2</v>
      </c>
      <c r="I8412">
        <v>128.798</v>
      </c>
      <c r="J8412">
        <v>-186.1054</v>
      </c>
      <c r="K8412">
        <v>1.098155</v>
      </c>
      <c r="L8412">
        <v>118.8935</v>
      </c>
      <c r="M8412">
        <v>0.2209777</v>
      </c>
      <c r="N8412">
        <v>0</v>
      </c>
      <c r="O8412">
        <v>0.97514579999999995</v>
      </c>
      <c r="P8412">
        <v>0.46936990000000001</v>
      </c>
      <c r="Q8412">
        <v>0.1567839</v>
      </c>
      <c r="R8412">
        <v>0.868971099999999</v>
      </c>
      <c r="S8412">
        <v>1.9324950000000001</v>
      </c>
      <c r="T8412">
        <v>-0.24689639999999999</v>
      </c>
      <c r="U8412">
        <v>2.4581759999999999</v>
      </c>
      <c r="V8412">
        <v>0.27049020000000001</v>
      </c>
      <c r="W8412">
        <v>0.16447699999999901</v>
      </c>
      <c r="X8412">
        <v>0.94856859999999998</v>
      </c>
      <c r="Y8412">
        <v>0.42697249999999998</v>
      </c>
      <c r="Z8412">
        <v>-8.0683589999999999E-2</v>
      </c>
      <c r="AA8412">
        <v>0.90065790000000001</v>
      </c>
      <c r="AB8412">
        <v>42</v>
      </c>
      <c r="AC8412">
        <v>7.9157999999999902</v>
      </c>
      <c r="AD8412">
        <v>-1.01816715</v>
      </c>
      <c r="AE8412">
        <v>9.9045000000000005</v>
      </c>
      <c r="AF8412">
        <v>5.4956641422859196</v>
      </c>
      <c r="AG8412">
        <v>-1.01816715</v>
      </c>
      <c r="AH8412">
        <v>11.3359269916689</v>
      </c>
      <c r="AI8412">
        <v>94.620646004916594</v>
      </c>
      <c r="AJ8412">
        <v>64.135864910825305</v>
      </c>
      <c r="AK8412">
        <v>12.638917258633899</v>
      </c>
      <c r="AL8412">
        <v>80.533146407682807</v>
      </c>
      <c r="AM8412">
        <v>74.084172104347999</v>
      </c>
      <c r="AN8412">
        <v>1.0000000103655</v>
      </c>
    </row>
    <row r="8413" spans="1:40" x14ac:dyDescent="0.25">
      <c r="A8413" t="str">
        <f>"20190312172313801"</f>
        <v>20190312172313801</v>
      </c>
      <c r="B8413" t="str">
        <f>"1552382593788864"</f>
        <v>1552382593788864</v>
      </c>
      <c r="C8413" t="s">
        <v>40</v>
      </c>
      <c r="D8413">
        <v>3.4217650000000002</v>
      </c>
      <c r="E8413">
        <v>0.56438719999999998</v>
      </c>
      <c r="F8413" t="s">
        <v>62</v>
      </c>
      <c r="G8413">
        <v>-178.59129999999999</v>
      </c>
      <c r="H8413">
        <v>7.9987879999999997E-2</v>
      </c>
      <c r="I8413">
        <v>128.453</v>
      </c>
      <c r="J8413">
        <v>-186.0248</v>
      </c>
      <c r="K8413">
        <v>1.0978460000000001</v>
      </c>
      <c r="L8413">
        <v>119.2229</v>
      </c>
      <c r="M8413">
        <v>0.23021630000000001</v>
      </c>
      <c r="N8413">
        <v>0</v>
      </c>
      <c r="O8413">
        <v>0.97300540000000002</v>
      </c>
      <c r="P8413">
        <v>0.48084830000000001</v>
      </c>
      <c r="Q8413">
        <v>0.15597069999999999</v>
      </c>
      <c r="R8413">
        <v>0.86281980000000003</v>
      </c>
      <c r="S8413">
        <v>1.930939</v>
      </c>
      <c r="T8413">
        <v>-0.26164569999999998</v>
      </c>
      <c r="U8413">
        <v>2.4565730000000001</v>
      </c>
      <c r="V8413">
        <v>0.2741384</v>
      </c>
      <c r="W8413">
        <v>0.16339600000000001</v>
      </c>
      <c r="X8413">
        <v>0.94770770000000004</v>
      </c>
      <c r="Y8413">
        <v>0.41806670000000001</v>
      </c>
      <c r="Z8413">
        <v>-8.5429130000000006E-2</v>
      </c>
      <c r="AA8413">
        <v>0.90439049999999999</v>
      </c>
      <c r="AB8413">
        <v>42</v>
      </c>
      <c r="AC8413">
        <v>7.4335000000000004</v>
      </c>
      <c r="AD8413">
        <v>-1.0178581200000001</v>
      </c>
      <c r="AE8413">
        <v>9.2301000000000002</v>
      </c>
      <c r="AF8413">
        <v>5.0711754596261196</v>
      </c>
      <c r="AG8413">
        <v>-1.0178581200000001</v>
      </c>
      <c r="AH8413">
        <v>10.6153417644837</v>
      </c>
      <c r="AI8413">
        <v>94.944906205952805</v>
      </c>
      <c r="AJ8413">
        <v>64.465197612093306</v>
      </c>
      <c r="AK8413">
        <v>11.8084010971662</v>
      </c>
      <c r="AL8413">
        <v>80.595932489692999</v>
      </c>
      <c r="AM8413">
        <v>73.866709052004396</v>
      </c>
      <c r="AN8413">
        <v>0.99999999990492405</v>
      </c>
    </row>
    <row r="8414" spans="1:40" x14ac:dyDescent="0.25">
      <c r="A8414" t="str">
        <f>"20190312172313812"</f>
        <v>20190312172313812</v>
      </c>
      <c r="B8414" t="str">
        <f>"1552382593808384"</f>
        <v>1552382593808384</v>
      </c>
      <c r="C8414" t="s">
        <v>40</v>
      </c>
      <c r="D8414">
        <v>3.4019599999999999</v>
      </c>
      <c r="E8414">
        <v>0.56370410000000004</v>
      </c>
      <c r="F8414" t="s">
        <v>62</v>
      </c>
      <c r="G8414">
        <v>-178.49700000000001</v>
      </c>
      <c r="H8414">
        <v>7.9987890000000006E-2</v>
      </c>
      <c r="I8414">
        <v>128.5538</v>
      </c>
      <c r="J8414">
        <v>-185.9682</v>
      </c>
      <c r="K8414">
        <v>1.0976379999999999</v>
      </c>
      <c r="L8414">
        <v>119.44459999999999</v>
      </c>
      <c r="M8414">
        <v>0.23661370000000001</v>
      </c>
      <c r="N8414">
        <v>0</v>
      </c>
      <c r="O8414">
        <v>0.97146889999999997</v>
      </c>
      <c r="P8414">
        <v>0.48814200000000002</v>
      </c>
      <c r="Q8414">
        <v>0.15565199999999901</v>
      </c>
      <c r="R8414">
        <v>0.85877230000000004</v>
      </c>
      <c r="S8414">
        <v>1.9617610000000001</v>
      </c>
      <c r="T8414">
        <v>-0.26525609999999999</v>
      </c>
      <c r="U8414">
        <v>2.4316409999999999</v>
      </c>
      <c r="V8414">
        <v>0.27599309999999899</v>
      </c>
      <c r="W8414">
        <v>0.16291710000000001</v>
      </c>
      <c r="X8414">
        <v>0.94725170000000003</v>
      </c>
      <c r="Y8414">
        <v>0.42349409999999998</v>
      </c>
      <c r="Z8414">
        <v>-8.6660829999999994E-2</v>
      </c>
      <c r="AA8414">
        <v>0.9017442</v>
      </c>
      <c r="AB8414">
        <v>42</v>
      </c>
      <c r="AC8414">
        <v>7.4711999999999801</v>
      </c>
      <c r="AD8414">
        <v>-1.0176501099999999</v>
      </c>
      <c r="AE8414">
        <v>9.1091999999999995</v>
      </c>
      <c r="AF8414">
        <v>5.0655498810453397</v>
      </c>
      <c r="AG8414">
        <v>-1.0176501099999999</v>
      </c>
      <c r="AH8414">
        <v>10.539842872068</v>
      </c>
      <c r="AI8414">
        <v>94.973564446385097</v>
      </c>
      <c r="AJ8414">
        <v>64.330612865486202</v>
      </c>
      <c r="AK8414">
        <v>11.738129966550201</v>
      </c>
      <c r="AL8414">
        <v>80.623743901297203</v>
      </c>
      <c r="AM8414">
        <v>73.755886941036394</v>
      </c>
      <c r="AN8414">
        <v>0.99999997793645401</v>
      </c>
    </row>
    <row r="8415" spans="1:40" x14ac:dyDescent="0.25">
      <c r="A8415" t="str">
        <f>"20190312172313823"</f>
        <v>20190312172313823</v>
      </c>
      <c r="B8415" t="str">
        <f>"1552382593819121"</f>
        <v>1552382593819121</v>
      </c>
      <c r="C8415" t="s">
        <v>40</v>
      </c>
      <c r="D8415">
        <v>3.4259179999999998</v>
      </c>
      <c r="E8415">
        <v>0.56341239999999904</v>
      </c>
      <c r="F8415" t="s">
        <v>62</v>
      </c>
      <c r="G8415">
        <v>-178.4588</v>
      </c>
      <c r="H8415">
        <v>7.9987870000000003E-2</v>
      </c>
      <c r="I8415">
        <v>128.6241</v>
      </c>
      <c r="J8415">
        <v>-185.92080000000001</v>
      </c>
      <c r="K8415">
        <v>1.0974649999999999</v>
      </c>
      <c r="L8415">
        <v>119.6276</v>
      </c>
      <c r="M8415">
        <v>0.2419317</v>
      </c>
      <c r="N8415">
        <v>0</v>
      </c>
      <c r="O8415">
        <v>0.97015770000000001</v>
      </c>
      <c r="P8415">
        <v>0.49477959999999899</v>
      </c>
      <c r="Q8415">
        <v>0.15530479999999899</v>
      </c>
      <c r="R8415">
        <v>0.85502839999999902</v>
      </c>
      <c r="S8415">
        <v>1.977814</v>
      </c>
      <c r="T8415">
        <v>-0.26802920000000002</v>
      </c>
      <c r="U8415">
        <v>2.4177089999999999</v>
      </c>
      <c r="V8415">
        <v>0.27818589999999999</v>
      </c>
      <c r="W8415">
        <v>0.16241320000000001</v>
      </c>
      <c r="X8415">
        <v>0.9466966</v>
      </c>
      <c r="Y8415">
        <v>0.42461569999999998</v>
      </c>
      <c r="Z8415">
        <v>-8.7583019999999998E-2</v>
      </c>
      <c r="AA8415">
        <v>0.90112749999999997</v>
      </c>
      <c r="AB8415">
        <v>42</v>
      </c>
      <c r="AC8415">
        <v>7.4620000000000104</v>
      </c>
      <c r="AD8415">
        <v>-1.0174771299999901</v>
      </c>
      <c r="AE8415">
        <v>8.9964999999999904</v>
      </c>
      <c r="AF8415">
        <v>5.0253634138030003</v>
      </c>
      <c r="AG8415">
        <v>-1.0174771299999901</v>
      </c>
      <c r="AH8415">
        <v>10.4554750553588</v>
      </c>
      <c r="AI8415">
        <v>95.012578464114398</v>
      </c>
      <c r="AJ8415">
        <v>64.329003521485205</v>
      </c>
      <c r="AK8415">
        <v>11.6450202139839</v>
      </c>
      <c r="AL8415">
        <v>80.653004676694195</v>
      </c>
      <c r="AM8415">
        <v>73.624624704279896</v>
      </c>
      <c r="AN8415">
        <v>0.99999994747230303</v>
      </c>
    </row>
    <row r="8416" spans="1:40" x14ac:dyDescent="0.25">
      <c r="A8416" t="str">
        <f>"20190312172313833"</f>
        <v>20190312172313833</v>
      </c>
      <c r="B8416" t="str">
        <f>"1552382593828880"</f>
        <v>1552382593828880</v>
      </c>
      <c r="C8416" t="s">
        <v>40</v>
      </c>
      <c r="D8416">
        <v>3.4075660000000001</v>
      </c>
      <c r="E8416">
        <v>0.56321469999999996</v>
      </c>
      <c r="F8416" t="s">
        <v>62</v>
      </c>
      <c r="G8416">
        <v>-178.3887</v>
      </c>
      <c r="H8416">
        <v>7.9987840000000004E-2</v>
      </c>
      <c r="I8416">
        <v>128.70429999999999</v>
      </c>
      <c r="J8416">
        <v>-185.86609999999999</v>
      </c>
      <c r="K8416">
        <v>1.0972820000000001</v>
      </c>
      <c r="L8416">
        <v>119.8322</v>
      </c>
      <c r="M8416">
        <v>0.24799869999999999</v>
      </c>
      <c r="N8416">
        <v>0</v>
      </c>
      <c r="O8416">
        <v>0.96862409999999999</v>
      </c>
      <c r="P8416">
        <v>0.50208339999999996</v>
      </c>
      <c r="Q8416">
        <v>0.1552818</v>
      </c>
      <c r="R8416">
        <v>0.85076430000000003</v>
      </c>
      <c r="S8416">
        <v>1.9944459999999999</v>
      </c>
      <c r="T8416">
        <v>-0.26942189999999999</v>
      </c>
      <c r="U8416">
        <v>2.403473</v>
      </c>
      <c r="V8416">
        <v>0.28044180000000002</v>
      </c>
      <c r="W8416">
        <v>0.16222259999999999</v>
      </c>
      <c r="X8416">
        <v>0.94606349999999995</v>
      </c>
      <c r="Y8416">
        <v>0.42524289999999998</v>
      </c>
      <c r="Z8416">
        <v>-8.8039510000000001E-2</v>
      </c>
      <c r="AA8416">
        <v>0.90078720000000001</v>
      </c>
      <c r="AB8416">
        <v>42</v>
      </c>
      <c r="AC8416">
        <v>7.4773999999999798</v>
      </c>
      <c r="AD8416">
        <v>-1.0172941599999901</v>
      </c>
      <c r="AE8416">
        <v>8.8720999999999801</v>
      </c>
      <c r="AF8416">
        <v>5.0047143392965001</v>
      </c>
      <c r="AG8416">
        <v>-1.0172941599999901</v>
      </c>
      <c r="AH8416">
        <v>10.369780732832499</v>
      </c>
      <c r="AI8416">
        <v>95.048992975556999</v>
      </c>
      <c r="AJ8416">
        <v>64.236886455761706</v>
      </c>
      <c r="AK8416">
        <v>11.559169757078401</v>
      </c>
      <c r="AL8416">
        <v>80.664072145816803</v>
      </c>
      <c r="AM8416">
        <v>73.488585529142199</v>
      </c>
      <c r="AN8416">
        <v>0.99999996058512397</v>
      </c>
    </row>
    <row r="8417" spans="1:40" x14ac:dyDescent="0.25">
      <c r="A8417" t="str">
        <f>"20190312172313846"</f>
        <v>20190312172313846</v>
      </c>
      <c r="B8417" t="str">
        <f>"1552382593838640"</f>
        <v>1552382593838640</v>
      </c>
      <c r="C8417" t="s">
        <v>40</v>
      </c>
      <c r="D8417">
        <v>3.4139879999999998</v>
      </c>
      <c r="E8417">
        <v>0.56302339999999995</v>
      </c>
      <c r="F8417" t="s">
        <v>62</v>
      </c>
      <c r="G8417">
        <v>-178.2859</v>
      </c>
      <c r="H8417">
        <v>7.9987799999999998E-2</v>
      </c>
      <c r="I8417">
        <v>128.81559999999999</v>
      </c>
      <c r="J8417">
        <v>-185.8066</v>
      </c>
      <c r="K8417">
        <v>1.0970869999999999</v>
      </c>
      <c r="L8417">
        <v>120.04940000000001</v>
      </c>
      <c r="M8417">
        <v>0.2545248</v>
      </c>
      <c r="N8417">
        <v>0</v>
      </c>
      <c r="O8417">
        <v>0.96692909999999999</v>
      </c>
      <c r="P8417">
        <v>0.50975329999999996</v>
      </c>
      <c r="Q8417">
        <v>0.15528239999999999</v>
      </c>
      <c r="R8417">
        <v>0.84619089999999997</v>
      </c>
      <c r="S8417">
        <v>2.0140989999999999</v>
      </c>
      <c r="T8417">
        <v>-0.27030120000000002</v>
      </c>
      <c r="U8417">
        <v>2.3869479999999998</v>
      </c>
      <c r="V8417">
        <v>0.2826939</v>
      </c>
      <c r="W8417">
        <v>0.16204849999999901</v>
      </c>
      <c r="X8417">
        <v>0.94542289999999995</v>
      </c>
      <c r="Y8417">
        <v>0.42653360000000001</v>
      </c>
      <c r="Z8417">
        <v>-8.8323440000000003E-2</v>
      </c>
      <c r="AA8417">
        <v>0.90014889999999903</v>
      </c>
      <c r="AB8417">
        <v>42</v>
      </c>
      <c r="AC8417">
        <v>7.5206999999999997</v>
      </c>
      <c r="AD8417">
        <v>-1.0170992000000001</v>
      </c>
      <c r="AE8417">
        <v>8.76619999999998</v>
      </c>
      <c r="AF8417">
        <v>5.00264459025012</v>
      </c>
      <c r="AG8417">
        <v>-1.0170992000000001</v>
      </c>
      <c r="AH8417">
        <v>10.311914252989601</v>
      </c>
      <c r="AI8417">
        <v>95.071248059304907</v>
      </c>
      <c r="AJ8417">
        <v>64.120469774690093</v>
      </c>
      <c r="AK8417">
        <v>11.5063686382807</v>
      </c>
      <c r="AL8417">
        <v>80.674181550313193</v>
      </c>
      <c r="AM8417">
        <v>73.352642406155397</v>
      </c>
      <c r="AN8417">
        <v>1.0000000086469301</v>
      </c>
    </row>
    <row r="8418" spans="1:40" x14ac:dyDescent="0.25">
      <c r="A8418" t="str">
        <f>"20190312172313856"</f>
        <v>20190312172313856</v>
      </c>
      <c r="B8418" t="str">
        <f>"1552382593848402"</f>
        <v>1552382593848402</v>
      </c>
      <c r="C8418" t="s">
        <v>40</v>
      </c>
      <c r="D8418">
        <v>3.42401</v>
      </c>
      <c r="E8418">
        <v>0.56284769999999995</v>
      </c>
      <c r="F8418" t="s">
        <v>62</v>
      </c>
      <c r="G8418">
        <v>-178.15479999999999</v>
      </c>
      <c r="H8418">
        <v>7.9987749999999996E-2</v>
      </c>
      <c r="I8418">
        <v>128.95830000000001</v>
      </c>
      <c r="J8418">
        <v>-185.7526</v>
      </c>
      <c r="K8418">
        <v>1.0969120000000001</v>
      </c>
      <c r="L8418">
        <v>120.2427</v>
      </c>
      <c r="M8418">
        <v>0.2604071</v>
      </c>
      <c r="N8418">
        <v>0</v>
      </c>
      <c r="O8418">
        <v>0.96536109999999997</v>
      </c>
      <c r="P8418">
        <v>0.51688690000000004</v>
      </c>
      <c r="Q8418">
        <v>0.15503599999999901</v>
      </c>
      <c r="R8418">
        <v>0.84189769999999897</v>
      </c>
      <c r="S8418">
        <v>2.0348510000000002</v>
      </c>
      <c r="T8418">
        <v>-0.27047719999999997</v>
      </c>
      <c r="U8418">
        <v>2.3691249999999999</v>
      </c>
      <c r="V8418">
        <v>0.2849797</v>
      </c>
      <c r="W8418">
        <v>0.16163540000000001</v>
      </c>
      <c r="X8418">
        <v>0.94480719999999996</v>
      </c>
      <c r="Y8418">
        <v>0.42891020000000002</v>
      </c>
      <c r="Z8418">
        <v>-8.8394269999999997E-2</v>
      </c>
      <c r="AA8418">
        <v>0.89901200000000003</v>
      </c>
      <c r="AB8418">
        <v>42</v>
      </c>
      <c r="AC8418">
        <v>7.5978000000000003</v>
      </c>
      <c r="AD8418">
        <v>-1.01692425</v>
      </c>
      <c r="AE8418">
        <v>8.7156000000000091</v>
      </c>
      <c r="AF8418">
        <v>5.0268059891958297</v>
      </c>
      <c r="AG8418">
        <v>-1.01692425</v>
      </c>
      <c r="AH8418">
        <v>10.3138234010967</v>
      </c>
      <c r="AI8418">
        <v>95.064980622497998</v>
      </c>
      <c r="AJ8418">
        <v>64.0160762076857</v>
      </c>
      <c r="AK8418">
        <v>11.5185878705796</v>
      </c>
      <c r="AL8418">
        <v>80.698166920334501</v>
      </c>
      <c r="AM8418">
        <v>73.215252133542606</v>
      </c>
      <c r="AN8418">
        <v>1.0000000385585399</v>
      </c>
    </row>
    <row r="8419" spans="1:40" x14ac:dyDescent="0.25">
      <c r="A8419" t="str">
        <f>"20190312172313868"</f>
        <v>20190312172313868</v>
      </c>
      <c r="B8419" t="str">
        <f>"1552382593859138"</f>
        <v>1552382593859138</v>
      </c>
      <c r="C8419" t="s">
        <v>40</v>
      </c>
      <c r="D8419">
        <v>3.4182079999999999</v>
      </c>
      <c r="E8419">
        <v>0.56284769999999995</v>
      </c>
      <c r="F8419" t="s">
        <v>62</v>
      </c>
      <c r="G8419">
        <v>-178.0643</v>
      </c>
      <c r="H8419">
        <v>7.9987710000000004E-2</v>
      </c>
      <c r="I8419">
        <v>129.04910000000001</v>
      </c>
      <c r="J8419">
        <v>-185.6935</v>
      </c>
      <c r="K8419">
        <v>1.0967290000000001</v>
      </c>
      <c r="L8419">
        <v>120.44750000000001</v>
      </c>
      <c r="M8419">
        <v>0.266760099999999</v>
      </c>
      <c r="N8419">
        <v>0</v>
      </c>
      <c r="O8419">
        <v>0.96362440000000005</v>
      </c>
      <c r="P8419">
        <v>0.52435929999999997</v>
      </c>
      <c r="Q8419">
        <v>0.15524560000000001</v>
      </c>
      <c r="R8419">
        <v>0.83722529999999995</v>
      </c>
      <c r="S8419">
        <v>2.0537869999999998</v>
      </c>
      <c r="T8419">
        <v>-0.27165450000000002</v>
      </c>
      <c r="U8419">
        <v>2.3524929999999999</v>
      </c>
      <c r="V8419">
        <v>0.28725640000000002</v>
      </c>
      <c r="W8419">
        <v>0.16167210000000001</v>
      </c>
      <c r="X8419">
        <v>0.94411120000000004</v>
      </c>
      <c r="Y8419">
        <v>0.4301972</v>
      </c>
      <c r="Z8419">
        <v>-8.8773229999999995E-2</v>
      </c>
      <c r="AA8419">
        <v>0.89835940000000003</v>
      </c>
      <c r="AB8419">
        <v>42</v>
      </c>
      <c r="AC8419">
        <v>7.6291999999999902</v>
      </c>
      <c r="AD8419">
        <v>-1.0167412899999999</v>
      </c>
      <c r="AE8419">
        <v>8.6015999999999995</v>
      </c>
      <c r="AF8419">
        <v>5.0185492170283901</v>
      </c>
      <c r="AG8419">
        <v>-1.0167412899999999</v>
      </c>
      <c r="AH8419">
        <v>10.245138133034599</v>
      </c>
      <c r="AI8419">
        <v>95.092924881062402</v>
      </c>
      <c r="AJ8419">
        <v>63.902219747026599</v>
      </c>
      <c r="AK8419">
        <v>11.4534909289477</v>
      </c>
      <c r="AL8419">
        <v>80.696036084494096</v>
      </c>
      <c r="AM8419">
        <v>73.077029958792096</v>
      </c>
      <c r="AN8419">
        <v>1.0000000326123999</v>
      </c>
    </row>
    <row r="8420" spans="1:40" x14ac:dyDescent="0.25">
      <c r="A8420" t="str">
        <f>"20190312172313880"</f>
        <v>20190312172313880</v>
      </c>
      <c r="B8420" t="str">
        <f>"1552382593868897"</f>
        <v>1552382593868897</v>
      </c>
      <c r="C8420" t="s">
        <v>40</v>
      </c>
      <c r="D8420">
        <v>3.4047320000000001</v>
      </c>
      <c r="E8420">
        <v>0.55935979999999996</v>
      </c>
      <c r="F8420" t="s">
        <v>62</v>
      </c>
      <c r="G8420">
        <v>-177.91290000000001</v>
      </c>
      <c r="H8420">
        <v>7.9987660000000002E-2</v>
      </c>
      <c r="I8420">
        <v>129.20230000000001</v>
      </c>
      <c r="J8420">
        <v>-185.6267</v>
      </c>
      <c r="K8420">
        <v>1.0965259999999999</v>
      </c>
      <c r="L8420">
        <v>120.6755</v>
      </c>
      <c r="M8420">
        <v>0.27388620000000002</v>
      </c>
      <c r="N8420">
        <v>0</v>
      </c>
      <c r="O8420">
        <v>0.96162259999999999</v>
      </c>
      <c r="P8420">
        <v>0.53246890000000002</v>
      </c>
      <c r="Q8420">
        <v>0.1549546</v>
      </c>
      <c r="R8420">
        <v>0.83214539999999904</v>
      </c>
      <c r="S8420">
        <v>2.0744929999999999</v>
      </c>
      <c r="T8420">
        <v>-0.27108660000000001</v>
      </c>
      <c r="U8420">
        <v>2.3342290000000001</v>
      </c>
      <c r="V8420">
        <v>0.28949760000000002</v>
      </c>
      <c r="W8420">
        <v>0.161197799999999</v>
      </c>
      <c r="X8420">
        <v>0.94350750000000005</v>
      </c>
      <c r="Y8420">
        <v>0.43147429999999898</v>
      </c>
      <c r="Z8420">
        <v>-8.8574429999999996E-2</v>
      </c>
      <c r="AA8420">
        <v>0.89776639999999996</v>
      </c>
      <c r="AB8420">
        <v>42</v>
      </c>
      <c r="AC8420">
        <v>7.7137999999999902</v>
      </c>
      <c r="AD8420">
        <v>-1.0165383400000001</v>
      </c>
      <c r="AE8420">
        <v>8.5267999999999997</v>
      </c>
      <c r="AF8420">
        <v>5.0436522097452396</v>
      </c>
      <c r="AG8420">
        <v>-1.0165383400000001</v>
      </c>
      <c r="AH8420">
        <v>10.2336640899579</v>
      </c>
      <c r="AI8420">
        <v>95.0915708655413</v>
      </c>
      <c r="AJ8420">
        <v>63.763658236572802</v>
      </c>
      <c r="AK8420">
        <v>11.454241944173001</v>
      </c>
      <c r="AL8420">
        <v>80.723572324823493</v>
      </c>
      <c r="AM8420">
        <v>72.942349296627896</v>
      </c>
      <c r="AN8420">
        <v>0.999999996843425</v>
      </c>
    </row>
    <row r="8421" spans="1:40" x14ac:dyDescent="0.25">
      <c r="A8421" t="str">
        <f>"20190312172313893"</f>
        <v>20190312172313893</v>
      </c>
      <c r="B8421" t="str">
        <f>"1552382593888417"</f>
        <v>1552382593888417</v>
      </c>
      <c r="C8421" t="s">
        <v>40</v>
      </c>
      <c r="D8421">
        <v>3.4179050000000002</v>
      </c>
      <c r="E8421">
        <v>0.55883190000000005</v>
      </c>
      <c r="F8421" t="s">
        <v>62</v>
      </c>
      <c r="G8421">
        <v>-178.0428</v>
      </c>
      <c r="H8421">
        <v>7.9987619999999995E-2</v>
      </c>
      <c r="I8421">
        <v>129.19290000000001</v>
      </c>
      <c r="J8421">
        <v>-185.55840000000001</v>
      </c>
      <c r="K8421">
        <v>1.0963240000000001</v>
      </c>
      <c r="L8421">
        <v>120.89960000000001</v>
      </c>
      <c r="M8421">
        <v>0.28106219999999998</v>
      </c>
      <c r="N8421">
        <v>0</v>
      </c>
      <c r="O8421">
        <v>0.95954910000000004</v>
      </c>
      <c r="P8421">
        <v>0.5404177</v>
      </c>
      <c r="Q8421">
        <v>0.1548147</v>
      </c>
      <c r="R8421">
        <v>0.82703150000000003</v>
      </c>
      <c r="S8421">
        <v>2.0743260000000001</v>
      </c>
      <c r="T8421">
        <v>-0.27803810000000001</v>
      </c>
      <c r="U8421">
        <v>2.3296199999999998</v>
      </c>
      <c r="V8421">
        <v>0.2915566</v>
      </c>
      <c r="W8421">
        <v>0.16088429999999901</v>
      </c>
      <c r="X8421">
        <v>0.94292679999999995</v>
      </c>
      <c r="Y8421">
        <v>0.42543789999999998</v>
      </c>
      <c r="Z8421">
        <v>-9.0805910000000004E-2</v>
      </c>
      <c r="AA8421">
        <v>0.90042040000000001</v>
      </c>
      <c r="AB8421">
        <v>42</v>
      </c>
      <c r="AC8421">
        <v>7.5156000000000001</v>
      </c>
      <c r="AD8421">
        <v>-1.01633638</v>
      </c>
      <c r="AE8421">
        <v>8.2933000000000003</v>
      </c>
      <c r="AF8421">
        <v>4.84138914860032</v>
      </c>
      <c r="AG8421">
        <v>-1.01633638</v>
      </c>
      <c r="AH8421">
        <v>9.9891648981976005</v>
      </c>
      <c r="AI8421">
        <v>95.231256577784904</v>
      </c>
      <c r="AJ8421">
        <v>64.142199681024195</v>
      </c>
      <c r="AK8421">
        <v>11.1469907997127</v>
      </c>
      <c r="AL8421">
        <v>80.741771939322007</v>
      </c>
      <c r="AM8421">
        <v>72.8181896711001</v>
      </c>
      <c r="AN8421">
        <v>0.99999997957414399</v>
      </c>
    </row>
    <row r="8422" spans="1:40" x14ac:dyDescent="0.25">
      <c r="A8422" t="str">
        <f>"20190312172313905"</f>
        <v>20190312172313905</v>
      </c>
      <c r="B8422" t="str">
        <f>"1552382593899154"</f>
        <v>1552382593899154</v>
      </c>
      <c r="C8422" t="s">
        <v>40</v>
      </c>
      <c r="D8422">
        <v>3.4238360000000001</v>
      </c>
      <c r="E8422">
        <v>0.55841940000000001</v>
      </c>
      <c r="F8422" t="s">
        <v>62</v>
      </c>
      <c r="G8422">
        <v>-177.96539999999999</v>
      </c>
      <c r="H8422">
        <v>7.9987569999999994E-2</v>
      </c>
      <c r="I8422">
        <v>129.28720000000001</v>
      </c>
      <c r="J8422">
        <v>-185.4958</v>
      </c>
      <c r="K8422">
        <v>1.096149</v>
      </c>
      <c r="L8422">
        <v>121.1015</v>
      </c>
      <c r="M8422">
        <v>0.28757880000000002</v>
      </c>
      <c r="N8422">
        <v>0</v>
      </c>
      <c r="O8422">
        <v>0.95761569999999996</v>
      </c>
      <c r="P8422">
        <v>0.54776969999999903</v>
      </c>
      <c r="Q8422">
        <v>0.15472139999999901</v>
      </c>
      <c r="R8422">
        <v>0.82219809999999904</v>
      </c>
      <c r="S8422">
        <v>2.0930939999999998</v>
      </c>
      <c r="T8422">
        <v>-0.28016600000000003</v>
      </c>
      <c r="U8422">
        <v>2.3121489999999998</v>
      </c>
      <c r="V8422">
        <v>0.29361540000000003</v>
      </c>
      <c r="W8422">
        <v>0.1606264</v>
      </c>
      <c r="X8422">
        <v>0.94233180000000005</v>
      </c>
      <c r="Y8422">
        <v>0.42664849999999999</v>
      </c>
      <c r="Z8422">
        <v>-9.1485689999999995E-2</v>
      </c>
      <c r="AA8422">
        <v>0.89977850000000004</v>
      </c>
      <c r="AB8422">
        <v>42</v>
      </c>
      <c r="AC8422">
        <v>7.53040000000001</v>
      </c>
      <c r="AD8422">
        <v>-1.0161614299999999</v>
      </c>
      <c r="AE8422">
        <v>8.1857000000000095</v>
      </c>
      <c r="AF8422">
        <v>4.8176417086507604</v>
      </c>
      <c r="AG8422">
        <v>-1.0161614299999999</v>
      </c>
      <c r="AH8422">
        <v>9.9228695420512398</v>
      </c>
      <c r="AI8422">
        <v>95.263373031866195</v>
      </c>
      <c r="AJ8422">
        <v>64.103013132578198</v>
      </c>
      <c r="AK8422">
        <v>11.0772557808023</v>
      </c>
      <c r="AL8422">
        <v>80.756743726104503</v>
      </c>
      <c r="AM8422">
        <v>72.693807642164401</v>
      </c>
      <c r="AN8422">
        <v>1.0000000323926701</v>
      </c>
    </row>
    <row r="8423" spans="1:40" x14ac:dyDescent="0.25">
      <c r="A8423" t="str">
        <f>"20190312172313916"</f>
        <v>20190312172313916</v>
      </c>
      <c r="B8423" t="str">
        <f>"1552382593908913"</f>
        <v>1552382593908913</v>
      </c>
      <c r="C8423" t="s">
        <v>40</v>
      </c>
      <c r="D8423">
        <v>3.4391630000000002</v>
      </c>
      <c r="E8423">
        <v>0.55804819999999999</v>
      </c>
      <c r="F8423" t="s">
        <v>62</v>
      </c>
      <c r="G8423">
        <v>-177.21</v>
      </c>
      <c r="H8423" s="1">
        <v>-3.745753E-6</v>
      </c>
      <c r="I8423">
        <v>130.1121</v>
      </c>
      <c r="J8423">
        <v>-185.42609999999999</v>
      </c>
      <c r="K8423">
        <v>1.0959620000000001</v>
      </c>
      <c r="L8423">
        <v>121.3206</v>
      </c>
      <c r="M8423">
        <v>0.29474329999999999</v>
      </c>
      <c r="N8423">
        <v>0</v>
      </c>
      <c r="O8423">
        <v>0.95543429999999996</v>
      </c>
      <c r="P8423">
        <v>0.55520819999999904</v>
      </c>
      <c r="Q8423">
        <v>0.15497610000000001</v>
      </c>
      <c r="R8423">
        <v>0.81714519999999902</v>
      </c>
      <c r="S8423">
        <v>2.1105800000000001</v>
      </c>
      <c r="T8423">
        <v>-0.27921410000000002</v>
      </c>
      <c r="U8423">
        <v>2.2951969999999999</v>
      </c>
      <c r="V8423">
        <v>0.295205</v>
      </c>
      <c r="W8423">
        <v>0.16072709999999901</v>
      </c>
      <c r="X8423">
        <v>0.94181780000000004</v>
      </c>
      <c r="Y8423">
        <v>0.4269249</v>
      </c>
      <c r="Z8423">
        <v>-9.1152609999999995E-2</v>
      </c>
      <c r="AA8423">
        <v>0.89968130000000002</v>
      </c>
      <c r="AB8423">
        <v>41</v>
      </c>
      <c r="AC8423">
        <v>8.2160999999999795</v>
      </c>
      <c r="AD8423">
        <v>-1.0959657457529901</v>
      </c>
      <c r="AE8423">
        <v>8.7914999999999992</v>
      </c>
      <c r="AF8423">
        <v>5.2161520916163697</v>
      </c>
      <c r="AG8423">
        <v>-1.0959657457529901</v>
      </c>
      <c r="AH8423">
        <v>10.733769694088799</v>
      </c>
      <c r="AI8423">
        <v>95.247041868706106</v>
      </c>
      <c r="AJ8423">
        <v>64.082234323878893</v>
      </c>
      <c r="AK8423">
        <v>11.984289524393001</v>
      </c>
      <c r="AL8423">
        <v>80.750897605700104</v>
      </c>
      <c r="AM8423">
        <v>72.596831887659604</v>
      </c>
      <c r="AN8423">
        <v>0.999999980548124</v>
      </c>
    </row>
    <row r="8424" spans="1:40" x14ac:dyDescent="0.25">
      <c r="A8424" t="str">
        <f>"20190312172313927"</f>
        <v>20190312172313927</v>
      </c>
      <c r="B8424" t="str">
        <f>"1552382593918672"</f>
        <v>1552382593918672</v>
      </c>
      <c r="C8424" t="s">
        <v>40</v>
      </c>
      <c r="D8424">
        <v>3.414056</v>
      </c>
      <c r="E8424">
        <v>0.55778399999999995</v>
      </c>
      <c r="F8424" t="s">
        <v>62</v>
      </c>
      <c r="G8424">
        <v>-177.0395</v>
      </c>
      <c r="H8424" s="1">
        <v>-3.6978570000000001E-6</v>
      </c>
      <c r="I8424">
        <v>130.29239999999999</v>
      </c>
      <c r="J8424">
        <v>-185.3603</v>
      </c>
      <c r="K8424">
        <v>1.0957939999999999</v>
      </c>
      <c r="L8424">
        <v>121.5213</v>
      </c>
      <c r="M8424">
        <v>0.30141010000000001</v>
      </c>
      <c r="N8424">
        <v>0</v>
      </c>
      <c r="O8424">
        <v>0.95335159999999997</v>
      </c>
      <c r="P8424">
        <v>0.56278719999999904</v>
      </c>
      <c r="Q8424">
        <v>0.1551525</v>
      </c>
      <c r="R8424">
        <v>0.81191029999999997</v>
      </c>
      <c r="S8424">
        <v>2.1289829999999998</v>
      </c>
      <c r="T8424">
        <v>-0.27821509999999999</v>
      </c>
      <c r="U8424">
        <v>2.277542</v>
      </c>
      <c r="V8424">
        <v>0.29747259999999998</v>
      </c>
      <c r="W8424">
        <v>0.16073370000000001</v>
      </c>
      <c r="X8424">
        <v>0.94110289999999996</v>
      </c>
      <c r="Y8424">
        <v>0.4279925</v>
      </c>
      <c r="Z8424">
        <v>-9.0806899999999996E-2</v>
      </c>
      <c r="AA8424">
        <v>0.89920879999999903</v>
      </c>
      <c r="AB8424">
        <v>41</v>
      </c>
      <c r="AC8424">
        <v>8.3207999999999895</v>
      </c>
      <c r="AD8424">
        <v>-1.0957976978569901</v>
      </c>
      <c r="AE8424">
        <v>8.7710999999999899</v>
      </c>
      <c r="AF8424">
        <v>5.2465704119234697</v>
      </c>
      <c r="AG8424">
        <v>-1.0957976978569901</v>
      </c>
      <c r="AH8424">
        <v>10.7828166007583</v>
      </c>
      <c r="AI8424">
        <v>95.221263978043794</v>
      </c>
      <c r="AJ8424">
        <v>64.053941352073196</v>
      </c>
      <c r="AK8424">
        <v>12.041445408566601</v>
      </c>
      <c r="AL8424">
        <v>80.750514366549197</v>
      </c>
      <c r="AM8424">
        <v>72.458809576453504</v>
      </c>
      <c r="AN8424">
        <v>0.99999996922742895</v>
      </c>
    </row>
    <row r="8425" spans="1:40" x14ac:dyDescent="0.25">
      <c r="A8425" t="str">
        <f>"20190312172313939"</f>
        <v>20190312172313939</v>
      </c>
      <c r="B8425" t="str">
        <f>"1552382593928433"</f>
        <v>1552382593928433</v>
      </c>
      <c r="C8425" t="s">
        <v>40</v>
      </c>
      <c r="D8425">
        <v>3.4228770000000002</v>
      </c>
      <c r="E8425">
        <v>0.55778399999999995</v>
      </c>
      <c r="F8425" t="s">
        <v>62</v>
      </c>
      <c r="G8425">
        <v>-176.88220000000001</v>
      </c>
      <c r="H8425" s="1">
        <v>-3.6453379999999998E-6</v>
      </c>
      <c r="I8425">
        <v>130.4366</v>
      </c>
      <c r="J8425">
        <v>-185.2921</v>
      </c>
      <c r="K8425">
        <v>1.095626</v>
      </c>
      <c r="L8425">
        <v>121.72709999999999</v>
      </c>
      <c r="M8425">
        <v>0.30828070000000002</v>
      </c>
      <c r="N8425">
        <v>0</v>
      </c>
      <c r="O8425">
        <v>0.95115150000000004</v>
      </c>
      <c r="P8425">
        <v>0.56966919999999899</v>
      </c>
      <c r="Q8425">
        <v>0.15529749999999901</v>
      </c>
      <c r="R8425">
        <v>0.80706860000000002</v>
      </c>
      <c r="S8425">
        <v>2.148209</v>
      </c>
      <c r="T8425">
        <v>-0.27765689999999998</v>
      </c>
      <c r="U8425">
        <v>2.2590029999999999</v>
      </c>
      <c r="V8425">
        <v>0.29876360000000002</v>
      </c>
      <c r="W8425">
        <v>0.16074269999999999</v>
      </c>
      <c r="X8425">
        <v>0.94069239999999998</v>
      </c>
      <c r="Y8425">
        <v>0.42919309999999999</v>
      </c>
      <c r="Z8425">
        <v>-9.0596889999999999E-2</v>
      </c>
      <c r="AA8425">
        <v>0.89865759999999995</v>
      </c>
      <c r="AB8425">
        <v>41</v>
      </c>
      <c r="AC8425">
        <v>8.4098999999999897</v>
      </c>
      <c r="AD8425">
        <v>-1.0956296453379999</v>
      </c>
      <c r="AE8425">
        <v>8.7095000000000002</v>
      </c>
      <c r="AF8425">
        <v>5.2716745922440102</v>
      </c>
      <c r="AG8425">
        <v>-1.0956296453379999</v>
      </c>
      <c r="AH8425">
        <v>10.7897923668146</v>
      </c>
      <c r="AI8425">
        <v>95.213000451939607</v>
      </c>
      <c r="AJ8425">
        <v>63.960799681709197</v>
      </c>
      <c r="AK8425">
        <v>12.058630794796899</v>
      </c>
      <c r="AL8425">
        <v>80.749992644741596</v>
      </c>
      <c r="AM8425">
        <v>72.380168901263502</v>
      </c>
      <c r="AN8425">
        <v>1.000000047853</v>
      </c>
    </row>
    <row r="8426" spans="1:40" x14ac:dyDescent="0.25">
      <c r="A8426" t="str">
        <f>"20190312172313950"</f>
        <v>20190312172313950</v>
      </c>
      <c r="B8426" t="str">
        <f>"1552382593939170"</f>
        <v>1552382593939170</v>
      </c>
      <c r="C8426" t="s">
        <v>40</v>
      </c>
      <c r="D8426">
        <v>3.4337759999999999</v>
      </c>
      <c r="E8426">
        <v>0.55410719999999902</v>
      </c>
      <c r="F8426" t="s">
        <v>62</v>
      </c>
      <c r="G8426">
        <v>-176.72669999999999</v>
      </c>
      <c r="H8426" s="1">
        <v>-3.5945649999999999E-6</v>
      </c>
      <c r="I8426">
        <v>130.58240000000001</v>
      </c>
      <c r="J8426">
        <v>-185.22380000000001</v>
      </c>
      <c r="K8426">
        <v>1.095469</v>
      </c>
      <c r="L8426">
        <v>121.925</v>
      </c>
      <c r="M8426">
        <v>0.31502259999999999</v>
      </c>
      <c r="N8426">
        <v>0</v>
      </c>
      <c r="O8426">
        <v>0.94893930000000004</v>
      </c>
      <c r="P8426">
        <v>0.57714799999999999</v>
      </c>
      <c r="Q8426">
        <v>0.1552482</v>
      </c>
      <c r="R8426">
        <v>0.80174699999999999</v>
      </c>
      <c r="S8426">
        <v>2.1673279999999999</v>
      </c>
      <c r="T8426">
        <v>-0.27723150000000002</v>
      </c>
      <c r="U8426">
        <v>2.240707</v>
      </c>
      <c r="V8426">
        <v>0.30089270000000001</v>
      </c>
      <c r="W8426">
        <v>0.1605318</v>
      </c>
      <c r="X8426">
        <v>0.94004949999999998</v>
      </c>
      <c r="Y8426">
        <v>0.43042819999999998</v>
      </c>
      <c r="Z8426">
        <v>-9.0418230000000002E-2</v>
      </c>
      <c r="AA8426">
        <v>0.89808469999999996</v>
      </c>
      <c r="AB8426">
        <v>41</v>
      </c>
      <c r="AC8426">
        <v>8.4971000000000103</v>
      </c>
      <c r="AD8426">
        <v>-1.0954725945649999</v>
      </c>
      <c r="AE8426">
        <v>8.6574000000000098</v>
      </c>
      <c r="AF8426">
        <v>5.29351908365485</v>
      </c>
      <c r="AG8426">
        <v>-1.0954725945649999</v>
      </c>
      <c r="AH8426">
        <v>10.8055015119022</v>
      </c>
      <c r="AI8426">
        <v>95.202042646434705</v>
      </c>
      <c r="AJ8426">
        <v>63.900177399995798</v>
      </c>
      <c r="AK8426">
        <v>12.082229405957399</v>
      </c>
      <c r="AL8426">
        <v>80.762234579345204</v>
      </c>
      <c r="AM8426">
        <v>72.251079022264193</v>
      </c>
      <c r="AN8426">
        <v>0.99999996908738897</v>
      </c>
    </row>
    <row r="8427" spans="1:40" x14ac:dyDescent="0.25">
      <c r="A8427" t="str">
        <f>"20190312172313963"</f>
        <v>20190312172313963</v>
      </c>
      <c r="B8427" t="str">
        <f>"1552382593958689"</f>
        <v>1552382593958689</v>
      </c>
      <c r="C8427" t="s">
        <v>40</v>
      </c>
      <c r="D8427">
        <v>3.435667</v>
      </c>
      <c r="E8427">
        <v>0.55392549999999996</v>
      </c>
      <c r="F8427" t="s">
        <v>62</v>
      </c>
      <c r="G8427">
        <v>-176.61279999999999</v>
      </c>
      <c r="H8427" s="1">
        <v>-3.6108740000000002E-6</v>
      </c>
      <c r="I8427">
        <v>130.83009999999999</v>
      </c>
      <c r="J8427">
        <v>-185.14590000000001</v>
      </c>
      <c r="K8427">
        <v>1.0952980000000001</v>
      </c>
      <c r="L8427">
        <v>122.1482</v>
      </c>
      <c r="M8427">
        <v>0.32265749999999999</v>
      </c>
      <c r="N8427">
        <v>0</v>
      </c>
      <c r="O8427">
        <v>0.94636989999999999</v>
      </c>
      <c r="P8427">
        <v>0.58503229999999995</v>
      </c>
      <c r="Q8427">
        <v>0.155267299999999</v>
      </c>
      <c r="R8427">
        <v>0.7960083</v>
      </c>
      <c r="S8427">
        <v>2.163681</v>
      </c>
      <c r="T8427">
        <v>-0.2752597</v>
      </c>
      <c r="U8427">
        <v>2.2375790000000002</v>
      </c>
      <c r="V8427">
        <v>0.302668099999999</v>
      </c>
      <c r="W8427">
        <v>0.16039200000000001</v>
      </c>
      <c r="X8427">
        <v>0.93950330000000004</v>
      </c>
      <c r="Y8427">
        <v>0.42306090000000002</v>
      </c>
      <c r="Z8427">
        <v>-8.9721670000000003E-2</v>
      </c>
      <c r="AA8427">
        <v>0.90164820000000001</v>
      </c>
      <c r="AB8427">
        <v>41</v>
      </c>
      <c r="AC8427">
        <v>8.5331000000000099</v>
      </c>
      <c r="AD8427">
        <v>-1.0953016108739999</v>
      </c>
      <c r="AE8427">
        <v>8.6818999999999793</v>
      </c>
      <c r="AF8427">
        <v>5.23255635985615</v>
      </c>
      <c r="AG8427">
        <v>-1.0953016108739999</v>
      </c>
      <c r="AH8427">
        <v>10.882967941775201</v>
      </c>
      <c r="AI8427">
        <v>95.182783295467203</v>
      </c>
      <c r="AJ8427">
        <v>64.321643869374697</v>
      </c>
      <c r="AK8427">
        <v>12.1251112530797</v>
      </c>
      <c r="AL8427">
        <v>80.7703500803281</v>
      </c>
      <c r="AM8427">
        <v>72.143261869219899</v>
      </c>
      <c r="AN8427">
        <v>1.00000001156625</v>
      </c>
    </row>
    <row r="8428" spans="1:40" x14ac:dyDescent="0.25">
      <c r="A8428" t="str">
        <f>"20190312172313977"</f>
        <v>20190312172313977</v>
      </c>
      <c r="B8428" t="str">
        <f>"1552382593968448"</f>
        <v>1552382593968448</v>
      </c>
      <c r="C8428" t="s">
        <v>40</v>
      </c>
      <c r="D8428">
        <v>3.4400580000000001</v>
      </c>
      <c r="E8428">
        <v>0.55157349999999905</v>
      </c>
      <c r="F8428" t="s">
        <v>62</v>
      </c>
      <c r="G8428">
        <v>-176.4674</v>
      </c>
      <c r="H8428" s="1">
        <v>-3.5601999999999998E-6</v>
      </c>
      <c r="I8428">
        <v>130.958</v>
      </c>
      <c r="J8428">
        <v>-185.05549999999999</v>
      </c>
      <c r="K8428">
        <v>1.0951059999999999</v>
      </c>
      <c r="L8428">
        <v>122.3995</v>
      </c>
      <c r="M8428">
        <v>0.33137460000000002</v>
      </c>
      <c r="N8428">
        <v>0</v>
      </c>
      <c r="O8428">
        <v>0.94335219999999997</v>
      </c>
      <c r="P8428">
        <v>0.59390489999999996</v>
      </c>
      <c r="Q8428">
        <v>0.1552412</v>
      </c>
      <c r="R8428">
        <v>0.78941569999999905</v>
      </c>
      <c r="S8428">
        <v>2.1842190000000001</v>
      </c>
      <c r="T8428">
        <v>-0.27566810000000003</v>
      </c>
      <c r="U8428">
        <v>2.2172700000000001</v>
      </c>
      <c r="V8428">
        <v>0.30458960000000002</v>
      </c>
      <c r="W8428">
        <v>0.160192</v>
      </c>
      <c r="X8428">
        <v>0.93891619999999998</v>
      </c>
      <c r="Y8428">
        <v>0.42307090000000003</v>
      </c>
      <c r="Z8428">
        <v>-8.9765410000000004E-2</v>
      </c>
      <c r="AA8428">
        <v>0.90163919999999997</v>
      </c>
      <c r="AB8428">
        <v>41</v>
      </c>
      <c r="AC8428">
        <v>8.5880999999999901</v>
      </c>
      <c r="AD8428">
        <v>-1.0951095601999901</v>
      </c>
      <c r="AE8428">
        <v>8.5584999999999898</v>
      </c>
      <c r="AF8428">
        <v>5.2236493285268502</v>
      </c>
      <c r="AG8428">
        <v>-1.0951095601999901</v>
      </c>
      <c r="AH8428">
        <v>10.832699419001999</v>
      </c>
      <c r="AI8428">
        <v>95.202943517474296</v>
      </c>
      <c r="AJ8428">
        <v>64.256113075502398</v>
      </c>
      <c r="AK8428">
        <v>12.0761398616738</v>
      </c>
      <c r="AL8428">
        <v>80.7819589240341</v>
      </c>
      <c r="AM8428">
        <v>72.026650856496701</v>
      </c>
      <c r="AN8428">
        <v>0.99999996595729901</v>
      </c>
    </row>
    <row r="8429" spans="1:40" x14ac:dyDescent="0.25">
      <c r="A8429" t="str">
        <f>"20190312172313991"</f>
        <v>20190312172313991</v>
      </c>
      <c r="B8429" t="str">
        <f>"1552382593979185"</f>
        <v>1552382593979185</v>
      </c>
      <c r="C8429" t="s">
        <v>40</v>
      </c>
      <c r="D8429">
        <v>3.443848</v>
      </c>
      <c r="E8429">
        <v>0.55108199999999996</v>
      </c>
      <c r="F8429" t="s">
        <v>62</v>
      </c>
      <c r="G8429">
        <v>-176.40870000000001</v>
      </c>
      <c r="H8429" s="1">
        <v>-3.5684340000000001E-6</v>
      </c>
      <c r="I8429">
        <v>131.08519999999999</v>
      </c>
      <c r="J8429">
        <v>-184.9683</v>
      </c>
      <c r="K8429">
        <v>1.0949340000000001</v>
      </c>
      <c r="L8429">
        <v>122.634</v>
      </c>
      <c r="M8429">
        <v>0.33962029999999999</v>
      </c>
      <c r="N8429">
        <v>0</v>
      </c>
      <c r="O8429">
        <v>0.94041450000000004</v>
      </c>
      <c r="P8429">
        <v>0.60344560000000003</v>
      </c>
      <c r="Q8429">
        <v>0.15533839999999999</v>
      </c>
      <c r="R8429">
        <v>0.78212760000000003</v>
      </c>
      <c r="S8429">
        <v>2.1942750000000002</v>
      </c>
      <c r="T8429">
        <v>-0.27790500000000001</v>
      </c>
      <c r="U8429">
        <v>2.2041469999999999</v>
      </c>
      <c r="V8429">
        <v>0.3078497</v>
      </c>
      <c r="W8429">
        <v>0.16007009999999999</v>
      </c>
      <c r="X8429">
        <v>0.93787319999999996</v>
      </c>
      <c r="Y8429">
        <v>0.41984389999999999</v>
      </c>
      <c r="Z8429">
        <v>-9.0399850000000004E-2</v>
      </c>
      <c r="AA8429">
        <v>0.90308299999999997</v>
      </c>
      <c r="AB8429">
        <v>41</v>
      </c>
      <c r="AC8429">
        <v>8.5595999999999801</v>
      </c>
      <c r="AD8429">
        <v>-1.0949375684339999</v>
      </c>
      <c r="AE8429">
        <v>8.4511999999999805</v>
      </c>
      <c r="AF8429">
        <v>5.1375253555831799</v>
      </c>
      <c r="AG8429">
        <v>-1.0949375684339999</v>
      </c>
      <c r="AH8429">
        <v>10.766943211930601</v>
      </c>
      <c r="AI8429">
        <v>95.243992921640995</v>
      </c>
      <c r="AJ8429">
        <v>64.491517173768699</v>
      </c>
      <c r="AK8429">
        <v>11.9799883633903</v>
      </c>
      <c r="AL8429">
        <v>80.789034967068503</v>
      </c>
      <c r="AM8429">
        <v>71.827973741962097</v>
      </c>
      <c r="AN8429">
        <v>1.0000000069911601</v>
      </c>
    </row>
    <row r="8430" spans="1:40" x14ac:dyDescent="0.25">
      <c r="A8430" t="str">
        <f>"20190312172314006"</f>
        <v>20190312172314006</v>
      </c>
      <c r="B8430" t="str">
        <f>"1552382593998704"</f>
        <v>1552382593998704</v>
      </c>
      <c r="C8430" t="s">
        <v>40</v>
      </c>
      <c r="D8430">
        <v>3.4478089999999901</v>
      </c>
      <c r="E8430">
        <v>0.55140699999999998</v>
      </c>
      <c r="F8430" t="s">
        <v>62</v>
      </c>
      <c r="G8430">
        <v>-176.2878</v>
      </c>
      <c r="H8430" s="1">
        <v>-3.5172599999999999E-6</v>
      </c>
      <c r="I8430">
        <v>131.16759999999999</v>
      </c>
      <c r="J8430">
        <v>-184.87520000000001</v>
      </c>
      <c r="K8430">
        <v>1.0947610000000001</v>
      </c>
      <c r="L8430">
        <v>122.8793</v>
      </c>
      <c r="M8430">
        <v>0.3483135</v>
      </c>
      <c r="N8430">
        <v>0</v>
      </c>
      <c r="O8430">
        <v>0.93722879999999997</v>
      </c>
      <c r="P8430">
        <v>0.61202679999999998</v>
      </c>
      <c r="Q8430">
        <v>0.15512400000000001</v>
      </c>
      <c r="R8430">
        <v>0.775474</v>
      </c>
      <c r="S8430">
        <v>2.2176969999999998</v>
      </c>
      <c r="T8430">
        <v>-0.27973500000000001</v>
      </c>
      <c r="U8430">
        <v>2.1801910000000002</v>
      </c>
      <c r="V8430">
        <v>0.30954579999999998</v>
      </c>
      <c r="W8430">
        <v>0.1596987</v>
      </c>
      <c r="X8430">
        <v>0.93737809999999999</v>
      </c>
      <c r="Y8430">
        <v>0.42113840000000002</v>
      </c>
      <c r="Z8430">
        <v>-9.0909820000000002E-2</v>
      </c>
      <c r="AA8430">
        <v>0.90242889999999998</v>
      </c>
      <c r="AB8430">
        <v>41</v>
      </c>
      <c r="AC8430">
        <v>8.5874000000000006</v>
      </c>
      <c r="AD8430">
        <v>-1.09476451726</v>
      </c>
      <c r="AE8430">
        <v>8.2882999999999907</v>
      </c>
      <c r="AF8430">
        <v>5.1190814275126799</v>
      </c>
      <c r="AG8430">
        <v>-1.09476451726</v>
      </c>
      <c r="AH8430">
        <v>10.6708603125793</v>
      </c>
      <c r="AI8430">
        <v>95.284856434183695</v>
      </c>
      <c r="AJ8430">
        <v>64.371788479265703</v>
      </c>
      <c r="AK8430">
        <v>11.8857378323912</v>
      </c>
      <c r="AL8430">
        <v>80.810591773793305</v>
      </c>
      <c r="AM8430">
        <v>71.725478861909096</v>
      </c>
      <c r="AN8430">
        <v>0.99999998971946902</v>
      </c>
    </row>
    <row r="8431" spans="1:40" x14ac:dyDescent="0.25">
      <c r="A8431" t="str">
        <f>"20190312172314019"</f>
        <v>20190312172314019</v>
      </c>
      <c r="B8431" t="str">
        <f>"1552382594008466"</f>
        <v>1552382594008466</v>
      </c>
      <c r="C8431" t="s">
        <v>40</v>
      </c>
      <c r="D8431">
        <v>3.496397</v>
      </c>
      <c r="E8431">
        <v>0.55140699999999998</v>
      </c>
      <c r="F8431" t="s">
        <v>62</v>
      </c>
      <c r="G8431">
        <v>-176.1617</v>
      </c>
      <c r="H8431" s="1">
        <v>-3.4607420000000001E-6</v>
      </c>
      <c r="I8431">
        <v>131.24539999999999</v>
      </c>
      <c r="J8431">
        <v>-184.7765</v>
      </c>
      <c r="K8431">
        <v>1.0945819999999999</v>
      </c>
      <c r="L8431">
        <v>123.13290000000001</v>
      </c>
      <c r="M8431">
        <v>0.35738300000000001</v>
      </c>
      <c r="N8431">
        <v>0</v>
      </c>
      <c r="O8431">
        <v>0.93380739999999995</v>
      </c>
      <c r="P8431">
        <v>0.62039999999999995</v>
      </c>
      <c r="Q8431">
        <v>0.1550771</v>
      </c>
      <c r="R8431">
        <v>0.76880099999999996</v>
      </c>
      <c r="S8431">
        <v>2.243652</v>
      </c>
      <c r="T8431">
        <v>-0.28189380000000003</v>
      </c>
      <c r="U8431">
        <v>2.1542050000000001</v>
      </c>
      <c r="V8431">
        <v>0.31068630000000003</v>
      </c>
      <c r="W8431">
        <v>0.15951560000000001</v>
      </c>
      <c r="X8431">
        <v>0.93703190000000003</v>
      </c>
      <c r="Y8431">
        <v>0.42296479999999997</v>
      </c>
      <c r="Z8431">
        <v>-9.1499440000000001E-2</v>
      </c>
      <c r="AA8431">
        <v>0.90151460000000005</v>
      </c>
      <c r="AB8431">
        <v>41</v>
      </c>
      <c r="AC8431">
        <v>8.6148000000000007</v>
      </c>
      <c r="AD8431">
        <v>-1.094585460742</v>
      </c>
      <c r="AE8431">
        <v>8.1124999999999794</v>
      </c>
      <c r="AF8431">
        <v>5.1023604573293202</v>
      </c>
      <c r="AG8431">
        <v>-1.094585460742</v>
      </c>
      <c r="AH8431">
        <v>10.565392828326299</v>
      </c>
      <c r="AI8431">
        <v>95.329797099896496</v>
      </c>
      <c r="AJ8431">
        <v>64.222642240255993</v>
      </c>
      <c r="AK8431">
        <v>11.783875643617201</v>
      </c>
      <c r="AL8431">
        <v>80.821218890943598</v>
      </c>
      <c r="AM8431">
        <v>71.656323300019196</v>
      </c>
      <c r="AN8431">
        <v>0.99999999263433004</v>
      </c>
    </row>
    <row r="8432" spans="1:40" x14ac:dyDescent="0.25">
      <c r="A8432" t="str">
        <f>"20190312172314029"</f>
        <v>20190312172314029</v>
      </c>
      <c r="B8432" t="str">
        <f>"1552382594019201"</f>
        <v>1552382594019201</v>
      </c>
      <c r="C8432" t="s">
        <v>40</v>
      </c>
      <c r="D8432">
        <v>3.4536060000000002</v>
      </c>
      <c r="E8432">
        <v>0.57810850000000003</v>
      </c>
      <c r="F8432" t="s">
        <v>62</v>
      </c>
      <c r="G8432">
        <v>-175.96260000000001</v>
      </c>
      <c r="H8432" s="1">
        <v>-3.386864E-6</v>
      </c>
      <c r="I8432">
        <v>131.40870000000001</v>
      </c>
      <c r="J8432">
        <v>-184.70179999999999</v>
      </c>
      <c r="K8432">
        <v>1.0944590000000001</v>
      </c>
      <c r="L8432">
        <v>123.31789999999999</v>
      </c>
      <c r="M8432">
        <v>0.3641006</v>
      </c>
      <c r="N8432">
        <v>0</v>
      </c>
      <c r="O8432">
        <v>0.93120809999999998</v>
      </c>
      <c r="P8432">
        <v>0.62697630000000004</v>
      </c>
      <c r="Q8432">
        <v>0.15472920000000001</v>
      </c>
      <c r="R8432">
        <v>0.76351800000000003</v>
      </c>
      <c r="S8432">
        <v>2.2675930000000002</v>
      </c>
      <c r="T8432">
        <v>-0.28160800000000002</v>
      </c>
      <c r="U8432">
        <v>2.1291500000000001</v>
      </c>
      <c r="V8432">
        <v>0.31198870000000001</v>
      </c>
      <c r="W8432">
        <v>0.159053799999999</v>
      </c>
      <c r="X8432">
        <v>0.9366776</v>
      </c>
      <c r="Y8432">
        <v>0.42649150000000002</v>
      </c>
      <c r="Z8432">
        <v>-9.1372880000000004E-2</v>
      </c>
      <c r="AA8432">
        <v>0.89986440000000001</v>
      </c>
      <c r="AB8432">
        <v>41</v>
      </c>
      <c r="AC8432">
        <v>8.7391999999999808</v>
      </c>
      <c r="AD8432">
        <v>-1.094462386864</v>
      </c>
      <c r="AE8432">
        <v>8.0908000000000104</v>
      </c>
      <c r="AF8432">
        <v>5.1493929407173402</v>
      </c>
      <c r="AG8432">
        <v>-1.094462386864</v>
      </c>
      <c r="AH8432">
        <v>10.627922114306401</v>
      </c>
      <c r="AI8432">
        <v>95.294755840061498</v>
      </c>
      <c r="AJ8432">
        <v>64.149092775784297</v>
      </c>
      <c r="AK8432">
        <v>11.860304550977199</v>
      </c>
      <c r="AL8432">
        <v>80.848020269794702</v>
      </c>
      <c r="AM8432">
        <v>71.578108725342005</v>
      </c>
      <c r="AN8432">
        <v>0.999999993281944</v>
      </c>
    </row>
    <row r="8433" spans="1:40" x14ac:dyDescent="0.25">
      <c r="A8433" t="str">
        <f>"20190312172314042"</f>
        <v>20190312172314042</v>
      </c>
      <c r="B8433" t="str">
        <f>"1552382594038721"</f>
        <v>1552382594038721</v>
      </c>
      <c r="C8433" t="s">
        <v>40</v>
      </c>
      <c r="D8433">
        <v>3.4527339999999902</v>
      </c>
      <c r="E8433">
        <v>0.5858894</v>
      </c>
      <c r="F8433" t="s">
        <v>62</v>
      </c>
      <c r="G8433">
        <v>-173.63499999999999</v>
      </c>
      <c r="H8433" s="1">
        <v>-2.425244E-6</v>
      </c>
      <c r="I8433">
        <v>132.23169999999999</v>
      </c>
      <c r="J8433">
        <v>-184.6191</v>
      </c>
      <c r="K8433">
        <v>1.094327</v>
      </c>
      <c r="L8433">
        <v>123.52079999999999</v>
      </c>
      <c r="M8433">
        <v>0.37147350000000001</v>
      </c>
      <c r="N8433">
        <v>0</v>
      </c>
      <c r="O8433">
        <v>0.92829110000000004</v>
      </c>
      <c r="P8433">
        <v>0.63400639999999997</v>
      </c>
      <c r="Q8433">
        <v>0.1549672</v>
      </c>
      <c r="R8433">
        <v>0.75764169999999997</v>
      </c>
      <c r="S8433">
        <v>2.4456630000000001</v>
      </c>
      <c r="T8433">
        <v>-0.24186669999999999</v>
      </c>
      <c r="U8433">
        <v>1.9698640000000001</v>
      </c>
      <c r="V8433">
        <v>0.31329679999999999</v>
      </c>
      <c r="W8433">
        <v>0.15916959999999999</v>
      </c>
      <c r="X8433">
        <v>0.93622119999999998</v>
      </c>
      <c r="Y8433">
        <v>0.48746309999999898</v>
      </c>
      <c r="Z8433">
        <v>-7.8752820000000001E-2</v>
      </c>
      <c r="AA8433">
        <v>0.86958480000000005</v>
      </c>
      <c r="AB8433">
        <v>41</v>
      </c>
      <c r="AC8433">
        <v>10.9841</v>
      </c>
      <c r="AD8433">
        <v>-1.0943294252439999</v>
      </c>
      <c r="AE8433">
        <v>8.7108999999999899</v>
      </c>
      <c r="AF8433">
        <v>6.9193958072335899</v>
      </c>
      <c r="AG8433">
        <v>-1.0943294252439999</v>
      </c>
      <c r="AH8433">
        <v>12.0945770872134</v>
      </c>
      <c r="AI8433">
        <v>94.4905944931552</v>
      </c>
      <c r="AJ8433">
        <v>60.225811616182902</v>
      </c>
      <c r="AK8433">
        <v>13.976923486471</v>
      </c>
      <c r="AL8433">
        <v>80.841299781607006</v>
      </c>
      <c r="AM8433">
        <v>71.497712213588002</v>
      </c>
      <c r="AN8433">
        <v>0.99999999089192004</v>
      </c>
    </row>
    <row r="8434" spans="1:40" x14ac:dyDescent="0.25">
      <c r="A8434" t="str">
        <f>"20190312172314053"</f>
        <v>20190312172314053</v>
      </c>
      <c r="B8434" t="str">
        <f>"1552382594048481"</f>
        <v>1552382594048481</v>
      </c>
      <c r="C8434" t="s">
        <v>40</v>
      </c>
      <c r="D8434">
        <v>3.481401</v>
      </c>
      <c r="E8434">
        <v>0.58696910000000002</v>
      </c>
      <c r="F8434" t="s">
        <v>62</v>
      </c>
      <c r="G8434">
        <v>-172.4297</v>
      </c>
      <c r="H8434" s="1">
        <v>-1.9783160000000002E-6</v>
      </c>
      <c r="I8434">
        <v>132.7741</v>
      </c>
      <c r="J8434">
        <v>-184.5385</v>
      </c>
      <c r="K8434">
        <v>1.0942080000000001</v>
      </c>
      <c r="L8434">
        <v>123.7129</v>
      </c>
      <c r="M8434">
        <v>0.37853419999999999</v>
      </c>
      <c r="N8434">
        <v>0</v>
      </c>
      <c r="O8434">
        <v>0.92543390000000003</v>
      </c>
      <c r="P8434">
        <v>0.64063049999999999</v>
      </c>
      <c r="Q8434">
        <v>0.15520329999999999</v>
      </c>
      <c r="R8434">
        <v>0.75200040000000001</v>
      </c>
      <c r="S8434">
        <v>2.5099640000000001</v>
      </c>
      <c r="T8434">
        <v>-0.22533700000000001</v>
      </c>
      <c r="U8434">
        <v>1.905365</v>
      </c>
      <c r="V8434">
        <v>0.31445400000000001</v>
      </c>
      <c r="W8434">
        <v>0.1592962</v>
      </c>
      <c r="X8434">
        <v>0.93581159999999997</v>
      </c>
      <c r="Y8434">
        <v>0.50604979999999999</v>
      </c>
      <c r="Z8434">
        <v>-7.338074E-2</v>
      </c>
      <c r="AA8434">
        <v>0.85937699999999995</v>
      </c>
      <c r="AB8434">
        <v>41</v>
      </c>
      <c r="AC8434">
        <v>12.1088</v>
      </c>
      <c r="AD8434">
        <v>-1.094209978316</v>
      </c>
      <c r="AE8434">
        <v>9.0611999999999995</v>
      </c>
      <c r="AF8434">
        <v>7.73652674462123</v>
      </c>
      <c r="AG8434">
        <v>-1.094209978316</v>
      </c>
      <c r="AH8434">
        <v>12.9034343287049</v>
      </c>
      <c r="AI8434">
        <v>94.1597449560158</v>
      </c>
      <c r="AJ8434">
        <v>59.054314716503796</v>
      </c>
      <c r="AK8434">
        <v>15.0847525343336</v>
      </c>
      <c r="AL8434">
        <v>80.833952235332504</v>
      </c>
      <c r="AM8434">
        <v>71.426479550133607</v>
      </c>
      <c r="AN8434">
        <v>0.99999997407249896</v>
      </c>
    </row>
    <row r="8435" spans="1:40" x14ac:dyDescent="0.25">
      <c r="A8435" t="str">
        <f>"20190312172314065"</f>
        <v>20190312172314065</v>
      </c>
      <c r="B8435" t="str">
        <f>"1552382594059217"</f>
        <v>1552382594059217</v>
      </c>
      <c r="C8435" t="s">
        <v>40</v>
      </c>
      <c r="D8435">
        <v>3.469398</v>
      </c>
      <c r="E8435">
        <v>0.58770959999999905</v>
      </c>
      <c r="F8435" t="s">
        <v>62</v>
      </c>
      <c r="G8435">
        <v>-171.9401</v>
      </c>
      <c r="H8435" s="1">
        <v>-1.8205660000000001E-6</v>
      </c>
      <c r="I8435">
        <v>133.04810000000001</v>
      </c>
      <c r="J8435">
        <v>-184.45740000000001</v>
      </c>
      <c r="K8435">
        <v>1.0940879999999999</v>
      </c>
      <c r="L8435">
        <v>123.90309999999999</v>
      </c>
      <c r="M8435">
        <v>0.38555080000000003</v>
      </c>
      <c r="N8435">
        <v>0</v>
      </c>
      <c r="O8435">
        <v>0.92253229999999997</v>
      </c>
      <c r="P8435">
        <v>0.64716680000000004</v>
      </c>
      <c r="Q8435">
        <v>0.1556322</v>
      </c>
      <c r="R8435">
        <v>0.7462934</v>
      </c>
      <c r="S8435">
        <v>2.5329899999999999</v>
      </c>
      <c r="T8435">
        <v>-0.219999</v>
      </c>
      <c r="U8435">
        <v>1.8769070000000001</v>
      </c>
      <c r="V8435">
        <v>0.31560769999999999</v>
      </c>
      <c r="W8435">
        <v>0.15961589999999901</v>
      </c>
      <c r="X8435">
        <v>0.93536870000000005</v>
      </c>
      <c r="Y8435">
        <v>0.50958440000000005</v>
      </c>
      <c r="Z8435">
        <v>-7.1610049999999995E-2</v>
      </c>
      <c r="AA8435">
        <v>0.85743549999999902</v>
      </c>
      <c r="AB8435">
        <v>41</v>
      </c>
      <c r="AC8435">
        <v>12.517300000000001</v>
      </c>
      <c r="AD8435">
        <v>-1.0940898205659999</v>
      </c>
      <c r="AE8435">
        <v>9.1450000000000102</v>
      </c>
      <c r="AF8435">
        <v>7.9831288371355003</v>
      </c>
      <c r="AG8435">
        <v>-1.0940898205659999</v>
      </c>
      <c r="AH8435">
        <v>13.1987568664312</v>
      </c>
      <c r="AI8435">
        <v>94.057116011243195</v>
      </c>
      <c r="AJ8435">
        <v>58.832796318905601</v>
      </c>
      <c r="AK8435">
        <v>15.463976247554699</v>
      </c>
      <c r="AL8435">
        <v>80.8153978867023</v>
      </c>
      <c r="AM8435">
        <v>71.354818633799894</v>
      </c>
      <c r="AN8435">
        <v>1.00000003038589</v>
      </c>
    </row>
    <row r="8436" spans="1:40" x14ac:dyDescent="0.25">
      <c r="A8436" t="str">
        <f>"20190312172314075"</f>
        <v>20190312172314075</v>
      </c>
      <c r="B8436" t="str">
        <f>"1552382594068977"</f>
        <v>1552382594068977</v>
      </c>
      <c r="C8436" t="s">
        <v>40</v>
      </c>
      <c r="D8436">
        <v>3.44665</v>
      </c>
      <c r="E8436">
        <v>0.58809940000000005</v>
      </c>
      <c r="F8436" t="s">
        <v>62</v>
      </c>
      <c r="G8436">
        <v>-171.63669999999999</v>
      </c>
      <c r="H8436" s="1">
        <v>-1.711758E-6</v>
      </c>
      <c r="I8436">
        <v>133.19299999999899</v>
      </c>
      <c r="J8436">
        <v>-184.37209999999999</v>
      </c>
      <c r="K8436">
        <v>1.0939760000000001</v>
      </c>
      <c r="L8436">
        <v>124.0989</v>
      </c>
      <c r="M8436">
        <v>0.39282460000000002</v>
      </c>
      <c r="N8436">
        <v>0</v>
      </c>
      <c r="O8436">
        <v>0.91945809999999994</v>
      </c>
      <c r="P8436">
        <v>0.65358780000000005</v>
      </c>
      <c r="Q8436">
        <v>0.15626029999999999</v>
      </c>
      <c r="R8436">
        <v>0.74054430000000004</v>
      </c>
      <c r="S8436">
        <v>2.5539550000000002</v>
      </c>
      <c r="T8436">
        <v>-0.2179489</v>
      </c>
      <c r="U8436">
        <v>1.8506009999999999</v>
      </c>
      <c r="V8436">
        <v>0.31641849999999999</v>
      </c>
      <c r="W8436">
        <v>0.16015009999999999</v>
      </c>
      <c r="X8436">
        <v>0.93500329999999998</v>
      </c>
      <c r="Y8436">
        <v>0.5119764</v>
      </c>
      <c r="Z8436">
        <v>-7.0881739999999999E-2</v>
      </c>
      <c r="AA8436">
        <v>0.85607009999999994</v>
      </c>
      <c r="AB8436">
        <v>41</v>
      </c>
      <c r="AC8436">
        <v>12.735399999999901</v>
      </c>
      <c r="AD8436">
        <v>-1.0939777117579901</v>
      </c>
      <c r="AE8436">
        <v>9.0940999999999796</v>
      </c>
      <c r="AF8436">
        <v>8.0988639146102308</v>
      </c>
      <c r="AG8436">
        <v>-1.0939777117579901</v>
      </c>
      <c r="AH8436">
        <v>13.301328098407501</v>
      </c>
      <c r="AI8436">
        <v>94.018344879927795</v>
      </c>
      <c r="AJ8436">
        <v>58.663754046995798</v>
      </c>
      <c r="AK8436">
        <v>15.6113328426077</v>
      </c>
      <c r="AL8436">
        <v>80.784390835024595</v>
      </c>
      <c r="AM8436">
        <v>71.303444909197296</v>
      </c>
      <c r="AN8436">
        <v>0.99999994634157297</v>
      </c>
    </row>
    <row r="8437" spans="1:40" x14ac:dyDescent="0.25">
      <c r="A8437" t="str">
        <f>"20190312172314085"</f>
        <v>20190312172314085</v>
      </c>
      <c r="B8437" t="str">
        <f>"1552382594078736"</f>
        <v>1552382594078736</v>
      </c>
      <c r="C8437" t="s">
        <v>40</v>
      </c>
      <c r="D8437">
        <v>3.4518270000000002</v>
      </c>
      <c r="E8437">
        <v>0.58812640000000005</v>
      </c>
      <c r="F8437" t="s">
        <v>62</v>
      </c>
      <c r="G8437">
        <v>-171.22020000000001</v>
      </c>
      <c r="H8437" s="1">
        <v>-1.580678E-6</v>
      </c>
      <c r="I8437">
        <v>133.4333</v>
      </c>
      <c r="J8437">
        <v>-184.3004</v>
      </c>
      <c r="K8437">
        <v>1.0938810000000001</v>
      </c>
      <c r="L8437">
        <v>124.26009999999999</v>
      </c>
      <c r="M8437">
        <v>0.39884920000000001</v>
      </c>
      <c r="N8437">
        <v>0</v>
      </c>
      <c r="O8437">
        <v>0.91686029999999996</v>
      </c>
      <c r="P8437">
        <v>0.65903330000000004</v>
      </c>
      <c r="Q8437">
        <v>0.15687999999999999</v>
      </c>
      <c r="R8437">
        <v>0.73557039999999996</v>
      </c>
      <c r="S8437">
        <v>2.572495</v>
      </c>
      <c r="T8437">
        <v>-0.21397969999999999</v>
      </c>
      <c r="U8437">
        <v>1.82579</v>
      </c>
      <c r="V8437">
        <v>0.3172932</v>
      </c>
      <c r="W8437">
        <v>0.16068479999999999</v>
      </c>
      <c r="X8437">
        <v>0.93461510000000003</v>
      </c>
      <c r="Y8437">
        <v>0.51482570000000005</v>
      </c>
      <c r="Z8437">
        <v>-6.9568050000000006E-2</v>
      </c>
      <c r="AA8437">
        <v>0.85446759999999999</v>
      </c>
      <c r="AB8437">
        <v>41</v>
      </c>
      <c r="AC8437">
        <v>13.0801999999999</v>
      </c>
      <c r="AD8437">
        <v>-1.0938825806779999</v>
      </c>
      <c r="AE8437">
        <v>9.1731999999999996</v>
      </c>
      <c r="AF8437">
        <v>8.2962931464514806</v>
      </c>
      <c r="AG8437">
        <v>-1.0938825806779999</v>
      </c>
      <c r="AH8437">
        <v>13.5659248288769</v>
      </c>
      <c r="AI8437">
        <v>93.935203770738795</v>
      </c>
      <c r="AJ8437">
        <v>58.551969781269399</v>
      </c>
      <c r="AK8437">
        <v>15.939240117863401</v>
      </c>
      <c r="AL8437">
        <v>80.753353150940995</v>
      </c>
      <c r="AM8437">
        <v>71.248124229798904</v>
      </c>
      <c r="AN8437">
        <v>0.99999998243264399</v>
      </c>
    </row>
    <row r="8438" spans="1:40" x14ac:dyDescent="0.25">
      <c r="A8438" t="str">
        <f>"20190312172314102"</f>
        <v>20190312172314102</v>
      </c>
      <c r="B8438" t="str">
        <f>"1552382594099233"</f>
        <v>1552382594099233</v>
      </c>
      <c r="C8438" t="s">
        <v>40</v>
      </c>
      <c r="D8438">
        <v>3.4587340000000002</v>
      </c>
      <c r="E8438">
        <v>0.58780889999999997</v>
      </c>
      <c r="F8438" t="s">
        <v>62</v>
      </c>
      <c r="G8438">
        <v>-170.94810000000001</v>
      </c>
      <c r="H8438" s="1">
        <v>-1.492994E-6</v>
      </c>
      <c r="I8438">
        <v>133.5855</v>
      </c>
      <c r="J8438">
        <v>-184.1788</v>
      </c>
      <c r="K8438">
        <v>1.0937349999999999</v>
      </c>
      <c r="L8438">
        <v>124.5283</v>
      </c>
      <c r="M8438">
        <v>0.40892220000000001</v>
      </c>
      <c r="N8438">
        <v>0</v>
      </c>
      <c r="O8438">
        <v>0.91241170000000005</v>
      </c>
      <c r="P8438">
        <v>0.66802030000000001</v>
      </c>
      <c r="Q8438">
        <v>0.15737960000000001</v>
      </c>
      <c r="R8438">
        <v>0.72731049999999997</v>
      </c>
      <c r="S8438">
        <v>2.586395</v>
      </c>
      <c r="T8438">
        <v>-0.21188969999999999</v>
      </c>
      <c r="U8438">
        <v>1.806381</v>
      </c>
      <c r="V8438">
        <v>0.31860349999999998</v>
      </c>
      <c r="W8438">
        <v>0.16105050000000001</v>
      </c>
      <c r="X8438">
        <v>0.93410629999999994</v>
      </c>
      <c r="Y8438">
        <v>0.5119032</v>
      </c>
      <c r="Z8438">
        <v>-6.8726499999999996E-2</v>
      </c>
      <c r="AA8438">
        <v>0.85628959999999998</v>
      </c>
      <c r="AB8438">
        <v>41</v>
      </c>
      <c r="AC8438">
        <v>13.230699999999899</v>
      </c>
      <c r="AD8438">
        <v>-1.0937364929940001</v>
      </c>
      <c r="AE8438">
        <v>9.0571999999999893</v>
      </c>
      <c r="AF8438">
        <v>8.3305948538014896</v>
      </c>
      <c r="AG8438">
        <v>-1.0937364929940001</v>
      </c>
      <c r="AH8438">
        <v>13.612845437514601</v>
      </c>
      <c r="AI8438">
        <v>93.920443551330806</v>
      </c>
      <c r="AJ8438">
        <v>58.534796379458001</v>
      </c>
      <c r="AK8438">
        <v>15.9970194423822</v>
      </c>
      <c r="AL8438">
        <v>80.732123910463699</v>
      </c>
      <c r="AM8438">
        <v>71.166598780284403</v>
      </c>
      <c r="AN8438">
        <v>1.0000000167310901</v>
      </c>
    </row>
    <row r="8439" spans="1:40" x14ac:dyDescent="0.25">
      <c r="A8439" t="str">
        <f>"20190312172314111"</f>
        <v>20190312172314111</v>
      </c>
      <c r="B8439" t="str">
        <f>"1552382594108993"</f>
        <v>1552382594108993</v>
      </c>
      <c r="C8439" t="s">
        <v>40</v>
      </c>
      <c r="D8439">
        <v>3.4753630000000002</v>
      </c>
      <c r="E8439">
        <v>0.58781049999999901</v>
      </c>
      <c r="F8439" t="s">
        <v>62</v>
      </c>
      <c r="G8439">
        <v>-170.63069999999999</v>
      </c>
      <c r="H8439" s="1">
        <v>-1.3886909999999999E-6</v>
      </c>
      <c r="I8439">
        <v>133.7587</v>
      </c>
      <c r="J8439">
        <v>-184.0917</v>
      </c>
      <c r="K8439">
        <v>1.0936360000000001</v>
      </c>
      <c r="L8439">
        <v>124.71429999999999</v>
      </c>
      <c r="M8439">
        <v>0.41597790000000001</v>
      </c>
      <c r="N8439">
        <v>0</v>
      </c>
      <c r="O8439">
        <v>0.90921620000000003</v>
      </c>
      <c r="P8439">
        <v>0.67386140000000005</v>
      </c>
      <c r="Q8439">
        <v>0.15736929999999999</v>
      </c>
      <c r="R8439">
        <v>0.72190430000000005</v>
      </c>
      <c r="S8439">
        <v>2.6067960000000001</v>
      </c>
      <c r="T8439">
        <v>-0.2104461</v>
      </c>
      <c r="U8439">
        <v>1.776016</v>
      </c>
      <c r="V8439">
        <v>0.31893300000000002</v>
      </c>
      <c r="W8439">
        <v>0.16097700000000001</v>
      </c>
      <c r="X8439">
        <v>0.93400649999999996</v>
      </c>
      <c r="Y8439">
        <v>0.51520790000000005</v>
      </c>
      <c r="Z8439">
        <v>-6.8244520000000003E-2</v>
      </c>
      <c r="AA8439">
        <v>0.85434379999999999</v>
      </c>
      <c r="AB8439">
        <v>41</v>
      </c>
      <c r="AC8439">
        <v>13.461</v>
      </c>
      <c r="AD8439">
        <v>-1.093637388691</v>
      </c>
      <c r="AE8439">
        <v>9.0444000000000102</v>
      </c>
      <c r="AF8439">
        <v>8.4395304573198899</v>
      </c>
      <c r="AG8439">
        <v>-1.093637388691</v>
      </c>
      <c r="AH8439">
        <v>13.7622001103383</v>
      </c>
      <c r="AI8439">
        <v>93.875483506150502</v>
      </c>
      <c r="AJ8439">
        <v>58.481712198520903</v>
      </c>
      <c r="AK8439">
        <v>16.180848832955899</v>
      </c>
      <c r="AL8439">
        <v>80.736390644744205</v>
      </c>
      <c r="AM8439">
        <v>71.146624162099897</v>
      </c>
      <c r="AN8439">
        <v>0.99999999753012503</v>
      </c>
    </row>
    <row r="8440" spans="1:40" x14ac:dyDescent="0.25">
      <c r="A8440" t="str">
        <f>"20190312172314124"</f>
        <v>20190312172314124</v>
      </c>
      <c r="B8440" t="str">
        <f>"1552382594118752"</f>
        <v>1552382594118752</v>
      </c>
      <c r="C8440" t="s">
        <v>40</v>
      </c>
      <c r="D8440">
        <v>3.5007869999999999</v>
      </c>
      <c r="E8440">
        <v>0.58740309999999996</v>
      </c>
      <c r="F8440" t="s">
        <v>62</v>
      </c>
      <c r="G8440">
        <v>-170.51339999999999</v>
      </c>
      <c r="H8440" s="1">
        <v>-1.3421560000000001E-6</v>
      </c>
      <c r="I8440">
        <v>133.80459999999999</v>
      </c>
      <c r="J8440">
        <v>-184</v>
      </c>
      <c r="K8440">
        <v>1.093539</v>
      </c>
      <c r="L8440">
        <v>124.9074</v>
      </c>
      <c r="M8440">
        <v>0.42332039999999999</v>
      </c>
      <c r="N8440">
        <v>0</v>
      </c>
      <c r="O8440">
        <v>0.90582050000000003</v>
      </c>
      <c r="P8440">
        <v>0.67986880000000005</v>
      </c>
      <c r="Q8440">
        <v>0.1576129</v>
      </c>
      <c r="R8440">
        <v>0.7161959</v>
      </c>
      <c r="S8440">
        <v>2.6212620000000002</v>
      </c>
      <c r="T8440">
        <v>-0.21112429999999999</v>
      </c>
      <c r="U8440">
        <v>1.7548680000000001</v>
      </c>
      <c r="V8440">
        <v>0.319249</v>
      </c>
      <c r="W8440">
        <v>0.16115589999999999</v>
      </c>
      <c r="X8440">
        <v>0.93386769999999997</v>
      </c>
      <c r="Y8440">
        <v>0.51520949999999999</v>
      </c>
      <c r="Z8440">
        <v>-6.8370399999999998E-2</v>
      </c>
      <c r="AA8440">
        <v>0.85433289999999995</v>
      </c>
      <c r="AB8440">
        <v>41</v>
      </c>
      <c r="AC8440">
        <v>13.486599999999999</v>
      </c>
      <c r="AD8440">
        <v>-1.0935403421559999</v>
      </c>
      <c r="AE8440">
        <v>8.8971999999999891</v>
      </c>
      <c r="AF8440">
        <v>8.41275627356762</v>
      </c>
      <c r="AG8440">
        <v>-1.0935403421559999</v>
      </c>
      <c r="AH8440">
        <v>13.7076165821811</v>
      </c>
      <c r="AI8440">
        <v>93.889679380614695</v>
      </c>
      <c r="AJ8440">
        <v>58.461369306000499</v>
      </c>
      <c r="AK8440">
        <v>16.1204544279143</v>
      </c>
      <c r="AL8440">
        <v>80.726004987742996</v>
      </c>
      <c r="AM8440">
        <v>71.126659236575193</v>
      </c>
      <c r="AN8440">
        <v>1.00000001460455</v>
      </c>
    </row>
    <row r="8441" spans="1:40" x14ac:dyDescent="0.25">
      <c r="A8441" t="str">
        <f>"20190312172314135"</f>
        <v>20190312172314135</v>
      </c>
      <c r="B8441" t="str">
        <f>"1552382594128513"</f>
        <v>1552382594128513</v>
      </c>
      <c r="C8441" t="s">
        <v>40</v>
      </c>
      <c r="D8441">
        <v>3.5273240000000001</v>
      </c>
      <c r="E8441">
        <v>0.58722559999999902</v>
      </c>
      <c r="F8441" t="s">
        <v>62</v>
      </c>
      <c r="G8441">
        <v>-170.404</v>
      </c>
      <c r="H8441" s="1">
        <v>-1.3057949999999999E-6</v>
      </c>
      <c r="I8441">
        <v>133.86330000000001</v>
      </c>
      <c r="J8441">
        <v>-183.91130000000001</v>
      </c>
      <c r="K8441">
        <v>1.093451</v>
      </c>
      <c r="L8441">
        <v>125.0903</v>
      </c>
      <c r="M8441">
        <v>0.43031419999999998</v>
      </c>
      <c r="N8441">
        <v>0</v>
      </c>
      <c r="O8441">
        <v>0.90251870000000001</v>
      </c>
      <c r="P8441">
        <v>0.68536909999999995</v>
      </c>
      <c r="Q8441">
        <v>0.15789329999999999</v>
      </c>
      <c r="R8441">
        <v>0.7108719</v>
      </c>
      <c r="S8441">
        <v>2.6339570000000001</v>
      </c>
      <c r="T8441">
        <v>-0.21185119999999999</v>
      </c>
      <c r="U8441">
        <v>1.7350159999999999</v>
      </c>
      <c r="V8441">
        <v>0.31929540000000001</v>
      </c>
      <c r="W8441">
        <v>0.16138829999999901</v>
      </c>
      <c r="X8441">
        <v>0.93381170000000002</v>
      </c>
      <c r="Y8441">
        <v>0.51495599999999997</v>
      </c>
      <c r="Z8441">
        <v>-6.8518609999999994E-2</v>
      </c>
      <c r="AA8441">
        <v>0.85447379999999995</v>
      </c>
      <c r="AB8441">
        <v>41</v>
      </c>
      <c r="AC8441">
        <v>13.507299999999899</v>
      </c>
      <c r="AD8441">
        <v>-1.0934523057950001</v>
      </c>
      <c r="AE8441">
        <v>8.7730000000000103</v>
      </c>
      <c r="AF8441">
        <v>8.3780489549653492</v>
      </c>
      <c r="AG8441">
        <v>-1.0934523057950001</v>
      </c>
      <c r="AH8441">
        <v>13.6691672477774</v>
      </c>
      <c r="AI8441">
        <v>93.901682383233705</v>
      </c>
      <c r="AJ8441">
        <v>58.495208423562602</v>
      </c>
      <c r="AK8441">
        <v>16.0696445351027</v>
      </c>
      <c r="AL8441">
        <v>80.712512825383698</v>
      </c>
      <c r="AM8441">
        <v>71.123058546808906</v>
      </c>
      <c r="AN8441">
        <v>1.00000001344747</v>
      </c>
    </row>
    <row r="8442" spans="1:40" x14ac:dyDescent="0.25">
      <c r="A8442" t="str">
        <f>"20190312172314147"</f>
        <v>20190312172314147</v>
      </c>
      <c r="B8442" t="str">
        <f>"1552382594139249"</f>
        <v>1552382594139249</v>
      </c>
      <c r="C8442" t="s">
        <v>40</v>
      </c>
      <c r="D8442">
        <v>3.5636260000000002</v>
      </c>
      <c r="E8442">
        <v>0.58685209999999999</v>
      </c>
      <c r="F8442" t="s">
        <v>62</v>
      </c>
      <c r="G8442">
        <v>-170.25919999999999</v>
      </c>
      <c r="H8442" s="1">
        <v>-1.257392E-6</v>
      </c>
      <c r="I8442">
        <v>133.94040000000001</v>
      </c>
      <c r="J8442">
        <v>-183.81870000000001</v>
      </c>
      <c r="K8442">
        <v>1.0933630000000001</v>
      </c>
      <c r="L8442">
        <v>125.2774</v>
      </c>
      <c r="M8442">
        <v>0.43750450000000002</v>
      </c>
      <c r="N8442">
        <v>0</v>
      </c>
      <c r="O8442">
        <v>0.89905469999999899</v>
      </c>
      <c r="P8442">
        <v>0.6910965</v>
      </c>
      <c r="Q8442">
        <v>0.15801809999999999</v>
      </c>
      <c r="R8442">
        <v>0.70527720000000005</v>
      </c>
      <c r="S8442">
        <v>2.6465450000000001</v>
      </c>
      <c r="T8442">
        <v>-0.2119731</v>
      </c>
      <c r="U8442">
        <v>1.715652</v>
      </c>
      <c r="V8442">
        <v>0.31944539999999999</v>
      </c>
      <c r="W8442">
        <v>0.16146079999999999</v>
      </c>
      <c r="X8442">
        <v>0.93374780000000002</v>
      </c>
      <c r="Y8442">
        <v>0.51437809999999995</v>
      </c>
      <c r="Z8442">
        <v>-6.8450499999999997E-2</v>
      </c>
      <c r="AA8442">
        <v>0.85482729999999996</v>
      </c>
      <c r="AB8442">
        <v>41</v>
      </c>
      <c r="AC8442">
        <v>13.5595</v>
      </c>
      <c r="AD8442">
        <v>-1.0933642573919999</v>
      </c>
      <c r="AE8442">
        <v>8.6630000000000091</v>
      </c>
      <c r="AF8442">
        <v>8.3632357188153907</v>
      </c>
      <c r="AG8442">
        <v>-1.0933642573919999</v>
      </c>
      <c r="AH8442">
        <v>13.6597754181397</v>
      </c>
      <c r="AI8442">
        <v>93.905192887056003</v>
      </c>
      <c r="AJ8442">
        <v>58.522831425207102</v>
      </c>
      <c r="AK8442">
        <v>16.053928539825598</v>
      </c>
      <c r="AL8442">
        <v>80.708303119205198</v>
      </c>
      <c r="AM8442">
        <v>71.113618021510604</v>
      </c>
      <c r="AN8442">
        <v>0.99999995376131801</v>
      </c>
    </row>
    <row r="8443" spans="1:40" x14ac:dyDescent="0.25">
      <c r="A8443" t="str">
        <f>"20190312172314156"</f>
        <v>20190312172314156</v>
      </c>
      <c r="B8443" t="str">
        <f>"1552382594149009"</f>
        <v>1552382594149009</v>
      </c>
      <c r="C8443" t="s">
        <v>40</v>
      </c>
      <c r="D8443">
        <v>3.5365859999999998</v>
      </c>
      <c r="E8443">
        <v>0.58624469999999995</v>
      </c>
      <c r="F8443" t="s">
        <v>62</v>
      </c>
      <c r="G8443">
        <v>-170.18170000000001</v>
      </c>
      <c r="H8443" s="1">
        <v>-1.230051E-6</v>
      </c>
      <c r="I8443">
        <v>133.9785</v>
      </c>
      <c r="J8443">
        <v>-183.72559999999999</v>
      </c>
      <c r="K8443">
        <v>1.093278</v>
      </c>
      <c r="L8443">
        <v>125.46259999999999</v>
      </c>
      <c r="M8443">
        <v>0.44464140000000002</v>
      </c>
      <c r="N8443">
        <v>0</v>
      </c>
      <c r="O8443">
        <v>0.89554609999999901</v>
      </c>
      <c r="P8443">
        <v>0.6967352</v>
      </c>
      <c r="Q8443">
        <v>0.15818670000000001</v>
      </c>
      <c r="R8443">
        <v>0.69966930000000005</v>
      </c>
      <c r="S8443">
        <v>2.658569</v>
      </c>
      <c r="T8443">
        <v>-0.21315410000000001</v>
      </c>
      <c r="U8443">
        <v>1.696304</v>
      </c>
      <c r="V8443">
        <v>0.31956980000000001</v>
      </c>
      <c r="W8443">
        <v>0.16157939999999901</v>
      </c>
      <c r="X8443">
        <v>0.93368479999999998</v>
      </c>
      <c r="Y8443">
        <v>0.51371699999999998</v>
      </c>
      <c r="Z8443">
        <v>-6.8723019999999996E-2</v>
      </c>
      <c r="AA8443">
        <v>0.85520289999999999</v>
      </c>
      <c r="AB8443">
        <v>41</v>
      </c>
      <c r="AC8443">
        <v>13.543899999999899</v>
      </c>
      <c r="AD8443">
        <v>-1.0932792300509999</v>
      </c>
      <c r="AE8443">
        <v>8.5159000000000002</v>
      </c>
      <c r="AF8443">
        <v>8.3050973681363907</v>
      </c>
      <c r="AG8443">
        <v>-1.0932792300509999</v>
      </c>
      <c r="AH8443">
        <v>13.5870990215261</v>
      </c>
      <c r="AI8443">
        <v>93.927461487789898</v>
      </c>
      <c r="AJ8443">
        <v>58.564692696603601</v>
      </c>
      <c r="AK8443">
        <v>15.961803206086801</v>
      </c>
      <c r="AL8443">
        <v>80.701418166494804</v>
      </c>
      <c r="AM8443">
        <v>71.1056003944</v>
      </c>
      <c r="AN8443">
        <v>1.00000003266371</v>
      </c>
    </row>
    <row r="8444" spans="1:40" x14ac:dyDescent="0.25">
      <c r="A8444" t="str">
        <f>"20190312172314171"</f>
        <v>20190312172314171</v>
      </c>
      <c r="B8444" t="str">
        <f>"1552382594158768"</f>
        <v>1552382594158768</v>
      </c>
      <c r="C8444" t="s">
        <v>40</v>
      </c>
      <c r="D8444">
        <v>3.5894720000000002</v>
      </c>
      <c r="E8444">
        <v>0.58582299999999998</v>
      </c>
      <c r="F8444" t="s">
        <v>62</v>
      </c>
      <c r="G8444">
        <v>-170.0598</v>
      </c>
      <c r="H8444" s="1">
        <v>-1.19536E-6</v>
      </c>
      <c r="I8444">
        <v>134.05709999999999</v>
      </c>
      <c r="J8444">
        <v>-183.61689999999999</v>
      </c>
      <c r="K8444">
        <v>1.093186</v>
      </c>
      <c r="L8444">
        <v>125.673</v>
      </c>
      <c r="M8444">
        <v>0.45280939999999997</v>
      </c>
      <c r="N8444">
        <v>0</v>
      </c>
      <c r="O8444">
        <v>0.89144369999999995</v>
      </c>
      <c r="P8444">
        <v>0.70328500000000005</v>
      </c>
      <c r="Q8444">
        <v>0.158554</v>
      </c>
      <c r="R8444">
        <v>0.69300130000000004</v>
      </c>
      <c r="S8444">
        <v>2.668777</v>
      </c>
      <c r="T8444">
        <v>-0.21350469999999999</v>
      </c>
      <c r="U8444">
        <v>1.6784060000000001</v>
      </c>
      <c r="V8444">
        <v>0.31990459999999998</v>
      </c>
      <c r="W8444">
        <v>0.1618839</v>
      </c>
      <c r="X8444">
        <v>0.93351740000000005</v>
      </c>
      <c r="Y8444">
        <v>0.51145989999999997</v>
      </c>
      <c r="Z8444">
        <v>-6.8689230000000004E-2</v>
      </c>
      <c r="AA8444">
        <v>0.85655740000000002</v>
      </c>
      <c r="AB8444">
        <v>41</v>
      </c>
      <c r="AC8444">
        <v>13.557099999999901</v>
      </c>
      <c r="AD8444">
        <v>-1.0931871953600001</v>
      </c>
      <c r="AE8444">
        <v>8.3841000000000001</v>
      </c>
      <c r="AF8444">
        <v>8.2513926673206903</v>
      </c>
      <c r="AG8444">
        <v>-1.0931871953600001</v>
      </c>
      <c r="AH8444">
        <v>13.5509871554789</v>
      </c>
      <c r="AI8444">
        <v>93.941640070468907</v>
      </c>
      <c r="AJ8444">
        <v>58.662158528355199</v>
      </c>
      <c r="AK8444">
        <v>15.903137806180499</v>
      </c>
      <c r="AL8444">
        <v>80.683738948449403</v>
      </c>
      <c r="AM8444">
        <v>71.084061374779196</v>
      </c>
      <c r="AN8444">
        <v>1.0000000431415601</v>
      </c>
    </row>
    <row r="8445" spans="1:40" x14ac:dyDescent="0.25">
      <c r="A8445" t="str">
        <f>"20190312172314183"</f>
        <v>20190312172314183</v>
      </c>
      <c r="B8445" t="str">
        <f>"1552382594179266"</f>
        <v>1552382594179266</v>
      </c>
      <c r="C8445" t="s">
        <v>40</v>
      </c>
      <c r="D8445">
        <v>3.5373429999999999</v>
      </c>
      <c r="E8445">
        <v>0.58492569999999999</v>
      </c>
      <c r="F8445" t="s">
        <v>42</v>
      </c>
      <c r="G8445">
        <v>-169.9426</v>
      </c>
      <c r="H8445" s="1">
        <v>-1.4708289999999999E-6</v>
      </c>
      <c r="I8445">
        <v>134.11199999999999</v>
      </c>
      <c r="J8445">
        <v>-183.51329999999999</v>
      </c>
      <c r="K8445">
        <v>1.0930979999999999</v>
      </c>
      <c r="L8445">
        <v>125.87050000000001</v>
      </c>
      <c r="M8445">
        <v>0.46049279999999998</v>
      </c>
      <c r="N8445">
        <v>0</v>
      </c>
      <c r="O8445">
        <v>0.88749869999999897</v>
      </c>
      <c r="P8445">
        <v>0.709144199999999</v>
      </c>
      <c r="Q8445">
        <v>0.15892970000000001</v>
      </c>
      <c r="R8445">
        <v>0.68691780000000002</v>
      </c>
      <c r="S8445">
        <v>2.6826629999999998</v>
      </c>
      <c r="T8445">
        <v>-0.21446470000000001</v>
      </c>
      <c r="U8445">
        <v>1.65559399999999</v>
      </c>
      <c r="V8445">
        <v>0.31985459999999999</v>
      </c>
      <c r="W8445">
        <v>0.162217</v>
      </c>
      <c r="X8445">
        <v>0.93347670000000005</v>
      </c>
      <c r="Y8445">
        <v>0.51128409999999902</v>
      </c>
      <c r="Z8445">
        <v>-6.8875980000000003E-2</v>
      </c>
      <c r="AA8445">
        <v>0.8566473</v>
      </c>
      <c r="AB8445">
        <v>41</v>
      </c>
      <c r="AC8445">
        <v>13.570699999999899</v>
      </c>
      <c r="AD8445">
        <v>-1.0930994708289901</v>
      </c>
      <c r="AE8445">
        <v>8.2414999999999807</v>
      </c>
      <c r="AF8445">
        <v>8.2111136449420599</v>
      </c>
      <c r="AG8445">
        <v>-1.0930994708289901</v>
      </c>
      <c r="AH8445">
        <v>13.5015178584441</v>
      </c>
      <c r="AI8445">
        <v>93.9570374128661</v>
      </c>
      <c r="AJ8445">
        <v>58.693611399366198</v>
      </c>
      <c r="AK8445">
        <v>15.840083277090599</v>
      </c>
      <c r="AL8445">
        <v>80.664398008478699</v>
      </c>
      <c r="AM8445">
        <v>71.086041711608701</v>
      </c>
      <c r="AN8445">
        <v>1.0000000348365199</v>
      </c>
    </row>
    <row r="8446" spans="1:40" x14ac:dyDescent="0.25">
      <c r="A8446" t="str">
        <f>"20190312172314194"</f>
        <v>20190312172314194</v>
      </c>
      <c r="B8446" t="str">
        <f>"1552382594189025"</f>
        <v>1552382594189025</v>
      </c>
      <c r="C8446" t="s">
        <v>40</v>
      </c>
      <c r="D8446">
        <v>3.529973</v>
      </c>
      <c r="E8446">
        <v>0.58454019999999995</v>
      </c>
      <c r="F8446" t="s">
        <v>42</v>
      </c>
      <c r="G8446">
        <v>-169.8871</v>
      </c>
      <c r="H8446" s="1">
        <v>-1.4794800000000001E-6</v>
      </c>
      <c r="I8446">
        <v>134.15960000000001</v>
      </c>
      <c r="J8446">
        <v>-183.4025</v>
      </c>
      <c r="K8446">
        <v>1.093013</v>
      </c>
      <c r="L8446">
        <v>126.0763</v>
      </c>
      <c r="M8446">
        <v>0.46854990000000002</v>
      </c>
      <c r="N8446">
        <v>0</v>
      </c>
      <c r="O8446">
        <v>0.88327119999999903</v>
      </c>
      <c r="P8446">
        <v>0.71547620000000001</v>
      </c>
      <c r="Q8446">
        <v>0.158965299999999</v>
      </c>
      <c r="R8446">
        <v>0.68031169999999996</v>
      </c>
      <c r="S8446">
        <v>2.692383</v>
      </c>
      <c r="T8446">
        <v>-0.21598329999999999</v>
      </c>
      <c r="U8446">
        <v>1.6378170000000001</v>
      </c>
      <c r="V8446">
        <v>0.32004379999999999</v>
      </c>
      <c r="W8446">
        <v>0.1622015</v>
      </c>
      <c r="X8446">
        <v>0.93341450000000004</v>
      </c>
      <c r="Y8446">
        <v>0.50894300000000003</v>
      </c>
      <c r="Z8446">
        <v>-6.9200020000000001E-2</v>
      </c>
      <c r="AA8446">
        <v>0.85801419999999995</v>
      </c>
      <c r="AB8446">
        <v>41</v>
      </c>
      <c r="AC8446">
        <v>13.5154</v>
      </c>
      <c r="AD8446">
        <v>-1.0930144794800001</v>
      </c>
      <c r="AE8446">
        <v>8.0832999999999995</v>
      </c>
      <c r="AF8446">
        <v>8.11244949447903</v>
      </c>
      <c r="AG8446">
        <v>-1.0930144794800001</v>
      </c>
      <c r="AH8446">
        <v>13.409762584817299</v>
      </c>
      <c r="AI8446">
        <v>93.989349439729907</v>
      </c>
      <c r="AJ8446">
        <v>58.827490830999302</v>
      </c>
      <c r="AK8446">
        <v>15.710768600994401</v>
      </c>
      <c r="AL8446">
        <v>80.665297633997596</v>
      </c>
      <c r="AM8446">
        <v>71.074478336298498</v>
      </c>
      <c r="AN8446">
        <v>0.99999999466546996</v>
      </c>
    </row>
    <row r="8447" spans="1:40" x14ac:dyDescent="0.25">
      <c r="A8447" t="str">
        <f>"20190312172314206"</f>
        <v>20190312172314206</v>
      </c>
      <c r="B8447" t="str">
        <f>"1552382594198785"</f>
        <v>1552382594198785</v>
      </c>
      <c r="C8447" t="s">
        <v>40</v>
      </c>
      <c r="D8447">
        <v>3.5238269999999998</v>
      </c>
      <c r="E8447">
        <v>0.58423849999999999</v>
      </c>
      <c r="F8447" t="s">
        <v>42</v>
      </c>
      <c r="G8447">
        <v>-169.7508</v>
      </c>
      <c r="H8447" s="1">
        <v>-1.5145679999999901E-6</v>
      </c>
      <c r="I8447">
        <v>134.2244</v>
      </c>
      <c r="J8447">
        <v>-183.303</v>
      </c>
      <c r="K8447">
        <v>1.0929420000000001</v>
      </c>
      <c r="L8447">
        <v>126.2577</v>
      </c>
      <c r="M8447">
        <v>0.4756804</v>
      </c>
      <c r="N8447">
        <v>0</v>
      </c>
      <c r="O8447">
        <v>0.87945130000000005</v>
      </c>
      <c r="P8447">
        <v>0.72086099999999997</v>
      </c>
      <c r="Q8447">
        <v>0.1592364</v>
      </c>
      <c r="R8447">
        <v>0.67453929999999995</v>
      </c>
      <c r="S8447">
        <v>2.7056429999999998</v>
      </c>
      <c r="T8447">
        <v>-0.21662490000000001</v>
      </c>
      <c r="U8447">
        <v>1.614868</v>
      </c>
      <c r="V8447">
        <v>0.31997999999999999</v>
      </c>
      <c r="W8447">
        <v>0.1624382</v>
      </c>
      <c r="X8447">
        <v>0.93339519999999998</v>
      </c>
      <c r="Y8447">
        <v>0.50919150000000002</v>
      </c>
      <c r="Z8447">
        <v>-6.9293099999999996E-2</v>
      </c>
      <c r="AA8447">
        <v>0.85785929999999999</v>
      </c>
      <c r="AB8447">
        <v>41</v>
      </c>
      <c r="AC8447">
        <v>13.552199999999999</v>
      </c>
      <c r="AD8447">
        <v>-1.092943514568</v>
      </c>
      <c r="AE8447">
        <v>7.9667000000000003</v>
      </c>
      <c r="AF8447">
        <v>8.0909818853399607</v>
      </c>
      <c r="AG8447">
        <v>-1.092943514568</v>
      </c>
      <c r="AH8447">
        <v>13.3900935531475</v>
      </c>
      <c r="AI8447">
        <v>93.996192051529107</v>
      </c>
      <c r="AJ8447">
        <v>58.8574738564878</v>
      </c>
      <c r="AK8447">
        <v>15.682892550705599</v>
      </c>
      <c r="AL8447">
        <v>80.651553352438299</v>
      </c>
      <c r="AM8447">
        <v>71.077619254712204</v>
      </c>
      <c r="AN8447">
        <v>0.99999998430113901</v>
      </c>
    </row>
    <row r="8448" spans="1:40" x14ac:dyDescent="0.25">
      <c r="A8448" t="str">
        <f>"20190312172314218"</f>
        <v>20190312172314218</v>
      </c>
      <c r="B8448" t="str">
        <f>"1552382594208545"</f>
        <v>1552382594208545</v>
      </c>
      <c r="C8448" t="s">
        <v>40</v>
      </c>
      <c r="D8448">
        <v>3.5061550000000001</v>
      </c>
      <c r="E8448">
        <v>0.58394579999999996</v>
      </c>
      <c r="F8448" t="s">
        <v>42</v>
      </c>
      <c r="G8448">
        <v>-169.62899999999999</v>
      </c>
      <c r="H8448" s="1">
        <v>-1.545628E-6</v>
      </c>
      <c r="I8448">
        <v>134.2834</v>
      </c>
      <c r="J8448">
        <v>-183.19710000000001</v>
      </c>
      <c r="K8448">
        <v>1.092867</v>
      </c>
      <c r="L8448">
        <v>126.4478</v>
      </c>
      <c r="M8448">
        <v>0.48316350000000002</v>
      </c>
      <c r="N8448">
        <v>0</v>
      </c>
      <c r="O8448">
        <v>0.87536209999999903</v>
      </c>
      <c r="P8448">
        <v>0.72648219999999997</v>
      </c>
      <c r="Q8448">
        <v>0.15932650000000001</v>
      </c>
      <c r="R8448">
        <v>0.66846000000000005</v>
      </c>
      <c r="S8448">
        <v>2.7172999999999998</v>
      </c>
      <c r="T8448">
        <v>-0.2171913</v>
      </c>
      <c r="U8448">
        <v>1.5948639999999901</v>
      </c>
      <c r="V8448">
        <v>0.31987459999999901</v>
      </c>
      <c r="W8448">
        <v>0.16249559999999999</v>
      </c>
      <c r="X8448">
        <v>0.93342139999999996</v>
      </c>
      <c r="Y8448">
        <v>0.50815529999999998</v>
      </c>
      <c r="Z8448">
        <v>-6.93159E-2</v>
      </c>
      <c r="AA8448">
        <v>0.8584716</v>
      </c>
      <c r="AB8448">
        <v>40</v>
      </c>
      <c r="AC8448">
        <v>13.5680999999999</v>
      </c>
      <c r="AD8448">
        <v>-1.0928685456280001</v>
      </c>
      <c r="AE8448">
        <v>7.8355999999999897</v>
      </c>
      <c r="AF8448">
        <v>8.0531349220451904</v>
      </c>
      <c r="AG8448">
        <v>-1.0928685456280001</v>
      </c>
      <c r="AH8448">
        <v>13.3516133730331</v>
      </c>
      <c r="AI8448">
        <v>94.009330219123598</v>
      </c>
      <c r="AJ8448">
        <v>58.903376763133799</v>
      </c>
      <c r="AK8448">
        <v>15.630512576164699</v>
      </c>
      <c r="AL8448">
        <v>80.648220863003004</v>
      </c>
      <c r="AM8448">
        <v>71.083902183781007</v>
      </c>
      <c r="AN8448">
        <v>1.0000000448612301</v>
      </c>
    </row>
    <row r="8449" spans="1:40" x14ac:dyDescent="0.25">
      <c r="A8449" t="str">
        <f>"20190312172314228"</f>
        <v>20190312172314228</v>
      </c>
      <c r="B8449" t="str">
        <f>"1552382594219281"</f>
        <v>1552382594219281</v>
      </c>
      <c r="C8449" t="s">
        <v>40</v>
      </c>
      <c r="D8449">
        <v>3.5060479999999998</v>
      </c>
      <c r="E8449">
        <v>0.58360279999999998</v>
      </c>
      <c r="F8449" t="s">
        <v>42</v>
      </c>
      <c r="G8449">
        <v>-169.5078</v>
      </c>
      <c r="H8449" s="1">
        <v>-1.5769680000000001E-6</v>
      </c>
      <c r="I8449">
        <v>134.34059999999999</v>
      </c>
      <c r="J8449">
        <v>-183.10489999999999</v>
      </c>
      <c r="K8449">
        <v>1.0928009999999999</v>
      </c>
      <c r="L8449">
        <v>126.6091</v>
      </c>
      <c r="M8449">
        <v>0.48955729999999997</v>
      </c>
      <c r="N8449">
        <v>0</v>
      </c>
      <c r="O8449">
        <v>0.87180219999999897</v>
      </c>
      <c r="P8449">
        <v>0.73122589999999998</v>
      </c>
      <c r="Q8449">
        <v>0.15946469999999999</v>
      </c>
      <c r="R8449">
        <v>0.6632344</v>
      </c>
      <c r="S8449">
        <v>2.7293400000000001</v>
      </c>
      <c r="T8449">
        <v>-0.21789220000000001</v>
      </c>
      <c r="U8449">
        <v>1.573639</v>
      </c>
      <c r="V8449">
        <v>0.31973659999999998</v>
      </c>
      <c r="W8449">
        <v>0.1626108</v>
      </c>
      <c r="X8449">
        <v>0.93344859999999996</v>
      </c>
      <c r="Y8449">
        <v>0.50849529999999998</v>
      </c>
      <c r="Z8449">
        <v>-6.9427310000000006E-2</v>
      </c>
      <c r="AA8449">
        <v>0.8582613</v>
      </c>
      <c r="AB8449">
        <v>40</v>
      </c>
      <c r="AC8449">
        <v>13.5970999999999</v>
      </c>
      <c r="AD8449">
        <v>-1.0928025769680001</v>
      </c>
      <c r="AE8449">
        <v>7.7314999999999898</v>
      </c>
      <c r="AF8449">
        <v>8.0309575460692706</v>
      </c>
      <c r="AG8449">
        <v>-1.0928025769680001</v>
      </c>
      <c r="AH8449">
        <v>13.333787199420501</v>
      </c>
      <c r="AI8449">
        <v>94.0159474332185</v>
      </c>
      <c r="AJ8449">
        <v>58.939389277883002</v>
      </c>
      <c r="AK8449">
        <v>15.6038577812804</v>
      </c>
      <c r="AL8449">
        <v>80.641531252118597</v>
      </c>
      <c r="AM8449">
        <v>71.091994921826597</v>
      </c>
      <c r="AN8449">
        <v>1.0000000272490699</v>
      </c>
    </row>
    <row r="8450" spans="1:40" x14ac:dyDescent="0.25">
      <c r="A8450" t="str">
        <f>"20190312172314238"</f>
        <v>20190312172314238</v>
      </c>
      <c r="B8450" t="str">
        <f>"1552382594229041"</f>
        <v>1552382594229041</v>
      </c>
      <c r="C8450" t="s">
        <v>40</v>
      </c>
      <c r="D8450">
        <v>3.524724</v>
      </c>
      <c r="E8450">
        <v>0.58338869999999998</v>
      </c>
      <c r="F8450" t="s">
        <v>42</v>
      </c>
      <c r="G8450">
        <v>-169.37860000000001</v>
      </c>
      <c r="H8450" s="1">
        <v>-1.609439E-6</v>
      </c>
      <c r="I8450">
        <v>134.4051</v>
      </c>
      <c r="J8450">
        <v>-183.00640000000001</v>
      </c>
      <c r="K8450">
        <v>1.09274</v>
      </c>
      <c r="L8450">
        <v>126.78019999999999</v>
      </c>
      <c r="M8450">
        <v>0.49633149999999998</v>
      </c>
      <c r="N8450">
        <v>0</v>
      </c>
      <c r="O8450">
        <v>0.86796299999999904</v>
      </c>
      <c r="P8450">
        <v>0.73627940000000003</v>
      </c>
      <c r="Q8450">
        <v>0.15967049999999999</v>
      </c>
      <c r="R8450">
        <v>0.65756979999999998</v>
      </c>
      <c r="S8450">
        <v>2.739166</v>
      </c>
      <c r="T8450">
        <v>-0.2180754</v>
      </c>
      <c r="U8450">
        <v>1.5557399999999999</v>
      </c>
      <c r="V8450">
        <v>0.31966650000000002</v>
      </c>
      <c r="W8450">
        <v>0.16278819999999999</v>
      </c>
      <c r="X8450">
        <v>0.93344170000000004</v>
      </c>
      <c r="Y8450">
        <v>0.50735940000000002</v>
      </c>
      <c r="Z8450">
        <v>-6.9332459999999999E-2</v>
      </c>
      <c r="AA8450">
        <v>0.85894079999999995</v>
      </c>
      <c r="AB8450">
        <v>40</v>
      </c>
      <c r="AC8450">
        <v>13.627800000000001</v>
      </c>
      <c r="AD8450">
        <v>-1.0927416094389999</v>
      </c>
      <c r="AE8450">
        <v>7.62490000000001</v>
      </c>
      <c r="AF8450">
        <v>8.0059334891031497</v>
      </c>
      <c r="AG8450">
        <v>-1.0927416094389999</v>
      </c>
      <c r="AH8450">
        <v>13.3187957666914</v>
      </c>
      <c r="AI8450">
        <v>94.022355712080198</v>
      </c>
      <c r="AJ8450">
        <v>58.989906863867397</v>
      </c>
      <c r="AK8450">
        <v>15.578169851807999</v>
      </c>
      <c r="AL8450">
        <v>80.631229824437099</v>
      </c>
      <c r="AM8450">
        <v>71.095716156780497</v>
      </c>
      <c r="AN8450">
        <v>1.0000000382901799</v>
      </c>
    </row>
    <row r="8451" spans="1:40" x14ac:dyDescent="0.25">
      <c r="A8451" t="str">
        <f>"20190312172314249"</f>
        <v>20190312172314249</v>
      </c>
      <c r="B8451" t="str">
        <f>"1552382594238801"</f>
        <v>1552382594238801</v>
      </c>
      <c r="C8451" t="s">
        <v>40</v>
      </c>
      <c r="D8451">
        <v>3.4748730000000001</v>
      </c>
      <c r="E8451">
        <v>0.58338869999999998</v>
      </c>
      <c r="F8451" t="s">
        <v>42</v>
      </c>
      <c r="G8451">
        <v>-169.23689999999999</v>
      </c>
      <c r="H8451" s="1">
        <v>-1.646551E-6</v>
      </c>
      <c r="I8451">
        <v>134.47</v>
      </c>
      <c r="J8451">
        <v>-182.91569999999999</v>
      </c>
      <c r="K8451">
        <v>1.092687</v>
      </c>
      <c r="L8451">
        <v>126.93300000000001</v>
      </c>
      <c r="M8451">
        <v>0.5024362</v>
      </c>
      <c r="N8451">
        <v>0</v>
      </c>
      <c r="O8451">
        <v>0.86444339999999997</v>
      </c>
      <c r="P8451">
        <v>0.74083019999999999</v>
      </c>
      <c r="Q8451">
        <v>0.15961129999999901</v>
      </c>
      <c r="R8451">
        <v>0.65245310000000001</v>
      </c>
      <c r="S8451">
        <v>2.7501530000000001</v>
      </c>
      <c r="T8451">
        <v>-0.21825220000000001</v>
      </c>
      <c r="U8451">
        <v>1.535873</v>
      </c>
      <c r="V8451">
        <v>0.31958309999999901</v>
      </c>
      <c r="W8451">
        <v>0.1627073</v>
      </c>
      <c r="X8451">
        <v>0.93348430000000004</v>
      </c>
      <c r="Y8451">
        <v>0.50748279999999901</v>
      </c>
      <c r="Z8451">
        <v>-6.926736E-2</v>
      </c>
      <c r="AA8451">
        <v>0.8588732</v>
      </c>
      <c r="AB8451">
        <v>40</v>
      </c>
      <c r="AC8451">
        <v>13.678799999999899</v>
      </c>
      <c r="AD8451">
        <v>-1.092688646551</v>
      </c>
      <c r="AE8451">
        <v>7.5369999999999999</v>
      </c>
      <c r="AF8451">
        <v>7.9997158561531503</v>
      </c>
      <c r="AG8451">
        <v>-1.092688646551</v>
      </c>
      <c r="AH8451">
        <v>13.3247877053258</v>
      </c>
      <c r="AI8451">
        <v>94.021662377277593</v>
      </c>
      <c r="AJ8451">
        <v>59.020932976250101</v>
      </c>
      <c r="AK8451">
        <v>15.5800959448102</v>
      </c>
      <c r="AL8451">
        <v>80.635927143005404</v>
      </c>
      <c r="AM8451">
        <v>71.101099405245705</v>
      </c>
      <c r="AN8451">
        <v>0.99999998081269403</v>
      </c>
    </row>
    <row r="8452" spans="1:40" x14ac:dyDescent="0.25">
      <c r="A8452" t="str">
        <f>"20190312172314259"</f>
        <v>20190312172314259</v>
      </c>
      <c r="B8452" t="str">
        <f>"1552382594248561"</f>
        <v>1552382594248561</v>
      </c>
      <c r="C8452" t="s">
        <v>40</v>
      </c>
      <c r="D8452">
        <v>3.4656159999999998</v>
      </c>
      <c r="E8452">
        <v>0.60235519999999998</v>
      </c>
      <c r="F8452" t="s">
        <v>42</v>
      </c>
      <c r="G8452">
        <v>-169.08949999999999</v>
      </c>
      <c r="H8452" s="1">
        <v>-1.6879519999999999E-6</v>
      </c>
      <c r="I8452">
        <v>134.52719999999999</v>
      </c>
      <c r="J8452">
        <v>-182.81710000000001</v>
      </c>
      <c r="K8452">
        <v>1.092632</v>
      </c>
      <c r="L8452">
        <v>127.0989</v>
      </c>
      <c r="M8452">
        <v>0.50903710000000002</v>
      </c>
      <c r="N8452">
        <v>0</v>
      </c>
      <c r="O8452">
        <v>0.86057260000000002</v>
      </c>
      <c r="P8452">
        <v>0.74572799999999995</v>
      </c>
      <c r="Q8452">
        <v>0.15969520000000001</v>
      </c>
      <c r="R8452">
        <v>0.64682869999999903</v>
      </c>
      <c r="S8452">
        <v>2.7609560000000002</v>
      </c>
      <c r="T8452">
        <v>-0.2181987</v>
      </c>
      <c r="U8452">
        <v>1.5164789999999999</v>
      </c>
      <c r="V8452">
        <v>0.31951180000000001</v>
      </c>
      <c r="W8452">
        <v>0.1627661</v>
      </c>
      <c r="X8452">
        <v>0.93349850000000001</v>
      </c>
      <c r="Y8452">
        <v>0.50695469999999998</v>
      </c>
      <c r="Z8452">
        <v>-6.9095219999999999E-2</v>
      </c>
      <c r="AA8452">
        <v>0.85919889999999999</v>
      </c>
      <c r="AB8452">
        <v>40</v>
      </c>
      <c r="AC8452">
        <v>13.727600000000001</v>
      </c>
      <c r="AD8452">
        <v>-1.092633687952</v>
      </c>
      <c r="AE8452">
        <v>7.4282999999999904</v>
      </c>
      <c r="AF8452">
        <v>7.9943305315484796</v>
      </c>
      <c r="AG8452">
        <v>-1.092633687952</v>
      </c>
      <c r="AH8452">
        <v>13.3171716964104</v>
      </c>
      <c r="AI8452">
        <v>94.023861101738206</v>
      </c>
      <c r="AJ8452">
        <v>59.023504014291397</v>
      </c>
      <c r="AK8452">
        <v>15.570813434608</v>
      </c>
      <c r="AL8452">
        <v>80.632513019385996</v>
      </c>
      <c r="AM8452">
        <v>71.105283691370005</v>
      </c>
      <c r="AN8452">
        <v>1.00000002157534</v>
      </c>
    </row>
    <row r="8453" spans="1:40" x14ac:dyDescent="0.25">
      <c r="A8453" t="str">
        <f>"20190312172314270"</f>
        <v>20190312172314270</v>
      </c>
      <c r="B8453" t="str">
        <f>"1552382594258321"</f>
        <v>1552382594258321</v>
      </c>
      <c r="C8453" t="s">
        <v>40</v>
      </c>
      <c r="D8453">
        <v>3.4689399999999999</v>
      </c>
      <c r="E8453">
        <v>0.60499349999999996</v>
      </c>
      <c r="F8453" t="s">
        <v>42</v>
      </c>
      <c r="G8453">
        <v>-168.40010000000001</v>
      </c>
      <c r="H8453" s="1">
        <v>-2.084167E-6</v>
      </c>
      <c r="I8453">
        <v>134.03309999999999</v>
      </c>
      <c r="J8453">
        <v>-182.72210000000001</v>
      </c>
      <c r="K8453">
        <v>1.092584</v>
      </c>
      <c r="L8453">
        <v>127.2538</v>
      </c>
      <c r="M8453">
        <v>0.51525959999999904</v>
      </c>
      <c r="N8453">
        <v>0</v>
      </c>
      <c r="O8453">
        <v>0.85686119999999899</v>
      </c>
      <c r="P8453">
        <v>0.75046610000000002</v>
      </c>
      <c r="Q8453">
        <v>0.15984400000000001</v>
      </c>
      <c r="R8453">
        <v>0.64128819999999997</v>
      </c>
      <c r="S8453">
        <v>2.8715670000000002</v>
      </c>
      <c r="T8453">
        <v>-0.21763060000000001</v>
      </c>
      <c r="U8453">
        <v>1.381149</v>
      </c>
      <c r="V8453">
        <v>0.31965909999999997</v>
      </c>
      <c r="W8453">
        <v>0.16288320000000001</v>
      </c>
      <c r="X8453">
        <v>0.93342760000000002</v>
      </c>
      <c r="Y8453">
        <v>0.54653739999999995</v>
      </c>
      <c r="Z8453">
        <v>-6.8881380000000006E-2</v>
      </c>
      <c r="AA8453">
        <v>0.83459709999999998</v>
      </c>
      <c r="AB8453">
        <v>40</v>
      </c>
      <c r="AC8453">
        <v>14.321999999999999</v>
      </c>
      <c r="AD8453">
        <v>-1.0925860841670001</v>
      </c>
      <c r="AE8453">
        <v>6.7792999999999903</v>
      </c>
      <c r="AF8453">
        <v>8.7386206776423201</v>
      </c>
      <c r="AG8453">
        <v>-1.0925860841670001</v>
      </c>
      <c r="AH8453">
        <v>13.1280056362813</v>
      </c>
      <c r="AI8453">
        <v>93.963145350174003</v>
      </c>
      <c r="AJ8453">
        <v>56.3503885186052</v>
      </c>
      <c r="AK8453">
        <v>15.8082816170913</v>
      </c>
      <c r="AL8453">
        <v>80.625712550624598</v>
      </c>
      <c r="AM8453">
        <v>71.095857422159796</v>
      </c>
      <c r="AN8453">
        <v>0.99999998074840402</v>
      </c>
    </row>
    <row r="8454" spans="1:40" x14ac:dyDescent="0.25">
      <c r="A8454" t="str">
        <f>"20190312172314280"</f>
        <v>20190312172314280</v>
      </c>
      <c r="B8454" t="str">
        <f>"1552382594269057"</f>
        <v>1552382594269057</v>
      </c>
      <c r="C8454" t="s">
        <v>40</v>
      </c>
      <c r="D8454">
        <v>3.5580430000000001</v>
      </c>
      <c r="E8454">
        <v>0.60580829999999997</v>
      </c>
      <c r="F8454" t="s">
        <v>42</v>
      </c>
      <c r="G8454">
        <v>-168.02350000000001</v>
      </c>
      <c r="H8454" s="1">
        <v>-2.2176679999999999E-6</v>
      </c>
      <c r="I8454">
        <v>134.07480000000001</v>
      </c>
      <c r="J8454">
        <v>-182.6156</v>
      </c>
      <c r="K8454">
        <v>1.0925260000000001</v>
      </c>
      <c r="L8454">
        <v>127.4267</v>
      </c>
      <c r="M8454">
        <v>0.52218339999999996</v>
      </c>
      <c r="N8454">
        <v>0</v>
      </c>
      <c r="O8454">
        <v>0.85265919999999895</v>
      </c>
      <c r="P8454">
        <v>0.75569609999999998</v>
      </c>
      <c r="Q8454">
        <v>0.15982199999999999</v>
      </c>
      <c r="R8454">
        <v>0.63512250000000003</v>
      </c>
      <c r="S8454">
        <v>2.895248</v>
      </c>
      <c r="T8454">
        <v>-0.21521209999999999</v>
      </c>
      <c r="U8454">
        <v>1.3435820000000001</v>
      </c>
      <c r="V8454">
        <v>0.3197644</v>
      </c>
      <c r="W8454">
        <v>0.1628291</v>
      </c>
      <c r="X8454">
        <v>0.93340100000000004</v>
      </c>
      <c r="Y8454">
        <v>0.55135059999999902</v>
      </c>
      <c r="Z8454">
        <v>-6.7971680000000007E-2</v>
      </c>
      <c r="AA8454">
        <v>0.83150009999999996</v>
      </c>
      <c r="AB8454">
        <v>40</v>
      </c>
      <c r="AC8454">
        <v>14.592099999999901</v>
      </c>
      <c r="AD8454">
        <v>-1.092528217668</v>
      </c>
      <c r="AE8454">
        <v>6.6481000000000101</v>
      </c>
      <c r="AF8454">
        <v>8.9304359734835792</v>
      </c>
      <c r="AG8454">
        <v>-1.092528217668</v>
      </c>
      <c r="AH8454">
        <v>13.2288780349493</v>
      </c>
      <c r="AI8454">
        <v>93.915761840706395</v>
      </c>
      <c r="AJ8454">
        <v>55.977843377745998</v>
      </c>
      <c r="AK8454">
        <v>15.998422379924</v>
      </c>
      <c r="AL8454">
        <v>80.628854442618703</v>
      </c>
      <c r="AM8454">
        <v>71.089571937589795</v>
      </c>
      <c r="AN8454">
        <v>1.0000000070575801</v>
      </c>
    </row>
    <row r="8455" spans="1:40" x14ac:dyDescent="0.25">
      <c r="A8455" t="str">
        <f>"20190312172314291"</f>
        <v>20190312172314291</v>
      </c>
      <c r="B8455" t="str">
        <f>"1552382594278816"</f>
        <v>1552382594278816</v>
      </c>
      <c r="C8455" t="s">
        <v>40</v>
      </c>
      <c r="D8455">
        <v>3.4752749999999999</v>
      </c>
      <c r="E8455">
        <v>0.60643440000000004</v>
      </c>
      <c r="F8455" t="s">
        <v>42</v>
      </c>
      <c r="G8455">
        <v>-167.87370000000001</v>
      </c>
      <c r="H8455" s="1">
        <v>-2.272451E-6</v>
      </c>
      <c r="I8455">
        <v>134.08510000000001</v>
      </c>
      <c r="J8455">
        <v>-182.50720000000001</v>
      </c>
      <c r="K8455">
        <v>1.0924689999999999</v>
      </c>
      <c r="L8455">
        <v>127.5975</v>
      </c>
      <c r="M8455">
        <v>0.52908219999999995</v>
      </c>
      <c r="N8455">
        <v>0</v>
      </c>
      <c r="O8455">
        <v>0.84839540000000002</v>
      </c>
      <c r="P8455">
        <v>0.76084529999999995</v>
      </c>
      <c r="Q8455">
        <v>0.1599566</v>
      </c>
      <c r="R8455">
        <v>0.62891049999999904</v>
      </c>
      <c r="S8455">
        <v>2.9105989999999999</v>
      </c>
      <c r="T8455">
        <v>-0.21570549999999999</v>
      </c>
      <c r="U8455">
        <v>1.31462099999999</v>
      </c>
      <c r="V8455">
        <v>0.31984079999999998</v>
      </c>
      <c r="W8455">
        <v>0.16293589999999999</v>
      </c>
      <c r="X8455">
        <v>0.93335619999999997</v>
      </c>
      <c r="Y8455">
        <v>0.55310769999999998</v>
      </c>
      <c r="Z8455">
        <v>-6.7980899999999997E-2</v>
      </c>
      <c r="AA8455">
        <v>0.83033159999999895</v>
      </c>
      <c r="AB8455">
        <v>40</v>
      </c>
      <c r="AC8455">
        <v>14.6334999999999</v>
      </c>
      <c r="AD8455">
        <v>-1.092471272451</v>
      </c>
      <c r="AE8455">
        <v>6.4876000000000102</v>
      </c>
      <c r="AF8455">
        <v>8.9422036614438696</v>
      </c>
      <c r="AG8455">
        <v>-1.092471272451</v>
      </c>
      <c r="AH8455">
        <v>13.1869199351419</v>
      </c>
      <c r="AI8455">
        <v>93.922456439562694</v>
      </c>
      <c r="AJ8455">
        <v>55.858348153806901</v>
      </c>
      <c r="AK8455">
        <v>15.9703273973865</v>
      </c>
      <c r="AL8455">
        <v>80.622652555317401</v>
      </c>
      <c r="AM8455">
        <v>71.084531558065507</v>
      </c>
      <c r="AN8455">
        <v>1.0000000204659401</v>
      </c>
    </row>
    <row r="8456" spans="1:40" x14ac:dyDescent="0.25">
      <c r="A8456" t="str">
        <f>"20190312172314303"</f>
        <v>20190312172314303</v>
      </c>
      <c r="B8456" t="str">
        <f>"1552382594299315"</f>
        <v>1552382594299315</v>
      </c>
      <c r="C8456" t="s">
        <v>40</v>
      </c>
      <c r="D8456">
        <v>3.4581909999999998</v>
      </c>
      <c r="E8456">
        <v>0.6071761</v>
      </c>
      <c r="F8456" t="s">
        <v>42</v>
      </c>
      <c r="G8456">
        <v>-167.69110000000001</v>
      </c>
      <c r="H8456" s="1">
        <v>-2.334322E-6</v>
      </c>
      <c r="I8456">
        <v>134.11609999999999</v>
      </c>
      <c r="J8456">
        <v>-182.40049999999999</v>
      </c>
      <c r="K8456">
        <v>1.0924210000000001</v>
      </c>
      <c r="L8456">
        <v>127.7645</v>
      </c>
      <c r="M8456">
        <v>0.53581389999999995</v>
      </c>
      <c r="N8456">
        <v>0</v>
      </c>
      <c r="O8456">
        <v>0.84415980000000002</v>
      </c>
      <c r="P8456">
        <v>0.76582229999999996</v>
      </c>
      <c r="Q8456">
        <v>0.15975919999999999</v>
      </c>
      <c r="R8456">
        <v>0.62289110000000003</v>
      </c>
      <c r="S8456">
        <v>2.9247130000000001</v>
      </c>
      <c r="T8456">
        <v>-0.21565529999999999</v>
      </c>
      <c r="U8456">
        <v>1.2867740000000001</v>
      </c>
      <c r="V8456">
        <v>0.31982169999999999</v>
      </c>
      <c r="W8456">
        <v>0.16271569999999999</v>
      </c>
      <c r="X8456">
        <v>0.93340109999999998</v>
      </c>
      <c r="Y8456">
        <v>0.55459969999999903</v>
      </c>
      <c r="Z8456">
        <v>-6.7819939999999995E-2</v>
      </c>
      <c r="AA8456">
        <v>0.82934889999999895</v>
      </c>
      <c r="AB8456">
        <v>40</v>
      </c>
      <c r="AC8456">
        <v>14.709399999999899</v>
      </c>
      <c r="AD8456">
        <v>-1.09242333432199</v>
      </c>
      <c r="AE8456">
        <v>6.3515999999999897</v>
      </c>
      <c r="AF8456">
        <v>8.9734349265013709</v>
      </c>
      <c r="AG8456">
        <v>-1.09242333432199</v>
      </c>
      <c r="AH8456">
        <v>13.183948571991801</v>
      </c>
      <c r="AI8456">
        <v>93.918584488771899</v>
      </c>
      <c r="AJ8456">
        <v>55.759491441737197</v>
      </c>
      <c r="AK8456">
        <v>15.985381542848801</v>
      </c>
      <c r="AL8456">
        <v>80.635439219521899</v>
      </c>
      <c r="AM8456">
        <v>71.086426018499495</v>
      </c>
      <c r="AN8456">
        <v>0.99999996614929398</v>
      </c>
    </row>
    <row r="8457" spans="1:40" x14ac:dyDescent="0.25">
      <c r="A8457" t="str">
        <f>"20190312172314313"</f>
        <v>20190312172314313</v>
      </c>
      <c r="B8457" t="str">
        <f>"1552382594309073"</f>
        <v>1552382594309073</v>
      </c>
      <c r="C8457" t="s">
        <v>40</v>
      </c>
      <c r="D8457">
        <v>3.483114</v>
      </c>
      <c r="E8457">
        <v>0.60710299999999995</v>
      </c>
      <c r="F8457" t="s">
        <v>42</v>
      </c>
      <c r="G8457">
        <v>-167.62629999999999</v>
      </c>
      <c r="H8457" s="1">
        <v>-2.3647649999999999E-6</v>
      </c>
      <c r="I8457">
        <v>134.09530000000001</v>
      </c>
      <c r="J8457">
        <v>-182.2841</v>
      </c>
      <c r="K8457">
        <v>1.0923719999999999</v>
      </c>
      <c r="L8457">
        <v>127.94199999999999</v>
      </c>
      <c r="M8457">
        <v>0.54300930000000003</v>
      </c>
      <c r="N8457">
        <v>0</v>
      </c>
      <c r="O8457">
        <v>0.83954910000000005</v>
      </c>
      <c r="P8457">
        <v>0.77114110000000002</v>
      </c>
      <c r="Q8457">
        <v>0.159801</v>
      </c>
      <c r="R8457">
        <v>0.61628329999999998</v>
      </c>
      <c r="S8457">
        <v>2.9385219999999999</v>
      </c>
      <c r="T8457">
        <v>-0.2172782</v>
      </c>
      <c r="U8457">
        <v>1.25917099999999</v>
      </c>
      <c r="V8457">
        <v>0.31988290000000003</v>
      </c>
      <c r="W8457">
        <v>0.16273119999999999</v>
      </c>
      <c r="X8457">
        <v>0.93337740000000002</v>
      </c>
      <c r="Y8457">
        <v>0.55546459999999998</v>
      </c>
      <c r="Z8457">
        <v>-6.8149829999999995E-2</v>
      </c>
      <c r="AA8457">
        <v>0.82874289999999995</v>
      </c>
      <c r="AB8457">
        <v>40</v>
      </c>
      <c r="AC8457">
        <v>14.6578</v>
      </c>
      <c r="AD8457">
        <v>-1.0923743647649999</v>
      </c>
      <c r="AE8457">
        <v>6.1532999999999998</v>
      </c>
      <c r="AF8457">
        <v>8.9238434758548202</v>
      </c>
      <c r="AG8457">
        <v>-1.0923743647649999</v>
      </c>
      <c r="AH8457">
        <v>13.065582787748999</v>
      </c>
      <c r="AI8457">
        <v>93.949449375813103</v>
      </c>
      <c r="AJ8457">
        <v>55.666773117774</v>
      </c>
      <c r="AK8457">
        <v>15.859940659342801</v>
      </c>
      <c r="AL8457">
        <v>80.634538910151704</v>
      </c>
      <c r="AM8457">
        <v>71.082617922239805</v>
      </c>
      <c r="AN8457">
        <v>0.999999941998303</v>
      </c>
    </row>
    <row r="8458" spans="1:40" x14ac:dyDescent="0.25">
      <c r="A8458" t="str">
        <f>"20190312172314324"</f>
        <v>20190312172314324</v>
      </c>
      <c r="B8458" t="str">
        <f>"1552382594318833"</f>
        <v>1552382594318833</v>
      </c>
      <c r="C8458" t="s">
        <v>40</v>
      </c>
      <c r="D8458">
        <v>3.536781</v>
      </c>
      <c r="E8458">
        <v>0.60702409999999996</v>
      </c>
      <c r="F8458" t="s">
        <v>42</v>
      </c>
      <c r="G8458">
        <v>-167.58330000000001</v>
      </c>
      <c r="H8458" s="1">
        <v>-2.380787E-6</v>
      </c>
      <c r="I8458">
        <v>134.09719999999999</v>
      </c>
      <c r="J8458">
        <v>-182.17840000000001</v>
      </c>
      <c r="K8458">
        <v>1.0923320000000001</v>
      </c>
      <c r="L8458">
        <v>128.1011</v>
      </c>
      <c r="M8458">
        <v>0.54946509999999904</v>
      </c>
      <c r="N8458">
        <v>0</v>
      </c>
      <c r="O8458">
        <v>0.83533799999999903</v>
      </c>
      <c r="P8458">
        <v>0.77587349999999999</v>
      </c>
      <c r="Q8458">
        <v>0.15988079999999999</v>
      </c>
      <c r="R8458">
        <v>0.61029369999999905</v>
      </c>
      <c r="S8458">
        <v>2.9489749999999999</v>
      </c>
      <c r="T8458">
        <v>-0.2191284</v>
      </c>
      <c r="U8458">
        <v>1.2347109999999999</v>
      </c>
      <c r="V8458">
        <v>0.319920599999999</v>
      </c>
      <c r="W8458">
        <v>0.16278819999999999</v>
      </c>
      <c r="X8458">
        <v>0.93335460000000003</v>
      </c>
      <c r="Y8458">
        <v>0.555921</v>
      </c>
      <c r="Z8458">
        <v>-6.8584370000000006E-2</v>
      </c>
      <c r="AA8458">
        <v>0.8284009</v>
      </c>
      <c r="AB8458">
        <v>40</v>
      </c>
      <c r="AC8458">
        <v>14.5951</v>
      </c>
      <c r="AD8458">
        <v>-1.0923343807870001</v>
      </c>
      <c r="AE8458">
        <v>5.9960999999999798</v>
      </c>
      <c r="AF8458">
        <v>8.8560793581276602</v>
      </c>
      <c r="AG8458">
        <v>-1.0923343807870001</v>
      </c>
      <c r="AH8458">
        <v>12.96806365952</v>
      </c>
      <c r="AI8458">
        <v>93.979073765747202</v>
      </c>
      <c r="AJ8458">
        <v>55.670262592264102</v>
      </c>
      <c r="AK8458">
        <v>15.741474234463199</v>
      </c>
      <c r="AL8458">
        <v>80.631229451624705</v>
      </c>
      <c r="AM8458">
        <v>71.080117668861106</v>
      </c>
      <c r="AN8458">
        <v>0.99999999885238</v>
      </c>
    </row>
    <row r="8459" spans="1:40" x14ac:dyDescent="0.25">
      <c r="A8459" t="str">
        <f>"20190312172314336"</f>
        <v>20190312172314336</v>
      </c>
      <c r="B8459" t="str">
        <f>"1552382594328593"</f>
        <v>1552382594328593</v>
      </c>
      <c r="C8459" t="s">
        <v>40</v>
      </c>
      <c r="D8459">
        <v>3.4699140000000002</v>
      </c>
      <c r="E8459">
        <v>0.60677490000000001</v>
      </c>
      <c r="F8459" t="s">
        <v>42</v>
      </c>
      <c r="G8459">
        <v>-167.5042</v>
      </c>
      <c r="H8459" s="1">
        <v>-2.406064E-6</v>
      </c>
      <c r="I8459">
        <v>134.1163</v>
      </c>
      <c r="J8459">
        <v>-182.0564</v>
      </c>
      <c r="K8459">
        <v>1.0922860000000001</v>
      </c>
      <c r="L8459">
        <v>128.2816</v>
      </c>
      <c r="M8459">
        <v>0.55680830000000003</v>
      </c>
      <c r="N8459">
        <v>0</v>
      </c>
      <c r="O8459">
        <v>0.83046109999999995</v>
      </c>
      <c r="P8459">
        <v>0.78137829999999997</v>
      </c>
      <c r="Q8459">
        <v>0.15982959999999999</v>
      </c>
      <c r="R8459">
        <v>0.60324330000000004</v>
      </c>
      <c r="S8459">
        <v>2.9581759999999999</v>
      </c>
      <c r="T8459">
        <v>-0.2202028</v>
      </c>
      <c r="U8459">
        <v>1.212601</v>
      </c>
      <c r="V8459">
        <v>0.3201678</v>
      </c>
      <c r="W8459">
        <v>0.16270299999999999</v>
      </c>
      <c r="X8459">
        <v>0.93328469999999997</v>
      </c>
      <c r="Y8459">
        <v>0.55479060000000002</v>
      </c>
      <c r="Z8459">
        <v>-6.8709099999999995E-2</v>
      </c>
      <c r="AA8459">
        <v>0.82914809999999906</v>
      </c>
      <c r="AB8459">
        <v>40</v>
      </c>
      <c r="AC8459">
        <v>14.552199999999999</v>
      </c>
      <c r="AD8459">
        <v>-1.0922884060639999</v>
      </c>
      <c r="AE8459">
        <v>5.83469999999999</v>
      </c>
      <c r="AF8459">
        <v>8.7948596259271294</v>
      </c>
      <c r="AG8459">
        <v>-1.0922884060639999</v>
      </c>
      <c r="AH8459">
        <v>12.887659455606199</v>
      </c>
      <c r="AI8459">
        <v>94.004560177673397</v>
      </c>
      <c r="AJ8459">
        <v>55.689399391767402</v>
      </c>
      <c r="AK8459">
        <v>15.640793331716299</v>
      </c>
      <c r="AL8459">
        <v>80.636177106690297</v>
      </c>
      <c r="AM8459">
        <v>71.065222290386799</v>
      </c>
      <c r="AN8459">
        <v>1.0000000088099601</v>
      </c>
    </row>
    <row r="8460" spans="1:40" x14ac:dyDescent="0.25">
      <c r="A8460" t="str">
        <f>"20190312172314348"</f>
        <v>20190312172314348</v>
      </c>
      <c r="B8460" t="str">
        <f>"1552382594338353"</f>
        <v>1552382594338353</v>
      </c>
      <c r="C8460" t="s">
        <v>40</v>
      </c>
      <c r="D8460">
        <v>3.5257679999999998</v>
      </c>
      <c r="E8460">
        <v>0.60663549999999999</v>
      </c>
      <c r="F8460" t="s">
        <v>42</v>
      </c>
      <c r="G8460">
        <v>-167.42580000000001</v>
      </c>
      <c r="H8460" s="1">
        <v>-2.4311470000000001E-6</v>
      </c>
      <c r="I8460">
        <v>134.1352</v>
      </c>
      <c r="J8460">
        <v>-181.93690000000001</v>
      </c>
      <c r="K8460">
        <v>1.092239</v>
      </c>
      <c r="L8460">
        <v>128.45439999999999</v>
      </c>
      <c r="M8460">
        <v>0.56386579999999997</v>
      </c>
      <c r="N8460">
        <v>0</v>
      </c>
      <c r="O8460">
        <v>0.82568519999999901</v>
      </c>
      <c r="P8460">
        <v>0.78641870000000003</v>
      </c>
      <c r="Q8460">
        <v>0.15977239999999901</v>
      </c>
      <c r="R8460">
        <v>0.59667300000000001</v>
      </c>
      <c r="S8460">
        <v>2.9679570000000002</v>
      </c>
      <c r="T8460">
        <v>-0.22158130000000001</v>
      </c>
      <c r="U8460">
        <v>1.187454</v>
      </c>
      <c r="V8460">
        <v>0.32005909999999999</v>
      </c>
      <c r="W8460">
        <v>0.162631</v>
      </c>
      <c r="X8460">
        <v>0.93333449999999996</v>
      </c>
      <c r="Y8460">
        <v>0.55468119999999999</v>
      </c>
      <c r="Z8460">
        <v>-6.8961410000000001E-2</v>
      </c>
      <c r="AA8460">
        <v>0.8292003</v>
      </c>
      <c r="AB8460">
        <v>40</v>
      </c>
      <c r="AC8460">
        <v>14.511100000000001</v>
      </c>
      <c r="AD8460">
        <v>-1.0922414311469999</v>
      </c>
      <c r="AE8460">
        <v>5.6807999999999996</v>
      </c>
      <c r="AF8460">
        <v>8.7367854234853493</v>
      </c>
      <c r="AG8460">
        <v>-1.0922414311469999</v>
      </c>
      <c r="AH8460">
        <v>12.8118529966402</v>
      </c>
      <c r="AI8460">
        <v>94.028929601418795</v>
      </c>
      <c r="AJ8460">
        <v>55.708754249397302</v>
      </c>
      <c r="AK8460">
        <v>15.5456742564438</v>
      </c>
      <c r="AL8460">
        <v>80.640357810225595</v>
      </c>
      <c r="AM8460">
        <v>71.072131193139199</v>
      </c>
      <c r="AN8460">
        <v>0.99999997927202899</v>
      </c>
    </row>
    <row r="8461" spans="1:40" x14ac:dyDescent="0.25">
      <c r="A8461" t="str">
        <f>"20190312172314358"</f>
        <v>20190312172314358</v>
      </c>
      <c r="B8461" t="str">
        <f>"1552382594349089"</f>
        <v>1552382594349089</v>
      </c>
      <c r="C8461" t="s">
        <v>40</v>
      </c>
      <c r="D8461">
        <v>3.513671</v>
      </c>
      <c r="E8461">
        <v>0.60632319999999995</v>
      </c>
      <c r="F8461" t="s">
        <v>42</v>
      </c>
      <c r="G8461">
        <v>-167.32130000000001</v>
      </c>
      <c r="H8461" s="1">
        <v>-2.4634719999999999E-6</v>
      </c>
      <c r="I8461">
        <v>134.1645</v>
      </c>
      <c r="J8461">
        <v>-181.82490000000001</v>
      </c>
      <c r="K8461">
        <v>1.0922000000000001</v>
      </c>
      <c r="L8461">
        <v>128.6148</v>
      </c>
      <c r="M8461">
        <v>0.57041319999999995</v>
      </c>
      <c r="N8461">
        <v>0</v>
      </c>
      <c r="O8461">
        <v>0.82117549999999995</v>
      </c>
      <c r="P8461">
        <v>0.7912766</v>
      </c>
      <c r="Q8461">
        <v>0.15952040000000001</v>
      </c>
      <c r="R8461">
        <v>0.59028359999999902</v>
      </c>
      <c r="S8461">
        <v>2.9774020000000001</v>
      </c>
      <c r="T8461">
        <v>-0.2225048</v>
      </c>
      <c r="U8461">
        <v>1.1632229999999999</v>
      </c>
      <c r="V8461">
        <v>0.32024360000000002</v>
      </c>
      <c r="W8461">
        <v>0.16235250000000001</v>
      </c>
      <c r="X8461">
        <v>0.93331969999999997</v>
      </c>
      <c r="Y8461">
        <v>0.55480459999999998</v>
      </c>
      <c r="Z8461">
        <v>-6.9079050000000003E-2</v>
      </c>
      <c r="AA8461">
        <v>0.82910790000000001</v>
      </c>
      <c r="AB8461">
        <v>40</v>
      </c>
      <c r="AC8461">
        <v>14.5036</v>
      </c>
      <c r="AD8461">
        <v>-1.092202463472</v>
      </c>
      <c r="AE8461">
        <v>5.5496999999999996</v>
      </c>
      <c r="AF8461">
        <v>8.7026399056870893</v>
      </c>
      <c r="AG8461">
        <v>-1.092202463472</v>
      </c>
      <c r="AH8461">
        <v>12.769080466647701</v>
      </c>
      <c r="AI8461">
        <v>94.042967905509599</v>
      </c>
      <c r="AJ8461">
        <v>55.724002508147201</v>
      </c>
      <c r="AK8461">
        <v>15.4912318268431</v>
      </c>
      <c r="AL8461">
        <v>80.656529616904805</v>
      </c>
      <c r="AM8461">
        <v>71.061718512011495</v>
      </c>
      <c r="AN8461">
        <v>0.999999980002649</v>
      </c>
    </row>
    <row r="8462" spans="1:40" x14ac:dyDescent="0.25">
      <c r="A8462" t="str">
        <f>"20190312172314371"</f>
        <v>20190312172314371</v>
      </c>
      <c r="B8462" t="str">
        <f>"1552382594358851"</f>
        <v>1552382594358851</v>
      </c>
      <c r="C8462" t="s">
        <v>40</v>
      </c>
      <c r="D8462">
        <v>3.4786600000000001</v>
      </c>
      <c r="E8462">
        <v>0.60589440000000006</v>
      </c>
      <c r="F8462" t="s">
        <v>42</v>
      </c>
      <c r="G8462">
        <v>-167.2697</v>
      </c>
      <c r="H8462" s="1">
        <v>-2.4796329999999998E-6</v>
      </c>
      <c r="I8462">
        <v>134.1782</v>
      </c>
      <c r="J8462">
        <v>-181.69980000000001</v>
      </c>
      <c r="K8462">
        <v>1.092163</v>
      </c>
      <c r="L8462">
        <v>128.78899999999999</v>
      </c>
      <c r="M8462">
        <v>0.57757519999999996</v>
      </c>
      <c r="N8462">
        <v>0</v>
      </c>
      <c r="O8462">
        <v>0.81615369999999998</v>
      </c>
      <c r="P8462">
        <v>0.79639040000000005</v>
      </c>
      <c r="Q8462">
        <v>0.15948619999999999</v>
      </c>
      <c r="R8462">
        <v>0.58337530000000004</v>
      </c>
      <c r="S8462">
        <v>2.985306</v>
      </c>
      <c r="T8462">
        <v>-0.22401360000000001</v>
      </c>
      <c r="U8462">
        <v>1.141052</v>
      </c>
      <c r="V8462">
        <v>0.32021959999999999</v>
      </c>
      <c r="W8462">
        <v>0.16230120000000001</v>
      </c>
      <c r="X8462">
        <v>0.93333690000000002</v>
      </c>
      <c r="Y8462">
        <v>0.55361210000000005</v>
      </c>
      <c r="Z8462">
        <v>-6.9328989999999993E-2</v>
      </c>
      <c r="AA8462">
        <v>0.82988379999999995</v>
      </c>
      <c r="AB8462">
        <v>40</v>
      </c>
      <c r="AC8462">
        <v>14.430099999999999</v>
      </c>
      <c r="AD8462">
        <v>-1.092165479633</v>
      </c>
      <c r="AE8462">
        <v>5.3892000000000104</v>
      </c>
      <c r="AF8462">
        <v>8.6224639136338297</v>
      </c>
      <c r="AG8462">
        <v>-1.092165479633</v>
      </c>
      <c r="AH8462">
        <v>12.671093005420801</v>
      </c>
      <c r="AI8462">
        <v>94.075987622345593</v>
      </c>
      <c r="AJ8462">
        <v>55.765376880657897</v>
      </c>
      <c r="AK8462">
        <v>15.365425712581001</v>
      </c>
      <c r="AL8462">
        <v>80.659508777885904</v>
      </c>
      <c r="AM8462">
        <v>71.063360788764001</v>
      </c>
      <c r="AN8462">
        <v>1.0000000203235999</v>
      </c>
    </row>
    <row r="8463" spans="1:40" x14ac:dyDescent="0.25">
      <c r="A8463" t="str">
        <f>"20190312172314383"</f>
        <v>20190312172314383</v>
      </c>
      <c r="B8463" t="str">
        <f>"1552382594378369"</f>
        <v>1552382594378369</v>
      </c>
      <c r="C8463" t="s">
        <v>40</v>
      </c>
      <c r="D8463">
        <v>3.580003</v>
      </c>
      <c r="E8463">
        <v>0.60547419999999996</v>
      </c>
      <c r="F8463" t="s">
        <v>42</v>
      </c>
      <c r="G8463">
        <v>-167.20089999999999</v>
      </c>
      <c r="H8463" s="1">
        <v>-2.4994670000000001E-6</v>
      </c>
      <c r="I8463">
        <v>134.203</v>
      </c>
      <c r="J8463">
        <v>-181.56950000000001</v>
      </c>
      <c r="K8463">
        <v>1.092123</v>
      </c>
      <c r="L8463">
        <v>128.96860000000001</v>
      </c>
      <c r="M8463">
        <v>0.58495030000000003</v>
      </c>
      <c r="N8463">
        <v>0</v>
      </c>
      <c r="O8463">
        <v>0.81088389999999999</v>
      </c>
      <c r="P8463">
        <v>0.80165120000000001</v>
      </c>
      <c r="Q8463">
        <v>0.15982939999999901</v>
      </c>
      <c r="R8463">
        <v>0.57602959999999903</v>
      </c>
      <c r="S8463">
        <v>2.9933779999999999</v>
      </c>
      <c r="T8463">
        <v>-0.22548309999999999</v>
      </c>
      <c r="U8463">
        <v>1.117737</v>
      </c>
      <c r="V8463">
        <v>0.32031270000000001</v>
      </c>
      <c r="W8463">
        <v>0.16261970000000001</v>
      </c>
      <c r="X8463">
        <v>0.93324949999999995</v>
      </c>
      <c r="Y8463">
        <v>0.55245140000000004</v>
      </c>
      <c r="Z8463">
        <v>-6.9552559999999999E-2</v>
      </c>
      <c r="AA8463">
        <v>0.83063829999999905</v>
      </c>
      <c r="AB8463">
        <v>40</v>
      </c>
      <c r="AC8463">
        <v>14.368600000000001</v>
      </c>
      <c r="AD8463">
        <v>-1.092125499467</v>
      </c>
      <c r="AE8463">
        <v>5.2343999999999902</v>
      </c>
      <c r="AF8463">
        <v>8.54710024316371</v>
      </c>
      <c r="AG8463">
        <v>-1.092125499467</v>
      </c>
      <c r="AH8463">
        <v>12.587109964226199</v>
      </c>
      <c r="AI8463">
        <v>94.105692858570194</v>
      </c>
      <c r="AJ8463">
        <v>55.8220853657321</v>
      </c>
      <c r="AK8463">
        <v>15.253884683083101</v>
      </c>
      <c r="AL8463">
        <v>80.641014286601205</v>
      </c>
      <c r="AM8463">
        <v>71.056600164601406</v>
      </c>
      <c r="AN8463">
        <v>1.0000000109298099</v>
      </c>
    </row>
    <row r="8464" spans="1:40" x14ac:dyDescent="0.25">
      <c r="A8464" t="str">
        <f>"20190312172314395"</f>
        <v>20190312172314395</v>
      </c>
      <c r="B8464" t="str">
        <f>"1552382594389106"</f>
        <v>1552382594389106</v>
      </c>
      <c r="C8464" t="s">
        <v>40</v>
      </c>
      <c r="D8464">
        <v>3.5034429999999999</v>
      </c>
      <c r="E8464">
        <v>0.60428649999999995</v>
      </c>
      <c r="F8464" t="s">
        <v>42</v>
      </c>
      <c r="G8464">
        <v>-166.98429999999999</v>
      </c>
      <c r="H8464" s="1">
        <v>-2.5623949999999999E-6</v>
      </c>
      <c r="I8464">
        <v>134.279</v>
      </c>
      <c r="J8464">
        <v>-181.43360000000001</v>
      </c>
      <c r="K8464">
        <v>1.0920810000000001</v>
      </c>
      <c r="L8464">
        <v>129.15170000000001</v>
      </c>
      <c r="M8464">
        <v>0.59250130000000001</v>
      </c>
      <c r="N8464">
        <v>0</v>
      </c>
      <c r="O8464">
        <v>0.80538290000000001</v>
      </c>
      <c r="P8464">
        <v>0.80716860000000001</v>
      </c>
      <c r="Q8464">
        <v>0.16013229999999901</v>
      </c>
      <c r="R8464">
        <v>0.56818709999999994</v>
      </c>
      <c r="S8464">
        <v>3.0017550000000002</v>
      </c>
      <c r="T8464">
        <v>-0.22476889999999999</v>
      </c>
      <c r="U8464">
        <v>1.0929260000000001</v>
      </c>
      <c r="V8464">
        <v>0.32067089999999998</v>
      </c>
      <c r="W8464">
        <v>0.16288649999999999</v>
      </c>
      <c r="X8464">
        <v>0.93307989999999996</v>
      </c>
      <c r="Y8464">
        <v>0.55150469999999996</v>
      </c>
      <c r="Z8464">
        <v>-6.9097240000000004E-2</v>
      </c>
      <c r="AA8464">
        <v>0.83130509999999902</v>
      </c>
      <c r="AB8464">
        <v>40</v>
      </c>
      <c r="AC8464">
        <v>14.449299999999999</v>
      </c>
      <c r="AD8464">
        <v>-1.09208356239499</v>
      </c>
      <c r="AE8464">
        <v>5.1272999999999902</v>
      </c>
      <c r="AF8464">
        <v>8.5571647699766409</v>
      </c>
      <c r="AG8464">
        <v>-1.09208356239499</v>
      </c>
      <c r="AH8464">
        <v>12.6285052436615</v>
      </c>
      <c r="AI8464">
        <v>94.094831908058893</v>
      </c>
      <c r="AJ8464">
        <v>55.878154456533998</v>
      </c>
      <c r="AK8464">
        <v>15.2936869360193</v>
      </c>
      <c r="AL8464">
        <v>80.625520803073002</v>
      </c>
      <c r="AM8464">
        <v>71.033728321022195</v>
      </c>
      <c r="AN8464">
        <v>0.99999996888653397</v>
      </c>
    </row>
    <row r="8465" spans="1:40" x14ac:dyDescent="0.25">
      <c r="A8465" t="str">
        <f>"20190312172314407"</f>
        <v>20190312172314407</v>
      </c>
      <c r="B8465" t="str">
        <f>"1552382594398864"</f>
        <v>1552382594398864</v>
      </c>
      <c r="C8465" t="s">
        <v>40</v>
      </c>
      <c r="D8465">
        <v>3.5040019999999998</v>
      </c>
      <c r="E8465">
        <v>0.60379340000000004</v>
      </c>
      <c r="F8465" t="s">
        <v>42</v>
      </c>
      <c r="G8465">
        <v>-167.21420000000001</v>
      </c>
      <c r="H8465" s="1">
        <v>-2.490121E-6</v>
      </c>
      <c r="I8465">
        <v>134.21879999999999</v>
      </c>
      <c r="J8465">
        <v>-181.3066</v>
      </c>
      <c r="K8465">
        <v>1.092047</v>
      </c>
      <c r="L8465">
        <v>129.3193</v>
      </c>
      <c r="M8465">
        <v>0.59943740000000001</v>
      </c>
      <c r="N8465">
        <v>0</v>
      </c>
      <c r="O8465">
        <v>0.80023359999999899</v>
      </c>
      <c r="P8465">
        <v>0.81214240000000004</v>
      </c>
      <c r="Q8465">
        <v>0.16053000000000001</v>
      </c>
      <c r="R8465">
        <v>0.56094129999999998</v>
      </c>
      <c r="S8465">
        <v>3.007965</v>
      </c>
      <c r="T8465">
        <v>-0.23101969999999999</v>
      </c>
      <c r="U8465">
        <v>1.071915</v>
      </c>
      <c r="V8465">
        <v>0.32092680000000001</v>
      </c>
      <c r="W8465">
        <v>0.16325490000000001</v>
      </c>
      <c r="X8465">
        <v>0.93292750000000002</v>
      </c>
      <c r="Y8465">
        <v>0.54985890000000004</v>
      </c>
      <c r="Z8465">
        <v>-7.0773589999999997E-2</v>
      </c>
      <c r="AA8465">
        <v>0.83225380000000004</v>
      </c>
      <c r="AB8465">
        <v>40</v>
      </c>
      <c r="AC8465">
        <v>14.0923999999999</v>
      </c>
      <c r="AD8465">
        <v>-1.0920494901210001</v>
      </c>
      <c r="AE8465">
        <v>4.8994999999999802</v>
      </c>
      <c r="AF8465">
        <v>8.2970727671484603</v>
      </c>
      <c r="AG8465">
        <v>-1.0920494901210001</v>
      </c>
      <c r="AH8465">
        <v>12.3041988258336</v>
      </c>
      <c r="AI8465">
        <v>94.208622624294605</v>
      </c>
      <c r="AJ8465">
        <v>56.007086924566003</v>
      </c>
      <c r="AK8465">
        <v>14.880433371978</v>
      </c>
      <c r="AL8465">
        <v>80.604126453941703</v>
      </c>
      <c r="AM8465">
        <v>71.016797219051199</v>
      </c>
      <c r="AN8465">
        <v>0.99999994679424797</v>
      </c>
    </row>
    <row r="8466" spans="1:40" x14ac:dyDescent="0.25">
      <c r="A8466" t="str">
        <f>"20190312172314418"</f>
        <v>20190312172314418</v>
      </c>
      <c r="B8466" t="str">
        <f>"1552382594408625"</f>
        <v>1552382594408625</v>
      </c>
      <c r="C8466" t="s">
        <v>40</v>
      </c>
      <c r="D8466">
        <v>3.507371</v>
      </c>
      <c r="E8466">
        <v>0.60332680000000005</v>
      </c>
      <c r="F8466" t="s">
        <v>42</v>
      </c>
      <c r="G8466">
        <v>-166.976</v>
      </c>
      <c r="H8466" s="1">
        <v>-2.5592259999999999E-6</v>
      </c>
      <c r="I8466">
        <v>134.30289999999999</v>
      </c>
      <c r="J8466">
        <v>-181.1765</v>
      </c>
      <c r="K8466">
        <v>1.092012</v>
      </c>
      <c r="L8466">
        <v>129.48910000000001</v>
      </c>
      <c r="M8466">
        <v>0.60645879999999996</v>
      </c>
      <c r="N8466">
        <v>0</v>
      </c>
      <c r="O8466">
        <v>0.79492549999999995</v>
      </c>
      <c r="P8466">
        <v>0.8172895</v>
      </c>
      <c r="Q8466">
        <v>0.16067600000000001</v>
      </c>
      <c r="R8466">
        <v>0.55337269999999905</v>
      </c>
      <c r="S8466">
        <v>3.0151210000000002</v>
      </c>
      <c r="T8466">
        <v>-0.22976460000000001</v>
      </c>
      <c r="U8466">
        <v>1.048538</v>
      </c>
      <c r="V8466">
        <v>0.32137779999999999</v>
      </c>
      <c r="W8466">
        <v>0.1633626</v>
      </c>
      <c r="X8466">
        <v>0.93275339999999995</v>
      </c>
      <c r="Y8466">
        <v>0.54892249999999998</v>
      </c>
      <c r="Z8466">
        <v>-7.0156800000000005E-2</v>
      </c>
      <c r="AA8466">
        <v>0.83292379999999999</v>
      </c>
      <c r="AB8466">
        <v>40</v>
      </c>
      <c r="AC8466">
        <v>14.2005</v>
      </c>
      <c r="AD8466">
        <v>-1.092014559226</v>
      </c>
      <c r="AE8466">
        <v>4.8137999999999801</v>
      </c>
      <c r="AF8466">
        <v>8.3260667518405</v>
      </c>
      <c r="AG8466">
        <v>-1.092014559226</v>
      </c>
      <c r="AH8466">
        <v>12.3748670071902</v>
      </c>
      <c r="AI8466">
        <v>94.187455249008394</v>
      </c>
      <c r="AJ8466">
        <v>56.0665173105685</v>
      </c>
      <c r="AK8466">
        <v>14.9550398461291</v>
      </c>
      <c r="AL8466">
        <v>80.597871923184101</v>
      </c>
      <c r="AM8466">
        <v>70.988740423767794</v>
      </c>
      <c r="AN8466">
        <v>0.99999996731157903</v>
      </c>
    </row>
    <row r="8467" spans="1:40" x14ac:dyDescent="0.25">
      <c r="A8467" t="str">
        <f>"20190312172314429"</f>
        <v>20190312172314429</v>
      </c>
      <c r="B8467" t="str">
        <f>"1552382594418385"</f>
        <v>1552382594418385</v>
      </c>
      <c r="C8467" t="s">
        <v>40</v>
      </c>
      <c r="D8467">
        <v>3.4941680000000002</v>
      </c>
      <c r="E8467">
        <v>0.60279799999999994</v>
      </c>
      <c r="F8467" t="s">
        <v>42</v>
      </c>
      <c r="G8467">
        <v>-166.77090000000001</v>
      </c>
      <c r="H8467" s="1">
        <v>-2.6208290000000001E-6</v>
      </c>
      <c r="I8467">
        <v>134.3674</v>
      </c>
      <c r="J8467">
        <v>-181.0617</v>
      </c>
      <c r="K8467">
        <v>1.091987</v>
      </c>
      <c r="L8467">
        <v>129.63489999999999</v>
      </c>
      <c r="M8467">
        <v>0.61253690000000005</v>
      </c>
      <c r="N8467">
        <v>0</v>
      </c>
      <c r="O8467">
        <v>0.79025129999999999</v>
      </c>
      <c r="P8467">
        <v>0.82176439999999995</v>
      </c>
      <c r="Q8467">
        <v>0.16058839999999999</v>
      </c>
      <c r="R8467">
        <v>0.54673109999999903</v>
      </c>
      <c r="S8467">
        <v>3.022659</v>
      </c>
      <c r="T8467">
        <v>-0.2291318</v>
      </c>
      <c r="U8467">
        <v>1.02359</v>
      </c>
      <c r="V8467">
        <v>0.32180510000000001</v>
      </c>
      <c r="W8467">
        <v>0.16324169999999999</v>
      </c>
      <c r="X8467">
        <v>0.93262730000000005</v>
      </c>
      <c r="Y8467">
        <v>0.54933880000000002</v>
      </c>
      <c r="Z8467">
        <v>-6.979349E-2</v>
      </c>
      <c r="AA8467">
        <v>0.83267990000000003</v>
      </c>
      <c r="AB8467">
        <v>40</v>
      </c>
      <c r="AC8467">
        <v>14.2907999999999</v>
      </c>
      <c r="AD8467">
        <v>-1.0919896208290001</v>
      </c>
      <c r="AE8467">
        <v>4.7325000000000097</v>
      </c>
      <c r="AF8467">
        <v>8.3518125219742192</v>
      </c>
      <c r="AG8467">
        <v>-1.0919896208290001</v>
      </c>
      <c r="AH8467">
        <v>12.429986230636301</v>
      </c>
      <c r="AI8467">
        <v>94.170612403545604</v>
      </c>
      <c r="AJ8467">
        <v>56.102513817214998</v>
      </c>
      <c r="AK8467">
        <v>15.0149848960301</v>
      </c>
      <c r="AL8467">
        <v>80.604893810515406</v>
      </c>
      <c r="AM8467">
        <v>70.962893059212306</v>
      </c>
      <c r="AN8467">
        <v>1.00000002785509</v>
      </c>
    </row>
    <row r="8468" spans="1:40" x14ac:dyDescent="0.25">
      <c r="A8468" t="str">
        <f>"20190312172314440"</f>
        <v>20190312172314440</v>
      </c>
      <c r="B8468" t="str">
        <f>"1552382594429121"</f>
        <v>1552382594429121</v>
      </c>
      <c r="C8468" t="s">
        <v>40</v>
      </c>
      <c r="D8468">
        <v>3.546656</v>
      </c>
      <c r="E8468">
        <v>0.60219959999999995</v>
      </c>
      <c r="F8468" t="s">
        <v>42</v>
      </c>
      <c r="G8468">
        <v>-166.64760000000001</v>
      </c>
      <c r="H8468" s="1">
        <v>-2.6577299999999898E-6</v>
      </c>
      <c r="I8468">
        <v>134.4068</v>
      </c>
      <c r="J8468">
        <v>-180.9383</v>
      </c>
      <c r="K8468">
        <v>1.0919589999999999</v>
      </c>
      <c r="L8468">
        <v>129.79079999999999</v>
      </c>
      <c r="M8468">
        <v>0.61900849999999996</v>
      </c>
      <c r="N8468">
        <v>0</v>
      </c>
      <c r="O8468">
        <v>0.78519209999999995</v>
      </c>
      <c r="P8468">
        <v>0.82626309999999903</v>
      </c>
      <c r="Q8468">
        <v>0.16070870000000001</v>
      </c>
      <c r="R8468">
        <v>0.53987229999999997</v>
      </c>
      <c r="S8468">
        <v>3.0284879999999998</v>
      </c>
      <c r="T8468">
        <v>-0.22943330000000001</v>
      </c>
      <c r="U8468">
        <v>1.002594</v>
      </c>
      <c r="V8468">
        <v>0.32190380000000002</v>
      </c>
      <c r="W8468">
        <v>0.16334379999999901</v>
      </c>
      <c r="X8468">
        <v>0.9325753</v>
      </c>
      <c r="Y8468">
        <v>0.54816319999999996</v>
      </c>
      <c r="Z8468">
        <v>-6.9652519999999996E-2</v>
      </c>
      <c r="AA8468">
        <v>0.83346609999999999</v>
      </c>
      <c r="AB8468">
        <v>40</v>
      </c>
      <c r="AC8468">
        <v>14.2906999999999</v>
      </c>
      <c r="AD8468">
        <v>-1.09196165773</v>
      </c>
      <c r="AE8468">
        <v>4.6160000000000103</v>
      </c>
      <c r="AF8468">
        <v>8.3208717800733698</v>
      </c>
      <c r="AG8468">
        <v>-1.09196165773</v>
      </c>
      <c r="AH8468">
        <v>12.406799531112499</v>
      </c>
      <c r="AI8468">
        <v>94.180658719630799</v>
      </c>
      <c r="AJ8468">
        <v>56.151417018029697</v>
      </c>
      <c r="AK8468">
        <v>14.97858344596</v>
      </c>
      <c r="AL8468">
        <v>80.598963792355903</v>
      </c>
      <c r="AM8468">
        <v>70.956489435230495</v>
      </c>
      <c r="AN8468">
        <v>0.99999997181148403</v>
      </c>
    </row>
    <row r="8469" spans="1:40" x14ac:dyDescent="0.25">
      <c r="A8469" t="str">
        <f>"20190312172314450"</f>
        <v>20190312172314450</v>
      </c>
      <c r="B8469" t="str">
        <f>"1552382594438882"</f>
        <v>1552382594438882</v>
      </c>
      <c r="C8469" t="s">
        <v>40</v>
      </c>
      <c r="D8469">
        <v>3.5310380000000001</v>
      </c>
      <c r="E8469">
        <v>0.60160360000000002</v>
      </c>
      <c r="F8469" t="s">
        <v>42</v>
      </c>
      <c r="G8469">
        <v>-166.47499999999999</v>
      </c>
      <c r="H8469" s="1">
        <v>-2.7077170000000002E-6</v>
      </c>
      <c r="I8469">
        <v>134.46789999999999</v>
      </c>
      <c r="J8469">
        <v>-180.82089999999999</v>
      </c>
      <c r="K8469">
        <v>1.091931</v>
      </c>
      <c r="L8469">
        <v>129.935</v>
      </c>
      <c r="M8469">
        <v>0.62505040000000001</v>
      </c>
      <c r="N8469">
        <v>0</v>
      </c>
      <c r="O8469">
        <v>0.7803909</v>
      </c>
      <c r="P8469">
        <v>0.8302853</v>
      </c>
      <c r="Q8469">
        <v>0.16083320000000001</v>
      </c>
      <c r="R8469">
        <v>0.5336284</v>
      </c>
      <c r="S8469">
        <v>3.0342560000000001</v>
      </c>
      <c r="T8469">
        <v>-0.22908249999999999</v>
      </c>
      <c r="U8469">
        <v>0.9812012</v>
      </c>
      <c r="V8469">
        <v>0.32173200000000002</v>
      </c>
      <c r="W8469">
        <v>0.16346469999999999</v>
      </c>
      <c r="X8469">
        <v>0.93261340000000004</v>
      </c>
      <c r="Y8469">
        <v>0.54751450000000002</v>
      </c>
      <c r="Z8469">
        <v>-6.9338759999999999E-2</v>
      </c>
      <c r="AA8469">
        <v>0.83391849999999901</v>
      </c>
      <c r="AB8469">
        <v>40</v>
      </c>
      <c r="AC8469">
        <v>14.3459</v>
      </c>
      <c r="AD8469">
        <v>-1.0919337077169999</v>
      </c>
      <c r="AE8469">
        <v>4.5328999999999802</v>
      </c>
      <c r="AF8469">
        <v>8.3195583524380794</v>
      </c>
      <c r="AG8469">
        <v>-1.0919337077169999</v>
      </c>
      <c r="AH8469">
        <v>12.4407013431726</v>
      </c>
      <c r="AI8469">
        <v>94.172914939019705</v>
      </c>
      <c r="AJ8469">
        <v>56.227885076964398</v>
      </c>
      <c r="AK8469">
        <v>15.0059461651602</v>
      </c>
      <c r="AL8469">
        <v>80.591942350195296</v>
      </c>
      <c r="AM8469">
        <v>70.966642976800699</v>
      </c>
      <c r="AN8469">
        <v>0.99999997091482395</v>
      </c>
    </row>
    <row r="8470" spans="1:40" x14ac:dyDescent="0.25">
      <c r="A8470" t="str">
        <f>"20190312172314461"</f>
        <v>20190312172314461</v>
      </c>
      <c r="B8470" t="str">
        <f>"1552382594458401"</f>
        <v>1552382594458401</v>
      </c>
      <c r="C8470" t="s">
        <v>40</v>
      </c>
      <c r="D8470">
        <v>3.58229</v>
      </c>
      <c r="E8470">
        <v>0.60056690000000001</v>
      </c>
      <c r="F8470" t="s">
        <v>42</v>
      </c>
      <c r="G8470">
        <v>-166.3442</v>
      </c>
      <c r="H8470" s="1">
        <v>-2.7442540000000001E-6</v>
      </c>
      <c r="I8470">
        <v>134.51939999999999</v>
      </c>
      <c r="J8470">
        <v>-180.7021</v>
      </c>
      <c r="K8470">
        <v>1.0919080000000001</v>
      </c>
      <c r="L8470">
        <v>130.08029999999999</v>
      </c>
      <c r="M8470">
        <v>0.63111039999999996</v>
      </c>
      <c r="N8470">
        <v>0</v>
      </c>
      <c r="O8470">
        <v>0.77549820000000003</v>
      </c>
      <c r="P8470">
        <v>0.83438909999999999</v>
      </c>
      <c r="Q8470">
        <v>0.16084979999999999</v>
      </c>
      <c r="R8470">
        <v>0.52718339999999997</v>
      </c>
      <c r="S8470">
        <v>3.0391080000000001</v>
      </c>
      <c r="T8470">
        <v>-0.22923109999999999</v>
      </c>
      <c r="U8470">
        <v>0.96240230000000004</v>
      </c>
      <c r="V8470">
        <v>0.32169690000000001</v>
      </c>
      <c r="W8470">
        <v>0.1634708</v>
      </c>
      <c r="X8470">
        <v>0.93262449999999997</v>
      </c>
      <c r="Y8470">
        <v>0.5460798</v>
      </c>
      <c r="Z8470">
        <v>-6.9144570000000002E-2</v>
      </c>
      <c r="AA8470">
        <v>0.83487479999999903</v>
      </c>
      <c r="AB8470">
        <v>40</v>
      </c>
      <c r="AC8470">
        <v>14.357900000000001</v>
      </c>
      <c r="AD8470">
        <v>-1.0919107442539999</v>
      </c>
      <c r="AE8470">
        <v>4.4390999999999901</v>
      </c>
      <c r="AF8470">
        <v>8.2904582121081596</v>
      </c>
      <c r="AG8470">
        <v>-1.0919107442539999</v>
      </c>
      <c r="AH8470">
        <v>12.4401533488724</v>
      </c>
      <c r="AI8470">
        <v>94.177448212794005</v>
      </c>
      <c r="AJ8470">
        <v>56.319427025932598</v>
      </c>
      <c r="AK8470">
        <v>14.989375630211899</v>
      </c>
      <c r="AL8470">
        <v>80.591588622127603</v>
      </c>
      <c r="AM8470">
        <v>70.968780266862396</v>
      </c>
      <c r="AN8470">
        <v>1.00000002796124</v>
      </c>
    </row>
    <row r="8471" spans="1:40" x14ac:dyDescent="0.25">
      <c r="A8471" t="str">
        <f>"20190312172314472"</f>
        <v>20190312172314472</v>
      </c>
      <c r="B8471" t="str">
        <f>"1552382594469137"</f>
        <v>1552382594469137</v>
      </c>
      <c r="C8471" t="s">
        <v>40</v>
      </c>
      <c r="D8471">
        <v>3.5773480000000002</v>
      </c>
      <c r="E8471">
        <v>0.60000830000000005</v>
      </c>
      <c r="F8471" t="s">
        <v>42</v>
      </c>
      <c r="G8471">
        <v>-166.29920000000001</v>
      </c>
      <c r="H8471" s="1">
        <v>-2.7513429999999999E-6</v>
      </c>
      <c r="I8471">
        <v>134.55770000000001</v>
      </c>
      <c r="J8471">
        <v>-180.57149999999999</v>
      </c>
      <c r="K8471">
        <v>1.0918840000000001</v>
      </c>
      <c r="L8471">
        <v>130.23580000000001</v>
      </c>
      <c r="M8471">
        <v>0.63765159999999999</v>
      </c>
      <c r="N8471">
        <v>0</v>
      </c>
      <c r="O8471">
        <v>0.77012840000000005</v>
      </c>
      <c r="P8471">
        <v>0.83856359999999996</v>
      </c>
      <c r="Q8471">
        <v>0.16141739999999999</v>
      </c>
      <c r="R8471">
        <v>0.52034179999999997</v>
      </c>
      <c r="S8471">
        <v>3.0423580000000001</v>
      </c>
      <c r="T8471">
        <v>-0.2306464</v>
      </c>
      <c r="U8471">
        <v>0.94577029999999995</v>
      </c>
      <c r="V8471">
        <v>0.3213802</v>
      </c>
      <c r="W8471">
        <v>0.1640414</v>
      </c>
      <c r="X8471">
        <v>0.9326335</v>
      </c>
      <c r="Y8471">
        <v>0.54338509999999995</v>
      </c>
      <c r="Z8471">
        <v>-6.928347E-2</v>
      </c>
      <c r="AA8471">
        <v>0.83661969999999997</v>
      </c>
      <c r="AB8471">
        <v>40</v>
      </c>
      <c r="AC8471">
        <v>14.2722999999999</v>
      </c>
      <c r="AD8471">
        <v>-1.091886751343</v>
      </c>
      <c r="AE8471">
        <v>4.3218999999999896</v>
      </c>
      <c r="AF8471">
        <v>8.1929594391390594</v>
      </c>
      <c r="AG8471">
        <v>-1.091886751343</v>
      </c>
      <c r="AH8471">
        <v>12.3647639793955</v>
      </c>
      <c r="AI8471">
        <v>94.210119715603895</v>
      </c>
      <c r="AJ8471">
        <v>56.4713298521065</v>
      </c>
      <c r="AK8471">
        <v>14.872934791603599</v>
      </c>
      <c r="AL8471">
        <v>80.558448300166702</v>
      </c>
      <c r="AM8471">
        <v>70.986340044857599</v>
      </c>
      <c r="AN8471">
        <v>1.00000002959412</v>
      </c>
    </row>
    <row r="8472" spans="1:40" x14ac:dyDescent="0.25">
      <c r="A8472" t="str">
        <f>"20190312172314483"</f>
        <v>20190312172314483</v>
      </c>
      <c r="B8472" t="str">
        <f>"1552382594478897"</f>
        <v>1552382594478897</v>
      </c>
      <c r="C8472" t="s">
        <v>40</v>
      </c>
      <c r="D8472">
        <v>3.516448</v>
      </c>
      <c r="E8472">
        <v>0.59945190000000004</v>
      </c>
      <c r="F8472" t="s">
        <v>42</v>
      </c>
      <c r="G8472">
        <v>-166.0976</v>
      </c>
      <c r="H8472" s="1">
        <v>-2.8098120000000001E-6</v>
      </c>
      <c r="I8472">
        <v>134.62889999999999</v>
      </c>
      <c r="J8472">
        <v>-180.44229999999999</v>
      </c>
      <c r="K8472">
        <v>1.091858</v>
      </c>
      <c r="L8472">
        <v>130.38820000000001</v>
      </c>
      <c r="M8472">
        <v>0.64404890000000004</v>
      </c>
      <c r="N8472">
        <v>0</v>
      </c>
      <c r="O8472">
        <v>0.76478639999999998</v>
      </c>
      <c r="P8472">
        <v>0.84277429999999998</v>
      </c>
      <c r="Q8472">
        <v>0.16187379999999901</v>
      </c>
      <c r="R8472">
        <v>0.51335019999999998</v>
      </c>
      <c r="S8472">
        <v>3.0477910000000001</v>
      </c>
      <c r="T8472">
        <v>-0.22992029999999999</v>
      </c>
      <c r="U8472">
        <v>0.9250488</v>
      </c>
      <c r="V8472">
        <v>0.32132450000000001</v>
      </c>
      <c r="W8472">
        <v>0.1644892</v>
      </c>
      <c r="X8472">
        <v>0.93257380000000001</v>
      </c>
      <c r="Y8472">
        <v>0.54204609999999998</v>
      </c>
      <c r="Z8472">
        <v>-6.8797159999999996E-2</v>
      </c>
      <c r="AA8472">
        <v>0.83752789999999999</v>
      </c>
      <c r="AB8472">
        <v>40</v>
      </c>
      <c r="AC8472">
        <v>14.3446999999999</v>
      </c>
      <c r="AD8472">
        <v>-1.091860809812</v>
      </c>
      <c r="AE8472">
        <v>4.2406999999999702</v>
      </c>
      <c r="AF8472">
        <v>8.1969874258708693</v>
      </c>
      <c r="AG8472">
        <v>-1.091860809812</v>
      </c>
      <c r="AH8472">
        <v>12.4176468245492</v>
      </c>
      <c r="AI8472">
        <v>94.196957708886799</v>
      </c>
      <c r="AJ8472">
        <v>56.570880554833998</v>
      </c>
      <c r="AK8472">
        <v>14.9191392361331</v>
      </c>
      <c r="AL8472">
        <v>80.532437761162697</v>
      </c>
      <c r="AM8472">
        <v>70.988269182506997</v>
      </c>
      <c r="AN8472">
        <v>1.0000000118316601</v>
      </c>
    </row>
    <row r="8473" spans="1:40" x14ac:dyDescent="0.25">
      <c r="A8473" t="str">
        <f>"20190312172314493"</f>
        <v>20190312172314493</v>
      </c>
      <c r="B8473" t="str">
        <f>"1552382594488657"</f>
        <v>1552382594488657</v>
      </c>
      <c r="C8473" t="s">
        <v>40</v>
      </c>
      <c r="D8473">
        <v>3.5236070000000002</v>
      </c>
      <c r="E8473">
        <v>0.59899369999999996</v>
      </c>
      <c r="F8473" t="s">
        <v>42</v>
      </c>
      <c r="G8473">
        <v>-165.91149999999999</v>
      </c>
      <c r="H8473" s="1">
        <v>-2.8651739999999998E-6</v>
      </c>
      <c r="I8473">
        <v>134.68950000000001</v>
      </c>
      <c r="J8473">
        <v>-180.3262</v>
      </c>
      <c r="K8473">
        <v>1.091836</v>
      </c>
      <c r="L8473">
        <v>130.5222</v>
      </c>
      <c r="M8473">
        <v>0.64970550000000005</v>
      </c>
      <c r="N8473">
        <v>0</v>
      </c>
      <c r="O8473">
        <v>0.75998659999999996</v>
      </c>
      <c r="P8473">
        <v>0.84654529999999995</v>
      </c>
      <c r="Q8473">
        <v>0.16220580000000001</v>
      </c>
      <c r="R8473">
        <v>0.50700159999999905</v>
      </c>
      <c r="S8473">
        <v>3.0532379999999999</v>
      </c>
      <c r="T8473">
        <v>-0.2294234</v>
      </c>
      <c r="U8473">
        <v>0.90379330000000002</v>
      </c>
      <c r="V8473">
        <v>0.32138870000000003</v>
      </c>
      <c r="W8473">
        <v>0.1648085</v>
      </c>
      <c r="X8473">
        <v>0.93249530000000003</v>
      </c>
      <c r="Y8473">
        <v>0.54160569999999997</v>
      </c>
      <c r="Z8473">
        <v>-6.8430099999999994E-2</v>
      </c>
      <c r="AA8473">
        <v>0.8378428</v>
      </c>
      <c r="AB8473">
        <v>39</v>
      </c>
      <c r="AC8473">
        <v>14.4147</v>
      </c>
      <c r="AD8473">
        <v>-1.0918388651739901</v>
      </c>
      <c r="AE8473">
        <v>4.1673000000000098</v>
      </c>
      <c r="AF8473">
        <v>8.2052666171312296</v>
      </c>
      <c r="AG8473">
        <v>-1.0918388651739901</v>
      </c>
      <c r="AH8473">
        <v>12.4682855237475</v>
      </c>
      <c r="AI8473">
        <v>94.183750831835994</v>
      </c>
      <c r="AJ8473">
        <v>56.651444783772199</v>
      </c>
      <c r="AK8473">
        <v>14.9658496674062</v>
      </c>
      <c r="AL8473">
        <v>80.513890080106705</v>
      </c>
      <c r="AM8473">
        <v>70.983257729316605</v>
      </c>
      <c r="AN8473">
        <v>1.0000000113410099</v>
      </c>
    </row>
    <row r="8474" spans="1:40" x14ac:dyDescent="0.25">
      <c r="A8474" t="str">
        <f>"20190312172314505"</f>
        <v>20190312172314505</v>
      </c>
      <c r="B8474" t="str">
        <f>"1552382594498416"</f>
        <v>1552382594498416</v>
      </c>
      <c r="C8474" t="s">
        <v>40</v>
      </c>
      <c r="D8474">
        <v>3.4762689999999998</v>
      </c>
      <c r="E8474">
        <v>0.59855749999999996</v>
      </c>
      <c r="F8474" t="s">
        <v>42</v>
      </c>
      <c r="G8474">
        <v>-165.79050000000001</v>
      </c>
      <c r="H8474" s="1">
        <v>-2.901903E-6</v>
      </c>
      <c r="I8474">
        <v>134.726</v>
      </c>
      <c r="J8474">
        <v>-180.19739999999999</v>
      </c>
      <c r="K8474">
        <v>1.091817</v>
      </c>
      <c r="L8474">
        <v>130.66919999999999</v>
      </c>
      <c r="M8474">
        <v>0.65591009999999905</v>
      </c>
      <c r="N8474">
        <v>0</v>
      </c>
      <c r="O8474">
        <v>0.75463809999999998</v>
      </c>
      <c r="P8474">
        <v>0.85066629999999999</v>
      </c>
      <c r="Q8474">
        <v>0.1625434</v>
      </c>
      <c r="R8474">
        <v>0.49994640000000001</v>
      </c>
      <c r="S8474">
        <v>3.0581510000000001</v>
      </c>
      <c r="T8474">
        <v>-0.22971030000000001</v>
      </c>
      <c r="U8474">
        <v>0.88442989999999999</v>
      </c>
      <c r="V8474">
        <v>0.32147629999999999</v>
      </c>
      <c r="W8474">
        <v>0.16513159999999999</v>
      </c>
      <c r="X8474">
        <v>0.93240789999999996</v>
      </c>
      <c r="Y8474">
        <v>0.53998550000000001</v>
      </c>
      <c r="Z8474">
        <v>-6.8228430000000007E-2</v>
      </c>
      <c r="AA8474">
        <v>0.83890439999999999</v>
      </c>
      <c r="AB8474">
        <v>39</v>
      </c>
      <c r="AC8474">
        <v>14.406899999999901</v>
      </c>
      <c r="AD8474">
        <v>-1.0918199019029999</v>
      </c>
      <c r="AE8474">
        <v>4.0568000000000097</v>
      </c>
      <c r="AF8474">
        <v>8.1688754742986198</v>
      </c>
      <c r="AG8474">
        <v>-1.0918199019029999</v>
      </c>
      <c r="AH8474">
        <v>12.4467112966447</v>
      </c>
      <c r="AI8474">
        <v>94.194323163777895</v>
      </c>
      <c r="AJ8474">
        <v>56.722791598275798</v>
      </c>
      <c r="AK8474">
        <v>14.9279341944829</v>
      </c>
      <c r="AL8474">
        <v>80.495120291355306</v>
      </c>
      <c r="AM8474">
        <v>70.976792066008898</v>
      </c>
      <c r="AN8474">
        <v>0.99999997438132904</v>
      </c>
    </row>
    <row r="8475" spans="1:40" x14ac:dyDescent="0.25">
      <c r="A8475" t="str">
        <f>"20190312172314514"</f>
        <v>20190312172314514</v>
      </c>
      <c r="B8475" t="str">
        <f>"1552382594509153"</f>
        <v>1552382594509153</v>
      </c>
      <c r="C8475" t="s">
        <v>40</v>
      </c>
      <c r="D8475">
        <v>3.4909140000000001</v>
      </c>
      <c r="E8475">
        <v>0.5980898</v>
      </c>
      <c r="F8475" t="s">
        <v>42</v>
      </c>
      <c r="G8475">
        <v>-165.64709999999999</v>
      </c>
      <c r="H8475" s="1">
        <v>-2.946781E-6</v>
      </c>
      <c r="I8475">
        <v>134.76429999999999</v>
      </c>
      <c r="J8475">
        <v>-180.07470000000001</v>
      </c>
      <c r="K8475">
        <v>1.091798</v>
      </c>
      <c r="L8475">
        <v>130.80670000000001</v>
      </c>
      <c r="M8475">
        <v>0.66173340000000003</v>
      </c>
      <c r="N8475">
        <v>0</v>
      </c>
      <c r="O8475">
        <v>0.7495368</v>
      </c>
      <c r="P8475">
        <v>0.85456960000000004</v>
      </c>
      <c r="Q8475">
        <v>0.16303779999999901</v>
      </c>
      <c r="R8475">
        <v>0.49308180000000001</v>
      </c>
      <c r="S8475">
        <v>3.0637819999999998</v>
      </c>
      <c r="T8475">
        <v>-0.22989860000000001</v>
      </c>
      <c r="U8475">
        <v>0.86228939999999998</v>
      </c>
      <c r="V8475">
        <v>0.32172269999999997</v>
      </c>
      <c r="W8475">
        <v>0.16560520000000001</v>
      </c>
      <c r="X8475">
        <v>0.93223889999999998</v>
      </c>
      <c r="Y8475">
        <v>0.53950030000000004</v>
      </c>
      <c r="Z8475">
        <v>-6.8039420000000003E-2</v>
      </c>
      <c r="AA8475">
        <v>0.83923179999999997</v>
      </c>
      <c r="AB8475">
        <v>39</v>
      </c>
      <c r="AC8475">
        <v>14.4276</v>
      </c>
      <c r="AD8475">
        <v>-1.0918009467809999</v>
      </c>
      <c r="AE8475">
        <v>3.9575999999999798</v>
      </c>
      <c r="AF8475">
        <v>8.1529631863445609</v>
      </c>
      <c r="AG8475">
        <v>-1.0918009467809999</v>
      </c>
      <c r="AH8475">
        <v>12.449188072039099</v>
      </c>
      <c r="AI8475">
        <v>94.1961190513708</v>
      </c>
      <c r="AJ8475">
        <v>56.7792432876955</v>
      </c>
      <c r="AK8475">
        <v>14.9212975869488</v>
      </c>
      <c r="AL8475">
        <v>80.467606171493301</v>
      </c>
      <c r="AM8475">
        <v>70.960058159465007</v>
      </c>
      <c r="AN8475">
        <v>0.99999997231776905</v>
      </c>
    </row>
    <row r="8476" spans="1:40" x14ac:dyDescent="0.25">
      <c r="A8476" t="str">
        <f>"20190312172314526"</f>
        <v>20190312172314526</v>
      </c>
      <c r="B8476" t="str">
        <f>"1552382594518914"</f>
        <v>1552382594518914</v>
      </c>
      <c r="C8476" t="s">
        <v>40</v>
      </c>
      <c r="D8476">
        <v>3.5452210000000002</v>
      </c>
      <c r="E8476">
        <v>0.59770570000000001</v>
      </c>
      <c r="F8476" t="s">
        <v>42</v>
      </c>
      <c r="G8476">
        <v>-165.45150000000001</v>
      </c>
      <c r="H8476" s="1">
        <v>-3.008489E-6</v>
      </c>
      <c r="I8476">
        <v>134.81479999999999</v>
      </c>
      <c r="J8476">
        <v>-179.93610000000001</v>
      </c>
      <c r="K8476">
        <v>1.0917760000000001</v>
      </c>
      <c r="L8476">
        <v>130.95939999999999</v>
      </c>
      <c r="M8476">
        <v>0.66822060000000005</v>
      </c>
      <c r="N8476">
        <v>0</v>
      </c>
      <c r="O8476">
        <v>0.7437589</v>
      </c>
      <c r="P8476">
        <v>0.8588344</v>
      </c>
      <c r="Q8476">
        <v>0.163443899999999</v>
      </c>
      <c r="R8476">
        <v>0.48547879999999899</v>
      </c>
      <c r="S8476">
        <v>3.0688930000000001</v>
      </c>
      <c r="T8476">
        <v>-0.22912979999999999</v>
      </c>
      <c r="U8476">
        <v>0.84115599999999902</v>
      </c>
      <c r="V8476">
        <v>0.32186530000000002</v>
      </c>
      <c r="W8476">
        <v>0.16599549999999999</v>
      </c>
      <c r="X8476">
        <v>0.93212030000000001</v>
      </c>
      <c r="Y8476">
        <v>0.53795579999999998</v>
      </c>
      <c r="Z8476">
        <v>-6.7502359999999997E-2</v>
      </c>
      <c r="AA8476">
        <v>0.84026599999999996</v>
      </c>
      <c r="AB8476">
        <v>39</v>
      </c>
      <c r="AC8476">
        <v>14.4846</v>
      </c>
      <c r="AD8476">
        <v>-1.091779008489</v>
      </c>
      <c r="AE8476">
        <v>3.8553999999999999</v>
      </c>
      <c r="AF8476">
        <v>8.1547729744329498</v>
      </c>
      <c r="AG8476">
        <v>-1.091779008489</v>
      </c>
      <c r="AH8476">
        <v>12.482079161772299</v>
      </c>
      <c r="AI8476">
        <v>94.188038364808804</v>
      </c>
      <c r="AJ8476">
        <v>56.842672598404299</v>
      </c>
      <c r="AK8476">
        <v>14.949735913007601</v>
      </c>
      <c r="AL8476">
        <v>80.444930188267506</v>
      </c>
      <c r="AM8476">
        <v>70.949978121091206</v>
      </c>
      <c r="AN8476">
        <v>1.0000000155182101</v>
      </c>
    </row>
    <row r="8477" spans="1:40" x14ac:dyDescent="0.25">
      <c r="A8477" t="str">
        <f>"20190312172314537"</f>
        <v>20190312172314537</v>
      </c>
      <c r="B8477" t="str">
        <f>"1552382594528672"</f>
        <v>1552382594528672</v>
      </c>
      <c r="C8477" t="s">
        <v>40</v>
      </c>
      <c r="D8477">
        <v>3.5385939999999998</v>
      </c>
      <c r="E8477">
        <v>0.59732430000000003</v>
      </c>
      <c r="F8477" t="s">
        <v>42</v>
      </c>
      <c r="G8477">
        <v>-165.28790000000001</v>
      </c>
      <c r="H8477" s="1">
        <v>-3.0617479999999999E-6</v>
      </c>
      <c r="I8477">
        <v>134.85059999999999</v>
      </c>
      <c r="J8477">
        <v>-179.79349999999999</v>
      </c>
      <c r="K8477">
        <v>1.0917570000000001</v>
      </c>
      <c r="L8477">
        <v>131.11429999999999</v>
      </c>
      <c r="M8477">
        <v>0.67480039999999997</v>
      </c>
      <c r="N8477">
        <v>0</v>
      </c>
      <c r="O8477">
        <v>0.73779410000000001</v>
      </c>
      <c r="P8477">
        <v>0.86307</v>
      </c>
      <c r="Q8477">
        <v>0.163961</v>
      </c>
      <c r="R8477">
        <v>0.47773100000000002</v>
      </c>
      <c r="S8477">
        <v>3.0749659999999999</v>
      </c>
      <c r="T8477">
        <v>-0.2291888</v>
      </c>
      <c r="U8477">
        <v>0.81684880000000004</v>
      </c>
      <c r="V8477">
        <v>0.3219323</v>
      </c>
      <c r="W8477">
        <v>0.1664996</v>
      </c>
      <c r="X8477">
        <v>0.93200720000000004</v>
      </c>
      <c r="Y8477">
        <v>0.53710419999999903</v>
      </c>
      <c r="Z8477">
        <v>-6.7213099999999998E-2</v>
      </c>
      <c r="AA8477">
        <v>0.84083379999999996</v>
      </c>
      <c r="AB8477">
        <v>39</v>
      </c>
      <c r="AC8477">
        <v>14.5055999999999</v>
      </c>
      <c r="AD8477">
        <v>-1.0917600617480001</v>
      </c>
      <c r="AE8477">
        <v>3.7363</v>
      </c>
      <c r="AF8477">
        <v>8.1388978025886995</v>
      </c>
      <c r="AG8477">
        <v>-1.0917600617480001</v>
      </c>
      <c r="AH8477">
        <v>12.4806127180341</v>
      </c>
      <c r="AI8477">
        <v>94.190740113978407</v>
      </c>
      <c r="AJ8477">
        <v>56.890694410348402</v>
      </c>
      <c r="AK8477">
        <v>14.9398557988678</v>
      </c>
      <c r="AL8477">
        <v>80.415639358323304</v>
      </c>
      <c r="AM8477">
        <v>70.944153152956204</v>
      </c>
      <c r="AN8477">
        <v>0.99999997171764399</v>
      </c>
    </row>
    <row r="8478" spans="1:40" x14ac:dyDescent="0.25">
      <c r="A8478" t="str">
        <f>"20190312172314549"</f>
        <v>20190312172314549</v>
      </c>
      <c r="B8478" t="str">
        <f>"1552382594538434"</f>
        <v>1552382594538434</v>
      </c>
      <c r="C8478" t="s">
        <v>40</v>
      </c>
      <c r="D8478">
        <v>3.4745910000000002</v>
      </c>
      <c r="E8478">
        <v>0.59684530000000002</v>
      </c>
      <c r="F8478" t="s">
        <v>42</v>
      </c>
      <c r="G8478">
        <v>-165.09</v>
      </c>
      <c r="H8478" s="1">
        <v>-3.139103E-6</v>
      </c>
      <c r="I8478">
        <v>134.89400000000001</v>
      </c>
      <c r="J8478">
        <v>-179.6593</v>
      </c>
      <c r="K8478">
        <v>1.0917410000000001</v>
      </c>
      <c r="L8478">
        <v>131.25649999999999</v>
      </c>
      <c r="M8478">
        <v>0.68088780000000004</v>
      </c>
      <c r="N8478">
        <v>0</v>
      </c>
      <c r="O8478">
        <v>0.73217980000000005</v>
      </c>
      <c r="P8478">
        <v>0.86695580000000005</v>
      </c>
      <c r="Q8478">
        <v>0.16404929999999901</v>
      </c>
      <c r="R8478">
        <v>0.47061199999999997</v>
      </c>
      <c r="S8478">
        <v>3.0810240000000002</v>
      </c>
      <c r="T8478">
        <v>-0.22877140000000001</v>
      </c>
      <c r="U8478">
        <v>0.79200740000000003</v>
      </c>
      <c r="V8478">
        <v>0.32188290000000003</v>
      </c>
      <c r="W8478">
        <v>0.1665837</v>
      </c>
      <c r="X8478">
        <v>0.93200930000000004</v>
      </c>
      <c r="Y8478">
        <v>0.53690509999999902</v>
      </c>
      <c r="Z8478">
        <v>-6.6818779999999994E-2</v>
      </c>
      <c r="AA8478">
        <v>0.84099239999999997</v>
      </c>
      <c r="AB8478">
        <v>39</v>
      </c>
      <c r="AC8478">
        <v>14.569299999999901</v>
      </c>
      <c r="AD8478">
        <v>-1.0917441391030001</v>
      </c>
      <c r="AE8478">
        <v>3.6375000000000099</v>
      </c>
      <c r="AF8478">
        <v>8.1487931439069996</v>
      </c>
      <c r="AG8478">
        <v>-1.0917441391030001</v>
      </c>
      <c r="AH8478">
        <v>12.519106851772699</v>
      </c>
      <c r="AI8478">
        <v>94.1801528780409</v>
      </c>
      <c r="AJ8478">
        <v>56.939554600862998</v>
      </c>
      <c r="AK8478">
        <v>14.977408698888899</v>
      </c>
      <c r="AL8478">
        <v>80.410753127588194</v>
      </c>
      <c r="AM8478">
        <v>70.946906211273699</v>
      </c>
      <c r="AN8478">
        <v>1.00000003285229</v>
      </c>
    </row>
    <row r="8479" spans="1:40" x14ac:dyDescent="0.25">
      <c r="A8479" t="str">
        <f>"20190312172314560"</f>
        <v>20190312172314560</v>
      </c>
      <c r="B8479" t="str">
        <f>"1552382594549169"</f>
        <v>1552382594549169</v>
      </c>
      <c r="C8479" t="s">
        <v>40</v>
      </c>
      <c r="D8479">
        <v>3.4593799999999999</v>
      </c>
      <c r="E8479">
        <v>0.59684530000000002</v>
      </c>
      <c r="F8479" t="s">
        <v>42</v>
      </c>
      <c r="G8479">
        <v>-164.97229999999999</v>
      </c>
      <c r="H8479" s="1">
        <v>-3.1899729999999998E-6</v>
      </c>
      <c r="I8479">
        <v>134.9211</v>
      </c>
      <c r="J8479">
        <v>-179.5204</v>
      </c>
      <c r="K8479">
        <v>1.0917220000000001</v>
      </c>
      <c r="L8479">
        <v>131.40289999999999</v>
      </c>
      <c r="M8479">
        <v>0.68712489999999904</v>
      </c>
      <c r="N8479">
        <v>0</v>
      </c>
      <c r="O8479">
        <v>0.72632949999999996</v>
      </c>
      <c r="P8479">
        <v>0.87089570000000005</v>
      </c>
      <c r="Q8479">
        <v>0.16443079999999999</v>
      </c>
      <c r="R8479">
        <v>0.46314490000000003</v>
      </c>
      <c r="S8479">
        <v>3.0858460000000001</v>
      </c>
      <c r="T8479">
        <v>-0.22938230000000001</v>
      </c>
      <c r="U8479">
        <v>0.76994319999999905</v>
      </c>
      <c r="V8479">
        <v>0.32189240000000002</v>
      </c>
      <c r="W8479">
        <v>0.16695750000000001</v>
      </c>
      <c r="X8479">
        <v>0.93193910000000002</v>
      </c>
      <c r="Y8479">
        <v>0.53566459999999905</v>
      </c>
      <c r="Z8479">
        <v>-6.6683110000000004E-2</v>
      </c>
      <c r="AA8479">
        <v>0.84179380000000004</v>
      </c>
      <c r="AB8479">
        <v>39</v>
      </c>
      <c r="AC8479">
        <v>14.5481</v>
      </c>
      <c r="AD8479">
        <v>-1.0917251899729901</v>
      </c>
      <c r="AE8479">
        <v>3.5182000000000002</v>
      </c>
      <c r="AF8479">
        <v>8.1073806106918003</v>
      </c>
      <c r="AG8479">
        <v>-1.0917251899729901</v>
      </c>
      <c r="AH8479">
        <v>12.4872128842604</v>
      </c>
      <c r="AI8479">
        <v>94.193876179556298</v>
      </c>
      <c r="AJ8479">
        <v>57.006165402514199</v>
      </c>
      <c r="AK8479">
        <v>14.928227285042301</v>
      </c>
      <c r="AL8479">
        <v>80.389031504174199</v>
      </c>
      <c r="AM8479">
        <v>70.945052692799806</v>
      </c>
      <c r="AN8479">
        <v>1.00000000504641</v>
      </c>
    </row>
    <row r="8480" spans="1:40" x14ac:dyDescent="0.25">
      <c r="A8480" t="str">
        <f>"20190312172314571"</f>
        <v>20190312172314571</v>
      </c>
      <c r="B8480" t="str">
        <f>"1552382594558929"</f>
        <v>1552382594558929</v>
      </c>
      <c r="C8480" t="s">
        <v>40</v>
      </c>
      <c r="D8480">
        <v>3.4970129999999999</v>
      </c>
      <c r="E8480">
        <v>0.5813604</v>
      </c>
      <c r="F8480" t="s">
        <v>42</v>
      </c>
      <c r="G8480">
        <v>-164.7176</v>
      </c>
      <c r="H8480" s="1">
        <v>-3.3032279999999999E-6</v>
      </c>
      <c r="I8480">
        <v>134.96119999999999</v>
      </c>
      <c r="J8480">
        <v>-179.38210000000001</v>
      </c>
      <c r="K8480">
        <v>1.0917079999999999</v>
      </c>
      <c r="L8480">
        <v>131.54429999999999</v>
      </c>
      <c r="M8480">
        <v>0.693214</v>
      </c>
      <c r="N8480">
        <v>0</v>
      </c>
      <c r="O8480">
        <v>0.7205201</v>
      </c>
      <c r="P8480">
        <v>0.87472349999999999</v>
      </c>
      <c r="Q8480">
        <v>0.16461410000000001</v>
      </c>
      <c r="R8480">
        <v>0.4558082</v>
      </c>
      <c r="S8480">
        <v>3.0924680000000002</v>
      </c>
      <c r="T8480">
        <v>-0.22807450000000001</v>
      </c>
      <c r="U8480">
        <v>0.74336239999999998</v>
      </c>
      <c r="V8480">
        <v>0.321872099999999</v>
      </c>
      <c r="W8480">
        <v>0.1671357</v>
      </c>
      <c r="X8480">
        <v>0.93191420000000003</v>
      </c>
      <c r="Y8480">
        <v>0.5358598</v>
      </c>
      <c r="Z8480">
        <v>-6.6019659999999994E-2</v>
      </c>
      <c r="AA8480">
        <v>0.84172190000000002</v>
      </c>
      <c r="AB8480">
        <v>39</v>
      </c>
      <c r="AC8480">
        <v>14.6645</v>
      </c>
      <c r="AD8480">
        <v>-1.0917113032279999</v>
      </c>
      <c r="AE8480">
        <v>3.4168999999999898</v>
      </c>
      <c r="AF8480">
        <v>8.1558017169446408</v>
      </c>
      <c r="AG8480">
        <v>-1.0917113032279999</v>
      </c>
      <c r="AH8480">
        <v>12.563465359737901</v>
      </c>
      <c r="AI8480">
        <v>94.168623119787597</v>
      </c>
      <c r="AJ8480">
        <v>57.009650137996097</v>
      </c>
      <c r="AK8480">
        <v>15.018308728383801</v>
      </c>
      <c r="AL8480">
        <v>80.378676166594204</v>
      </c>
      <c r="AM8480">
        <v>70.945695335244494</v>
      </c>
      <c r="AN8480">
        <v>1.0000000335672601</v>
      </c>
    </row>
    <row r="8481" spans="1:40" x14ac:dyDescent="0.25">
      <c r="A8481" t="str">
        <f>"20190312172314587"</f>
        <v>20190312172314587</v>
      </c>
      <c r="B8481" t="str">
        <f>"1552382594578449"</f>
        <v>1552382594578449</v>
      </c>
      <c r="C8481" t="s">
        <v>40</v>
      </c>
      <c r="D8481">
        <v>3.4853399999999999</v>
      </c>
      <c r="E8481">
        <v>0.58073960000000002</v>
      </c>
      <c r="F8481" t="s">
        <v>42</v>
      </c>
      <c r="G8481">
        <v>-166.90039999999999</v>
      </c>
      <c r="H8481" s="1">
        <v>-2.4192559999999999E-6</v>
      </c>
      <c r="I8481">
        <v>134.93809999999999</v>
      </c>
      <c r="J8481">
        <v>-179.1977</v>
      </c>
      <c r="K8481">
        <v>1.091685</v>
      </c>
      <c r="L8481">
        <v>131.7304</v>
      </c>
      <c r="M8481">
        <v>0.70121940000000005</v>
      </c>
      <c r="N8481">
        <v>0</v>
      </c>
      <c r="O8481">
        <v>0.71273129999999996</v>
      </c>
      <c r="P8481">
        <v>0.87969889999999995</v>
      </c>
      <c r="Q8481">
        <v>0.1649437</v>
      </c>
      <c r="R8481">
        <v>0.44600869999999998</v>
      </c>
      <c r="S8481">
        <v>3.047974</v>
      </c>
      <c r="T8481">
        <v>-0.26659070000000001</v>
      </c>
      <c r="U8481">
        <v>0.82876589999999895</v>
      </c>
      <c r="V8481">
        <v>0.32185160000000002</v>
      </c>
      <c r="W8481">
        <v>0.1674591</v>
      </c>
      <c r="X8481">
        <v>0.9318632</v>
      </c>
      <c r="Y8481">
        <v>0.50016549999999904</v>
      </c>
      <c r="Z8481">
        <v>-7.5865719999999998E-2</v>
      </c>
      <c r="AA8481">
        <v>0.86260009999999998</v>
      </c>
      <c r="AB8481">
        <v>39</v>
      </c>
      <c r="AC8481">
        <v>12.2973</v>
      </c>
      <c r="AD8481">
        <v>-1.091687419256</v>
      </c>
      <c r="AE8481">
        <v>3.20769999999998</v>
      </c>
      <c r="AF8481">
        <v>6.4686332790253198</v>
      </c>
      <c r="AG8481">
        <v>-1.091687419256</v>
      </c>
      <c r="AH8481">
        <v>10.831078986941</v>
      </c>
      <c r="AI8481">
        <v>94.945720935535903</v>
      </c>
      <c r="AJ8481">
        <v>59.153130998817097</v>
      </c>
      <c r="AK8481">
        <v>12.662830250036199</v>
      </c>
      <c r="AL8481">
        <v>80.359881634042395</v>
      </c>
      <c r="AM8481">
        <v>70.945853825975902</v>
      </c>
      <c r="AN8481">
        <v>1.0000000130547999</v>
      </c>
    </row>
    <row r="8482" spans="1:40" x14ac:dyDescent="0.25">
      <c r="A8482" t="str">
        <f>"20190312172314598"</f>
        <v>20190312172314598</v>
      </c>
      <c r="B8482" t="str">
        <f>"1552382594589185"</f>
        <v>1552382594589185</v>
      </c>
      <c r="C8482" t="s">
        <v>40</v>
      </c>
      <c r="D8482">
        <v>3.5078589999999998</v>
      </c>
      <c r="E8482">
        <v>0.58049379999999995</v>
      </c>
      <c r="F8482" t="s">
        <v>42</v>
      </c>
      <c r="G8482">
        <v>-166.80840000000001</v>
      </c>
      <c r="H8482" s="1">
        <v>-2.4453149999999999E-6</v>
      </c>
      <c r="I8482">
        <v>134.97299999999899</v>
      </c>
      <c r="J8482">
        <v>-179.0325</v>
      </c>
      <c r="K8482">
        <v>1.0916669999999999</v>
      </c>
      <c r="L8482">
        <v>131.89420000000001</v>
      </c>
      <c r="M8482">
        <v>0.70827209999999996</v>
      </c>
      <c r="N8482">
        <v>0</v>
      </c>
      <c r="O8482">
        <v>0.70572290000000004</v>
      </c>
      <c r="P8482">
        <v>0.88410100000000003</v>
      </c>
      <c r="Q8482">
        <v>0.16512650000000001</v>
      </c>
      <c r="R8482">
        <v>0.4371486</v>
      </c>
      <c r="S8482">
        <v>3.0553129999999999</v>
      </c>
      <c r="T8482">
        <v>-0.26921980000000001</v>
      </c>
      <c r="U8482">
        <v>0.79965209999999998</v>
      </c>
      <c r="V8482">
        <v>0.32193880000000002</v>
      </c>
      <c r="W8482">
        <v>0.16763159999999999</v>
      </c>
      <c r="X8482">
        <v>0.93180200000000002</v>
      </c>
      <c r="Y8482">
        <v>0.49971399999999999</v>
      </c>
      <c r="Z8482">
        <v>-7.6170059999999998E-2</v>
      </c>
      <c r="AA8482">
        <v>0.86283489999999996</v>
      </c>
      <c r="AB8482">
        <v>39</v>
      </c>
      <c r="AC8482">
        <v>12.2240999999999</v>
      </c>
      <c r="AD8482">
        <v>-1.091669445315</v>
      </c>
      <c r="AE8482">
        <v>3.07879999999997</v>
      </c>
      <c r="AF8482">
        <v>6.3991937438092696</v>
      </c>
      <c r="AG8482">
        <v>-1.091669445315</v>
      </c>
      <c r="AH8482">
        <v>10.7517911269367</v>
      </c>
      <c r="AI8482">
        <v>94.986408869245295</v>
      </c>
      <c r="AJ8482">
        <v>59.239963796639501</v>
      </c>
      <c r="AK8482">
        <v>12.5595555329764</v>
      </c>
      <c r="AL8482">
        <v>80.349855840738499</v>
      </c>
      <c r="AM8482">
        <v>70.939902420562504</v>
      </c>
      <c r="AN8482">
        <v>0.99999995573399902</v>
      </c>
    </row>
    <row r="8483" spans="1:40" x14ac:dyDescent="0.25">
      <c r="A8483" t="str">
        <f>"20190312172314611"</f>
        <v>20190312172314611</v>
      </c>
      <c r="B8483" t="str">
        <f>"1552382594598945"</f>
        <v>1552382594598945</v>
      </c>
      <c r="C8483" t="s">
        <v>40</v>
      </c>
      <c r="D8483">
        <v>3.5020229999999999</v>
      </c>
      <c r="E8483">
        <v>0.58005669999999898</v>
      </c>
      <c r="F8483" t="s">
        <v>42</v>
      </c>
      <c r="G8483">
        <v>-166.6053</v>
      </c>
      <c r="H8483" s="1">
        <v>-2.5101220000000001E-6</v>
      </c>
      <c r="I8483">
        <v>135.02260000000001</v>
      </c>
      <c r="J8483">
        <v>-178.88239999999999</v>
      </c>
      <c r="K8483">
        <v>1.0916509999999999</v>
      </c>
      <c r="L8483">
        <v>132.03880000000001</v>
      </c>
      <c r="M8483">
        <v>0.7145553</v>
      </c>
      <c r="N8483">
        <v>0</v>
      </c>
      <c r="O8483">
        <v>0.69936019999999999</v>
      </c>
      <c r="P8483">
        <v>0.88798809999999995</v>
      </c>
      <c r="Q8483">
        <v>0.165354799999999</v>
      </c>
      <c r="R8483">
        <v>0.42910959999999998</v>
      </c>
      <c r="S8483">
        <v>3.0623469999999999</v>
      </c>
      <c r="T8483">
        <v>-0.26901170000000002</v>
      </c>
      <c r="U8483">
        <v>0.77090449999999999</v>
      </c>
      <c r="V8483">
        <v>0.3220462</v>
      </c>
      <c r="W8483">
        <v>0.1678502</v>
      </c>
      <c r="X8483">
        <v>0.93172560000000004</v>
      </c>
      <c r="Y8483">
        <v>0.50008699999999995</v>
      </c>
      <c r="Z8483">
        <v>-7.5737199999999893E-2</v>
      </c>
      <c r="AA8483">
        <v>0.86265689999999995</v>
      </c>
      <c r="AB8483">
        <v>39</v>
      </c>
      <c r="AC8483">
        <v>12.2770999999999</v>
      </c>
      <c r="AD8483">
        <v>-1.091653510122</v>
      </c>
      <c r="AE8483">
        <v>2.9838</v>
      </c>
      <c r="AF8483">
        <v>6.4071804937999399</v>
      </c>
      <c r="AG8483">
        <v>-1.091653510122</v>
      </c>
      <c r="AH8483">
        <v>10.7805981646604</v>
      </c>
      <c r="AI8483">
        <v>94.974926435583697</v>
      </c>
      <c r="AJ8483">
        <v>59.275919801388703</v>
      </c>
      <c r="AK8483">
        <v>12.588286859385301</v>
      </c>
      <c r="AL8483">
        <v>80.337151587399404</v>
      </c>
      <c r="AM8483">
        <v>70.932552454302098</v>
      </c>
      <c r="AN8483">
        <v>1.0000000191349101</v>
      </c>
    </row>
    <row r="8484" spans="1:40" x14ac:dyDescent="0.25">
      <c r="A8484" t="str">
        <f>"20190312172314624"</f>
        <v>20190312172314624</v>
      </c>
      <c r="B8484" t="str">
        <f>"1552382594618466"</f>
        <v>1552382594618466</v>
      </c>
      <c r="C8484" t="s">
        <v>40</v>
      </c>
      <c r="D8484">
        <v>3.5379079999999998</v>
      </c>
      <c r="E8484">
        <v>0.57954839999999996</v>
      </c>
      <c r="F8484" t="s">
        <v>42</v>
      </c>
      <c r="G8484">
        <v>-166.48920000000001</v>
      </c>
      <c r="H8484" s="1">
        <v>-2.5457559999999999E-6</v>
      </c>
      <c r="I8484">
        <v>135.05619999999999</v>
      </c>
      <c r="J8484">
        <v>-178.71270000000001</v>
      </c>
      <c r="K8484">
        <v>1.0916349999999999</v>
      </c>
      <c r="L8484">
        <v>132.2004</v>
      </c>
      <c r="M8484">
        <v>0.72156229999999999</v>
      </c>
      <c r="N8484">
        <v>0</v>
      </c>
      <c r="O8484">
        <v>0.69212819999999997</v>
      </c>
      <c r="P8484">
        <v>0.89239409999999897</v>
      </c>
      <c r="Q8484">
        <v>0.16536629999999899</v>
      </c>
      <c r="R8484">
        <v>0.4198653</v>
      </c>
      <c r="S8484">
        <v>3.0678100000000001</v>
      </c>
      <c r="T8484">
        <v>-0.27022750000000001</v>
      </c>
      <c r="U8484">
        <v>0.74691770000000002</v>
      </c>
      <c r="V8484">
        <v>0.322345099999999</v>
      </c>
      <c r="W8484">
        <v>0.1678432</v>
      </c>
      <c r="X8484">
        <v>0.93162350000000005</v>
      </c>
      <c r="Y8484">
        <v>0.49808940000000002</v>
      </c>
      <c r="Z8484">
        <v>-7.5557100000000002E-2</v>
      </c>
      <c r="AA8484">
        <v>0.86382760000000003</v>
      </c>
      <c r="AB8484">
        <v>39</v>
      </c>
      <c r="AC8484">
        <v>12.2235</v>
      </c>
      <c r="AD8484">
        <v>-1.0916375457559999</v>
      </c>
      <c r="AE8484">
        <v>2.8557999999999799</v>
      </c>
      <c r="AF8484">
        <v>6.3525289549503201</v>
      </c>
      <c r="AG8484">
        <v>-1.0916375457559999</v>
      </c>
      <c r="AH8484">
        <v>10.717198509389201</v>
      </c>
      <c r="AI8484">
        <v>95.007596418982502</v>
      </c>
      <c r="AJ8484">
        <v>59.343015571350399</v>
      </c>
      <c r="AK8484">
        <v>12.506184092057801</v>
      </c>
      <c r="AL8484">
        <v>80.337558482170607</v>
      </c>
      <c r="AM8484">
        <v>70.914194876882206</v>
      </c>
      <c r="AN8484">
        <v>1.0000000245162399</v>
      </c>
    </row>
    <row r="8485" spans="1:40" x14ac:dyDescent="0.25">
      <c r="A8485" t="str">
        <f>"20190312172314637"</f>
        <v>20190312172314637</v>
      </c>
      <c r="B8485" t="str">
        <f>"1552382594629201"</f>
        <v>1552382594629201</v>
      </c>
      <c r="C8485" t="s">
        <v>40</v>
      </c>
      <c r="D8485">
        <v>3.5203250000000001</v>
      </c>
      <c r="E8485">
        <v>0.57912710000000001</v>
      </c>
      <c r="F8485" t="s">
        <v>42</v>
      </c>
      <c r="G8485">
        <v>-166.32339999999999</v>
      </c>
      <c r="H8485" s="1">
        <v>-2.598315E-6</v>
      </c>
      <c r="I8485">
        <v>135.09790000000001</v>
      </c>
      <c r="J8485">
        <v>-178.5384</v>
      </c>
      <c r="K8485">
        <v>1.0916140000000001</v>
      </c>
      <c r="L8485">
        <v>132.36279999999999</v>
      </c>
      <c r="M8485">
        <v>0.72863290000000003</v>
      </c>
      <c r="N8485">
        <v>0</v>
      </c>
      <c r="O8485">
        <v>0.68468039999999997</v>
      </c>
      <c r="P8485">
        <v>0.89684299999999995</v>
      </c>
      <c r="Q8485">
        <v>0.16572089999999901</v>
      </c>
      <c r="R8485">
        <v>0.41013319999999998</v>
      </c>
      <c r="S8485">
        <v>3.0736849999999998</v>
      </c>
      <c r="T8485">
        <v>-0.27082679999999998</v>
      </c>
      <c r="U8485">
        <v>0.71885679999999996</v>
      </c>
      <c r="V8485">
        <v>0.32288939999999999</v>
      </c>
      <c r="W8485">
        <v>0.16816610000000001</v>
      </c>
      <c r="X8485">
        <v>0.93137669999999995</v>
      </c>
      <c r="Y8485">
        <v>0.4970446</v>
      </c>
      <c r="Z8485">
        <v>-7.5228180000000006E-2</v>
      </c>
      <c r="AA8485">
        <v>0.86445780000000005</v>
      </c>
      <c r="AB8485">
        <v>39</v>
      </c>
      <c r="AC8485">
        <v>12.215</v>
      </c>
      <c r="AD8485">
        <v>-1.0916165983149999</v>
      </c>
      <c r="AE8485">
        <v>2.7351000000000099</v>
      </c>
      <c r="AF8485">
        <v>6.3233746884690802</v>
      </c>
      <c r="AG8485">
        <v>-1.0916165983149999</v>
      </c>
      <c r="AH8485">
        <v>10.693249756100499</v>
      </c>
      <c r="AI8485">
        <v>95.021721403578098</v>
      </c>
      <c r="AJ8485">
        <v>59.402364371751297</v>
      </c>
      <c r="AK8485">
        <v>12.470857412176199</v>
      </c>
      <c r="AL8485">
        <v>80.318790477577593</v>
      </c>
      <c r="AM8485">
        <v>70.879606755328297</v>
      </c>
      <c r="AN8485">
        <v>0.99999997956222897</v>
      </c>
    </row>
    <row r="8486" spans="1:40" x14ac:dyDescent="0.25">
      <c r="A8486" t="str">
        <f>"20190312172314651"</f>
        <v>20190312172314651</v>
      </c>
      <c r="B8486" t="str">
        <f>"1552382594638531"</f>
        <v>1552382594638531</v>
      </c>
      <c r="C8486" t="s">
        <v>40</v>
      </c>
      <c r="D8486">
        <v>3.499228</v>
      </c>
      <c r="E8486">
        <v>0.57912710000000001</v>
      </c>
      <c r="F8486" t="s">
        <v>42</v>
      </c>
      <c r="G8486">
        <v>-166.14420000000001</v>
      </c>
      <c r="H8486" s="1">
        <v>-2.6575130000000001E-6</v>
      </c>
      <c r="I8486">
        <v>135.13409999999999</v>
      </c>
      <c r="J8486">
        <v>-178.3655</v>
      </c>
      <c r="K8486">
        <v>1.0915999999999999</v>
      </c>
      <c r="L8486">
        <v>132.52000000000001</v>
      </c>
      <c r="M8486">
        <v>0.73551679999999997</v>
      </c>
      <c r="N8486">
        <v>0</v>
      </c>
      <c r="O8486">
        <v>0.67727969999999904</v>
      </c>
      <c r="P8486">
        <v>0.90100550000000001</v>
      </c>
      <c r="Q8486">
        <v>0.16594049999999999</v>
      </c>
      <c r="R8486">
        <v>0.40081539999999999</v>
      </c>
      <c r="S8486">
        <v>3.0802459999999998</v>
      </c>
      <c r="T8486">
        <v>-0.2712907</v>
      </c>
      <c r="U8486">
        <v>0.68872069999999996</v>
      </c>
      <c r="V8486">
        <v>0.3231173</v>
      </c>
      <c r="W8486">
        <v>0.16837149999999901</v>
      </c>
      <c r="X8486">
        <v>0.93126059999999999</v>
      </c>
      <c r="Y8486">
        <v>0.49674210000000002</v>
      </c>
      <c r="Z8486">
        <v>-7.487634E-2</v>
      </c>
      <c r="AA8486">
        <v>0.86466229999999999</v>
      </c>
      <c r="AB8486">
        <v>39</v>
      </c>
      <c r="AC8486">
        <v>12.2212999999999</v>
      </c>
      <c r="AD8486">
        <v>-1.091602657513</v>
      </c>
      <c r="AE8486">
        <v>2.6140999999999699</v>
      </c>
      <c r="AF8486">
        <v>6.3073815541075602</v>
      </c>
      <c r="AG8486">
        <v>-1.091602657513</v>
      </c>
      <c r="AH8486">
        <v>10.6796270938543</v>
      </c>
      <c r="AI8486">
        <v>95.029658967532697</v>
      </c>
      <c r="AJ8486">
        <v>59.433925856546402</v>
      </c>
      <c r="AK8486">
        <v>12.4510679580016</v>
      </c>
      <c r="AL8486">
        <v>80.306852168193998</v>
      </c>
      <c r="AM8486">
        <v>70.864880265220293</v>
      </c>
      <c r="AN8486">
        <v>1.0000000283419399</v>
      </c>
    </row>
    <row r="8487" spans="1:40" x14ac:dyDescent="0.25">
      <c r="A8487" t="str">
        <f>"20190312172314661"</f>
        <v>20190312172314661</v>
      </c>
      <c r="B8487" t="str">
        <f>"1552382594659010"</f>
        <v>1552382594659010</v>
      </c>
      <c r="C8487" t="s">
        <v>40</v>
      </c>
      <c r="D8487">
        <v>3.56298</v>
      </c>
      <c r="E8487">
        <v>0.57890529999999996</v>
      </c>
      <c r="F8487" t="s">
        <v>42</v>
      </c>
      <c r="G8487">
        <v>-165.9025</v>
      </c>
      <c r="H8487" s="1">
        <v>-2.7406110000000002E-6</v>
      </c>
      <c r="I8487">
        <v>135.17060000000001</v>
      </c>
      <c r="J8487">
        <v>-178.22450000000001</v>
      </c>
      <c r="K8487">
        <v>1.0915870000000001</v>
      </c>
      <c r="L8487">
        <v>132.64689999999999</v>
      </c>
      <c r="M8487">
        <v>0.74105750000000004</v>
      </c>
      <c r="N8487">
        <v>0</v>
      </c>
      <c r="O8487">
        <v>0.6712127</v>
      </c>
      <c r="P8487">
        <v>0.90428739999999996</v>
      </c>
      <c r="Q8487">
        <v>0.16602639999999999</v>
      </c>
      <c r="R8487">
        <v>0.39331880000000002</v>
      </c>
      <c r="S8487">
        <v>3.087326</v>
      </c>
      <c r="T8487">
        <v>-0.27041009999999999</v>
      </c>
      <c r="U8487">
        <v>0.65660099999999999</v>
      </c>
      <c r="V8487">
        <v>0.32319750000000003</v>
      </c>
      <c r="W8487">
        <v>0.1684514</v>
      </c>
      <c r="X8487">
        <v>0.93121830000000005</v>
      </c>
      <c r="Y8487">
        <v>0.49866739999999998</v>
      </c>
      <c r="Z8487">
        <v>-7.4316869999999993E-2</v>
      </c>
      <c r="AA8487">
        <v>0.86360159999999997</v>
      </c>
      <c r="AB8487">
        <v>39</v>
      </c>
      <c r="AC8487">
        <v>12.321999999999999</v>
      </c>
      <c r="AD8487">
        <v>-1.091589740611</v>
      </c>
      <c r="AE8487">
        <v>2.5237000000000198</v>
      </c>
      <c r="AF8487">
        <v>6.3536043603931702</v>
      </c>
      <c r="AG8487">
        <v>-1.091589740611</v>
      </c>
      <c r="AH8487">
        <v>10.7459749582258</v>
      </c>
      <c r="AI8487">
        <v>94.997277397599504</v>
      </c>
      <c r="AJ8487">
        <v>59.406113428499097</v>
      </c>
      <c r="AK8487">
        <v>12.531393950117099</v>
      </c>
      <c r="AL8487">
        <v>80.302207722953099</v>
      </c>
      <c r="AM8487">
        <v>70.859670126875201</v>
      </c>
      <c r="AN8487">
        <v>1.00000001021155</v>
      </c>
    </row>
    <row r="8488" spans="1:40" x14ac:dyDescent="0.25">
      <c r="A8488" t="str">
        <f>"20190312172314672"</f>
        <v>20190312172314672</v>
      </c>
      <c r="B8488" t="str">
        <f>"1552382594668769"</f>
        <v>1552382594668769</v>
      </c>
      <c r="C8488" t="s">
        <v>40</v>
      </c>
      <c r="D8488">
        <v>3.5097309999999999</v>
      </c>
      <c r="E8488">
        <v>0.60885049999999996</v>
      </c>
      <c r="F8488" t="s">
        <v>42</v>
      </c>
      <c r="G8488">
        <v>-165.7398</v>
      </c>
      <c r="H8488" s="1">
        <v>-2.7951070000000001E-6</v>
      </c>
      <c r="I8488">
        <v>135.20060000000001</v>
      </c>
      <c r="J8488">
        <v>-178.0736</v>
      </c>
      <c r="K8488">
        <v>1.0915790000000001</v>
      </c>
      <c r="L8488">
        <v>132.7792</v>
      </c>
      <c r="M8488">
        <v>0.74688540000000003</v>
      </c>
      <c r="N8488">
        <v>0</v>
      </c>
      <c r="O8488">
        <v>0.66472129999999996</v>
      </c>
      <c r="P8488">
        <v>0.90757929999999998</v>
      </c>
      <c r="Q8488">
        <v>0.1663432</v>
      </c>
      <c r="R8488">
        <v>0.38552560000000002</v>
      </c>
      <c r="S8488">
        <v>3.0920869999999998</v>
      </c>
      <c r="T8488">
        <v>-0.27035360000000003</v>
      </c>
      <c r="U8488">
        <v>0.63247679999999995</v>
      </c>
      <c r="V8488">
        <v>0.3230634</v>
      </c>
      <c r="W8488">
        <v>0.16877200000000001</v>
      </c>
      <c r="X8488">
        <v>0.9312068</v>
      </c>
      <c r="Y8488">
        <v>0.497867</v>
      </c>
      <c r="Z8488">
        <v>-7.3855480000000001E-2</v>
      </c>
      <c r="AA8488">
        <v>0.86410279999999995</v>
      </c>
      <c r="AB8488">
        <v>39</v>
      </c>
      <c r="AC8488">
        <v>12.333799999999901</v>
      </c>
      <c r="AD8488">
        <v>-1.0915817951069999</v>
      </c>
      <c r="AE8488">
        <v>2.4214000000000002</v>
      </c>
      <c r="AF8488">
        <v>6.34317379519001</v>
      </c>
      <c r="AG8488">
        <v>-1.0915817951069999</v>
      </c>
      <c r="AH8488">
        <v>10.742138377005899</v>
      </c>
      <c r="AI8488">
        <v>95.0006723496776</v>
      </c>
      <c r="AJ8488">
        <v>59.438382233838098</v>
      </c>
      <c r="AK8488">
        <v>12.5228168365642</v>
      </c>
      <c r="AL8488">
        <v>80.2835720370947</v>
      </c>
      <c r="AM8488">
        <v>70.866815194303697</v>
      </c>
      <c r="AN8488">
        <v>1.0000000263848901</v>
      </c>
    </row>
    <row r="8489" spans="1:40" x14ac:dyDescent="0.25">
      <c r="A8489" t="str">
        <f>"20190312172314683"</f>
        <v>20190312172314683</v>
      </c>
      <c r="B8489" t="str">
        <f>"1552382594678530"</f>
        <v>1552382594678530</v>
      </c>
      <c r="C8489" t="s">
        <v>40</v>
      </c>
      <c r="D8489">
        <v>3.5058410000000002</v>
      </c>
      <c r="E8489">
        <v>0.61293059999999999</v>
      </c>
      <c r="F8489" t="s">
        <v>42</v>
      </c>
      <c r="G8489">
        <v>-161.16720000000001</v>
      </c>
      <c r="H8489" s="1">
        <v>-5.0068309999999999E-6</v>
      </c>
      <c r="I8489">
        <v>134.8186</v>
      </c>
      <c r="J8489">
        <v>-177.93979999999999</v>
      </c>
      <c r="K8489">
        <v>1.091569</v>
      </c>
      <c r="L8489">
        <v>132.89529999999999</v>
      </c>
      <c r="M8489">
        <v>0.75198980000000004</v>
      </c>
      <c r="N8489">
        <v>0</v>
      </c>
      <c r="O8489">
        <v>0.65894109999999995</v>
      </c>
      <c r="P8489">
        <v>0.91053079999999997</v>
      </c>
      <c r="Q8489">
        <v>0.1665682</v>
      </c>
      <c r="R8489">
        <v>0.37840299999999999</v>
      </c>
      <c r="S8489">
        <v>3.1801759999999999</v>
      </c>
      <c r="T8489">
        <v>-0.2053323</v>
      </c>
      <c r="U8489">
        <v>0.38363649999999999</v>
      </c>
      <c r="V8489">
        <v>0.32316509999999998</v>
      </c>
      <c r="W8489">
        <v>0.16899</v>
      </c>
      <c r="X8489">
        <v>0.93113199999999996</v>
      </c>
      <c r="Y8489">
        <v>0.56195490000000003</v>
      </c>
      <c r="Z8489">
        <v>-5.7011970000000002E-2</v>
      </c>
      <c r="AA8489">
        <v>0.82520079999999996</v>
      </c>
      <c r="AB8489">
        <v>39</v>
      </c>
      <c r="AC8489">
        <v>16.772599999999901</v>
      </c>
      <c r="AD8489">
        <v>-1.091574006831</v>
      </c>
      <c r="AE8489">
        <v>1.92330000000001</v>
      </c>
      <c r="AF8489">
        <v>9.5673363768221602</v>
      </c>
      <c r="AG8489">
        <v>-1.091574006831</v>
      </c>
      <c r="AH8489">
        <v>13.8245094514764</v>
      </c>
      <c r="AI8489">
        <v>93.714851101284495</v>
      </c>
      <c r="AJ8489">
        <v>55.314591487471702</v>
      </c>
      <c r="AK8489">
        <v>16.847626560842698</v>
      </c>
      <c r="AL8489">
        <v>80.270899783935405</v>
      </c>
      <c r="AM8489">
        <v>70.859804561145907</v>
      </c>
      <c r="AN8489">
        <v>1.0000000516909999</v>
      </c>
    </row>
    <row r="8490" spans="1:40" x14ac:dyDescent="0.25">
      <c r="A8490" t="str">
        <f>"20190312172314695"</f>
        <v>20190312172314695</v>
      </c>
      <c r="B8490" t="str">
        <f>"1552382594688290"</f>
        <v>1552382594688290</v>
      </c>
      <c r="C8490" t="s">
        <v>40</v>
      </c>
      <c r="D8490">
        <v>3.4717920000000002</v>
      </c>
      <c r="E8490">
        <v>0.6139812</v>
      </c>
      <c r="F8490" t="s">
        <v>42</v>
      </c>
      <c r="G8490">
        <v>-160.131</v>
      </c>
      <c r="H8490" s="1">
        <v>-5.5130730000000001E-6</v>
      </c>
      <c r="I8490">
        <v>134.7261</v>
      </c>
      <c r="J8490">
        <v>-177.77940000000001</v>
      </c>
      <c r="K8490">
        <v>1.0915629999999901</v>
      </c>
      <c r="L8490">
        <v>133.03139999999999</v>
      </c>
      <c r="M8490">
        <v>0.75801070000000004</v>
      </c>
      <c r="N8490">
        <v>0</v>
      </c>
      <c r="O8490">
        <v>0.65200579999999997</v>
      </c>
      <c r="P8490">
        <v>0.91390899999999997</v>
      </c>
      <c r="Q8490">
        <v>0.16695099999999999</v>
      </c>
      <c r="R8490">
        <v>0.36999739999999998</v>
      </c>
      <c r="S8490">
        <v>3.1941220000000001</v>
      </c>
      <c r="T8490">
        <v>-0.1957806</v>
      </c>
      <c r="U8490">
        <v>0.32836910000000002</v>
      </c>
      <c r="V8490">
        <v>0.32316810000000001</v>
      </c>
      <c r="W8490">
        <v>0.16937070000000001</v>
      </c>
      <c r="X8490">
        <v>0.93106169999999999</v>
      </c>
      <c r="Y8490">
        <v>0.56909219999999905</v>
      </c>
      <c r="Z8490">
        <v>-5.4145119999999998E-2</v>
      </c>
      <c r="AA8490">
        <v>0.82048920000000003</v>
      </c>
      <c r="AB8490">
        <v>39</v>
      </c>
      <c r="AC8490">
        <v>17.648399999999999</v>
      </c>
      <c r="AD8490">
        <v>-1.09156851307299</v>
      </c>
      <c r="AE8490">
        <v>1.6947000000000101</v>
      </c>
      <c r="AF8490">
        <v>10.185226258656201</v>
      </c>
      <c r="AG8490">
        <v>-1.09156851307299</v>
      </c>
      <c r="AH8490">
        <v>14.430164052149699</v>
      </c>
      <c r="AI8490">
        <v>93.536439923246604</v>
      </c>
      <c r="AJ8490">
        <v>54.784452679942902</v>
      </c>
      <c r="AK8490">
        <v>17.696327029378299</v>
      </c>
      <c r="AL8490">
        <v>80.248767473912295</v>
      </c>
      <c r="AM8490">
        <v>70.858299766564699</v>
      </c>
      <c r="AN8490">
        <v>0.99999997204149405</v>
      </c>
    </row>
    <row r="8491" spans="1:40" x14ac:dyDescent="0.25">
      <c r="A8491" t="str">
        <f>"20190312172314707"</f>
        <v>20190312172314707</v>
      </c>
      <c r="B8491" t="str">
        <f>"1552382594699026"</f>
        <v>1552382594699026</v>
      </c>
      <c r="C8491" t="s">
        <v>40</v>
      </c>
      <c r="D8491">
        <v>3.4462709999999999</v>
      </c>
      <c r="E8491">
        <v>0.61428749999999999</v>
      </c>
      <c r="F8491" t="s">
        <v>42</v>
      </c>
      <c r="G8491">
        <v>-159.45820000000001</v>
      </c>
      <c r="H8491" s="1">
        <v>-1.478511E-6</v>
      </c>
      <c r="I8491">
        <v>134.69999999999999</v>
      </c>
      <c r="J8491">
        <v>-177.6155</v>
      </c>
      <c r="K8491">
        <v>1.091556</v>
      </c>
      <c r="L8491">
        <v>133.16810000000001</v>
      </c>
      <c r="M8491">
        <v>0.76406909999999995</v>
      </c>
      <c r="N8491">
        <v>0</v>
      </c>
      <c r="O8491">
        <v>0.64489529999999995</v>
      </c>
      <c r="P8491">
        <v>0.91738010000000003</v>
      </c>
      <c r="Q8491">
        <v>0.16688939999999999</v>
      </c>
      <c r="R8491">
        <v>0.36133310000000002</v>
      </c>
      <c r="S8491">
        <v>3.1994630000000002</v>
      </c>
      <c r="T8491">
        <v>-0.1906215</v>
      </c>
      <c r="U8491">
        <v>0.29138180000000002</v>
      </c>
      <c r="V8491">
        <v>0.32328950000000001</v>
      </c>
      <c r="W8491">
        <v>0.16930209999999901</v>
      </c>
      <c r="X8491">
        <v>0.93103210000000003</v>
      </c>
      <c r="Y8491">
        <v>0.57107019999999997</v>
      </c>
      <c r="Z8491">
        <v>-5.2443459999999997E-2</v>
      </c>
      <c r="AA8491">
        <v>0.81922439999999996</v>
      </c>
      <c r="AB8491">
        <v>39</v>
      </c>
      <c r="AC8491">
        <v>18.1572999999999</v>
      </c>
      <c r="AD8491">
        <v>-1.091557478511</v>
      </c>
      <c r="AE8491">
        <v>1.5318999999999701</v>
      </c>
      <c r="AF8491">
        <v>10.5030159633103</v>
      </c>
      <c r="AG8491">
        <v>-1.091557478511</v>
      </c>
      <c r="AH8491">
        <v>14.810492463432199</v>
      </c>
      <c r="AI8491">
        <v>93.440416774334807</v>
      </c>
      <c r="AJ8491">
        <v>54.657240672633201</v>
      </c>
      <c r="AK8491">
        <v>18.189434544917098</v>
      </c>
      <c r="AL8491">
        <v>80.252756194131806</v>
      </c>
      <c r="AM8491">
        <v>70.851068129172802</v>
      </c>
      <c r="AN8491">
        <v>1.0000000365525299</v>
      </c>
    </row>
    <row r="8492" spans="1:40" x14ac:dyDescent="0.25">
      <c r="A8492" t="str">
        <f>"20190312172314718"</f>
        <v>20190312172314718</v>
      </c>
      <c r="B8492" t="str">
        <f>"1552382594708785"</f>
        <v>1552382594708785</v>
      </c>
      <c r="C8492" t="s">
        <v>40</v>
      </c>
      <c r="D8492">
        <v>3.4908990000000002</v>
      </c>
      <c r="E8492">
        <v>0.61426969999999903</v>
      </c>
      <c r="F8492" t="s">
        <v>42</v>
      </c>
      <c r="G8492">
        <v>-158.95859999999999</v>
      </c>
      <c r="H8492" s="1">
        <v>-1.654678E-6</v>
      </c>
      <c r="I8492">
        <v>134.67679999999999</v>
      </c>
      <c r="J8492">
        <v>-177.45150000000001</v>
      </c>
      <c r="K8492">
        <v>1.0915440000000001</v>
      </c>
      <c r="L8492">
        <v>133.3031</v>
      </c>
      <c r="M8492">
        <v>0.7700418</v>
      </c>
      <c r="N8492">
        <v>0</v>
      </c>
      <c r="O8492">
        <v>0.63775150000000003</v>
      </c>
      <c r="P8492">
        <v>0.92068760000000005</v>
      </c>
      <c r="Q8492">
        <v>0.16723460000000001</v>
      </c>
      <c r="R8492">
        <v>0.35265730000000001</v>
      </c>
      <c r="S8492">
        <v>3.2022710000000001</v>
      </c>
      <c r="T8492">
        <v>-0.1873552</v>
      </c>
      <c r="U8492">
        <v>0.25895689999999999</v>
      </c>
      <c r="V8492">
        <v>0.32338800000000001</v>
      </c>
      <c r="W8492">
        <v>0.16964089999999901</v>
      </c>
      <c r="X8492">
        <v>0.93093619999999999</v>
      </c>
      <c r="Y8492">
        <v>0.57180779999999998</v>
      </c>
      <c r="Z8492">
        <v>-5.1261630000000002E-2</v>
      </c>
      <c r="AA8492">
        <v>0.81878450000000003</v>
      </c>
      <c r="AB8492">
        <v>39</v>
      </c>
      <c r="AC8492">
        <v>18.492899999999999</v>
      </c>
      <c r="AD8492">
        <v>-1.091545654678</v>
      </c>
      <c r="AE8492">
        <v>1.3736999999999799</v>
      </c>
      <c r="AF8492">
        <v>10.700649419250301</v>
      </c>
      <c r="AG8492">
        <v>-1.091545654678</v>
      </c>
      <c r="AH8492">
        <v>15.0665154599918</v>
      </c>
      <c r="AI8492">
        <v>93.380356219321101</v>
      </c>
      <c r="AJ8492">
        <v>54.616593504823001</v>
      </c>
      <c r="AK8492">
        <v>18.512030089002199</v>
      </c>
      <c r="AL8492">
        <v>80.233059319785497</v>
      </c>
      <c r="AM8492">
        <v>70.843829458193895</v>
      </c>
      <c r="AN8492">
        <v>1.00000002098362</v>
      </c>
    </row>
    <row r="8493" spans="1:40" x14ac:dyDescent="0.25">
      <c r="A8493" t="str">
        <f>"20190312172314730"</f>
        <v>20190312172314730</v>
      </c>
      <c r="B8493" t="str">
        <f>"1552382594718546"</f>
        <v>1552382594718546</v>
      </c>
      <c r="C8493" t="s">
        <v>40</v>
      </c>
      <c r="D8493">
        <v>3.5065230000000001</v>
      </c>
      <c r="E8493">
        <v>0.61430149999999994</v>
      </c>
      <c r="F8493" t="s">
        <v>42</v>
      </c>
      <c r="G8493">
        <v>-158.672</v>
      </c>
      <c r="H8493" s="1">
        <v>-1.759712E-6</v>
      </c>
      <c r="I8493">
        <v>134.64859999999999</v>
      </c>
      <c r="J8493">
        <v>-177.2997</v>
      </c>
      <c r="K8493">
        <v>1.091537</v>
      </c>
      <c r="L8493">
        <v>133.42429999999999</v>
      </c>
      <c r="M8493">
        <v>0.77546729999999997</v>
      </c>
      <c r="N8493">
        <v>0</v>
      </c>
      <c r="O8493">
        <v>0.6311428</v>
      </c>
      <c r="P8493">
        <v>0.92368430000000001</v>
      </c>
      <c r="Q8493">
        <v>0.1669862</v>
      </c>
      <c r="R8493">
        <v>0.344852299999999</v>
      </c>
      <c r="S8493">
        <v>3.2043300000000001</v>
      </c>
      <c r="T8493">
        <v>-0.18624979999999999</v>
      </c>
      <c r="U8493">
        <v>0.229599</v>
      </c>
      <c r="V8493">
        <v>0.3233278</v>
      </c>
      <c r="W8493">
        <v>0.16939509999999999</v>
      </c>
      <c r="X8493">
        <v>0.93100179999999999</v>
      </c>
      <c r="Y8493">
        <v>0.57233029999999996</v>
      </c>
      <c r="Z8493">
        <v>-5.0694599999999999E-2</v>
      </c>
      <c r="AA8493">
        <v>0.81845469999999998</v>
      </c>
      <c r="AB8493">
        <v>39</v>
      </c>
      <c r="AC8493">
        <v>18.627700000000001</v>
      </c>
      <c r="AD8493">
        <v>-1.0915387597120001</v>
      </c>
      <c r="AE8493">
        <v>1.22429999999999</v>
      </c>
      <c r="AF8493">
        <v>10.772176380557999</v>
      </c>
      <c r="AG8493">
        <v>-1.0915387597120001</v>
      </c>
      <c r="AH8493">
        <v>15.168374503038899</v>
      </c>
      <c r="AI8493">
        <v>93.357772408405296</v>
      </c>
      <c r="AJ8493">
        <v>54.618642637952703</v>
      </c>
      <c r="AK8493">
        <v>18.636277147065801</v>
      </c>
      <c r="AL8493">
        <v>80.247348830163304</v>
      </c>
      <c r="AM8493">
        <v>70.848386900438598</v>
      </c>
      <c r="AN8493">
        <v>0.999999958880044</v>
      </c>
    </row>
    <row r="8494" spans="1:40" x14ac:dyDescent="0.25">
      <c r="A8494" t="str">
        <f>"20190312172314742"</f>
        <v>20190312172314742</v>
      </c>
      <c r="B8494" t="str">
        <f>"1552382594738665"</f>
        <v>1552382594738665</v>
      </c>
      <c r="C8494" t="s">
        <v>40</v>
      </c>
      <c r="D8494">
        <v>3.4585140000000001</v>
      </c>
      <c r="E8494">
        <v>0.6141974</v>
      </c>
      <c r="F8494" t="s">
        <v>42</v>
      </c>
      <c r="G8494">
        <v>-158.57060000000001</v>
      </c>
      <c r="H8494" s="1">
        <v>-1.8049859999999999E-6</v>
      </c>
      <c r="I8494">
        <v>134.60810000000001</v>
      </c>
      <c r="J8494">
        <v>-177.14099999999999</v>
      </c>
      <c r="K8494">
        <v>1.0915269999999999</v>
      </c>
      <c r="L8494">
        <v>133.55009999999999</v>
      </c>
      <c r="M8494">
        <v>0.78106949999999997</v>
      </c>
      <c r="N8494">
        <v>0</v>
      </c>
      <c r="O8494">
        <v>0.62419639999999998</v>
      </c>
      <c r="P8494">
        <v>0.92676199999999997</v>
      </c>
      <c r="Q8494">
        <v>0.16684109999999999</v>
      </c>
      <c r="R8494">
        <v>0.33656599999999998</v>
      </c>
      <c r="S8494">
        <v>3.205994</v>
      </c>
      <c r="T8494">
        <v>-0.1868466</v>
      </c>
      <c r="U8494">
        <v>0.202652</v>
      </c>
      <c r="V8494">
        <v>0.32337110000000002</v>
      </c>
      <c r="W8494">
        <v>0.1692476</v>
      </c>
      <c r="X8494">
        <v>0.9310136</v>
      </c>
      <c r="Y8494">
        <v>0.57189569999999901</v>
      </c>
      <c r="Z8494">
        <v>-5.0545060000000003E-2</v>
      </c>
      <c r="AA8494">
        <v>0.81876769999999999</v>
      </c>
      <c r="AB8494">
        <v>39</v>
      </c>
      <c r="AC8494">
        <v>18.5703999999999</v>
      </c>
      <c r="AD8494">
        <v>-1.0915288049859999</v>
      </c>
      <c r="AE8494">
        <v>1.05800000000002</v>
      </c>
      <c r="AF8494">
        <v>10.729920251033899</v>
      </c>
      <c r="AG8494">
        <v>-1.0915288049859999</v>
      </c>
      <c r="AH8494">
        <v>15.1154660440224</v>
      </c>
      <c r="AI8494">
        <v>93.369959447250196</v>
      </c>
      <c r="AJ8494">
        <v>54.630441588717503</v>
      </c>
      <c r="AK8494">
        <v>18.5687893373169</v>
      </c>
      <c r="AL8494">
        <v>80.255923890783706</v>
      </c>
      <c r="AM8494">
        <v>70.846234048244199</v>
      </c>
      <c r="AN8494">
        <v>0.999999970902964</v>
      </c>
    </row>
    <row r="8495" spans="1:40" x14ac:dyDescent="0.25">
      <c r="A8495" t="str">
        <f>"20190312172314753"</f>
        <v>20190312172314753</v>
      </c>
      <c r="B8495" t="str">
        <f>"1552382594748405"</f>
        <v>1552382594748405</v>
      </c>
      <c r="C8495" t="s">
        <v>40</v>
      </c>
      <c r="D8495">
        <v>3.4655659999999999</v>
      </c>
      <c r="E8495">
        <v>0.61420509999999995</v>
      </c>
      <c r="F8495" t="s">
        <v>42</v>
      </c>
      <c r="G8495">
        <v>-158.10220000000001</v>
      </c>
      <c r="H8495" s="1">
        <v>-1.9697290000000001E-6</v>
      </c>
      <c r="I8495">
        <v>134.5882</v>
      </c>
      <c r="J8495">
        <v>-176.97540000000001</v>
      </c>
      <c r="K8495">
        <v>1.0915159999999999</v>
      </c>
      <c r="L8495">
        <v>133.67789999999999</v>
      </c>
      <c r="M8495">
        <v>0.78681080000000003</v>
      </c>
      <c r="N8495">
        <v>0</v>
      </c>
      <c r="O8495">
        <v>0.61694340000000003</v>
      </c>
      <c r="P8495">
        <v>0.9298033</v>
      </c>
      <c r="Q8495">
        <v>0.16672989999999999</v>
      </c>
      <c r="R8495">
        <v>0.3281268</v>
      </c>
      <c r="S8495">
        <v>3.2066650000000001</v>
      </c>
      <c r="T8495">
        <v>-0.18384320000000001</v>
      </c>
      <c r="U8495">
        <v>0.1748352</v>
      </c>
      <c r="V8495">
        <v>0.3232334</v>
      </c>
      <c r="W8495">
        <v>0.1691433</v>
      </c>
      <c r="X8495">
        <v>0.93108040000000003</v>
      </c>
      <c r="Y8495">
        <v>0.57147250000000005</v>
      </c>
      <c r="Z8495">
        <v>-4.942473E-2</v>
      </c>
      <c r="AA8495">
        <v>0.81913150000000001</v>
      </c>
      <c r="AB8495">
        <v>39</v>
      </c>
      <c r="AC8495">
        <v>18.873200000000001</v>
      </c>
      <c r="AD8495">
        <v>-1.0915179697289901</v>
      </c>
      <c r="AE8495">
        <v>0.91030000000000599</v>
      </c>
      <c r="AF8495">
        <v>10.892804568255499</v>
      </c>
      <c r="AG8495">
        <v>-1.0915179697289901</v>
      </c>
      <c r="AH8495">
        <v>15.3623625959395</v>
      </c>
      <c r="AI8495">
        <v>93.3171464017707</v>
      </c>
      <c r="AJ8495">
        <v>54.661151577700998</v>
      </c>
      <c r="AK8495">
        <v>18.863901700591299</v>
      </c>
      <c r="AL8495">
        <v>80.261987535916802</v>
      </c>
      <c r="AM8495">
        <v>70.855070005130997</v>
      </c>
      <c r="AN8495">
        <v>0.99999999903730497</v>
      </c>
    </row>
    <row r="8496" spans="1:40" x14ac:dyDescent="0.25">
      <c r="A8496" t="str">
        <f>"20190312172314764"</f>
        <v>20190312172314764</v>
      </c>
      <c r="B8496" t="str">
        <f>"1552382594759141"</f>
        <v>1552382594759141</v>
      </c>
      <c r="C8496" t="s">
        <v>40</v>
      </c>
      <c r="D8496">
        <v>3.5025550000000001</v>
      </c>
      <c r="E8496">
        <v>0.61384419999999995</v>
      </c>
      <c r="F8496" t="s">
        <v>42</v>
      </c>
      <c r="G8496">
        <v>-157.80950000000001</v>
      </c>
      <c r="H8496" s="1">
        <v>-2.0800739999999999E-6</v>
      </c>
      <c r="I8496">
        <v>134.5478</v>
      </c>
      <c r="J8496">
        <v>-176.82769999999999</v>
      </c>
      <c r="K8496">
        <v>1.091507</v>
      </c>
      <c r="L8496">
        <v>133.79040000000001</v>
      </c>
      <c r="M8496">
        <v>0.79186009999999996</v>
      </c>
      <c r="N8496">
        <v>0</v>
      </c>
      <c r="O8496">
        <v>0.61044869999999996</v>
      </c>
      <c r="P8496">
        <v>0.93246640000000003</v>
      </c>
      <c r="Q8496">
        <v>0.1665729</v>
      </c>
      <c r="R8496">
        <v>0.32056200000000001</v>
      </c>
      <c r="S8496">
        <v>3.2078549999999999</v>
      </c>
      <c r="T8496">
        <v>-0.18268970000000001</v>
      </c>
      <c r="U8496">
        <v>0.14559939999999999</v>
      </c>
      <c r="V8496">
        <v>0.32315129999999997</v>
      </c>
      <c r="W8496">
        <v>0.16899049999999999</v>
      </c>
      <c r="X8496">
        <v>0.93113659999999998</v>
      </c>
      <c r="Y8496">
        <v>0.57222059999999997</v>
      </c>
      <c r="Z8496">
        <v>-4.886306E-2</v>
      </c>
      <c r="AA8496">
        <v>0.8186428</v>
      </c>
      <c r="AB8496">
        <v>39</v>
      </c>
      <c r="AC8496">
        <v>19.018199999999901</v>
      </c>
      <c r="AD8496">
        <v>-1.0915090800739999</v>
      </c>
      <c r="AE8496">
        <v>0.75739999999998897</v>
      </c>
      <c r="AF8496">
        <v>10.9754919911183</v>
      </c>
      <c r="AG8496">
        <v>-1.0915090800739999</v>
      </c>
      <c r="AH8496">
        <v>15.473625320577799</v>
      </c>
      <c r="AI8496">
        <v>93.292940132599298</v>
      </c>
      <c r="AJ8496">
        <v>54.651800047814099</v>
      </c>
      <c r="AK8496">
        <v>19.002260315041799</v>
      </c>
      <c r="AL8496">
        <v>80.270869815504398</v>
      </c>
      <c r="AM8496">
        <v>70.860650110761398</v>
      </c>
      <c r="AN8496">
        <v>0.99999995982074896</v>
      </c>
    </row>
    <row r="8497" spans="1:40" x14ac:dyDescent="0.25">
      <c r="A8497" t="str">
        <f>"20190312172314775"</f>
        <v>20190312172314775</v>
      </c>
      <c r="B8497" t="str">
        <f>"1552382594768902"</f>
        <v>1552382594768902</v>
      </c>
      <c r="C8497" t="s">
        <v>40</v>
      </c>
      <c r="D8497">
        <v>3.429926</v>
      </c>
      <c r="E8497">
        <v>0.61340340000000004</v>
      </c>
      <c r="F8497" t="s">
        <v>42</v>
      </c>
      <c r="G8497">
        <v>-157.63140000000001</v>
      </c>
      <c r="H8497" s="1">
        <v>-2.147248E-6</v>
      </c>
      <c r="I8497">
        <v>134.5231</v>
      </c>
      <c r="J8497">
        <v>-176.67140000000001</v>
      </c>
      <c r="K8497">
        <v>1.0914980000000001</v>
      </c>
      <c r="L8497">
        <v>133.90719999999999</v>
      </c>
      <c r="M8497">
        <v>0.79712179999999999</v>
      </c>
      <c r="N8497">
        <v>0</v>
      </c>
      <c r="O8497">
        <v>0.60356149999999997</v>
      </c>
      <c r="P8497">
        <v>0.93520170000000002</v>
      </c>
      <c r="Q8497">
        <v>0.1663259</v>
      </c>
      <c r="R8497">
        <v>0.31262380000000001</v>
      </c>
      <c r="S8497">
        <v>3.2077789999999999</v>
      </c>
      <c r="T8497">
        <v>-0.18239520000000001</v>
      </c>
      <c r="U8497">
        <v>0.1224365</v>
      </c>
      <c r="V8497">
        <v>0.32301479999999999</v>
      </c>
      <c r="W8497">
        <v>0.16875129999999999</v>
      </c>
      <c r="X8497">
        <v>0.93122740000000004</v>
      </c>
      <c r="Y8497">
        <v>0.57103429999999999</v>
      </c>
      <c r="Z8497">
        <v>-4.8467490000000002E-2</v>
      </c>
      <c r="AA8497">
        <v>0.81949419999999995</v>
      </c>
      <c r="AB8497">
        <v>38</v>
      </c>
      <c r="AC8497">
        <v>19.0399999999999</v>
      </c>
      <c r="AD8497">
        <v>-1.0915001472479999</v>
      </c>
      <c r="AE8497">
        <v>0.61590000000001</v>
      </c>
      <c r="AF8497">
        <v>10.9665688062714</v>
      </c>
      <c r="AG8497">
        <v>-1.0915001472479999</v>
      </c>
      <c r="AH8497">
        <v>15.5004593046606</v>
      </c>
      <c r="AI8497">
        <v>93.290016777466604</v>
      </c>
      <c r="AJ8497">
        <v>54.7206084029077</v>
      </c>
      <c r="AK8497">
        <v>19.018970598052</v>
      </c>
      <c r="AL8497">
        <v>80.284775220458698</v>
      </c>
      <c r="AM8497">
        <v>70.869876712276096</v>
      </c>
      <c r="AN8497">
        <v>1.0000000163907401</v>
      </c>
    </row>
    <row r="8498" spans="1:40" x14ac:dyDescent="0.25">
      <c r="A8498" t="str">
        <f>"20190312172314788"</f>
        <v>20190312172314788</v>
      </c>
      <c r="B8498" t="str">
        <f>"1552382594778662"</f>
        <v>1552382594778662</v>
      </c>
      <c r="C8498" t="s">
        <v>40</v>
      </c>
      <c r="D8498">
        <v>3.4785550000000001</v>
      </c>
      <c r="E8498">
        <v>0.61313859999999998</v>
      </c>
      <c r="F8498" t="s">
        <v>42</v>
      </c>
      <c r="G8498">
        <v>-157.3869</v>
      </c>
      <c r="H8498" s="1">
        <v>-2.2369219999999999E-6</v>
      </c>
      <c r="I8498">
        <v>134.49879999999999</v>
      </c>
      <c r="J8498">
        <v>-176.4967</v>
      </c>
      <c r="K8498">
        <v>1.091488</v>
      </c>
      <c r="L8498">
        <v>134.035</v>
      </c>
      <c r="M8498">
        <v>0.80290450000000002</v>
      </c>
      <c r="N8498">
        <v>0</v>
      </c>
      <c r="O8498">
        <v>0.59584709999999996</v>
      </c>
      <c r="P8498">
        <v>0.93812850000000003</v>
      </c>
      <c r="Q8498">
        <v>0.16631989999999999</v>
      </c>
      <c r="R8498">
        <v>0.30373109999999998</v>
      </c>
      <c r="S8498">
        <v>3.2072600000000002</v>
      </c>
      <c r="T8498">
        <v>-0.18152989999999999</v>
      </c>
      <c r="U8498">
        <v>9.8403930000000001E-2</v>
      </c>
      <c r="V8498">
        <v>0.32288099999999997</v>
      </c>
      <c r="W8498">
        <v>0.16875219999999999</v>
      </c>
      <c r="X8498">
        <v>0.93127360000000003</v>
      </c>
      <c r="Y8498">
        <v>0.56928210000000001</v>
      </c>
      <c r="Z8498">
        <v>-4.7871619999999997E-2</v>
      </c>
      <c r="AA8498">
        <v>0.82074740000000002</v>
      </c>
      <c r="AB8498">
        <v>38</v>
      </c>
      <c r="AC8498">
        <v>19.1098</v>
      </c>
      <c r="AD8498">
        <v>-1.0914902369220001</v>
      </c>
      <c r="AE8498">
        <v>0.463799999999992</v>
      </c>
      <c r="AF8498">
        <v>10.980043283890099</v>
      </c>
      <c r="AG8498">
        <v>-1.0914902369220001</v>
      </c>
      <c r="AH8498">
        <v>15.5713556410722</v>
      </c>
      <c r="AI8498">
        <v>93.278670297517493</v>
      </c>
      <c r="AJ8498">
        <v>54.810664022427403</v>
      </c>
      <c r="AK8498">
        <v>19.084543954576102</v>
      </c>
      <c r="AL8498">
        <v>80.284722562798507</v>
      </c>
      <c r="AM8498">
        <v>70.878105024906105</v>
      </c>
      <c r="AN8498">
        <v>0.99999998161139902</v>
      </c>
    </row>
    <row r="8499" spans="1:40" x14ac:dyDescent="0.25">
      <c r="A8499" t="str">
        <f>"20190312172314803"</f>
        <v>20190312172314803</v>
      </c>
      <c r="B8499" t="str">
        <f>"1552382594799158"</f>
        <v>1552382594799158</v>
      </c>
      <c r="C8499" t="s">
        <v>40</v>
      </c>
      <c r="D8499">
        <v>3.4549789999999998</v>
      </c>
      <c r="E8499">
        <v>0.61208890000000005</v>
      </c>
      <c r="F8499" t="s">
        <v>42</v>
      </c>
      <c r="G8499">
        <v>-157.12710000000001</v>
      </c>
      <c r="H8499" s="1">
        <v>-2.3361520000000001E-6</v>
      </c>
      <c r="I8499">
        <v>134.4581</v>
      </c>
      <c r="J8499">
        <v>-176.28919999999999</v>
      </c>
      <c r="K8499">
        <v>1.091477</v>
      </c>
      <c r="L8499">
        <v>134.1841</v>
      </c>
      <c r="M8499">
        <v>0.80965149999999997</v>
      </c>
      <c r="N8499">
        <v>0</v>
      </c>
      <c r="O8499">
        <v>0.586646</v>
      </c>
      <c r="P8499">
        <v>0.94148030000000005</v>
      </c>
      <c r="Q8499">
        <v>0.1661289</v>
      </c>
      <c r="R8499">
        <v>0.29328459999999901</v>
      </c>
      <c r="S8499">
        <v>3.207214</v>
      </c>
      <c r="T8499">
        <v>-0.18072840000000001</v>
      </c>
      <c r="U8499">
        <v>7.0068359999999996E-2</v>
      </c>
      <c r="V8499">
        <v>0.32262170000000001</v>
      </c>
      <c r="W8499">
        <v>0.16857459999999999</v>
      </c>
      <c r="X8499">
        <v>0.93139559999999999</v>
      </c>
      <c r="Y8499">
        <v>0.56718400000000002</v>
      </c>
      <c r="Z8499">
        <v>-4.720953E-2</v>
      </c>
      <c r="AA8499">
        <v>0.82223690000000005</v>
      </c>
      <c r="AB8499">
        <v>38</v>
      </c>
      <c r="AC8499">
        <v>19.162099999999899</v>
      </c>
      <c r="AD8499">
        <v>-1.0914793361519901</v>
      </c>
      <c r="AE8499">
        <v>0.27400000000000002</v>
      </c>
      <c r="AF8499">
        <v>10.9856030351696</v>
      </c>
      <c r="AG8499">
        <v>-1.0914793361519901</v>
      </c>
      <c r="AH8499">
        <v>15.627110016736101</v>
      </c>
      <c r="AI8499">
        <v>93.270281749112698</v>
      </c>
      <c r="AJ8499">
        <v>54.8934081534508</v>
      </c>
      <c r="AK8499">
        <v>19.133252955593999</v>
      </c>
      <c r="AL8499">
        <v>80.295045984823602</v>
      </c>
      <c r="AM8499">
        <v>70.894668932600695</v>
      </c>
      <c r="AN8499">
        <v>0.999999960387704</v>
      </c>
    </row>
    <row r="8500" spans="1:40" x14ac:dyDescent="0.25">
      <c r="A8500" t="str">
        <f>"20190312172314816"</f>
        <v>20190312172314816</v>
      </c>
      <c r="B8500" t="str">
        <f>"1552382594808917"</f>
        <v>1552382594808917</v>
      </c>
      <c r="C8500" t="s">
        <v>40</v>
      </c>
      <c r="D8500">
        <v>3.4692780000000001</v>
      </c>
      <c r="E8500">
        <v>0.611523699999999</v>
      </c>
      <c r="F8500" t="s">
        <v>42</v>
      </c>
      <c r="G8500">
        <v>-156.8912</v>
      </c>
      <c r="H8500" s="1">
        <v>-2.4209870000000001E-6</v>
      </c>
      <c r="I8500">
        <v>134.441</v>
      </c>
      <c r="J8500">
        <v>-176.09229999999999</v>
      </c>
      <c r="K8500">
        <v>1.091469</v>
      </c>
      <c r="L8500">
        <v>134.32169999999999</v>
      </c>
      <c r="M8500">
        <v>0.81592100000000001</v>
      </c>
      <c r="N8500">
        <v>0</v>
      </c>
      <c r="O8500">
        <v>0.57789419999999903</v>
      </c>
      <c r="P8500">
        <v>0.94424839999999999</v>
      </c>
      <c r="Q8500">
        <v>0.16628499999999999</v>
      </c>
      <c r="R8500">
        <v>0.2841554</v>
      </c>
      <c r="S8500">
        <v>3.2050779999999999</v>
      </c>
      <c r="T8500">
        <v>-0.180342</v>
      </c>
      <c r="U8500">
        <v>4.244995E-2</v>
      </c>
      <c r="V8500">
        <v>0.32160440000000001</v>
      </c>
      <c r="W8500">
        <v>0.16878280000000001</v>
      </c>
      <c r="X8500">
        <v>0.93170969999999997</v>
      </c>
      <c r="Y8500">
        <v>0.56541399999999997</v>
      </c>
      <c r="Z8500">
        <v>-4.6711040000000002E-2</v>
      </c>
      <c r="AA8500">
        <v>0.82348349999999904</v>
      </c>
      <c r="AB8500">
        <v>38</v>
      </c>
      <c r="AC8500">
        <v>19.2011</v>
      </c>
      <c r="AD8500">
        <v>-1.091471420987</v>
      </c>
      <c r="AE8500">
        <v>0.119300000000009</v>
      </c>
      <c r="AF8500">
        <v>10.9651469327558</v>
      </c>
      <c r="AG8500">
        <v>-1.091471420987</v>
      </c>
      <c r="AH8500">
        <v>15.687284820308101</v>
      </c>
      <c r="AI8500">
        <v>93.263859025353</v>
      </c>
      <c r="AJ8500">
        <v>55.047101995551898</v>
      </c>
      <c r="AK8500">
        <v>19.170724090477801</v>
      </c>
      <c r="AL8500">
        <v>80.282943922323099</v>
      </c>
      <c r="AM8500">
        <v>70.956523203834607</v>
      </c>
      <c r="AN8500">
        <v>0.99999999437464404</v>
      </c>
    </row>
    <row r="8501" spans="1:40" x14ac:dyDescent="0.25">
      <c r="A8501" t="str">
        <f>"20190312172314831"</f>
        <v>20190312172314831</v>
      </c>
      <c r="B8501" t="str">
        <f>"1552382594818678"</f>
        <v>1552382594818678</v>
      </c>
      <c r="C8501" t="s">
        <v>40</v>
      </c>
      <c r="D8501">
        <v>3.4755349999999998</v>
      </c>
      <c r="E8501">
        <v>0.61081649999999998</v>
      </c>
      <c r="F8501" t="s">
        <v>42</v>
      </c>
      <c r="G8501">
        <v>-156.68879999999999</v>
      </c>
      <c r="H8501" s="1">
        <v>-2.4961990000000001E-6</v>
      </c>
      <c r="I8501">
        <v>134.41720000000001</v>
      </c>
      <c r="J8501">
        <v>-175.87889999999999</v>
      </c>
      <c r="K8501">
        <v>1.0914569999999999</v>
      </c>
      <c r="L8501">
        <v>134.46719999999999</v>
      </c>
      <c r="M8501">
        <v>0.82257569999999902</v>
      </c>
      <c r="N8501">
        <v>0</v>
      </c>
      <c r="O8501">
        <v>0.56838149999999998</v>
      </c>
      <c r="P8501">
        <v>0.94732660000000002</v>
      </c>
      <c r="Q8501">
        <v>0.16634989999999999</v>
      </c>
      <c r="R8501">
        <v>0.2736789</v>
      </c>
      <c r="S8501">
        <v>3.204132</v>
      </c>
      <c r="T8501">
        <v>-0.18023600000000001</v>
      </c>
      <c r="U8501">
        <v>1.5777590000000001E-2</v>
      </c>
      <c r="V8501">
        <v>0.32110670000000002</v>
      </c>
      <c r="W8501">
        <v>0.16887349999999901</v>
      </c>
      <c r="X8501">
        <v>0.9318649</v>
      </c>
      <c r="Y8501">
        <v>0.56271280000000001</v>
      </c>
      <c r="Z8501">
        <v>-4.6199499999999998E-2</v>
      </c>
      <c r="AA8501">
        <v>0.82536049999999905</v>
      </c>
      <c r="AB8501">
        <v>38</v>
      </c>
      <c r="AC8501">
        <v>19.190100000000001</v>
      </c>
      <c r="AD8501">
        <v>-1.0914594961989901</v>
      </c>
      <c r="AE8501">
        <v>-4.9999999999982898E-2</v>
      </c>
      <c r="AF8501">
        <v>10.914825133988201</v>
      </c>
      <c r="AG8501">
        <v>-1.0914594961989901</v>
      </c>
      <c r="AH8501">
        <v>15.7085318839338</v>
      </c>
      <c r="AI8501">
        <v>93.265754234810004</v>
      </c>
      <c r="AJ8501">
        <v>55.207105696025103</v>
      </c>
      <c r="AK8501">
        <v>19.159401490807301</v>
      </c>
      <c r="AL8501">
        <v>80.277671389040506</v>
      </c>
      <c r="AM8501">
        <v>70.986815156017897</v>
      </c>
      <c r="AN8501">
        <v>0.99999998181957495</v>
      </c>
    </row>
    <row r="8502" spans="1:40" x14ac:dyDescent="0.25">
      <c r="A8502" t="str">
        <f>"20190312172314843"</f>
        <v>20190312172314843</v>
      </c>
      <c r="B8502" t="str">
        <f>"1552382594839027"</f>
        <v>1552382594839027</v>
      </c>
      <c r="C8502" t="s">
        <v>40</v>
      </c>
      <c r="D8502">
        <v>3.4622310000000001</v>
      </c>
      <c r="E8502">
        <v>0.5970451</v>
      </c>
      <c r="F8502" t="s">
        <v>42</v>
      </c>
      <c r="G8502">
        <v>-156.44929999999999</v>
      </c>
      <c r="H8502" s="1">
        <v>-2.5873120000000001E-6</v>
      </c>
      <c r="I8502">
        <v>134.381</v>
      </c>
      <c r="J8502">
        <v>-175.6962</v>
      </c>
      <c r="K8502">
        <v>1.09145</v>
      </c>
      <c r="L8502">
        <v>134.58930000000001</v>
      </c>
      <c r="M8502">
        <v>0.82816460000000003</v>
      </c>
      <c r="N8502">
        <v>0</v>
      </c>
      <c r="O8502">
        <v>0.56020669999999995</v>
      </c>
      <c r="P8502">
        <v>0.94971179999999999</v>
      </c>
      <c r="Q8502">
        <v>0.1664677</v>
      </c>
      <c r="R8502">
        <v>0.2652099</v>
      </c>
      <c r="S8502">
        <v>3.202499</v>
      </c>
      <c r="T8502">
        <v>-0.17990059999999999</v>
      </c>
      <c r="U8502">
        <v>-1.4190670000000001E-2</v>
      </c>
      <c r="V8502">
        <v>0.32019330000000001</v>
      </c>
      <c r="W8502">
        <v>0.16903840000000001</v>
      </c>
      <c r="X8502">
        <v>0.93214920000000001</v>
      </c>
      <c r="Y8502">
        <v>0.56227090000000002</v>
      </c>
      <c r="Z8502">
        <v>-4.5761709999999997E-2</v>
      </c>
      <c r="AA8502">
        <v>0.82568589999999997</v>
      </c>
      <c r="AB8502">
        <v>38</v>
      </c>
      <c r="AC8502">
        <v>19.2469</v>
      </c>
      <c r="AD8502">
        <v>-1.091452587312</v>
      </c>
      <c r="AE8502">
        <v>-0.20830000000000801</v>
      </c>
      <c r="AF8502">
        <v>10.921340866288601</v>
      </c>
      <c r="AG8502">
        <v>-1.091452587312</v>
      </c>
      <c r="AH8502">
        <v>15.774655840639801</v>
      </c>
      <c r="AI8502">
        <v>93.255874532316497</v>
      </c>
      <c r="AJ8502">
        <v>55.303802269668303</v>
      </c>
      <c r="AK8502">
        <v>19.2173547076242</v>
      </c>
      <c r="AL8502">
        <v>80.268085000521594</v>
      </c>
      <c r="AM8502">
        <v>71.042400673373095</v>
      </c>
      <c r="AN8502">
        <v>0.99999993055004199</v>
      </c>
    </row>
    <row r="8503" spans="1:40" x14ac:dyDescent="0.25">
      <c r="A8503" t="str">
        <f>"20190312172314857"</f>
        <v>20190312172314857</v>
      </c>
      <c r="B8503" t="str">
        <f>"1552382594848776"</f>
        <v>1552382594848776</v>
      </c>
      <c r="C8503" t="s">
        <v>40</v>
      </c>
      <c r="D8503">
        <v>3.459095</v>
      </c>
      <c r="E8503">
        <v>0.59630240000000001</v>
      </c>
      <c r="F8503" t="s">
        <v>42</v>
      </c>
      <c r="G8503">
        <v>-156.4949</v>
      </c>
      <c r="H8503" s="1">
        <v>-2.4144589999999998E-6</v>
      </c>
      <c r="I8503">
        <v>134.97229999999999</v>
      </c>
      <c r="J8503">
        <v>-175.4973</v>
      </c>
      <c r="K8503">
        <v>1.0914429999999999</v>
      </c>
      <c r="L8503">
        <v>134.7192</v>
      </c>
      <c r="M8503">
        <v>0.83413219999999999</v>
      </c>
      <c r="N8503">
        <v>0</v>
      </c>
      <c r="O8503">
        <v>0.55128129999999997</v>
      </c>
      <c r="P8503">
        <v>0.95220830000000001</v>
      </c>
      <c r="Q8503">
        <v>0.16662779999999999</v>
      </c>
      <c r="R8503">
        <v>0.25599719999999998</v>
      </c>
      <c r="S8503">
        <v>3.172806</v>
      </c>
      <c r="T8503">
        <v>-0.1803506</v>
      </c>
      <c r="U8503">
        <v>6.3293459999999996E-2</v>
      </c>
      <c r="V8503">
        <v>0.31920749999999998</v>
      </c>
      <c r="W8503">
        <v>0.16924900000000001</v>
      </c>
      <c r="X8503">
        <v>0.93244910000000003</v>
      </c>
      <c r="Y8503">
        <v>0.53295409999999999</v>
      </c>
      <c r="Z8503">
        <v>-4.4988100000000003E-2</v>
      </c>
      <c r="AA8503">
        <v>0.84494729999999996</v>
      </c>
      <c r="AB8503">
        <v>38</v>
      </c>
      <c r="AC8503">
        <v>19.002399999999898</v>
      </c>
      <c r="AD8503">
        <v>-1.091445414459</v>
      </c>
      <c r="AE8503">
        <v>0.253099999999989</v>
      </c>
      <c r="AF8503">
        <v>10.232401540479801</v>
      </c>
      <c r="AG8503">
        <v>-1.091445414459</v>
      </c>
      <c r="AH8503">
        <v>15.9399640570744</v>
      </c>
      <c r="AI8503">
        <v>93.297826888251393</v>
      </c>
      <c r="AJ8503">
        <v>57.302223483745799</v>
      </c>
      <c r="AK8503">
        <v>18.973026867613399</v>
      </c>
      <c r="AL8503">
        <v>80.2558426714874</v>
      </c>
      <c r="AM8503">
        <v>71.102265087162806</v>
      </c>
      <c r="AN8503">
        <v>0.99999998807402901</v>
      </c>
    </row>
    <row r="8504" spans="1:40" x14ac:dyDescent="0.25">
      <c r="A8504" t="str">
        <f>"20190312172314869"</f>
        <v>20190312172314869</v>
      </c>
      <c r="B8504" t="str">
        <f>"1552382594858536"</f>
        <v>1552382594858536</v>
      </c>
      <c r="C8504" t="s">
        <v>40</v>
      </c>
      <c r="D8504">
        <v>3.4601099999999998</v>
      </c>
      <c r="E8504">
        <v>0.59560789999999997</v>
      </c>
      <c r="F8504" t="s">
        <v>42</v>
      </c>
      <c r="G8504">
        <v>-156.4248</v>
      </c>
      <c r="H8504" s="1">
        <v>-2.444254E-6</v>
      </c>
      <c r="I8504">
        <v>134.95009999999999</v>
      </c>
      <c r="J8504">
        <v>-175.32769999999999</v>
      </c>
      <c r="K8504">
        <v>1.0914410000000001</v>
      </c>
      <c r="L8504">
        <v>134.82689999999999</v>
      </c>
      <c r="M8504">
        <v>0.83912099999999901</v>
      </c>
      <c r="N8504">
        <v>0</v>
      </c>
      <c r="O8504">
        <v>0.54365739999999996</v>
      </c>
      <c r="P8504">
        <v>0.95424900000000001</v>
      </c>
      <c r="Q8504">
        <v>0.16668839999999999</v>
      </c>
      <c r="R8504">
        <v>0.24824199999999999</v>
      </c>
      <c r="S8504">
        <v>3.1719970000000002</v>
      </c>
      <c r="T8504">
        <v>-0.18152070000000001</v>
      </c>
      <c r="U8504">
        <v>3.8406370000000002E-2</v>
      </c>
      <c r="V8504">
        <v>0.31829499999999999</v>
      </c>
      <c r="W8504">
        <v>0.16935710000000001</v>
      </c>
      <c r="X8504">
        <v>0.9327413</v>
      </c>
      <c r="Y8504">
        <v>0.53186290000000003</v>
      </c>
      <c r="Z8504">
        <v>-4.4909909999999997E-2</v>
      </c>
      <c r="AA8504">
        <v>0.84563889999999997</v>
      </c>
      <c r="AB8504">
        <v>38</v>
      </c>
      <c r="AC8504">
        <v>18.902899999999899</v>
      </c>
      <c r="AD8504">
        <v>-1.091443444254</v>
      </c>
      <c r="AE8504">
        <v>0.12319999999999701</v>
      </c>
      <c r="AF8504">
        <v>10.141104664176</v>
      </c>
      <c r="AG8504">
        <v>-1.091443444254</v>
      </c>
      <c r="AH8504">
        <v>15.8783552780375</v>
      </c>
      <c r="AI8504">
        <v>93.315480583398895</v>
      </c>
      <c r="AJ8504">
        <v>57.4346563671631</v>
      </c>
      <c r="AK8504">
        <v>18.872080408300501</v>
      </c>
      <c r="AL8504">
        <v>80.249557739399094</v>
      </c>
      <c r="AM8504">
        <v>71.157956195964303</v>
      </c>
      <c r="AN8504">
        <v>0.99999993353554695</v>
      </c>
    </row>
    <row r="8505" spans="1:40" x14ac:dyDescent="0.25">
      <c r="A8505" t="str">
        <f>"20190312172314882"</f>
        <v>20190312172314882</v>
      </c>
      <c r="B8505" t="str">
        <f>"1552382594879032"</f>
        <v>1552382594879032</v>
      </c>
      <c r="C8505" t="s">
        <v>40</v>
      </c>
      <c r="D8505">
        <v>3.406066</v>
      </c>
      <c r="E8505">
        <v>0.59384059999999905</v>
      </c>
      <c r="F8505" t="s">
        <v>42</v>
      </c>
      <c r="G8505">
        <v>-156.24010000000001</v>
      </c>
      <c r="H8505" s="1">
        <v>-2.5109010000000002E-6</v>
      </c>
      <c r="I8505">
        <v>134.9357</v>
      </c>
      <c r="J8505">
        <v>-175.12620000000001</v>
      </c>
      <c r="K8505">
        <v>1.091437</v>
      </c>
      <c r="L8505">
        <v>134.95310000000001</v>
      </c>
      <c r="M8505">
        <v>0.84494460000000005</v>
      </c>
      <c r="N8505">
        <v>0</v>
      </c>
      <c r="O8505">
        <v>0.53456130000000002</v>
      </c>
      <c r="P8505">
        <v>0.95628590000000002</v>
      </c>
      <c r="Q8505">
        <v>0.1673791</v>
      </c>
      <c r="R8505">
        <v>0.23979549999999999</v>
      </c>
      <c r="S8505">
        <v>3.1708069999999999</v>
      </c>
      <c r="T8505">
        <v>-0.181309</v>
      </c>
      <c r="U8505">
        <v>1.8081670000000001E-2</v>
      </c>
      <c r="V8505">
        <v>0.31643139999999997</v>
      </c>
      <c r="W8505">
        <v>0.170142299999999</v>
      </c>
      <c r="X8505">
        <v>0.93323239999999996</v>
      </c>
      <c r="Y8505">
        <v>0.52815590000000001</v>
      </c>
      <c r="Z8505">
        <v>-4.4338990000000002E-2</v>
      </c>
      <c r="AA8505">
        <v>0.84798899999999999</v>
      </c>
      <c r="AB8505">
        <v>38</v>
      </c>
      <c r="AC8505">
        <v>18.886099999999999</v>
      </c>
      <c r="AD8505">
        <v>-1.091439510901</v>
      </c>
      <c r="AE8505">
        <v>-1.7400000000009099E-2</v>
      </c>
      <c r="AF8505">
        <v>10.078402673877999</v>
      </c>
      <c r="AG8505">
        <v>-1.091439510901</v>
      </c>
      <c r="AH8505">
        <v>15.8978073179854</v>
      </c>
      <c r="AI8505">
        <v>93.318500202878795</v>
      </c>
      <c r="AJ8505">
        <v>57.627377674309798</v>
      </c>
      <c r="AK8505">
        <v>18.854859272415101</v>
      </c>
      <c r="AL8505">
        <v>80.203906951231502</v>
      </c>
      <c r="AM8505">
        <v>71.269727934771893</v>
      </c>
      <c r="AN8505">
        <v>0.99999997278250397</v>
      </c>
    </row>
    <row r="8506" spans="1:40" x14ac:dyDescent="0.25">
      <c r="A8506" t="str">
        <f>"20190312172314906"</f>
        <v>20190312172314906</v>
      </c>
      <c r="B8506" t="str">
        <f>"1552382594898552"</f>
        <v>1552382594898552</v>
      </c>
      <c r="C8506" t="s">
        <v>40</v>
      </c>
      <c r="D8506">
        <v>3.4604539999999999</v>
      </c>
      <c r="E8506">
        <v>0.58610580000000001</v>
      </c>
      <c r="F8506" t="s">
        <v>42</v>
      </c>
      <c r="G8506">
        <v>-156.27010000000001</v>
      </c>
      <c r="H8506" s="1">
        <v>-2.4892709999999999E-6</v>
      </c>
      <c r="I8506">
        <v>134.9787</v>
      </c>
      <c r="J8506">
        <v>-174.7869</v>
      </c>
      <c r="K8506">
        <v>1.0914330000000001</v>
      </c>
      <c r="L8506">
        <v>135.15770000000001</v>
      </c>
      <c r="M8506">
        <v>0.85446979999999995</v>
      </c>
      <c r="N8506">
        <v>0</v>
      </c>
      <c r="O8506">
        <v>0.51919899999999997</v>
      </c>
      <c r="P8506">
        <v>0.96005169999999995</v>
      </c>
      <c r="Q8506">
        <v>0.16779050000000001</v>
      </c>
      <c r="R8506">
        <v>0.2239363</v>
      </c>
      <c r="S8506">
        <v>3.1681520000000001</v>
      </c>
      <c r="T8506">
        <v>-0.18338109999999999</v>
      </c>
      <c r="U8506">
        <v>4.3029790000000002E-3</v>
      </c>
      <c r="V8506">
        <v>0.31498910000000002</v>
      </c>
      <c r="W8506">
        <v>0.17062959999999999</v>
      </c>
      <c r="X8506">
        <v>0.93363130000000005</v>
      </c>
      <c r="Y8506">
        <v>0.51645410000000003</v>
      </c>
      <c r="Z8506">
        <v>-4.37858E-2</v>
      </c>
      <c r="AA8506">
        <v>0.85519469999999997</v>
      </c>
      <c r="AB8506">
        <v>38</v>
      </c>
      <c r="AC8506">
        <v>18.5167999999999</v>
      </c>
      <c r="AD8506">
        <v>-1.0914354892710001</v>
      </c>
      <c r="AE8506">
        <v>-0.17900000000000199</v>
      </c>
      <c r="AF8506">
        <v>9.7345693018841803</v>
      </c>
      <c r="AG8506">
        <v>-1.0914354892710001</v>
      </c>
      <c r="AH8506">
        <v>15.677116395405999</v>
      </c>
      <c r="AI8506">
        <v>93.384815021860106</v>
      </c>
      <c r="AJ8506">
        <v>58.1621455706387</v>
      </c>
      <c r="AK8506">
        <v>18.485806701238001</v>
      </c>
      <c r="AL8506">
        <v>80.175572651370402</v>
      </c>
      <c r="AM8506">
        <v>71.356602371085202</v>
      </c>
      <c r="AN8506">
        <v>0.99999999892732905</v>
      </c>
    </row>
    <row r="8507" spans="1:40" x14ac:dyDescent="0.25">
      <c r="A8507" t="str">
        <f>"20190312172314922"</f>
        <v>20190312172314922</v>
      </c>
      <c r="B8507" t="str">
        <f>"1552382594919048"</f>
        <v>1552382594919048</v>
      </c>
      <c r="C8507" t="s">
        <v>40</v>
      </c>
      <c r="D8507">
        <v>3.453916</v>
      </c>
      <c r="E8507">
        <v>0.58454869999999903</v>
      </c>
      <c r="F8507" t="s">
        <v>42</v>
      </c>
      <c r="G8507">
        <v>-157.67529999999999</v>
      </c>
      <c r="H8507" s="1">
        <v>-1.9444730000000001E-6</v>
      </c>
      <c r="I8507">
        <v>135.22899999999899</v>
      </c>
      <c r="J8507">
        <v>-174.52979999999999</v>
      </c>
      <c r="K8507">
        <v>1.0914269999999999</v>
      </c>
      <c r="L8507">
        <v>135.30760000000001</v>
      </c>
      <c r="M8507">
        <v>0.86146800000000001</v>
      </c>
      <c r="N8507">
        <v>0</v>
      </c>
      <c r="O8507">
        <v>0.50750269999999997</v>
      </c>
      <c r="P8507">
        <v>0.96284999999999998</v>
      </c>
      <c r="Q8507">
        <v>0.16784350000000001</v>
      </c>
      <c r="R8507">
        <v>0.2115388</v>
      </c>
      <c r="S8507">
        <v>3.1569669999999999</v>
      </c>
      <c r="T8507">
        <v>-0.2013616</v>
      </c>
      <c r="U8507">
        <v>1.3168330000000001E-2</v>
      </c>
      <c r="V8507">
        <v>0.31430029999999998</v>
      </c>
      <c r="W8507">
        <v>0.1707217</v>
      </c>
      <c r="X8507">
        <v>0.93384659999999997</v>
      </c>
      <c r="Y8507">
        <v>0.50201049999999903</v>
      </c>
      <c r="Z8507">
        <v>-4.7124020000000003E-2</v>
      </c>
      <c r="AA8507">
        <v>0.86357680000000003</v>
      </c>
      <c r="AB8507">
        <v>38</v>
      </c>
      <c r="AC8507">
        <v>16.854500000000002</v>
      </c>
      <c r="AD8507">
        <v>-1.0914289444730001</v>
      </c>
      <c r="AE8507">
        <v>-7.8600000000022804E-2</v>
      </c>
      <c r="AF8507">
        <v>8.5867627092024499</v>
      </c>
      <c r="AG8507">
        <v>-1.0914289444730001</v>
      </c>
      <c r="AH8507">
        <v>14.421522871668399</v>
      </c>
      <c r="AI8507">
        <v>93.720521175308207</v>
      </c>
      <c r="AJ8507">
        <v>59.229879960324098</v>
      </c>
      <c r="AK8507">
        <v>16.819751273518801</v>
      </c>
      <c r="AL8507">
        <v>80.170217387586007</v>
      </c>
      <c r="AM8507">
        <v>71.398556203140899</v>
      </c>
      <c r="AN8507">
        <v>1.0000000248812599</v>
      </c>
    </row>
    <row r="8508" spans="1:40" x14ac:dyDescent="0.25">
      <c r="A8508" t="str">
        <f>"20190312172314935"</f>
        <v>20190312172314935</v>
      </c>
      <c r="B8508" t="str">
        <f>"1552382594928808"</f>
        <v>1552382594928808</v>
      </c>
      <c r="C8508" t="s">
        <v>40</v>
      </c>
      <c r="D8508">
        <v>3.461319</v>
      </c>
      <c r="E8508">
        <v>0.58396210000000004</v>
      </c>
      <c r="F8508" t="s">
        <v>42</v>
      </c>
      <c r="G8508">
        <v>-157.38299999999899</v>
      </c>
      <c r="H8508" s="1">
        <v>-2.0454330000000002E-6</v>
      </c>
      <c r="I8508">
        <v>135.2234</v>
      </c>
      <c r="J8508">
        <v>-174.34289999999999</v>
      </c>
      <c r="K8508">
        <v>1.091418</v>
      </c>
      <c r="L8508">
        <v>135.41319999999999</v>
      </c>
      <c r="M8508">
        <v>0.86643060000000005</v>
      </c>
      <c r="N8508">
        <v>0</v>
      </c>
      <c r="O8508">
        <v>0.4989828</v>
      </c>
      <c r="P8508">
        <v>0.96469539999999998</v>
      </c>
      <c r="Q8508">
        <v>0.16785829999999999</v>
      </c>
      <c r="R8508">
        <v>0.2029454</v>
      </c>
      <c r="S8508">
        <v>3.1541600000000001</v>
      </c>
      <c r="T8508">
        <v>-0.2007688</v>
      </c>
      <c r="U8508">
        <v>-1.5472410000000001E-2</v>
      </c>
      <c r="V8508">
        <v>0.31341770000000002</v>
      </c>
      <c r="W8508">
        <v>0.1707842</v>
      </c>
      <c r="X8508">
        <v>0.93413170000000001</v>
      </c>
      <c r="Y8508">
        <v>0.50135240000000003</v>
      </c>
      <c r="Z8508">
        <v>-4.6548150000000003E-2</v>
      </c>
      <c r="AA8508">
        <v>0.86399009999999998</v>
      </c>
      <c r="AB8508">
        <v>38</v>
      </c>
      <c r="AC8508">
        <v>16.959900000000001</v>
      </c>
      <c r="AD8508">
        <v>-1.0914200454330001</v>
      </c>
      <c r="AE8508">
        <v>-0.189799999999991</v>
      </c>
      <c r="AF8508">
        <v>8.5929210229802493</v>
      </c>
      <c r="AG8508">
        <v>-1.0914200454330001</v>
      </c>
      <c r="AH8508">
        <v>14.5419483262312</v>
      </c>
      <c r="AI8508">
        <v>93.697050313168305</v>
      </c>
      <c r="AJ8508">
        <v>59.420914595954898</v>
      </c>
      <c r="AK8508">
        <v>16.926244431223498</v>
      </c>
      <c r="AL8508">
        <v>80.1665824350073</v>
      </c>
      <c r="AM8508">
        <v>71.452486669521903</v>
      </c>
      <c r="AN8508">
        <v>0.999999965293909</v>
      </c>
    </row>
    <row r="8509" spans="1:40" x14ac:dyDescent="0.25">
      <c r="A8509" t="str">
        <f>"20190312172314947"</f>
        <v>20190312172314947</v>
      </c>
      <c r="B8509" t="str">
        <f>"1552382594938567"</f>
        <v>1552382594938567</v>
      </c>
      <c r="C8509" t="s">
        <v>40</v>
      </c>
      <c r="D8509">
        <v>3.4225210000000001</v>
      </c>
      <c r="E8509">
        <v>0.58333400000000002</v>
      </c>
      <c r="F8509" t="s">
        <v>42</v>
      </c>
      <c r="G8509">
        <v>-157.1601</v>
      </c>
      <c r="H8509" s="1">
        <v>-2.1275290000000001E-6</v>
      </c>
      <c r="I8509">
        <v>135.19990000000001</v>
      </c>
      <c r="J8509">
        <v>-174.1575</v>
      </c>
      <c r="K8509">
        <v>1.091413</v>
      </c>
      <c r="L8509">
        <v>135.51560000000001</v>
      </c>
      <c r="M8509">
        <v>0.87125649999999999</v>
      </c>
      <c r="N8509">
        <v>0</v>
      </c>
      <c r="O8509">
        <v>0.49050739999999998</v>
      </c>
      <c r="P8509">
        <v>0.96645270000000005</v>
      </c>
      <c r="Q8509">
        <v>0.16799790000000001</v>
      </c>
      <c r="R8509">
        <v>0.1942836</v>
      </c>
      <c r="S8509">
        <v>3.152863</v>
      </c>
      <c r="T8509">
        <v>-0.20026340000000001</v>
      </c>
      <c r="U8509">
        <v>-3.9123539999999998E-2</v>
      </c>
      <c r="V8509">
        <v>0.31268040000000002</v>
      </c>
      <c r="W8509">
        <v>0.17096410000000001</v>
      </c>
      <c r="X8509">
        <v>0.93434589999999995</v>
      </c>
      <c r="Y8509">
        <v>0.49942920000000002</v>
      </c>
      <c r="Z8509">
        <v>-4.5926149999999999E-2</v>
      </c>
      <c r="AA8509">
        <v>0.86513660000000003</v>
      </c>
      <c r="AB8509">
        <v>38</v>
      </c>
      <c r="AC8509">
        <v>16.997399999999999</v>
      </c>
      <c r="AD8509">
        <v>-1.0914151275290001</v>
      </c>
      <c r="AE8509">
        <v>-0.31569999999999199</v>
      </c>
      <c r="AF8509">
        <v>8.5784045204100892</v>
      </c>
      <c r="AG8509">
        <v>-1.0914151275290001</v>
      </c>
      <c r="AH8509">
        <v>14.5963873411247</v>
      </c>
      <c r="AI8509">
        <v>93.688425421943904</v>
      </c>
      <c r="AJ8509">
        <v>59.5569319934663</v>
      </c>
      <c r="AK8509">
        <v>16.965692868507801</v>
      </c>
      <c r="AL8509">
        <v>80.156121496065296</v>
      </c>
      <c r="AM8509">
        <v>71.497097341729003</v>
      </c>
      <c r="AN8509">
        <v>1.0000000084398899</v>
      </c>
    </row>
    <row r="8510" spans="1:40" x14ac:dyDescent="0.25">
      <c r="A8510" t="str">
        <f>"20190312172314960"</f>
        <v>20190312172314960</v>
      </c>
      <c r="B8510" t="str">
        <f>"1552382594949055"</f>
        <v>1552382594949055</v>
      </c>
      <c r="C8510" t="s">
        <v>40</v>
      </c>
      <c r="D8510">
        <v>3.4720089999999901</v>
      </c>
      <c r="E8510">
        <v>0.58270619999999995</v>
      </c>
      <c r="F8510" t="s">
        <v>42</v>
      </c>
      <c r="G8510">
        <v>-157.00299999999999</v>
      </c>
      <c r="H8510" s="1">
        <v>-2.187515E-6</v>
      </c>
      <c r="I8510">
        <v>135.1754</v>
      </c>
      <c r="J8510">
        <v>-173.9615</v>
      </c>
      <c r="K8510">
        <v>1.091413</v>
      </c>
      <c r="L8510">
        <v>135.62209999999999</v>
      </c>
      <c r="M8510">
        <v>0.87625799999999998</v>
      </c>
      <c r="N8510">
        <v>0</v>
      </c>
      <c r="O8510">
        <v>0.48151539999999998</v>
      </c>
      <c r="P8510">
        <v>0.96811179999999997</v>
      </c>
      <c r="Q8510">
        <v>0.1680546</v>
      </c>
      <c r="R8510">
        <v>0.1857887</v>
      </c>
      <c r="S8510">
        <v>3.1515499999999999</v>
      </c>
      <c r="T8510">
        <v>-0.2005094</v>
      </c>
      <c r="U8510">
        <v>-6.2484739999999997E-2</v>
      </c>
      <c r="V8510">
        <v>0.31126730000000002</v>
      </c>
      <c r="W8510">
        <v>0.17109559999999999</v>
      </c>
      <c r="X8510">
        <v>0.93479350000000005</v>
      </c>
      <c r="Y8510">
        <v>0.49695109999999998</v>
      </c>
      <c r="Z8510">
        <v>-4.5424619999999999E-2</v>
      </c>
      <c r="AA8510">
        <v>0.8665889</v>
      </c>
      <c r="AB8510">
        <v>38</v>
      </c>
      <c r="AC8510">
        <v>16.958500000000001</v>
      </c>
      <c r="AD8510">
        <v>-1.091415187515</v>
      </c>
      <c r="AE8510">
        <v>-0.44669999999999199</v>
      </c>
      <c r="AF8510">
        <v>8.5232722285556992</v>
      </c>
      <c r="AG8510">
        <v>-1.091415187515</v>
      </c>
      <c r="AH8510">
        <v>14.5868581087254</v>
      </c>
      <c r="AI8510">
        <v>93.696284347100303</v>
      </c>
      <c r="AJ8510">
        <v>59.701755188912401</v>
      </c>
      <c r="AK8510">
        <v>16.929671765208401</v>
      </c>
      <c r="AL8510">
        <v>80.1484739661406</v>
      </c>
      <c r="AM8510">
        <v>71.583286387439898</v>
      </c>
      <c r="AN8510">
        <v>0.99999996201544905</v>
      </c>
    </row>
    <row r="8511" spans="1:40" x14ac:dyDescent="0.25">
      <c r="A8511" t="str">
        <f>"20190312172314976"</f>
        <v>20190312172314976</v>
      </c>
      <c r="B8511" t="str">
        <f>"1552382594968575"</f>
        <v>1552382594968575</v>
      </c>
      <c r="C8511" t="s">
        <v>40</v>
      </c>
      <c r="D8511">
        <v>3.4098809999999999</v>
      </c>
      <c r="E8511">
        <v>0.57688430000000002</v>
      </c>
      <c r="F8511" t="s">
        <v>42</v>
      </c>
      <c r="G8511">
        <v>-156.8287</v>
      </c>
      <c r="H8511" s="1">
        <v>-2.2512309999999999E-6</v>
      </c>
      <c r="I8511">
        <v>135.15889999999999</v>
      </c>
      <c r="J8511">
        <v>-173.71510000000001</v>
      </c>
      <c r="K8511">
        <v>1.09141</v>
      </c>
      <c r="L8511">
        <v>135.75110000000001</v>
      </c>
      <c r="M8511">
        <v>0.88238249999999996</v>
      </c>
      <c r="N8511">
        <v>0</v>
      </c>
      <c r="O8511">
        <v>0.47019759999999999</v>
      </c>
      <c r="P8511">
        <v>0.97029189999999998</v>
      </c>
      <c r="Q8511">
        <v>0.1680345</v>
      </c>
      <c r="R8511">
        <v>0.17406340000000001</v>
      </c>
      <c r="S8511">
        <v>3.1500240000000002</v>
      </c>
      <c r="T8511">
        <v>-0.20066700000000001</v>
      </c>
      <c r="U8511">
        <v>-8.5159299999999993E-2</v>
      </c>
      <c r="V8511">
        <v>0.3105463</v>
      </c>
      <c r="W8511">
        <v>0.171117299999999</v>
      </c>
      <c r="X8511">
        <v>0.93502929999999995</v>
      </c>
      <c r="Y8511">
        <v>0.49205399999999999</v>
      </c>
      <c r="Z8511">
        <v>-4.4689039999999999E-2</v>
      </c>
      <c r="AA8511">
        <v>0.869417</v>
      </c>
      <c r="AB8511">
        <v>38</v>
      </c>
      <c r="AC8511">
        <v>16.886399999999998</v>
      </c>
      <c r="AD8511">
        <v>-1.0914122512310001</v>
      </c>
      <c r="AE8511">
        <v>-0.59220000000001904</v>
      </c>
      <c r="AF8511">
        <v>8.42865984286132</v>
      </c>
      <c r="AG8511">
        <v>-1.0914122512310001</v>
      </c>
      <c r="AH8511">
        <v>14.5633569216276</v>
      </c>
      <c r="AI8511">
        <v>93.7111435991024</v>
      </c>
      <c r="AJ8511">
        <v>59.939542573224998</v>
      </c>
      <c r="AK8511">
        <v>16.8619350098237</v>
      </c>
      <c r="AL8511">
        <v>80.147212050531706</v>
      </c>
      <c r="AM8511">
        <v>71.627399810362604</v>
      </c>
      <c r="AN8511">
        <v>0.99999996333073404</v>
      </c>
    </row>
    <row r="8512" spans="1:40" x14ac:dyDescent="0.25">
      <c r="A8512" t="str">
        <f>"20190312172314992"</f>
        <v>20190312172314992</v>
      </c>
      <c r="B8512" t="str">
        <f>"1552382594989071"</f>
        <v>1552382594989071</v>
      </c>
      <c r="C8512" t="s">
        <v>40</v>
      </c>
      <c r="D8512">
        <v>3.4690370000000001</v>
      </c>
      <c r="E8512">
        <v>0.57450859999999904</v>
      </c>
      <c r="F8512" t="s">
        <v>42</v>
      </c>
      <c r="G8512">
        <v>-157.16999999999999</v>
      </c>
      <c r="H8512" s="1">
        <v>-2.0859109999999999E-6</v>
      </c>
      <c r="I8512">
        <v>135.34379999999999</v>
      </c>
      <c r="J8512">
        <v>-173.48699999999999</v>
      </c>
      <c r="K8512">
        <v>1.0914090000000001</v>
      </c>
      <c r="L8512">
        <v>135.86689999999999</v>
      </c>
      <c r="M8512">
        <v>0.887903</v>
      </c>
      <c r="N8512">
        <v>0</v>
      </c>
      <c r="O8512">
        <v>0.45968759999999997</v>
      </c>
      <c r="P8512">
        <v>0.97217659999999995</v>
      </c>
      <c r="Q8512">
        <v>0.1681646</v>
      </c>
      <c r="R8512">
        <v>0.163075</v>
      </c>
      <c r="S8512">
        <v>3.1416170000000001</v>
      </c>
      <c r="T8512">
        <v>-0.20723839999999999</v>
      </c>
      <c r="U8512">
        <v>-7.7346799999999993E-2</v>
      </c>
      <c r="V8512">
        <v>0.31001859999999998</v>
      </c>
      <c r="W8512">
        <v>0.17127890000000001</v>
      </c>
      <c r="X8512">
        <v>0.93517490000000003</v>
      </c>
      <c r="Y8512">
        <v>0.47949130000000001</v>
      </c>
      <c r="Z8512">
        <v>-4.5229980000000003E-2</v>
      </c>
      <c r="AA8512">
        <v>0.8763803</v>
      </c>
      <c r="AB8512">
        <v>38</v>
      </c>
      <c r="AC8512">
        <v>16.317</v>
      </c>
      <c r="AD8512">
        <v>-1.091411085911</v>
      </c>
      <c r="AE8512">
        <v>-0.52309999999999901</v>
      </c>
      <c r="AF8512">
        <v>7.9309948747985199</v>
      </c>
      <c r="AG8512">
        <v>-1.091411085911</v>
      </c>
      <c r="AH8512">
        <v>14.186294918777101</v>
      </c>
      <c r="AI8512">
        <v>93.841782708471698</v>
      </c>
      <c r="AJ8512">
        <v>60.792175537179297</v>
      </c>
      <c r="AK8512">
        <v>16.289346867970199</v>
      </c>
      <c r="AL8512">
        <v>80.137815110989095</v>
      </c>
      <c r="AM8512">
        <v>71.659192882943501</v>
      </c>
      <c r="AN8512">
        <v>1.00000004376058</v>
      </c>
    </row>
    <row r="8513" spans="1:40" x14ac:dyDescent="0.25">
      <c r="A8513" t="str">
        <f>"20190312172315006"</f>
        <v>20190312172315006</v>
      </c>
      <c r="B8513" t="str">
        <f>"1552382594998830"</f>
        <v>1552382594998830</v>
      </c>
      <c r="C8513" t="s">
        <v>40</v>
      </c>
      <c r="D8513">
        <v>3.4310260000000001</v>
      </c>
      <c r="E8513">
        <v>0.57376490000000002</v>
      </c>
      <c r="F8513" t="s">
        <v>42</v>
      </c>
      <c r="G8513">
        <v>-157.03460000000001</v>
      </c>
      <c r="H8513" s="1">
        <v>-2.1232339999999999E-6</v>
      </c>
      <c r="I8513">
        <v>135.3766</v>
      </c>
      <c r="J8513">
        <v>-173.26820000000001</v>
      </c>
      <c r="K8513">
        <v>1.0914109999999999</v>
      </c>
      <c r="L8513">
        <v>135.9752</v>
      </c>
      <c r="M8513">
        <v>0.89306409999999903</v>
      </c>
      <c r="N8513">
        <v>0</v>
      </c>
      <c r="O8513">
        <v>0.44957829999999899</v>
      </c>
      <c r="P8513">
        <v>0.97381499999999999</v>
      </c>
      <c r="Q8513">
        <v>0.16813649999999999</v>
      </c>
      <c r="R8513">
        <v>0.15301809999999999</v>
      </c>
      <c r="S8513">
        <v>3.137543</v>
      </c>
      <c r="T8513">
        <v>-0.2081363</v>
      </c>
      <c r="U8513">
        <v>-9.3505859999999996E-2</v>
      </c>
      <c r="V8513">
        <v>0.30906810000000001</v>
      </c>
      <c r="W8513">
        <v>0.1713037</v>
      </c>
      <c r="X8513">
        <v>0.93548480000000001</v>
      </c>
      <c r="Y8513">
        <v>0.474078</v>
      </c>
      <c r="Z8513">
        <v>-4.47018E-2</v>
      </c>
      <c r="AA8513">
        <v>0.8793474</v>
      </c>
      <c r="AB8513">
        <v>38</v>
      </c>
      <c r="AC8513">
        <v>16.2335999999999</v>
      </c>
      <c r="AD8513">
        <v>-1.0914131232340001</v>
      </c>
      <c r="AE8513">
        <v>-0.59860000000000402</v>
      </c>
      <c r="AF8513">
        <v>7.7988958472059897</v>
      </c>
      <c r="AG8513">
        <v>-1.0914131232340001</v>
      </c>
      <c r="AH8513">
        <v>14.166826871805499</v>
      </c>
      <c r="AI8513">
        <v>93.861000073072304</v>
      </c>
      <c r="AJ8513">
        <v>61.1670374147673</v>
      </c>
      <c r="AK8513">
        <v>16.208421966892601</v>
      </c>
      <c r="AL8513">
        <v>80.136371722084505</v>
      </c>
      <c r="AM8513">
        <v>71.717332723790705</v>
      </c>
      <c r="AN8513">
        <v>0.99999992955116701</v>
      </c>
    </row>
    <row r="8514" spans="1:40" x14ac:dyDescent="0.25">
      <c r="A8514" t="str">
        <f>"20190312172315019"</f>
        <v>20190312172315019</v>
      </c>
      <c r="B8514" t="str">
        <f>"1552382595008591"</f>
        <v>1552382595008591</v>
      </c>
      <c r="C8514" t="s">
        <v>40</v>
      </c>
      <c r="D8514">
        <v>3.4376959999999999</v>
      </c>
      <c r="E8514">
        <v>0.57376490000000002</v>
      </c>
      <c r="F8514" t="s">
        <v>42</v>
      </c>
      <c r="G8514">
        <v>-156.88939999999999</v>
      </c>
      <c r="H8514" s="1">
        <v>-2.179995E-6</v>
      </c>
      <c r="I8514">
        <v>135.34899999999999</v>
      </c>
      <c r="J8514">
        <v>-173.0608</v>
      </c>
      <c r="K8514">
        <v>1.091415</v>
      </c>
      <c r="L8514">
        <v>136.07550000000001</v>
      </c>
      <c r="M8514">
        <v>0.89783849999999998</v>
      </c>
      <c r="N8514">
        <v>0</v>
      </c>
      <c r="O8514">
        <v>0.43996590000000002</v>
      </c>
      <c r="P8514">
        <v>0.97500909999999996</v>
      </c>
      <c r="Q8514">
        <v>0.168296</v>
      </c>
      <c r="R8514">
        <v>0.14502999999999999</v>
      </c>
      <c r="S8514">
        <v>3.1355590000000002</v>
      </c>
      <c r="T8514">
        <v>-0.2089394</v>
      </c>
      <c r="U8514">
        <v>-0.11987299999999999</v>
      </c>
      <c r="V8514">
        <v>0.30668499999999999</v>
      </c>
      <c r="W8514">
        <v>0.1715865</v>
      </c>
      <c r="X8514">
        <v>0.93621710000000002</v>
      </c>
      <c r="Y8514">
        <v>0.4720432</v>
      </c>
      <c r="Z8514">
        <v>-4.4256950000000003E-2</v>
      </c>
      <c r="AA8514">
        <v>0.88046380000000002</v>
      </c>
      <c r="AB8514">
        <v>38</v>
      </c>
      <c r="AC8514">
        <v>16.171399999999998</v>
      </c>
      <c r="AD8514">
        <v>-1.0914171799950001</v>
      </c>
      <c r="AE8514">
        <v>-0.72650000000001502</v>
      </c>
      <c r="AF8514">
        <v>7.7332181668048099</v>
      </c>
      <c r="AG8514">
        <v>-1.0914171799950001</v>
      </c>
      <c r="AH8514">
        <v>14.1376476451067</v>
      </c>
      <c r="AI8514">
        <v>93.874672255455394</v>
      </c>
      <c r="AJ8514">
        <v>61.321574906293598</v>
      </c>
      <c r="AK8514">
        <v>16.151375656995299</v>
      </c>
      <c r="AL8514">
        <v>80.119926033219102</v>
      </c>
      <c r="AM8514">
        <v>71.862294145814502</v>
      </c>
      <c r="AN8514">
        <v>1.0000000372698199</v>
      </c>
    </row>
    <row r="8515" spans="1:40" x14ac:dyDescent="0.25">
      <c r="A8515" t="str">
        <f>"20190312172315033"</f>
        <v>20190312172315033</v>
      </c>
      <c r="B8515" t="str">
        <f>"1552382595029087"</f>
        <v>1552382595029087</v>
      </c>
      <c r="C8515" t="s">
        <v>40</v>
      </c>
      <c r="D8515">
        <v>3.4311240000000001</v>
      </c>
      <c r="E8515">
        <v>0.56417349999999999</v>
      </c>
      <c r="F8515" t="s">
        <v>42</v>
      </c>
      <c r="G8515">
        <v>-156.68680000000001</v>
      </c>
      <c r="H8515" s="1">
        <v>-2.2570589999999999E-6</v>
      </c>
      <c r="I8515">
        <v>135.3184</v>
      </c>
      <c r="J8515">
        <v>-172.84960000000001</v>
      </c>
      <c r="K8515">
        <v>1.0914170000000001</v>
      </c>
      <c r="L8515">
        <v>136.17349999999999</v>
      </c>
      <c r="M8515">
        <v>0.9025725</v>
      </c>
      <c r="N8515">
        <v>0</v>
      </c>
      <c r="O8515">
        <v>0.43017060000000001</v>
      </c>
      <c r="P8515">
        <v>0.9763018</v>
      </c>
      <c r="Q8515">
        <v>0.16853319999999999</v>
      </c>
      <c r="R8515">
        <v>0.135762299999999</v>
      </c>
      <c r="S8515">
        <v>3.134506</v>
      </c>
      <c r="T8515">
        <v>-0.20893249999999999</v>
      </c>
      <c r="U8515">
        <v>-0.14491270000000001</v>
      </c>
      <c r="V8515">
        <v>0.30538120000000002</v>
      </c>
      <c r="W8515">
        <v>0.17189279999999901</v>
      </c>
      <c r="X8515">
        <v>0.93658699999999995</v>
      </c>
      <c r="Y8515">
        <v>0.46951540000000003</v>
      </c>
      <c r="Z8515">
        <v>-4.3591610000000003E-2</v>
      </c>
      <c r="AA8515">
        <v>0.88184759999999995</v>
      </c>
      <c r="AB8515">
        <v>38</v>
      </c>
      <c r="AC8515">
        <v>16.162800000000001</v>
      </c>
      <c r="AD8515">
        <v>-1.091419257059</v>
      </c>
      <c r="AE8515">
        <v>-0.85509999999999298</v>
      </c>
      <c r="AF8515">
        <v>7.6908014418359603</v>
      </c>
      <c r="AG8515">
        <v>-1.091419257059</v>
      </c>
      <c r="AH8515">
        <v>14.1581295588419</v>
      </c>
      <c r="AI8515">
        <v>93.875235222827996</v>
      </c>
      <c r="AJ8515">
        <v>61.488861098569899</v>
      </c>
      <c r="AK8515">
        <v>16.149063608066498</v>
      </c>
      <c r="AL8515">
        <v>80.1021113874138</v>
      </c>
      <c r="AM8515">
        <v>71.941054469645906</v>
      </c>
      <c r="AN8515">
        <v>1.00000001028713</v>
      </c>
    </row>
    <row r="8516" spans="1:40" x14ac:dyDescent="0.25">
      <c r="A8516" t="str">
        <f>"20190312172315050"</f>
        <v>20190312172315050</v>
      </c>
      <c r="B8516" t="str">
        <f>"1552382595038847"</f>
        <v>1552382595038847</v>
      </c>
      <c r="C8516" t="s">
        <v>40</v>
      </c>
      <c r="D8516">
        <v>3.4386990000000002</v>
      </c>
      <c r="E8516">
        <v>0.56335429999999997</v>
      </c>
      <c r="F8516" t="s">
        <v>42</v>
      </c>
      <c r="G8516">
        <v>-157.06540000000001</v>
      </c>
      <c r="H8516" s="1">
        <v>-2.0333040000000002E-6</v>
      </c>
      <c r="I8516">
        <v>135.67529999999999</v>
      </c>
      <c r="J8516">
        <v>-172.58369999999999</v>
      </c>
      <c r="K8516">
        <v>1.091421</v>
      </c>
      <c r="L8516">
        <v>136.2937</v>
      </c>
      <c r="M8516">
        <v>0.90836470000000002</v>
      </c>
      <c r="N8516">
        <v>0</v>
      </c>
      <c r="O8516">
        <v>0.41780040000000002</v>
      </c>
      <c r="P8516">
        <v>0.97779760000000004</v>
      </c>
      <c r="Q8516">
        <v>0.1684706</v>
      </c>
      <c r="R8516">
        <v>0.1246173</v>
      </c>
      <c r="S8516">
        <v>3.1238100000000002</v>
      </c>
      <c r="T8516">
        <v>-0.21599850000000001</v>
      </c>
      <c r="U8516">
        <v>-9.8602289999999995E-2</v>
      </c>
      <c r="V8516">
        <v>0.30326639999999999</v>
      </c>
      <c r="W8516">
        <v>0.17194219999999999</v>
      </c>
      <c r="X8516">
        <v>0.93726489999999996</v>
      </c>
      <c r="Y8516">
        <v>0.44430550000000002</v>
      </c>
      <c r="Z8516">
        <v>-4.3546149999999999E-2</v>
      </c>
      <c r="AA8516">
        <v>0.89481630000000001</v>
      </c>
      <c r="AB8516">
        <v>37</v>
      </c>
      <c r="AC8516">
        <v>15.518299999999901</v>
      </c>
      <c r="AD8516">
        <v>-1.091423033304</v>
      </c>
      <c r="AE8516">
        <v>-0.61840000000000805</v>
      </c>
      <c r="AF8516">
        <v>7.0117707697304104</v>
      </c>
      <c r="AG8516">
        <v>-1.091423033304</v>
      </c>
      <c r="AH8516">
        <v>13.772082231503299</v>
      </c>
      <c r="AI8516">
        <v>94.039672264960103</v>
      </c>
      <c r="AJ8516">
        <v>63.018021812590597</v>
      </c>
      <c r="AK8516">
        <v>15.4927848547691</v>
      </c>
      <c r="AL8516">
        <v>80.099238706589205</v>
      </c>
      <c r="AM8516">
        <v>72.070218768791804</v>
      </c>
      <c r="AN8516">
        <v>1.0000000611408999</v>
      </c>
    </row>
    <row r="8517" spans="1:40" x14ac:dyDescent="0.25">
      <c r="A8517" t="str">
        <f>"20190312172315062"</f>
        <v>20190312172315062</v>
      </c>
      <c r="B8517" t="str">
        <f>"1552382595058368"</f>
        <v>1552382595058368</v>
      </c>
      <c r="C8517" t="s">
        <v>40</v>
      </c>
      <c r="D8517">
        <v>3.4063949999999998</v>
      </c>
      <c r="E8517">
        <v>0.56267769999999995</v>
      </c>
      <c r="F8517" t="s">
        <v>42</v>
      </c>
      <c r="G8517">
        <v>-156.92250000000001</v>
      </c>
      <c r="H8517" s="1">
        <v>-2.08787E-6</v>
      </c>
      <c r="I8517">
        <v>135.65289999999999</v>
      </c>
      <c r="J8517">
        <v>-172.3954</v>
      </c>
      <c r="K8517">
        <v>1.0914250000000001</v>
      </c>
      <c r="L8517">
        <v>136.3766</v>
      </c>
      <c r="M8517">
        <v>0.91235409999999995</v>
      </c>
      <c r="N8517">
        <v>0</v>
      </c>
      <c r="O8517">
        <v>0.40901530000000003</v>
      </c>
      <c r="P8517">
        <v>0.97882729999999996</v>
      </c>
      <c r="Q8517">
        <v>0.16829749999999999</v>
      </c>
      <c r="R8517">
        <v>0.11650439999999899</v>
      </c>
      <c r="S8517">
        <v>3.1218870000000001</v>
      </c>
      <c r="T8517">
        <v>-0.21756239999999999</v>
      </c>
      <c r="U8517">
        <v>-0.12773129999999999</v>
      </c>
      <c r="V8517">
        <v>0.30199549999999997</v>
      </c>
      <c r="W8517">
        <v>0.17183789999999999</v>
      </c>
      <c r="X8517">
        <v>0.93769429999999998</v>
      </c>
      <c r="Y8517">
        <v>0.44401259999999998</v>
      </c>
      <c r="Z8517">
        <v>-4.3316180000000003E-2</v>
      </c>
      <c r="AA8517">
        <v>0.89497289999999996</v>
      </c>
      <c r="AB8517">
        <v>37</v>
      </c>
      <c r="AC8517">
        <v>15.4728999999999</v>
      </c>
      <c r="AD8517">
        <v>-1.0914270878700001</v>
      </c>
      <c r="AE8517">
        <v>-0.723700000000007</v>
      </c>
      <c r="AF8517">
        <v>6.95549741564726</v>
      </c>
      <c r="AG8517">
        <v>-1.0914270878700001</v>
      </c>
      <c r="AH8517">
        <v>13.754658523964601</v>
      </c>
      <c r="AI8517">
        <v>94.050397510893305</v>
      </c>
      <c r="AJ8517">
        <v>63.175050451264603</v>
      </c>
      <c r="AK8517">
        <v>15.4518862440184</v>
      </c>
      <c r="AL8517">
        <v>80.105305064326799</v>
      </c>
      <c r="AM8517">
        <v>72.148234052685694</v>
      </c>
      <c r="AN8517">
        <v>1.00000007307457</v>
      </c>
    </row>
    <row r="8518" spans="1:40" x14ac:dyDescent="0.25">
      <c r="A8518" t="str">
        <f>"20190312172315073"</f>
        <v>20190312172315073</v>
      </c>
      <c r="B8518" t="str">
        <f>"1552382595069104"</f>
        <v>1552382595069104</v>
      </c>
      <c r="C8518" t="s">
        <v>40</v>
      </c>
      <c r="D8518">
        <v>3.4123459999999999</v>
      </c>
      <c r="E8518">
        <v>0.56219459999999999</v>
      </c>
      <c r="F8518" t="s">
        <v>42</v>
      </c>
      <c r="G8518">
        <v>-156.94120000000001</v>
      </c>
      <c r="H8518" s="1">
        <v>-2.0846750000000001E-6</v>
      </c>
      <c r="I8518">
        <v>135.64099999999999</v>
      </c>
      <c r="J8518">
        <v>-172.20699999999999</v>
      </c>
      <c r="K8518">
        <v>1.0914299999999999</v>
      </c>
      <c r="L8518">
        <v>136.45670000000001</v>
      </c>
      <c r="M8518">
        <v>0.91624740000000005</v>
      </c>
      <c r="N8518">
        <v>0</v>
      </c>
      <c r="O8518">
        <v>0.4002174</v>
      </c>
      <c r="P8518">
        <v>0.97975619999999997</v>
      </c>
      <c r="Q8518">
        <v>0.1681174</v>
      </c>
      <c r="R8518">
        <v>0.1086946</v>
      </c>
      <c r="S8518">
        <v>3.1204529999999999</v>
      </c>
      <c r="T8518">
        <v>-0.2203764</v>
      </c>
      <c r="U8518">
        <v>-0.1485291</v>
      </c>
      <c r="V8518">
        <v>0.30045060000000001</v>
      </c>
      <c r="W8518">
        <v>0.1717397</v>
      </c>
      <c r="X8518">
        <v>0.9382083</v>
      </c>
      <c r="Y8518">
        <v>0.4413396</v>
      </c>
      <c r="Z8518">
        <v>-4.3225279999999998E-2</v>
      </c>
      <c r="AA8518">
        <v>0.8962985</v>
      </c>
      <c r="AB8518">
        <v>37</v>
      </c>
      <c r="AC8518">
        <v>15.265799999999899</v>
      </c>
      <c r="AD8518">
        <v>-1.0914320846750001</v>
      </c>
      <c r="AE8518">
        <v>-0.81570000000002096</v>
      </c>
      <c r="AF8518">
        <v>6.8233293478742301</v>
      </c>
      <c r="AG8518">
        <v>-1.0914320846750001</v>
      </c>
      <c r="AH8518">
        <v>13.5936689974172</v>
      </c>
      <c r="AI8518">
        <v>94.104355011220605</v>
      </c>
      <c r="AJ8518">
        <v>63.345680253599397</v>
      </c>
      <c r="AK8518">
        <v>15.249160114457499</v>
      </c>
      <c r="AL8518">
        <v>80.111015195133405</v>
      </c>
      <c r="AM8518">
        <v>72.242923468544106</v>
      </c>
      <c r="AN8518">
        <v>0.99999995089266802</v>
      </c>
    </row>
    <row r="8519" spans="1:40" x14ac:dyDescent="0.25">
      <c r="A8519" t="str">
        <f>"20190312172315085"</f>
        <v>20190312172315085</v>
      </c>
      <c r="B8519" t="str">
        <f>"1552382595078865"</f>
        <v>1552382595078865</v>
      </c>
      <c r="C8519" t="s">
        <v>40</v>
      </c>
      <c r="D8519">
        <v>3.3958940000000002</v>
      </c>
      <c r="E8519">
        <v>0.56174219999999997</v>
      </c>
      <c r="F8519" t="s">
        <v>42</v>
      </c>
      <c r="G8519">
        <v>-156.72309999999999</v>
      </c>
      <c r="H8519" s="1">
        <v>-2.1663490000000002E-6</v>
      </c>
      <c r="I8519">
        <v>135.613</v>
      </c>
      <c r="J8519">
        <v>-172.03120000000001</v>
      </c>
      <c r="K8519">
        <v>1.0914360000000001</v>
      </c>
      <c r="L8519">
        <v>136.52969999999999</v>
      </c>
      <c r="M8519">
        <v>0.91979529999999998</v>
      </c>
      <c r="N8519">
        <v>0</v>
      </c>
      <c r="O8519">
        <v>0.39199450000000002</v>
      </c>
      <c r="P8519">
        <v>0.98052289999999998</v>
      </c>
      <c r="Q8519">
        <v>0.16821469999999999</v>
      </c>
      <c r="R8519">
        <v>0.1013849</v>
      </c>
      <c r="S8519">
        <v>3.1185299999999998</v>
      </c>
      <c r="T8519">
        <v>-0.21981880000000001</v>
      </c>
      <c r="U8519">
        <v>-0.16990659999999999</v>
      </c>
      <c r="V8519">
        <v>0.29903750000000001</v>
      </c>
      <c r="W8519">
        <v>0.1719116</v>
      </c>
      <c r="X8519">
        <v>0.93862829999999997</v>
      </c>
      <c r="Y8519">
        <v>0.43949510000000003</v>
      </c>
      <c r="Z8519">
        <v>-4.2537640000000002E-2</v>
      </c>
      <c r="AA8519">
        <v>0.89723719999999996</v>
      </c>
      <c r="AB8519">
        <v>37</v>
      </c>
      <c r="AC8519">
        <v>15.3081</v>
      </c>
      <c r="AD8519">
        <v>-1.091438166349</v>
      </c>
      <c r="AE8519">
        <v>-0.91669999999999097</v>
      </c>
      <c r="AF8519">
        <v>6.81045541171863</v>
      </c>
      <c r="AG8519">
        <v>-1.091438166349</v>
      </c>
      <c r="AH8519">
        <v>13.653990893198801</v>
      </c>
      <c r="AI8519">
        <v>94.0914604416282</v>
      </c>
      <c r="AJ8519">
        <v>63.490500833654998</v>
      </c>
      <c r="AK8519">
        <v>15.2972222150796</v>
      </c>
      <c r="AL8519">
        <v>80.101018397859093</v>
      </c>
      <c r="AM8519">
        <v>72.328646215999697</v>
      </c>
      <c r="AN8519">
        <v>1.0000000550908399</v>
      </c>
    </row>
    <row r="8520" spans="1:40" x14ac:dyDescent="0.25">
      <c r="A8520" t="str">
        <f>"20190312172315096"</f>
        <v>20190312172315096</v>
      </c>
      <c r="B8520" t="str">
        <f>"1552382595088623"</f>
        <v>1552382595088623</v>
      </c>
      <c r="C8520" t="s">
        <v>40</v>
      </c>
      <c r="D8520">
        <v>3.4043060000000001</v>
      </c>
      <c r="E8520">
        <v>0.56126679999999995</v>
      </c>
      <c r="F8520" t="s">
        <v>42</v>
      </c>
      <c r="G8520">
        <v>-156.53989999999999</v>
      </c>
      <c r="H8520" s="1">
        <v>-2.2359730000000002E-6</v>
      </c>
      <c r="I8520">
        <v>135.5857</v>
      </c>
      <c r="J8520">
        <v>-171.84819999999999</v>
      </c>
      <c r="K8520">
        <v>1.0914469999999901</v>
      </c>
      <c r="L8520">
        <v>136.60390000000001</v>
      </c>
      <c r="M8520">
        <v>0.92340390000000006</v>
      </c>
      <c r="N8520">
        <v>0</v>
      </c>
      <c r="O8520">
        <v>0.3834168</v>
      </c>
      <c r="P8520">
        <v>0.98122949999999998</v>
      </c>
      <c r="Q8520">
        <v>0.16843849999999999</v>
      </c>
      <c r="R8520">
        <v>9.3900369999999997E-2</v>
      </c>
      <c r="S8520">
        <v>3.1168979999999999</v>
      </c>
      <c r="T8520">
        <v>-0.21959919999999999</v>
      </c>
      <c r="U8520">
        <v>-0.18992609999999999</v>
      </c>
      <c r="V8520">
        <v>0.29745329999999998</v>
      </c>
      <c r="W8520">
        <v>0.17221879999999901</v>
      </c>
      <c r="X8520">
        <v>0.9390752</v>
      </c>
      <c r="Y8520">
        <v>0.43693890000000002</v>
      </c>
      <c r="Z8520">
        <v>-4.1860769999999999E-2</v>
      </c>
      <c r="AA8520">
        <v>0.898516599999999</v>
      </c>
      <c r="AB8520">
        <v>37</v>
      </c>
      <c r="AC8520">
        <v>15.308299999999999</v>
      </c>
      <c r="AD8520">
        <v>-1.0914492359729999</v>
      </c>
      <c r="AE8520">
        <v>-1.0182</v>
      </c>
      <c r="AF8520">
        <v>6.7764525348440703</v>
      </c>
      <c r="AG8520">
        <v>-1.0914492359729999</v>
      </c>
      <c r="AH8520">
        <v>13.6783008423004</v>
      </c>
      <c r="AI8520">
        <v>94.0897300246925</v>
      </c>
      <c r="AJ8520">
        <v>63.645437347371598</v>
      </c>
      <c r="AK8520">
        <v>15.303838875399</v>
      </c>
      <c r="AL8520">
        <v>80.0831501561876</v>
      </c>
      <c r="AM8520">
        <v>72.424333606968801</v>
      </c>
      <c r="AN8520">
        <v>1.0000000060046801</v>
      </c>
    </row>
    <row r="8521" spans="1:40" x14ac:dyDescent="0.25">
      <c r="A8521" t="str">
        <f>"20190312172315110"</f>
        <v>20190312172315110</v>
      </c>
      <c r="B8521" t="str">
        <f>"1552382595098384"</f>
        <v>1552382595098384</v>
      </c>
      <c r="C8521" t="s">
        <v>40</v>
      </c>
      <c r="D8521">
        <v>3.411232</v>
      </c>
      <c r="E8521">
        <v>0.56126679999999995</v>
      </c>
      <c r="F8521" t="s">
        <v>42</v>
      </c>
      <c r="G8521">
        <v>-156.32929999999999</v>
      </c>
      <c r="H8521" s="1">
        <v>-2.3154349999999998E-6</v>
      </c>
      <c r="I8521">
        <v>135.55629999999999</v>
      </c>
      <c r="J8521">
        <v>-171.6508</v>
      </c>
      <c r="K8521">
        <v>1.0914569999999999</v>
      </c>
      <c r="L8521">
        <v>136.68119999999999</v>
      </c>
      <c r="M8521">
        <v>0.9271935</v>
      </c>
      <c r="N8521">
        <v>0</v>
      </c>
      <c r="O8521">
        <v>0.37415929999999997</v>
      </c>
      <c r="P8521">
        <v>0.98192480000000004</v>
      </c>
      <c r="Q8521">
        <v>0.16861889999999999</v>
      </c>
      <c r="R8521">
        <v>8.597465E-2</v>
      </c>
      <c r="S8521">
        <v>3.1151119999999999</v>
      </c>
      <c r="T8521">
        <v>-0.21908659999999999</v>
      </c>
      <c r="U8521">
        <v>-0.21028140000000001</v>
      </c>
      <c r="V8521">
        <v>0.29563010000000001</v>
      </c>
      <c r="W8521">
        <v>0.17249500000000001</v>
      </c>
      <c r="X8521">
        <v>0.93960010000000005</v>
      </c>
      <c r="Y8521">
        <v>0.43386069999999999</v>
      </c>
      <c r="Z8521">
        <v>-4.1064969999999999E-2</v>
      </c>
      <c r="AA8521">
        <v>0.9000437</v>
      </c>
      <c r="AB8521">
        <v>37</v>
      </c>
      <c r="AC8521">
        <v>15.3215</v>
      </c>
      <c r="AD8521">
        <v>-1.0914593154350001</v>
      </c>
      <c r="AE8521">
        <v>-1.12489999999999</v>
      </c>
      <c r="AF8521">
        <v>6.7427219890424199</v>
      </c>
      <c r="AG8521">
        <v>-1.0914593154350001</v>
      </c>
      <c r="AH8521">
        <v>13.718047018129401</v>
      </c>
      <c r="AI8521">
        <v>94.084243653415896</v>
      </c>
      <c r="AJ8521">
        <v>63.824867734838598</v>
      </c>
      <c r="AK8521">
        <v>15.3245031648786</v>
      </c>
      <c r="AL8521">
        <v>80.067084719538499</v>
      </c>
      <c r="AM8521">
        <v>72.5346540873484</v>
      </c>
      <c r="AN8521">
        <v>1.0000000144855099</v>
      </c>
    </row>
    <row r="8522" spans="1:40" x14ac:dyDescent="0.25">
      <c r="A8522" t="str">
        <f>"20190312172315128"</f>
        <v>20190312172315128</v>
      </c>
      <c r="B8522" t="str">
        <f>"1552382595118879"</f>
        <v>1552382595118879</v>
      </c>
      <c r="C8522" t="s">
        <v>40</v>
      </c>
      <c r="D8522">
        <v>3.4042080000000001</v>
      </c>
      <c r="E8522">
        <v>0.55395760000000005</v>
      </c>
      <c r="F8522" t="s">
        <v>42</v>
      </c>
      <c r="G8522">
        <v>-156.0882</v>
      </c>
      <c r="H8522" s="1">
        <v>-2.4116349999999998E-6</v>
      </c>
      <c r="I8522">
        <v>135.50319999999999</v>
      </c>
      <c r="J8522">
        <v>-171.3486</v>
      </c>
      <c r="K8522">
        <v>1.0914680000000001</v>
      </c>
      <c r="L8522">
        <v>136.7955</v>
      </c>
      <c r="M8522">
        <v>0.93279559999999995</v>
      </c>
      <c r="N8522">
        <v>0</v>
      </c>
      <c r="O8522">
        <v>0.3599658</v>
      </c>
      <c r="P8522">
        <v>0.98262969999999905</v>
      </c>
      <c r="Q8522">
        <v>0.16975129999999999</v>
      </c>
      <c r="R8522">
        <v>7.4990879999999996E-2</v>
      </c>
      <c r="S8522">
        <v>3.1133419999999998</v>
      </c>
      <c r="T8522">
        <v>-0.21834899999999999</v>
      </c>
      <c r="U8522">
        <v>-0.2356567</v>
      </c>
      <c r="V8522">
        <v>0.29176000000000002</v>
      </c>
      <c r="W8522">
        <v>0.17382690000000001</v>
      </c>
      <c r="X8522">
        <v>0.94056379999999995</v>
      </c>
      <c r="Y8522">
        <v>0.42750519999999997</v>
      </c>
      <c r="Z8522">
        <v>-3.9782940000000003E-2</v>
      </c>
      <c r="AA8522">
        <v>0.90313710000000003</v>
      </c>
      <c r="AB8522">
        <v>37</v>
      </c>
      <c r="AC8522">
        <v>15.260400000000001</v>
      </c>
      <c r="AD8522">
        <v>-1.091470411635</v>
      </c>
      <c r="AE8522">
        <v>-1.29230000000001</v>
      </c>
      <c r="AF8522">
        <v>6.6658789887396699</v>
      </c>
      <c r="AG8522">
        <v>-1.091470411635</v>
      </c>
      <c r="AH8522">
        <v>13.702237761756599</v>
      </c>
      <c r="AI8522">
        <v>94.097096132126893</v>
      </c>
      <c r="AJ8522">
        <v>64.057956471402903</v>
      </c>
      <c r="AK8522">
        <v>15.276667504128801</v>
      </c>
      <c r="AL8522">
        <v>79.9896015794981</v>
      </c>
      <c r="AM8522">
        <v>72.766270557653897</v>
      </c>
      <c r="AN8522">
        <v>0.999999975317024</v>
      </c>
    </row>
    <row r="8523" spans="1:40" x14ac:dyDescent="0.25">
      <c r="A8523" t="str">
        <f>"20190312172315141"</f>
        <v>20190312172315141</v>
      </c>
      <c r="B8523" t="str">
        <f>"1552382595128639"</f>
        <v>1552382595128639</v>
      </c>
      <c r="C8523" t="s">
        <v>40</v>
      </c>
      <c r="D8523">
        <v>3.3540610000000002</v>
      </c>
      <c r="E8523">
        <v>0.55347630000000003</v>
      </c>
      <c r="F8523" t="s">
        <v>42</v>
      </c>
      <c r="G8523">
        <v>-156.2697</v>
      </c>
      <c r="H8523" s="1">
        <v>-2.2806689999999998E-6</v>
      </c>
      <c r="I8523">
        <v>135.76320000000001</v>
      </c>
      <c r="J8523">
        <v>-171.15440000000001</v>
      </c>
      <c r="K8523">
        <v>1.091485</v>
      </c>
      <c r="L8523">
        <v>136.86680000000001</v>
      </c>
      <c r="M8523">
        <v>0.93627269999999896</v>
      </c>
      <c r="N8523">
        <v>0</v>
      </c>
      <c r="O8523">
        <v>0.35082239999999998</v>
      </c>
      <c r="P8523">
        <v>0.98312279999999996</v>
      </c>
      <c r="Q8523">
        <v>0.1701791</v>
      </c>
      <c r="R8523">
        <v>6.7148070000000004E-2</v>
      </c>
      <c r="S8523">
        <v>3.1081699999999999</v>
      </c>
      <c r="T8523">
        <v>-0.22498070000000001</v>
      </c>
      <c r="U8523">
        <v>-0.2127838</v>
      </c>
      <c r="V8523">
        <v>0.29004770000000002</v>
      </c>
      <c r="W8523">
        <v>0.17434569999999999</v>
      </c>
      <c r="X8523">
        <v>0.94099730000000004</v>
      </c>
      <c r="Y8523">
        <v>0.4120472</v>
      </c>
      <c r="Z8523">
        <v>-3.9870870000000003E-2</v>
      </c>
      <c r="AA8523">
        <v>0.91028980000000004</v>
      </c>
      <c r="AB8523">
        <v>37</v>
      </c>
      <c r="AC8523">
        <v>14.8847</v>
      </c>
      <c r="AD8523">
        <v>-1.0914872806689999</v>
      </c>
      <c r="AE8523">
        <v>-1.1035999999999999</v>
      </c>
      <c r="AF8523">
        <v>6.2228698893744196</v>
      </c>
      <c r="AG8523">
        <v>-1.0914872806689999</v>
      </c>
      <c r="AH8523">
        <v>13.479035807829</v>
      </c>
      <c r="AI8523">
        <v>94.204810956705202</v>
      </c>
      <c r="AJ8523">
        <v>65.218634632385204</v>
      </c>
      <c r="AK8523">
        <v>14.886230565616099</v>
      </c>
      <c r="AL8523">
        <v>79.959415901192997</v>
      </c>
      <c r="AM8523">
        <v>72.868904112661795</v>
      </c>
      <c r="AN8523">
        <v>1.00000000499553</v>
      </c>
    </row>
    <row r="8524" spans="1:40" x14ac:dyDescent="0.25">
      <c r="A8524" t="str">
        <f>"20190312172315162"</f>
        <v>20190312172315162</v>
      </c>
      <c r="B8524" t="str">
        <f>"1552382595158905"</f>
        <v>1552382595158905</v>
      </c>
      <c r="C8524" t="s">
        <v>40</v>
      </c>
      <c r="D8524">
        <v>3.3978950000000001</v>
      </c>
      <c r="E8524">
        <v>0.55232049999999999</v>
      </c>
      <c r="F8524" t="s">
        <v>42</v>
      </c>
      <c r="G8524">
        <v>-155.97730000000001</v>
      </c>
      <c r="H8524" s="1">
        <v>-2.3984760000000002E-6</v>
      </c>
      <c r="I8524">
        <v>135.72370000000001</v>
      </c>
      <c r="J8524">
        <v>-170.82149999999999</v>
      </c>
      <c r="K8524">
        <v>1.0915140000000001</v>
      </c>
      <c r="L8524">
        <v>136.9828</v>
      </c>
      <c r="M8524">
        <v>0.94199750000000004</v>
      </c>
      <c r="N8524">
        <v>0</v>
      </c>
      <c r="O8524">
        <v>0.33514719999999998</v>
      </c>
      <c r="P8524">
        <v>0.98368149999999999</v>
      </c>
      <c r="Q8524">
        <v>0.17143800000000001</v>
      </c>
      <c r="R8524">
        <v>5.4588079999999997E-2</v>
      </c>
      <c r="S8524">
        <v>3.1061709999999998</v>
      </c>
      <c r="T8524">
        <v>-0.22338559999999999</v>
      </c>
      <c r="U8524">
        <v>-0.23394780000000001</v>
      </c>
      <c r="V8524">
        <v>0.28632160000000001</v>
      </c>
      <c r="W8524">
        <v>0.17579829999999999</v>
      </c>
      <c r="X8524">
        <v>0.94186780000000003</v>
      </c>
      <c r="Y8524">
        <v>0.4031304</v>
      </c>
      <c r="Z8524">
        <v>-3.8215890000000002E-2</v>
      </c>
      <c r="AA8524">
        <v>0.9143443</v>
      </c>
      <c r="AB8524">
        <v>37</v>
      </c>
      <c r="AC8524">
        <v>14.844199999999899</v>
      </c>
      <c r="AD8524">
        <v>-1.0915163984759999</v>
      </c>
      <c r="AE8524">
        <v>-1.2590999999999799</v>
      </c>
      <c r="AF8524">
        <v>6.12913528511345</v>
      </c>
      <c r="AG8524">
        <v>-1.0915163984759999</v>
      </c>
      <c r="AH8524">
        <v>13.4909429601421</v>
      </c>
      <c r="AI8524">
        <v>94.212897712023903</v>
      </c>
      <c r="AJ8524">
        <v>65.5669979516193</v>
      </c>
      <c r="AK8524">
        <v>14.858103827378899</v>
      </c>
      <c r="AL8524">
        <v>79.874882701882697</v>
      </c>
      <c r="AM8524">
        <v>73.0910740658679</v>
      </c>
      <c r="AN8524">
        <v>1.0000000267931399</v>
      </c>
    </row>
    <row r="8525" spans="1:40" x14ac:dyDescent="0.25">
      <c r="A8525" t="str">
        <f>"20190312172315175"</f>
        <v>20190312172315175</v>
      </c>
      <c r="B8525" t="str">
        <f>"1552382595168655"</f>
        <v>1552382595168655</v>
      </c>
      <c r="C8525" t="s">
        <v>40</v>
      </c>
      <c r="D8525">
        <v>3.375505</v>
      </c>
      <c r="E8525">
        <v>0.55232049999999999</v>
      </c>
      <c r="F8525" t="s">
        <v>42</v>
      </c>
      <c r="G8525">
        <v>-155.3048</v>
      </c>
      <c r="H8525" s="1">
        <v>-2.6988840000000001E-6</v>
      </c>
      <c r="I8525">
        <v>135.6567</v>
      </c>
      <c r="J8525">
        <v>-170.60120000000001</v>
      </c>
      <c r="K8525">
        <v>1.091534</v>
      </c>
      <c r="L8525">
        <v>137.05600000000001</v>
      </c>
      <c r="M8525">
        <v>0.94562760000000001</v>
      </c>
      <c r="N8525">
        <v>0</v>
      </c>
      <c r="O8525">
        <v>0.32476379999999999</v>
      </c>
      <c r="P8525">
        <v>0.98406700000000003</v>
      </c>
      <c r="Q8525">
        <v>0.17179469999999999</v>
      </c>
      <c r="R8525">
        <v>4.581346E-2</v>
      </c>
      <c r="S8525">
        <v>3.1025239999999998</v>
      </c>
      <c r="T8525">
        <v>-0.21824460000000001</v>
      </c>
      <c r="U8525">
        <v>-0.2651367</v>
      </c>
      <c r="V8525">
        <v>0.2843426</v>
      </c>
      <c r="W8525">
        <v>0.17626020000000001</v>
      </c>
      <c r="X8525">
        <v>0.94238080000000002</v>
      </c>
      <c r="Y8525">
        <v>0.40239239999999998</v>
      </c>
      <c r="Z8525">
        <v>-3.6650729999999999E-2</v>
      </c>
      <c r="AA8525">
        <v>0.91473340000000003</v>
      </c>
      <c r="AB8525">
        <v>37</v>
      </c>
      <c r="AC8525">
        <v>15.2964</v>
      </c>
      <c r="AD8525">
        <v>-1.0915366988840001</v>
      </c>
      <c r="AE8525">
        <v>-1.39930000000001</v>
      </c>
      <c r="AF8525">
        <v>6.2603170786215001</v>
      </c>
      <c r="AG8525">
        <v>-1.0915366988840001</v>
      </c>
      <c r="AH8525">
        <v>13.9420711521927</v>
      </c>
      <c r="AI8525">
        <v>94.085196158443296</v>
      </c>
      <c r="AJ8525">
        <v>65.818800923925195</v>
      </c>
      <c r="AK8525">
        <v>15.322022395972899</v>
      </c>
      <c r="AL8525">
        <v>79.847997415419201</v>
      </c>
      <c r="AM8525">
        <v>73.209970937616703</v>
      </c>
      <c r="AN8525">
        <v>0.99999997224371895</v>
      </c>
    </row>
    <row r="8526" spans="1:40" x14ac:dyDescent="0.25">
      <c r="A8526" t="str">
        <f>"20190312172315188"</f>
        <v>20190312172315188</v>
      </c>
      <c r="B8526" t="str">
        <f>"1552382595179391"</f>
        <v>1552382595179391</v>
      </c>
      <c r="C8526" t="s">
        <v>40</v>
      </c>
      <c r="D8526">
        <v>3.4056639999999998</v>
      </c>
      <c r="E8526">
        <v>0.54672290000000001</v>
      </c>
      <c r="F8526" t="s">
        <v>42</v>
      </c>
      <c r="G8526">
        <v>-155.01300000000001</v>
      </c>
      <c r="H8526" s="1">
        <v>-2.8369860000000001E-6</v>
      </c>
      <c r="I8526">
        <v>135.5838</v>
      </c>
      <c r="J8526">
        <v>-170.40729999999999</v>
      </c>
      <c r="K8526">
        <v>1.0915539999999999</v>
      </c>
      <c r="L8526">
        <v>137.1181</v>
      </c>
      <c r="M8526">
        <v>0.94871660000000002</v>
      </c>
      <c r="N8526">
        <v>0</v>
      </c>
      <c r="O8526">
        <v>0.31562620000000002</v>
      </c>
      <c r="P8526">
        <v>0.98438329999999996</v>
      </c>
      <c r="Q8526">
        <v>0.17180179999999901</v>
      </c>
      <c r="R8526">
        <v>3.8390239999999999E-2</v>
      </c>
      <c r="S8526">
        <v>3.100082</v>
      </c>
      <c r="T8526">
        <v>-0.2170784</v>
      </c>
      <c r="U8526">
        <v>-0.29278559999999998</v>
      </c>
      <c r="V8526">
        <v>0.2823464</v>
      </c>
      <c r="W8526">
        <v>0.17637329999999901</v>
      </c>
      <c r="X8526">
        <v>0.94295969999999996</v>
      </c>
      <c r="Y8526">
        <v>0.4017617</v>
      </c>
      <c r="Z8526">
        <v>-3.5840009999999999E-2</v>
      </c>
      <c r="AA8526">
        <v>0.91504260000000004</v>
      </c>
      <c r="AB8526">
        <v>37</v>
      </c>
      <c r="AC8526">
        <v>15.3942999999999</v>
      </c>
      <c r="AD8526">
        <v>-1.091556836986</v>
      </c>
      <c r="AE8526">
        <v>-1.5343</v>
      </c>
      <c r="AF8526">
        <v>6.2841766568324404</v>
      </c>
      <c r="AG8526">
        <v>-1.091556836986</v>
      </c>
      <c r="AH8526">
        <v>14.0528416172557</v>
      </c>
      <c r="AI8526">
        <v>94.055954231568407</v>
      </c>
      <c r="AJ8526">
        <v>65.906669992066398</v>
      </c>
      <c r="AK8526">
        <v>15.432586630319699</v>
      </c>
      <c r="AL8526">
        <v>79.841414545652498</v>
      </c>
      <c r="AM8526">
        <v>73.330946807207695</v>
      </c>
      <c r="AN8526">
        <v>1.00000001318497</v>
      </c>
    </row>
    <row r="8527" spans="1:40" x14ac:dyDescent="0.25">
      <c r="A8527" t="str">
        <f>"20190312172315206"</f>
        <v>20190312172315206</v>
      </c>
      <c r="B8527" t="str">
        <f>"1552382595198911"</f>
        <v>1552382595198911</v>
      </c>
      <c r="C8527" t="s">
        <v>40</v>
      </c>
      <c r="D8527">
        <v>3.4335309999999999</v>
      </c>
      <c r="E8527">
        <v>0.54516109999999995</v>
      </c>
      <c r="F8527" t="s">
        <v>42</v>
      </c>
      <c r="G8527">
        <v>-154.28909999999999</v>
      </c>
      <c r="H8527" s="1">
        <v>-3.1264089999999999E-6</v>
      </c>
      <c r="I8527">
        <v>135.7028</v>
      </c>
      <c r="J8527">
        <v>-170.09950000000001</v>
      </c>
      <c r="K8527">
        <v>1.091596</v>
      </c>
      <c r="L8527">
        <v>137.21289999999999</v>
      </c>
      <c r="M8527">
        <v>0.95342179999999999</v>
      </c>
      <c r="N8527">
        <v>0</v>
      </c>
      <c r="O8527">
        <v>0.30111510000000002</v>
      </c>
      <c r="P8527">
        <v>0.98477190000000003</v>
      </c>
      <c r="Q8527">
        <v>0.1715843</v>
      </c>
      <c r="R8527">
        <v>2.7979569999999999E-2</v>
      </c>
      <c r="S8527">
        <v>3.0947719999999999</v>
      </c>
      <c r="T8527">
        <v>-0.20958479999999999</v>
      </c>
      <c r="U8527">
        <v>-0.27174379999999998</v>
      </c>
      <c r="V8527">
        <v>0.27790569999999998</v>
      </c>
      <c r="W8527">
        <v>0.17638599999999999</v>
      </c>
      <c r="X8527">
        <v>0.94427559999999999</v>
      </c>
      <c r="Y8527">
        <v>0.38187149999999997</v>
      </c>
      <c r="Z8527">
        <v>-3.3049699999999897E-2</v>
      </c>
      <c r="AA8527">
        <v>0.92362429999999995</v>
      </c>
      <c r="AB8527">
        <v>37</v>
      </c>
      <c r="AC8527">
        <v>15.8104</v>
      </c>
      <c r="AD8527">
        <v>-1.0915991264089999</v>
      </c>
      <c r="AE8527">
        <v>-1.51009999999999</v>
      </c>
      <c r="AF8527">
        <v>6.1723368813088504</v>
      </c>
      <c r="AG8527">
        <v>-1.0915991264089999</v>
      </c>
      <c r="AH8527">
        <v>14.552835161292499</v>
      </c>
      <c r="AI8527">
        <v>93.950288079405695</v>
      </c>
      <c r="AJ8527">
        <v>67.016599181778702</v>
      </c>
      <c r="AK8527">
        <v>15.845325571312699</v>
      </c>
      <c r="AL8527">
        <v>79.840675204414097</v>
      </c>
      <c r="AM8527">
        <v>73.600542907116804</v>
      </c>
      <c r="AN8527">
        <v>1.0000000039219199</v>
      </c>
    </row>
    <row r="8528" spans="1:40" x14ac:dyDescent="0.25">
      <c r="A8528" t="str">
        <f>"20190312172315222"</f>
        <v>20190312172315222</v>
      </c>
      <c r="B8528" t="str">
        <f>"1552382595208671"</f>
        <v>1552382595208671</v>
      </c>
      <c r="C8528" t="s">
        <v>40</v>
      </c>
      <c r="D8528">
        <v>3.399524</v>
      </c>
      <c r="E8528">
        <v>0.54447970000000001</v>
      </c>
      <c r="F8528" t="s">
        <v>42</v>
      </c>
      <c r="G8528">
        <v>-154.27529999999999</v>
      </c>
      <c r="H8528" s="1">
        <v>-3.1297240000000001E-6</v>
      </c>
      <c r="I8528">
        <v>135.71770000000001</v>
      </c>
      <c r="J8528">
        <v>-169.86150000000001</v>
      </c>
      <c r="K8528">
        <v>1.091626</v>
      </c>
      <c r="L8528">
        <v>137.28290000000001</v>
      </c>
      <c r="M8528">
        <v>0.95689440000000003</v>
      </c>
      <c r="N8528">
        <v>0</v>
      </c>
      <c r="O8528">
        <v>0.28989130000000002</v>
      </c>
      <c r="P8528">
        <v>0.98504530000000001</v>
      </c>
      <c r="Q8528">
        <v>0.17123169999999999</v>
      </c>
      <c r="R8528">
        <v>1.9122159999999999E-2</v>
      </c>
      <c r="S8528">
        <v>3.0918429999999999</v>
      </c>
      <c r="T8528">
        <v>-0.21328349999999999</v>
      </c>
      <c r="U8528">
        <v>-0.29212949999999999</v>
      </c>
      <c r="V8528">
        <v>0.2752849</v>
      </c>
      <c r="W8528">
        <v>0.17617339999999901</v>
      </c>
      <c r="X8528">
        <v>0.94508259999999999</v>
      </c>
      <c r="Y8528">
        <v>0.37710900000000003</v>
      </c>
      <c r="Z8528">
        <v>-3.2744910000000002E-2</v>
      </c>
      <c r="AA8528">
        <v>0.92558989999999997</v>
      </c>
      <c r="AB8528">
        <v>37</v>
      </c>
      <c r="AC8528">
        <v>15.5862</v>
      </c>
      <c r="AD8528">
        <v>-1.0916291297239999</v>
      </c>
      <c r="AE8528">
        <v>-1.5651999999999999</v>
      </c>
      <c r="AF8528">
        <v>5.9879065748223397</v>
      </c>
      <c r="AG8528">
        <v>-1.0916291297239999</v>
      </c>
      <c r="AH8528">
        <v>14.392998215371</v>
      </c>
      <c r="AI8528">
        <v>94.005661482599706</v>
      </c>
      <c r="AJ8528">
        <v>67.411266514719699</v>
      </c>
      <c r="AK8528">
        <v>15.6270623257648</v>
      </c>
      <c r="AL8528">
        <v>79.853049850627599</v>
      </c>
      <c r="AM8528">
        <v>73.760145567746093</v>
      </c>
      <c r="AN8528">
        <v>0.99999998192916395</v>
      </c>
    </row>
    <row r="8529" spans="1:40" x14ac:dyDescent="0.25">
      <c r="A8529" t="str">
        <f>"20190312172315238"</f>
        <v>20190312172315238</v>
      </c>
      <c r="B8529" t="str">
        <f>"1552382595229167"</f>
        <v>1552382595229167</v>
      </c>
      <c r="C8529" t="s">
        <v>40</v>
      </c>
      <c r="D8529">
        <v>3.3718629999999998</v>
      </c>
      <c r="E8529">
        <v>0.54368669999999997</v>
      </c>
      <c r="F8529" t="s">
        <v>42</v>
      </c>
      <c r="G8529">
        <v>-154.29259999999999</v>
      </c>
      <c r="H8529" s="1">
        <v>-3.125946E-6</v>
      </c>
      <c r="I8529">
        <v>135.697</v>
      </c>
      <c r="J8529">
        <v>-169.57679999999999</v>
      </c>
      <c r="K8529">
        <v>1.0916709999999901</v>
      </c>
      <c r="L8529">
        <v>137.3623</v>
      </c>
      <c r="M8529">
        <v>0.96085290000000001</v>
      </c>
      <c r="N8529">
        <v>0</v>
      </c>
      <c r="O8529">
        <v>0.27648909999999999</v>
      </c>
      <c r="P8529">
        <v>0.98525949999999995</v>
      </c>
      <c r="Q8529">
        <v>0.17087769999999999</v>
      </c>
      <c r="R8529">
        <v>8.0462499999999996E-3</v>
      </c>
      <c r="S8529">
        <v>3.0893099999999998</v>
      </c>
      <c r="T8529">
        <v>-0.21661050000000001</v>
      </c>
      <c r="U8529">
        <v>-0.31468200000000002</v>
      </c>
      <c r="V8529">
        <v>0.2726787</v>
      </c>
      <c r="W8529">
        <v>0.17596029999999999</v>
      </c>
      <c r="X8529">
        <v>0.94587759999999999</v>
      </c>
      <c r="Y8529">
        <v>0.37092350000000002</v>
      </c>
      <c r="Z8529">
        <v>-3.2146300000000003E-2</v>
      </c>
      <c r="AA8529">
        <v>0.92810680000000001</v>
      </c>
      <c r="AB8529">
        <v>37</v>
      </c>
      <c r="AC8529">
        <v>15.284199999999901</v>
      </c>
      <c r="AD8529">
        <v>-1.0916741259460001</v>
      </c>
      <c r="AE8529">
        <v>-1.6653</v>
      </c>
      <c r="AF8529">
        <v>5.7977120456339497</v>
      </c>
      <c r="AG8529">
        <v>-1.0916741259460001</v>
      </c>
      <c r="AH8529">
        <v>14.156303502833699</v>
      </c>
      <c r="AI8529">
        <v>94.081866060155605</v>
      </c>
      <c r="AJ8529">
        <v>67.728454127938207</v>
      </c>
      <c r="AK8529">
        <v>15.3364319913626</v>
      </c>
      <c r="AL8529">
        <v>79.865454221587697</v>
      </c>
      <c r="AM8529">
        <v>73.918724663822104</v>
      </c>
      <c r="AN8529">
        <v>1.0000000673957601</v>
      </c>
    </row>
    <row r="8530" spans="1:40" x14ac:dyDescent="0.25">
      <c r="A8530" t="str">
        <f>"20190312172315251"</f>
        <v>20190312172315251</v>
      </c>
      <c r="B8530" t="str">
        <f>"1552382595248688"</f>
        <v>1552382595248688</v>
      </c>
      <c r="C8530" t="s">
        <v>40</v>
      </c>
      <c r="D8530">
        <v>3.3843359999999998</v>
      </c>
      <c r="E8530">
        <v>0.54326839999999998</v>
      </c>
      <c r="F8530" t="s">
        <v>42</v>
      </c>
      <c r="G8530">
        <v>-154.1902</v>
      </c>
      <c r="H8530" s="1">
        <v>-3.178149E-6</v>
      </c>
      <c r="I8530">
        <v>135.65039999999999</v>
      </c>
      <c r="J8530">
        <v>-169.38390000000001</v>
      </c>
      <c r="K8530">
        <v>1.091704</v>
      </c>
      <c r="L8530">
        <v>137.41299999999899</v>
      </c>
      <c r="M8530">
        <v>0.96341480000000002</v>
      </c>
      <c r="N8530">
        <v>0</v>
      </c>
      <c r="O8530">
        <v>0.26742579999999999</v>
      </c>
      <c r="P8530">
        <v>0.98535189999999995</v>
      </c>
      <c r="Q8530">
        <v>0.1704861</v>
      </c>
      <c r="R8530">
        <v>4.0628569999999996E-3</v>
      </c>
      <c r="S8530">
        <v>3.0856629999999998</v>
      </c>
      <c r="T8530">
        <v>-0.21892600000000001</v>
      </c>
      <c r="U8530">
        <v>-0.34330749999999999</v>
      </c>
      <c r="V8530">
        <v>0.26756410000000003</v>
      </c>
      <c r="W8530">
        <v>0.17582790000000001</v>
      </c>
      <c r="X8530">
        <v>0.94736160000000003</v>
      </c>
      <c r="Y8530">
        <v>0.37079129999999999</v>
      </c>
      <c r="Z8530">
        <v>-3.188672E-2</v>
      </c>
      <c r="AA8530">
        <v>0.92816869999999996</v>
      </c>
      <c r="AB8530">
        <v>37</v>
      </c>
      <c r="AC8530">
        <v>15.1937</v>
      </c>
      <c r="AD8530">
        <v>-1.091707178149</v>
      </c>
      <c r="AE8530">
        <v>-1.76259999999999</v>
      </c>
      <c r="AF8530">
        <v>5.73300566208676</v>
      </c>
      <c r="AG8530">
        <v>-1.091707178149</v>
      </c>
      <c r="AH8530">
        <v>14.096892096942399</v>
      </c>
      <c r="AI8530">
        <v>94.103229564433605</v>
      </c>
      <c r="AJ8530">
        <v>67.869123204842495</v>
      </c>
      <c r="AK8530">
        <v>15.2571801220664</v>
      </c>
      <c r="AL8530">
        <v>79.873159633551197</v>
      </c>
      <c r="AM8530">
        <v>74.228685640063901</v>
      </c>
      <c r="AN8530">
        <v>0.99999999959088903</v>
      </c>
    </row>
    <row r="8531" spans="1:40" x14ac:dyDescent="0.25">
      <c r="A8531" t="str">
        <f>"20190312172315265"</f>
        <v>20190312172315265</v>
      </c>
      <c r="B8531" t="str">
        <f>"1552382595259424"</f>
        <v>1552382595259424</v>
      </c>
      <c r="C8531" t="s">
        <v>40</v>
      </c>
      <c r="D8531">
        <v>3.3617810000000001</v>
      </c>
      <c r="E8531">
        <v>0.53775189999999995</v>
      </c>
      <c r="F8531" t="s">
        <v>42</v>
      </c>
      <c r="G8531">
        <v>-154.18109999999999</v>
      </c>
      <c r="H8531" s="1">
        <v>-3.1784529999999999E-6</v>
      </c>
      <c r="I8531">
        <v>135.67080000000001</v>
      </c>
      <c r="J8531">
        <v>-169.17830000000001</v>
      </c>
      <c r="K8531">
        <v>1.0917380000000001</v>
      </c>
      <c r="L8531">
        <v>137.4657</v>
      </c>
      <c r="M8531">
        <v>0.9660436</v>
      </c>
      <c r="N8531">
        <v>0</v>
      </c>
      <c r="O8531">
        <v>0.25776929999999998</v>
      </c>
      <c r="P8531">
        <v>0.98542359999999896</v>
      </c>
      <c r="Q8531">
        <v>0.17008960000000001</v>
      </c>
      <c r="R8531">
        <v>-3.1715699999999999E-3</v>
      </c>
      <c r="S8531">
        <v>3.0843660000000002</v>
      </c>
      <c r="T8531">
        <v>-0.22148670000000001</v>
      </c>
      <c r="U8531">
        <v>-0.35345460000000001</v>
      </c>
      <c r="V8531">
        <v>0.26501469999999999</v>
      </c>
      <c r="W8531">
        <v>0.1755669</v>
      </c>
      <c r="X8531">
        <v>0.94812629999999998</v>
      </c>
      <c r="Y8531">
        <v>0.36455300000000002</v>
      </c>
      <c r="Z8531">
        <v>-3.1368800000000002E-2</v>
      </c>
      <c r="AA8531">
        <v>0.93065410000000004</v>
      </c>
      <c r="AB8531">
        <v>37</v>
      </c>
      <c r="AC8531">
        <v>14.997199999999999</v>
      </c>
      <c r="AD8531">
        <v>-1.09174117845299</v>
      </c>
      <c r="AE8531">
        <v>-1.79489999999998</v>
      </c>
      <c r="AF8531">
        <v>5.5715425121615496</v>
      </c>
      <c r="AG8531">
        <v>-1.09174117845299</v>
      </c>
      <c r="AH8531">
        <v>13.9545814025574</v>
      </c>
      <c r="AI8531">
        <v>94.155701753522393</v>
      </c>
      <c r="AJ8531">
        <v>68.235021896150201</v>
      </c>
      <c r="AK8531">
        <v>15.0653352729421</v>
      </c>
      <c r="AL8531">
        <v>79.888350178908098</v>
      </c>
      <c r="AM8531">
        <v>74.383571126592102</v>
      </c>
      <c r="AN8531">
        <v>1.0000000041716901</v>
      </c>
    </row>
    <row r="8532" spans="1:40" x14ac:dyDescent="0.25">
      <c r="A8532" t="str">
        <f>"20190312172315277"</f>
        <v>20190312172315277</v>
      </c>
      <c r="B8532" t="str">
        <f>"1552382595269184"</f>
        <v>1552382595269184</v>
      </c>
      <c r="C8532" t="s">
        <v>40</v>
      </c>
      <c r="D8532">
        <v>3.354358</v>
      </c>
      <c r="E8532">
        <v>0.53731969999999996</v>
      </c>
      <c r="F8532" t="s">
        <v>42</v>
      </c>
      <c r="G8532">
        <v>-154.62</v>
      </c>
      <c r="H8532" s="1">
        <v>-2.9500699999999999E-6</v>
      </c>
      <c r="I8532">
        <v>135.89670000000001</v>
      </c>
      <c r="J8532">
        <v>-168.94370000000001</v>
      </c>
      <c r="K8532">
        <v>1.091785</v>
      </c>
      <c r="L8532">
        <v>137.5231</v>
      </c>
      <c r="M8532">
        <v>0.96891110000000003</v>
      </c>
      <c r="N8532">
        <v>0</v>
      </c>
      <c r="O8532">
        <v>0.2467732</v>
      </c>
      <c r="P8532">
        <v>0.98540300000000003</v>
      </c>
      <c r="Q8532">
        <v>0.1698286</v>
      </c>
      <c r="R8532">
        <v>-1.180401E-2</v>
      </c>
      <c r="S8532">
        <v>3.0832060000000001</v>
      </c>
      <c r="T8532">
        <v>-0.2312129</v>
      </c>
      <c r="U8532">
        <v>-0.3322754</v>
      </c>
      <c r="V8532">
        <v>0.262517</v>
      </c>
      <c r="W8532">
        <v>0.17544009999999999</v>
      </c>
      <c r="X8532">
        <v>0.94884440000000003</v>
      </c>
      <c r="Y8532">
        <v>0.34757500000000002</v>
      </c>
      <c r="Z8532">
        <v>-3.1322860000000001E-2</v>
      </c>
      <c r="AA8532">
        <v>0.93712879999999998</v>
      </c>
      <c r="AB8532">
        <v>37</v>
      </c>
      <c r="AC8532">
        <v>14.323700000000001</v>
      </c>
      <c r="AD8532">
        <v>-1.0917879500700001</v>
      </c>
      <c r="AE8532">
        <v>-1.6263999999999801</v>
      </c>
      <c r="AF8532">
        <v>5.0821944912142802</v>
      </c>
      <c r="AG8532">
        <v>-1.0917879500700001</v>
      </c>
      <c r="AH8532">
        <v>13.4022838293431</v>
      </c>
      <c r="AI8532">
        <v>94.355822169960405</v>
      </c>
      <c r="AJ8532">
        <v>69.233091460345804</v>
      </c>
      <c r="AK8532">
        <v>14.3750448213812</v>
      </c>
      <c r="AL8532">
        <v>79.895730289429906</v>
      </c>
      <c r="AM8532">
        <v>74.534817847306002</v>
      </c>
      <c r="AN8532">
        <v>1.0000000496941801</v>
      </c>
    </row>
    <row r="8533" spans="1:40" x14ac:dyDescent="0.25">
      <c r="A8533" t="str">
        <f>"20190312172315296"</f>
        <v>20190312172315296</v>
      </c>
      <c r="B8533" t="str">
        <f>"1552382595288707"</f>
        <v>1552382595288707</v>
      </c>
      <c r="C8533" t="s">
        <v>40</v>
      </c>
      <c r="D8533">
        <v>3.361405</v>
      </c>
      <c r="E8533">
        <v>0.53679849999999996</v>
      </c>
      <c r="F8533" t="s">
        <v>42</v>
      </c>
      <c r="G8533">
        <v>-154.42869999999999</v>
      </c>
      <c r="H8533" s="1">
        <v>-3.041194E-6</v>
      </c>
      <c r="I8533">
        <v>135.84569999999999</v>
      </c>
      <c r="J8533">
        <v>-168.6515</v>
      </c>
      <c r="K8533">
        <v>1.0918559999999999</v>
      </c>
      <c r="L8533">
        <v>137.59010000000001</v>
      </c>
      <c r="M8533">
        <v>0.97228460000000005</v>
      </c>
      <c r="N8533">
        <v>0</v>
      </c>
      <c r="O8533">
        <v>0.2331297</v>
      </c>
      <c r="P8533">
        <v>0.98544480000000001</v>
      </c>
      <c r="Q8533">
        <v>0.16875960000000001</v>
      </c>
      <c r="R8533">
        <v>-2.0465870000000001E-2</v>
      </c>
      <c r="S8533">
        <v>3.0801240000000001</v>
      </c>
      <c r="T8533">
        <v>-0.23168050000000001</v>
      </c>
      <c r="U8533">
        <v>-0.35594179999999997</v>
      </c>
      <c r="V8533">
        <v>0.25747189999999998</v>
      </c>
      <c r="W8533">
        <v>0.1746336</v>
      </c>
      <c r="X8533">
        <v>0.95037430000000001</v>
      </c>
      <c r="Y8533">
        <v>0.34165319999999999</v>
      </c>
      <c r="Z8533">
        <v>-3.018119E-2</v>
      </c>
      <c r="AA8533">
        <v>0.93934139999999999</v>
      </c>
      <c r="AB8533">
        <v>37</v>
      </c>
      <c r="AC8533">
        <v>14.222799999999999</v>
      </c>
      <c r="AD8533">
        <v>-1.0918590411939999</v>
      </c>
      <c r="AE8533">
        <v>-1.7444000000000099</v>
      </c>
      <c r="AF8533">
        <v>4.9836601450940803</v>
      </c>
      <c r="AG8533">
        <v>-1.0918590411939999</v>
      </c>
      <c r="AH8533">
        <v>13.3465499620901</v>
      </c>
      <c r="AI8533">
        <v>94.382561995114102</v>
      </c>
      <c r="AJ8533">
        <v>69.524148105219496</v>
      </c>
      <c r="AK8533">
        <v>14.2884366009093</v>
      </c>
      <c r="AL8533">
        <v>79.942663313133096</v>
      </c>
      <c r="AM8533">
        <v>74.841502637608201</v>
      </c>
      <c r="AN8533">
        <v>0.99999999181952903</v>
      </c>
    </row>
    <row r="8534" spans="1:40" x14ac:dyDescent="0.25">
      <c r="A8534" t="str">
        <f>"20190312172315312"</f>
        <v>20190312172315312</v>
      </c>
      <c r="B8534" t="str">
        <f>"1552382595299439"</f>
        <v>1552382595299439</v>
      </c>
      <c r="C8534" t="s">
        <v>40</v>
      </c>
      <c r="D8534">
        <v>3.3906160000000001</v>
      </c>
      <c r="E8534">
        <v>0.53623659999999995</v>
      </c>
      <c r="F8534" t="s">
        <v>42</v>
      </c>
      <c r="G8534">
        <v>-154.3287</v>
      </c>
      <c r="H8534" s="1">
        <v>-3.0871329999999999E-6</v>
      </c>
      <c r="I8534">
        <v>135.82859999999999</v>
      </c>
      <c r="J8534">
        <v>-168.40960000000001</v>
      </c>
      <c r="K8534">
        <v>1.0919219999999901</v>
      </c>
      <c r="L8534">
        <v>137.6422</v>
      </c>
      <c r="M8534">
        <v>0.97491220000000001</v>
      </c>
      <c r="N8534">
        <v>0</v>
      </c>
      <c r="O8534">
        <v>0.2218871</v>
      </c>
      <c r="P8534">
        <v>0.98527799999999999</v>
      </c>
      <c r="Q8534">
        <v>0.1684734</v>
      </c>
      <c r="R8534">
        <v>-2.905541E-2</v>
      </c>
      <c r="S8534">
        <v>3.0766140000000002</v>
      </c>
      <c r="T8534">
        <v>-0.2345372</v>
      </c>
      <c r="U8534">
        <v>-0.37837219999999999</v>
      </c>
      <c r="V8534">
        <v>0.25474469999999999</v>
      </c>
      <c r="W8534">
        <v>0.1744946</v>
      </c>
      <c r="X8534">
        <v>0.95113440000000005</v>
      </c>
      <c r="Y8534">
        <v>0.33767970000000003</v>
      </c>
      <c r="Z8534">
        <v>-2.9585449999999999E-2</v>
      </c>
      <c r="AA8534">
        <v>0.94079599999999997</v>
      </c>
      <c r="AB8534">
        <v>37</v>
      </c>
      <c r="AC8534">
        <v>14.0809</v>
      </c>
      <c r="AD8534">
        <v>-1.09192508713299</v>
      </c>
      <c r="AE8534">
        <v>-1.8136000000000001</v>
      </c>
      <c r="AF8534">
        <v>4.8644600964419098</v>
      </c>
      <c r="AG8534">
        <v>-1.09192508713299</v>
      </c>
      <c r="AH8534">
        <v>13.2489361786511</v>
      </c>
      <c r="AI8534">
        <v>94.4239429536768</v>
      </c>
      <c r="AJ8534">
        <v>69.838858048023795</v>
      </c>
      <c r="AK8534">
        <v>14.1559027367298</v>
      </c>
      <c r="AL8534">
        <v>79.950751061655893</v>
      </c>
      <c r="AM8534">
        <v>75.006238525176499</v>
      </c>
      <c r="AN8534">
        <v>0.999999937235303</v>
      </c>
    </row>
    <row r="8535" spans="1:40" x14ac:dyDescent="0.25">
      <c r="A8535" t="str">
        <f>"20190312172315329"</f>
        <v>20190312172315329</v>
      </c>
      <c r="B8535" t="str">
        <f>"1552382595318959"</f>
        <v>1552382595318959</v>
      </c>
      <c r="C8535" t="s">
        <v>40</v>
      </c>
      <c r="D8535">
        <v>3.3417150000000002</v>
      </c>
      <c r="E8535">
        <v>0.53557600000000005</v>
      </c>
      <c r="F8535" t="s">
        <v>42</v>
      </c>
      <c r="G8535">
        <v>-154.11779999999999</v>
      </c>
      <c r="H8535" s="1">
        <v>-3.186548E-6</v>
      </c>
      <c r="I8535">
        <v>135.7782</v>
      </c>
      <c r="J8535">
        <v>-168.1165</v>
      </c>
      <c r="K8535">
        <v>1.0920099999999999</v>
      </c>
      <c r="L8535">
        <v>137.70160000000001</v>
      </c>
      <c r="M8535">
        <v>0.97790120000000003</v>
      </c>
      <c r="N8535">
        <v>0</v>
      </c>
      <c r="O8535">
        <v>0.2083219</v>
      </c>
      <c r="P8535">
        <v>0.98518740000000005</v>
      </c>
      <c r="Q8535">
        <v>0.16764209999999999</v>
      </c>
      <c r="R8535">
        <v>-3.6080760000000003E-2</v>
      </c>
      <c r="S8535">
        <v>3.0731510000000002</v>
      </c>
      <c r="T8535">
        <v>-0.2347949</v>
      </c>
      <c r="U8535">
        <v>-0.40078740000000002</v>
      </c>
      <c r="V8535">
        <v>0.248248</v>
      </c>
      <c r="W8535">
        <v>0.17399500000000001</v>
      </c>
      <c r="X8535">
        <v>0.95294210000000001</v>
      </c>
      <c r="Y8535">
        <v>0.3315361</v>
      </c>
      <c r="Z8535">
        <v>-2.8388170000000001E-2</v>
      </c>
      <c r="AA8535">
        <v>0.9430153</v>
      </c>
      <c r="AB8535">
        <v>37</v>
      </c>
      <c r="AC8535">
        <v>13.998699999999999</v>
      </c>
      <c r="AD8535">
        <v>-1.0920131865480001</v>
      </c>
      <c r="AE8535">
        <v>-1.92340000000001</v>
      </c>
      <c r="AF8535">
        <v>4.7693923092512902</v>
      </c>
      <c r="AG8535">
        <v>-1.0920131865480001</v>
      </c>
      <c r="AH8535">
        <v>13.2118196454543</v>
      </c>
      <c r="AI8535">
        <v>94.445443309751894</v>
      </c>
      <c r="AJ8535">
        <v>70.150703786569593</v>
      </c>
      <c r="AK8535">
        <v>14.0887108758449</v>
      </c>
      <c r="AL8535">
        <v>79.979821243769607</v>
      </c>
      <c r="AM8535">
        <v>75.398582506198096</v>
      </c>
      <c r="AN8535">
        <v>0.99999998774070398</v>
      </c>
    </row>
    <row r="8536" spans="1:40" x14ac:dyDescent="0.25">
      <c r="A8536" t="str">
        <f>"20190312172315346"</f>
        <v>20190312172315346</v>
      </c>
      <c r="B8536" t="str">
        <f>"1552382595338480"</f>
        <v>1552382595338480</v>
      </c>
      <c r="C8536" t="s">
        <v>40</v>
      </c>
      <c r="D8536">
        <v>3.3381370000000001</v>
      </c>
      <c r="E8536">
        <v>0.53102700000000003</v>
      </c>
      <c r="F8536" t="s">
        <v>42</v>
      </c>
      <c r="G8536">
        <v>-154.03559999999999</v>
      </c>
      <c r="H8536" s="1">
        <v>-3.2203490000000002E-6</v>
      </c>
      <c r="I8536">
        <v>135.78649999999999</v>
      </c>
      <c r="J8536">
        <v>-167.84889999999999</v>
      </c>
      <c r="K8536">
        <v>1.092104</v>
      </c>
      <c r="L8536">
        <v>137.75219999999999</v>
      </c>
      <c r="M8536">
        <v>0.9804446</v>
      </c>
      <c r="N8536">
        <v>0</v>
      </c>
      <c r="O8536">
        <v>0.19600600000000001</v>
      </c>
      <c r="P8536">
        <v>0.98486700000000005</v>
      </c>
      <c r="Q8536">
        <v>0.16741900000000001</v>
      </c>
      <c r="R8536">
        <v>-4.480986E-2</v>
      </c>
      <c r="S8536">
        <v>3.0703279999999999</v>
      </c>
      <c r="T8536">
        <v>-0.2381113</v>
      </c>
      <c r="U8536">
        <v>-0.417572</v>
      </c>
      <c r="V8536">
        <v>0.2446547</v>
      </c>
      <c r="W8536">
        <v>0.1739626</v>
      </c>
      <c r="X8536">
        <v>0.95387690000000003</v>
      </c>
      <c r="Y8536">
        <v>0.3248547</v>
      </c>
      <c r="Z8536">
        <v>-2.7607690000000001E-2</v>
      </c>
      <c r="AA8536">
        <v>0.94536089999999995</v>
      </c>
      <c r="AB8536">
        <v>36</v>
      </c>
      <c r="AC8536">
        <v>13.8132999999999</v>
      </c>
      <c r="AD8536">
        <v>-1.0921072203489901</v>
      </c>
      <c r="AE8536">
        <v>-1.96569999999999</v>
      </c>
      <c r="AF8536">
        <v>4.60724093926218</v>
      </c>
      <c r="AG8536">
        <v>-1.0921072203489901</v>
      </c>
      <c r="AH8536">
        <v>13.079790221867899</v>
      </c>
      <c r="AI8536">
        <v>94.502920457814895</v>
      </c>
      <c r="AJ8536">
        <v>70.595636474196496</v>
      </c>
      <c r="AK8536">
        <v>13.9104377897039</v>
      </c>
      <c r="AL8536">
        <v>79.981706747431502</v>
      </c>
      <c r="AM8536">
        <v>75.614610661700993</v>
      </c>
      <c r="AN8536">
        <v>1.00000002439222</v>
      </c>
    </row>
    <row r="8537" spans="1:40" x14ac:dyDescent="0.25">
      <c r="A8537" t="str">
        <f>"20190312172315363"</f>
        <v>20190312172315363</v>
      </c>
      <c r="B8537" t="str">
        <f>"1552382595358975"</f>
        <v>1552382595358975</v>
      </c>
      <c r="C8537" t="s">
        <v>40</v>
      </c>
      <c r="D8537">
        <v>3.3608060000000002</v>
      </c>
      <c r="E8537">
        <v>0.53078289999999995</v>
      </c>
      <c r="F8537" t="s">
        <v>42</v>
      </c>
      <c r="G8537">
        <v>-153.36750000000001</v>
      </c>
      <c r="H8537" s="1">
        <v>-3.5000739999999999E-6</v>
      </c>
      <c r="I8537">
        <v>135.8252</v>
      </c>
      <c r="J8537">
        <v>-167.5626</v>
      </c>
      <c r="K8537">
        <v>1.0922179999999999</v>
      </c>
      <c r="L8537">
        <v>137.80260000000001</v>
      </c>
      <c r="M8537">
        <v>0.98297239999999997</v>
      </c>
      <c r="N8537">
        <v>0</v>
      </c>
      <c r="O8537">
        <v>0.18291160000000001</v>
      </c>
      <c r="P8537">
        <v>0.98465689999999995</v>
      </c>
      <c r="Q8537">
        <v>0.16725409999999999</v>
      </c>
      <c r="R8537">
        <v>-4.9767739999999998E-2</v>
      </c>
      <c r="S8537">
        <v>3.0668329999999999</v>
      </c>
      <c r="T8537">
        <v>-0.23128370000000001</v>
      </c>
      <c r="U8537">
        <v>-0.40809630000000002</v>
      </c>
      <c r="V8537">
        <v>0.23665849999999999</v>
      </c>
      <c r="W8537">
        <v>0.1741946</v>
      </c>
      <c r="X8537">
        <v>0.95584990000000003</v>
      </c>
      <c r="Y8537">
        <v>0.30964170000000002</v>
      </c>
      <c r="Z8537">
        <v>-2.53081E-2</v>
      </c>
      <c r="AA8537">
        <v>0.95051649999999999</v>
      </c>
      <c r="AB8537">
        <v>36</v>
      </c>
      <c r="AC8537">
        <v>14.195099999999901</v>
      </c>
      <c r="AD8537">
        <v>-1.0922215000740001</v>
      </c>
      <c r="AE8537">
        <v>-1.97740000000001</v>
      </c>
      <c r="AF8537">
        <v>4.5146594029381903</v>
      </c>
      <c r="AG8537">
        <v>-1.0922215000740001</v>
      </c>
      <c r="AH8537">
        <v>13.515308150177599</v>
      </c>
      <c r="AI8537">
        <v>94.383167595404899</v>
      </c>
      <c r="AJ8537">
        <v>71.528596408938</v>
      </c>
      <c r="AK8537">
        <v>14.291208896521599</v>
      </c>
      <c r="AL8537">
        <v>79.968207958459303</v>
      </c>
      <c r="AM8537">
        <v>76.093811633387602</v>
      </c>
      <c r="AN8537">
        <v>1.00000001781071</v>
      </c>
    </row>
    <row r="8538" spans="1:40" x14ac:dyDescent="0.25">
      <c r="A8538" t="str">
        <f>"20190312172315379"</f>
        <v>20190312172315379</v>
      </c>
      <c r="B8538" t="str">
        <f>"1552382595368736"</f>
        <v>1552382595368736</v>
      </c>
      <c r="C8538" t="s">
        <v>40</v>
      </c>
      <c r="D8538">
        <v>3.3269229999999999</v>
      </c>
      <c r="E8538">
        <v>0.51162959999999902</v>
      </c>
      <c r="F8538" t="s">
        <v>42</v>
      </c>
      <c r="G8538">
        <v>-153.14580000000001</v>
      </c>
      <c r="H8538" s="1">
        <v>-3.5966660000000001E-6</v>
      </c>
      <c r="I8538">
        <v>135.8168</v>
      </c>
      <c r="J8538">
        <v>-167.29949999999999</v>
      </c>
      <c r="K8538">
        <v>1.0923290000000001</v>
      </c>
      <c r="L8538">
        <v>137.84549999999999</v>
      </c>
      <c r="M8538">
        <v>0.98512129999999998</v>
      </c>
      <c r="N8538">
        <v>0</v>
      </c>
      <c r="O8538">
        <v>0.17096520000000001</v>
      </c>
      <c r="P8538">
        <v>0.98425980000000002</v>
      </c>
      <c r="Q8538">
        <v>0.1672979</v>
      </c>
      <c r="R8538">
        <v>-5.6959320000000001E-2</v>
      </c>
      <c r="S8538">
        <v>3.064835</v>
      </c>
      <c r="T8538">
        <v>-0.2321937</v>
      </c>
      <c r="U8538">
        <v>-0.42214970000000002</v>
      </c>
      <c r="V8538">
        <v>0.23197599999999999</v>
      </c>
      <c r="W8538">
        <v>0.17447679999999999</v>
      </c>
      <c r="X8538">
        <v>0.95694570000000001</v>
      </c>
      <c r="Y8538">
        <v>0.30249799999999999</v>
      </c>
      <c r="Z8538">
        <v>-2.425422E-2</v>
      </c>
      <c r="AA8538">
        <v>0.95284139999999995</v>
      </c>
      <c r="AB8538">
        <v>36</v>
      </c>
      <c r="AC8538">
        <v>14.153699999999899</v>
      </c>
      <c r="AD8538">
        <v>-1.092332596666</v>
      </c>
      <c r="AE8538">
        <v>-2.0286999999999802</v>
      </c>
      <c r="AF8538">
        <v>4.3933430488698297</v>
      </c>
      <c r="AG8538">
        <v>-1.092332596666</v>
      </c>
      <c r="AH8538">
        <v>13.519457581684399</v>
      </c>
      <c r="AI8538">
        <v>94.394062896219694</v>
      </c>
      <c r="AJ8538">
        <v>71.997680873795204</v>
      </c>
      <c r="AK8538">
        <v>14.2572924129989</v>
      </c>
      <c r="AL8538">
        <v>79.951787914838505</v>
      </c>
      <c r="AM8538">
        <v>76.373617939895695</v>
      </c>
      <c r="AN8538">
        <v>1.00000004553136</v>
      </c>
    </row>
    <row r="8539" spans="1:40" x14ac:dyDescent="0.25">
      <c r="A8539" t="str">
        <f>"20190312172315397"</f>
        <v>20190312172315397</v>
      </c>
      <c r="B8539" t="str">
        <f>"1552382595389231"</f>
        <v>1552382595389231</v>
      </c>
      <c r="C8539" t="s">
        <v>40</v>
      </c>
      <c r="D8539">
        <v>3.2724299999999999</v>
      </c>
      <c r="E8539">
        <v>0.50162359999999995</v>
      </c>
      <c r="F8539" t="s">
        <v>42</v>
      </c>
      <c r="G8539">
        <v>-150.11799999999999</v>
      </c>
      <c r="H8539" s="1">
        <v>-4.8250829999999999E-6</v>
      </c>
      <c r="I8539">
        <v>136.21430000000001</v>
      </c>
      <c r="J8539">
        <v>-167.01910000000001</v>
      </c>
      <c r="K8539">
        <v>1.092463</v>
      </c>
      <c r="L8539">
        <v>137.887</v>
      </c>
      <c r="M8539">
        <v>0.98722779999999999</v>
      </c>
      <c r="N8539">
        <v>0</v>
      </c>
      <c r="O8539">
        <v>0.15835469999999999</v>
      </c>
      <c r="P8539">
        <v>0.98417500000000002</v>
      </c>
      <c r="Q8539">
        <v>0.16699240000000001</v>
      </c>
      <c r="R8539">
        <v>-5.9274569999999999E-2</v>
      </c>
      <c r="S8539">
        <v>3.0642399999999999</v>
      </c>
      <c r="T8539">
        <v>-0.19481299999999999</v>
      </c>
      <c r="U8539">
        <v>-0.29090880000000002</v>
      </c>
      <c r="V8539">
        <v>0.2218947</v>
      </c>
      <c r="W8539">
        <v>0.17465839999999999</v>
      </c>
      <c r="X8539">
        <v>0.95930029999999999</v>
      </c>
      <c r="Y8539">
        <v>0.25017020000000001</v>
      </c>
      <c r="Z8539">
        <v>-1.795012E-2</v>
      </c>
      <c r="AA8539">
        <v>0.96803550000000005</v>
      </c>
      <c r="AB8539">
        <v>36</v>
      </c>
      <c r="AC8539">
        <v>16.9011</v>
      </c>
      <c r="AD8539">
        <v>-1.092467825083</v>
      </c>
      <c r="AE8539">
        <v>-1.6726999999999901</v>
      </c>
      <c r="AF8539">
        <v>4.3105293393755897</v>
      </c>
      <c r="AG8539">
        <v>-1.092467825083</v>
      </c>
      <c r="AH8539">
        <v>16.3551889258746</v>
      </c>
      <c r="AI8539">
        <v>93.695643649080793</v>
      </c>
      <c r="AJ8539">
        <v>75.235037482783696</v>
      </c>
      <c r="AK8539">
        <v>16.948933710871302</v>
      </c>
      <c r="AL8539">
        <v>79.941219673127904</v>
      </c>
      <c r="AM8539">
        <v>76.976029161085805</v>
      </c>
      <c r="AN8539">
        <v>0.99999994007936799</v>
      </c>
    </row>
    <row r="8540" spans="1:40" x14ac:dyDescent="0.25">
      <c r="A8540" t="str">
        <f>"20190312172315419"</f>
        <v>20190312172315419</v>
      </c>
      <c r="B8540" t="str">
        <f>"1552382595408752"</f>
        <v>1552382595408752</v>
      </c>
      <c r="C8540" t="s">
        <v>40</v>
      </c>
      <c r="D8540">
        <v>3.289263</v>
      </c>
      <c r="E8540">
        <v>0.49803039999999998</v>
      </c>
      <c r="F8540" t="s">
        <v>42</v>
      </c>
      <c r="G8540">
        <v>-147.87700000000001</v>
      </c>
      <c r="H8540" s="1">
        <v>-1.530499E-6</v>
      </c>
      <c r="I8540">
        <v>136.52690000000001</v>
      </c>
      <c r="J8540">
        <v>-166.65049999999999</v>
      </c>
      <c r="K8540">
        <v>1.092668</v>
      </c>
      <c r="L8540">
        <v>137.9365</v>
      </c>
      <c r="M8540">
        <v>0.98971889999999996</v>
      </c>
      <c r="N8540">
        <v>0</v>
      </c>
      <c r="O8540">
        <v>0.1419636</v>
      </c>
      <c r="P8540">
        <v>0.98394749999999997</v>
      </c>
      <c r="Q8540">
        <v>0.16634399999999999</v>
      </c>
      <c r="R8540">
        <v>-6.4631519999999998E-2</v>
      </c>
      <c r="S8540">
        <v>3.0647890000000002</v>
      </c>
      <c r="T8540">
        <v>-0.1749116</v>
      </c>
      <c r="U8540">
        <v>-0.21774289999999999</v>
      </c>
      <c r="V8540">
        <v>0.21107609999999999</v>
      </c>
      <c r="W8540">
        <v>0.17453679999999999</v>
      </c>
      <c r="X8540">
        <v>0.96176079999999997</v>
      </c>
      <c r="Y8540">
        <v>0.211206</v>
      </c>
      <c r="Z8540">
        <v>-1.409057E-2</v>
      </c>
      <c r="AA8540">
        <v>0.97733999999999999</v>
      </c>
      <c r="AB8540">
        <v>36</v>
      </c>
      <c r="AC8540">
        <v>18.773499999999899</v>
      </c>
      <c r="AD8540">
        <v>-1.092669530499</v>
      </c>
      <c r="AE8540">
        <v>-1.40959999999998</v>
      </c>
      <c r="AF8540">
        <v>4.04724291813565</v>
      </c>
      <c r="AG8540">
        <v>-1.092669530499</v>
      </c>
      <c r="AH8540">
        <v>18.3214425545689</v>
      </c>
      <c r="AI8540">
        <v>93.332849620972695</v>
      </c>
      <c r="AJ8540">
        <v>77.543297042572405</v>
      </c>
      <c r="AK8540">
        <v>18.794929082644799</v>
      </c>
      <c r="AL8540">
        <v>79.948296393710507</v>
      </c>
      <c r="AM8540">
        <v>77.6216372411712</v>
      </c>
      <c r="AN8540">
        <v>1.0000000254810399</v>
      </c>
    </row>
    <row r="8541" spans="1:40" x14ac:dyDescent="0.25">
      <c r="A8541" t="str">
        <f>"20190312172315441"</f>
        <v>20190312172315441</v>
      </c>
      <c r="B8541" t="str">
        <f>"1552382595439008"</f>
        <v>1552382595439008</v>
      </c>
      <c r="C8541" t="s">
        <v>40</v>
      </c>
      <c r="D8541">
        <v>3.2541250000000002</v>
      </c>
      <c r="E8541">
        <v>0.49506689999999998</v>
      </c>
      <c r="F8541" t="s">
        <v>42</v>
      </c>
      <c r="G8541">
        <v>-146.35149999999999</v>
      </c>
      <c r="H8541" s="1">
        <v>-2.0867249999999999E-6</v>
      </c>
      <c r="I8541">
        <v>136.5763</v>
      </c>
      <c r="J8541">
        <v>-166.2901</v>
      </c>
      <c r="K8541">
        <v>1.092902</v>
      </c>
      <c r="L8541">
        <v>137.9786</v>
      </c>
      <c r="M8541">
        <v>0.99185259999999997</v>
      </c>
      <c r="N8541">
        <v>0</v>
      </c>
      <c r="O8541">
        <v>0.12620719999999999</v>
      </c>
      <c r="P8541">
        <v>0.9835798</v>
      </c>
      <c r="Q8541">
        <v>0.16655200000000001</v>
      </c>
      <c r="R8541">
        <v>-6.9511890000000007E-2</v>
      </c>
      <c r="S8541">
        <v>3.063339</v>
      </c>
      <c r="T8541">
        <v>-0.1648956</v>
      </c>
      <c r="U8541">
        <v>-0.2052612</v>
      </c>
      <c r="V8541">
        <v>0.20042289999999999</v>
      </c>
      <c r="W8541">
        <v>0.17525750000000001</v>
      </c>
      <c r="X8541">
        <v>0.96390629999999999</v>
      </c>
      <c r="Y8541">
        <v>0.19180620000000001</v>
      </c>
      <c r="Z8541">
        <v>-1.192847E-2</v>
      </c>
      <c r="AA8541">
        <v>0.98136029999999996</v>
      </c>
      <c r="AB8541">
        <v>36</v>
      </c>
      <c r="AC8541">
        <v>19.938600000000001</v>
      </c>
      <c r="AD8541">
        <v>-1.0929040867249999</v>
      </c>
      <c r="AE8541">
        <v>-1.4022999999999901</v>
      </c>
      <c r="AF8541">
        <v>3.8962077127222301</v>
      </c>
      <c r="AG8541">
        <v>-1.0929040867249999</v>
      </c>
      <c r="AH8541">
        <v>19.543683701587199</v>
      </c>
      <c r="AI8541">
        <v>93.139064335860297</v>
      </c>
      <c r="AJ8541">
        <v>78.725390212209206</v>
      </c>
      <c r="AK8541">
        <v>19.958217518384298</v>
      </c>
      <c r="AL8541">
        <v>79.906356055185299</v>
      </c>
      <c r="AM8541">
        <v>78.253982622412906</v>
      </c>
      <c r="AN8541">
        <v>0.999999942665173</v>
      </c>
    </row>
    <row r="8542" spans="1:40" x14ac:dyDescent="0.25">
      <c r="A8542" t="str">
        <f>"20190312172315464"</f>
        <v>20190312172315464</v>
      </c>
      <c r="B8542" t="str">
        <f>"1552382595458527"</f>
        <v>1552382595458527</v>
      </c>
      <c r="C8542" t="s">
        <v>40</v>
      </c>
      <c r="D8542">
        <v>3.2439830000000001</v>
      </c>
      <c r="E8542">
        <v>0.49381940000000002</v>
      </c>
      <c r="F8542" t="s">
        <v>42</v>
      </c>
      <c r="G8542">
        <v>-145.39439999999999</v>
      </c>
      <c r="H8542" s="1">
        <v>-2.4876230000000001E-6</v>
      </c>
      <c r="I8542">
        <v>136.631</v>
      </c>
      <c r="J8542">
        <v>-165.92089999999999</v>
      </c>
      <c r="K8542">
        <v>1.093181</v>
      </c>
      <c r="L8542">
        <v>138.0155</v>
      </c>
      <c r="M8542">
        <v>0.99373959999999995</v>
      </c>
      <c r="N8542">
        <v>0</v>
      </c>
      <c r="O8542">
        <v>0.1103816</v>
      </c>
      <c r="P8542">
        <v>0.98307089999999997</v>
      </c>
      <c r="Q8542">
        <v>0.16721449999999999</v>
      </c>
      <c r="R8542">
        <v>-7.4905929999999996E-2</v>
      </c>
      <c r="S8542">
        <v>3.0632630000000001</v>
      </c>
      <c r="T8542">
        <v>-0.16021679999999999</v>
      </c>
      <c r="U8542">
        <v>-0.1975403</v>
      </c>
      <c r="V8542">
        <v>0.19020970000000001</v>
      </c>
      <c r="W8542">
        <v>0.17640620000000001</v>
      </c>
      <c r="X8542">
        <v>0.96576450000000003</v>
      </c>
      <c r="Y8542">
        <v>0.17374210000000001</v>
      </c>
      <c r="Z8542">
        <v>-1.029626E-2</v>
      </c>
      <c r="AA8542">
        <v>0.98473739999999998</v>
      </c>
      <c r="AB8542">
        <v>36</v>
      </c>
      <c r="AC8542">
        <v>20.526499999999999</v>
      </c>
      <c r="AD8542">
        <v>-1.093183487623</v>
      </c>
      <c r="AE8542">
        <v>-1.3845000000000001</v>
      </c>
      <c r="AF8542">
        <v>3.6318676995847099</v>
      </c>
      <c r="AG8542">
        <v>-1.093183487623</v>
      </c>
      <c r="AH8542">
        <v>20.191175395972198</v>
      </c>
      <c r="AI8542">
        <v>93.050205399465796</v>
      </c>
      <c r="AJ8542">
        <v>79.803018541592607</v>
      </c>
      <c r="AK8542">
        <v>20.544319823148399</v>
      </c>
      <c r="AL8542">
        <v>79.839499078829107</v>
      </c>
      <c r="AM8542">
        <v>78.858060525733507</v>
      </c>
      <c r="AN8542">
        <v>0.99999997341638902</v>
      </c>
    </row>
    <row r="8543" spans="1:40" x14ac:dyDescent="0.25">
      <c r="A8543" t="str">
        <f>"20190312172315486"</f>
        <v>20190312172315486</v>
      </c>
      <c r="B8543" t="str">
        <f>"1552382595479023"</f>
        <v>1552382595479023</v>
      </c>
      <c r="C8543" t="s">
        <v>40</v>
      </c>
      <c r="D8543">
        <v>3.2464309999999998</v>
      </c>
      <c r="E8543">
        <v>0.4930098</v>
      </c>
      <c r="F8543" t="s">
        <v>42</v>
      </c>
      <c r="G8543">
        <v>-144.8133</v>
      </c>
      <c r="H8543" s="1">
        <v>-2.7424409999999999E-6</v>
      </c>
      <c r="I8543">
        <v>136.59970000000001</v>
      </c>
      <c r="J8543">
        <v>-165.55279999999999</v>
      </c>
      <c r="K8543">
        <v>1.093477</v>
      </c>
      <c r="L8543">
        <v>138.04650000000001</v>
      </c>
      <c r="M8543">
        <v>0.99533819999999995</v>
      </c>
      <c r="N8543">
        <v>0</v>
      </c>
      <c r="O8543">
        <v>9.4908069999999997E-2</v>
      </c>
      <c r="P8543">
        <v>0.98256980000000005</v>
      </c>
      <c r="Q8543">
        <v>0.1674292</v>
      </c>
      <c r="R8543">
        <v>-8.0773730000000002E-2</v>
      </c>
      <c r="S8543">
        <v>3.0629879999999998</v>
      </c>
      <c r="T8543">
        <v>-0.15863529999999901</v>
      </c>
      <c r="U8543">
        <v>-0.2054443</v>
      </c>
      <c r="V8543">
        <v>0.18080019999999999</v>
      </c>
      <c r="W8543">
        <v>0.17705989999999999</v>
      </c>
      <c r="X8543">
        <v>0.96745080000000006</v>
      </c>
      <c r="Y8543">
        <v>0.1609882</v>
      </c>
      <c r="Z8543">
        <v>-9.0670769999999998E-3</v>
      </c>
      <c r="AA8543">
        <v>0.98691470000000003</v>
      </c>
      <c r="AB8543">
        <v>36</v>
      </c>
      <c r="AC8543">
        <v>20.7394999999999</v>
      </c>
      <c r="AD8543">
        <v>-1.0934797424410001</v>
      </c>
      <c r="AE8543">
        <v>-1.4467999999999901</v>
      </c>
      <c r="AF8543">
        <v>3.3994985201643502</v>
      </c>
      <c r="AG8543">
        <v>-1.0934797424410001</v>
      </c>
      <c r="AH8543">
        <v>20.451943460279601</v>
      </c>
      <c r="AI8543">
        <v>93.019106713837203</v>
      </c>
      <c r="AJ8543">
        <v>80.562644154463896</v>
      </c>
      <c r="AK8543">
        <v>20.761365066830301</v>
      </c>
      <c r="AL8543">
        <v>79.801445947096695</v>
      </c>
      <c r="AM8543">
        <v>79.414494143087396</v>
      </c>
      <c r="AN8543">
        <v>0.99999998546434499</v>
      </c>
    </row>
    <row r="8544" spans="1:40" x14ac:dyDescent="0.25">
      <c r="A8544" t="str">
        <f>"20190312172315508"</f>
        <v>20190312172315508</v>
      </c>
      <c r="B8544" t="str">
        <f>"1552382595498544"</f>
        <v>1552382595498544</v>
      </c>
      <c r="C8544" t="s">
        <v>40</v>
      </c>
      <c r="D8544">
        <v>3.2651189999999999</v>
      </c>
      <c r="E8544">
        <v>0.49266070000000001</v>
      </c>
      <c r="F8544" t="s">
        <v>42</v>
      </c>
      <c r="G8544">
        <v>-144.2347</v>
      </c>
      <c r="H8544" s="1">
        <v>-3.0022560000000001E-6</v>
      </c>
      <c r="I8544">
        <v>136.5343</v>
      </c>
      <c r="J8544">
        <v>-165.20419999999999</v>
      </c>
      <c r="K8544">
        <v>1.093782</v>
      </c>
      <c r="L8544">
        <v>138.07069999999999</v>
      </c>
      <c r="M8544">
        <v>0.99660249999999995</v>
      </c>
      <c r="N8544">
        <v>0</v>
      </c>
      <c r="O8544">
        <v>8.0574649999999998E-2</v>
      </c>
      <c r="P8544">
        <v>0.98209709999999995</v>
      </c>
      <c r="Q8544">
        <v>0.16791020000000001</v>
      </c>
      <c r="R8544">
        <v>-8.539273E-2</v>
      </c>
      <c r="S8544">
        <v>3.062119</v>
      </c>
      <c r="T8544">
        <v>-0.15706719999999999</v>
      </c>
      <c r="U8544">
        <v>-0.21720890000000001</v>
      </c>
      <c r="V8544">
        <v>0.1712805</v>
      </c>
      <c r="W8544">
        <v>0.17797499999999999</v>
      </c>
      <c r="X8544">
        <v>0.96901389999999998</v>
      </c>
      <c r="Y8544">
        <v>0.15060799999999999</v>
      </c>
      <c r="Z8544">
        <v>-7.9805099999999997E-3</v>
      </c>
      <c r="AA8544">
        <v>0.98856129999999998</v>
      </c>
      <c r="AB8544">
        <v>36</v>
      </c>
      <c r="AC8544">
        <v>20.969499999999901</v>
      </c>
      <c r="AD8544">
        <v>-1.0937850022560001</v>
      </c>
      <c r="AE8544">
        <v>-1.53639999999998</v>
      </c>
      <c r="AF8544">
        <v>3.2125653271002901</v>
      </c>
      <c r="AG8544">
        <v>-1.0937850022560001</v>
      </c>
      <c r="AH8544">
        <v>20.721409843758899</v>
      </c>
      <c r="AI8544">
        <v>92.985961626330706</v>
      </c>
      <c r="AJ8544">
        <v>81.187250526773198</v>
      </c>
      <c r="AK8544">
        <v>20.997470503017201</v>
      </c>
      <c r="AL8544">
        <v>79.748168806927495</v>
      </c>
      <c r="AM8544">
        <v>79.976077157218498</v>
      </c>
      <c r="AN8544">
        <v>1.00000002434922</v>
      </c>
    </row>
    <row r="8545" spans="1:40" x14ac:dyDescent="0.25">
      <c r="A8545" t="str">
        <f>"20190312172315530"</f>
        <v>20190312172315530</v>
      </c>
      <c r="B8545" t="str">
        <f>"1552382595519040"</f>
        <v>1552382595519040</v>
      </c>
      <c r="C8545" t="s">
        <v>40</v>
      </c>
      <c r="D8545">
        <v>3.2621720000000001</v>
      </c>
      <c r="E8545">
        <v>0.49244320000000003</v>
      </c>
      <c r="F8545" t="s">
        <v>42</v>
      </c>
      <c r="G8545">
        <v>-143.4616</v>
      </c>
      <c r="H8545" s="1">
        <v>-3.3500609999999999E-6</v>
      </c>
      <c r="I8545">
        <v>136.4435</v>
      </c>
      <c r="J8545">
        <v>-164.83709999999999</v>
      </c>
      <c r="K8545">
        <v>1.0941339999999999</v>
      </c>
      <c r="L8545">
        <v>138.0907</v>
      </c>
      <c r="M8545">
        <v>0.99768440000000003</v>
      </c>
      <c r="N8545">
        <v>0</v>
      </c>
      <c r="O8545">
        <v>6.5862240000000002E-2</v>
      </c>
      <c r="P8545">
        <v>0.98166690000000001</v>
      </c>
      <c r="Q8545">
        <v>0.1678675</v>
      </c>
      <c r="R8545">
        <v>-9.0281109999999998E-2</v>
      </c>
      <c r="S8545">
        <v>3.0611269999999999</v>
      </c>
      <c r="T8545">
        <v>-0.15399270000000001</v>
      </c>
      <c r="U8545">
        <v>-0.22908020000000001</v>
      </c>
      <c r="V8545">
        <v>0.1616263</v>
      </c>
      <c r="W8545">
        <v>0.17836959999999999</v>
      </c>
      <c r="X8545">
        <v>0.97059839999999997</v>
      </c>
      <c r="Y8545">
        <v>0.13989360000000001</v>
      </c>
      <c r="Z8545">
        <v>-6.8188729999999996E-3</v>
      </c>
      <c r="AA8545">
        <v>0.99014310000000005</v>
      </c>
      <c r="AB8545">
        <v>36</v>
      </c>
      <c r="AC8545">
        <v>21.375499999999899</v>
      </c>
      <c r="AD8545">
        <v>-1.0941373500610001</v>
      </c>
      <c r="AE8545">
        <v>-1.64719999999999</v>
      </c>
      <c r="AF8545">
        <v>3.0437358394509899</v>
      </c>
      <c r="AG8545">
        <v>-1.0941373500610001</v>
      </c>
      <c r="AH8545">
        <v>21.165443272634999</v>
      </c>
      <c r="AI8545">
        <v>92.929163587410201</v>
      </c>
      <c r="AJ8545">
        <v>81.816578522434298</v>
      </c>
      <c r="AK8545">
        <v>21.4111525455377</v>
      </c>
      <c r="AL8545">
        <v>79.725192150296706</v>
      </c>
      <c r="AM8545">
        <v>80.5457247574154</v>
      </c>
      <c r="AN8545">
        <v>1.0000000145692001</v>
      </c>
    </row>
    <row r="8546" spans="1:40" x14ac:dyDescent="0.25">
      <c r="A8546" t="str">
        <f>"20190312172315553"</f>
        <v>20190312172315553</v>
      </c>
      <c r="B8546" t="str">
        <f>"1552382595549295"</f>
        <v>1552382595549295</v>
      </c>
      <c r="C8546" t="s">
        <v>40</v>
      </c>
      <c r="D8546">
        <v>3.2325469999999998</v>
      </c>
      <c r="E8546">
        <v>0.49176900000000001</v>
      </c>
      <c r="F8546" t="s">
        <v>42</v>
      </c>
      <c r="G8546">
        <v>-143.19159999999999</v>
      </c>
      <c r="H8546" s="1">
        <v>-3.4784119999999999E-6</v>
      </c>
      <c r="I8546">
        <v>136.37289999999999</v>
      </c>
      <c r="J8546">
        <v>-164.4709</v>
      </c>
      <c r="K8546">
        <v>1.094536</v>
      </c>
      <c r="L8546">
        <v>138.1054</v>
      </c>
      <c r="M8546">
        <v>0.99852350000000001</v>
      </c>
      <c r="N8546">
        <v>0</v>
      </c>
      <c r="O8546">
        <v>5.1635649999999998E-2</v>
      </c>
      <c r="P8546">
        <v>0.98123130000000003</v>
      </c>
      <c r="Q8546">
        <v>0.16788800000000001</v>
      </c>
      <c r="R8546">
        <v>-9.4863390000000006E-2</v>
      </c>
      <c r="S8546">
        <v>3.06012</v>
      </c>
      <c r="T8546">
        <v>-0.15468289999999901</v>
      </c>
      <c r="U8546">
        <v>-0.24284359999999999</v>
      </c>
      <c r="V8546">
        <v>0.15212579999999901</v>
      </c>
      <c r="W8546">
        <v>0.1788139</v>
      </c>
      <c r="X8546">
        <v>0.97205109999999995</v>
      </c>
      <c r="Y8546">
        <v>0.13025349999999999</v>
      </c>
      <c r="Z8546">
        <v>-5.8899319999999996E-3</v>
      </c>
      <c r="AA8546">
        <v>0.99146319999999999</v>
      </c>
      <c r="AB8546">
        <v>36</v>
      </c>
      <c r="AC8546">
        <v>21.279299999999999</v>
      </c>
      <c r="AD8546">
        <v>-1.0945394784119999</v>
      </c>
      <c r="AE8546">
        <v>-1.7325000000000099</v>
      </c>
      <c r="AF8546">
        <v>2.8216986960207699</v>
      </c>
      <c r="AG8546">
        <v>-1.0945394784119999</v>
      </c>
      <c r="AH8546">
        <v>21.105960324055001</v>
      </c>
      <c r="AI8546">
        <v>92.942523735538799</v>
      </c>
      <c r="AJ8546">
        <v>82.385164718913302</v>
      </c>
      <c r="AK8546">
        <v>21.321856424840501</v>
      </c>
      <c r="AL8546">
        <v>79.699319595755099</v>
      </c>
      <c r="AM8546">
        <v>81.105370152294199</v>
      </c>
      <c r="AN8546">
        <v>1.00000000543503</v>
      </c>
    </row>
    <row r="8547" spans="1:40" x14ac:dyDescent="0.25">
      <c r="A8547" t="str">
        <f>"20190312172315575"</f>
        <v>20190312172315575</v>
      </c>
      <c r="B8547" t="str">
        <f>"1552382595568815"</f>
        <v>1552382595568815</v>
      </c>
      <c r="C8547" t="s">
        <v>40</v>
      </c>
      <c r="D8547">
        <v>3.201857</v>
      </c>
      <c r="E8547">
        <v>0.49145359999999999</v>
      </c>
      <c r="F8547" t="s">
        <v>42</v>
      </c>
      <c r="G8547">
        <v>-142.7766</v>
      </c>
      <c r="H8547" s="1">
        <v>-3.6667669999999999E-6</v>
      </c>
      <c r="I8547">
        <v>136.31460000000001</v>
      </c>
      <c r="J8547">
        <v>-164.1019</v>
      </c>
      <c r="K8547">
        <v>1.094997</v>
      </c>
      <c r="L8547">
        <v>138.11510000000001</v>
      </c>
      <c r="M8547">
        <v>0.99914440000000004</v>
      </c>
      <c r="N8547">
        <v>0</v>
      </c>
      <c r="O8547">
        <v>3.7808269999999998E-2</v>
      </c>
      <c r="P8547">
        <v>0.98166739999999997</v>
      </c>
      <c r="Q8547">
        <v>0.16810720000000001</v>
      </c>
      <c r="R8547">
        <v>-8.9830030000000005E-2</v>
      </c>
      <c r="S8547">
        <v>3.0593870000000001</v>
      </c>
      <c r="T8547">
        <v>-0.15435499999999999</v>
      </c>
      <c r="U8547">
        <v>-0.25253300000000001</v>
      </c>
      <c r="V8547">
        <v>0.13342870000000001</v>
      </c>
      <c r="W8547">
        <v>0.1798005</v>
      </c>
      <c r="X8547">
        <v>0.97461200000000003</v>
      </c>
      <c r="Y8547">
        <v>0.1196913</v>
      </c>
      <c r="Z8547">
        <v>-4.9161220000000002E-3</v>
      </c>
      <c r="AA8547">
        <v>0.99279899999999999</v>
      </c>
      <c r="AB8547">
        <v>36</v>
      </c>
      <c r="AC8547">
        <v>21.325299999999999</v>
      </c>
      <c r="AD8547">
        <v>-1.095000666767</v>
      </c>
      <c r="AE8547">
        <v>-1.80049999999999</v>
      </c>
      <c r="AF8547">
        <v>2.59879491444857</v>
      </c>
      <c r="AG8547">
        <v>-1.095000666767</v>
      </c>
      <c r="AH8547">
        <v>21.186500807250599</v>
      </c>
      <c r="AI8547">
        <v>92.936664635566103</v>
      </c>
      <c r="AJ8547">
        <v>83.006874462758503</v>
      </c>
      <c r="AK8547">
        <v>21.3733614090815</v>
      </c>
      <c r="AL8547">
        <v>79.641860224880602</v>
      </c>
      <c r="AM8547">
        <v>82.2044166653655</v>
      </c>
      <c r="AN8547">
        <v>0.99999999416397001</v>
      </c>
    </row>
    <row r="8548" spans="1:40" x14ac:dyDescent="0.25">
      <c r="A8548" t="str">
        <f>"20190312172315598"</f>
        <v>20190312172315598</v>
      </c>
      <c r="B8548" t="str">
        <f>"1552382595589312"</f>
        <v>1552382595589312</v>
      </c>
      <c r="C8548" t="s">
        <v>40</v>
      </c>
      <c r="D8548">
        <v>3.227481</v>
      </c>
      <c r="E8548">
        <v>0.491259</v>
      </c>
      <c r="F8548" t="s">
        <v>42</v>
      </c>
      <c r="G8548">
        <v>-142.33260000000001</v>
      </c>
      <c r="H8548" s="1">
        <v>-3.8327809999999997E-6</v>
      </c>
      <c r="I8548">
        <v>136.45249999999999</v>
      </c>
      <c r="J8548">
        <v>-163.7414</v>
      </c>
      <c r="K8548">
        <v>1.095499</v>
      </c>
      <c r="L8548">
        <v>138.1198</v>
      </c>
      <c r="M8548">
        <v>0.99955229999999995</v>
      </c>
      <c r="N8548">
        <v>0</v>
      </c>
      <c r="O8548">
        <v>2.4852229999999999E-2</v>
      </c>
      <c r="P8548">
        <v>0.9814292</v>
      </c>
      <c r="Q8548">
        <v>0.16703889999999999</v>
      </c>
      <c r="R8548">
        <v>-9.4312590000000002E-2</v>
      </c>
      <c r="S8548">
        <v>3.0609739999999999</v>
      </c>
      <c r="T8548">
        <v>-0.1539674</v>
      </c>
      <c r="U8548">
        <v>-0.23376459999999999</v>
      </c>
      <c r="V8548">
        <v>0.1249733</v>
      </c>
      <c r="W8548">
        <v>0.17908879999999999</v>
      </c>
      <c r="X8548">
        <v>0.97586320000000004</v>
      </c>
      <c r="Y8548">
        <v>0.1007497</v>
      </c>
      <c r="Z8548">
        <v>-3.7764249999999999E-3</v>
      </c>
      <c r="AA8548">
        <v>0.99490460000000003</v>
      </c>
      <c r="AB8548">
        <v>36</v>
      </c>
      <c r="AC8548">
        <v>21.4087999999999</v>
      </c>
      <c r="AD8548">
        <v>-1.0955028327809999</v>
      </c>
      <c r="AE8548">
        <v>-1.66730000000001</v>
      </c>
      <c r="AF8548">
        <v>2.1932070083888502</v>
      </c>
      <c r="AG8548">
        <v>-1.0955028327809999</v>
      </c>
      <c r="AH8548">
        <v>21.305293590104501</v>
      </c>
      <c r="AI8548">
        <v>92.928068937707494</v>
      </c>
      <c r="AJ8548">
        <v>84.122567420890306</v>
      </c>
      <c r="AK8548">
        <v>21.445881152305802</v>
      </c>
      <c r="AL8548">
        <v>79.683311079356002</v>
      </c>
      <c r="AM8548">
        <v>82.702175385433804</v>
      </c>
      <c r="AN8548">
        <v>1.0000000545562799</v>
      </c>
    </row>
    <row r="8549" spans="1:40" x14ac:dyDescent="0.25">
      <c r="A8549" t="str">
        <f>"20190312172315620"</f>
        <v>20190312172315620</v>
      </c>
      <c r="B8549" t="str">
        <f>"1552382595608831"</f>
        <v>1552382595608831</v>
      </c>
      <c r="C8549" t="s">
        <v>40</v>
      </c>
      <c r="D8549">
        <v>3.2245140000000001</v>
      </c>
      <c r="E8549">
        <v>0.49111870000000002</v>
      </c>
      <c r="F8549" t="s">
        <v>42</v>
      </c>
      <c r="G8549">
        <v>-142.44560000000001</v>
      </c>
      <c r="H8549" s="1">
        <v>-3.7895989999999999E-6</v>
      </c>
      <c r="I8549">
        <v>136.42259999999999</v>
      </c>
      <c r="J8549">
        <v>-163.3775</v>
      </c>
      <c r="K8549">
        <v>1.096061</v>
      </c>
      <c r="L8549">
        <v>138.12</v>
      </c>
      <c r="M8549">
        <v>0.99978630000000002</v>
      </c>
      <c r="N8549">
        <v>0</v>
      </c>
      <c r="O8549">
        <v>1.239732E-2</v>
      </c>
      <c r="P8549">
        <v>0.98130989999999996</v>
      </c>
      <c r="Q8549">
        <v>0.16507839999999999</v>
      </c>
      <c r="R8549">
        <v>-9.8893900000000007E-2</v>
      </c>
      <c r="S8549">
        <v>3.06012</v>
      </c>
      <c r="T8549">
        <v>-0.15741930000000001</v>
      </c>
      <c r="U8549">
        <v>-0.243866</v>
      </c>
      <c r="V8549">
        <v>0.1170462</v>
      </c>
      <c r="W8549">
        <v>0.1774588</v>
      </c>
      <c r="X8549">
        <v>0.97714299999999998</v>
      </c>
      <c r="Y8549">
        <v>9.1656769999999999E-2</v>
      </c>
      <c r="Z8549">
        <v>-2.9887049999999999E-3</v>
      </c>
      <c r="AA8549">
        <v>0.99578619999999995</v>
      </c>
      <c r="AB8549">
        <v>36</v>
      </c>
      <c r="AC8549">
        <v>20.931899999999899</v>
      </c>
      <c r="AD8549">
        <v>-1.0960647895989999</v>
      </c>
      <c r="AE8549">
        <v>-1.69740000000001</v>
      </c>
      <c r="AF8549">
        <v>1.9514886228475601</v>
      </c>
      <c r="AG8549">
        <v>-1.0960647895989999</v>
      </c>
      <c r="AH8549">
        <v>20.852442602132299</v>
      </c>
      <c r="AI8549">
        <v>92.9957967738994</v>
      </c>
      <c r="AJ8549">
        <v>84.653511722549496</v>
      </c>
      <c r="AK8549">
        <v>20.9722203961175</v>
      </c>
      <c r="AL8549">
        <v>79.778222439946205</v>
      </c>
      <c r="AM8549">
        <v>83.169421156744093</v>
      </c>
      <c r="AN8549">
        <v>0.99999994054043795</v>
      </c>
    </row>
    <row r="8550" spans="1:40" x14ac:dyDescent="0.25">
      <c r="A8550" t="str">
        <f>"20190312172315642"</f>
        <v>20190312172315642</v>
      </c>
      <c r="B8550" t="str">
        <f>"1552382595639088"</f>
        <v>1552382595639088</v>
      </c>
      <c r="C8550" t="s">
        <v>40</v>
      </c>
      <c r="D8550">
        <v>3.1820339999999998</v>
      </c>
      <c r="E8550">
        <v>0.49076140000000001</v>
      </c>
      <c r="F8550" t="s">
        <v>41</v>
      </c>
      <c r="G8550">
        <v>-162.32050000000001</v>
      </c>
      <c r="H8550">
        <v>1.039399</v>
      </c>
      <c r="I8550">
        <v>138.03110000000001</v>
      </c>
      <c r="J8550">
        <v>-163.0213</v>
      </c>
      <c r="K8550">
        <v>1.096671</v>
      </c>
      <c r="L8550">
        <v>138.11580000000001</v>
      </c>
      <c r="M8550">
        <v>0.99986459999999999</v>
      </c>
      <c r="N8550">
        <v>0</v>
      </c>
      <c r="O8550">
        <v>9.0690339999999995E-4</v>
      </c>
      <c r="P8550">
        <v>0.98149200000000003</v>
      </c>
      <c r="Q8550">
        <v>0.16173370000000001</v>
      </c>
      <c r="R8550">
        <v>-0.1025475</v>
      </c>
      <c r="S8550">
        <v>3.0588229999999998</v>
      </c>
      <c r="T8550">
        <v>-0.1638713</v>
      </c>
      <c r="U8550">
        <v>-0.25680540000000002</v>
      </c>
      <c r="V8550">
        <v>0.1090675</v>
      </c>
      <c r="W8550">
        <v>0.17443639999999999</v>
      </c>
      <c r="X8550">
        <v>0.97860930000000002</v>
      </c>
      <c r="Y8550">
        <v>8.4443589999999999E-2</v>
      </c>
      <c r="Z8550">
        <v>-2.3048529999999999E-3</v>
      </c>
      <c r="AA8550">
        <v>0.99642560000000002</v>
      </c>
      <c r="AB8550">
        <v>36</v>
      </c>
      <c r="AC8550">
        <v>0.70079999999998599</v>
      </c>
      <c r="AD8550">
        <v>-5.7271999999999899E-2</v>
      </c>
      <c r="AE8550">
        <v>-8.4699999999997999E-2</v>
      </c>
      <c r="AF8550">
        <v>8.4777550952372493E-2</v>
      </c>
      <c r="AG8550">
        <v>-5.7271999999999899E-2</v>
      </c>
      <c r="AH8550">
        <v>0.69614046251915196</v>
      </c>
      <c r="AI8550">
        <v>94.668834947304504</v>
      </c>
      <c r="AJ8550">
        <v>83.056582167009196</v>
      </c>
      <c r="AK8550">
        <v>0.70361840416937704</v>
      </c>
      <c r="AL8550">
        <v>79.954137943579696</v>
      </c>
      <c r="AM8550">
        <v>83.640542486888293</v>
      </c>
      <c r="AN8550">
        <v>0.99999996962384896</v>
      </c>
    </row>
    <row r="8551" spans="1:40" x14ac:dyDescent="0.25">
      <c r="A8551" t="str">
        <f>"20190312172315664"</f>
        <v>20190312172315664</v>
      </c>
      <c r="B8551" t="str">
        <f>"1552382595658608"</f>
        <v>1552382595658608</v>
      </c>
      <c r="C8551" t="s">
        <v>40</v>
      </c>
      <c r="D8551">
        <v>3.1948629999999998</v>
      </c>
      <c r="E8551">
        <v>0.49052820000000003</v>
      </c>
      <c r="F8551" t="s">
        <v>41</v>
      </c>
      <c r="G8551">
        <v>-162.00040000000001</v>
      </c>
      <c r="H8551">
        <v>1.038162</v>
      </c>
      <c r="I8551">
        <v>138.0265</v>
      </c>
      <c r="J8551">
        <v>-162.6611</v>
      </c>
      <c r="K8551">
        <v>1.0972919999999999</v>
      </c>
      <c r="L8551">
        <v>138.10759999999999</v>
      </c>
      <c r="M8551">
        <v>0.99981580000000003</v>
      </c>
      <c r="N8551">
        <v>0</v>
      </c>
      <c r="O8551">
        <v>-1.0114639999999999E-2</v>
      </c>
      <c r="P8551">
        <v>0.98155369999999997</v>
      </c>
      <c r="Q8551">
        <v>0.1597112</v>
      </c>
      <c r="R8551">
        <v>-0.1050932</v>
      </c>
      <c r="S8551">
        <v>3.0575260000000002</v>
      </c>
      <c r="T8551">
        <v>-0.17518149999999999</v>
      </c>
      <c r="U8551">
        <v>-0.2670593</v>
      </c>
      <c r="V8551">
        <v>0.1004713</v>
      </c>
      <c r="W8551">
        <v>0.17273129999999901</v>
      </c>
      <c r="X8551">
        <v>0.97983129999999996</v>
      </c>
      <c r="Y8551">
        <v>7.682303E-2</v>
      </c>
      <c r="Z8551">
        <v>-1.6168700000000001E-3</v>
      </c>
      <c r="AA8551">
        <v>0.99704340000000002</v>
      </c>
      <c r="AB8551">
        <v>36</v>
      </c>
      <c r="AC8551">
        <v>0.66069999999999096</v>
      </c>
      <c r="AD8551">
        <v>-5.9129999999999898E-2</v>
      </c>
      <c r="AE8551">
        <v>-8.1099999999992095E-2</v>
      </c>
      <c r="AF8551">
        <v>7.3829655072919206E-2</v>
      </c>
      <c r="AG8551">
        <v>-5.9129999999999898E-2</v>
      </c>
      <c r="AH8551">
        <v>0.65630790904732395</v>
      </c>
      <c r="AI8551">
        <v>95.1160625045015</v>
      </c>
      <c r="AJ8551">
        <v>83.581642996022794</v>
      </c>
      <c r="AK8551">
        <v>0.66308916922707895</v>
      </c>
      <c r="AL8551">
        <v>80.053339062086593</v>
      </c>
      <c r="AM8551">
        <v>84.145387824257597</v>
      </c>
      <c r="AN8551">
        <v>0.99999998029153403</v>
      </c>
    </row>
    <row r="8552" spans="1:40" x14ac:dyDescent="0.25">
      <c r="A8552" t="str">
        <f>"20190312172315686"</f>
        <v>20190312172315686</v>
      </c>
      <c r="B8552" t="str">
        <f>"1552382595679103"</f>
        <v>1552382595679103</v>
      </c>
      <c r="C8552" t="s">
        <v>40</v>
      </c>
      <c r="D8552">
        <v>3.1606299999999998</v>
      </c>
      <c r="E8552">
        <v>0.4902376</v>
      </c>
      <c r="F8552" t="s">
        <v>41</v>
      </c>
      <c r="G8552">
        <v>-161.6788</v>
      </c>
      <c r="H8552">
        <v>1.038835</v>
      </c>
      <c r="I8552">
        <v>138.01929999999999</v>
      </c>
      <c r="J8552">
        <v>-162.30240000000001</v>
      </c>
      <c r="K8552">
        <v>1.097923</v>
      </c>
      <c r="L8552">
        <v>138.0959</v>
      </c>
      <c r="M8552">
        <v>0.99965950000000003</v>
      </c>
      <c r="N8552">
        <v>0</v>
      </c>
      <c r="O8552">
        <v>-2.0465980000000002E-2</v>
      </c>
      <c r="P8552">
        <v>0.98125949999999995</v>
      </c>
      <c r="Q8552">
        <v>0.15968959999999999</v>
      </c>
      <c r="R8552">
        <v>-0.1078412</v>
      </c>
      <c r="S8552">
        <v>3.0565639999999998</v>
      </c>
      <c r="T8552">
        <v>-0.18186240000000001</v>
      </c>
      <c r="U8552">
        <v>-0.27458189999999999</v>
      </c>
      <c r="V8552">
        <v>9.2790769999999995E-2</v>
      </c>
      <c r="W8552">
        <v>0.1729764</v>
      </c>
      <c r="X8552">
        <v>0.98054529999999995</v>
      </c>
      <c r="Y8552">
        <v>6.8982829999999995E-2</v>
      </c>
      <c r="Z8552">
        <v>-8.3227319999999998E-4</v>
      </c>
      <c r="AA8552">
        <v>0.99761750000000005</v>
      </c>
      <c r="AB8552">
        <v>36</v>
      </c>
      <c r="AC8552">
        <v>0.62360000000001004</v>
      </c>
      <c r="AD8552">
        <v>-5.9088000000000002E-2</v>
      </c>
      <c r="AE8552">
        <v>-7.6600000000013296E-2</v>
      </c>
      <c r="AF8552">
        <v>6.3260177908079293E-2</v>
      </c>
      <c r="AG8552">
        <v>-5.9088000000000002E-2</v>
      </c>
      <c r="AH8552">
        <v>0.61955746033082104</v>
      </c>
      <c r="AI8552">
        <v>95.419885169487202</v>
      </c>
      <c r="AJ8552">
        <v>84.169994327260596</v>
      </c>
      <c r="AK8552">
        <v>0.62557548585645395</v>
      </c>
      <c r="AL8552">
        <v>80.039081686590606</v>
      </c>
      <c r="AM8552">
        <v>84.594095650177195</v>
      </c>
      <c r="AN8552">
        <v>1.0000000236531199</v>
      </c>
    </row>
    <row r="8553" spans="1:40" x14ac:dyDescent="0.25">
      <c r="A8553" t="str">
        <f>"20190312172315709"</f>
        <v>20190312172315709</v>
      </c>
      <c r="B8553" t="str">
        <f>"1552382595698624"</f>
        <v>1552382595698624</v>
      </c>
      <c r="C8553" t="s">
        <v>40</v>
      </c>
      <c r="D8553">
        <v>3.154226</v>
      </c>
      <c r="E8553">
        <v>0.48992429999999898</v>
      </c>
      <c r="F8553" t="s">
        <v>41</v>
      </c>
      <c r="G8553">
        <v>-161.35570000000001</v>
      </c>
      <c r="H8553">
        <v>1.041698</v>
      </c>
      <c r="I8553">
        <v>138.00960000000001</v>
      </c>
      <c r="J8553">
        <v>-161.947</v>
      </c>
      <c r="K8553">
        <v>1.098581</v>
      </c>
      <c r="L8553">
        <v>138.08090000000001</v>
      </c>
      <c r="M8553">
        <v>0.9994189</v>
      </c>
      <c r="N8553">
        <v>0</v>
      </c>
      <c r="O8553">
        <v>-3.004882E-2</v>
      </c>
      <c r="P8553">
        <v>0.9811358</v>
      </c>
      <c r="Q8553">
        <v>0.15940379999999901</v>
      </c>
      <c r="R8553">
        <v>-0.109376</v>
      </c>
      <c r="S8553">
        <v>3.056244</v>
      </c>
      <c r="T8553">
        <v>-0.1815428</v>
      </c>
      <c r="U8553">
        <v>-0.27844239999999998</v>
      </c>
      <c r="V8553">
        <v>8.4626190000000004E-2</v>
      </c>
      <c r="W8553">
        <v>0.17295720000000001</v>
      </c>
      <c r="X8553">
        <v>0.98128700000000002</v>
      </c>
      <c r="Y8553">
        <v>6.0707009999999999E-2</v>
      </c>
      <c r="Z8553" s="1">
        <v>-1.8622489999999999E-5</v>
      </c>
      <c r="AA8553">
        <v>0.99815569999999998</v>
      </c>
      <c r="AB8553">
        <v>36</v>
      </c>
      <c r="AC8553">
        <v>0.59129999999998895</v>
      </c>
      <c r="AD8553">
        <v>-5.6883000000000003E-2</v>
      </c>
      <c r="AE8553">
        <v>-7.1300000000007899E-2</v>
      </c>
      <c r="AF8553">
        <v>5.30140438678754E-2</v>
      </c>
      <c r="AG8553">
        <v>-5.6883000000000003E-2</v>
      </c>
      <c r="AH8553">
        <v>0.58781376341429403</v>
      </c>
      <c r="AI8553">
        <v>95.505121621490204</v>
      </c>
      <c r="AJ8553">
        <v>84.846521928133996</v>
      </c>
      <c r="AK8553">
        <v>0.59293438506760598</v>
      </c>
      <c r="AL8553">
        <v>80.040198168043403</v>
      </c>
      <c r="AM8553">
        <v>85.0710074123146</v>
      </c>
      <c r="AN8553">
        <v>0.99999998071737695</v>
      </c>
    </row>
    <row r="8554" spans="1:40" x14ac:dyDescent="0.25">
      <c r="A8554" t="str">
        <f>"20190312172315731"</f>
        <v>20190312172315731</v>
      </c>
      <c r="B8554" t="str">
        <f>"1552382595728880"</f>
        <v>1552382595728880</v>
      </c>
      <c r="C8554" t="s">
        <v>40</v>
      </c>
      <c r="D8554">
        <v>3.2035710000000002</v>
      </c>
      <c r="E8554">
        <v>0.48952679999999998</v>
      </c>
      <c r="F8554" t="s">
        <v>42</v>
      </c>
      <c r="G8554">
        <v>-143.4417</v>
      </c>
      <c r="H8554" s="1">
        <v>-3.3683200000000001E-6</v>
      </c>
      <c r="I8554">
        <v>136.38849999999999</v>
      </c>
      <c r="J8554">
        <v>-161.58690000000001</v>
      </c>
      <c r="K8554">
        <v>1.0992949999999999</v>
      </c>
      <c r="L8554">
        <v>138.0626</v>
      </c>
      <c r="M8554">
        <v>0.99911110000000003</v>
      </c>
      <c r="N8554">
        <v>0</v>
      </c>
      <c r="O8554">
        <v>-3.9009160000000001E-2</v>
      </c>
      <c r="P8554">
        <v>0.98161419999999999</v>
      </c>
      <c r="Q8554">
        <v>0.1565329</v>
      </c>
      <c r="R8554">
        <v>-0.1092303</v>
      </c>
      <c r="S8554">
        <v>3.055984</v>
      </c>
      <c r="T8554">
        <v>-0.18142150000000001</v>
      </c>
      <c r="U8554">
        <v>-0.27946470000000001</v>
      </c>
      <c r="V8554">
        <v>7.5271740000000004E-2</v>
      </c>
      <c r="W8554">
        <v>0.170374</v>
      </c>
      <c r="X8554">
        <v>0.98250029999999999</v>
      </c>
      <c r="Y8554">
        <v>5.2124080000000003E-2</v>
      </c>
      <c r="Z8554">
        <v>7.6517670000000003E-4</v>
      </c>
      <c r="AA8554">
        <v>0.99864030000000004</v>
      </c>
      <c r="AB8554">
        <v>36</v>
      </c>
      <c r="AC8554">
        <v>18.145199999999999</v>
      </c>
      <c r="AD8554">
        <v>-1.0992983683199999</v>
      </c>
      <c r="AE8554">
        <v>-1.6741000000000099</v>
      </c>
      <c r="AF8554">
        <v>0.96140713959072099</v>
      </c>
      <c r="AG8554">
        <v>-1.0992983683199999</v>
      </c>
      <c r="AH8554">
        <v>18.1307144563342</v>
      </c>
      <c r="AI8554">
        <v>93.464844315364701</v>
      </c>
      <c r="AJ8554">
        <v>86.964651913216301</v>
      </c>
      <c r="AK8554">
        <v>18.189435595635501</v>
      </c>
      <c r="AL8554">
        <v>80.190434960688705</v>
      </c>
      <c r="AM8554">
        <v>85.618988860532596</v>
      </c>
      <c r="AN8554">
        <v>0.999999987109358</v>
      </c>
    </row>
    <row r="8555" spans="1:40" x14ac:dyDescent="0.25">
      <c r="A8555" t="str">
        <f>"20190312172315754"</f>
        <v>20190312172315754</v>
      </c>
      <c r="B8555" t="str">
        <f>"1552382595749412"</f>
        <v>1552382595749412</v>
      </c>
      <c r="C8555" t="s">
        <v>40</v>
      </c>
      <c r="D8555">
        <v>3.169826</v>
      </c>
      <c r="E8555">
        <v>0.48919299999999999</v>
      </c>
      <c r="F8555" t="s">
        <v>42</v>
      </c>
      <c r="G8555">
        <v>-143.9196</v>
      </c>
      <c r="H8555" s="1">
        <v>-3.1506719999999998E-6</v>
      </c>
      <c r="I8555">
        <v>136.4598</v>
      </c>
      <c r="J8555">
        <v>-161.2269</v>
      </c>
      <c r="K8555">
        <v>1.100088</v>
      </c>
      <c r="L8555">
        <v>138.04150000000001</v>
      </c>
      <c r="M8555">
        <v>0.99876160000000003</v>
      </c>
      <c r="N8555">
        <v>0</v>
      </c>
      <c r="O8555">
        <v>-4.7151329999999998E-2</v>
      </c>
      <c r="P8555">
        <v>0.98205469999999895</v>
      </c>
      <c r="Q8555">
        <v>0.1539819</v>
      </c>
      <c r="R8555">
        <v>-0.10889500000000001</v>
      </c>
      <c r="S8555">
        <v>3.0556640000000002</v>
      </c>
      <c r="T8555">
        <v>-0.19012999999999999</v>
      </c>
      <c r="U8555">
        <v>-0.27720640000000002</v>
      </c>
      <c r="V8555">
        <v>6.6506300000000004E-2</v>
      </c>
      <c r="W8555">
        <v>0.1680712</v>
      </c>
      <c r="X8555">
        <v>0.98352890000000004</v>
      </c>
      <c r="Y8555">
        <v>4.3290299999999997E-2</v>
      </c>
      <c r="Z8555">
        <v>1.5802730000000001E-3</v>
      </c>
      <c r="AA8555">
        <v>0.99906130000000004</v>
      </c>
      <c r="AB8555">
        <v>35</v>
      </c>
      <c r="AC8555">
        <v>17.307299999999898</v>
      </c>
      <c r="AD8555">
        <v>-1.1000911506719999</v>
      </c>
      <c r="AE8555">
        <v>-1.5817000000000101</v>
      </c>
      <c r="AF8555">
        <v>0.76072725390443496</v>
      </c>
      <c r="AG8555">
        <v>-1.1000911506719999</v>
      </c>
      <c r="AH8555">
        <v>17.293344689288201</v>
      </c>
      <c r="AI8555">
        <v>93.636376546602094</v>
      </c>
      <c r="AJ8555">
        <v>87.481205637612803</v>
      </c>
      <c r="AK8555">
        <v>17.3449899693586</v>
      </c>
      <c r="AL8555">
        <v>80.324307109216704</v>
      </c>
      <c r="AM8555">
        <v>86.131543941776897</v>
      </c>
      <c r="AN8555">
        <v>1.0000000566721601</v>
      </c>
    </row>
    <row r="8556" spans="1:40" x14ac:dyDescent="0.25">
      <c r="A8556" t="str">
        <f>"20190312172315776"</f>
        <v>20190312172315776</v>
      </c>
      <c r="B8556" t="str">
        <f>"1552382595768920"</f>
        <v>1552382595768920</v>
      </c>
      <c r="C8556" t="s">
        <v>40</v>
      </c>
      <c r="D8556">
        <v>3.1935790000000002</v>
      </c>
      <c r="E8556">
        <v>0.4888671</v>
      </c>
      <c r="F8556" t="s">
        <v>42</v>
      </c>
      <c r="G8556">
        <v>-144.2398</v>
      </c>
      <c r="H8556" s="1">
        <v>-3.0035020000000002E-6</v>
      </c>
      <c r="I8556">
        <v>136.51509999999999</v>
      </c>
      <c r="J8556">
        <v>-160.869</v>
      </c>
      <c r="K8556">
        <v>1.100956</v>
      </c>
      <c r="L8556">
        <v>138.01820000000001</v>
      </c>
      <c r="M8556">
        <v>0.99839540000000004</v>
      </c>
      <c r="N8556">
        <v>0</v>
      </c>
      <c r="O8556">
        <v>-5.438987E-2</v>
      </c>
      <c r="P8556">
        <v>0.98175250000000003</v>
      </c>
      <c r="Q8556">
        <v>0.15547269999999999</v>
      </c>
      <c r="R8556">
        <v>-0.1095009</v>
      </c>
      <c r="S8556">
        <v>3.0554350000000001</v>
      </c>
      <c r="T8556">
        <v>-0.19787080000000001</v>
      </c>
      <c r="U8556">
        <v>-0.27453610000000001</v>
      </c>
      <c r="V8556">
        <v>5.9667390000000001E-2</v>
      </c>
      <c r="W8556">
        <v>0.16973440000000001</v>
      </c>
      <c r="X8556">
        <v>0.9836819</v>
      </c>
      <c r="Y8556">
        <v>3.5220050000000003E-2</v>
      </c>
      <c r="Z8556">
        <v>2.3716100000000001E-3</v>
      </c>
      <c r="AA8556">
        <v>0.99937679999999995</v>
      </c>
      <c r="AB8556">
        <v>35</v>
      </c>
      <c r="AC8556">
        <v>16.629199999999901</v>
      </c>
      <c r="AD8556">
        <v>-1.100959003502</v>
      </c>
      <c r="AE8556">
        <v>-1.5031000000000101</v>
      </c>
      <c r="AF8556">
        <v>0.593720798622834</v>
      </c>
      <c r="AG8556">
        <v>-1.100959003502</v>
      </c>
      <c r="AH8556">
        <v>16.614108316703799</v>
      </c>
      <c r="AI8556">
        <v>93.788837029097493</v>
      </c>
      <c r="AJ8556">
        <v>87.953352322228596</v>
      </c>
      <c r="AK8556">
        <v>16.6611287214665</v>
      </c>
      <c r="AL8556">
        <v>80.227623343047</v>
      </c>
      <c r="AM8556">
        <v>86.5288513868866</v>
      </c>
      <c r="AN8556">
        <v>1.0000000221801899</v>
      </c>
    </row>
    <row r="8557" spans="1:40" x14ac:dyDescent="0.25">
      <c r="A8557" t="str">
        <f>"20190312172315798"</f>
        <v>20190312172315798</v>
      </c>
      <c r="B8557" t="str">
        <f>"1552382595788440"</f>
        <v>1552382595788440</v>
      </c>
      <c r="C8557" t="s">
        <v>40</v>
      </c>
      <c r="D8557">
        <v>3.205651</v>
      </c>
      <c r="E8557">
        <v>0.4821665</v>
      </c>
      <c r="F8557" t="s">
        <v>42</v>
      </c>
      <c r="G8557">
        <v>-143.36369999999999</v>
      </c>
      <c r="H8557" s="1">
        <v>-3.386666E-6</v>
      </c>
      <c r="I8557">
        <v>136.47389999999999</v>
      </c>
      <c r="J8557">
        <v>-160.52199999999999</v>
      </c>
      <c r="K8557">
        <v>1.101861</v>
      </c>
      <c r="L8557">
        <v>137.99379999999999</v>
      </c>
      <c r="M8557">
        <v>0.99804340000000002</v>
      </c>
      <c r="N8557">
        <v>0</v>
      </c>
      <c r="O8557">
        <v>-6.053472E-2</v>
      </c>
      <c r="P8557">
        <v>0.98181989999999997</v>
      </c>
      <c r="Q8557">
        <v>0.15549270000000001</v>
      </c>
      <c r="R8557">
        <v>-0.1088683</v>
      </c>
      <c r="S8557">
        <v>3.0561069999999999</v>
      </c>
      <c r="T8557">
        <v>-0.1922073</v>
      </c>
      <c r="U8557">
        <v>-0.2696075</v>
      </c>
      <c r="V8557">
        <v>5.2596810000000001E-2</v>
      </c>
      <c r="W8557">
        <v>0.1699186</v>
      </c>
      <c r="X8557">
        <v>0.98405350000000003</v>
      </c>
      <c r="Y8557">
        <v>2.7473520000000001E-2</v>
      </c>
      <c r="Z8557">
        <v>2.9308680000000001E-3</v>
      </c>
      <c r="AA8557">
        <v>0.99961820000000001</v>
      </c>
      <c r="AB8557">
        <v>35</v>
      </c>
      <c r="AC8557">
        <v>17.158300000000001</v>
      </c>
      <c r="AD8557">
        <v>-1.1018643866660001</v>
      </c>
      <c r="AE8557">
        <v>-1.5199</v>
      </c>
      <c r="AF8557">
        <v>0.476362678915356</v>
      </c>
      <c r="AG8557">
        <v>-1.1018643866660001</v>
      </c>
      <c r="AH8557">
        <v>17.1486747575102</v>
      </c>
      <c r="AI8557">
        <v>93.674993546310603</v>
      </c>
      <c r="AJ8557">
        <v>88.408824332502107</v>
      </c>
      <c r="AK8557">
        <v>17.190639094208599</v>
      </c>
      <c r="AL8557">
        <v>80.216913902655804</v>
      </c>
      <c r="AM8557">
        <v>86.940501303719898</v>
      </c>
      <c r="AN8557">
        <v>1.00000002295519</v>
      </c>
    </row>
    <row r="8558" spans="1:40" x14ac:dyDescent="0.25">
      <c r="A8558" t="str">
        <f>"20190312172315822"</f>
        <v>20190312172315822</v>
      </c>
      <c r="B8558" t="str">
        <f>"1552382595818697"</f>
        <v>1552382595818697</v>
      </c>
      <c r="C8558" t="s">
        <v>40</v>
      </c>
      <c r="D8558">
        <v>3.203379</v>
      </c>
      <c r="E8558">
        <v>0.48168949999999999</v>
      </c>
      <c r="F8558" t="s">
        <v>42</v>
      </c>
      <c r="G8558">
        <v>-140.3115</v>
      </c>
      <c r="H8558" s="1">
        <v>-4.6729699999999996E-6</v>
      </c>
      <c r="I8558">
        <v>136.60399999999899</v>
      </c>
      <c r="J8558">
        <v>-160.1574</v>
      </c>
      <c r="K8558">
        <v>1.1028770000000001</v>
      </c>
      <c r="L8558">
        <v>137.9666</v>
      </c>
      <c r="M8558">
        <v>0.99770060000000005</v>
      </c>
      <c r="N8558">
        <v>0</v>
      </c>
      <c r="O8558">
        <v>-6.5966339999999998E-2</v>
      </c>
      <c r="P8558">
        <v>0.98273180000000004</v>
      </c>
      <c r="Q8558">
        <v>0.15198519999999999</v>
      </c>
      <c r="R8558">
        <v>-0.10554180000000001</v>
      </c>
      <c r="S8558">
        <v>3.05864</v>
      </c>
      <c r="T8558">
        <v>-0.16675470000000001</v>
      </c>
      <c r="U8558">
        <v>-0.21032709999999999</v>
      </c>
      <c r="V8558">
        <v>4.3378489999999999E-2</v>
      </c>
      <c r="W8558">
        <v>0.16660349999999999</v>
      </c>
      <c r="X8558">
        <v>0.98506930000000004</v>
      </c>
      <c r="Y8558">
        <v>2.7278480000000002E-3</v>
      </c>
      <c r="Z8558">
        <v>3.511765E-3</v>
      </c>
      <c r="AA8558">
        <v>0.99999009999999999</v>
      </c>
      <c r="AB8558">
        <v>35</v>
      </c>
      <c r="AC8558">
        <v>19.8459</v>
      </c>
      <c r="AD8558">
        <v>-1.1028816729699999</v>
      </c>
      <c r="AE8558">
        <v>-1.36260000000001</v>
      </c>
      <c r="AF8558">
        <v>5.0157364427686202E-2</v>
      </c>
      <c r="AG8558">
        <v>-1.1028816729699999</v>
      </c>
      <c r="AH8558">
        <v>19.831600652248699</v>
      </c>
      <c r="AI8558">
        <v>93.183063317999995</v>
      </c>
      <c r="AJ8558">
        <v>89.855089903430894</v>
      </c>
      <c r="AK8558">
        <v>19.862307221872602</v>
      </c>
      <c r="AL8558">
        <v>80.409602010928793</v>
      </c>
      <c r="AM8558">
        <v>87.478553308976004</v>
      </c>
      <c r="AN8558">
        <v>0.99999997270470897</v>
      </c>
    </row>
    <row r="8559" spans="1:40" x14ac:dyDescent="0.25">
      <c r="A8559" t="str">
        <f>"20190312172315844"</f>
        <v>20190312172315844</v>
      </c>
      <c r="B8559" t="str">
        <f>"1552382595839192"</f>
        <v>1552382595839192</v>
      </c>
      <c r="C8559" t="s">
        <v>40</v>
      </c>
      <c r="D8559">
        <v>3.2187039999999998</v>
      </c>
      <c r="E8559">
        <v>0.48150599999999999</v>
      </c>
      <c r="F8559" t="s">
        <v>42</v>
      </c>
      <c r="G8559">
        <v>-141.5196</v>
      </c>
      <c r="H8559" s="1">
        <v>-4.1263940000000003E-6</v>
      </c>
      <c r="I8559">
        <v>136.76349999999999</v>
      </c>
      <c r="J8559">
        <v>-159.8049</v>
      </c>
      <c r="K8559">
        <v>1.1038809999999999</v>
      </c>
      <c r="L8559">
        <v>137.9391</v>
      </c>
      <c r="M8559">
        <v>0.99741349999999995</v>
      </c>
      <c r="N8559">
        <v>0</v>
      </c>
      <c r="O8559">
        <v>-7.0191829999999997E-2</v>
      </c>
      <c r="P8559">
        <v>0.98390359999999999</v>
      </c>
      <c r="Q8559">
        <v>0.14763979999999999</v>
      </c>
      <c r="R8559">
        <v>-0.1006783</v>
      </c>
      <c r="S8559">
        <v>3.0595249999999998</v>
      </c>
      <c r="T8559">
        <v>-0.18104519999999999</v>
      </c>
      <c r="U8559">
        <v>-0.19747919999999999</v>
      </c>
      <c r="V8559">
        <v>3.379915E-2</v>
      </c>
      <c r="W8559">
        <v>0.1624245</v>
      </c>
      <c r="X8559">
        <v>0.98614190000000002</v>
      </c>
      <c r="Y8559">
        <v>-5.669805E-3</v>
      </c>
      <c r="Z8559">
        <v>4.3086460000000002E-3</v>
      </c>
      <c r="AA8559">
        <v>0.99997469999999999</v>
      </c>
      <c r="AB8559">
        <v>35</v>
      </c>
      <c r="AC8559">
        <v>18.285299999999999</v>
      </c>
      <c r="AD8559">
        <v>-1.1038851263939999</v>
      </c>
      <c r="AE8559">
        <v>-1.1756</v>
      </c>
      <c r="AF8559">
        <v>-0.11053146000917601</v>
      </c>
      <c r="AG8559">
        <v>-1.1038851263939999</v>
      </c>
      <c r="AH8559">
        <v>18.256453490751401</v>
      </c>
      <c r="AI8559">
        <v>93.460140427460104</v>
      </c>
      <c r="AJ8559">
        <v>90.346886036068994</v>
      </c>
      <c r="AK8559">
        <v>18.290130498055301</v>
      </c>
      <c r="AL8559">
        <v>80.652348770534601</v>
      </c>
      <c r="AM8559">
        <v>88.037005747155803</v>
      </c>
      <c r="AN8559">
        <v>0.99999997383829098</v>
      </c>
    </row>
    <row r="8560" spans="1:40" x14ac:dyDescent="0.25">
      <c r="A8560" t="str">
        <f>"20190312172315877"</f>
        <v>20190312172315877</v>
      </c>
      <c r="B8560" t="str">
        <f>"1552382595868472"</f>
        <v>1552382595868472</v>
      </c>
      <c r="C8560" t="s">
        <v>40</v>
      </c>
      <c r="D8560">
        <v>3.2525559999999998</v>
      </c>
      <c r="E8560">
        <v>0.48124159999999999</v>
      </c>
      <c r="F8560" t="s">
        <v>42</v>
      </c>
      <c r="G8560">
        <v>-142.6114</v>
      </c>
      <c r="H8560" s="1">
        <v>-3.6334339999999999E-6</v>
      </c>
      <c r="I8560">
        <v>136.90219999999999</v>
      </c>
      <c r="J8560">
        <v>-159.27959999999999</v>
      </c>
      <c r="K8560">
        <v>1.1052599999999999</v>
      </c>
      <c r="L8560">
        <v>137.89699999999999</v>
      </c>
      <c r="M8560">
        <v>0.99706729999999999</v>
      </c>
      <c r="N8560">
        <v>0</v>
      </c>
      <c r="O8560">
        <v>-7.4975529999999999E-2</v>
      </c>
      <c r="P8560">
        <v>0.9842824</v>
      </c>
      <c r="Q8560">
        <v>0.14876039999999999</v>
      </c>
      <c r="R8560">
        <v>-9.5177339999999999E-2</v>
      </c>
      <c r="S8560">
        <v>3.0596770000000002</v>
      </c>
      <c r="T8560">
        <v>-0.19644120000000001</v>
      </c>
      <c r="U8560">
        <v>-0.18452450000000001</v>
      </c>
      <c r="V8560">
        <v>2.3021030000000001E-2</v>
      </c>
      <c r="W8560">
        <v>0.163658</v>
      </c>
      <c r="X8560">
        <v>0.98624849999999997</v>
      </c>
      <c r="Y8560">
        <v>-1.463529E-2</v>
      </c>
      <c r="Z8560">
        <v>5.267748E-3</v>
      </c>
      <c r="AA8560">
        <v>0.99987899999999996</v>
      </c>
      <c r="AB8560">
        <v>35</v>
      </c>
      <c r="AC8560">
        <v>16.668199999999899</v>
      </c>
      <c r="AD8560">
        <v>-1.105263633434</v>
      </c>
      <c r="AE8560">
        <v>-0.994800000000026</v>
      </c>
      <c r="AF8560">
        <v>-0.25673010917957501</v>
      </c>
      <c r="AG8560">
        <v>-1.105263633434</v>
      </c>
      <c r="AH8560">
        <v>16.6230369125282</v>
      </c>
      <c r="AI8560">
        <v>93.803537815892895</v>
      </c>
      <c r="AJ8560">
        <v>90.8848192087586</v>
      </c>
      <c r="AK8560">
        <v>16.6617188262084</v>
      </c>
      <c r="AL8560">
        <v>80.580716226830205</v>
      </c>
      <c r="AM8560">
        <v>88.662843711694904</v>
      </c>
      <c r="AN8560">
        <v>1.00000000626925</v>
      </c>
    </row>
    <row r="8561" spans="1:40" x14ac:dyDescent="0.25">
      <c r="A8561" t="str">
        <f>"20190312172315899"</f>
        <v>20190312172315899</v>
      </c>
      <c r="B8561" t="str">
        <f>"1552382595888968"</f>
        <v>1552382595888968</v>
      </c>
      <c r="C8561" t="s">
        <v>40</v>
      </c>
      <c r="D8561">
        <v>3.2416269999999998</v>
      </c>
      <c r="E8561">
        <v>0.48142560000000001</v>
      </c>
      <c r="F8561" t="s">
        <v>42</v>
      </c>
      <c r="G8561">
        <v>-141.53960000000001</v>
      </c>
      <c r="H8561" s="1">
        <v>-4.0843720000000003E-6</v>
      </c>
      <c r="I8561">
        <v>136.952</v>
      </c>
      <c r="J8561">
        <v>-158.9333</v>
      </c>
      <c r="K8561">
        <v>1.1061510000000001</v>
      </c>
      <c r="L8561">
        <v>137.86869999999999</v>
      </c>
      <c r="M8561">
        <v>0.99690909999999999</v>
      </c>
      <c r="N8561">
        <v>0</v>
      </c>
      <c r="O8561">
        <v>-7.7067510000000006E-2</v>
      </c>
      <c r="P8561">
        <v>0.98428170000000004</v>
      </c>
      <c r="Q8561">
        <v>0.15119859999999999</v>
      </c>
      <c r="R8561">
        <v>-9.1261919999999996E-2</v>
      </c>
      <c r="S8561">
        <v>3.0609739999999999</v>
      </c>
      <c r="T8561">
        <v>-0.19070870000000001</v>
      </c>
      <c r="U8561">
        <v>-0.1630402</v>
      </c>
      <c r="V8561">
        <v>1.6727659999999998E-2</v>
      </c>
      <c r="W8561">
        <v>0.16612389999999999</v>
      </c>
      <c r="X8561">
        <v>0.98596300000000003</v>
      </c>
      <c r="Y8561">
        <v>-2.3742360000000001E-2</v>
      </c>
      <c r="Z8561">
        <v>5.5264260000000001E-3</v>
      </c>
      <c r="AA8561">
        <v>0.9997028</v>
      </c>
      <c r="AB8561">
        <v>35</v>
      </c>
      <c r="AC8561">
        <v>17.3936999999999</v>
      </c>
      <c r="AD8561">
        <v>-1.1061550843720001</v>
      </c>
      <c r="AE8561">
        <v>-0.91669999999999097</v>
      </c>
      <c r="AF8561">
        <v>-0.42495833679214801</v>
      </c>
      <c r="AG8561">
        <v>-1.1061550843720001</v>
      </c>
      <c r="AH8561">
        <v>17.342667506490599</v>
      </c>
      <c r="AI8561">
        <v>93.648420359311103</v>
      </c>
      <c r="AJ8561">
        <v>91.403673787527893</v>
      </c>
      <c r="AK8561">
        <v>17.383103431187799</v>
      </c>
      <c r="AL8561">
        <v>80.437469688913694</v>
      </c>
      <c r="AM8561">
        <v>89.028023995006095</v>
      </c>
      <c r="AN8561">
        <v>1.0000000010646399</v>
      </c>
    </row>
    <row r="8562" spans="1:40" x14ac:dyDescent="0.25">
      <c r="A8562" t="str">
        <f>"20190312172315923"</f>
        <v>20190312172315923</v>
      </c>
      <c r="B8562" t="str">
        <f>"1552382595919226"</f>
        <v>1552382595919226</v>
      </c>
      <c r="C8562" t="s">
        <v>40</v>
      </c>
      <c r="D8562">
        <v>3.2454990000000001</v>
      </c>
      <c r="E8562">
        <v>0.48135499999999998</v>
      </c>
      <c r="F8562" t="s">
        <v>42</v>
      </c>
      <c r="G8562">
        <v>-140.31970000000001</v>
      </c>
      <c r="H8562" s="1">
        <v>-4.6067149999999997E-6</v>
      </c>
      <c r="I8562">
        <v>136.95760000000001</v>
      </c>
      <c r="J8562">
        <v>-158.5778</v>
      </c>
      <c r="K8562">
        <v>1.1070979999999999</v>
      </c>
      <c r="L8562">
        <v>137.83959999999999</v>
      </c>
      <c r="M8562">
        <v>0.99682459999999995</v>
      </c>
      <c r="N8562">
        <v>0</v>
      </c>
      <c r="O8562">
        <v>-7.8164559999999994E-2</v>
      </c>
      <c r="P8562">
        <v>0.98513580000000001</v>
      </c>
      <c r="Q8562">
        <v>0.14943629999999999</v>
      </c>
      <c r="R8562">
        <v>-8.471236E-2</v>
      </c>
      <c r="S8562">
        <v>3.061966</v>
      </c>
      <c r="T8562">
        <v>-0.1819643</v>
      </c>
      <c r="U8562">
        <v>-0.149871799999999</v>
      </c>
      <c r="V8562">
        <v>8.6612970000000001E-3</v>
      </c>
      <c r="W8562">
        <v>0.16439129999999999</v>
      </c>
      <c r="X8562">
        <v>0.98635720000000005</v>
      </c>
      <c r="Y8562">
        <v>-2.9153479999999999E-2</v>
      </c>
      <c r="Z8562">
        <v>5.4979850000000004E-3</v>
      </c>
      <c r="AA8562">
        <v>0.9995598</v>
      </c>
      <c r="AB8562">
        <v>35</v>
      </c>
      <c r="AC8562">
        <v>18.258099999999899</v>
      </c>
      <c r="AD8562">
        <v>-1.1071026067149901</v>
      </c>
      <c r="AE8562">
        <v>-0.88199999999997603</v>
      </c>
      <c r="AF8562">
        <v>-0.54599753359824499</v>
      </c>
      <c r="AG8562">
        <v>-1.1071026067149901</v>
      </c>
      <c r="AH8562">
        <v>18.2043977193931</v>
      </c>
      <c r="AI8562">
        <v>93.478603008556604</v>
      </c>
      <c r="AJ8562">
        <v>91.717935383181995</v>
      </c>
      <c r="AK8562">
        <v>18.246201955868401</v>
      </c>
      <c r="AL8562">
        <v>80.538124525335604</v>
      </c>
      <c r="AM8562">
        <v>89.496893205866897</v>
      </c>
      <c r="AN8562">
        <v>1.0000000217866201</v>
      </c>
    </row>
    <row r="8563" spans="1:40" x14ac:dyDescent="0.25">
      <c r="A8563" t="str">
        <f>"20190312172315944"</f>
        <v>20190312172315944</v>
      </c>
      <c r="B8563" t="str">
        <f>"1552382595938745"</f>
        <v>1552382595938745</v>
      </c>
      <c r="C8563" t="s">
        <v>40</v>
      </c>
      <c r="D8563">
        <v>3.2507679999999999</v>
      </c>
      <c r="E8563">
        <v>0.48146099999999997</v>
      </c>
      <c r="F8563" t="s">
        <v>42</v>
      </c>
      <c r="G8563">
        <v>-140.3973</v>
      </c>
      <c r="H8563" s="1">
        <v>-4.5533960000000002E-6</v>
      </c>
      <c r="I8563">
        <v>137.07040000000001</v>
      </c>
      <c r="J8563">
        <v>-158.23320000000001</v>
      </c>
      <c r="K8563">
        <v>1.1080449999999999</v>
      </c>
      <c r="L8563">
        <v>137.81190000000001</v>
      </c>
      <c r="M8563">
        <v>0.99681500000000001</v>
      </c>
      <c r="N8563">
        <v>0</v>
      </c>
      <c r="O8563">
        <v>-7.8298809999999996E-2</v>
      </c>
      <c r="P8563">
        <v>0.98634089999999996</v>
      </c>
      <c r="Q8563">
        <v>0.14588570000000001</v>
      </c>
      <c r="R8563">
        <v>-7.648046E-2</v>
      </c>
      <c r="S8563">
        <v>3.062408</v>
      </c>
      <c r="T8563">
        <v>-0.18648529999999999</v>
      </c>
      <c r="U8563">
        <v>-0.12956239999999999</v>
      </c>
      <c r="V8563">
        <v>-1.612529E-4</v>
      </c>
      <c r="W8563">
        <v>0.1608561</v>
      </c>
      <c r="X8563">
        <v>0.98697789999999996</v>
      </c>
      <c r="Y8563">
        <v>-3.5887309999999999E-2</v>
      </c>
      <c r="Z8563">
        <v>5.8475619999999997E-3</v>
      </c>
      <c r="AA8563">
        <v>0.99933870000000002</v>
      </c>
      <c r="AB8563">
        <v>35</v>
      </c>
      <c r="AC8563">
        <v>17.835899999999999</v>
      </c>
      <c r="AD8563">
        <v>-1.108049553396</v>
      </c>
      <c r="AE8563">
        <v>-0.74150000000000205</v>
      </c>
      <c r="AF8563">
        <v>-0.65494338028415999</v>
      </c>
      <c r="AG8563">
        <v>-1.108049553396</v>
      </c>
      <c r="AH8563">
        <v>17.770727931445599</v>
      </c>
      <c r="AI8563">
        <v>93.565502379120105</v>
      </c>
      <c r="AJ8563">
        <v>92.110690971289102</v>
      </c>
      <c r="AK8563">
        <v>17.817280821091099</v>
      </c>
      <c r="AL8563">
        <v>80.743409594406202</v>
      </c>
      <c r="AM8563">
        <v>90.009361010537305</v>
      </c>
      <c r="AN8563">
        <v>1.0000000429990501</v>
      </c>
    </row>
    <row r="8564" spans="1:40" x14ac:dyDescent="0.25">
      <c r="A8564" t="str">
        <f>"20190312172315967"</f>
        <v>20190312172315967</v>
      </c>
      <c r="B8564" t="str">
        <f>"1552382595959243"</f>
        <v>1552382595959243</v>
      </c>
      <c r="C8564" t="s">
        <v>40</v>
      </c>
      <c r="D8564">
        <v>3.2670759999999999</v>
      </c>
      <c r="E8564">
        <v>0.4815798</v>
      </c>
      <c r="F8564" t="s">
        <v>42</v>
      </c>
      <c r="G8564">
        <v>-141.05179999999999</v>
      </c>
      <c r="H8564" s="1">
        <v>-4.2484080000000001E-6</v>
      </c>
      <c r="I8564">
        <v>137.20699999999999</v>
      </c>
      <c r="J8564">
        <v>-157.88299999999899</v>
      </c>
      <c r="K8564">
        <v>1.1089690000000001</v>
      </c>
      <c r="L8564">
        <v>137.78450000000001</v>
      </c>
      <c r="M8564">
        <v>0.99686370000000002</v>
      </c>
      <c r="N8564">
        <v>0</v>
      </c>
      <c r="O8564">
        <v>-7.7684920000000005E-2</v>
      </c>
      <c r="P8564">
        <v>0.98684819999999995</v>
      </c>
      <c r="Q8564">
        <v>0.1458892</v>
      </c>
      <c r="R8564">
        <v>-6.9622439999999994E-2</v>
      </c>
      <c r="S8564">
        <v>3.0623779999999998</v>
      </c>
      <c r="T8564">
        <v>-0.19749649999999999</v>
      </c>
      <c r="U8564">
        <v>-0.1078033</v>
      </c>
      <c r="V8564">
        <v>-6.7824879999999997E-3</v>
      </c>
      <c r="W8564">
        <v>0.16083210000000001</v>
      </c>
      <c r="X8564">
        <v>0.98695849999999996</v>
      </c>
      <c r="Y8564">
        <v>-4.2322730000000003E-2</v>
      </c>
      <c r="Z8564">
        <v>6.3612119999999998E-3</v>
      </c>
      <c r="AA8564">
        <v>0.99908379999999997</v>
      </c>
      <c r="AB8564">
        <v>35</v>
      </c>
      <c r="AC8564">
        <v>16.8311999999999</v>
      </c>
      <c r="AD8564">
        <v>-1.1089732484079999</v>
      </c>
      <c r="AE8564">
        <v>-0.577500000000014</v>
      </c>
      <c r="AF8564">
        <v>-0.72876500553330903</v>
      </c>
      <c r="AG8564">
        <v>-1.1089732484079999</v>
      </c>
      <c r="AH8564">
        <v>16.752550966472501</v>
      </c>
      <c r="AI8564">
        <v>93.783730861075199</v>
      </c>
      <c r="AJ8564">
        <v>92.490895258758798</v>
      </c>
      <c r="AK8564">
        <v>16.805025557351399</v>
      </c>
      <c r="AL8564">
        <v>80.744802652409106</v>
      </c>
      <c r="AM8564">
        <v>90.393736737378205</v>
      </c>
      <c r="AN8564">
        <v>1.00000002362806</v>
      </c>
    </row>
    <row r="8565" spans="1:40" x14ac:dyDescent="0.25">
      <c r="A8565" t="str">
        <f>"20190312172315988"</f>
        <v>20190312172315988</v>
      </c>
      <c r="B8565" t="str">
        <f>"1552382595978760"</f>
        <v>1552382595978760</v>
      </c>
      <c r="C8565" t="s">
        <v>40</v>
      </c>
      <c r="D8565">
        <v>3.2743660000000001</v>
      </c>
      <c r="E8565">
        <v>0.48164479999999998</v>
      </c>
      <c r="F8565" t="s">
        <v>42</v>
      </c>
      <c r="G8565">
        <v>-140.66499999999999</v>
      </c>
      <c r="H8565" s="1">
        <v>-4.3981259999999997E-6</v>
      </c>
      <c r="I8565">
        <v>137.29830000000001</v>
      </c>
      <c r="J8565">
        <v>-157.53700000000001</v>
      </c>
      <c r="K8565">
        <v>1.1098399999999999</v>
      </c>
      <c r="L8565">
        <v>137.75829999999999</v>
      </c>
      <c r="M8565">
        <v>0.99696640000000003</v>
      </c>
      <c r="N8565">
        <v>0</v>
      </c>
      <c r="O8565">
        <v>-7.6363399999999901E-2</v>
      </c>
      <c r="P8565">
        <v>0.98683140000000003</v>
      </c>
      <c r="Q8565">
        <v>0.14849300000000001</v>
      </c>
      <c r="R8565">
        <v>-6.413874E-2</v>
      </c>
      <c r="S8565">
        <v>3.0630489999999999</v>
      </c>
      <c r="T8565">
        <v>-0.1972843</v>
      </c>
      <c r="U8565">
        <v>-8.6471560000000003E-2</v>
      </c>
      <c r="V8565">
        <v>-1.1261210000000001E-2</v>
      </c>
      <c r="W8565">
        <v>0.16337960000000001</v>
      </c>
      <c r="X8565">
        <v>0.98649900000000001</v>
      </c>
      <c r="Y8565">
        <v>-4.7947730000000001E-2</v>
      </c>
      <c r="Z8565">
        <v>6.450173E-3</v>
      </c>
      <c r="AA8565">
        <v>0.99882899999999997</v>
      </c>
      <c r="AB8565">
        <v>35</v>
      </c>
      <c r="AC8565">
        <v>16.872</v>
      </c>
      <c r="AD8565">
        <v>-1.109844398126</v>
      </c>
      <c r="AE8565">
        <v>-0.45999999999997898</v>
      </c>
      <c r="AF8565">
        <v>-0.82631992005064603</v>
      </c>
      <c r="AG8565">
        <v>-1.109844398126</v>
      </c>
      <c r="AH8565">
        <v>16.7852779625082</v>
      </c>
      <c r="AI8565">
        <v>93.778334477388299</v>
      </c>
      <c r="AJ8565">
        <v>92.818330045517598</v>
      </c>
      <c r="AK8565">
        <v>16.8422123094618</v>
      </c>
      <c r="AL8565">
        <v>80.596884871910106</v>
      </c>
      <c r="AM8565">
        <v>90.654021728621998</v>
      </c>
      <c r="AN8565">
        <v>0.99999999277391205</v>
      </c>
    </row>
    <row r="8566" spans="1:40" x14ac:dyDescent="0.25">
      <c r="A8566" t="str">
        <f>"20190312172316011"</f>
        <v>20190312172316011</v>
      </c>
      <c r="B8566" t="str">
        <f>"1552382596009016"</f>
        <v>1552382596009016</v>
      </c>
      <c r="C8566" t="s">
        <v>40</v>
      </c>
      <c r="D8566">
        <v>3.3078889999999999</v>
      </c>
      <c r="E8566">
        <v>0.48197220000000002</v>
      </c>
      <c r="F8566" t="s">
        <v>42</v>
      </c>
      <c r="G8566">
        <v>-139.45660000000001</v>
      </c>
      <c r="H8566" s="1">
        <v>-7.7170069999999995E-7</v>
      </c>
      <c r="I8566">
        <v>137.35849999999999</v>
      </c>
      <c r="J8566">
        <v>-157.18340000000001</v>
      </c>
      <c r="K8566">
        <v>1.110657</v>
      </c>
      <c r="L8566">
        <v>137.7328</v>
      </c>
      <c r="M8566">
        <v>0.9971238</v>
      </c>
      <c r="N8566">
        <v>0</v>
      </c>
      <c r="O8566">
        <v>-7.4286740000000004E-2</v>
      </c>
      <c r="P8566">
        <v>0.9869561</v>
      </c>
      <c r="Q8566">
        <v>0.15025169999999999</v>
      </c>
      <c r="R8566">
        <v>-5.7814119999999997E-2</v>
      </c>
      <c r="S8566">
        <v>3.063904</v>
      </c>
      <c r="T8566">
        <v>-0.1880735</v>
      </c>
      <c r="U8566">
        <v>-6.7749019999999993E-2</v>
      </c>
      <c r="V8566">
        <v>-1.583213E-2</v>
      </c>
      <c r="W8566">
        <v>0.16506999999999999</v>
      </c>
      <c r="X8566">
        <v>0.9861548</v>
      </c>
      <c r="Y8566">
        <v>-5.1994169999999999E-2</v>
      </c>
      <c r="Z8566">
        <v>6.1456729999999999E-3</v>
      </c>
      <c r="AA8566">
        <v>0.99862850000000003</v>
      </c>
      <c r="AB8566">
        <v>35</v>
      </c>
      <c r="AC8566">
        <v>17.726799999999901</v>
      </c>
      <c r="AD8566">
        <v>-1.1106577717007</v>
      </c>
      <c r="AE8566">
        <v>-0.37430000000000502</v>
      </c>
      <c r="AF8566">
        <v>-0.94006060428572702</v>
      </c>
      <c r="AG8566">
        <v>-1.1106577717007</v>
      </c>
      <c r="AH8566">
        <v>17.636415410641799</v>
      </c>
      <c r="AI8566">
        <v>93.598363134468997</v>
      </c>
      <c r="AJ8566">
        <v>93.051106557803394</v>
      </c>
      <c r="AK8566">
        <v>17.696339258792801</v>
      </c>
      <c r="AL8566">
        <v>80.498699309957104</v>
      </c>
      <c r="AM8566">
        <v>90.919770716874993</v>
      </c>
      <c r="AN8566">
        <v>1.0000000254016801</v>
      </c>
    </row>
    <row r="8567" spans="1:40" x14ac:dyDescent="0.25">
      <c r="A8567" t="str">
        <f>"20190312172316034"</f>
        <v>20190312172316034</v>
      </c>
      <c r="B8567" t="str">
        <f>"1552382596028536"</f>
        <v>1552382596028536</v>
      </c>
      <c r="C8567" t="s">
        <v>40</v>
      </c>
      <c r="D8567">
        <v>3.3391419999999998</v>
      </c>
      <c r="E8567">
        <v>0.48220160000000001</v>
      </c>
      <c r="F8567" t="s">
        <v>42</v>
      </c>
      <c r="G8567">
        <v>-138.4889</v>
      </c>
      <c r="H8567" s="1">
        <v>-1.083627E-6</v>
      </c>
      <c r="I8567">
        <v>137.4238</v>
      </c>
      <c r="J8567">
        <v>-156.8416</v>
      </c>
      <c r="K8567">
        <v>1.1113770000000001</v>
      </c>
      <c r="L8567">
        <v>137.70949999999999</v>
      </c>
      <c r="M8567">
        <v>0.99731950000000003</v>
      </c>
      <c r="N8567">
        <v>0</v>
      </c>
      <c r="O8567">
        <v>-7.1617390000000003E-2</v>
      </c>
      <c r="P8567">
        <v>0.98744480000000001</v>
      </c>
      <c r="Q8567">
        <v>0.14944959999999999</v>
      </c>
      <c r="R8567">
        <v>-5.1162739999999998E-2</v>
      </c>
      <c r="S8567">
        <v>3.0644070000000001</v>
      </c>
      <c r="T8567">
        <v>-0.1820592</v>
      </c>
      <c r="U8567">
        <v>-5.0643920000000002E-2</v>
      </c>
      <c r="V8567">
        <v>-2.0136169999999998E-2</v>
      </c>
      <c r="W8567">
        <v>0.1642004</v>
      </c>
      <c r="X8567">
        <v>0.98622140000000003</v>
      </c>
      <c r="Y8567">
        <v>-5.4911040000000001E-2</v>
      </c>
      <c r="Z8567">
        <v>5.8775390000000002E-3</v>
      </c>
      <c r="AA8567">
        <v>0.99847390000000003</v>
      </c>
      <c r="AB8567">
        <v>35</v>
      </c>
      <c r="AC8567">
        <v>18.352699999999999</v>
      </c>
      <c r="AD8567">
        <v>-1.111378083627</v>
      </c>
      <c r="AE8567">
        <v>-0.28569999999999102</v>
      </c>
      <c r="AF8567">
        <v>-1.02579321897675</v>
      </c>
      <c r="AG8567">
        <v>-1.111378083627</v>
      </c>
      <c r="AH8567">
        <v>18.2590844944365</v>
      </c>
      <c r="AI8567">
        <v>93.477662251308402</v>
      </c>
      <c r="AJ8567">
        <v>93.215490107869996</v>
      </c>
      <c r="AK8567">
        <v>18.3216150911386</v>
      </c>
      <c r="AL8567">
        <v>80.549212220143303</v>
      </c>
      <c r="AM8567">
        <v>91.169673744992807</v>
      </c>
      <c r="AN8567">
        <v>0.99999994326019204</v>
      </c>
    </row>
    <row r="8568" spans="1:40" x14ac:dyDescent="0.25">
      <c r="A8568" t="str">
        <f>"20190312172316056"</f>
        <v>20190312172316056</v>
      </c>
      <c r="B8568" t="str">
        <f>"1552382596048467"</f>
        <v>1552382596048467</v>
      </c>
      <c r="C8568" t="s">
        <v>40</v>
      </c>
      <c r="D8568">
        <v>3.3530720000000001</v>
      </c>
      <c r="E8568">
        <v>0.48660949999999997</v>
      </c>
      <c r="F8568" t="s">
        <v>42</v>
      </c>
      <c r="G8568">
        <v>-138.40780000000001</v>
      </c>
      <c r="H8568" s="1">
        <v>-1.0870839999999999E-6</v>
      </c>
      <c r="I8568">
        <v>137.5146</v>
      </c>
      <c r="J8568">
        <v>-156.49709999999999</v>
      </c>
      <c r="K8568">
        <v>1.1120570000000001</v>
      </c>
      <c r="L8568">
        <v>137.6875</v>
      </c>
      <c r="M8568">
        <v>0.99755079999999996</v>
      </c>
      <c r="N8568">
        <v>0</v>
      </c>
      <c r="O8568">
        <v>-6.8326490000000004E-2</v>
      </c>
      <c r="P8568">
        <v>0.988093</v>
      </c>
      <c r="Q8568">
        <v>0.14736079999999999</v>
      </c>
      <c r="R8568">
        <v>-4.4240090000000003E-2</v>
      </c>
      <c r="S8568">
        <v>3.0644230000000001</v>
      </c>
      <c r="T8568">
        <v>-0.184755</v>
      </c>
      <c r="U8568">
        <v>-3.2394409999999998E-2</v>
      </c>
      <c r="V8568">
        <v>-2.408366E-2</v>
      </c>
      <c r="W8568">
        <v>0.16204199999999999</v>
      </c>
      <c r="X8568">
        <v>0.98648999999999998</v>
      </c>
      <c r="Y8568">
        <v>-5.7556110000000001E-2</v>
      </c>
      <c r="Z8568">
        <v>5.8466680000000002E-3</v>
      </c>
      <c r="AA8568">
        <v>0.99832520000000002</v>
      </c>
      <c r="AB8568">
        <v>35</v>
      </c>
      <c r="AC8568">
        <v>18.089299999999898</v>
      </c>
      <c r="AD8568">
        <v>-1.112058087084</v>
      </c>
      <c r="AE8568">
        <v>-0.172899999999998</v>
      </c>
      <c r="AF8568">
        <v>-1.0596166731243299</v>
      </c>
      <c r="AG8568">
        <v>-1.112058087084</v>
      </c>
      <c r="AH8568">
        <v>17.990844469250298</v>
      </c>
      <c r="AI8568">
        <v>93.530988457454896</v>
      </c>
      <c r="AJ8568">
        <v>93.370687124368999</v>
      </c>
      <c r="AK8568">
        <v>18.0562993273751</v>
      </c>
      <c r="AL8568">
        <v>80.674559597246798</v>
      </c>
      <c r="AM8568">
        <v>91.398511920287604</v>
      </c>
      <c r="AN8568">
        <v>1.00000007627149</v>
      </c>
    </row>
    <row r="8569" spans="1:40" x14ac:dyDescent="0.25">
      <c r="A8569" t="str">
        <f>"20190312172316077"</f>
        <v>20190312172316077</v>
      </c>
      <c r="B8569" t="str">
        <f>"1552382596068963"</f>
        <v>1552382596068963</v>
      </c>
      <c r="C8569" t="s">
        <v>40</v>
      </c>
      <c r="D8569">
        <v>3.3772489999999999</v>
      </c>
      <c r="E8569">
        <v>0.48704629999999999</v>
      </c>
      <c r="F8569" t="s">
        <v>42</v>
      </c>
      <c r="G8569">
        <v>-139.09809999999999</v>
      </c>
      <c r="H8569" s="1">
        <v>-8.7728809999999998E-7</v>
      </c>
      <c r="I8569">
        <v>137.42019999999999</v>
      </c>
      <c r="J8569">
        <v>-156.15989999999999</v>
      </c>
      <c r="K8569">
        <v>1.112676</v>
      </c>
      <c r="L8569">
        <v>137.66759999999999</v>
      </c>
      <c r="M8569">
        <v>0.99780119999999894</v>
      </c>
      <c r="N8569">
        <v>0</v>
      </c>
      <c r="O8569">
        <v>-6.4571760000000006E-2</v>
      </c>
      <c r="P8569">
        <v>0.98855899999999997</v>
      </c>
      <c r="Q8569">
        <v>0.1461529</v>
      </c>
      <c r="R8569">
        <v>-3.729064E-2</v>
      </c>
      <c r="S8569">
        <v>3.0632480000000002</v>
      </c>
      <c r="T8569">
        <v>-0.19578670000000001</v>
      </c>
      <c r="U8569">
        <v>-4.7042849999999997E-2</v>
      </c>
      <c r="V8569">
        <v>-2.756227E-2</v>
      </c>
      <c r="W8569">
        <v>0.16076289999999999</v>
      </c>
      <c r="X8569">
        <v>0.98660809999999999</v>
      </c>
      <c r="Y8569">
        <v>-4.9016520000000001E-2</v>
      </c>
      <c r="Z8569">
        <v>5.6851860000000001E-3</v>
      </c>
      <c r="AA8569">
        <v>0.99878180000000005</v>
      </c>
      <c r="AB8569">
        <v>35</v>
      </c>
      <c r="AC8569">
        <v>17.061800000000002</v>
      </c>
      <c r="AD8569">
        <v>-1.1126768772880999</v>
      </c>
      <c r="AE8569">
        <v>-0.24739999999999801</v>
      </c>
      <c r="AF8569">
        <v>-0.85132999091412098</v>
      </c>
      <c r="AG8569">
        <v>-1.1126768772880999</v>
      </c>
      <c r="AH8569">
        <v>16.9700049270214</v>
      </c>
      <c r="AI8569">
        <v>93.746659948007505</v>
      </c>
      <c r="AJ8569">
        <v>92.871935379725898</v>
      </c>
      <c r="AK8569">
        <v>17.0277385406816</v>
      </c>
      <c r="AL8569">
        <v>80.748819254563003</v>
      </c>
      <c r="AM8569">
        <v>91.600221113089503</v>
      </c>
      <c r="AN8569">
        <v>0.99999996586478501</v>
      </c>
    </row>
    <row r="8570" spans="1:40" x14ac:dyDescent="0.25">
      <c r="A8570" t="str">
        <f>"20190312172316101"</f>
        <v>20190312172316101</v>
      </c>
      <c r="B8570" t="str">
        <f>"1552382596088482"</f>
        <v>1552382596088482</v>
      </c>
      <c r="C8570" t="s">
        <v>40</v>
      </c>
      <c r="D8570">
        <v>3.388344</v>
      </c>
      <c r="E8570">
        <v>0.48793829999999999</v>
      </c>
      <c r="F8570" t="s">
        <v>42</v>
      </c>
      <c r="G8570">
        <v>-139.33690000000001</v>
      </c>
      <c r="H8570" s="1">
        <v>-7.7344499999999995E-7</v>
      </c>
      <c r="I8570">
        <v>137.5051</v>
      </c>
      <c r="J8570">
        <v>-155.81129999999999</v>
      </c>
      <c r="K8570">
        <v>1.1132649999999999</v>
      </c>
      <c r="L8570">
        <v>137.6489</v>
      </c>
      <c r="M8570">
        <v>0.9980753</v>
      </c>
      <c r="N8570">
        <v>0</v>
      </c>
      <c r="O8570">
        <v>-6.0187749999999998E-2</v>
      </c>
      <c r="P8570">
        <v>0.98902959999999995</v>
      </c>
      <c r="Q8570">
        <v>0.1444676</v>
      </c>
      <c r="R8570">
        <v>-3.0820670000000001E-2</v>
      </c>
      <c r="S8570">
        <v>3.0635379999999999</v>
      </c>
      <c r="T8570">
        <v>-0.20262250000000001</v>
      </c>
      <c r="U8570">
        <v>-2.9586790000000002E-2</v>
      </c>
      <c r="V8570">
        <v>-2.9922569999999999E-2</v>
      </c>
      <c r="W8570">
        <v>0.159013299999999</v>
      </c>
      <c r="X8570">
        <v>0.98682289999999995</v>
      </c>
      <c r="Y8570">
        <v>-5.0310630000000002E-2</v>
      </c>
      <c r="Z8570">
        <v>5.6366510000000003E-3</v>
      </c>
      <c r="AA8570">
        <v>0.99871770000000004</v>
      </c>
      <c r="AB8570">
        <v>35</v>
      </c>
      <c r="AC8570">
        <v>16.4743999999999</v>
      </c>
      <c r="AD8570">
        <v>-1.113265773445</v>
      </c>
      <c r="AE8570">
        <v>-0.14379999999999801</v>
      </c>
      <c r="AF8570">
        <v>-0.844273430441701</v>
      </c>
      <c r="AG8570">
        <v>-1.113265773445</v>
      </c>
      <c r="AH8570">
        <v>16.378397026934898</v>
      </c>
      <c r="AI8570">
        <v>93.883364220790497</v>
      </c>
      <c r="AJ8570">
        <v>92.950870384321206</v>
      </c>
      <c r="AK8570">
        <v>16.437884519596299</v>
      </c>
      <c r="AL8570">
        <v>80.850370842648204</v>
      </c>
      <c r="AM8570">
        <v>91.736797785205994</v>
      </c>
      <c r="AN8570">
        <v>1.0000000128683499</v>
      </c>
    </row>
    <row r="8571" spans="1:40" x14ac:dyDescent="0.25">
      <c r="A8571" t="str">
        <f>"20190312172316122"</f>
        <v>20190312172316122</v>
      </c>
      <c r="B8571" t="str">
        <f>"1552382596118737"</f>
        <v>1552382596118737</v>
      </c>
      <c r="C8571" t="s">
        <v>40</v>
      </c>
      <c r="D8571">
        <v>3.3884199999999902</v>
      </c>
      <c r="E8571">
        <v>0.48867129999999998</v>
      </c>
      <c r="F8571" t="s">
        <v>42</v>
      </c>
      <c r="G8571">
        <v>-139.37200000000001</v>
      </c>
      <c r="H8571" s="1">
        <v>-7.4708159999999997E-7</v>
      </c>
      <c r="I8571">
        <v>137.55930000000001</v>
      </c>
      <c r="J8571">
        <v>-155.46979999999999</v>
      </c>
      <c r="K8571">
        <v>1.113785</v>
      </c>
      <c r="L8571">
        <v>137.6327</v>
      </c>
      <c r="M8571">
        <v>0.99835220000000002</v>
      </c>
      <c r="N8571">
        <v>0</v>
      </c>
      <c r="O8571">
        <v>-5.5409800000000002E-2</v>
      </c>
      <c r="P8571">
        <v>0.98950930000000004</v>
      </c>
      <c r="Q8571">
        <v>0.14239260000000001</v>
      </c>
      <c r="R8571">
        <v>-2.4415530000000001E-2</v>
      </c>
      <c r="S8571">
        <v>3.0630649999999999</v>
      </c>
      <c r="T8571">
        <v>-0.20742930000000001</v>
      </c>
      <c r="U8571">
        <v>-1.6693119999999999E-2</v>
      </c>
      <c r="V8571">
        <v>-3.1790770000000003E-2</v>
      </c>
      <c r="W8571">
        <v>0.1568832</v>
      </c>
      <c r="X8571">
        <v>0.98710540000000002</v>
      </c>
      <c r="Y8571">
        <v>-4.9733109999999997E-2</v>
      </c>
      <c r="Z8571">
        <v>5.428853E-3</v>
      </c>
      <c r="AA8571">
        <v>0.99874779999999996</v>
      </c>
      <c r="AB8571">
        <v>35</v>
      </c>
      <c r="AC8571">
        <v>16.0977999999999</v>
      </c>
      <c r="AD8571">
        <v>-1.1137857470815999</v>
      </c>
      <c r="AE8571">
        <v>-7.3399999999992305E-2</v>
      </c>
      <c r="AF8571">
        <v>-0.81488713407108904</v>
      </c>
      <c r="AG8571">
        <v>-1.1137857470815999</v>
      </c>
      <c r="AH8571">
        <v>16.000536739325199</v>
      </c>
      <c r="AI8571">
        <v>93.976757128490107</v>
      </c>
      <c r="AJ8571">
        <v>92.915482786299094</v>
      </c>
      <c r="AK8571">
        <v>16.059941957496999</v>
      </c>
      <c r="AL8571">
        <v>80.973968240131896</v>
      </c>
      <c r="AM8571">
        <v>91.844633386302704</v>
      </c>
      <c r="AN8571">
        <v>1.00000003110429</v>
      </c>
    </row>
    <row r="8572" spans="1:40" x14ac:dyDescent="0.25">
      <c r="A8572" t="str">
        <f>"20190312172316145"</f>
        <v>20190312172316145</v>
      </c>
      <c r="B8572" t="str">
        <f>"1552382596139237"</f>
        <v>1552382596139237</v>
      </c>
      <c r="C8572" t="s">
        <v>40</v>
      </c>
      <c r="D8572">
        <v>3.4241380000000001</v>
      </c>
      <c r="E8572">
        <v>0.48922840000000001</v>
      </c>
      <c r="F8572" t="s">
        <v>42</v>
      </c>
      <c r="G8572">
        <v>-139.60939999999999</v>
      </c>
      <c r="H8572" s="1">
        <v>-6.5114949999999904E-7</v>
      </c>
      <c r="I8572">
        <v>137.61609999999999</v>
      </c>
      <c r="J8572">
        <v>-155.12209999999999</v>
      </c>
      <c r="K8572">
        <v>1.1142299999999901</v>
      </c>
      <c r="L8572">
        <v>137.6183</v>
      </c>
      <c r="M8572">
        <v>0.99862870000000004</v>
      </c>
      <c r="N8572">
        <v>0</v>
      </c>
      <c r="O8572">
        <v>-5.0179710000000002E-2</v>
      </c>
      <c r="P8572">
        <v>0.9900814</v>
      </c>
      <c r="Q8572">
        <v>0.139205299999999</v>
      </c>
      <c r="R8572">
        <v>-1.8989389999999998E-2</v>
      </c>
      <c r="S8572">
        <v>3.0626829999999998</v>
      </c>
      <c r="T8572">
        <v>-0.21507390000000001</v>
      </c>
      <c r="U8572">
        <v>-3.1890870000000002E-3</v>
      </c>
      <c r="V8572">
        <v>-3.2195580000000001E-2</v>
      </c>
      <c r="W8572">
        <v>0.15366160000000001</v>
      </c>
      <c r="X8572">
        <v>0.98759889999999995</v>
      </c>
      <c r="Y8572">
        <v>-4.8901380000000001E-2</v>
      </c>
      <c r="Z8572">
        <v>5.2336570000000001E-3</v>
      </c>
      <c r="AA8572">
        <v>0.99878990000000001</v>
      </c>
      <c r="AB8572">
        <v>35</v>
      </c>
      <c r="AC8572">
        <v>15.512699999999899</v>
      </c>
      <c r="AD8572">
        <v>-1.1142306511494999</v>
      </c>
      <c r="AE8572">
        <v>-2.2000000000161799E-3</v>
      </c>
      <c r="AF8572">
        <v>-0.77232772828489404</v>
      </c>
      <c r="AG8572">
        <v>-1.1142306511494999</v>
      </c>
      <c r="AH8572">
        <v>15.413741923272999</v>
      </c>
      <c r="AI8572">
        <v>94.129450512800702</v>
      </c>
      <c r="AJ8572">
        <v>92.868488523822293</v>
      </c>
      <c r="AK8572">
        <v>15.4732491785372</v>
      </c>
      <c r="AL8572">
        <v>81.160818440083602</v>
      </c>
      <c r="AM8572">
        <v>91.867172790898096</v>
      </c>
      <c r="AN8572">
        <v>1.0000000149836501</v>
      </c>
    </row>
    <row r="8573" spans="1:40" x14ac:dyDescent="0.25">
      <c r="A8573" t="str">
        <f>"20190312172316167"</f>
        <v>20190312172316167</v>
      </c>
      <c r="B8573" t="str">
        <f>"1552382596158753"</f>
        <v>1552382596158753</v>
      </c>
      <c r="C8573" t="s">
        <v>40</v>
      </c>
      <c r="D8573">
        <v>3.4259569999999999</v>
      </c>
      <c r="E8573">
        <v>0.48960769999999998</v>
      </c>
      <c r="F8573" t="s">
        <v>42</v>
      </c>
      <c r="G8573">
        <v>-139.87360000000001</v>
      </c>
      <c r="H8573" s="1">
        <v>-5.487992E-7</v>
      </c>
      <c r="I8573">
        <v>137.66290000000001</v>
      </c>
      <c r="J8573">
        <v>-154.78280000000001</v>
      </c>
      <c r="K8573">
        <v>1.1145929999999999</v>
      </c>
      <c r="L8573">
        <v>137.6063</v>
      </c>
      <c r="M8573">
        <v>0.99888600000000005</v>
      </c>
      <c r="N8573">
        <v>0</v>
      </c>
      <c r="O8573">
        <v>-4.4768049999999997E-2</v>
      </c>
      <c r="P8573">
        <v>0.99058420000000003</v>
      </c>
      <c r="Q8573">
        <v>0.136215</v>
      </c>
      <c r="R8573">
        <v>-1.3743460000000001E-2</v>
      </c>
      <c r="S8573">
        <v>3.061661</v>
      </c>
      <c r="T8573">
        <v>-0.2237199</v>
      </c>
      <c r="U8573">
        <v>8.9569090000000007E-3</v>
      </c>
      <c r="V8573">
        <v>-3.2200810000000003E-2</v>
      </c>
      <c r="W8573">
        <v>0.15064539999999901</v>
      </c>
      <c r="X8573">
        <v>0.98806329999999998</v>
      </c>
      <c r="Y8573">
        <v>-4.7449579999999998E-2</v>
      </c>
      <c r="Z8573">
        <v>4.997792E-3</v>
      </c>
      <c r="AA8573">
        <v>0.99886109999999995</v>
      </c>
      <c r="AB8573">
        <v>35</v>
      </c>
      <c r="AC8573">
        <v>14.909199999999901</v>
      </c>
      <c r="AD8573">
        <v>-1.11459354879919</v>
      </c>
      <c r="AE8573">
        <v>5.6600000000003002E-2</v>
      </c>
      <c r="AF8573">
        <v>-0.72004913914112001</v>
      </c>
      <c r="AG8573">
        <v>-1.11459354879919</v>
      </c>
      <c r="AH8573">
        <v>14.808950500776101</v>
      </c>
      <c r="AI8573">
        <v>94.299183473612601</v>
      </c>
      <c r="AJ8573">
        <v>92.783675391900502</v>
      </c>
      <c r="AK8573">
        <v>14.868281826634799</v>
      </c>
      <c r="AL8573">
        <v>81.335669784484594</v>
      </c>
      <c r="AM8573">
        <v>91.866598776420602</v>
      </c>
      <c r="AN8573">
        <v>1.0000000067563499</v>
      </c>
    </row>
    <row r="8574" spans="1:40" x14ac:dyDescent="0.25">
      <c r="A8574" t="str">
        <f>"20190312172316189"</f>
        <v>20190312172316189</v>
      </c>
      <c r="B8574" t="str">
        <f>"1552382596179249"</f>
        <v>1552382596179249</v>
      </c>
      <c r="C8574" t="s">
        <v>40</v>
      </c>
      <c r="D8574">
        <v>3.3753639999999998</v>
      </c>
      <c r="E8574">
        <v>0.49366559999999998</v>
      </c>
      <c r="F8574" t="s">
        <v>42</v>
      </c>
      <c r="G8574">
        <v>-140.06870000000001</v>
      </c>
      <c r="H8574" s="1">
        <v>-4.57961E-6</v>
      </c>
      <c r="I8574">
        <v>137.7174</v>
      </c>
      <c r="J8574">
        <v>-154.44309999999999</v>
      </c>
      <c r="K8574">
        <v>1.114903</v>
      </c>
      <c r="L8574">
        <v>137.59630000000001</v>
      </c>
      <c r="M8574">
        <v>0.99912460000000003</v>
      </c>
      <c r="N8574">
        <v>0</v>
      </c>
      <c r="O8574">
        <v>-3.9083020000000003E-2</v>
      </c>
      <c r="P8574">
        <v>0.99081839999999999</v>
      </c>
      <c r="Q8574">
        <v>0.1349099</v>
      </c>
      <c r="R8574">
        <v>-8.8587279999999997E-3</v>
      </c>
      <c r="S8574">
        <v>3.0607150000000001</v>
      </c>
      <c r="T8574">
        <v>-0.23185059999999999</v>
      </c>
      <c r="U8574">
        <v>2.311707E-2</v>
      </c>
      <c r="V8574">
        <v>-3.1555130000000001E-2</v>
      </c>
      <c r="W8574">
        <v>0.14932400000000001</v>
      </c>
      <c r="X8574">
        <v>0.98828470000000002</v>
      </c>
      <c r="Y8574">
        <v>-4.6388260000000001E-2</v>
      </c>
      <c r="Z8574">
        <v>4.7105810000000001E-3</v>
      </c>
      <c r="AA8574">
        <v>0.99891240000000003</v>
      </c>
      <c r="AB8574">
        <v>35</v>
      </c>
      <c r="AC8574">
        <v>14.3743999999999</v>
      </c>
      <c r="AD8574">
        <v>-1.1149075796100001</v>
      </c>
      <c r="AE8574">
        <v>0.121099999999984</v>
      </c>
      <c r="AF8574">
        <v>-0.67878177059674805</v>
      </c>
      <c r="AG8574">
        <v>-1.1149075796100001</v>
      </c>
      <c r="AH8574">
        <v>14.2728242265483</v>
      </c>
      <c r="AI8574">
        <v>94.461511259287704</v>
      </c>
      <c r="AJ8574">
        <v>92.722800283085206</v>
      </c>
      <c r="AK8574">
        <v>14.332385530856699</v>
      </c>
      <c r="AL8574">
        <v>81.412246723799797</v>
      </c>
      <c r="AM8574">
        <v>91.828786535156098</v>
      </c>
      <c r="AN8574">
        <v>1.0000000157297</v>
      </c>
    </row>
    <row r="8575" spans="1:40" x14ac:dyDescent="0.25">
      <c r="A8575" t="str">
        <f>"20190312172316212"</f>
        <v>20190312172316212</v>
      </c>
      <c r="B8575" t="str">
        <f>"1552382596208530"</f>
        <v>1552382596208530</v>
      </c>
      <c r="C8575" t="s">
        <v>40</v>
      </c>
      <c r="D8575">
        <v>3.373094</v>
      </c>
      <c r="E8575">
        <v>0.49466260000000001</v>
      </c>
      <c r="F8575" t="s">
        <v>42</v>
      </c>
      <c r="G8575">
        <v>-138.5119</v>
      </c>
      <c r="H8575" s="1">
        <v>-1.0189239999999999E-6</v>
      </c>
      <c r="I8575">
        <v>137.6377</v>
      </c>
      <c r="J8575">
        <v>-154.101</v>
      </c>
      <c r="K8575">
        <v>1.1151580000000001</v>
      </c>
      <c r="L8575">
        <v>137.58850000000001</v>
      </c>
      <c r="M8575">
        <v>0.99933989999999995</v>
      </c>
      <c r="N8575">
        <v>0</v>
      </c>
      <c r="O8575">
        <v>-3.3126339999999997E-2</v>
      </c>
      <c r="P8575">
        <v>0.99078569999999999</v>
      </c>
      <c r="Q8575">
        <v>0.13538599999999901</v>
      </c>
      <c r="R8575">
        <v>-3.827647E-3</v>
      </c>
      <c r="S8575">
        <v>3.0569920000000002</v>
      </c>
      <c r="T8575">
        <v>-0.21393529999999999</v>
      </c>
      <c r="U8575">
        <v>7.9345700000000002E-3</v>
      </c>
      <c r="V8575">
        <v>-3.0783399999999999E-2</v>
      </c>
      <c r="W8575">
        <v>0.14978649999999999</v>
      </c>
      <c r="X8575">
        <v>0.98823899999999998</v>
      </c>
      <c r="Y8575">
        <v>-3.555606E-2</v>
      </c>
      <c r="Z8575">
        <v>3.5580120000000002E-3</v>
      </c>
      <c r="AA8575">
        <v>0.99936130000000001</v>
      </c>
      <c r="AB8575">
        <v>35</v>
      </c>
      <c r="AC8575">
        <v>15.5891</v>
      </c>
      <c r="AD8575">
        <v>-1.1151590189239999</v>
      </c>
      <c r="AE8575">
        <v>4.9199999999984798E-2</v>
      </c>
      <c r="AF8575">
        <v>-0.56276053175059504</v>
      </c>
      <c r="AG8575">
        <v>-1.1151590189239999</v>
      </c>
      <c r="AH8575">
        <v>15.4995987703706</v>
      </c>
      <c r="AI8575">
        <v>94.112502688083595</v>
      </c>
      <c r="AJ8575">
        <v>92.079385813502697</v>
      </c>
      <c r="AK8575">
        <v>15.5498501952931</v>
      </c>
      <c r="AL8575">
        <v>81.385445587059095</v>
      </c>
      <c r="AM8575">
        <v>91.784172420208193</v>
      </c>
      <c r="AN8575">
        <v>0.99999996720940398</v>
      </c>
    </row>
    <row r="8576" spans="1:40" x14ac:dyDescent="0.25">
      <c r="A8576" t="str">
        <f>"20190312172316234"</f>
        <v>20190312172316234</v>
      </c>
      <c r="B8576" t="str">
        <f>"1552382596229025"</f>
        <v>1552382596229025</v>
      </c>
      <c r="C8576" t="s">
        <v>40</v>
      </c>
      <c r="D8576">
        <v>3.4223170000000001</v>
      </c>
      <c r="E8576">
        <v>0.49543559999999998</v>
      </c>
      <c r="F8576" t="s">
        <v>42</v>
      </c>
      <c r="G8576">
        <v>-138.36160000000001</v>
      </c>
      <c r="H8576" s="1">
        <v>-1.061127E-6</v>
      </c>
      <c r="I8576">
        <v>137.6712</v>
      </c>
      <c r="J8576">
        <v>-153.75020000000001</v>
      </c>
      <c r="K8576">
        <v>1.115386</v>
      </c>
      <c r="L8576">
        <v>137.58279999999999</v>
      </c>
      <c r="M8576">
        <v>0.99952920000000001</v>
      </c>
      <c r="N8576">
        <v>0</v>
      </c>
      <c r="O8576">
        <v>-2.6811089999999999E-2</v>
      </c>
      <c r="P8576">
        <v>0.99066120000000002</v>
      </c>
      <c r="Q8576">
        <v>0.13634660000000001</v>
      </c>
      <c r="R8576" s="1">
        <v>6.2660309999999994E-5</v>
      </c>
      <c r="S8576">
        <v>3.0575709999999998</v>
      </c>
      <c r="T8576">
        <v>-0.21663270000000001</v>
      </c>
      <c r="U8576">
        <v>1.6067499999999998E-2</v>
      </c>
      <c r="V8576">
        <v>-2.8513859999999999E-2</v>
      </c>
      <c r="W8576">
        <v>0.15075759999999999</v>
      </c>
      <c r="X8576">
        <v>0.98815949999999997</v>
      </c>
      <c r="Y8576">
        <v>-3.1919509999999998E-2</v>
      </c>
      <c r="Z8576">
        <v>3.026627E-3</v>
      </c>
      <c r="AA8576">
        <v>0.99948590000000004</v>
      </c>
      <c r="AB8576">
        <v>34</v>
      </c>
      <c r="AC8576">
        <v>15.388599999999901</v>
      </c>
      <c r="AD8576">
        <v>-1.115387061127</v>
      </c>
      <c r="AE8576">
        <v>8.8400000000007098E-2</v>
      </c>
      <c r="AF8576">
        <v>-0.49838108685911198</v>
      </c>
      <c r="AG8576">
        <v>-1.115387061127</v>
      </c>
      <c r="AH8576">
        <v>15.300318126665401</v>
      </c>
      <c r="AI8576">
        <v>94.167261421126</v>
      </c>
      <c r="AJ8576">
        <v>91.8656501059275</v>
      </c>
      <c r="AK8576">
        <v>15.349013218478699</v>
      </c>
      <c r="AL8576">
        <v>81.329167272202596</v>
      </c>
      <c r="AM8576">
        <v>91.652841091679093</v>
      </c>
      <c r="AN8576">
        <v>1.00000004580505</v>
      </c>
    </row>
    <row r="8577" spans="1:40" x14ac:dyDescent="0.25">
      <c r="A8577" t="str">
        <f>"20190312172316257"</f>
        <v>20190312172316257</v>
      </c>
      <c r="B8577" t="str">
        <f>"1552382596248545"</f>
        <v>1552382596248545</v>
      </c>
      <c r="C8577" t="s">
        <v>40</v>
      </c>
      <c r="D8577">
        <v>3.4484189999999999</v>
      </c>
      <c r="E8577">
        <v>0.49592069999999999</v>
      </c>
      <c r="F8577" t="s">
        <v>42</v>
      </c>
      <c r="G8577">
        <v>-137.25020000000001</v>
      </c>
      <c r="H8577" s="1">
        <v>-1.498949E-6</v>
      </c>
      <c r="I8577">
        <v>137.71639999999999</v>
      </c>
      <c r="J8577">
        <v>-153.40690000000001</v>
      </c>
      <c r="K8577">
        <v>1.1155999999999999</v>
      </c>
      <c r="L8577">
        <v>137.5795</v>
      </c>
      <c r="M8577">
        <v>0.9996796</v>
      </c>
      <c r="N8577">
        <v>0</v>
      </c>
      <c r="O8577">
        <v>-2.0449910000000002E-2</v>
      </c>
      <c r="P8577">
        <v>0.99089170000000004</v>
      </c>
      <c r="Q8577">
        <v>0.1346234</v>
      </c>
      <c r="R8577">
        <v>3.2096580000000002E-3</v>
      </c>
      <c r="S8577">
        <v>3.056702</v>
      </c>
      <c r="T8577">
        <v>-0.20663029999999999</v>
      </c>
      <c r="U8577">
        <v>2.4749759999999999E-2</v>
      </c>
      <c r="V8577">
        <v>-2.5421289999999999E-2</v>
      </c>
      <c r="W8577">
        <v>0.14906839999999999</v>
      </c>
      <c r="X8577">
        <v>0.98850009999999999</v>
      </c>
      <c r="Y8577">
        <v>-2.8434879999999999E-2</v>
      </c>
      <c r="Z8577">
        <v>2.3408830000000002E-3</v>
      </c>
      <c r="AA8577">
        <v>0.99959290000000001</v>
      </c>
      <c r="AB8577">
        <v>34</v>
      </c>
      <c r="AC8577">
        <v>16.156700000000001</v>
      </c>
      <c r="AD8577">
        <v>-1.115601498949</v>
      </c>
      <c r="AE8577">
        <v>0.136899999999997</v>
      </c>
      <c r="AF8577">
        <v>-0.46509389996411299</v>
      </c>
      <c r="AG8577">
        <v>-1.115601498949</v>
      </c>
      <c r="AH8577">
        <v>16.073889956215101</v>
      </c>
      <c r="AI8577">
        <v>93.968566917173902</v>
      </c>
      <c r="AJ8577">
        <v>91.657376318553403</v>
      </c>
      <c r="AK8577">
        <v>16.119268512086801</v>
      </c>
      <c r="AL8577">
        <v>81.427057489570601</v>
      </c>
      <c r="AM8577">
        <v>91.473152763309798</v>
      </c>
      <c r="AN8577">
        <v>1.0000000387819099</v>
      </c>
    </row>
    <row r="8578" spans="1:40" x14ac:dyDescent="0.25">
      <c r="A8578" t="str">
        <f>"20190312172316278"</f>
        <v>20190312172316278</v>
      </c>
      <c r="B8578" t="str">
        <f>"1552382596269042"</f>
        <v>1552382596269042</v>
      </c>
      <c r="C8578" t="s">
        <v>40</v>
      </c>
      <c r="D8578">
        <v>3.4848439999999998</v>
      </c>
      <c r="E8578">
        <v>0.49651729999999999</v>
      </c>
      <c r="F8578" t="s">
        <v>42</v>
      </c>
      <c r="G8578">
        <v>-137.0316</v>
      </c>
      <c r="H8578" s="1">
        <v>-1.5853540000000001E-6</v>
      </c>
      <c r="I8578">
        <v>137.75799999999899</v>
      </c>
      <c r="J8578">
        <v>-153.07910000000001</v>
      </c>
      <c r="K8578">
        <v>1.115785</v>
      </c>
      <c r="L8578">
        <v>137.57859999999999</v>
      </c>
      <c r="M8578">
        <v>0.99978750000000005</v>
      </c>
      <c r="N8578">
        <v>0</v>
      </c>
      <c r="O8578">
        <v>-1.422502E-2</v>
      </c>
      <c r="P8578">
        <v>0.99120929999999996</v>
      </c>
      <c r="Q8578">
        <v>0.13209000000000001</v>
      </c>
      <c r="R8578">
        <v>7.51747099999999E-3</v>
      </c>
      <c r="S8578">
        <v>3.0557400000000001</v>
      </c>
      <c r="T8578">
        <v>-0.208178</v>
      </c>
      <c r="U8578">
        <v>3.3309940000000003E-2</v>
      </c>
      <c r="V8578">
        <v>-2.3599930000000002E-2</v>
      </c>
      <c r="W8578">
        <v>0.1465581</v>
      </c>
      <c r="X8578">
        <v>0.98892049999999998</v>
      </c>
      <c r="Y8578">
        <v>-2.503379E-2</v>
      </c>
      <c r="Z8578">
        <v>1.819782E-3</v>
      </c>
      <c r="AA8578">
        <v>0.99968489999999999</v>
      </c>
      <c r="AB8578">
        <v>34</v>
      </c>
      <c r="AC8578">
        <v>16.047499999999999</v>
      </c>
      <c r="AD8578">
        <v>-1.1157865853540001</v>
      </c>
      <c r="AE8578">
        <v>0.17939999999998599</v>
      </c>
      <c r="AF8578">
        <v>-0.40572206449544401</v>
      </c>
      <c r="AG8578">
        <v>-1.1157865853540001</v>
      </c>
      <c r="AH8578">
        <v>15.966145724121199</v>
      </c>
      <c r="AI8578">
        <v>93.996303293739999</v>
      </c>
      <c r="AJ8578">
        <v>91.455652518675507</v>
      </c>
      <c r="AK8578">
        <v>16.010227961573499</v>
      </c>
      <c r="AL8578">
        <v>81.572484217799101</v>
      </c>
      <c r="AM8578">
        <v>91.367066192286899</v>
      </c>
      <c r="AN8578">
        <v>0.99999999434593201</v>
      </c>
    </row>
    <row r="8579" spans="1:40" x14ac:dyDescent="0.25">
      <c r="A8579" t="str">
        <f>"20190312172316302"</f>
        <v>20190312172316302</v>
      </c>
      <c r="B8579" t="str">
        <f>"1552382596299297"</f>
        <v>1552382596299297</v>
      </c>
      <c r="C8579" t="s">
        <v>40</v>
      </c>
      <c r="D8579">
        <v>3.4707270000000001</v>
      </c>
      <c r="E8579">
        <v>0.49735869999999999</v>
      </c>
      <c r="F8579" t="s">
        <v>42</v>
      </c>
      <c r="G8579">
        <v>-137.3835</v>
      </c>
      <c r="H8579" s="1">
        <v>-1.4292560000000001E-6</v>
      </c>
      <c r="I8579">
        <v>137.7869</v>
      </c>
      <c r="J8579">
        <v>-152.73840000000001</v>
      </c>
      <c r="K8579">
        <v>1.1159520000000001</v>
      </c>
      <c r="L8579">
        <v>137.58009999999999</v>
      </c>
      <c r="M8579">
        <v>0.99985959999999996</v>
      </c>
      <c r="N8579">
        <v>0</v>
      </c>
      <c r="O8579">
        <v>-7.6230409999999997E-3</v>
      </c>
      <c r="P8579">
        <v>0.99149620000000005</v>
      </c>
      <c r="Q8579">
        <v>0.12952429999999901</v>
      </c>
      <c r="R8579">
        <v>1.260227E-2</v>
      </c>
      <c r="S8579">
        <v>3.0552519999999999</v>
      </c>
      <c r="T8579">
        <v>-0.2171949</v>
      </c>
      <c r="U8579">
        <v>4.0542599999999998E-2</v>
      </c>
      <c r="V8579">
        <v>-2.2167200000000001E-2</v>
      </c>
      <c r="W8579">
        <v>0.1440147</v>
      </c>
      <c r="X8579">
        <v>0.98932730000000002</v>
      </c>
      <c r="Y8579">
        <v>-2.08197E-2</v>
      </c>
      <c r="Z8579">
        <v>1.2803319999999999E-3</v>
      </c>
      <c r="AA8579">
        <v>0.99978239999999996</v>
      </c>
      <c r="AB8579">
        <v>34</v>
      </c>
      <c r="AC8579">
        <v>15.354900000000001</v>
      </c>
      <c r="AD8579">
        <v>-1.1159534292560001</v>
      </c>
      <c r="AE8579">
        <v>0.206800000000015</v>
      </c>
      <c r="AF8579">
        <v>-0.32215673386807803</v>
      </c>
      <c r="AG8579">
        <v>-1.1159534292560001</v>
      </c>
      <c r="AH8579">
        <v>15.272223918546899</v>
      </c>
      <c r="AI8579">
        <v>94.178293990924402</v>
      </c>
      <c r="AJ8579">
        <v>91.208434622363299</v>
      </c>
      <c r="AK8579">
        <v>15.316329861807001</v>
      </c>
      <c r="AL8579">
        <v>81.719773703945705</v>
      </c>
      <c r="AM8579">
        <v>91.283573718371599</v>
      </c>
      <c r="AN8579">
        <v>1.0000000625486001</v>
      </c>
    </row>
    <row r="8580" spans="1:40" x14ac:dyDescent="0.25">
      <c r="A8580" t="str">
        <f>"20190312172316324"</f>
        <v>20190312172316324</v>
      </c>
      <c r="B8580" t="str">
        <f>"1552382596318817"</f>
        <v>1552382596318817</v>
      </c>
      <c r="C8580" t="s">
        <v>40</v>
      </c>
      <c r="D8580">
        <v>3.495069</v>
      </c>
      <c r="E8580">
        <v>0.49788870000000002</v>
      </c>
      <c r="F8580" t="s">
        <v>42</v>
      </c>
      <c r="G8580">
        <v>-137.6961</v>
      </c>
      <c r="H8580" s="1">
        <v>-1.2890920000000001E-6</v>
      </c>
      <c r="I8580">
        <v>137.8212</v>
      </c>
      <c r="J8580">
        <v>-152.3905</v>
      </c>
      <c r="K8580">
        <v>1.1160890000000001</v>
      </c>
      <c r="L8580">
        <v>137.58410000000001</v>
      </c>
      <c r="M8580">
        <v>0.9998882</v>
      </c>
      <c r="N8580">
        <v>0</v>
      </c>
      <c r="O8580">
        <v>-7.7544880000000004E-4</v>
      </c>
      <c r="P8580">
        <v>0.99134480000000003</v>
      </c>
      <c r="Q8580">
        <v>0.1301225</v>
      </c>
      <c r="R8580">
        <v>1.7434060000000001E-2</v>
      </c>
      <c r="S8580">
        <v>3.0547029999999999</v>
      </c>
      <c r="T8580">
        <v>-0.22662070000000001</v>
      </c>
      <c r="U8580">
        <v>4.8980709999999997E-2</v>
      </c>
      <c r="V8580">
        <v>-2.0266510000000001E-2</v>
      </c>
      <c r="W8580">
        <v>0.14463760000000001</v>
      </c>
      <c r="X8580">
        <v>0.98927710000000002</v>
      </c>
      <c r="Y8580">
        <v>-1.6759719999999999E-2</v>
      </c>
      <c r="Z8580">
        <v>6.7824009999999904E-4</v>
      </c>
      <c r="AA8580">
        <v>0.99985930000000001</v>
      </c>
      <c r="AB8580">
        <v>34</v>
      </c>
      <c r="AC8580">
        <v>14.6944</v>
      </c>
      <c r="AD8580">
        <v>-1.1160902890919999</v>
      </c>
      <c r="AE8580">
        <v>0.23709999999999801</v>
      </c>
      <c r="AF8580">
        <v>-0.247070991001131</v>
      </c>
      <c r="AG8580">
        <v>-1.1160902890919999</v>
      </c>
      <c r="AH8580">
        <v>14.609949924041601</v>
      </c>
      <c r="AI8580">
        <v>94.367859811880393</v>
      </c>
      <c r="AJ8580">
        <v>90.968844920144505</v>
      </c>
      <c r="AK8580">
        <v>14.654601270283701</v>
      </c>
      <c r="AL8580">
        <v>81.683705803286202</v>
      </c>
      <c r="AM8580">
        <v>91.173607562371899</v>
      </c>
      <c r="AN8580">
        <v>0.99999997367287397</v>
      </c>
    </row>
    <row r="8581" spans="1:40" x14ac:dyDescent="0.25">
      <c r="A8581" t="str">
        <f>"20190312172316346"</f>
        <v>20190312172316346</v>
      </c>
      <c r="B8581" t="str">
        <f>"1552382596339317"</f>
        <v>1552382596339317</v>
      </c>
      <c r="C8581" t="s">
        <v>40</v>
      </c>
      <c r="D8581">
        <v>3.4271729999999998</v>
      </c>
      <c r="E8581">
        <v>0.49818079999999998</v>
      </c>
      <c r="F8581" t="s">
        <v>42</v>
      </c>
      <c r="G8581">
        <v>-137.22890000000001</v>
      </c>
      <c r="H8581" s="1">
        <v>-1.4787290000000001E-6</v>
      </c>
      <c r="I8581">
        <v>137.88210000000001</v>
      </c>
      <c r="J8581">
        <v>-152.0547</v>
      </c>
      <c r="K8581">
        <v>1.116187</v>
      </c>
      <c r="L8581">
        <v>137.59030000000001</v>
      </c>
      <c r="M8581">
        <v>0.99987110000000001</v>
      </c>
      <c r="N8581">
        <v>0</v>
      </c>
      <c r="O8581">
        <v>5.9040689999999996E-3</v>
      </c>
      <c r="P8581">
        <v>0.99099269999999995</v>
      </c>
      <c r="Q8581">
        <v>0.13207189999999999</v>
      </c>
      <c r="R8581">
        <v>2.2160920000000001E-2</v>
      </c>
      <c r="S8581">
        <v>3.0546570000000002</v>
      </c>
      <c r="T8581">
        <v>-0.2248617</v>
      </c>
      <c r="U8581">
        <v>6.0043329999999999E-2</v>
      </c>
      <c r="V8581">
        <v>-1.8436439999999998E-2</v>
      </c>
      <c r="W8581">
        <v>0.1466095</v>
      </c>
      <c r="X8581">
        <v>0.98902259999999997</v>
      </c>
      <c r="Y8581">
        <v>-1.372745E-2</v>
      </c>
      <c r="Z8581" s="1">
        <v>7.0500390000000006E-5</v>
      </c>
      <c r="AA8581">
        <v>0.99990579999999996</v>
      </c>
      <c r="AB8581">
        <v>34</v>
      </c>
      <c r="AC8581">
        <v>14.8257999999999</v>
      </c>
      <c r="AD8581">
        <v>-1.116188478729</v>
      </c>
      <c r="AE8581">
        <v>0.29179999999999401</v>
      </c>
      <c r="AF8581">
        <v>-0.20310184937029599</v>
      </c>
      <c r="AG8581">
        <v>-1.116188478729</v>
      </c>
      <c r="AH8581">
        <v>14.743727728808899</v>
      </c>
      <c r="AI8581">
        <v>94.328965934893901</v>
      </c>
      <c r="AJ8581">
        <v>90.789226645547402</v>
      </c>
      <c r="AK8581">
        <v>14.787313292904599</v>
      </c>
      <c r="AL8581">
        <v>81.569506896653095</v>
      </c>
      <c r="AM8581">
        <v>91.067930977710404</v>
      </c>
      <c r="AN8581">
        <v>0.99999997556044096</v>
      </c>
    </row>
    <row r="8582" spans="1:40" x14ac:dyDescent="0.25">
      <c r="A8582" t="str">
        <f>"20190312172316379"</f>
        <v>20190312172316379</v>
      </c>
      <c r="B8582" t="str">
        <f>"1552382596368594"</f>
        <v>1552382596368594</v>
      </c>
      <c r="C8582" t="s">
        <v>40</v>
      </c>
      <c r="D8582">
        <v>3.4428779999999999</v>
      </c>
      <c r="E8582">
        <v>0.49840329999999999</v>
      </c>
      <c r="F8582" t="s">
        <v>42</v>
      </c>
      <c r="G8582">
        <v>-136.42830000000001</v>
      </c>
      <c r="H8582" s="1">
        <v>-1.8078399999999999E-6</v>
      </c>
      <c r="I8582">
        <v>137.96270000000001</v>
      </c>
      <c r="J8582">
        <v>-151.55420000000001</v>
      </c>
      <c r="K8582">
        <v>1.1162799999999999</v>
      </c>
      <c r="L8582">
        <v>137.6035</v>
      </c>
      <c r="M8582">
        <v>0.99976169999999998</v>
      </c>
      <c r="N8582">
        <v>0</v>
      </c>
      <c r="O8582">
        <v>1.5919389999999999E-2</v>
      </c>
      <c r="P8582">
        <v>0.99055420000000005</v>
      </c>
      <c r="Q8582">
        <v>0.13412449999999901</v>
      </c>
      <c r="R8582">
        <v>2.8517509999999999E-2</v>
      </c>
      <c r="S8582">
        <v>3.0547179999999998</v>
      </c>
      <c r="T8582">
        <v>-0.21819849999999999</v>
      </c>
      <c r="U8582">
        <v>7.2814939999999995E-2</v>
      </c>
      <c r="V8582">
        <v>-1.4933719999999999E-2</v>
      </c>
      <c r="W8582">
        <v>0.1487096</v>
      </c>
      <c r="X8582">
        <v>0.98876819999999999</v>
      </c>
      <c r="Y8582">
        <v>-7.9307819999999904E-3</v>
      </c>
      <c r="Z8582">
        <v>-8.5270449999999998E-4</v>
      </c>
      <c r="AA8582">
        <v>0.99996819999999997</v>
      </c>
      <c r="AB8582">
        <v>34</v>
      </c>
      <c r="AC8582">
        <v>15.1259</v>
      </c>
      <c r="AD8582">
        <v>-1.1162818078400001</v>
      </c>
      <c r="AE8582">
        <v>0.35920000000001501</v>
      </c>
      <c r="AF8582">
        <v>-0.11769187371141</v>
      </c>
      <c r="AG8582">
        <v>-1.1162818078400001</v>
      </c>
      <c r="AH8582">
        <v>15.0477923828317</v>
      </c>
      <c r="AI8582">
        <v>94.242439936398497</v>
      </c>
      <c r="AJ8582">
        <v>90.448112917995502</v>
      </c>
      <c r="AK8582">
        <v>15.0895988034294</v>
      </c>
      <c r="AL8582">
        <v>81.447847094429093</v>
      </c>
      <c r="AM8582">
        <v>90.865292873477401</v>
      </c>
      <c r="AN8582">
        <v>1.0000000572282099</v>
      </c>
    </row>
    <row r="8583" spans="1:40" x14ac:dyDescent="0.25">
      <c r="A8583" t="str">
        <f>"20190312172316401"</f>
        <v>20190312172316401</v>
      </c>
      <c r="B8583" t="str">
        <f>"1552382596398850"</f>
        <v>1552382596398850</v>
      </c>
      <c r="C8583" t="s">
        <v>40</v>
      </c>
      <c r="D8583">
        <v>3.4419979999999999</v>
      </c>
      <c r="E8583">
        <v>0.49900709999999998</v>
      </c>
      <c r="F8583" t="s">
        <v>42</v>
      </c>
      <c r="G8583">
        <v>-135.44909999999999</v>
      </c>
      <c r="H8583" s="1">
        <v>-2.2074880000000001E-6</v>
      </c>
      <c r="I8583">
        <v>138.078</v>
      </c>
      <c r="J8583">
        <v>-151.2165</v>
      </c>
      <c r="K8583">
        <v>1.1163099999999999</v>
      </c>
      <c r="L8583">
        <v>137.61539999999999</v>
      </c>
      <c r="M8583">
        <v>0.99963159999999895</v>
      </c>
      <c r="N8583">
        <v>0</v>
      </c>
      <c r="O8583">
        <v>2.2659120000000001E-2</v>
      </c>
      <c r="P8583">
        <v>0.9903923</v>
      </c>
      <c r="Q8583">
        <v>0.1341425</v>
      </c>
      <c r="R8583">
        <v>3.3600119999999997E-2</v>
      </c>
      <c r="S8583">
        <v>3.0546880000000001</v>
      </c>
      <c r="T8583">
        <v>-0.21172679999999999</v>
      </c>
      <c r="U8583">
        <v>8.9996339999999994E-2</v>
      </c>
      <c r="V8583">
        <v>-1.334426E-2</v>
      </c>
      <c r="W8583">
        <v>0.14875060000000001</v>
      </c>
      <c r="X8583">
        <v>0.98878469999999996</v>
      </c>
      <c r="Y8583">
        <v>-6.8275030000000004E-3</v>
      </c>
      <c r="Z8583">
        <v>-1.331994E-3</v>
      </c>
      <c r="AA8583">
        <v>0.99997579999999997</v>
      </c>
      <c r="AB8583">
        <v>34</v>
      </c>
      <c r="AC8583">
        <v>15.7674</v>
      </c>
      <c r="AD8583">
        <v>-1.1163122074879901</v>
      </c>
      <c r="AE8583">
        <v>0.462600000000008</v>
      </c>
      <c r="AF8583">
        <v>-0.104641845867824</v>
      </c>
      <c r="AG8583">
        <v>-1.1163122074879901</v>
      </c>
      <c r="AH8583">
        <v>15.6952299837008</v>
      </c>
      <c r="AI8583">
        <v>94.068181180399193</v>
      </c>
      <c r="AJ8583">
        <v>90.381991681719398</v>
      </c>
      <c r="AK8583">
        <v>15.735226312378</v>
      </c>
      <c r="AL8583">
        <v>81.445471023942702</v>
      </c>
      <c r="AM8583">
        <v>90.7731949799944</v>
      </c>
      <c r="AN8583">
        <v>0.99999999661469796</v>
      </c>
    </row>
    <row r="8584" spans="1:40" x14ac:dyDescent="0.25">
      <c r="A8584" t="str">
        <f>"20190312172316425"</f>
        <v>20190312172316425</v>
      </c>
      <c r="B8584" t="str">
        <f>"1552382596419346"</f>
        <v>1552382596419346</v>
      </c>
      <c r="C8584" t="s">
        <v>40</v>
      </c>
      <c r="D8584">
        <v>3.4430540000000001</v>
      </c>
      <c r="E8584">
        <v>0.49942429999999899</v>
      </c>
      <c r="F8584" t="s">
        <v>42</v>
      </c>
      <c r="G8584">
        <v>-135.18520000000001</v>
      </c>
      <c r="H8584" s="1">
        <v>-2.3093320000000001E-6</v>
      </c>
      <c r="I8584">
        <v>138.1422</v>
      </c>
      <c r="J8584">
        <v>-150.86709999999999</v>
      </c>
      <c r="K8584">
        <v>1.1163050000000001</v>
      </c>
      <c r="L8584">
        <v>137.6301</v>
      </c>
      <c r="M8584">
        <v>0.99945240000000002</v>
      </c>
      <c r="N8584">
        <v>0</v>
      </c>
      <c r="O8584">
        <v>2.952343E-2</v>
      </c>
      <c r="P8584">
        <v>0.99022569999999999</v>
      </c>
      <c r="Q8584">
        <v>0.1340382</v>
      </c>
      <c r="R8584">
        <v>3.8559530000000002E-2</v>
      </c>
      <c r="S8584">
        <v>3.0545200000000001</v>
      </c>
      <c r="T8584">
        <v>-0.2126961</v>
      </c>
      <c r="U8584">
        <v>0.1003723</v>
      </c>
      <c r="V8584">
        <v>-1.148623E-2</v>
      </c>
      <c r="W8584">
        <v>0.14867230000000001</v>
      </c>
      <c r="X8584">
        <v>0.98881980000000003</v>
      </c>
      <c r="Y8584">
        <v>-3.3806299999999999E-3</v>
      </c>
      <c r="Z8584">
        <v>-1.9350019999999999E-3</v>
      </c>
      <c r="AA8584">
        <v>0.9999924</v>
      </c>
      <c r="AB8584">
        <v>34</v>
      </c>
      <c r="AC8584">
        <v>15.681899999999899</v>
      </c>
      <c r="AD8584">
        <v>-1.116307309332</v>
      </c>
      <c r="AE8584">
        <v>0.512100000000003</v>
      </c>
      <c r="AF8584">
        <v>-4.8595567429272402E-2</v>
      </c>
      <c r="AG8584">
        <v>-1.116307309332</v>
      </c>
      <c r="AH8584">
        <v>15.611162186945799</v>
      </c>
      <c r="AI8584">
        <v>94.090067583895305</v>
      </c>
      <c r="AJ8584">
        <v>90.178353916903404</v>
      </c>
      <c r="AK8584">
        <v>15.6510986312516</v>
      </c>
      <c r="AL8584">
        <v>81.450007685325602</v>
      </c>
      <c r="AM8584">
        <v>90.665523590218797</v>
      </c>
      <c r="AN8584">
        <v>0.99999999156947095</v>
      </c>
    </row>
    <row r="8585" spans="1:40" x14ac:dyDescent="0.25">
      <c r="A8585" t="str">
        <f>"20190312172316447"</f>
        <v>20190312172316447</v>
      </c>
      <c r="B8585" t="str">
        <f>"1552382596438866"</f>
        <v>1552382596438866</v>
      </c>
      <c r="C8585" t="s">
        <v>40</v>
      </c>
      <c r="D8585">
        <v>3.4802780000000002</v>
      </c>
      <c r="E8585">
        <v>0.49975979999999998</v>
      </c>
      <c r="F8585" t="s">
        <v>42</v>
      </c>
      <c r="G8585">
        <v>-134.8827</v>
      </c>
      <c r="H8585" s="1">
        <v>-2.4257069999999999E-6</v>
      </c>
      <c r="I8585">
        <v>138.21770000000001</v>
      </c>
      <c r="J8585">
        <v>-150.5361</v>
      </c>
      <c r="K8585">
        <v>1.116269</v>
      </c>
      <c r="L8585">
        <v>137.64609999999999</v>
      </c>
      <c r="M8585">
        <v>0.9992434</v>
      </c>
      <c r="N8585">
        <v>0</v>
      </c>
      <c r="O8585">
        <v>3.5913359999999998E-2</v>
      </c>
      <c r="P8585">
        <v>0.98992290000000005</v>
      </c>
      <c r="Q8585">
        <v>0.13488229999999901</v>
      </c>
      <c r="R8585">
        <v>4.3120789999999999E-2</v>
      </c>
      <c r="S8585">
        <v>3.0540919999999998</v>
      </c>
      <c r="T8585">
        <v>-0.21328929999999999</v>
      </c>
      <c r="U8585">
        <v>0.1122742</v>
      </c>
      <c r="V8585">
        <v>-9.7064149999999995E-3</v>
      </c>
      <c r="W8585">
        <v>0.14953569999999999</v>
      </c>
      <c r="X8585">
        <v>0.9887087</v>
      </c>
      <c r="Y8585">
        <v>-9.0534860000000003E-4</v>
      </c>
      <c r="Z8585">
        <v>-2.4720929999999999E-3</v>
      </c>
      <c r="AA8585">
        <v>0.99999649999999995</v>
      </c>
      <c r="AB8585">
        <v>34</v>
      </c>
      <c r="AC8585">
        <v>15.6534</v>
      </c>
      <c r="AD8585">
        <v>-1.1162714257070001</v>
      </c>
      <c r="AE8585">
        <v>0.57160000000001698</v>
      </c>
      <c r="AF8585">
        <v>-8.9568529701438103E-3</v>
      </c>
      <c r="AG8585">
        <v>-1.1162714257070001</v>
      </c>
      <c r="AH8585">
        <v>15.584681937376301</v>
      </c>
      <c r="AI8585">
        <v>94.096881314028494</v>
      </c>
      <c r="AJ8585">
        <v>90.032929117094994</v>
      </c>
      <c r="AK8585">
        <v>15.624610497873199</v>
      </c>
      <c r="AL8585">
        <v>81.399979483757704</v>
      </c>
      <c r="AM8585">
        <v>90.562469762998504</v>
      </c>
      <c r="AN8585">
        <v>1.00000001676116</v>
      </c>
    </row>
    <row r="8586" spans="1:40" x14ac:dyDescent="0.25">
      <c r="A8586" t="str">
        <f>"20190312172316469"</f>
        <v>20190312172316469</v>
      </c>
      <c r="B8586" t="str">
        <f>"1552382596459346"</f>
        <v>1552382596459346</v>
      </c>
      <c r="C8586" t="s">
        <v>40</v>
      </c>
      <c r="D8586">
        <v>3.4787889999999999</v>
      </c>
      <c r="E8586">
        <v>0.49993749999999998</v>
      </c>
      <c r="F8586" t="s">
        <v>42</v>
      </c>
      <c r="G8586">
        <v>-134.4041</v>
      </c>
      <c r="H8586" s="1">
        <v>-2.6169529999999999E-6</v>
      </c>
      <c r="I8586">
        <v>138.29689999999999</v>
      </c>
      <c r="J8586">
        <v>-150.1994</v>
      </c>
      <c r="K8586">
        <v>1.116187</v>
      </c>
      <c r="L8586">
        <v>137.6644</v>
      </c>
      <c r="M8586">
        <v>0.99899629999999995</v>
      </c>
      <c r="N8586">
        <v>0</v>
      </c>
      <c r="O8586">
        <v>4.223619E-2</v>
      </c>
      <c r="P8586">
        <v>0.98939189999999999</v>
      </c>
      <c r="Q8586">
        <v>0.137033399999999</v>
      </c>
      <c r="R8586">
        <v>4.8225829999999997E-2</v>
      </c>
      <c r="S8586">
        <v>3.0539860000000001</v>
      </c>
      <c r="T8586">
        <v>-0.2113247</v>
      </c>
      <c r="U8586">
        <v>0.1231995</v>
      </c>
      <c r="V8586">
        <v>-8.5485070000000003E-3</v>
      </c>
      <c r="W8586">
        <v>0.151691299999999</v>
      </c>
      <c r="X8586">
        <v>0.98839089999999996</v>
      </c>
      <c r="Y8586">
        <v>1.8296569999999999E-3</v>
      </c>
      <c r="Z8586">
        <v>-2.9801720000000001E-3</v>
      </c>
      <c r="AA8586">
        <v>0.99999389999999999</v>
      </c>
      <c r="AB8586">
        <v>34</v>
      </c>
      <c r="AC8586">
        <v>15.7952999999999</v>
      </c>
      <c r="AD8586">
        <v>-1.1161896169529999</v>
      </c>
      <c r="AE8586">
        <v>0.63249999999999296</v>
      </c>
      <c r="AF8586">
        <v>3.50970735698308E-2</v>
      </c>
      <c r="AG8586">
        <v>-1.1161896169529999</v>
      </c>
      <c r="AH8586">
        <v>15.7294971175257</v>
      </c>
      <c r="AI8586">
        <v>94.058983738062594</v>
      </c>
      <c r="AJ8586">
        <v>89.872156697917305</v>
      </c>
      <c r="AK8586">
        <v>15.769089721217799</v>
      </c>
      <c r="AL8586">
        <v>81.275046951372701</v>
      </c>
      <c r="AM8586">
        <v>90.495533862160201</v>
      </c>
      <c r="AN8586">
        <v>0.99999994933521297</v>
      </c>
    </row>
    <row r="8587" spans="1:40" x14ac:dyDescent="0.25">
      <c r="A8587" t="str">
        <f>"20190312172316491"</f>
        <v>20190312172316491</v>
      </c>
      <c r="B8587" t="str">
        <f>"1552382596478865"</f>
        <v>1552382596478865</v>
      </c>
      <c r="C8587" t="s">
        <v>40</v>
      </c>
      <c r="D8587">
        <v>3.5049730000000001</v>
      </c>
      <c r="E8587">
        <v>0.50624939999999996</v>
      </c>
      <c r="F8587" t="s">
        <v>42</v>
      </c>
      <c r="G8587">
        <v>-133.57810000000001</v>
      </c>
      <c r="H8587" s="1">
        <v>-2.9523480000000001E-6</v>
      </c>
      <c r="I8587">
        <v>138.40389999999999</v>
      </c>
      <c r="J8587">
        <v>-149.87100000000001</v>
      </c>
      <c r="K8587">
        <v>1.1160479999999999</v>
      </c>
      <c r="L8587">
        <v>137.6841</v>
      </c>
      <c r="M8587">
        <v>0.99872830000000001</v>
      </c>
      <c r="N8587">
        <v>0</v>
      </c>
      <c r="O8587">
        <v>4.816144E-2</v>
      </c>
      <c r="P8587">
        <v>0.98891519999999999</v>
      </c>
      <c r="Q8587">
        <v>0.13831299999999999</v>
      </c>
      <c r="R8587">
        <v>5.399988E-2</v>
      </c>
      <c r="S8587">
        <v>3.0539550000000002</v>
      </c>
      <c r="T8587">
        <v>-0.2050845</v>
      </c>
      <c r="U8587">
        <v>0.13587949999999999</v>
      </c>
      <c r="V8587">
        <v>-8.4205329999999991E-3</v>
      </c>
      <c r="W8587">
        <v>0.15295999999999901</v>
      </c>
      <c r="X8587">
        <v>0.98819650000000003</v>
      </c>
      <c r="Y8587">
        <v>3.6055380000000001E-3</v>
      </c>
      <c r="Z8587">
        <v>-3.348415E-3</v>
      </c>
      <c r="AA8587">
        <v>0.99998790000000004</v>
      </c>
      <c r="AB8587">
        <v>34</v>
      </c>
      <c r="AC8587">
        <v>16.292899999999999</v>
      </c>
      <c r="AD8587">
        <v>-1.116050952348</v>
      </c>
      <c r="AE8587">
        <v>0.719799999999992</v>
      </c>
      <c r="AF8587">
        <v>6.5505447288902799E-2</v>
      </c>
      <c r="AG8587">
        <v>-1.116050952348</v>
      </c>
      <c r="AH8587">
        <v>16.232641880567499</v>
      </c>
      <c r="AI8587">
        <v>93.933063971486902</v>
      </c>
      <c r="AJ8587">
        <v>89.768789004305404</v>
      </c>
      <c r="AK8587">
        <v>16.271094711623299</v>
      </c>
      <c r="AL8587">
        <v>81.201497894051698</v>
      </c>
      <c r="AM8587">
        <v>90.488211935176395</v>
      </c>
      <c r="AN8587">
        <v>0.99999999479412705</v>
      </c>
    </row>
    <row r="8588" spans="1:40" x14ac:dyDescent="0.25">
      <c r="A8588" t="str">
        <f>"20190312172316514"</f>
        <v>20190312172316514</v>
      </c>
      <c r="B8588" t="str">
        <f>"1552382596509121"</f>
        <v>1552382596509121</v>
      </c>
      <c r="C8588" t="s">
        <v>40</v>
      </c>
      <c r="D8588">
        <v>3.4564680000000001</v>
      </c>
      <c r="E8588">
        <v>0.50612780000000002</v>
      </c>
      <c r="F8588" t="s">
        <v>42</v>
      </c>
      <c r="G8588">
        <v>-134.01220000000001</v>
      </c>
      <c r="H8588" s="1">
        <v>-2.801062E-6</v>
      </c>
      <c r="I8588">
        <v>138.20689999999999</v>
      </c>
      <c r="J8588">
        <v>-149.52350000000001</v>
      </c>
      <c r="K8588">
        <v>1.1158170000000001</v>
      </c>
      <c r="L8588">
        <v>137.70670000000001</v>
      </c>
      <c r="M8588">
        <v>0.99842450000000005</v>
      </c>
      <c r="N8588">
        <v>0</v>
      </c>
      <c r="O8588">
        <v>5.4101120000000003E-2</v>
      </c>
      <c r="P8588">
        <v>0.98870250000000004</v>
      </c>
      <c r="Q8588">
        <v>0.13689029999999999</v>
      </c>
      <c r="R8588">
        <v>6.1062819999999997E-2</v>
      </c>
      <c r="S8588">
        <v>3.058243</v>
      </c>
      <c r="T8588">
        <v>-0.2152201</v>
      </c>
      <c r="U8588">
        <v>0.10083010000000001</v>
      </c>
      <c r="V8588">
        <v>-9.4885420000000009E-3</v>
      </c>
      <c r="W8588">
        <v>0.15151229999999999</v>
      </c>
      <c r="X8588">
        <v>0.98840980000000001</v>
      </c>
      <c r="Y8588">
        <v>2.0988619999999999E-2</v>
      </c>
      <c r="Z8588">
        <v>-4.5371609999999996E-3</v>
      </c>
      <c r="AA8588">
        <v>0.99976940000000003</v>
      </c>
      <c r="AB8588">
        <v>34</v>
      </c>
      <c r="AC8588">
        <v>15.5113</v>
      </c>
      <c r="AD8588">
        <v>-1.115819801062</v>
      </c>
      <c r="AE8588">
        <v>0.500199999999978</v>
      </c>
      <c r="AF8588">
        <v>0.33805686590154399</v>
      </c>
      <c r="AG8588">
        <v>-1.115819801062</v>
      </c>
      <c r="AH8588">
        <v>15.435848339215701</v>
      </c>
      <c r="AI8588">
        <v>94.133592555955204</v>
      </c>
      <c r="AJ8588">
        <v>88.745379240461602</v>
      </c>
      <c r="AK8588">
        <v>15.4798175126289</v>
      </c>
      <c r="AL8588">
        <v>81.285423015651304</v>
      </c>
      <c r="AM8588">
        <v>90.550011453649404</v>
      </c>
      <c r="AN8588">
        <v>0.99999997110830696</v>
      </c>
    </row>
    <row r="8589" spans="1:40" x14ac:dyDescent="0.25">
      <c r="A8589" t="str">
        <f>"20190312172316536"</f>
        <v>20190312172316536</v>
      </c>
      <c r="B8589" t="str">
        <f>"1552382596528644"</f>
        <v>1552382596528644</v>
      </c>
      <c r="C8589" t="s">
        <v>40</v>
      </c>
      <c r="D8589">
        <v>3.4638550000000001</v>
      </c>
      <c r="E8589">
        <v>0.50950589999999996</v>
      </c>
      <c r="F8589" t="s">
        <v>42</v>
      </c>
      <c r="G8589">
        <v>-133.84909999999999</v>
      </c>
      <c r="H8589" s="1">
        <v>-2.8493349999999999E-6</v>
      </c>
      <c r="I8589">
        <v>138.32910000000001</v>
      </c>
      <c r="J8589">
        <v>-149.1968</v>
      </c>
      <c r="K8589">
        <v>1.1155349999999999</v>
      </c>
      <c r="L8589">
        <v>137.7295</v>
      </c>
      <c r="M8589">
        <v>0.99812920000000005</v>
      </c>
      <c r="N8589">
        <v>0</v>
      </c>
      <c r="O8589">
        <v>5.930411E-2</v>
      </c>
      <c r="P8589">
        <v>0.98916360000000003</v>
      </c>
      <c r="Q8589">
        <v>0.13021099999999999</v>
      </c>
      <c r="R8589">
        <v>6.7827719999999994E-2</v>
      </c>
      <c r="S8589">
        <v>3.056915</v>
      </c>
      <c r="T8589">
        <v>-0.21761349999999999</v>
      </c>
      <c r="U8589">
        <v>0.1213837</v>
      </c>
      <c r="V8589">
        <v>-1.086494E-2</v>
      </c>
      <c r="W8589">
        <v>0.144814</v>
      </c>
      <c r="X8589">
        <v>0.98939929999999998</v>
      </c>
      <c r="Y8589">
        <v>1.9458409999999999E-2</v>
      </c>
      <c r="Z8589">
        <v>-4.9035249999999997E-3</v>
      </c>
      <c r="AA8589">
        <v>0.99979870000000004</v>
      </c>
      <c r="AB8589">
        <v>34</v>
      </c>
      <c r="AC8589">
        <v>15.3477</v>
      </c>
      <c r="AD8589">
        <v>-1.1155378493350001</v>
      </c>
      <c r="AE8589">
        <v>0.59960000000000901</v>
      </c>
      <c r="AF8589">
        <v>0.31010211069813398</v>
      </c>
      <c r="AG8589">
        <v>-1.1155378493350001</v>
      </c>
      <c r="AH8589">
        <v>15.275665551453899</v>
      </c>
      <c r="AI8589">
        <v>94.175874151098697</v>
      </c>
      <c r="AJ8589">
        <v>88.837032533885605</v>
      </c>
      <c r="AK8589">
        <v>15.3194825647681</v>
      </c>
      <c r="AL8589">
        <v>81.673491995658395</v>
      </c>
      <c r="AM8589">
        <v>90.629159718858702</v>
      </c>
      <c r="AN8589">
        <v>1.00000005817884</v>
      </c>
    </row>
    <row r="8590" spans="1:40" x14ac:dyDescent="0.25">
      <c r="A8590" t="str">
        <f>"20190312172316557"</f>
        <v>20190312172316557</v>
      </c>
      <c r="B8590" t="str">
        <f>"1552382596549109"</f>
        <v>1552382596549109</v>
      </c>
      <c r="C8590" t="s">
        <v>40</v>
      </c>
      <c r="D8590">
        <v>3.4512179999999999</v>
      </c>
      <c r="E8590">
        <v>0.51022339999999999</v>
      </c>
      <c r="F8590" t="s">
        <v>41</v>
      </c>
      <c r="G8590">
        <v>-148.40039999999999</v>
      </c>
      <c r="H8590">
        <v>1.0496799999999999</v>
      </c>
      <c r="I8590">
        <v>137.75919999999999</v>
      </c>
      <c r="J8590">
        <v>-148.86439999999999</v>
      </c>
      <c r="K8590">
        <v>1.1151949999999999</v>
      </c>
      <c r="L8590">
        <v>137.75409999999999</v>
      </c>
      <c r="M8590">
        <v>0.99782939999999998</v>
      </c>
      <c r="N8590">
        <v>0</v>
      </c>
      <c r="O8590">
        <v>6.4156030000000003E-2</v>
      </c>
      <c r="P8590">
        <v>0.9896007</v>
      </c>
      <c r="Q8590">
        <v>0.1238952</v>
      </c>
      <c r="R8590">
        <v>7.3078009999999999E-2</v>
      </c>
      <c r="S8590">
        <v>3.0583339999999999</v>
      </c>
      <c r="T8590">
        <v>-0.25303979999999998</v>
      </c>
      <c r="U8590">
        <v>0.1143494</v>
      </c>
      <c r="V8590">
        <v>-1.1059980000000001E-2</v>
      </c>
      <c r="W8590">
        <v>0.13849259999999999</v>
      </c>
      <c r="X8590">
        <v>0.99030169999999995</v>
      </c>
      <c r="Y8590">
        <v>2.652297E-2</v>
      </c>
      <c r="Z8590">
        <v>-6.3884719999999897E-3</v>
      </c>
      <c r="AA8590">
        <v>0.99962779999999996</v>
      </c>
      <c r="AB8590">
        <v>34</v>
      </c>
      <c r="AC8590">
        <v>0.46399999999999803</v>
      </c>
      <c r="AD8590">
        <v>-6.5515000000000198E-2</v>
      </c>
      <c r="AE8590">
        <v>5.0999999999987696E-3</v>
      </c>
      <c r="AF8590">
        <v>2.41997921323505E-2</v>
      </c>
      <c r="AG8590">
        <v>-6.5515000000000198E-2</v>
      </c>
      <c r="AH8590">
        <v>0.45431484194802002</v>
      </c>
      <c r="AI8590">
        <v>98.194376549794896</v>
      </c>
      <c r="AJ8590">
        <v>86.950932056799104</v>
      </c>
      <c r="AK8590">
        <v>0.45965184735678299</v>
      </c>
      <c r="AL8590">
        <v>82.039371031995699</v>
      </c>
      <c r="AM8590">
        <v>90.6398694767271</v>
      </c>
      <c r="AN8590">
        <v>0.99999999021762498</v>
      </c>
    </row>
    <row r="8591" spans="1:40" x14ac:dyDescent="0.25">
      <c r="A8591" t="str">
        <f>"20190312172316581"</f>
        <v>20190312172316581</v>
      </c>
      <c r="B8591" t="str">
        <f>"1552382596568617"</f>
        <v>1552382596568617</v>
      </c>
      <c r="C8591" t="s">
        <v>40</v>
      </c>
      <c r="D8591">
        <v>3.4314239999999998</v>
      </c>
      <c r="E8591">
        <v>0.51114199999999999</v>
      </c>
      <c r="F8591" t="s">
        <v>41</v>
      </c>
      <c r="G8591">
        <v>-148.10239999999999</v>
      </c>
      <c r="H8591">
        <v>1.0478639999999999</v>
      </c>
      <c r="I8591">
        <v>137.785</v>
      </c>
      <c r="J8591">
        <v>-148.52850000000001</v>
      </c>
      <c r="K8591">
        <v>1.1147910000000001</v>
      </c>
      <c r="L8591">
        <v>137.7801</v>
      </c>
      <c r="M8591">
        <v>0.99753930000000002</v>
      </c>
      <c r="N8591">
        <v>0</v>
      </c>
      <c r="O8591">
        <v>6.8525890000000006E-2</v>
      </c>
      <c r="P8591">
        <v>0.98977059999999994</v>
      </c>
      <c r="Q8591">
        <v>0.12071519999999999</v>
      </c>
      <c r="R8591">
        <v>7.6041709999999998E-2</v>
      </c>
      <c r="S8591">
        <v>3.056152</v>
      </c>
      <c r="T8591">
        <v>-0.2702155</v>
      </c>
      <c r="U8591">
        <v>0.1246338</v>
      </c>
      <c r="V8591">
        <v>-9.4869740000000004E-3</v>
      </c>
      <c r="W8591">
        <v>0.13532040000000001</v>
      </c>
      <c r="X8591">
        <v>0.99075650000000004</v>
      </c>
      <c r="Y8591">
        <v>2.7451630000000001E-2</v>
      </c>
      <c r="Z8591">
        <v>-7.2502769999999899E-3</v>
      </c>
      <c r="AA8591">
        <v>0.99959679999999995</v>
      </c>
      <c r="AB8591">
        <v>34</v>
      </c>
      <c r="AC8591">
        <v>0.42610000000001902</v>
      </c>
      <c r="AD8591">
        <v>-6.6927000000000098E-2</v>
      </c>
      <c r="AE8591">
        <v>4.8999999999921303E-3</v>
      </c>
      <c r="AF8591">
        <v>2.3728294525845101E-2</v>
      </c>
      <c r="AG8591">
        <v>-6.6927000000000098E-2</v>
      </c>
      <c r="AH8591">
        <v>0.41519228959302101</v>
      </c>
      <c r="AI8591">
        <v>99.142369058649393</v>
      </c>
      <c r="AJ8591">
        <v>86.729096564064704</v>
      </c>
      <c r="AK8591">
        <v>0.421220717234564</v>
      </c>
      <c r="AL8591">
        <v>82.222852747647295</v>
      </c>
      <c r="AM8591">
        <v>90.548618109863895</v>
      </c>
      <c r="AN8591">
        <v>1.00000002781204</v>
      </c>
    </row>
    <row r="8592" spans="1:40" x14ac:dyDescent="0.25">
      <c r="A8592" t="str">
        <f>"20190312172316602"</f>
        <v>20190312172316602</v>
      </c>
      <c r="B8592" t="str">
        <f>"1552382596598877"</f>
        <v>1552382596598877</v>
      </c>
      <c r="C8592" t="s">
        <v>40</v>
      </c>
      <c r="D8592">
        <v>3.4100250000000001</v>
      </c>
      <c r="E8592">
        <v>0.51496660000000005</v>
      </c>
      <c r="F8592" t="s">
        <v>41</v>
      </c>
      <c r="G8592">
        <v>-147.51910000000001</v>
      </c>
      <c r="H8592">
        <v>1.022214</v>
      </c>
      <c r="I8592">
        <v>137.82220000000001</v>
      </c>
      <c r="J8592">
        <v>-148.197</v>
      </c>
      <c r="K8592">
        <v>1.1143350000000001</v>
      </c>
      <c r="L8592">
        <v>137.80670000000001</v>
      </c>
      <c r="M8592">
        <v>0.997278</v>
      </c>
      <c r="N8592">
        <v>0</v>
      </c>
      <c r="O8592">
        <v>7.2235170000000001E-2</v>
      </c>
      <c r="P8592">
        <v>0.98997000000000002</v>
      </c>
      <c r="Q8592">
        <v>0.11780259999999999</v>
      </c>
      <c r="R8592">
        <v>7.7989749999999997E-2</v>
      </c>
      <c r="S8592">
        <v>3.0553889999999999</v>
      </c>
      <c r="T8592">
        <v>-0.28040710000000002</v>
      </c>
      <c r="U8592">
        <v>0.12805179999999999</v>
      </c>
      <c r="V8592">
        <v>-7.5468419999999998E-3</v>
      </c>
      <c r="W8592">
        <v>0.13241559999999999</v>
      </c>
      <c r="X8592">
        <v>0.99116559999999998</v>
      </c>
      <c r="Y8592">
        <v>2.99876E-2</v>
      </c>
      <c r="Z8592">
        <v>-7.9790269999999996E-3</v>
      </c>
      <c r="AA8592">
        <v>0.99951840000000003</v>
      </c>
      <c r="AB8592">
        <v>34</v>
      </c>
      <c r="AC8592">
        <v>0.67789999999999395</v>
      </c>
      <c r="AD8592">
        <v>-9.2121000000000106E-2</v>
      </c>
      <c r="AE8592">
        <v>1.55000000000029E-2</v>
      </c>
      <c r="AF8592">
        <v>3.2906720784808899E-2</v>
      </c>
      <c r="AG8592">
        <v>-9.2121000000000106E-2</v>
      </c>
      <c r="AH8592">
        <v>0.66497506665321104</v>
      </c>
      <c r="AI8592">
        <v>97.8776391151778</v>
      </c>
      <c r="AJ8592">
        <v>87.166992343553304</v>
      </c>
      <c r="AK8592">
        <v>0.67213166134638502</v>
      </c>
      <c r="AL8592">
        <v>82.390797366893807</v>
      </c>
      <c r="AM8592">
        <v>90.436247827226794</v>
      </c>
      <c r="AN8592">
        <v>1.0000000462854399</v>
      </c>
    </row>
    <row r="8593" spans="1:40" x14ac:dyDescent="0.25">
      <c r="A8593" t="str">
        <f>"20190312172316625"</f>
        <v>20190312172316625</v>
      </c>
      <c r="B8593" t="str">
        <f>"1552382596618393"</f>
        <v>1552382596618393</v>
      </c>
      <c r="C8593" t="s">
        <v>40</v>
      </c>
      <c r="D8593">
        <v>3.409656</v>
      </c>
      <c r="E8593">
        <v>0.51556359999999901</v>
      </c>
      <c r="F8593" t="s">
        <v>41</v>
      </c>
      <c r="G8593">
        <v>-147.21780000000001</v>
      </c>
      <c r="H8593">
        <v>1.0258849999999999</v>
      </c>
      <c r="I8593">
        <v>137.84030000000001</v>
      </c>
      <c r="J8593">
        <v>-147.8614</v>
      </c>
      <c r="K8593">
        <v>1.11388</v>
      </c>
      <c r="L8593">
        <v>137.83430000000001</v>
      </c>
      <c r="M8593">
        <v>0.9970369</v>
      </c>
      <c r="N8593">
        <v>0</v>
      </c>
      <c r="O8593">
        <v>7.5494190000000003E-2</v>
      </c>
      <c r="P8593">
        <v>0.99007339999999999</v>
      </c>
      <c r="Q8593">
        <v>0.1159072</v>
      </c>
      <c r="R8593">
        <v>7.9499819999999999E-2</v>
      </c>
      <c r="S8593">
        <v>3.0549620000000002</v>
      </c>
      <c r="T8593">
        <v>-0.27608319999999997</v>
      </c>
      <c r="U8593">
        <v>0.1052704</v>
      </c>
      <c r="V8593">
        <v>-5.6398000000000004E-3</v>
      </c>
      <c r="W8593">
        <v>0.13052250000000001</v>
      </c>
      <c r="X8593">
        <v>0.99142929999999996</v>
      </c>
      <c r="Y8593">
        <v>4.0645529999999999E-2</v>
      </c>
      <c r="Z8593">
        <v>-8.6326790000000007E-3</v>
      </c>
      <c r="AA8593">
        <v>0.99913629999999998</v>
      </c>
      <c r="AB8593">
        <v>34</v>
      </c>
      <c r="AC8593">
        <v>0.64359999999999196</v>
      </c>
      <c r="AD8593">
        <v>-8.7995000000000004E-2</v>
      </c>
      <c r="AE8593">
        <v>6.0000000000002196E-3</v>
      </c>
      <c r="AF8593">
        <v>4.1828641396732903E-2</v>
      </c>
      <c r="AG8593">
        <v>-8.7995000000000004E-2</v>
      </c>
      <c r="AH8593">
        <v>0.63043215699153798</v>
      </c>
      <c r="AI8593">
        <v>97.928732786139605</v>
      </c>
      <c r="AJ8593">
        <v>86.204037084480902</v>
      </c>
      <c r="AK8593">
        <v>0.63791649910869996</v>
      </c>
      <c r="AL8593">
        <v>82.500213325927703</v>
      </c>
      <c r="AM8593">
        <v>90.325926671558094</v>
      </c>
      <c r="AN8593">
        <v>0.99999999362438996</v>
      </c>
    </row>
    <row r="8594" spans="1:40" x14ac:dyDescent="0.25">
      <c r="A8594" t="str">
        <f>"20190312172316648"</f>
        <v>20190312172316648</v>
      </c>
      <c r="B8594" t="str">
        <f>"1552382596638889"</f>
        <v>1552382596638889</v>
      </c>
      <c r="C8594" t="s">
        <v>40</v>
      </c>
      <c r="D8594">
        <v>3.4396200000000001</v>
      </c>
      <c r="E8594">
        <v>0.51623549999999996</v>
      </c>
      <c r="F8594" t="s">
        <v>41</v>
      </c>
      <c r="G8594">
        <v>-146.91820000000001</v>
      </c>
      <c r="H8594">
        <v>1.027747</v>
      </c>
      <c r="I8594">
        <v>137.8664</v>
      </c>
      <c r="J8594">
        <v>-147.52199999999999</v>
      </c>
      <c r="K8594">
        <v>1.1134230000000001</v>
      </c>
      <c r="L8594">
        <v>137.8629</v>
      </c>
      <c r="M8594">
        <v>0.99682559999999998</v>
      </c>
      <c r="N8594">
        <v>0</v>
      </c>
      <c r="O8594">
        <v>7.8239959999999997E-2</v>
      </c>
      <c r="P8594">
        <v>0.99053179999999996</v>
      </c>
      <c r="Q8594">
        <v>0.1120951</v>
      </c>
      <c r="R8594">
        <v>7.9256670000000001E-2</v>
      </c>
      <c r="S8594">
        <v>3.0543819999999999</v>
      </c>
      <c r="T8594">
        <v>-0.27906769999999997</v>
      </c>
      <c r="U8594">
        <v>0.10424799999999999</v>
      </c>
      <c r="V8594">
        <v>-2.4560760000000002E-3</v>
      </c>
      <c r="W8594">
        <v>0.12672240000000001</v>
      </c>
      <c r="X8594">
        <v>0.99193520000000002</v>
      </c>
      <c r="Y8594">
        <v>4.3690260000000002E-2</v>
      </c>
      <c r="Z8594">
        <v>-9.1156780000000003E-3</v>
      </c>
      <c r="AA8594">
        <v>0.99900350000000004</v>
      </c>
      <c r="AB8594">
        <v>34</v>
      </c>
      <c r="AC8594">
        <v>0.603800000000006</v>
      </c>
      <c r="AD8594">
        <v>-8.5676000000000002E-2</v>
      </c>
      <c r="AE8594">
        <v>3.5000000000024998E-3</v>
      </c>
      <c r="AF8594">
        <v>4.2893557224236697E-2</v>
      </c>
      <c r="AG8594">
        <v>-8.5676000000000002E-2</v>
      </c>
      <c r="AH8594">
        <v>0.59033704789152297</v>
      </c>
      <c r="AI8594">
        <v>98.236305005330294</v>
      </c>
      <c r="AJ8594">
        <v>85.844224007024394</v>
      </c>
      <c r="AK8594">
        <v>0.59806192350009002</v>
      </c>
      <c r="AL8594">
        <v>82.719767043704806</v>
      </c>
      <c r="AM8594">
        <v>90.141866627359704</v>
      </c>
      <c r="AN8594">
        <v>1.0000000199850501</v>
      </c>
    </row>
    <row r="8595" spans="1:40" x14ac:dyDescent="0.25">
      <c r="A8595" t="str">
        <f>"20190312172316671"</f>
        <v>20190312172316671</v>
      </c>
      <c r="B8595" t="str">
        <f>"1552382596658409"</f>
        <v>1552382596658409</v>
      </c>
      <c r="C8595" t="s">
        <v>40</v>
      </c>
      <c r="D8595">
        <v>3.4310969999999998</v>
      </c>
      <c r="E8595">
        <v>0.51677989999999996</v>
      </c>
      <c r="F8595" t="s">
        <v>41</v>
      </c>
      <c r="G8595">
        <v>-146.61949999999999</v>
      </c>
      <c r="H8595">
        <v>1.028184</v>
      </c>
      <c r="I8595">
        <v>137.89169999999999</v>
      </c>
      <c r="J8595">
        <v>-147.18729999999999</v>
      </c>
      <c r="K8595">
        <v>1.1129389999999999</v>
      </c>
      <c r="L8595">
        <v>137.89150000000001</v>
      </c>
      <c r="M8595">
        <v>0.9966583</v>
      </c>
      <c r="N8595">
        <v>0</v>
      </c>
      <c r="O8595">
        <v>8.0347630000000003E-2</v>
      </c>
      <c r="P8595">
        <v>0.99099139999999997</v>
      </c>
      <c r="Q8595">
        <v>0.109276</v>
      </c>
      <c r="R8595">
        <v>7.7428079999999996E-2</v>
      </c>
      <c r="S8595">
        <v>3.0534819999999998</v>
      </c>
      <c r="T8595">
        <v>-0.288464</v>
      </c>
      <c r="U8595">
        <v>9.7900390000000004E-2</v>
      </c>
      <c r="V8595">
        <v>1.6649810000000001E-3</v>
      </c>
      <c r="W8595">
        <v>0.1239142</v>
      </c>
      <c r="X8595">
        <v>0.99229149999999999</v>
      </c>
      <c r="Y8595">
        <v>4.780417E-2</v>
      </c>
      <c r="Z8595">
        <v>-9.8163839999999992E-3</v>
      </c>
      <c r="AA8595">
        <v>0.99880849999999999</v>
      </c>
      <c r="AB8595">
        <v>34</v>
      </c>
      <c r="AC8595">
        <v>0.56780000000000497</v>
      </c>
      <c r="AD8595">
        <v>-8.47549999999999E-2</v>
      </c>
      <c r="AE8595">
        <v>1.9999999997821701E-4</v>
      </c>
      <c r="AF8595">
        <v>4.4436860764241602E-2</v>
      </c>
      <c r="AG8595">
        <v>-8.47549999999999E-2</v>
      </c>
      <c r="AH8595">
        <v>0.55364403159364595</v>
      </c>
      <c r="AI8595">
        <v>98.676120981549204</v>
      </c>
      <c r="AJ8595">
        <v>85.411133868211493</v>
      </c>
      <c r="AK8595">
        <v>0.56185385852448</v>
      </c>
      <c r="AL8595">
        <v>82.8819431877846</v>
      </c>
      <c r="AM8595">
        <v>89.903862630342701</v>
      </c>
      <c r="AN8595">
        <v>0.99999996104780897</v>
      </c>
    </row>
    <row r="8596" spans="1:40" x14ac:dyDescent="0.25">
      <c r="A8596" t="str">
        <f>"20190312172316692"</f>
        <v>20190312172316692</v>
      </c>
      <c r="B8596" t="str">
        <f>"1552382596688665"</f>
        <v>1552382596688665</v>
      </c>
      <c r="C8596" t="s">
        <v>40</v>
      </c>
      <c r="D8596">
        <v>3.452178</v>
      </c>
      <c r="E8596">
        <v>0.5171424</v>
      </c>
      <c r="F8596" t="s">
        <v>41</v>
      </c>
      <c r="G8596">
        <v>-146.32060000000001</v>
      </c>
      <c r="H8596">
        <v>1.028993</v>
      </c>
      <c r="I8596">
        <v>137.91669999999999</v>
      </c>
      <c r="J8596">
        <v>-146.86259999999999</v>
      </c>
      <c r="K8596">
        <v>1.1124320000000001</v>
      </c>
      <c r="L8596">
        <v>137.9194</v>
      </c>
      <c r="M8596">
        <v>0.99654010000000004</v>
      </c>
      <c r="N8596">
        <v>0</v>
      </c>
      <c r="O8596">
        <v>8.1802349999999996E-2</v>
      </c>
      <c r="P8596">
        <v>0.99133059999999995</v>
      </c>
      <c r="Q8596">
        <v>0.1079531</v>
      </c>
      <c r="R8596">
        <v>7.489672E-2</v>
      </c>
      <c r="S8596">
        <v>3.0529169999999999</v>
      </c>
      <c r="T8596">
        <v>-0.29575639999999997</v>
      </c>
      <c r="U8596">
        <v>8.9172360000000006E-2</v>
      </c>
      <c r="V8596">
        <v>5.8211360000000002E-3</v>
      </c>
      <c r="W8596">
        <v>0.1225912</v>
      </c>
      <c r="X8596">
        <v>0.99244019999999999</v>
      </c>
      <c r="Y8596">
        <v>5.2052590000000003E-2</v>
      </c>
      <c r="Z8596">
        <v>-1.041133E-2</v>
      </c>
      <c r="AA8596">
        <v>0.99859010000000004</v>
      </c>
      <c r="AB8596">
        <v>34</v>
      </c>
      <c r="AC8596">
        <v>0.54199999999997295</v>
      </c>
      <c r="AD8596">
        <v>-8.3438999999999805E-2</v>
      </c>
      <c r="AE8596">
        <v>-2.7000000000043599E-3</v>
      </c>
      <c r="AF8596">
        <v>4.5943797506480498E-2</v>
      </c>
      <c r="AG8596">
        <v>-8.3438999999999805E-2</v>
      </c>
      <c r="AH8596">
        <v>0.52746195555227504</v>
      </c>
      <c r="AI8596">
        <v>98.955752912074701</v>
      </c>
      <c r="AJ8596">
        <v>85.021899719001894</v>
      </c>
      <c r="AK8596">
        <v>0.53599348298775695</v>
      </c>
      <c r="AL8596">
        <v>82.958328334235304</v>
      </c>
      <c r="AM8596">
        <v>89.663936728895806</v>
      </c>
      <c r="AN8596">
        <v>1.0000000192589</v>
      </c>
    </row>
    <row r="8597" spans="1:40" x14ac:dyDescent="0.25">
      <c r="A8597" t="str">
        <f>"20190312172316715"</f>
        <v>20190312172316715</v>
      </c>
      <c r="B8597" t="str">
        <f>"1552382596709161"</f>
        <v>1552382596709161</v>
      </c>
      <c r="C8597" t="s">
        <v>40</v>
      </c>
      <c r="D8597">
        <v>3.4386410000000001</v>
      </c>
      <c r="E8597">
        <v>0.51754889999999998</v>
      </c>
      <c r="F8597" t="s">
        <v>41</v>
      </c>
      <c r="G8597">
        <v>-146.0215</v>
      </c>
      <c r="H8597">
        <v>1.0306580000000001</v>
      </c>
      <c r="I8597">
        <v>137.94139999999999</v>
      </c>
      <c r="J8597">
        <v>-146.52610000000001</v>
      </c>
      <c r="K8597">
        <v>1.1118680000000001</v>
      </c>
      <c r="L8597">
        <v>137.94829999999999</v>
      </c>
      <c r="M8597">
        <v>0.99646599999999996</v>
      </c>
      <c r="N8597">
        <v>0</v>
      </c>
      <c r="O8597">
        <v>8.2703219999999994E-2</v>
      </c>
      <c r="P8597">
        <v>0.99165230000000004</v>
      </c>
      <c r="Q8597">
        <v>0.1075863</v>
      </c>
      <c r="R8597">
        <v>7.1070510000000003E-2</v>
      </c>
      <c r="S8597">
        <v>3.0524900000000001</v>
      </c>
      <c r="T8597">
        <v>-0.29679809999999901</v>
      </c>
      <c r="U8597">
        <v>8.0215449999999994E-2</v>
      </c>
      <c r="V8597">
        <v>1.0723669999999999E-2</v>
      </c>
      <c r="W8597">
        <v>0.1222149</v>
      </c>
      <c r="X8597">
        <v>0.99244569999999999</v>
      </c>
      <c r="Y8597">
        <v>5.5852010000000001E-2</v>
      </c>
      <c r="Z8597">
        <v>-1.072129E-2</v>
      </c>
      <c r="AA8597">
        <v>0.99838150000000003</v>
      </c>
      <c r="AB8597">
        <v>34</v>
      </c>
      <c r="AC8597">
        <v>0.50460000000001004</v>
      </c>
      <c r="AD8597">
        <v>-8.1210000000000004E-2</v>
      </c>
      <c r="AE8597">
        <v>-6.90000000000168E-3</v>
      </c>
      <c r="AF8597">
        <v>4.7385771107423903E-2</v>
      </c>
      <c r="AG8597">
        <v>-8.1210000000000004E-2</v>
      </c>
      <c r="AH8597">
        <v>0.48962073512745502</v>
      </c>
      <c r="AI8597">
        <v>99.374500444645193</v>
      </c>
      <c r="AJ8597">
        <v>84.472098210165001</v>
      </c>
      <c r="AK8597">
        <v>0.49856688585403902</v>
      </c>
      <c r="AL8597">
        <v>82.980051762878702</v>
      </c>
      <c r="AM8597">
        <v>89.380926209423805</v>
      </c>
      <c r="AN8597">
        <v>0.99999997316438405</v>
      </c>
    </row>
    <row r="8598" spans="1:40" x14ac:dyDescent="0.25">
      <c r="A8598" t="str">
        <f>"20190312172316737"</f>
        <v>20190312172316737</v>
      </c>
      <c r="B8598" t="str">
        <f>"1552382596728681"</f>
        <v>1552382596728681</v>
      </c>
      <c r="C8598" t="s">
        <v>40</v>
      </c>
      <c r="D8598">
        <v>3.4544109999999999</v>
      </c>
      <c r="E8598">
        <v>0.51783230000000002</v>
      </c>
      <c r="F8598" t="s">
        <v>41</v>
      </c>
      <c r="G8598">
        <v>-145.7216</v>
      </c>
      <c r="H8598">
        <v>1.03417</v>
      </c>
      <c r="I8598">
        <v>137.9659</v>
      </c>
      <c r="J8598">
        <v>-146.18969999999999</v>
      </c>
      <c r="K8598">
        <v>1.111283</v>
      </c>
      <c r="L8598">
        <v>137.9768</v>
      </c>
      <c r="M8598">
        <v>0.99644390000000005</v>
      </c>
      <c r="N8598">
        <v>0</v>
      </c>
      <c r="O8598">
        <v>8.2973160000000004E-2</v>
      </c>
      <c r="P8598">
        <v>0.99220249999999999</v>
      </c>
      <c r="Q8598">
        <v>0.105697</v>
      </c>
      <c r="R8598">
        <v>6.6049189999999994E-2</v>
      </c>
      <c r="S8598">
        <v>3.0523989999999999</v>
      </c>
      <c r="T8598">
        <v>-0.29484470000000002</v>
      </c>
      <c r="U8598">
        <v>6.7504880000000003E-2</v>
      </c>
      <c r="V8598">
        <v>1.621802E-2</v>
      </c>
      <c r="W8598">
        <v>0.1203103</v>
      </c>
      <c r="X8598">
        <v>0.99260380000000004</v>
      </c>
      <c r="Y8598">
        <v>6.0262700000000002E-2</v>
      </c>
      <c r="Z8598">
        <v>-1.089069E-2</v>
      </c>
      <c r="AA8598">
        <v>0.99812310000000004</v>
      </c>
      <c r="AB8598">
        <v>34</v>
      </c>
      <c r="AC8598">
        <v>0.46809999999999202</v>
      </c>
      <c r="AD8598">
        <v>-7.7112999999999904E-2</v>
      </c>
      <c r="AE8598">
        <v>-1.08999999999923E-2</v>
      </c>
      <c r="AF8598">
        <v>4.8393721314740797E-2</v>
      </c>
      <c r="AG8598">
        <v>-7.7112999999999904E-2</v>
      </c>
      <c r="AH8598">
        <v>0.453286414333334</v>
      </c>
      <c r="AI8598">
        <v>99.601178742085693</v>
      </c>
      <c r="AJ8598">
        <v>83.906076506523803</v>
      </c>
      <c r="AK8598">
        <v>0.46233855609375701</v>
      </c>
      <c r="AL8598">
        <v>83.089988434189195</v>
      </c>
      <c r="AM8598">
        <v>89.063935254728804</v>
      </c>
      <c r="AN8598">
        <v>0.99999994811662296</v>
      </c>
    </row>
    <row r="8599" spans="1:40" x14ac:dyDescent="0.25">
      <c r="A8599" t="str">
        <f>"20190312172316759"</f>
        <v>20190312172316759</v>
      </c>
      <c r="B8599" t="str">
        <f>"1552382596749178"</f>
        <v>1552382596749178</v>
      </c>
      <c r="C8599" t="s">
        <v>40</v>
      </c>
      <c r="D8599">
        <v>3.4499620000000002</v>
      </c>
      <c r="E8599">
        <v>0.51812009999999997</v>
      </c>
      <c r="F8599" t="s">
        <v>41</v>
      </c>
      <c r="G8599">
        <v>-145.42240000000001</v>
      </c>
      <c r="H8599">
        <v>1.0365150000000001</v>
      </c>
      <c r="I8599">
        <v>137.9898</v>
      </c>
      <c r="J8599">
        <v>-145.8647</v>
      </c>
      <c r="K8599">
        <v>1.110711</v>
      </c>
      <c r="L8599">
        <v>138.00380000000001</v>
      </c>
      <c r="M8599">
        <v>0.99647580000000002</v>
      </c>
      <c r="N8599">
        <v>0</v>
      </c>
      <c r="O8599">
        <v>8.2591680000000001E-2</v>
      </c>
      <c r="P8599">
        <v>0.99271290000000001</v>
      </c>
      <c r="Q8599">
        <v>0.1041414</v>
      </c>
      <c r="R8599">
        <v>6.0629040000000002E-2</v>
      </c>
      <c r="S8599">
        <v>3.0517880000000002</v>
      </c>
      <c r="T8599">
        <v>-0.29737079999999999</v>
      </c>
      <c r="U8599">
        <v>5.1986690000000002E-2</v>
      </c>
      <c r="V8599">
        <v>2.1451419999999999E-2</v>
      </c>
      <c r="W8599">
        <v>0.1187262</v>
      </c>
      <c r="X8599">
        <v>0.99269529999999995</v>
      </c>
      <c r="Y8599">
        <v>6.4916849999999998E-2</v>
      </c>
      <c r="Z8599">
        <v>-1.1175930000000001E-2</v>
      </c>
      <c r="AA8599">
        <v>0.9978281</v>
      </c>
      <c r="AB8599">
        <v>33</v>
      </c>
      <c r="AC8599">
        <v>0.44229999999998798</v>
      </c>
      <c r="AD8599">
        <v>-7.4196000000000095E-2</v>
      </c>
      <c r="AE8599">
        <v>-1.4000000000009999E-2</v>
      </c>
      <c r="AF8599">
        <v>4.9105911740735302E-2</v>
      </c>
      <c r="AG8599">
        <v>-7.4196000000000095E-2</v>
      </c>
      <c r="AH8599">
        <v>0.42761112003988</v>
      </c>
      <c r="AI8599">
        <v>99.780519378190505</v>
      </c>
      <c r="AJ8599">
        <v>83.448976972363297</v>
      </c>
      <c r="AK8599">
        <v>0.43676962688086501</v>
      </c>
      <c r="AL8599">
        <v>83.181406441129496</v>
      </c>
      <c r="AM8599">
        <v>88.762072738549705</v>
      </c>
      <c r="AN8599">
        <v>1.0000000163142699</v>
      </c>
    </row>
    <row r="8600" spans="1:40" x14ac:dyDescent="0.25">
      <c r="A8600" t="str">
        <f>"20190312172316781"</f>
        <v>20190312172316781</v>
      </c>
      <c r="B8600" t="str">
        <f>"1552382596778965"</f>
        <v>1552382596778965</v>
      </c>
      <c r="C8600" t="s">
        <v>40</v>
      </c>
      <c r="D8600">
        <v>3.4470679999999998</v>
      </c>
      <c r="E8600">
        <v>0.51853170000000004</v>
      </c>
      <c r="F8600" t="s">
        <v>41</v>
      </c>
      <c r="G8600">
        <v>-145.12360000000001</v>
      </c>
      <c r="H8600">
        <v>1.0380339999999999</v>
      </c>
      <c r="I8600">
        <v>138.0119</v>
      </c>
      <c r="J8600">
        <v>-145.53469999999999</v>
      </c>
      <c r="K8600">
        <v>1.1101209999999999</v>
      </c>
      <c r="L8600">
        <v>138.03039999999999</v>
      </c>
      <c r="M8600">
        <v>0.99656469999999997</v>
      </c>
      <c r="N8600">
        <v>0</v>
      </c>
      <c r="O8600">
        <v>8.1512310000000004E-2</v>
      </c>
      <c r="P8600">
        <v>0.99328550000000004</v>
      </c>
      <c r="Q8600">
        <v>0.1019885</v>
      </c>
      <c r="R8600">
        <v>5.4611649999999998E-2</v>
      </c>
      <c r="S8600">
        <v>3.0513309999999998</v>
      </c>
      <c r="T8600">
        <v>-0.29922100000000001</v>
      </c>
      <c r="U8600">
        <v>3.4164430000000003E-2</v>
      </c>
      <c r="V8600">
        <v>2.6589700000000001E-2</v>
      </c>
      <c r="W8600">
        <v>0.11653520000000001</v>
      </c>
      <c r="X8600">
        <v>0.99283060000000001</v>
      </c>
      <c r="Y8600">
        <v>6.9633239999999999E-2</v>
      </c>
      <c r="Z8600">
        <v>-1.137314E-2</v>
      </c>
      <c r="AA8600">
        <v>0.99750779999999994</v>
      </c>
      <c r="AB8600">
        <v>33</v>
      </c>
      <c r="AC8600">
        <v>0.41109999999997598</v>
      </c>
      <c r="AD8600">
        <v>-7.2086999999999707E-2</v>
      </c>
      <c r="AE8600">
        <v>-1.84999999999888E-2</v>
      </c>
      <c r="AF8600">
        <v>5.0405002660066499E-2</v>
      </c>
      <c r="AG8600">
        <v>-7.2086999999999707E-2</v>
      </c>
      <c r="AH8600">
        <v>0.396069764708259</v>
      </c>
      <c r="AI8600">
        <v>100.234472801924</v>
      </c>
      <c r="AJ8600">
        <v>82.747357224579005</v>
      </c>
      <c r="AK8600">
        <v>0.40571967955500599</v>
      </c>
      <c r="AL8600">
        <v>83.307819259940999</v>
      </c>
      <c r="AM8600">
        <v>88.465887834185907</v>
      </c>
      <c r="AN8600">
        <v>1.0000000326407401</v>
      </c>
    </row>
    <row r="8601" spans="1:40" x14ac:dyDescent="0.25">
      <c r="A8601" t="str">
        <f>"20190312172316804"</f>
        <v>20190312172316804</v>
      </c>
      <c r="B8601" t="str">
        <f>"1552382596798489"</f>
        <v>1552382596798489</v>
      </c>
      <c r="C8601" t="s">
        <v>40</v>
      </c>
      <c r="D8601">
        <v>3.4580799999999998</v>
      </c>
      <c r="E8601">
        <v>0.51863490000000001</v>
      </c>
      <c r="F8601" t="s">
        <v>41</v>
      </c>
      <c r="G8601">
        <v>-144.5395</v>
      </c>
      <c r="H8601">
        <v>1.0114080000000001</v>
      </c>
      <c r="I8601">
        <v>138.03460000000001</v>
      </c>
      <c r="J8601">
        <v>-145.19980000000001</v>
      </c>
      <c r="K8601">
        <v>1.109529</v>
      </c>
      <c r="L8601">
        <v>138.05629999999999</v>
      </c>
      <c r="M8601">
        <v>0.99670740000000002</v>
      </c>
      <c r="N8601">
        <v>0</v>
      </c>
      <c r="O8601">
        <v>7.9747830000000006E-2</v>
      </c>
      <c r="P8601">
        <v>0.99378279999999997</v>
      </c>
      <c r="Q8601">
        <v>0.1003497</v>
      </c>
      <c r="R8601">
        <v>4.8225369999999997E-2</v>
      </c>
      <c r="S8601">
        <v>3.0506440000000001</v>
      </c>
      <c r="T8601">
        <v>-0.30258040000000003</v>
      </c>
      <c r="U8601">
        <v>1.319885E-2</v>
      </c>
      <c r="V8601">
        <v>3.1399700000000003E-2</v>
      </c>
      <c r="W8601">
        <v>0.1148472</v>
      </c>
      <c r="X8601">
        <v>0.99288679999999996</v>
      </c>
      <c r="Y8601">
        <v>7.4685749999999995E-2</v>
      </c>
      <c r="Z8601">
        <v>-1.157945E-2</v>
      </c>
      <c r="AA8601">
        <v>0.99713989999999997</v>
      </c>
      <c r="AB8601">
        <v>33</v>
      </c>
      <c r="AC8601">
        <v>0.66030000000000599</v>
      </c>
      <c r="AD8601">
        <v>-9.8120999999999903E-2</v>
      </c>
      <c r="AE8601">
        <v>-2.1699999999981401E-2</v>
      </c>
      <c r="AF8601">
        <v>7.2690583930882E-2</v>
      </c>
      <c r="AG8601">
        <v>-9.8120999999999903E-2</v>
      </c>
      <c r="AH8601">
        <v>0.64229781072041203</v>
      </c>
      <c r="AI8601">
        <v>98.631409584917094</v>
      </c>
      <c r="AJ8601">
        <v>83.543154388835902</v>
      </c>
      <c r="AK8601">
        <v>0.65380282141441304</v>
      </c>
      <c r="AL8601">
        <v>83.405188199654305</v>
      </c>
      <c r="AM8601">
        <v>88.188644580254604</v>
      </c>
      <c r="AN8601">
        <v>1.0000000090610801</v>
      </c>
    </row>
    <row r="8602" spans="1:40" x14ac:dyDescent="0.25">
      <c r="A8602" t="str">
        <f>"20190312172316826"</f>
        <v>20190312172316826</v>
      </c>
      <c r="B8602" t="str">
        <f>"1552382596818981"</f>
        <v>1552382596818981</v>
      </c>
      <c r="C8602" t="s">
        <v>40</v>
      </c>
      <c r="D8602">
        <v>3.4786519999999999</v>
      </c>
      <c r="E8602">
        <v>0.51859409999999995</v>
      </c>
      <c r="F8602" t="s">
        <v>41</v>
      </c>
      <c r="G8602">
        <v>-144.24080000000001</v>
      </c>
      <c r="H8602">
        <v>1.0136510000000001</v>
      </c>
      <c r="I8602">
        <v>138.05420000000001</v>
      </c>
      <c r="J8602">
        <v>-144.8682</v>
      </c>
      <c r="K8602">
        <v>1.1090009999999999</v>
      </c>
      <c r="L8602">
        <v>138.08080000000001</v>
      </c>
      <c r="M8602">
        <v>0.99688670000000001</v>
      </c>
      <c r="N8602">
        <v>0</v>
      </c>
      <c r="O8602">
        <v>7.7475479999999999E-2</v>
      </c>
      <c r="P8602">
        <v>0.99420710000000001</v>
      </c>
      <c r="Q8602">
        <v>9.9432380000000001E-2</v>
      </c>
      <c r="R8602">
        <v>4.0813479999999999E-2</v>
      </c>
      <c r="S8602">
        <v>3.0498810000000001</v>
      </c>
      <c r="T8602">
        <v>-0.30489189999999999</v>
      </c>
      <c r="U8602">
        <v>-6.607056E-3</v>
      </c>
      <c r="V8602">
        <v>3.6700259999999998E-2</v>
      </c>
      <c r="W8602">
        <v>0.1138723</v>
      </c>
      <c r="X8602">
        <v>0.99281730000000001</v>
      </c>
      <c r="Y8602">
        <v>7.8864680000000006E-2</v>
      </c>
      <c r="Z8602">
        <v>-1.1653190000000001E-2</v>
      </c>
      <c r="AA8602">
        <v>0.99681719999999896</v>
      </c>
      <c r="AB8602">
        <v>33</v>
      </c>
      <c r="AC8602">
        <v>0.62739999999999396</v>
      </c>
      <c r="AD8602">
        <v>-9.5350000000000004E-2</v>
      </c>
      <c r="AE8602">
        <v>-2.66000000000019E-2</v>
      </c>
      <c r="AF8602">
        <v>7.3440167779742299E-2</v>
      </c>
      <c r="AG8602">
        <v>-9.5350000000000004E-2</v>
      </c>
      <c r="AH8602">
        <v>0.60940270825046905</v>
      </c>
      <c r="AI8602">
        <v>98.829796595097093</v>
      </c>
      <c r="AJ8602">
        <v>83.128325219828298</v>
      </c>
      <c r="AK8602">
        <v>0.62117368067757295</v>
      </c>
      <c r="AL8602">
        <v>83.461414680246406</v>
      </c>
      <c r="AM8602">
        <v>87.882981088347293</v>
      </c>
      <c r="AN8602">
        <v>1.00000000048532</v>
      </c>
    </row>
    <row r="8603" spans="1:40" x14ac:dyDescent="0.25">
      <c r="A8603" t="str">
        <f>"20190312172316849"</f>
        <v>20190312172316849</v>
      </c>
      <c r="B8603" t="str">
        <f>"1552382596838501"</f>
        <v>1552382596838501</v>
      </c>
      <c r="C8603" t="s">
        <v>40</v>
      </c>
      <c r="D8603">
        <v>3.4726789999999998</v>
      </c>
      <c r="E8603">
        <v>0.51870379999999905</v>
      </c>
      <c r="F8603" t="s">
        <v>41</v>
      </c>
      <c r="G8603">
        <v>-143.94210000000001</v>
      </c>
      <c r="H8603">
        <v>1.015935</v>
      </c>
      <c r="I8603">
        <v>138.07230000000001</v>
      </c>
      <c r="J8603">
        <v>-144.535</v>
      </c>
      <c r="K8603">
        <v>1.108522</v>
      </c>
      <c r="L8603">
        <v>138.10419999999999</v>
      </c>
      <c r="M8603">
        <v>0.99709890000000001</v>
      </c>
      <c r="N8603">
        <v>0</v>
      </c>
      <c r="O8603">
        <v>7.4694689999999994E-2</v>
      </c>
      <c r="P8603">
        <v>0.99463710000000005</v>
      </c>
      <c r="Q8603">
        <v>9.7960259999999993E-2</v>
      </c>
      <c r="R8603">
        <v>3.3178109999999997E-2</v>
      </c>
      <c r="S8603">
        <v>3.0492249999999999</v>
      </c>
      <c r="T8603">
        <v>-0.3064057</v>
      </c>
      <c r="U8603">
        <v>-2.7709959999999999E-2</v>
      </c>
      <c r="V8603">
        <v>4.169991E-2</v>
      </c>
      <c r="W8603">
        <v>0.1123349</v>
      </c>
      <c r="X8603">
        <v>0.99279510000000004</v>
      </c>
      <c r="Y8603">
        <v>8.2967810000000003E-2</v>
      </c>
      <c r="Z8603">
        <v>-1.1641E-2</v>
      </c>
      <c r="AA8603">
        <v>0.99648419999999904</v>
      </c>
      <c r="AB8603">
        <v>33</v>
      </c>
      <c r="AC8603">
        <v>0.59289999999998599</v>
      </c>
      <c r="AD8603">
        <v>-9.2586999999999905E-2</v>
      </c>
      <c r="AE8603">
        <v>-3.1899999999978897E-2</v>
      </c>
      <c r="AF8603">
        <v>7.4295570624567306E-2</v>
      </c>
      <c r="AG8603">
        <v>-9.2586999999999905E-2</v>
      </c>
      <c r="AH8603">
        <v>0.574881839610624</v>
      </c>
      <c r="AI8603">
        <v>99.074947849635507</v>
      </c>
      <c r="AJ8603">
        <v>82.636124716382596</v>
      </c>
      <c r="AK8603">
        <v>0.58701048874575101</v>
      </c>
      <c r="AL8603">
        <v>83.550070499549093</v>
      </c>
      <c r="AM8603">
        <v>87.594845806168195</v>
      </c>
      <c r="AN8603">
        <v>1.00000006141801</v>
      </c>
    </row>
    <row r="8604" spans="1:40" x14ac:dyDescent="0.25">
      <c r="A8604" t="str">
        <f>"20190312172316872"</f>
        <v>20190312172316872</v>
      </c>
      <c r="B8604" t="str">
        <f>"1552382596858527"</f>
        <v>1552382596858527</v>
      </c>
      <c r="C8604" t="s">
        <v>40</v>
      </c>
      <c r="D8604">
        <v>3.4971749999999999</v>
      </c>
      <c r="E8604">
        <v>0.51798630000000001</v>
      </c>
      <c r="F8604" t="s">
        <v>41</v>
      </c>
      <c r="G8604">
        <v>-143.63919999999999</v>
      </c>
      <c r="H8604">
        <v>1.0272939999999999</v>
      </c>
      <c r="I8604">
        <v>138.08920000000001</v>
      </c>
      <c r="J8604">
        <v>-144.19720000000001</v>
      </c>
      <c r="K8604">
        <v>1.1080680000000001</v>
      </c>
      <c r="L8604">
        <v>138.12639999999999</v>
      </c>
      <c r="M8604">
        <v>0.99734129999999999</v>
      </c>
      <c r="N8604">
        <v>0</v>
      </c>
      <c r="O8604">
        <v>7.1384909999999996E-2</v>
      </c>
      <c r="P8604">
        <v>0.99488410000000005</v>
      </c>
      <c r="Q8604">
        <v>9.7370079999999998E-2</v>
      </c>
      <c r="R8604">
        <v>2.692131E-2</v>
      </c>
      <c r="S8604">
        <v>3.0450740000000001</v>
      </c>
      <c r="T8604">
        <v>-0.27610430000000002</v>
      </c>
      <c r="U8604">
        <v>-5.1055910000000003E-2</v>
      </c>
      <c r="V8604">
        <v>4.4779119999999999E-2</v>
      </c>
      <c r="W8604">
        <v>0.111681</v>
      </c>
      <c r="X8604">
        <v>0.99273469999999997</v>
      </c>
      <c r="Y8604">
        <v>8.7452840000000004E-2</v>
      </c>
      <c r="Z8604">
        <v>-1.0412859999999999E-2</v>
      </c>
      <c r="AA8604">
        <v>0.99611430000000001</v>
      </c>
      <c r="AB8604">
        <v>33</v>
      </c>
      <c r="AC8604">
        <v>0.55800000000002103</v>
      </c>
      <c r="AD8604">
        <v>-8.0773999999999901E-2</v>
      </c>
      <c r="AE8604">
        <v>-3.7199999999984301E-2</v>
      </c>
      <c r="AF8604">
        <v>7.5369790683144297E-2</v>
      </c>
      <c r="AG8604">
        <v>-8.0773999999999901E-2</v>
      </c>
      <c r="AH8604">
        <v>0.54260079188801402</v>
      </c>
      <c r="AI8604">
        <v>98.387757467005798</v>
      </c>
      <c r="AJ8604">
        <v>82.0919495210821</v>
      </c>
      <c r="AK8604">
        <v>0.55373338691207796</v>
      </c>
      <c r="AL8604">
        <v>83.587773065476895</v>
      </c>
      <c r="AM8604">
        <v>87.417319392780001</v>
      </c>
      <c r="AN8604">
        <v>0.99999999996653199</v>
      </c>
    </row>
    <row r="8605" spans="1:40" x14ac:dyDescent="0.25">
      <c r="A8605" t="str">
        <f>"20190312172316894"</f>
        <v>20190312172316894</v>
      </c>
      <c r="B8605" t="str">
        <f>"1552382596888784"</f>
        <v>1552382596888784</v>
      </c>
      <c r="C8605" t="s">
        <v>40</v>
      </c>
      <c r="D8605">
        <v>3.4935339999999901</v>
      </c>
      <c r="E8605">
        <v>0.51730220000000005</v>
      </c>
      <c r="F8605" t="s">
        <v>41</v>
      </c>
      <c r="G8605">
        <v>-143.34129999999999</v>
      </c>
      <c r="H8605">
        <v>1.0292889999999999</v>
      </c>
      <c r="I8605">
        <v>138.1079</v>
      </c>
      <c r="J8605">
        <v>-143.85759999999999</v>
      </c>
      <c r="K8605">
        <v>1.10762</v>
      </c>
      <c r="L8605">
        <v>138.1472</v>
      </c>
      <c r="M8605">
        <v>0.99760510000000002</v>
      </c>
      <c r="N8605">
        <v>0</v>
      </c>
      <c r="O8605">
        <v>6.7599619999999999E-2</v>
      </c>
      <c r="P8605">
        <v>0.99492510000000001</v>
      </c>
      <c r="Q8605">
        <v>9.8195900000000003E-2</v>
      </c>
      <c r="R8605">
        <v>2.1951470000000001E-2</v>
      </c>
      <c r="S8605">
        <v>3.0446170000000001</v>
      </c>
      <c r="T8605">
        <v>-0.28013840000000001</v>
      </c>
      <c r="U8605">
        <v>-6.5399170000000006E-2</v>
      </c>
      <c r="V8605">
        <v>4.609013E-2</v>
      </c>
      <c r="W8605">
        <v>0.11245239999999999</v>
      </c>
      <c r="X8605">
        <v>0.99258760000000001</v>
      </c>
      <c r="Y8605">
        <v>8.835904E-2</v>
      </c>
      <c r="Z8605">
        <v>-1.026029E-2</v>
      </c>
      <c r="AA8605">
        <v>0.99603589999999997</v>
      </c>
      <c r="AB8605">
        <v>33</v>
      </c>
      <c r="AC8605">
        <v>0.51630000000000098</v>
      </c>
      <c r="AD8605">
        <v>-7.8331000000000095E-2</v>
      </c>
      <c r="AE8605">
        <v>-3.9299999999997198E-2</v>
      </c>
      <c r="AF8605">
        <v>7.2457310735314806E-2</v>
      </c>
      <c r="AG8605">
        <v>-7.8331000000000095E-2</v>
      </c>
      <c r="AH8605">
        <v>0.50099639079814795</v>
      </c>
      <c r="AI8605">
        <v>98.796211052496702</v>
      </c>
      <c r="AJ8605">
        <v>81.770578090309698</v>
      </c>
      <c r="AK8605">
        <v>0.51223353173407604</v>
      </c>
      <c r="AL8605">
        <v>83.543294873124495</v>
      </c>
      <c r="AM8605">
        <v>87.341419119157393</v>
      </c>
      <c r="AN8605">
        <v>0.99999999301146802</v>
      </c>
    </row>
    <row r="8606" spans="1:40" x14ac:dyDescent="0.25">
      <c r="A8606" t="str">
        <f>"20190312172316917"</f>
        <v>20190312172316917</v>
      </c>
      <c r="B8606" t="str">
        <f>"1552382596909279"</f>
        <v>1552382596909279</v>
      </c>
      <c r="C8606" t="s">
        <v>40</v>
      </c>
      <c r="D8606">
        <v>3.4923739999999999</v>
      </c>
      <c r="E8606">
        <v>0.51673690000000005</v>
      </c>
      <c r="F8606" t="s">
        <v>41</v>
      </c>
      <c r="G8606">
        <v>-143.04249999999999</v>
      </c>
      <c r="H8606">
        <v>1.0335449999999999</v>
      </c>
      <c r="I8606">
        <v>138.12649999999999</v>
      </c>
      <c r="J8606">
        <v>-143.52029999999999</v>
      </c>
      <c r="K8606">
        <v>1.107197</v>
      </c>
      <c r="L8606">
        <v>138.1661</v>
      </c>
      <c r="M8606">
        <v>0.99787910000000002</v>
      </c>
      <c r="N8606">
        <v>0</v>
      </c>
      <c r="O8606">
        <v>6.3423190000000004E-2</v>
      </c>
      <c r="P8606">
        <v>0.99488969999999999</v>
      </c>
      <c r="Q8606">
        <v>9.936681E-2</v>
      </c>
      <c r="R8606">
        <v>1.7907329999999999E-2</v>
      </c>
      <c r="S8606">
        <v>3.0443120000000001</v>
      </c>
      <c r="T8606">
        <v>-0.2766633</v>
      </c>
      <c r="U8606">
        <v>-7.7270510000000001E-2</v>
      </c>
      <c r="V8606">
        <v>4.6083550000000001E-2</v>
      </c>
      <c r="W8606">
        <v>0.1135814</v>
      </c>
      <c r="X8606">
        <v>0.99245939999999999</v>
      </c>
      <c r="Y8606">
        <v>8.8108179999999994E-2</v>
      </c>
      <c r="Z8606">
        <v>-9.7446270000000005E-3</v>
      </c>
      <c r="AA8606">
        <v>0.99606320000000004</v>
      </c>
      <c r="AB8606">
        <v>33</v>
      </c>
      <c r="AC8606">
        <v>0.477800000000002</v>
      </c>
      <c r="AD8606">
        <v>-7.3651999999999801E-2</v>
      </c>
      <c r="AE8606">
        <v>-3.9600000000007102E-2</v>
      </c>
      <c r="AF8606">
        <v>6.82172165116227E-2</v>
      </c>
      <c r="AG8606">
        <v>-7.3651999999999801E-2</v>
      </c>
      <c r="AH8606">
        <v>0.46339021865275898</v>
      </c>
      <c r="AI8606">
        <v>98.936405424489607</v>
      </c>
      <c r="AJ8606">
        <v>81.625448976248194</v>
      </c>
      <c r="AK8606">
        <v>0.47413995874176801</v>
      </c>
      <c r="AL8606">
        <v>83.478191152697903</v>
      </c>
      <c r="AM8606">
        <v>87.341455245608202</v>
      </c>
      <c r="AN8606">
        <v>1.0000000443274599</v>
      </c>
    </row>
    <row r="8607" spans="1:40" x14ac:dyDescent="0.25">
      <c r="A8607" t="str">
        <f>"20190312172316938"</f>
        <v>20190312172316938</v>
      </c>
      <c r="B8607" t="str">
        <f>"1552382596928800"</f>
        <v>1552382596928800</v>
      </c>
      <c r="C8607" t="s">
        <v>40</v>
      </c>
      <c r="D8607">
        <v>3.5282909999999998</v>
      </c>
      <c r="E8607">
        <v>0.51623339999999995</v>
      </c>
      <c r="F8607" t="s">
        <v>41</v>
      </c>
      <c r="G8607">
        <v>-142.7441</v>
      </c>
      <c r="H8607">
        <v>1.037447</v>
      </c>
      <c r="I8607">
        <v>138.1439</v>
      </c>
      <c r="J8607">
        <v>-143.2046</v>
      </c>
      <c r="K8607">
        <v>1.1068279999999999</v>
      </c>
      <c r="L8607">
        <v>138.18209999999999</v>
      </c>
      <c r="M8607">
        <v>0.99814069999999999</v>
      </c>
      <c r="N8607">
        <v>0</v>
      </c>
      <c r="O8607">
        <v>5.916333E-2</v>
      </c>
      <c r="P8607">
        <v>0.99481430000000004</v>
      </c>
      <c r="Q8607">
        <v>0.10070759999999999</v>
      </c>
      <c r="R8607">
        <v>1.4240859999999999E-2</v>
      </c>
      <c r="S8607">
        <v>3.0442960000000001</v>
      </c>
      <c r="T8607">
        <v>-0.27354709999999899</v>
      </c>
      <c r="U8607">
        <v>-8.6624149999999997E-2</v>
      </c>
      <c r="V8607">
        <v>4.5606519999999998E-2</v>
      </c>
      <c r="W8607">
        <v>0.1148927</v>
      </c>
      <c r="X8607">
        <v>0.99233039999999995</v>
      </c>
      <c r="Y8607">
        <v>8.695071E-2</v>
      </c>
      <c r="Z8607">
        <v>-9.2016219999999996E-3</v>
      </c>
      <c r="AA8607">
        <v>0.99617009999999995</v>
      </c>
      <c r="AB8607">
        <v>33</v>
      </c>
      <c r="AC8607">
        <v>0.46049999999999602</v>
      </c>
      <c r="AD8607">
        <v>-6.9381000000000095E-2</v>
      </c>
      <c r="AE8607">
        <v>-3.8199999999989097E-2</v>
      </c>
      <c r="AF8607">
        <v>6.3939224162342795E-2</v>
      </c>
      <c r="AG8607">
        <v>-6.9381000000000095E-2</v>
      </c>
      <c r="AH8607">
        <v>0.44734759692288401</v>
      </c>
      <c r="AI8607">
        <v>98.728680206534506</v>
      </c>
      <c r="AJ8607">
        <v>81.865827838559994</v>
      </c>
      <c r="AK8607">
        <v>0.45718904188547799</v>
      </c>
      <c r="AL8607">
        <v>83.402563511626894</v>
      </c>
      <c r="AM8607">
        <v>87.3685945258228</v>
      </c>
      <c r="AN8607">
        <v>0.99999995497197902</v>
      </c>
    </row>
    <row r="8608" spans="1:40" x14ac:dyDescent="0.25">
      <c r="A8608" t="str">
        <f>"20190312172316961"</f>
        <v>20190312172316961</v>
      </c>
      <c r="B8608" t="str">
        <f>"1552382596949296"</f>
        <v>1552382596949296</v>
      </c>
      <c r="C8608" t="s">
        <v>40</v>
      </c>
      <c r="D8608">
        <v>3.4806949999999999</v>
      </c>
      <c r="E8608">
        <v>0.51599810000000002</v>
      </c>
      <c r="F8608" t="s">
        <v>41</v>
      </c>
      <c r="G8608">
        <v>-142.44649999999999</v>
      </c>
      <c r="H8608">
        <v>1.039822</v>
      </c>
      <c r="I8608">
        <v>138.15860000000001</v>
      </c>
      <c r="J8608">
        <v>-142.88</v>
      </c>
      <c r="K8608">
        <v>1.106498</v>
      </c>
      <c r="L8608">
        <v>138.1969</v>
      </c>
      <c r="M8608">
        <v>0.99840770000000001</v>
      </c>
      <c r="N8608">
        <v>0</v>
      </c>
      <c r="O8608">
        <v>5.4471159999999998E-2</v>
      </c>
      <c r="P8608">
        <v>0.99446639999999997</v>
      </c>
      <c r="Q8608">
        <v>0.104547</v>
      </c>
      <c r="R8608">
        <v>1.0342840000000001E-2</v>
      </c>
      <c r="S8608">
        <v>3.0442049999999998</v>
      </c>
      <c r="T8608">
        <v>-0.26908880000000002</v>
      </c>
      <c r="U8608">
        <v>-9.4146729999999998E-2</v>
      </c>
      <c r="V8608">
        <v>4.4936230000000001E-2</v>
      </c>
      <c r="W8608">
        <v>0.1187054</v>
      </c>
      <c r="X8608">
        <v>0.99191220000000002</v>
      </c>
      <c r="Y8608">
        <v>8.4774329999999995E-2</v>
      </c>
      <c r="Z8608">
        <v>-8.5427230000000003E-3</v>
      </c>
      <c r="AA8608">
        <v>0.99636360000000002</v>
      </c>
      <c r="AB8608">
        <v>33</v>
      </c>
      <c r="AC8608">
        <v>0.43350000000000899</v>
      </c>
      <c r="AD8608">
        <v>-6.6675999999999902E-2</v>
      </c>
      <c r="AE8608">
        <v>-3.8299999999992403E-2</v>
      </c>
      <c r="AF8608">
        <v>6.0440149681607901E-2</v>
      </c>
      <c r="AG8608">
        <v>-6.6675999999999902E-2</v>
      </c>
      <c r="AH8608">
        <v>0.42088989462233301</v>
      </c>
      <c r="AI8608">
        <v>98.911876290956698</v>
      </c>
      <c r="AJ8608">
        <v>81.828142538025304</v>
      </c>
      <c r="AK8608">
        <v>0.43040330396586601</v>
      </c>
      <c r="AL8608">
        <v>83.182606738067307</v>
      </c>
      <c r="AM8608">
        <v>87.406124105124505</v>
      </c>
      <c r="AN8608">
        <v>1.0000000246323</v>
      </c>
    </row>
    <row r="8609" spans="1:40" x14ac:dyDescent="0.25">
      <c r="A8609" t="str">
        <f>"20190312172316983"</f>
        <v>20190312172316983</v>
      </c>
      <c r="B8609" t="str">
        <f>"1552382596978579"</f>
        <v>1552382596978579</v>
      </c>
      <c r="C8609" t="s">
        <v>40</v>
      </c>
      <c r="D8609">
        <v>3.4876320000000001</v>
      </c>
      <c r="E8609">
        <v>0.5124689</v>
      </c>
      <c r="F8609" t="s">
        <v>41</v>
      </c>
      <c r="G8609">
        <v>-141.8629</v>
      </c>
      <c r="H8609">
        <v>1.0203169999999999</v>
      </c>
      <c r="I8609">
        <v>138.16239999999999</v>
      </c>
      <c r="J8609">
        <v>-142.5437</v>
      </c>
      <c r="K8609">
        <v>1.10622</v>
      </c>
      <c r="L8609">
        <v>138.21</v>
      </c>
      <c r="M8609">
        <v>0.99867600000000001</v>
      </c>
      <c r="N8609">
        <v>0</v>
      </c>
      <c r="O8609">
        <v>4.9305349999999998E-2</v>
      </c>
      <c r="P8609">
        <v>0.99403790000000003</v>
      </c>
      <c r="Q8609">
        <v>0.1088486</v>
      </c>
      <c r="R8609">
        <v>6.4144930000000003E-3</v>
      </c>
      <c r="S8609">
        <v>3.0448909999999998</v>
      </c>
      <c r="T8609">
        <v>-0.25803140000000002</v>
      </c>
      <c r="U8609">
        <v>-0.103363</v>
      </c>
      <c r="V8609">
        <v>4.3825749999999997E-2</v>
      </c>
      <c r="W8609">
        <v>0.1229896</v>
      </c>
      <c r="X8609">
        <v>0.99143979999999998</v>
      </c>
      <c r="Y8609">
        <v>8.2695160000000004E-2</v>
      </c>
      <c r="Z8609">
        <v>-7.6662569999999897E-3</v>
      </c>
      <c r="AA8609">
        <v>0.99654540000000003</v>
      </c>
      <c r="AB8609">
        <v>33</v>
      </c>
      <c r="AC8609">
        <v>0.68080000000000496</v>
      </c>
      <c r="AD8609">
        <v>-8.5902999999999993E-2</v>
      </c>
      <c r="AE8609">
        <v>-4.76000000000169E-2</v>
      </c>
      <c r="AF8609">
        <v>7.9847697332429704E-2</v>
      </c>
      <c r="AG8609">
        <v>-8.5902999999999993E-2</v>
      </c>
      <c r="AH8609">
        <v>0.667055903761411</v>
      </c>
      <c r="AI8609">
        <v>97.286670658919206</v>
      </c>
      <c r="AJ8609">
        <v>83.174078291146898</v>
      </c>
      <c r="AK8609">
        <v>0.67728764858163704</v>
      </c>
      <c r="AL8609">
        <v>82.9353275579642</v>
      </c>
      <c r="AM8609">
        <v>87.468936691405005</v>
      </c>
      <c r="AN8609">
        <v>1.0000000075476301</v>
      </c>
    </row>
    <row r="8610" spans="1:40" x14ac:dyDescent="0.25">
      <c r="A8610" t="str">
        <f>"20190312172317004"</f>
        <v>20190312172317004</v>
      </c>
      <c r="B8610" t="str">
        <f>"1552382596999072"</f>
        <v>1552382596999072</v>
      </c>
      <c r="C8610" t="s">
        <v>40</v>
      </c>
      <c r="D8610">
        <v>3.5435020000000002</v>
      </c>
      <c r="E8610">
        <v>0.51208379999999998</v>
      </c>
      <c r="F8610" t="s">
        <v>41</v>
      </c>
      <c r="G8610">
        <v>-141.565</v>
      </c>
      <c r="H8610">
        <v>1.025898</v>
      </c>
      <c r="I8610">
        <v>138.18199999999999</v>
      </c>
      <c r="J8610">
        <v>-142.21510000000001</v>
      </c>
      <c r="K8610">
        <v>1.10602</v>
      </c>
      <c r="L8610">
        <v>138.221</v>
      </c>
      <c r="M8610">
        <v>0.99892130000000001</v>
      </c>
      <c r="N8610">
        <v>0</v>
      </c>
      <c r="O8610">
        <v>4.4051E-2</v>
      </c>
      <c r="P8610">
        <v>0.99363599999999996</v>
      </c>
      <c r="Q8610">
        <v>0.1125708</v>
      </c>
      <c r="R8610">
        <v>3.9170890000000003E-3</v>
      </c>
      <c r="S8610">
        <v>3.0459290000000001</v>
      </c>
      <c r="T8610">
        <v>-0.24991959999999999</v>
      </c>
      <c r="U8610">
        <v>-8.7112430000000005E-2</v>
      </c>
      <c r="V8610">
        <v>4.1186149999999998E-2</v>
      </c>
      <c r="W8610">
        <v>0.1267182</v>
      </c>
      <c r="X8610">
        <v>0.9910833</v>
      </c>
      <c r="Y8610">
        <v>7.2207499999999994E-2</v>
      </c>
      <c r="Z8610">
        <v>-6.564439E-3</v>
      </c>
      <c r="AA8610">
        <v>0.99736800000000003</v>
      </c>
      <c r="AB8610">
        <v>33</v>
      </c>
      <c r="AC8610">
        <v>0.650100000000009</v>
      </c>
      <c r="AD8610">
        <v>-8.0121999999999999E-2</v>
      </c>
      <c r="AE8610">
        <v>-3.8999999999987198E-2</v>
      </c>
      <c r="AF8610">
        <v>6.6594863967529005E-2</v>
      </c>
      <c r="AG8610">
        <v>-8.0121999999999999E-2</v>
      </c>
      <c r="AH8610">
        <v>0.638093073903365</v>
      </c>
      <c r="AI8610">
        <v>97.118610729330598</v>
      </c>
      <c r="AJ8610">
        <v>84.041870594632798</v>
      </c>
      <c r="AK8610">
        <v>0.64654248255957603</v>
      </c>
      <c r="AL8610">
        <v>82.720009161276593</v>
      </c>
      <c r="AM8610">
        <v>87.620345783857701</v>
      </c>
      <c r="AN8610">
        <v>0.999999954350975</v>
      </c>
    </row>
    <row r="8611" spans="1:40" x14ac:dyDescent="0.25">
      <c r="A8611" t="str">
        <f>"20190312172317027"</f>
        <v>20190312172317027</v>
      </c>
      <c r="B8611" t="str">
        <f>"1552382597018592"</f>
        <v>1552382597018592</v>
      </c>
      <c r="C8611" t="s">
        <v>40</v>
      </c>
      <c r="D8611">
        <v>3.5220980000000002</v>
      </c>
      <c r="E8611">
        <v>0.51050260000000003</v>
      </c>
      <c r="F8611" t="s">
        <v>41</v>
      </c>
      <c r="G8611">
        <v>-141.2672</v>
      </c>
      <c r="H8611">
        <v>1.030856</v>
      </c>
      <c r="I8611">
        <v>138.19229999999999</v>
      </c>
      <c r="J8611">
        <v>-141.88579999999999</v>
      </c>
      <c r="K8611">
        <v>1.105864</v>
      </c>
      <c r="L8611">
        <v>138.23009999999999</v>
      </c>
      <c r="M8611">
        <v>0.99914559999999997</v>
      </c>
      <c r="N8611">
        <v>0</v>
      </c>
      <c r="O8611">
        <v>3.8631260000000001E-2</v>
      </c>
      <c r="P8611">
        <v>0.99326630000000005</v>
      </c>
      <c r="Q8611">
        <v>0.11584609999999999</v>
      </c>
      <c r="R8611">
        <v>1.360219E-3</v>
      </c>
      <c r="S8611">
        <v>3.0469360000000001</v>
      </c>
      <c r="T8611">
        <v>-0.24162700000000001</v>
      </c>
      <c r="U8611">
        <v>-9.2437740000000004E-2</v>
      </c>
      <c r="V8611">
        <v>3.8431060000000003E-2</v>
      </c>
      <c r="W8611">
        <v>0.1300076</v>
      </c>
      <c r="X8611">
        <v>0.99076790000000003</v>
      </c>
      <c r="Y8611">
        <v>6.8582649999999995E-2</v>
      </c>
      <c r="Z8611">
        <v>-5.7727000000000004E-3</v>
      </c>
      <c r="AA8611">
        <v>0.99762870000000003</v>
      </c>
      <c r="AB8611">
        <v>33</v>
      </c>
      <c r="AC8611">
        <v>0.61859999999998605</v>
      </c>
      <c r="AD8611">
        <v>-7.5007999999999894E-2</v>
      </c>
      <c r="AE8611">
        <v>-3.7800000000004198E-2</v>
      </c>
      <c r="AF8611">
        <v>6.0781330950212403E-2</v>
      </c>
      <c r="AG8611">
        <v>-7.5007999999999894E-2</v>
      </c>
      <c r="AH8611">
        <v>0.60777506095112599</v>
      </c>
      <c r="AI8611">
        <v>97.000957414041906</v>
      </c>
      <c r="AJ8611">
        <v>84.289049858485996</v>
      </c>
      <c r="AK8611">
        <v>0.61539507226677004</v>
      </c>
      <c r="AL8611">
        <v>82.5299683361864</v>
      </c>
      <c r="AM8611">
        <v>87.778658158485499</v>
      </c>
      <c r="AN8611">
        <v>0.99999997705044597</v>
      </c>
    </row>
    <row r="8612" spans="1:40" x14ac:dyDescent="0.25">
      <c r="A8612" t="str">
        <f>"20190312172317050"</f>
        <v>20190312172317050</v>
      </c>
      <c r="B8612" t="str">
        <f>"1552382597039087"</f>
        <v>1552382597039087</v>
      </c>
      <c r="C8612" t="s">
        <v>40</v>
      </c>
      <c r="D8612">
        <v>3.5242840000000002</v>
      </c>
      <c r="E8612">
        <v>0.51025450000000006</v>
      </c>
      <c r="F8612" t="s">
        <v>41</v>
      </c>
      <c r="G8612">
        <v>-140.97200000000001</v>
      </c>
      <c r="H8612">
        <v>1.0311669999999999</v>
      </c>
      <c r="I8612">
        <v>138.2039</v>
      </c>
      <c r="J8612">
        <v>-141.55009999999999</v>
      </c>
      <c r="K8612">
        <v>1.1057549999999901</v>
      </c>
      <c r="L8612">
        <v>138.23750000000001</v>
      </c>
      <c r="M8612">
        <v>0.9993474</v>
      </c>
      <c r="N8612">
        <v>0</v>
      </c>
      <c r="O8612">
        <v>3.2996930000000001E-2</v>
      </c>
      <c r="P8612">
        <v>0.99290590000000001</v>
      </c>
      <c r="Q8612">
        <v>0.1188934</v>
      </c>
      <c r="R8612">
        <v>-1.4723309999999999E-3</v>
      </c>
      <c r="S8612">
        <v>3.049515</v>
      </c>
      <c r="T8612">
        <v>-0.24918899999999999</v>
      </c>
      <c r="U8612">
        <v>-8.7310789999999999E-2</v>
      </c>
      <c r="V8612">
        <v>3.5730369999999997E-2</v>
      </c>
      <c r="W8612">
        <v>0.133073</v>
      </c>
      <c r="X8612">
        <v>0.99046190000000001</v>
      </c>
      <c r="Y8612">
        <v>6.1276690000000002E-2</v>
      </c>
      <c r="Z8612">
        <v>-5.1904439999999998E-3</v>
      </c>
      <c r="AA8612">
        <v>0.99810730000000003</v>
      </c>
      <c r="AB8612">
        <v>33</v>
      </c>
      <c r="AC8612">
        <v>0.57809999999997697</v>
      </c>
      <c r="AD8612">
        <v>-7.4587999999999793E-2</v>
      </c>
      <c r="AE8612">
        <v>-3.3600000000006902E-2</v>
      </c>
      <c r="AF8612">
        <v>5.1799883189969698E-2</v>
      </c>
      <c r="AG8612">
        <v>-7.4587999999999793E-2</v>
      </c>
      <c r="AH8612">
        <v>0.567264932882661</v>
      </c>
      <c r="AI8612">
        <v>97.459996473753307</v>
      </c>
      <c r="AJ8612">
        <v>84.782497091209905</v>
      </c>
      <c r="AK8612">
        <v>0.57448768630917102</v>
      </c>
      <c r="AL8612">
        <v>82.352793909733506</v>
      </c>
      <c r="AM8612">
        <v>87.933982072141703</v>
      </c>
      <c r="AN8612">
        <v>0.99999992901047097</v>
      </c>
    </row>
    <row r="8613" spans="1:40" x14ac:dyDescent="0.25">
      <c r="A8613" t="str">
        <f>"20190312172317072"</f>
        <v>20190312172317072</v>
      </c>
      <c r="B8613" t="str">
        <f>"1552382597058608"</f>
        <v>1552382597058608</v>
      </c>
      <c r="C8613" t="s">
        <v>40</v>
      </c>
      <c r="D8613">
        <v>3.5306549999999999</v>
      </c>
      <c r="E8613">
        <v>0.50990100000000005</v>
      </c>
      <c r="F8613" t="s">
        <v>41</v>
      </c>
      <c r="G8613">
        <v>-140.67509999999999</v>
      </c>
      <c r="H8613">
        <v>1.035245</v>
      </c>
      <c r="I8613">
        <v>138.21109999999999</v>
      </c>
      <c r="J8613">
        <v>-141.22659999999999</v>
      </c>
      <c r="K8613">
        <v>1.1056859999999999</v>
      </c>
      <c r="L8613">
        <v>138.24279999999999</v>
      </c>
      <c r="M8613">
        <v>0.9995136</v>
      </c>
      <c r="N8613">
        <v>0</v>
      </c>
      <c r="O8613">
        <v>2.7502780000000001E-2</v>
      </c>
      <c r="P8613">
        <v>0.99261889999999997</v>
      </c>
      <c r="Q8613">
        <v>0.1211662</v>
      </c>
      <c r="R8613">
        <v>-5.1372750000000002E-3</v>
      </c>
      <c r="S8613">
        <v>3.0507200000000001</v>
      </c>
      <c r="T8613">
        <v>-0.2457963</v>
      </c>
      <c r="U8613">
        <v>-9.1766360000000005E-2</v>
      </c>
      <c r="V8613">
        <v>3.3987410000000003E-2</v>
      </c>
      <c r="W8613">
        <v>0.13535759999999999</v>
      </c>
      <c r="X8613">
        <v>0.99021369999999997</v>
      </c>
      <c r="Y8613">
        <v>5.727405E-2</v>
      </c>
      <c r="Z8613">
        <v>-4.5151030000000003E-3</v>
      </c>
      <c r="AA8613">
        <v>0.99834829999999997</v>
      </c>
      <c r="AB8613">
        <v>33</v>
      </c>
      <c r="AC8613">
        <v>0.55150000000000399</v>
      </c>
      <c r="AD8613">
        <v>-7.0441000000000198E-2</v>
      </c>
      <c r="AE8613">
        <v>-3.17000000000007E-2</v>
      </c>
      <c r="AF8613">
        <v>4.61077056382228E-2</v>
      </c>
      <c r="AG8613">
        <v>-7.0441000000000198E-2</v>
      </c>
      <c r="AH8613">
        <v>0.54161264249419305</v>
      </c>
      <c r="AI8613">
        <v>97.383762942617096</v>
      </c>
      <c r="AJ8613">
        <v>85.134118888843801</v>
      </c>
      <c r="AK8613">
        <v>0.54811687577538004</v>
      </c>
      <c r="AL8613">
        <v>82.220701317337003</v>
      </c>
      <c r="AM8613">
        <v>88.034191025656696</v>
      </c>
      <c r="AN8613">
        <v>0.99999999779197901</v>
      </c>
    </row>
    <row r="8614" spans="1:40" x14ac:dyDescent="0.25">
      <c r="A8614" t="str">
        <f>"20190312172317094"</f>
        <v>20190312172317094</v>
      </c>
      <c r="B8614" t="str">
        <f>"1552382597088864"</f>
        <v>1552382597088864</v>
      </c>
      <c r="C8614" t="s">
        <v>40</v>
      </c>
      <c r="D8614">
        <v>3.5221079999999998</v>
      </c>
      <c r="E8614">
        <v>0.51004559999999999</v>
      </c>
      <c r="F8614" t="s">
        <v>41</v>
      </c>
      <c r="G8614">
        <v>-140.3792</v>
      </c>
      <c r="H8614">
        <v>1.038033</v>
      </c>
      <c r="I8614">
        <v>138.21549999999999</v>
      </c>
      <c r="J8614">
        <v>-140.89400000000001</v>
      </c>
      <c r="K8614">
        <v>1.105621</v>
      </c>
      <c r="L8614">
        <v>138.24629999999999</v>
      </c>
      <c r="M8614">
        <v>0.99965380000000004</v>
      </c>
      <c r="N8614">
        <v>0</v>
      </c>
      <c r="O8614">
        <v>2.182301E-2</v>
      </c>
      <c r="P8614">
        <v>0.99248740000000002</v>
      </c>
      <c r="Q8614">
        <v>0.1219312</v>
      </c>
      <c r="R8614">
        <v>-1.0095700000000001E-2</v>
      </c>
      <c r="S8614">
        <v>3.0515289999999999</v>
      </c>
      <c r="T8614">
        <v>-0.2435853</v>
      </c>
      <c r="U8614">
        <v>-9.8052979999999998E-2</v>
      </c>
      <c r="V8614">
        <v>3.3335910000000003E-2</v>
      </c>
      <c r="W8614">
        <v>0.13612579999999999</v>
      </c>
      <c r="X8614">
        <v>0.99013050000000002</v>
      </c>
      <c r="Y8614">
        <v>5.3682319999999999E-2</v>
      </c>
      <c r="Z8614">
        <v>-3.8776430000000001E-3</v>
      </c>
      <c r="AA8614">
        <v>0.99855050000000001</v>
      </c>
      <c r="AB8614">
        <v>33</v>
      </c>
      <c r="AC8614">
        <v>0.51480000000000803</v>
      </c>
      <c r="AD8614">
        <v>-6.7587999999999898E-2</v>
      </c>
      <c r="AE8614">
        <v>-3.07999999999992E-2</v>
      </c>
      <c r="AF8614">
        <v>4.1318691936353298E-2</v>
      </c>
      <c r="AG8614">
        <v>-6.7587999999999898E-2</v>
      </c>
      <c r="AH8614">
        <v>0.50532590856841197</v>
      </c>
      <c r="AI8614">
        <v>97.593128353384003</v>
      </c>
      <c r="AJ8614">
        <v>85.325528001609499</v>
      </c>
      <c r="AK8614">
        <v>0.51149745445879002</v>
      </c>
      <c r="AL8614">
        <v>82.176275220193901</v>
      </c>
      <c r="AM8614">
        <v>88.071682727586094</v>
      </c>
      <c r="AN8614">
        <v>0.99999996167570804</v>
      </c>
    </row>
    <row r="8615" spans="1:40" x14ac:dyDescent="0.25">
      <c r="A8615" t="str">
        <f>"20190312172317117"</f>
        <v>20190312172317117</v>
      </c>
      <c r="B8615" t="str">
        <f>"1552382597108384"</f>
        <v>1552382597108384</v>
      </c>
      <c r="C8615" t="s">
        <v>40</v>
      </c>
      <c r="D8615">
        <v>3.5288629999999999</v>
      </c>
      <c r="E8615">
        <v>0.50993100000000002</v>
      </c>
      <c r="F8615" t="s">
        <v>41</v>
      </c>
      <c r="G8615">
        <v>-140.08340000000001</v>
      </c>
      <c r="H8615">
        <v>1.040122</v>
      </c>
      <c r="I8615">
        <v>138.2158</v>
      </c>
      <c r="J8615">
        <v>-140.56630000000001</v>
      </c>
      <c r="K8615">
        <v>1.1055549999999901</v>
      </c>
      <c r="L8615">
        <v>138.24789999999999</v>
      </c>
      <c r="M8615">
        <v>0.9997606</v>
      </c>
      <c r="N8615">
        <v>0</v>
      </c>
      <c r="O8615">
        <v>1.6215319999999998E-2</v>
      </c>
      <c r="P8615">
        <v>0.99248360000000002</v>
      </c>
      <c r="Q8615">
        <v>0.1213653</v>
      </c>
      <c r="R8615">
        <v>-1.5720620000000001E-2</v>
      </c>
      <c r="S8615">
        <v>3.0518339999999999</v>
      </c>
      <c r="T8615">
        <v>-0.24654429999999999</v>
      </c>
      <c r="U8615">
        <v>-0.1142426</v>
      </c>
      <c r="V8615">
        <v>3.3404400000000001E-2</v>
      </c>
      <c r="W8615">
        <v>0.1355575</v>
      </c>
      <c r="X8615">
        <v>0.99020620000000004</v>
      </c>
      <c r="Y8615">
        <v>5.3382199999999998E-2</v>
      </c>
      <c r="Z8615">
        <v>-3.4595749999999999E-3</v>
      </c>
      <c r="AA8615">
        <v>0.99856820000000002</v>
      </c>
      <c r="AB8615">
        <v>33</v>
      </c>
      <c r="AC8615">
        <v>0.4829</v>
      </c>
      <c r="AD8615">
        <v>-6.5432999999999797E-2</v>
      </c>
      <c r="AE8615">
        <v>-3.2099999999985501E-2</v>
      </c>
      <c r="AF8615">
        <v>3.92102576184045E-2</v>
      </c>
      <c r="AG8615">
        <v>-6.5432999999999797E-2</v>
      </c>
      <c r="AH8615">
        <v>0.47365769928422802</v>
      </c>
      <c r="AI8615">
        <v>97.838812672009198</v>
      </c>
      <c r="AJ8615">
        <v>85.267739850730393</v>
      </c>
      <c r="AK8615">
        <v>0.47976091741901</v>
      </c>
      <c r="AL8615">
        <v>82.209141394141596</v>
      </c>
      <c r="AM8615">
        <v>88.067871528615001</v>
      </c>
      <c r="AN8615">
        <v>1.0000000041320201</v>
      </c>
    </row>
    <row r="8616" spans="1:40" x14ac:dyDescent="0.25">
      <c r="A8616" t="str">
        <f>"20190312172317139"</f>
        <v>20190312172317139</v>
      </c>
      <c r="B8616" t="str">
        <f>"1552382597128880"</f>
        <v>1552382597128880</v>
      </c>
      <c r="C8616" t="s">
        <v>40</v>
      </c>
      <c r="D8616">
        <v>3.4697659999999999</v>
      </c>
      <c r="E8616">
        <v>0.50993849999999996</v>
      </c>
      <c r="F8616" t="s">
        <v>41</v>
      </c>
      <c r="G8616">
        <v>-139.7919</v>
      </c>
      <c r="H8616">
        <v>1.0360370000000001</v>
      </c>
      <c r="I8616">
        <v>138.21440000000001</v>
      </c>
      <c r="J8616">
        <v>-140.24299999999999</v>
      </c>
      <c r="K8616">
        <v>1.1055010000000001</v>
      </c>
      <c r="L8616">
        <v>138.24760000000001</v>
      </c>
      <c r="M8616">
        <v>0.99983480000000002</v>
      </c>
      <c r="N8616">
        <v>0</v>
      </c>
      <c r="O8616">
        <v>1.0681309999999999E-2</v>
      </c>
      <c r="P8616">
        <v>0.99254609999999999</v>
      </c>
      <c r="Q8616">
        <v>0.11994150000000001</v>
      </c>
      <c r="R8616">
        <v>-2.1601019999999999E-2</v>
      </c>
      <c r="S8616">
        <v>3.0541529999999999</v>
      </c>
      <c r="T8616">
        <v>-0.27410659999999998</v>
      </c>
      <c r="U8616">
        <v>-0.13151550000000001</v>
      </c>
      <c r="V8616">
        <v>3.3787249999999998E-2</v>
      </c>
      <c r="W8616">
        <v>0.13412969999999999</v>
      </c>
      <c r="X8616">
        <v>0.99038760000000003</v>
      </c>
      <c r="Y8616">
        <v>5.3434189999999999E-2</v>
      </c>
      <c r="Z8616">
        <v>-3.3483319999999999E-3</v>
      </c>
      <c r="AA8616">
        <v>0.9985657</v>
      </c>
      <c r="AB8616">
        <v>33</v>
      </c>
      <c r="AC8616">
        <v>0.451099999999996</v>
      </c>
      <c r="AD8616">
        <v>-6.9463999999999901E-2</v>
      </c>
      <c r="AE8616">
        <v>-3.3199999999993603E-2</v>
      </c>
      <c r="AF8616">
        <v>3.71410111707524E-2</v>
      </c>
      <c r="AG8616">
        <v>-6.9463999999999901E-2</v>
      </c>
      <c r="AH8616">
        <v>0.44033450548174202</v>
      </c>
      <c r="AI8616">
        <v>98.933483889646197</v>
      </c>
      <c r="AJ8616">
        <v>85.178669819287194</v>
      </c>
      <c r="AK8616">
        <v>0.44732446694165601</v>
      </c>
      <c r="AL8616">
        <v>82.291702138560694</v>
      </c>
      <c r="AM8616">
        <v>88.046102017252807</v>
      </c>
      <c r="AN8616">
        <v>0.99999997645920602</v>
      </c>
    </row>
    <row r="8617" spans="1:40" x14ac:dyDescent="0.25">
      <c r="A8617" t="str">
        <f>"20190312172317173"</f>
        <v>20190312172317173</v>
      </c>
      <c r="B8617" t="str">
        <f>"1552382597168896"</f>
        <v>1552382597168896</v>
      </c>
      <c r="C8617" t="s">
        <v>40</v>
      </c>
      <c r="D8617">
        <v>3.4639950000000002</v>
      </c>
      <c r="E8617">
        <v>0.50895319999999999</v>
      </c>
      <c r="F8617" t="s">
        <v>41</v>
      </c>
      <c r="G8617">
        <v>-139.4973</v>
      </c>
      <c r="H8617">
        <v>1.037819</v>
      </c>
      <c r="I8617">
        <v>138.2114</v>
      </c>
      <c r="J8617">
        <v>-139.74870000000001</v>
      </c>
      <c r="K8617">
        <v>1.105437</v>
      </c>
      <c r="L8617">
        <v>138.24359999999999</v>
      </c>
      <c r="M8617">
        <v>0.99988940000000004</v>
      </c>
      <c r="N8617">
        <v>0</v>
      </c>
      <c r="O8617">
        <v>2.2474869999999998E-3</v>
      </c>
      <c r="P8617">
        <v>0.99267139999999998</v>
      </c>
      <c r="Q8617">
        <v>0.1170977</v>
      </c>
      <c r="R8617">
        <v>-2.9859839999999999E-2</v>
      </c>
      <c r="S8617">
        <v>3.0527950000000001</v>
      </c>
      <c r="T8617">
        <v>-0.27707490000000001</v>
      </c>
      <c r="U8617">
        <v>-0.1482086</v>
      </c>
      <c r="V8617">
        <v>3.3649949999999998E-2</v>
      </c>
      <c r="W8617">
        <v>0.1312902</v>
      </c>
      <c r="X8617">
        <v>0.99077269999999995</v>
      </c>
      <c r="Y8617">
        <v>5.0519960000000003E-2</v>
      </c>
      <c r="Z8617">
        <v>-2.4900539999999998E-3</v>
      </c>
      <c r="AA8617">
        <v>0.99871989999999999</v>
      </c>
      <c r="AB8617">
        <v>33</v>
      </c>
      <c r="AC8617">
        <v>0.251400000000018</v>
      </c>
      <c r="AD8617">
        <v>-6.76179999999999E-2</v>
      </c>
      <c r="AE8617">
        <v>-3.2199999999988897E-2</v>
      </c>
      <c r="AF8617">
        <v>3.05879050852686E-2</v>
      </c>
      <c r="AG8617">
        <v>-6.76179999999999E-2</v>
      </c>
      <c r="AH8617">
        <v>0.23462739305928901</v>
      </c>
      <c r="AI8617">
        <v>105.94860463389</v>
      </c>
      <c r="AJ8617">
        <v>82.572354147113003</v>
      </c>
      <c r="AK8617">
        <v>0.246085000427299</v>
      </c>
      <c r="AL8617">
        <v>82.455845526318399</v>
      </c>
      <c r="AM8617">
        <v>88.054791672201404</v>
      </c>
      <c r="AN8617">
        <v>0.99999998940816603</v>
      </c>
    </row>
    <row r="8618" spans="1:40" x14ac:dyDescent="0.25">
      <c r="A8618" t="str">
        <f>"20190312172317195"</f>
        <v>20190312172317195</v>
      </c>
      <c r="B8618" t="str">
        <f>"1552382597188419"</f>
        <v>1552382597188419</v>
      </c>
      <c r="C8618" t="s">
        <v>40</v>
      </c>
      <c r="D8618">
        <v>3.49085</v>
      </c>
      <c r="E8618">
        <v>0.5087218</v>
      </c>
      <c r="F8618" t="s">
        <v>41</v>
      </c>
      <c r="G8618">
        <v>-138.91909999999999</v>
      </c>
      <c r="H8618">
        <v>1.022079</v>
      </c>
      <c r="I8618">
        <v>138.19880000000001</v>
      </c>
      <c r="J8618">
        <v>-139.42349999999999</v>
      </c>
      <c r="K8618">
        <v>1.105429</v>
      </c>
      <c r="L8618">
        <v>138.2388</v>
      </c>
      <c r="M8618">
        <v>0.99988650000000001</v>
      </c>
      <c r="N8618">
        <v>0</v>
      </c>
      <c r="O8618">
        <v>-3.2771480000000001E-3</v>
      </c>
      <c r="P8618">
        <v>0.9926294</v>
      </c>
      <c r="Q8618">
        <v>0.1165302</v>
      </c>
      <c r="R8618">
        <v>-3.3276109999999998E-2</v>
      </c>
      <c r="S8618">
        <v>3.053391</v>
      </c>
      <c r="T8618">
        <v>-0.3067319</v>
      </c>
      <c r="U8618">
        <v>-0.16458130000000001</v>
      </c>
      <c r="V8618">
        <v>3.1575110000000003E-2</v>
      </c>
      <c r="W8618">
        <v>0.130748</v>
      </c>
      <c r="X8618">
        <v>0.99091269999999998</v>
      </c>
      <c r="Y8618">
        <v>5.0313950000000003E-2</v>
      </c>
      <c r="Z8618">
        <v>-2.1908399999999999E-3</v>
      </c>
      <c r="AA8618">
        <v>0.99873109999999998</v>
      </c>
      <c r="AB8618">
        <v>33</v>
      </c>
      <c r="AC8618">
        <v>0.50440000000000396</v>
      </c>
      <c r="AD8618">
        <v>-8.3349999999999799E-2</v>
      </c>
      <c r="AE8618">
        <v>-3.9999999999992E-2</v>
      </c>
      <c r="AF8618">
        <v>3.7333547147127701E-2</v>
      </c>
      <c r="AG8618">
        <v>-8.3349999999999799E-2</v>
      </c>
      <c r="AH8618">
        <v>0.49119943121670001</v>
      </c>
      <c r="AI8618">
        <v>99.603416421695897</v>
      </c>
      <c r="AJ8618">
        <v>85.653598422355202</v>
      </c>
      <c r="AK8618">
        <v>0.49961775135616998</v>
      </c>
      <c r="AL8618">
        <v>82.487181522058407</v>
      </c>
      <c r="AM8618">
        <v>88.174906213150294</v>
      </c>
      <c r="AN8618">
        <v>1.0000000030484</v>
      </c>
    </row>
    <row r="8619" spans="1:40" x14ac:dyDescent="0.25">
      <c r="A8619" t="str">
        <f>"20190312172317217"</f>
        <v>20190312172317217</v>
      </c>
      <c r="B8619" t="str">
        <f>"1552382597208912"</f>
        <v>1552382597208912</v>
      </c>
      <c r="C8619" t="s">
        <v>40</v>
      </c>
      <c r="D8619">
        <v>3.4340410000000001</v>
      </c>
      <c r="E8619">
        <v>0.50857750000000002</v>
      </c>
      <c r="F8619" t="s">
        <v>41</v>
      </c>
      <c r="G8619">
        <v>-138.6251</v>
      </c>
      <c r="H8619">
        <v>1.025158</v>
      </c>
      <c r="I8619">
        <v>138.19309999999999</v>
      </c>
      <c r="J8619">
        <v>-139.09549999999999</v>
      </c>
      <c r="K8619">
        <v>1.105442</v>
      </c>
      <c r="L8619">
        <v>138.2321</v>
      </c>
      <c r="M8619">
        <v>0.9998532</v>
      </c>
      <c r="N8619">
        <v>0</v>
      </c>
      <c r="O8619">
        <v>-8.8103939999999992E-3</v>
      </c>
      <c r="P8619">
        <v>0.99251100000000003</v>
      </c>
      <c r="Q8619">
        <v>0.1170553</v>
      </c>
      <c r="R8619">
        <v>-3.4931839999999999E-2</v>
      </c>
      <c r="S8619">
        <v>3.0524439999999999</v>
      </c>
      <c r="T8619">
        <v>-0.30678119999999998</v>
      </c>
      <c r="U8619">
        <v>-0.17445369999999999</v>
      </c>
      <c r="V8619">
        <v>2.773834E-2</v>
      </c>
      <c r="W8619">
        <v>0.13131899999999999</v>
      </c>
      <c r="X8619">
        <v>0.99095200000000006</v>
      </c>
      <c r="Y8619">
        <v>4.8062750000000001E-2</v>
      </c>
      <c r="Z8619">
        <v>-1.5246509999999999E-3</v>
      </c>
      <c r="AA8619">
        <v>0.99884309999999998</v>
      </c>
      <c r="AB8619">
        <v>33</v>
      </c>
      <c r="AC8619">
        <v>0.470399999999983</v>
      </c>
      <c r="AD8619">
        <v>-8.0283999999999994E-2</v>
      </c>
      <c r="AE8619">
        <v>-3.9000000000015599E-2</v>
      </c>
      <c r="AF8619">
        <v>3.38736641562431E-2</v>
      </c>
      <c r="AG8619">
        <v>-8.0283999999999994E-2</v>
      </c>
      <c r="AH8619">
        <v>0.45749019239879402</v>
      </c>
      <c r="AI8619">
        <v>99.926737363285</v>
      </c>
      <c r="AJ8619">
        <v>85.765411047334894</v>
      </c>
      <c r="AK8619">
        <v>0.46571474307826599</v>
      </c>
      <c r="AL8619">
        <v>82.454180931025505</v>
      </c>
      <c r="AM8619">
        <v>88.396617674470093</v>
      </c>
      <c r="AN8619">
        <v>0.99999998078547703</v>
      </c>
    </row>
    <row r="8620" spans="1:40" x14ac:dyDescent="0.25">
      <c r="A8620" t="str">
        <f>"20190312172317239"</f>
        <v>20190312172317239</v>
      </c>
      <c r="B8620" t="str">
        <f>"1552382597228432"</f>
        <v>1552382597228432</v>
      </c>
      <c r="C8620" t="s">
        <v>40</v>
      </c>
      <c r="D8620">
        <v>3.4550390000000002</v>
      </c>
      <c r="E8620">
        <v>0.5079785</v>
      </c>
      <c r="F8620" t="s">
        <v>41</v>
      </c>
      <c r="G8620">
        <v>-138.33090000000001</v>
      </c>
      <c r="H8620">
        <v>1.0292509999999999</v>
      </c>
      <c r="I8620">
        <v>138.1867</v>
      </c>
      <c r="J8620">
        <v>-138.77459999999999</v>
      </c>
      <c r="K8620">
        <v>1.1054930000000001</v>
      </c>
      <c r="L8620">
        <v>138.22399999999999</v>
      </c>
      <c r="M8620">
        <v>0.99979189999999996</v>
      </c>
      <c r="N8620">
        <v>0</v>
      </c>
      <c r="O8620">
        <v>-1.414844E-2</v>
      </c>
      <c r="P8620">
        <v>0.99225319999999995</v>
      </c>
      <c r="Q8620">
        <v>0.1188432</v>
      </c>
      <c r="R8620">
        <v>-3.6195499999999999E-2</v>
      </c>
      <c r="S8620">
        <v>3.0521389999999999</v>
      </c>
      <c r="T8620">
        <v>-0.30409659999999999</v>
      </c>
      <c r="U8620">
        <v>-0.18093870000000001</v>
      </c>
      <c r="V8620">
        <v>2.3711840000000001E-2</v>
      </c>
      <c r="W8620">
        <v>0.13315199999999999</v>
      </c>
      <c r="X8620">
        <v>0.99081189999999997</v>
      </c>
      <c r="Y8620">
        <v>4.4895930000000001E-2</v>
      </c>
      <c r="Z8620">
        <v>-8.241845E-4</v>
      </c>
      <c r="AA8620">
        <v>0.99899130000000003</v>
      </c>
      <c r="AB8620">
        <v>33</v>
      </c>
      <c r="AC8620">
        <v>0.443699999999978</v>
      </c>
      <c r="AD8620">
        <v>-7.6242000000000101E-2</v>
      </c>
      <c r="AE8620">
        <v>-3.72999999999876E-2</v>
      </c>
      <c r="AF8620">
        <v>3.0134409674277302E-2</v>
      </c>
      <c r="AG8620">
        <v>-7.6242000000000101E-2</v>
      </c>
      <c r="AH8620">
        <v>0.43153124497018702</v>
      </c>
      <c r="AI8620">
        <v>99.995645173310507</v>
      </c>
      <c r="AJ8620">
        <v>86.005442952101205</v>
      </c>
      <c r="AK8620">
        <v>0.43924951974468501</v>
      </c>
      <c r="AL8620">
        <v>82.348227168667506</v>
      </c>
      <c r="AM8620">
        <v>88.629074722879295</v>
      </c>
      <c r="AN8620">
        <v>0.99999996382089695</v>
      </c>
    </row>
    <row r="8621" spans="1:40" x14ac:dyDescent="0.25">
      <c r="A8621" t="str">
        <f>"20190312172317262"</f>
        <v>20190312172317262</v>
      </c>
      <c r="B8621" t="str">
        <f>"1552382597258688"</f>
        <v>1552382597258688</v>
      </c>
      <c r="C8621" t="s">
        <v>40</v>
      </c>
      <c r="D8621">
        <v>3.4381390000000001</v>
      </c>
      <c r="E8621">
        <v>0.50728869999999904</v>
      </c>
      <c r="F8621" t="s">
        <v>41</v>
      </c>
      <c r="G8621">
        <v>-138.0369</v>
      </c>
      <c r="H8621">
        <v>1.0337190000000001</v>
      </c>
      <c r="I8621">
        <v>138.18010000000001</v>
      </c>
      <c r="J8621">
        <v>-138.44309999999999</v>
      </c>
      <c r="K8621">
        <v>1.1055969999999999</v>
      </c>
      <c r="L8621">
        <v>138.21369999999999</v>
      </c>
      <c r="M8621">
        <v>0.99970130000000001</v>
      </c>
      <c r="N8621">
        <v>0</v>
      </c>
      <c r="O8621">
        <v>-1.953328E-2</v>
      </c>
      <c r="P8621">
        <v>0.99173370000000005</v>
      </c>
      <c r="Q8621">
        <v>0.12234630000000001</v>
      </c>
      <c r="R8621">
        <v>-3.867342E-2</v>
      </c>
      <c r="S8621">
        <v>3.0523829999999998</v>
      </c>
      <c r="T8621">
        <v>-0.29692940000000001</v>
      </c>
      <c r="U8621">
        <v>-0.1811371</v>
      </c>
      <c r="V8621">
        <v>2.0865229999999999E-2</v>
      </c>
      <c r="W8621">
        <v>0.13668039999999901</v>
      </c>
      <c r="X8621">
        <v>0.99039540000000004</v>
      </c>
      <c r="Y8621">
        <v>3.9631720000000002E-2</v>
      </c>
      <c r="Z8621" s="1">
        <v>-2.7560050000000001E-5</v>
      </c>
      <c r="AA8621">
        <v>0.99921439999999995</v>
      </c>
      <c r="AB8621">
        <v>32</v>
      </c>
      <c r="AC8621">
        <v>0.40619999999998402</v>
      </c>
      <c r="AD8621">
        <v>-7.1877999999999803E-2</v>
      </c>
      <c r="AE8621">
        <v>-3.3599999999978501E-2</v>
      </c>
      <c r="AF8621">
        <v>2.4884425175992E-2</v>
      </c>
      <c r="AG8621">
        <v>-7.1877999999999803E-2</v>
      </c>
      <c r="AH8621">
        <v>0.39450988846819302</v>
      </c>
      <c r="AI8621">
        <v>100.305741252921</v>
      </c>
      <c r="AJ8621">
        <v>86.390746641406395</v>
      </c>
      <c r="AK8621">
        <v>0.40177572549810098</v>
      </c>
      <c r="AL8621">
        <v>82.144199235370607</v>
      </c>
      <c r="AM8621">
        <v>88.7930953689212</v>
      </c>
      <c r="AN8621">
        <v>0.99999996895413601</v>
      </c>
    </row>
    <row r="8622" spans="1:40" x14ac:dyDescent="0.25">
      <c r="A8622" t="str">
        <f>"20190312172317285"</f>
        <v>20190312172317285</v>
      </c>
      <c r="B8622" t="str">
        <f>"1552382597279184"</f>
        <v>1552382597279184</v>
      </c>
      <c r="C8622" t="s">
        <v>40</v>
      </c>
      <c r="D8622">
        <v>3.421694</v>
      </c>
      <c r="E8622">
        <v>0.50688859999999902</v>
      </c>
      <c r="F8622" t="s">
        <v>41</v>
      </c>
      <c r="G8622">
        <v>-137.4648</v>
      </c>
      <c r="H8622">
        <v>1.0136430000000001</v>
      </c>
      <c r="I8622">
        <v>138.1551</v>
      </c>
      <c r="J8622">
        <v>-138.11439999999999</v>
      </c>
      <c r="K8622">
        <v>1.105739</v>
      </c>
      <c r="L8622">
        <v>138.20189999999999</v>
      </c>
      <c r="M8622">
        <v>0.99958689999999994</v>
      </c>
      <c r="N8622">
        <v>0</v>
      </c>
      <c r="O8622">
        <v>-2.4708500000000001E-2</v>
      </c>
      <c r="P8622">
        <v>0.99104840000000005</v>
      </c>
      <c r="Q8622">
        <v>0.12669549999999999</v>
      </c>
      <c r="R8622">
        <v>-4.2088109999999998E-2</v>
      </c>
      <c r="S8622">
        <v>3.053299</v>
      </c>
      <c r="T8622">
        <v>-0.28695739999999997</v>
      </c>
      <c r="U8622">
        <v>-0.1824646</v>
      </c>
      <c r="V8622">
        <v>1.9165939999999999E-2</v>
      </c>
      <c r="W8622">
        <v>0.14103850000000001</v>
      </c>
      <c r="X8622">
        <v>0.98981859999999999</v>
      </c>
      <c r="Y8622">
        <v>3.4923179999999998E-2</v>
      </c>
      <c r="Z8622">
        <v>6.7863229999999997E-4</v>
      </c>
      <c r="AA8622">
        <v>0.99938979999999999</v>
      </c>
      <c r="AB8622">
        <v>32</v>
      </c>
      <c r="AC8622">
        <v>0.64959999999999196</v>
      </c>
      <c r="AD8622">
        <v>-9.20959999999999E-2</v>
      </c>
      <c r="AE8622">
        <v>-4.6799999999990398E-2</v>
      </c>
      <c r="AF8622">
        <v>3.0130843669864401E-2</v>
      </c>
      <c r="AG8622">
        <v>-9.20959999999999E-2</v>
      </c>
      <c r="AH8622">
        <v>0.63780463163577095</v>
      </c>
      <c r="AI8622">
        <v>98.207423307385397</v>
      </c>
      <c r="AJ8622">
        <v>87.295272680241496</v>
      </c>
      <c r="AK8622">
        <v>0.64512346809916898</v>
      </c>
      <c r="AL8622">
        <v>81.892056002407998</v>
      </c>
      <c r="AM8622">
        <v>88.890715669191493</v>
      </c>
      <c r="AN8622">
        <v>1.00000002632214</v>
      </c>
    </row>
    <row r="8623" spans="1:40" x14ac:dyDescent="0.25">
      <c r="A8623" t="str">
        <f>"20190312172317306"</f>
        <v>20190312172317306</v>
      </c>
      <c r="B8623" t="str">
        <f>"1552382597298704"</f>
        <v>1552382597298704</v>
      </c>
      <c r="C8623" t="s">
        <v>40</v>
      </c>
      <c r="D8623">
        <v>3.4298129999999998</v>
      </c>
      <c r="E8623">
        <v>0.50665400000000005</v>
      </c>
      <c r="F8623" t="s">
        <v>41</v>
      </c>
      <c r="G8623">
        <v>-137.17070000000001</v>
      </c>
      <c r="H8623">
        <v>1.021131</v>
      </c>
      <c r="I8623">
        <v>138.14349999999999</v>
      </c>
      <c r="J8623">
        <v>-137.797</v>
      </c>
      <c r="K8623">
        <v>1.1058920000000001</v>
      </c>
      <c r="L8623">
        <v>138.18899999999999</v>
      </c>
      <c r="M8623">
        <v>0.99945550000000005</v>
      </c>
      <c r="N8623">
        <v>0</v>
      </c>
      <c r="O8623">
        <v>-2.9556530000000001E-2</v>
      </c>
      <c r="P8623">
        <v>0.99043740000000002</v>
      </c>
      <c r="Q8623">
        <v>0.13034419999999999</v>
      </c>
      <c r="R8623">
        <v>-4.5212090000000003E-2</v>
      </c>
      <c r="S8623">
        <v>3.0540769999999999</v>
      </c>
      <c r="T8623">
        <v>-0.27380369999999998</v>
      </c>
      <c r="U8623">
        <v>-0.1887665</v>
      </c>
      <c r="V8623">
        <v>1.7489299999999999E-2</v>
      </c>
      <c r="W8623">
        <v>0.1446942</v>
      </c>
      <c r="X8623">
        <v>0.98932180000000003</v>
      </c>
      <c r="Y8623">
        <v>3.2149579999999997E-2</v>
      </c>
      <c r="Z8623">
        <v>1.2044950000000001E-3</v>
      </c>
      <c r="AA8623">
        <v>0.99948230000000005</v>
      </c>
      <c r="AB8623">
        <v>32</v>
      </c>
      <c r="AC8623">
        <v>0.62629999999998598</v>
      </c>
      <c r="AD8623">
        <v>-8.4761000000000003E-2</v>
      </c>
      <c r="AE8623">
        <v>-4.5500000000004003E-2</v>
      </c>
      <c r="AF8623">
        <v>2.6484334548910901E-2</v>
      </c>
      <c r="AG8623">
        <v>-8.4761000000000003E-2</v>
      </c>
      <c r="AH8623">
        <v>0.616145301856314</v>
      </c>
      <c r="AI8623">
        <v>97.8256838277388</v>
      </c>
      <c r="AJ8623">
        <v>87.538718426506506</v>
      </c>
      <c r="AK8623">
        <v>0.62251175097110101</v>
      </c>
      <c r="AL8623">
        <v>81.680428233563106</v>
      </c>
      <c r="AM8623">
        <v>88.987226694178105</v>
      </c>
      <c r="AN8623">
        <v>0.99999995554168397</v>
      </c>
    </row>
    <row r="8624" spans="1:40" x14ac:dyDescent="0.25">
      <c r="A8624" t="str">
        <f>"20190312172317328"</f>
        <v>20190312172317328</v>
      </c>
      <c r="B8624" t="str">
        <f>"1552382597319200"</f>
        <v>1552382597319200</v>
      </c>
      <c r="C8624" t="s">
        <v>40</v>
      </c>
      <c r="D8624">
        <v>3.4208400000000001</v>
      </c>
      <c r="E8624">
        <v>0.50645870000000004</v>
      </c>
      <c r="F8624" t="s">
        <v>41</v>
      </c>
      <c r="G8624">
        <v>-136.87809999999999</v>
      </c>
      <c r="H8624">
        <v>1.0265059999999999</v>
      </c>
      <c r="I8624">
        <v>138.12979999999999</v>
      </c>
      <c r="J8624">
        <v>-137.47550000000001</v>
      </c>
      <c r="K8624">
        <v>1.1060669999999999</v>
      </c>
      <c r="L8624">
        <v>138.1746</v>
      </c>
      <c r="M8624">
        <v>0.9993052</v>
      </c>
      <c r="N8624">
        <v>0</v>
      </c>
      <c r="O8624">
        <v>-3.4268100000000003E-2</v>
      </c>
      <c r="P8624">
        <v>0.9901278</v>
      </c>
      <c r="Q8624">
        <v>0.1318368</v>
      </c>
      <c r="R8624">
        <v>-4.7607579999999997E-2</v>
      </c>
      <c r="S8624">
        <v>3.0547330000000001</v>
      </c>
      <c r="T8624">
        <v>-0.26389849999999998</v>
      </c>
      <c r="U8624">
        <v>-0.19645689999999999</v>
      </c>
      <c r="V8624">
        <v>1.518041E-2</v>
      </c>
      <c r="W8624">
        <v>0.14620429999999901</v>
      </c>
      <c r="X8624">
        <v>0.98913790000000001</v>
      </c>
      <c r="Y8624">
        <v>2.9956839999999998E-2</v>
      </c>
      <c r="Z8624">
        <v>1.660704E-3</v>
      </c>
      <c r="AA8624">
        <v>0.99954980000000004</v>
      </c>
      <c r="AB8624">
        <v>32</v>
      </c>
      <c r="AC8624">
        <v>0.59740000000002103</v>
      </c>
      <c r="AD8624">
        <v>-7.9560999999999896E-2</v>
      </c>
      <c r="AE8624">
        <v>-4.4800000000009201E-2</v>
      </c>
      <c r="AF8624">
        <v>2.3878564388050701E-2</v>
      </c>
      <c r="AG8624">
        <v>-7.9560999999999896E-2</v>
      </c>
      <c r="AH8624">
        <v>0.588209940430242</v>
      </c>
      <c r="AI8624">
        <v>97.696787700601405</v>
      </c>
      <c r="AJ8624">
        <v>87.675336554824099</v>
      </c>
      <c r="AK8624">
        <v>0.59404635558109697</v>
      </c>
      <c r="AL8624">
        <v>81.592975939686994</v>
      </c>
      <c r="AM8624">
        <v>89.120744289647206</v>
      </c>
      <c r="AN8624">
        <v>0.99999996370133304</v>
      </c>
    </row>
    <row r="8625" spans="1:40" x14ac:dyDescent="0.25">
      <c r="A8625" t="str">
        <f>"20190312172317351"</f>
        <v>20190312172317351</v>
      </c>
      <c r="B8625" t="str">
        <f>"1552382597338721"</f>
        <v>1552382597338721</v>
      </c>
      <c r="C8625" t="s">
        <v>40</v>
      </c>
      <c r="D8625">
        <v>3.4144269999999999</v>
      </c>
      <c r="E8625">
        <v>0.50465950000000004</v>
      </c>
      <c r="F8625" t="s">
        <v>41</v>
      </c>
      <c r="G8625">
        <v>-136.58670000000001</v>
      </c>
      <c r="H8625">
        <v>1.030216</v>
      </c>
      <c r="I8625">
        <v>138.11580000000001</v>
      </c>
      <c r="J8625">
        <v>-137.15170000000001</v>
      </c>
      <c r="K8625">
        <v>1.106268</v>
      </c>
      <c r="L8625">
        <v>138.15880000000001</v>
      </c>
      <c r="M8625">
        <v>0.99914199999999997</v>
      </c>
      <c r="N8625">
        <v>0</v>
      </c>
      <c r="O8625">
        <v>-3.8739389999999999E-2</v>
      </c>
      <c r="P8625">
        <v>0.98968460000000003</v>
      </c>
      <c r="Q8625">
        <v>0.13375279999999901</v>
      </c>
      <c r="R8625">
        <v>-5.1330279999999999E-2</v>
      </c>
      <c r="S8625">
        <v>3.054916</v>
      </c>
      <c r="T8625">
        <v>-0.26070510000000002</v>
      </c>
      <c r="U8625">
        <v>-0.2020111</v>
      </c>
      <c r="V8625">
        <v>1.443124E-2</v>
      </c>
      <c r="W8625">
        <v>0.14811820000000001</v>
      </c>
      <c r="X8625">
        <v>0.98886439999999998</v>
      </c>
      <c r="Y8625">
        <v>2.7315079999999999E-2</v>
      </c>
      <c r="Z8625">
        <v>2.1329529999999999E-3</v>
      </c>
      <c r="AA8625">
        <v>0.99962459999999997</v>
      </c>
      <c r="AB8625">
        <v>32</v>
      </c>
      <c r="AC8625">
        <v>0.56499999999999695</v>
      </c>
      <c r="AD8625">
        <v>-7.6051999999999995E-2</v>
      </c>
      <c r="AE8625">
        <v>-4.3000000000006297E-2</v>
      </c>
      <c r="AF8625">
        <v>2.0704633192984798E-2</v>
      </c>
      <c r="AG8625">
        <v>-7.6051999999999995E-2</v>
      </c>
      <c r="AH8625">
        <v>0.55622184478258396</v>
      </c>
      <c r="AI8625">
        <v>97.780429007051495</v>
      </c>
      <c r="AJ8625">
        <v>87.868223522398296</v>
      </c>
      <c r="AK8625">
        <v>0.56177871902822796</v>
      </c>
      <c r="AL8625">
        <v>81.482111062586796</v>
      </c>
      <c r="AM8625">
        <v>89.163899061852803</v>
      </c>
      <c r="AN8625">
        <v>1.00000003172326</v>
      </c>
    </row>
    <row r="8626" spans="1:40" x14ac:dyDescent="0.25">
      <c r="A8626" t="str">
        <f>"20190312172317373"</f>
        <v>20190312172317373</v>
      </c>
      <c r="B8626" t="str">
        <f>"1552382597368976"</f>
        <v>1552382597368976</v>
      </c>
      <c r="C8626" t="s">
        <v>40</v>
      </c>
      <c r="D8626">
        <v>3.409262</v>
      </c>
      <c r="E8626">
        <v>0.50366279999999997</v>
      </c>
      <c r="F8626" t="s">
        <v>41</v>
      </c>
      <c r="G8626">
        <v>-136.29839999999999</v>
      </c>
      <c r="H8626">
        <v>1.0281819999999999</v>
      </c>
      <c r="I8626">
        <v>138.1035</v>
      </c>
      <c r="J8626">
        <v>-136.821</v>
      </c>
      <c r="K8626">
        <v>1.10653</v>
      </c>
      <c r="L8626">
        <v>138.14160000000001</v>
      </c>
      <c r="M8626">
        <v>0.99897009999999997</v>
      </c>
      <c r="N8626">
        <v>0</v>
      </c>
      <c r="O8626">
        <v>-4.2949109999999999E-2</v>
      </c>
      <c r="P8626">
        <v>0.98920549999999996</v>
      </c>
      <c r="Q8626">
        <v>0.13543520000000001</v>
      </c>
      <c r="R8626">
        <v>-5.5946589999999997E-2</v>
      </c>
      <c r="S8626">
        <v>3.0588229999999998</v>
      </c>
      <c r="T8626">
        <v>-0.27990930000000003</v>
      </c>
      <c r="U8626">
        <v>-0.1980133</v>
      </c>
      <c r="V8626">
        <v>1.4810210000000001E-2</v>
      </c>
      <c r="W8626">
        <v>0.14978549999999999</v>
      </c>
      <c r="X8626">
        <v>0.98860760000000003</v>
      </c>
      <c r="Y8626">
        <v>2.1764329999999998E-2</v>
      </c>
      <c r="Z8626">
        <v>2.9234059999999999E-3</v>
      </c>
      <c r="AA8626">
        <v>0.99975879999999995</v>
      </c>
      <c r="AB8626">
        <v>32</v>
      </c>
      <c r="AC8626">
        <v>0.52260000000001094</v>
      </c>
      <c r="AD8626">
        <v>-7.8348000000000001E-2</v>
      </c>
      <c r="AE8626">
        <v>-3.8100000000014199E-2</v>
      </c>
      <c r="AF8626">
        <v>1.5275707926696001E-2</v>
      </c>
      <c r="AG8626">
        <v>-7.8348000000000001E-2</v>
      </c>
      <c r="AH8626">
        <v>0.51230066968510202</v>
      </c>
      <c r="AI8626">
        <v>98.691276417393297</v>
      </c>
      <c r="AJ8626">
        <v>88.292068716789601</v>
      </c>
      <c r="AK8626">
        <v>0.51848214290992201</v>
      </c>
      <c r="AL8626">
        <v>81.385503930194005</v>
      </c>
      <c r="AM8626">
        <v>89.141723111154604</v>
      </c>
      <c r="AN8626">
        <v>1.00000001255412</v>
      </c>
    </row>
    <row r="8627" spans="1:40" x14ac:dyDescent="0.25">
      <c r="A8627" t="str">
        <f>"20190312172317396"</f>
        <v>20190312172317396</v>
      </c>
      <c r="B8627" t="str">
        <f>"1552382597389472"</f>
        <v>1552382597389472</v>
      </c>
      <c r="C8627" t="s">
        <v>40</v>
      </c>
      <c r="D8627">
        <v>3.4101409999999999</v>
      </c>
      <c r="E8627">
        <v>0.50346239999999998</v>
      </c>
      <c r="F8627" t="s">
        <v>41</v>
      </c>
      <c r="G8627">
        <v>-136.0076</v>
      </c>
      <c r="H8627">
        <v>1.0327489999999999</v>
      </c>
      <c r="I8627">
        <v>138.0883</v>
      </c>
      <c r="J8627">
        <v>-136.50110000000001</v>
      </c>
      <c r="K8627">
        <v>1.106846</v>
      </c>
      <c r="L8627">
        <v>138.124</v>
      </c>
      <c r="M8627">
        <v>0.99880740000000001</v>
      </c>
      <c r="N8627">
        <v>0</v>
      </c>
      <c r="O8627">
        <v>-4.658752E-2</v>
      </c>
      <c r="P8627">
        <v>0.98917429999999995</v>
      </c>
      <c r="Q8627">
        <v>0.13446379999999999</v>
      </c>
      <c r="R8627">
        <v>-5.8769479999999999E-2</v>
      </c>
      <c r="S8627">
        <v>3.0594329999999998</v>
      </c>
      <c r="T8627">
        <v>-0.27752159999999998</v>
      </c>
      <c r="U8627">
        <v>-0.1999359</v>
      </c>
      <c r="V8627">
        <v>1.389546E-2</v>
      </c>
      <c r="W8627">
        <v>0.14881659999999999</v>
      </c>
      <c r="X8627">
        <v>0.98876719999999896</v>
      </c>
      <c r="Y8627">
        <v>1.8761E-2</v>
      </c>
      <c r="Z8627">
        <v>3.3622779999999998E-3</v>
      </c>
      <c r="AA8627">
        <v>0.99981830000000005</v>
      </c>
      <c r="AB8627">
        <v>32</v>
      </c>
      <c r="AC8627">
        <v>0.49350000000001099</v>
      </c>
      <c r="AD8627">
        <v>-7.4096999999999996E-2</v>
      </c>
      <c r="AE8627">
        <v>-3.5699999999991398E-2</v>
      </c>
      <c r="AF8627">
        <v>1.2389971835367801E-2</v>
      </c>
      <c r="AG8627">
        <v>-7.4096999999999996E-2</v>
      </c>
      <c r="AH8627">
        <v>0.48377798810572598</v>
      </c>
      <c r="AI8627">
        <v>98.705123782645998</v>
      </c>
      <c r="AJ8627">
        <v>88.532926336452505</v>
      </c>
      <c r="AK8627">
        <v>0.48957636645032798</v>
      </c>
      <c r="AL8627">
        <v>81.441647141391996</v>
      </c>
      <c r="AM8627">
        <v>89.194857185349093</v>
      </c>
      <c r="AN8627">
        <v>1.0000000200200001</v>
      </c>
    </row>
    <row r="8628" spans="1:40" x14ac:dyDescent="0.25">
      <c r="A8628" t="str">
        <f>"20190312172317418"</f>
        <v>20190312172317418</v>
      </c>
      <c r="B8628" t="str">
        <f>"1552382597408992"</f>
        <v>1552382597408992</v>
      </c>
      <c r="C8628" t="s">
        <v>40</v>
      </c>
      <c r="D8628">
        <v>3.3794249999999999</v>
      </c>
      <c r="E8628">
        <v>0.50032379999999999</v>
      </c>
      <c r="F8628" t="s">
        <v>41</v>
      </c>
      <c r="G8628">
        <v>-135.71789999999999</v>
      </c>
      <c r="H8628">
        <v>1.034751</v>
      </c>
      <c r="I8628">
        <v>138.07079999999999</v>
      </c>
      <c r="J8628">
        <v>-136.1865</v>
      </c>
      <c r="K8628">
        <v>1.1072310000000001</v>
      </c>
      <c r="L8628">
        <v>138.10599999999999</v>
      </c>
      <c r="M8628">
        <v>0.99865970000000004</v>
      </c>
      <c r="N8628">
        <v>0</v>
      </c>
      <c r="O8628">
        <v>-4.9658319999999999E-2</v>
      </c>
      <c r="P8628">
        <v>0.98949759999999998</v>
      </c>
      <c r="Q8628">
        <v>0.13176789999999999</v>
      </c>
      <c r="R8628">
        <v>-5.9432730000000003E-2</v>
      </c>
      <c r="S8628">
        <v>3.0588229999999998</v>
      </c>
      <c r="T8628">
        <v>-0.28164609999999901</v>
      </c>
      <c r="U8628">
        <v>-0.20715330000000001</v>
      </c>
      <c r="V8628">
        <v>1.132939E-2</v>
      </c>
      <c r="W8628">
        <v>0.14613880000000001</v>
      </c>
      <c r="X8628">
        <v>0.98919919999999995</v>
      </c>
      <c r="Y8628">
        <v>1.806777E-2</v>
      </c>
      <c r="Z8628">
        <v>3.72559E-3</v>
      </c>
      <c r="AA8628">
        <v>0.99982979999999999</v>
      </c>
      <c r="AB8628">
        <v>32</v>
      </c>
      <c r="AC8628">
        <v>0.46860000000000901</v>
      </c>
      <c r="AD8628">
        <v>-7.2479999999999795E-2</v>
      </c>
      <c r="AE8628">
        <v>-3.5200000000003201E-2</v>
      </c>
      <c r="AF8628">
        <v>1.1608046155298E-2</v>
      </c>
      <c r="AG8628">
        <v>-7.2479999999999795E-2</v>
      </c>
      <c r="AH8628">
        <v>0.45885393097683103</v>
      </c>
      <c r="AI8628">
        <v>98.973381643226801</v>
      </c>
      <c r="AJ8628">
        <v>88.550845530945793</v>
      </c>
      <c r="AK8628">
        <v>0.46468809658569199</v>
      </c>
      <c r="AL8628">
        <v>81.596769702813006</v>
      </c>
      <c r="AM8628">
        <v>89.343814824144204</v>
      </c>
      <c r="AN8628">
        <v>0.99999998061192497</v>
      </c>
    </row>
    <row r="8629" spans="1:40" x14ac:dyDescent="0.25">
      <c r="A8629" t="str">
        <f>"20190312172317441"</f>
        <v>20190312172317441</v>
      </c>
      <c r="B8629" t="str">
        <f>"1552382597429488"</f>
        <v>1552382597429488</v>
      </c>
      <c r="C8629" t="s">
        <v>40</v>
      </c>
      <c r="D8629">
        <v>3.3852820000000001</v>
      </c>
      <c r="E8629">
        <v>0.50005350000000004</v>
      </c>
      <c r="F8629" t="s">
        <v>41</v>
      </c>
      <c r="G8629">
        <v>-135.4332</v>
      </c>
      <c r="H8629">
        <v>1.0298229999999999</v>
      </c>
      <c r="I8629">
        <v>138.06</v>
      </c>
      <c r="J8629">
        <v>-135.8656</v>
      </c>
      <c r="K8629">
        <v>1.107702</v>
      </c>
      <c r="L8629">
        <v>138.0872</v>
      </c>
      <c r="M8629">
        <v>0.9985309</v>
      </c>
      <c r="N8629">
        <v>0</v>
      </c>
      <c r="O8629">
        <v>-5.2189039999999999E-2</v>
      </c>
      <c r="P8629">
        <v>0.98941489999999999</v>
      </c>
      <c r="Q8629">
        <v>0.1313194</v>
      </c>
      <c r="R8629">
        <v>-6.1753820000000001E-2</v>
      </c>
      <c r="S8629">
        <v>3.0625149999999999</v>
      </c>
      <c r="T8629">
        <v>-0.31475170000000002</v>
      </c>
      <c r="U8629">
        <v>-0.1868591</v>
      </c>
      <c r="V8629">
        <v>1.096519E-2</v>
      </c>
      <c r="W8629">
        <v>0.14568629999999999</v>
      </c>
      <c r="X8629">
        <v>0.98927010000000004</v>
      </c>
      <c r="Y8629">
        <v>8.9475539999999999E-3</v>
      </c>
      <c r="Z8629">
        <v>4.8831940000000004E-3</v>
      </c>
      <c r="AA8629">
        <v>0.99994799999999995</v>
      </c>
      <c r="AB8629">
        <v>32</v>
      </c>
      <c r="AC8629">
        <v>0.43240000000000101</v>
      </c>
      <c r="AD8629">
        <v>-7.7879000000000004E-2</v>
      </c>
      <c r="AE8629">
        <v>-2.71999999999934E-2</v>
      </c>
      <c r="AF8629">
        <v>4.4501958155411898E-3</v>
      </c>
      <c r="AG8629">
        <v>-7.7879000000000004E-2</v>
      </c>
      <c r="AH8629">
        <v>0.41967021821441602</v>
      </c>
      <c r="AI8629">
        <v>100.512320193714</v>
      </c>
      <c r="AJ8629">
        <v>89.392456574717002</v>
      </c>
      <c r="AK8629">
        <v>0.42685833122938099</v>
      </c>
      <c r="AL8629">
        <v>81.622976956713501</v>
      </c>
      <c r="AM8629">
        <v>89.364952623533199</v>
      </c>
      <c r="AN8629">
        <v>1.00000003207671</v>
      </c>
    </row>
    <row r="8630" spans="1:40" x14ac:dyDescent="0.25">
      <c r="A8630" t="str">
        <f>"20190312172317463"</f>
        <v>20190312172317463</v>
      </c>
      <c r="B8630" t="str">
        <f>"1552382597458768"</f>
        <v>1552382597458768</v>
      </c>
      <c r="C8630" t="s">
        <v>40</v>
      </c>
      <c r="D8630">
        <v>3.3975390000000001</v>
      </c>
      <c r="E8630">
        <v>0.49968119999999999</v>
      </c>
      <c r="F8630" t="s">
        <v>41</v>
      </c>
      <c r="G8630">
        <v>-134.87209999999999</v>
      </c>
      <c r="H8630">
        <v>1.0051219999999901</v>
      </c>
      <c r="I8630">
        <v>138.02600000000001</v>
      </c>
      <c r="J8630">
        <v>-135.5411</v>
      </c>
      <c r="K8630">
        <v>1.1082430000000001</v>
      </c>
      <c r="L8630">
        <v>138.06809999999999</v>
      </c>
      <c r="M8630">
        <v>0.99843400000000004</v>
      </c>
      <c r="N8630">
        <v>0</v>
      </c>
      <c r="O8630">
        <v>-5.4015939999999998E-2</v>
      </c>
      <c r="P8630">
        <v>0.9892339</v>
      </c>
      <c r="Q8630">
        <v>0.1319457</v>
      </c>
      <c r="R8630">
        <v>-6.3300770000000006E-2</v>
      </c>
      <c r="S8630">
        <v>3.0622859999999998</v>
      </c>
      <c r="T8630">
        <v>-0.31616909999999998</v>
      </c>
      <c r="U8630">
        <v>-0.1887665</v>
      </c>
      <c r="V8630">
        <v>1.0515689999999999E-2</v>
      </c>
      <c r="W8630">
        <v>0.14630950000000001</v>
      </c>
      <c r="X8630">
        <v>0.98918289999999998</v>
      </c>
      <c r="Y8630">
        <v>7.7609599999999999E-3</v>
      </c>
      <c r="Z8630">
        <v>5.1539630000000001E-3</v>
      </c>
      <c r="AA8630">
        <v>0.99995659999999997</v>
      </c>
      <c r="AB8630">
        <v>32</v>
      </c>
      <c r="AC8630">
        <v>0.66900000000001103</v>
      </c>
      <c r="AD8630">
        <v>-0.103121</v>
      </c>
      <c r="AE8630">
        <v>-4.2099999999976399E-2</v>
      </c>
      <c r="AF8630">
        <v>5.7616762144605503E-3</v>
      </c>
      <c r="AG8630">
        <v>-0.103121</v>
      </c>
      <c r="AH8630">
        <v>0.65480087299074496</v>
      </c>
      <c r="AI8630">
        <v>98.949352248145402</v>
      </c>
      <c r="AJ8630">
        <v>89.495860155016203</v>
      </c>
      <c r="AK8630">
        <v>0.66289616141839403</v>
      </c>
      <c r="AL8630">
        <v>81.586882613782606</v>
      </c>
      <c r="AM8630">
        <v>89.390929664705695</v>
      </c>
      <c r="AN8630">
        <v>0.99999992958941497</v>
      </c>
    </row>
    <row r="8631" spans="1:40" x14ac:dyDescent="0.25">
      <c r="A8631" t="str">
        <f>"20190312172317486"</f>
        <v>20190312172317486</v>
      </c>
      <c r="B8631" t="str">
        <f>"1552382597479264"</f>
        <v>1552382597479264</v>
      </c>
      <c r="C8631" t="s">
        <v>40</v>
      </c>
      <c r="D8631">
        <v>3.396442</v>
      </c>
      <c r="E8631">
        <v>0.49933840000000002</v>
      </c>
      <c r="F8631" t="s">
        <v>41</v>
      </c>
      <c r="G8631">
        <v>-134.58420000000001</v>
      </c>
      <c r="H8631">
        <v>1.0093989999999999</v>
      </c>
      <c r="I8631">
        <v>138.00960000000001</v>
      </c>
      <c r="J8631">
        <v>-135.21700000000001</v>
      </c>
      <c r="K8631">
        <v>1.1087610000000001</v>
      </c>
      <c r="L8631">
        <v>138.04920000000001</v>
      </c>
      <c r="M8631">
        <v>0.9983668</v>
      </c>
      <c r="N8631">
        <v>0</v>
      </c>
      <c r="O8631">
        <v>-5.5247690000000002E-2</v>
      </c>
      <c r="P8631">
        <v>0.98944140000000003</v>
      </c>
      <c r="Q8631">
        <v>0.131636</v>
      </c>
      <c r="R8631">
        <v>-6.0646209999999999E-2</v>
      </c>
      <c r="S8631">
        <v>3.0629119999999999</v>
      </c>
      <c r="T8631">
        <v>-0.31651279999999998</v>
      </c>
      <c r="U8631">
        <v>-0.18688959999999999</v>
      </c>
      <c r="V8631">
        <v>6.4453019999999896E-3</v>
      </c>
      <c r="W8631">
        <v>0.14601520000000001</v>
      </c>
      <c r="X8631">
        <v>0.98926130000000001</v>
      </c>
      <c r="Y8631">
        <v>5.9209950000000001E-3</v>
      </c>
      <c r="Z8631">
        <v>5.3799329999999999E-3</v>
      </c>
      <c r="AA8631">
        <v>0.99996799999999997</v>
      </c>
      <c r="AB8631">
        <v>32</v>
      </c>
      <c r="AC8631">
        <v>0.63280000000000303</v>
      </c>
      <c r="AD8631">
        <v>-9.9362000000000103E-2</v>
      </c>
      <c r="AE8631">
        <v>-3.9600000000007102E-2</v>
      </c>
      <c r="AF8631">
        <v>4.4654049388780101E-3</v>
      </c>
      <c r="AG8631">
        <v>-9.9362000000000103E-2</v>
      </c>
      <c r="AH8631">
        <v>0.61882367083548295</v>
      </c>
      <c r="AI8631">
        <v>99.121656831049407</v>
      </c>
      <c r="AJ8631">
        <v>89.5865633001373</v>
      </c>
      <c r="AK8631">
        <v>0.62676589127964699</v>
      </c>
      <c r="AL8631">
        <v>81.603927991520607</v>
      </c>
      <c r="AM8631">
        <v>89.626707951533803</v>
      </c>
      <c r="AN8631">
        <v>0.99999995011329901</v>
      </c>
    </row>
    <row r="8632" spans="1:40" x14ac:dyDescent="0.25">
      <c r="A8632" t="str">
        <f>"20190312172317507"</f>
        <v>20190312172317507</v>
      </c>
      <c r="B8632" t="str">
        <f>"1552382597498784"</f>
        <v>1552382597498784</v>
      </c>
      <c r="C8632" t="s">
        <v>40</v>
      </c>
      <c r="D8632">
        <v>3.4186830000000001</v>
      </c>
      <c r="E8632">
        <v>0.49904090000000001</v>
      </c>
      <c r="F8632" t="s">
        <v>41</v>
      </c>
      <c r="G8632">
        <v>-134.297</v>
      </c>
      <c r="H8632">
        <v>1.013012</v>
      </c>
      <c r="I8632">
        <v>137.9957</v>
      </c>
      <c r="J8632">
        <v>-134.9058</v>
      </c>
      <c r="K8632">
        <v>1.1092360000000001</v>
      </c>
      <c r="L8632">
        <v>138.03120000000001</v>
      </c>
      <c r="M8632">
        <v>0.99833400000000005</v>
      </c>
      <c r="N8632">
        <v>0</v>
      </c>
      <c r="O8632">
        <v>-5.5840849999999997E-2</v>
      </c>
      <c r="P8632">
        <v>0.98973719999999998</v>
      </c>
      <c r="Q8632">
        <v>0.13111879999999901</v>
      </c>
      <c r="R8632">
        <v>-5.6820679999999998E-2</v>
      </c>
      <c r="S8632">
        <v>3.0635379999999999</v>
      </c>
      <c r="T8632">
        <v>-0.31887500000000002</v>
      </c>
      <c r="U8632">
        <v>-0.17782590000000001</v>
      </c>
      <c r="V8632">
        <v>1.8501870000000001E-3</v>
      </c>
      <c r="W8632">
        <v>0.14550469999999999</v>
      </c>
      <c r="X8632">
        <v>0.98935580000000001</v>
      </c>
      <c r="Y8632">
        <v>2.3924160000000001E-3</v>
      </c>
      <c r="Z8632">
        <v>5.6637600000000003E-3</v>
      </c>
      <c r="AA8632">
        <v>0.99998109999999996</v>
      </c>
      <c r="AB8632">
        <v>32</v>
      </c>
      <c r="AC8632">
        <v>0.60880000000000201</v>
      </c>
      <c r="AD8632">
        <v>-9.6224000000000004E-2</v>
      </c>
      <c r="AE8632">
        <v>-3.5500000000013097E-2</v>
      </c>
      <c r="AF8632">
        <v>1.40999563998513E-3</v>
      </c>
      <c r="AG8632">
        <v>-9.6224000000000004E-2</v>
      </c>
      <c r="AH8632">
        <v>0.59501839029631798</v>
      </c>
      <c r="AI8632">
        <v>99.186091788670097</v>
      </c>
      <c r="AJ8632">
        <v>89.864228317298497</v>
      </c>
      <c r="AK8632">
        <v>0.60275030572744304</v>
      </c>
      <c r="AL8632">
        <v>81.633493413283205</v>
      </c>
      <c r="AM8632">
        <v>89.892851709332803</v>
      </c>
      <c r="AN8632">
        <v>0.999999969953832</v>
      </c>
    </row>
    <row r="8633" spans="1:40" x14ac:dyDescent="0.25">
      <c r="A8633" t="str">
        <f>"20190312172317530"</f>
        <v>20190312172317530</v>
      </c>
      <c r="B8633" t="str">
        <f>"1552382597519280"</f>
        <v>1552382597519280</v>
      </c>
      <c r="C8633" t="s">
        <v>40</v>
      </c>
      <c r="D8633">
        <v>3.4022549999999998</v>
      </c>
      <c r="E8633">
        <v>0.49636809999999998</v>
      </c>
      <c r="F8633" t="s">
        <v>41</v>
      </c>
      <c r="G8633">
        <v>-134.01089999999999</v>
      </c>
      <c r="H8633">
        <v>1.0152019999999999</v>
      </c>
      <c r="I8633">
        <v>137.98249999999999</v>
      </c>
      <c r="J8633">
        <v>-134.58090000000001</v>
      </c>
      <c r="K8633">
        <v>1.109756</v>
      </c>
      <c r="L8633">
        <v>138.0127</v>
      </c>
      <c r="M8633">
        <v>0.99833799999999995</v>
      </c>
      <c r="N8633">
        <v>0</v>
      </c>
      <c r="O8633">
        <v>-5.5771609999999999E-2</v>
      </c>
      <c r="P8633">
        <v>0.98950039999999995</v>
      </c>
      <c r="Q8633">
        <v>0.13401170000000001</v>
      </c>
      <c r="R8633">
        <v>-5.413101E-2</v>
      </c>
      <c r="S8633">
        <v>3.0642399999999999</v>
      </c>
      <c r="T8633">
        <v>-0.32210909999999998</v>
      </c>
      <c r="U8633">
        <v>-0.16609189999999999</v>
      </c>
      <c r="V8633">
        <v>-9.302119E-4</v>
      </c>
      <c r="W8633">
        <v>0.14838519999999999</v>
      </c>
      <c r="X8633">
        <v>0.98892919999999995</v>
      </c>
      <c r="Y8633">
        <v>-1.3428089999999999E-3</v>
      </c>
      <c r="Z8633">
        <v>5.9087530000000001E-3</v>
      </c>
      <c r="AA8633">
        <v>0.99998160000000003</v>
      </c>
      <c r="AB8633">
        <v>32</v>
      </c>
      <c r="AC8633">
        <v>0.57000000000002105</v>
      </c>
      <c r="AD8633">
        <v>-9.4553999999999999E-2</v>
      </c>
      <c r="AE8633">
        <v>-3.02000000000077E-2</v>
      </c>
      <c r="AF8633">
        <v>-1.59637749252883E-3</v>
      </c>
      <c r="AG8633">
        <v>-9.4553999999999999E-2</v>
      </c>
      <c r="AH8633">
        <v>0.55555245744383697</v>
      </c>
      <c r="AI8633">
        <v>99.659040048580806</v>
      </c>
      <c r="AJ8633">
        <v>90.164638712085406</v>
      </c>
      <c r="AK8633">
        <v>0.56354373415821502</v>
      </c>
      <c r="AL8633">
        <v>81.466641861092896</v>
      </c>
      <c r="AM8633">
        <v>90.053893848219005</v>
      </c>
      <c r="AN8633">
        <v>0.99999999774292903</v>
      </c>
    </row>
    <row r="8634" spans="1:40" x14ac:dyDescent="0.25">
      <c r="A8634" t="str">
        <f>"20190312172317552"</f>
        <v>20190312172317552</v>
      </c>
      <c r="B8634" t="str">
        <f>"1552382597549537"</f>
        <v>1552382597549537</v>
      </c>
      <c r="C8634" t="s">
        <v>40</v>
      </c>
      <c r="D8634">
        <v>3.3592469999999999</v>
      </c>
      <c r="E8634">
        <v>0.49660399999999999</v>
      </c>
      <c r="F8634" t="s">
        <v>41</v>
      </c>
      <c r="G8634">
        <v>-133.72309999999999</v>
      </c>
      <c r="H8634">
        <v>1.021196</v>
      </c>
      <c r="I8634">
        <v>137.97499999999999</v>
      </c>
      <c r="J8634">
        <v>-134.2713</v>
      </c>
      <c r="K8634">
        <v>1.110287</v>
      </c>
      <c r="L8634">
        <v>137.9958</v>
      </c>
      <c r="M8634">
        <v>0.99837819999999999</v>
      </c>
      <c r="N8634">
        <v>0</v>
      </c>
      <c r="O8634">
        <v>-5.5049300000000002E-2</v>
      </c>
      <c r="P8634">
        <v>0.98927750000000003</v>
      </c>
      <c r="Q8634">
        <v>0.13696150000000001</v>
      </c>
      <c r="R8634">
        <v>-5.0709690000000002E-2</v>
      </c>
      <c r="S8634">
        <v>3.067307</v>
      </c>
      <c r="T8634">
        <v>-0.31668269999999998</v>
      </c>
      <c r="U8634">
        <v>-0.135040299999999</v>
      </c>
      <c r="V8634">
        <v>-3.8049970000000001E-3</v>
      </c>
      <c r="W8634">
        <v>0.1513195</v>
      </c>
      <c r="X8634">
        <v>0.98847759999999996</v>
      </c>
      <c r="Y8634">
        <v>-1.0736839999999999E-2</v>
      </c>
      <c r="Z8634">
        <v>6.2150080000000002E-3</v>
      </c>
      <c r="AA8634">
        <v>0.99992309999999995</v>
      </c>
      <c r="AB8634">
        <v>32</v>
      </c>
      <c r="AC8634">
        <v>0.54820000000000801</v>
      </c>
      <c r="AD8634">
        <v>-8.9091000000000004E-2</v>
      </c>
      <c r="AE8634">
        <v>-2.0800000000008301E-2</v>
      </c>
      <c r="AF8634">
        <v>-9.1708839781586803E-3</v>
      </c>
      <c r="AG8634">
        <v>-8.9091000000000004E-2</v>
      </c>
      <c r="AH8634">
        <v>0.53441928904164804</v>
      </c>
      <c r="AI8634">
        <v>99.463157086820402</v>
      </c>
      <c r="AJ8634">
        <v>90.983125773148402</v>
      </c>
      <c r="AK8634">
        <v>0.54187202169305704</v>
      </c>
      <c r="AL8634">
        <v>81.296598899897802</v>
      </c>
      <c r="AM8634">
        <v>90.220550463035593</v>
      </c>
      <c r="AN8634">
        <v>1.00000001739208</v>
      </c>
    </row>
    <row r="8635" spans="1:40" x14ac:dyDescent="0.25">
      <c r="A8635" t="str">
        <f>"20190312172317574"</f>
        <v>20190312172317574</v>
      </c>
      <c r="B8635" t="str">
        <f>"1552382597569056"</f>
        <v>1552382597569056</v>
      </c>
      <c r="C8635" t="s">
        <v>40</v>
      </c>
      <c r="D8635">
        <v>3.3675419999999998</v>
      </c>
      <c r="E8635">
        <v>0.49655850000000001</v>
      </c>
      <c r="F8635" t="s">
        <v>41</v>
      </c>
      <c r="G8635">
        <v>-133.43680000000001</v>
      </c>
      <c r="H8635">
        <v>1.0252330000000001</v>
      </c>
      <c r="I8635">
        <v>137.9615</v>
      </c>
      <c r="J8635">
        <v>-133.94909999999999</v>
      </c>
      <c r="K8635">
        <v>1.110873</v>
      </c>
      <c r="L8635">
        <v>137.97909999999999</v>
      </c>
      <c r="M8635">
        <v>0.99845430000000002</v>
      </c>
      <c r="N8635">
        <v>0</v>
      </c>
      <c r="O8635">
        <v>-5.3652749999999999E-2</v>
      </c>
      <c r="P8635">
        <v>0.9893691</v>
      </c>
      <c r="Q8635">
        <v>0.13824</v>
      </c>
      <c r="R8635">
        <v>-4.5151839999999999E-2</v>
      </c>
      <c r="S8635">
        <v>3.0694119999999998</v>
      </c>
      <c r="T8635">
        <v>-0.31305729999999998</v>
      </c>
      <c r="U8635">
        <v>-0.12559509999999999</v>
      </c>
      <c r="V8635">
        <v>-8.1868289999999996E-3</v>
      </c>
      <c r="W8635">
        <v>0.15258070000000001</v>
      </c>
      <c r="X8635">
        <v>0.9882571</v>
      </c>
      <c r="Y8635">
        <v>-1.244638E-2</v>
      </c>
      <c r="Z8635">
        <v>6.0856850000000004E-3</v>
      </c>
      <c r="AA8635">
        <v>0.99990400000000002</v>
      </c>
      <c r="AB8635">
        <v>32</v>
      </c>
      <c r="AC8635">
        <v>0.51229999999998199</v>
      </c>
      <c r="AD8635">
        <v>-8.5639999999999897E-2</v>
      </c>
      <c r="AE8635">
        <v>-1.75999999999874E-2</v>
      </c>
      <c r="AF8635">
        <v>-9.6453298789104993E-3</v>
      </c>
      <c r="AG8635">
        <v>-8.5639999999999897E-2</v>
      </c>
      <c r="AH8635">
        <v>0.49858966437648999</v>
      </c>
      <c r="AI8635">
        <v>99.744486573043503</v>
      </c>
      <c r="AJ8635">
        <v>91.108261582323706</v>
      </c>
      <c r="AK8635">
        <v>0.50598309795044905</v>
      </c>
      <c r="AL8635">
        <v>81.223488314555397</v>
      </c>
      <c r="AM8635">
        <v>90.474633594351602</v>
      </c>
      <c r="AN8635">
        <v>0.99999999494098701</v>
      </c>
    </row>
    <row r="8636" spans="1:40" x14ac:dyDescent="0.25">
      <c r="A8636" t="str">
        <f>"20190312172317597"</f>
        <v>20190312172317597</v>
      </c>
      <c r="B8636" t="str">
        <f>"1552382597589552"</f>
        <v>1552382597589552</v>
      </c>
      <c r="C8636" t="s">
        <v>40</v>
      </c>
      <c r="D8636">
        <v>3.3673120000000001</v>
      </c>
      <c r="E8636">
        <v>0.49657709999999999</v>
      </c>
      <c r="F8636" t="s">
        <v>41</v>
      </c>
      <c r="G8636">
        <v>-133.14940000000001</v>
      </c>
      <c r="H8636">
        <v>1.0300240000000001</v>
      </c>
      <c r="I8636">
        <v>137.95009999999999</v>
      </c>
      <c r="J8636">
        <v>-133.636</v>
      </c>
      <c r="K8636">
        <v>1.111437</v>
      </c>
      <c r="L8636">
        <v>137.964</v>
      </c>
      <c r="M8636">
        <v>0.99855689999999997</v>
      </c>
      <c r="N8636">
        <v>0</v>
      </c>
      <c r="O8636">
        <v>-5.1709600000000001E-2</v>
      </c>
      <c r="P8636">
        <v>0.98954189999999997</v>
      </c>
      <c r="Q8636">
        <v>0.13900499999999999</v>
      </c>
      <c r="R8636">
        <v>-3.8532909999999997E-2</v>
      </c>
      <c r="S8636">
        <v>3.0705110000000002</v>
      </c>
      <c r="T8636">
        <v>-0.31038880000000002</v>
      </c>
      <c r="U8636">
        <v>-0.111419699999999</v>
      </c>
      <c r="V8636">
        <v>-1.308465E-2</v>
      </c>
      <c r="W8636">
        <v>0.1533215</v>
      </c>
      <c r="X8636">
        <v>0.98808969999999896</v>
      </c>
      <c r="Y8636">
        <v>-1.5126529999999999E-2</v>
      </c>
      <c r="Z8636">
        <v>5.9721180000000002E-3</v>
      </c>
      <c r="AA8636">
        <v>0.99986770000000003</v>
      </c>
      <c r="AB8636">
        <v>32</v>
      </c>
      <c r="AC8636">
        <v>0.48659999999998099</v>
      </c>
      <c r="AD8636">
        <v>-8.1412999999999902E-2</v>
      </c>
      <c r="AE8636">
        <v>-1.39000000000066E-2</v>
      </c>
      <c r="AF8636">
        <v>-1.0976136429630801E-2</v>
      </c>
      <c r="AG8636">
        <v>-8.1412999999999902E-2</v>
      </c>
      <c r="AH8636">
        <v>0.47342608675225001</v>
      </c>
      <c r="AI8636">
        <v>99.754895800849496</v>
      </c>
      <c r="AJ8636">
        <v>91.328134775515807</v>
      </c>
      <c r="AK8636">
        <v>0.48050058455476502</v>
      </c>
      <c r="AL8636">
        <v>81.180538042334405</v>
      </c>
      <c r="AM8636">
        <v>90.758687600666804</v>
      </c>
      <c r="AN8636">
        <v>0.99999997283697994</v>
      </c>
    </row>
    <row r="8637" spans="1:40" x14ac:dyDescent="0.25">
      <c r="A8637" t="str">
        <f>"20190312172317618"</f>
        <v>20190312172317618</v>
      </c>
      <c r="B8637" t="str">
        <f>"1552382597609073"</f>
        <v>1552382597609073</v>
      </c>
      <c r="C8637" t="s">
        <v>40</v>
      </c>
      <c r="D8637">
        <v>3.3601290000000001</v>
      </c>
      <c r="E8637">
        <v>0.49650480000000002</v>
      </c>
      <c r="F8637" t="s">
        <v>41</v>
      </c>
      <c r="G8637">
        <v>-132.8638</v>
      </c>
      <c r="H8637">
        <v>1.0330979999999901</v>
      </c>
      <c r="I8637">
        <v>137.93989999999999</v>
      </c>
      <c r="J8637">
        <v>-133.32299999999901</v>
      </c>
      <c r="K8637">
        <v>1.111974</v>
      </c>
      <c r="L8637">
        <v>137.94999999999999</v>
      </c>
      <c r="M8637">
        <v>0.99868170000000001</v>
      </c>
      <c r="N8637">
        <v>0</v>
      </c>
      <c r="O8637">
        <v>-4.9240840000000001E-2</v>
      </c>
      <c r="P8637">
        <v>0.9894482</v>
      </c>
      <c r="Q8637">
        <v>0.14125289999999999</v>
      </c>
      <c r="R8637">
        <v>-3.2248119999999998E-2</v>
      </c>
      <c r="S8637">
        <v>3.0718079999999999</v>
      </c>
      <c r="T8637">
        <v>-0.31189889999999998</v>
      </c>
      <c r="U8637">
        <v>-9.5153810000000005E-2</v>
      </c>
      <c r="V8637">
        <v>-1.7106940000000001E-2</v>
      </c>
      <c r="W8637">
        <v>0.15553520000000001</v>
      </c>
      <c r="X8637">
        <v>0.98768219999999995</v>
      </c>
      <c r="Y8637">
        <v>-1.7953449999999999E-2</v>
      </c>
      <c r="Z8637">
        <v>5.8926739999999997E-3</v>
      </c>
      <c r="AA8637">
        <v>0.99982150000000003</v>
      </c>
      <c r="AB8637">
        <v>32</v>
      </c>
      <c r="AC8637">
        <v>0.45919999999998101</v>
      </c>
      <c r="AD8637">
        <v>-7.8876000000000099E-2</v>
      </c>
      <c r="AE8637">
        <v>-1.00999999999942E-2</v>
      </c>
      <c r="AF8637">
        <v>-1.21672130381601E-2</v>
      </c>
      <c r="AG8637">
        <v>-7.8876000000000099E-2</v>
      </c>
      <c r="AH8637">
        <v>0.44598800575441999</v>
      </c>
      <c r="AI8637">
        <v>100.02578236972499</v>
      </c>
      <c r="AJ8637">
        <v>91.562726061289794</v>
      </c>
      <c r="AK8637">
        <v>0.45307258328652</v>
      </c>
      <c r="AL8637">
        <v>81.052162475041399</v>
      </c>
      <c r="AM8637">
        <v>90.992280175716402</v>
      </c>
      <c r="AN8637">
        <v>0.999999987016021</v>
      </c>
    </row>
    <row r="8638" spans="1:40" x14ac:dyDescent="0.25">
      <c r="A8638" t="str">
        <f>"20190312172317642"</f>
        <v>20190312172317642</v>
      </c>
      <c r="B8638" t="str">
        <f>"1552382597639328"</f>
        <v>1552382597639328</v>
      </c>
      <c r="C8638" t="s">
        <v>40</v>
      </c>
      <c r="D8638">
        <v>3.3100160000000001</v>
      </c>
      <c r="E8638">
        <v>0.4922436</v>
      </c>
      <c r="F8638" t="s">
        <v>42</v>
      </c>
      <c r="G8638">
        <v>-122.1688</v>
      </c>
      <c r="H8638" s="1">
        <v>-3.6873759999999998E-6</v>
      </c>
      <c r="I8638">
        <v>137.66849999999999</v>
      </c>
      <c r="J8638">
        <v>-133.0103</v>
      </c>
      <c r="K8638">
        <v>1.1124459999999901</v>
      </c>
      <c r="L8638">
        <v>137.9375</v>
      </c>
      <c r="M8638">
        <v>0.9988224</v>
      </c>
      <c r="N8638">
        <v>0</v>
      </c>
      <c r="O8638">
        <v>-4.629581E-2</v>
      </c>
      <c r="P8638">
        <v>0.98899239999999999</v>
      </c>
      <c r="Q8638">
        <v>0.14598539999999999</v>
      </c>
      <c r="R8638">
        <v>-2.4136600000000001E-2</v>
      </c>
      <c r="S8638">
        <v>3.0731959999999998</v>
      </c>
      <c r="T8638">
        <v>-0.30637059999999999</v>
      </c>
      <c r="U8638">
        <v>-7.7560420000000005E-2</v>
      </c>
      <c r="V8638">
        <v>-2.2455800000000001E-2</v>
      </c>
      <c r="W8638">
        <v>0.16021459999999901</v>
      </c>
      <c r="X8638">
        <v>0.98682669999999995</v>
      </c>
      <c r="Y8638">
        <v>-2.0751390000000002E-2</v>
      </c>
      <c r="Z8638">
        <v>5.6333669999999898E-3</v>
      </c>
      <c r="AA8638">
        <v>0.99976880000000001</v>
      </c>
      <c r="AB8638">
        <v>32</v>
      </c>
      <c r="AC8638">
        <v>10.8414999999999</v>
      </c>
      <c r="AD8638">
        <v>-1.1124496873759999</v>
      </c>
      <c r="AE8638">
        <v>-0.26900000000000501</v>
      </c>
      <c r="AF8638">
        <v>-0.23082848230650899</v>
      </c>
      <c r="AG8638">
        <v>-1.1124496873759999</v>
      </c>
      <c r="AH8638">
        <v>10.7294285812469</v>
      </c>
      <c r="AI8638">
        <v>95.918036427254506</v>
      </c>
      <c r="AJ8638">
        <v>91.232447551971006</v>
      </c>
      <c r="AK8638">
        <v>10.789414431528099</v>
      </c>
      <c r="AL8638">
        <v>80.780647025755499</v>
      </c>
      <c r="AM8638">
        <v>91.3035729138048</v>
      </c>
      <c r="AN8638">
        <v>0.99999995841984402</v>
      </c>
    </row>
    <row r="8639" spans="1:40" x14ac:dyDescent="0.25">
      <c r="A8639" t="str">
        <f>"20190312172317664"</f>
        <v>20190312172317664</v>
      </c>
      <c r="B8639" t="str">
        <f>"1552382597658848"</f>
        <v>1552382597658848</v>
      </c>
      <c r="C8639" t="s">
        <v>40</v>
      </c>
      <c r="D8639">
        <v>3.2899590000000001</v>
      </c>
      <c r="E8639">
        <v>0.49084159999999999</v>
      </c>
      <c r="F8639" t="s">
        <v>41</v>
      </c>
      <c r="G8639">
        <v>-132.01249999999999</v>
      </c>
      <c r="H8639">
        <v>1.02437</v>
      </c>
      <c r="I8639">
        <v>137.93010000000001</v>
      </c>
      <c r="J8639">
        <v>-132.68780000000001</v>
      </c>
      <c r="K8639">
        <v>1.1128279999999999</v>
      </c>
      <c r="L8639">
        <v>137.92599999999999</v>
      </c>
      <c r="M8639">
        <v>0.99897519999999995</v>
      </c>
      <c r="N8639">
        <v>0</v>
      </c>
      <c r="O8639">
        <v>-4.2873139999999997E-2</v>
      </c>
      <c r="P8639">
        <v>0.9891993</v>
      </c>
      <c r="Q8639">
        <v>0.1459107</v>
      </c>
      <c r="R8639">
        <v>-1.3964829999999999E-2</v>
      </c>
      <c r="S8639">
        <v>3.0728759999999999</v>
      </c>
      <c r="T8639">
        <v>-0.2713082</v>
      </c>
      <c r="U8639">
        <v>-2.2811890000000001E-2</v>
      </c>
      <c r="V8639">
        <v>-2.9376289999999999E-2</v>
      </c>
      <c r="W8639">
        <v>0.1600809</v>
      </c>
      <c r="X8639">
        <v>0.98666670000000001</v>
      </c>
      <c r="Y8639">
        <v>-3.5156439999999997E-2</v>
      </c>
      <c r="Z8639">
        <v>5.326272E-3</v>
      </c>
      <c r="AA8639">
        <v>0.99936769999999997</v>
      </c>
      <c r="AB8639">
        <v>32</v>
      </c>
      <c r="AC8639">
        <v>0.67530000000002099</v>
      </c>
      <c r="AD8639">
        <v>-8.8458000000000106E-2</v>
      </c>
      <c r="AE8639">
        <v>4.0999999999939904E-3</v>
      </c>
      <c r="AF8639">
        <v>-3.2493978491964101E-2</v>
      </c>
      <c r="AG8639">
        <v>-8.8458000000000106E-2</v>
      </c>
      <c r="AH8639">
        <v>0.66312529586106606</v>
      </c>
      <c r="AI8639">
        <v>97.589149457375996</v>
      </c>
      <c r="AJ8639">
        <v>92.805321814867995</v>
      </c>
      <c r="AK8639">
        <v>0.66978790255801302</v>
      </c>
      <c r="AL8639">
        <v>80.788408199795199</v>
      </c>
      <c r="AM8639">
        <v>91.705378687173393</v>
      </c>
      <c r="AN8639">
        <v>1.00000001892393</v>
      </c>
    </row>
    <row r="8640" spans="1:40" x14ac:dyDescent="0.25">
      <c r="A8640" t="str">
        <f>"20190312172317687"</f>
        <v>20190312172317687</v>
      </c>
      <c r="B8640" t="str">
        <f>"1552382597679345"</f>
        <v>1552382597679345</v>
      </c>
      <c r="C8640" t="s">
        <v>40</v>
      </c>
      <c r="D8640">
        <v>3.2623549999999999</v>
      </c>
      <c r="E8640">
        <v>0.48975760000000002</v>
      </c>
      <c r="F8640" t="s">
        <v>42</v>
      </c>
      <c r="G8640">
        <v>-119.74930000000001</v>
      </c>
      <c r="H8640" s="1">
        <v>-5.0365499999999997E-7</v>
      </c>
      <c r="I8640">
        <v>137.99170000000001</v>
      </c>
      <c r="J8640">
        <v>-132.37029999999999</v>
      </c>
      <c r="K8640">
        <v>1.1131</v>
      </c>
      <c r="L8640">
        <v>137.916</v>
      </c>
      <c r="M8640">
        <v>0.99912409999999996</v>
      </c>
      <c r="N8640">
        <v>0</v>
      </c>
      <c r="O8640">
        <v>-3.9252059999999998E-2</v>
      </c>
      <c r="P8640">
        <v>0.98910940000000003</v>
      </c>
      <c r="Q8640">
        <v>0.14711540000000001</v>
      </c>
      <c r="R8640">
        <v>-4.4623309999999999E-3</v>
      </c>
      <c r="S8640">
        <v>3.0719449999999999</v>
      </c>
      <c r="T8640">
        <v>-0.26421280000000003</v>
      </c>
      <c r="U8640">
        <v>1.560974E-2</v>
      </c>
      <c r="V8640">
        <v>-3.5393540000000001E-2</v>
      </c>
      <c r="W8640">
        <v>0.1612227</v>
      </c>
      <c r="X8640">
        <v>0.98628320000000003</v>
      </c>
      <c r="Y8640">
        <v>-4.4025670000000003E-2</v>
      </c>
      <c r="Z8640">
        <v>5.2593359999999999E-3</v>
      </c>
      <c r="AA8640">
        <v>0.99901660000000003</v>
      </c>
      <c r="AB8640">
        <v>32</v>
      </c>
      <c r="AC8640">
        <v>12.620999999999899</v>
      </c>
      <c r="AD8640">
        <v>-1.1131005036549999</v>
      </c>
      <c r="AE8640">
        <v>7.57000000000118E-2</v>
      </c>
      <c r="AF8640">
        <v>-0.566686337164647</v>
      </c>
      <c r="AG8640">
        <v>-1.1131005036549999</v>
      </c>
      <c r="AH8640">
        <v>12.5109898166394</v>
      </c>
      <c r="AI8640">
        <v>95.079028217957202</v>
      </c>
      <c r="AJ8640">
        <v>92.593444517775396</v>
      </c>
      <c r="AK8640">
        <v>12.573185448724599</v>
      </c>
      <c r="AL8640">
        <v>80.7221268389128</v>
      </c>
      <c r="AM8640">
        <v>92.055221698334094</v>
      </c>
      <c r="AN8640">
        <v>1.00000000613563</v>
      </c>
    </row>
    <row r="8641" spans="1:40" x14ac:dyDescent="0.25">
      <c r="A8641" t="str">
        <f>"20190312172317711"</f>
        <v>20190312172317711</v>
      </c>
      <c r="B8641" t="str">
        <f>"1552382597698864"</f>
        <v>1552382597698864</v>
      </c>
      <c r="C8641" t="s">
        <v>40</v>
      </c>
      <c r="D8641">
        <v>3.344643</v>
      </c>
      <c r="E8641">
        <v>0.48897950000000001</v>
      </c>
      <c r="F8641" t="s">
        <v>42</v>
      </c>
      <c r="G8641">
        <v>-118.9224</v>
      </c>
      <c r="H8641" s="1">
        <v>-7.4305189999999898E-7</v>
      </c>
      <c r="I8641">
        <v>138.14949999999999</v>
      </c>
      <c r="J8641">
        <v>-132.0368</v>
      </c>
      <c r="K8641">
        <v>1.113316</v>
      </c>
      <c r="L8641">
        <v>137.90690000000001</v>
      </c>
      <c r="M8641">
        <v>0.9992723</v>
      </c>
      <c r="N8641">
        <v>0</v>
      </c>
      <c r="O8641">
        <v>-3.5274380000000001E-2</v>
      </c>
      <c r="P8641">
        <v>0.98906910000000003</v>
      </c>
      <c r="Q8641">
        <v>0.14739639999999901</v>
      </c>
      <c r="R8641">
        <v>4.0704160000000003E-3</v>
      </c>
      <c r="S8641">
        <v>3.071075</v>
      </c>
      <c r="T8641">
        <v>-0.25419599999999998</v>
      </c>
      <c r="U8641">
        <v>5.3329469999999997E-2</v>
      </c>
      <c r="V8641">
        <v>-4.0063080000000001E-2</v>
      </c>
      <c r="W8641">
        <v>0.1614486</v>
      </c>
      <c r="X8641">
        <v>0.98606760000000004</v>
      </c>
      <c r="Y8641">
        <v>-5.232494E-2</v>
      </c>
      <c r="Z8641">
        <v>5.0762059999999998E-3</v>
      </c>
      <c r="AA8641">
        <v>0.99861719999999998</v>
      </c>
      <c r="AB8641">
        <v>32</v>
      </c>
      <c r="AC8641">
        <v>13.1144</v>
      </c>
      <c r="AD8641">
        <v>-1.1133167430519</v>
      </c>
      <c r="AE8641">
        <v>0.242599999999981</v>
      </c>
      <c r="AF8641">
        <v>-0.70005661521151796</v>
      </c>
      <c r="AG8641">
        <v>-1.1133167430519</v>
      </c>
      <c r="AH8641">
        <v>13.0039935456025</v>
      </c>
      <c r="AI8641">
        <v>94.886315990791203</v>
      </c>
      <c r="AJ8641">
        <v>93.081484833081504</v>
      </c>
      <c r="AK8641">
        <v>13.070325228123901</v>
      </c>
      <c r="AL8641">
        <v>80.709011912991599</v>
      </c>
      <c r="AM8641">
        <v>92.326598700188896</v>
      </c>
      <c r="AN8641">
        <v>1.0000000062954</v>
      </c>
    </row>
    <row r="8642" spans="1:40" x14ac:dyDescent="0.25">
      <c r="A8642" t="str">
        <f>"20190312172317731"</f>
        <v>20190312172317731</v>
      </c>
      <c r="B8642" t="str">
        <f>"1552382597719361"</f>
        <v>1552382597719361</v>
      </c>
      <c r="C8642" t="s">
        <v>40</v>
      </c>
      <c r="D8642">
        <v>3.3251789999999999</v>
      </c>
      <c r="E8642">
        <v>0.4883652</v>
      </c>
      <c r="F8642" t="s">
        <v>42</v>
      </c>
      <c r="G8642">
        <v>-118.40309999999999</v>
      </c>
      <c r="H8642" s="1">
        <v>-9.018946E-7</v>
      </c>
      <c r="I8642">
        <v>138.29419999999999</v>
      </c>
      <c r="J8642">
        <v>-131.75579999999999</v>
      </c>
      <c r="K8642">
        <v>1.1134120000000001</v>
      </c>
      <c r="L8642">
        <v>137.90029999999999</v>
      </c>
      <c r="M8642">
        <v>0.99938740000000004</v>
      </c>
      <c r="N8642">
        <v>0</v>
      </c>
      <c r="O8642">
        <v>-3.1847279999999999E-2</v>
      </c>
      <c r="P8642">
        <v>0.98985350000000005</v>
      </c>
      <c r="Q8642">
        <v>0.1415747</v>
      </c>
      <c r="R8642">
        <v>1.210876E-2</v>
      </c>
      <c r="S8642">
        <v>3.0701749999999999</v>
      </c>
      <c r="T8642">
        <v>-0.25070819999999999</v>
      </c>
      <c r="U8642">
        <v>8.7219240000000003E-2</v>
      </c>
      <c r="V8642">
        <v>-4.4736629999999999E-2</v>
      </c>
      <c r="W8642">
        <v>0.1555889</v>
      </c>
      <c r="X8642">
        <v>0.98680840000000003</v>
      </c>
      <c r="Y8642">
        <v>-5.9915240000000002E-2</v>
      </c>
      <c r="Z8642">
        <v>5.0377829999999997E-3</v>
      </c>
      <c r="AA8642">
        <v>0.99819080000000004</v>
      </c>
      <c r="AB8642">
        <v>32</v>
      </c>
      <c r="AC8642">
        <v>13.3527</v>
      </c>
      <c r="AD8642">
        <v>-1.1134129018946</v>
      </c>
      <c r="AE8642">
        <v>0.39390000000000203</v>
      </c>
      <c r="AF8642">
        <v>-0.81334183100250002</v>
      </c>
      <c r="AG8642">
        <v>-1.1134129018946</v>
      </c>
      <c r="AH8642">
        <v>13.241391619947599</v>
      </c>
      <c r="AI8642">
        <v>94.797455000283406</v>
      </c>
      <c r="AJ8642">
        <v>93.514931084063406</v>
      </c>
      <c r="AK8642">
        <v>13.312988592235101</v>
      </c>
      <c r="AL8642">
        <v>81.049048297724198</v>
      </c>
      <c r="AM8642">
        <v>92.595707785693506</v>
      </c>
      <c r="AN8642">
        <v>1.0000000450887601</v>
      </c>
    </row>
    <row r="8643" spans="1:40" x14ac:dyDescent="0.25">
      <c r="A8643" t="str">
        <f>"20190312172317753"</f>
        <v>20190312172317753</v>
      </c>
      <c r="B8643" t="str">
        <f>"1552382597748644"</f>
        <v>1552382597748644</v>
      </c>
      <c r="C8643" t="s">
        <v>40</v>
      </c>
      <c r="D8643">
        <v>3.364798</v>
      </c>
      <c r="E8643">
        <v>0.48776520000000001</v>
      </c>
      <c r="F8643" t="s">
        <v>42</v>
      </c>
      <c r="G8643">
        <v>-118.99209999999999</v>
      </c>
      <c r="H8643" s="1">
        <v>-6.5638019999999898E-7</v>
      </c>
      <c r="I8643">
        <v>138.386</v>
      </c>
      <c r="J8643">
        <v>-131.43709999999999</v>
      </c>
      <c r="K8643">
        <v>1.113451</v>
      </c>
      <c r="L8643">
        <v>137.89420000000001</v>
      </c>
      <c r="M8643">
        <v>0.99950490000000003</v>
      </c>
      <c r="N8643">
        <v>0</v>
      </c>
      <c r="O8643">
        <v>-2.7922990000000002E-2</v>
      </c>
      <c r="P8643">
        <v>0.99107559999999995</v>
      </c>
      <c r="Q8643">
        <v>0.13181109999999999</v>
      </c>
      <c r="R8643">
        <v>1.9876789999999998E-2</v>
      </c>
      <c r="S8643">
        <v>3.067612</v>
      </c>
      <c r="T8643">
        <v>-0.26759680000000002</v>
      </c>
      <c r="U8643">
        <v>0.11672970000000001</v>
      </c>
      <c r="V8643">
        <v>-4.8614919999999999E-2</v>
      </c>
      <c r="W8643">
        <v>0.1458005</v>
      </c>
      <c r="X8643">
        <v>0.98811879999999996</v>
      </c>
      <c r="Y8643">
        <v>-6.5561129999999995E-2</v>
      </c>
      <c r="Z8643">
        <v>5.2837550000000002E-3</v>
      </c>
      <c r="AA8643">
        <v>0.99783460000000002</v>
      </c>
      <c r="AB8643">
        <v>32</v>
      </c>
      <c r="AC8643">
        <v>12.444999999999901</v>
      </c>
      <c r="AD8643">
        <v>-1.1134516563801999</v>
      </c>
      <c r="AE8643">
        <v>0.49179999999998297</v>
      </c>
      <c r="AF8643">
        <v>-0.83249276020325003</v>
      </c>
      <c r="AG8643">
        <v>-1.1134516563801999</v>
      </c>
      <c r="AH8643">
        <v>12.3278834926443</v>
      </c>
      <c r="AI8643">
        <v>95.149274305604493</v>
      </c>
      <c r="AJ8643">
        <v>93.863275863397106</v>
      </c>
      <c r="AK8643">
        <v>12.4060279781684</v>
      </c>
      <c r="AL8643">
        <v>81.616362716311102</v>
      </c>
      <c r="AM8643">
        <v>92.816650727450494</v>
      </c>
      <c r="AN8643">
        <v>0.99999997958014797</v>
      </c>
    </row>
    <row r="8644" spans="1:40" x14ac:dyDescent="0.25">
      <c r="A8644" t="str">
        <f>"20190312172317775"</f>
        <v>20190312172317775</v>
      </c>
      <c r="B8644" t="str">
        <f>"1552382597769136"</f>
        <v>1552382597769136</v>
      </c>
      <c r="C8644" t="s">
        <v>40</v>
      </c>
      <c r="D8644">
        <v>3.3962629999999998</v>
      </c>
      <c r="E8644">
        <v>0.48748390000000003</v>
      </c>
      <c r="F8644" t="s">
        <v>42</v>
      </c>
      <c r="G8644">
        <v>-119.8848</v>
      </c>
      <c r="H8644" s="1">
        <v>-3.3921119999999999E-7</v>
      </c>
      <c r="I8644">
        <v>138.43629999999999</v>
      </c>
      <c r="J8644">
        <v>-131.12309999999999</v>
      </c>
      <c r="K8644">
        <v>1.1134839999999999</v>
      </c>
      <c r="L8644">
        <v>137.88929999999999</v>
      </c>
      <c r="M8644">
        <v>0.99960570000000004</v>
      </c>
      <c r="N8644">
        <v>0</v>
      </c>
      <c r="O8644">
        <v>-2.4049279999999999E-2</v>
      </c>
      <c r="P8644">
        <v>0.99169280000000004</v>
      </c>
      <c r="Q8644">
        <v>0.12589500000000001</v>
      </c>
      <c r="R8644">
        <v>2.6373890000000001E-2</v>
      </c>
      <c r="S8644">
        <v>3.0634000000000001</v>
      </c>
      <c r="T8644">
        <v>-0.2952613</v>
      </c>
      <c r="U8644">
        <v>0.14376829999999999</v>
      </c>
      <c r="V8644">
        <v>-5.1263749999999997E-2</v>
      </c>
      <c r="W8644">
        <v>0.1398634</v>
      </c>
      <c r="X8644">
        <v>0.98884289999999997</v>
      </c>
      <c r="Y8644">
        <v>-7.0454069999999994E-2</v>
      </c>
      <c r="Z8644">
        <v>5.6973400000000004E-3</v>
      </c>
      <c r="AA8644">
        <v>0.99749880000000002</v>
      </c>
      <c r="AB8644">
        <v>31</v>
      </c>
      <c r="AC8644">
        <v>11.238299999999899</v>
      </c>
      <c r="AD8644">
        <v>-1.1134843392111999</v>
      </c>
      <c r="AE8644">
        <v>0.54699999999999704</v>
      </c>
      <c r="AF8644">
        <v>-0.80921807424974301</v>
      </c>
      <c r="AG8644">
        <v>-1.1134843392111999</v>
      </c>
      <c r="AH8644">
        <v>11.1130565007656</v>
      </c>
      <c r="AI8644">
        <v>95.706705210823202</v>
      </c>
      <c r="AJ8644">
        <v>94.164749225821893</v>
      </c>
      <c r="AK8644">
        <v>11.197977766300999</v>
      </c>
      <c r="AL8644">
        <v>81.960058221570307</v>
      </c>
      <c r="AM8644">
        <v>92.967680110242398</v>
      </c>
      <c r="AN8644">
        <v>1.00000001180201</v>
      </c>
    </row>
    <row r="8645" spans="1:40" x14ac:dyDescent="0.25">
      <c r="A8645" t="str">
        <f>"20190312172317797"</f>
        <v>20190312172317797</v>
      </c>
      <c r="B8645" t="str">
        <f>"1552382597788657"</f>
        <v>1552382597788657</v>
      </c>
      <c r="C8645" t="s">
        <v>40</v>
      </c>
      <c r="D8645">
        <v>3.3529840000000002</v>
      </c>
      <c r="E8645">
        <v>0.48735319999999999</v>
      </c>
      <c r="F8645" t="s">
        <v>42</v>
      </c>
      <c r="G8645">
        <v>-120.16370000000001</v>
      </c>
      <c r="H8645" s="1">
        <v>-4.4043460000000003E-6</v>
      </c>
      <c r="I8645">
        <v>138.47579999999999</v>
      </c>
      <c r="J8645">
        <v>-130.81819999999999</v>
      </c>
      <c r="K8645">
        <v>1.113518</v>
      </c>
      <c r="L8645">
        <v>137.88570000000001</v>
      </c>
      <c r="M8645">
        <v>0.99968919999999994</v>
      </c>
      <c r="N8645">
        <v>0</v>
      </c>
      <c r="O8645">
        <v>-2.0297220000000001E-2</v>
      </c>
      <c r="P8645">
        <v>0.99136789999999997</v>
      </c>
      <c r="Q8645">
        <v>0.12760360000000001</v>
      </c>
      <c r="R8645">
        <v>3.0119779999999999E-2</v>
      </c>
      <c r="S8645">
        <v>3.0602420000000001</v>
      </c>
      <c r="T8645">
        <v>-0.31092340000000002</v>
      </c>
      <c r="U8645">
        <v>0.16377259999999999</v>
      </c>
      <c r="V8645">
        <v>-5.1308779999999998E-2</v>
      </c>
      <c r="W8645">
        <v>0.14155970000000001</v>
      </c>
      <c r="X8645">
        <v>0.98859909999999995</v>
      </c>
      <c r="Y8645">
        <v>-7.3218899999999906E-2</v>
      </c>
      <c r="Z8645">
        <v>5.7632219999999897E-3</v>
      </c>
      <c r="AA8645">
        <v>0.9972993</v>
      </c>
      <c r="AB8645">
        <v>31</v>
      </c>
      <c r="AC8645">
        <v>10.654499999999899</v>
      </c>
      <c r="AD8645">
        <v>-1.1135224043459999</v>
      </c>
      <c r="AE8645">
        <v>0.59009999999997798</v>
      </c>
      <c r="AF8645">
        <v>-0.79757275595640997</v>
      </c>
      <c r="AG8645">
        <v>-1.1135224043459999</v>
      </c>
      <c r="AH8645">
        <v>10.525707937733699</v>
      </c>
      <c r="AI8645">
        <v>96.021765764854806</v>
      </c>
      <c r="AJ8645">
        <v>94.333237542681005</v>
      </c>
      <c r="AK8645">
        <v>10.614451565507</v>
      </c>
      <c r="AL8645">
        <v>81.861890250519906</v>
      </c>
      <c r="AM8645">
        <v>92.971013443792799</v>
      </c>
      <c r="AN8645">
        <v>0.99999996004499303</v>
      </c>
    </row>
    <row r="8646" spans="1:40" x14ac:dyDescent="0.25">
      <c r="A8646" t="str">
        <f>"20190312172317820"</f>
        <v>20190312172317820</v>
      </c>
      <c r="B8646" t="str">
        <f>"1552382597809152"</f>
        <v>1552382597809152</v>
      </c>
      <c r="C8646" t="s">
        <v>40</v>
      </c>
      <c r="D8646">
        <v>3.3537319999999999</v>
      </c>
      <c r="E8646">
        <v>0.48732110000000001</v>
      </c>
      <c r="F8646" t="s">
        <v>42</v>
      </c>
      <c r="G8646">
        <v>-119.5612</v>
      </c>
      <c r="H8646" s="1">
        <v>-4.2264859999999999E-7</v>
      </c>
      <c r="I8646">
        <v>138.5367</v>
      </c>
      <c r="J8646">
        <v>-130.50729999999999</v>
      </c>
      <c r="K8646">
        <v>1.1135360000000001</v>
      </c>
      <c r="L8646">
        <v>137.88329999999999</v>
      </c>
      <c r="M8646">
        <v>0.99975919999999896</v>
      </c>
      <c r="N8646">
        <v>0</v>
      </c>
      <c r="O8646">
        <v>-1.6486020000000001E-2</v>
      </c>
      <c r="P8646">
        <v>0.99095239999999996</v>
      </c>
      <c r="Q8646">
        <v>0.13045779999999901</v>
      </c>
      <c r="R8646">
        <v>3.1532280000000003E-2</v>
      </c>
      <c r="S8646">
        <v>3.0596920000000001</v>
      </c>
      <c r="T8646">
        <v>-0.30265690000000001</v>
      </c>
      <c r="U8646">
        <v>0.17692569999999999</v>
      </c>
      <c r="V8646">
        <v>-4.8968400000000002E-2</v>
      </c>
      <c r="W8646">
        <v>0.14442339999999901</v>
      </c>
      <c r="X8646">
        <v>0.98830359999999995</v>
      </c>
      <c r="Y8646">
        <v>-7.3741639999999997E-2</v>
      </c>
      <c r="Z8646">
        <v>5.2610209999999899E-3</v>
      </c>
      <c r="AA8646">
        <v>0.99726349999999997</v>
      </c>
      <c r="AB8646">
        <v>31</v>
      </c>
      <c r="AC8646">
        <v>10.9460999999999</v>
      </c>
      <c r="AD8646">
        <v>-1.1135364226486</v>
      </c>
      <c r="AE8646">
        <v>0.65340000000000398</v>
      </c>
      <c r="AF8646">
        <v>-0.82527742630909995</v>
      </c>
      <c r="AG8646">
        <v>-1.1135364226486</v>
      </c>
      <c r="AH8646">
        <v>10.8222394272721</v>
      </c>
      <c r="AI8646">
        <v>95.857792140565607</v>
      </c>
      <c r="AJ8646">
        <v>94.360795652904201</v>
      </c>
      <c r="AK8646">
        <v>10.910632997958601</v>
      </c>
      <c r="AL8646">
        <v>81.696109125720795</v>
      </c>
      <c r="AM8646">
        <v>92.836567674313798</v>
      </c>
      <c r="AN8646">
        <v>1.00000001421953</v>
      </c>
    </row>
    <row r="8647" spans="1:40" x14ac:dyDescent="0.25">
      <c r="A8647" t="str">
        <f>"20190312172317843"</f>
        <v>20190312172317843</v>
      </c>
      <c r="B8647" t="str">
        <f>"1552382597839408"</f>
        <v>1552382597839408</v>
      </c>
      <c r="C8647" t="s">
        <v>40</v>
      </c>
      <c r="D8647">
        <v>3.3333599999999999</v>
      </c>
      <c r="E8647">
        <v>0.48749290000000001</v>
      </c>
      <c r="F8647" t="s">
        <v>42</v>
      </c>
      <c r="G8647">
        <v>-118.7997</v>
      </c>
      <c r="H8647" s="1">
        <v>-6.8055939999999999E-7</v>
      </c>
      <c r="I8647">
        <v>138.58279999999999</v>
      </c>
      <c r="J8647">
        <v>-130.1909</v>
      </c>
      <c r="K8647">
        <v>1.1135489999999999</v>
      </c>
      <c r="L8647">
        <v>137.88210000000001</v>
      </c>
      <c r="M8647">
        <v>0.99981529999999996</v>
      </c>
      <c r="N8647">
        <v>0</v>
      </c>
      <c r="O8647">
        <v>-1.2621510000000001E-2</v>
      </c>
      <c r="P8647">
        <v>0.99045099999999997</v>
      </c>
      <c r="Q8647">
        <v>0.1341531</v>
      </c>
      <c r="R8647">
        <v>3.1776550000000001E-2</v>
      </c>
      <c r="S8647">
        <v>3.0598909999999999</v>
      </c>
      <c r="T8647">
        <v>-0.29103250000000003</v>
      </c>
      <c r="U8647">
        <v>0.18283079999999999</v>
      </c>
      <c r="V8647">
        <v>-4.5412630000000002E-2</v>
      </c>
      <c r="W8647">
        <v>0.14814229999999901</v>
      </c>
      <c r="X8647">
        <v>0.98792279999999999</v>
      </c>
      <c r="Y8647">
        <v>-7.1860019999999997E-2</v>
      </c>
      <c r="Z8647">
        <v>4.6035750000000004E-3</v>
      </c>
      <c r="AA8647">
        <v>0.99740410000000002</v>
      </c>
      <c r="AB8647">
        <v>31</v>
      </c>
      <c r="AC8647">
        <v>11.3911999999999</v>
      </c>
      <c r="AD8647">
        <v>-1.1135496805593901</v>
      </c>
      <c r="AE8647">
        <v>0.700699999999983</v>
      </c>
      <c r="AF8647">
        <v>-0.83647016910067895</v>
      </c>
      <c r="AG8647">
        <v>-1.1135496805593901</v>
      </c>
      <c r="AH8647">
        <v>11.2741172609614</v>
      </c>
      <c r="AI8647">
        <v>95.625471875586399</v>
      </c>
      <c r="AJ8647">
        <v>94.243219965176706</v>
      </c>
      <c r="AK8647">
        <v>11.3598149302168</v>
      </c>
      <c r="AL8647">
        <v>81.480714158585897</v>
      </c>
      <c r="AM8647">
        <v>92.631907757523095</v>
      </c>
      <c r="AN8647">
        <v>0.99999995338632197</v>
      </c>
    </row>
    <row r="8648" spans="1:40" x14ac:dyDescent="0.25">
      <c r="A8648" t="str">
        <f>"20190312172317865"</f>
        <v>20190312172317865</v>
      </c>
      <c r="B8648" t="str">
        <f>"1552382597858928"</f>
        <v>1552382597858928</v>
      </c>
      <c r="C8648" t="s">
        <v>40</v>
      </c>
      <c r="D8648">
        <v>3.326282</v>
      </c>
      <c r="E8648">
        <v>0.4876277</v>
      </c>
      <c r="F8648" t="s">
        <v>42</v>
      </c>
      <c r="G8648">
        <v>-117.8242</v>
      </c>
      <c r="H8648" s="1">
        <v>-1.092233E-6</v>
      </c>
      <c r="I8648">
        <v>138.62129999999999</v>
      </c>
      <c r="J8648">
        <v>-129.88159999999999</v>
      </c>
      <c r="K8648">
        <v>1.1135809999999999</v>
      </c>
      <c r="L8648">
        <v>137.88220000000001</v>
      </c>
      <c r="M8648">
        <v>0.99985559999999996</v>
      </c>
      <c r="N8648">
        <v>0</v>
      </c>
      <c r="O8648">
        <v>-8.8534180000000001E-3</v>
      </c>
      <c r="P8648">
        <v>0.99031130000000001</v>
      </c>
      <c r="Q8648">
        <v>0.13525470000000001</v>
      </c>
      <c r="R8648">
        <v>3.1465029999999998E-2</v>
      </c>
      <c r="S8648">
        <v>3.0603790000000002</v>
      </c>
      <c r="T8648">
        <v>-0.27556750000000002</v>
      </c>
      <c r="U8648">
        <v>0.18293760000000001</v>
      </c>
      <c r="V8648">
        <v>-4.1380640000000003E-2</v>
      </c>
      <c r="W8648">
        <v>0.14928759999999999</v>
      </c>
      <c r="X8648">
        <v>0.98792760000000002</v>
      </c>
      <c r="Y8648">
        <v>-6.8195210000000006E-2</v>
      </c>
      <c r="Z8648">
        <v>3.8563640000000001E-3</v>
      </c>
      <c r="AA8648">
        <v>0.99766460000000001</v>
      </c>
      <c r="AB8648">
        <v>31</v>
      </c>
      <c r="AC8648">
        <v>12.0573999999999</v>
      </c>
      <c r="AD8648">
        <v>-1.113582092233</v>
      </c>
      <c r="AE8648">
        <v>0.739099999999979</v>
      </c>
      <c r="AF8648">
        <v>-0.83870428932713803</v>
      </c>
      <c r="AG8648">
        <v>-1.113582092233</v>
      </c>
      <c r="AH8648">
        <v>11.9488437813506</v>
      </c>
      <c r="AI8648">
        <v>95.311353996484897</v>
      </c>
      <c r="AJ8648">
        <v>94.015077221058206</v>
      </c>
      <c r="AK8648">
        <v>12.0298943333763</v>
      </c>
      <c r="AL8648">
        <v>81.414356175462004</v>
      </c>
      <c r="AM8648">
        <v>92.398506641886101</v>
      </c>
      <c r="AN8648">
        <v>1.00000004386116</v>
      </c>
    </row>
    <row r="8649" spans="1:40" x14ac:dyDescent="0.25">
      <c r="A8649" t="str">
        <f>"20190312172317889"</f>
        <v>20190312172317889</v>
      </c>
      <c r="B8649" t="str">
        <f>"1552382597879426"</f>
        <v>1552382597879426</v>
      </c>
      <c r="C8649" t="s">
        <v>40</v>
      </c>
      <c r="D8649">
        <v>3.3367450000000001</v>
      </c>
      <c r="E8649">
        <v>0.48775069999999998</v>
      </c>
      <c r="F8649" t="s">
        <v>42</v>
      </c>
      <c r="G8649">
        <v>-117.2482</v>
      </c>
      <c r="H8649" s="1">
        <v>-1.33793299999999E-6</v>
      </c>
      <c r="I8649">
        <v>138.62909999999999</v>
      </c>
      <c r="J8649">
        <v>-129.56139999999999</v>
      </c>
      <c r="K8649">
        <v>1.1136189999999999</v>
      </c>
      <c r="L8649">
        <v>137.88339999999999</v>
      </c>
      <c r="M8649">
        <v>0.99988220000000005</v>
      </c>
      <c r="N8649">
        <v>0</v>
      </c>
      <c r="O8649">
        <v>-4.9589339999999999E-3</v>
      </c>
      <c r="P8649">
        <v>0.99070230000000004</v>
      </c>
      <c r="Q8649">
        <v>0.13275709999999999</v>
      </c>
      <c r="R8649">
        <v>2.9748630000000002E-2</v>
      </c>
      <c r="S8649">
        <v>3.0604550000000001</v>
      </c>
      <c r="T8649">
        <v>-0.26976620000000001</v>
      </c>
      <c r="U8649">
        <v>0.180954</v>
      </c>
      <c r="V8649">
        <v>-3.5792440000000002E-2</v>
      </c>
      <c r="W8649">
        <v>0.1468671</v>
      </c>
      <c r="X8649">
        <v>0.98850850000000001</v>
      </c>
      <c r="Y8649">
        <v>-6.3708150000000005E-2</v>
      </c>
      <c r="Z8649">
        <v>3.2358840000000001E-3</v>
      </c>
      <c r="AA8649">
        <v>0.9979633</v>
      </c>
      <c r="AB8649">
        <v>31</v>
      </c>
      <c r="AC8649">
        <v>12.313199999999901</v>
      </c>
      <c r="AD8649">
        <v>-1.1136203379330001</v>
      </c>
      <c r="AE8649">
        <v>0.74569999999999903</v>
      </c>
      <c r="AF8649">
        <v>-0.80023592194300797</v>
      </c>
      <c r="AG8649">
        <v>-1.1136203379330001</v>
      </c>
      <c r="AH8649">
        <v>12.209843535305801</v>
      </c>
      <c r="AI8649">
        <v>95.200248605004106</v>
      </c>
      <c r="AJ8649">
        <v>93.749815417843706</v>
      </c>
      <c r="AK8649">
        <v>12.286610881137101</v>
      </c>
      <c r="AL8649">
        <v>81.554586616272601</v>
      </c>
      <c r="AM8649">
        <v>92.073690044272595</v>
      </c>
      <c r="AN8649">
        <v>1.0000000491979</v>
      </c>
    </row>
    <row r="8650" spans="1:40" x14ac:dyDescent="0.25">
      <c r="A8650" t="str">
        <f>"20190312172317912"</f>
        <v>20190312172317912</v>
      </c>
      <c r="B8650" t="str">
        <f>"1552382597908704"</f>
        <v>1552382597908704</v>
      </c>
      <c r="C8650" t="s">
        <v>40</v>
      </c>
      <c r="D8650">
        <v>3.2981250000000002</v>
      </c>
      <c r="E8650">
        <v>0.48794470000000001</v>
      </c>
      <c r="F8650" t="s">
        <v>42</v>
      </c>
      <c r="G8650">
        <v>-117.17019999999999</v>
      </c>
      <c r="H8650" s="1">
        <v>-1.3759259999999999E-6</v>
      </c>
      <c r="I8650">
        <v>138.6035</v>
      </c>
      <c r="J8650">
        <v>-129.2313</v>
      </c>
      <c r="K8650">
        <v>1.113623</v>
      </c>
      <c r="L8650">
        <v>137.886</v>
      </c>
      <c r="M8650">
        <v>0.99989309999999998</v>
      </c>
      <c r="N8650">
        <v>0</v>
      </c>
      <c r="O8650">
        <v>-9.577206E-4</v>
      </c>
      <c r="P8650">
        <v>0.99146920000000005</v>
      </c>
      <c r="Q8650">
        <v>0.12737870000000001</v>
      </c>
      <c r="R8650">
        <v>2.76397E-2</v>
      </c>
      <c r="S8650">
        <v>3.0596619999999999</v>
      </c>
      <c r="T8650">
        <v>-0.27497870000000002</v>
      </c>
      <c r="U8650">
        <v>0.17781069999999999</v>
      </c>
      <c r="V8650">
        <v>-2.967908E-2</v>
      </c>
      <c r="W8650">
        <v>0.14161579999999999</v>
      </c>
      <c r="X8650">
        <v>0.98947669999999999</v>
      </c>
      <c r="Y8650">
        <v>-5.8733019999999997E-2</v>
      </c>
      <c r="Z8650">
        <v>2.7175569999999998E-3</v>
      </c>
      <c r="AA8650">
        <v>0.99826999999999999</v>
      </c>
      <c r="AB8650">
        <v>31</v>
      </c>
      <c r="AC8650">
        <v>12.0611</v>
      </c>
      <c r="AD8650">
        <v>-1.1136243759260001</v>
      </c>
      <c r="AE8650">
        <v>0.71750000000000103</v>
      </c>
      <c r="AF8650">
        <v>-0.72291085164636104</v>
      </c>
      <c r="AG8650">
        <v>-1.1136243759260001</v>
      </c>
      <c r="AH8650">
        <v>11.9588156823562</v>
      </c>
      <c r="AI8650">
        <v>95.310495128792098</v>
      </c>
      <c r="AJ8650">
        <v>93.459322401976394</v>
      </c>
      <c r="AK8650">
        <v>12.032291214671201</v>
      </c>
      <c r="AL8650">
        <v>81.858643665357405</v>
      </c>
      <c r="AM8650">
        <v>91.718055950756096</v>
      </c>
      <c r="AN8650">
        <v>1.0000000112210801</v>
      </c>
    </row>
    <row r="8651" spans="1:40" x14ac:dyDescent="0.25">
      <c r="A8651" t="str">
        <f>"20190312172317933"</f>
        <v>20190312172317933</v>
      </c>
      <c r="B8651" t="str">
        <f>"1552382597929201"</f>
        <v>1552382597929201</v>
      </c>
      <c r="C8651" t="s">
        <v>40</v>
      </c>
      <c r="D8651">
        <v>3.3322699999999998</v>
      </c>
      <c r="E8651">
        <v>0.48806329999999998</v>
      </c>
      <c r="F8651" t="s">
        <v>42</v>
      </c>
      <c r="G8651">
        <v>-117.43170000000001</v>
      </c>
      <c r="H8651" s="1">
        <v>-1.272168E-6</v>
      </c>
      <c r="I8651">
        <v>138.55609999999999</v>
      </c>
      <c r="J8651">
        <v>-128.9485</v>
      </c>
      <c r="K8651">
        <v>1.1136269999999999</v>
      </c>
      <c r="L8651">
        <v>137.88919999999999</v>
      </c>
      <c r="M8651">
        <v>0.99988869999999996</v>
      </c>
      <c r="N8651">
        <v>0</v>
      </c>
      <c r="O8651">
        <v>2.4552720000000001E-3</v>
      </c>
      <c r="P8651">
        <v>0.99225649999999999</v>
      </c>
      <c r="Q8651">
        <v>0.1217342</v>
      </c>
      <c r="R8651">
        <v>2.4657559999999999E-2</v>
      </c>
      <c r="S8651">
        <v>3.0580440000000002</v>
      </c>
      <c r="T8651">
        <v>-0.28861179999999997</v>
      </c>
      <c r="U8651">
        <v>0.17367550000000001</v>
      </c>
      <c r="V8651">
        <v>-2.3265129999999998E-2</v>
      </c>
      <c r="W8651">
        <v>0.13615089999999999</v>
      </c>
      <c r="X8651">
        <v>0.99041489999999999</v>
      </c>
      <c r="Y8651">
        <v>-5.4021479999999997E-2</v>
      </c>
      <c r="Z8651">
        <v>2.3104850000000001E-3</v>
      </c>
      <c r="AA8651">
        <v>0.99853709999999996</v>
      </c>
      <c r="AB8651">
        <v>31</v>
      </c>
      <c r="AC8651">
        <v>11.5167999999999</v>
      </c>
      <c r="AD8651">
        <v>-1.113628272168</v>
      </c>
      <c r="AE8651">
        <v>0.66689999999999805</v>
      </c>
      <c r="AF8651">
        <v>-0.63272180159420899</v>
      </c>
      <c r="AG8651">
        <v>-1.113628272168</v>
      </c>
      <c r="AH8651">
        <v>11.412055474723299</v>
      </c>
      <c r="AI8651">
        <v>95.564983045993301</v>
      </c>
      <c r="AJ8651">
        <v>93.173417030866304</v>
      </c>
      <c r="AK8651">
        <v>11.4837064994255</v>
      </c>
      <c r="AL8651">
        <v>82.174823914290101</v>
      </c>
      <c r="AM8651">
        <v>91.345646820171197</v>
      </c>
      <c r="AN8651">
        <v>1.0000000039933601</v>
      </c>
    </row>
    <row r="8652" spans="1:40" x14ac:dyDescent="0.25">
      <c r="A8652" t="str">
        <f>"20190312172317955"</f>
        <v>20190312172317955</v>
      </c>
      <c r="B8652" t="str">
        <f>"1552382597948721"</f>
        <v>1552382597948721</v>
      </c>
      <c r="C8652" t="s">
        <v>40</v>
      </c>
      <c r="D8652">
        <v>3.3010250000000001</v>
      </c>
      <c r="E8652">
        <v>0.48812939999999999</v>
      </c>
      <c r="F8652" t="s">
        <v>42</v>
      </c>
      <c r="G8652">
        <v>-117.7572</v>
      </c>
      <c r="H8652" s="1">
        <v>-1.1432459999999999E-6</v>
      </c>
      <c r="I8652">
        <v>138.4957</v>
      </c>
      <c r="J8652">
        <v>-128.63800000000001</v>
      </c>
      <c r="K8652">
        <v>1.1136429999999999</v>
      </c>
      <c r="L8652">
        <v>137.8939</v>
      </c>
      <c r="M8652">
        <v>0.99986989999999998</v>
      </c>
      <c r="N8652">
        <v>0</v>
      </c>
      <c r="O8652">
        <v>6.191523E-3</v>
      </c>
      <c r="P8652">
        <v>0.99225110000000005</v>
      </c>
      <c r="Q8652">
        <v>0.1220917</v>
      </c>
      <c r="R8652">
        <v>2.3057580000000001E-2</v>
      </c>
      <c r="S8652">
        <v>3.0566249999999999</v>
      </c>
      <c r="T8652">
        <v>-0.3041586</v>
      </c>
      <c r="U8652">
        <v>0.16563420000000001</v>
      </c>
      <c r="V8652">
        <v>-1.7956030000000001E-2</v>
      </c>
      <c r="W8652">
        <v>0.13673279999999999</v>
      </c>
      <c r="X8652">
        <v>0.99044520000000003</v>
      </c>
      <c r="Y8652">
        <v>-4.7720539999999999E-2</v>
      </c>
      <c r="Z8652">
        <v>1.752534E-3</v>
      </c>
      <c r="AA8652">
        <v>0.99885919999999895</v>
      </c>
      <c r="AB8652">
        <v>31</v>
      </c>
      <c r="AC8652">
        <v>10.880800000000001</v>
      </c>
      <c r="AD8652">
        <v>-1.113644143246</v>
      </c>
      <c r="AE8652">
        <v>0.601799999999997</v>
      </c>
      <c r="AF8652">
        <v>-0.52888883136321296</v>
      </c>
      <c r="AG8652">
        <v>-1.113644143246</v>
      </c>
      <c r="AH8652">
        <v>10.771822683134999</v>
      </c>
      <c r="AI8652">
        <v>95.895498250270506</v>
      </c>
      <c r="AJ8652">
        <v>92.810924664868594</v>
      </c>
      <c r="AK8652">
        <v>10.8421441878731</v>
      </c>
      <c r="AL8652">
        <v>82.141168616516794</v>
      </c>
      <c r="AM8652">
        <v>91.038615812059604</v>
      </c>
      <c r="AN8652">
        <v>0.99999998590612005</v>
      </c>
    </row>
    <row r="8653" spans="1:40" x14ac:dyDescent="0.25">
      <c r="A8653" t="str">
        <f>"20190312172317977"</f>
        <v>20190312172317977</v>
      </c>
      <c r="B8653" t="str">
        <f>"1552382597969217"</f>
        <v>1552382597969217</v>
      </c>
      <c r="C8653" t="s">
        <v>40</v>
      </c>
      <c r="D8653">
        <v>3.3314449999999902</v>
      </c>
      <c r="E8653">
        <v>0.48819079999999898</v>
      </c>
      <c r="F8653" t="s">
        <v>42</v>
      </c>
      <c r="G8653">
        <v>-117.33580000000001</v>
      </c>
      <c r="H8653" s="1">
        <v>-1.3252170000000001E-6</v>
      </c>
      <c r="I8653">
        <v>138.489</v>
      </c>
      <c r="J8653">
        <v>-128.3391</v>
      </c>
      <c r="K8653">
        <v>1.1136629999999901</v>
      </c>
      <c r="L8653">
        <v>137.89959999999999</v>
      </c>
      <c r="M8653">
        <v>0.999838</v>
      </c>
      <c r="N8653">
        <v>0</v>
      </c>
      <c r="O8653">
        <v>9.7795320000000005E-3</v>
      </c>
      <c r="P8653">
        <v>0.99168670000000003</v>
      </c>
      <c r="Q8653">
        <v>0.12665470000000001</v>
      </c>
      <c r="R8653">
        <v>2.2721760000000001E-2</v>
      </c>
      <c r="S8653">
        <v>3.0567470000000001</v>
      </c>
      <c r="T8653">
        <v>-0.30118929999999999</v>
      </c>
      <c r="U8653">
        <v>0.1609497</v>
      </c>
      <c r="V8653">
        <v>-1.409534E-2</v>
      </c>
      <c r="W8653">
        <v>0.1415247</v>
      </c>
      <c r="X8653">
        <v>0.9898344</v>
      </c>
      <c r="Y8653">
        <v>-4.2652710000000003E-2</v>
      </c>
      <c r="Z8653">
        <v>1.1341739999999999E-3</v>
      </c>
      <c r="AA8653">
        <v>0.99908929999999996</v>
      </c>
      <c r="AB8653">
        <v>31</v>
      </c>
      <c r="AC8653">
        <v>11.0032999999999</v>
      </c>
      <c r="AD8653">
        <v>-1.11366432521699</v>
      </c>
      <c r="AE8653">
        <v>0.58940000000001103</v>
      </c>
      <c r="AF8653">
        <v>-0.47688127825336302</v>
      </c>
      <c r="AG8653">
        <v>-1.11366432521699</v>
      </c>
      <c r="AH8653">
        <v>10.8972283453519</v>
      </c>
      <c r="AI8653">
        <v>95.829658797262994</v>
      </c>
      <c r="AJ8653">
        <v>92.505762159774903</v>
      </c>
      <c r="AK8653">
        <v>10.964362708044201</v>
      </c>
      <c r="AL8653">
        <v>81.863916565524704</v>
      </c>
      <c r="AM8653">
        <v>90.815842438610403</v>
      </c>
      <c r="AN8653">
        <v>1.0000000293715801</v>
      </c>
    </row>
    <row r="8654" spans="1:40" x14ac:dyDescent="0.25">
      <c r="A8654" t="str">
        <f>"20190312172317999"</f>
        <v>20190312172317999</v>
      </c>
      <c r="B8654" t="str">
        <f>"1552382597988737"</f>
        <v>1552382597988737</v>
      </c>
      <c r="C8654" t="s">
        <v>40</v>
      </c>
      <c r="D8654">
        <v>3.3199149999999999</v>
      </c>
      <c r="E8654">
        <v>0.48823109999999997</v>
      </c>
      <c r="F8654" t="s">
        <v>42</v>
      </c>
      <c r="G8654">
        <v>-116.3955</v>
      </c>
      <c r="H8654" s="1">
        <v>-1.722278E-6</v>
      </c>
      <c r="I8654">
        <v>138.52459999999999</v>
      </c>
      <c r="J8654">
        <v>-128.03460000000001</v>
      </c>
      <c r="K8654">
        <v>1.113677</v>
      </c>
      <c r="L8654">
        <v>137.90639999999999</v>
      </c>
      <c r="M8654">
        <v>0.99979229999999997</v>
      </c>
      <c r="N8654">
        <v>0</v>
      </c>
      <c r="O8654">
        <v>1.341958E-2</v>
      </c>
      <c r="P8654">
        <v>0.99088690000000001</v>
      </c>
      <c r="Q8654">
        <v>0.13268060000000001</v>
      </c>
      <c r="R8654">
        <v>2.3217850000000002E-2</v>
      </c>
      <c r="S8654">
        <v>3.0579070000000002</v>
      </c>
      <c r="T8654">
        <v>-0.28512900000000002</v>
      </c>
      <c r="U8654">
        <v>0.16003419999999999</v>
      </c>
      <c r="V8654">
        <v>-1.1032699999999999E-2</v>
      </c>
      <c r="W8654">
        <v>0.14778859999999999</v>
      </c>
      <c r="X8654">
        <v>0.98895750000000004</v>
      </c>
      <c r="Y8654">
        <v>-3.8745969999999998E-2</v>
      </c>
      <c r="Z8654">
        <v>5.5352739999999997E-4</v>
      </c>
      <c r="AA8654">
        <v>0.9992489</v>
      </c>
      <c r="AB8654">
        <v>31</v>
      </c>
      <c r="AC8654">
        <v>11.639099999999999</v>
      </c>
      <c r="AD8654">
        <v>-1.113678722278</v>
      </c>
      <c r="AE8654">
        <v>0.61820000000000097</v>
      </c>
      <c r="AF8654">
        <v>-0.45775493395092198</v>
      </c>
      <c r="AG8654">
        <v>-1.113678722278</v>
      </c>
      <c r="AH8654">
        <v>11.540982682248901</v>
      </c>
      <c r="AI8654">
        <v>95.507543123535697</v>
      </c>
      <c r="AJ8654">
        <v>92.271356426321205</v>
      </c>
      <c r="AK8654">
        <v>11.6036244832372</v>
      </c>
      <c r="AL8654">
        <v>81.501206176919894</v>
      </c>
      <c r="AM8654">
        <v>90.639158836489997</v>
      </c>
      <c r="AN8654">
        <v>1.00000006378274</v>
      </c>
    </row>
    <row r="8655" spans="1:40" x14ac:dyDescent="0.25">
      <c r="A8655" t="str">
        <f>"20190312172318021"</f>
        <v>20190312172318021</v>
      </c>
      <c r="B8655" t="str">
        <f>"1552382598018993"</f>
        <v>1552382598018993</v>
      </c>
      <c r="C8655" t="s">
        <v>40</v>
      </c>
      <c r="D8655">
        <v>3.3177859999999999</v>
      </c>
      <c r="E8655">
        <v>0.48825469999999999</v>
      </c>
      <c r="F8655" t="s">
        <v>42</v>
      </c>
      <c r="G8655">
        <v>-115.1335</v>
      </c>
      <c r="H8655" s="1">
        <v>-2.250989E-6</v>
      </c>
      <c r="I8655">
        <v>138.59610000000001</v>
      </c>
      <c r="J8655">
        <v>-127.73099999999999</v>
      </c>
      <c r="K8655">
        <v>1.113694</v>
      </c>
      <c r="L8655">
        <v>137.9144</v>
      </c>
      <c r="M8655">
        <v>0.99973350000000005</v>
      </c>
      <c r="N8655">
        <v>0</v>
      </c>
      <c r="O8655">
        <v>1.7024609999999999E-2</v>
      </c>
      <c r="P8655">
        <v>0.99054469999999994</v>
      </c>
      <c r="Q8655">
        <v>0.13510929999999999</v>
      </c>
      <c r="R8655">
        <v>2.3814720000000001E-2</v>
      </c>
      <c r="S8655">
        <v>3.0591279999999998</v>
      </c>
      <c r="T8655">
        <v>-0.26407709999999901</v>
      </c>
      <c r="U8655">
        <v>0.16355899999999901</v>
      </c>
      <c r="V8655">
        <v>-8.0749359999999996E-3</v>
      </c>
      <c r="W8655">
        <v>0.15049029999999899</v>
      </c>
      <c r="X8655">
        <v>0.98857850000000003</v>
      </c>
      <c r="Y8655">
        <v>-3.6308E-2</v>
      </c>
      <c r="Z8655" s="1">
        <v>9.728537E-5</v>
      </c>
      <c r="AA8655">
        <v>0.99934069999999997</v>
      </c>
      <c r="AB8655">
        <v>31</v>
      </c>
      <c r="AC8655">
        <v>12.5975</v>
      </c>
      <c r="AD8655">
        <v>-1.113696250989</v>
      </c>
      <c r="AE8655">
        <v>0.68170000000000597</v>
      </c>
      <c r="AF8655">
        <v>-0.46349564077253602</v>
      </c>
      <c r="AG8655">
        <v>-1.113696250989</v>
      </c>
      <c r="AH8655">
        <v>12.509794268613801</v>
      </c>
      <c r="AI8655">
        <v>95.083928935607901</v>
      </c>
      <c r="AJ8655">
        <v>92.121873608866807</v>
      </c>
      <c r="AK8655">
        <v>12.567820025427</v>
      </c>
      <c r="AL8655">
        <v>81.344658716426693</v>
      </c>
      <c r="AM8655">
        <v>90.467994664562795</v>
      </c>
      <c r="AN8655">
        <v>0.99999999282387197</v>
      </c>
    </row>
    <row r="8656" spans="1:40" x14ac:dyDescent="0.25">
      <c r="A8656" t="str">
        <f>"20190312172318044"</f>
        <v>20190312172318044</v>
      </c>
      <c r="B8656" t="str">
        <f>"1552382598039488"</f>
        <v>1552382598039488</v>
      </c>
      <c r="C8656" t="s">
        <v>40</v>
      </c>
      <c r="D8656">
        <v>3.3143590000000001</v>
      </c>
      <c r="E8656">
        <v>0.48826960000000003</v>
      </c>
      <c r="F8656" t="s">
        <v>42</v>
      </c>
      <c r="G8656">
        <v>-114.2761</v>
      </c>
      <c r="H8656" s="1">
        <v>-2.6074530000000002E-6</v>
      </c>
      <c r="I8656">
        <v>138.6601</v>
      </c>
      <c r="J8656">
        <v>-127.4209</v>
      </c>
      <c r="K8656">
        <v>1.113718</v>
      </c>
      <c r="L8656">
        <v>137.9237</v>
      </c>
      <c r="M8656">
        <v>0.99965939999999998</v>
      </c>
      <c r="N8656">
        <v>0</v>
      </c>
      <c r="O8656">
        <v>2.069052E-2</v>
      </c>
      <c r="P8656">
        <v>0.99148539999999996</v>
      </c>
      <c r="Q8656">
        <v>0.12799289999999999</v>
      </c>
      <c r="R8656">
        <v>2.397345E-2</v>
      </c>
      <c r="S8656">
        <v>3.059113</v>
      </c>
      <c r="T8656">
        <v>-0.25320930000000003</v>
      </c>
      <c r="U8656">
        <v>0.1695557</v>
      </c>
      <c r="V8656">
        <v>-4.520011E-3</v>
      </c>
      <c r="W8656">
        <v>0.143726399999999</v>
      </c>
      <c r="X8656">
        <v>0.98960720000000002</v>
      </c>
      <c r="Y8656">
        <v>-3.4620730000000002E-2</v>
      </c>
      <c r="Z8656">
        <v>-2.7897209999999998E-4</v>
      </c>
      <c r="AA8656">
        <v>0.99940050000000002</v>
      </c>
      <c r="AB8656">
        <v>31</v>
      </c>
      <c r="AC8656">
        <v>13.1448</v>
      </c>
      <c r="AD8656">
        <v>-1.1137206074529999</v>
      </c>
      <c r="AE8656">
        <v>0.73640000000000305</v>
      </c>
      <c r="AF8656">
        <v>-0.46093659767935202</v>
      </c>
      <c r="AG8656">
        <v>-1.1137206074529999</v>
      </c>
      <c r="AH8656">
        <v>13.0637368159041</v>
      </c>
      <c r="AI8656">
        <v>94.869829325930894</v>
      </c>
      <c r="AJ8656">
        <v>92.0207671615847</v>
      </c>
      <c r="AK8656">
        <v>13.1192246620658</v>
      </c>
      <c r="AL8656">
        <v>81.736465705424294</v>
      </c>
      <c r="AM8656">
        <v>90.261695501767093</v>
      </c>
      <c r="AN8656">
        <v>1.0000000594241101</v>
      </c>
    </row>
    <row r="8657" spans="1:40" x14ac:dyDescent="0.25">
      <c r="A8657" t="str">
        <f>"20190312172318065"</f>
        <v>20190312172318065</v>
      </c>
      <c r="B8657" t="str">
        <f>"1552382598059009"</f>
        <v>1552382598059009</v>
      </c>
      <c r="C8657" t="s">
        <v>40</v>
      </c>
      <c r="D8657">
        <v>3.3100070000000001</v>
      </c>
      <c r="E8657">
        <v>0.48825859999999899</v>
      </c>
      <c r="F8657" t="s">
        <v>42</v>
      </c>
      <c r="G8657">
        <v>-114.9472</v>
      </c>
      <c r="H8657" s="1">
        <v>-2.3252619999999998E-6</v>
      </c>
      <c r="I8657">
        <v>138.62799999999999</v>
      </c>
      <c r="J8657">
        <v>-127.12560000000001</v>
      </c>
      <c r="K8657">
        <v>1.1137220000000001</v>
      </c>
      <c r="L8657">
        <v>137.93369999999999</v>
      </c>
      <c r="M8657">
        <v>0.99957569999999996</v>
      </c>
      <c r="N8657">
        <v>0</v>
      </c>
      <c r="O8657">
        <v>2.4172599999999999E-2</v>
      </c>
      <c r="P8657">
        <v>0.9928941</v>
      </c>
      <c r="Q8657">
        <v>0.116586999999999</v>
      </c>
      <c r="R8657">
        <v>2.3857030000000001E-2</v>
      </c>
      <c r="S8657">
        <v>3.0568240000000002</v>
      </c>
      <c r="T8657">
        <v>-0.27292820000000001</v>
      </c>
      <c r="U8657">
        <v>0.1725922</v>
      </c>
      <c r="V8657">
        <v>-8.2265619999999904E-4</v>
      </c>
      <c r="W8657">
        <v>0.13271949999999999</v>
      </c>
      <c r="X8657">
        <v>0.99115330000000001</v>
      </c>
      <c r="Y8657">
        <v>-3.2185900000000003E-2</v>
      </c>
      <c r="Z8657">
        <v>-7.1914959999999997E-4</v>
      </c>
      <c r="AA8657">
        <v>0.99948159999999997</v>
      </c>
      <c r="AB8657">
        <v>31</v>
      </c>
      <c r="AC8657">
        <v>12.1784</v>
      </c>
      <c r="AD8657">
        <v>-1.1137243252619999</v>
      </c>
      <c r="AE8657">
        <v>0.69429999999999803</v>
      </c>
      <c r="AF8657">
        <v>-0.39637039402850499</v>
      </c>
      <c r="AG8657">
        <v>-1.1137243252619999</v>
      </c>
      <c r="AH8657">
        <v>12.090834736602</v>
      </c>
      <c r="AI8657">
        <v>95.260031031135696</v>
      </c>
      <c r="AJ8657">
        <v>91.877638788808099</v>
      </c>
      <c r="AK8657">
        <v>12.148488629857001</v>
      </c>
      <c r="AL8657">
        <v>82.373229801348799</v>
      </c>
      <c r="AM8657">
        <v>90.047555426013901</v>
      </c>
      <c r="AN8657">
        <v>1.0000000032721801</v>
      </c>
    </row>
    <row r="8658" spans="1:40" x14ac:dyDescent="0.25">
      <c r="A8658" t="str">
        <f>"20190312172318089"</f>
        <v>20190312172318089</v>
      </c>
      <c r="B8658" t="str">
        <f>"1552382598079504"</f>
        <v>1552382598079504</v>
      </c>
      <c r="C8658" t="s">
        <v>40</v>
      </c>
      <c r="D8658">
        <v>3.3416839999999901</v>
      </c>
      <c r="E8658">
        <v>0.48820000000000002</v>
      </c>
      <c r="F8658" t="s">
        <v>41</v>
      </c>
      <c r="G8658">
        <v>-126.2146</v>
      </c>
      <c r="H8658">
        <v>1.0225770000000001</v>
      </c>
      <c r="I8658">
        <v>137.98589999999999</v>
      </c>
      <c r="J8658">
        <v>-126.81959999999999</v>
      </c>
      <c r="K8658">
        <v>1.1137140000000001</v>
      </c>
      <c r="L8658">
        <v>137.9451</v>
      </c>
      <c r="M8658">
        <v>0.99947569999999997</v>
      </c>
      <c r="N8658">
        <v>0</v>
      </c>
      <c r="O8658">
        <v>2.7775000000000001E-2</v>
      </c>
      <c r="P8658">
        <v>0.99409040000000004</v>
      </c>
      <c r="Q8658">
        <v>0.1057511</v>
      </c>
      <c r="R8658">
        <v>2.4519340000000001E-2</v>
      </c>
      <c r="S8658">
        <v>3.0531459999999999</v>
      </c>
      <c r="T8658">
        <v>-0.30557079999999998</v>
      </c>
      <c r="U8658">
        <v>0.17526249999999999</v>
      </c>
      <c r="V8658">
        <v>2.2143290000000001E-3</v>
      </c>
      <c r="W8658">
        <v>0.1223119</v>
      </c>
      <c r="X8658">
        <v>0.99248919999999996</v>
      </c>
      <c r="Y8658">
        <v>-2.9545410000000001E-2</v>
      </c>
      <c r="Z8658">
        <v>-1.2965839999999999E-3</v>
      </c>
      <c r="AA8658">
        <v>0.99956259999999997</v>
      </c>
      <c r="AB8658">
        <v>30</v>
      </c>
      <c r="AC8658">
        <v>0.60499999999998899</v>
      </c>
      <c r="AD8658">
        <v>-9.1136999999999802E-2</v>
      </c>
      <c r="AE8658">
        <v>4.0799999999990101E-2</v>
      </c>
      <c r="AF8658">
        <v>-2.3448364649057099E-2</v>
      </c>
      <c r="AG8658">
        <v>-9.1136999999999802E-2</v>
      </c>
      <c r="AH8658">
        <v>0.59251523594547595</v>
      </c>
      <c r="AI8658">
        <v>98.737615739050099</v>
      </c>
      <c r="AJ8658">
        <v>92.266256712590703</v>
      </c>
      <c r="AK8658">
        <v>0.59994173333852896</v>
      </c>
      <c r="AL8658">
        <v>82.974451955217106</v>
      </c>
      <c r="AM8658">
        <v>89.872168386676293</v>
      </c>
      <c r="AN8658">
        <v>0.99999995812558395</v>
      </c>
    </row>
    <row r="8659" spans="1:40" x14ac:dyDescent="0.25">
      <c r="A8659" t="str">
        <f>"20190312172318111"</f>
        <v>20190312172318111</v>
      </c>
      <c r="B8659" t="str">
        <f>"1552382598099025"</f>
        <v>1552382598099025</v>
      </c>
      <c r="C8659" t="s">
        <v>40</v>
      </c>
      <c r="D8659">
        <v>3.3669820000000001</v>
      </c>
      <c r="E8659">
        <v>0.48816340000000003</v>
      </c>
      <c r="F8659" t="s">
        <v>41</v>
      </c>
      <c r="G8659">
        <v>-125.9508</v>
      </c>
      <c r="H8659">
        <v>1.017598</v>
      </c>
      <c r="I8659">
        <v>137.9949</v>
      </c>
      <c r="J8659">
        <v>-126.5224</v>
      </c>
      <c r="K8659">
        <v>1.1137410000000001</v>
      </c>
      <c r="L8659">
        <v>137.9573</v>
      </c>
      <c r="M8659">
        <v>0.99936590000000003</v>
      </c>
      <c r="N8659">
        <v>0</v>
      </c>
      <c r="O8659">
        <v>3.1261780000000003E-2</v>
      </c>
      <c r="P8659">
        <v>0.99442070000000005</v>
      </c>
      <c r="Q8659">
        <v>0.10232810000000001</v>
      </c>
      <c r="R8659">
        <v>2.5623429999999999E-2</v>
      </c>
      <c r="S8659">
        <v>3.049423</v>
      </c>
      <c r="T8659">
        <v>-0.33746219999999999</v>
      </c>
      <c r="U8659">
        <v>0.1749878</v>
      </c>
      <c r="V8659">
        <v>4.6207130000000003E-3</v>
      </c>
      <c r="W8659">
        <v>0.1193038</v>
      </c>
      <c r="X8659">
        <v>0.99284700000000004</v>
      </c>
      <c r="Y8659">
        <v>-2.6078170000000001E-2</v>
      </c>
      <c r="Z8659">
        <v>-2.0081349999999999E-3</v>
      </c>
      <c r="AA8659">
        <v>0.99965789999999999</v>
      </c>
      <c r="AB8659">
        <v>30</v>
      </c>
      <c r="AC8659">
        <v>0.57160000000000299</v>
      </c>
      <c r="AD8659">
        <v>-9.6143000000000006E-2</v>
      </c>
      <c r="AE8659">
        <v>3.7599999999997601E-2</v>
      </c>
      <c r="AF8659">
        <v>-1.91697883086802E-2</v>
      </c>
      <c r="AG8659">
        <v>-9.6143000000000006E-2</v>
      </c>
      <c r="AH8659">
        <v>0.55681118227250703</v>
      </c>
      <c r="AI8659">
        <v>99.790815341493399</v>
      </c>
      <c r="AJ8659">
        <v>91.971789288376002</v>
      </c>
      <c r="AK8659">
        <v>0.56537567151099399</v>
      </c>
      <c r="AL8659">
        <v>83.148075086316396</v>
      </c>
      <c r="AM8659">
        <v>89.733347190641894</v>
      </c>
      <c r="AN8659">
        <v>0.99999995654603302</v>
      </c>
    </row>
    <row r="8660" spans="1:40" x14ac:dyDescent="0.25">
      <c r="A8660" t="str">
        <f>"20190312172318133"</f>
        <v>20190312172318133</v>
      </c>
      <c r="B8660" t="str">
        <f>"1552382598129281"</f>
        <v>1552382598129281</v>
      </c>
      <c r="C8660" t="s">
        <v>40</v>
      </c>
      <c r="D8660">
        <v>3.3372259999999998</v>
      </c>
      <c r="E8660">
        <v>0.48809370000000002</v>
      </c>
      <c r="F8660" t="s">
        <v>41</v>
      </c>
      <c r="G8660">
        <v>-125.6837</v>
      </c>
      <c r="H8660">
        <v>1.0179149999999999</v>
      </c>
      <c r="I8660">
        <v>138.0051</v>
      </c>
      <c r="J8660">
        <v>-126.2299</v>
      </c>
      <c r="K8660">
        <v>1.1137790000000001</v>
      </c>
      <c r="L8660">
        <v>137.97030000000001</v>
      </c>
      <c r="M8660">
        <v>0.99924639999999998</v>
      </c>
      <c r="N8660">
        <v>0</v>
      </c>
      <c r="O8660">
        <v>3.4677989999999999E-2</v>
      </c>
      <c r="P8660">
        <v>0.99361569999999999</v>
      </c>
      <c r="Q8660">
        <v>0.1096028</v>
      </c>
      <c r="R8660">
        <v>2.674785E-2</v>
      </c>
      <c r="S8660">
        <v>3.048203</v>
      </c>
      <c r="T8660">
        <v>-0.34846709999999997</v>
      </c>
      <c r="U8660">
        <v>0.17424010000000001</v>
      </c>
      <c r="V8660">
        <v>6.8235600000000002E-3</v>
      </c>
      <c r="W8660">
        <v>0.1269769</v>
      </c>
      <c r="X8660">
        <v>0.99188220000000005</v>
      </c>
      <c r="Y8660">
        <v>-2.248644E-2</v>
      </c>
      <c r="Z8660">
        <v>-2.6672140000000002E-3</v>
      </c>
      <c r="AA8660">
        <v>0.99974359999999995</v>
      </c>
      <c r="AB8660">
        <v>30</v>
      </c>
      <c r="AC8660">
        <v>0.54619999999999802</v>
      </c>
      <c r="AD8660">
        <v>-9.5864000000000102E-2</v>
      </c>
      <c r="AE8660">
        <v>3.4799999999989902E-2</v>
      </c>
      <c r="AF8660">
        <v>-1.53637131557717E-2</v>
      </c>
      <c r="AG8660">
        <v>-9.5864000000000102E-2</v>
      </c>
      <c r="AH8660">
        <v>0.53079386676171603</v>
      </c>
      <c r="AI8660">
        <v>100.233348275282</v>
      </c>
      <c r="AJ8660">
        <v>91.657950982914201</v>
      </c>
      <c r="AK8660">
        <v>0.53959992510172505</v>
      </c>
      <c r="AL8660">
        <v>82.705066343509202</v>
      </c>
      <c r="AM8660">
        <v>89.605845309193498</v>
      </c>
      <c r="AN8660">
        <v>0.99999999639076098</v>
      </c>
    </row>
    <row r="8661" spans="1:40" x14ac:dyDescent="0.25">
      <c r="A8661" t="str">
        <f>"20190312172318155"</f>
        <v>20190312172318155</v>
      </c>
      <c r="B8661" t="str">
        <f>"1552382598148800"</f>
        <v>1552382598148800</v>
      </c>
      <c r="C8661" t="s">
        <v>40</v>
      </c>
      <c r="D8661">
        <v>3.5083099999999998</v>
      </c>
      <c r="E8661">
        <v>0.48653239999999998</v>
      </c>
      <c r="F8661" t="s">
        <v>41</v>
      </c>
      <c r="G8661">
        <v>-125.4122</v>
      </c>
      <c r="H8661">
        <v>1.0266649999999999</v>
      </c>
      <c r="I8661">
        <v>138.01779999999999</v>
      </c>
      <c r="J8661">
        <v>-125.9265</v>
      </c>
      <c r="K8661">
        <v>1.1138140000000001</v>
      </c>
      <c r="L8661">
        <v>137.98490000000001</v>
      </c>
      <c r="M8661">
        <v>0.99911030000000001</v>
      </c>
      <c r="N8661">
        <v>0</v>
      </c>
      <c r="O8661">
        <v>3.820577E-2</v>
      </c>
      <c r="P8661">
        <v>0.99269070000000004</v>
      </c>
      <c r="Q8661">
        <v>0.11711580000000001</v>
      </c>
      <c r="R8661">
        <v>2.913439E-2</v>
      </c>
      <c r="S8661">
        <v>3.050354</v>
      </c>
      <c r="T8661">
        <v>-0.32505430000000002</v>
      </c>
      <c r="U8661">
        <v>0.17744450000000001</v>
      </c>
      <c r="V8661">
        <v>7.8687280000000002E-3</v>
      </c>
      <c r="W8661">
        <v>0.13488710000000001</v>
      </c>
      <c r="X8661">
        <v>0.99082969999999904</v>
      </c>
      <c r="Y8661">
        <v>-1.9986509999999999E-2</v>
      </c>
      <c r="Z8661">
        <v>-2.994189E-3</v>
      </c>
      <c r="AA8661">
        <v>0.99979580000000001</v>
      </c>
      <c r="AB8661">
        <v>30</v>
      </c>
      <c r="AC8661">
        <v>0.51430000000000498</v>
      </c>
      <c r="AD8661">
        <v>-8.7148999999999893E-2</v>
      </c>
      <c r="AE8661">
        <v>3.2899999999983699E-2</v>
      </c>
      <c r="AF8661">
        <v>-1.28559699947023E-2</v>
      </c>
      <c r="AG8661">
        <v>-8.7148999999999893E-2</v>
      </c>
      <c r="AH8661">
        <v>0.50085857981651605</v>
      </c>
      <c r="AI8661">
        <v>99.867413150355404</v>
      </c>
      <c r="AJ8661">
        <v>91.470337437382597</v>
      </c>
      <c r="AK8661">
        <v>0.50854649850463196</v>
      </c>
      <c r="AL8661">
        <v>82.2479082884023</v>
      </c>
      <c r="AM8661">
        <v>89.544992013370404</v>
      </c>
      <c r="AN8661">
        <v>0.99999997051441802</v>
      </c>
    </row>
    <row r="8662" spans="1:40" x14ac:dyDescent="0.25">
      <c r="A8662" t="str">
        <f>"20190312172318178"</f>
        <v>20190312172318178</v>
      </c>
      <c r="B8662" t="str">
        <f>"1552382598169297"</f>
        <v>1552382598169297</v>
      </c>
      <c r="C8662" t="s">
        <v>40</v>
      </c>
      <c r="D8662">
        <v>3.5521929999999999</v>
      </c>
      <c r="E8662">
        <v>0.48658240000000003</v>
      </c>
      <c r="F8662" t="s">
        <v>42</v>
      </c>
      <c r="G8662">
        <v>-111.02290000000001</v>
      </c>
      <c r="H8662" s="1">
        <v>-3.9523770000000001E-6</v>
      </c>
      <c r="I8662">
        <v>138.94589999999999</v>
      </c>
      <c r="J8662">
        <v>-125.63760000000001</v>
      </c>
      <c r="K8662">
        <v>1.1138140000000001</v>
      </c>
      <c r="L8662">
        <v>137.99979999999999</v>
      </c>
      <c r="M8662">
        <v>0.99897100000000005</v>
      </c>
      <c r="N8662">
        <v>0</v>
      </c>
      <c r="O8662">
        <v>4.1525359999999997E-2</v>
      </c>
      <c r="P8662">
        <v>0.99189499999999997</v>
      </c>
      <c r="Q8662">
        <v>0.1223945</v>
      </c>
      <c r="R8662">
        <v>3.411637E-2</v>
      </c>
      <c r="S8662">
        <v>3.0431520000000001</v>
      </c>
      <c r="T8662">
        <v>-0.22742960000000001</v>
      </c>
      <c r="U8662">
        <v>0.19622800000000001</v>
      </c>
      <c r="V8662">
        <v>6.1361929999999999E-3</v>
      </c>
      <c r="W8662">
        <v>0.14051540000000001</v>
      </c>
      <c r="X8662">
        <v>0.99005949999999998</v>
      </c>
      <c r="Y8662">
        <v>-2.2898160000000001E-2</v>
      </c>
      <c r="Z8662">
        <v>-2.2411100000000002E-3</v>
      </c>
      <c r="AA8662">
        <v>0.99973529999999999</v>
      </c>
      <c r="AB8662">
        <v>30</v>
      </c>
      <c r="AC8662">
        <v>14.614699999999999</v>
      </c>
      <c r="AD8662">
        <v>-1.11381795237699</v>
      </c>
      <c r="AE8662">
        <v>0.94610000000000105</v>
      </c>
      <c r="AF8662">
        <v>-0.33635654155786499</v>
      </c>
      <c r="AG8662">
        <v>-1.11381795237699</v>
      </c>
      <c r="AH8662">
        <v>14.5571840277695</v>
      </c>
      <c r="AI8662">
        <v>94.3742003568494</v>
      </c>
      <c r="AJ8662">
        <v>91.323633862305996</v>
      </c>
      <c r="AK8662">
        <v>14.603606848050701</v>
      </c>
      <c r="AL8662">
        <v>81.922328866842804</v>
      </c>
      <c r="AM8662">
        <v>89.644896635415293</v>
      </c>
      <c r="AN8662">
        <v>1.0000000220209699</v>
      </c>
    </row>
    <row r="8663" spans="1:40" x14ac:dyDescent="0.25">
      <c r="A8663" t="str">
        <f>"20190312172318200"</f>
        <v>20190312172318200</v>
      </c>
      <c r="B8663" t="str">
        <f>"1552382598188817"</f>
        <v>1552382598188817</v>
      </c>
      <c r="C8663" t="s">
        <v>40</v>
      </c>
      <c r="D8663">
        <v>3.4888170000000001</v>
      </c>
      <c r="E8663">
        <v>0.48671029999999998</v>
      </c>
      <c r="F8663" t="s">
        <v>42</v>
      </c>
      <c r="G8663">
        <v>-109.5896</v>
      </c>
      <c r="H8663" s="1">
        <v>-2.7639359999999998E-7</v>
      </c>
      <c r="I8663">
        <v>139.1105</v>
      </c>
      <c r="J8663">
        <v>-125.3488</v>
      </c>
      <c r="K8663">
        <v>1.113777</v>
      </c>
      <c r="L8663">
        <v>138.0155</v>
      </c>
      <c r="M8663">
        <v>0.99882459999999995</v>
      </c>
      <c r="N8663">
        <v>0</v>
      </c>
      <c r="O8663">
        <v>4.4764579999999998E-2</v>
      </c>
      <c r="P8663">
        <v>0.99174240000000002</v>
      </c>
      <c r="Q8663">
        <v>0.1217042</v>
      </c>
      <c r="R8663">
        <v>4.0441570000000003E-2</v>
      </c>
      <c r="S8663">
        <v>3.04332</v>
      </c>
      <c r="T8663">
        <v>-0.2112232</v>
      </c>
      <c r="U8663">
        <v>0.21063229999999999</v>
      </c>
      <c r="V8663">
        <v>3.0601030000000002E-3</v>
      </c>
      <c r="W8663">
        <v>0.1401599</v>
      </c>
      <c r="X8663">
        <v>0.99012420000000001</v>
      </c>
      <c r="Y8663">
        <v>-2.436027E-2</v>
      </c>
      <c r="Z8663">
        <v>-2.2546950000000001E-3</v>
      </c>
      <c r="AA8663">
        <v>0.9997007</v>
      </c>
      <c r="AB8663">
        <v>30</v>
      </c>
      <c r="AC8663">
        <v>15.7591999999999</v>
      </c>
      <c r="AD8663">
        <v>-1.1137772763936</v>
      </c>
      <c r="AE8663">
        <v>1.09499999999999</v>
      </c>
      <c r="AF8663">
        <v>-0.38640527755349402</v>
      </c>
      <c r="AG8663">
        <v>-1.1137772763936</v>
      </c>
      <c r="AH8663">
        <v>15.7143080782098</v>
      </c>
      <c r="AI8663">
        <v>94.052931432539296</v>
      </c>
      <c r="AJ8663">
        <v>91.408584519669006</v>
      </c>
      <c r="AK8663">
        <v>15.7584671601276</v>
      </c>
      <c r="AL8663">
        <v>81.942901304533095</v>
      </c>
      <c r="AM8663">
        <v>89.822920772437698</v>
      </c>
      <c r="AN8663">
        <v>1.000000046612</v>
      </c>
    </row>
    <row r="8664" spans="1:40" x14ac:dyDescent="0.25">
      <c r="A8664" t="str">
        <f>"20190312172318222"</f>
        <v>20190312172318222</v>
      </c>
      <c r="B8664" t="str">
        <f>"1552382598219073"</f>
        <v>1552382598219073</v>
      </c>
      <c r="C8664" t="s">
        <v>40</v>
      </c>
      <c r="D8664">
        <v>3.3340960000000002</v>
      </c>
      <c r="E8664">
        <v>0.48700310000000002</v>
      </c>
      <c r="F8664" t="s">
        <v>42</v>
      </c>
      <c r="G8664">
        <v>-109.3151</v>
      </c>
      <c r="H8664" s="1">
        <v>-3.742223E-7</v>
      </c>
      <c r="I8664">
        <v>139.2218</v>
      </c>
      <c r="J8664">
        <v>-125.0573</v>
      </c>
      <c r="K8664">
        <v>1.113677</v>
      </c>
      <c r="L8664">
        <v>138.03229999999999</v>
      </c>
      <c r="M8664">
        <v>0.99867379999999994</v>
      </c>
      <c r="N8664">
        <v>0</v>
      </c>
      <c r="O8664">
        <v>4.7871469999999999E-2</v>
      </c>
      <c r="P8664">
        <v>0.99211680000000002</v>
      </c>
      <c r="Q8664">
        <v>0.116495</v>
      </c>
      <c r="R8664">
        <v>4.6186640000000001E-2</v>
      </c>
      <c r="S8664">
        <v>3.0415649999999999</v>
      </c>
      <c r="T8664">
        <v>-0.21128130000000001</v>
      </c>
      <c r="U8664">
        <v>0.22883609999999999</v>
      </c>
      <c r="V8664">
        <v>5.0584000000000002E-4</v>
      </c>
      <c r="W8664">
        <v>0.135292</v>
      </c>
      <c r="X8664">
        <v>0.99080559999999995</v>
      </c>
      <c r="Y8664">
        <v>-2.724242E-2</v>
      </c>
      <c r="Z8664">
        <v>-2.3711320000000002E-3</v>
      </c>
      <c r="AA8664">
        <v>0.99962600000000001</v>
      </c>
      <c r="AB8664">
        <v>30</v>
      </c>
      <c r="AC8664">
        <v>15.742199999999899</v>
      </c>
      <c r="AD8664">
        <v>-1.1136773742223001</v>
      </c>
      <c r="AE8664">
        <v>1.1895</v>
      </c>
      <c r="AF8664">
        <v>-0.43224716828271598</v>
      </c>
      <c r="AG8664">
        <v>-1.1136773742223001</v>
      </c>
      <c r="AH8664">
        <v>15.7029542806491</v>
      </c>
      <c r="AI8664">
        <v>94.055180360573999</v>
      </c>
      <c r="AJ8664">
        <v>91.576753376236695</v>
      </c>
      <c r="AK8664">
        <v>15.7483296907482</v>
      </c>
      <c r="AL8664">
        <v>82.224494512783707</v>
      </c>
      <c r="AM8664">
        <v>89.970748555931806</v>
      </c>
      <c r="AN8664">
        <v>0.99999995906473105</v>
      </c>
    </row>
    <row r="8665" spans="1:40" x14ac:dyDescent="0.25">
      <c r="A8665" t="str">
        <f>"20190312172318245"</f>
        <v>20190312172318245</v>
      </c>
      <c r="B8665" t="str">
        <f>"1552382598239568"</f>
        <v>1552382598239568</v>
      </c>
      <c r="C8665" t="s">
        <v>40</v>
      </c>
      <c r="D8665">
        <v>3.4255339999999999</v>
      </c>
      <c r="E8665">
        <v>0.48705609999999999</v>
      </c>
      <c r="F8665" t="s">
        <v>42</v>
      </c>
      <c r="G8665">
        <v>-110.0224</v>
      </c>
      <c r="H8665" s="1">
        <v>-4.3291730000000003E-6</v>
      </c>
      <c r="I8665">
        <v>139.2413</v>
      </c>
      <c r="J8665">
        <v>-124.76690000000001</v>
      </c>
      <c r="K8665">
        <v>1.1135139999999999</v>
      </c>
      <c r="L8665">
        <v>138.0498</v>
      </c>
      <c r="M8665">
        <v>0.99852459999999998</v>
      </c>
      <c r="N8665">
        <v>0</v>
      </c>
      <c r="O8665">
        <v>5.075839E-2</v>
      </c>
      <c r="P8665">
        <v>0.99245030000000001</v>
      </c>
      <c r="Q8665">
        <v>0.1117078</v>
      </c>
      <c r="R8665">
        <v>5.0634569999999997E-2</v>
      </c>
      <c r="S8665">
        <v>3.0388950000000001</v>
      </c>
      <c r="T8665">
        <v>-0.2251003</v>
      </c>
      <c r="U8665">
        <v>0.24436949999999999</v>
      </c>
      <c r="V8665">
        <v>-9.5901020000000001E-4</v>
      </c>
      <c r="W8665">
        <v>0.13085479999999999</v>
      </c>
      <c r="X8665">
        <v>0.99140110000000004</v>
      </c>
      <c r="Y8665">
        <v>-2.9505090000000001E-2</v>
      </c>
      <c r="Z8665">
        <v>-2.6567230000000002E-3</v>
      </c>
      <c r="AA8665">
        <v>0.99956109999999998</v>
      </c>
      <c r="AB8665">
        <v>29</v>
      </c>
      <c r="AC8665">
        <v>14.7445</v>
      </c>
      <c r="AD8665">
        <v>-1.113518329173</v>
      </c>
      <c r="AE8665">
        <v>1.19149999999999</v>
      </c>
      <c r="AF8665">
        <v>-0.43892998068127798</v>
      </c>
      <c r="AG8665">
        <v>-1.113518329173</v>
      </c>
      <c r="AH8665">
        <v>14.702665283406301</v>
      </c>
      <c r="AI8665">
        <v>94.329152856055302</v>
      </c>
      <c r="AJ8665">
        <v>91.709987109380506</v>
      </c>
      <c r="AK8665">
        <v>14.751303299479201</v>
      </c>
      <c r="AL8665">
        <v>82.481009430949399</v>
      </c>
      <c r="AM8665">
        <v>90.055423803576105</v>
      </c>
      <c r="AN8665">
        <v>1.0000000197323999</v>
      </c>
    </row>
    <row r="8666" spans="1:40" x14ac:dyDescent="0.25">
      <c r="A8666" t="str">
        <f>"20190312172318267"</f>
        <v>20190312172318267</v>
      </c>
      <c r="B8666" t="str">
        <f>"1552382598258668"</f>
        <v>1552382598258668</v>
      </c>
      <c r="C8666" t="s">
        <v>40</v>
      </c>
      <c r="D8666">
        <v>3.337145</v>
      </c>
      <c r="E8666">
        <v>0.48740050000000001</v>
      </c>
      <c r="F8666" t="s">
        <v>42</v>
      </c>
      <c r="G8666">
        <v>-110.5976</v>
      </c>
      <c r="H8666" s="1">
        <v>-4.0798479999999999E-6</v>
      </c>
      <c r="I8666">
        <v>139.25579999999999</v>
      </c>
      <c r="J8666">
        <v>-124.4811</v>
      </c>
      <c r="K8666">
        <v>1.113354</v>
      </c>
      <c r="L8666">
        <v>138.0675</v>
      </c>
      <c r="M8666">
        <v>0.99838009999999999</v>
      </c>
      <c r="N8666">
        <v>0</v>
      </c>
      <c r="O8666">
        <v>5.3397899999999998E-2</v>
      </c>
      <c r="P8666">
        <v>0.99246449999999997</v>
      </c>
      <c r="Q8666">
        <v>0.1101227</v>
      </c>
      <c r="R8666">
        <v>5.3731189999999998E-2</v>
      </c>
      <c r="S8666">
        <v>3.0364990000000001</v>
      </c>
      <c r="T8666">
        <v>-0.23862829999999999</v>
      </c>
      <c r="U8666">
        <v>0.2584534</v>
      </c>
      <c r="V8666">
        <v>-1.35065799999999E-3</v>
      </c>
      <c r="W8666">
        <v>0.1296175</v>
      </c>
      <c r="X8666">
        <v>0.99156310000000003</v>
      </c>
      <c r="Y8666">
        <v>-3.1538860000000002E-2</v>
      </c>
      <c r="Z8666">
        <v>-2.9441850000000002E-3</v>
      </c>
      <c r="AA8666">
        <v>0.9994982</v>
      </c>
      <c r="AB8666">
        <v>29</v>
      </c>
      <c r="AC8666">
        <v>13.8834999999999</v>
      </c>
      <c r="AD8666">
        <v>-1.1133580798480001</v>
      </c>
      <c r="AE8666">
        <v>1.1882999999999899</v>
      </c>
      <c r="AF8666">
        <v>-0.44228758509287502</v>
      </c>
      <c r="AG8666">
        <v>-1.1133580798480001</v>
      </c>
      <c r="AH8666">
        <v>13.838801197444599</v>
      </c>
      <c r="AI8666">
        <v>94.597311319102403</v>
      </c>
      <c r="AJ8666">
        <v>91.8305479433984</v>
      </c>
      <c r="AK8666">
        <v>13.890558055898399</v>
      </c>
      <c r="AL8666">
        <v>82.552509961254799</v>
      </c>
      <c r="AM8666">
        <v>90.078045416477195</v>
      </c>
      <c r="AN8666">
        <v>0.99999995093244498</v>
      </c>
    </row>
    <row r="8667" spans="1:40" x14ac:dyDescent="0.25">
      <c r="A8667" t="str">
        <f>"20190312172318289"</f>
        <v>20190312172318289</v>
      </c>
      <c r="B8667" t="str">
        <f>"1552382598279156"</f>
        <v>1552382598279156</v>
      </c>
      <c r="C8667" t="s">
        <v>40</v>
      </c>
      <c r="D8667">
        <v>3.3474810000000002</v>
      </c>
      <c r="E8667">
        <v>0.48757790000000001</v>
      </c>
      <c r="F8667" t="s">
        <v>42</v>
      </c>
      <c r="G8667">
        <v>-110.48</v>
      </c>
      <c r="H8667" s="1">
        <v>-4.1239219999999998E-6</v>
      </c>
      <c r="I8667">
        <v>139.29169999999999</v>
      </c>
      <c r="J8667">
        <v>-124.1956</v>
      </c>
      <c r="K8667">
        <v>1.1131850000000001</v>
      </c>
      <c r="L8667">
        <v>138.0857</v>
      </c>
      <c r="M8667">
        <v>0.9982434</v>
      </c>
      <c r="N8667">
        <v>0</v>
      </c>
      <c r="O8667">
        <v>5.5776689999999997E-2</v>
      </c>
      <c r="P8667">
        <v>0.99190780000000001</v>
      </c>
      <c r="Q8667">
        <v>0.114193</v>
      </c>
      <c r="R8667">
        <v>5.5488660000000002E-2</v>
      </c>
      <c r="S8667">
        <v>3.0351870000000001</v>
      </c>
      <c r="T8667">
        <v>-0.2413566</v>
      </c>
      <c r="U8667">
        <v>0.26538089999999998</v>
      </c>
      <c r="V8667">
        <v>-7.2091619999999903E-4</v>
      </c>
      <c r="W8667">
        <v>0.134015299999999</v>
      </c>
      <c r="X8667">
        <v>0.99097900000000005</v>
      </c>
      <c r="Y8667">
        <v>-3.1466979999999999E-2</v>
      </c>
      <c r="Z8667">
        <v>-3.1696469999999998E-3</v>
      </c>
      <c r="AA8667">
        <v>0.99949969999999999</v>
      </c>
      <c r="AB8667">
        <v>29</v>
      </c>
      <c r="AC8667">
        <v>13.715599999999901</v>
      </c>
      <c r="AD8667">
        <v>-1.113189123922</v>
      </c>
      <c r="AE8667">
        <v>1.20599999999998</v>
      </c>
      <c r="AF8667">
        <v>-0.43610763162341099</v>
      </c>
      <c r="AG8667">
        <v>-1.113189123922</v>
      </c>
      <c r="AH8667">
        <v>13.6721483415756</v>
      </c>
      <c r="AI8667">
        <v>94.652410572615693</v>
      </c>
      <c r="AJ8667">
        <v>91.826973848726595</v>
      </c>
      <c r="AK8667">
        <v>13.724322211534799</v>
      </c>
      <c r="AL8667">
        <v>82.2983166711672</v>
      </c>
      <c r="AM8667">
        <v>90.041681456777496</v>
      </c>
      <c r="AN8667">
        <v>0.99999999939762796</v>
      </c>
    </row>
    <row r="8668" spans="1:40" x14ac:dyDescent="0.25">
      <c r="A8668" t="str">
        <f>"20190312172318312"</f>
        <v>20190312172318312</v>
      </c>
      <c r="B8668" t="str">
        <f>"1552382598309413"</f>
        <v>1552382598309413</v>
      </c>
      <c r="C8668" t="s">
        <v>40</v>
      </c>
      <c r="D8668">
        <v>3.4664820000000001</v>
      </c>
      <c r="E8668">
        <v>0.48789929999999898</v>
      </c>
      <c r="F8668" t="s">
        <v>42</v>
      </c>
      <c r="G8668">
        <v>-109.38639999999999</v>
      </c>
      <c r="H8668" s="1">
        <v>-3.0977510000000002E-7</v>
      </c>
      <c r="I8668">
        <v>139.39500000000001</v>
      </c>
      <c r="J8668">
        <v>-123.9075</v>
      </c>
      <c r="K8668">
        <v>1.1129830000000001</v>
      </c>
      <c r="L8668">
        <v>138.1045</v>
      </c>
      <c r="M8668">
        <v>0.99811859999999997</v>
      </c>
      <c r="N8668">
        <v>0</v>
      </c>
      <c r="O8668">
        <v>5.785701E-2</v>
      </c>
      <c r="P8668">
        <v>0.99135879999999998</v>
      </c>
      <c r="Q8668">
        <v>0.1183714</v>
      </c>
      <c r="R8668">
        <v>5.6534500000000001E-2</v>
      </c>
      <c r="S8668">
        <v>3.035736</v>
      </c>
      <c r="T8668">
        <v>-0.22819139999999999</v>
      </c>
      <c r="U8668">
        <v>0.26840209999999998</v>
      </c>
      <c r="V8668">
        <v>3.3365149999999998E-4</v>
      </c>
      <c r="W8668">
        <v>0.138505399999999</v>
      </c>
      <c r="X8668">
        <v>0.99036159999999995</v>
      </c>
      <c r="Y8668">
        <v>-3.0355759999999999E-2</v>
      </c>
      <c r="Z8668">
        <v>-3.1937049999999998E-3</v>
      </c>
      <c r="AA8668">
        <v>0.99953409999999998</v>
      </c>
      <c r="AB8668">
        <v>29</v>
      </c>
      <c r="AC8668">
        <v>14.521100000000001</v>
      </c>
      <c r="AD8668">
        <v>-1.1129833097751001</v>
      </c>
      <c r="AE8668">
        <v>1.2905</v>
      </c>
      <c r="AF8668">
        <v>-0.445420723646274</v>
      </c>
      <c r="AG8668">
        <v>-1.1129833097751001</v>
      </c>
      <c r="AH8668">
        <v>14.4870067688597</v>
      </c>
      <c r="AI8668">
        <v>94.391126815811702</v>
      </c>
      <c r="AJ8668">
        <v>91.761073954067399</v>
      </c>
      <c r="AK8668">
        <v>14.536522850732799</v>
      </c>
      <c r="AL8668">
        <v>82.038630411005002</v>
      </c>
      <c r="AM8668">
        <v>89.980697129154706</v>
      </c>
      <c r="AN8668">
        <v>0.99999997795352102</v>
      </c>
    </row>
    <row r="8669" spans="1:40" x14ac:dyDescent="0.25">
      <c r="A8669" t="str">
        <f>"20190312172318334"</f>
        <v>20190312172318334</v>
      </c>
      <c r="B8669" t="str">
        <f>"1552382598328931"</f>
        <v>1552382598328931</v>
      </c>
      <c r="C8669" t="s">
        <v>40</v>
      </c>
      <c r="D8669">
        <v>3.3590270000000002</v>
      </c>
      <c r="E8669">
        <v>0.49251030000000001</v>
      </c>
      <c r="F8669" t="s">
        <v>42</v>
      </c>
      <c r="G8669">
        <v>-108.17440000000001</v>
      </c>
      <c r="H8669" s="1">
        <v>-8.6453940000000003E-7</v>
      </c>
      <c r="I8669">
        <v>139.4974</v>
      </c>
      <c r="J8669">
        <v>-123.63079999999999</v>
      </c>
      <c r="K8669">
        <v>1.1127579999999999</v>
      </c>
      <c r="L8669">
        <v>138.12270000000001</v>
      </c>
      <c r="M8669">
        <v>0.99801439999999997</v>
      </c>
      <c r="N8669">
        <v>0</v>
      </c>
      <c r="O8669">
        <v>5.9528980000000002E-2</v>
      </c>
      <c r="P8669">
        <v>0.99080259999999998</v>
      </c>
      <c r="Q8669">
        <v>0.1225923</v>
      </c>
      <c r="R8669">
        <v>5.7281520000000002E-2</v>
      </c>
      <c r="S8669">
        <v>3.0364689999999999</v>
      </c>
      <c r="T8669">
        <v>-0.21480399999999999</v>
      </c>
      <c r="U8669">
        <v>0.26882929999999999</v>
      </c>
      <c r="V8669">
        <v>1.289419E-3</v>
      </c>
      <c r="W8669">
        <v>0.14299829999999999</v>
      </c>
      <c r="X8669">
        <v>0.98972210000000005</v>
      </c>
      <c r="Y8669">
        <v>-2.8798540000000001E-2</v>
      </c>
      <c r="Z8669">
        <v>-3.1786230000000002E-3</v>
      </c>
      <c r="AA8669">
        <v>0.99958020000000003</v>
      </c>
      <c r="AB8669">
        <v>29</v>
      </c>
      <c r="AC8669">
        <v>15.456399999999901</v>
      </c>
      <c r="AD8669">
        <v>-1.1127588645394</v>
      </c>
      <c r="AE8669">
        <v>1.37469999999998</v>
      </c>
      <c r="AF8669">
        <v>-0.449650127218507</v>
      </c>
      <c r="AG8669">
        <v>-1.1127588645394</v>
      </c>
      <c r="AH8669">
        <v>15.4314750897911</v>
      </c>
      <c r="AI8669">
        <v>94.1226981562492</v>
      </c>
      <c r="AJ8669">
        <v>91.669041145710295</v>
      </c>
      <c r="AK8669">
        <v>15.4780761393127</v>
      </c>
      <c r="AL8669">
        <v>81.778617741050894</v>
      </c>
      <c r="AM8669">
        <v>89.925354576879798</v>
      </c>
      <c r="AN8669">
        <v>1.0000000058163201</v>
      </c>
    </row>
    <row r="8670" spans="1:40" x14ac:dyDescent="0.25">
      <c r="A8670" t="str">
        <f>"20190312172318357"</f>
        <v>20190312172318357</v>
      </c>
      <c r="B8670" t="str">
        <f>"1552382598349431"</f>
        <v>1552382598349431</v>
      </c>
      <c r="C8670" t="s">
        <v>40</v>
      </c>
      <c r="D8670">
        <v>3.370015</v>
      </c>
      <c r="E8670">
        <v>0.49196200000000001</v>
      </c>
      <c r="F8670" t="s">
        <v>42</v>
      </c>
      <c r="G8670">
        <v>-106.03700000000001</v>
      </c>
      <c r="H8670" s="1">
        <v>-1.879224E-6</v>
      </c>
      <c r="I8670">
        <v>139.47309999999999</v>
      </c>
      <c r="J8670">
        <v>-123.3459</v>
      </c>
      <c r="K8670">
        <v>1.1125020000000001</v>
      </c>
      <c r="L8670">
        <v>138.14160000000001</v>
      </c>
      <c r="M8670">
        <v>0.99792530000000002</v>
      </c>
      <c r="N8670">
        <v>0</v>
      </c>
      <c r="O8670">
        <v>6.0913759999999997E-2</v>
      </c>
      <c r="P8670">
        <v>0.99027710000000002</v>
      </c>
      <c r="Q8670">
        <v>0.1263397</v>
      </c>
      <c r="R8670">
        <v>5.8222790000000003E-2</v>
      </c>
      <c r="S8670">
        <v>3.0381619999999998</v>
      </c>
      <c r="T8670">
        <v>-0.19215550000000001</v>
      </c>
      <c r="U8670">
        <v>0.2331848</v>
      </c>
      <c r="V8670">
        <v>1.784861E-3</v>
      </c>
      <c r="W8670">
        <v>0.14700239999999901</v>
      </c>
      <c r="X8670">
        <v>0.98913459999999997</v>
      </c>
      <c r="Y8670">
        <v>-1.5725929999999999E-2</v>
      </c>
      <c r="Z8670">
        <v>-3.3438700000000001E-3</v>
      </c>
      <c r="AA8670">
        <v>0.99987079999999995</v>
      </c>
      <c r="AB8670">
        <v>28</v>
      </c>
      <c r="AC8670">
        <v>17.308899999999898</v>
      </c>
      <c r="AD8670">
        <v>-1.1125038792240001</v>
      </c>
      <c r="AE8670">
        <v>1.3314999999999699</v>
      </c>
      <c r="AF8670">
        <v>-0.27332451716811901</v>
      </c>
      <c r="AG8670">
        <v>-1.1125038792240001</v>
      </c>
      <c r="AH8670">
        <v>17.286874812952899</v>
      </c>
      <c r="AI8670">
        <v>93.681756509467107</v>
      </c>
      <c r="AJ8670">
        <v>90.905833856921504</v>
      </c>
      <c r="AK8670">
        <v>17.324791830543798</v>
      </c>
      <c r="AL8670">
        <v>81.546749646645594</v>
      </c>
      <c r="AM8670">
        <v>89.896611754029607</v>
      </c>
      <c r="AN8670">
        <v>1.0000000741258499</v>
      </c>
    </row>
    <row r="8671" spans="1:40" x14ac:dyDescent="0.25">
      <c r="A8671" t="str">
        <f>"20190312172318379"</f>
        <v>20190312172318379</v>
      </c>
      <c r="B8671" t="str">
        <f>"1552382598369371"</f>
        <v>1552382598369371</v>
      </c>
      <c r="C8671" t="s">
        <v>40</v>
      </c>
      <c r="D8671">
        <v>3.3533469999999999</v>
      </c>
      <c r="E8671">
        <v>0.49241629999999997</v>
      </c>
      <c r="F8671" t="s">
        <v>42</v>
      </c>
      <c r="G8671">
        <v>-106.59610000000001</v>
      </c>
      <c r="H8671" s="1">
        <v>-1.6163779999999999E-6</v>
      </c>
      <c r="I8671">
        <v>139.4649</v>
      </c>
      <c r="J8671">
        <v>-123.0718</v>
      </c>
      <c r="K8671">
        <v>1.1122510000000001</v>
      </c>
      <c r="L8671">
        <v>138.15979999999999</v>
      </c>
      <c r="M8671">
        <v>0.99785860000000004</v>
      </c>
      <c r="N8671">
        <v>0</v>
      </c>
      <c r="O8671">
        <v>6.1912830000000002E-2</v>
      </c>
      <c r="P8671">
        <v>0.98995040000000001</v>
      </c>
      <c r="Q8671">
        <v>0.12897649999999999</v>
      </c>
      <c r="R8671">
        <v>5.7992549999999997E-2</v>
      </c>
      <c r="S8671">
        <v>3.0411069999999998</v>
      </c>
      <c r="T8671">
        <v>-0.20198640000000001</v>
      </c>
      <c r="U8671">
        <v>0.24024960000000001</v>
      </c>
      <c r="V8671">
        <v>3.0863029999999999E-3</v>
      </c>
      <c r="W8671">
        <v>0.14987839999999999</v>
      </c>
      <c r="X8671">
        <v>0.98869960000000001</v>
      </c>
      <c r="Y8671">
        <v>-1.6968110000000002E-2</v>
      </c>
      <c r="Z8671">
        <v>-3.535711E-3</v>
      </c>
      <c r="AA8671">
        <v>0.99984980000000001</v>
      </c>
      <c r="AB8671">
        <v>28</v>
      </c>
      <c r="AC8671">
        <v>16.4756999999999</v>
      </c>
      <c r="AD8671">
        <v>-1.112252616378</v>
      </c>
      <c r="AE8671">
        <v>1.3051000000000099</v>
      </c>
      <c r="AF8671">
        <v>-0.28103804711685798</v>
      </c>
      <c r="AG8671">
        <v>-1.112252616378</v>
      </c>
      <c r="AH8671">
        <v>16.450394827676899</v>
      </c>
      <c r="AI8671">
        <v>93.867462299046196</v>
      </c>
      <c r="AJ8671">
        <v>90.978744150275404</v>
      </c>
      <c r="AK8671">
        <v>16.490348033107999</v>
      </c>
      <c r="AL8671">
        <v>81.380120093330703</v>
      </c>
      <c r="AM8671">
        <v>89.821147331468097</v>
      </c>
      <c r="AN8671">
        <v>0.99999997954646302</v>
      </c>
    </row>
    <row r="8672" spans="1:40" x14ac:dyDescent="0.25">
      <c r="A8672" t="str">
        <f>"20190312172318401"</f>
        <v>20190312172318401</v>
      </c>
      <c r="B8672" t="str">
        <f>"1552382598388889"</f>
        <v>1552382598388889</v>
      </c>
      <c r="C8672" t="s">
        <v>40</v>
      </c>
      <c r="D8672">
        <v>3.4680749999999998</v>
      </c>
      <c r="E8672">
        <v>0.49288320000000002</v>
      </c>
      <c r="F8672" t="s">
        <v>42</v>
      </c>
      <c r="G8672">
        <v>-105.98269999999999</v>
      </c>
      <c r="H8672" s="1">
        <v>-1.9014210000000001E-6</v>
      </c>
      <c r="I8672">
        <v>139.49250000000001</v>
      </c>
      <c r="J8672">
        <v>-122.8036</v>
      </c>
      <c r="K8672">
        <v>1.111998</v>
      </c>
      <c r="L8672">
        <v>138.17750000000001</v>
      </c>
      <c r="M8672">
        <v>0.99781419999999998</v>
      </c>
      <c r="N8672">
        <v>0</v>
      </c>
      <c r="O8672">
        <v>6.2543760000000004E-2</v>
      </c>
      <c r="P8672">
        <v>0.98998560000000002</v>
      </c>
      <c r="Q8672">
        <v>0.12931689999999901</v>
      </c>
      <c r="R8672">
        <v>5.661865E-2</v>
      </c>
      <c r="S8672">
        <v>3.0423429999999998</v>
      </c>
      <c r="T8672">
        <v>-0.19801270000000001</v>
      </c>
      <c r="U8672">
        <v>0.23725889999999999</v>
      </c>
      <c r="V8672">
        <v>5.1905320000000003E-3</v>
      </c>
      <c r="W8672">
        <v>0.150454</v>
      </c>
      <c r="X8672">
        <v>0.98860340000000002</v>
      </c>
      <c r="Y8672">
        <v>-1.532768E-2</v>
      </c>
      <c r="Z8672">
        <v>-3.5591899999999998E-3</v>
      </c>
      <c r="AA8672">
        <v>0.99987619999999999</v>
      </c>
      <c r="AB8672">
        <v>28</v>
      </c>
      <c r="AC8672">
        <v>16.820900000000002</v>
      </c>
      <c r="AD8672">
        <v>-1.111999901421</v>
      </c>
      <c r="AE8672">
        <v>1.31499999999999</v>
      </c>
      <c r="AF8672">
        <v>-0.25901743546146899</v>
      </c>
      <c r="AG8672">
        <v>-1.111999901421</v>
      </c>
      <c r="AH8672">
        <v>16.797254094323701</v>
      </c>
      <c r="AI8672">
        <v>93.787079005645495</v>
      </c>
      <c r="AJ8672">
        <v>90.883443786334695</v>
      </c>
      <c r="AK8672">
        <v>16.836014341936998</v>
      </c>
      <c r="AL8672">
        <v>81.346762700839903</v>
      </c>
      <c r="AM8672">
        <v>89.699178816937604</v>
      </c>
      <c r="AN8672">
        <v>1.0000000151149999</v>
      </c>
    </row>
    <row r="8673" spans="1:40" x14ac:dyDescent="0.25">
      <c r="A8673" t="str">
        <f>"20190312172318424"</f>
        <v>20190312172318424</v>
      </c>
      <c r="B8673" t="str">
        <f>"1552382598419145"</f>
        <v>1552382598419145</v>
      </c>
      <c r="C8673" t="s">
        <v>40</v>
      </c>
      <c r="D8673">
        <v>3.3867569999999998</v>
      </c>
      <c r="E8673">
        <v>0.49294729999999998</v>
      </c>
      <c r="F8673" t="s">
        <v>42</v>
      </c>
      <c r="G8673">
        <v>-106.5407</v>
      </c>
      <c r="H8673" s="1">
        <v>-1.6519950000000001E-6</v>
      </c>
      <c r="I8673">
        <v>139.4118</v>
      </c>
      <c r="J8673">
        <v>-122.52549999999999</v>
      </c>
      <c r="K8673">
        <v>1.1117619999999999</v>
      </c>
      <c r="L8673">
        <v>138.19560000000001</v>
      </c>
      <c r="M8673">
        <v>0.99778900000000004</v>
      </c>
      <c r="N8673">
        <v>0</v>
      </c>
      <c r="O8673">
        <v>6.2861559999999997E-2</v>
      </c>
      <c r="P8673">
        <v>0.99022880000000002</v>
      </c>
      <c r="Q8673">
        <v>0.12824079999999999</v>
      </c>
      <c r="R8673">
        <v>5.4785229999999997E-2</v>
      </c>
      <c r="S8673">
        <v>3.0443120000000001</v>
      </c>
      <c r="T8673">
        <v>-0.2081586</v>
      </c>
      <c r="U8673">
        <v>0.23104859999999999</v>
      </c>
      <c r="V8673">
        <v>7.4527519999999896E-3</v>
      </c>
      <c r="W8673">
        <v>0.14962049999999999</v>
      </c>
      <c r="X8673">
        <v>0.98871540000000002</v>
      </c>
      <c r="Y8673">
        <v>-1.294753E-2</v>
      </c>
      <c r="Z8673">
        <v>-3.8419050000000001E-3</v>
      </c>
      <c r="AA8673">
        <v>0.99990880000000004</v>
      </c>
      <c r="AB8673">
        <v>28</v>
      </c>
      <c r="AC8673">
        <v>15.9847999999999</v>
      </c>
      <c r="AD8673">
        <v>-1.111763651995</v>
      </c>
      <c r="AE8673">
        <v>1.21619999999998</v>
      </c>
      <c r="AF8673">
        <v>-0.207731017843195</v>
      </c>
      <c r="AG8673">
        <v>-1.111763651995</v>
      </c>
      <c r="AH8673">
        <v>15.952915245608001</v>
      </c>
      <c r="AI8673">
        <v>93.986178462120606</v>
      </c>
      <c r="AJ8673">
        <v>90.746035302987394</v>
      </c>
      <c r="AK8673">
        <v>15.9929570570055</v>
      </c>
      <c r="AL8673">
        <v>81.395065286015296</v>
      </c>
      <c r="AM8673">
        <v>89.568123295909103</v>
      </c>
      <c r="AN8673">
        <v>0.99999998986489103</v>
      </c>
    </row>
    <row r="8674" spans="1:40" x14ac:dyDescent="0.25">
      <c r="A8674" t="str">
        <f>"20190312172318445"</f>
        <v>20190312172318445</v>
      </c>
      <c r="B8674" t="str">
        <f>"1552382598438665"</f>
        <v>1552382598438665</v>
      </c>
      <c r="C8674" t="s">
        <v>40</v>
      </c>
      <c r="D8674">
        <v>3.5779920000000001</v>
      </c>
      <c r="E8674">
        <v>0.49290390000000001</v>
      </c>
      <c r="F8674" t="s">
        <v>42</v>
      </c>
      <c r="G8674">
        <v>-106.7747</v>
      </c>
      <c r="H8674" s="1">
        <v>-1.5506410000000001E-6</v>
      </c>
      <c r="I8674">
        <v>139.3595</v>
      </c>
      <c r="J8674">
        <v>-122.25579999999999</v>
      </c>
      <c r="K8674">
        <v>1.111569</v>
      </c>
      <c r="L8674">
        <v>138.21289999999999</v>
      </c>
      <c r="M8674">
        <v>0.99778009999999995</v>
      </c>
      <c r="N8674">
        <v>0</v>
      </c>
      <c r="O8674">
        <v>6.2922649999999997E-2</v>
      </c>
      <c r="P8674">
        <v>0.99033899999999997</v>
      </c>
      <c r="Q8674">
        <v>0.12853429999999999</v>
      </c>
      <c r="R8674">
        <v>5.203576E-2</v>
      </c>
      <c r="S8674">
        <v>3.0449980000000001</v>
      </c>
      <c r="T8674">
        <v>-0.21493110000000001</v>
      </c>
      <c r="U8674">
        <v>0.22500609999999999</v>
      </c>
      <c r="V8674">
        <v>1.034527E-2</v>
      </c>
      <c r="W8674">
        <v>0.15013859999999901</v>
      </c>
      <c r="X8674">
        <v>0.98861080000000001</v>
      </c>
      <c r="Y8674">
        <v>-1.0908609999999999E-2</v>
      </c>
      <c r="Z8674">
        <v>-4.0421529999999997E-3</v>
      </c>
      <c r="AA8674">
        <v>0.9999323</v>
      </c>
      <c r="AB8674">
        <v>27</v>
      </c>
      <c r="AC8674">
        <v>15.4810999999999</v>
      </c>
      <c r="AD8674">
        <v>-1.1115705506410001</v>
      </c>
      <c r="AE8674">
        <v>1.1466000000000001</v>
      </c>
      <c r="AF8674">
        <v>-0.16911613273693499</v>
      </c>
      <c r="AG8674">
        <v>-1.1115705506410001</v>
      </c>
      <c r="AH8674">
        <v>15.4433884618556</v>
      </c>
      <c r="AI8674">
        <v>94.116639288689598</v>
      </c>
      <c r="AJ8674">
        <v>90.627404625867399</v>
      </c>
      <c r="AK8674">
        <v>15.484264158789699</v>
      </c>
      <c r="AL8674">
        <v>81.365041014928906</v>
      </c>
      <c r="AM8674">
        <v>89.400452964518493</v>
      </c>
      <c r="AN8674">
        <v>0.99999996884898601</v>
      </c>
    </row>
    <row r="8675" spans="1:40" x14ac:dyDescent="0.25">
      <c r="A8675" t="str">
        <f>"20190312172318467"</f>
        <v>20190312172318467</v>
      </c>
      <c r="B8675" t="str">
        <f>"1552382598459161"</f>
        <v>1552382598459161</v>
      </c>
      <c r="C8675" t="s">
        <v>40</v>
      </c>
      <c r="D8675">
        <v>3.5428060000000001</v>
      </c>
      <c r="E8675">
        <v>0.49312260000000002</v>
      </c>
      <c r="F8675" t="s">
        <v>42</v>
      </c>
      <c r="G8675">
        <v>-107.0117</v>
      </c>
      <c r="H8675" s="1">
        <v>-1.449536E-6</v>
      </c>
      <c r="I8675">
        <v>139.29810000000001</v>
      </c>
      <c r="J8675">
        <v>-121.9864</v>
      </c>
      <c r="K8675">
        <v>1.111407</v>
      </c>
      <c r="L8675">
        <v>138.22989999999999</v>
      </c>
      <c r="M8675">
        <v>0.99778560000000005</v>
      </c>
      <c r="N8675">
        <v>0</v>
      </c>
      <c r="O8675">
        <v>6.2756580000000006E-2</v>
      </c>
      <c r="P8675">
        <v>0.99038479999999995</v>
      </c>
      <c r="Q8675">
        <v>0.12934989999999999</v>
      </c>
      <c r="R8675">
        <v>4.9058129999999998E-2</v>
      </c>
      <c r="S8675">
        <v>3.0467070000000001</v>
      </c>
      <c r="T8675">
        <v>-0.22215969999999999</v>
      </c>
      <c r="U8675">
        <v>0.21688840000000001</v>
      </c>
      <c r="V8675">
        <v>1.322306E-2</v>
      </c>
      <c r="W8675">
        <v>0.15116350000000001</v>
      </c>
      <c r="X8675">
        <v>0.98842030000000003</v>
      </c>
      <c r="Y8675">
        <v>-8.398038E-3</v>
      </c>
      <c r="Z8675">
        <v>-4.2551830000000001E-3</v>
      </c>
      <c r="AA8675">
        <v>0.9999557</v>
      </c>
      <c r="AB8675">
        <v>27</v>
      </c>
      <c r="AC8675">
        <v>14.9747</v>
      </c>
      <c r="AD8675">
        <v>-1.1114084495359999</v>
      </c>
      <c r="AE8675">
        <v>1.06820000000001</v>
      </c>
      <c r="AF8675">
        <v>-0.125416877707935</v>
      </c>
      <c r="AG8675">
        <v>-1.1114084495359999</v>
      </c>
      <c r="AH8675">
        <v>14.9303940463176</v>
      </c>
      <c r="AI8675">
        <v>94.257057715622693</v>
      </c>
      <c r="AJ8675">
        <v>90.481279244314393</v>
      </c>
      <c r="AK8675">
        <v>14.972228441792801</v>
      </c>
      <c r="AL8675">
        <v>81.305640650395205</v>
      </c>
      <c r="AM8675">
        <v>89.233544335696905</v>
      </c>
      <c r="AN8675">
        <v>0.99999997125005102</v>
      </c>
    </row>
    <row r="8676" spans="1:40" x14ac:dyDescent="0.25">
      <c r="A8676" t="str">
        <f>"20190312172318491"</f>
        <v>20190312172318491</v>
      </c>
      <c r="B8676" t="str">
        <f>"1552382598478681"</f>
        <v>1552382598478681</v>
      </c>
      <c r="C8676" t="s">
        <v>40</v>
      </c>
      <c r="D8676">
        <v>3.3458749999999999</v>
      </c>
      <c r="E8676">
        <v>0.49338589999999999</v>
      </c>
      <c r="F8676" t="s">
        <v>42</v>
      </c>
      <c r="G8676">
        <v>-106.4653</v>
      </c>
      <c r="H8676" s="1">
        <v>-1.711038E-6</v>
      </c>
      <c r="I8676">
        <v>139.2799</v>
      </c>
      <c r="J8676">
        <v>-121.7183</v>
      </c>
      <c r="K8676">
        <v>1.111256</v>
      </c>
      <c r="L8676">
        <v>138.2466</v>
      </c>
      <c r="M8676">
        <v>0.99780449999999998</v>
      </c>
      <c r="N8676">
        <v>0</v>
      </c>
      <c r="O8676">
        <v>6.2379690000000002E-2</v>
      </c>
      <c r="P8676">
        <v>0.99050039999999995</v>
      </c>
      <c r="Q8676">
        <v>0.12950639999999999</v>
      </c>
      <c r="R8676">
        <v>4.622925E-2</v>
      </c>
      <c r="S8676">
        <v>3.047409</v>
      </c>
      <c r="T8676">
        <v>-0.21821370000000001</v>
      </c>
      <c r="U8676">
        <v>0.2061615</v>
      </c>
      <c r="V8676">
        <v>1.5741310000000001E-2</v>
      </c>
      <c r="W8676">
        <v>0.15152209999999999</v>
      </c>
      <c r="X8676">
        <v>0.98832850000000005</v>
      </c>
      <c r="Y8676">
        <v>-5.2580869999999998E-3</v>
      </c>
      <c r="Z8676">
        <v>-4.2647780000000003E-3</v>
      </c>
      <c r="AA8676">
        <v>0.99997709999999995</v>
      </c>
      <c r="AB8676">
        <v>27</v>
      </c>
      <c r="AC8676">
        <v>15.253</v>
      </c>
      <c r="AD8676">
        <v>-1.111257711038</v>
      </c>
      <c r="AE8676">
        <v>1.0332999999999899</v>
      </c>
      <c r="AF8676">
        <v>-7.9155447100589804E-2</v>
      </c>
      <c r="AG8676">
        <v>-1.111257711038</v>
      </c>
      <c r="AH8676">
        <v>15.2074028681028</v>
      </c>
      <c r="AI8676">
        <v>94.179316715820406</v>
      </c>
      <c r="AJ8676">
        <v>90.298225287171704</v>
      </c>
      <c r="AK8676">
        <v>15.248155995986099</v>
      </c>
      <c r="AL8676">
        <v>81.284855034641893</v>
      </c>
      <c r="AM8676">
        <v>89.087515563599297</v>
      </c>
      <c r="AN8676">
        <v>0.99999997977058697</v>
      </c>
    </row>
    <row r="8677" spans="1:40" x14ac:dyDescent="0.25">
      <c r="A8677" t="str">
        <f>"20190312172318513"</f>
        <v>20190312172318513</v>
      </c>
      <c r="B8677" t="str">
        <f>"1552382598508937"</f>
        <v>1552382598508937</v>
      </c>
      <c r="C8677" t="s">
        <v>40</v>
      </c>
      <c r="D8677">
        <v>3.3096939999999999</v>
      </c>
      <c r="E8677">
        <v>0.49368810000000002</v>
      </c>
      <c r="F8677" t="s">
        <v>42</v>
      </c>
      <c r="G8677">
        <v>-105.9748</v>
      </c>
      <c r="H8677" s="1">
        <v>-1.9456789999999999E-6</v>
      </c>
      <c r="I8677">
        <v>139.26419999999999</v>
      </c>
      <c r="J8677">
        <v>-121.4502</v>
      </c>
      <c r="K8677">
        <v>1.1111070000000001</v>
      </c>
      <c r="L8677">
        <v>138.2629</v>
      </c>
      <c r="M8677">
        <v>0.99783520000000003</v>
      </c>
      <c r="N8677">
        <v>0</v>
      </c>
      <c r="O8677">
        <v>6.1812199999999998E-2</v>
      </c>
      <c r="P8677">
        <v>0.99064359999999996</v>
      </c>
      <c r="Q8677">
        <v>0.12903429999999999</v>
      </c>
      <c r="R8677">
        <v>4.4451009999999999E-2</v>
      </c>
      <c r="S8677">
        <v>3.0476990000000002</v>
      </c>
      <c r="T8677">
        <v>-0.2151217</v>
      </c>
      <c r="U8677">
        <v>0.19700619999999999</v>
      </c>
      <c r="V8677">
        <v>1.702043E-2</v>
      </c>
      <c r="W8677">
        <v>0.151253</v>
      </c>
      <c r="X8677">
        <v>0.98834849999999996</v>
      </c>
      <c r="Y8677">
        <v>-2.8297999999999999E-3</v>
      </c>
      <c r="Z8677">
        <v>-4.2502659999999999E-3</v>
      </c>
      <c r="AA8677">
        <v>0.99998690000000001</v>
      </c>
      <c r="AB8677">
        <v>27</v>
      </c>
      <c r="AC8677">
        <v>15.475399999999899</v>
      </c>
      <c r="AD8677">
        <v>-1.111108945679</v>
      </c>
      <c r="AE8677">
        <v>1.0012999999999801</v>
      </c>
      <c r="AF8677">
        <v>-4.23571582817261E-2</v>
      </c>
      <c r="AG8677">
        <v>-1.111108945679</v>
      </c>
      <c r="AH8677">
        <v>15.428498637067401</v>
      </c>
      <c r="AI8677">
        <v>94.119123876509207</v>
      </c>
      <c r="AJ8677">
        <v>90.157298539642099</v>
      </c>
      <c r="AK8677">
        <v>15.468514066063801</v>
      </c>
      <c r="AL8677">
        <v>81.300452942679698</v>
      </c>
      <c r="AM8677">
        <v>89.013402238015701</v>
      </c>
      <c r="AN8677">
        <v>0.99999996124931601</v>
      </c>
    </row>
    <row r="8678" spans="1:40" x14ac:dyDescent="0.25">
      <c r="A8678" t="str">
        <f>"20190312172318535"</f>
        <v>20190312172318535</v>
      </c>
      <c r="B8678" t="str">
        <f>"1552382598529433"</f>
        <v>1552382598529433</v>
      </c>
      <c r="C8678" t="s">
        <v>40</v>
      </c>
      <c r="D8678">
        <v>3.3382230000000002</v>
      </c>
      <c r="E8678">
        <v>0.49396370000000001</v>
      </c>
      <c r="F8678" t="s">
        <v>42</v>
      </c>
      <c r="G8678">
        <v>-105.64319999999999</v>
      </c>
      <c r="H8678" s="1">
        <v>-2.1058569999999999E-6</v>
      </c>
      <c r="I8678">
        <v>139.2448</v>
      </c>
      <c r="J8678">
        <v>-121.1915</v>
      </c>
      <c r="K8678">
        <v>1.1109770000000001</v>
      </c>
      <c r="L8678">
        <v>138.2782</v>
      </c>
      <c r="M8678">
        <v>0.99787429999999999</v>
      </c>
      <c r="N8678">
        <v>0</v>
      </c>
      <c r="O8678">
        <v>6.109991E-2</v>
      </c>
      <c r="P8678">
        <v>0.99074549999999995</v>
      </c>
      <c r="Q8678">
        <v>0.12875799999999901</v>
      </c>
      <c r="R8678">
        <v>4.2952740000000003E-2</v>
      </c>
      <c r="S8678">
        <v>3.0477449999999999</v>
      </c>
      <c r="T8678">
        <v>-0.2142327</v>
      </c>
      <c r="U8678">
        <v>0.1893311</v>
      </c>
      <c r="V8678">
        <v>1.7869340000000001E-2</v>
      </c>
      <c r="W8678">
        <v>0.15117520000000001</v>
      </c>
      <c r="X8678">
        <v>0.98834540000000004</v>
      </c>
      <c r="Y8678">
        <v>-1.0356439999999901E-3</v>
      </c>
      <c r="Z8678">
        <v>-4.2461870000000002E-3</v>
      </c>
      <c r="AA8678">
        <v>0.9999905</v>
      </c>
      <c r="AB8678">
        <v>27</v>
      </c>
      <c r="AC8678">
        <v>15.548299999999999</v>
      </c>
      <c r="AD8678">
        <v>-1.110979105857</v>
      </c>
      <c r="AE8678">
        <v>0.96659999999999902</v>
      </c>
      <c r="AF8678">
        <v>-1.44756826994244E-2</v>
      </c>
      <c r="AG8678">
        <v>-1.110979105857</v>
      </c>
      <c r="AH8678">
        <v>15.4994804808161</v>
      </c>
      <c r="AI8678">
        <v>94.099860415011307</v>
      </c>
      <c r="AJ8678">
        <v>90.053511166656506</v>
      </c>
      <c r="AK8678">
        <v>15.539252855084101</v>
      </c>
      <c r="AL8678">
        <v>81.304962240500103</v>
      </c>
      <c r="AM8678">
        <v>88.964201961860695</v>
      </c>
      <c r="AN8678">
        <v>0.99999994205411602</v>
      </c>
    </row>
    <row r="8679" spans="1:40" x14ac:dyDescent="0.25">
      <c r="A8679" t="str">
        <f>"20190312172318557"</f>
        <v>20190312172318557</v>
      </c>
      <c r="B8679" t="str">
        <f>"1552382598548953"</f>
        <v>1552382598548953</v>
      </c>
      <c r="C8679" t="s">
        <v>40</v>
      </c>
      <c r="D8679">
        <v>3.3249840000000002</v>
      </c>
      <c r="E8679">
        <v>0.49406739999999999</v>
      </c>
      <c r="F8679" t="s">
        <v>42</v>
      </c>
      <c r="G8679">
        <v>-105.41249999999999</v>
      </c>
      <c r="H8679" s="1">
        <v>-2.2189519999999998E-6</v>
      </c>
      <c r="I8679">
        <v>139.22200000000001</v>
      </c>
      <c r="J8679">
        <v>-120.9314</v>
      </c>
      <c r="K8679">
        <v>1.110887</v>
      </c>
      <c r="L8679">
        <v>138.29320000000001</v>
      </c>
      <c r="M8679">
        <v>0.99792190000000003</v>
      </c>
      <c r="N8679">
        <v>0</v>
      </c>
      <c r="O8679">
        <v>6.0227870000000003E-2</v>
      </c>
      <c r="P8679">
        <v>0.99065590000000003</v>
      </c>
      <c r="Q8679">
        <v>0.130216</v>
      </c>
      <c r="R8679">
        <v>4.0556750000000003E-2</v>
      </c>
      <c r="S8679">
        <v>3.048019</v>
      </c>
      <c r="T8679">
        <v>-0.2146074</v>
      </c>
      <c r="U8679">
        <v>0.182312</v>
      </c>
      <c r="V8679">
        <v>1.9441110000000001E-2</v>
      </c>
      <c r="W8679">
        <v>0.1528535</v>
      </c>
      <c r="X8679">
        <v>0.98805759999999998</v>
      </c>
      <c r="Y8679">
        <v>3.887683E-4</v>
      </c>
      <c r="Z8679">
        <v>-4.2425029999999999E-3</v>
      </c>
      <c r="AA8679">
        <v>0.99999090000000002</v>
      </c>
      <c r="AB8679">
        <v>26</v>
      </c>
      <c r="AC8679">
        <v>15.5189</v>
      </c>
      <c r="AD8679">
        <v>-1.1108892189520001</v>
      </c>
      <c r="AE8679">
        <v>0.92879999999999496</v>
      </c>
      <c r="AF8679">
        <v>7.76284164410934E-3</v>
      </c>
      <c r="AG8679">
        <v>-1.1108892189520001</v>
      </c>
      <c r="AH8679">
        <v>15.4676918689242</v>
      </c>
      <c r="AI8679">
        <v>94.107927489136799</v>
      </c>
      <c r="AJ8679">
        <v>89.971244706083993</v>
      </c>
      <c r="AK8679">
        <v>15.507534519403</v>
      </c>
      <c r="AL8679">
        <v>81.207672417999802</v>
      </c>
      <c r="AM8679">
        <v>88.872788551980406</v>
      </c>
      <c r="AN8679">
        <v>0.99999998506901999</v>
      </c>
    </row>
    <row r="8680" spans="1:40" x14ac:dyDescent="0.25">
      <c r="A8680" t="str">
        <f>"20190312172318580"</f>
        <v>20190312172318580</v>
      </c>
      <c r="B8680" t="str">
        <f>"1552382598569450"</f>
        <v>1552382598569450</v>
      </c>
      <c r="C8680" t="s">
        <v>40</v>
      </c>
      <c r="D8680">
        <v>3.4663840000000001</v>
      </c>
      <c r="E8680">
        <v>0.49426769999999998</v>
      </c>
      <c r="F8680" t="s">
        <v>42</v>
      </c>
      <c r="G8680">
        <v>-104.7238</v>
      </c>
      <c r="H8680" s="1">
        <v>-2.5447680000000001E-6</v>
      </c>
      <c r="I8680">
        <v>139.22059999999999</v>
      </c>
      <c r="J8680">
        <v>-120.6747</v>
      </c>
      <c r="K8680">
        <v>1.1108370000000001</v>
      </c>
      <c r="L8680">
        <v>138.30760000000001</v>
      </c>
      <c r="M8680">
        <v>0.99797590000000003</v>
      </c>
      <c r="N8680">
        <v>0</v>
      </c>
      <c r="O8680">
        <v>5.9216369999999997E-2</v>
      </c>
      <c r="P8680">
        <v>0.99064549999999996</v>
      </c>
      <c r="Q8680">
        <v>0.1310636</v>
      </c>
      <c r="R8680">
        <v>3.8003750000000003E-2</v>
      </c>
      <c r="S8680">
        <v>3.0486300000000002</v>
      </c>
      <c r="T8680">
        <v>-0.20895639999999999</v>
      </c>
      <c r="U8680">
        <v>0.17445369999999999</v>
      </c>
      <c r="V8680">
        <v>2.102706E-2</v>
      </c>
      <c r="W8680">
        <v>0.1539721</v>
      </c>
      <c r="X8680">
        <v>0.98785140000000005</v>
      </c>
      <c r="Y8680">
        <v>1.9627920000000001E-3</v>
      </c>
      <c r="Z8680">
        <v>-4.1154240000000003E-3</v>
      </c>
      <c r="AA8680">
        <v>0.99998960000000003</v>
      </c>
      <c r="AB8680">
        <v>26</v>
      </c>
      <c r="AC8680">
        <v>15.950900000000001</v>
      </c>
      <c r="AD8680">
        <v>-1.110839544768</v>
      </c>
      <c r="AE8680">
        <v>0.91299999999998205</v>
      </c>
      <c r="AF8680">
        <v>3.3250644945793599E-2</v>
      </c>
      <c r="AG8680">
        <v>-1.110839544768</v>
      </c>
      <c r="AH8680">
        <v>15.900110871674199</v>
      </c>
      <c r="AI8680">
        <v>93.996389123938201</v>
      </c>
      <c r="AJ8680">
        <v>89.880182040257296</v>
      </c>
      <c r="AK8680">
        <v>15.938901964412199</v>
      </c>
      <c r="AL8680">
        <v>81.142813403211704</v>
      </c>
      <c r="AM8680">
        <v>88.780606179951604</v>
      </c>
      <c r="AN8680">
        <v>0.99999996665630597</v>
      </c>
    </row>
    <row r="8681" spans="1:40" x14ac:dyDescent="0.25">
      <c r="A8681" t="str">
        <f>"20190312172318603"</f>
        <v>20190312172318603</v>
      </c>
      <c r="B8681" t="str">
        <f>"1552382598598729"</f>
        <v>1552382598598729</v>
      </c>
      <c r="C8681" t="s">
        <v>40</v>
      </c>
      <c r="D8681">
        <v>3.8796219999999999</v>
      </c>
      <c r="E8681">
        <v>0.49441200000000002</v>
      </c>
      <c r="F8681" t="s">
        <v>42</v>
      </c>
      <c r="G8681">
        <v>-104.2704</v>
      </c>
      <c r="H8681" s="1">
        <v>-2.7631350000000002E-6</v>
      </c>
      <c r="I8681">
        <v>139.1978</v>
      </c>
      <c r="J8681">
        <v>-120.4199</v>
      </c>
      <c r="K8681">
        <v>1.110835</v>
      </c>
      <c r="L8681">
        <v>138.32140000000001</v>
      </c>
      <c r="M8681">
        <v>0.99803520000000001</v>
      </c>
      <c r="N8681">
        <v>0</v>
      </c>
      <c r="O8681">
        <v>5.8068170000000002E-2</v>
      </c>
      <c r="P8681">
        <v>0.99054030000000004</v>
      </c>
      <c r="Q8681">
        <v>0.13257279999999999</v>
      </c>
      <c r="R8681">
        <v>3.5424459999999998E-2</v>
      </c>
      <c r="S8681">
        <v>3.0493009999999998</v>
      </c>
      <c r="T8681">
        <v>-0.206488</v>
      </c>
      <c r="U8681">
        <v>0.16548160000000001</v>
      </c>
      <c r="V8681">
        <v>2.2490969999999999E-2</v>
      </c>
      <c r="W8681">
        <v>0.1558127</v>
      </c>
      <c r="X8681">
        <v>0.98753049999999998</v>
      </c>
      <c r="Y8681">
        <v>3.760462E-3</v>
      </c>
      <c r="Z8681">
        <v>-4.0497670000000001E-3</v>
      </c>
      <c r="AA8681">
        <v>0.99998469999999995</v>
      </c>
      <c r="AB8681">
        <v>26</v>
      </c>
      <c r="AC8681">
        <v>16.1495</v>
      </c>
      <c r="AD8681">
        <v>-1.1108377631349999</v>
      </c>
      <c r="AE8681">
        <v>0.87639999999998897</v>
      </c>
      <c r="AF8681">
        <v>6.2815015150096604E-2</v>
      </c>
      <c r="AG8681">
        <v>-1.1108377631349999</v>
      </c>
      <c r="AH8681">
        <v>16.097202073686599</v>
      </c>
      <c r="AI8681">
        <v>93.947586057143894</v>
      </c>
      <c r="AJ8681">
        <v>89.776419717299703</v>
      </c>
      <c r="AK8681">
        <v>16.135607235652301</v>
      </c>
      <c r="AL8681">
        <v>81.036066463193904</v>
      </c>
      <c r="AM8681">
        <v>88.695316324420205</v>
      </c>
      <c r="AN8681">
        <v>0.99999996482153897</v>
      </c>
    </row>
    <row r="8682" spans="1:40" x14ac:dyDescent="0.25">
      <c r="A8682" t="str">
        <f>"20190312172318625"</f>
        <v>20190312172318625</v>
      </c>
      <c r="B8682" t="str">
        <f>"1552382598619225"</f>
        <v>1552382598619225</v>
      </c>
      <c r="C8682" t="s">
        <v>40</v>
      </c>
      <c r="D8682">
        <v>3.2993929999999998</v>
      </c>
      <c r="E8682">
        <v>0.49453540000000001</v>
      </c>
      <c r="F8682" t="s">
        <v>42</v>
      </c>
      <c r="G8682">
        <v>-103.71080000000001</v>
      </c>
      <c r="H8682" s="1">
        <v>-3.0299439999999999E-6</v>
      </c>
      <c r="I8682">
        <v>139.1849</v>
      </c>
      <c r="J8682">
        <v>-120.1622</v>
      </c>
      <c r="K8682">
        <v>1.1108499999999999</v>
      </c>
      <c r="L8682">
        <v>138.3349</v>
      </c>
      <c r="M8682">
        <v>0.99809840000000005</v>
      </c>
      <c r="N8682">
        <v>0</v>
      </c>
      <c r="O8682">
        <v>5.680201E-2</v>
      </c>
      <c r="P8682">
        <v>0.99049129999999996</v>
      </c>
      <c r="Q8682">
        <v>0.13345119999999999</v>
      </c>
      <c r="R8682">
        <v>3.3438500000000003E-2</v>
      </c>
      <c r="S8682">
        <v>3.0501399999999999</v>
      </c>
      <c r="T8682">
        <v>-0.2027766</v>
      </c>
      <c r="U8682">
        <v>0.15762329999999999</v>
      </c>
      <c r="V8682">
        <v>2.3242039999999999E-2</v>
      </c>
      <c r="W8682">
        <v>0.15708659999999999</v>
      </c>
      <c r="X8682">
        <v>0.9873113</v>
      </c>
      <c r="Y8682">
        <v>5.0813500000000001E-3</v>
      </c>
      <c r="Z8682">
        <v>-3.936373E-3</v>
      </c>
      <c r="AA8682">
        <v>0.99997930000000002</v>
      </c>
      <c r="AB8682">
        <v>26</v>
      </c>
      <c r="AC8682">
        <v>16.4513999999999</v>
      </c>
      <c r="AD8682">
        <v>-1.11085302994399</v>
      </c>
      <c r="AE8682">
        <v>0.84999999999999398</v>
      </c>
      <c r="AF8682">
        <v>8.5723818989569794E-2</v>
      </c>
      <c r="AG8682">
        <v>-1.11085302994399</v>
      </c>
      <c r="AH8682">
        <v>16.398550450209601</v>
      </c>
      <c r="AI8682">
        <v>93.875295962146197</v>
      </c>
      <c r="AJ8682">
        <v>89.700487655442799</v>
      </c>
      <c r="AK8682">
        <v>16.436356040660201</v>
      </c>
      <c r="AL8682">
        <v>80.962167663090199</v>
      </c>
      <c r="AM8682">
        <v>88.651463938561903</v>
      </c>
      <c r="AN8682">
        <v>0.99999999771530501</v>
      </c>
    </row>
    <row r="8683" spans="1:40" x14ac:dyDescent="0.25">
      <c r="A8683" t="str">
        <f>"20190312172318646"</f>
        <v>20190312172318646</v>
      </c>
      <c r="B8683" t="str">
        <f>"1552382598638746"</f>
        <v>1552382598638746</v>
      </c>
      <c r="C8683" t="s">
        <v>40</v>
      </c>
      <c r="D8683">
        <v>3.4988350000000001</v>
      </c>
      <c r="E8683">
        <v>0.49456929999999999</v>
      </c>
      <c r="F8683" t="s">
        <v>42</v>
      </c>
      <c r="G8683">
        <v>-103.3921</v>
      </c>
      <c r="H8683" s="1">
        <v>-3.1838540000000001E-6</v>
      </c>
      <c r="I8683">
        <v>139.16659999999999</v>
      </c>
      <c r="J8683">
        <v>-119.9175</v>
      </c>
      <c r="K8683">
        <v>1.1108800000000001</v>
      </c>
      <c r="L8683">
        <v>138.34729999999999</v>
      </c>
      <c r="M8683">
        <v>0.99815880000000001</v>
      </c>
      <c r="N8683">
        <v>0</v>
      </c>
      <c r="O8683">
        <v>5.5541720000000003E-2</v>
      </c>
      <c r="P8683">
        <v>0.9906604</v>
      </c>
      <c r="Q8683">
        <v>0.13249359999999999</v>
      </c>
      <c r="R8683">
        <v>3.2214399999999997E-2</v>
      </c>
      <c r="S8683">
        <v>3.0509339999999998</v>
      </c>
      <c r="T8683">
        <v>-0.20209460000000001</v>
      </c>
      <c r="U8683">
        <v>0.1513062</v>
      </c>
      <c r="V8683">
        <v>2.323801E-2</v>
      </c>
      <c r="W8683">
        <v>0.15655639999999901</v>
      </c>
      <c r="X8683">
        <v>0.98739560000000004</v>
      </c>
      <c r="Y8683">
        <v>5.8998619999999996E-3</v>
      </c>
      <c r="Z8683">
        <v>-3.8663E-3</v>
      </c>
      <c r="AA8683">
        <v>0.99997510000000001</v>
      </c>
      <c r="AB8683">
        <v>25</v>
      </c>
      <c r="AC8683">
        <v>16.525400000000001</v>
      </c>
      <c r="AD8683">
        <v>-1.1108831838540001</v>
      </c>
      <c r="AE8683">
        <v>0.81929999999999803</v>
      </c>
      <c r="AF8683">
        <v>9.9638220349545406E-2</v>
      </c>
      <c r="AG8683">
        <v>-1.1108831838540001</v>
      </c>
      <c r="AH8683">
        <v>16.4711455587505</v>
      </c>
      <c r="AI8683">
        <v>93.858354234340695</v>
      </c>
      <c r="AJ8683">
        <v>89.653407235717907</v>
      </c>
      <c r="AK8683">
        <v>16.508865050047199</v>
      </c>
      <c r="AL8683">
        <v>80.992926406446401</v>
      </c>
      <c r="AM8683">
        <v>88.651812748871194</v>
      </c>
      <c r="AN8683">
        <v>0.99999999119453997</v>
      </c>
    </row>
    <row r="8684" spans="1:40" x14ac:dyDescent="0.25">
      <c r="A8684" t="str">
        <f>"20190312172318669"</f>
        <v>20190312172318669</v>
      </c>
      <c r="B8684" t="str">
        <f>"1552382598659241"</f>
        <v>1552382598659241</v>
      </c>
      <c r="C8684" t="s">
        <v>40</v>
      </c>
      <c r="D8684">
        <v>3.448331</v>
      </c>
      <c r="E8684">
        <v>0.49469540000000001</v>
      </c>
      <c r="F8684" t="s">
        <v>42</v>
      </c>
      <c r="G8684">
        <v>-103.3573</v>
      </c>
      <c r="H8684" s="1">
        <v>-3.2034269999999998E-6</v>
      </c>
      <c r="I8684">
        <v>139.149</v>
      </c>
      <c r="J8684">
        <v>-119.6734</v>
      </c>
      <c r="K8684">
        <v>1.1109359999999999</v>
      </c>
      <c r="L8684">
        <v>138.35929999999999</v>
      </c>
      <c r="M8684">
        <v>0.99821850000000001</v>
      </c>
      <c r="N8684">
        <v>0</v>
      </c>
      <c r="O8684">
        <v>5.425029E-2</v>
      </c>
      <c r="P8684">
        <v>0.9905446</v>
      </c>
      <c r="Q8684">
        <v>0.13342599999999999</v>
      </c>
      <c r="R8684">
        <v>3.1921270000000002E-2</v>
      </c>
      <c r="S8684">
        <v>3.0508419999999998</v>
      </c>
      <c r="T8684">
        <v>-0.20465469999999999</v>
      </c>
      <c r="U8684">
        <v>0.14768979999999901</v>
      </c>
      <c r="V8684">
        <v>2.2254400000000001E-2</v>
      </c>
      <c r="W8684">
        <v>0.157938</v>
      </c>
      <c r="X8684">
        <v>0.98719820000000003</v>
      </c>
      <c r="Y8684">
        <v>5.7874240000000002E-3</v>
      </c>
      <c r="Z8684">
        <v>-3.8253520000000002E-3</v>
      </c>
      <c r="AA8684">
        <v>0.99997590000000003</v>
      </c>
      <c r="AB8684">
        <v>25</v>
      </c>
      <c r="AC8684">
        <v>16.316099999999999</v>
      </c>
      <c r="AD8684">
        <v>-1.110939203427</v>
      </c>
      <c r="AE8684">
        <v>0.78970000000000995</v>
      </c>
      <c r="AF8684">
        <v>9.6443816239549104E-2</v>
      </c>
      <c r="AG8684">
        <v>-1.110939203427</v>
      </c>
      <c r="AH8684">
        <v>16.259707628887199</v>
      </c>
      <c r="AI8684">
        <v>93.908572213258196</v>
      </c>
      <c r="AJ8684">
        <v>89.660156322945099</v>
      </c>
      <c r="AK8684">
        <v>16.297901076528099</v>
      </c>
      <c r="AL8684">
        <v>80.912769217828298</v>
      </c>
      <c r="AM8684">
        <v>88.708600493697901</v>
      </c>
      <c r="AN8684">
        <v>0.99999997812329899</v>
      </c>
    </row>
    <row r="8685" spans="1:40" x14ac:dyDescent="0.25">
      <c r="A8685" t="str">
        <f>"20190312172318691"</f>
        <v>20190312172318691</v>
      </c>
      <c r="B8685" t="str">
        <f>"1552382598688522"</f>
        <v>1552382598688522</v>
      </c>
      <c r="C8685" t="s">
        <v>40</v>
      </c>
      <c r="D8685">
        <v>3.5071810000000001</v>
      </c>
      <c r="E8685">
        <v>0.49453780000000003</v>
      </c>
      <c r="F8685" t="s">
        <v>42</v>
      </c>
      <c r="G8685">
        <v>-102.9666</v>
      </c>
      <c r="H8685" s="1">
        <v>-3.3868720000000002E-6</v>
      </c>
      <c r="I8685">
        <v>139.1559</v>
      </c>
      <c r="J8685">
        <v>-119.432</v>
      </c>
      <c r="K8685">
        <v>1.111022</v>
      </c>
      <c r="L8685">
        <v>138.3708</v>
      </c>
      <c r="M8685">
        <v>0.99827569999999999</v>
      </c>
      <c r="N8685">
        <v>0</v>
      </c>
      <c r="O8685">
        <v>5.2957169999999998E-2</v>
      </c>
      <c r="P8685">
        <v>0.99007250000000002</v>
      </c>
      <c r="Q8685">
        <v>0.137088299999999</v>
      </c>
      <c r="R8685">
        <v>3.1036589999999999E-2</v>
      </c>
      <c r="S8685">
        <v>3.0512700000000001</v>
      </c>
      <c r="T8685">
        <v>-0.202899</v>
      </c>
      <c r="U8685">
        <v>0.1454773</v>
      </c>
      <c r="V8685">
        <v>2.1839020000000001E-2</v>
      </c>
      <c r="W8685">
        <v>0.1620721</v>
      </c>
      <c r="X8685">
        <v>0.9865372</v>
      </c>
      <c r="Y8685">
        <v>5.2292959999999996E-3</v>
      </c>
      <c r="Z8685">
        <v>-3.6879550000000001E-3</v>
      </c>
      <c r="AA8685">
        <v>0.99997959999999997</v>
      </c>
      <c r="AB8685">
        <v>25</v>
      </c>
      <c r="AC8685">
        <v>16.465399999999999</v>
      </c>
      <c r="AD8685">
        <v>-1.1110253868719999</v>
      </c>
      <c r="AE8685">
        <v>0.78509999999999902</v>
      </c>
      <c r="AF8685">
        <v>8.7843976901097798E-2</v>
      </c>
      <c r="AG8685">
        <v>-1.1110253868719999</v>
      </c>
      <c r="AH8685">
        <v>16.409327494009599</v>
      </c>
      <c r="AI8685">
        <v>93.873355045950007</v>
      </c>
      <c r="AJ8685">
        <v>89.693281698734907</v>
      </c>
      <c r="AK8685">
        <v>16.447131141333099</v>
      </c>
      <c r="AL8685">
        <v>80.672810964475104</v>
      </c>
      <c r="AM8685">
        <v>88.731847782245097</v>
      </c>
      <c r="AN8685">
        <v>0.99999997768840498</v>
      </c>
    </row>
    <row r="8686" spans="1:40" x14ac:dyDescent="0.25">
      <c r="A8686" t="str">
        <f>"20190312172318714"</f>
        <v>20190312172318714</v>
      </c>
      <c r="B8686" t="str">
        <f>"1552382598709017"</f>
        <v>1552382598709017</v>
      </c>
      <c r="C8686" t="s">
        <v>40</v>
      </c>
      <c r="D8686">
        <v>3.3276870000000001</v>
      </c>
      <c r="E8686">
        <v>0.49447849999999999</v>
      </c>
      <c r="F8686" t="s">
        <v>42</v>
      </c>
      <c r="G8686">
        <v>-102.15900000000001</v>
      </c>
      <c r="H8686" s="1">
        <v>-3.762838E-6</v>
      </c>
      <c r="I8686">
        <v>139.18870000000001</v>
      </c>
      <c r="J8686">
        <v>-119.1845</v>
      </c>
      <c r="K8686">
        <v>1.1111409999999999</v>
      </c>
      <c r="L8686">
        <v>138.38220000000001</v>
      </c>
      <c r="M8686">
        <v>0.99833110000000003</v>
      </c>
      <c r="N8686">
        <v>0</v>
      </c>
      <c r="O8686">
        <v>5.1624639999999999E-2</v>
      </c>
      <c r="P8686">
        <v>0.98961500000000002</v>
      </c>
      <c r="Q8686">
        <v>0.14047809999999999</v>
      </c>
      <c r="R8686">
        <v>3.0463839999999999E-2</v>
      </c>
      <c r="S8686">
        <v>3.0527500000000001</v>
      </c>
      <c r="T8686">
        <v>-0.1963569</v>
      </c>
      <c r="U8686">
        <v>0.14454649999999999</v>
      </c>
      <c r="V8686">
        <v>2.1066149999999999E-2</v>
      </c>
      <c r="W8686">
        <v>0.1660054</v>
      </c>
      <c r="X8686">
        <v>0.98589979999999999</v>
      </c>
      <c r="Y8686">
        <v>4.235562E-3</v>
      </c>
      <c r="Z8686">
        <v>-3.4502790000000001E-3</v>
      </c>
      <c r="AA8686">
        <v>0.99998509999999996</v>
      </c>
      <c r="AB8686">
        <v>24</v>
      </c>
      <c r="AC8686">
        <v>17.025500000000001</v>
      </c>
      <c r="AD8686">
        <v>-1.111144762838</v>
      </c>
      <c r="AE8686">
        <v>0.806499999999999</v>
      </c>
      <c r="AF8686">
        <v>7.3493668935201803E-2</v>
      </c>
      <c r="AG8686">
        <v>-1.111144762838</v>
      </c>
      <c r="AH8686">
        <v>16.972302673150701</v>
      </c>
      <c r="AI8686">
        <v>93.745666651794707</v>
      </c>
      <c r="AJ8686">
        <v>89.751898677905302</v>
      </c>
      <c r="AK8686">
        <v>17.0087948436212</v>
      </c>
      <c r="AL8686">
        <v>80.444354787045</v>
      </c>
      <c r="AM8686">
        <v>88.775922417845194</v>
      </c>
      <c r="AN8686">
        <v>0.99999999557251096</v>
      </c>
    </row>
    <row r="8687" spans="1:40" x14ac:dyDescent="0.25">
      <c r="A8687" t="str">
        <f>"20190312172318737"</f>
        <v>20190312172318737</v>
      </c>
      <c r="B8687" t="str">
        <f>"1552382598728537"</f>
        <v>1552382598728537</v>
      </c>
      <c r="C8687" t="s">
        <v>40</v>
      </c>
      <c r="D8687">
        <v>3.5230619999999999</v>
      </c>
      <c r="E8687">
        <v>0.49451060000000002</v>
      </c>
      <c r="F8687" t="s">
        <v>42</v>
      </c>
      <c r="G8687">
        <v>-101.0493</v>
      </c>
      <c r="H8687" s="1">
        <v>-4.2788910000000002E-6</v>
      </c>
      <c r="I8687">
        <v>139.23670000000001</v>
      </c>
      <c r="J8687">
        <v>-118.9522</v>
      </c>
      <c r="K8687">
        <v>1.1112930000000001</v>
      </c>
      <c r="L8687">
        <v>138.39259999999999</v>
      </c>
      <c r="M8687">
        <v>0.99837960000000003</v>
      </c>
      <c r="N8687">
        <v>0</v>
      </c>
      <c r="O8687">
        <v>5.0373580000000001E-2</v>
      </c>
      <c r="P8687">
        <v>0.98897489999999999</v>
      </c>
      <c r="Q8687">
        <v>0.1449937</v>
      </c>
      <c r="R8687">
        <v>3.0094719999999998E-2</v>
      </c>
      <c r="S8687">
        <v>3.053604</v>
      </c>
      <c r="T8687">
        <v>-0.1870946</v>
      </c>
      <c r="U8687">
        <v>0.14387510000000001</v>
      </c>
      <c r="V8687">
        <v>2.0159400000000001E-2</v>
      </c>
      <c r="W8687">
        <v>0.17108619999999999</v>
      </c>
      <c r="X8687">
        <v>0.98504979999999998</v>
      </c>
      <c r="Y8687">
        <v>3.2306959999999999E-3</v>
      </c>
      <c r="Z8687">
        <v>-3.179809E-3</v>
      </c>
      <c r="AA8687">
        <v>0.99998969999999998</v>
      </c>
      <c r="AB8687">
        <v>24</v>
      </c>
      <c r="AC8687">
        <v>17.902899999999999</v>
      </c>
      <c r="AD8687">
        <v>-1.1112972788910001</v>
      </c>
      <c r="AE8687">
        <v>0.84410000000002505</v>
      </c>
      <c r="AF8687">
        <v>5.8895233561460897E-2</v>
      </c>
      <c r="AG8687">
        <v>-1.1112972788910001</v>
      </c>
      <c r="AH8687">
        <v>17.854049193184</v>
      </c>
      <c r="AI8687">
        <v>93.561671691675997</v>
      </c>
      <c r="AJ8687">
        <v>89.810998836149395</v>
      </c>
      <c r="AK8687">
        <v>17.888698188611698</v>
      </c>
      <c r="AL8687">
        <v>80.149020973134796</v>
      </c>
      <c r="AM8687">
        <v>88.827584837526004</v>
      </c>
      <c r="AN8687">
        <v>0.99999999885942004</v>
      </c>
    </row>
    <row r="8688" spans="1:40" x14ac:dyDescent="0.25">
      <c r="A8688" t="str">
        <f>"20190312172318758"</f>
        <v>20190312172318758</v>
      </c>
      <c r="B8688" t="str">
        <f>"1552382598749033"</f>
        <v>1552382598749033</v>
      </c>
      <c r="C8688" t="s">
        <v>40</v>
      </c>
      <c r="D8688">
        <v>3.416442</v>
      </c>
      <c r="E8688">
        <v>0.49447380000000002</v>
      </c>
      <c r="F8688" t="s">
        <v>42</v>
      </c>
      <c r="G8688">
        <v>-99.374859999999998</v>
      </c>
      <c r="H8688" s="1">
        <v>-3.0602819999999998E-7</v>
      </c>
      <c r="I8688">
        <v>139.30330000000001</v>
      </c>
      <c r="J8688">
        <v>-118.7259</v>
      </c>
      <c r="K8688">
        <v>1.1114599999999999</v>
      </c>
      <c r="L8688">
        <v>138.4025</v>
      </c>
      <c r="M8688">
        <v>0.99842359999999997</v>
      </c>
      <c r="N8688">
        <v>0</v>
      </c>
      <c r="O8688">
        <v>4.9157489999999998E-2</v>
      </c>
      <c r="P8688">
        <v>0.98819729999999995</v>
      </c>
      <c r="Q8688">
        <v>0.15048220000000001</v>
      </c>
      <c r="R8688">
        <v>2.8663790000000001E-2</v>
      </c>
      <c r="S8688">
        <v>3.054535</v>
      </c>
      <c r="T8688">
        <v>-0.17338809999999999</v>
      </c>
      <c r="U8688">
        <v>0.14208979999999999</v>
      </c>
      <c r="V8688">
        <v>2.0341250000000002E-2</v>
      </c>
      <c r="W8688">
        <v>0.17716270000000001</v>
      </c>
      <c r="X8688">
        <v>0.98397140000000005</v>
      </c>
      <c r="Y8688">
        <v>2.6281009999999999E-3</v>
      </c>
      <c r="Z8688">
        <v>-2.860511E-3</v>
      </c>
      <c r="AA8688">
        <v>0.9999924</v>
      </c>
      <c r="AB8688">
        <v>24</v>
      </c>
      <c r="AC8688">
        <v>19.351040000000001</v>
      </c>
      <c r="AD8688">
        <v>-1.1114603060282</v>
      </c>
      <c r="AE8688">
        <v>0.90080000000000304</v>
      </c>
      <c r="AF8688">
        <v>5.1717373413094701E-2</v>
      </c>
      <c r="AG8688">
        <v>-1.1114603060282</v>
      </c>
      <c r="AH8688">
        <v>19.308365372636601</v>
      </c>
      <c r="AI8688">
        <v>93.294507684899003</v>
      </c>
      <c r="AJ8688">
        <v>89.846533868579101</v>
      </c>
      <c r="AK8688">
        <v>19.340397929252202</v>
      </c>
      <c r="AL8688">
        <v>79.795462019076695</v>
      </c>
      <c r="AM8688">
        <v>88.815715787913504</v>
      </c>
      <c r="AN8688">
        <v>1.0000000523704</v>
      </c>
    </row>
    <row r="8689" spans="1:40" x14ac:dyDescent="0.25">
      <c r="A8689" t="str">
        <f>"20190312172318781"</f>
        <v>20190312172318781</v>
      </c>
      <c r="B8689" t="str">
        <f>"1552382598779290"</f>
        <v>1552382598779290</v>
      </c>
      <c r="C8689" t="s">
        <v>40</v>
      </c>
      <c r="D8689">
        <v>3.3256329999999998</v>
      </c>
      <c r="E8689">
        <v>0.49437170000000003</v>
      </c>
      <c r="F8689" t="s">
        <v>42</v>
      </c>
      <c r="G8689">
        <v>-96.998930000000001</v>
      </c>
      <c r="H8689" s="1">
        <v>-1.3126050000000001E-6</v>
      </c>
      <c r="I8689">
        <v>139.37479999999999</v>
      </c>
      <c r="J8689">
        <v>-118.4935</v>
      </c>
      <c r="K8689">
        <v>1.111626</v>
      </c>
      <c r="L8689">
        <v>138.41239999999999</v>
      </c>
      <c r="M8689">
        <v>0.99846570000000001</v>
      </c>
      <c r="N8689">
        <v>0</v>
      </c>
      <c r="O8689">
        <v>4.7917840000000003E-2</v>
      </c>
      <c r="P8689">
        <v>0.98765619999999998</v>
      </c>
      <c r="Q8689">
        <v>0.15435739999999901</v>
      </c>
      <c r="R8689">
        <v>2.663399E-2</v>
      </c>
      <c r="S8689">
        <v>3.0556640000000002</v>
      </c>
      <c r="T8689">
        <v>-0.15631500000000001</v>
      </c>
      <c r="U8689">
        <v>0.13674929999999999</v>
      </c>
      <c r="V8689">
        <v>2.1106570000000002E-2</v>
      </c>
      <c r="W8689">
        <v>0.181674</v>
      </c>
      <c r="X8689">
        <v>0.98313220000000001</v>
      </c>
      <c r="Y8689">
        <v>3.1651880000000002E-3</v>
      </c>
      <c r="Z8689">
        <v>-2.5289000000000002E-3</v>
      </c>
      <c r="AA8689">
        <v>0.99999179999999999</v>
      </c>
      <c r="AB8689">
        <v>23</v>
      </c>
      <c r="AC8689">
        <v>21.49457</v>
      </c>
      <c r="AD8689">
        <v>-1.111627312605</v>
      </c>
      <c r="AE8689">
        <v>0.96240000000000203</v>
      </c>
      <c r="AF8689">
        <v>6.8892687824244694E-2</v>
      </c>
      <c r="AG8689">
        <v>-1.111627312605</v>
      </c>
      <c r="AH8689">
        <v>21.4587147033427</v>
      </c>
      <c r="AI8689">
        <v>92.965431301727804</v>
      </c>
      <c r="AJ8689">
        <v>89.816053908884101</v>
      </c>
      <c r="AK8689">
        <v>21.4875987072549</v>
      </c>
      <c r="AL8689">
        <v>79.532718444522999</v>
      </c>
      <c r="AM8689">
        <v>88.7701230426009</v>
      </c>
      <c r="AN8689">
        <v>0.99999992612499899</v>
      </c>
    </row>
    <row r="8690" spans="1:40" x14ac:dyDescent="0.25">
      <c r="A8690" t="str">
        <f>"20190312172318803"</f>
        <v>20190312172318803</v>
      </c>
      <c r="B8690" t="str">
        <f>"1552382598798813"</f>
        <v>1552382598798813</v>
      </c>
      <c r="C8690" t="s">
        <v>40</v>
      </c>
      <c r="D8690">
        <v>3.3625129999999999</v>
      </c>
      <c r="E8690">
        <v>0.49435119999999999</v>
      </c>
      <c r="F8690" t="s">
        <v>42</v>
      </c>
      <c r="G8690">
        <v>-95.694640000000007</v>
      </c>
      <c r="H8690" s="1">
        <v>-1.8709040000000001E-6</v>
      </c>
      <c r="I8690">
        <v>139.3818</v>
      </c>
      <c r="J8690">
        <v>-118.2726</v>
      </c>
      <c r="K8690">
        <v>1.1117649999999999</v>
      </c>
      <c r="L8690">
        <v>138.42140000000001</v>
      </c>
      <c r="M8690">
        <v>0.99850249999999996</v>
      </c>
      <c r="N8690">
        <v>0</v>
      </c>
      <c r="O8690">
        <v>4.6752269999999999E-2</v>
      </c>
      <c r="P8690">
        <v>0.98735039999999996</v>
      </c>
      <c r="Q8690">
        <v>0.15661349999999999</v>
      </c>
      <c r="R8690">
        <v>2.473007E-2</v>
      </c>
      <c r="S8690">
        <v>3.0572970000000002</v>
      </c>
      <c r="T8690">
        <v>-0.1490677</v>
      </c>
      <c r="U8690">
        <v>0.13000490000000001</v>
      </c>
      <c r="V8690">
        <v>2.1830430000000001E-2</v>
      </c>
      <c r="W8690">
        <v>0.1845598</v>
      </c>
      <c r="X8690">
        <v>0.98257879999999997</v>
      </c>
      <c r="Y8690">
        <v>4.2305570000000002E-3</v>
      </c>
      <c r="Z8690">
        <v>-2.3799260000000001E-3</v>
      </c>
      <c r="AA8690">
        <v>0.99998819999999999</v>
      </c>
      <c r="AB8690">
        <v>23</v>
      </c>
      <c r="AC8690">
        <v>22.577959999999901</v>
      </c>
      <c r="AD8690">
        <v>-1.1117668709039901</v>
      </c>
      <c r="AE8690">
        <v>0.96039999999999204</v>
      </c>
      <c r="AF8690">
        <v>9.6414730917677896E-2</v>
      </c>
      <c r="AG8690">
        <v>-1.1117668709039901</v>
      </c>
      <c r="AH8690">
        <v>22.543607626808999</v>
      </c>
      <c r="AI8690">
        <v>92.823301554506898</v>
      </c>
      <c r="AJ8690">
        <v>89.754958320100798</v>
      </c>
      <c r="AK8690">
        <v>22.571211004443199</v>
      </c>
      <c r="AL8690">
        <v>79.364531055342098</v>
      </c>
      <c r="AM8690">
        <v>88.727241254289694</v>
      </c>
      <c r="AN8690">
        <v>0.99999999282973195</v>
      </c>
    </row>
    <row r="8691" spans="1:40" x14ac:dyDescent="0.25">
      <c r="A8691" t="str">
        <f>"20190312172318826"</f>
        <v>20190312172318826</v>
      </c>
      <c r="B8691" t="str">
        <f>"1552382598819306"</f>
        <v>1552382598819306</v>
      </c>
      <c r="C8691" t="s">
        <v>40</v>
      </c>
      <c r="D8691">
        <v>3.658147</v>
      </c>
      <c r="E8691">
        <v>0.49426530000000002</v>
      </c>
      <c r="F8691" t="s">
        <v>42</v>
      </c>
      <c r="G8691">
        <v>-94.352909999999994</v>
      </c>
      <c r="H8691" s="1">
        <v>-2.4453000000000001E-6</v>
      </c>
      <c r="I8691">
        <v>139.3886</v>
      </c>
      <c r="J8691">
        <v>-118.05119999999999</v>
      </c>
      <c r="K8691">
        <v>1.1118969999999999</v>
      </c>
      <c r="L8691">
        <v>138.43029999999999</v>
      </c>
      <c r="M8691">
        <v>0.99853720000000001</v>
      </c>
      <c r="N8691">
        <v>0</v>
      </c>
      <c r="O8691">
        <v>4.5590749999999999E-2</v>
      </c>
      <c r="P8691">
        <v>0.98718399999999995</v>
      </c>
      <c r="Q8691">
        <v>0.1579246</v>
      </c>
      <c r="R8691">
        <v>2.2971180000000001E-2</v>
      </c>
      <c r="S8691">
        <v>3.057877</v>
      </c>
      <c r="T8691">
        <v>-0.14212759999999999</v>
      </c>
      <c r="U8691">
        <v>0.123642</v>
      </c>
      <c r="V8691">
        <v>2.2419390000000001E-2</v>
      </c>
      <c r="W8691">
        <v>0.18651280000000001</v>
      </c>
      <c r="X8691">
        <v>0.98219670000000003</v>
      </c>
      <c r="Y8691">
        <v>5.1592390000000004E-3</v>
      </c>
      <c r="Z8691">
        <v>-2.2366550000000002E-3</v>
      </c>
      <c r="AA8691">
        <v>0.99998419999999999</v>
      </c>
      <c r="AB8691">
        <v>22</v>
      </c>
      <c r="AC8691">
        <v>23.69829</v>
      </c>
      <c r="AD8691">
        <v>-1.1118994453</v>
      </c>
      <c r="AE8691">
        <v>0.95830000000000803</v>
      </c>
      <c r="AF8691">
        <v>0.123305833724455</v>
      </c>
      <c r="AG8691">
        <v>-1.1118994453</v>
      </c>
      <c r="AH8691">
        <v>23.665324220295702</v>
      </c>
      <c r="AI8691">
        <v>92.689989183682997</v>
      </c>
      <c r="AJ8691">
        <v>89.701468703166796</v>
      </c>
      <c r="AK8691">
        <v>23.691751627028399</v>
      </c>
      <c r="AL8691">
        <v>79.250655335379193</v>
      </c>
      <c r="AM8691">
        <v>88.692407123567307</v>
      </c>
      <c r="AN8691">
        <v>1.00000000555135</v>
      </c>
    </row>
    <row r="8692" spans="1:40" x14ac:dyDescent="0.25">
      <c r="A8692" t="str">
        <f>"20190312172318847"</f>
        <v>20190312172318847</v>
      </c>
      <c r="B8692" t="str">
        <f>"1552382598838825"</f>
        <v>1552382598838825</v>
      </c>
      <c r="C8692" t="s">
        <v>40</v>
      </c>
      <c r="D8692">
        <v>3.3914110000000002</v>
      </c>
      <c r="E8692">
        <v>0.49417420000000001</v>
      </c>
      <c r="F8692" t="s">
        <v>42</v>
      </c>
      <c r="G8692">
        <v>-93.654210000000006</v>
      </c>
      <c r="H8692" s="1">
        <v>-2.7458009999999999E-6</v>
      </c>
      <c r="I8692">
        <v>139.3843</v>
      </c>
      <c r="J8692">
        <v>-117.84</v>
      </c>
      <c r="K8692">
        <v>1.1120019999999999</v>
      </c>
      <c r="L8692">
        <v>138.4385</v>
      </c>
      <c r="M8692">
        <v>0.99856900000000004</v>
      </c>
      <c r="N8692">
        <v>0</v>
      </c>
      <c r="O8692">
        <v>4.4482979999999998E-2</v>
      </c>
      <c r="P8692">
        <v>0.98702500000000004</v>
      </c>
      <c r="Q8692">
        <v>0.1590319</v>
      </c>
      <c r="R8692">
        <v>2.215261E-2</v>
      </c>
      <c r="S8692">
        <v>3.0584720000000001</v>
      </c>
      <c r="T8692">
        <v>-0.1393906</v>
      </c>
      <c r="U8692">
        <v>0.11959839999999999</v>
      </c>
      <c r="V8692">
        <v>2.2123779999999999E-2</v>
      </c>
      <c r="W8692">
        <v>0.18822610000000001</v>
      </c>
      <c r="X8692">
        <v>0.98187650000000004</v>
      </c>
      <c r="Y8692">
        <v>5.3815529999999999E-3</v>
      </c>
      <c r="Z8692">
        <v>-2.1479709999999998E-3</v>
      </c>
      <c r="AA8692">
        <v>0.99998319999999996</v>
      </c>
      <c r="AB8692">
        <v>22</v>
      </c>
      <c r="AC8692">
        <v>24.185790000000001</v>
      </c>
      <c r="AD8692">
        <v>-1.1120047458009901</v>
      </c>
      <c r="AE8692">
        <v>0.94579999999999098</v>
      </c>
      <c r="AF8692">
        <v>0.131190485650787</v>
      </c>
      <c r="AG8692">
        <v>-1.1120047458009901</v>
      </c>
      <c r="AH8692">
        <v>24.152939025444901</v>
      </c>
      <c r="AI8692">
        <v>92.636005518200093</v>
      </c>
      <c r="AJ8692">
        <v>89.688792025999305</v>
      </c>
      <c r="AK8692">
        <v>24.178879814107798</v>
      </c>
      <c r="AL8692">
        <v>79.150720440873499</v>
      </c>
      <c r="AM8692">
        <v>88.709221814291197</v>
      </c>
      <c r="AN8692">
        <v>0.99999999380747395</v>
      </c>
    </row>
    <row r="8693" spans="1:40" x14ac:dyDescent="0.25">
      <c r="A8693" t="str">
        <f>"20190312172318871"</f>
        <v>20190312172318871</v>
      </c>
      <c r="B8693" t="str">
        <f>"1552382598859321"</f>
        <v>1552382598859321</v>
      </c>
      <c r="C8693" t="s">
        <v>40</v>
      </c>
      <c r="D8693">
        <v>3.3722249999999998</v>
      </c>
      <c r="E8693">
        <v>0.4941335</v>
      </c>
      <c r="F8693" t="s">
        <v>42</v>
      </c>
      <c r="G8693">
        <v>-92.881770000000003</v>
      </c>
      <c r="H8693" s="1">
        <v>-3.0750000000000002E-6</v>
      </c>
      <c r="I8693">
        <v>139.3965</v>
      </c>
      <c r="J8693">
        <v>-117.62820000000001</v>
      </c>
      <c r="K8693">
        <v>1.1120890000000001</v>
      </c>
      <c r="L8693">
        <v>138.44649999999999</v>
      </c>
      <c r="M8693">
        <v>0.99859949999999997</v>
      </c>
      <c r="N8693">
        <v>0</v>
      </c>
      <c r="O8693">
        <v>4.3368299999999999E-2</v>
      </c>
      <c r="P8693">
        <v>0.98687400000000003</v>
      </c>
      <c r="Q8693">
        <v>0.15994620000000001</v>
      </c>
      <c r="R8693">
        <v>2.2288039999999999E-2</v>
      </c>
      <c r="S8693">
        <v>3.0587620000000002</v>
      </c>
      <c r="T8693">
        <v>-0.13628199999999999</v>
      </c>
      <c r="U8693">
        <v>0.1174164</v>
      </c>
      <c r="V8693">
        <v>2.0869260000000001E-2</v>
      </c>
      <c r="W8693">
        <v>0.18974469999999999</v>
      </c>
      <c r="X8693">
        <v>0.98161169999999998</v>
      </c>
      <c r="Y8693">
        <v>4.9858869999999996E-3</v>
      </c>
      <c r="Z8693">
        <v>-2.0415979999999999E-3</v>
      </c>
      <c r="AA8693">
        <v>0.99998549999999997</v>
      </c>
      <c r="AB8693">
        <v>22</v>
      </c>
      <c r="AC8693">
        <v>24.74643</v>
      </c>
      <c r="AD8693">
        <v>-1.1120920749999901</v>
      </c>
      <c r="AE8693">
        <v>0.95000000000001705</v>
      </c>
      <c r="AF8693">
        <v>0.124347535661862</v>
      </c>
      <c r="AG8693">
        <v>-1.1120920749999901</v>
      </c>
      <c r="AH8693">
        <v>24.714505858579098</v>
      </c>
      <c r="AI8693">
        <v>92.576398853711396</v>
      </c>
      <c r="AJ8693">
        <v>89.711726833247994</v>
      </c>
      <c r="AK8693">
        <v>24.739826412621401</v>
      </c>
      <c r="AL8693">
        <v>79.062115029073396</v>
      </c>
      <c r="AM8693">
        <v>88.782063809193602</v>
      </c>
      <c r="AN8693">
        <v>1.0000000533839599</v>
      </c>
    </row>
    <row r="8694" spans="1:40" x14ac:dyDescent="0.25">
      <c r="A8694" t="str">
        <f>"20190312172318893"</f>
        <v>20190312172318893</v>
      </c>
      <c r="B8694" t="str">
        <f>"1552382598888601"</f>
        <v>1552382598888601</v>
      </c>
      <c r="C8694" t="s">
        <v>40</v>
      </c>
      <c r="D8694">
        <v>2.9875319999999999</v>
      </c>
      <c r="E8694">
        <v>0.49408059999999998</v>
      </c>
      <c r="F8694" t="s">
        <v>42</v>
      </c>
      <c r="G8694">
        <v>-92.16722</v>
      </c>
      <c r="H8694" s="1">
        <v>-3.3778760000000001E-6</v>
      </c>
      <c r="I8694">
        <v>139.41720000000001</v>
      </c>
      <c r="J8694">
        <v>-117.4209</v>
      </c>
      <c r="K8694">
        <v>1.112166</v>
      </c>
      <c r="L8694">
        <v>138.45410000000001</v>
      </c>
      <c r="M8694">
        <v>0.99862859999999998</v>
      </c>
      <c r="N8694">
        <v>0</v>
      </c>
      <c r="O8694">
        <v>4.2272369999999997E-2</v>
      </c>
      <c r="P8694">
        <v>0.98679939999999999</v>
      </c>
      <c r="Q8694">
        <v>0.1603762</v>
      </c>
      <c r="R8694">
        <v>2.2510740000000001E-2</v>
      </c>
      <c r="S8694">
        <v>3.058929</v>
      </c>
      <c r="T8694">
        <v>-0.1336088</v>
      </c>
      <c r="U8694">
        <v>0.1166229</v>
      </c>
      <c r="V8694">
        <v>1.9549980000000002E-2</v>
      </c>
      <c r="W8694">
        <v>0.19075249999999999</v>
      </c>
      <c r="X8694">
        <v>0.98144350000000002</v>
      </c>
      <c r="Y8694">
        <v>4.154016E-3</v>
      </c>
      <c r="Z8694">
        <v>-1.935576E-3</v>
      </c>
      <c r="AA8694">
        <v>0.99998949999999998</v>
      </c>
      <c r="AB8694">
        <v>21</v>
      </c>
      <c r="AC8694">
        <v>25.253679999999999</v>
      </c>
      <c r="AD8694">
        <v>-1.112169377876</v>
      </c>
      <c r="AE8694">
        <v>0.96309999999999696</v>
      </c>
      <c r="AF8694">
        <v>0.105599664610093</v>
      </c>
      <c r="AG8694">
        <v>-1.112169377876</v>
      </c>
      <c r="AH8694">
        <v>25.222967520026401</v>
      </c>
      <c r="AI8694">
        <v>92.524715017150001</v>
      </c>
      <c r="AJ8694">
        <v>89.760124190575993</v>
      </c>
      <c r="AK8694">
        <v>25.247696182633401</v>
      </c>
      <c r="AL8694">
        <v>79.003297856427494</v>
      </c>
      <c r="AM8694">
        <v>88.8588408542373</v>
      </c>
      <c r="AN8694">
        <v>1.00000003083324</v>
      </c>
    </row>
    <row r="8695" spans="1:40" x14ac:dyDescent="0.25">
      <c r="A8695" t="str">
        <f>"20190312172318916"</f>
        <v>20190312172318916</v>
      </c>
      <c r="B8695" t="str">
        <f>"1552382598909098"</f>
        <v>1552382598909098</v>
      </c>
      <c r="C8695" t="s">
        <v>40</v>
      </c>
      <c r="D8695">
        <v>3.3626330000000002</v>
      </c>
      <c r="E8695">
        <v>0.49414599999999997</v>
      </c>
      <c r="F8695" t="s">
        <v>42</v>
      </c>
      <c r="G8695">
        <v>-91.849040000000002</v>
      </c>
      <c r="H8695" s="1">
        <v>-3.5111059999999999E-6</v>
      </c>
      <c r="I8695">
        <v>139.43559999999999</v>
      </c>
      <c r="J8695">
        <v>-117.2038</v>
      </c>
      <c r="K8695">
        <v>1.1122369999999999</v>
      </c>
      <c r="L8695">
        <v>138.46180000000001</v>
      </c>
      <c r="M8695">
        <v>0.99865870000000001</v>
      </c>
      <c r="N8695">
        <v>0</v>
      </c>
      <c r="O8695">
        <v>4.1117910000000001E-2</v>
      </c>
      <c r="P8695">
        <v>0.98667939999999998</v>
      </c>
      <c r="Q8695">
        <v>0.1611747</v>
      </c>
      <c r="R8695">
        <v>2.2065439999999999E-2</v>
      </c>
      <c r="S8695">
        <v>3.0590820000000001</v>
      </c>
      <c r="T8695">
        <v>-0.1330451</v>
      </c>
      <c r="U8695">
        <v>0.1174164</v>
      </c>
      <c r="V8695">
        <v>1.8839760000000001E-2</v>
      </c>
      <c r="W8695">
        <v>0.1921224</v>
      </c>
      <c r="X8695">
        <v>0.98119009999999995</v>
      </c>
      <c r="Y8695">
        <v>2.7444470000000001E-3</v>
      </c>
      <c r="Z8695">
        <v>-1.8465770000000001E-3</v>
      </c>
      <c r="AA8695">
        <v>0.99999450000000001</v>
      </c>
      <c r="AB8695">
        <v>21</v>
      </c>
      <c r="AC8695">
        <v>25.354759999999999</v>
      </c>
      <c r="AD8695">
        <v>-1.1122405111059901</v>
      </c>
      <c r="AE8695">
        <v>0.97379999999998201</v>
      </c>
      <c r="AF8695">
        <v>6.9941206483835797E-2</v>
      </c>
      <c r="AG8695">
        <v>-1.1122405111059901</v>
      </c>
      <c r="AH8695">
        <v>25.324695542034299</v>
      </c>
      <c r="AI8695">
        <v>92.514759465123603</v>
      </c>
      <c r="AJ8695">
        <v>89.841762134892207</v>
      </c>
      <c r="AK8695">
        <v>25.349204623096998</v>
      </c>
      <c r="AL8695">
        <v>78.923328791378097</v>
      </c>
      <c r="AM8695">
        <v>88.900003057380999</v>
      </c>
      <c r="AN8695">
        <v>0.99999998273831303</v>
      </c>
    </row>
    <row r="8696" spans="1:40" x14ac:dyDescent="0.25">
      <c r="A8696" t="str">
        <f>"20190312172318941"</f>
        <v>20190312172318941</v>
      </c>
      <c r="B8696" t="str">
        <f>"1552382598928618"</f>
        <v>1552382598928618</v>
      </c>
      <c r="C8696" t="s">
        <v>40</v>
      </c>
      <c r="D8696">
        <v>3.356439</v>
      </c>
      <c r="E8696">
        <v>0.49423830000000002</v>
      </c>
      <c r="F8696" t="s">
        <v>42</v>
      </c>
      <c r="G8696">
        <v>-91.399079999999998</v>
      </c>
      <c r="H8696" s="1">
        <v>-3.7046570000000002E-6</v>
      </c>
      <c r="I8696">
        <v>139.43270000000001</v>
      </c>
      <c r="J8696">
        <v>-116.9954</v>
      </c>
      <c r="K8696">
        <v>1.112323</v>
      </c>
      <c r="L8696">
        <v>138.46889999999999</v>
      </c>
      <c r="M8696">
        <v>0.99868710000000005</v>
      </c>
      <c r="N8696">
        <v>0</v>
      </c>
      <c r="O8696">
        <v>4.000509E-2</v>
      </c>
      <c r="P8696">
        <v>0.98669779999999996</v>
      </c>
      <c r="Q8696">
        <v>0.1612114</v>
      </c>
      <c r="R8696">
        <v>2.0948040000000001E-2</v>
      </c>
      <c r="S8696">
        <v>3.0594640000000002</v>
      </c>
      <c r="T8696">
        <v>-0.1318696</v>
      </c>
      <c r="U8696">
        <v>0.1151123</v>
      </c>
      <c r="V8696">
        <v>1.884798E-2</v>
      </c>
      <c r="W8696">
        <v>0.1926765</v>
      </c>
      <c r="X8696">
        <v>0.98108130000000005</v>
      </c>
      <c r="Y8696">
        <v>2.3897200000000001E-3</v>
      </c>
      <c r="Z8696">
        <v>-1.7745700000000001E-3</v>
      </c>
      <c r="AA8696">
        <v>0.99999559999999998</v>
      </c>
      <c r="AB8696">
        <v>20</v>
      </c>
      <c r="AC8696">
        <v>25.596319999999999</v>
      </c>
      <c r="AD8696">
        <v>-1.112326704657</v>
      </c>
      <c r="AE8696">
        <v>0.96380000000001997</v>
      </c>
      <c r="AF8696">
        <v>6.1364213605734901E-2</v>
      </c>
      <c r="AG8696">
        <v>-1.112326704657</v>
      </c>
      <c r="AH8696">
        <v>25.566172634477699</v>
      </c>
      <c r="AI8696">
        <v>92.491232295656403</v>
      </c>
      <c r="AJ8696">
        <v>89.862478293043594</v>
      </c>
      <c r="AK8696">
        <v>25.590432185497001</v>
      </c>
      <c r="AL8696">
        <v>78.890976934411398</v>
      </c>
      <c r="AM8696">
        <v>88.899401223589805</v>
      </c>
      <c r="AN8696">
        <v>0.99999999860600997</v>
      </c>
    </row>
    <row r="8697" spans="1:40" x14ac:dyDescent="0.25">
      <c r="A8697" t="str">
        <f>"20190312172318961"</f>
        <v>20190312172318961</v>
      </c>
      <c r="B8697" t="str">
        <f>"1552382598958874"</f>
        <v>1552382598958874</v>
      </c>
      <c r="C8697" t="s">
        <v>40</v>
      </c>
      <c r="D8697">
        <v>3.3337370000000002</v>
      </c>
      <c r="E8697">
        <v>0.49287639999999999</v>
      </c>
      <c r="F8697" t="s">
        <v>42</v>
      </c>
      <c r="G8697">
        <v>-91.348680000000002</v>
      </c>
      <c r="H8697" s="1">
        <v>-3.7322550000000001E-6</v>
      </c>
      <c r="I8697">
        <v>139.399</v>
      </c>
      <c r="J8697">
        <v>-116.8113</v>
      </c>
      <c r="K8697">
        <v>1.112401</v>
      </c>
      <c r="L8697">
        <v>138.4751</v>
      </c>
      <c r="M8697">
        <v>0.99871180000000004</v>
      </c>
      <c r="N8697">
        <v>0</v>
      </c>
      <c r="O8697">
        <v>3.9015370000000001E-2</v>
      </c>
      <c r="P8697">
        <v>0.98630790000000002</v>
      </c>
      <c r="Q8697">
        <v>0.16386629999999899</v>
      </c>
      <c r="R8697">
        <v>1.856095E-2</v>
      </c>
      <c r="S8697">
        <v>3.0597690000000002</v>
      </c>
      <c r="T8697">
        <v>-0.1327052</v>
      </c>
      <c r="U8697">
        <v>0.1109619</v>
      </c>
      <c r="V8697">
        <v>2.0234990000000001E-2</v>
      </c>
      <c r="W8697">
        <v>0.19575149999999999</v>
      </c>
      <c r="X8697">
        <v>0.98044469999999995</v>
      </c>
      <c r="Y8697">
        <v>2.7577050000000001E-3</v>
      </c>
      <c r="Z8697">
        <v>-1.7508090000000001E-3</v>
      </c>
      <c r="AA8697">
        <v>0.99999459999999996</v>
      </c>
      <c r="AB8697">
        <v>20</v>
      </c>
      <c r="AC8697">
        <v>25.462620000000001</v>
      </c>
      <c r="AD8697">
        <v>-1.1124047322549999</v>
      </c>
      <c r="AE8697">
        <v>0.92390000000000305</v>
      </c>
      <c r="AF8697">
        <v>7.0626336072652701E-2</v>
      </c>
      <c r="AG8697">
        <v>-1.1124047322549999</v>
      </c>
      <c r="AH8697">
        <v>25.430803958860199</v>
      </c>
      <c r="AI8697">
        <v>92.504649353609395</v>
      </c>
      <c r="AJ8697">
        <v>89.8408787790394</v>
      </c>
      <c r="AK8697">
        <v>25.455219943297799</v>
      </c>
      <c r="AL8697">
        <v>78.711372043054297</v>
      </c>
      <c r="AM8697">
        <v>88.817664112480898</v>
      </c>
      <c r="AN8697">
        <v>0.99999995716531898</v>
      </c>
    </row>
    <row r="8698" spans="1:40" x14ac:dyDescent="0.25">
      <c r="A8698" t="str">
        <f>"20190312172318982"</f>
        <v>20190312172318982</v>
      </c>
      <c r="B8698" t="str">
        <f>"1552382598979371"</f>
        <v>1552382598979371</v>
      </c>
      <c r="C8698" t="s">
        <v>40</v>
      </c>
      <c r="D8698">
        <v>3.3657409999999999</v>
      </c>
      <c r="E8698">
        <v>0.49332419999999999</v>
      </c>
      <c r="F8698" t="s">
        <v>42</v>
      </c>
      <c r="G8698">
        <v>-103.9975</v>
      </c>
      <c r="H8698" s="1">
        <v>-2.935165E-6</v>
      </c>
      <c r="I8698">
        <v>138.95519999999999</v>
      </c>
      <c r="J8698">
        <v>-116.6397</v>
      </c>
      <c r="K8698">
        <v>1.112471</v>
      </c>
      <c r="L8698">
        <v>138.48050000000001</v>
      </c>
      <c r="M8698">
        <v>0.99873420000000002</v>
      </c>
      <c r="N8698">
        <v>0</v>
      </c>
      <c r="O8698">
        <v>3.8087849999999999E-2</v>
      </c>
      <c r="P8698">
        <v>0.9862107</v>
      </c>
      <c r="Q8698">
        <v>0.1647969</v>
      </c>
      <c r="R8698">
        <v>1.51903E-2</v>
      </c>
      <c r="S8698">
        <v>3.0839539999999999</v>
      </c>
      <c r="T8698">
        <v>-0.2677271</v>
      </c>
      <c r="U8698">
        <v>0.1155701</v>
      </c>
      <c r="V8698">
        <v>2.267539E-2</v>
      </c>
      <c r="W8698">
        <v>0.19707469999999999</v>
      </c>
      <c r="X8698">
        <v>0.98012619999999895</v>
      </c>
      <c r="Y8698">
        <v>5.1557260000000004E-4</v>
      </c>
      <c r="Z8698">
        <v>-3.3220839999999999E-3</v>
      </c>
      <c r="AA8698">
        <v>0.9999943</v>
      </c>
      <c r="AB8698">
        <v>19</v>
      </c>
      <c r="AC8698">
        <v>12.642200000000001</v>
      </c>
      <c r="AD8698">
        <v>-1.1124739351649999</v>
      </c>
      <c r="AE8698">
        <v>0.47469999999998402</v>
      </c>
      <c r="AF8698">
        <v>7.3621690688145903E-3</v>
      </c>
      <c r="AG8698">
        <v>-1.1124739351649999</v>
      </c>
      <c r="AH8698">
        <v>12.554032276917001</v>
      </c>
      <c r="AI8698">
        <v>95.064029556041206</v>
      </c>
      <c r="AJ8698">
        <v>89.966399547329104</v>
      </c>
      <c r="AK8698">
        <v>12.6032289064282</v>
      </c>
      <c r="AL8698">
        <v>78.634052532274794</v>
      </c>
      <c r="AM8698">
        <v>88.674688599797193</v>
      </c>
      <c r="AN8698">
        <v>0.99999998930908995</v>
      </c>
    </row>
    <row r="8699" spans="1:40" x14ac:dyDescent="0.25">
      <c r="A8699" t="str">
        <f>"20190312172319004"</f>
        <v>20190312172319004</v>
      </c>
      <c r="B8699" t="str">
        <f>"1552382598998890"</f>
        <v>1552382598998890</v>
      </c>
      <c r="C8699" t="s">
        <v>40</v>
      </c>
      <c r="D8699">
        <v>3.2967710000000001</v>
      </c>
      <c r="E8699">
        <v>0.49586789999999997</v>
      </c>
      <c r="F8699" t="s">
        <v>42</v>
      </c>
      <c r="G8699">
        <v>-104.1297</v>
      </c>
      <c r="H8699" s="1">
        <v>-2.88264E-6</v>
      </c>
      <c r="I8699">
        <v>138.899</v>
      </c>
      <c r="J8699">
        <v>-116.45610000000001</v>
      </c>
      <c r="K8699">
        <v>1.1125290000000001</v>
      </c>
      <c r="L8699">
        <v>138.4863</v>
      </c>
      <c r="M8699">
        <v>0.99875769999999997</v>
      </c>
      <c r="N8699">
        <v>0</v>
      </c>
      <c r="O8699">
        <v>3.7088530000000001E-2</v>
      </c>
      <c r="P8699">
        <v>0.98652830000000002</v>
      </c>
      <c r="Q8699">
        <v>0.16314139999999999</v>
      </c>
      <c r="R8699">
        <v>1.2123689999999999E-2</v>
      </c>
      <c r="S8699">
        <v>3.0862270000000001</v>
      </c>
      <c r="T8699">
        <v>-0.27444869999999999</v>
      </c>
      <c r="U8699">
        <v>0.1032257</v>
      </c>
      <c r="V8699">
        <v>2.4752360000000001E-2</v>
      </c>
      <c r="W8699">
        <v>0.19584360000000001</v>
      </c>
      <c r="X8699">
        <v>0.98032269999999999</v>
      </c>
      <c r="Y8699">
        <v>3.5227869999999999E-3</v>
      </c>
      <c r="Z8699">
        <v>-3.4477890000000001E-3</v>
      </c>
      <c r="AA8699">
        <v>0.99998779999999998</v>
      </c>
      <c r="AB8699">
        <v>19</v>
      </c>
      <c r="AC8699">
        <v>12.3264</v>
      </c>
      <c r="AD8699">
        <v>-1.1125318826399999</v>
      </c>
      <c r="AE8699">
        <v>0.41270000000000001</v>
      </c>
      <c r="AF8699">
        <v>4.4642425444696099E-2</v>
      </c>
      <c r="AG8699">
        <v>-1.1125318826399999</v>
      </c>
      <c r="AH8699">
        <v>12.233678951396699</v>
      </c>
      <c r="AI8699">
        <v>95.196156136976299</v>
      </c>
      <c r="AJ8699">
        <v>89.790920521787399</v>
      </c>
      <c r="AK8699">
        <v>12.2842427858573</v>
      </c>
      <c r="AL8699">
        <v>78.705991386194697</v>
      </c>
      <c r="AM8699">
        <v>88.553634943737507</v>
      </c>
      <c r="AN8699">
        <v>0.99999999556090902</v>
      </c>
    </row>
    <row r="8700" spans="1:40" x14ac:dyDescent="0.25">
      <c r="A8700" t="str">
        <f>"20190312172319027"</f>
        <v>20190312172319027</v>
      </c>
      <c r="B8700" t="str">
        <f>"1552382599019385"</f>
        <v>1552382599019385</v>
      </c>
      <c r="C8700" t="s">
        <v>40</v>
      </c>
      <c r="D8700">
        <v>3.3547280000000002</v>
      </c>
      <c r="E8700">
        <v>0.49557869999999998</v>
      </c>
      <c r="F8700" t="s">
        <v>42</v>
      </c>
      <c r="G8700">
        <v>-94.582840000000004</v>
      </c>
      <c r="H8700" s="1">
        <v>-2.4134289999999998E-6</v>
      </c>
      <c r="I8700">
        <v>139.01220000000001</v>
      </c>
      <c r="J8700">
        <v>-116.2766</v>
      </c>
      <c r="K8700">
        <v>1.112571</v>
      </c>
      <c r="L8700">
        <v>138.49170000000001</v>
      </c>
      <c r="M8700">
        <v>0.99878049999999996</v>
      </c>
      <c r="N8700">
        <v>0</v>
      </c>
      <c r="O8700">
        <v>3.6105270000000002E-2</v>
      </c>
      <c r="P8700">
        <v>0.98729650000000002</v>
      </c>
      <c r="Q8700">
        <v>0.15856679999999901</v>
      </c>
      <c r="R8700">
        <v>1.01356E-2</v>
      </c>
      <c r="S8700">
        <v>3.065842</v>
      </c>
      <c r="T8700">
        <v>-0.1559364</v>
      </c>
      <c r="U8700">
        <v>7.3715210000000003E-2</v>
      </c>
      <c r="V8700">
        <v>2.5779489999999999E-2</v>
      </c>
      <c r="W8700">
        <v>0.19168250000000001</v>
      </c>
      <c r="X8700">
        <v>0.98111839999999995</v>
      </c>
      <c r="Y8700">
        <v>1.2031729999999999E-2</v>
      </c>
      <c r="Z8700">
        <v>-2.141235E-3</v>
      </c>
      <c r="AA8700">
        <v>0.99992530000000002</v>
      </c>
      <c r="AB8700">
        <v>18</v>
      </c>
      <c r="AC8700">
        <v>21.693760000000001</v>
      </c>
      <c r="AD8700">
        <v>-1.112573413429</v>
      </c>
      <c r="AE8700">
        <v>0.52049999999999796</v>
      </c>
      <c r="AF8700">
        <v>0.26285231835615602</v>
      </c>
      <c r="AG8700">
        <v>-1.112573413429</v>
      </c>
      <c r="AH8700">
        <v>21.641514273275401</v>
      </c>
      <c r="AI8700">
        <v>92.942723972895607</v>
      </c>
      <c r="AJ8700">
        <v>89.304134276823305</v>
      </c>
      <c r="AK8700">
        <v>21.671687774188701</v>
      </c>
      <c r="AL8700">
        <v>78.949011154119006</v>
      </c>
      <c r="AM8700">
        <v>88.494864440419505</v>
      </c>
      <c r="AN8700">
        <v>1.0000000388647301</v>
      </c>
    </row>
    <row r="8701" spans="1:40" x14ac:dyDescent="0.25">
      <c r="A8701" t="str">
        <f>"20190312172319048"</f>
        <v>20190312172319048</v>
      </c>
      <c r="B8701" t="str">
        <f>"1552382599038906"</f>
        <v>1552382599038906</v>
      </c>
      <c r="C8701" t="s">
        <v>40</v>
      </c>
      <c r="D8701">
        <v>3.2798919999999998</v>
      </c>
      <c r="E8701">
        <v>0.49544139999999998</v>
      </c>
      <c r="F8701" t="s">
        <v>42</v>
      </c>
      <c r="G8701">
        <v>-95.893230000000003</v>
      </c>
      <c r="H8701" s="1">
        <v>-1.8600270000000001E-6</v>
      </c>
      <c r="I8701">
        <v>138.96279999999999</v>
      </c>
      <c r="J8701">
        <v>-116.10550000000001</v>
      </c>
      <c r="K8701">
        <v>1.112608</v>
      </c>
      <c r="L8701">
        <v>138.4967</v>
      </c>
      <c r="M8701">
        <v>0.99880230000000003</v>
      </c>
      <c r="N8701">
        <v>0</v>
      </c>
      <c r="O8701">
        <v>3.5166660000000002E-2</v>
      </c>
      <c r="P8701">
        <v>0.98789130000000003</v>
      </c>
      <c r="Q8701">
        <v>0.154854399999999</v>
      </c>
      <c r="R8701">
        <v>9.5270130000000008E-3</v>
      </c>
      <c r="S8701">
        <v>3.0647579999999999</v>
      </c>
      <c r="T8701">
        <v>-0.16728180000000001</v>
      </c>
      <c r="U8701">
        <v>7.0846560000000003E-2</v>
      </c>
      <c r="V8701">
        <v>2.546706E-2</v>
      </c>
      <c r="W8701">
        <v>0.18833150000000001</v>
      </c>
      <c r="X8701">
        <v>0.98177530000000002</v>
      </c>
      <c r="Y8701">
        <v>1.201141E-2</v>
      </c>
      <c r="Z8701">
        <v>-2.2459340000000002E-3</v>
      </c>
      <c r="AA8701">
        <v>0.99992530000000002</v>
      </c>
      <c r="AB8701">
        <v>18</v>
      </c>
      <c r="AC8701">
        <v>20.21227</v>
      </c>
      <c r="AD8701">
        <v>-1.112609860027</v>
      </c>
      <c r="AE8701">
        <v>0.46609999999998297</v>
      </c>
      <c r="AF8701">
        <v>0.24465737222351</v>
      </c>
      <c r="AG8701">
        <v>-1.112609860027</v>
      </c>
      <c r="AH8701">
        <v>20.155114754372502</v>
      </c>
      <c r="AI8701">
        <v>93.159422975006905</v>
      </c>
      <c r="AJ8701">
        <v>89.304536511749006</v>
      </c>
      <c r="AK8701">
        <v>20.1872833410625</v>
      </c>
      <c r="AL8701">
        <v>79.144571919229904</v>
      </c>
      <c r="AM8701">
        <v>88.514091858813003</v>
      </c>
      <c r="AN8701">
        <v>1.00000003236369</v>
      </c>
    </row>
    <row r="8702" spans="1:40" x14ac:dyDescent="0.25">
      <c r="A8702" t="str">
        <f>"20190312172319071"</f>
        <v>20190312172319071</v>
      </c>
      <c r="B8702" t="str">
        <f>"1552382599069162"</f>
        <v>1552382599069162</v>
      </c>
      <c r="C8702" t="s">
        <v>40</v>
      </c>
      <c r="D8702">
        <v>3.2794530000000002</v>
      </c>
      <c r="E8702">
        <v>0.49498750000000002</v>
      </c>
      <c r="F8702" t="s">
        <v>42</v>
      </c>
      <c r="G8702">
        <v>-97.02449</v>
      </c>
      <c r="H8702" s="1">
        <v>-1.378785E-6</v>
      </c>
      <c r="I8702">
        <v>138.93989999999999</v>
      </c>
      <c r="J8702">
        <v>-115.9348</v>
      </c>
      <c r="K8702">
        <v>1.1126400000000001</v>
      </c>
      <c r="L8702">
        <v>138.50149999999999</v>
      </c>
      <c r="M8702">
        <v>0.99882439999999995</v>
      </c>
      <c r="N8702">
        <v>0</v>
      </c>
      <c r="O8702">
        <v>3.423205E-2</v>
      </c>
      <c r="P8702">
        <v>0.98812809999999995</v>
      </c>
      <c r="Q8702">
        <v>0.15336179999999999</v>
      </c>
      <c r="R8702">
        <v>9.1005789999999993E-3</v>
      </c>
      <c r="S8702">
        <v>3.0640719999999999</v>
      </c>
      <c r="T8702">
        <v>-0.1786652</v>
      </c>
      <c r="U8702">
        <v>7.1182250000000002E-2</v>
      </c>
      <c r="V8702">
        <v>2.4965859999999999E-2</v>
      </c>
      <c r="W8702">
        <v>0.1871456</v>
      </c>
      <c r="X8702">
        <v>0.98201490000000002</v>
      </c>
      <c r="Y8702">
        <v>1.095492E-2</v>
      </c>
      <c r="Z8702">
        <v>-2.3138590000000001E-3</v>
      </c>
      <c r="AA8702">
        <v>0.99993730000000003</v>
      </c>
      <c r="AB8702">
        <v>18</v>
      </c>
      <c r="AC8702">
        <v>18.910309999999999</v>
      </c>
      <c r="AD8702">
        <v>-1.112641378785</v>
      </c>
      <c r="AE8702">
        <v>0.43840000000000101</v>
      </c>
      <c r="AF8702">
        <v>0.208854892387763</v>
      </c>
      <c r="AG8702">
        <v>-1.112641378785</v>
      </c>
      <c r="AH8702">
        <v>18.849011858254599</v>
      </c>
      <c r="AI8702">
        <v>93.377994905802197</v>
      </c>
      <c r="AJ8702">
        <v>89.365164908436597</v>
      </c>
      <c r="AK8702">
        <v>18.882977499231401</v>
      </c>
      <c r="AL8702">
        <v>79.213748851994495</v>
      </c>
      <c r="AM8702">
        <v>88.543677545918001</v>
      </c>
      <c r="AN8702">
        <v>1.00000001679345</v>
      </c>
    </row>
    <row r="8703" spans="1:40" x14ac:dyDescent="0.25">
      <c r="A8703" t="str">
        <f>"20190312172319094"</f>
        <v>20190312172319094</v>
      </c>
      <c r="B8703" t="str">
        <f>"1552382599088681"</f>
        <v>1552382599088681</v>
      </c>
      <c r="C8703" t="s">
        <v>40</v>
      </c>
      <c r="D8703">
        <v>3.414768</v>
      </c>
      <c r="E8703">
        <v>0.49116890000000002</v>
      </c>
      <c r="F8703" t="s">
        <v>42</v>
      </c>
      <c r="G8703">
        <v>-97.389520000000005</v>
      </c>
      <c r="H8703" s="1">
        <v>-1.2213610000000001E-6</v>
      </c>
      <c r="I8703">
        <v>138.94460000000001</v>
      </c>
      <c r="J8703">
        <v>-115.7671</v>
      </c>
      <c r="K8703">
        <v>1.1126799999999999</v>
      </c>
      <c r="L8703">
        <v>138.506</v>
      </c>
      <c r="M8703">
        <v>0.99884700000000004</v>
      </c>
      <c r="N8703">
        <v>0</v>
      </c>
      <c r="O8703">
        <v>3.3311970000000003E-2</v>
      </c>
      <c r="P8703">
        <v>0.98829140000000004</v>
      </c>
      <c r="Q8703">
        <v>0.15234049999999999</v>
      </c>
      <c r="R8703">
        <v>8.5207349999999998E-3</v>
      </c>
      <c r="S8703">
        <v>3.063904</v>
      </c>
      <c r="T8703">
        <v>-0.18382129999999999</v>
      </c>
      <c r="U8703">
        <v>7.3211670000000006E-2</v>
      </c>
      <c r="V8703">
        <v>2.4628870000000001E-2</v>
      </c>
      <c r="W8703">
        <v>0.18638160000000001</v>
      </c>
      <c r="X8703">
        <v>0.98216870000000001</v>
      </c>
      <c r="Y8703">
        <v>9.3708679999999992E-3</v>
      </c>
      <c r="Z8703">
        <v>-2.2780299999999999E-3</v>
      </c>
      <c r="AA8703">
        <v>0.99995350000000005</v>
      </c>
      <c r="AB8703">
        <v>17</v>
      </c>
      <c r="AC8703">
        <v>18.377579999999998</v>
      </c>
      <c r="AD8703">
        <v>-1.11268122136099</v>
      </c>
      <c r="AE8703">
        <v>0.43860000000000798</v>
      </c>
      <c r="AF8703">
        <v>0.173567320327744</v>
      </c>
      <c r="AG8703">
        <v>-1.11268122136099</v>
      </c>
      <c r="AH8703">
        <v>18.314887752731501</v>
      </c>
      <c r="AI8703">
        <v>93.476451824784505</v>
      </c>
      <c r="AJ8703">
        <v>89.457033133142403</v>
      </c>
      <c r="AK8703">
        <v>18.349476791184198</v>
      </c>
      <c r="AL8703">
        <v>79.258306851037204</v>
      </c>
      <c r="AM8703">
        <v>88.563551617044595</v>
      </c>
      <c r="AN8703">
        <v>1.0000000186578599</v>
      </c>
    </row>
    <row r="8704" spans="1:40" x14ac:dyDescent="0.25">
      <c r="A8704" t="str">
        <f>"20190312172319116"</f>
        <v>20190312172319116</v>
      </c>
      <c r="B8704" t="str">
        <f>"1552382599109178"</f>
        <v>1552382599109178</v>
      </c>
      <c r="C8704" t="s">
        <v>40</v>
      </c>
      <c r="D8704">
        <v>3.2822879999999999</v>
      </c>
      <c r="E8704">
        <v>0.4907376</v>
      </c>
      <c r="F8704" t="s">
        <v>41</v>
      </c>
      <c r="G8704">
        <v>-114.9902</v>
      </c>
      <c r="H8704">
        <v>1.0272859999999999</v>
      </c>
      <c r="I8704">
        <v>138.53190000000001</v>
      </c>
      <c r="J8704">
        <v>-115.6069</v>
      </c>
      <c r="K8704">
        <v>1.112717</v>
      </c>
      <c r="L8704">
        <v>138.5103</v>
      </c>
      <c r="M8704">
        <v>0.99886870000000005</v>
      </c>
      <c r="N8704">
        <v>0</v>
      </c>
      <c r="O8704">
        <v>3.242863E-2</v>
      </c>
      <c r="P8704">
        <v>0.98789170000000004</v>
      </c>
      <c r="Q8704">
        <v>0.1549355</v>
      </c>
      <c r="R8704">
        <v>8.0641510000000003E-3</v>
      </c>
      <c r="S8704">
        <v>3.0869900000000001</v>
      </c>
      <c r="T8704">
        <v>-0.33934219999999998</v>
      </c>
      <c r="U8704">
        <v>0.102767899999999</v>
      </c>
      <c r="V8704">
        <v>2.4189539999999999E-2</v>
      </c>
      <c r="W8704">
        <v>0.1891697</v>
      </c>
      <c r="X8704">
        <v>0.98164640000000003</v>
      </c>
      <c r="Y8704">
        <v>-1.0134569999999999E-3</v>
      </c>
      <c r="Z8704">
        <v>-3.49877E-3</v>
      </c>
      <c r="AA8704">
        <v>0.99999340000000003</v>
      </c>
      <c r="AB8704">
        <v>17</v>
      </c>
      <c r="AC8704">
        <v>0.61669999999999403</v>
      </c>
      <c r="AD8704">
        <v>-8.5430999999999799E-2</v>
      </c>
      <c r="AE8704">
        <v>2.1600000000006499E-2</v>
      </c>
      <c r="AF8704">
        <v>-1.5481100275387301E-3</v>
      </c>
      <c r="AG8704">
        <v>-8.5430999999999799E-2</v>
      </c>
      <c r="AH8704">
        <v>0.60547116631984998</v>
      </c>
      <c r="AI8704">
        <v>98.031297859583205</v>
      </c>
      <c r="AJ8704">
        <v>90.146497442718896</v>
      </c>
      <c r="AK8704">
        <v>0.61147051085917203</v>
      </c>
      <c r="AL8704">
        <v>79.095666986835298</v>
      </c>
      <c r="AM8704">
        <v>88.588414192807306</v>
      </c>
      <c r="AN8704">
        <v>0.99999998193823003</v>
      </c>
    </row>
    <row r="8705" spans="1:40" x14ac:dyDescent="0.25">
      <c r="A8705" t="str">
        <f>"20190312172319139"</f>
        <v>20190312172319139</v>
      </c>
      <c r="B8705" t="str">
        <f>"1552382599128697"</f>
        <v>1552382599128697</v>
      </c>
      <c r="C8705" t="s">
        <v>40</v>
      </c>
      <c r="D8705">
        <v>3.387667</v>
      </c>
      <c r="E8705">
        <v>0.49086619999999997</v>
      </c>
      <c r="F8705" t="s">
        <v>42</v>
      </c>
      <c r="G8705">
        <v>-104.8638</v>
      </c>
      <c r="H8705" s="1">
        <v>-2.540222E-6</v>
      </c>
      <c r="I8705">
        <v>138.87299999999999</v>
      </c>
      <c r="J8705">
        <v>-115.44929999999999</v>
      </c>
      <c r="K8705">
        <v>1.11276</v>
      </c>
      <c r="L8705">
        <v>138.51429999999999</v>
      </c>
      <c r="M8705">
        <v>0.99889030000000001</v>
      </c>
      <c r="N8705">
        <v>0</v>
      </c>
      <c r="O8705">
        <v>3.1554579999999999E-2</v>
      </c>
      <c r="P8705">
        <v>0.98763840000000003</v>
      </c>
      <c r="Q8705">
        <v>0.1565695</v>
      </c>
      <c r="R8705">
        <v>7.5096869999999897E-3</v>
      </c>
      <c r="S8705">
        <v>3.0860439999999998</v>
      </c>
      <c r="T8705">
        <v>-0.31963960000000002</v>
      </c>
      <c r="U8705">
        <v>0.1042023</v>
      </c>
      <c r="V8705">
        <v>2.3860659999999999E-2</v>
      </c>
      <c r="W8705">
        <v>0.19097439999999999</v>
      </c>
      <c r="X8705">
        <v>0.98130490000000004</v>
      </c>
      <c r="Y8705">
        <v>-2.3298659999999999E-3</v>
      </c>
      <c r="Z8705">
        <v>-3.1395030000000001E-3</v>
      </c>
      <c r="AA8705">
        <v>0.9999924</v>
      </c>
      <c r="AB8705">
        <v>16</v>
      </c>
      <c r="AC8705">
        <v>10.5854999999999</v>
      </c>
      <c r="AD8705">
        <v>-1.1127625402220001</v>
      </c>
      <c r="AE8705">
        <v>0.35869999999999802</v>
      </c>
      <c r="AF8705">
        <v>-2.4030553833820401E-2</v>
      </c>
      <c r="AG8705">
        <v>-1.1127625402220001</v>
      </c>
      <c r="AH8705">
        <v>10.4759164175066</v>
      </c>
      <c r="AI8705">
        <v>96.063264780771505</v>
      </c>
      <c r="AJ8705">
        <v>90.131429733134695</v>
      </c>
      <c r="AK8705">
        <v>10.534877442335199</v>
      </c>
      <c r="AL8705">
        <v>78.990344693014606</v>
      </c>
      <c r="AM8705">
        <v>88.607114075219499</v>
      </c>
      <c r="AN8705">
        <v>0.99999992965749995</v>
      </c>
    </row>
    <row r="8706" spans="1:40" x14ac:dyDescent="0.25">
      <c r="A8706" t="str">
        <f>"20190312172319272"</f>
        <v>20190312172319272</v>
      </c>
      <c r="B8706" t="str">
        <f>"1552382599269242"</f>
        <v>1552382599269242</v>
      </c>
      <c r="C8706" t="s">
        <v>40</v>
      </c>
      <c r="D8706">
        <v>3.2548849999999998</v>
      </c>
      <c r="E8706">
        <v>0.49390070000000003</v>
      </c>
      <c r="F8706" t="s">
        <v>42</v>
      </c>
      <c r="G8706">
        <v>-103.62479999999999</v>
      </c>
      <c r="H8706" s="1">
        <v>-3.1198390000000002E-6</v>
      </c>
      <c r="I8706">
        <v>138.90729999999999</v>
      </c>
      <c r="J8706">
        <v>-114.6277</v>
      </c>
      <c r="K8706">
        <v>1.11338</v>
      </c>
      <c r="L8706">
        <v>138.53309999999999</v>
      </c>
      <c r="M8706">
        <v>0.99892990000000004</v>
      </c>
      <c r="N8706">
        <v>0</v>
      </c>
      <c r="O8706">
        <v>2.7155660000000002E-2</v>
      </c>
      <c r="P8706">
        <v>0.98663749999999995</v>
      </c>
      <c r="Q8706">
        <v>0.16290439999999901</v>
      </c>
      <c r="R8706">
        <v>2.9419820000000001E-3</v>
      </c>
      <c r="S8706">
        <v>3.0827789999999999</v>
      </c>
      <c r="T8706">
        <v>-0.29010950000000002</v>
      </c>
      <c r="U8706">
        <v>0.10246280000000001</v>
      </c>
      <c r="V8706">
        <v>2.3982130000000001E-2</v>
      </c>
      <c r="W8706">
        <v>0.19970640000000001</v>
      </c>
      <c r="X8706">
        <v>0.9795623</v>
      </c>
      <c r="Y8706">
        <v>-6.1396119999999896E-3</v>
      </c>
      <c r="Z8706">
        <v>-2.2622839999999998E-3</v>
      </c>
      <c r="AA8706">
        <v>0.99997860000000005</v>
      </c>
      <c r="AB8706">
        <v>13</v>
      </c>
      <c r="AC8706">
        <v>11.0029</v>
      </c>
      <c r="AD8706">
        <v>-1.1133831198389901</v>
      </c>
      <c r="AE8706">
        <v>0.37420000000000098</v>
      </c>
      <c r="AF8706">
        <v>-7.4301257333256293E-2</v>
      </c>
      <c r="AG8706">
        <v>-1.1133831198389901</v>
      </c>
      <c r="AH8706">
        <v>10.897549830420401</v>
      </c>
      <c r="AI8706">
        <v>95.833430978428296</v>
      </c>
      <c r="AJ8706">
        <v>90.390645838557802</v>
      </c>
      <c r="AK8706">
        <v>10.954530339310701</v>
      </c>
      <c r="AL8706">
        <v>78.480209881761198</v>
      </c>
      <c r="AM8706">
        <v>88.597536476587393</v>
      </c>
      <c r="AN8706">
        <v>1.0000000441707899</v>
      </c>
    </row>
    <row r="8707" spans="1:40" x14ac:dyDescent="0.25">
      <c r="A8707" t="str">
        <f>"20190312172319294"</f>
        <v>20190312172319294</v>
      </c>
      <c r="B8707" t="str">
        <f>"1552382599288766"</f>
        <v>1552382599288766</v>
      </c>
      <c r="C8707" t="s">
        <v>40</v>
      </c>
      <c r="D8707">
        <v>3.2060520000000001</v>
      </c>
      <c r="E8707">
        <v>0.49504769999999998</v>
      </c>
      <c r="F8707" t="s">
        <v>42</v>
      </c>
      <c r="G8707">
        <v>-99.837199999999996</v>
      </c>
      <c r="H8707" s="1">
        <v>-2.4743170000000001E-7</v>
      </c>
      <c r="I8707">
        <v>138.84219999999999</v>
      </c>
      <c r="J8707">
        <v>-114.5042</v>
      </c>
      <c r="K8707">
        <v>1.113164</v>
      </c>
      <c r="L8707">
        <v>138.53559999999999</v>
      </c>
      <c r="M8707">
        <v>0.99896910000000005</v>
      </c>
      <c r="N8707">
        <v>0</v>
      </c>
      <c r="O8707">
        <v>2.6469630000000001E-2</v>
      </c>
      <c r="P8707">
        <v>0.98646369999999906</v>
      </c>
      <c r="Q8707">
        <v>0.16393369999999999</v>
      </c>
      <c r="R8707">
        <v>3.9571759999999997E-3</v>
      </c>
      <c r="S8707">
        <v>3.0786899999999999</v>
      </c>
      <c r="T8707">
        <v>-0.23175280000000001</v>
      </c>
      <c r="U8707">
        <v>6.4361570000000007E-2</v>
      </c>
      <c r="V8707">
        <v>2.2291809999999999E-2</v>
      </c>
      <c r="W8707">
        <v>0.20018620000000001</v>
      </c>
      <c r="X8707">
        <v>0.97950420000000005</v>
      </c>
      <c r="Y8707">
        <v>5.4978199999999996E-3</v>
      </c>
      <c r="Z8707">
        <v>-2.1971629999999998E-3</v>
      </c>
      <c r="AA8707">
        <v>0.9999825</v>
      </c>
      <c r="AB8707">
        <v>13</v>
      </c>
      <c r="AC8707">
        <v>14.667</v>
      </c>
      <c r="AD8707">
        <v>-1.1131642474316901</v>
      </c>
      <c r="AE8707">
        <v>0.30660000000000298</v>
      </c>
      <c r="AF8707">
        <v>8.1532484861918997E-2</v>
      </c>
      <c r="AG8707">
        <v>-1.1131642474316901</v>
      </c>
      <c r="AH8707">
        <v>14.5859938347767</v>
      </c>
      <c r="AI8707">
        <v>94.364133816680194</v>
      </c>
      <c r="AJ8707">
        <v>89.679732579396699</v>
      </c>
      <c r="AK8707">
        <v>14.6286362432043</v>
      </c>
      <c r="AL8707">
        <v>78.452151805904293</v>
      </c>
      <c r="AM8707">
        <v>88.696272878672303</v>
      </c>
      <c r="AN8707">
        <v>0.999999958640577</v>
      </c>
    </row>
    <row r="8708" spans="1:40" x14ac:dyDescent="0.25">
      <c r="A8708" t="str">
        <f>"20190312172319317"</f>
        <v>20190312172319317</v>
      </c>
      <c r="B8708" t="str">
        <f>"1552382599309258"</f>
        <v>1552382599309258</v>
      </c>
      <c r="C8708" t="s">
        <v>40</v>
      </c>
      <c r="D8708">
        <v>3.2691349999999999</v>
      </c>
      <c r="E8708">
        <v>0.49603079999999999</v>
      </c>
      <c r="F8708" t="s">
        <v>42</v>
      </c>
      <c r="G8708">
        <v>-97.829750000000004</v>
      </c>
      <c r="H8708" s="1">
        <v>-1.0508439999999999E-6</v>
      </c>
      <c r="I8708">
        <v>138.84119999999999</v>
      </c>
      <c r="J8708">
        <v>-114.38549999999999</v>
      </c>
      <c r="K8708">
        <v>1.1130260000000001</v>
      </c>
      <c r="L8708">
        <v>138.5378</v>
      </c>
      <c r="M8708">
        <v>0.99900339999999999</v>
      </c>
      <c r="N8708">
        <v>0</v>
      </c>
      <c r="O8708">
        <v>2.581394E-2</v>
      </c>
      <c r="P8708">
        <v>0.9865353</v>
      </c>
      <c r="Q8708">
        <v>0.16347159999999999</v>
      </c>
      <c r="R8708">
        <v>5.0416849999999997E-3</v>
      </c>
      <c r="S8708">
        <v>3.075043</v>
      </c>
      <c r="T8708">
        <v>-0.20528540000000001</v>
      </c>
      <c r="U8708">
        <v>5.6365970000000001E-2</v>
      </c>
      <c r="V8708">
        <v>2.0560990000000001E-2</v>
      </c>
      <c r="W8708">
        <v>0.1992709</v>
      </c>
      <c r="X8708">
        <v>0.97972870000000001</v>
      </c>
      <c r="Y8708">
        <v>7.4317860000000001E-3</v>
      </c>
      <c r="Z8708">
        <v>-1.9699090000000002E-3</v>
      </c>
      <c r="AA8708">
        <v>0.99997040000000004</v>
      </c>
      <c r="AB8708">
        <v>12</v>
      </c>
      <c r="AC8708">
        <v>16.5557499999999</v>
      </c>
      <c r="AD8708">
        <v>-1.1130270508439899</v>
      </c>
      <c r="AE8708">
        <v>0.30339999999998202</v>
      </c>
      <c r="AF8708">
        <v>0.12379463805023699</v>
      </c>
      <c r="AG8708">
        <v>-1.1130270508439899</v>
      </c>
      <c r="AH8708">
        <v>16.483586303219401</v>
      </c>
      <c r="AI8708">
        <v>93.8628308796836</v>
      </c>
      <c r="AJ8708">
        <v>89.569706688371099</v>
      </c>
      <c r="AK8708">
        <v>16.521585025172399</v>
      </c>
      <c r="AL8708">
        <v>78.505673337819402</v>
      </c>
      <c r="AM8708">
        <v>88.7977436561616</v>
      </c>
      <c r="AN8708">
        <v>0.99999998575013904</v>
      </c>
    </row>
    <row r="8709" spans="1:40" x14ac:dyDescent="0.25">
      <c r="A8709" t="str">
        <f>"20190312172319339"</f>
        <v>20190312172319339</v>
      </c>
      <c r="B8709" t="str">
        <f>"1552382599328778"</f>
        <v>1552382599328778</v>
      </c>
      <c r="C8709" t="s">
        <v>40</v>
      </c>
      <c r="D8709">
        <v>3.2195900000000002</v>
      </c>
      <c r="E8709">
        <v>0.49678640000000002</v>
      </c>
      <c r="F8709" t="s">
        <v>42</v>
      </c>
      <c r="G8709">
        <v>-96.480170000000001</v>
      </c>
      <c r="H8709" s="1">
        <v>-1.629438E-6</v>
      </c>
      <c r="I8709">
        <v>138.8433</v>
      </c>
      <c r="J8709">
        <v>-114.2723</v>
      </c>
      <c r="K8709">
        <v>1.1130169999999999</v>
      </c>
      <c r="L8709">
        <v>138.53989999999999</v>
      </c>
      <c r="M8709">
        <v>0.99902679999999999</v>
      </c>
      <c r="N8709">
        <v>0</v>
      </c>
      <c r="O8709">
        <v>2.517134E-2</v>
      </c>
      <c r="P8709">
        <v>0.98651089999999997</v>
      </c>
      <c r="Q8709">
        <v>0.16359899999999999</v>
      </c>
      <c r="R8709">
        <v>5.6297419999999897E-3</v>
      </c>
      <c r="S8709">
        <v>3.072327</v>
      </c>
      <c r="T8709">
        <v>-0.1909807</v>
      </c>
      <c r="U8709">
        <v>5.2413939999999999E-2</v>
      </c>
      <c r="V8709">
        <v>1.932617E-2</v>
      </c>
      <c r="W8709">
        <v>0.19920779999999999</v>
      </c>
      <c r="X8709">
        <v>0.97976669999999999</v>
      </c>
      <c r="Y8709">
        <v>8.0679199999999993E-3</v>
      </c>
      <c r="Z8709">
        <v>-1.814384E-3</v>
      </c>
      <c r="AA8709">
        <v>0.99996580000000002</v>
      </c>
      <c r="AB8709">
        <v>12</v>
      </c>
      <c r="AC8709">
        <v>17.79213</v>
      </c>
      <c r="AD8709">
        <v>-1.113018629438</v>
      </c>
      <c r="AE8709">
        <v>0.30340000000001</v>
      </c>
      <c r="AF8709">
        <v>0.14427761456843399</v>
      </c>
      <c r="AG8709">
        <v>-1.113018629438</v>
      </c>
      <c r="AH8709">
        <v>17.724784019377498</v>
      </c>
      <c r="AI8709">
        <v>93.593022266075295</v>
      </c>
      <c r="AJ8709">
        <v>89.533629531491101</v>
      </c>
      <c r="AK8709">
        <v>17.7602813894691</v>
      </c>
      <c r="AL8709">
        <v>78.509363038462993</v>
      </c>
      <c r="AM8709">
        <v>88.869971396474099</v>
      </c>
      <c r="AN8709">
        <v>1.0000000174282899</v>
      </c>
    </row>
    <row r="8710" spans="1:40" x14ac:dyDescent="0.25">
      <c r="A8710" t="str">
        <f>"20190312172319363"</f>
        <v>20190312172319363</v>
      </c>
      <c r="B8710" t="str">
        <f>"1552382599359034"</f>
        <v>1552382599359034</v>
      </c>
      <c r="C8710" t="s">
        <v>40</v>
      </c>
      <c r="D8710">
        <v>3.1992699999999998</v>
      </c>
      <c r="E8710">
        <v>0.49729760000000001</v>
      </c>
      <c r="F8710" t="s">
        <v>42</v>
      </c>
      <c r="G8710">
        <v>-95.369150000000005</v>
      </c>
      <c r="H8710" s="1">
        <v>-2.106192E-6</v>
      </c>
      <c r="I8710">
        <v>138.8426</v>
      </c>
      <c r="J8710">
        <v>-114.1579</v>
      </c>
      <c r="K8710">
        <v>1.1130500000000001</v>
      </c>
      <c r="L8710">
        <v>138.542</v>
      </c>
      <c r="M8710">
        <v>0.99904740000000003</v>
      </c>
      <c r="N8710">
        <v>0</v>
      </c>
      <c r="O8710">
        <v>2.4492079999999999E-2</v>
      </c>
      <c r="P8710">
        <v>0.9867013</v>
      </c>
      <c r="Q8710">
        <v>0.1624399</v>
      </c>
      <c r="R8710">
        <v>5.8237009999999997E-3</v>
      </c>
      <c r="S8710">
        <v>3.0707239999999998</v>
      </c>
      <c r="T8710">
        <v>-0.1808041</v>
      </c>
      <c r="U8710">
        <v>4.9163819999999997E-2</v>
      </c>
      <c r="V8710">
        <v>1.8449529999999999E-2</v>
      </c>
      <c r="W8710">
        <v>0.19795479999999999</v>
      </c>
      <c r="X8710">
        <v>0.98003750000000001</v>
      </c>
      <c r="Y8710">
        <v>8.4442509999999998E-3</v>
      </c>
      <c r="Z8710">
        <v>-1.689882E-3</v>
      </c>
      <c r="AA8710">
        <v>0.99996289999999999</v>
      </c>
      <c r="AB8710">
        <v>12</v>
      </c>
      <c r="AC8710">
        <v>18.78875</v>
      </c>
      <c r="AD8710">
        <v>-1.113052106192</v>
      </c>
      <c r="AE8710">
        <v>0.30060000000000198</v>
      </c>
      <c r="AF8710">
        <v>0.159407003362905</v>
      </c>
      <c r="AG8710">
        <v>-1.113052106192</v>
      </c>
      <c r="AH8710">
        <v>18.7247773170809</v>
      </c>
      <c r="AI8710">
        <v>93.401692326819301</v>
      </c>
      <c r="AJ8710">
        <v>89.512243711665505</v>
      </c>
      <c r="AK8710">
        <v>18.758506901085902</v>
      </c>
      <c r="AL8710">
        <v>78.582613216563502</v>
      </c>
      <c r="AM8710">
        <v>88.9215153955045</v>
      </c>
      <c r="AN8710">
        <v>0.99999999470325496</v>
      </c>
    </row>
    <row r="8711" spans="1:40" x14ac:dyDescent="0.25">
      <c r="A8711" t="str">
        <f>"20190312172319384"</f>
        <v>20190312172319384</v>
      </c>
      <c r="B8711" t="str">
        <f>"1552382599378557"</f>
        <v>1552382599378557</v>
      </c>
      <c r="C8711" t="s">
        <v>40</v>
      </c>
      <c r="D8711">
        <v>3.2552530000000002</v>
      </c>
      <c r="E8711">
        <v>0.49768030000000002</v>
      </c>
      <c r="F8711" t="s">
        <v>42</v>
      </c>
      <c r="G8711">
        <v>-95.393270000000001</v>
      </c>
      <c r="H8711" s="1">
        <v>-2.0983560000000002E-6</v>
      </c>
      <c r="I8711">
        <v>138.82839999999999</v>
      </c>
      <c r="J8711">
        <v>-114.0605</v>
      </c>
      <c r="K8711">
        <v>1.113048</v>
      </c>
      <c r="L8711">
        <v>138.5437</v>
      </c>
      <c r="M8711">
        <v>0.99906810000000001</v>
      </c>
      <c r="N8711">
        <v>0</v>
      </c>
      <c r="O8711">
        <v>2.39142E-2</v>
      </c>
      <c r="P8711">
        <v>0.98694099999999996</v>
      </c>
      <c r="Q8711">
        <v>0.1609797</v>
      </c>
      <c r="R8711">
        <v>5.8031180000000003E-3</v>
      </c>
      <c r="S8711">
        <v>3.0701290000000001</v>
      </c>
      <c r="T8711">
        <v>-0.18210889999999999</v>
      </c>
      <c r="U8711">
        <v>4.6859739999999997E-2</v>
      </c>
      <c r="V8711">
        <v>1.789547E-2</v>
      </c>
      <c r="W8711">
        <v>0.19632620000000001</v>
      </c>
      <c r="X8711">
        <v>0.98037529999999995</v>
      </c>
      <c r="Y8711">
        <v>8.6127240000000004E-3</v>
      </c>
      <c r="Z8711">
        <v>-1.6731230000000001E-3</v>
      </c>
      <c r="AA8711">
        <v>0.99996149999999995</v>
      </c>
      <c r="AB8711">
        <v>11</v>
      </c>
      <c r="AC8711">
        <v>18.66723</v>
      </c>
      <c r="AD8711">
        <v>-1.1130500983560001</v>
      </c>
      <c r="AE8711">
        <v>0.28469999999998602</v>
      </c>
      <c r="AF8711">
        <v>0.161507778302347</v>
      </c>
      <c r="AG8711">
        <v>-1.1130500983560001</v>
      </c>
      <c r="AH8711">
        <v>18.602575959516301</v>
      </c>
      <c r="AI8711">
        <v>93.423974122001596</v>
      </c>
      <c r="AJ8711">
        <v>89.502569881763705</v>
      </c>
      <c r="AK8711">
        <v>18.636544680103</v>
      </c>
      <c r="AL8711">
        <v>78.677792809813496</v>
      </c>
      <c r="AM8711">
        <v>88.954256552005006</v>
      </c>
      <c r="AN8711">
        <v>0.99999997675152497</v>
      </c>
    </row>
    <row r="8712" spans="1:40" x14ac:dyDescent="0.25">
      <c r="A8712" t="str">
        <f>"20190312172319406"</f>
        <v>20190312172319406</v>
      </c>
      <c r="B8712" t="str">
        <f>"1552382599399050"</f>
        <v>1552382599399050</v>
      </c>
      <c r="C8712" t="s">
        <v>40</v>
      </c>
      <c r="D8712">
        <v>3.2015539999999998</v>
      </c>
      <c r="E8712">
        <v>0.4980098</v>
      </c>
      <c r="F8712" t="s">
        <v>42</v>
      </c>
      <c r="G8712">
        <v>-95.531809999999993</v>
      </c>
      <c r="H8712" s="1">
        <v>-2.041973E-6</v>
      </c>
      <c r="I8712">
        <v>138.81120000000001</v>
      </c>
      <c r="J8712">
        <v>-113.9589</v>
      </c>
      <c r="K8712">
        <v>1.1130180000000001</v>
      </c>
      <c r="L8712">
        <v>138.5454</v>
      </c>
      <c r="M8712">
        <v>0.99909230000000004</v>
      </c>
      <c r="N8712">
        <v>0</v>
      </c>
      <c r="O8712">
        <v>2.333841E-2</v>
      </c>
      <c r="P8712">
        <v>0.98703490000000005</v>
      </c>
      <c r="Q8712">
        <v>0.16043650000000001</v>
      </c>
      <c r="R8712">
        <v>4.7547989999999997E-3</v>
      </c>
      <c r="S8712">
        <v>3.0695039999999998</v>
      </c>
      <c r="T8712">
        <v>-0.18438979999999999</v>
      </c>
      <c r="U8712">
        <v>4.4326780000000003E-2</v>
      </c>
      <c r="V8712">
        <v>1.8372980000000001E-2</v>
      </c>
      <c r="W8712">
        <v>0.19549900000000001</v>
      </c>
      <c r="X8712">
        <v>0.98053179999999995</v>
      </c>
      <c r="Y8712">
        <v>8.8571880000000002E-3</v>
      </c>
      <c r="Z8712">
        <v>-1.6671539999999999E-3</v>
      </c>
      <c r="AA8712">
        <v>0.99995940000000005</v>
      </c>
      <c r="AB8712">
        <v>10</v>
      </c>
      <c r="AC8712">
        <v>18.42709</v>
      </c>
      <c r="AD8712">
        <v>-1.1130200419730001</v>
      </c>
      <c r="AE8712">
        <v>0.26580000000001203</v>
      </c>
      <c r="AF8712">
        <v>0.16400657342061001</v>
      </c>
      <c r="AG8712">
        <v>-1.1130200419730001</v>
      </c>
      <c r="AH8712">
        <v>18.361297896006</v>
      </c>
      <c r="AI8712">
        <v>93.468756897554798</v>
      </c>
      <c r="AJ8712">
        <v>89.488236908545105</v>
      </c>
      <c r="AK8712">
        <v>18.3957324452122</v>
      </c>
      <c r="AL8712">
        <v>78.726124955717395</v>
      </c>
      <c r="AM8712">
        <v>88.926530444711403</v>
      </c>
      <c r="AN8712">
        <v>1.0000000181031601</v>
      </c>
    </row>
    <row r="8713" spans="1:40" x14ac:dyDescent="0.25">
      <c r="A8713" t="str">
        <f>"20190312172319428"</f>
        <v>20190312172319428</v>
      </c>
      <c r="B8713" t="str">
        <f>"1552382599418570"</f>
        <v>1552382599418570</v>
      </c>
      <c r="C8713" t="s">
        <v>40</v>
      </c>
      <c r="D8713">
        <v>3.2040510000000002</v>
      </c>
      <c r="E8713">
        <v>0.49824489999999999</v>
      </c>
      <c r="F8713" t="s">
        <v>42</v>
      </c>
      <c r="G8713">
        <v>-95.467410000000001</v>
      </c>
      <c r="H8713" s="1">
        <v>-2.074729E-6</v>
      </c>
      <c r="I8713">
        <v>138.78229999999999</v>
      </c>
      <c r="J8713">
        <v>-113.86450000000001</v>
      </c>
      <c r="K8713">
        <v>1.1130040000000001</v>
      </c>
      <c r="L8713">
        <v>138.54689999999999</v>
      </c>
      <c r="M8713">
        <v>0.9991141</v>
      </c>
      <c r="N8713">
        <v>0</v>
      </c>
      <c r="O8713">
        <v>2.282182E-2</v>
      </c>
      <c r="P8713">
        <v>0.9870968</v>
      </c>
      <c r="Q8713">
        <v>0.16010079999999999</v>
      </c>
      <c r="R8713">
        <v>2.755866E-3</v>
      </c>
      <c r="S8713">
        <v>3.069229</v>
      </c>
      <c r="T8713">
        <v>-0.1847394</v>
      </c>
      <c r="U8713">
        <v>3.93219E-2</v>
      </c>
      <c r="V8713">
        <v>1.9857530000000002E-2</v>
      </c>
      <c r="W8713">
        <v>0.19488910000000001</v>
      </c>
      <c r="X8713">
        <v>0.9806243</v>
      </c>
      <c r="Y8713">
        <v>9.96762E-3</v>
      </c>
      <c r="Z8713">
        <v>-1.6727809999999999E-3</v>
      </c>
      <c r="AA8713">
        <v>0.99994890000000003</v>
      </c>
      <c r="AB8713">
        <v>10</v>
      </c>
      <c r="AC8713">
        <v>18.397089999999999</v>
      </c>
      <c r="AD8713">
        <v>-1.113006074729</v>
      </c>
      <c r="AE8713">
        <v>0.235399999999998</v>
      </c>
      <c r="AF8713">
        <v>0.18410541715671599</v>
      </c>
      <c r="AG8713">
        <v>-1.113006074729</v>
      </c>
      <c r="AH8713">
        <v>18.330586674152901</v>
      </c>
      <c r="AI8713">
        <v>93.4744742156429</v>
      </c>
      <c r="AJ8713">
        <v>89.424562404464695</v>
      </c>
      <c r="AK8713">
        <v>18.365268447415701</v>
      </c>
      <c r="AL8713">
        <v>78.761755374684199</v>
      </c>
      <c r="AM8713">
        <v>88.839925561712107</v>
      </c>
      <c r="AN8713">
        <v>1.00000005027349</v>
      </c>
    </row>
    <row r="8714" spans="1:40" x14ac:dyDescent="0.25">
      <c r="A8714" t="str">
        <f>"20190312172319450"</f>
        <v>20190312172319450</v>
      </c>
      <c r="B8714" t="str">
        <f>"1552382599439066"</f>
        <v>1552382599439066</v>
      </c>
      <c r="C8714" t="s">
        <v>40</v>
      </c>
      <c r="D8714">
        <v>3.2018330000000002</v>
      </c>
      <c r="E8714">
        <v>0.49841760000000002</v>
      </c>
      <c r="F8714" t="s">
        <v>42</v>
      </c>
      <c r="G8714">
        <v>-95.378020000000006</v>
      </c>
      <c r="H8714" s="1">
        <v>-2.1193869999999998E-6</v>
      </c>
      <c r="I8714">
        <v>138.7467</v>
      </c>
      <c r="J8714">
        <v>-113.7726</v>
      </c>
      <c r="K8714">
        <v>1.113019</v>
      </c>
      <c r="L8714">
        <v>138.54839999999999</v>
      </c>
      <c r="M8714">
        <v>0.99913359999999996</v>
      </c>
      <c r="N8714">
        <v>0</v>
      </c>
      <c r="O8714">
        <v>2.2315829999999998E-2</v>
      </c>
      <c r="P8714">
        <v>0.98713189999999995</v>
      </c>
      <c r="Q8714">
        <v>0.1599014</v>
      </c>
      <c r="R8714">
        <v>1.6161470000000001E-3</v>
      </c>
      <c r="S8714">
        <v>3.0690919999999999</v>
      </c>
      <c r="T8714">
        <v>-0.18477940000000001</v>
      </c>
      <c r="U8714">
        <v>3.3172609999999998E-2</v>
      </c>
      <c r="V8714">
        <v>2.0488269999999999E-2</v>
      </c>
      <c r="W8714">
        <v>0.19446959999999999</v>
      </c>
      <c r="X8714">
        <v>0.98069450000000002</v>
      </c>
      <c r="Y8714">
        <v>1.1461850000000001E-2</v>
      </c>
      <c r="Z8714">
        <v>-1.6877260000000001E-3</v>
      </c>
      <c r="AA8714">
        <v>0.99993290000000001</v>
      </c>
      <c r="AB8714">
        <v>10</v>
      </c>
      <c r="AC8714">
        <v>18.394580000000001</v>
      </c>
      <c r="AD8714">
        <v>-1.1130211193870001</v>
      </c>
      <c r="AE8714">
        <v>0.19830000000001699</v>
      </c>
      <c r="AF8714">
        <v>0.211718222675847</v>
      </c>
      <c r="AG8714">
        <v>-1.1130211193870001</v>
      </c>
      <c r="AH8714">
        <v>18.327328739402699</v>
      </c>
      <c r="AI8714">
        <v>93.475080739382705</v>
      </c>
      <c r="AJ8714">
        <v>89.338145715952805</v>
      </c>
      <c r="AK8714">
        <v>18.3623151955343</v>
      </c>
      <c r="AL8714">
        <v>78.786258640933099</v>
      </c>
      <c r="AM8714">
        <v>88.803174015741902</v>
      </c>
      <c r="AN8714">
        <v>0.99999994843100004</v>
      </c>
    </row>
    <row r="8715" spans="1:40" x14ac:dyDescent="0.25">
      <c r="A8715" t="str">
        <f>"20190312172319473"</f>
        <v>20190312172319473</v>
      </c>
      <c r="B8715" t="str">
        <f>"1552382599469322"</f>
        <v>1552382599469322</v>
      </c>
      <c r="C8715" t="s">
        <v>40</v>
      </c>
      <c r="D8715">
        <v>3.2626710000000001</v>
      </c>
      <c r="E8715">
        <v>0.49862980000000001</v>
      </c>
      <c r="F8715" t="s">
        <v>42</v>
      </c>
      <c r="G8715">
        <v>-95.213790000000003</v>
      </c>
      <c r="H8715" s="1">
        <v>-2.194357E-6</v>
      </c>
      <c r="I8715">
        <v>138.72120000000001</v>
      </c>
      <c r="J8715">
        <v>-113.6835</v>
      </c>
      <c r="K8715">
        <v>1.113048</v>
      </c>
      <c r="L8715">
        <v>138.5498</v>
      </c>
      <c r="M8715">
        <v>0.99915050000000005</v>
      </c>
      <c r="N8715">
        <v>0</v>
      </c>
      <c r="O8715">
        <v>2.181379E-2</v>
      </c>
      <c r="P8715">
        <v>0.9874851</v>
      </c>
      <c r="Q8715">
        <v>0.15770390000000001</v>
      </c>
      <c r="R8715">
        <v>1.605885E-3</v>
      </c>
      <c r="S8715">
        <v>3.0688780000000002</v>
      </c>
      <c r="T8715">
        <v>-0.1840483</v>
      </c>
      <c r="U8715">
        <v>2.8594970000000001E-2</v>
      </c>
      <c r="V8715">
        <v>1.999832E-2</v>
      </c>
      <c r="W8715">
        <v>0.1921252</v>
      </c>
      <c r="X8715">
        <v>0.98116669999999995</v>
      </c>
      <c r="Y8715">
        <v>1.244952E-2</v>
      </c>
      <c r="Z8715">
        <v>-1.6806849999999999E-3</v>
      </c>
      <c r="AA8715">
        <v>0.99992110000000001</v>
      </c>
      <c r="AB8715">
        <v>9</v>
      </c>
      <c r="AC8715">
        <v>18.4697099999999</v>
      </c>
      <c r="AD8715">
        <v>-1.1130501943569999</v>
      </c>
      <c r="AE8715">
        <v>0.17140000000000499</v>
      </c>
      <c r="AF8715">
        <v>0.23094304971711299</v>
      </c>
      <c r="AG8715">
        <v>-1.1130501943569999</v>
      </c>
      <c r="AH8715">
        <v>18.402225430003899</v>
      </c>
      <c r="AI8715">
        <v>93.461020364377504</v>
      </c>
      <c r="AJ8715">
        <v>89.280990904730203</v>
      </c>
      <c r="AK8715">
        <v>18.4373023027788</v>
      </c>
      <c r="AL8715">
        <v>78.923166175833401</v>
      </c>
      <c r="AM8715">
        <v>88.8323485679405</v>
      </c>
      <c r="AN8715">
        <v>1.00000005923337</v>
      </c>
    </row>
    <row r="8716" spans="1:40" x14ac:dyDescent="0.25">
      <c r="A8716" t="str">
        <f>"20190312172319495"</f>
        <v>20190312172319495</v>
      </c>
      <c r="B8716" t="str">
        <f>"1552382599488842"</f>
        <v>1552382599488842</v>
      </c>
      <c r="C8716" t="s">
        <v>40</v>
      </c>
      <c r="D8716">
        <v>3.2327710000000001</v>
      </c>
      <c r="E8716">
        <v>0.49871019999999999</v>
      </c>
      <c r="F8716" t="s">
        <v>42</v>
      </c>
      <c r="G8716">
        <v>-95.693960000000004</v>
      </c>
      <c r="H8716" s="1">
        <v>-1.9916379999999999E-6</v>
      </c>
      <c r="I8716">
        <v>138.7028</v>
      </c>
      <c r="J8716">
        <v>-113.5985</v>
      </c>
      <c r="K8716">
        <v>1.11297</v>
      </c>
      <c r="L8716">
        <v>138.55099999999999</v>
      </c>
      <c r="M8716">
        <v>0.99917670000000003</v>
      </c>
      <c r="N8716">
        <v>0</v>
      </c>
      <c r="O8716">
        <v>2.1325520000000001E-2</v>
      </c>
      <c r="P8716">
        <v>0.9878865</v>
      </c>
      <c r="Q8716">
        <v>0.15517439999999999</v>
      </c>
      <c r="R8716">
        <v>9.5171899999999996E-4</v>
      </c>
      <c r="S8716">
        <v>3.068298</v>
      </c>
      <c r="T8716">
        <v>-0.18984139999999999</v>
      </c>
      <c r="U8716">
        <v>2.6107789999999999E-2</v>
      </c>
      <c r="V8716">
        <v>2.01719E-2</v>
      </c>
      <c r="W8716">
        <v>0.189165</v>
      </c>
      <c r="X8716">
        <v>0.98173809999999995</v>
      </c>
      <c r="Y8716">
        <v>1.276563E-2</v>
      </c>
      <c r="Z8716">
        <v>-1.7133789999999999E-3</v>
      </c>
      <c r="AA8716">
        <v>0.99991699999999994</v>
      </c>
      <c r="AB8716">
        <v>9</v>
      </c>
      <c r="AC8716">
        <v>17.904539999999901</v>
      </c>
      <c r="AD8716">
        <v>-1.1129719916380001</v>
      </c>
      <c r="AE8716">
        <v>0.15179999999998001</v>
      </c>
      <c r="AF8716">
        <v>0.229399449480232</v>
      </c>
      <c r="AG8716">
        <v>-1.1129719916380001</v>
      </c>
      <c r="AH8716">
        <v>17.834793047402599</v>
      </c>
      <c r="AI8716">
        <v>93.570591374700001</v>
      </c>
      <c r="AJ8716">
        <v>89.263075524648102</v>
      </c>
      <c r="AK8716">
        <v>17.8709589503549</v>
      </c>
      <c r="AL8716">
        <v>79.095941426543604</v>
      </c>
      <c r="AM8716">
        <v>88.822901823528895</v>
      </c>
      <c r="AN8716">
        <v>0.99999999988310895</v>
      </c>
    </row>
    <row r="8717" spans="1:40" x14ac:dyDescent="0.25">
      <c r="A8717" t="str">
        <f>"20190312172319518"</f>
        <v>20190312172319518</v>
      </c>
      <c r="B8717" t="str">
        <f>"1552382599509338"</f>
        <v>1552382599509338</v>
      </c>
      <c r="C8717" t="s">
        <v>40</v>
      </c>
      <c r="D8717">
        <v>3.2822460000000002</v>
      </c>
      <c r="E8717">
        <v>0.50975899999999996</v>
      </c>
      <c r="F8717" t="s">
        <v>42</v>
      </c>
      <c r="G8717">
        <v>-96.263639999999995</v>
      </c>
      <c r="H8717" s="1">
        <v>-1.7518900000000001E-6</v>
      </c>
      <c r="I8717">
        <v>138.67660000000001</v>
      </c>
      <c r="J8717">
        <v>-113.5157</v>
      </c>
      <c r="K8717">
        <v>1.112797</v>
      </c>
      <c r="L8717">
        <v>138.5522</v>
      </c>
      <c r="M8717">
        <v>0.99921409999999999</v>
      </c>
      <c r="N8717">
        <v>0</v>
      </c>
      <c r="O8717">
        <v>2.084985E-2</v>
      </c>
      <c r="P8717">
        <v>0.98863440000000002</v>
      </c>
      <c r="Q8717">
        <v>0.1503401</v>
      </c>
      <c r="R8717">
        <v>-4.632967E-4</v>
      </c>
      <c r="S8717">
        <v>3.0677029999999998</v>
      </c>
      <c r="T8717">
        <v>-0.19695889999999999</v>
      </c>
      <c r="U8717">
        <v>2.2232060000000001E-2</v>
      </c>
      <c r="V8717">
        <v>2.113143E-2</v>
      </c>
      <c r="W8717">
        <v>0.18357599999999999</v>
      </c>
      <c r="X8717">
        <v>0.98277840000000005</v>
      </c>
      <c r="Y8717">
        <v>1.354496E-2</v>
      </c>
      <c r="Z8717">
        <v>-1.77228E-3</v>
      </c>
      <c r="AA8717">
        <v>0.99990670000000004</v>
      </c>
      <c r="AB8717">
        <v>9</v>
      </c>
      <c r="AC8717">
        <v>17.252059999999901</v>
      </c>
      <c r="AD8717">
        <v>-1.11279875189</v>
      </c>
      <c r="AE8717">
        <v>0.124400000000008</v>
      </c>
      <c r="AF8717">
        <v>0.23455866205235601</v>
      </c>
      <c r="AG8717">
        <v>-1.11279875189</v>
      </c>
      <c r="AH8717">
        <v>17.179428393603999</v>
      </c>
      <c r="AI8717">
        <v>93.705816282262305</v>
      </c>
      <c r="AJ8717">
        <v>89.217762892365997</v>
      </c>
      <c r="AK8717">
        <v>17.217029324454298</v>
      </c>
      <c r="AL8717">
        <v>79.421878955637595</v>
      </c>
      <c r="AM8717">
        <v>88.768231759295404</v>
      </c>
      <c r="AN8717">
        <v>1.0000000343082001</v>
      </c>
    </row>
    <row r="8718" spans="1:40" x14ac:dyDescent="0.25">
      <c r="A8718" t="str">
        <f>"20190312172319541"</f>
        <v>20190312172319541</v>
      </c>
      <c r="B8718" t="str">
        <f>"1552382599528858"</f>
        <v>1552382599528858</v>
      </c>
      <c r="C8718" t="s">
        <v>40</v>
      </c>
      <c r="D8718">
        <v>3.2861600000000002</v>
      </c>
      <c r="E8718">
        <v>0.51749250000000002</v>
      </c>
      <c r="F8718" t="s">
        <v>41</v>
      </c>
      <c r="G8718">
        <v>-112.7838</v>
      </c>
      <c r="H8718">
        <v>1.019188</v>
      </c>
      <c r="I8718">
        <v>138.53630000000001</v>
      </c>
      <c r="J8718">
        <v>-113.4348</v>
      </c>
      <c r="K8718">
        <v>1.112668</v>
      </c>
      <c r="L8718">
        <v>138.55330000000001</v>
      </c>
      <c r="M8718">
        <v>0.99924710000000005</v>
      </c>
      <c r="N8718">
        <v>0</v>
      </c>
      <c r="O8718">
        <v>2.039121E-2</v>
      </c>
      <c r="P8718">
        <v>0.98969099999999999</v>
      </c>
      <c r="Q8718">
        <v>0.143208</v>
      </c>
      <c r="R8718">
        <v>-1.897045E-3</v>
      </c>
      <c r="S8718">
        <v>3.0946349999999998</v>
      </c>
      <c r="T8718">
        <v>-0.39578200000000002</v>
      </c>
      <c r="U8718">
        <v>-6.7199709999999996E-2</v>
      </c>
      <c r="V8718">
        <v>2.2130319999999998E-2</v>
      </c>
      <c r="W8718">
        <v>0.1757842</v>
      </c>
      <c r="X8718">
        <v>0.9841799</v>
      </c>
      <c r="Y8718">
        <v>4.159798E-2</v>
      </c>
      <c r="Z8718">
        <v>-5.2473819999999897E-3</v>
      </c>
      <c r="AA8718">
        <v>0.99912069999999997</v>
      </c>
      <c r="AB8718">
        <v>8</v>
      </c>
      <c r="AC8718">
        <v>0.65099999999999603</v>
      </c>
      <c r="AD8718">
        <v>-9.3479999999999994E-2</v>
      </c>
      <c r="AE8718">
        <v>-1.69999999999959E-2</v>
      </c>
      <c r="AF8718">
        <v>2.96670763962638E-2</v>
      </c>
      <c r="AG8718">
        <v>-9.3479999999999994E-2</v>
      </c>
      <c r="AH8718">
        <v>0.63738415061932896</v>
      </c>
      <c r="AI8718">
        <v>98.334730309683096</v>
      </c>
      <c r="AJ8718">
        <v>87.335088494228799</v>
      </c>
      <c r="AK8718">
        <v>0.64488541717317904</v>
      </c>
      <c r="AL8718">
        <v>79.875702625605797</v>
      </c>
      <c r="AM8718">
        <v>88.711861221009798</v>
      </c>
      <c r="AN8718">
        <v>0.999999955798475</v>
      </c>
    </row>
    <row r="8719" spans="1:40" x14ac:dyDescent="0.25">
      <c r="A8719" t="str">
        <f>"20190312172319563"</f>
        <v>20190312172319563</v>
      </c>
      <c r="B8719" t="str">
        <f>"1552382599559114"</f>
        <v>1552382599559114</v>
      </c>
      <c r="C8719" t="s">
        <v>40</v>
      </c>
      <c r="D8719">
        <v>3.2559300000000002</v>
      </c>
      <c r="E8719">
        <v>0.52067450000000004</v>
      </c>
      <c r="F8719" t="s">
        <v>41</v>
      </c>
      <c r="G8719">
        <v>-112.6653</v>
      </c>
      <c r="H8719">
        <v>0.97935470000000002</v>
      </c>
      <c r="I8719">
        <v>138.5205</v>
      </c>
      <c r="J8719">
        <v>-113.3588</v>
      </c>
      <c r="K8719">
        <v>1.1126969999999901</v>
      </c>
      <c r="L8719">
        <v>138.55439999999999</v>
      </c>
      <c r="M8719">
        <v>0.99926380000000004</v>
      </c>
      <c r="N8719">
        <v>0</v>
      </c>
      <c r="O8719">
        <v>1.996363E-2</v>
      </c>
      <c r="P8719">
        <v>0.99052439999999997</v>
      </c>
      <c r="Q8719">
        <v>0.13730429999999999</v>
      </c>
      <c r="R8719">
        <v>-3.039407E-3</v>
      </c>
      <c r="S8719">
        <v>3.1089319999999998</v>
      </c>
      <c r="T8719">
        <v>-0.53861829999999999</v>
      </c>
      <c r="U8719">
        <v>-0.1319427</v>
      </c>
      <c r="V8719">
        <v>2.2857679999999998E-2</v>
      </c>
      <c r="W8719">
        <v>0.1696677</v>
      </c>
      <c r="X8719">
        <v>0.98523620000000001</v>
      </c>
      <c r="Y8719">
        <v>6.1143200000000002E-2</v>
      </c>
      <c r="Z8719">
        <v>-8.6886369999999904E-3</v>
      </c>
      <c r="AA8719">
        <v>0.99809119999999996</v>
      </c>
      <c r="AB8719">
        <v>8</v>
      </c>
      <c r="AC8719">
        <v>0.69350000000000001</v>
      </c>
      <c r="AD8719">
        <v>-0.133342299999999</v>
      </c>
      <c r="AE8719">
        <v>-3.3899999999988398E-2</v>
      </c>
      <c r="AF8719">
        <v>4.6047169617857001E-2</v>
      </c>
      <c r="AG8719">
        <v>-0.133342299999999</v>
      </c>
      <c r="AH8719">
        <v>0.66804609014337502</v>
      </c>
      <c r="AI8719">
        <v>101.261882632481</v>
      </c>
      <c r="AJ8719">
        <v>86.056945607641595</v>
      </c>
      <c r="AK8719">
        <v>0.68277821388424298</v>
      </c>
      <c r="AL8719">
        <v>80.231500859616801</v>
      </c>
      <c r="AM8719">
        <v>88.670964691734895</v>
      </c>
      <c r="AN8719">
        <v>0.99999998587435601</v>
      </c>
    </row>
    <row r="8720" spans="1:40" x14ac:dyDescent="0.25">
      <c r="A8720" t="str">
        <f>"20190312172319585"</f>
        <v>20190312172319585</v>
      </c>
      <c r="B8720" t="str">
        <f>"1552382599579610"</f>
        <v>1552382599579610</v>
      </c>
      <c r="C8720" t="s">
        <v>40</v>
      </c>
      <c r="D8720">
        <v>3.4253439999999999</v>
      </c>
      <c r="E8720">
        <v>0.52115459999999902</v>
      </c>
      <c r="F8720" t="s">
        <v>41</v>
      </c>
      <c r="G8720">
        <v>-112.61239999999999</v>
      </c>
      <c r="H8720">
        <v>0.96110300000000004</v>
      </c>
      <c r="I8720">
        <v>138.51509999999999</v>
      </c>
      <c r="J8720">
        <v>-113.29130000000001</v>
      </c>
      <c r="K8720">
        <v>1.112976</v>
      </c>
      <c r="L8720">
        <v>138.55529999999999</v>
      </c>
      <c r="M8720">
        <v>0.99924919999999995</v>
      </c>
      <c r="N8720">
        <v>0</v>
      </c>
      <c r="O8720">
        <v>1.960011E-2</v>
      </c>
      <c r="P8720">
        <v>0.99116850000000001</v>
      </c>
      <c r="Q8720">
        <v>0.13256200000000001</v>
      </c>
      <c r="R8720">
        <v>-3.5698399999999999E-3</v>
      </c>
      <c r="S8720">
        <v>3.1159210000000002</v>
      </c>
      <c r="T8720">
        <v>-0.63280789999999998</v>
      </c>
      <c r="U8720">
        <v>-0.16337589999999999</v>
      </c>
      <c r="V8720">
        <v>2.3025690000000001E-2</v>
      </c>
      <c r="W8720">
        <v>0.16560520000000001</v>
      </c>
      <c r="X8720">
        <v>0.98592329999999995</v>
      </c>
      <c r="Y8720">
        <v>7.0107799999999998E-2</v>
      </c>
      <c r="Z8720">
        <v>-1.098265E-2</v>
      </c>
      <c r="AA8720">
        <v>0.997479</v>
      </c>
      <c r="AB8720">
        <v>8</v>
      </c>
      <c r="AC8720">
        <v>0.67890000000001205</v>
      </c>
      <c r="AD8720">
        <v>-0.15187299999999901</v>
      </c>
      <c r="AE8720">
        <v>-4.0199999999998598E-2</v>
      </c>
      <c r="AF8720">
        <v>5.0964670571131201E-2</v>
      </c>
      <c r="AG8720">
        <v>-0.15187299999999901</v>
      </c>
      <c r="AH8720">
        <v>0.64577691287637196</v>
      </c>
      <c r="AI8720">
        <v>103.19467070864199</v>
      </c>
      <c r="AJ8720">
        <v>85.4875737536223</v>
      </c>
      <c r="AK8720">
        <v>0.66535000336632</v>
      </c>
      <c r="AL8720">
        <v>80.467606525146195</v>
      </c>
      <c r="AM8720">
        <v>88.662132157272396</v>
      </c>
      <c r="AN8720">
        <v>1.0000000090749499</v>
      </c>
    </row>
    <row r="8721" spans="1:40" x14ac:dyDescent="0.25">
      <c r="A8721" t="str">
        <f>"20190312172319607"</f>
        <v>20190312172319607</v>
      </c>
      <c r="B8721" t="str">
        <f>"1552382599599130"</f>
        <v>1552382599599130</v>
      </c>
      <c r="C8721" t="s">
        <v>40</v>
      </c>
      <c r="D8721">
        <v>3.2622610000000001</v>
      </c>
      <c r="E8721">
        <v>0.52181069999999996</v>
      </c>
      <c r="F8721" t="s">
        <v>41</v>
      </c>
      <c r="G8721">
        <v>-112.5565</v>
      </c>
      <c r="H8721">
        <v>0.95947930000000003</v>
      </c>
      <c r="I8721">
        <v>138.51419999999999</v>
      </c>
      <c r="J8721">
        <v>-113.2296</v>
      </c>
      <c r="K8721">
        <v>1.1133109999999999</v>
      </c>
      <c r="L8721">
        <v>138.55609999999999</v>
      </c>
      <c r="M8721">
        <v>0.99921769999999999</v>
      </c>
      <c r="N8721">
        <v>0</v>
      </c>
      <c r="O8721">
        <v>1.928467E-2</v>
      </c>
      <c r="P8721">
        <v>0.99174499999999999</v>
      </c>
      <c r="Q8721">
        <v>0.1281745</v>
      </c>
      <c r="R8721">
        <v>-3.6675560000000002E-3</v>
      </c>
      <c r="S8721">
        <v>3.113083</v>
      </c>
      <c r="T8721">
        <v>-0.65032699999999999</v>
      </c>
      <c r="U8721">
        <v>-0.17344670000000001</v>
      </c>
      <c r="V8721">
        <v>2.2807029999999999E-2</v>
      </c>
      <c r="W8721">
        <v>0.1623337</v>
      </c>
      <c r="X8721">
        <v>0.98647229999999997</v>
      </c>
      <c r="Y8721">
        <v>7.2900409999999999E-2</v>
      </c>
      <c r="Z8721">
        <v>-1.151283E-2</v>
      </c>
      <c r="AA8721">
        <v>0.99727279999999996</v>
      </c>
      <c r="AB8721">
        <v>7</v>
      </c>
      <c r="AC8721">
        <v>0.67310000000000503</v>
      </c>
      <c r="AD8721">
        <v>-0.15383169999999999</v>
      </c>
      <c r="AE8721">
        <v>-4.1899999999998203E-2</v>
      </c>
      <c r="AF8721">
        <v>5.2166249957664897E-2</v>
      </c>
      <c r="AG8721">
        <v>-0.15383169999999999</v>
      </c>
      <c r="AH8721">
        <v>0.63892307250171698</v>
      </c>
      <c r="AI8721">
        <v>103.494034988512</v>
      </c>
      <c r="AJ8721">
        <v>85.332316334773196</v>
      </c>
      <c r="AK8721">
        <v>0.65924820980763399</v>
      </c>
      <c r="AL8721">
        <v>80.657621397628702</v>
      </c>
      <c r="AM8721">
        <v>88.675569696698602</v>
      </c>
      <c r="AN8721">
        <v>0.99999999472019996</v>
      </c>
    </row>
    <row r="8722" spans="1:40" x14ac:dyDescent="0.25">
      <c r="A8722" t="str">
        <f>"20190312172319629"</f>
        <v>20190312172319629</v>
      </c>
      <c r="B8722" t="str">
        <f>"1552382599619626"</f>
        <v>1552382599619626</v>
      </c>
      <c r="C8722" t="s">
        <v>40</v>
      </c>
      <c r="D8722">
        <v>3.244777</v>
      </c>
      <c r="E8722">
        <v>0.5224472</v>
      </c>
      <c r="F8722" t="s">
        <v>41</v>
      </c>
      <c r="G8722">
        <v>-112.5033</v>
      </c>
      <c r="H8722">
        <v>0.96269660000000001</v>
      </c>
      <c r="I8722">
        <v>138.51329999999999</v>
      </c>
      <c r="J8722">
        <v>-113.17610000000001</v>
      </c>
      <c r="K8722">
        <v>1.1136029999999999</v>
      </c>
      <c r="L8722">
        <v>138.55680000000001</v>
      </c>
      <c r="M8722">
        <v>0.99918169999999995</v>
      </c>
      <c r="N8722">
        <v>0</v>
      </c>
      <c r="O8722">
        <v>1.9032589999999999E-2</v>
      </c>
      <c r="P8722">
        <v>0.99232880000000001</v>
      </c>
      <c r="Q8722">
        <v>0.1235781</v>
      </c>
      <c r="R8722">
        <v>-3.550667E-3</v>
      </c>
      <c r="S8722">
        <v>3.1075900000000001</v>
      </c>
      <c r="T8722">
        <v>-0.64442889999999997</v>
      </c>
      <c r="U8722">
        <v>-0.1826324</v>
      </c>
      <c r="V8722">
        <v>2.2440990000000001E-2</v>
      </c>
      <c r="W8722">
        <v>0.158909299999999</v>
      </c>
      <c r="X8722">
        <v>0.98703810000000003</v>
      </c>
      <c r="Y8722">
        <v>7.5661270000000003E-2</v>
      </c>
      <c r="Z8722">
        <v>-1.166086E-2</v>
      </c>
      <c r="AA8722">
        <v>0.99706539999999999</v>
      </c>
      <c r="AB8722">
        <v>6</v>
      </c>
      <c r="AC8722">
        <v>0.67280000000000895</v>
      </c>
      <c r="AD8722">
        <v>-0.1509064</v>
      </c>
      <c r="AE8722">
        <v>-4.3500000000022902E-2</v>
      </c>
      <c r="AF8722">
        <v>5.3619119411329699E-2</v>
      </c>
      <c r="AG8722">
        <v>-0.1509064</v>
      </c>
      <c r="AH8722">
        <v>0.63979618945296901</v>
      </c>
      <c r="AI8722">
        <v>103.226852939907</v>
      </c>
      <c r="AJ8722">
        <v>85.209432318661996</v>
      </c>
      <c r="AK8722">
        <v>0.65953537855519595</v>
      </c>
      <c r="AL8722">
        <v>80.856406109982998</v>
      </c>
      <c r="AM8722">
        <v>88.697565433399802</v>
      </c>
      <c r="AN8722">
        <v>0.99999998725514005</v>
      </c>
    </row>
    <row r="8723" spans="1:40" x14ac:dyDescent="0.25">
      <c r="A8723" t="str">
        <f>"20190312172319651"</f>
        <v>20190312172319651</v>
      </c>
      <c r="B8723" t="str">
        <f>"1552382599648906"</f>
        <v>1552382599648906</v>
      </c>
      <c r="C8723" t="s">
        <v>40</v>
      </c>
      <c r="D8723">
        <v>3.224091</v>
      </c>
      <c r="E8723">
        <v>0.523146</v>
      </c>
      <c r="F8723" t="s">
        <v>41</v>
      </c>
      <c r="G8723">
        <v>-112.4563</v>
      </c>
      <c r="H8723">
        <v>0.96382979999999996</v>
      </c>
      <c r="I8723">
        <v>138.51300000000001</v>
      </c>
      <c r="J8723">
        <v>-113.1271</v>
      </c>
      <c r="K8723">
        <v>1.1137809999999999</v>
      </c>
      <c r="L8723">
        <v>138.5574</v>
      </c>
      <c r="M8723">
        <v>0.99915030000000005</v>
      </c>
      <c r="N8723">
        <v>0</v>
      </c>
      <c r="O8723">
        <v>1.8816070000000001E-2</v>
      </c>
      <c r="P8723">
        <v>0.99279700000000004</v>
      </c>
      <c r="Q8723">
        <v>0.1197598</v>
      </c>
      <c r="R8723">
        <v>-3.4396629999999999E-3</v>
      </c>
      <c r="S8723">
        <v>3.1029360000000001</v>
      </c>
      <c r="T8723">
        <v>-0.64568230000000004</v>
      </c>
      <c r="U8723">
        <v>-0.1883698</v>
      </c>
      <c r="V8723">
        <v>2.2119639999999999E-2</v>
      </c>
      <c r="W8723">
        <v>0.1560792</v>
      </c>
      <c r="X8723">
        <v>0.98749690000000001</v>
      </c>
      <c r="Y8723">
        <v>7.7326000000000006E-2</v>
      </c>
      <c r="Z8723">
        <v>-1.1826369999999999E-2</v>
      </c>
      <c r="AA8723">
        <v>0.99693569999999998</v>
      </c>
      <c r="AB8723">
        <v>6</v>
      </c>
      <c r="AC8723">
        <v>0.67079999999999895</v>
      </c>
      <c r="AD8723">
        <v>-0.14995119999999901</v>
      </c>
      <c r="AE8723">
        <v>-4.4399999999995998E-2</v>
      </c>
      <c r="AF8723">
        <v>5.4319890536189498E-2</v>
      </c>
      <c r="AG8723">
        <v>-0.14995119999999901</v>
      </c>
      <c r="AH8723">
        <v>0.63809808612075403</v>
      </c>
      <c r="AI8723">
        <v>103.178401705315</v>
      </c>
      <c r="AJ8723">
        <v>85.134266902051706</v>
      </c>
      <c r="AK8723">
        <v>0.65772728421456905</v>
      </c>
      <c r="AL8723">
        <v>81.020608886060899</v>
      </c>
      <c r="AM8723">
        <v>88.716805981685098</v>
      </c>
      <c r="AN8723">
        <v>1.00000006132798</v>
      </c>
    </row>
    <row r="8724" spans="1:40" x14ac:dyDescent="0.25">
      <c r="A8724" t="str">
        <f>"20190312172319675"</f>
        <v>20190312172319675</v>
      </c>
      <c r="B8724" t="str">
        <f>"1552382599669402"</f>
        <v>1552382599669402</v>
      </c>
      <c r="C8724" t="s">
        <v>40</v>
      </c>
      <c r="D8724">
        <v>3.2351369999999999</v>
      </c>
      <c r="E8724">
        <v>0.52346459999999995</v>
      </c>
      <c r="F8724" t="s">
        <v>41</v>
      </c>
      <c r="G8724">
        <v>-112.4134</v>
      </c>
      <c r="H8724">
        <v>0.96522019999999997</v>
      </c>
      <c r="I8724">
        <v>138.51310000000001</v>
      </c>
      <c r="J8724">
        <v>-113.0806</v>
      </c>
      <c r="K8724">
        <v>1.1137140000000001</v>
      </c>
      <c r="L8724">
        <v>138.55799999999999</v>
      </c>
      <c r="M8724">
        <v>0.99914590000000003</v>
      </c>
      <c r="N8724">
        <v>0</v>
      </c>
      <c r="O8724">
        <v>1.859479E-2</v>
      </c>
      <c r="P8724">
        <v>0.99298359999999997</v>
      </c>
      <c r="Q8724">
        <v>0.118202</v>
      </c>
      <c r="R8724">
        <v>-3.4380650000000001E-3</v>
      </c>
      <c r="S8724">
        <v>3.0989230000000001</v>
      </c>
      <c r="T8724">
        <v>-0.64504589999999995</v>
      </c>
      <c r="U8724">
        <v>-0.19206239999999999</v>
      </c>
      <c r="V8724">
        <v>2.190541E-2</v>
      </c>
      <c r="W8724">
        <v>0.15475839999999999</v>
      </c>
      <c r="X8724">
        <v>0.98770950000000002</v>
      </c>
      <c r="Y8724">
        <v>7.8348730000000005E-2</v>
      </c>
      <c r="Z8724">
        <v>-1.1889179999999999E-2</v>
      </c>
      <c r="AA8724">
        <v>0.99685509999999999</v>
      </c>
      <c r="AB8724">
        <v>5</v>
      </c>
      <c r="AC8724">
        <v>0.66720000000000801</v>
      </c>
      <c r="AD8724">
        <v>-0.14849379999999901</v>
      </c>
      <c r="AE8724">
        <v>-4.4899999999984098E-2</v>
      </c>
      <c r="AF8724">
        <v>5.4614061836810703E-2</v>
      </c>
      <c r="AG8724">
        <v>-0.14849379999999901</v>
      </c>
      <c r="AH8724">
        <v>0.63493961951050504</v>
      </c>
      <c r="AI8724">
        <v>103.116471849901</v>
      </c>
      <c r="AJ8724">
        <v>85.083828130716</v>
      </c>
      <c r="AK8724">
        <v>0.65435573262018598</v>
      </c>
      <c r="AL8724">
        <v>81.097215776199604</v>
      </c>
      <c r="AM8724">
        <v>88.729503133162396</v>
      </c>
      <c r="AN8724">
        <v>1.0000000328740299</v>
      </c>
    </row>
    <row r="8725" spans="1:40" x14ac:dyDescent="0.25">
      <c r="A8725" t="str">
        <f>"20190312172319696"</f>
        <v>20190312172319696</v>
      </c>
      <c r="B8725" t="str">
        <f>"1552382599688922"</f>
        <v>1552382599688922</v>
      </c>
      <c r="C8725" t="s">
        <v>40</v>
      </c>
      <c r="D8725">
        <v>3.2211500000000002</v>
      </c>
      <c r="E8725">
        <v>0.52377870000000004</v>
      </c>
      <c r="F8725" t="s">
        <v>41</v>
      </c>
      <c r="G8725">
        <v>-112.3724</v>
      </c>
      <c r="H8725">
        <v>0.96666739999999995</v>
      </c>
      <c r="I8725">
        <v>138.51349999999999</v>
      </c>
      <c r="J8725">
        <v>-113.0376</v>
      </c>
      <c r="K8725">
        <v>1.113445</v>
      </c>
      <c r="L8725">
        <v>138.55860000000001</v>
      </c>
      <c r="M8725">
        <v>0.99917020000000001</v>
      </c>
      <c r="N8725">
        <v>0</v>
      </c>
      <c r="O8725">
        <v>1.8357229999999999E-2</v>
      </c>
      <c r="P8725">
        <v>0.99299470000000001</v>
      </c>
      <c r="Q8725">
        <v>0.1180789</v>
      </c>
      <c r="R8725">
        <v>-4.3659220000000004E-3</v>
      </c>
      <c r="S8725">
        <v>3.0970759999999999</v>
      </c>
      <c r="T8725">
        <v>-0.64307930000000002</v>
      </c>
      <c r="U8725">
        <v>-0.1941071</v>
      </c>
      <c r="V8725">
        <v>2.260523E-2</v>
      </c>
      <c r="W8725">
        <v>0.1540947</v>
      </c>
      <c r="X8725">
        <v>0.98779749999999999</v>
      </c>
      <c r="Y8725">
        <v>7.8809050000000005E-2</v>
      </c>
      <c r="Z8725">
        <v>-1.185873E-2</v>
      </c>
      <c r="AA8725">
        <v>0.99681920000000002</v>
      </c>
      <c r="AB8725">
        <v>5</v>
      </c>
      <c r="AC8725">
        <v>0.66519999999999802</v>
      </c>
      <c r="AD8725">
        <v>-0.14677759999999901</v>
      </c>
      <c r="AE8725">
        <v>-4.5100000000019201E-2</v>
      </c>
      <c r="AF8725">
        <v>5.4662510076906597E-2</v>
      </c>
      <c r="AG8725">
        <v>-0.14677759999999901</v>
      </c>
      <c r="AH8725">
        <v>0.63355443152595603</v>
      </c>
      <c r="AI8725">
        <v>102.99714543459</v>
      </c>
      <c r="AJ8725">
        <v>85.068783290149298</v>
      </c>
      <c r="AK8725">
        <v>0.65262766687893703</v>
      </c>
      <c r="AL8725">
        <v>81.135704723929393</v>
      </c>
      <c r="AM8725">
        <v>88.689044820189096</v>
      </c>
      <c r="AN8725">
        <v>1.00000003699884</v>
      </c>
    </row>
    <row r="8726" spans="1:40" x14ac:dyDescent="0.25">
      <c r="A8726" t="str">
        <f>"20190312172319719"</f>
        <v>20190312172319719</v>
      </c>
      <c r="B8726" t="str">
        <f>"1552382599709418"</f>
        <v>1552382599709418</v>
      </c>
      <c r="C8726" t="s">
        <v>40</v>
      </c>
      <c r="D8726">
        <v>3.211522</v>
      </c>
      <c r="E8726">
        <v>0.52386670000000002</v>
      </c>
      <c r="F8726" t="s">
        <v>41</v>
      </c>
      <c r="G8726">
        <v>-112.33329999999999</v>
      </c>
      <c r="H8726">
        <v>0.96808329999999998</v>
      </c>
      <c r="I8726">
        <v>138.51349999999999</v>
      </c>
      <c r="J8726">
        <v>-112.9973</v>
      </c>
      <c r="K8726">
        <v>1.113205</v>
      </c>
      <c r="L8726">
        <v>138.559</v>
      </c>
      <c r="M8726">
        <v>0.99919789999999997</v>
      </c>
      <c r="N8726">
        <v>0</v>
      </c>
      <c r="O8726">
        <v>1.8118970000000002E-2</v>
      </c>
      <c r="P8726">
        <v>0.99330540000000001</v>
      </c>
      <c r="Q8726">
        <v>0.11542959999999999</v>
      </c>
      <c r="R8726">
        <v>-4.5268060000000004E-3</v>
      </c>
      <c r="S8726">
        <v>3.0962830000000001</v>
      </c>
      <c r="T8726">
        <v>-0.63905610000000002</v>
      </c>
      <c r="U8726">
        <v>-0.19812009999999999</v>
      </c>
      <c r="V8726">
        <v>2.2540259999999999E-2</v>
      </c>
      <c r="W8726">
        <v>0.15081989999999901</v>
      </c>
      <c r="X8726">
        <v>0.98830430000000002</v>
      </c>
      <c r="Y8726">
        <v>7.9880850000000003E-2</v>
      </c>
      <c r="Z8726">
        <v>-1.1849169999999999E-2</v>
      </c>
      <c r="AA8726">
        <v>0.99673400000000001</v>
      </c>
      <c r="AB8726">
        <v>4</v>
      </c>
      <c r="AC8726">
        <v>0.66400000000000103</v>
      </c>
      <c r="AD8726">
        <v>-0.14512169999999899</v>
      </c>
      <c r="AE8726">
        <v>-4.5500000000004003E-2</v>
      </c>
      <c r="AF8726">
        <v>5.4920085173473902E-2</v>
      </c>
      <c r="AG8726">
        <v>-0.14512169999999899</v>
      </c>
      <c r="AH8726">
        <v>0.63297201037152595</v>
      </c>
      <c r="AI8726">
        <v>102.86632940198599</v>
      </c>
      <c r="AJ8726">
        <v>85.041126347189604</v>
      </c>
      <c r="AK8726">
        <v>0.65171319572348896</v>
      </c>
      <c r="AL8726">
        <v>81.325556473922006</v>
      </c>
      <c r="AM8726">
        <v>88.693481435846195</v>
      </c>
      <c r="AN8726">
        <v>1.00000004747768</v>
      </c>
    </row>
    <row r="8727" spans="1:40" x14ac:dyDescent="0.25">
      <c r="A8727" t="str">
        <f>"20190312172319741"</f>
        <v>20190312172319741</v>
      </c>
      <c r="B8727" t="str">
        <f>"1552382599738699"</f>
        <v>1552382599738699</v>
      </c>
      <c r="C8727" t="s">
        <v>40</v>
      </c>
      <c r="D8727">
        <v>3.2226919999999999</v>
      </c>
      <c r="E8727">
        <v>0.52401540000000002</v>
      </c>
      <c r="F8727" t="s">
        <v>41</v>
      </c>
      <c r="G8727">
        <v>-112.29810000000001</v>
      </c>
      <c r="H8727">
        <v>0.96785310000000002</v>
      </c>
      <c r="I8727">
        <v>138.51400000000001</v>
      </c>
      <c r="J8727">
        <v>-112.9624</v>
      </c>
      <c r="K8727">
        <v>1.1131219999999999</v>
      </c>
      <c r="L8727">
        <v>138.55940000000001</v>
      </c>
      <c r="M8727">
        <v>0.99921119999999997</v>
      </c>
      <c r="N8727">
        <v>0</v>
      </c>
      <c r="O8727">
        <v>1.7910880000000001E-2</v>
      </c>
      <c r="P8727">
        <v>0.99384139999999999</v>
      </c>
      <c r="Q8727">
        <v>0.11070770000000001</v>
      </c>
      <c r="R8727">
        <v>-4.8427740000000002E-3</v>
      </c>
      <c r="S8727">
        <v>3.094055</v>
      </c>
      <c r="T8727">
        <v>-0.64318369999999903</v>
      </c>
      <c r="U8727">
        <v>-0.19856260000000001</v>
      </c>
      <c r="V8727">
        <v>2.2657500000000001E-2</v>
      </c>
      <c r="W8727">
        <v>0.14585479999999901</v>
      </c>
      <c r="X8727">
        <v>0.98904650000000005</v>
      </c>
      <c r="Y8727">
        <v>7.9836870000000004E-2</v>
      </c>
      <c r="Z8727">
        <v>-1.1885110000000001E-2</v>
      </c>
      <c r="AA8727">
        <v>0.99673710000000004</v>
      </c>
      <c r="AB8727">
        <v>4</v>
      </c>
      <c r="AC8727">
        <v>0.664299999999997</v>
      </c>
      <c r="AD8727">
        <v>-0.14526890000000001</v>
      </c>
      <c r="AE8727">
        <v>-4.5400000000000697E-2</v>
      </c>
      <c r="AF8727">
        <v>5.46949877949428E-2</v>
      </c>
      <c r="AG8727">
        <v>-0.14526890000000001</v>
      </c>
      <c r="AH8727">
        <v>0.63323845327226203</v>
      </c>
      <c r="AI8727">
        <v>102.874125794354</v>
      </c>
      <c r="AJ8727">
        <v>85.063417960676801</v>
      </c>
      <c r="AK8727">
        <v>0.65198583857300596</v>
      </c>
      <c r="AL8727">
        <v>81.613217958849006</v>
      </c>
      <c r="AM8727">
        <v>88.687673327082393</v>
      </c>
      <c r="AN8727">
        <v>0.99999998207576901</v>
      </c>
    </row>
    <row r="8728" spans="1:40" x14ac:dyDescent="0.25">
      <c r="A8728" t="str">
        <f>"20190312172319765"</f>
        <v>20190312172319765</v>
      </c>
      <c r="B8728" t="str">
        <f>"1552382599759194"</f>
        <v>1552382599759194</v>
      </c>
      <c r="C8728" t="s">
        <v>40</v>
      </c>
      <c r="D8728">
        <v>3.2162989999999998</v>
      </c>
      <c r="E8728">
        <v>0.52411869999999905</v>
      </c>
      <c r="F8728" t="s">
        <v>41</v>
      </c>
      <c r="G8728">
        <v>-112.2427</v>
      </c>
      <c r="H8728">
        <v>0.96108400000000005</v>
      </c>
      <c r="I8728">
        <v>138.51240000000001</v>
      </c>
      <c r="J8728">
        <v>-112.9319</v>
      </c>
      <c r="K8728">
        <v>1.1131230000000001</v>
      </c>
      <c r="L8728">
        <v>138.55969999999999</v>
      </c>
      <c r="M8728">
        <v>0.99921570000000004</v>
      </c>
      <c r="N8728">
        <v>0</v>
      </c>
      <c r="O8728">
        <v>1.7715870000000002E-2</v>
      </c>
      <c r="P8728">
        <v>0.99436659999999999</v>
      </c>
      <c r="Q8728">
        <v>0.1058077</v>
      </c>
      <c r="R8728">
        <v>-6.3257740000000002E-3</v>
      </c>
      <c r="S8728">
        <v>3.0903170000000002</v>
      </c>
      <c r="T8728">
        <v>-0.65277890000000005</v>
      </c>
      <c r="U8728">
        <v>-0.20140079999999999</v>
      </c>
      <c r="V8728">
        <v>2.394984E-2</v>
      </c>
      <c r="W8728">
        <v>0.1409502</v>
      </c>
      <c r="X8728">
        <v>0.98972700000000002</v>
      </c>
      <c r="Y8728">
        <v>8.0552620000000005E-2</v>
      </c>
      <c r="Z8728">
        <v>-1.2106489999999999E-2</v>
      </c>
      <c r="AA8728">
        <v>0.99667680000000003</v>
      </c>
      <c r="AB8728">
        <v>4</v>
      </c>
      <c r="AC8728">
        <v>0.68919999999999904</v>
      </c>
      <c r="AD8728">
        <v>-0.15203899999999901</v>
      </c>
      <c r="AE8728">
        <v>-4.7299999999978498E-2</v>
      </c>
      <c r="AF8728">
        <v>5.67606822470735E-2</v>
      </c>
      <c r="AG8728">
        <v>-0.15203899999999901</v>
      </c>
      <c r="AH8728">
        <v>0.65645633342505105</v>
      </c>
      <c r="AI8728">
        <v>102.993282914837</v>
      </c>
      <c r="AJ8728">
        <v>85.058195168834899</v>
      </c>
      <c r="AK8728">
        <v>0.67621930633783001</v>
      </c>
      <c r="AL8728">
        <v>81.897166414325099</v>
      </c>
      <c r="AM8728">
        <v>88.613802589749099</v>
      </c>
      <c r="AN8728">
        <v>1.0000000441225301</v>
      </c>
    </row>
    <row r="8729" spans="1:40" x14ac:dyDescent="0.25">
      <c r="A8729" t="str">
        <f>"20190312172319786"</f>
        <v>20190312172319786</v>
      </c>
      <c r="B8729" t="str">
        <f>"1552382599779264"</f>
        <v>1552382599779264</v>
      </c>
      <c r="C8729" t="s">
        <v>40</v>
      </c>
      <c r="D8729">
        <v>3.2180930000000001</v>
      </c>
      <c r="E8729">
        <v>0.52418620000000005</v>
      </c>
      <c r="F8729" t="s">
        <v>41</v>
      </c>
      <c r="G8729">
        <v>-112.2195</v>
      </c>
      <c r="H8729">
        <v>0.95956050000000004</v>
      </c>
      <c r="I8729">
        <v>138.5119</v>
      </c>
      <c r="J8729">
        <v>-112.9064</v>
      </c>
      <c r="K8729">
        <v>1.1131089999999999</v>
      </c>
      <c r="L8729">
        <v>138.56</v>
      </c>
      <c r="M8729">
        <v>0.99922109999999997</v>
      </c>
      <c r="N8729">
        <v>0</v>
      </c>
      <c r="O8729">
        <v>1.753673E-2</v>
      </c>
      <c r="P8729">
        <v>0.99488030000000005</v>
      </c>
      <c r="Q8729">
        <v>0.1006454</v>
      </c>
      <c r="R8729">
        <v>-9.1728439999999994E-3</v>
      </c>
      <c r="S8729">
        <v>3.0864720000000001</v>
      </c>
      <c r="T8729">
        <v>-0.66536439999999997</v>
      </c>
      <c r="U8729">
        <v>-0.20677190000000001</v>
      </c>
      <c r="V8729">
        <v>2.662167E-2</v>
      </c>
      <c r="W8729">
        <v>0.13574549999999999</v>
      </c>
      <c r="X8729">
        <v>0.99038599999999999</v>
      </c>
      <c r="Y8729">
        <v>8.2062469999999998E-2</v>
      </c>
      <c r="Z8729">
        <v>-1.2471609999999999E-2</v>
      </c>
      <c r="AA8729">
        <v>0.99654909999999997</v>
      </c>
      <c r="AB8729">
        <v>3</v>
      </c>
      <c r="AC8729">
        <v>0.68690000000000795</v>
      </c>
      <c r="AD8729">
        <v>-0.15354849999999901</v>
      </c>
      <c r="AE8729">
        <v>-4.8100000000005097E-2</v>
      </c>
      <c r="AF8729">
        <v>5.7296982311560697E-2</v>
      </c>
      <c r="AG8729">
        <v>-0.15354849999999901</v>
      </c>
      <c r="AH8729">
        <v>0.65345668503369803</v>
      </c>
      <c r="AI8729">
        <v>103.174627281705</v>
      </c>
      <c r="AJ8729">
        <v>84.988955345387097</v>
      </c>
      <c r="AK8729">
        <v>0.67369557312594197</v>
      </c>
      <c r="AL8729">
        <v>82.198269193751301</v>
      </c>
      <c r="AM8729">
        <v>88.460254760926702</v>
      </c>
      <c r="AN8729">
        <v>0.99999999153991903</v>
      </c>
    </row>
    <row r="8730" spans="1:40" x14ac:dyDescent="0.25">
      <c r="A8730" t="str">
        <f>"20190312172319808"</f>
        <v>20190312172319808</v>
      </c>
      <c r="B8730" t="str">
        <f>"1552382599798784"</f>
        <v>1552382599798784</v>
      </c>
      <c r="C8730" t="s">
        <v>40</v>
      </c>
      <c r="D8730">
        <v>3.2085710000000001</v>
      </c>
      <c r="E8730">
        <v>0.52414859999999996</v>
      </c>
      <c r="F8730" t="s">
        <v>41</v>
      </c>
      <c r="G8730">
        <v>-112.19970000000001</v>
      </c>
      <c r="H8730">
        <v>0.95748999999999995</v>
      </c>
      <c r="I8730">
        <v>138.51079999999999</v>
      </c>
      <c r="J8730">
        <v>-112.8847</v>
      </c>
      <c r="K8730">
        <v>1.113051</v>
      </c>
      <c r="L8730">
        <v>138.56020000000001</v>
      </c>
      <c r="M8730">
        <v>0.9992316</v>
      </c>
      <c r="N8730">
        <v>0</v>
      </c>
      <c r="O8730">
        <v>1.738284E-2</v>
      </c>
      <c r="P8730">
        <v>0.99545700000000004</v>
      </c>
      <c r="Q8730">
        <v>9.4478960000000001E-2</v>
      </c>
      <c r="R8730">
        <v>-1.1812649999999999E-2</v>
      </c>
      <c r="S8730">
        <v>3.082138</v>
      </c>
      <c r="T8730">
        <v>-0.67880399999999996</v>
      </c>
      <c r="U8730">
        <v>-0.2138824</v>
      </c>
      <c r="V8730">
        <v>2.9115499999999999E-2</v>
      </c>
      <c r="W8730">
        <v>0.12938350000000001</v>
      </c>
      <c r="X8730">
        <v>0.99116709999999997</v>
      </c>
      <c r="Y8730">
        <v>8.4146460000000006E-2</v>
      </c>
      <c r="Z8730">
        <v>-1.292719E-2</v>
      </c>
      <c r="AA8730">
        <v>0.99636950000000002</v>
      </c>
      <c r="AB8730">
        <v>3</v>
      </c>
      <c r="AC8730">
        <v>0.68499999999998795</v>
      </c>
      <c r="AD8730">
        <v>-0.155561</v>
      </c>
      <c r="AE8730">
        <v>-4.9400000000019803E-2</v>
      </c>
      <c r="AF8730">
        <v>5.8315210571907403E-2</v>
      </c>
      <c r="AG8730">
        <v>-0.155561</v>
      </c>
      <c r="AH8730">
        <v>0.65065469381751495</v>
      </c>
      <c r="AI8730">
        <v>103.394344925046</v>
      </c>
      <c r="AJ8730">
        <v>84.878524656656495</v>
      </c>
      <c r="AK8730">
        <v>0.67152916473658097</v>
      </c>
      <c r="AL8730">
        <v>82.566031481527006</v>
      </c>
      <c r="AM8730">
        <v>88.317422264688105</v>
      </c>
      <c r="AN8730">
        <v>1.0000000112674501</v>
      </c>
    </row>
    <row r="8731" spans="1:40" x14ac:dyDescent="0.25">
      <c r="A8731" t="str">
        <f>"20190312172319830"</f>
        <v>20190312172319830</v>
      </c>
      <c r="B8731" t="str">
        <f>"1552382599819280"</f>
        <v>1552382599819280</v>
      </c>
      <c r="C8731" t="s">
        <v>40</v>
      </c>
      <c r="D8731">
        <v>3.2192129999999999</v>
      </c>
      <c r="E8731">
        <v>0.52415639999999997</v>
      </c>
      <c r="F8731" t="s">
        <v>41</v>
      </c>
      <c r="G8731">
        <v>-112.1832</v>
      </c>
      <c r="H8731">
        <v>0.9546753</v>
      </c>
      <c r="I8731">
        <v>138.50960000000001</v>
      </c>
      <c r="J8731">
        <v>-112.8659</v>
      </c>
      <c r="K8731">
        <v>1.112943</v>
      </c>
      <c r="L8731">
        <v>138.56039999999999</v>
      </c>
      <c r="M8731">
        <v>0.99924679999999999</v>
      </c>
      <c r="N8731">
        <v>0</v>
      </c>
      <c r="O8731">
        <v>1.7261430000000001E-2</v>
      </c>
      <c r="P8731">
        <v>0.99616749999999998</v>
      </c>
      <c r="Q8731">
        <v>8.6403339999999995E-2</v>
      </c>
      <c r="R8731">
        <v>-1.3603860000000001E-2</v>
      </c>
      <c r="S8731">
        <v>3.0769959999999998</v>
      </c>
      <c r="T8731">
        <v>-0.69467780000000001</v>
      </c>
      <c r="U8731">
        <v>-0.22175600000000001</v>
      </c>
      <c r="V8731">
        <v>3.0797959999999999E-2</v>
      </c>
      <c r="W8731">
        <v>0.1209635</v>
      </c>
      <c r="X8731">
        <v>0.99217909999999998</v>
      </c>
      <c r="Y8731">
        <v>8.6499809999999996E-2</v>
      </c>
      <c r="Z8731">
        <v>-1.347749E-2</v>
      </c>
      <c r="AA8731">
        <v>0.99616070000000001</v>
      </c>
      <c r="AB8731">
        <v>2</v>
      </c>
      <c r="AC8731">
        <v>0.68269999999999698</v>
      </c>
      <c r="AD8731">
        <v>-0.15826769999999901</v>
      </c>
      <c r="AE8731">
        <v>-5.0799999999980999E-2</v>
      </c>
      <c r="AF8731">
        <v>5.9408682996070203E-2</v>
      </c>
      <c r="AG8731">
        <v>-0.15826769999999901</v>
      </c>
      <c r="AH8731">
        <v>0.64713315265205296</v>
      </c>
      <c r="AI8731">
        <v>103.687539363816</v>
      </c>
      <c r="AJ8731">
        <v>84.754784977863395</v>
      </c>
      <c r="AK8731">
        <v>0.66884929075240995</v>
      </c>
      <c r="AL8731">
        <v>83.052288020838603</v>
      </c>
      <c r="AM8731">
        <v>88.222068264856304</v>
      </c>
      <c r="AN8731">
        <v>1.0000000245746099</v>
      </c>
    </row>
    <row r="8732" spans="1:40" x14ac:dyDescent="0.25">
      <c r="A8732" t="str">
        <f>"20190312172319853"</f>
        <v>20190312172319853</v>
      </c>
      <c r="B8732" t="str">
        <f>"1552382599849539"</f>
        <v>1552382599849539</v>
      </c>
      <c r="C8732" t="s">
        <v>40</v>
      </c>
      <c r="D8732">
        <v>3.2090770000000002</v>
      </c>
      <c r="E8732">
        <v>0.52414300000000003</v>
      </c>
      <c r="F8732" t="s">
        <v>41</v>
      </c>
      <c r="G8732">
        <v>-112.17</v>
      </c>
      <c r="H8732">
        <v>0.95060919999999904</v>
      </c>
      <c r="I8732">
        <v>138.50829999999999</v>
      </c>
      <c r="J8732">
        <v>-112.8502</v>
      </c>
      <c r="K8732">
        <v>1.1128119999999999</v>
      </c>
      <c r="L8732">
        <v>138.56059999999999</v>
      </c>
      <c r="M8732">
        <v>0.99926579999999998</v>
      </c>
      <c r="N8732">
        <v>0</v>
      </c>
      <c r="O8732">
        <v>1.7168869999999999E-2</v>
      </c>
      <c r="P8732">
        <v>0.99686649999999999</v>
      </c>
      <c r="Q8732">
        <v>7.7721009999999993E-2</v>
      </c>
      <c r="R8732">
        <v>-1.4715590000000001E-2</v>
      </c>
      <c r="S8732">
        <v>3.0705260000000001</v>
      </c>
      <c r="T8732">
        <v>-0.7162596</v>
      </c>
      <c r="U8732">
        <v>-0.22988890000000001</v>
      </c>
      <c r="V8732">
        <v>3.1829780000000002E-2</v>
      </c>
      <c r="W8732">
        <v>0.1118094</v>
      </c>
      <c r="X8732">
        <v>0.99321979999999999</v>
      </c>
      <c r="Y8732">
        <v>8.8946230000000001E-2</v>
      </c>
      <c r="Z8732">
        <v>-1.417246E-2</v>
      </c>
      <c r="AA8732">
        <v>0.99593560000000003</v>
      </c>
      <c r="AB8732">
        <v>2</v>
      </c>
      <c r="AC8732">
        <v>0.68019999999999903</v>
      </c>
      <c r="AD8732">
        <v>-0.16220280000000001</v>
      </c>
      <c r="AE8732">
        <v>-5.23000000000024E-2</v>
      </c>
      <c r="AF8732">
        <v>6.0554236977579903E-2</v>
      </c>
      <c r="AG8732">
        <v>-0.16220280000000001</v>
      </c>
      <c r="AH8732">
        <v>0.64285991769364503</v>
      </c>
      <c r="AI8732">
        <v>104.10106587626601</v>
      </c>
      <c r="AJ8732">
        <v>84.618897366312595</v>
      </c>
      <c r="AK8732">
        <v>0.66576680430978097</v>
      </c>
      <c r="AL8732">
        <v>83.580370075411693</v>
      </c>
      <c r="AM8732">
        <v>88.164466601373604</v>
      </c>
      <c r="AN8732">
        <v>1.0000000239676201</v>
      </c>
    </row>
    <row r="8733" spans="1:40" x14ac:dyDescent="0.25">
      <c r="A8733" t="str">
        <f>"20190312172319876"</f>
        <v>20190312172319876</v>
      </c>
      <c r="B8733" t="str">
        <f>"1552382599868683"</f>
        <v>1552382599868683</v>
      </c>
      <c r="C8733" t="s">
        <v>40</v>
      </c>
      <c r="D8733">
        <v>3.2252529999999999</v>
      </c>
      <c r="E8733">
        <v>0.52399859999999998</v>
      </c>
      <c r="F8733" t="s">
        <v>41</v>
      </c>
      <c r="G8733">
        <v>-112.15949999999999</v>
      </c>
      <c r="H8733">
        <v>0.94608599999999998</v>
      </c>
      <c r="I8733">
        <v>138.50720000000001</v>
      </c>
      <c r="J8733">
        <v>-112.83710000000001</v>
      </c>
      <c r="K8733">
        <v>1.1126689999999999</v>
      </c>
      <c r="L8733">
        <v>138.5607</v>
      </c>
      <c r="M8733">
        <v>0.99928919999999999</v>
      </c>
      <c r="N8733">
        <v>0</v>
      </c>
      <c r="O8733">
        <v>1.7089590000000002E-2</v>
      </c>
      <c r="P8733">
        <v>0.99743709999999997</v>
      </c>
      <c r="Q8733">
        <v>6.9806889999999996E-2</v>
      </c>
      <c r="R8733">
        <v>-1.5708030000000001E-2</v>
      </c>
      <c r="S8733">
        <v>3.063599</v>
      </c>
      <c r="T8733">
        <v>-0.73951919999999904</v>
      </c>
      <c r="U8733">
        <v>-0.23648069999999999</v>
      </c>
      <c r="V8733">
        <v>3.2751519999999999E-2</v>
      </c>
      <c r="W8733">
        <v>0.1032719</v>
      </c>
      <c r="X8733">
        <v>0.99411380000000005</v>
      </c>
      <c r="Y8733">
        <v>9.0913649999999999E-2</v>
      </c>
      <c r="Z8733">
        <v>-1.486588E-2</v>
      </c>
      <c r="AA8733">
        <v>0.99574779999999996</v>
      </c>
      <c r="AB8733">
        <v>2</v>
      </c>
      <c r="AC8733">
        <v>0.67760000000001197</v>
      </c>
      <c r="AD8733">
        <v>-0.16658300000000001</v>
      </c>
      <c r="AE8733">
        <v>-5.34999999999854E-2</v>
      </c>
      <c r="AF8733">
        <v>6.1391213552407099E-2</v>
      </c>
      <c r="AG8733">
        <v>-0.16658300000000001</v>
      </c>
      <c r="AH8733">
        <v>0.63825014632888999</v>
      </c>
      <c r="AI8733">
        <v>104.563508532689</v>
      </c>
      <c r="AJ8733">
        <v>84.5058069082706</v>
      </c>
      <c r="AK8733">
        <v>0.66248171769437203</v>
      </c>
      <c r="AL8733">
        <v>84.072387542257104</v>
      </c>
      <c r="AM8733">
        <v>88.113047638307094</v>
      </c>
      <c r="AN8733">
        <v>0.99999999737117995</v>
      </c>
    </row>
    <row r="8734" spans="1:40" x14ac:dyDescent="0.25">
      <c r="A8734" t="str">
        <f>"20190312172319898"</f>
        <v>20190312172319898</v>
      </c>
      <c r="B8734" t="str">
        <f>"1552382599889172"</f>
        <v>1552382599889172</v>
      </c>
      <c r="C8734" t="s">
        <v>40</v>
      </c>
      <c r="D8734">
        <v>3.2221169999999999</v>
      </c>
      <c r="E8734">
        <v>0.51103580000000004</v>
      </c>
      <c r="F8734" t="s">
        <v>41</v>
      </c>
      <c r="G8734">
        <v>-112.1512</v>
      </c>
      <c r="H8734">
        <v>0.94169700000000001</v>
      </c>
      <c r="I8734">
        <v>138.50649999999999</v>
      </c>
      <c r="J8734">
        <v>-112.8272</v>
      </c>
      <c r="K8734">
        <v>1.112503</v>
      </c>
      <c r="L8734">
        <v>138.5608</v>
      </c>
      <c r="M8734">
        <v>0.99931590000000003</v>
      </c>
      <c r="N8734">
        <v>0</v>
      </c>
      <c r="O8734">
        <v>1.7023460000000001E-2</v>
      </c>
      <c r="P8734">
        <v>0.99800160000000004</v>
      </c>
      <c r="Q8734">
        <v>6.0957810000000001E-2</v>
      </c>
      <c r="R8734">
        <v>-1.6643959999999999E-2</v>
      </c>
      <c r="S8734">
        <v>3.05722</v>
      </c>
      <c r="T8734">
        <v>-0.76201109999999905</v>
      </c>
      <c r="U8734">
        <v>-0.24110409999999999</v>
      </c>
      <c r="V8734">
        <v>3.3630550000000002E-2</v>
      </c>
      <c r="W8734">
        <v>9.3686619999999998E-2</v>
      </c>
      <c r="X8734">
        <v>0.99503359999999996</v>
      </c>
      <c r="Y8734">
        <v>9.2263629999999999E-2</v>
      </c>
      <c r="Z8734">
        <v>-1.5484070000000001E-2</v>
      </c>
      <c r="AA8734">
        <v>0.9956142</v>
      </c>
      <c r="AB8734">
        <v>1</v>
      </c>
      <c r="AC8734">
        <v>0.67600000000000104</v>
      </c>
      <c r="AD8734">
        <v>-0.17080600000000001</v>
      </c>
      <c r="AE8734">
        <v>-5.4300000000011998E-2</v>
      </c>
      <c r="AF8734">
        <v>6.1880860345793202E-2</v>
      </c>
      <c r="AG8734">
        <v>-0.17080600000000001</v>
      </c>
      <c r="AH8734">
        <v>0.63471478658410596</v>
      </c>
      <c r="AI8734">
        <v>104.99399178810999</v>
      </c>
      <c r="AJ8734">
        <v>84.431605521463695</v>
      </c>
      <c r="AK8734">
        <v>0.66020208332119301</v>
      </c>
      <c r="AL8734">
        <v>84.624268635333706</v>
      </c>
      <c r="AM8734">
        <v>88.064230831490704</v>
      </c>
      <c r="AN8734">
        <v>1.00000003089464</v>
      </c>
    </row>
    <row r="8735" spans="1:40" x14ac:dyDescent="0.25">
      <c r="A8735" t="str">
        <f>"20190312172319920"</f>
        <v>20190312172319920</v>
      </c>
      <c r="B8735" t="str">
        <f>"1552382599909668"</f>
        <v>1552382599909668</v>
      </c>
      <c r="C8735" t="s">
        <v>40</v>
      </c>
      <c r="D8735">
        <v>3.1836899999999999</v>
      </c>
      <c r="E8735">
        <v>0.51077499999999998</v>
      </c>
      <c r="F8735" t="s">
        <v>41</v>
      </c>
      <c r="G8735">
        <v>-112.14919999999999</v>
      </c>
      <c r="H8735">
        <v>0.92865039999999999</v>
      </c>
      <c r="I8735">
        <v>138.52889999999999</v>
      </c>
      <c r="J8735">
        <v>-112.81910000000001</v>
      </c>
      <c r="K8735">
        <v>1.112312</v>
      </c>
      <c r="L8735">
        <v>138.5609</v>
      </c>
      <c r="M8735">
        <v>0.99934690000000004</v>
      </c>
      <c r="N8735">
        <v>0</v>
      </c>
      <c r="O8735">
        <v>1.6968500000000001E-2</v>
      </c>
      <c r="P8735">
        <v>0.99850300000000003</v>
      </c>
      <c r="Q8735">
        <v>5.1782950000000001E-2</v>
      </c>
      <c r="R8735">
        <v>-1.7630529999999998E-2</v>
      </c>
      <c r="S8735">
        <v>3.0541990000000001</v>
      </c>
      <c r="T8735">
        <v>-0.82818619999999898</v>
      </c>
      <c r="U8735">
        <v>-0.1433411</v>
      </c>
      <c r="V8735">
        <v>3.4571039999999997E-2</v>
      </c>
      <c r="W8735">
        <v>8.360708E-2</v>
      </c>
      <c r="X8735">
        <v>0.99589899999999998</v>
      </c>
      <c r="Y8735">
        <v>6.1021400000000003E-2</v>
      </c>
      <c r="Z8735">
        <v>-1.2642250000000001E-2</v>
      </c>
      <c r="AA8735">
        <v>0.99805639999999995</v>
      </c>
      <c r="AB8735">
        <v>1</v>
      </c>
      <c r="AC8735">
        <v>0.66990000000001204</v>
      </c>
      <c r="AD8735">
        <v>-0.18366160000000001</v>
      </c>
      <c r="AE8735">
        <v>-3.2000000000010603E-2</v>
      </c>
      <c r="AF8735">
        <v>4.0342897607113397E-2</v>
      </c>
      <c r="AG8735">
        <v>-0.18366160000000001</v>
      </c>
      <c r="AH8735">
        <v>0.62257104760336102</v>
      </c>
      <c r="AI8735">
        <v>106.403775572925</v>
      </c>
      <c r="AJ8735">
        <v>86.292390200564299</v>
      </c>
      <c r="AK8735">
        <v>0.65034901554153501</v>
      </c>
      <c r="AL8735">
        <v>85.204068983323197</v>
      </c>
      <c r="AM8735">
        <v>88.011867031011406</v>
      </c>
      <c r="AN8735">
        <v>1.0000000594169001</v>
      </c>
    </row>
    <row r="8736" spans="1:40" x14ac:dyDescent="0.25">
      <c r="A8736" t="str">
        <f>"20190312172319943"</f>
        <v>20190312172319943</v>
      </c>
      <c r="B8736" t="str">
        <f>"1552382599938947"</f>
        <v>1552382599938947</v>
      </c>
      <c r="C8736" t="s">
        <v>40</v>
      </c>
      <c r="D8736">
        <v>3.2083460000000001</v>
      </c>
      <c r="E8736">
        <v>0.51047200000000004</v>
      </c>
      <c r="F8736" t="s">
        <v>41</v>
      </c>
      <c r="G8736">
        <v>-112.13849999999999</v>
      </c>
      <c r="H8736">
        <v>0.92406580000000005</v>
      </c>
      <c r="I8736">
        <v>138.5282</v>
      </c>
      <c r="J8736">
        <v>-112.8125</v>
      </c>
      <c r="K8736">
        <v>1.112093</v>
      </c>
      <c r="L8736">
        <v>138.56100000000001</v>
      </c>
      <c r="M8736">
        <v>0.99938300000000002</v>
      </c>
      <c r="N8736">
        <v>0</v>
      </c>
      <c r="O8736">
        <v>1.6925430000000002E-2</v>
      </c>
      <c r="P8736">
        <v>0.99890599999999996</v>
      </c>
      <c r="Q8736">
        <v>4.3043579999999998E-2</v>
      </c>
      <c r="R8736">
        <v>-1.8279150000000001E-2</v>
      </c>
      <c r="S8736">
        <v>3.0455930000000002</v>
      </c>
      <c r="T8736">
        <v>-0.84233939999999996</v>
      </c>
      <c r="U8736">
        <v>-0.14622499999999999</v>
      </c>
      <c r="V8736">
        <v>3.5185010000000003E-2</v>
      </c>
      <c r="W8736">
        <v>7.3759089999999999E-2</v>
      </c>
      <c r="X8736">
        <v>0.99665519999999996</v>
      </c>
      <c r="Y8736">
        <v>6.1909970000000002E-2</v>
      </c>
      <c r="Z8736">
        <v>-1.299398E-2</v>
      </c>
      <c r="AA8736">
        <v>0.99799720000000003</v>
      </c>
      <c r="AB8736">
        <v>1</v>
      </c>
      <c r="AC8736">
        <v>0.67400000000000604</v>
      </c>
      <c r="AD8736">
        <v>-0.18802719999999901</v>
      </c>
      <c r="AE8736">
        <v>-3.2800000000008801E-2</v>
      </c>
      <c r="AF8736">
        <v>4.1023327930965497E-2</v>
      </c>
      <c r="AG8736">
        <v>-0.18802719999999901</v>
      </c>
      <c r="AH8736">
        <v>0.62483479469001202</v>
      </c>
      <c r="AI8736">
        <v>106.71378163253</v>
      </c>
      <c r="AJ8736">
        <v>86.243655080427402</v>
      </c>
      <c r="AK8736">
        <v>0.65380093455858601</v>
      </c>
      <c r="AL8736">
        <v>85.770074045500607</v>
      </c>
      <c r="AM8736">
        <v>87.978121519488596</v>
      </c>
      <c r="AN8736">
        <v>0.99999998798668399</v>
      </c>
    </row>
    <row r="8737" spans="1:40" x14ac:dyDescent="0.25">
      <c r="A8737" t="str">
        <f>"20190312172319966"</f>
        <v>20190312172319966</v>
      </c>
      <c r="B8737" t="str">
        <f>"1552382599959444"</f>
        <v>1552382599959444</v>
      </c>
      <c r="C8737" t="s">
        <v>40</v>
      </c>
      <c r="D8737">
        <v>3.2047460000000001</v>
      </c>
      <c r="E8737">
        <v>0.5091966</v>
      </c>
      <c r="F8737" t="s">
        <v>41</v>
      </c>
      <c r="G8737">
        <v>-112.13500000000001</v>
      </c>
      <c r="H8737">
        <v>0.92139590000000005</v>
      </c>
      <c r="I8737">
        <v>138.5282</v>
      </c>
      <c r="J8737">
        <v>-112.80719999999999</v>
      </c>
      <c r="K8737">
        <v>1.1118729999999999</v>
      </c>
      <c r="L8737">
        <v>138.56110000000001</v>
      </c>
      <c r="M8737">
        <v>0.99941990000000003</v>
      </c>
      <c r="N8737">
        <v>0</v>
      </c>
      <c r="O8737">
        <v>1.689131E-2</v>
      </c>
      <c r="P8737">
        <v>0.99929440000000003</v>
      </c>
      <c r="Q8737">
        <v>3.3137270000000003E-2</v>
      </c>
      <c r="R8737">
        <v>-1.768043E-2</v>
      </c>
      <c r="S8737">
        <v>3.037445</v>
      </c>
      <c r="T8737">
        <v>-0.85491719999999904</v>
      </c>
      <c r="U8737">
        <v>-0.14694209999999999</v>
      </c>
      <c r="V8737">
        <v>3.4560269999999997E-2</v>
      </c>
      <c r="W8737">
        <v>6.2665209999999999E-2</v>
      </c>
      <c r="X8737">
        <v>0.99743599999999999</v>
      </c>
      <c r="Y8737">
        <v>6.2128320000000001E-2</v>
      </c>
      <c r="Z8737">
        <v>-1.323532E-2</v>
      </c>
      <c r="AA8737">
        <v>0.99798039999999999</v>
      </c>
      <c r="AB8737">
        <v>1</v>
      </c>
      <c r="AC8737">
        <v>0.67219999999998903</v>
      </c>
      <c r="AD8737">
        <v>-0.19047709999999901</v>
      </c>
      <c r="AE8737">
        <v>-3.29000000000121E-2</v>
      </c>
      <c r="AF8737">
        <v>4.09725776842053E-2</v>
      </c>
      <c r="AG8737">
        <v>-0.19047709999999901</v>
      </c>
      <c r="AH8737">
        <v>0.62174438360450801</v>
      </c>
      <c r="AI8737">
        <v>106.99818913263999</v>
      </c>
      <c r="AJ8737">
        <v>86.229694390212799</v>
      </c>
      <c r="AK8737">
        <v>0.65155687110968896</v>
      </c>
      <c r="AL8737">
        <v>86.407193721221901</v>
      </c>
      <c r="AM8737">
        <v>88.015546113303998</v>
      </c>
      <c r="AN8737">
        <v>0.99999995745140702</v>
      </c>
    </row>
    <row r="8738" spans="1:40" x14ac:dyDescent="0.25">
      <c r="A8738" t="str">
        <f>"20190312172319987"</f>
        <v>20190312172319987</v>
      </c>
      <c r="B8738" t="str">
        <f>"1552382599978964"</f>
        <v>1552382599978964</v>
      </c>
      <c r="C8738" t="s">
        <v>40</v>
      </c>
      <c r="D8738">
        <v>3.1721159999999999</v>
      </c>
      <c r="E8738">
        <v>0.50918790000000003</v>
      </c>
      <c r="F8738" t="s">
        <v>41</v>
      </c>
      <c r="G8738">
        <v>-112.1317</v>
      </c>
      <c r="H8738">
        <v>0.91974370000000005</v>
      </c>
      <c r="I8738">
        <v>138.5309</v>
      </c>
      <c r="J8738">
        <v>-112.8028</v>
      </c>
      <c r="K8738">
        <v>1.1116539999999999</v>
      </c>
      <c r="L8738">
        <v>138.56120000000001</v>
      </c>
      <c r="M8738">
        <v>0.99945720000000005</v>
      </c>
      <c r="N8738">
        <v>0</v>
      </c>
      <c r="O8738">
        <v>1.6861399999999999E-2</v>
      </c>
      <c r="P8738">
        <v>0.99967110000000003</v>
      </c>
      <c r="Q8738">
        <v>2.096431E-2</v>
      </c>
      <c r="R8738">
        <v>-1.477123E-2</v>
      </c>
      <c r="S8738">
        <v>3.0282900000000001</v>
      </c>
      <c r="T8738">
        <v>-0.861286199999999</v>
      </c>
      <c r="U8738">
        <v>-0.13502500000000001</v>
      </c>
      <c r="V8738">
        <v>3.1629110000000002E-2</v>
      </c>
      <c r="W8738">
        <v>4.9240529999999998E-2</v>
      </c>
      <c r="X8738">
        <v>0.99828600000000001</v>
      </c>
      <c r="Y8738">
        <v>5.8408599999999998E-2</v>
      </c>
      <c r="Z8738">
        <v>-1.284308E-2</v>
      </c>
      <c r="AA8738">
        <v>0.99821009999999999</v>
      </c>
      <c r="AB8738">
        <v>1</v>
      </c>
      <c r="AC8738">
        <v>0.67110000000000902</v>
      </c>
      <c r="AD8738">
        <v>-0.19191030000000001</v>
      </c>
      <c r="AE8738">
        <v>-3.0300000000010999E-2</v>
      </c>
      <c r="AF8738">
        <v>3.8475929731503503E-2</v>
      </c>
      <c r="AG8738">
        <v>-0.19191030000000001</v>
      </c>
      <c r="AH8738">
        <v>0.61990373224586304</v>
      </c>
      <c r="AI8738">
        <v>107.170428073488</v>
      </c>
      <c r="AJ8738">
        <v>86.448345242540498</v>
      </c>
      <c r="AK8738">
        <v>0.65006968677761401</v>
      </c>
      <c r="AL8738">
        <v>87.177584068297705</v>
      </c>
      <c r="AM8738">
        <v>88.185281084474298</v>
      </c>
      <c r="AN8738">
        <v>0.99999998409503599</v>
      </c>
    </row>
    <row r="8739" spans="1:40" x14ac:dyDescent="0.25">
      <c r="A8739" t="str">
        <f>"20190312172320010"</f>
        <v>20190312172320010</v>
      </c>
      <c r="B8739" t="str">
        <f>"1552382599999460"</f>
        <v>1552382599999460</v>
      </c>
      <c r="C8739" t="s">
        <v>40</v>
      </c>
      <c r="D8739">
        <v>3.1832419999999999</v>
      </c>
      <c r="E8739">
        <v>0.50952659999999905</v>
      </c>
      <c r="F8739" t="s">
        <v>41</v>
      </c>
      <c r="G8739">
        <v>-112.1311</v>
      </c>
      <c r="H8739">
        <v>0.91392459999999998</v>
      </c>
      <c r="I8739">
        <v>138.5325</v>
      </c>
      <c r="J8739">
        <v>-112.79940000000001</v>
      </c>
      <c r="K8739">
        <v>1.111453</v>
      </c>
      <c r="L8739">
        <v>138.56120000000001</v>
      </c>
      <c r="M8739">
        <v>0.9994923</v>
      </c>
      <c r="N8739">
        <v>0</v>
      </c>
      <c r="O8739">
        <v>1.6835079999999999E-2</v>
      </c>
      <c r="P8739">
        <v>0.99987550000000003</v>
      </c>
      <c r="Q8739">
        <v>1.1591489999999999E-2</v>
      </c>
      <c r="R8739">
        <v>-1.071632E-2</v>
      </c>
      <c r="S8739">
        <v>3.0177149999999999</v>
      </c>
      <c r="T8739">
        <v>-0.88821059999999996</v>
      </c>
      <c r="U8739">
        <v>-0.1278687</v>
      </c>
      <c r="V8739">
        <v>2.755233E-2</v>
      </c>
      <c r="W8739">
        <v>3.8626899999999999E-2</v>
      </c>
      <c r="X8739">
        <v>0.99887380000000003</v>
      </c>
      <c r="Y8739">
        <v>5.6067249999999999E-2</v>
      </c>
      <c r="Z8739">
        <v>-1.292861E-2</v>
      </c>
      <c r="AA8739">
        <v>0.99834330000000004</v>
      </c>
      <c r="AB8739">
        <v>1</v>
      </c>
      <c r="AC8739">
        <v>0.668300000000002</v>
      </c>
      <c r="AD8739">
        <v>-0.19752839999999999</v>
      </c>
      <c r="AE8739">
        <v>-2.87000000000148E-2</v>
      </c>
      <c r="AF8739">
        <v>3.6746629905650002E-2</v>
      </c>
      <c r="AG8739">
        <v>-0.19752839999999999</v>
      </c>
      <c r="AH8739">
        <v>0.61416661195630595</v>
      </c>
      <c r="AI8739">
        <v>107.79902406313801</v>
      </c>
      <c r="AJ8739">
        <v>86.575978262973294</v>
      </c>
      <c r="AK8739">
        <v>0.64619533490878001</v>
      </c>
      <c r="AL8739">
        <v>87.786290972527894</v>
      </c>
      <c r="AM8739">
        <v>88.419988547781401</v>
      </c>
      <c r="AN8739">
        <v>1.0000000183092299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2020-05-20T14:51:19Z</dcterms:created>
  <dcterms:modified xsi:type="dcterms:W3CDTF">2020-05-20T14:51:20Z</dcterms:modified>
</cp:coreProperties>
</file>